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drawings/drawing7.xml" ContentType="application/vnd.openxmlformats-officedocument.drawingml.chartshapes+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drawings/drawing8.xml" ContentType="application/vnd.openxmlformats-officedocument.drawing+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charts/chart31.xml" ContentType="application/vnd.openxmlformats-officedocument.drawingml.chart+xml"/>
  <Override PartName="/xl/charts/style31.xml" ContentType="application/vnd.ms-office.chartstyle+xml"/>
  <Override PartName="/xl/charts/colors31.xml" ContentType="application/vnd.ms-office.chartcolorstyle+xml"/>
  <Override PartName="/xl/charts/chart32.xml" ContentType="application/vnd.openxmlformats-officedocument.drawingml.chart+xml"/>
  <Override PartName="/xl/charts/style32.xml" ContentType="application/vnd.ms-office.chartstyle+xml"/>
  <Override PartName="/xl/charts/colors32.xml" ContentType="application/vnd.ms-office.chartcolorstyle+xml"/>
  <Override PartName="/xl/charts/chart33.xml" ContentType="application/vnd.openxmlformats-officedocument.drawingml.chart+xml"/>
  <Override PartName="/xl/charts/style33.xml" ContentType="application/vnd.ms-office.chartstyle+xml"/>
  <Override PartName="/xl/charts/colors33.xml" ContentType="application/vnd.ms-office.chartcolorstyle+xml"/>
  <Override PartName="/xl/charts/chart34.xml" ContentType="application/vnd.openxmlformats-officedocument.drawingml.chart+xml"/>
  <Override PartName="/xl/charts/style34.xml" ContentType="application/vnd.ms-office.chartstyle+xml"/>
  <Override PartName="/xl/charts/colors34.xml" ContentType="application/vnd.ms-office.chartcolorstyle+xml"/>
  <Override PartName="/xl/charts/chart35.xml" ContentType="application/vnd.openxmlformats-officedocument.drawingml.chart+xml"/>
  <Override PartName="/xl/charts/style35.xml" ContentType="application/vnd.ms-office.chartstyle+xml"/>
  <Override PartName="/xl/charts/colors35.xml" ContentType="application/vnd.ms-office.chartcolorstyle+xml"/>
  <Override PartName="/xl/charts/chart36.xml" ContentType="application/vnd.openxmlformats-officedocument.drawingml.chart+xml"/>
  <Override PartName="/xl/charts/style36.xml" ContentType="application/vnd.ms-office.chartstyle+xml"/>
  <Override PartName="/xl/charts/colors36.xml" ContentType="application/vnd.ms-office.chartcolorstyle+xml"/>
  <Override PartName="/xl/charts/chart37.xml" ContentType="application/vnd.openxmlformats-officedocument.drawingml.chart+xml"/>
  <Override PartName="/xl/charts/style37.xml" ContentType="application/vnd.ms-office.chartstyle+xml"/>
  <Override PartName="/xl/charts/colors37.xml" ContentType="application/vnd.ms-office.chartcolorstyle+xml"/>
  <Override PartName="/xl/charts/chart38.xml" ContentType="application/vnd.openxmlformats-officedocument.drawingml.chart+xml"/>
  <Override PartName="/xl/charts/style38.xml" ContentType="application/vnd.ms-office.chartstyle+xml"/>
  <Override PartName="/xl/charts/colors38.xml" ContentType="application/vnd.ms-office.chartcolorstyle+xml"/>
  <Override PartName="/xl/charts/chart39.xml" ContentType="application/vnd.openxmlformats-officedocument.drawingml.chart+xml"/>
  <Override PartName="/xl/charts/style39.xml" ContentType="application/vnd.ms-office.chartstyle+xml"/>
  <Override PartName="/xl/charts/colors39.xml" ContentType="application/vnd.ms-office.chartcolorstyle+xml"/>
  <Override PartName="/xl/charts/chart40.xml" ContentType="application/vnd.openxmlformats-officedocument.drawingml.chart+xml"/>
  <Override PartName="/xl/charts/style40.xml" ContentType="application/vnd.ms-office.chartstyle+xml"/>
  <Override PartName="/xl/charts/colors40.xml" ContentType="application/vnd.ms-office.chartcolorstyle+xml"/>
  <Override PartName="/xl/charts/chart41.xml" ContentType="application/vnd.openxmlformats-officedocument.drawingml.chart+xml"/>
  <Override PartName="/xl/charts/style41.xml" ContentType="application/vnd.ms-office.chartstyle+xml"/>
  <Override PartName="/xl/charts/colors41.xml" ContentType="application/vnd.ms-office.chartcolorstyle+xml"/>
  <Override PartName="/xl/charts/chart42.xml" ContentType="application/vnd.openxmlformats-officedocument.drawingml.chart+xml"/>
  <Override PartName="/xl/charts/style42.xml" ContentType="application/vnd.ms-office.chartstyle+xml"/>
  <Override PartName="/xl/charts/colors42.xml" ContentType="application/vnd.ms-office.chartcolorstyle+xml"/>
  <Override PartName="/xl/charts/chart43.xml" ContentType="application/vnd.openxmlformats-officedocument.drawingml.chart+xml"/>
  <Override PartName="/xl/charts/style43.xml" ContentType="application/vnd.ms-office.chartstyle+xml"/>
  <Override PartName="/xl/charts/colors43.xml" ContentType="application/vnd.ms-office.chartcolorstyle+xml"/>
  <Override PartName="/xl/charts/chart44.xml" ContentType="application/vnd.openxmlformats-officedocument.drawingml.chart+xml"/>
  <Override PartName="/xl/charts/style44.xml" ContentType="application/vnd.ms-office.chartstyle+xml"/>
  <Override PartName="/xl/charts/colors44.xml" ContentType="application/vnd.ms-office.chartcolorstyle+xml"/>
  <Override PartName="/xl/comments2.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drawings/drawing1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showInkAnnotation="0" codeName="DieseArbeitsmappe" autoCompressPictures="0"/>
  <mc:AlternateContent xmlns:mc="http://schemas.openxmlformats.org/markup-compatibility/2006">
    <mc:Choice Requires="x15">
      <x15ac:absPath xmlns:x15ac="http://schemas.microsoft.com/office/spreadsheetml/2010/11/ac" url="D:\Micha\Golf\Tools\Trainingsanalyse\"/>
    </mc:Choice>
  </mc:AlternateContent>
  <bookViews>
    <workbookView xWindow="0" yWindow="0" windowWidth="12000" windowHeight="6075" tabRatio="785" activeTab="4"/>
  </bookViews>
  <sheets>
    <sheet name="Main" sheetId="17" r:id="rId1"/>
    <sheet name="Workplan" sheetId="16" r:id="rId2"/>
    <sheet name="Statistic" sheetId="11" r:id="rId3"/>
    <sheet name="KNOWN BUGS" sheetId="28" r:id="rId4"/>
    <sheet name="Usage Description" sheetId="27" r:id="rId5"/>
    <sheet name="_Data Status Month" sheetId="19" r:id="rId6"/>
    <sheet name="_Status Print" sheetId="18" r:id="rId7"/>
    <sheet name="_License Manager" sheetId="22" r:id="rId8"/>
    <sheet name="_Configuration Manager" sheetId="26" r:id="rId9"/>
    <sheet name="_DB_Results" sheetId="2" r:id="rId10"/>
    <sheet name="_DB_Player" sheetId="23" r:id="rId11"/>
    <sheet name="_Lang" sheetId="5" r:id="rId12"/>
    <sheet name="_DB_Exercises" sheetId="1" r:id="rId13"/>
    <sheet name="_Config" sheetId="3" r:id="rId14"/>
    <sheet name="_Metric Conversion Table" sheetId="29" r:id="rId15"/>
    <sheet name="_SQL_Droplist" sheetId="13" r:id="rId16"/>
    <sheet name="_SQL_PM" sheetId="24" r:id="rId17"/>
    <sheet name="_SQL_Temp" sheetId="12" r:id="rId18"/>
    <sheet name="_IMPORT_TMP" sheetId="25" r:id="rId19"/>
    <sheet name="_SQL_WL_Temp" sheetId="21" r:id="rId20"/>
    <sheet name="_DEBLOG" sheetId="20" r:id="rId21"/>
    <sheet name="_Conversion Table" sheetId="8" r:id="rId22"/>
    <sheet name="_NAMES" sheetId="7" r:id="rId23"/>
    <sheet name="_To Dos" sheetId="4" r:id="rId24"/>
    <sheet name="_TEMP" sheetId="10" r:id="rId25"/>
  </sheets>
  <functionGroups builtInGroupCount="18"/>
  <definedNames>
    <definedName name="_FeetsToMeter">_Config!$B$12</definedName>
    <definedName name="_xlnm._FilterDatabase" localSheetId="12">_DB_Exercises!$A$5:$BM$950</definedName>
    <definedName name="_xlnm._FilterDatabase" localSheetId="18">_IMPORT_TMP!$A$1:$C$5</definedName>
    <definedName name="_xlnm._FilterDatabase" localSheetId="11">_Lang!$A$5:$E$95</definedName>
    <definedName name="_xlnm._FilterDatabase" localSheetId="23">'_To Dos'!$A$3:$I$131</definedName>
    <definedName name="_YardsToMeter">_Config!$B$11</definedName>
    <definedName name="CM_ActivationDate">'_Configuration Manager'!$B$17</definedName>
    <definedName name="CM_FREQUENT_BACKUPS">'_Configuration Manager'!$B$31</definedName>
    <definedName name="CM_LIC_EXPIRATION_DATE">'_Configuration Manager'!$B$18</definedName>
    <definedName name="CM_LIC_FIRST_NAME_PREFIX">'_Configuration Manager'!$B$27</definedName>
    <definedName name="CM_LIC_KEY_EXPIRATION_DATE">'_Configuration Manager'!$B$24</definedName>
    <definedName name="CM_LIC_LAST_NAME_PREFIX">'_Configuration Manager'!$B$28</definedName>
    <definedName name="CM_LIC_MACAddress">'_Configuration Manager'!$B$22</definedName>
    <definedName name="CM_LIC_MODEL">'_Configuration Manager'!$B$26</definedName>
    <definedName name="CM_LIC_ROLE">'_Configuration Manager'!$B$25</definedName>
    <definedName name="CM_LIC_TERM">'_Configuration Manager'!$B$23</definedName>
    <definedName name="CM_LIC_UserID_PREFIX">'_Configuration Manager'!$B$29</definedName>
    <definedName name="CM_LIC_UserUID">'_Configuration Manager'!$B$21</definedName>
    <definedName name="CM_LIC_Version">'_Configuration Manager'!$B$30</definedName>
    <definedName name="CM_LicenseKey">'_Configuration Manager'!$B$19</definedName>
    <definedName name="CM_LicenseKey_Valid">'_Configuration Manager'!$B$20</definedName>
    <definedName name="CM_PlayerCoachEmail">'_Configuration Manager'!$B$15</definedName>
    <definedName name="CM_PlayerEmail">'_Configuration Manager'!$B$14</definedName>
    <definedName name="CM_PlayerFirstName">'_Configuration Manager'!$B$6</definedName>
    <definedName name="CM_PlayerHCP">'_Configuration Manager'!$B$12</definedName>
    <definedName name="CM_PlayerID">'_Configuration Manager'!$B$11</definedName>
    <definedName name="CM_PlayerID_ClubID">'_Configuration Manager'!$B$9</definedName>
    <definedName name="CM_PlayerID_CountryID">'_Configuration Manager'!$B$8</definedName>
    <definedName name="CM_PlayerID_MemberID">'_Configuration Manager'!$B$10</definedName>
    <definedName name="CM_PlayerLastName">'_Configuration Manager'!$B$7</definedName>
    <definedName name="CM_PlayerName">'_Configuration Manager'!$B$4</definedName>
    <definedName name="CM_PlayerTeam">'_Configuration Manager'!$B$13</definedName>
    <definedName name="CM_PlayerTitle">'_Configuration Manager'!$B$5</definedName>
    <definedName name="CM_Role">'_Configuration Manager'!$B$16</definedName>
    <definedName name="DBE___________1">"'----------------------------------------------------------------------------------------------------------"</definedName>
    <definedName name="DBE___________2">" DBE is used for the DB storing all exercises.'"</definedName>
    <definedName name="DBE___________3">"'"</definedName>
    <definedName name="DBE___________4">"'   "</definedName>
    <definedName name="DBE___________5">"'   DBE   ...   environmental definition to this database"</definedName>
    <definedName name="DBE___________6">"'   DBEL ... NOT USED____Access a specifc line in the Exercises DB, defined by the DBEL_ID row"</definedName>
    <definedName name="DBE___________7">"'   DBEA   ...   List of ALL exercises at the end of the Database for a specific column"</definedName>
    <definedName name="DBE___________8">"'   DBEI ...Zugriff über Index ExID auf die Daten"</definedName>
    <definedName name="DBE___________9">"'----------------------------------------------------------------------------------------------------------"</definedName>
    <definedName name="DBE___RELEASED">1</definedName>
    <definedName name="DBE___UNRELEASED">-1</definedName>
    <definedName name="DBE_COLID_ExCorrection">MATCH(MUI_DBE_T_EX_Correction,DBE_LANG_TITLES,0)</definedName>
    <definedName name="DBE_COLID_ExDesc">MATCH(MUI_DBE_T_EX_Desc,DBE_LANG_TITLES,0)</definedName>
    <definedName name="DBE_COLID_ExHCPTargets">MATCH(MUI_DBE_T_EX_ResultHCP_Comp,DBE_LANG_TITLES,0)</definedName>
    <definedName name="DBE_COLID_ExID">MATCH(MUI_DBE_T_EX_ID,DBE_LANG_TITLES,0)</definedName>
    <definedName name="DBE_COLID_ExImage">MATCH(MUI_DBE_T_EX_Image,DBE_LANG_TITLES,0)</definedName>
    <definedName name="DBE_COLID_ExLevel">MATCH(MUI_DBE_T_EX_Level,DBE_LANG_TITLES,0)</definedName>
    <definedName name="DBE_COLID_ExMaterial">MATCH(MUI_DBE_T_EX_Material,DBE_LANG_TITLES,0)</definedName>
    <definedName name="DBE_COLID_ExNrOfPlayers">MATCH(MUI_DBE_T_EX_NrOfPlayers,DBE_LANG_TITLES,0)</definedName>
    <definedName name="DBE_COLID_ExPlannedDuration">MATCH(MUI_DBE_T_EX_Duration,DBE_LANG_TITLES,0)</definedName>
    <definedName name="DBE_COLID_ExReleased">MATCH(MUI_DBE_T_EX_Released,DBE_LANG_TITLES,0)</definedName>
    <definedName name="DBE_COLID_ExResultHCP_Comp__NOT_USED" comment="Is currently not used ... use instead  DBE_COLID_ExHCPTargets">MATCH(MUI_DBE_T_EX_ResultHCP_Comp,DBE_LANG_TITLES,0)</definedName>
    <definedName name="DBE_COLID_ExTarget">MATCH(MUI_DBE_T_EX_Target,DBE_LANG_TITLES,0)</definedName>
    <definedName name="DBE_COLID_ExTitle">MATCH(MUI_DBE_T_EX_Title,DBE_LANG_TITLES,0)</definedName>
    <definedName name="DBE_COLID_ExTopic">MATCH(MUI_DBE_T_EX_Topic,DBE_LANG_TITLES,0)</definedName>
    <definedName name="DBE_COLID_ExType">MATCH(MUI_DBE_T_EX_Type,DBE_LANG_TITLES,0)</definedName>
    <definedName name="DBE_COLID_START">MATCH(MUI_SEL_LANG,OFFSET(DBE_START,0,0,1,DBE_COLUMNS),0)</definedName>
    <definedName name="DBE_COLUMNS">COUNTA(_DB_Exercises!$5:$5)</definedName>
    <definedName name="DBE_COUNT">_DB_Exercises!$A$4</definedName>
    <definedName name="DBE_DB_Range">OFFSET(DBE_START,DBE_START_ROWID_DATA-2,0,DBE_COUNT+1,DBE_COLID_ExTarget)</definedName>
    <definedName name="DBE_HCP_Counts">42</definedName>
    <definedName name="DBE_HCP_ID">_DB_Exercises!$X$1</definedName>
    <definedName name="DBE_Header">OFFSET(DBE_START,DBE_START_ROWID_DATA-2,0,1,DBE_Header_LENGTH)</definedName>
    <definedName name="DBE_Header_LENGTH">40</definedName>
    <definedName name="DBE_ID">_DB_Exercises!#REF!</definedName>
    <definedName name="DBE_LANG_START">_DB_Exercises!$A$5</definedName>
    <definedName name="DBE_LANG_TITLES">OFFSET(DBE_LANG_START,0,0,1,DBE_COLUMNS)</definedName>
    <definedName name="DBE_NrOfPlayers">_DB_Exercises!$I$6:$I$23</definedName>
    <definedName name="DBE_ResultHCP_LinkedHCP">_DB_Exercises!$X$5:$BM$5</definedName>
    <definedName name="DBE_RG_ExTitle">""</definedName>
    <definedName name="DBE_START">_DB_Exercises!$A$1</definedName>
    <definedName name="DBE_START_ROWID_DATA">ROW(_DB_Exercises!$A$6)</definedName>
    <definedName name="DBEA_ExCorrection">OFFSET(DBE_START,DBE_START_ROWID_DATA-1,DBE_COLID_ExCorrection-1,DBE_COUNT,1)</definedName>
    <definedName name="DBEA_ExDesc">OFFSET(DBE_START,DBE_START_ROWID_DATA-1,DBE_COLID_ExDesc-1,DBE_COUNT,1)</definedName>
    <definedName name="DBEA_ExHCPTargets">OFFSET(DBE_START,DBE_START_ROWID_DATA-1,DBE_COLID_ExHCPTargets-1,DBE_COUNT,DBE_HCP_Counts)</definedName>
    <definedName name="DBEA_ExID">OFFSET(DBE_START,DBE_START_ROWID_DATA-1,DBE_COLID_ExID-1,DBE_COUNT,1)</definedName>
    <definedName name="DBEA_ExImage">OFFSET(DBE_START,DBE_START_ROWID_DATA-1,DBE_COLID_ExImage-1,DBE_COUNT,1)</definedName>
    <definedName name="DBEA_ExLevel">OFFSET(DBE_START,DBE_START_ROWID_DATA-1,DBE_COLID_ExLevel-1,DBE_COUNT,1)</definedName>
    <definedName name="DBEA_ExMaterial">OFFSET(DBE_START,DBE_START_ROWID_DATA-1,DBE_COLID_ExMaterial-1,DBE_COUNT,1)</definedName>
    <definedName name="DBEA_ExNrOfPlayers">OFFSET(DBE_START,DBE_START_ROWID_DATA-1,DBE_COLID_ExNrOfPlayers-1,DBE_COUNT,1)</definedName>
    <definedName name="DBEA_ExPlannedDuration">OFFSET(DBE_START,DBE_START_ROWID_DATA-1,DBE_COLID_ExPlannedDuration-1,DBE_COUNT,1)</definedName>
    <definedName name="DBEA_ExReleased">OFFSET(DBE_START,DBE_START_ROWID_DATA-1,DBE_COLID_ExReleased-1,DBE_COUNT,1)</definedName>
    <definedName name="DBEA_ExResultHCP_Comp___NOT_USED" comment="Is currently not used ... use instead  DBE_COLID_ExHCPTargets">OFFSET(DBE_START,DBE_START_ROWID_DATA-1,DBE_COLID_ExResultHCP_Comp__NOT_USED-1,DBE_COUNT,1)</definedName>
    <definedName name="DBEA_ExResultHCP_Comp_ALL___NOT_USED" comment="Is currently not used ... use instead  DBE_COLID_ExHCPTargets">OFFSET(DBE_START,DBE_START_ROWID_DATA-1,DBE_COLID_ExResultHCP_Comp__NOT_USED-1,DBE_COUNT,DBE_HCP_Counts)</definedName>
    <definedName name="DBEA_ExTarget">OFFSET(DBE_START,DBE_START_ROWID_DATA-1,DBE_COLID_ExTarget-1,DBE_COUNT,1)</definedName>
    <definedName name="DBEA_ExTitle">OFFSET(DBE_START,DBE_START_ROWID_DATA-1,DBE_COLID_ExTitle-1,DBE_COUNT,1)</definedName>
    <definedName name="DBEA_ExTopic">OFFSET(DBE_START,DBE_START_ROWID_DATA-1,DBE_COLID_ExTopic-1,DBE_COUNT,1)</definedName>
    <definedName name="DBEA_ExType">OFFSET(DBE_START,DBE_START_ROWID_DATA-1,DBE_COLID_ExType-1,DBE_COUNT,1)</definedName>
    <definedName name="DBEI_ExCorrection">OFFSET(DBEA_ExCorrection,DBEI_ROWID-1,0,1,1)</definedName>
    <definedName name="DBEI_ExDesc">OFFSET(DBEA_ExDesc,DBEI_ROWID-1,0,1,1)</definedName>
    <definedName name="DBEI_ExHCPTargets">OFFSET(DBEA_ExHCPTargets,DBEI_ROWID-1,0,1,DBE_HCP_Counts)</definedName>
    <definedName name="DBEI_ExID">2019</definedName>
    <definedName name="DBEI_ExImage">OFFSET(DBEA_ExImage,DBEI_ROWID-1,0,1,1)</definedName>
    <definedName name="DBEI_ExLevel">OFFSET(DBEA_ExLevel,DBEI_ROWID-1,0,1,1)</definedName>
    <definedName name="DBEI_ExMaterial">OFFSET(DBEA_ExMaterial,DBEI_ROWID-1,0,1,1)</definedName>
    <definedName name="DBEI_ExNrOfPlayers">OFFSET(DBEA_ExNrOfPlayers,DBEI_ROWID-1,0,1,1)</definedName>
    <definedName name="DBEI_ExPlannedDuration">OFFSET(DBEA_ExPlannedDuration,DBEI_ROWID-1,0,1,1)</definedName>
    <definedName name="DBEI_ExReleased">OFFSET(DBEA_ExReleased,DBEI_ROWID-1,0,1,1)</definedName>
    <definedName name="DBEI_ExTarget">OFFSET(DBEA_ExTarget,DBEI_ROWID-1,0,1,1)</definedName>
    <definedName name="DBEI_ExTitle">OFFSET(DBEA_ExTitle,DBEI_ROWID-1,0,1,1)</definedName>
    <definedName name="DBEI_ExTopic">OFFSET(DBEA_ExTopic,DBEI_ROWID-1,0,1,1)</definedName>
    <definedName name="DBEI_ExType">OFFSET(DBEA_ExType,DBEI_ROWID-1,0,1,1)</definedName>
    <definedName name="DBEI_ROWID">MATCH(DBEI_ExID,DBEA_ExID,0)</definedName>
    <definedName name="DBP___________1">"'----------------------------------------------------------------------------------------------------------"</definedName>
    <definedName name="DBP___________2">" DBR is the storage of all players information"</definedName>
    <definedName name="DBP___________3">""</definedName>
    <definedName name="DBP___________4">"   DBP … define environmental parameters"</definedName>
    <definedName name="DBP___________5">"   DBRA … All ranges for all informations"</definedName>
    <definedName name="DBP___________6">"   DBI … define access to a single line in an ALL range"</definedName>
    <definedName name="DBP___________7">""</definedName>
    <definedName name="DBP___________8">""</definedName>
    <definedName name="DBP___________9">"'----------------------------------------------------------------------------------------------------------"</definedName>
    <definedName name="DBP_Columns">_SQL_PM!$A$5</definedName>
    <definedName name="DBP_Count" comment="Number of elements in the database">_SQL_PM!$A$5</definedName>
    <definedName name="DBP_ID" comment="Current ID for accessing a single player information">_SQL_PM!$A$5</definedName>
    <definedName name="DBP_Start" comment="Address $A$1 on the proper worksheet">_DB_Player!$A$1</definedName>
    <definedName name="DBP_START_ROWID_DATA" comment="Row where data is started to be stored.">ROW(DBP_Titles_Start)+1</definedName>
    <definedName name="DBP_Titles">_DB_Player!$A$6+_DB_Player!$A$6</definedName>
    <definedName name="DBP_Titles_Start">_DB_Results!$A$6</definedName>
    <definedName name="DBPA_PlayerHCP">_DB_Player!$E$7:$E$18</definedName>
    <definedName name="DBPA_PlayerID">_DB_Player!$B$7:$B$18</definedName>
    <definedName name="DBPA_PlayerName">_DB_Player!$C$7:$C$18</definedName>
    <definedName name="DBPA_PlayerTeam">_DB_Player!$D$7:$D$18</definedName>
    <definedName name="DBPA_PlayerUID">_DB_Player!$A$7:$A$18</definedName>
    <definedName name="DBR___________1">"'----------------------------------------------------------------------------------------------------------"</definedName>
    <definedName name="DBR___________2">" DBR is the storage of all result files for all players and their workouts results"</definedName>
    <definedName name="DBR___________3">""</definedName>
    <definedName name="DBR___________4">"   DBR … define environmental parameters"</definedName>
    <definedName name="DBR___________5">"   DBRA … allows to ADD a new record after the last position in the DB"</definedName>
    <definedName name="DBR___________6">"   DBRS … allows to SAVE records to a available record … e.g. used to UPDATE a record"</definedName>
    <definedName name="DBR___________9">"'----------------------------------------------------------------------------------------------------------"</definedName>
    <definedName name="DBR_COLID_ExIDs_Planned_Start">MATCH(MUI_DBR_P_ExIDs_Planned &amp;"1",DBR_Titles,0)</definedName>
    <definedName name="DBR_COLID_ExIDs_RealDuration_Start">MATCH(MUI_DBR_P_ExIDs_RealDuration&amp;"1",DBR_Titles,0)</definedName>
    <definedName name="DBR_COLID_ExIDs_Result_Start">MATCH(MUI_DBR_P_ExIDs_Result&amp;"1",DBR_Titles,0)</definedName>
    <definedName name="DBR_COLID_ExIDs_ResultHCP_Start">MATCH(MUI_DBR_P_ExIDs_ResultHCP&amp;"1",DBR_Titles,0)</definedName>
    <definedName name="DBR_COLID_ExIDs_Topic_Start">MATCH(MUI_DBR_P_ExIDs_Topic &amp;"1",DBR_Titles,0)</definedName>
    <definedName name="DBR_COLID_HashKey">MATCH(MUI_DBR_T_HashKey,DBR_Titles,0)</definedName>
    <definedName name="DBR_COLID_LIC_UserUID">MATCH(MUI_DBR_T_LIC_UserUID,DBR_Titles,0)</definedName>
    <definedName name="DBR_COLID_PlayerHCP">MATCH(MUI_DBR_T_PlayerHCP,DBR_Titles,0)</definedName>
    <definedName name="DBR_COLID_PlayerID">MATCH(MUI_DBR_T_PlayerID,DBR_Titles,0)</definedName>
    <definedName name="DBR_COLID_PlayerName">MATCH(MUI_DBR_T_PlayerName,DBR_Titles,0)</definedName>
    <definedName name="DBR_COLID_PlayerResultHCP">MATCH(MUI_DBR_T_PlayerResultHCP,DBR_Titles,0)</definedName>
    <definedName name="DBR_COLID_PlayerRoundedHCP">MATCH(MUI_DBR_T_PlayerRoundedHCP,DBR_Titles,0)</definedName>
    <definedName name="DBR_COLID_PlayerTeam">MATCH(MUI_DBR_T_PlayerTeam,DBR_Titles,0)</definedName>
    <definedName name="DBR_COLID_TopicCount_Start">DBR_COLID_TopicHCP_Start + DBR_MAX_EX</definedName>
    <definedName name="DBR_COLID_TopicHCP_Start">DBR_COLID_TopicTotalRealDuration_Start + DBR_MAX_EX</definedName>
    <definedName name="DBR_COLID_TopicTotalRealDuration_Start">DBR_COLID_ExIDs_RealDuration_Start+DBR_MAX_EX</definedName>
    <definedName name="DBR_COLID_TotalPlannedDuration">MATCH(MUI_DBR_T_TotalPlannedDuration,DBR_Titles,0)</definedName>
    <definedName name="DBR_COLID_TotalRealDuration">MATCH(MUI_DBR_T_TotalRealDuration,DBR_Titles,0)</definedName>
    <definedName name="DBR_COLID_UpdateStamp">MATCH(MUI_DBR_T_UpdateStamp,DBR_Titles,0)</definedName>
    <definedName name="DBR_COLID_WorkplanDate">MATCH(MUI_DBR_T_WorkplanDate,DBR_Titles,0)</definedName>
    <definedName name="DBR_COLID_WorkplanID">MATCH(MUI_DBR_T_WorkplanID,DBR_Titles,0)</definedName>
    <definedName name="DBR_COLID_WorkplanUID">MATCH(MUI_DBR_T_WorkplanUID,DBR_Titles,0)</definedName>
    <definedName name="DBR_COLID_WPTotalDuration">MATCH(MUI_DBR_T_TotalDuration,DBR_Titles,0)</definedName>
    <definedName name="DBR_Columns">COUNTA(_DB_Results!$6:$6)</definedName>
    <definedName name="DBR_COUNT" comment="DB Results Definition .. this needs to be aleast 1, so even the DBR is empty the value is 1.">IF(COUNTA(_DB_Results!$A$7:$A$19073)&gt;0,COUNTA(_DB_Results!$A$7:$A$19073),1)</definedName>
    <definedName name="DBR_COUNT_REAL">IF(COUNTA(_DB_Results!$A$7:$A$19073)&gt;0,COUNTA(_DB_Results!$A$7:$A$19073),0)</definedName>
    <definedName name="DBR_DB_Range">OFFSET(DBR_START,DBR_START_ROWID_DATA-2,0,DBR_COUNT+1,DBR_Columns+1)</definedName>
    <definedName name="DBR_ID" comment="DB Results Definition">0</definedName>
    <definedName name="DBR_MAX_EX">20</definedName>
    <definedName name="DBR_PlayerID">OFFSET(DBRA_PlayerID,DBRI_ID-1,0,1,1)</definedName>
    <definedName name="DBR_START">_DB_Results!$A$1</definedName>
    <definedName name="DBR_START_ROWID_DATA">ROW(DBR_Titles_Start)+1</definedName>
    <definedName name="DBR_Titles">OFFSET(DBR_Titles_Start,0,0,1,DBR_Columns)</definedName>
    <definedName name="DBR_Titles_Start">_DB_Results!$A$6</definedName>
    <definedName name="DBRA_ExIDs_Planned">OFFSET(DBR_START,DBR_START_ROWID_DATA-1,DBR_COLID_ExIDs_Planned_Start-1,DBR_COUNT,DBR_MAX_EX)</definedName>
    <definedName name="DBRA_ExIDs_Planned_Start">OFFSET(DBR_START,DBR_START_ROWID_DATA-1,DBR_COLID_ExIDs_Planned_Start-1,DBR_COUNT,1)</definedName>
    <definedName name="DBRA_ExIDs_RealDuration">OFFSET(DBR_START,DBR_START_ROWID_DATA-1,DBR_COLID_ExIDs_RealDuration_Start-1,DBR_COUNT,DBR_MAX_EX)</definedName>
    <definedName name="DBRA_ExIDs_RealDuration_Start">OFFSET(DBR_START,DBR_START_ROWID_DATA-1,DBR_COLID_ExIDs_RealDuration_Start-1,DBR_COUNT,1)</definedName>
    <definedName name="DBRA_ExIDs_Result">OFFSET(DBR_START,DBR_START_ROWID_DATA-1,DBR_COLID_ExIDs_Result_Start-1,DBR_COUNT,DBR_MAX_EX)</definedName>
    <definedName name="DBRA_ExIDs_Result_Start">OFFSET(DBR_START,DBR_START_ROWID_DATA-1,DBR_COLID_ExIDs_Result_Start-1,DBR_COUNT,1)</definedName>
    <definedName name="DBRA_ExIDs_ResultHCP_Start">OFFSET(DBR_START,DBR_START_ROWID_DATA-1,DBR_COLID_ExIDs_ResultHCP_Start-1,DBR_COUNT,1)</definedName>
    <definedName name="DBRA_ExIDs_Topic">OFFSET(DBR_START,DBR_START_ROWID_DATA-1,DBR_COLID_ExIDs_Topic_Start-1,DBR_COUNT,DBR_MAX_EX)</definedName>
    <definedName name="DBRA_ExIDs_Topic_Start">OFFSET(DBR_START,DBR_START_ROWID_DATA-1,DBR_COLID_ExIDs_Topic_Start-1,DBR_COUNT,1)</definedName>
    <definedName name="DBRA_HashKey">OFFSET(DBR_START,DBR_START_ROWID_DATA-1,DBR_COLID_HashKey-1,DBR_COUNT,1)</definedName>
    <definedName name="DBRA_LIC_UserUID">OFFSET(DBR_START,DBR_START_ROWID_DATA-1,DBR_COLID_LIC_UserUID-1,DBR_COUNT,1)</definedName>
    <definedName name="DBRA_PlayerHCP">OFFSET(DBR_START,DBR_START_ROWID_DATA-1,DBR_COLID_PlayerHCP-1,DBR_COUNT,1)</definedName>
    <definedName name="DBRA_PlayerID">OFFSET(DBR_START,DBR_START_ROWID_DATA-1,DBR_COLID_PlayerID-1,DBR_COUNT,1)</definedName>
    <definedName name="DBRA_PlayerName">OFFSET(DBR_START,DBR_START_ROWID_DATA-1,DBR_COLID_PlayerName-1,DBR_COUNT,1)</definedName>
    <definedName name="DBRA_PlayerResultHCP">OFFSET(DBR_START,DBR_START_ROWID_DATA-1,DBR_COLID_PlayerResultHCP-1,DBR_COUNT,1)</definedName>
    <definedName name="DBRA_PlayerRoundedHCP">OFFSET(DBR_START,DBR_START_ROWID_DATA-1,DBR_COLID_PlayerRoundedHCP-1,DBR_COUNT,1)</definedName>
    <definedName name="DBRA_PlayerTeam">OFFSET(DBR_START,DBR_START_ROWID_DATA-1,DBR_COLID_PlayerTeam-1,DBR_COUNT,1)</definedName>
    <definedName name="DBRA_TopicCount">OFFSET(DBR_START,DBR_START_ROWID_DATA-1,DBR_COLID_TopicCount_Start-1,DBR_COUNT,DBR_MAX_EX)</definedName>
    <definedName name="DBRA_TopicCount_Start">OFFSET(DBR_START,DBR_START_ROWID_DATA-1,DBR_COLID_TopicCount_Start-1,DBR_COUNT,1)</definedName>
    <definedName name="DBRA_TopicCount_Titel">OFFSET(DBR_START,0,DBR_COLID_TopicCount_Start-1,1,DBR_MAX_EX)</definedName>
    <definedName name="DBRA_TopicHCP">OFFSET(DBR_START,DBR_START_ROWID_DATA-1,DBR_COLID_TopicHCP_Start-1,DBR_COUNT,DBR_MAX_EX)</definedName>
    <definedName name="DBRA_TopicHCP_Start">OFFSET(DBR_START,DBR_START_ROWID_DATA-1,DBR_COLID_TopicHCP_Start-1,DBR_COUNT,1)</definedName>
    <definedName name="DBRA_TopicHCP_Titel">OFFSET(DBR_START,0,DBR_COLID_TopicHCP_Start-1,1,DBR_MAX_EX)</definedName>
    <definedName name="DBRA_TopicTotalRealDuration">OFFSET(DBR_START,DBR_START_ROWID_DATA-1,DBR_COLID_TopicTotalRealDuration_Start-1,DBR_COUNT,DBR_MAX_EX)</definedName>
    <definedName name="DBRA_TopicTotalRealDuration_Start">OFFSET(DBR_START,DBR_START_ROWID_DATA-1,DBR_COLID_TopicTotalRealDuration_Start-1,DBR_COUNT,1)</definedName>
    <definedName name="DBRA_TopicTotalRealDuration_Titel">OFFSET(DBR_START,0,DBR_COLID_TopicTotalRealDuration_Start-1,1,DBR_MAX_EX)</definedName>
    <definedName name="DBRA_TotalPlannedDuration">OFFSET(DBR_START,DBR_START_ROWID_DATA-1,DBR_COLID_TotalPlannedDuration-1,DBR_COUNT,1)</definedName>
    <definedName name="DBRA_TotalRealDuration">OFFSET(DBR_START,DBR_START_ROWID_DATA-1,DBR_COLID_TotalRealDuration-1,DBR_COUNT,1)</definedName>
    <definedName name="DBRA_UpdateStamp">OFFSET(DBR_START,DBR_START_ROWID_DATA-1,DBR_COLID_UpdateStamp-1,DBR_COUNT,1)</definedName>
    <definedName name="DBRA_WorkplanDate">OFFSET(DBR_START,DBR_START_ROWID_DATA-1,DBR_COLID_WorkplanDate-1,DBR_COUNT,1)</definedName>
    <definedName name="DBRA_WorkplanID">OFFSET(DBR_START,DBR_START_ROWID_DATA-1,DBR_COLID_WorkplanID-1,DBR_COUNT,1)</definedName>
    <definedName name="DBRA_WorkplanUID">OFFSET(DBR_START,DBR_START_ROWID_DATA-1,DBR_COLID_WorkplanUID-1,DBR_COUNT,1)</definedName>
    <definedName name="DBRA_WPTotalDuration">OFFSET(DBR_START,DBR_START_ROWID_DATA-1,DBR_COLID_WPTotalDuration-1,DBR_COUNT,1)</definedName>
    <definedName name="DBRI_ExDate">OFFSET(DBRA_WorkplanDate,DBRI_ID-1,0,1,1)</definedName>
    <definedName name="DBRI_ExIDs_Planned">OFFSET(DBRI_ExIDs_Planned_Start,0,0,1,DBR_MAX_EX)</definedName>
    <definedName name="DBRI_ExIDs_Planned_Anzahl">COUNTA(DBRI_ExIDs_Planned)</definedName>
    <definedName name="DBRI_ExIDs_Planned_Start">OFFSET(DBRA_ExIDs_Planned_Start,DBRI_ID-1,0,1,1)</definedName>
    <definedName name="DBRI_ExIDS_RealDuration">OFFSET(DBRI_ExIDs_RealDuration_Start,0,0,1,DBR_MAX_EX)</definedName>
    <definedName name="DBRI_ExIDs_RealDuration_Start">OFFSET(DBRA_ExIDs_RealDuration_Start,DBRI_ID-1,0,1,1)</definedName>
    <definedName name="DBRI_ExIDs_Result">OFFSET(DBRI_ExIDs_Result_Start,0,0,1,DBR_MAX_EX)</definedName>
    <definedName name="DBRI_ExIDs_Result_Start">OFFSET(DBRA_ExIDs_Result_Start,DBRI_ID-1,0,1,1)</definedName>
    <definedName name="DBRI_ExIDs_ResultHCP">OFFSET(DBRI_ExIDs_ResultHCP_Start,0,0,1,DBR_MAX_EX)</definedName>
    <definedName name="DBRI_ExIDs_ResultHCP_Start">OFFSET(DBRA_ExIDs_ResultHCP_Start,DBRI_ID-1,0,1,1)</definedName>
    <definedName name="DBRI_ExIDs_Topic">OFFSET(DBRI_ExIDs_Topic_Start,0,0,1,DBR_MAX_EX)</definedName>
    <definedName name="DBRI_ExIDs_Topic_Start">OFFSET(DBRA_ExIDs_Topic_Start,DBRI_ID-1,0,1,1)</definedName>
    <definedName name="DBRI_HashKey">OFFSET(DBRA_HashKey,DBRI_ID-1,0,1,1)</definedName>
    <definedName name="DBRI_ID">12</definedName>
    <definedName name="DBRI_LIC_UserUID">OFFSET(DBRA_LIC_UserUID,DBRI_ID-1,0,1,1)</definedName>
    <definedName name="DBRI_PlayerHCP">OFFSET(DBRA_PlayerHCP,DBRI_ID-1,0,1,1)</definedName>
    <definedName name="DBRI_PlayerID">OFFSET(DBRA_PlayerID,DBRI_ID-1,0,1,1)</definedName>
    <definedName name="DBRI_PlayerName">OFFSET(DBRA_PlayerName,DBRI_ID-1,0,1,1)</definedName>
    <definedName name="DBRI_PlayerResultHCP">OFFSET(DBRA_PlayerResultHCP,DBRI_ID-1,0,1,1)</definedName>
    <definedName name="DBRI_PlayerRoundedHCP">OFFSET(DBRA_PlayerRoundedHCP,DBRI_ID-1,0,1,1)</definedName>
    <definedName name="DBRI_PlayerTeam">OFFSET(DBRA_PlayerTeam,DBRI_ID-1,0,1,1)</definedName>
    <definedName name="DBRI_TopicCount">OFFSET(DBRI_TopicCount_Start,0,0,1,DBR_MAX_EX)</definedName>
    <definedName name="DBRI_TopicCount_Start">OFFSET(DBRA_TopicCount_Start,DBRI_ID-1,0,1,1)</definedName>
    <definedName name="DBRI_TopicHCP">OFFSET(DBRI_TopicHCP_Start,0,0,1,DBR_MAX_EX)</definedName>
    <definedName name="DBRI_TopicHCP_Start">OFFSET(DBRA_TopicHCP_Start,DBRI_ID-1,0,1,1)</definedName>
    <definedName name="DBRI_TopicTotalRealDuration">OFFSET(DBRI_TopicTotalRealDuration_Start,0,0,1,DBR_MAX_EX)</definedName>
    <definedName name="DBRI_TopicTotalRealDuration_Start">OFFSET(DBRA_TopicTotalRealDuration_Start,DBRI_ID-1,0,1,1)</definedName>
    <definedName name="DBRI_TotalPlannedDuration">OFFSET(DBRA_TotalPlannedDuration,DBRI_ID-1,0,1,1)</definedName>
    <definedName name="DBRI_TotalRealDuration">OFFSET(DBRA_TotalRealDuration,DBRI_ID-1,0,1,1)</definedName>
    <definedName name="DBRI_UpdateStamp">OFFSET(DBRA_UpdateStamp,DBRI_ID-1,0,1,1)</definedName>
    <definedName name="DBRI_WorkplanDate">OFFSET(DBRA_WorkplanDate,DBRI_ID-1,0,1,1)</definedName>
    <definedName name="DBRI_WorkplanID">OFFSET(DBRA_WorkplanID,DBRI_ID-1,0,1,1)</definedName>
    <definedName name="DBRI_WorkplanUID">OFFSET(DBRA_WorkplanUID,DBRI_ID-1,0,1,1)</definedName>
    <definedName name="DBRI_WPTotalDuration">OFFSET(DBRA_WPTotalDuration,DBRI_ID-1,0,1,1)</definedName>
    <definedName name="DBRM_ID">_DB_Results!$B$5</definedName>
    <definedName name="DEBUG_ROWID">_DEBLOG!$A$3</definedName>
    <definedName name="DEBUG_START">_DEBLOG!$A$4</definedName>
    <definedName name="DELME_RANGE">_Lang!$H$17:$H$21</definedName>
    <definedName name="DELME_RESHCP">_DB_Exercises!$X$17:$BM$17</definedName>
    <definedName name="DELME_SAVEFOR">_SQL_Droplist!$L$5:$M$5</definedName>
    <definedName name="DL____________1">"'----------------------------------------------------------------------------------------------------------"</definedName>
    <definedName name="DL____________2">"' Used for all Droplists in the form based on available data across all filters. Data is Stored in Tab Card SQL_DROPLIST"</definedName>
    <definedName name="DL____________3">"'----------------------------------------------------------------------------------------------------------"</definedName>
    <definedName name="DL___TAG_ALL">"&lt;ALL&gt;"</definedName>
    <definedName name="DL_ExDuration">OFFSET(DL_ExDuration_Start,0,0,DL_ExLevel_Count,1)</definedName>
    <definedName name="DL_ExDuration_ALL">OFFSET(DL_ExDuration_Start,-1,0,DL_ExLevel_Count+1,1)</definedName>
    <definedName name="DL_ExDuration_Count">COUNTA(DL_ExDuration_MaxRange)</definedName>
    <definedName name="DL_ExDuration_MaxRange">OFFSET(DL_ExDuration_Start,0,0,1000,1)</definedName>
    <definedName name="DL_ExDuration_Start">_SQL_Droplist!$E$5</definedName>
    <definedName name="DL_ExerciseType">_Config!$B$56:$B$65</definedName>
    <definedName name="DL_ExLevel">OFFSET(DL_ExLevel_Start,0,0,DL_ExLevel_Count,1)</definedName>
    <definedName name="DL_ExLevel_ALL">OFFSET(DL_ExLevel_Start,-1,0,DL_ExLevel_Count+1,1)</definedName>
    <definedName name="DL_ExLevel_Count">COUNTA(DL_ExLevel_MaxRange)</definedName>
    <definedName name="DL_ExLevel_MaxRange">OFFSET(DL_ExLevel_Start,0,0,1000,1)</definedName>
    <definedName name="DL_ExLevel_Start">_SQL_Droplist!$F$5</definedName>
    <definedName name="DL_ExNrOfPlayers">OFFSET(DL_ExNrOfPlayers_Start,0,0,DL_ExNrOfPlayers_Count,1)</definedName>
    <definedName name="DL_ExNrOfPlayers_ALL">OFFSET(DL_ExNrOfPlayers_Start,-1,0,DL_ExNrOfPlayers_Count+1,1)</definedName>
    <definedName name="DL_ExNrOfPlayers_Count">COUNTA(DL_ExNrOfPlayers_MaxRange)</definedName>
    <definedName name="DL_ExNrOfPlayers_MaxRange">OFFSET(DL_ExNrOfPlayers_Start,0,0,1000,1)</definedName>
    <definedName name="DL_ExNrOfPlayers_Start">_SQL_Droplist!$D$5</definedName>
    <definedName name="DL_ExTitle">OFFSET(DL_ExTitle_Start,0,0,DL_ExTitle_Count,1)</definedName>
    <definedName name="DL_ExTitle_ALL">OFFSET(DL_ExTitle_Start,-1,0,DL_ExTitle_Count+1,1)</definedName>
    <definedName name="DL_ExTitle_Count">COUNTA(DL_ExTitle_MaxRange)</definedName>
    <definedName name="DL_ExTitle_MaxRange">OFFSET(DL_ExTitle_Start,0,0,10000,1)</definedName>
    <definedName name="DL_ExTitle_Start">_SQL_Droplist!$A$5</definedName>
    <definedName name="DL_ExTopic">OFFSET(DL_ExTopic_Start,0,0,DL_ExTopic_Count,1)</definedName>
    <definedName name="DL_ExTopic_ALL">OFFSET(DL_ExTopic_Start,-1,0,DL_ExTopic_Count+1,1)</definedName>
    <definedName name="DL_ExTopic_Count">COUNTA(DL_ExTopic_MaxRange)</definedName>
    <definedName name="DL_ExTopic_MaxRange">OFFSET(DL_ExTopic_Start,0,0,1000,1)</definedName>
    <definedName name="DL_ExTopic_Start">_SQL_Droplist!$B$5</definedName>
    <definedName name="DL_ExType">OFFSET(DL_ExType_Start,0,0,DL_ExType_Count,1)</definedName>
    <definedName name="DL_ExType_ALL">OFFSET(DL_ExType_Start,-1,0,DL_ExType_Count+1,1)</definedName>
    <definedName name="DL_ExType_Count">COUNTA(DL_ExType_MaxRange)</definedName>
    <definedName name="DL_ExType_MaxRange">OFFSET(DL_ExType_Start,0,0,1000,1)</definedName>
    <definedName name="DL_ExType_Start">_SQL_Droplist!$C$5</definedName>
    <definedName name="DL_MAX">1000</definedName>
    <definedName name="DL_PlayerID">OFFSET(DL_PlayerID_Start,0,0,DL_PlayerID_Count,1)</definedName>
    <definedName name="DL_PlayerID_ALL">OFFSET(DL_PlayerID_Start,0-1,0,DL_PlayerID_Count+1,1)</definedName>
    <definedName name="DL_PlayerID_Count">COUNTA(DL_PlayerID_MaxRange)</definedName>
    <definedName name="DL_PlayerID_MaxRange">OFFSET(DL_PlayerID_Start,0,0,1000,1)</definedName>
    <definedName name="DL_PlayerID_Start">_SQL_Droplist!$I$5</definedName>
    <definedName name="DL_PlayerName">OFFSET(DL_PlayerName_Start,0,0,DL_PlayerName_Count,1)</definedName>
    <definedName name="DL_PlayerName_ALL">OFFSET(DL_PlayerName_Start,0-1,0,DL_PlayerName_Count+1,1)</definedName>
    <definedName name="DL_PlayerName_Count">COUNTA(DL_PlayerName_MaxRange)</definedName>
    <definedName name="DL_PlayerName_MaxRange">OFFSET(DL_PlayerName_Start,0,0,1000,1)</definedName>
    <definedName name="DL_PlayerName_Start">_SQL_Droplist!$H$5</definedName>
    <definedName name="DL_PlayerTeam">OFFSET(DL_PlayerTeam_Start,0,0,DL_PlayerTeam_Count,1)</definedName>
    <definedName name="DL_PlayerTeam_ALL">OFFSET(DL_PlayerTeam_Start,-1,0,DL_PlayerTeam_Count+1,1)</definedName>
    <definedName name="DL_PlayerTeam_Count">COUNTA(DL_PlayerTeam_MaxRange)</definedName>
    <definedName name="DL_PlayerTeam_MaxRange">OFFSET(DL_PlayerTeam_Start,0,0,1000,1)</definedName>
    <definedName name="DL_PlayerTeam_Start">_SQL_Droplist!$G$5</definedName>
    <definedName name="DL_SELMY_MonthYear">OFFSET(DL_SELMY_MonthYear_Start,0,0,DL_SELMY_MonthYear_Count,1)</definedName>
    <definedName name="DL_SELMY_MonthYear_Count">COUNTA(DL_SELMY_MonthYear_MaxRange)</definedName>
    <definedName name="DL_SELMY_MonthYear_Formatted">OFFSET(DL_SELMY_MonthYear_Start,0,1,DL_SELMY_MonthYear_Count,1)</definedName>
    <definedName name="DL_SELMY_MonthYear_MaxRange">OFFSET(DL_SELMY_MonthYear_Start,0,0,1000,1)</definedName>
    <definedName name="DL_SELMY_MonthYear_Start">_SQL_Droplist!$Q$5</definedName>
    <definedName name="DL_SELPlayer_PlayerID">OFFSET(DL_SELPlayer_PlayerID_Start,0,0,DL_SELPlayer_PlayerID_Count,1)</definedName>
    <definedName name="DL_SELPlayer_PlayerID_ALL">OFFSET(DL_SELPlayer_PlayerID_Start,-1,0,DL_SELPlayer_PlayerID_Count+1,1)</definedName>
    <definedName name="DL_SELPlayer_PlayerID_Count">COUNTA(DL_SELPlayer_PlayerID_MaxRange)</definedName>
    <definedName name="DL_SELPlayer_PlayerID_MaxRange">OFFSET(DL_SELPlayer_PlayerID_Start,0,0,1000,1)</definedName>
    <definedName name="DL_SELPlayer_PlayerID_Start">_SQL_Droplist!#REF!</definedName>
    <definedName name="DL_SELPlayer_PlayerName">OFFSET(DL_SELPlayer_PlayerName_Start,0,0,DL_SELPlayer_PlayerName_Count,1)</definedName>
    <definedName name="DL_SELPlayer_PlayerName_ALL">OFFSET(DL_SELPlayer_PlayerName_Start,-1,0,DL_SELPlayer_PlayerName_Count+1,1)</definedName>
    <definedName name="DL_SELPlayer_PlayerName_Count">COUNTA(DL_SELPlayer_PlayerName_MaxRange)</definedName>
    <definedName name="DL_SELPlayer_PlayerName_MaxRange">OFFSET(DL_SELPlayer_PlayerName_Start,0,0,1000,1)</definedName>
    <definedName name="DL_SELPlayer_PlayerName_Start">_SQL_Droplist!#REF!</definedName>
    <definedName name="DL_SELPlayer_PlayerNameAndID">OFFSET(DL_SELPlayer_PlayerNameAndID_Start,0,0,DL_SELPlayer_PlayerNameAndID_Count,2)</definedName>
    <definedName name="DL_SELPlayer_PlayerNameAndID_Count">COUNTA(DL_SELPlayer_PlayerNameAndID_MaxRange)</definedName>
    <definedName name="DL_SELPlayer_PlayerNameAndID_MaxRange">OFFSET(DL_SELPlayer_PlayerNameAndID_Start,0,0,1000,1)</definedName>
    <definedName name="DL_SELPlayer_PlayerNameAndID_Start">_SQL_Droplist!$L$5</definedName>
    <definedName name="DL_SELPlayer_WPM_PlayerNameAndID">OFFSET(DL_SELPlayer_WPM_PlayerNameAndID_MaxRange,0,0,DL_SELPlayer_WPM_PlayerNameAndID_Count,2)</definedName>
    <definedName name="DL_SELPlayer_WPM_PlayerNameAndID_Count">COUNTA(DL_SELPlayer_WPM_PlayerNameAndID_MaxRange)</definedName>
    <definedName name="DL_SELPlayer_WPM_PlayerNameAndID_MaxRange">OFFSET(DL_SELPlayer_WPM_PlayerNameAndID_Start,0,0,1000,1)</definedName>
    <definedName name="DL_SELPlayer_WPM_PlayerNameAndID_Start">_SQL_Droplist!$V$5</definedName>
    <definedName name="DL_SELPlayer_WPM_PlayerNameAndIDAndTemplate">OFFSET(DL_SELPlayer_WPM_PlayerNameAndID_MaxRange,-1,0,DL_SELPlayer_WPM_PlayerNameAndID_Count+1,2)</definedName>
    <definedName name="DL_WorkplanDate">OFFSET(DL_WorkplanDate_Start,0,0,DL_WorkplanDate_Count,1)</definedName>
    <definedName name="DL_WorkplanDate_ALL">OFFSET(DL_WorkplanDate_Start,-1,0,DL_WorkplanDate_Count+1,1)</definedName>
    <definedName name="DL_WorkplanDate_Count">COUNTA(DL_WorkplanDate_MaxRange)</definedName>
    <definedName name="DL_WorkplanDate_MaxRange">OFFSET(DL_WorkplanDate_Start,0,0,1000,1)</definedName>
    <definedName name="DL_WorkplanDate_Start">_SQL_Droplist!$J$5</definedName>
    <definedName name="DL_WorkplanID">OFFSET(DL_WorkplanID_Start,0,0,DL_WorkplanID_Count,1)</definedName>
    <definedName name="DL_WorkplanID_ALL">OFFSET(DL_WorkplanID_Start,-1,0,DL_WorkplanID_Count+1,1)</definedName>
    <definedName name="DL_WorkplanID_Count">COUNTA(DL_WorkplanID_MaxRange)</definedName>
    <definedName name="DL_WorkplanID_MaxRange">OFFSET(DL_WorkplanID_Start,0,0,1000,1)</definedName>
    <definedName name="DL_WorkplanID_Start">_SQL_Droplist!$K$5</definedName>
    <definedName name="DLA_PlayerName">OFFSET(DL_PlayerName_Start,0,0,DL_PlayerName_Count,1)</definedName>
    <definedName name="DLA_PlayerTeam">OFFSET(DL_PlayerTeam_Start,0,0,DL_PlayerTeam_Count,1)</definedName>
    <definedName name="_xlnm.Print_Area" localSheetId="6">'_Status Print'!$A$1:$BO$61</definedName>
    <definedName name="_xlnm.Print_Area" localSheetId="1">Workplan!$A$1:$BI$102</definedName>
    <definedName name="_xlnm.Print_Titles" localSheetId="6">'_Status Print'!$A:$BP,'_Status Print'!$1:$5</definedName>
    <definedName name="_xlnm.Print_Titles" localSheetId="1">Workplan!$A:$BK,Workplan!$1:$6</definedName>
    <definedName name="EX____________1">"'----------------------------------------------------------------------------------------------------------"</definedName>
    <definedName name="EX____________2">"'"</definedName>
    <definedName name="EX____________3">"'"</definedName>
    <definedName name="EX____________4">"'"</definedName>
    <definedName name="EX____________5">"'"</definedName>
    <definedName name="EX____________9">"'----------------------------------------------------------------------------------------------------------"</definedName>
    <definedName name="EX_COLID_Action">MATCH(MUI_EX_T_ACTION,EX_TITLES,0)</definedName>
    <definedName name="EX_COLID_Correction">MATCH(MUI_DBE_T_EX_Correction,EX_TITLES,0)</definedName>
    <definedName name="EX_COLID_Duration">MATCH(MUI_DBE_T_EX_Duration,EX_TITLES,0)</definedName>
    <definedName name="EX_COLID_ExDesc">MATCH(MUI_DBE_T_EX_Desc,EX_TITLES,0)</definedName>
    <definedName name="EX_COLID_ExID">MATCH(MUI_DBE_T_EX_ID,EX_TITLES,0)</definedName>
    <definedName name="EX_COLID_ExImage">MATCH(MUI_DBE_T_EX_Image,EX_TITLES,0)</definedName>
    <definedName name="EX_COLID_ExType">MATCH(MUI_DBE_T_EX_Type,EX_TITLES,0)</definedName>
    <definedName name="EX_COLID_Material">MATCH(MUI_DBE_T_EX_Material,EX_TITLES,0)</definedName>
    <definedName name="EX_COLID_NrOfPlayers">MATCH(MUI_DBE_T_EX_NrOfPlayers,EX_TITLES,0)</definedName>
    <definedName name="EX_COLID_Result">MATCH(MUI_EX_T_RESULT,EX_TITLES,0)</definedName>
    <definedName name="EX_COLID_ResultHCP">MATCH(MUI_EX_T_ResultHCP,EX_TITLES,0)</definedName>
    <definedName name="EX_COLID_Target">MATCH(MUI_DBE_T_EX_Target,EX_TITLES,0)</definedName>
    <definedName name="EX_COLID_Title">MATCH(MUI_DBE_T_EX_Title,EX_TITLES,0)</definedName>
    <definedName name="EX_Count">COUNTA(EX_ExID_MaxRange)</definedName>
    <definedName name="EX_ExID_MaxRange">OFFSET(EX_START,EX_START_ROWID_DATA-1,EX_COLID_ExID-1,1000,1)</definedName>
    <definedName name="EX_START">_DB_Exercises!$A$1</definedName>
    <definedName name="EX_START_ROWID_DATA">6</definedName>
    <definedName name="EX_TITLES">OFFSET(EX_TITLES_START,0,0,1,EX_TITLES_LENGTH)</definedName>
    <definedName name="EX_TITLES_LENGTH">COUNTA(OFFSET(EX_START,EX_START_ROWID_DATA-2,0,1,1000))</definedName>
    <definedName name="EX_TITLES_START">OFFSET(EX_START,EX_START_ROWID_DATA-2,0,1,1)</definedName>
    <definedName name="EXA_Correction">OFFSET(EX_START,EX_START_ROWID_DATA-1,EX_COLID_Correction-1,EX_Count,1)</definedName>
    <definedName name="EXA_Duration">OFFSET(EX_START,EX_START_ROWID_DATA-1,EX_COLID_Duration-1,EX_Count,1)</definedName>
    <definedName name="EXA_ExDesc">OFFSET(EX_START,EX_START_ROWID_DATA-1,EX_COLID_ExDesc-1,EX_Count,1)</definedName>
    <definedName name="EXA_ExID">OFFSET(EX_START,EX_START_ROWID_DATA-1,EX_COLID_ExID-1,EX_Count,1)</definedName>
    <definedName name="EXA_ExImage">OFFSET(EX_START,EX_START_ROWID_DATA-1,EX_COLID_ExImage-1,EX_Count,1)</definedName>
    <definedName name="EXA_ExType">OFFSET(EX_START,EX_START_ROWID_DATA-1,EX_COLID_ExType-1,EX_Count,1)</definedName>
    <definedName name="EXA_Material">OFFSET(EX_START,EX_START_ROWID_DATA-1,EX_COLID_Material-1,EX_Count,1)</definedName>
    <definedName name="EXA_NrOfPlayers">OFFSET(EX_START,EX_START_ROWID_DATA-1,EX_COLID_NrOfPlayers-1,EX_Count,1)</definedName>
    <definedName name="EXA_Result">OFFSET(EX_START,EX_START_ROWID_DATA-1,EX_COLID_Result-1,EX_Count,1)</definedName>
    <definedName name="EXA_ResultHCP">OFFSET(EX_START,EX_START_ROWID_DATA-1,EX_COLID_ResultHCP-1,EX_Count,1)</definedName>
    <definedName name="EXA_Target">OFFSET(EX_START,EX_START_ROWID_DATA-1,EX_COLID_Target-1,EX_Count,1)</definedName>
    <definedName name="EXA_Title">OFFSET(EX_START,EX_START_ROWID_DATA-1,EX_COLID_Title-1,EX_Count,1)</definedName>
    <definedName name="EXN_Correction">OFFSET(EX_START,EXN_ID-1,EX_COLID_Correction-1)</definedName>
    <definedName name="EXN_Duration">OFFSET(EX_START,EXN_ID-1,EX_COLID_Duration-1)</definedName>
    <definedName name="EXN_ExDesc">OFFSET(EX_START,EXN_ID-1,EX_COLID_ExDesc-1)</definedName>
    <definedName name="EXN_ExID">OFFSET(EX_START,EXN_ID-1,EX_COLID_ExID-1)</definedName>
    <definedName name="EXN_ExImage">OFFSET(EX_START,EXN_ID-1,EX_COLID_ExImage-1)</definedName>
    <definedName name="EXN_ExType">OFFSET(EX_START,EXN_ID-1,EX_COLID_ExType-1)</definedName>
    <definedName name="EXN_ID">IF(EX_Count &gt;0, EX_START_ROWID_DATA+EX_Count,EX_START_ROWID_DATA)</definedName>
    <definedName name="EXN_Material">OFFSET(EX_START,EXN_ID-1,EX_COLID_Material-1)</definedName>
    <definedName name="EXN_NrOfPlayers">OFFSET(EX_START,EXN_ID-1,EX_COLID_NrOfPlayers-1)</definedName>
    <definedName name="EXN_Result">OFFSET(EX_START,EXN_ID-1,EX_COLID_Result-1)</definedName>
    <definedName name="EXN_ResultHCP">OFFSET(EX_START,EXN_ID-1,EX_COLID_ResultHCP-1)</definedName>
    <definedName name="EXN_Target">OFFSET(EX_START,EXN_ID-1,EX_COLID_Target-1)</definedName>
    <definedName name="EXN_Title">OFFSET(EX_START,EXN_ID-1,EX_COLID_Title-1)</definedName>
    <definedName name="EXS_Duration">OFFSET(EXA_Duration,EXS_ID-1,0,1,1)</definedName>
    <definedName name="EXS_ExType">OFFSET(EX_START,EXS_ID-1,EX_COLID_ExType-1)</definedName>
    <definedName name="EXS_ID">#REF!</definedName>
    <definedName name="GWM_MAIN_USEDRANGE">Main!$A$1:$N$30</definedName>
    <definedName name="IMG">INDIRECT(#REF!)</definedName>
    <definedName name="IMP___________1">"'----------------------------------------------------------------------------------------------------------"</definedName>
    <definedName name="IMP___________2">"IMP stands for all relevant information to import the information."</definedName>
    <definedName name="IMP___________3">Main!$F$5</definedName>
    <definedName name="IMP___________4">Main!$F$5</definedName>
    <definedName name="IMP___________5">Main!$F$5</definedName>
    <definedName name="IMP___________9">"'----------------------------------------------------------------------------------------------------------"</definedName>
    <definedName name="IMP_MAX_LINES">1000</definedName>
    <definedName name="IMP_TMP_PlayerNameUnique">OFFSET(IMP_TMP_PlayerNameUnique_Start,0,0,IMP_TMP_PlayerNameUnique_Count,1)</definedName>
    <definedName name="IMP_TMP_PlayerNameUnique_Count">COUNTA(IMP_TMP_PlayerNameUnique_MaxRange)</definedName>
    <definedName name="IMP_TMP_PlayerNameUnique_MaxRange">OFFSET(IMP_TMP_PlayerNameUnique_Start,0,1000,1)</definedName>
    <definedName name="IMP_TMP_PlayerNameUnique_Start">_IMPORT_TMP!$B$4</definedName>
    <definedName name="IMP_TMP_PlayerNameUnique_Title">_IMPORT_TMP!$B$3</definedName>
    <definedName name="LANG_RANGE">_Config!$A$56:$A$57</definedName>
    <definedName name="LIC___________1">"'----------------------------------------------------------------------------------------------------------"</definedName>
    <definedName name="LIC___________2">""</definedName>
    <definedName name="LIC___________3">""</definedName>
    <definedName name="LIC___________4">""</definedName>
    <definedName name="LIC___________5">""</definedName>
    <definedName name="LIC___________9">"'----------------------------------------------------------------------------------------------------------"</definedName>
    <definedName name="LIC_ACTIVE_ROLE">'_License Manager'!$B$3</definedName>
    <definedName name="LIC_ACTIVE_ROLE_ID">'_License Manager'!$A$3</definedName>
    <definedName name="LIC_ADDITIONAL_DAYS">'_License Manager'!$B$10</definedName>
    <definedName name="LIC_BLOCKED_LICENSE">'_License Manager'!$B$31</definedName>
    <definedName name="LIC_BLOCKED_LICENSE_REASON">'_License Manager'!$B$32</definedName>
    <definedName name="LIC_CHANGEABLE_PLAYER_ID">'_License Manager'!$B$16</definedName>
    <definedName name="LIC_CHANGEABLE_PLAYER_NAME">'_License Manager'!$B$15</definedName>
    <definedName name="LIC_CHANGEABLE_TEAM_NAME">'_License Manager'!$B$14</definedName>
    <definedName name="LIC_EXPIRATION_DATE">'_License Manager'!$B$12</definedName>
    <definedName name="LIC_EXPORT_FUNCTION_AVAILABLE">'_License Manager'!$B$33</definedName>
    <definedName name="LIC_LatestUsedDate">'_License Manager'!$B$30</definedName>
    <definedName name="LIC_LIMIT_IMPORT_PLAYERS">'_License Manager'!$B$8</definedName>
    <definedName name="LIC_MAX_EXERCISES_IN_WORKPLAN">'_License Manager'!$B$9</definedName>
    <definedName name="LIC_MULTIPLE_PLAYER_MANAGEMENT">'_License Manager'!$B$18</definedName>
    <definedName name="LIC_PDFDateLatest">'_License Manager'!$B$25</definedName>
    <definedName name="LIC_PDFDateNext">'_License Manager'!$B$28</definedName>
    <definedName name="LIC_PDFTimeDelayTime">'_License Manager'!$B$27</definedName>
    <definedName name="LIC_PDFTimeLatest">'_License Manager'!$B$26</definedName>
    <definedName name="LIC_PDFTimeNext">'_License Manager'!$B$29</definedName>
    <definedName name="LIC_PrintDateLatest">'_License Manager'!$B$19</definedName>
    <definedName name="LIC_PrintDateNext">'_License Manager'!$B$22</definedName>
    <definedName name="LIC_PrintTimeDelayTime">'_License Manager'!$B$21</definedName>
    <definedName name="LIC_PrintTimeLatest">'_License Manager'!$B$20</definedName>
    <definedName name="LIC_PrintTimeNext">'_License Manager'!$B$23</definedName>
    <definedName name="LIC_PURCHASE_DATE">'_License Manager'!$B$11</definedName>
    <definedName name="LIC_ROLE_NAMES">'_License Manager'!$C$4:$F$4</definedName>
    <definedName name="LIC_SAVE_TO_PDF">'_License Manager'!$B$24</definedName>
    <definedName name="LIC_USER_NAME">'_License Manager'!$B$13</definedName>
    <definedName name="MaxLine">_Config!$B$7</definedName>
    <definedName name="MDtest">_DB_Results!$F$1</definedName>
    <definedName name="MUI_BUG_REPORT">_Lang!$B$7</definedName>
    <definedName name="MUI_CFG_T_ROWID">_Lang!$B$90</definedName>
    <definedName name="MUI_CONFIG_Description" comment="MUI Config Description">_Lang!$B$9</definedName>
    <definedName name="MUI_DB_Title">"Ergebnis Datenbank"</definedName>
    <definedName name="MUI_DBE_T_DrillID" comment="DB Exercise MUI Information">"Exercise ID"</definedName>
    <definedName name="MUI_DBE_T_EX_Calc2ndSelection">_Lang!$B$29</definedName>
    <definedName name="MUI_DBE_T_EX_Correction">_Lang!$B$24</definedName>
    <definedName name="MUI_DBE_T_EX_Desc">_Lang!$B$22</definedName>
    <definedName name="MUI_DBE_T_EX_Duration" comment="DB Exercise MUI Information">_Lang!$B$18</definedName>
    <definedName name="MUI_DBE_T_EX_ID" comment="DB Exercise MUI Information">_Lang!$B$13</definedName>
    <definedName name="MUI_DBE_T_EX_Image">_Lang!$B$23</definedName>
    <definedName name="MUI_DBE_T_EX_Level">_Lang!$B$17</definedName>
    <definedName name="MUI_DBE_T_EX_Material">_Lang!$B$26</definedName>
    <definedName name="MUI_DBE_T_EX_NrOfPlayers">_Lang!$B$19</definedName>
    <definedName name="MUI_DBE_T_EX_Released">_Lang!$B$27</definedName>
    <definedName name="MUI_DBE_T_EX_ResultHCP_Comp">_Lang!$B$25</definedName>
    <definedName name="MUI_DBE_T_EX_ShortMaterial">_Lang!$B$26</definedName>
    <definedName name="MUI_DBE_T_EX_Target">_Lang!$B$28</definedName>
    <definedName name="MUI_DBE_T_EX_Title" comment="DB Exercise MUI Information">_Lang!$B$21</definedName>
    <definedName name="MUI_DBE_T_EX_Topic">_Lang!$B$14</definedName>
    <definedName name="MUI_DBE_T_EX_Type" comment="DB Exercise MUI Information">_Lang!$B$15</definedName>
    <definedName name="MUI_DBE_T_EX_UID">_Lang!$B$20</definedName>
    <definedName name="MUI_DBE_T_EX_UsageFactor" comment="DB Exercise MUI Information">_Lang!$B$16</definedName>
    <definedName name="MUI_DBE_Title" comment="DB Exercise MUI Information">_Lang!$B$12</definedName>
    <definedName name="MUI_DBP_T_CoachEmail">_Lang!$B$65</definedName>
    <definedName name="MUI_DBP_T_DBPUID">_Lang!$B$64</definedName>
    <definedName name="MUI_DBP_T_PlayerClubID">_Lang!$B$72</definedName>
    <definedName name="MUI_DBP_T_PlayerCountryID">_Lang!$B$71</definedName>
    <definedName name="MUI_DBP_T_PlayerFirstName">_Lang!$B$68</definedName>
    <definedName name="MUI_DBP_T_PlayerHCP">_Lang!$B$76</definedName>
    <definedName name="MUI_DBP_T_PlayerID">_Lang!$B$70</definedName>
    <definedName name="MUI_DBP_T_PlayerLastName">_Lang!$B$69</definedName>
    <definedName name="MUI_DBP_T_PlayerMemberID">_Lang!$B$73</definedName>
    <definedName name="MUI_DBP_T_PlayerName">_Lang!$B$66</definedName>
    <definedName name="MUI_DBP_T_PlayerTeam">_Lang!$B$75</definedName>
    <definedName name="MUI_DBP_T_PlayerTitle">_Lang!$B$67</definedName>
    <definedName name="MUI_DBP_Title">_Lang!$B$63</definedName>
    <definedName name="MUI_DBR_P_ExIDs_Planned">_Lang!$B$47</definedName>
    <definedName name="MUI_DBR_P_ExIDs_RealDuration">_Lang!$B$48</definedName>
    <definedName name="MUI_DBR_P_ExIDs_Result">_Lang!$B$46</definedName>
    <definedName name="MUI_DBR_P_ExIDs_ResultHCP">_Lang!$B$45</definedName>
    <definedName name="MUI_DBR_P_ExIDs_Topic">_Lang!$B$50</definedName>
    <definedName name="MUI_DBR_P_TopicCount">_Lang!$B$51</definedName>
    <definedName name="MUI_DBR_P_TopicHCP">_Lang!$B$52</definedName>
    <definedName name="MUI_DBR_P_TopicTotalRealDuration">_Lang!$B$49</definedName>
    <definedName name="MUI_DBR_T_ExID">_Lang!$B$44</definedName>
    <definedName name="MUI_DBR_T_ExTopic">_Lang!$B$43</definedName>
    <definedName name="MUI_DBR_T_HashKey">_Lang!$B$31</definedName>
    <definedName name="MUI_DBR_T_LIC_UserUID">_Lang!$B$38</definedName>
    <definedName name="MUI_DBR_T_NOT_USED">_Lang!$B$61</definedName>
    <definedName name="MUI_DBR_T_Planned">_Lang!$B$39</definedName>
    <definedName name="MUI_DBR_T_PlayerHCP" comment="DB Results MUI Information">_Lang!$B$40</definedName>
    <definedName name="MUI_DBR_T_PlayerID" comment="DB Results MUI Information">_Lang!$B$35</definedName>
    <definedName name="MUI_DBR_T_PlayerName">_Lang!$B$37</definedName>
    <definedName name="MUI_DBR_T_PlayerResultHCP">_Lang!$B$41</definedName>
    <definedName name="MUI_DBR_T_PlayerRoundedHCP">_Lang!$B$42</definedName>
    <definedName name="MUI_DBR_T_PlayerTeam">_Lang!$B$34</definedName>
    <definedName name="MUI_DBR_T_RealDuration">_Lang!$B$53</definedName>
    <definedName name="MUI_DBR_T_SAVE_FOR_PlayerID">_Lang!$B$55</definedName>
    <definedName name="MUI_DBR_T_SAVE_FOR_PlayerName">_Lang!$B$54</definedName>
    <definedName name="MUI_DBR_T_TopicCount">_Lang!$B$56</definedName>
    <definedName name="MUI_DBR_T_TopicHCP">_Lang!$B$57</definedName>
    <definedName name="MUI_DBR_T_TotalDuration">_Lang!$B$58</definedName>
    <definedName name="MUI_DBR_T_TotalPlannedDuration">_Lang!$B$60</definedName>
    <definedName name="MUI_DBR_T_TotalRealDuration">_Lang!$B$59</definedName>
    <definedName name="MUI_DBR_T_UpdateStamp">_Lang!$B$32</definedName>
    <definedName name="MUI_DBR_T_WorkplanDate">_Lang!$B$33</definedName>
    <definedName name="MUI_DBR_T_WorkplanID">_Lang!$B$36</definedName>
    <definedName name="MUI_DBR_T_WorkplanUID" comment="DB Results MUI Information">_Lang!$B$30</definedName>
    <definedName name="MUI_DBR_Title" comment="DB Results MUI Information">_Lang!$B$11</definedName>
    <definedName name="MUI_Description" comment="MUI General Definition">_Lang!$B$8</definedName>
    <definedName name="MUI_EX_MAIN_HEADER">_Lang!$B$95</definedName>
    <definedName name="MUI_EX_T_ACTION">_Lang!$B$91</definedName>
    <definedName name="MUI_EX_T_RESULT">_Lang!$B$92</definedName>
    <definedName name="MUI_EX_T_ResultHCP">_Lang!$B$93</definedName>
    <definedName name="MUI_EX_T_TARGET">_Lang!$B$94</definedName>
    <definedName name="MUI_FIRST_ROW" comment="MUI General Definition">_Lang!$C$3</definedName>
    <definedName name="MUI_FM_WPG_BT_CreateWorkplan">_Lang!$B$81</definedName>
    <definedName name="MUI_LANG_ID" comment="MUI General Definition">_Lang!$A$3</definedName>
    <definedName name="MUI_LAST_ROW" comment="MUI General Definition">_Lang!$D$3</definedName>
    <definedName name="MUI_LIC_Description">_Lang!$B$153</definedName>
    <definedName name="MUI_LIC_ROLE_COACH">_Lang!$B$154</definedName>
    <definedName name="MUI_LIC_ROLE_DEMO">_Lang!$B$157</definedName>
    <definedName name="MUI_LIC_ROLE_DEVELOPMENT">_Lang!$B$155</definedName>
    <definedName name="MUI_LIC_ROLE_PLAYER">_Lang!$B$156</definedName>
    <definedName name="MUI_SEL_LANG" comment="MUI General Definition">_Config!$B$5</definedName>
    <definedName name="MUI_STAT_MAIN_HEADER">_Lang!$B$106</definedName>
    <definedName name="MUI_STAT_Selection">_Lang!$B$107</definedName>
    <definedName name="MUI_STAT_SelectionMonth">_Lang!$B$108</definedName>
    <definedName name="MUI_STAT_SelectionPlayer">_Lang!$B$107</definedName>
    <definedName name="MUI_STAT_SelectionYear">_Lang!$B$109</definedName>
    <definedName name="MUI_STAT_T_Day">_Lang!$B$110</definedName>
    <definedName name="MUI_STAT_T_HCPChanges">_Lang!$B$142</definedName>
    <definedName name="MUI_STAT_T_MainTitel_1">_Lang!$B$117</definedName>
    <definedName name="MUI_STAT_T_MainTitel_2">_Lang!$B$118</definedName>
    <definedName name="MUI_STAT_T_MainTitel_3">_Lang!$B$119</definedName>
    <definedName name="MUI_STAT_T_MainTitel_4">_Lang!$B$120</definedName>
    <definedName name="MUI_STAT_T_MainTitel_5">_Lang!$B$121</definedName>
    <definedName name="MUI_STAT_T_MainTitel_6">_Lang!$B$122</definedName>
    <definedName name="MUI_STAT_T_MainTitel_7">_Lang!$B$123</definedName>
    <definedName name="MUI_STAT_T_MainTitel_8">_Lang!$B$124</definedName>
    <definedName name="MUI_STAT_T_MainTitel_9">_Lang!$B$125</definedName>
    <definedName name="MUI_STAT_T_MonthOverview">_Lang!$B$139</definedName>
    <definedName name="MUI_STAT_T_PlayerHCP_Day">_Lang!$B$112</definedName>
    <definedName name="MUI_STAT_T_Sub_Duration">_Lang!$B$115</definedName>
    <definedName name="MUI_STAT_T_Sub_HCP">_Lang!$B$114</definedName>
    <definedName name="MUI_STAT_T_Sub_PercTime">_Lang!$B$116</definedName>
    <definedName name="MUI_STAT_T_TotalDuration">_Lang!$B$141</definedName>
    <definedName name="MUI_STAT_T_TotalHCP">_Lang!$B$145</definedName>
    <definedName name="MUI_STAT_T_TotalPercDuration">_Lang!$B$144</definedName>
    <definedName name="MUI_STAT_T_TotalTime_Day">_Lang!$B$111</definedName>
    <definedName name="MUI_STAT_T_TotalWorkplans">_Lang!$B$140</definedName>
    <definedName name="MUI_STAT_T_YearOverview">_Lang!$B$143</definedName>
    <definedName name="MUI_T_LABEL" comment="MUI General Definition">"LABEL"</definedName>
    <definedName name="MUI_TEMPLATE">_Lang!$B$10</definedName>
    <definedName name="MUI_Title" comment="MUI General Definition">_Lang!$B$5</definedName>
    <definedName name="MUI_Title_Viewer">_Lang!$B$6</definedName>
    <definedName name="MUI_USE_MAIN_HEADER">_Lang!$B$148</definedName>
    <definedName name="MY_ID">6</definedName>
    <definedName name="RG_BG_ImageWhite">_Config!$B$39</definedName>
    <definedName name="SEL_IMG">INDIRECT("Grafik 2")</definedName>
    <definedName name="SEL_MONTH">Statistic!#REF!</definedName>
    <definedName name="SEL_MONTH_LASTDAY">Statistic!#REF!</definedName>
    <definedName name="SQL___________1">"'----------------------------------------------------------------------------------------------------------"</definedName>
    <definedName name="SQL___________2">" SQL is used as temporary database of the selected filters. It shows all elements of the exercise sheet to be listed in the listform"</definedName>
    <definedName name="SQL___________3">"'"</definedName>
    <definedName name="SQL___________4">"SQL_RG is the Exercise List as generated by the Exercise Selection Formular"</definedName>
    <definedName name="SQL___________5">"SQL_WL is the Workplan List as generated by the Workplan Selection Formular"</definedName>
    <definedName name="SQL___________6">"'"</definedName>
    <definedName name="SQL___________9">"'----------------------------------------------------------------------------------------------------------"</definedName>
    <definedName name="SQL_CID_Title">MATCH(MUI_DBE_T_EX_Title,SQL_HEADER,0)</definedName>
    <definedName name="SQL_HEADER">_SQL_Temp!$A$1:$L$1</definedName>
    <definedName name="SQL_RG">OFFSET(SQL_RG_START,0,0,SQL_RG_ROWS_Count,SQL_RG_COLUMNS_Count)</definedName>
    <definedName name="SQL_RG_COLUMNS_Count">8</definedName>
    <definedName name="SQL_RG_MaxRange">OFFSET(SQL_RG_START,0,0,60000,1)</definedName>
    <definedName name="SQL_RG_ROWS_Count">IF(COUNTA(SQL_RG_MaxRange)&lt;=0,1,COUNTA(SQL_RG_MaxRange))</definedName>
    <definedName name="SQL_RG_START">_SQL_Temp!$A$3</definedName>
    <definedName name="SQL_Title">OFFSET(SQL_RG_START,0,SQL_CID_Title-1,SQL_RG_ROWS_Count,1)</definedName>
    <definedName name="SQL_WL_CID_PlayerID">MATCH(MUI_DBR_T_PlayerID,SQL_WL_HEADER,0)</definedName>
    <definedName name="SQL_WL_CID_PlayerName">MATCH(MUI_DBR_T_PlayerName,SQL_WL_HEADER,0)</definedName>
    <definedName name="SQL_WL_CID_PlayerTeam">MATCH(MUI_DBR_T_PlayerTeam,SQL_WL_HEADER,0)</definedName>
    <definedName name="SQL_WL_CID_WorkplanDate">MATCH(MUI_DBR_T_WorkplanDate,SQL_WL_HEADER,0)</definedName>
    <definedName name="SQL_WL_CID_WorkplanID">MATCH(MUI_DBR_T_WorkplanID,SQL_WL_HEADER,0)</definedName>
    <definedName name="SQL_WL_CID_WorkplanUID">MATCH(MUI_DBR_T_WorkplanUID,SQL_WL_HEADER,0)</definedName>
    <definedName name="SQL_WL_COLUMNS">COUNTA(_SQL_WL_Temp!$2:$2)</definedName>
    <definedName name="SQL_WL_COLUMNS_Count">COUNTA(SQL_WL_HEADER)</definedName>
    <definedName name="SQL_WL_HEADER">_SQL_WL_Temp!$2:$2</definedName>
    <definedName name="SQL_WL_MaxRange">OFFSET(SQL_WL_START,0,SQL_WL_CID_PlayerName-1,60000,1)</definedName>
    <definedName name="SQL_WL_RG_ALL">OFFSET(SQL_WL_START,0,0,SQL_WL_ROWS_Count,SQL_WL_COLUMNS)</definedName>
    <definedName name="SQL_WL_RG_PlayerID">OFFSET(SQL_WL_START,0,SQL_WL_CID_PlayerID-1,SQL_WL_ROWS_Count,1)</definedName>
    <definedName name="SQL_WL_RG_PlayerName">OFFSET(SQL_WL_START,0,SQL_WL_CID_PlayerName-1,SQL_WL_ROWS_Count,1)</definedName>
    <definedName name="SQL_WL_RG_PlayerTeam">OFFSET(SQL_WL_START,0,SQL_WL_CID_PlayerTeam-1,SQL_WL_ROWS_Count,1)</definedName>
    <definedName name="SQL_WL_RG_WorkplanDate">OFFSET(SQL_WL_START,0,SQL_WL_CID_WorkplanDate-1,SQL_WL_ROWS_Count,1)</definedName>
    <definedName name="SQL_WL_RG_WorkplanID">OFFSET(SQL_WL_START,0,SQL_WL_CID_WorkplanID-1,SQL_WL_ROWS_Count,1)</definedName>
    <definedName name="SQL_WL_RG_WorkplanUID">OFFSET(SQL_WL_START,0,SQL_WL_CID_WorkplanUID-1,SQL_WL_ROWS_Count,1)</definedName>
    <definedName name="SQL_WL_ROWS_Count">COUNTA(SQL_WL_MaxRange)</definedName>
    <definedName name="SQL_WL_START">_SQL_WL_Temp!$A$4</definedName>
    <definedName name="SQL_WL_Unvisible">OFFSET(SQL_WL_START,0,0,SQL_WL_ROWS_Count,SQL_WL_COLUMNS_Count)</definedName>
    <definedName name="SQL_WL_Visible">OFFSET(SQL_WL_START,0,0,SQL_WL_ROWS_Count,SQL_WL_COLUMNS_Count-1)</definedName>
    <definedName name="SQL_WP">_SQL_Temp!$K$4:$K$6</definedName>
    <definedName name="ST____________1">"'----------------------------------------------------------------------------------------------------------"</definedName>
    <definedName name="ST____________2">"' ST is used as the result sheet"</definedName>
    <definedName name="ST____________3">"' "</definedName>
    <definedName name="ST____________4">"' "</definedName>
    <definedName name="ST____________5">"' "</definedName>
    <definedName name="ST____________6">"' "</definedName>
    <definedName name="ST____________7">"' "</definedName>
    <definedName name="ST____________9">"'----------------------------------------------------------------------------------------------------------"</definedName>
    <definedName name="ST_M_TotalNumberOfWorkplans">'_Data Status Month'!$AJ$3</definedName>
    <definedName name="ST_MONTH_ApproachShots_HCP_AVG">OFFSET(ST_MONTH_ApproachShots_HCP_AVG_START,0,0,1,ST_SEL_MONTH_NUMBER_OF_DAYS)</definedName>
    <definedName name="ST_MONTH_ApproachShots_HCP_AVG_START">'_Data Status Month'!$D$48</definedName>
    <definedName name="ST_Month_Bunker_HCP_AVG">OFFSET(ST_MONTH_Bunker_HCP_AVG_START,0,0,1,ST_SEL_MONTH_NUMBER_OF_DAYS)</definedName>
    <definedName name="ST_MONTH_Bunker_HCP_AVG_START">'_Data Status Month'!$D$78</definedName>
    <definedName name="ST_MONTH_Chipping_HCP_AVG">OFFSET(ST_MONTH_Chipping_HCP_AVG_START,0,0,1,ST_SEL_MONTH_NUMBER_OF_DAYS)</definedName>
    <definedName name="ST_MONTH_Chipping_HCP_AVG_START">'_Data Status Month'!$D$28</definedName>
    <definedName name="ST_MONTH_Driver_HCP_AVG">OFFSET(ST_MONTH_Driver_HCP_AVG_START,0,0,1,ST_SEL_MONTH_NUMBER_OF_DAYS)</definedName>
    <definedName name="ST_MONTH_Driver_HCP_AVG_START">'_Data Status Month'!$D$68</definedName>
    <definedName name="ST_MONTH_Mental_HCP_AVG">OFFSET(ST_MONTH_Mental_HCP_AVG_START,0,0,1,ST_SEL_MONTH_NUMBER_OF_DAYS)</definedName>
    <definedName name="ST_MONTH_Mental_HCP_AVG_START">'_Data Status Month'!$D$88</definedName>
    <definedName name="ST_MONTH_NR_OF_EXERCISE_DAYS">'_Data Status Month'!$AJ$7</definedName>
    <definedName name="ST_MONTH_Pitching_HCP_AVG">OFFSET(ST_MONTH_Pitching_HCP_AVG_START,0,0,1,ST_SEL_MONTH_NUMBER_OF_DAYS)</definedName>
    <definedName name="ST_MONTH_Pitching_HCP_AVG_START">'_Data Status Month'!$D$38</definedName>
    <definedName name="ST_MONTH_PLAYER_HCP">Statistic!$F$50:$AJ$50</definedName>
    <definedName name="ST_MONTH_PLAYER_TotalTime">'_Data Status Month'!$AN$14</definedName>
    <definedName name="ST_MONTH_PUTTING_Duration">Statistic!$F$52:$AJ$52</definedName>
    <definedName name="ST_MONTH_PUTTING_HCP">OFFSET(ST_MONTH_RoG_HCP_AVG_START,0,0,1,ST_SEL_MONTH_NUMBER_OF_DAYS)</definedName>
    <definedName name="ST_MONTH_Putting_HCP_AVG">OFFSET(ST_MONTH_Putting_HCP_AVG_START,0,0,1,ST_SEL_MONTH_NUMBER_OF_DAYS)</definedName>
    <definedName name="ST_MONTH_Putting_HCP_AVG_START">'_Data Status Month'!$D$18</definedName>
    <definedName name="ST_MONTH_PUTTING_PercTime">Statistic!$F$53:$AJ$53</definedName>
    <definedName name="ST_MONTH_RoG_HCP_AVG">OFFSET(ST_MONTH_RoG_HCP_AVG_START,0,0,1,ST_SEL_MONTH_NUMBER_OF_DAYS)</definedName>
    <definedName name="ST_MONTH_RoG_HCP_AVG_START">'_Data Status Month'!$G$98</definedName>
    <definedName name="ST_MONTH_SEL_MONTH_DAYS">OFFSET(ST_MONTH_SEL_MONTH_DAYS_START,0,0,1,ST_SEL_MONTH_NUMBER_OF_DAYS)</definedName>
    <definedName name="ST_MONTH_SEL_MONTH_DAYS_START">Statistic!$F$48</definedName>
    <definedName name="ST_MONTH_Woods_HCP_AVG">OFFSET(ST_MONTH_Woods_HCP_AVG_START,0,0,1,ST_SEL_MONTH_NUMBER_OF_DAYS)</definedName>
    <definedName name="ST_MONTH_Woods_HCP_AVG_START">'_Data Status Month'!$D$58</definedName>
    <definedName name="ST_PrintArea">'_Status Print'!$A$1:$BO$61</definedName>
    <definedName name="ST_PrintTitle">'_Status Print'!$A$1:$BP$5</definedName>
    <definedName name="ST_RG_OverviewMonth_STABW">Statistic!$AN$78,Statistic!$AN$74,Statistic!$AN$70</definedName>
    <definedName name="ST_SEL_MONTH_FIRST_DAY">'_Data Status Month'!$A$222</definedName>
    <definedName name="ST_SEL_MONTH_LAST_DAY">'_Data Status Month'!$A$223</definedName>
    <definedName name="ST_SEL_MONTH_NUMBER_OF_DAYS">'_Data Status Month'!$A$225</definedName>
    <definedName name="ST_SEL_MonthYear">Statistic!$O$5</definedName>
    <definedName name="ST_SEL_PlayerID">Statistic!$H$5</definedName>
    <definedName name="ST_SEL_PlayerName">Statistic!$A$5</definedName>
    <definedName name="ST_START_MENU">Statistic!$A$8</definedName>
    <definedName name="ST_UI_DATA">Statistic!$A$47:$AS$85</definedName>
    <definedName name="ST_UI_HCP_ApproachShots">Statistic!$A$124:$AJ$129</definedName>
    <definedName name="ST_UI_HCP_Bunker">Statistic!$A$145:$AJ$150</definedName>
    <definedName name="ST_UI_HCP_Chipping">Statistic!$A$110:$AJ$115</definedName>
    <definedName name="ST_UI_HCP_Driver">Statistic!$A$138:$AJ$143</definedName>
    <definedName name="ST_UI_HCP_Mental">Statistic!$A$152:$AJ$157</definedName>
    <definedName name="ST_UI_HCP_Overview">Statistic!$A$11:$AL$22</definedName>
    <definedName name="ST_UI_HCP_Pitching">Statistic!$A$117:$AJ$122</definedName>
    <definedName name="ST_UI_HCP_Putting">Statistic!$A$103:$AJ$108</definedName>
    <definedName name="ST_UI_HCP_RoG">Statistic!$A$159:$AJ$164</definedName>
    <definedName name="ST_UI_HCP_Woods">Statistic!$A$131:$AJ$136</definedName>
    <definedName name="ST_UI_RelativeEfforts">Statistic!$A$23:$AL$25</definedName>
    <definedName name="ST_Y_TotalNumberOfWorkplans">'_Data Status Month'!$AM$3</definedName>
    <definedName name="ST_YEAR_DATA_1">OFFSET(ST_YEAR_DATA_START,0,0,12,1)</definedName>
    <definedName name="ST_YEAR_DATA_2">OFFSET(ST_YEAR_DATA_START,0,1,12,1)</definedName>
    <definedName name="ST_YEAR_DATA_3">OFFSET(ST_YEAR_DATA_START,0,2,12,1)</definedName>
    <definedName name="ST_YEAR_DATA_4">OFFSET(ST_YEAR_DATA_START,0,3,12,1)</definedName>
    <definedName name="ST_YEAR_DATA_5">OFFSET(ST_YEAR_DATA_START,0,4,12,1)</definedName>
    <definedName name="ST_YEAR_DATA_6">OFFSET(ST_YEAR_DATA_START,0,5,12,1)</definedName>
    <definedName name="ST_YEAR_DATA_7">OFFSET(ST_YEAR_DATA_START,0,6,12,1)</definedName>
    <definedName name="ST_YEAR_DATA_8">OFFSET(ST_YEAR_DATA_START,0,7,12,1)</definedName>
    <definedName name="ST_YEAR_DATA_9">OFFSET(ST_YEAR_DATA_START,0,8,12,1)</definedName>
    <definedName name="ST_YEAR_DATA_START">'_Data Status Month'!$AA$611:$AA$622</definedName>
    <definedName name="ST_YEAR_TITLE_Chipping">'_Data Status Month'!$AA$610:$AI$610</definedName>
    <definedName name="ST_YEAR_TITLE_Putting">'_Data Status Month'!$AA$610</definedName>
    <definedName name="ST_YEAR_TITLES">'_Data Status Month'!$AA$610:$AI$610</definedName>
    <definedName name="Status_DELME">Statistic!$F$68</definedName>
    <definedName name="Status_DELME_AddWorkplan">Statistic!$R$48</definedName>
    <definedName name="Status_DELME_Workplan">Statistic!$F$48</definedName>
    <definedName name="STPREP_TITEL">'_Data Status Month'!$C$14:$C$98</definedName>
    <definedName name="Table_Header">_IMPORT_TMP!$B$3</definedName>
    <definedName name="TH_DELTA_HCP">_Config!$B$9</definedName>
    <definedName name="TH_STD_HCP">_Config!$B$10</definedName>
    <definedName name="TMP_Targets_RG">_TEMP!$A$6:$AP$6</definedName>
    <definedName name="Version">_Lang!$B$96</definedName>
    <definedName name="WP____________1">"'----------------------------------------------------------------------------------------------------------"</definedName>
    <definedName name="WP____________2">"' WP stands for Workout Plan and shows the current selected workout plan "</definedName>
    <definedName name="WP____________3">"' "</definedName>
    <definedName name="WP____________4">"'   WPI   Index to the Workplan Sheet. The ID start by 1 and will move all pointers to the current position of each Exercises in the workplan "</definedName>
    <definedName name="WP____________5">"' "</definedName>
    <definedName name="WP____________6">"' "</definedName>
    <definedName name="WP____________7">"' "</definedName>
    <definedName name="WP____________9">"'----------------------------------------------------------------------------------------------------------"</definedName>
    <definedName name="WP_Count">2</definedName>
    <definedName name="WP_ExDesc_Start">Workplan!$AC$7</definedName>
    <definedName name="WP_ExID_Start">Workplan!$B$16</definedName>
    <definedName name="WP_ExImage_Height">13</definedName>
    <definedName name="WP_ExImage_Start">Workplan!$K$10</definedName>
    <definedName name="WP_ExImage_Width">18</definedName>
    <definedName name="WP_ExLevel_Start">Workplan!$E$16</definedName>
    <definedName name="WP_ExNrOfPlayers_Start">Workplan!$E$20</definedName>
    <definedName name="WP_ExPlannedDuration_Start">Workplan!$B$20</definedName>
    <definedName name="WP_ExRealDuration_Start">Workplan!$BD$20</definedName>
    <definedName name="WP_ExResult_Start">Workplan!$BD$12</definedName>
    <definedName name="WP_ExResultHCP_Start">Workplan!$BD$16</definedName>
    <definedName name="WP_ExTarget_Start">Workplan!$BD$8</definedName>
    <definedName name="WP_ExTitle_Start">Workplan!$K$7</definedName>
    <definedName name="WP_ExTopic_Start">Workplan!$E$8</definedName>
    <definedName name="WP_ExType_Start">Workplan!$E$12</definedName>
    <definedName name="WP_IDOfExerciseOnWP_Start">Workplan!$B$7</definedName>
    <definedName name="WP_PlayerHCP">Workplan!$AF$5</definedName>
    <definedName name="WP_PlayerID">Workplan!$X$5</definedName>
    <definedName name="WP_PlayerName">Workplan!$M$5</definedName>
    <definedName name="WP_PlayerRoundedHCP">Workplan!$AI$5</definedName>
    <definedName name="WP_PlayerTeam">Workplan!$B$5</definedName>
    <definedName name="WP_PrintTitle">Workplan!$A$1:$BK$6</definedName>
    <definedName name="WP_ResultInputCells">Workplan!$BD$12,Workplan!$BD$28,Workplan!$BD$44,Workplan!$BD$60,Workplan!$BD$76,Workplan!$BD$92,Workplan!$BD$108,Workplan!$BD$124,Workplan!$BD$140,Workplan!$BD$156,Workplan!$BD$172,Workplan!$BD$188</definedName>
    <definedName name="WP_Topic_Start">Workplan!$E$8</definedName>
    <definedName name="WP_TotalPlannedDuration">Workplan!$AY$5</definedName>
    <definedName name="WP_TotalRealDuration">Workplan!$BE$5</definedName>
    <definedName name="WP_TotalRealDurationInputCells">Workplan!$BD$20,Workplan!$BD$36,Workplan!$BD$52,Workplan!$BD$68,Workplan!$BD$84,Workplan!$BD$100,Workplan!$BD$116,Workplan!$BD$132,Workplan!$BD$148,Workplan!$BD$164,Workplan!$BD$180,Workplan!$BD$196</definedName>
    <definedName name="WP_Type_Start">Workplan!$E$12</definedName>
    <definedName name="WP_WorkplanDate">Workplan!$AN$5</definedName>
    <definedName name="WP_WorkplanID">Workplan!$AU$5</definedName>
    <definedName name="WPI_ADD_ROWS">16</definedName>
    <definedName name="WPI_ExDesc">OFFSET(WP_ExDesc_Start,(WPI_ID-1)*WPI_ADD_ROWS,0,1,1)</definedName>
    <definedName name="WPI_ExID">OFFSET(WP_ExID_Start,(WPI_ID-1)*WPI_ADD_ROWS,0,1,1)</definedName>
    <definedName name="WPI_ExImage">OFFSET(WP_ExImage_Start,(WPI_ID-1)*WPI_ADD_ROWS,0,WP_ExImage_Height,WP_ExImage_Width)</definedName>
    <definedName name="WPI_ExLevel">OFFSET(WP_ExLevel_Start,(WPI_ID-1)*WPI_ADD_ROWS,0,1,1)</definedName>
    <definedName name="WPI_ExNrOfPlayers">OFFSET(WP_ExNrOfPlayers_Start,(WPI_ID-1)*WPI_ADD_ROWS,0,1,1)</definedName>
    <definedName name="WPI_ExPlannedDuration">OFFSET(WP_ExPlannedDuration_Start,(WPI_ID-1)*WPI_ADD_ROWS,0,1,1)</definedName>
    <definedName name="WPI_ExRealDuration">OFFSET(WP_ExRealDuration_Start,(WPI_ID-1)*WPI_ADD_ROWS,0,1,1)</definedName>
    <definedName name="WPI_ExResult">OFFSET(WP_ExResult_Start,(WPI_ID-1)*WPI_ADD_ROWS,0,1,1)</definedName>
    <definedName name="WPI_ExResultHCP">OFFSET(WP_ExResultHCP_Start,(WPI_ID-1)*WPI_ADD_ROWS,0,1,1)</definedName>
    <definedName name="WPI_ExTarget">OFFSET(WP_ExTarget_Start,(WPI_ID-1)*WPI_ADD_ROWS,0,1,1)</definedName>
    <definedName name="WPI_ExTitle">OFFSET(WP_ExTitle_Start,(WPI_ID-1)*WPI_ADD_ROWS,0,1,1)</definedName>
    <definedName name="WPI_ExTopic">OFFSET(WP_ExTopic_Start,(WPI_ID-1)*WPI_ADD_ROWS,0,1,1)</definedName>
    <definedName name="WPI_ExType">OFFSET(WP_ExType_Start,(WPI_ID-1)*WPI_ADD_ROWS,0,1,1)</definedName>
    <definedName name="WPI_ID">2</definedName>
    <definedName name="WPI_ID_MAX">12</definedName>
    <definedName name="WPI_IDOfExerciseOnWP">OFFSET(WP_IDOfExerciseOnWP_Start,(WPI_ID-1)*WPI_ADD_ROWS,0,1,1)</definedName>
    <definedName name="WPV_PrintArea_6">Workplan!$A$1:$BK$102</definedName>
    <definedName name="_xlnm.Extract" localSheetId="18">_IMPORT_TMP!$C$3</definedName>
  </definedNames>
  <calcPr calcId="152511" calcMode="manual" calcOnSave="0"/>
</workbook>
</file>

<file path=xl/calcChain.xml><?xml version="1.0" encoding="utf-8"?>
<calcChain xmlns="http://schemas.openxmlformats.org/spreadsheetml/2006/main">
  <c r="BD24" i="16" l="1"/>
  <c r="BD8" i="16"/>
  <c r="BD32" i="16"/>
  <c r="BD16" i="16"/>
  <c r="AI5" i="16" l="1"/>
  <c r="A20" i="10" l="1"/>
  <c r="Q20" i="4"/>
  <c r="Q16" i="4"/>
  <c r="Q11" i="4"/>
  <c r="Q10" i="4"/>
  <c r="Q8" i="4"/>
  <c r="S7" i="4"/>
  <c r="Q7" i="4"/>
  <c r="C283" i="7"/>
  <c r="C282" i="7"/>
  <c r="C281" i="7"/>
  <c r="C280" i="7"/>
  <c r="C279" i="7"/>
  <c r="C278" i="7"/>
  <c r="C276" i="7"/>
  <c r="C275" i="7"/>
  <c r="C274" i="7"/>
  <c r="C273" i="7"/>
  <c r="C272" i="7"/>
  <c r="C271" i="7"/>
  <c r="C270" i="7"/>
  <c r="C269" i="7"/>
  <c r="C268" i="7"/>
  <c r="C267" i="7"/>
  <c r="C266" i="7"/>
  <c r="C265" i="7"/>
  <c r="C263" i="7"/>
  <c r="C262" i="7"/>
  <c r="C250" i="7"/>
  <c r="C221" i="7"/>
  <c r="C220" i="7"/>
  <c r="C217" i="7"/>
  <c r="C216" i="7"/>
  <c r="C215" i="7"/>
  <c r="C214" i="7"/>
  <c r="C213" i="7"/>
  <c r="C212" i="7"/>
  <c r="C211" i="7"/>
  <c r="C210" i="7"/>
  <c r="C209" i="7"/>
  <c r="C208" i="7"/>
  <c r="C207" i="7"/>
  <c r="C206" i="7"/>
  <c r="C205" i="7"/>
  <c r="C204" i="7"/>
  <c r="C203" i="7"/>
  <c r="C202" i="7"/>
  <c r="C201" i="7"/>
  <c r="C200" i="7"/>
  <c r="C199" i="7"/>
  <c r="C198" i="7"/>
  <c r="C197" i="7"/>
  <c r="C196" i="7"/>
  <c r="C195" i="7"/>
  <c r="C194" i="7"/>
  <c r="C193" i="7"/>
  <c r="C192" i="7"/>
  <c r="C191" i="7"/>
  <c r="C190" i="7"/>
  <c r="C189" i="7"/>
  <c r="C188" i="7"/>
  <c r="C187" i="7"/>
  <c r="C186" i="7"/>
  <c r="C185" i="7"/>
  <c r="C184" i="7"/>
  <c r="C183" i="7"/>
  <c r="C182" i="7"/>
  <c r="C181" i="7"/>
  <c r="C180" i="7"/>
  <c r="C179" i="7"/>
  <c r="C178" i="7"/>
  <c r="C177" i="7"/>
  <c r="C172" i="7"/>
  <c r="C171" i="7"/>
  <c r="C147" i="7"/>
  <c r="C145" i="7"/>
  <c r="C144" i="7"/>
  <c r="C143" i="7"/>
  <c r="C142" i="7"/>
  <c r="C141" i="7"/>
  <c r="C140" i="7"/>
  <c r="C139" i="7"/>
  <c r="C138" i="7"/>
  <c r="C137" i="7"/>
  <c r="C136" i="7"/>
  <c r="C135" i="7"/>
  <c r="C134" i="7"/>
  <c r="C133" i="7"/>
  <c r="C132" i="7"/>
  <c r="C131" i="7"/>
  <c r="C130" i="7"/>
  <c r="C129" i="7"/>
  <c r="C128" i="7"/>
  <c r="C127" i="7"/>
  <c r="C126" i="7"/>
  <c r="C125" i="7"/>
  <c r="C124" i="7"/>
  <c r="C123" i="7"/>
  <c r="C122" i="7"/>
  <c r="C121" i="7"/>
  <c r="C120" i="7"/>
  <c r="C119" i="7"/>
  <c r="C118" i="7"/>
  <c r="C117" i="7"/>
  <c r="C116" i="7"/>
  <c r="C115" i="7"/>
  <c r="C114" i="7"/>
  <c r="C113" i="7"/>
  <c r="C112" i="7"/>
  <c r="C111" i="7"/>
  <c r="C110" i="7"/>
  <c r="C109" i="7"/>
  <c r="C108" i="7"/>
  <c r="C107" i="7"/>
  <c r="C99" i="7"/>
  <c r="C94" i="7"/>
  <c r="C90" i="7"/>
  <c r="C81" i="7"/>
  <c r="C76" i="7"/>
  <c r="C60" i="7"/>
  <c r="C56" i="7"/>
  <c r="C53" i="7"/>
  <c r="C49" i="7"/>
  <c r="C43" i="7"/>
  <c r="C34" i="7"/>
  <c r="C28" i="7"/>
  <c r="C27" i="7"/>
  <c r="AR323" i="8"/>
  <c r="AQ323" i="8"/>
  <c r="AP323" i="8"/>
  <c r="AO323" i="8"/>
  <c r="AN323" i="8"/>
  <c r="AM323" i="8"/>
  <c r="AL323" i="8"/>
  <c r="AK323" i="8"/>
  <c r="AJ323" i="8"/>
  <c r="AI323" i="8"/>
  <c r="AH323" i="8"/>
  <c r="AG323" i="8"/>
  <c r="AF323" i="8"/>
  <c r="AE323" i="8"/>
  <c r="AD323" i="8"/>
  <c r="AC323" i="8"/>
  <c r="AB323" i="8"/>
  <c r="AA323" i="8"/>
  <c r="Z323" i="8"/>
  <c r="Y323" i="8"/>
  <c r="X323" i="8"/>
  <c r="W323" i="8"/>
  <c r="V323" i="8"/>
  <c r="U323" i="8"/>
  <c r="T323" i="8"/>
  <c r="S323" i="8"/>
  <c r="R323" i="8"/>
  <c r="Q323" i="8"/>
  <c r="P323" i="8"/>
  <c r="O323" i="8"/>
  <c r="N323" i="8"/>
  <c r="M323" i="8"/>
  <c r="L323" i="8"/>
  <c r="K323" i="8"/>
  <c r="J323" i="8"/>
  <c r="I323" i="8"/>
  <c r="H323" i="8"/>
  <c r="G323" i="8"/>
  <c r="F323" i="8"/>
  <c r="E323" i="8"/>
  <c r="D323" i="8"/>
  <c r="C323" i="8"/>
  <c r="B323" i="8"/>
  <c r="A323" i="8"/>
  <c r="AR322" i="8"/>
  <c r="AQ322" i="8"/>
  <c r="AP322" i="8"/>
  <c r="AO322" i="8"/>
  <c r="AN322" i="8"/>
  <c r="AM322" i="8"/>
  <c r="AL322" i="8"/>
  <c r="AK322" i="8"/>
  <c r="AJ322" i="8"/>
  <c r="AI322" i="8"/>
  <c r="AH322" i="8"/>
  <c r="AG322" i="8"/>
  <c r="AF322" i="8"/>
  <c r="AE322" i="8"/>
  <c r="AD322" i="8"/>
  <c r="AC322" i="8"/>
  <c r="AB322" i="8"/>
  <c r="AA322" i="8"/>
  <c r="Z322" i="8"/>
  <c r="Y322" i="8"/>
  <c r="X322" i="8"/>
  <c r="W322" i="8"/>
  <c r="V322" i="8"/>
  <c r="U322" i="8"/>
  <c r="T322" i="8"/>
  <c r="S322" i="8"/>
  <c r="R322" i="8"/>
  <c r="Q322" i="8"/>
  <c r="P322" i="8"/>
  <c r="O322" i="8"/>
  <c r="N322" i="8"/>
  <c r="M322" i="8"/>
  <c r="L322" i="8"/>
  <c r="K322" i="8"/>
  <c r="J322" i="8"/>
  <c r="I322" i="8"/>
  <c r="H322" i="8"/>
  <c r="G322" i="8"/>
  <c r="F322" i="8"/>
  <c r="E322" i="8"/>
  <c r="D322" i="8"/>
  <c r="C322" i="8"/>
  <c r="B322" i="8"/>
  <c r="A322" i="8"/>
  <c r="AR321" i="8"/>
  <c r="AQ321" i="8"/>
  <c r="AP321" i="8"/>
  <c r="AO321" i="8"/>
  <c r="AN321" i="8"/>
  <c r="AM321" i="8"/>
  <c r="AL321" i="8"/>
  <c r="AK321" i="8"/>
  <c r="AJ321" i="8"/>
  <c r="AI321" i="8"/>
  <c r="AH321" i="8"/>
  <c r="AG321" i="8"/>
  <c r="AF321" i="8"/>
  <c r="AE321" i="8"/>
  <c r="AD321" i="8"/>
  <c r="AC321" i="8"/>
  <c r="AB321" i="8"/>
  <c r="AA321" i="8"/>
  <c r="Z321" i="8"/>
  <c r="Y321" i="8"/>
  <c r="X321" i="8"/>
  <c r="W321" i="8"/>
  <c r="V321" i="8"/>
  <c r="U321" i="8"/>
  <c r="T321" i="8"/>
  <c r="S321" i="8"/>
  <c r="R321" i="8"/>
  <c r="Q321" i="8"/>
  <c r="P321" i="8"/>
  <c r="O321" i="8"/>
  <c r="N321" i="8"/>
  <c r="M321" i="8"/>
  <c r="L321" i="8"/>
  <c r="K321" i="8"/>
  <c r="J321" i="8"/>
  <c r="I321" i="8"/>
  <c r="H321" i="8"/>
  <c r="G321" i="8"/>
  <c r="F321" i="8"/>
  <c r="E321" i="8"/>
  <c r="D321" i="8"/>
  <c r="C321" i="8"/>
  <c r="B321" i="8"/>
  <c r="A321" i="8"/>
  <c r="AR320" i="8"/>
  <c r="AQ320" i="8"/>
  <c r="AP320" i="8"/>
  <c r="AO320" i="8"/>
  <c r="AN320" i="8"/>
  <c r="AM320" i="8"/>
  <c r="AL320" i="8"/>
  <c r="AK320" i="8"/>
  <c r="AJ320" i="8"/>
  <c r="AI320" i="8"/>
  <c r="AH320" i="8"/>
  <c r="AG320" i="8"/>
  <c r="AF320" i="8"/>
  <c r="AE320" i="8"/>
  <c r="AD320" i="8"/>
  <c r="AC320" i="8"/>
  <c r="AB320" i="8"/>
  <c r="AA320" i="8"/>
  <c r="Z320" i="8"/>
  <c r="Y320" i="8"/>
  <c r="X320" i="8"/>
  <c r="W320" i="8"/>
  <c r="V320" i="8"/>
  <c r="U320" i="8"/>
  <c r="T320" i="8"/>
  <c r="S320" i="8"/>
  <c r="R320" i="8"/>
  <c r="Q320" i="8"/>
  <c r="P320" i="8"/>
  <c r="O320" i="8"/>
  <c r="N320" i="8"/>
  <c r="M320" i="8"/>
  <c r="L320" i="8"/>
  <c r="K320" i="8"/>
  <c r="J320" i="8"/>
  <c r="I320" i="8"/>
  <c r="H320" i="8"/>
  <c r="G320" i="8"/>
  <c r="F320" i="8"/>
  <c r="E320" i="8"/>
  <c r="D320" i="8"/>
  <c r="C320" i="8"/>
  <c r="B320" i="8"/>
  <c r="A320" i="8"/>
  <c r="AR319" i="8"/>
  <c r="AQ319" i="8"/>
  <c r="AP319" i="8"/>
  <c r="AO319" i="8"/>
  <c r="AN319" i="8"/>
  <c r="AM319" i="8"/>
  <c r="AL319" i="8"/>
  <c r="AK319" i="8"/>
  <c r="AJ319" i="8"/>
  <c r="AI319" i="8"/>
  <c r="AH319" i="8"/>
  <c r="AG319" i="8"/>
  <c r="AF319" i="8"/>
  <c r="AE319" i="8"/>
  <c r="AD319" i="8"/>
  <c r="AC319" i="8"/>
  <c r="AB319" i="8"/>
  <c r="AA319" i="8"/>
  <c r="Z319" i="8"/>
  <c r="Y319" i="8"/>
  <c r="X319" i="8"/>
  <c r="W319" i="8"/>
  <c r="V319" i="8"/>
  <c r="U319" i="8"/>
  <c r="T319" i="8"/>
  <c r="S319" i="8"/>
  <c r="R319" i="8"/>
  <c r="Q319" i="8"/>
  <c r="P319" i="8"/>
  <c r="O319" i="8"/>
  <c r="N319" i="8"/>
  <c r="M319" i="8"/>
  <c r="L319" i="8"/>
  <c r="K319" i="8"/>
  <c r="J319" i="8"/>
  <c r="I319" i="8"/>
  <c r="H319" i="8"/>
  <c r="G319" i="8"/>
  <c r="F319" i="8"/>
  <c r="E319" i="8"/>
  <c r="D319" i="8"/>
  <c r="C319" i="8"/>
  <c r="B319" i="8"/>
  <c r="A319" i="8"/>
  <c r="AR318" i="8"/>
  <c r="AQ318" i="8"/>
  <c r="AP318" i="8"/>
  <c r="AO318" i="8"/>
  <c r="AN318" i="8"/>
  <c r="AM318" i="8"/>
  <c r="AL318" i="8"/>
  <c r="AK318" i="8"/>
  <c r="AJ318" i="8"/>
  <c r="AI318" i="8"/>
  <c r="AH318" i="8"/>
  <c r="AG318" i="8"/>
  <c r="AF318" i="8"/>
  <c r="AE318" i="8"/>
  <c r="AD318" i="8"/>
  <c r="AC318" i="8"/>
  <c r="AB318" i="8"/>
  <c r="AA318" i="8"/>
  <c r="Z318" i="8"/>
  <c r="Y318" i="8"/>
  <c r="X318" i="8"/>
  <c r="W318" i="8"/>
  <c r="V318" i="8"/>
  <c r="U318" i="8"/>
  <c r="T318" i="8"/>
  <c r="S318" i="8"/>
  <c r="R318" i="8"/>
  <c r="Q318" i="8"/>
  <c r="P318" i="8"/>
  <c r="O318" i="8"/>
  <c r="N318" i="8"/>
  <c r="M318" i="8"/>
  <c r="L318" i="8"/>
  <c r="K318" i="8"/>
  <c r="J318" i="8"/>
  <c r="I318" i="8"/>
  <c r="H318" i="8"/>
  <c r="G318" i="8"/>
  <c r="F318" i="8"/>
  <c r="E318" i="8"/>
  <c r="D318" i="8"/>
  <c r="C318" i="8"/>
  <c r="B318" i="8"/>
  <c r="A318" i="8"/>
  <c r="AR317" i="8"/>
  <c r="AQ317" i="8"/>
  <c r="AP317" i="8"/>
  <c r="AO317" i="8"/>
  <c r="AN317" i="8"/>
  <c r="AM317" i="8"/>
  <c r="AL317" i="8"/>
  <c r="AK317" i="8"/>
  <c r="AJ317" i="8"/>
  <c r="AI317" i="8"/>
  <c r="AH317" i="8"/>
  <c r="AG317" i="8"/>
  <c r="AF317" i="8"/>
  <c r="AE317" i="8"/>
  <c r="AD317" i="8"/>
  <c r="AC317" i="8"/>
  <c r="AB317" i="8"/>
  <c r="AA317" i="8"/>
  <c r="Z317" i="8"/>
  <c r="Y317" i="8"/>
  <c r="X317" i="8"/>
  <c r="W317" i="8"/>
  <c r="V317" i="8"/>
  <c r="U317" i="8"/>
  <c r="T317" i="8"/>
  <c r="S317" i="8"/>
  <c r="R317" i="8"/>
  <c r="Q317" i="8"/>
  <c r="P317" i="8"/>
  <c r="O317" i="8"/>
  <c r="N317" i="8"/>
  <c r="M317" i="8"/>
  <c r="L317" i="8"/>
  <c r="K317" i="8"/>
  <c r="J317" i="8"/>
  <c r="I317" i="8"/>
  <c r="H317" i="8"/>
  <c r="G317" i="8"/>
  <c r="F317" i="8"/>
  <c r="E317" i="8"/>
  <c r="D317" i="8"/>
  <c r="C317" i="8"/>
  <c r="B317" i="8"/>
  <c r="A317" i="8"/>
  <c r="AR316" i="8"/>
  <c r="AQ316" i="8"/>
  <c r="AP316" i="8"/>
  <c r="AO316" i="8"/>
  <c r="AN316" i="8"/>
  <c r="AM316" i="8"/>
  <c r="AL316" i="8"/>
  <c r="AK316" i="8"/>
  <c r="AJ316" i="8"/>
  <c r="AI316" i="8"/>
  <c r="AH316" i="8"/>
  <c r="AG316" i="8"/>
  <c r="AF316" i="8"/>
  <c r="AE316" i="8"/>
  <c r="AD316" i="8"/>
  <c r="AC316" i="8"/>
  <c r="AB316" i="8"/>
  <c r="AA316" i="8"/>
  <c r="Z316" i="8"/>
  <c r="Y316" i="8"/>
  <c r="X316" i="8"/>
  <c r="W316" i="8"/>
  <c r="V316" i="8"/>
  <c r="U316" i="8"/>
  <c r="T316" i="8"/>
  <c r="S316" i="8"/>
  <c r="R316" i="8"/>
  <c r="Q316" i="8"/>
  <c r="P316" i="8"/>
  <c r="O316" i="8"/>
  <c r="N316" i="8"/>
  <c r="M316" i="8"/>
  <c r="L316" i="8"/>
  <c r="K316" i="8"/>
  <c r="J316" i="8"/>
  <c r="I316" i="8"/>
  <c r="H316" i="8"/>
  <c r="G316" i="8"/>
  <c r="F316" i="8"/>
  <c r="E316" i="8"/>
  <c r="D316" i="8"/>
  <c r="C316" i="8"/>
  <c r="B316" i="8"/>
  <c r="A316" i="8"/>
  <c r="AR315" i="8"/>
  <c r="AQ315" i="8"/>
  <c r="AP315" i="8"/>
  <c r="AO315" i="8"/>
  <c r="AN315" i="8"/>
  <c r="AM315" i="8"/>
  <c r="AL315" i="8"/>
  <c r="AK315" i="8"/>
  <c r="AJ315" i="8"/>
  <c r="AI315" i="8"/>
  <c r="AH315" i="8"/>
  <c r="AG315" i="8"/>
  <c r="AF315" i="8"/>
  <c r="AE315" i="8"/>
  <c r="AD315" i="8"/>
  <c r="AC315" i="8"/>
  <c r="AB315" i="8"/>
  <c r="AA315" i="8"/>
  <c r="Z315" i="8"/>
  <c r="Y315" i="8"/>
  <c r="X315" i="8"/>
  <c r="W315" i="8"/>
  <c r="V315" i="8"/>
  <c r="U315" i="8"/>
  <c r="T315" i="8"/>
  <c r="S315" i="8"/>
  <c r="R315" i="8"/>
  <c r="Q315" i="8"/>
  <c r="P315" i="8"/>
  <c r="O315" i="8"/>
  <c r="N315" i="8"/>
  <c r="M315" i="8"/>
  <c r="L315" i="8"/>
  <c r="K315" i="8"/>
  <c r="J315" i="8"/>
  <c r="I315" i="8"/>
  <c r="H315" i="8"/>
  <c r="G315" i="8"/>
  <c r="F315" i="8"/>
  <c r="E315" i="8"/>
  <c r="D315" i="8"/>
  <c r="C315" i="8"/>
  <c r="B315" i="8"/>
  <c r="A315" i="8"/>
  <c r="AR314" i="8"/>
  <c r="AQ314" i="8"/>
  <c r="AP314" i="8"/>
  <c r="AO314" i="8"/>
  <c r="AN314" i="8"/>
  <c r="AM314" i="8"/>
  <c r="AL314" i="8"/>
  <c r="AK314" i="8"/>
  <c r="AJ314" i="8"/>
  <c r="AI314" i="8"/>
  <c r="AH314" i="8"/>
  <c r="AG314" i="8"/>
  <c r="AF314" i="8"/>
  <c r="AE314" i="8"/>
  <c r="AD314" i="8"/>
  <c r="AC314" i="8"/>
  <c r="AB314" i="8"/>
  <c r="AA314" i="8"/>
  <c r="Z314" i="8"/>
  <c r="Y314" i="8"/>
  <c r="X314" i="8"/>
  <c r="W314" i="8"/>
  <c r="V314" i="8"/>
  <c r="U314" i="8"/>
  <c r="T314" i="8"/>
  <c r="S314" i="8"/>
  <c r="R314" i="8"/>
  <c r="Q314" i="8"/>
  <c r="P314" i="8"/>
  <c r="O314" i="8"/>
  <c r="N314" i="8"/>
  <c r="M314" i="8"/>
  <c r="L314" i="8"/>
  <c r="K314" i="8"/>
  <c r="J314" i="8"/>
  <c r="I314" i="8"/>
  <c r="H314" i="8"/>
  <c r="G314" i="8"/>
  <c r="F314" i="8"/>
  <c r="E314" i="8"/>
  <c r="D314" i="8"/>
  <c r="C314" i="8"/>
  <c r="B314" i="8"/>
  <c r="A314" i="8"/>
  <c r="AR313" i="8"/>
  <c r="AQ313" i="8"/>
  <c r="AP313" i="8"/>
  <c r="AO313" i="8"/>
  <c r="AN313" i="8"/>
  <c r="AM313" i="8"/>
  <c r="AL313" i="8"/>
  <c r="AK313" i="8"/>
  <c r="AJ313" i="8"/>
  <c r="AI313" i="8"/>
  <c r="AH313" i="8"/>
  <c r="AG313" i="8"/>
  <c r="AF313" i="8"/>
  <c r="AE313" i="8"/>
  <c r="AD313" i="8"/>
  <c r="AC313" i="8"/>
  <c r="AB313" i="8"/>
  <c r="AA313" i="8"/>
  <c r="Z313" i="8"/>
  <c r="Y313" i="8"/>
  <c r="X313" i="8"/>
  <c r="W313" i="8"/>
  <c r="V313" i="8"/>
  <c r="U313" i="8"/>
  <c r="T313" i="8"/>
  <c r="S313" i="8"/>
  <c r="R313" i="8"/>
  <c r="Q313" i="8"/>
  <c r="P313" i="8"/>
  <c r="O313" i="8"/>
  <c r="N313" i="8"/>
  <c r="M313" i="8"/>
  <c r="L313" i="8"/>
  <c r="K313" i="8"/>
  <c r="J313" i="8"/>
  <c r="I313" i="8"/>
  <c r="H313" i="8"/>
  <c r="G313" i="8"/>
  <c r="F313" i="8"/>
  <c r="E313" i="8"/>
  <c r="D313" i="8"/>
  <c r="C313" i="8"/>
  <c r="B313" i="8"/>
  <c r="A313" i="8"/>
  <c r="AR312" i="8"/>
  <c r="AQ312" i="8"/>
  <c r="AP312" i="8"/>
  <c r="AO312" i="8"/>
  <c r="AN312" i="8"/>
  <c r="AM312" i="8"/>
  <c r="AL312" i="8"/>
  <c r="AK312" i="8"/>
  <c r="AJ312" i="8"/>
  <c r="AI312" i="8"/>
  <c r="AH312" i="8"/>
  <c r="AG312" i="8"/>
  <c r="AF312" i="8"/>
  <c r="AE312" i="8"/>
  <c r="AD312" i="8"/>
  <c r="AC312" i="8"/>
  <c r="AB312" i="8"/>
  <c r="AA312" i="8"/>
  <c r="Z312" i="8"/>
  <c r="Y312" i="8"/>
  <c r="X312" i="8"/>
  <c r="W312" i="8"/>
  <c r="V312" i="8"/>
  <c r="U312" i="8"/>
  <c r="T312" i="8"/>
  <c r="S312" i="8"/>
  <c r="R312" i="8"/>
  <c r="Q312" i="8"/>
  <c r="P312" i="8"/>
  <c r="O312" i="8"/>
  <c r="N312" i="8"/>
  <c r="M312" i="8"/>
  <c r="L312" i="8"/>
  <c r="K312" i="8"/>
  <c r="J312" i="8"/>
  <c r="I312" i="8"/>
  <c r="H312" i="8"/>
  <c r="G312" i="8"/>
  <c r="F312" i="8"/>
  <c r="E312" i="8"/>
  <c r="D312" i="8"/>
  <c r="C312" i="8"/>
  <c r="B312" i="8"/>
  <c r="A312" i="8"/>
  <c r="AR311" i="8"/>
  <c r="AQ311" i="8"/>
  <c r="AP311" i="8"/>
  <c r="AO311" i="8"/>
  <c r="AN311" i="8"/>
  <c r="AM311" i="8"/>
  <c r="AL311" i="8"/>
  <c r="AK311" i="8"/>
  <c r="AJ311" i="8"/>
  <c r="AI311" i="8"/>
  <c r="AH311" i="8"/>
  <c r="AG311" i="8"/>
  <c r="AF311" i="8"/>
  <c r="AE311" i="8"/>
  <c r="AD311" i="8"/>
  <c r="AC311" i="8"/>
  <c r="AB311" i="8"/>
  <c r="AA311" i="8"/>
  <c r="Z311" i="8"/>
  <c r="Y311" i="8"/>
  <c r="X311" i="8"/>
  <c r="W311" i="8"/>
  <c r="V311" i="8"/>
  <c r="U311" i="8"/>
  <c r="T311" i="8"/>
  <c r="S311" i="8"/>
  <c r="R311" i="8"/>
  <c r="Q311" i="8"/>
  <c r="P311" i="8"/>
  <c r="O311" i="8"/>
  <c r="N311" i="8"/>
  <c r="M311" i="8"/>
  <c r="L311" i="8"/>
  <c r="K311" i="8"/>
  <c r="J311" i="8"/>
  <c r="I311" i="8"/>
  <c r="H311" i="8"/>
  <c r="G311" i="8"/>
  <c r="F311" i="8"/>
  <c r="E311" i="8"/>
  <c r="D311" i="8"/>
  <c r="C311" i="8"/>
  <c r="B311" i="8"/>
  <c r="A311" i="8"/>
  <c r="AR310" i="8"/>
  <c r="AQ310" i="8"/>
  <c r="AP310" i="8"/>
  <c r="AO310" i="8"/>
  <c r="AN310" i="8"/>
  <c r="AM310" i="8"/>
  <c r="AL310" i="8"/>
  <c r="AK310" i="8"/>
  <c r="AJ310" i="8"/>
  <c r="AI310" i="8"/>
  <c r="AH310" i="8"/>
  <c r="AG310" i="8"/>
  <c r="AF310" i="8"/>
  <c r="AE310" i="8"/>
  <c r="AD310" i="8"/>
  <c r="AC310" i="8"/>
  <c r="AB310" i="8"/>
  <c r="AA310" i="8"/>
  <c r="Z310" i="8"/>
  <c r="Y310" i="8"/>
  <c r="X310" i="8"/>
  <c r="W310" i="8"/>
  <c r="V310" i="8"/>
  <c r="U310" i="8"/>
  <c r="T310" i="8"/>
  <c r="S310" i="8"/>
  <c r="R310" i="8"/>
  <c r="Q310" i="8"/>
  <c r="P310" i="8"/>
  <c r="O310" i="8"/>
  <c r="N310" i="8"/>
  <c r="M310" i="8"/>
  <c r="L310" i="8"/>
  <c r="K310" i="8"/>
  <c r="J310" i="8"/>
  <c r="I310" i="8"/>
  <c r="H310" i="8"/>
  <c r="G310" i="8"/>
  <c r="F310" i="8"/>
  <c r="E310" i="8"/>
  <c r="D310" i="8"/>
  <c r="C310" i="8"/>
  <c r="B310" i="8"/>
  <c r="A310" i="8"/>
  <c r="AR309" i="8"/>
  <c r="AQ309" i="8"/>
  <c r="AP309" i="8"/>
  <c r="AO309" i="8"/>
  <c r="AN309" i="8"/>
  <c r="AM309" i="8"/>
  <c r="AL309" i="8"/>
  <c r="AK309" i="8"/>
  <c r="AJ309" i="8"/>
  <c r="AI309" i="8"/>
  <c r="AH309" i="8"/>
  <c r="AG309" i="8"/>
  <c r="AF309" i="8"/>
  <c r="AE309" i="8"/>
  <c r="AD309" i="8"/>
  <c r="AC309" i="8"/>
  <c r="AB309" i="8"/>
  <c r="AA309" i="8"/>
  <c r="Z309" i="8"/>
  <c r="Y309" i="8"/>
  <c r="X309" i="8"/>
  <c r="W309" i="8"/>
  <c r="V309" i="8"/>
  <c r="U309" i="8"/>
  <c r="T309" i="8"/>
  <c r="S309" i="8"/>
  <c r="R309" i="8"/>
  <c r="Q309" i="8"/>
  <c r="P309" i="8"/>
  <c r="O309" i="8"/>
  <c r="N309" i="8"/>
  <c r="M309" i="8"/>
  <c r="L309" i="8"/>
  <c r="K309" i="8"/>
  <c r="J309" i="8"/>
  <c r="I309" i="8"/>
  <c r="H309" i="8"/>
  <c r="G309" i="8"/>
  <c r="F309" i="8"/>
  <c r="E309" i="8"/>
  <c r="D309" i="8"/>
  <c r="C309" i="8"/>
  <c r="B309" i="8"/>
  <c r="A309" i="8"/>
  <c r="AR308" i="8"/>
  <c r="AQ308" i="8"/>
  <c r="AP308" i="8"/>
  <c r="AO308" i="8"/>
  <c r="AN308" i="8"/>
  <c r="AM308" i="8"/>
  <c r="AL308" i="8"/>
  <c r="AK308" i="8"/>
  <c r="AJ308" i="8"/>
  <c r="AI308" i="8"/>
  <c r="AH308" i="8"/>
  <c r="AG308" i="8"/>
  <c r="AF308" i="8"/>
  <c r="AE308" i="8"/>
  <c r="AD308" i="8"/>
  <c r="AC308" i="8"/>
  <c r="AB308" i="8"/>
  <c r="AA308" i="8"/>
  <c r="Z308" i="8"/>
  <c r="Y308" i="8"/>
  <c r="X308" i="8"/>
  <c r="W308" i="8"/>
  <c r="V308" i="8"/>
  <c r="U308" i="8"/>
  <c r="T308" i="8"/>
  <c r="S308" i="8"/>
  <c r="R308" i="8"/>
  <c r="Q308" i="8"/>
  <c r="P308" i="8"/>
  <c r="O308" i="8"/>
  <c r="N308" i="8"/>
  <c r="M308" i="8"/>
  <c r="L308" i="8"/>
  <c r="K308" i="8"/>
  <c r="J308" i="8"/>
  <c r="I308" i="8"/>
  <c r="H308" i="8"/>
  <c r="G308" i="8"/>
  <c r="F308" i="8"/>
  <c r="E308" i="8"/>
  <c r="D308" i="8"/>
  <c r="C308" i="8"/>
  <c r="B308" i="8"/>
  <c r="A308" i="8"/>
  <c r="AR307" i="8"/>
  <c r="AQ307" i="8"/>
  <c r="AP307" i="8"/>
  <c r="AO307" i="8"/>
  <c r="AN307" i="8"/>
  <c r="AM307" i="8"/>
  <c r="AL307" i="8"/>
  <c r="AK307" i="8"/>
  <c r="AJ307" i="8"/>
  <c r="AI307" i="8"/>
  <c r="AH307" i="8"/>
  <c r="AG307" i="8"/>
  <c r="AF307" i="8"/>
  <c r="AE307" i="8"/>
  <c r="AD307" i="8"/>
  <c r="AC307" i="8"/>
  <c r="AB307" i="8"/>
  <c r="AA307" i="8"/>
  <c r="Z307" i="8"/>
  <c r="Y307" i="8"/>
  <c r="X307" i="8"/>
  <c r="W307" i="8"/>
  <c r="V307" i="8"/>
  <c r="U307" i="8"/>
  <c r="T307" i="8"/>
  <c r="S307" i="8"/>
  <c r="R307" i="8"/>
  <c r="Q307" i="8"/>
  <c r="P307" i="8"/>
  <c r="O307" i="8"/>
  <c r="N307" i="8"/>
  <c r="M307" i="8"/>
  <c r="L307" i="8"/>
  <c r="K307" i="8"/>
  <c r="J307" i="8"/>
  <c r="I307" i="8"/>
  <c r="H307" i="8"/>
  <c r="G307" i="8"/>
  <c r="F307" i="8"/>
  <c r="E307" i="8"/>
  <c r="D307" i="8"/>
  <c r="C307" i="8"/>
  <c r="B307" i="8"/>
  <c r="A307" i="8"/>
  <c r="AR306" i="8"/>
  <c r="AQ306" i="8"/>
  <c r="AP306" i="8"/>
  <c r="AO306" i="8"/>
  <c r="AN306" i="8"/>
  <c r="AM306" i="8"/>
  <c r="AL306" i="8"/>
  <c r="AK306" i="8"/>
  <c r="AJ306" i="8"/>
  <c r="AI306" i="8"/>
  <c r="AH306" i="8"/>
  <c r="AG306" i="8"/>
  <c r="AF306" i="8"/>
  <c r="AE306" i="8"/>
  <c r="AD306" i="8"/>
  <c r="AC306" i="8"/>
  <c r="AB306" i="8"/>
  <c r="AA306" i="8"/>
  <c r="Z306" i="8"/>
  <c r="Y306" i="8"/>
  <c r="X306" i="8"/>
  <c r="W306" i="8"/>
  <c r="V306" i="8"/>
  <c r="U306" i="8"/>
  <c r="T306" i="8"/>
  <c r="S306" i="8"/>
  <c r="R306" i="8"/>
  <c r="Q306" i="8"/>
  <c r="P306" i="8"/>
  <c r="O306" i="8"/>
  <c r="N306" i="8"/>
  <c r="M306" i="8"/>
  <c r="L306" i="8"/>
  <c r="K306" i="8"/>
  <c r="J306" i="8"/>
  <c r="I306" i="8"/>
  <c r="H306" i="8"/>
  <c r="G306" i="8"/>
  <c r="F306" i="8"/>
  <c r="E306" i="8"/>
  <c r="D306" i="8"/>
  <c r="C306" i="8"/>
  <c r="B306" i="8"/>
  <c r="A306" i="8"/>
  <c r="AR305" i="8"/>
  <c r="AQ305" i="8"/>
  <c r="AP305" i="8"/>
  <c r="AO305" i="8"/>
  <c r="AN305" i="8"/>
  <c r="AM305" i="8"/>
  <c r="AL305" i="8"/>
  <c r="AK305" i="8"/>
  <c r="AJ305" i="8"/>
  <c r="AI305" i="8"/>
  <c r="AH305" i="8"/>
  <c r="AG305" i="8"/>
  <c r="AF305" i="8"/>
  <c r="AE305" i="8"/>
  <c r="AD305" i="8"/>
  <c r="AC305" i="8"/>
  <c r="AB305" i="8"/>
  <c r="AA305" i="8"/>
  <c r="Z305" i="8"/>
  <c r="Y305" i="8"/>
  <c r="X305" i="8"/>
  <c r="W305" i="8"/>
  <c r="V305" i="8"/>
  <c r="U305" i="8"/>
  <c r="T305" i="8"/>
  <c r="S305" i="8"/>
  <c r="R305" i="8"/>
  <c r="Q305" i="8"/>
  <c r="P305" i="8"/>
  <c r="O305" i="8"/>
  <c r="N305" i="8"/>
  <c r="M305" i="8"/>
  <c r="L305" i="8"/>
  <c r="K305" i="8"/>
  <c r="J305" i="8"/>
  <c r="I305" i="8"/>
  <c r="H305" i="8"/>
  <c r="G305" i="8"/>
  <c r="F305" i="8"/>
  <c r="E305" i="8"/>
  <c r="D305" i="8"/>
  <c r="C305" i="8"/>
  <c r="B305" i="8"/>
  <c r="A305" i="8"/>
  <c r="AR304" i="8"/>
  <c r="AQ304" i="8"/>
  <c r="AP304" i="8"/>
  <c r="AO304" i="8"/>
  <c r="AN304" i="8"/>
  <c r="AM304" i="8"/>
  <c r="AL304" i="8"/>
  <c r="AK304" i="8"/>
  <c r="AJ304" i="8"/>
  <c r="AI304" i="8"/>
  <c r="AH304" i="8"/>
  <c r="AG304" i="8"/>
  <c r="AF304" i="8"/>
  <c r="AE304" i="8"/>
  <c r="AD304" i="8"/>
  <c r="AC304" i="8"/>
  <c r="AB304" i="8"/>
  <c r="AA304" i="8"/>
  <c r="Z304" i="8"/>
  <c r="Y304" i="8"/>
  <c r="X304" i="8"/>
  <c r="W304" i="8"/>
  <c r="V304" i="8"/>
  <c r="U304" i="8"/>
  <c r="T304" i="8"/>
  <c r="S304" i="8"/>
  <c r="R304" i="8"/>
  <c r="Q304" i="8"/>
  <c r="P304" i="8"/>
  <c r="O304" i="8"/>
  <c r="N304" i="8"/>
  <c r="M304" i="8"/>
  <c r="L304" i="8"/>
  <c r="K304" i="8"/>
  <c r="J304" i="8"/>
  <c r="I304" i="8"/>
  <c r="H304" i="8"/>
  <c r="G304" i="8"/>
  <c r="F304" i="8"/>
  <c r="E304" i="8"/>
  <c r="D304" i="8"/>
  <c r="C304" i="8"/>
  <c r="B304" i="8"/>
  <c r="A304" i="8"/>
  <c r="AR303" i="8"/>
  <c r="AQ303" i="8"/>
  <c r="AP303" i="8"/>
  <c r="AO303" i="8"/>
  <c r="AN303" i="8"/>
  <c r="AM303" i="8"/>
  <c r="AL303" i="8"/>
  <c r="AK303" i="8"/>
  <c r="AJ303" i="8"/>
  <c r="AI303" i="8"/>
  <c r="AH303" i="8"/>
  <c r="AG303" i="8"/>
  <c r="AF303" i="8"/>
  <c r="AE303" i="8"/>
  <c r="AD303" i="8"/>
  <c r="AC303" i="8"/>
  <c r="AB303" i="8"/>
  <c r="AA303" i="8"/>
  <c r="Z303" i="8"/>
  <c r="Y303" i="8"/>
  <c r="X303" i="8"/>
  <c r="W303" i="8"/>
  <c r="V303" i="8"/>
  <c r="U303" i="8"/>
  <c r="T303" i="8"/>
  <c r="S303" i="8"/>
  <c r="R303" i="8"/>
  <c r="Q303" i="8"/>
  <c r="P303" i="8"/>
  <c r="O303" i="8"/>
  <c r="N303" i="8"/>
  <c r="M303" i="8"/>
  <c r="L303" i="8"/>
  <c r="K303" i="8"/>
  <c r="J303" i="8"/>
  <c r="I303" i="8"/>
  <c r="H303" i="8"/>
  <c r="G303" i="8"/>
  <c r="F303" i="8"/>
  <c r="E303" i="8"/>
  <c r="D303" i="8"/>
  <c r="C303" i="8"/>
  <c r="B303" i="8"/>
  <c r="A303" i="8"/>
  <c r="AR302" i="8"/>
  <c r="AQ302" i="8"/>
  <c r="AP302" i="8"/>
  <c r="AO302" i="8"/>
  <c r="AN302" i="8"/>
  <c r="AM302" i="8"/>
  <c r="AL302" i="8"/>
  <c r="AK302" i="8"/>
  <c r="AJ302" i="8"/>
  <c r="AI302" i="8"/>
  <c r="AH302" i="8"/>
  <c r="AG302" i="8"/>
  <c r="AF302" i="8"/>
  <c r="AE302" i="8"/>
  <c r="AD302" i="8"/>
  <c r="AC302" i="8"/>
  <c r="AB302" i="8"/>
  <c r="AA302" i="8"/>
  <c r="Z302" i="8"/>
  <c r="Y302" i="8"/>
  <c r="X302" i="8"/>
  <c r="W302" i="8"/>
  <c r="V302" i="8"/>
  <c r="U302" i="8"/>
  <c r="T302" i="8"/>
  <c r="S302" i="8"/>
  <c r="R302" i="8"/>
  <c r="Q302" i="8"/>
  <c r="P302" i="8"/>
  <c r="O302" i="8"/>
  <c r="N302" i="8"/>
  <c r="M302" i="8"/>
  <c r="L302" i="8"/>
  <c r="K302" i="8"/>
  <c r="J302" i="8"/>
  <c r="I302" i="8"/>
  <c r="H302" i="8"/>
  <c r="G302" i="8"/>
  <c r="F302" i="8"/>
  <c r="E302" i="8"/>
  <c r="D302" i="8"/>
  <c r="C302" i="8"/>
  <c r="B302" i="8"/>
  <c r="A302" i="8"/>
  <c r="AR301" i="8"/>
  <c r="AQ301" i="8"/>
  <c r="AP301" i="8"/>
  <c r="AO301" i="8"/>
  <c r="AN301" i="8"/>
  <c r="AM301" i="8"/>
  <c r="AL301" i="8"/>
  <c r="AK301" i="8"/>
  <c r="AJ301" i="8"/>
  <c r="AI301" i="8"/>
  <c r="AH301" i="8"/>
  <c r="AG301" i="8"/>
  <c r="AF301" i="8"/>
  <c r="AE301" i="8"/>
  <c r="AD301" i="8"/>
  <c r="AC301" i="8"/>
  <c r="AB301" i="8"/>
  <c r="AA301" i="8"/>
  <c r="Z301" i="8"/>
  <c r="Y301" i="8"/>
  <c r="X301" i="8"/>
  <c r="W301" i="8"/>
  <c r="V301" i="8"/>
  <c r="U301" i="8"/>
  <c r="T301" i="8"/>
  <c r="S301" i="8"/>
  <c r="R301" i="8"/>
  <c r="Q301" i="8"/>
  <c r="P301" i="8"/>
  <c r="O301" i="8"/>
  <c r="N301" i="8"/>
  <c r="M301" i="8"/>
  <c r="L301" i="8"/>
  <c r="K301" i="8"/>
  <c r="J301" i="8"/>
  <c r="I301" i="8"/>
  <c r="H301" i="8"/>
  <c r="G301" i="8"/>
  <c r="F301" i="8"/>
  <c r="E301" i="8"/>
  <c r="D301" i="8"/>
  <c r="C301" i="8"/>
  <c r="B301" i="8"/>
  <c r="A301" i="8"/>
  <c r="AR300" i="8"/>
  <c r="AQ300" i="8"/>
  <c r="AP300" i="8"/>
  <c r="AO300" i="8"/>
  <c r="AN300" i="8"/>
  <c r="AM300" i="8"/>
  <c r="AL300" i="8"/>
  <c r="AK300" i="8"/>
  <c r="AJ300" i="8"/>
  <c r="AI300" i="8"/>
  <c r="AH300" i="8"/>
  <c r="AG300" i="8"/>
  <c r="AF300" i="8"/>
  <c r="AE300" i="8"/>
  <c r="AD300" i="8"/>
  <c r="AC300" i="8"/>
  <c r="AB300" i="8"/>
  <c r="AA300" i="8"/>
  <c r="Z300" i="8"/>
  <c r="Y300" i="8"/>
  <c r="X300" i="8"/>
  <c r="W300" i="8"/>
  <c r="V300" i="8"/>
  <c r="U300" i="8"/>
  <c r="T300" i="8"/>
  <c r="S300" i="8"/>
  <c r="R300" i="8"/>
  <c r="Q300" i="8"/>
  <c r="P300" i="8"/>
  <c r="O300" i="8"/>
  <c r="N300" i="8"/>
  <c r="M300" i="8"/>
  <c r="L300" i="8"/>
  <c r="K300" i="8"/>
  <c r="J300" i="8"/>
  <c r="I300" i="8"/>
  <c r="H300" i="8"/>
  <c r="G300" i="8"/>
  <c r="F300" i="8"/>
  <c r="E300" i="8"/>
  <c r="D300" i="8"/>
  <c r="C300" i="8"/>
  <c r="B300" i="8"/>
  <c r="A300" i="8"/>
  <c r="AR299" i="8"/>
  <c r="AQ299" i="8"/>
  <c r="AP299" i="8"/>
  <c r="AO299" i="8"/>
  <c r="AN299" i="8"/>
  <c r="AM299" i="8"/>
  <c r="AL299" i="8"/>
  <c r="AK299" i="8"/>
  <c r="AJ299" i="8"/>
  <c r="AI299" i="8"/>
  <c r="AH299" i="8"/>
  <c r="AG299" i="8"/>
  <c r="AF299" i="8"/>
  <c r="AE299" i="8"/>
  <c r="AD299" i="8"/>
  <c r="AC299" i="8"/>
  <c r="AB299" i="8"/>
  <c r="AA299" i="8"/>
  <c r="Z299" i="8"/>
  <c r="Y299" i="8"/>
  <c r="X299" i="8"/>
  <c r="W299" i="8"/>
  <c r="V299" i="8"/>
  <c r="U299" i="8"/>
  <c r="T299" i="8"/>
  <c r="S299" i="8"/>
  <c r="R299" i="8"/>
  <c r="Q299" i="8"/>
  <c r="P299" i="8"/>
  <c r="O299" i="8"/>
  <c r="N299" i="8"/>
  <c r="M299" i="8"/>
  <c r="L299" i="8"/>
  <c r="K299" i="8"/>
  <c r="J299" i="8"/>
  <c r="I299" i="8"/>
  <c r="H299" i="8"/>
  <c r="G299" i="8"/>
  <c r="F299" i="8"/>
  <c r="E299" i="8"/>
  <c r="D299" i="8"/>
  <c r="C299" i="8"/>
  <c r="B299" i="8"/>
  <c r="A299" i="8"/>
  <c r="AR298" i="8"/>
  <c r="AQ298" i="8"/>
  <c r="AP298" i="8"/>
  <c r="AO298" i="8"/>
  <c r="AN298" i="8"/>
  <c r="AM298" i="8"/>
  <c r="AL298" i="8"/>
  <c r="AK298" i="8"/>
  <c r="AJ298" i="8"/>
  <c r="AI298" i="8"/>
  <c r="AH298" i="8"/>
  <c r="AG298" i="8"/>
  <c r="AF298" i="8"/>
  <c r="AE298" i="8"/>
  <c r="AD298" i="8"/>
  <c r="AC298" i="8"/>
  <c r="AB298" i="8"/>
  <c r="AA298" i="8"/>
  <c r="Z298" i="8"/>
  <c r="Y298" i="8"/>
  <c r="X298" i="8"/>
  <c r="W298" i="8"/>
  <c r="V298" i="8"/>
  <c r="U298" i="8"/>
  <c r="T298" i="8"/>
  <c r="S298" i="8"/>
  <c r="R298" i="8"/>
  <c r="Q298" i="8"/>
  <c r="P298" i="8"/>
  <c r="O298" i="8"/>
  <c r="N298" i="8"/>
  <c r="M298" i="8"/>
  <c r="L298" i="8"/>
  <c r="K298" i="8"/>
  <c r="J298" i="8"/>
  <c r="I298" i="8"/>
  <c r="H298" i="8"/>
  <c r="G298" i="8"/>
  <c r="F298" i="8"/>
  <c r="E298" i="8"/>
  <c r="D298" i="8"/>
  <c r="C298" i="8"/>
  <c r="B298" i="8"/>
  <c r="A298" i="8"/>
  <c r="AR297" i="8"/>
  <c r="AQ297" i="8"/>
  <c r="AP297" i="8"/>
  <c r="AO297" i="8"/>
  <c r="AN297" i="8"/>
  <c r="AM297" i="8"/>
  <c r="AL297" i="8"/>
  <c r="AK297" i="8"/>
  <c r="AJ297" i="8"/>
  <c r="AI297" i="8"/>
  <c r="AH297" i="8"/>
  <c r="AG297" i="8"/>
  <c r="AF297" i="8"/>
  <c r="AE297" i="8"/>
  <c r="AD297" i="8"/>
  <c r="AC297" i="8"/>
  <c r="AB297" i="8"/>
  <c r="AA297" i="8"/>
  <c r="Z297" i="8"/>
  <c r="Y297" i="8"/>
  <c r="X297" i="8"/>
  <c r="W297" i="8"/>
  <c r="V297" i="8"/>
  <c r="U297" i="8"/>
  <c r="T297" i="8"/>
  <c r="S297" i="8"/>
  <c r="R297" i="8"/>
  <c r="Q297" i="8"/>
  <c r="P297" i="8"/>
  <c r="O297" i="8"/>
  <c r="N297" i="8"/>
  <c r="M297" i="8"/>
  <c r="L297" i="8"/>
  <c r="K297" i="8"/>
  <c r="J297" i="8"/>
  <c r="I297" i="8"/>
  <c r="H297" i="8"/>
  <c r="G297" i="8"/>
  <c r="F297" i="8"/>
  <c r="E297" i="8"/>
  <c r="D297" i="8"/>
  <c r="C297" i="8"/>
  <c r="B297" i="8"/>
  <c r="A297" i="8"/>
  <c r="AR296" i="8"/>
  <c r="AQ296" i="8"/>
  <c r="AP296" i="8"/>
  <c r="AO296" i="8"/>
  <c r="AN296" i="8"/>
  <c r="AM296" i="8"/>
  <c r="AL296" i="8"/>
  <c r="AK296" i="8"/>
  <c r="AJ296" i="8"/>
  <c r="AI296" i="8"/>
  <c r="AH296" i="8"/>
  <c r="AG296" i="8"/>
  <c r="AF296" i="8"/>
  <c r="AE296" i="8"/>
  <c r="AD296" i="8"/>
  <c r="AC296" i="8"/>
  <c r="AB296" i="8"/>
  <c r="AA296" i="8"/>
  <c r="Z296" i="8"/>
  <c r="Y296" i="8"/>
  <c r="X296" i="8"/>
  <c r="W296" i="8"/>
  <c r="V296" i="8"/>
  <c r="U296" i="8"/>
  <c r="T296" i="8"/>
  <c r="S296" i="8"/>
  <c r="R296" i="8"/>
  <c r="Q296" i="8"/>
  <c r="P296" i="8"/>
  <c r="O296" i="8"/>
  <c r="N296" i="8"/>
  <c r="M296" i="8"/>
  <c r="L296" i="8"/>
  <c r="K296" i="8"/>
  <c r="J296" i="8"/>
  <c r="I296" i="8"/>
  <c r="H296" i="8"/>
  <c r="G296" i="8"/>
  <c r="F296" i="8"/>
  <c r="E296" i="8"/>
  <c r="D296" i="8"/>
  <c r="C296" i="8"/>
  <c r="B296" i="8"/>
  <c r="A296" i="8"/>
  <c r="AR295" i="8"/>
  <c r="AQ295" i="8"/>
  <c r="AP295" i="8"/>
  <c r="AO295" i="8"/>
  <c r="AN295" i="8"/>
  <c r="AM295" i="8"/>
  <c r="AL295" i="8"/>
  <c r="AK295" i="8"/>
  <c r="AJ295" i="8"/>
  <c r="AI295" i="8"/>
  <c r="AH295" i="8"/>
  <c r="AG295" i="8"/>
  <c r="AF295" i="8"/>
  <c r="AE295" i="8"/>
  <c r="AD295" i="8"/>
  <c r="AC295" i="8"/>
  <c r="AB295" i="8"/>
  <c r="AA295" i="8"/>
  <c r="Z295" i="8"/>
  <c r="Y295" i="8"/>
  <c r="X295" i="8"/>
  <c r="W295" i="8"/>
  <c r="V295" i="8"/>
  <c r="U295" i="8"/>
  <c r="T295" i="8"/>
  <c r="S295" i="8"/>
  <c r="R295" i="8"/>
  <c r="Q295" i="8"/>
  <c r="P295" i="8"/>
  <c r="O295" i="8"/>
  <c r="N295" i="8"/>
  <c r="M295" i="8"/>
  <c r="L295" i="8"/>
  <c r="K295" i="8"/>
  <c r="J295" i="8"/>
  <c r="I295" i="8"/>
  <c r="H295" i="8"/>
  <c r="G295" i="8"/>
  <c r="F295" i="8"/>
  <c r="E295" i="8"/>
  <c r="D295" i="8"/>
  <c r="C295" i="8"/>
  <c r="B295" i="8"/>
  <c r="A295" i="8"/>
  <c r="AR294" i="8"/>
  <c r="AQ294" i="8"/>
  <c r="AP294" i="8"/>
  <c r="AO294" i="8"/>
  <c r="AN294" i="8"/>
  <c r="AM294" i="8"/>
  <c r="AL294" i="8"/>
  <c r="AK294" i="8"/>
  <c r="AJ294" i="8"/>
  <c r="AI294" i="8"/>
  <c r="AH294" i="8"/>
  <c r="AG294" i="8"/>
  <c r="AF294" i="8"/>
  <c r="AE294" i="8"/>
  <c r="AD294" i="8"/>
  <c r="AC294" i="8"/>
  <c r="AB294" i="8"/>
  <c r="AA294" i="8"/>
  <c r="Z294" i="8"/>
  <c r="Y294" i="8"/>
  <c r="X294" i="8"/>
  <c r="W294" i="8"/>
  <c r="V294" i="8"/>
  <c r="U294" i="8"/>
  <c r="T294" i="8"/>
  <c r="S294" i="8"/>
  <c r="R294" i="8"/>
  <c r="Q294" i="8"/>
  <c r="P294" i="8"/>
  <c r="O294" i="8"/>
  <c r="N294" i="8"/>
  <c r="M294" i="8"/>
  <c r="L294" i="8"/>
  <c r="K294" i="8"/>
  <c r="J294" i="8"/>
  <c r="I294" i="8"/>
  <c r="H294" i="8"/>
  <c r="G294" i="8"/>
  <c r="F294" i="8"/>
  <c r="E294" i="8"/>
  <c r="D294" i="8"/>
  <c r="C294" i="8"/>
  <c r="B294" i="8"/>
  <c r="A294" i="8"/>
  <c r="AR293" i="8"/>
  <c r="AQ293" i="8"/>
  <c r="AP293" i="8"/>
  <c r="AO293" i="8"/>
  <c r="AN293" i="8"/>
  <c r="AM293" i="8"/>
  <c r="AL293" i="8"/>
  <c r="AK293" i="8"/>
  <c r="AJ293" i="8"/>
  <c r="AI293" i="8"/>
  <c r="AH293" i="8"/>
  <c r="AG293" i="8"/>
  <c r="AF293" i="8"/>
  <c r="AE293" i="8"/>
  <c r="AD293" i="8"/>
  <c r="AC293" i="8"/>
  <c r="AB293" i="8"/>
  <c r="AA293" i="8"/>
  <c r="Z293" i="8"/>
  <c r="Y293" i="8"/>
  <c r="X293" i="8"/>
  <c r="W293" i="8"/>
  <c r="V293" i="8"/>
  <c r="U293" i="8"/>
  <c r="T293" i="8"/>
  <c r="S293" i="8"/>
  <c r="R293" i="8"/>
  <c r="Q293" i="8"/>
  <c r="P293" i="8"/>
  <c r="O293" i="8"/>
  <c r="N293" i="8"/>
  <c r="M293" i="8"/>
  <c r="L293" i="8"/>
  <c r="K293" i="8"/>
  <c r="J293" i="8"/>
  <c r="I293" i="8"/>
  <c r="H293" i="8"/>
  <c r="G293" i="8"/>
  <c r="F293" i="8"/>
  <c r="E293" i="8"/>
  <c r="D293" i="8"/>
  <c r="C293" i="8"/>
  <c r="B293" i="8"/>
  <c r="A293" i="8"/>
  <c r="AR292" i="8"/>
  <c r="AQ292" i="8"/>
  <c r="AP292" i="8"/>
  <c r="AO292" i="8"/>
  <c r="AN292" i="8"/>
  <c r="AM292" i="8"/>
  <c r="AL292" i="8"/>
  <c r="AK292" i="8"/>
  <c r="AJ292" i="8"/>
  <c r="AI292" i="8"/>
  <c r="AH292" i="8"/>
  <c r="AG292" i="8"/>
  <c r="AF292" i="8"/>
  <c r="AE292" i="8"/>
  <c r="AD292" i="8"/>
  <c r="AC292" i="8"/>
  <c r="AB292" i="8"/>
  <c r="AA292" i="8"/>
  <c r="Z292" i="8"/>
  <c r="Y292" i="8"/>
  <c r="X292" i="8"/>
  <c r="W292" i="8"/>
  <c r="V292" i="8"/>
  <c r="U292" i="8"/>
  <c r="T292" i="8"/>
  <c r="S292" i="8"/>
  <c r="R292" i="8"/>
  <c r="Q292" i="8"/>
  <c r="P292" i="8"/>
  <c r="O292" i="8"/>
  <c r="N292" i="8"/>
  <c r="M292" i="8"/>
  <c r="L292" i="8"/>
  <c r="K292" i="8"/>
  <c r="J292" i="8"/>
  <c r="I292" i="8"/>
  <c r="H292" i="8"/>
  <c r="G292" i="8"/>
  <c r="F292" i="8"/>
  <c r="E292" i="8"/>
  <c r="D292" i="8"/>
  <c r="C292" i="8"/>
  <c r="B292" i="8"/>
  <c r="A292" i="8"/>
  <c r="AR291" i="8"/>
  <c r="AQ291" i="8"/>
  <c r="AP291" i="8"/>
  <c r="AO291" i="8"/>
  <c r="AN291" i="8"/>
  <c r="AM291" i="8"/>
  <c r="AL291" i="8"/>
  <c r="AK291" i="8"/>
  <c r="AJ291" i="8"/>
  <c r="AI291" i="8"/>
  <c r="AH291" i="8"/>
  <c r="AG291" i="8"/>
  <c r="AF291" i="8"/>
  <c r="AE291" i="8"/>
  <c r="AD291" i="8"/>
  <c r="AC291" i="8"/>
  <c r="AB291" i="8"/>
  <c r="AA291" i="8"/>
  <c r="Z291" i="8"/>
  <c r="Y291" i="8"/>
  <c r="X291" i="8"/>
  <c r="W291" i="8"/>
  <c r="V291" i="8"/>
  <c r="U291" i="8"/>
  <c r="T291" i="8"/>
  <c r="S291" i="8"/>
  <c r="R291" i="8"/>
  <c r="Q291" i="8"/>
  <c r="P291" i="8"/>
  <c r="O291" i="8"/>
  <c r="N291" i="8"/>
  <c r="M291" i="8"/>
  <c r="L291" i="8"/>
  <c r="K291" i="8"/>
  <c r="J291" i="8"/>
  <c r="I291" i="8"/>
  <c r="H291" i="8"/>
  <c r="G291" i="8"/>
  <c r="F291" i="8"/>
  <c r="E291" i="8"/>
  <c r="D291" i="8"/>
  <c r="C291" i="8"/>
  <c r="B291" i="8"/>
  <c r="A291" i="8"/>
  <c r="AR290" i="8"/>
  <c r="AQ290" i="8"/>
  <c r="AP290" i="8"/>
  <c r="AO290" i="8"/>
  <c r="AN290" i="8"/>
  <c r="AM290" i="8"/>
  <c r="AL290" i="8"/>
  <c r="AK290" i="8"/>
  <c r="AJ290" i="8"/>
  <c r="AI290" i="8"/>
  <c r="AH290" i="8"/>
  <c r="AG290" i="8"/>
  <c r="AF290" i="8"/>
  <c r="AE290" i="8"/>
  <c r="AD290" i="8"/>
  <c r="AC290" i="8"/>
  <c r="AB290" i="8"/>
  <c r="AA290" i="8"/>
  <c r="Z290" i="8"/>
  <c r="Y290" i="8"/>
  <c r="X290" i="8"/>
  <c r="W290" i="8"/>
  <c r="V290" i="8"/>
  <c r="U290" i="8"/>
  <c r="T290" i="8"/>
  <c r="S290" i="8"/>
  <c r="R290" i="8"/>
  <c r="Q290" i="8"/>
  <c r="P290" i="8"/>
  <c r="O290" i="8"/>
  <c r="N290" i="8"/>
  <c r="M290" i="8"/>
  <c r="L290" i="8"/>
  <c r="K290" i="8"/>
  <c r="J290" i="8"/>
  <c r="I290" i="8"/>
  <c r="H290" i="8"/>
  <c r="G290" i="8"/>
  <c r="F290" i="8"/>
  <c r="E290" i="8"/>
  <c r="D290" i="8"/>
  <c r="C290" i="8"/>
  <c r="B290" i="8"/>
  <c r="A290" i="8"/>
  <c r="AR289" i="8"/>
  <c r="AQ289" i="8"/>
  <c r="AP289" i="8"/>
  <c r="AO289" i="8"/>
  <c r="AN289" i="8"/>
  <c r="AM289" i="8"/>
  <c r="AL289" i="8"/>
  <c r="AK289" i="8"/>
  <c r="AJ289" i="8"/>
  <c r="AI289" i="8"/>
  <c r="AH289" i="8"/>
  <c r="AG289" i="8"/>
  <c r="AF289" i="8"/>
  <c r="AE289" i="8"/>
  <c r="AD289" i="8"/>
  <c r="AC289" i="8"/>
  <c r="AB289" i="8"/>
  <c r="AA289" i="8"/>
  <c r="Z289" i="8"/>
  <c r="Y289" i="8"/>
  <c r="X289" i="8"/>
  <c r="W289" i="8"/>
  <c r="V289" i="8"/>
  <c r="U289" i="8"/>
  <c r="T289" i="8"/>
  <c r="S289" i="8"/>
  <c r="R289" i="8"/>
  <c r="Q289" i="8"/>
  <c r="P289" i="8"/>
  <c r="O289" i="8"/>
  <c r="N289" i="8"/>
  <c r="M289" i="8"/>
  <c r="L289" i="8"/>
  <c r="K289" i="8"/>
  <c r="J289" i="8"/>
  <c r="I289" i="8"/>
  <c r="H289" i="8"/>
  <c r="G289" i="8"/>
  <c r="F289" i="8"/>
  <c r="E289" i="8"/>
  <c r="D289" i="8"/>
  <c r="C289" i="8"/>
  <c r="B289" i="8"/>
  <c r="A289" i="8"/>
  <c r="AR288" i="8"/>
  <c r="AQ288" i="8"/>
  <c r="AP288" i="8"/>
  <c r="AO288" i="8"/>
  <c r="AN288" i="8"/>
  <c r="AM288" i="8"/>
  <c r="AL288" i="8"/>
  <c r="AK288" i="8"/>
  <c r="AJ288" i="8"/>
  <c r="AI288" i="8"/>
  <c r="AH288" i="8"/>
  <c r="AG288" i="8"/>
  <c r="AF288" i="8"/>
  <c r="AE288" i="8"/>
  <c r="AD288" i="8"/>
  <c r="AC288" i="8"/>
  <c r="AB288" i="8"/>
  <c r="AA288" i="8"/>
  <c r="Z288" i="8"/>
  <c r="Y288" i="8"/>
  <c r="X288" i="8"/>
  <c r="W288" i="8"/>
  <c r="V288" i="8"/>
  <c r="U288" i="8"/>
  <c r="T288" i="8"/>
  <c r="S288" i="8"/>
  <c r="R288" i="8"/>
  <c r="Q288" i="8"/>
  <c r="P288" i="8"/>
  <c r="O288" i="8"/>
  <c r="N288" i="8"/>
  <c r="M288" i="8"/>
  <c r="L288" i="8"/>
  <c r="K288" i="8"/>
  <c r="J288" i="8"/>
  <c r="I288" i="8"/>
  <c r="H288" i="8"/>
  <c r="G288" i="8"/>
  <c r="F288" i="8"/>
  <c r="E288" i="8"/>
  <c r="D288" i="8"/>
  <c r="C288" i="8"/>
  <c r="B288" i="8"/>
  <c r="A288" i="8"/>
  <c r="AR287" i="8"/>
  <c r="AQ287" i="8"/>
  <c r="AP287" i="8"/>
  <c r="AO287" i="8"/>
  <c r="AN287" i="8"/>
  <c r="AM287" i="8"/>
  <c r="AL287" i="8"/>
  <c r="AK287" i="8"/>
  <c r="AJ287" i="8"/>
  <c r="AI287" i="8"/>
  <c r="AH287" i="8"/>
  <c r="AG287" i="8"/>
  <c r="AF287" i="8"/>
  <c r="AE287" i="8"/>
  <c r="AD287" i="8"/>
  <c r="AC287" i="8"/>
  <c r="AB287" i="8"/>
  <c r="AA287" i="8"/>
  <c r="Z287" i="8"/>
  <c r="Y287" i="8"/>
  <c r="X287" i="8"/>
  <c r="W287" i="8"/>
  <c r="V287" i="8"/>
  <c r="U287" i="8"/>
  <c r="T287" i="8"/>
  <c r="S287" i="8"/>
  <c r="R287" i="8"/>
  <c r="Q287" i="8"/>
  <c r="P287" i="8"/>
  <c r="O287" i="8"/>
  <c r="N287" i="8"/>
  <c r="M287" i="8"/>
  <c r="L287" i="8"/>
  <c r="K287" i="8"/>
  <c r="J287" i="8"/>
  <c r="I287" i="8"/>
  <c r="H287" i="8"/>
  <c r="G287" i="8"/>
  <c r="F287" i="8"/>
  <c r="E287" i="8"/>
  <c r="D287" i="8"/>
  <c r="C287" i="8"/>
  <c r="B287" i="8"/>
  <c r="A287" i="8"/>
  <c r="AR286" i="8"/>
  <c r="AQ286" i="8"/>
  <c r="AP286" i="8"/>
  <c r="AO286" i="8"/>
  <c r="AN286" i="8"/>
  <c r="AM286" i="8"/>
  <c r="AL286" i="8"/>
  <c r="AK286" i="8"/>
  <c r="AJ286" i="8"/>
  <c r="AI286" i="8"/>
  <c r="AH286" i="8"/>
  <c r="AG286" i="8"/>
  <c r="AF286" i="8"/>
  <c r="AE286" i="8"/>
  <c r="AD286" i="8"/>
  <c r="AC286" i="8"/>
  <c r="AB286" i="8"/>
  <c r="AA286" i="8"/>
  <c r="Z286" i="8"/>
  <c r="Y286" i="8"/>
  <c r="X286" i="8"/>
  <c r="W286" i="8"/>
  <c r="V286" i="8"/>
  <c r="U286" i="8"/>
  <c r="T286" i="8"/>
  <c r="S286" i="8"/>
  <c r="R286" i="8"/>
  <c r="Q286" i="8"/>
  <c r="P286" i="8"/>
  <c r="O286" i="8"/>
  <c r="N286" i="8"/>
  <c r="M286" i="8"/>
  <c r="L286" i="8"/>
  <c r="K286" i="8"/>
  <c r="J286" i="8"/>
  <c r="I286" i="8"/>
  <c r="H286" i="8"/>
  <c r="G286" i="8"/>
  <c r="F286" i="8"/>
  <c r="E286" i="8"/>
  <c r="D286" i="8"/>
  <c r="C286" i="8"/>
  <c r="B286" i="8"/>
  <c r="A286" i="8"/>
  <c r="AR285" i="8"/>
  <c r="AQ285" i="8"/>
  <c r="AP285" i="8"/>
  <c r="AO285" i="8"/>
  <c r="AN285" i="8"/>
  <c r="AM285" i="8"/>
  <c r="AL285" i="8"/>
  <c r="AK285" i="8"/>
  <c r="AJ285" i="8"/>
  <c r="AI285" i="8"/>
  <c r="AH285" i="8"/>
  <c r="AG285" i="8"/>
  <c r="AF285" i="8"/>
  <c r="AE285" i="8"/>
  <c r="AD285" i="8"/>
  <c r="AC285" i="8"/>
  <c r="AB285" i="8"/>
  <c r="AA285" i="8"/>
  <c r="Z285" i="8"/>
  <c r="Y285" i="8"/>
  <c r="X285" i="8"/>
  <c r="W285" i="8"/>
  <c r="V285" i="8"/>
  <c r="U285" i="8"/>
  <c r="T285" i="8"/>
  <c r="S285" i="8"/>
  <c r="R285" i="8"/>
  <c r="Q285" i="8"/>
  <c r="P285" i="8"/>
  <c r="O285" i="8"/>
  <c r="N285" i="8"/>
  <c r="M285" i="8"/>
  <c r="L285" i="8"/>
  <c r="K285" i="8"/>
  <c r="J285" i="8"/>
  <c r="I285" i="8"/>
  <c r="H285" i="8"/>
  <c r="G285" i="8"/>
  <c r="F285" i="8"/>
  <c r="E285" i="8"/>
  <c r="D285" i="8"/>
  <c r="C285" i="8"/>
  <c r="B285" i="8"/>
  <c r="A285" i="8"/>
  <c r="AR284" i="8"/>
  <c r="AQ284" i="8"/>
  <c r="AP284" i="8"/>
  <c r="AO284" i="8"/>
  <c r="AN284" i="8"/>
  <c r="AM284" i="8"/>
  <c r="AL284" i="8"/>
  <c r="AK284" i="8"/>
  <c r="AJ284" i="8"/>
  <c r="AI284" i="8"/>
  <c r="AH284" i="8"/>
  <c r="AG284" i="8"/>
  <c r="AF284" i="8"/>
  <c r="AE284" i="8"/>
  <c r="AD284" i="8"/>
  <c r="AC284" i="8"/>
  <c r="AB284" i="8"/>
  <c r="AA284" i="8"/>
  <c r="Z284" i="8"/>
  <c r="Y284" i="8"/>
  <c r="X284" i="8"/>
  <c r="W284" i="8"/>
  <c r="V284" i="8"/>
  <c r="U284" i="8"/>
  <c r="T284" i="8"/>
  <c r="S284" i="8"/>
  <c r="R284" i="8"/>
  <c r="Q284" i="8"/>
  <c r="P284" i="8"/>
  <c r="O284" i="8"/>
  <c r="N284" i="8"/>
  <c r="M284" i="8"/>
  <c r="L284" i="8"/>
  <c r="K284" i="8"/>
  <c r="J284" i="8"/>
  <c r="I284" i="8"/>
  <c r="H284" i="8"/>
  <c r="G284" i="8"/>
  <c r="F284" i="8"/>
  <c r="E284" i="8"/>
  <c r="D284" i="8"/>
  <c r="C284" i="8"/>
  <c r="B284" i="8"/>
  <c r="A284" i="8"/>
  <c r="AR283" i="8"/>
  <c r="AQ283" i="8"/>
  <c r="AP283" i="8"/>
  <c r="AO283" i="8"/>
  <c r="AN283" i="8"/>
  <c r="AM283" i="8"/>
  <c r="AL283" i="8"/>
  <c r="AK283" i="8"/>
  <c r="AJ283" i="8"/>
  <c r="AI283" i="8"/>
  <c r="AH283" i="8"/>
  <c r="AG283" i="8"/>
  <c r="AF283" i="8"/>
  <c r="AE283" i="8"/>
  <c r="AD283" i="8"/>
  <c r="AC283" i="8"/>
  <c r="AB283" i="8"/>
  <c r="AA283" i="8"/>
  <c r="Z283" i="8"/>
  <c r="Y283" i="8"/>
  <c r="X283" i="8"/>
  <c r="W283" i="8"/>
  <c r="V283" i="8"/>
  <c r="U283" i="8"/>
  <c r="T283" i="8"/>
  <c r="S283" i="8"/>
  <c r="R283" i="8"/>
  <c r="Q283" i="8"/>
  <c r="P283" i="8"/>
  <c r="O283" i="8"/>
  <c r="N283" i="8"/>
  <c r="M283" i="8"/>
  <c r="L283" i="8"/>
  <c r="K283" i="8"/>
  <c r="J283" i="8"/>
  <c r="I283" i="8"/>
  <c r="H283" i="8"/>
  <c r="G283" i="8"/>
  <c r="F283" i="8"/>
  <c r="E283" i="8"/>
  <c r="D283" i="8"/>
  <c r="C283" i="8"/>
  <c r="B283" i="8"/>
  <c r="A283" i="8"/>
  <c r="AR282" i="8"/>
  <c r="AQ282" i="8"/>
  <c r="AP282" i="8"/>
  <c r="AO282" i="8"/>
  <c r="AN282" i="8"/>
  <c r="AM282" i="8"/>
  <c r="AL282" i="8"/>
  <c r="AK282" i="8"/>
  <c r="AJ282" i="8"/>
  <c r="AI282" i="8"/>
  <c r="AH282" i="8"/>
  <c r="AG282" i="8"/>
  <c r="AF282" i="8"/>
  <c r="AE282" i="8"/>
  <c r="AD282" i="8"/>
  <c r="AC282" i="8"/>
  <c r="AB282" i="8"/>
  <c r="AA282" i="8"/>
  <c r="Z282" i="8"/>
  <c r="Y282" i="8"/>
  <c r="X282" i="8"/>
  <c r="W282" i="8"/>
  <c r="V282" i="8"/>
  <c r="U282" i="8"/>
  <c r="T282" i="8"/>
  <c r="S282" i="8"/>
  <c r="R282" i="8"/>
  <c r="Q282" i="8"/>
  <c r="P282" i="8"/>
  <c r="O282" i="8"/>
  <c r="N282" i="8"/>
  <c r="M282" i="8"/>
  <c r="L282" i="8"/>
  <c r="K282" i="8"/>
  <c r="J282" i="8"/>
  <c r="I282" i="8"/>
  <c r="H282" i="8"/>
  <c r="G282" i="8"/>
  <c r="F282" i="8"/>
  <c r="E282" i="8"/>
  <c r="D282" i="8"/>
  <c r="C282" i="8"/>
  <c r="B282" i="8"/>
  <c r="A282" i="8"/>
  <c r="AR281" i="8"/>
  <c r="AQ281" i="8"/>
  <c r="AP281" i="8"/>
  <c r="AO281" i="8"/>
  <c r="AN281" i="8"/>
  <c r="AM281" i="8"/>
  <c r="AL281" i="8"/>
  <c r="AK281" i="8"/>
  <c r="AJ281" i="8"/>
  <c r="AI281" i="8"/>
  <c r="AH281" i="8"/>
  <c r="AG281" i="8"/>
  <c r="AF281" i="8"/>
  <c r="AE281" i="8"/>
  <c r="AD281" i="8"/>
  <c r="AC281" i="8"/>
  <c r="AB281" i="8"/>
  <c r="AA281" i="8"/>
  <c r="Z281" i="8"/>
  <c r="Y281" i="8"/>
  <c r="X281" i="8"/>
  <c r="W281" i="8"/>
  <c r="V281" i="8"/>
  <c r="U281" i="8"/>
  <c r="T281" i="8"/>
  <c r="S281" i="8"/>
  <c r="R281" i="8"/>
  <c r="Q281" i="8"/>
  <c r="P281" i="8"/>
  <c r="O281" i="8"/>
  <c r="N281" i="8"/>
  <c r="M281" i="8"/>
  <c r="L281" i="8"/>
  <c r="K281" i="8"/>
  <c r="J281" i="8"/>
  <c r="I281" i="8"/>
  <c r="H281" i="8"/>
  <c r="G281" i="8"/>
  <c r="F281" i="8"/>
  <c r="E281" i="8"/>
  <c r="D281" i="8"/>
  <c r="C281" i="8"/>
  <c r="B281" i="8"/>
  <c r="A281" i="8"/>
  <c r="AR280" i="8"/>
  <c r="AQ280" i="8"/>
  <c r="AP280" i="8"/>
  <c r="AO280" i="8"/>
  <c r="AN280" i="8"/>
  <c r="AM280" i="8"/>
  <c r="AL280" i="8"/>
  <c r="AK280" i="8"/>
  <c r="AJ280" i="8"/>
  <c r="AI280" i="8"/>
  <c r="AH280" i="8"/>
  <c r="AG280" i="8"/>
  <c r="AF280" i="8"/>
  <c r="AE280" i="8"/>
  <c r="AD280" i="8"/>
  <c r="AC280" i="8"/>
  <c r="AB280" i="8"/>
  <c r="AA280" i="8"/>
  <c r="Z280" i="8"/>
  <c r="Y280" i="8"/>
  <c r="X280" i="8"/>
  <c r="W280" i="8"/>
  <c r="V280" i="8"/>
  <c r="U280" i="8"/>
  <c r="T280" i="8"/>
  <c r="S280" i="8"/>
  <c r="R280" i="8"/>
  <c r="Q280" i="8"/>
  <c r="P280" i="8"/>
  <c r="O280" i="8"/>
  <c r="N280" i="8"/>
  <c r="M280" i="8"/>
  <c r="L280" i="8"/>
  <c r="K280" i="8"/>
  <c r="J280" i="8"/>
  <c r="I280" i="8"/>
  <c r="H280" i="8"/>
  <c r="G280" i="8"/>
  <c r="F280" i="8"/>
  <c r="E280" i="8"/>
  <c r="D280" i="8"/>
  <c r="C280" i="8"/>
  <c r="B280" i="8"/>
  <c r="A280" i="8"/>
  <c r="AR279" i="8"/>
  <c r="AQ279" i="8"/>
  <c r="AP279" i="8"/>
  <c r="AO279" i="8"/>
  <c r="AN279" i="8"/>
  <c r="AM279" i="8"/>
  <c r="AL279" i="8"/>
  <c r="AK279" i="8"/>
  <c r="AJ279" i="8"/>
  <c r="AI279" i="8"/>
  <c r="AH279" i="8"/>
  <c r="AG279" i="8"/>
  <c r="AF279" i="8"/>
  <c r="AE279" i="8"/>
  <c r="AD279" i="8"/>
  <c r="AC279" i="8"/>
  <c r="AB279" i="8"/>
  <c r="AA279" i="8"/>
  <c r="Z279" i="8"/>
  <c r="Y279" i="8"/>
  <c r="X279" i="8"/>
  <c r="W279" i="8"/>
  <c r="V279" i="8"/>
  <c r="U279" i="8"/>
  <c r="T279" i="8"/>
  <c r="S279" i="8"/>
  <c r="R279" i="8"/>
  <c r="Q279" i="8"/>
  <c r="P279" i="8"/>
  <c r="O279" i="8"/>
  <c r="N279" i="8"/>
  <c r="M279" i="8"/>
  <c r="L279" i="8"/>
  <c r="K279" i="8"/>
  <c r="J279" i="8"/>
  <c r="I279" i="8"/>
  <c r="H279" i="8"/>
  <c r="G279" i="8"/>
  <c r="F279" i="8"/>
  <c r="E279" i="8"/>
  <c r="D279" i="8"/>
  <c r="C279" i="8"/>
  <c r="B279" i="8"/>
  <c r="A279" i="8"/>
  <c r="AR278" i="8"/>
  <c r="AQ278" i="8"/>
  <c r="AP278" i="8"/>
  <c r="AO278" i="8"/>
  <c r="AN278" i="8"/>
  <c r="AM278" i="8"/>
  <c r="AL278" i="8"/>
  <c r="AK278" i="8"/>
  <c r="AJ278" i="8"/>
  <c r="AI278" i="8"/>
  <c r="AH278" i="8"/>
  <c r="AG278" i="8"/>
  <c r="AF278" i="8"/>
  <c r="AE278" i="8"/>
  <c r="AD278" i="8"/>
  <c r="AC278" i="8"/>
  <c r="AB278" i="8"/>
  <c r="AA278" i="8"/>
  <c r="Z278" i="8"/>
  <c r="Y278" i="8"/>
  <c r="X278" i="8"/>
  <c r="W278" i="8"/>
  <c r="V278" i="8"/>
  <c r="U278" i="8"/>
  <c r="T278" i="8"/>
  <c r="S278" i="8"/>
  <c r="R278" i="8"/>
  <c r="Q278" i="8"/>
  <c r="P278" i="8"/>
  <c r="O278" i="8"/>
  <c r="N278" i="8"/>
  <c r="M278" i="8"/>
  <c r="L278" i="8"/>
  <c r="K278" i="8"/>
  <c r="J278" i="8"/>
  <c r="I278" i="8"/>
  <c r="H278" i="8"/>
  <c r="G278" i="8"/>
  <c r="F278" i="8"/>
  <c r="E278" i="8"/>
  <c r="D278" i="8"/>
  <c r="C278" i="8"/>
  <c r="B278" i="8"/>
  <c r="A278" i="8"/>
  <c r="AR277" i="8"/>
  <c r="AQ277" i="8"/>
  <c r="AP277" i="8"/>
  <c r="AO277" i="8"/>
  <c r="AN277" i="8"/>
  <c r="AM277" i="8"/>
  <c r="AL277" i="8"/>
  <c r="AK277" i="8"/>
  <c r="AJ277" i="8"/>
  <c r="AI277" i="8"/>
  <c r="AH277" i="8"/>
  <c r="AG277" i="8"/>
  <c r="AF277" i="8"/>
  <c r="AE277" i="8"/>
  <c r="AD277" i="8"/>
  <c r="AC277" i="8"/>
  <c r="AB277" i="8"/>
  <c r="AA277" i="8"/>
  <c r="Z277" i="8"/>
  <c r="Y277" i="8"/>
  <c r="X277" i="8"/>
  <c r="W277" i="8"/>
  <c r="V277" i="8"/>
  <c r="U277" i="8"/>
  <c r="T277" i="8"/>
  <c r="S277" i="8"/>
  <c r="R277" i="8"/>
  <c r="Q277" i="8"/>
  <c r="P277" i="8"/>
  <c r="O277" i="8"/>
  <c r="N277" i="8"/>
  <c r="M277" i="8"/>
  <c r="L277" i="8"/>
  <c r="K277" i="8"/>
  <c r="J277" i="8"/>
  <c r="I277" i="8"/>
  <c r="H277" i="8"/>
  <c r="G277" i="8"/>
  <c r="F277" i="8"/>
  <c r="E277" i="8"/>
  <c r="D277" i="8"/>
  <c r="C277" i="8"/>
  <c r="B277" i="8"/>
  <c r="A277" i="8"/>
  <c r="AR276" i="8"/>
  <c r="AQ276" i="8"/>
  <c r="AP276" i="8"/>
  <c r="AO276" i="8"/>
  <c r="AN276" i="8"/>
  <c r="AM276" i="8"/>
  <c r="AL276" i="8"/>
  <c r="AK276" i="8"/>
  <c r="AJ276" i="8"/>
  <c r="AI276" i="8"/>
  <c r="AH276" i="8"/>
  <c r="AG276" i="8"/>
  <c r="AF276" i="8"/>
  <c r="AE276" i="8"/>
  <c r="AD276" i="8"/>
  <c r="AC276" i="8"/>
  <c r="AB276" i="8"/>
  <c r="AA276" i="8"/>
  <c r="Z276" i="8"/>
  <c r="Y276" i="8"/>
  <c r="X276" i="8"/>
  <c r="W276" i="8"/>
  <c r="V276" i="8"/>
  <c r="U276" i="8"/>
  <c r="T276" i="8"/>
  <c r="S276" i="8"/>
  <c r="R276" i="8"/>
  <c r="Q276" i="8"/>
  <c r="P276" i="8"/>
  <c r="O276" i="8"/>
  <c r="N276" i="8"/>
  <c r="M276" i="8"/>
  <c r="L276" i="8"/>
  <c r="K276" i="8"/>
  <c r="J276" i="8"/>
  <c r="I276" i="8"/>
  <c r="H276" i="8"/>
  <c r="G276" i="8"/>
  <c r="F276" i="8"/>
  <c r="E276" i="8"/>
  <c r="D276" i="8"/>
  <c r="C276" i="8"/>
  <c r="B276" i="8"/>
  <c r="A276" i="8"/>
  <c r="AR275" i="8"/>
  <c r="AQ275" i="8"/>
  <c r="AP275" i="8"/>
  <c r="AO275" i="8"/>
  <c r="AN275" i="8"/>
  <c r="AM275" i="8"/>
  <c r="AL275" i="8"/>
  <c r="AK275" i="8"/>
  <c r="AJ275" i="8"/>
  <c r="AI275" i="8"/>
  <c r="AH275" i="8"/>
  <c r="AG275" i="8"/>
  <c r="AF275" i="8"/>
  <c r="AE275" i="8"/>
  <c r="AD275" i="8"/>
  <c r="AC275" i="8"/>
  <c r="AB275" i="8"/>
  <c r="AA275" i="8"/>
  <c r="Z275" i="8"/>
  <c r="Y275" i="8"/>
  <c r="X275" i="8"/>
  <c r="W275" i="8"/>
  <c r="V275" i="8"/>
  <c r="U275" i="8"/>
  <c r="T275" i="8"/>
  <c r="S275" i="8"/>
  <c r="R275" i="8"/>
  <c r="Q275" i="8"/>
  <c r="P275" i="8"/>
  <c r="O275" i="8"/>
  <c r="N275" i="8"/>
  <c r="M275" i="8"/>
  <c r="L275" i="8"/>
  <c r="K275" i="8"/>
  <c r="J275" i="8"/>
  <c r="I275" i="8"/>
  <c r="H275" i="8"/>
  <c r="G275" i="8"/>
  <c r="F275" i="8"/>
  <c r="E275" i="8"/>
  <c r="D275" i="8"/>
  <c r="C275" i="8"/>
  <c r="B275" i="8"/>
  <c r="A275" i="8"/>
  <c r="AR274" i="8"/>
  <c r="AQ274" i="8"/>
  <c r="AP274" i="8"/>
  <c r="AO274" i="8"/>
  <c r="AN274" i="8"/>
  <c r="AM274" i="8"/>
  <c r="AL274" i="8"/>
  <c r="AK274" i="8"/>
  <c r="AJ274" i="8"/>
  <c r="AI274" i="8"/>
  <c r="AH274" i="8"/>
  <c r="AG274" i="8"/>
  <c r="AF274" i="8"/>
  <c r="AE274" i="8"/>
  <c r="AD274" i="8"/>
  <c r="AC274" i="8"/>
  <c r="AB274" i="8"/>
  <c r="AA274" i="8"/>
  <c r="Z274" i="8"/>
  <c r="Y274" i="8"/>
  <c r="X274" i="8"/>
  <c r="W274" i="8"/>
  <c r="V274" i="8"/>
  <c r="U274" i="8"/>
  <c r="T274" i="8"/>
  <c r="S274" i="8"/>
  <c r="R274" i="8"/>
  <c r="Q274" i="8"/>
  <c r="P274" i="8"/>
  <c r="O274" i="8"/>
  <c r="N274" i="8"/>
  <c r="M274" i="8"/>
  <c r="L274" i="8"/>
  <c r="K274" i="8"/>
  <c r="J274" i="8"/>
  <c r="I274" i="8"/>
  <c r="H274" i="8"/>
  <c r="G274" i="8"/>
  <c r="F274" i="8"/>
  <c r="E274" i="8"/>
  <c r="D274" i="8"/>
  <c r="C274" i="8"/>
  <c r="B274" i="8"/>
  <c r="A274" i="8"/>
  <c r="AR273" i="8"/>
  <c r="AQ273" i="8"/>
  <c r="AP273" i="8"/>
  <c r="AO273" i="8"/>
  <c r="AN273" i="8"/>
  <c r="AM273" i="8"/>
  <c r="AL273" i="8"/>
  <c r="AK273" i="8"/>
  <c r="AJ273" i="8"/>
  <c r="AI273" i="8"/>
  <c r="AH273" i="8"/>
  <c r="AG273" i="8"/>
  <c r="AF273" i="8"/>
  <c r="AE273" i="8"/>
  <c r="AD273" i="8"/>
  <c r="AC273" i="8"/>
  <c r="AB273" i="8"/>
  <c r="AA273" i="8"/>
  <c r="Z273" i="8"/>
  <c r="Y273" i="8"/>
  <c r="X273" i="8"/>
  <c r="W273" i="8"/>
  <c r="V273" i="8"/>
  <c r="U273" i="8"/>
  <c r="T273" i="8"/>
  <c r="S273" i="8"/>
  <c r="R273" i="8"/>
  <c r="Q273" i="8"/>
  <c r="P273" i="8"/>
  <c r="O273" i="8"/>
  <c r="N273" i="8"/>
  <c r="M273" i="8"/>
  <c r="L273" i="8"/>
  <c r="K273" i="8"/>
  <c r="J273" i="8"/>
  <c r="I273" i="8"/>
  <c r="H273" i="8"/>
  <c r="G273" i="8"/>
  <c r="F273" i="8"/>
  <c r="E273" i="8"/>
  <c r="D273" i="8"/>
  <c r="C273" i="8"/>
  <c r="B273" i="8"/>
  <c r="A273" i="8"/>
  <c r="AR272" i="8"/>
  <c r="AQ272" i="8"/>
  <c r="AP272" i="8"/>
  <c r="AO272" i="8"/>
  <c r="AN272" i="8"/>
  <c r="AM272" i="8"/>
  <c r="AL272" i="8"/>
  <c r="AK272" i="8"/>
  <c r="AJ272" i="8"/>
  <c r="AI272" i="8"/>
  <c r="AH272" i="8"/>
  <c r="AG272" i="8"/>
  <c r="AF272" i="8"/>
  <c r="AE272" i="8"/>
  <c r="AD272" i="8"/>
  <c r="AC272" i="8"/>
  <c r="AB272" i="8"/>
  <c r="AA272" i="8"/>
  <c r="Z272" i="8"/>
  <c r="Y272" i="8"/>
  <c r="X272" i="8"/>
  <c r="W272" i="8"/>
  <c r="V272" i="8"/>
  <c r="U272" i="8"/>
  <c r="T272" i="8"/>
  <c r="S272" i="8"/>
  <c r="R272" i="8"/>
  <c r="Q272" i="8"/>
  <c r="P272" i="8"/>
  <c r="O272" i="8"/>
  <c r="N272" i="8"/>
  <c r="M272" i="8"/>
  <c r="L272" i="8"/>
  <c r="K272" i="8"/>
  <c r="J272" i="8"/>
  <c r="I272" i="8"/>
  <c r="H272" i="8"/>
  <c r="G272" i="8"/>
  <c r="F272" i="8"/>
  <c r="E272" i="8"/>
  <c r="D272" i="8"/>
  <c r="C272" i="8"/>
  <c r="B272" i="8"/>
  <c r="A272" i="8"/>
  <c r="AR271" i="8"/>
  <c r="AQ271" i="8"/>
  <c r="AP271" i="8"/>
  <c r="AO271" i="8"/>
  <c r="AN271" i="8"/>
  <c r="AM271" i="8"/>
  <c r="AL271" i="8"/>
  <c r="AK271" i="8"/>
  <c r="AJ271" i="8"/>
  <c r="AI271" i="8"/>
  <c r="AH271" i="8"/>
  <c r="AG271" i="8"/>
  <c r="AF271" i="8"/>
  <c r="AE271" i="8"/>
  <c r="AD271" i="8"/>
  <c r="AC271" i="8"/>
  <c r="AB271" i="8"/>
  <c r="AA271" i="8"/>
  <c r="Z271" i="8"/>
  <c r="Y271" i="8"/>
  <c r="X271" i="8"/>
  <c r="W271" i="8"/>
  <c r="V271" i="8"/>
  <c r="U271" i="8"/>
  <c r="T271" i="8"/>
  <c r="S271" i="8"/>
  <c r="R271" i="8"/>
  <c r="Q271" i="8"/>
  <c r="P271" i="8"/>
  <c r="O271" i="8"/>
  <c r="N271" i="8"/>
  <c r="M271" i="8"/>
  <c r="L271" i="8"/>
  <c r="K271" i="8"/>
  <c r="J271" i="8"/>
  <c r="I271" i="8"/>
  <c r="H271" i="8"/>
  <c r="G271" i="8"/>
  <c r="F271" i="8"/>
  <c r="E271" i="8"/>
  <c r="D271" i="8"/>
  <c r="C271" i="8"/>
  <c r="B271" i="8"/>
  <c r="A271" i="8"/>
  <c r="AR270" i="8"/>
  <c r="AQ270" i="8"/>
  <c r="AP270" i="8"/>
  <c r="AO270" i="8"/>
  <c r="AN270" i="8"/>
  <c r="AM270" i="8"/>
  <c r="AL270" i="8"/>
  <c r="AK270" i="8"/>
  <c r="AJ270" i="8"/>
  <c r="AI270" i="8"/>
  <c r="AH270" i="8"/>
  <c r="AG270" i="8"/>
  <c r="AF270" i="8"/>
  <c r="AE270" i="8"/>
  <c r="AD270" i="8"/>
  <c r="AC270" i="8"/>
  <c r="AB270" i="8"/>
  <c r="AA270" i="8"/>
  <c r="Z270" i="8"/>
  <c r="Y270" i="8"/>
  <c r="X270" i="8"/>
  <c r="W270" i="8"/>
  <c r="V270" i="8"/>
  <c r="U270" i="8"/>
  <c r="T270" i="8"/>
  <c r="S270" i="8"/>
  <c r="R270" i="8"/>
  <c r="Q270" i="8"/>
  <c r="P270" i="8"/>
  <c r="O270" i="8"/>
  <c r="N270" i="8"/>
  <c r="M270" i="8"/>
  <c r="L270" i="8"/>
  <c r="K270" i="8"/>
  <c r="J270" i="8"/>
  <c r="I270" i="8"/>
  <c r="H270" i="8"/>
  <c r="G270" i="8"/>
  <c r="F270" i="8"/>
  <c r="E270" i="8"/>
  <c r="D270" i="8"/>
  <c r="C270" i="8"/>
  <c r="B270" i="8"/>
  <c r="A270" i="8"/>
  <c r="AR269" i="8"/>
  <c r="AQ269" i="8"/>
  <c r="AP269" i="8"/>
  <c r="AO269" i="8"/>
  <c r="AN269" i="8"/>
  <c r="AM269" i="8"/>
  <c r="AL269" i="8"/>
  <c r="AK269" i="8"/>
  <c r="AJ269" i="8"/>
  <c r="AI269" i="8"/>
  <c r="AH269" i="8"/>
  <c r="AG269" i="8"/>
  <c r="AF269" i="8"/>
  <c r="AE269" i="8"/>
  <c r="AD269" i="8"/>
  <c r="AC269" i="8"/>
  <c r="AB269" i="8"/>
  <c r="AA269" i="8"/>
  <c r="Z269" i="8"/>
  <c r="Y269" i="8"/>
  <c r="X269" i="8"/>
  <c r="W269" i="8"/>
  <c r="V269" i="8"/>
  <c r="U269" i="8"/>
  <c r="T269" i="8"/>
  <c r="S269" i="8"/>
  <c r="R269" i="8"/>
  <c r="Q269" i="8"/>
  <c r="P269" i="8"/>
  <c r="O269" i="8"/>
  <c r="N269" i="8"/>
  <c r="M269" i="8"/>
  <c r="L269" i="8"/>
  <c r="K269" i="8"/>
  <c r="J269" i="8"/>
  <c r="I269" i="8"/>
  <c r="H269" i="8"/>
  <c r="G269" i="8"/>
  <c r="F269" i="8"/>
  <c r="E269" i="8"/>
  <c r="D269" i="8"/>
  <c r="C269" i="8"/>
  <c r="B269" i="8"/>
  <c r="A269" i="8"/>
  <c r="AR268" i="8"/>
  <c r="AQ268" i="8"/>
  <c r="AP268" i="8"/>
  <c r="AO268" i="8"/>
  <c r="AN268" i="8"/>
  <c r="AM268" i="8"/>
  <c r="AL268" i="8"/>
  <c r="AK268" i="8"/>
  <c r="AJ268" i="8"/>
  <c r="AI268" i="8"/>
  <c r="AH268" i="8"/>
  <c r="AG268" i="8"/>
  <c r="AF268" i="8"/>
  <c r="AE268" i="8"/>
  <c r="AD268" i="8"/>
  <c r="AC268" i="8"/>
  <c r="AB268" i="8"/>
  <c r="AA268" i="8"/>
  <c r="Z268" i="8"/>
  <c r="Y268" i="8"/>
  <c r="X268" i="8"/>
  <c r="W268" i="8"/>
  <c r="V268" i="8"/>
  <c r="U268" i="8"/>
  <c r="T268" i="8"/>
  <c r="S268" i="8"/>
  <c r="R268" i="8"/>
  <c r="Q268" i="8"/>
  <c r="P268" i="8"/>
  <c r="O268" i="8"/>
  <c r="N268" i="8"/>
  <c r="M268" i="8"/>
  <c r="L268" i="8"/>
  <c r="K268" i="8"/>
  <c r="J268" i="8"/>
  <c r="I268" i="8"/>
  <c r="H268" i="8"/>
  <c r="G268" i="8"/>
  <c r="F268" i="8"/>
  <c r="E268" i="8"/>
  <c r="D268" i="8"/>
  <c r="C268" i="8"/>
  <c r="B268" i="8"/>
  <c r="A268" i="8"/>
  <c r="AR267" i="8"/>
  <c r="AQ267" i="8"/>
  <c r="AP267" i="8"/>
  <c r="AO267" i="8"/>
  <c r="AN267" i="8"/>
  <c r="AM267" i="8"/>
  <c r="AL267" i="8"/>
  <c r="AK267" i="8"/>
  <c r="AJ267" i="8"/>
  <c r="AI267" i="8"/>
  <c r="AH267" i="8"/>
  <c r="AG267" i="8"/>
  <c r="AF267" i="8"/>
  <c r="AE267" i="8"/>
  <c r="AD267" i="8"/>
  <c r="AC267" i="8"/>
  <c r="AB267" i="8"/>
  <c r="AA267" i="8"/>
  <c r="Z267" i="8"/>
  <c r="Y267" i="8"/>
  <c r="X267" i="8"/>
  <c r="W267" i="8"/>
  <c r="V267" i="8"/>
  <c r="U267" i="8"/>
  <c r="T267" i="8"/>
  <c r="S267" i="8"/>
  <c r="R267" i="8"/>
  <c r="Q267" i="8"/>
  <c r="P267" i="8"/>
  <c r="O267" i="8"/>
  <c r="N267" i="8"/>
  <c r="M267" i="8"/>
  <c r="L267" i="8"/>
  <c r="K267" i="8"/>
  <c r="J267" i="8"/>
  <c r="I267" i="8"/>
  <c r="H267" i="8"/>
  <c r="G267" i="8"/>
  <c r="F267" i="8"/>
  <c r="E267" i="8"/>
  <c r="D267" i="8"/>
  <c r="C267" i="8"/>
  <c r="B267" i="8"/>
  <c r="A267" i="8"/>
  <c r="AR266" i="8"/>
  <c r="AQ266" i="8"/>
  <c r="AP266" i="8"/>
  <c r="AO266" i="8"/>
  <c r="AN266" i="8"/>
  <c r="AM266" i="8"/>
  <c r="AL266" i="8"/>
  <c r="AK266" i="8"/>
  <c r="AJ266" i="8"/>
  <c r="AI266" i="8"/>
  <c r="AH266" i="8"/>
  <c r="AG266" i="8"/>
  <c r="AF266" i="8"/>
  <c r="AE266" i="8"/>
  <c r="AD266" i="8"/>
  <c r="AC266" i="8"/>
  <c r="AB266" i="8"/>
  <c r="AA266" i="8"/>
  <c r="Z266" i="8"/>
  <c r="Y266" i="8"/>
  <c r="X266" i="8"/>
  <c r="W266" i="8"/>
  <c r="V266" i="8"/>
  <c r="U266" i="8"/>
  <c r="T266" i="8"/>
  <c r="S266" i="8"/>
  <c r="R266" i="8"/>
  <c r="Q266" i="8"/>
  <c r="P266" i="8"/>
  <c r="O266" i="8"/>
  <c r="N266" i="8"/>
  <c r="M266" i="8"/>
  <c r="L266" i="8"/>
  <c r="K266" i="8"/>
  <c r="J266" i="8"/>
  <c r="I266" i="8"/>
  <c r="H266" i="8"/>
  <c r="G266" i="8"/>
  <c r="F266" i="8"/>
  <c r="E266" i="8"/>
  <c r="D266" i="8"/>
  <c r="C266" i="8"/>
  <c r="B266" i="8"/>
  <c r="A266" i="8"/>
  <c r="AR265" i="8"/>
  <c r="AQ265" i="8"/>
  <c r="AP265" i="8"/>
  <c r="AO265" i="8"/>
  <c r="AN265" i="8"/>
  <c r="AM265" i="8"/>
  <c r="AL265" i="8"/>
  <c r="AK265" i="8"/>
  <c r="AJ265" i="8"/>
  <c r="AI265" i="8"/>
  <c r="AH265" i="8"/>
  <c r="AG265" i="8"/>
  <c r="AF265" i="8"/>
  <c r="AE265" i="8"/>
  <c r="AD265" i="8"/>
  <c r="AC265" i="8"/>
  <c r="AB265" i="8"/>
  <c r="AA265" i="8"/>
  <c r="Z265" i="8"/>
  <c r="Y265" i="8"/>
  <c r="X265" i="8"/>
  <c r="W265" i="8"/>
  <c r="V265" i="8"/>
  <c r="U265" i="8"/>
  <c r="T265" i="8"/>
  <c r="S265" i="8"/>
  <c r="R265" i="8"/>
  <c r="Q265" i="8"/>
  <c r="P265" i="8"/>
  <c r="O265" i="8"/>
  <c r="N265" i="8"/>
  <c r="M265" i="8"/>
  <c r="L265" i="8"/>
  <c r="K265" i="8"/>
  <c r="J265" i="8"/>
  <c r="I265" i="8"/>
  <c r="H265" i="8"/>
  <c r="G265" i="8"/>
  <c r="F265" i="8"/>
  <c r="E265" i="8"/>
  <c r="D265" i="8"/>
  <c r="C265" i="8"/>
  <c r="B265" i="8"/>
  <c r="A265" i="8"/>
  <c r="AR264" i="8"/>
  <c r="AQ264" i="8"/>
  <c r="AP264" i="8"/>
  <c r="AO264" i="8"/>
  <c r="AN264" i="8"/>
  <c r="AM264" i="8"/>
  <c r="AL264" i="8"/>
  <c r="AK264" i="8"/>
  <c r="AJ264" i="8"/>
  <c r="AI264" i="8"/>
  <c r="AH264" i="8"/>
  <c r="AG264" i="8"/>
  <c r="AF264" i="8"/>
  <c r="AE264" i="8"/>
  <c r="AD264" i="8"/>
  <c r="AC264" i="8"/>
  <c r="AB264" i="8"/>
  <c r="AA264" i="8"/>
  <c r="Z264" i="8"/>
  <c r="Y264" i="8"/>
  <c r="X264" i="8"/>
  <c r="W264" i="8"/>
  <c r="V264" i="8"/>
  <c r="U264" i="8"/>
  <c r="T264" i="8"/>
  <c r="S264" i="8"/>
  <c r="R264" i="8"/>
  <c r="Q264" i="8"/>
  <c r="P264" i="8"/>
  <c r="O264" i="8"/>
  <c r="N264" i="8"/>
  <c r="M264" i="8"/>
  <c r="L264" i="8"/>
  <c r="K264" i="8"/>
  <c r="J264" i="8"/>
  <c r="I264" i="8"/>
  <c r="H264" i="8"/>
  <c r="G264" i="8"/>
  <c r="F264" i="8"/>
  <c r="E264" i="8"/>
  <c r="D264" i="8"/>
  <c r="C264" i="8"/>
  <c r="B264" i="8"/>
  <c r="A264" i="8"/>
  <c r="AR263" i="8"/>
  <c r="AQ263" i="8"/>
  <c r="AP263" i="8"/>
  <c r="AO263" i="8"/>
  <c r="AN263" i="8"/>
  <c r="AM263" i="8"/>
  <c r="AL263" i="8"/>
  <c r="AK263" i="8"/>
  <c r="AJ263" i="8"/>
  <c r="AI263" i="8"/>
  <c r="AH263" i="8"/>
  <c r="AG263" i="8"/>
  <c r="AF263" i="8"/>
  <c r="AE263" i="8"/>
  <c r="AD263" i="8"/>
  <c r="AC263" i="8"/>
  <c r="AB263" i="8"/>
  <c r="AA263" i="8"/>
  <c r="Z263" i="8"/>
  <c r="Y263" i="8"/>
  <c r="X263" i="8"/>
  <c r="W263" i="8"/>
  <c r="V263" i="8"/>
  <c r="U263" i="8"/>
  <c r="T263" i="8"/>
  <c r="S263" i="8"/>
  <c r="R263" i="8"/>
  <c r="Q263" i="8"/>
  <c r="P263" i="8"/>
  <c r="O263" i="8"/>
  <c r="N263" i="8"/>
  <c r="M263" i="8"/>
  <c r="L263" i="8"/>
  <c r="K263" i="8"/>
  <c r="J263" i="8"/>
  <c r="I263" i="8"/>
  <c r="H263" i="8"/>
  <c r="G263" i="8"/>
  <c r="F263" i="8"/>
  <c r="E263" i="8"/>
  <c r="D263" i="8"/>
  <c r="C263" i="8"/>
  <c r="B263" i="8"/>
  <c r="A263" i="8"/>
  <c r="AR262" i="8"/>
  <c r="AQ262" i="8"/>
  <c r="AP262" i="8"/>
  <c r="AO262" i="8"/>
  <c r="AN262" i="8"/>
  <c r="AM262" i="8"/>
  <c r="AL262" i="8"/>
  <c r="AK262" i="8"/>
  <c r="AJ262" i="8"/>
  <c r="AI262" i="8"/>
  <c r="AH262" i="8"/>
  <c r="AG262" i="8"/>
  <c r="AF262" i="8"/>
  <c r="AE262" i="8"/>
  <c r="AD262" i="8"/>
  <c r="AC262" i="8"/>
  <c r="AB262" i="8"/>
  <c r="AA262" i="8"/>
  <c r="Z262" i="8"/>
  <c r="Y262" i="8"/>
  <c r="X262" i="8"/>
  <c r="W262" i="8"/>
  <c r="V262" i="8"/>
  <c r="U262" i="8"/>
  <c r="T262" i="8"/>
  <c r="S262" i="8"/>
  <c r="R262" i="8"/>
  <c r="Q262" i="8"/>
  <c r="P262" i="8"/>
  <c r="O262" i="8"/>
  <c r="N262" i="8"/>
  <c r="M262" i="8"/>
  <c r="L262" i="8"/>
  <c r="K262" i="8"/>
  <c r="J262" i="8"/>
  <c r="I262" i="8"/>
  <c r="H262" i="8"/>
  <c r="G262" i="8"/>
  <c r="F262" i="8"/>
  <c r="E262" i="8"/>
  <c r="D262" i="8"/>
  <c r="C262" i="8"/>
  <c r="B262" i="8"/>
  <c r="A262" i="8"/>
  <c r="AR261" i="8"/>
  <c r="AQ261" i="8"/>
  <c r="AP261" i="8"/>
  <c r="AO261" i="8"/>
  <c r="AN261" i="8"/>
  <c r="AM261" i="8"/>
  <c r="AL261" i="8"/>
  <c r="AK261" i="8"/>
  <c r="AJ261" i="8"/>
  <c r="AI261" i="8"/>
  <c r="AH261" i="8"/>
  <c r="AG261" i="8"/>
  <c r="AF261" i="8"/>
  <c r="AE261" i="8"/>
  <c r="AD261" i="8"/>
  <c r="AC261" i="8"/>
  <c r="AB261" i="8"/>
  <c r="AA261" i="8"/>
  <c r="Z261" i="8"/>
  <c r="Y261" i="8"/>
  <c r="X261" i="8"/>
  <c r="W261" i="8"/>
  <c r="V261" i="8"/>
  <c r="U261" i="8"/>
  <c r="T261" i="8"/>
  <c r="S261" i="8"/>
  <c r="R261" i="8"/>
  <c r="Q261" i="8"/>
  <c r="P261" i="8"/>
  <c r="O261" i="8"/>
  <c r="N261" i="8"/>
  <c r="M261" i="8"/>
  <c r="L261" i="8"/>
  <c r="K261" i="8"/>
  <c r="J261" i="8"/>
  <c r="I261" i="8"/>
  <c r="H261" i="8"/>
  <c r="G261" i="8"/>
  <c r="F261" i="8"/>
  <c r="E261" i="8"/>
  <c r="D261" i="8"/>
  <c r="C261" i="8"/>
  <c r="B261" i="8"/>
  <c r="A261" i="8"/>
  <c r="AR260" i="8"/>
  <c r="AQ260" i="8"/>
  <c r="AP260" i="8"/>
  <c r="AO260" i="8"/>
  <c r="AN260" i="8"/>
  <c r="AM260" i="8"/>
  <c r="AL260" i="8"/>
  <c r="AK260" i="8"/>
  <c r="AJ260" i="8"/>
  <c r="AI260" i="8"/>
  <c r="AH260" i="8"/>
  <c r="AG260" i="8"/>
  <c r="AF260" i="8"/>
  <c r="AE260" i="8"/>
  <c r="AD260" i="8"/>
  <c r="AC260" i="8"/>
  <c r="AB260" i="8"/>
  <c r="AA260" i="8"/>
  <c r="Z260" i="8"/>
  <c r="Y260" i="8"/>
  <c r="X260" i="8"/>
  <c r="W260" i="8"/>
  <c r="V260" i="8"/>
  <c r="U260" i="8"/>
  <c r="T260" i="8"/>
  <c r="S260" i="8"/>
  <c r="R260" i="8"/>
  <c r="Q260" i="8"/>
  <c r="P260" i="8"/>
  <c r="O260" i="8"/>
  <c r="N260" i="8"/>
  <c r="M260" i="8"/>
  <c r="L260" i="8"/>
  <c r="K260" i="8"/>
  <c r="J260" i="8"/>
  <c r="I260" i="8"/>
  <c r="H260" i="8"/>
  <c r="G260" i="8"/>
  <c r="F260" i="8"/>
  <c r="E260" i="8"/>
  <c r="D260" i="8"/>
  <c r="C260" i="8"/>
  <c r="B260" i="8"/>
  <c r="A260" i="8"/>
  <c r="AR259" i="8"/>
  <c r="AQ259" i="8"/>
  <c r="AP259" i="8"/>
  <c r="AO259" i="8"/>
  <c r="AN259" i="8"/>
  <c r="AM259" i="8"/>
  <c r="AL259" i="8"/>
  <c r="AK259" i="8"/>
  <c r="AJ259" i="8"/>
  <c r="AI259" i="8"/>
  <c r="AH259" i="8"/>
  <c r="AG259" i="8"/>
  <c r="AF259" i="8"/>
  <c r="AE259" i="8"/>
  <c r="AD259" i="8"/>
  <c r="AC259" i="8"/>
  <c r="AB259" i="8"/>
  <c r="AA259" i="8"/>
  <c r="Z259" i="8"/>
  <c r="Y259" i="8"/>
  <c r="X259" i="8"/>
  <c r="W259" i="8"/>
  <c r="V259" i="8"/>
  <c r="U259" i="8"/>
  <c r="T259" i="8"/>
  <c r="S259" i="8"/>
  <c r="R259" i="8"/>
  <c r="Q259" i="8"/>
  <c r="P259" i="8"/>
  <c r="O259" i="8"/>
  <c r="N259" i="8"/>
  <c r="M259" i="8"/>
  <c r="L259" i="8"/>
  <c r="K259" i="8"/>
  <c r="J259" i="8"/>
  <c r="I259" i="8"/>
  <c r="H259" i="8"/>
  <c r="G259" i="8"/>
  <c r="F259" i="8"/>
  <c r="E259" i="8"/>
  <c r="D259" i="8"/>
  <c r="C259" i="8"/>
  <c r="B259" i="8"/>
  <c r="A259" i="8"/>
  <c r="AR258" i="8"/>
  <c r="AQ258" i="8"/>
  <c r="AP258" i="8"/>
  <c r="AO258" i="8"/>
  <c r="AN258" i="8"/>
  <c r="AM258" i="8"/>
  <c r="AL258" i="8"/>
  <c r="AK258" i="8"/>
  <c r="AJ258" i="8"/>
  <c r="AI258" i="8"/>
  <c r="AH258" i="8"/>
  <c r="AG258" i="8"/>
  <c r="AF258" i="8"/>
  <c r="AE258" i="8"/>
  <c r="AD258" i="8"/>
  <c r="AC258" i="8"/>
  <c r="AB258" i="8"/>
  <c r="AA258" i="8"/>
  <c r="Z258" i="8"/>
  <c r="Y258" i="8"/>
  <c r="X258" i="8"/>
  <c r="W258" i="8"/>
  <c r="V258" i="8"/>
  <c r="U258" i="8"/>
  <c r="T258" i="8"/>
  <c r="S258" i="8"/>
  <c r="R258" i="8"/>
  <c r="Q258" i="8"/>
  <c r="P258" i="8"/>
  <c r="O258" i="8"/>
  <c r="N258" i="8"/>
  <c r="M258" i="8"/>
  <c r="L258" i="8"/>
  <c r="K258" i="8"/>
  <c r="J258" i="8"/>
  <c r="I258" i="8"/>
  <c r="H258" i="8"/>
  <c r="G258" i="8"/>
  <c r="F258" i="8"/>
  <c r="E258" i="8"/>
  <c r="D258" i="8"/>
  <c r="C258" i="8"/>
  <c r="B258" i="8"/>
  <c r="A258" i="8"/>
  <c r="AR257" i="8"/>
  <c r="AQ257" i="8"/>
  <c r="AP257" i="8"/>
  <c r="AO257" i="8"/>
  <c r="AN257" i="8"/>
  <c r="AM257" i="8"/>
  <c r="AL257" i="8"/>
  <c r="AK257" i="8"/>
  <c r="AJ257" i="8"/>
  <c r="AI257" i="8"/>
  <c r="AH257" i="8"/>
  <c r="AG257" i="8"/>
  <c r="AF257" i="8"/>
  <c r="AE257" i="8"/>
  <c r="AD257" i="8"/>
  <c r="AC257" i="8"/>
  <c r="AB257" i="8"/>
  <c r="AA257" i="8"/>
  <c r="Z257" i="8"/>
  <c r="Y257" i="8"/>
  <c r="X257" i="8"/>
  <c r="W257" i="8"/>
  <c r="V257" i="8"/>
  <c r="U257" i="8"/>
  <c r="T257" i="8"/>
  <c r="S257" i="8"/>
  <c r="R257" i="8"/>
  <c r="Q257" i="8"/>
  <c r="P257" i="8"/>
  <c r="O257" i="8"/>
  <c r="N257" i="8"/>
  <c r="M257" i="8"/>
  <c r="L257" i="8"/>
  <c r="K257" i="8"/>
  <c r="J257" i="8"/>
  <c r="I257" i="8"/>
  <c r="H257" i="8"/>
  <c r="G257" i="8"/>
  <c r="F257" i="8"/>
  <c r="E257" i="8"/>
  <c r="D257" i="8"/>
  <c r="C257" i="8"/>
  <c r="B257" i="8"/>
  <c r="A257" i="8"/>
  <c r="AR256" i="8"/>
  <c r="AQ256" i="8"/>
  <c r="AP256" i="8"/>
  <c r="AO256" i="8"/>
  <c r="AN256" i="8"/>
  <c r="AM256" i="8"/>
  <c r="AL256" i="8"/>
  <c r="AK256" i="8"/>
  <c r="AJ256" i="8"/>
  <c r="AI256" i="8"/>
  <c r="AH256" i="8"/>
  <c r="AG256" i="8"/>
  <c r="AF256" i="8"/>
  <c r="AE256" i="8"/>
  <c r="AD256" i="8"/>
  <c r="AC256" i="8"/>
  <c r="AB256" i="8"/>
  <c r="AA256" i="8"/>
  <c r="Z256" i="8"/>
  <c r="Y256" i="8"/>
  <c r="X256" i="8"/>
  <c r="W256" i="8"/>
  <c r="V256" i="8"/>
  <c r="U256" i="8"/>
  <c r="T256" i="8"/>
  <c r="S256" i="8"/>
  <c r="R256" i="8"/>
  <c r="Q256" i="8"/>
  <c r="P256" i="8"/>
  <c r="O256" i="8"/>
  <c r="N256" i="8"/>
  <c r="M256" i="8"/>
  <c r="L256" i="8"/>
  <c r="K256" i="8"/>
  <c r="J256" i="8"/>
  <c r="I256" i="8"/>
  <c r="H256" i="8"/>
  <c r="G256" i="8"/>
  <c r="F256" i="8"/>
  <c r="E256" i="8"/>
  <c r="D256" i="8"/>
  <c r="C256" i="8"/>
  <c r="B256" i="8"/>
  <c r="A256" i="8"/>
  <c r="AR255" i="8"/>
  <c r="AQ255" i="8"/>
  <c r="AP255" i="8"/>
  <c r="AO255" i="8"/>
  <c r="AN255" i="8"/>
  <c r="AM255" i="8"/>
  <c r="AL255" i="8"/>
  <c r="AK255" i="8"/>
  <c r="AJ255" i="8"/>
  <c r="AI255" i="8"/>
  <c r="AH255" i="8"/>
  <c r="AG255" i="8"/>
  <c r="AF255" i="8"/>
  <c r="AE255" i="8"/>
  <c r="AD255" i="8"/>
  <c r="AC255" i="8"/>
  <c r="AB255" i="8"/>
  <c r="AA255" i="8"/>
  <c r="Z255" i="8"/>
  <c r="Y255" i="8"/>
  <c r="X255" i="8"/>
  <c r="W255" i="8"/>
  <c r="V255" i="8"/>
  <c r="U255" i="8"/>
  <c r="T255" i="8"/>
  <c r="S255" i="8"/>
  <c r="R255" i="8"/>
  <c r="Q255" i="8"/>
  <c r="P255" i="8"/>
  <c r="O255" i="8"/>
  <c r="N255" i="8"/>
  <c r="M255" i="8"/>
  <c r="L255" i="8"/>
  <c r="K255" i="8"/>
  <c r="J255" i="8"/>
  <c r="I255" i="8"/>
  <c r="H255" i="8"/>
  <c r="G255" i="8"/>
  <c r="F255" i="8"/>
  <c r="E255" i="8"/>
  <c r="D255" i="8"/>
  <c r="C255" i="8"/>
  <c r="B255" i="8"/>
  <c r="A255" i="8"/>
  <c r="AR254" i="8"/>
  <c r="AQ254" i="8"/>
  <c r="AP254" i="8"/>
  <c r="AO254" i="8"/>
  <c r="AN254" i="8"/>
  <c r="AM254" i="8"/>
  <c r="AL254" i="8"/>
  <c r="AK254" i="8"/>
  <c r="AJ254" i="8"/>
  <c r="AI254" i="8"/>
  <c r="AH254" i="8"/>
  <c r="AG254" i="8"/>
  <c r="AF254" i="8"/>
  <c r="AE254" i="8"/>
  <c r="AD254" i="8"/>
  <c r="AC254" i="8"/>
  <c r="AB254" i="8"/>
  <c r="AA254" i="8"/>
  <c r="Z254" i="8"/>
  <c r="Y254" i="8"/>
  <c r="X254" i="8"/>
  <c r="W254" i="8"/>
  <c r="V254" i="8"/>
  <c r="U254" i="8"/>
  <c r="T254" i="8"/>
  <c r="S254" i="8"/>
  <c r="R254" i="8"/>
  <c r="Q254" i="8"/>
  <c r="P254" i="8"/>
  <c r="O254" i="8"/>
  <c r="N254" i="8"/>
  <c r="M254" i="8"/>
  <c r="L254" i="8"/>
  <c r="K254" i="8"/>
  <c r="J254" i="8"/>
  <c r="I254" i="8"/>
  <c r="H254" i="8"/>
  <c r="G254" i="8"/>
  <c r="F254" i="8"/>
  <c r="E254" i="8"/>
  <c r="D254" i="8"/>
  <c r="C254" i="8"/>
  <c r="B254" i="8"/>
  <c r="A254" i="8"/>
  <c r="AR253" i="8"/>
  <c r="AQ253" i="8"/>
  <c r="AP253" i="8"/>
  <c r="AO253" i="8"/>
  <c r="AN253" i="8"/>
  <c r="AM253" i="8"/>
  <c r="AL253" i="8"/>
  <c r="AK253" i="8"/>
  <c r="AJ253" i="8"/>
  <c r="AI253" i="8"/>
  <c r="AH253" i="8"/>
  <c r="AG253" i="8"/>
  <c r="AF253" i="8"/>
  <c r="AE253" i="8"/>
  <c r="AD253" i="8"/>
  <c r="AC253" i="8"/>
  <c r="AB253" i="8"/>
  <c r="AA253" i="8"/>
  <c r="Z253" i="8"/>
  <c r="Y253" i="8"/>
  <c r="X253" i="8"/>
  <c r="W253" i="8"/>
  <c r="V253" i="8"/>
  <c r="U253" i="8"/>
  <c r="T253" i="8"/>
  <c r="S253" i="8"/>
  <c r="R253" i="8"/>
  <c r="Q253" i="8"/>
  <c r="P253" i="8"/>
  <c r="O253" i="8"/>
  <c r="N253" i="8"/>
  <c r="M253" i="8"/>
  <c r="L253" i="8"/>
  <c r="K253" i="8"/>
  <c r="J253" i="8"/>
  <c r="I253" i="8"/>
  <c r="H253" i="8"/>
  <c r="G253" i="8"/>
  <c r="F253" i="8"/>
  <c r="E253" i="8"/>
  <c r="D253" i="8"/>
  <c r="C253" i="8"/>
  <c r="B253" i="8"/>
  <c r="A253" i="8"/>
  <c r="AR252" i="8"/>
  <c r="AQ252" i="8"/>
  <c r="AP252" i="8"/>
  <c r="AO252" i="8"/>
  <c r="AN252" i="8"/>
  <c r="AM252" i="8"/>
  <c r="AL252" i="8"/>
  <c r="AK252" i="8"/>
  <c r="AJ252" i="8"/>
  <c r="AI252" i="8"/>
  <c r="AH252" i="8"/>
  <c r="AG252" i="8"/>
  <c r="AF252" i="8"/>
  <c r="AE252" i="8"/>
  <c r="AD252" i="8"/>
  <c r="AC252" i="8"/>
  <c r="AB252" i="8"/>
  <c r="AA252" i="8"/>
  <c r="Z252" i="8"/>
  <c r="Y252" i="8"/>
  <c r="X252" i="8"/>
  <c r="W252" i="8"/>
  <c r="V252" i="8"/>
  <c r="U252" i="8"/>
  <c r="T252" i="8"/>
  <c r="S252" i="8"/>
  <c r="R252" i="8"/>
  <c r="Q252" i="8"/>
  <c r="P252" i="8"/>
  <c r="O252" i="8"/>
  <c r="N252" i="8"/>
  <c r="M252" i="8"/>
  <c r="L252" i="8"/>
  <c r="K252" i="8"/>
  <c r="J252" i="8"/>
  <c r="I252" i="8"/>
  <c r="H252" i="8"/>
  <c r="G252" i="8"/>
  <c r="F252" i="8"/>
  <c r="E252" i="8"/>
  <c r="D252" i="8"/>
  <c r="C252" i="8"/>
  <c r="B252" i="8"/>
  <c r="A252" i="8"/>
  <c r="AR251" i="8"/>
  <c r="AQ251" i="8"/>
  <c r="AP251" i="8"/>
  <c r="AO251" i="8"/>
  <c r="AN251" i="8"/>
  <c r="AM251" i="8"/>
  <c r="AL251" i="8"/>
  <c r="AK251" i="8"/>
  <c r="AJ251" i="8"/>
  <c r="AI251" i="8"/>
  <c r="AH251" i="8"/>
  <c r="AG251" i="8"/>
  <c r="AF251" i="8"/>
  <c r="AE251" i="8"/>
  <c r="AD251" i="8"/>
  <c r="AC251" i="8"/>
  <c r="AB251" i="8"/>
  <c r="AA251" i="8"/>
  <c r="Z251" i="8"/>
  <c r="Y251" i="8"/>
  <c r="X251" i="8"/>
  <c r="W251" i="8"/>
  <c r="V251" i="8"/>
  <c r="U251" i="8"/>
  <c r="T251" i="8"/>
  <c r="S251" i="8"/>
  <c r="R251" i="8"/>
  <c r="Q251" i="8"/>
  <c r="P251" i="8"/>
  <c r="O251" i="8"/>
  <c r="N251" i="8"/>
  <c r="M251" i="8"/>
  <c r="L251" i="8"/>
  <c r="K251" i="8"/>
  <c r="J251" i="8"/>
  <c r="I251" i="8"/>
  <c r="H251" i="8"/>
  <c r="G251" i="8"/>
  <c r="F251" i="8"/>
  <c r="E251" i="8"/>
  <c r="D251" i="8"/>
  <c r="C251" i="8"/>
  <c r="B251" i="8"/>
  <c r="A251" i="8"/>
  <c r="AR250" i="8"/>
  <c r="AQ250" i="8"/>
  <c r="AP250" i="8"/>
  <c r="AO250" i="8"/>
  <c r="AN250" i="8"/>
  <c r="AM250" i="8"/>
  <c r="AL250" i="8"/>
  <c r="AK250" i="8"/>
  <c r="AJ250" i="8"/>
  <c r="AI250" i="8"/>
  <c r="AH250" i="8"/>
  <c r="AG250" i="8"/>
  <c r="AF250" i="8"/>
  <c r="AE250" i="8"/>
  <c r="AD250" i="8"/>
  <c r="AC250" i="8"/>
  <c r="AB250" i="8"/>
  <c r="AA250" i="8"/>
  <c r="Z250" i="8"/>
  <c r="Y250" i="8"/>
  <c r="X250" i="8"/>
  <c r="W250" i="8"/>
  <c r="V250" i="8"/>
  <c r="U250" i="8"/>
  <c r="T250" i="8"/>
  <c r="S250" i="8"/>
  <c r="R250" i="8"/>
  <c r="Q250" i="8"/>
  <c r="P250" i="8"/>
  <c r="O250" i="8"/>
  <c r="N250" i="8"/>
  <c r="M250" i="8"/>
  <c r="L250" i="8"/>
  <c r="K250" i="8"/>
  <c r="J250" i="8"/>
  <c r="I250" i="8"/>
  <c r="H250" i="8"/>
  <c r="G250" i="8"/>
  <c r="F250" i="8"/>
  <c r="E250" i="8"/>
  <c r="D250" i="8"/>
  <c r="C250" i="8"/>
  <c r="B250" i="8"/>
  <c r="A250" i="8"/>
  <c r="AR249" i="8"/>
  <c r="AQ249" i="8"/>
  <c r="AP249" i="8"/>
  <c r="AO249" i="8"/>
  <c r="AN249" i="8"/>
  <c r="AM249" i="8"/>
  <c r="AL249" i="8"/>
  <c r="AK249" i="8"/>
  <c r="AJ249" i="8"/>
  <c r="AI249" i="8"/>
  <c r="AH249" i="8"/>
  <c r="AG249" i="8"/>
  <c r="AF249" i="8"/>
  <c r="AE249" i="8"/>
  <c r="AD249" i="8"/>
  <c r="AC249" i="8"/>
  <c r="AB249" i="8"/>
  <c r="AA249" i="8"/>
  <c r="Z249" i="8"/>
  <c r="Y249" i="8"/>
  <c r="X249" i="8"/>
  <c r="W249" i="8"/>
  <c r="V249" i="8"/>
  <c r="U249" i="8"/>
  <c r="T249" i="8"/>
  <c r="S249" i="8"/>
  <c r="R249" i="8"/>
  <c r="Q249" i="8"/>
  <c r="P249" i="8"/>
  <c r="O249" i="8"/>
  <c r="N249" i="8"/>
  <c r="M249" i="8"/>
  <c r="L249" i="8"/>
  <c r="K249" i="8"/>
  <c r="J249" i="8"/>
  <c r="I249" i="8"/>
  <c r="H249" i="8"/>
  <c r="G249" i="8"/>
  <c r="F249" i="8"/>
  <c r="E249" i="8"/>
  <c r="D249" i="8"/>
  <c r="C249" i="8"/>
  <c r="B249" i="8"/>
  <c r="A249" i="8"/>
  <c r="AR248" i="8"/>
  <c r="AQ248" i="8"/>
  <c r="AP248" i="8"/>
  <c r="AO248" i="8"/>
  <c r="AN248" i="8"/>
  <c r="AM248" i="8"/>
  <c r="AL248" i="8"/>
  <c r="AK248" i="8"/>
  <c r="AJ248" i="8"/>
  <c r="AI248" i="8"/>
  <c r="AH248" i="8"/>
  <c r="AG248" i="8"/>
  <c r="AF248" i="8"/>
  <c r="AE248" i="8"/>
  <c r="AD248" i="8"/>
  <c r="AC248" i="8"/>
  <c r="AB248" i="8"/>
  <c r="AA248" i="8"/>
  <c r="Z248" i="8"/>
  <c r="Y248" i="8"/>
  <c r="X248" i="8"/>
  <c r="W248" i="8"/>
  <c r="V248" i="8"/>
  <c r="U248" i="8"/>
  <c r="T248" i="8"/>
  <c r="S248" i="8"/>
  <c r="R248" i="8"/>
  <c r="Q248" i="8"/>
  <c r="P248" i="8"/>
  <c r="O248" i="8"/>
  <c r="N248" i="8"/>
  <c r="M248" i="8"/>
  <c r="L248" i="8"/>
  <c r="K248" i="8"/>
  <c r="J248" i="8"/>
  <c r="I248" i="8"/>
  <c r="H248" i="8"/>
  <c r="G248" i="8"/>
  <c r="F248" i="8"/>
  <c r="E248" i="8"/>
  <c r="D248" i="8"/>
  <c r="C248" i="8"/>
  <c r="B248" i="8"/>
  <c r="A248" i="8"/>
  <c r="AR247" i="8"/>
  <c r="AQ247" i="8"/>
  <c r="AP247" i="8"/>
  <c r="AO247" i="8"/>
  <c r="AN247" i="8"/>
  <c r="AM247" i="8"/>
  <c r="AL247" i="8"/>
  <c r="AK247" i="8"/>
  <c r="AJ247" i="8"/>
  <c r="AI247" i="8"/>
  <c r="AH247" i="8"/>
  <c r="AG247" i="8"/>
  <c r="AF247" i="8"/>
  <c r="AE247" i="8"/>
  <c r="AD247" i="8"/>
  <c r="AC247" i="8"/>
  <c r="AB247" i="8"/>
  <c r="AA247" i="8"/>
  <c r="Z247" i="8"/>
  <c r="Y247" i="8"/>
  <c r="X247" i="8"/>
  <c r="W247" i="8"/>
  <c r="V247" i="8"/>
  <c r="U247" i="8"/>
  <c r="T247" i="8"/>
  <c r="S247" i="8"/>
  <c r="R247" i="8"/>
  <c r="Q247" i="8"/>
  <c r="P247" i="8"/>
  <c r="O247" i="8"/>
  <c r="N247" i="8"/>
  <c r="M247" i="8"/>
  <c r="L247" i="8"/>
  <c r="K247" i="8"/>
  <c r="J247" i="8"/>
  <c r="I247" i="8"/>
  <c r="H247" i="8"/>
  <c r="G247" i="8"/>
  <c r="F247" i="8"/>
  <c r="E247" i="8"/>
  <c r="D247" i="8"/>
  <c r="C247" i="8"/>
  <c r="B247" i="8"/>
  <c r="A247" i="8"/>
  <c r="AR246" i="8"/>
  <c r="AQ246" i="8"/>
  <c r="AP246" i="8"/>
  <c r="AO246" i="8"/>
  <c r="AN246" i="8"/>
  <c r="AM246" i="8"/>
  <c r="AL246" i="8"/>
  <c r="AK246" i="8"/>
  <c r="AJ246" i="8"/>
  <c r="AI246" i="8"/>
  <c r="AH246" i="8"/>
  <c r="AG246" i="8"/>
  <c r="AF246" i="8"/>
  <c r="AE246" i="8"/>
  <c r="AD246" i="8"/>
  <c r="AC246" i="8"/>
  <c r="AB246" i="8"/>
  <c r="AA246" i="8"/>
  <c r="Z246" i="8"/>
  <c r="Y246" i="8"/>
  <c r="X246" i="8"/>
  <c r="W246" i="8"/>
  <c r="V246" i="8"/>
  <c r="U246" i="8"/>
  <c r="T246" i="8"/>
  <c r="S246" i="8"/>
  <c r="R246" i="8"/>
  <c r="Q246" i="8"/>
  <c r="P246" i="8"/>
  <c r="O246" i="8"/>
  <c r="N246" i="8"/>
  <c r="M246" i="8"/>
  <c r="L246" i="8"/>
  <c r="K246" i="8"/>
  <c r="J246" i="8"/>
  <c r="I246" i="8"/>
  <c r="H246" i="8"/>
  <c r="G246" i="8"/>
  <c r="F246" i="8"/>
  <c r="E246" i="8"/>
  <c r="D246" i="8"/>
  <c r="C246" i="8"/>
  <c r="B246" i="8"/>
  <c r="A246" i="8"/>
  <c r="AR245" i="8"/>
  <c r="AQ245" i="8"/>
  <c r="AP245" i="8"/>
  <c r="AO245" i="8"/>
  <c r="AN245" i="8"/>
  <c r="AM245" i="8"/>
  <c r="AL245" i="8"/>
  <c r="AK245" i="8"/>
  <c r="AJ245" i="8"/>
  <c r="AI245" i="8"/>
  <c r="AH245" i="8"/>
  <c r="AG245" i="8"/>
  <c r="AF245" i="8"/>
  <c r="AE245" i="8"/>
  <c r="AD245" i="8"/>
  <c r="AC245" i="8"/>
  <c r="AB245" i="8"/>
  <c r="AA245" i="8"/>
  <c r="Z245" i="8"/>
  <c r="Y245" i="8"/>
  <c r="X245" i="8"/>
  <c r="W245" i="8"/>
  <c r="V245" i="8"/>
  <c r="U245" i="8"/>
  <c r="T245" i="8"/>
  <c r="S245" i="8"/>
  <c r="R245" i="8"/>
  <c r="Q245" i="8"/>
  <c r="P245" i="8"/>
  <c r="O245" i="8"/>
  <c r="N245" i="8"/>
  <c r="M245" i="8"/>
  <c r="L245" i="8"/>
  <c r="K245" i="8"/>
  <c r="J245" i="8"/>
  <c r="I245" i="8"/>
  <c r="H245" i="8"/>
  <c r="G245" i="8"/>
  <c r="F245" i="8"/>
  <c r="E245" i="8"/>
  <c r="D245" i="8"/>
  <c r="C245" i="8"/>
  <c r="B245" i="8"/>
  <c r="A245" i="8"/>
  <c r="AR244" i="8"/>
  <c r="AQ244" i="8"/>
  <c r="AP244" i="8"/>
  <c r="AO244" i="8"/>
  <c r="AN244" i="8"/>
  <c r="AM244" i="8"/>
  <c r="AL244" i="8"/>
  <c r="AK244" i="8"/>
  <c r="AJ244" i="8"/>
  <c r="AI244" i="8"/>
  <c r="AH244" i="8"/>
  <c r="AG244" i="8"/>
  <c r="AF244" i="8"/>
  <c r="AE244" i="8"/>
  <c r="AD244" i="8"/>
  <c r="AC244" i="8"/>
  <c r="AB244" i="8"/>
  <c r="AA244" i="8"/>
  <c r="Z244" i="8"/>
  <c r="Y244" i="8"/>
  <c r="X244" i="8"/>
  <c r="W244" i="8"/>
  <c r="V244" i="8"/>
  <c r="U244" i="8"/>
  <c r="T244" i="8"/>
  <c r="S244" i="8"/>
  <c r="R244" i="8"/>
  <c r="Q244" i="8"/>
  <c r="P244" i="8"/>
  <c r="O244" i="8"/>
  <c r="N244" i="8"/>
  <c r="M244" i="8"/>
  <c r="L244" i="8"/>
  <c r="K244" i="8"/>
  <c r="J244" i="8"/>
  <c r="I244" i="8"/>
  <c r="H244" i="8"/>
  <c r="G244" i="8"/>
  <c r="F244" i="8"/>
  <c r="E244" i="8"/>
  <c r="D244" i="8"/>
  <c r="C244" i="8"/>
  <c r="B244" i="8"/>
  <c r="A244" i="8"/>
  <c r="AR243" i="8"/>
  <c r="AQ243" i="8"/>
  <c r="AP243" i="8"/>
  <c r="AO243" i="8"/>
  <c r="AN243" i="8"/>
  <c r="AM243" i="8"/>
  <c r="AL243" i="8"/>
  <c r="AK243" i="8"/>
  <c r="AJ243" i="8"/>
  <c r="AI243" i="8"/>
  <c r="AH243" i="8"/>
  <c r="AG243" i="8"/>
  <c r="AF243" i="8"/>
  <c r="AE243" i="8"/>
  <c r="AD243" i="8"/>
  <c r="AC243" i="8"/>
  <c r="AB243" i="8"/>
  <c r="AA243" i="8"/>
  <c r="Z243" i="8"/>
  <c r="Y243" i="8"/>
  <c r="X243" i="8"/>
  <c r="W243" i="8"/>
  <c r="V243" i="8"/>
  <c r="U243" i="8"/>
  <c r="T243" i="8"/>
  <c r="S243" i="8"/>
  <c r="R243" i="8"/>
  <c r="Q243" i="8"/>
  <c r="P243" i="8"/>
  <c r="O243" i="8"/>
  <c r="N243" i="8"/>
  <c r="M243" i="8"/>
  <c r="L243" i="8"/>
  <c r="K243" i="8"/>
  <c r="J243" i="8"/>
  <c r="I243" i="8"/>
  <c r="H243" i="8"/>
  <c r="G243" i="8"/>
  <c r="F243" i="8"/>
  <c r="E243" i="8"/>
  <c r="D243" i="8"/>
  <c r="C243" i="8"/>
  <c r="B243" i="8"/>
  <c r="A243" i="8"/>
  <c r="AR242" i="8"/>
  <c r="AQ242" i="8"/>
  <c r="AP242" i="8"/>
  <c r="AO242" i="8"/>
  <c r="AN242" i="8"/>
  <c r="AM242" i="8"/>
  <c r="AL242" i="8"/>
  <c r="AK242" i="8"/>
  <c r="AJ242" i="8"/>
  <c r="AI242" i="8"/>
  <c r="AH242" i="8"/>
  <c r="AG242" i="8"/>
  <c r="AF242" i="8"/>
  <c r="AE242" i="8"/>
  <c r="AD242" i="8"/>
  <c r="AC242" i="8"/>
  <c r="AB242" i="8"/>
  <c r="AA242" i="8"/>
  <c r="Z242" i="8"/>
  <c r="Y242" i="8"/>
  <c r="X242" i="8"/>
  <c r="W242" i="8"/>
  <c r="V242" i="8"/>
  <c r="U242" i="8"/>
  <c r="T242" i="8"/>
  <c r="S242" i="8"/>
  <c r="R242" i="8"/>
  <c r="Q242" i="8"/>
  <c r="P242" i="8"/>
  <c r="O242" i="8"/>
  <c r="N242" i="8"/>
  <c r="M242" i="8"/>
  <c r="L242" i="8"/>
  <c r="K242" i="8"/>
  <c r="J242" i="8"/>
  <c r="I242" i="8"/>
  <c r="H242" i="8"/>
  <c r="G242" i="8"/>
  <c r="F242" i="8"/>
  <c r="E242" i="8"/>
  <c r="D242" i="8"/>
  <c r="C242" i="8"/>
  <c r="B242" i="8"/>
  <c r="A242" i="8"/>
  <c r="AR241" i="8"/>
  <c r="AQ241" i="8"/>
  <c r="AP241" i="8"/>
  <c r="AO241" i="8"/>
  <c r="AN241" i="8"/>
  <c r="AM241" i="8"/>
  <c r="AL241" i="8"/>
  <c r="AK241" i="8"/>
  <c r="AJ241" i="8"/>
  <c r="AI241" i="8"/>
  <c r="AH241" i="8"/>
  <c r="AG241" i="8"/>
  <c r="AF241" i="8"/>
  <c r="AE241" i="8"/>
  <c r="AD241" i="8"/>
  <c r="AC241" i="8"/>
  <c r="AB241" i="8"/>
  <c r="AA241" i="8"/>
  <c r="Z241" i="8"/>
  <c r="Y241" i="8"/>
  <c r="X241" i="8"/>
  <c r="W241" i="8"/>
  <c r="V241" i="8"/>
  <c r="U241" i="8"/>
  <c r="T241" i="8"/>
  <c r="S241" i="8"/>
  <c r="R241" i="8"/>
  <c r="Q241" i="8"/>
  <c r="P241" i="8"/>
  <c r="O241" i="8"/>
  <c r="N241" i="8"/>
  <c r="M241" i="8"/>
  <c r="L241" i="8"/>
  <c r="K241" i="8"/>
  <c r="J241" i="8"/>
  <c r="I241" i="8"/>
  <c r="H241" i="8"/>
  <c r="G241" i="8"/>
  <c r="F241" i="8"/>
  <c r="E241" i="8"/>
  <c r="D241" i="8"/>
  <c r="C241" i="8"/>
  <c r="B241" i="8"/>
  <c r="A241" i="8"/>
  <c r="AR240" i="8"/>
  <c r="AQ240" i="8"/>
  <c r="AP240" i="8"/>
  <c r="AO240" i="8"/>
  <c r="AN240" i="8"/>
  <c r="AM240" i="8"/>
  <c r="AL240" i="8"/>
  <c r="AK240" i="8"/>
  <c r="AJ240" i="8"/>
  <c r="AI240" i="8"/>
  <c r="AH240" i="8"/>
  <c r="AG240" i="8"/>
  <c r="AF240" i="8"/>
  <c r="AE240" i="8"/>
  <c r="AD240" i="8"/>
  <c r="AC240" i="8"/>
  <c r="AB240" i="8"/>
  <c r="AA240" i="8"/>
  <c r="Z240" i="8"/>
  <c r="Y240" i="8"/>
  <c r="X240" i="8"/>
  <c r="W240" i="8"/>
  <c r="V240" i="8"/>
  <c r="U240" i="8"/>
  <c r="T240" i="8"/>
  <c r="S240" i="8"/>
  <c r="R240" i="8"/>
  <c r="Q240" i="8"/>
  <c r="P240" i="8"/>
  <c r="O240" i="8"/>
  <c r="N240" i="8"/>
  <c r="M240" i="8"/>
  <c r="L240" i="8"/>
  <c r="K240" i="8"/>
  <c r="J240" i="8"/>
  <c r="I240" i="8"/>
  <c r="H240" i="8"/>
  <c r="G240" i="8"/>
  <c r="F240" i="8"/>
  <c r="E240" i="8"/>
  <c r="D240" i="8"/>
  <c r="C240" i="8"/>
  <c r="B240" i="8"/>
  <c r="A240" i="8"/>
  <c r="AR239" i="8"/>
  <c r="AQ239" i="8"/>
  <c r="AP239" i="8"/>
  <c r="AO239" i="8"/>
  <c r="AN239" i="8"/>
  <c r="AM239" i="8"/>
  <c r="AL239" i="8"/>
  <c r="AK239" i="8"/>
  <c r="AJ239" i="8"/>
  <c r="AI239" i="8"/>
  <c r="AH239" i="8"/>
  <c r="AG239" i="8"/>
  <c r="AF239" i="8"/>
  <c r="AE239" i="8"/>
  <c r="AD239" i="8"/>
  <c r="AC239" i="8"/>
  <c r="AB239" i="8"/>
  <c r="AA239" i="8"/>
  <c r="Z239" i="8"/>
  <c r="Y239" i="8"/>
  <c r="X239" i="8"/>
  <c r="W239" i="8"/>
  <c r="V239" i="8"/>
  <c r="U239" i="8"/>
  <c r="T239" i="8"/>
  <c r="S239" i="8"/>
  <c r="R239" i="8"/>
  <c r="Q239" i="8"/>
  <c r="P239" i="8"/>
  <c r="O239" i="8"/>
  <c r="N239" i="8"/>
  <c r="M239" i="8"/>
  <c r="L239" i="8"/>
  <c r="K239" i="8"/>
  <c r="J239" i="8"/>
  <c r="I239" i="8"/>
  <c r="H239" i="8"/>
  <c r="G239" i="8"/>
  <c r="F239" i="8"/>
  <c r="E239" i="8"/>
  <c r="D239" i="8"/>
  <c r="C239" i="8"/>
  <c r="B239" i="8"/>
  <c r="A239" i="8"/>
  <c r="AR238" i="8"/>
  <c r="AQ238" i="8"/>
  <c r="AP238" i="8"/>
  <c r="AO238" i="8"/>
  <c r="AN238" i="8"/>
  <c r="AM238" i="8"/>
  <c r="AL238" i="8"/>
  <c r="AK238" i="8"/>
  <c r="AJ238" i="8"/>
  <c r="AI238" i="8"/>
  <c r="AH238" i="8"/>
  <c r="AG238" i="8"/>
  <c r="AF238" i="8"/>
  <c r="AE238" i="8"/>
  <c r="AD238" i="8"/>
  <c r="AC238" i="8"/>
  <c r="AB238" i="8"/>
  <c r="AA238" i="8"/>
  <c r="Z238" i="8"/>
  <c r="Y238" i="8"/>
  <c r="X238" i="8"/>
  <c r="W238" i="8"/>
  <c r="V238" i="8"/>
  <c r="U238" i="8"/>
  <c r="T238" i="8"/>
  <c r="S238" i="8"/>
  <c r="R238" i="8"/>
  <c r="Q238" i="8"/>
  <c r="P238" i="8"/>
  <c r="O238" i="8"/>
  <c r="N238" i="8"/>
  <c r="M238" i="8"/>
  <c r="L238" i="8"/>
  <c r="K238" i="8"/>
  <c r="J238" i="8"/>
  <c r="I238" i="8"/>
  <c r="H238" i="8"/>
  <c r="G238" i="8"/>
  <c r="F238" i="8"/>
  <c r="E238" i="8"/>
  <c r="D238" i="8"/>
  <c r="C238" i="8"/>
  <c r="B238" i="8"/>
  <c r="A238" i="8"/>
  <c r="AR237" i="8"/>
  <c r="AQ237" i="8"/>
  <c r="AP237" i="8"/>
  <c r="AO237" i="8"/>
  <c r="AN237" i="8"/>
  <c r="AM237" i="8"/>
  <c r="AL237" i="8"/>
  <c r="AK237" i="8"/>
  <c r="AJ237" i="8"/>
  <c r="AI237" i="8"/>
  <c r="AH237" i="8"/>
  <c r="AG237" i="8"/>
  <c r="AF237" i="8"/>
  <c r="AE237" i="8"/>
  <c r="AD237" i="8"/>
  <c r="AC237" i="8"/>
  <c r="AB237" i="8"/>
  <c r="AA237" i="8"/>
  <c r="Z237" i="8"/>
  <c r="Y237" i="8"/>
  <c r="X237" i="8"/>
  <c r="W237" i="8"/>
  <c r="V237" i="8"/>
  <c r="U237" i="8"/>
  <c r="T237" i="8"/>
  <c r="S237" i="8"/>
  <c r="R237" i="8"/>
  <c r="Q237" i="8"/>
  <c r="P237" i="8"/>
  <c r="O237" i="8"/>
  <c r="N237" i="8"/>
  <c r="M237" i="8"/>
  <c r="L237" i="8"/>
  <c r="K237" i="8"/>
  <c r="J237" i="8"/>
  <c r="I237" i="8"/>
  <c r="H237" i="8"/>
  <c r="G237" i="8"/>
  <c r="F237" i="8"/>
  <c r="E237" i="8"/>
  <c r="D237" i="8"/>
  <c r="C237" i="8"/>
  <c r="B237" i="8"/>
  <c r="A237" i="8"/>
  <c r="AR236" i="8"/>
  <c r="AQ236" i="8"/>
  <c r="AP236" i="8"/>
  <c r="AO236" i="8"/>
  <c r="AN236" i="8"/>
  <c r="AM236" i="8"/>
  <c r="AL236" i="8"/>
  <c r="AK236" i="8"/>
  <c r="AJ236" i="8"/>
  <c r="AI236" i="8"/>
  <c r="AH236" i="8"/>
  <c r="AG236" i="8"/>
  <c r="AF236" i="8"/>
  <c r="AE236" i="8"/>
  <c r="AD236" i="8"/>
  <c r="AC236" i="8"/>
  <c r="AB236" i="8"/>
  <c r="AA236" i="8"/>
  <c r="Z236" i="8"/>
  <c r="Y236" i="8"/>
  <c r="X236" i="8"/>
  <c r="W236" i="8"/>
  <c r="V236" i="8"/>
  <c r="U236" i="8"/>
  <c r="T236" i="8"/>
  <c r="S236" i="8"/>
  <c r="R236" i="8"/>
  <c r="Q236" i="8"/>
  <c r="P236" i="8"/>
  <c r="O236" i="8"/>
  <c r="N236" i="8"/>
  <c r="M236" i="8"/>
  <c r="L236" i="8"/>
  <c r="K236" i="8"/>
  <c r="J236" i="8"/>
  <c r="I236" i="8"/>
  <c r="H236" i="8"/>
  <c r="G236" i="8"/>
  <c r="F236" i="8"/>
  <c r="E236" i="8"/>
  <c r="D236" i="8"/>
  <c r="C236" i="8"/>
  <c r="B236" i="8"/>
  <c r="A236" i="8"/>
  <c r="AR235" i="8"/>
  <c r="AQ235" i="8"/>
  <c r="AP235" i="8"/>
  <c r="AO235" i="8"/>
  <c r="AN235" i="8"/>
  <c r="AM235" i="8"/>
  <c r="AL235" i="8"/>
  <c r="AK235" i="8"/>
  <c r="AJ235" i="8"/>
  <c r="AI235" i="8"/>
  <c r="AH235" i="8"/>
  <c r="AG235" i="8"/>
  <c r="AF235" i="8"/>
  <c r="AE235" i="8"/>
  <c r="AD235" i="8"/>
  <c r="AC235" i="8"/>
  <c r="AB235" i="8"/>
  <c r="AA235" i="8"/>
  <c r="Z235" i="8"/>
  <c r="Y235" i="8"/>
  <c r="X235" i="8"/>
  <c r="W235" i="8"/>
  <c r="V235" i="8"/>
  <c r="U235" i="8"/>
  <c r="T235" i="8"/>
  <c r="S235" i="8"/>
  <c r="R235" i="8"/>
  <c r="Q235" i="8"/>
  <c r="P235" i="8"/>
  <c r="O235" i="8"/>
  <c r="N235" i="8"/>
  <c r="M235" i="8"/>
  <c r="L235" i="8"/>
  <c r="K235" i="8"/>
  <c r="J235" i="8"/>
  <c r="I235" i="8"/>
  <c r="H235" i="8"/>
  <c r="G235" i="8"/>
  <c r="F235" i="8"/>
  <c r="E235" i="8"/>
  <c r="D235" i="8"/>
  <c r="C235" i="8"/>
  <c r="B235" i="8"/>
  <c r="A235" i="8"/>
  <c r="AR234" i="8"/>
  <c r="AQ234" i="8"/>
  <c r="AP234" i="8"/>
  <c r="AO234" i="8"/>
  <c r="AN234" i="8"/>
  <c r="AM234" i="8"/>
  <c r="AL234" i="8"/>
  <c r="AK234" i="8"/>
  <c r="AJ234" i="8"/>
  <c r="AI234" i="8"/>
  <c r="AH234" i="8"/>
  <c r="AG234" i="8"/>
  <c r="AF234" i="8"/>
  <c r="AE234" i="8"/>
  <c r="AD234" i="8"/>
  <c r="AC234" i="8"/>
  <c r="AB234" i="8"/>
  <c r="AA234" i="8"/>
  <c r="Z234" i="8"/>
  <c r="Y234" i="8"/>
  <c r="X234" i="8"/>
  <c r="W234" i="8"/>
  <c r="V234" i="8"/>
  <c r="U234" i="8"/>
  <c r="T234" i="8"/>
  <c r="S234" i="8"/>
  <c r="R234" i="8"/>
  <c r="Q234" i="8"/>
  <c r="P234" i="8"/>
  <c r="O234" i="8"/>
  <c r="N234" i="8"/>
  <c r="M234" i="8"/>
  <c r="L234" i="8"/>
  <c r="K234" i="8"/>
  <c r="J234" i="8"/>
  <c r="I234" i="8"/>
  <c r="H234" i="8"/>
  <c r="G234" i="8"/>
  <c r="F234" i="8"/>
  <c r="E234" i="8"/>
  <c r="D234" i="8"/>
  <c r="C234" i="8"/>
  <c r="B234" i="8"/>
  <c r="A234" i="8"/>
  <c r="AR233" i="8"/>
  <c r="AQ233" i="8"/>
  <c r="AP233" i="8"/>
  <c r="AO233" i="8"/>
  <c r="AN233" i="8"/>
  <c r="AM233" i="8"/>
  <c r="AL233" i="8"/>
  <c r="AK233" i="8"/>
  <c r="AJ233" i="8"/>
  <c r="AI233" i="8"/>
  <c r="AH233" i="8"/>
  <c r="AG233" i="8"/>
  <c r="AF233" i="8"/>
  <c r="AE233" i="8"/>
  <c r="AD233" i="8"/>
  <c r="AC233" i="8"/>
  <c r="AB233" i="8"/>
  <c r="AA233" i="8"/>
  <c r="Z233" i="8"/>
  <c r="Y233" i="8"/>
  <c r="X233" i="8"/>
  <c r="W233" i="8"/>
  <c r="V233" i="8"/>
  <c r="U233" i="8"/>
  <c r="T233" i="8"/>
  <c r="S233" i="8"/>
  <c r="R233" i="8"/>
  <c r="Q233" i="8"/>
  <c r="P233" i="8"/>
  <c r="O233" i="8"/>
  <c r="N233" i="8"/>
  <c r="M233" i="8"/>
  <c r="L233" i="8"/>
  <c r="K233" i="8"/>
  <c r="J233" i="8"/>
  <c r="I233" i="8"/>
  <c r="H233" i="8"/>
  <c r="G233" i="8"/>
  <c r="F233" i="8"/>
  <c r="E233" i="8"/>
  <c r="D233" i="8"/>
  <c r="C233" i="8"/>
  <c r="B233" i="8"/>
  <c r="A233" i="8"/>
  <c r="AR232" i="8"/>
  <c r="AQ232" i="8"/>
  <c r="AP232" i="8"/>
  <c r="AO232" i="8"/>
  <c r="AN232" i="8"/>
  <c r="AM232" i="8"/>
  <c r="AL232" i="8"/>
  <c r="AK232" i="8"/>
  <c r="AJ232" i="8"/>
  <c r="AI232" i="8"/>
  <c r="AH232" i="8"/>
  <c r="AG232" i="8"/>
  <c r="AF232" i="8"/>
  <c r="AE232" i="8"/>
  <c r="AD232" i="8"/>
  <c r="AC232" i="8"/>
  <c r="AB232" i="8"/>
  <c r="AA232" i="8"/>
  <c r="Z232" i="8"/>
  <c r="Y232" i="8"/>
  <c r="X232" i="8"/>
  <c r="W232" i="8"/>
  <c r="V232" i="8"/>
  <c r="U232" i="8"/>
  <c r="T232" i="8"/>
  <c r="S232" i="8"/>
  <c r="R232" i="8"/>
  <c r="Q232" i="8"/>
  <c r="P232" i="8"/>
  <c r="O232" i="8"/>
  <c r="N232" i="8"/>
  <c r="M232" i="8"/>
  <c r="L232" i="8"/>
  <c r="K232" i="8"/>
  <c r="J232" i="8"/>
  <c r="I232" i="8"/>
  <c r="H232" i="8"/>
  <c r="G232" i="8"/>
  <c r="F232" i="8"/>
  <c r="E232" i="8"/>
  <c r="D232" i="8"/>
  <c r="C232" i="8"/>
  <c r="B232" i="8"/>
  <c r="A232" i="8"/>
  <c r="AR231" i="8"/>
  <c r="AQ231" i="8"/>
  <c r="AP231" i="8"/>
  <c r="AO231" i="8"/>
  <c r="AN231" i="8"/>
  <c r="AM231" i="8"/>
  <c r="AL231" i="8"/>
  <c r="AK231" i="8"/>
  <c r="AJ231" i="8"/>
  <c r="AI231" i="8"/>
  <c r="AH231" i="8"/>
  <c r="AG231" i="8"/>
  <c r="AF231" i="8"/>
  <c r="AE231" i="8"/>
  <c r="AD231" i="8"/>
  <c r="AC231" i="8"/>
  <c r="AB231" i="8"/>
  <c r="AA231" i="8"/>
  <c r="Z231" i="8"/>
  <c r="Y231" i="8"/>
  <c r="X231" i="8"/>
  <c r="W231" i="8"/>
  <c r="V231" i="8"/>
  <c r="U231" i="8"/>
  <c r="T231" i="8"/>
  <c r="S231" i="8"/>
  <c r="R231" i="8"/>
  <c r="Q231" i="8"/>
  <c r="P231" i="8"/>
  <c r="O231" i="8"/>
  <c r="N231" i="8"/>
  <c r="M231" i="8"/>
  <c r="L231" i="8"/>
  <c r="K231" i="8"/>
  <c r="J231" i="8"/>
  <c r="I231" i="8"/>
  <c r="H231" i="8"/>
  <c r="G231" i="8"/>
  <c r="F231" i="8"/>
  <c r="E231" i="8"/>
  <c r="D231" i="8"/>
  <c r="C231" i="8"/>
  <c r="B231" i="8"/>
  <c r="A231" i="8"/>
  <c r="AR230" i="8"/>
  <c r="AQ230" i="8"/>
  <c r="AP230" i="8"/>
  <c r="AO230" i="8"/>
  <c r="AN230" i="8"/>
  <c r="AM230" i="8"/>
  <c r="AL230" i="8"/>
  <c r="AK230" i="8"/>
  <c r="AJ230" i="8"/>
  <c r="AI230" i="8"/>
  <c r="AH230" i="8"/>
  <c r="AG230" i="8"/>
  <c r="AF230" i="8"/>
  <c r="AE230" i="8"/>
  <c r="AD230" i="8"/>
  <c r="AC230" i="8"/>
  <c r="AB230" i="8"/>
  <c r="AA230" i="8"/>
  <c r="Z230" i="8"/>
  <c r="Y230" i="8"/>
  <c r="X230" i="8"/>
  <c r="W230" i="8"/>
  <c r="V230" i="8"/>
  <c r="U230" i="8"/>
  <c r="T230" i="8"/>
  <c r="S230" i="8"/>
  <c r="R230" i="8"/>
  <c r="Q230" i="8"/>
  <c r="P230" i="8"/>
  <c r="O230" i="8"/>
  <c r="N230" i="8"/>
  <c r="M230" i="8"/>
  <c r="L230" i="8"/>
  <c r="K230" i="8"/>
  <c r="J230" i="8"/>
  <c r="I230" i="8"/>
  <c r="H230" i="8"/>
  <c r="G230" i="8"/>
  <c r="F230" i="8"/>
  <c r="E230" i="8"/>
  <c r="D230" i="8"/>
  <c r="C230" i="8"/>
  <c r="B230" i="8"/>
  <c r="A230" i="8"/>
  <c r="AR229" i="8"/>
  <c r="AQ229" i="8"/>
  <c r="AP229" i="8"/>
  <c r="AO229" i="8"/>
  <c r="AN229" i="8"/>
  <c r="AM229" i="8"/>
  <c r="AL229" i="8"/>
  <c r="AK229" i="8"/>
  <c r="AJ229" i="8"/>
  <c r="AI229" i="8"/>
  <c r="AH229" i="8"/>
  <c r="AG229" i="8"/>
  <c r="AF229" i="8"/>
  <c r="AE229" i="8"/>
  <c r="AD229" i="8"/>
  <c r="AC229" i="8"/>
  <c r="AB229" i="8"/>
  <c r="AA229" i="8"/>
  <c r="Z229" i="8"/>
  <c r="Y229" i="8"/>
  <c r="X229" i="8"/>
  <c r="W229" i="8"/>
  <c r="V229" i="8"/>
  <c r="U229" i="8"/>
  <c r="T229" i="8"/>
  <c r="S229" i="8"/>
  <c r="R229" i="8"/>
  <c r="Q229" i="8"/>
  <c r="P229" i="8"/>
  <c r="O229" i="8"/>
  <c r="N229" i="8"/>
  <c r="M229" i="8"/>
  <c r="L229" i="8"/>
  <c r="K229" i="8"/>
  <c r="J229" i="8"/>
  <c r="I229" i="8"/>
  <c r="H229" i="8"/>
  <c r="G229" i="8"/>
  <c r="F229" i="8"/>
  <c r="E229" i="8"/>
  <c r="D229" i="8"/>
  <c r="C229" i="8"/>
  <c r="B229" i="8"/>
  <c r="A229" i="8"/>
  <c r="AR228" i="8"/>
  <c r="AQ228" i="8"/>
  <c r="AP228" i="8"/>
  <c r="AO228" i="8"/>
  <c r="AN228" i="8"/>
  <c r="AM228" i="8"/>
  <c r="AL228" i="8"/>
  <c r="AK228" i="8"/>
  <c r="AJ228" i="8"/>
  <c r="AI228" i="8"/>
  <c r="AH228" i="8"/>
  <c r="AG228" i="8"/>
  <c r="AF228" i="8"/>
  <c r="AE228" i="8"/>
  <c r="AD228" i="8"/>
  <c r="AC228" i="8"/>
  <c r="AB228" i="8"/>
  <c r="AA228" i="8"/>
  <c r="Z228" i="8"/>
  <c r="Y228" i="8"/>
  <c r="X228" i="8"/>
  <c r="W228" i="8"/>
  <c r="V228" i="8"/>
  <c r="U228" i="8"/>
  <c r="T228" i="8"/>
  <c r="S228" i="8"/>
  <c r="R228" i="8"/>
  <c r="Q228" i="8"/>
  <c r="P228" i="8"/>
  <c r="O228" i="8"/>
  <c r="N228" i="8"/>
  <c r="M228" i="8"/>
  <c r="L228" i="8"/>
  <c r="K228" i="8"/>
  <c r="J228" i="8"/>
  <c r="I228" i="8"/>
  <c r="H228" i="8"/>
  <c r="G228" i="8"/>
  <c r="F228" i="8"/>
  <c r="E228" i="8"/>
  <c r="D228" i="8"/>
  <c r="C228" i="8"/>
  <c r="B228" i="8"/>
  <c r="A228" i="8"/>
  <c r="AR227" i="8"/>
  <c r="AQ227" i="8"/>
  <c r="AP227" i="8"/>
  <c r="AO227" i="8"/>
  <c r="AN227" i="8"/>
  <c r="AM227" i="8"/>
  <c r="AL227" i="8"/>
  <c r="AK227" i="8"/>
  <c r="AJ227" i="8"/>
  <c r="AI227" i="8"/>
  <c r="AH227" i="8"/>
  <c r="AG227" i="8"/>
  <c r="AF227" i="8"/>
  <c r="AE227" i="8"/>
  <c r="AD227" i="8"/>
  <c r="AC227" i="8"/>
  <c r="AB227" i="8"/>
  <c r="AA227" i="8"/>
  <c r="Z227" i="8"/>
  <c r="Y227" i="8"/>
  <c r="X227" i="8"/>
  <c r="W227" i="8"/>
  <c r="V227" i="8"/>
  <c r="U227" i="8"/>
  <c r="T227" i="8"/>
  <c r="S227" i="8"/>
  <c r="R227" i="8"/>
  <c r="Q227" i="8"/>
  <c r="P227" i="8"/>
  <c r="O227" i="8"/>
  <c r="N227" i="8"/>
  <c r="M227" i="8"/>
  <c r="L227" i="8"/>
  <c r="K227" i="8"/>
  <c r="J227" i="8"/>
  <c r="I227" i="8"/>
  <c r="H227" i="8"/>
  <c r="G227" i="8"/>
  <c r="F227" i="8"/>
  <c r="E227" i="8"/>
  <c r="D227" i="8"/>
  <c r="C227" i="8"/>
  <c r="B227" i="8"/>
  <c r="A227" i="8"/>
  <c r="AR226" i="8"/>
  <c r="AQ226" i="8"/>
  <c r="AP226" i="8"/>
  <c r="AO226" i="8"/>
  <c r="AN226" i="8"/>
  <c r="AM226" i="8"/>
  <c r="AL226" i="8"/>
  <c r="AK226" i="8"/>
  <c r="AJ226" i="8"/>
  <c r="AI226" i="8"/>
  <c r="AH226" i="8"/>
  <c r="AG226" i="8"/>
  <c r="AF226" i="8"/>
  <c r="AE226" i="8"/>
  <c r="AD226" i="8"/>
  <c r="AC226" i="8"/>
  <c r="AB226" i="8"/>
  <c r="AA226" i="8"/>
  <c r="Z226" i="8"/>
  <c r="Y226" i="8"/>
  <c r="X226" i="8"/>
  <c r="W226" i="8"/>
  <c r="V226" i="8"/>
  <c r="U226" i="8"/>
  <c r="T226" i="8"/>
  <c r="S226" i="8"/>
  <c r="R226" i="8"/>
  <c r="Q226" i="8"/>
  <c r="P226" i="8"/>
  <c r="O226" i="8"/>
  <c r="N226" i="8"/>
  <c r="M226" i="8"/>
  <c r="L226" i="8"/>
  <c r="K226" i="8"/>
  <c r="J226" i="8"/>
  <c r="I226" i="8"/>
  <c r="H226" i="8"/>
  <c r="G226" i="8"/>
  <c r="F226" i="8"/>
  <c r="E226" i="8"/>
  <c r="D226" i="8"/>
  <c r="C226" i="8"/>
  <c r="B226" i="8"/>
  <c r="A226" i="8"/>
  <c r="AR225" i="8"/>
  <c r="AQ225" i="8"/>
  <c r="AP225" i="8"/>
  <c r="AO225" i="8"/>
  <c r="AN225" i="8"/>
  <c r="AM225" i="8"/>
  <c r="AL225" i="8"/>
  <c r="AK225" i="8"/>
  <c r="AJ225" i="8"/>
  <c r="AI225" i="8"/>
  <c r="AH225" i="8"/>
  <c r="AG225" i="8"/>
  <c r="AF225" i="8"/>
  <c r="AE225" i="8"/>
  <c r="AD225" i="8"/>
  <c r="AC225" i="8"/>
  <c r="AB225" i="8"/>
  <c r="AA225" i="8"/>
  <c r="Z225" i="8"/>
  <c r="Y225" i="8"/>
  <c r="X225" i="8"/>
  <c r="W225" i="8"/>
  <c r="V225" i="8"/>
  <c r="U225" i="8"/>
  <c r="T225" i="8"/>
  <c r="S225" i="8"/>
  <c r="R225" i="8"/>
  <c r="Q225" i="8"/>
  <c r="P225" i="8"/>
  <c r="O225" i="8"/>
  <c r="N225" i="8"/>
  <c r="M225" i="8"/>
  <c r="L225" i="8"/>
  <c r="K225" i="8"/>
  <c r="J225" i="8"/>
  <c r="I225" i="8"/>
  <c r="H225" i="8"/>
  <c r="G225" i="8"/>
  <c r="F225" i="8"/>
  <c r="E225" i="8"/>
  <c r="D225" i="8"/>
  <c r="C225" i="8"/>
  <c r="B225" i="8"/>
  <c r="A225" i="8"/>
  <c r="AR224" i="8"/>
  <c r="AQ224" i="8"/>
  <c r="AP224" i="8"/>
  <c r="AO224" i="8"/>
  <c r="AN224" i="8"/>
  <c r="AM224" i="8"/>
  <c r="AL224" i="8"/>
  <c r="AK224" i="8"/>
  <c r="AJ224" i="8"/>
  <c r="AI224" i="8"/>
  <c r="AH224" i="8"/>
  <c r="AG224" i="8"/>
  <c r="AF224" i="8"/>
  <c r="AE224" i="8"/>
  <c r="AD224" i="8"/>
  <c r="AC224" i="8"/>
  <c r="AB224" i="8"/>
  <c r="AA224" i="8"/>
  <c r="Z224" i="8"/>
  <c r="Y224" i="8"/>
  <c r="X224" i="8"/>
  <c r="W224" i="8"/>
  <c r="V224" i="8"/>
  <c r="U224" i="8"/>
  <c r="T224" i="8"/>
  <c r="S224" i="8"/>
  <c r="R224" i="8"/>
  <c r="Q224" i="8"/>
  <c r="P224" i="8"/>
  <c r="O224" i="8"/>
  <c r="N224" i="8"/>
  <c r="M224" i="8"/>
  <c r="L224" i="8"/>
  <c r="K224" i="8"/>
  <c r="J224" i="8"/>
  <c r="I224" i="8"/>
  <c r="H224" i="8"/>
  <c r="G224" i="8"/>
  <c r="F224" i="8"/>
  <c r="E224" i="8"/>
  <c r="D224" i="8"/>
  <c r="C224" i="8"/>
  <c r="B224" i="8"/>
  <c r="A224" i="8"/>
  <c r="AR223" i="8"/>
  <c r="AQ223" i="8"/>
  <c r="AP223" i="8"/>
  <c r="AO223" i="8"/>
  <c r="AN223" i="8"/>
  <c r="AM223" i="8"/>
  <c r="AL223" i="8"/>
  <c r="AK223" i="8"/>
  <c r="AJ223" i="8"/>
  <c r="AI223" i="8"/>
  <c r="AH223" i="8"/>
  <c r="AG223" i="8"/>
  <c r="AF223" i="8"/>
  <c r="AE223" i="8"/>
  <c r="AD223" i="8"/>
  <c r="AC223" i="8"/>
  <c r="AB223" i="8"/>
  <c r="AA223" i="8"/>
  <c r="Z223" i="8"/>
  <c r="Y223" i="8"/>
  <c r="X223" i="8"/>
  <c r="W223" i="8"/>
  <c r="V223" i="8"/>
  <c r="U223" i="8"/>
  <c r="T223" i="8"/>
  <c r="S223" i="8"/>
  <c r="R223" i="8"/>
  <c r="Q223" i="8"/>
  <c r="P223" i="8"/>
  <c r="O223" i="8"/>
  <c r="N223" i="8"/>
  <c r="M223" i="8"/>
  <c r="L223" i="8"/>
  <c r="K223" i="8"/>
  <c r="J223" i="8"/>
  <c r="I223" i="8"/>
  <c r="H223" i="8"/>
  <c r="G223" i="8"/>
  <c r="F223" i="8"/>
  <c r="E223" i="8"/>
  <c r="D223" i="8"/>
  <c r="C223" i="8"/>
  <c r="B223" i="8"/>
  <c r="A223" i="8"/>
  <c r="AR222" i="8"/>
  <c r="AQ222" i="8"/>
  <c r="AP222" i="8"/>
  <c r="AO222" i="8"/>
  <c r="AN222" i="8"/>
  <c r="AM222" i="8"/>
  <c r="AL222" i="8"/>
  <c r="AK222" i="8"/>
  <c r="AJ222" i="8"/>
  <c r="AI222" i="8"/>
  <c r="AH222" i="8"/>
  <c r="AG222" i="8"/>
  <c r="AF222" i="8"/>
  <c r="AE222" i="8"/>
  <c r="AD222" i="8"/>
  <c r="AC222" i="8"/>
  <c r="AB222" i="8"/>
  <c r="AA222" i="8"/>
  <c r="Z222" i="8"/>
  <c r="Y222" i="8"/>
  <c r="X222" i="8"/>
  <c r="W222" i="8"/>
  <c r="V222" i="8"/>
  <c r="U222" i="8"/>
  <c r="T222" i="8"/>
  <c r="S222" i="8"/>
  <c r="R222" i="8"/>
  <c r="Q222" i="8"/>
  <c r="P222" i="8"/>
  <c r="O222" i="8"/>
  <c r="N222" i="8"/>
  <c r="M222" i="8"/>
  <c r="L222" i="8"/>
  <c r="K222" i="8"/>
  <c r="J222" i="8"/>
  <c r="I222" i="8"/>
  <c r="H222" i="8"/>
  <c r="G222" i="8"/>
  <c r="F222" i="8"/>
  <c r="E222" i="8"/>
  <c r="D222" i="8"/>
  <c r="C222" i="8"/>
  <c r="B222" i="8"/>
  <c r="A222" i="8"/>
  <c r="AR221" i="8"/>
  <c r="AQ221" i="8"/>
  <c r="AP221" i="8"/>
  <c r="AO221" i="8"/>
  <c r="AN221" i="8"/>
  <c r="AM221" i="8"/>
  <c r="AL221" i="8"/>
  <c r="AK221" i="8"/>
  <c r="AJ221" i="8"/>
  <c r="AI221" i="8"/>
  <c r="AH221" i="8"/>
  <c r="AG221" i="8"/>
  <c r="AF221" i="8"/>
  <c r="AE221" i="8"/>
  <c r="AD221" i="8"/>
  <c r="AC221" i="8"/>
  <c r="AB221" i="8"/>
  <c r="AA221" i="8"/>
  <c r="Z221" i="8"/>
  <c r="Y221" i="8"/>
  <c r="X221" i="8"/>
  <c r="W221" i="8"/>
  <c r="V221" i="8"/>
  <c r="U221" i="8"/>
  <c r="T221" i="8"/>
  <c r="S221" i="8"/>
  <c r="R221" i="8"/>
  <c r="Q221" i="8"/>
  <c r="P221" i="8"/>
  <c r="O221" i="8"/>
  <c r="N221" i="8"/>
  <c r="M221" i="8"/>
  <c r="L221" i="8"/>
  <c r="K221" i="8"/>
  <c r="J221" i="8"/>
  <c r="I221" i="8"/>
  <c r="H221" i="8"/>
  <c r="G221" i="8"/>
  <c r="F221" i="8"/>
  <c r="E221" i="8"/>
  <c r="D221" i="8"/>
  <c r="C221" i="8"/>
  <c r="B221" i="8"/>
  <c r="A221" i="8"/>
  <c r="AR220" i="8"/>
  <c r="AQ220" i="8"/>
  <c r="AP220" i="8"/>
  <c r="AO220" i="8"/>
  <c r="AN220" i="8"/>
  <c r="AM220" i="8"/>
  <c r="AL220" i="8"/>
  <c r="AK220" i="8"/>
  <c r="AJ220" i="8"/>
  <c r="AI220" i="8"/>
  <c r="AH220" i="8"/>
  <c r="AG220" i="8"/>
  <c r="AF220" i="8"/>
  <c r="AE220" i="8"/>
  <c r="AD220" i="8"/>
  <c r="AC220" i="8"/>
  <c r="AB220" i="8"/>
  <c r="AA220" i="8"/>
  <c r="Z220" i="8"/>
  <c r="Y220" i="8"/>
  <c r="X220" i="8"/>
  <c r="W220" i="8"/>
  <c r="V220" i="8"/>
  <c r="U220" i="8"/>
  <c r="T220" i="8"/>
  <c r="S220" i="8"/>
  <c r="R220" i="8"/>
  <c r="Q220" i="8"/>
  <c r="P220" i="8"/>
  <c r="O220" i="8"/>
  <c r="N220" i="8"/>
  <c r="M220" i="8"/>
  <c r="L220" i="8"/>
  <c r="K220" i="8"/>
  <c r="J220" i="8"/>
  <c r="I220" i="8"/>
  <c r="H220" i="8"/>
  <c r="G220" i="8"/>
  <c r="F220" i="8"/>
  <c r="E220" i="8"/>
  <c r="D220" i="8"/>
  <c r="C220" i="8"/>
  <c r="B220" i="8"/>
  <c r="A220" i="8"/>
  <c r="AR219" i="8"/>
  <c r="AQ219" i="8"/>
  <c r="AP219" i="8"/>
  <c r="AO219" i="8"/>
  <c r="AN219" i="8"/>
  <c r="AM219" i="8"/>
  <c r="AL219" i="8"/>
  <c r="AK219" i="8"/>
  <c r="AJ219" i="8"/>
  <c r="AI219" i="8"/>
  <c r="AH219" i="8"/>
  <c r="AG219" i="8"/>
  <c r="AF219" i="8"/>
  <c r="AE219" i="8"/>
  <c r="AD219" i="8"/>
  <c r="AC219" i="8"/>
  <c r="AB219" i="8"/>
  <c r="AA219" i="8"/>
  <c r="Z219" i="8"/>
  <c r="Y219" i="8"/>
  <c r="X219" i="8"/>
  <c r="W219" i="8"/>
  <c r="V219" i="8"/>
  <c r="U219" i="8"/>
  <c r="T219" i="8"/>
  <c r="S219" i="8"/>
  <c r="R219" i="8"/>
  <c r="Q219" i="8"/>
  <c r="P219" i="8"/>
  <c r="O219" i="8"/>
  <c r="N219" i="8"/>
  <c r="M219" i="8"/>
  <c r="L219" i="8"/>
  <c r="K219" i="8"/>
  <c r="J219" i="8"/>
  <c r="I219" i="8"/>
  <c r="H219" i="8"/>
  <c r="G219" i="8"/>
  <c r="F219" i="8"/>
  <c r="E219" i="8"/>
  <c r="D219" i="8"/>
  <c r="C219" i="8"/>
  <c r="B219" i="8"/>
  <c r="A219" i="8"/>
  <c r="AR218" i="8"/>
  <c r="AQ218" i="8"/>
  <c r="AP218" i="8"/>
  <c r="AO218" i="8"/>
  <c r="AN218" i="8"/>
  <c r="AM218" i="8"/>
  <c r="AL218" i="8"/>
  <c r="AK218" i="8"/>
  <c r="AJ218" i="8"/>
  <c r="AI218" i="8"/>
  <c r="AH218" i="8"/>
  <c r="AG218" i="8"/>
  <c r="AF218" i="8"/>
  <c r="AE218" i="8"/>
  <c r="AD218" i="8"/>
  <c r="AC218" i="8"/>
  <c r="AB218" i="8"/>
  <c r="AA218" i="8"/>
  <c r="Z218" i="8"/>
  <c r="Y218" i="8"/>
  <c r="X218" i="8"/>
  <c r="W218" i="8"/>
  <c r="V218" i="8"/>
  <c r="U218" i="8"/>
  <c r="T218" i="8"/>
  <c r="S218" i="8"/>
  <c r="R218" i="8"/>
  <c r="Q218" i="8"/>
  <c r="P218" i="8"/>
  <c r="O218" i="8"/>
  <c r="N218" i="8"/>
  <c r="M218" i="8"/>
  <c r="L218" i="8"/>
  <c r="K218" i="8"/>
  <c r="J218" i="8"/>
  <c r="I218" i="8"/>
  <c r="H218" i="8"/>
  <c r="G218" i="8"/>
  <c r="F218" i="8"/>
  <c r="E218" i="8"/>
  <c r="D218" i="8"/>
  <c r="C218" i="8"/>
  <c r="B218" i="8"/>
  <c r="A218" i="8"/>
  <c r="AR217" i="8"/>
  <c r="AQ217" i="8"/>
  <c r="AP217" i="8"/>
  <c r="AO217" i="8"/>
  <c r="AN217" i="8"/>
  <c r="AM217" i="8"/>
  <c r="AL217" i="8"/>
  <c r="AK217" i="8"/>
  <c r="AJ217" i="8"/>
  <c r="AI217" i="8"/>
  <c r="AH217" i="8"/>
  <c r="AG217" i="8"/>
  <c r="AF217" i="8"/>
  <c r="AE217" i="8"/>
  <c r="AD217" i="8"/>
  <c r="AC217" i="8"/>
  <c r="AB217" i="8"/>
  <c r="AA217" i="8"/>
  <c r="Z217" i="8"/>
  <c r="Y217" i="8"/>
  <c r="X217" i="8"/>
  <c r="W217" i="8"/>
  <c r="V217" i="8"/>
  <c r="U217" i="8"/>
  <c r="T217" i="8"/>
  <c r="S217" i="8"/>
  <c r="R217" i="8"/>
  <c r="Q217" i="8"/>
  <c r="P217" i="8"/>
  <c r="O217" i="8"/>
  <c r="N217" i="8"/>
  <c r="M217" i="8"/>
  <c r="L217" i="8"/>
  <c r="K217" i="8"/>
  <c r="J217" i="8"/>
  <c r="I217" i="8"/>
  <c r="H217" i="8"/>
  <c r="G217" i="8"/>
  <c r="F217" i="8"/>
  <c r="E217" i="8"/>
  <c r="D217" i="8"/>
  <c r="C217" i="8"/>
  <c r="B217" i="8"/>
  <c r="A217" i="8"/>
  <c r="AR216" i="8"/>
  <c r="AQ216" i="8"/>
  <c r="AP216" i="8"/>
  <c r="AO216" i="8"/>
  <c r="AN216" i="8"/>
  <c r="AM216" i="8"/>
  <c r="AL216" i="8"/>
  <c r="AK216" i="8"/>
  <c r="AJ216" i="8"/>
  <c r="AI216" i="8"/>
  <c r="AH216" i="8"/>
  <c r="AG216" i="8"/>
  <c r="AF216" i="8"/>
  <c r="AE216" i="8"/>
  <c r="AD216" i="8"/>
  <c r="AC216" i="8"/>
  <c r="AB216" i="8"/>
  <c r="AA216" i="8"/>
  <c r="Z216" i="8"/>
  <c r="Y216" i="8"/>
  <c r="X216" i="8"/>
  <c r="W216" i="8"/>
  <c r="V216" i="8"/>
  <c r="U216" i="8"/>
  <c r="T216" i="8"/>
  <c r="S216" i="8"/>
  <c r="R216" i="8"/>
  <c r="Q216" i="8"/>
  <c r="P216" i="8"/>
  <c r="O216" i="8"/>
  <c r="N216" i="8"/>
  <c r="M216" i="8"/>
  <c r="L216" i="8"/>
  <c r="K216" i="8"/>
  <c r="J216" i="8"/>
  <c r="I216" i="8"/>
  <c r="H216" i="8"/>
  <c r="G216" i="8"/>
  <c r="F216" i="8"/>
  <c r="E216" i="8"/>
  <c r="D216" i="8"/>
  <c r="C216" i="8"/>
  <c r="B216" i="8"/>
  <c r="A216" i="8"/>
  <c r="AR215" i="8"/>
  <c r="AQ215" i="8"/>
  <c r="AP215" i="8"/>
  <c r="AO215" i="8"/>
  <c r="AN215" i="8"/>
  <c r="AM215" i="8"/>
  <c r="AL215" i="8"/>
  <c r="AK215" i="8"/>
  <c r="AJ215" i="8"/>
  <c r="AI215" i="8"/>
  <c r="AH215" i="8"/>
  <c r="AG215" i="8"/>
  <c r="AF215" i="8"/>
  <c r="AE215" i="8"/>
  <c r="AD215" i="8"/>
  <c r="AC215" i="8"/>
  <c r="AB215" i="8"/>
  <c r="AA215" i="8"/>
  <c r="Z215" i="8"/>
  <c r="Y215" i="8"/>
  <c r="X215" i="8"/>
  <c r="W215" i="8"/>
  <c r="V215" i="8"/>
  <c r="U215" i="8"/>
  <c r="T215" i="8"/>
  <c r="S215" i="8"/>
  <c r="R215" i="8"/>
  <c r="Q215" i="8"/>
  <c r="P215" i="8"/>
  <c r="O215" i="8"/>
  <c r="N215" i="8"/>
  <c r="M215" i="8"/>
  <c r="L215" i="8"/>
  <c r="K215" i="8"/>
  <c r="J215" i="8"/>
  <c r="I215" i="8"/>
  <c r="H215" i="8"/>
  <c r="G215" i="8"/>
  <c r="F215" i="8"/>
  <c r="E215" i="8"/>
  <c r="D215" i="8"/>
  <c r="C215" i="8"/>
  <c r="B215" i="8"/>
  <c r="A215" i="8"/>
  <c r="AR214" i="8"/>
  <c r="AQ214" i="8"/>
  <c r="AP214" i="8"/>
  <c r="AO214" i="8"/>
  <c r="AN214" i="8"/>
  <c r="AM214" i="8"/>
  <c r="AL214" i="8"/>
  <c r="AK214" i="8"/>
  <c r="AJ214" i="8"/>
  <c r="AI214" i="8"/>
  <c r="AH214" i="8"/>
  <c r="AG214" i="8"/>
  <c r="AF214" i="8"/>
  <c r="AE214" i="8"/>
  <c r="AD214" i="8"/>
  <c r="AC214" i="8"/>
  <c r="AB214" i="8"/>
  <c r="AA214" i="8"/>
  <c r="Z214" i="8"/>
  <c r="Y214" i="8"/>
  <c r="X214" i="8"/>
  <c r="W214" i="8"/>
  <c r="V214" i="8"/>
  <c r="U214" i="8"/>
  <c r="T214" i="8"/>
  <c r="S214" i="8"/>
  <c r="R214" i="8"/>
  <c r="Q214" i="8"/>
  <c r="P214" i="8"/>
  <c r="O214" i="8"/>
  <c r="N214" i="8"/>
  <c r="M214" i="8"/>
  <c r="L214" i="8"/>
  <c r="K214" i="8"/>
  <c r="J214" i="8"/>
  <c r="I214" i="8"/>
  <c r="H214" i="8"/>
  <c r="G214" i="8"/>
  <c r="F214" i="8"/>
  <c r="E214" i="8"/>
  <c r="D214" i="8"/>
  <c r="C214" i="8"/>
  <c r="B214" i="8"/>
  <c r="A214" i="8"/>
  <c r="AR213" i="8"/>
  <c r="AQ213" i="8"/>
  <c r="AP213" i="8"/>
  <c r="AO213" i="8"/>
  <c r="AN213" i="8"/>
  <c r="AM213" i="8"/>
  <c r="AL213" i="8"/>
  <c r="AK213" i="8"/>
  <c r="AJ213" i="8"/>
  <c r="AI213" i="8"/>
  <c r="AH213" i="8"/>
  <c r="AG213" i="8"/>
  <c r="AF213" i="8"/>
  <c r="AE213" i="8"/>
  <c r="AD213" i="8"/>
  <c r="AC213" i="8"/>
  <c r="AB213" i="8"/>
  <c r="AA213" i="8"/>
  <c r="Z213" i="8"/>
  <c r="Y213" i="8"/>
  <c r="X213" i="8"/>
  <c r="W213" i="8"/>
  <c r="V213" i="8"/>
  <c r="U213" i="8"/>
  <c r="T213" i="8"/>
  <c r="S213" i="8"/>
  <c r="R213" i="8"/>
  <c r="Q213" i="8"/>
  <c r="P213" i="8"/>
  <c r="O213" i="8"/>
  <c r="N213" i="8"/>
  <c r="M213" i="8"/>
  <c r="L213" i="8"/>
  <c r="K213" i="8"/>
  <c r="J213" i="8"/>
  <c r="I213" i="8"/>
  <c r="H213" i="8"/>
  <c r="G213" i="8"/>
  <c r="F213" i="8"/>
  <c r="E213" i="8"/>
  <c r="D213" i="8"/>
  <c r="C213" i="8"/>
  <c r="B213" i="8"/>
  <c r="A213" i="8"/>
  <c r="AR212" i="8"/>
  <c r="AQ212" i="8"/>
  <c r="AP212" i="8"/>
  <c r="AO212" i="8"/>
  <c r="AN212" i="8"/>
  <c r="AM212" i="8"/>
  <c r="AL212" i="8"/>
  <c r="AK212" i="8"/>
  <c r="AJ212" i="8"/>
  <c r="AI212" i="8"/>
  <c r="AH212" i="8"/>
  <c r="AG212" i="8"/>
  <c r="AF212" i="8"/>
  <c r="AE212" i="8"/>
  <c r="AD212" i="8"/>
  <c r="AC212" i="8"/>
  <c r="AB212" i="8"/>
  <c r="AA212" i="8"/>
  <c r="Z212" i="8"/>
  <c r="Y212" i="8"/>
  <c r="X212" i="8"/>
  <c r="W212" i="8"/>
  <c r="V212" i="8"/>
  <c r="U212" i="8"/>
  <c r="T212" i="8"/>
  <c r="S212" i="8"/>
  <c r="R212" i="8"/>
  <c r="Q212" i="8"/>
  <c r="P212" i="8"/>
  <c r="O212" i="8"/>
  <c r="N212" i="8"/>
  <c r="M212" i="8"/>
  <c r="L212" i="8"/>
  <c r="K212" i="8"/>
  <c r="J212" i="8"/>
  <c r="I212" i="8"/>
  <c r="H212" i="8"/>
  <c r="G212" i="8"/>
  <c r="F212" i="8"/>
  <c r="E212" i="8"/>
  <c r="D212" i="8"/>
  <c r="C212" i="8"/>
  <c r="B212" i="8"/>
  <c r="A212" i="8"/>
  <c r="AR211" i="8"/>
  <c r="AQ211" i="8"/>
  <c r="AP211" i="8"/>
  <c r="AO211" i="8"/>
  <c r="AN211" i="8"/>
  <c r="AM211" i="8"/>
  <c r="AL211" i="8"/>
  <c r="AK211" i="8"/>
  <c r="AJ211" i="8"/>
  <c r="AI211" i="8"/>
  <c r="AH211" i="8"/>
  <c r="AG211" i="8"/>
  <c r="AF211" i="8"/>
  <c r="AE211" i="8"/>
  <c r="AD211" i="8"/>
  <c r="AC211" i="8"/>
  <c r="AB211" i="8"/>
  <c r="AA211" i="8"/>
  <c r="Z211" i="8"/>
  <c r="Y211" i="8"/>
  <c r="X211" i="8"/>
  <c r="W211" i="8"/>
  <c r="V211" i="8"/>
  <c r="U211" i="8"/>
  <c r="T211" i="8"/>
  <c r="S211" i="8"/>
  <c r="R211" i="8"/>
  <c r="Q211" i="8"/>
  <c r="P211" i="8"/>
  <c r="O211" i="8"/>
  <c r="N211" i="8"/>
  <c r="M211" i="8"/>
  <c r="L211" i="8"/>
  <c r="K211" i="8"/>
  <c r="J211" i="8"/>
  <c r="I211" i="8"/>
  <c r="H211" i="8"/>
  <c r="G211" i="8"/>
  <c r="F211" i="8"/>
  <c r="E211" i="8"/>
  <c r="D211" i="8"/>
  <c r="C211" i="8"/>
  <c r="B211" i="8"/>
  <c r="A211" i="8"/>
  <c r="AR210" i="8"/>
  <c r="AQ210" i="8"/>
  <c r="AP210" i="8"/>
  <c r="AO210" i="8"/>
  <c r="AN210" i="8"/>
  <c r="AM210" i="8"/>
  <c r="AL210" i="8"/>
  <c r="AK210" i="8"/>
  <c r="AJ210" i="8"/>
  <c r="AI210" i="8"/>
  <c r="AH210" i="8"/>
  <c r="AG210" i="8"/>
  <c r="AF210" i="8"/>
  <c r="AE210" i="8"/>
  <c r="AD210" i="8"/>
  <c r="AC210" i="8"/>
  <c r="AB210" i="8"/>
  <c r="AA210" i="8"/>
  <c r="Z210" i="8"/>
  <c r="Y210" i="8"/>
  <c r="X210" i="8"/>
  <c r="W210" i="8"/>
  <c r="V210" i="8"/>
  <c r="U210" i="8"/>
  <c r="T210" i="8"/>
  <c r="S210" i="8"/>
  <c r="R210" i="8"/>
  <c r="Q210" i="8"/>
  <c r="P210" i="8"/>
  <c r="O210" i="8"/>
  <c r="N210" i="8"/>
  <c r="M210" i="8"/>
  <c r="L210" i="8"/>
  <c r="K210" i="8"/>
  <c r="J210" i="8"/>
  <c r="I210" i="8"/>
  <c r="H210" i="8"/>
  <c r="G210" i="8"/>
  <c r="F210" i="8"/>
  <c r="E210" i="8"/>
  <c r="D210" i="8"/>
  <c r="C210" i="8"/>
  <c r="B210" i="8"/>
  <c r="A210" i="8"/>
  <c r="AR209" i="8"/>
  <c r="AQ209" i="8"/>
  <c r="AP209" i="8"/>
  <c r="AO209" i="8"/>
  <c r="AN209" i="8"/>
  <c r="AM209" i="8"/>
  <c r="AL209" i="8"/>
  <c r="AK209" i="8"/>
  <c r="AJ209" i="8"/>
  <c r="AI209" i="8"/>
  <c r="AH209" i="8"/>
  <c r="AG209" i="8"/>
  <c r="AF209" i="8"/>
  <c r="AE209" i="8"/>
  <c r="AD209" i="8"/>
  <c r="AC209" i="8"/>
  <c r="AB209" i="8"/>
  <c r="AA209" i="8"/>
  <c r="Z209" i="8"/>
  <c r="Y209" i="8"/>
  <c r="X209" i="8"/>
  <c r="W209" i="8"/>
  <c r="V209" i="8"/>
  <c r="U209" i="8"/>
  <c r="T209" i="8"/>
  <c r="S209" i="8"/>
  <c r="R209" i="8"/>
  <c r="Q209" i="8"/>
  <c r="P209" i="8"/>
  <c r="O209" i="8"/>
  <c r="N209" i="8"/>
  <c r="M209" i="8"/>
  <c r="L209" i="8"/>
  <c r="K209" i="8"/>
  <c r="J209" i="8"/>
  <c r="I209" i="8"/>
  <c r="H209" i="8"/>
  <c r="G209" i="8"/>
  <c r="F209" i="8"/>
  <c r="E209" i="8"/>
  <c r="D209" i="8"/>
  <c r="C209" i="8"/>
  <c r="B209" i="8"/>
  <c r="A209" i="8"/>
  <c r="AR208" i="8"/>
  <c r="AQ208" i="8"/>
  <c r="AP208" i="8"/>
  <c r="AO208" i="8"/>
  <c r="AN208" i="8"/>
  <c r="AM208" i="8"/>
  <c r="AL208" i="8"/>
  <c r="AK208" i="8"/>
  <c r="AJ208" i="8"/>
  <c r="AI208" i="8"/>
  <c r="AH208" i="8"/>
  <c r="AG208" i="8"/>
  <c r="AF208" i="8"/>
  <c r="AE208" i="8"/>
  <c r="AD208" i="8"/>
  <c r="AC208" i="8"/>
  <c r="AB208" i="8"/>
  <c r="AA208" i="8"/>
  <c r="Z208" i="8"/>
  <c r="Y208" i="8"/>
  <c r="X208" i="8"/>
  <c r="W208" i="8"/>
  <c r="V208" i="8"/>
  <c r="U208" i="8"/>
  <c r="T208" i="8"/>
  <c r="S208" i="8"/>
  <c r="R208" i="8"/>
  <c r="Q208" i="8"/>
  <c r="P208" i="8"/>
  <c r="O208" i="8"/>
  <c r="N208" i="8"/>
  <c r="M208" i="8"/>
  <c r="L208" i="8"/>
  <c r="K208" i="8"/>
  <c r="J208" i="8"/>
  <c r="I208" i="8"/>
  <c r="H208" i="8"/>
  <c r="G208" i="8"/>
  <c r="F208" i="8"/>
  <c r="E208" i="8"/>
  <c r="D208" i="8"/>
  <c r="C208" i="8"/>
  <c r="B208" i="8"/>
  <c r="A208" i="8"/>
  <c r="AR207" i="8"/>
  <c r="AQ207" i="8"/>
  <c r="AP207" i="8"/>
  <c r="AO207" i="8"/>
  <c r="AN207" i="8"/>
  <c r="AM207" i="8"/>
  <c r="AL207" i="8"/>
  <c r="AK207" i="8"/>
  <c r="AJ207" i="8"/>
  <c r="AI207" i="8"/>
  <c r="AH207" i="8"/>
  <c r="AG207" i="8"/>
  <c r="AF207" i="8"/>
  <c r="AE207" i="8"/>
  <c r="AD207" i="8"/>
  <c r="AC207" i="8"/>
  <c r="AB207" i="8"/>
  <c r="AA207" i="8"/>
  <c r="Z207" i="8"/>
  <c r="Y207" i="8"/>
  <c r="X207" i="8"/>
  <c r="W207" i="8"/>
  <c r="V207" i="8"/>
  <c r="U207" i="8"/>
  <c r="T207" i="8"/>
  <c r="S207" i="8"/>
  <c r="R207" i="8"/>
  <c r="Q207" i="8"/>
  <c r="P207" i="8"/>
  <c r="O207" i="8"/>
  <c r="N207" i="8"/>
  <c r="M207" i="8"/>
  <c r="L207" i="8"/>
  <c r="K207" i="8"/>
  <c r="J207" i="8"/>
  <c r="I207" i="8"/>
  <c r="H207" i="8"/>
  <c r="G207" i="8"/>
  <c r="F207" i="8"/>
  <c r="E207" i="8"/>
  <c r="D207" i="8"/>
  <c r="C207" i="8"/>
  <c r="B207" i="8"/>
  <c r="A207" i="8"/>
  <c r="AR206" i="8"/>
  <c r="AQ206" i="8"/>
  <c r="AP206" i="8"/>
  <c r="AO206" i="8"/>
  <c r="AN206" i="8"/>
  <c r="AM206" i="8"/>
  <c r="AL206" i="8"/>
  <c r="AK206" i="8"/>
  <c r="AJ206" i="8"/>
  <c r="AI206" i="8"/>
  <c r="AH206" i="8"/>
  <c r="AG206" i="8"/>
  <c r="AF206" i="8"/>
  <c r="AE206" i="8"/>
  <c r="AD206" i="8"/>
  <c r="AC206" i="8"/>
  <c r="AB206" i="8"/>
  <c r="AA206" i="8"/>
  <c r="Z206" i="8"/>
  <c r="Y206" i="8"/>
  <c r="X206" i="8"/>
  <c r="W206" i="8"/>
  <c r="V206" i="8"/>
  <c r="U206" i="8"/>
  <c r="T206" i="8"/>
  <c r="S206" i="8"/>
  <c r="R206" i="8"/>
  <c r="Q206" i="8"/>
  <c r="P206" i="8"/>
  <c r="O206" i="8"/>
  <c r="N206" i="8"/>
  <c r="M206" i="8"/>
  <c r="L206" i="8"/>
  <c r="K206" i="8"/>
  <c r="J206" i="8"/>
  <c r="I206" i="8"/>
  <c r="H206" i="8"/>
  <c r="G206" i="8"/>
  <c r="F206" i="8"/>
  <c r="E206" i="8"/>
  <c r="D206" i="8"/>
  <c r="C206" i="8"/>
  <c r="B206" i="8"/>
  <c r="A206" i="8"/>
  <c r="AR205" i="8"/>
  <c r="AQ205" i="8"/>
  <c r="AP205" i="8"/>
  <c r="AO205" i="8"/>
  <c r="AN205" i="8"/>
  <c r="AM205" i="8"/>
  <c r="AL205" i="8"/>
  <c r="AK205" i="8"/>
  <c r="AJ205" i="8"/>
  <c r="AI205" i="8"/>
  <c r="AH205" i="8"/>
  <c r="AG205" i="8"/>
  <c r="AF205" i="8"/>
  <c r="AE205" i="8"/>
  <c r="AD205" i="8"/>
  <c r="AC205" i="8"/>
  <c r="AB205" i="8"/>
  <c r="AA205" i="8"/>
  <c r="Z205" i="8"/>
  <c r="Y205" i="8"/>
  <c r="X205" i="8"/>
  <c r="W205" i="8"/>
  <c r="V205" i="8"/>
  <c r="U205" i="8"/>
  <c r="T205" i="8"/>
  <c r="S205" i="8"/>
  <c r="R205" i="8"/>
  <c r="Q205" i="8"/>
  <c r="P205" i="8"/>
  <c r="O205" i="8"/>
  <c r="N205" i="8"/>
  <c r="M205" i="8"/>
  <c r="L205" i="8"/>
  <c r="K205" i="8"/>
  <c r="J205" i="8"/>
  <c r="I205" i="8"/>
  <c r="H205" i="8"/>
  <c r="G205" i="8"/>
  <c r="F205" i="8"/>
  <c r="E205" i="8"/>
  <c r="D205" i="8"/>
  <c r="C205" i="8"/>
  <c r="B205" i="8"/>
  <c r="A205" i="8"/>
  <c r="AR204" i="8"/>
  <c r="AQ204" i="8"/>
  <c r="AP204" i="8"/>
  <c r="AO204" i="8"/>
  <c r="AN204" i="8"/>
  <c r="AM204" i="8"/>
  <c r="AL204" i="8"/>
  <c r="AK204" i="8"/>
  <c r="AJ204" i="8"/>
  <c r="AI204" i="8"/>
  <c r="AH204" i="8"/>
  <c r="AG204" i="8"/>
  <c r="AF204" i="8"/>
  <c r="AE204" i="8"/>
  <c r="AD204" i="8"/>
  <c r="AC204" i="8"/>
  <c r="AB204" i="8"/>
  <c r="AA204" i="8"/>
  <c r="Z204" i="8"/>
  <c r="Y204" i="8"/>
  <c r="X204" i="8"/>
  <c r="W204" i="8"/>
  <c r="V204" i="8"/>
  <c r="U204" i="8"/>
  <c r="T204" i="8"/>
  <c r="S204" i="8"/>
  <c r="R204" i="8"/>
  <c r="Q204" i="8"/>
  <c r="P204" i="8"/>
  <c r="O204" i="8"/>
  <c r="N204" i="8"/>
  <c r="M204" i="8"/>
  <c r="L204" i="8"/>
  <c r="K204" i="8"/>
  <c r="J204" i="8"/>
  <c r="I204" i="8"/>
  <c r="H204" i="8"/>
  <c r="G204" i="8"/>
  <c r="F204" i="8"/>
  <c r="E204" i="8"/>
  <c r="D204" i="8"/>
  <c r="C204" i="8"/>
  <c r="B204" i="8"/>
  <c r="A204" i="8"/>
  <c r="AR203" i="8"/>
  <c r="AQ203" i="8"/>
  <c r="AP203" i="8"/>
  <c r="AO203" i="8"/>
  <c r="AN203" i="8"/>
  <c r="AM203" i="8"/>
  <c r="AL203" i="8"/>
  <c r="AK203" i="8"/>
  <c r="AJ203" i="8"/>
  <c r="AI203" i="8"/>
  <c r="AH203" i="8"/>
  <c r="AG203" i="8"/>
  <c r="AF203" i="8"/>
  <c r="AE203" i="8"/>
  <c r="AD203" i="8"/>
  <c r="AC203" i="8"/>
  <c r="AB203" i="8"/>
  <c r="AA203" i="8"/>
  <c r="Z203" i="8"/>
  <c r="Y203" i="8"/>
  <c r="X203" i="8"/>
  <c r="W203" i="8"/>
  <c r="V203" i="8"/>
  <c r="U203" i="8"/>
  <c r="T203" i="8"/>
  <c r="S203" i="8"/>
  <c r="R203" i="8"/>
  <c r="Q203" i="8"/>
  <c r="P203" i="8"/>
  <c r="O203" i="8"/>
  <c r="N203" i="8"/>
  <c r="M203" i="8"/>
  <c r="L203" i="8"/>
  <c r="K203" i="8"/>
  <c r="J203" i="8"/>
  <c r="I203" i="8"/>
  <c r="H203" i="8"/>
  <c r="G203" i="8"/>
  <c r="F203" i="8"/>
  <c r="E203" i="8"/>
  <c r="D203" i="8"/>
  <c r="C203" i="8"/>
  <c r="B203" i="8"/>
  <c r="A203" i="8"/>
  <c r="AR202" i="8"/>
  <c r="AQ202" i="8"/>
  <c r="AP202" i="8"/>
  <c r="AO202" i="8"/>
  <c r="AN202" i="8"/>
  <c r="AM202" i="8"/>
  <c r="AL202" i="8"/>
  <c r="AK202" i="8"/>
  <c r="AJ202" i="8"/>
  <c r="AI202" i="8"/>
  <c r="AH202" i="8"/>
  <c r="AG202" i="8"/>
  <c r="AF202" i="8"/>
  <c r="AE202" i="8"/>
  <c r="AD202" i="8"/>
  <c r="AC202" i="8"/>
  <c r="AB202" i="8"/>
  <c r="AA202" i="8"/>
  <c r="Z202" i="8"/>
  <c r="Y202" i="8"/>
  <c r="X202" i="8"/>
  <c r="W202" i="8"/>
  <c r="V202" i="8"/>
  <c r="U202" i="8"/>
  <c r="T202" i="8"/>
  <c r="S202" i="8"/>
  <c r="R202" i="8"/>
  <c r="Q202" i="8"/>
  <c r="P202" i="8"/>
  <c r="O202" i="8"/>
  <c r="N202" i="8"/>
  <c r="M202" i="8"/>
  <c r="L202" i="8"/>
  <c r="K202" i="8"/>
  <c r="J202" i="8"/>
  <c r="I202" i="8"/>
  <c r="H202" i="8"/>
  <c r="G202" i="8"/>
  <c r="F202" i="8"/>
  <c r="E202" i="8"/>
  <c r="D202" i="8"/>
  <c r="C202" i="8"/>
  <c r="B202" i="8"/>
  <c r="A202" i="8"/>
  <c r="AR201" i="8"/>
  <c r="AQ201" i="8"/>
  <c r="AP201" i="8"/>
  <c r="AO201" i="8"/>
  <c r="AN201" i="8"/>
  <c r="AM201" i="8"/>
  <c r="AL201" i="8"/>
  <c r="AK201" i="8"/>
  <c r="AJ201" i="8"/>
  <c r="AI201" i="8"/>
  <c r="AH201" i="8"/>
  <c r="AG201" i="8"/>
  <c r="AF201" i="8"/>
  <c r="AE201" i="8"/>
  <c r="AD201" i="8"/>
  <c r="AC201" i="8"/>
  <c r="AB201" i="8"/>
  <c r="AA201" i="8"/>
  <c r="Z201" i="8"/>
  <c r="Y201" i="8"/>
  <c r="X201" i="8"/>
  <c r="W201" i="8"/>
  <c r="V201" i="8"/>
  <c r="U201" i="8"/>
  <c r="T201" i="8"/>
  <c r="S201" i="8"/>
  <c r="R201" i="8"/>
  <c r="Q201" i="8"/>
  <c r="P201" i="8"/>
  <c r="O201" i="8"/>
  <c r="N201" i="8"/>
  <c r="M201" i="8"/>
  <c r="L201" i="8"/>
  <c r="K201" i="8"/>
  <c r="J201" i="8"/>
  <c r="I201" i="8"/>
  <c r="H201" i="8"/>
  <c r="G201" i="8"/>
  <c r="F201" i="8"/>
  <c r="E201" i="8"/>
  <c r="D201" i="8"/>
  <c r="C201" i="8"/>
  <c r="B201" i="8"/>
  <c r="A201" i="8"/>
  <c r="AR200" i="8"/>
  <c r="AQ200" i="8"/>
  <c r="AP200" i="8"/>
  <c r="AO200" i="8"/>
  <c r="AN200" i="8"/>
  <c r="AM200" i="8"/>
  <c r="AL200" i="8"/>
  <c r="AK200" i="8"/>
  <c r="AJ200" i="8"/>
  <c r="AI200" i="8"/>
  <c r="AH200" i="8"/>
  <c r="AG200" i="8"/>
  <c r="AF200" i="8"/>
  <c r="AE200" i="8"/>
  <c r="AD200" i="8"/>
  <c r="AC200" i="8"/>
  <c r="AB200" i="8"/>
  <c r="AA200" i="8"/>
  <c r="Z200" i="8"/>
  <c r="Y200" i="8"/>
  <c r="X200" i="8"/>
  <c r="W200" i="8"/>
  <c r="V200" i="8"/>
  <c r="U200" i="8"/>
  <c r="T200" i="8"/>
  <c r="S200" i="8"/>
  <c r="R200" i="8"/>
  <c r="Q200" i="8"/>
  <c r="P200" i="8"/>
  <c r="O200" i="8"/>
  <c r="N200" i="8"/>
  <c r="M200" i="8"/>
  <c r="L200" i="8"/>
  <c r="K200" i="8"/>
  <c r="J200" i="8"/>
  <c r="I200" i="8"/>
  <c r="H200" i="8"/>
  <c r="G200" i="8"/>
  <c r="F200" i="8"/>
  <c r="E200" i="8"/>
  <c r="D200" i="8"/>
  <c r="C200" i="8"/>
  <c r="B200" i="8"/>
  <c r="A200" i="8"/>
  <c r="AR199" i="8"/>
  <c r="AQ199" i="8"/>
  <c r="AP199" i="8"/>
  <c r="AO199" i="8"/>
  <c r="AN199" i="8"/>
  <c r="AM199" i="8"/>
  <c r="AL199" i="8"/>
  <c r="AK199" i="8"/>
  <c r="AJ199" i="8"/>
  <c r="AI199" i="8"/>
  <c r="AH199" i="8"/>
  <c r="AG199" i="8"/>
  <c r="AF199" i="8"/>
  <c r="AE199" i="8"/>
  <c r="AD199" i="8"/>
  <c r="AC199" i="8"/>
  <c r="AB199" i="8"/>
  <c r="AA199" i="8"/>
  <c r="Z199" i="8"/>
  <c r="Y199" i="8"/>
  <c r="X199" i="8"/>
  <c r="W199" i="8"/>
  <c r="V199" i="8"/>
  <c r="U199" i="8"/>
  <c r="T199" i="8"/>
  <c r="S199" i="8"/>
  <c r="R199" i="8"/>
  <c r="Q199" i="8"/>
  <c r="P199" i="8"/>
  <c r="O199" i="8"/>
  <c r="N199" i="8"/>
  <c r="M199" i="8"/>
  <c r="L199" i="8"/>
  <c r="K199" i="8"/>
  <c r="J199" i="8"/>
  <c r="I199" i="8"/>
  <c r="H199" i="8"/>
  <c r="G199" i="8"/>
  <c r="F199" i="8"/>
  <c r="E199" i="8"/>
  <c r="D199" i="8"/>
  <c r="C199" i="8"/>
  <c r="B199" i="8"/>
  <c r="A199" i="8"/>
  <c r="AR198" i="8"/>
  <c r="AQ198" i="8"/>
  <c r="AP198" i="8"/>
  <c r="AO198" i="8"/>
  <c r="AN198" i="8"/>
  <c r="AM198" i="8"/>
  <c r="AL198" i="8"/>
  <c r="AK198" i="8"/>
  <c r="AJ198" i="8"/>
  <c r="AI198" i="8"/>
  <c r="AH198" i="8"/>
  <c r="AG198" i="8"/>
  <c r="AF198" i="8"/>
  <c r="AE198" i="8"/>
  <c r="AD198" i="8"/>
  <c r="AC198" i="8"/>
  <c r="AB198" i="8"/>
  <c r="AA198" i="8"/>
  <c r="Z198" i="8"/>
  <c r="Y198" i="8"/>
  <c r="X198" i="8"/>
  <c r="W198" i="8"/>
  <c r="V198" i="8"/>
  <c r="U198" i="8"/>
  <c r="T198" i="8"/>
  <c r="S198" i="8"/>
  <c r="R198" i="8"/>
  <c r="Q198" i="8"/>
  <c r="P198" i="8"/>
  <c r="O198" i="8"/>
  <c r="N198" i="8"/>
  <c r="M198" i="8"/>
  <c r="L198" i="8"/>
  <c r="K198" i="8"/>
  <c r="J198" i="8"/>
  <c r="I198" i="8"/>
  <c r="H198" i="8"/>
  <c r="G198" i="8"/>
  <c r="F198" i="8"/>
  <c r="E198" i="8"/>
  <c r="D198" i="8"/>
  <c r="C198" i="8"/>
  <c r="B198" i="8"/>
  <c r="A198" i="8"/>
  <c r="AR197" i="8"/>
  <c r="AQ197" i="8"/>
  <c r="AP197" i="8"/>
  <c r="AO197" i="8"/>
  <c r="AN197" i="8"/>
  <c r="AM197" i="8"/>
  <c r="AL197" i="8"/>
  <c r="AK197" i="8"/>
  <c r="AJ197" i="8"/>
  <c r="AI197" i="8"/>
  <c r="AH197" i="8"/>
  <c r="AG197" i="8"/>
  <c r="AF197" i="8"/>
  <c r="AE197" i="8"/>
  <c r="AD197" i="8"/>
  <c r="AC197" i="8"/>
  <c r="AB197" i="8"/>
  <c r="AA197" i="8"/>
  <c r="Z197" i="8"/>
  <c r="Y197" i="8"/>
  <c r="X197" i="8"/>
  <c r="W197" i="8"/>
  <c r="V197" i="8"/>
  <c r="U197" i="8"/>
  <c r="T197" i="8"/>
  <c r="S197" i="8"/>
  <c r="R197" i="8"/>
  <c r="Q197" i="8"/>
  <c r="P197" i="8"/>
  <c r="O197" i="8"/>
  <c r="N197" i="8"/>
  <c r="M197" i="8"/>
  <c r="L197" i="8"/>
  <c r="K197" i="8"/>
  <c r="J197" i="8"/>
  <c r="I197" i="8"/>
  <c r="H197" i="8"/>
  <c r="G197" i="8"/>
  <c r="F197" i="8"/>
  <c r="E197" i="8"/>
  <c r="D197" i="8"/>
  <c r="C197" i="8"/>
  <c r="B197" i="8"/>
  <c r="A197" i="8"/>
  <c r="AR196" i="8"/>
  <c r="AQ196" i="8"/>
  <c r="AP196" i="8"/>
  <c r="AO196" i="8"/>
  <c r="AN196" i="8"/>
  <c r="AM196" i="8"/>
  <c r="AL196" i="8"/>
  <c r="AK196" i="8"/>
  <c r="AJ196" i="8"/>
  <c r="AI196" i="8"/>
  <c r="AH196" i="8"/>
  <c r="AG196" i="8"/>
  <c r="AF196" i="8"/>
  <c r="AE196" i="8"/>
  <c r="AD196" i="8"/>
  <c r="AC196" i="8"/>
  <c r="AB196" i="8"/>
  <c r="AA196" i="8"/>
  <c r="Z196" i="8"/>
  <c r="Y196" i="8"/>
  <c r="X196" i="8"/>
  <c r="W196" i="8"/>
  <c r="V196" i="8"/>
  <c r="U196" i="8"/>
  <c r="T196" i="8"/>
  <c r="S196" i="8"/>
  <c r="R196" i="8"/>
  <c r="Q196" i="8"/>
  <c r="P196" i="8"/>
  <c r="O196" i="8"/>
  <c r="N196" i="8"/>
  <c r="M196" i="8"/>
  <c r="L196" i="8"/>
  <c r="K196" i="8"/>
  <c r="J196" i="8"/>
  <c r="I196" i="8"/>
  <c r="H196" i="8"/>
  <c r="G196" i="8"/>
  <c r="F196" i="8"/>
  <c r="E196" i="8"/>
  <c r="D196" i="8"/>
  <c r="C196" i="8"/>
  <c r="B196" i="8"/>
  <c r="A196" i="8"/>
  <c r="AR195" i="8"/>
  <c r="AQ195" i="8"/>
  <c r="AP195" i="8"/>
  <c r="AO195" i="8"/>
  <c r="AN195" i="8"/>
  <c r="AM195" i="8"/>
  <c r="AL195" i="8"/>
  <c r="AK195" i="8"/>
  <c r="AJ195" i="8"/>
  <c r="AI195" i="8"/>
  <c r="AH195" i="8"/>
  <c r="AG195" i="8"/>
  <c r="AF195" i="8"/>
  <c r="AE195" i="8"/>
  <c r="AD195" i="8"/>
  <c r="AC195" i="8"/>
  <c r="AB195" i="8"/>
  <c r="AA195" i="8"/>
  <c r="Z195" i="8"/>
  <c r="Y195" i="8"/>
  <c r="X195" i="8"/>
  <c r="W195" i="8"/>
  <c r="V195" i="8"/>
  <c r="U195" i="8"/>
  <c r="T195" i="8"/>
  <c r="S195" i="8"/>
  <c r="R195" i="8"/>
  <c r="Q195" i="8"/>
  <c r="P195" i="8"/>
  <c r="O195" i="8"/>
  <c r="N195" i="8"/>
  <c r="M195" i="8"/>
  <c r="L195" i="8"/>
  <c r="K195" i="8"/>
  <c r="J195" i="8"/>
  <c r="I195" i="8"/>
  <c r="H195" i="8"/>
  <c r="G195" i="8"/>
  <c r="F195" i="8"/>
  <c r="E195" i="8"/>
  <c r="D195" i="8"/>
  <c r="C195" i="8"/>
  <c r="B195" i="8"/>
  <c r="A195" i="8"/>
  <c r="AR194" i="8"/>
  <c r="AQ194" i="8"/>
  <c r="AP194" i="8"/>
  <c r="AO194" i="8"/>
  <c r="AN194" i="8"/>
  <c r="AM194" i="8"/>
  <c r="AL194" i="8"/>
  <c r="AK194" i="8"/>
  <c r="AJ194" i="8"/>
  <c r="AI194" i="8"/>
  <c r="AH194" i="8"/>
  <c r="AG194" i="8"/>
  <c r="AF194" i="8"/>
  <c r="AE194" i="8"/>
  <c r="AD194" i="8"/>
  <c r="AC194" i="8"/>
  <c r="AB194" i="8"/>
  <c r="AA194" i="8"/>
  <c r="Z194" i="8"/>
  <c r="Y194" i="8"/>
  <c r="X194" i="8"/>
  <c r="W194" i="8"/>
  <c r="V194" i="8"/>
  <c r="U194" i="8"/>
  <c r="T194" i="8"/>
  <c r="S194" i="8"/>
  <c r="R194" i="8"/>
  <c r="Q194" i="8"/>
  <c r="P194" i="8"/>
  <c r="O194" i="8"/>
  <c r="N194" i="8"/>
  <c r="M194" i="8"/>
  <c r="L194" i="8"/>
  <c r="K194" i="8"/>
  <c r="J194" i="8"/>
  <c r="I194" i="8"/>
  <c r="H194" i="8"/>
  <c r="G194" i="8"/>
  <c r="F194" i="8"/>
  <c r="E194" i="8"/>
  <c r="D194" i="8"/>
  <c r="C194" i="8"/>
  <c r="B194" i="8"/>
  <c r="A194" i="8"/>
  <c r="AR193" i="8"/>
  <c r="AQ193" i="8"/>
  <c r="AP193" i="8"/>
  <c r="AO193" i="8"/>
  <c r="AN193" i="8"/>
  <c r="AM193" i="8"/>
  <c r="AL193" i="8"/>
  <c r="AK193" i="8"/>
  <c r="AJ193" i="8"/>
  <c r="AI193" i="8"/>
  <c r="AH193" i="8"/>
  <c r="AG193" i="8"/>
  <c r="AF193" i="8"/>
  <c r="AE193" i="8"/>
  <c r="AD193" i="8"/>
  <c r="AC193" i="8"/>
  <c r="AB193" i="8"/>
  <c r="AA193" i="8"/>
  <c r="Z193" i="8"/>
  <c r="Y193" i="8"/>
  <c r="X193" i="8"/>
  <c r="W193" i="8"/>
  <c r="V193" i="8"/>
  <c r="U193" i="8"/>
  <c r="T193" i="8"/>
  <c r="S193" i="8"/>
  <c r="R193" i="8"/>
  <c r="Q193" i="8"/>
  <c r="P193" i="8"/>
  <c r="O193" i="8"/>
  <c r="N193" i="8"/>
  <c r="M193" i="8"/>
  <c r="L193" i="8"/>
  <c r="K193" i="8"/>
  <c r="J193" i="8"/>
  <c r="I193" i="8"/>
  <c r="H193" i="8"/>
  <c r="G193" i="8"/>
  <c r="F193" i="8"/>
  <c r="E193" i="8"/>
  <c r="D193" i="8"/>
  <c r="C193" i="8"/>
  <c r="B193" i="8"/>
  <c r="A193" i="8"/>
  <c r="AR192" i="8"/>
  <c r="AQ192" i="8"/>
  <c r="AP192" i="8"/>
  <c r="AO192" i="8"/>
  <c r="AN192" i="8"/>
  <c r="AM192" i="8"/>
  <c r="AL192" i="8"/>
  <c r="AK192" i="8"/>
  <c r="AJ192" i="8"/>
  <c r="AI192" i="8"/>
  <c r="AH192" i="8"/>
  <c r="AG192" i="8"/>
  <c r="AF192" i="8"/>
  <c r="AE192" i="8"/>
  <c r="AD192" i="8"/>
  <c r="AC192" i="8"/>
  <c r="AB192" i="8"/>
  <c r="AA192" i="8"/>
  <c r="Z192" i="8"/>
  <c r="Y192" i="8"/>
  <c r="X192" i="8"/>
  <c r="W192" i="8"/>
  <c r="V192" i="8"/>
  <c r="U192" i="8"/>
  <c r="T192" i="8"/>
  <c r="S192" i="8"/>
  <c r="R192" i="8"/>
  <c r="Q192" i="8"/>
  <c r="P192" i="8"/>
  <c r="O192" i="8"/>
  <c r="N192" i="8"/>
  <c r="M192" i="8"/>
  <c r="L192" i="8"/>
  <c r="K192" i="8"/>
  <c r="J192" i="8"/>
  <c r="I192" i="8"/>
  <c r="H192" i="8"/>
  <c r="G192" i="8"/>
  <c r="F192" i="8"/>
  <c r="E192" i="8"/>
  <c r="D192" i="8"/>
  <c r="C192" i="8"/>
  <c r="B192" i="8"/>
  <c r="A192" i="8"/>
  <c r="AR191" i="8"/>
  <c r="AQ191" i="8"/>
  <c r="AP191" i="8"/>
  <c r="AO191" i="8"/>
  <c r="AN191" i="8"/>
  <c r="AM191" i="8"/>
  <c r="AL191" i="8"/>
  <c r="AK191" i="8"/>
  <c r="AJ191" i="8"/>
  <c r="AI191" i="8"/>
  <c r="AH191" i="8"/>
  <c r="AG191" i="8"/>
  <c r="AF191" i="8"/>
  <c r="AE191" i="8"/>
  <c r="AD191" i="8"/>
  <c r="AC191" i="8"/>
  <c r="AB191" i="8"/>
  <c r="AA191" i="8"/>
  <c r="Z191" i="8"/>
  <c r="Y191" i="8"/>
  <c r="X191" i="8"/>
  <c r="W191" i="8"/>
  <c r="V191" i="8"/>
  <c r="U191" i="8"/>
  <c r="T191" i="8"/>
  <c r="S191" i="8"/>
  <c r="R191" i="8"/>
  <c r="Q191" i="8"/>
  <c r="P191" i="8"/>
  <c r="O191" i="8"/>
  <c r="N191" i="8"/>
  <c r="M191" i="8"/>
  <c r="L191" i="8"/>
  <c r="K191" i="8"/>
  <c r="J191" i="8"/>
  <c r="I191" i="8"/>
  <c r="H191" i="8"/>
  <c r="G191" i="8"/>
  <c r="F191" i="8"/>
  <c r="E191" i="8"/>
  <c r="D191" i="8"/>
  <c r="C191" i="8"/>
  <c r="B191" i="8"/>
  <c r="A191" i="8"/>
  <c r="AR190" i="8"/>
  <c r="AQ190" i="8"/>
  <c r="AP190" i="8"/>
  <c r="AO190" i="8"/>
  <c r="AN190" i="8"/>
  <c r="AM190" i="8"/>
  <c r="AL190" i="8"/>
  <c r="AK190" i="8"/>
  <c r="AJ190" i="8"/>
  <c r="AI190" i="8"/>
  <c r="AH190" i="8"/>
  <c r="AG190" i="8"/>
  <c r="AF190" i="8"/>
  <c r="AE190" i="8"/>
  <c r="AD190" i="8"/>
  <c r="AC190" i="8"/>
  <c r="AB190" i="8"/>
  <c r="AA190" i="8"/>
  <c r="Z190" i="8"/>
  <c r="Y190" i="8"/>
  <c r="X190" i="8"/>
  <c r="W190" i="8"/>
  <c r="V190" i="8"/>
  <c r="U190" i="8"/>
  <c r="T190" i="8"/>
  <c r="S190" i="8"/>
  <c r="R190" i="8"/>
  <c r="Q190" i="8"/>
  <c r="P190" i="8"/>
  <c r="O190" i="8"/>
  <c r="N190" i="8"/>
  <c r="M190" i="8"/>
  <c r="L190" i="8"/>
  <c r="K190" i="8"/>
  <c r="J190" i="8"/>
  <c r="I190" i="8"/>
  <c r="H190" i="8"/>
  <c r="G190" i="8"/>
  <c r="F190" i="8"/>
  <c r="E190" i="8"/>
  <c r="D190" i="8"/>
  <c r="C190" i="8"/>
  <c r="B190" i="8"/>
  <c r="A190" i="8"/>
  <c r="AR189" i="8"/>
  <c r="AQ189" i="8"/>
  <c r="AP189" i="8"/>
  <c r="AO189" i="8"/>
  <c r="AN189" i="8"/>
  <c r="AM189" i="8"/>
  <c r="AL189" i="8"/>
  <c r="AK189" i="8"/>
  <c r="AJ189" i="8"/>
  <c r="AI189" i="8"/>
  <c r="AH189" i="8"/>
  <c r="AG189" i="8"/>
  <c r="AF189" i="8"/>
  <c r="AE189" i="8"/>
  <c r="AD189" i="8"/>
  <c r="AC189" i="8"/>
  <c r="AB189" i="8"/>
  <c r="AA189" i="8"/>
  <c r="Z189" i="8"/>
  <c r="Y189" i="8"/>
  <c r="X189" i="8"/>
  <c r="W189" i="8"/>
  <c r="V189" i="8"/>
  <c r="U189" i="8"/>
  <c r="T189" i="8"/>
  <c r="S189" i="8"/>
  <c r="R189" i="8"/>
  <c r="Q189" i="8"/>
  <c r="P189" i="8"/>
  <c r="O189" i="8"/>
  <c r="N189" i="8"/>
  <c r="M189" i="8"/>
  <c r="L189" i="8"/>
  <c r="K189" i="8"/>
  <c r="J189" i="8"/>
  <c r="I189" i="8"/>
  <c r="H189" i="8"/>
  <c r="G189" i="8"/>
  <c r="F189" i="8"/>
  <c r="E189" i="8"/>
  <c r="D189" i="8"/>
  <c r="C189" i="8"/>
  <c r="B189" i="8"/>
  <c r="A189" i="8"/>
  <c r="AR188" i="8"/>
  <c r="AQ188" i="8"/>
  <c r="AP188" i="8"/>
  <c r="AO188" i="8"/>
  <c r="AN188" i="8"/>
  <c r="AM188" i="8"/>
  <c r="AL188" i="8"/>
  <c r="AK188" i="8"/>
  <c r="AJ188" i="8"/>
  <c r="AI188" i="8"/>
  <c r="AH188" i="8"/>
  <c r="AG188" i="8"/>
  <c r="AF188" i="8"/>
  <c r="AE188" i="8"/>
  <c r="AD188" i="8"/>
  <c r="AC188" i="8"/>
  <c r="AB188" i="8"/>
  <c r="AA188" i="8"/>
  <c r="Z188" i="8"/>
  <c r="Y188" i="8"/>
  <c r="X188" i="8"/>
  <c r="W188" i="8"/>
  <c r="V188" i="8"/>
  <c r="U188" i="8"/>
  <c r="T188" i="8"/>
  <c r="S188" i="8"/>
  <c r="R188" i="8"/>
  <c r="Q188" i="8"/>
  <c r="P188" i="8"/>
  <c r="O188" i="8"/>
  <c r="N188" i="8"/>
  <c r="M188" i="8"/>
  <c r="L188" i="8"/>
  <c r="K188" i="8"/>
  <c r="J188" i="8"/>
  <c r="I188" i="8"/>
  <c r="H188" i="8"/>
  <c r="G188" i="8"/>
  <c r="F188" i="8"/>
  <c r="E188" i="8"/>
  <c r="D188" i="8"/>
  <c r="C188" i="8"/>
  <c r="B188" i="8"/>
  <c r="A188" i="8"/>
  <c r="AR187" i="8"/>
  <c r="AQ187" i="8"/>
  <c r="AP187" i="8"/>
  <c r="AO187" i="8"/>
  <c r="AN187" i="8"/>
  <c r="AM187" i="8"/>
  <c r="AL187" i="8"/>
  <c r="AK187" i="8"/>
  <c r="AJ187" i="8"/>
  <c r="AI187" i="8"/>
  <c r="AH187" i="8"/>
  <c r="AG187" i="8"/>
  <c r="AF187" i="8"/>
  <c r="AE187" i="8"/>
  <c r="AD187" i="8"/>
  <c r="AC187" i="8"/>
  <c r="AB187" i="8"/>
  <c r="AA187" i="8"/>
  <c r="Z187" i="8"/>
  <c r="Y187" i="8"/>
  <c r="X187" i="8"/>
  <c r="W187" i="8"/>
  <c r="V187" i="8"/>
  <c r="U187" i="8"/>
  <c r="T187" i="8"/>
  <c r="S187" i="8"/>
  <c r="R187" i="8"/>
  <c r="Q187" i="8"/>
  <c r="P187" i="8"/>
  <c r="O187" i="8"/>
  <c r="N187" i="8"/>
  <c r="M187" i="8"/>
  <c r="L187" i="8"/>
  <c r="K187" i="8"/>
  <c r="J187" i="8"/>
  <c r="I187" i="8"/>
  <c r="H187" i="8"/>
  <c r="G187" i="8"/>
  <c r="F187" i="8"/>
  <c r="E187" i="8"/>
  <c r="D187" i="8"/>
  <c r="C187" i="8"/>
  <c r="B187" i="8"/>
  <c r="A187" i="8"/>
  <c r="AR186" i="8"/>
  <c r="AQ186" i="8"/>
  <c r="AP186" i="8"/>
  <c r="AO186" i="8"/>
  <c r="AN186" i="8"/>
  <c r="AM186" i="8"/>
  <c r="AL186" i="8"/>
  <c r="AK186" i="8"/>
  <c r="AJ186" i="8"/>
  <c r="AI186" i="8"/>
  <c r="AH186" i="8"/>
  <c r="AG186" i="8"/>
  <c r="AF186" i="8"/>
  <c r="AE186" i="8"/>
  <c r="AD186" i="8"/>
  <c r="AC186" i="8"/>
  <c r="AB186" i="8"/>
  <c r="AA186" i="8"/>
  <c r="Z186" i="8"/>
  <c r="Y186" i="8"/>
  <c r="X186" i="8"/>
  <c r="W186" i="8"/>
  <c r="V186" i="8"/>
  <c r="U186" i="8"/>
  <c r="T186" i="8"/>
  <c r="S186" i="8"/>
  <c r="R186" i="8"/>
  <c r="Q186" i="8"/>
  <c r="P186" i="8"/>
  <c r="O186" i="8"/>
  <c r="N186" i="8"/>
  <c r="M186" i="8"/>
  <c r="L186" i="8"/>
  <c r="K186" i="8"/>
  <c r="J186" i="8"/>
  <c r="I186" i="8"/>
  <c r="H186" i="8"/>
  <c r="G186" i="8"/>
  <c r="F186" i="8"/>
  <c r="E186" i="8"/>
  <c r="D186" i="8"/>
  <c r="C186" i="8"/>
  <c r="B186" i="8"/>
  <c r="A186" i="8"/>
  <c r="AR185" i="8"/>
  <c r="AQ185" i="8"/>
  <c r="AP185" i="8"/>
  <c r="AO185" i="8"/>
  <c r="AN185" i="8"/>
  <c r="AM185" i="8"/>
  <c r="AL185" i="8"/>
  <c r="AK185" i="8"/>
  <c r="AJ185" i="8"/>
  <c r="AI185" i="8"/>
  <c r="AH185" i="8"/>
  <c r="AG185" i="8"/>
  <c r="AF185" i="8"/>
  <c r="AE185" i="8"/>
  <c r="AD185" i="8"/>
  <c r="AC185" i="8"/>
  <c r="AB185" i="8"/>
  <c r="AA185" i="8"/>
  <c r="Z185" i="8"/>
  <c r="Y185" i="8"/>
  <c r="X185" i="8"/>
  <c r="W185" i="8"/>
  <c r="V185" i="8"/>
  <c r="U185" i="8"/>
  <c r="T185" i="8"/>
  <c r="S185" i="8"/>
  <c r="R185" i="8"/>
  <c r="Q185" i="8"/>
  <c r="P185" i="8"/>
  <c r="O185" i="8"/>
  <c r="N185" i="8"/>
  <c r="M185" i="8"/>
  <c r="L185" i="8"/>
  <c r="K185" i="8"/>
  <c r="J185" i="8"/>
  <c r="I185" i="8"/>
  <c r="H185" i="8"/>
  <c r="G185" i="8"/>
  <c r="F185" i="8"/>
  <c r="E185" i="8"/>
  <c r="D185" i="8"/>
  <c r="C185" i="8"/>
  <c r="B185" i="8"/>
  <c r="A185" i="8"/>
  <c r="AR184" i="8"/>
  <c r="AQ184" i="8"/>
  <c r="AP184" i="8"/>
  <c r="AO184" i="8"/>
  <c r="AN184" i="8"/>
  <c r="AM184" i="8"/>
  <c r="AL184" i="8"/>
  <c r="AK184" i="8"/>
  <c r="AJ184" i="8"/>
  <c r="AI184" i="8"/>
  <c r="AH184" i="8"/>
  <c r="AG184" i="8"/>
  <c r="AF184" i="8"/>
  <c r="AE184" i="8"/>
  <c r="AD184" i="8"/>
  <c r="AC184" i="8"/>
  <c r="AB184" i="8"/>
  <c r="AA184" i="8"/>
  <c r="Z184" i="8"/>
  <c r="Y184" i="8"/>
  <c r="X184" i="8"/>
  <c r="W184" i="8"/>
  <c r="V184" i="8"/>
  <c r="U184" i="8"/>
  <c r="T184" i="8"/>
  <c r="S184" i="8"/>
  <c r="R184" i="8"/>
  <c r="Q184" i="8"/>
  <c r="P184" i="8"/>
  <c r="O184" i="8"/>
  <c r="N184" i="8"/>
  <c r="M184" i="8"/>
  <c r="L184" i="8"/>
  <c r="K184" i="8"/>
  <c r="J184" i="8"/>
  <c r="I184" i="8"/>
  <c r="H184" i="8"/>
  <c r="G184" i="8"/>
  <c r="F184" i="8"/>
  <c r="E184" i="8"/>
  <c r="D184" i="8"/>
  <c r="C184" i="8"/>
  <c r="B184" i="8"/>
  <c r="A184" i="8"/>
  <c r="AR183" i="8"/>
  <c r="AQ183" i="8"/>
  <c r="AP183" i="8"/>
  <c r="AO183" i="8"/>
  <c r="AN183" i="8"/>
  <c r="AM183" i="8"/>
  <c r="AL183" i="8"/>
  <c r="AK183" i="8"/>
  <c r="AJ183" i="8"/>
  <c r="AI183" i="8"/>
  <c r="AH183" i="8"/>
  <c r="AG183" i="8"/>
  <c r="AF183" i="8"/>
  <c r="AE183" i="8"/>
  <c r="AD183" i="8"/>
  <c r="AC183" i="8"/>
  <c r="AB183" i="8"/>
  <c r="AA183" i="8"/>
  <c r="Z183" i="8"/>
  <c r="Y183" i="8"/>
  <c r="X183" i="8"/>
  <c r="W183" i="8"/>
  <c r="V183" i="8"/>
  <c r="U183" i="8"/>
  <c r="T183" i="8"/>
  <c r="S183" i="8"/>
  <c r="R183" i="8"/>
  <c r="Q183" i="8"/>
  <c r="P183" i="8"/>
  <c r="O183" i="8"/>
  <c r="N183" i="8"/>
  <c r="M183" i="8"/>
  <c r="L183" i="8"/>
  <c r="K183" i="8"/>
  <c r="J183" i="8"/>
  <c r="I183" i="8"/>
  <c r="H183" i="8"/>
  <c r="G183" i="8"/>
  <c r="F183" i="8"/>
  <c r="E183" i="8"/>
  <c r="D183" i="8"/>
  <c r="C183" i="8"/>
  <c r="B183" i="8"/>
  <c r="A183" i="8"/>
  <c r="AR182" i="8"/>
  <c r="AQ182" i="8"/>
  <c r="AP182" i="8"/>
  <c r="AO182" i="8"/>
  <c r="AN182" i="8"/>
  <c r="AM182" i="8"/>
  <c r="AL182" i="8"/>
  <c r="AK182" i="8"/>
  <c r="AJ182" i="8"/>
  <c r="AI182" i="8"/>
  <c r="AH182" i="8"/>
  <c r="AG182" i="8"/>
  <c r="AF182" i="8"/>
  <c r="AE182" i="8"/>
  <c r="AD182" i="8"/>
  <c r="AC182" i="8"/>
  <c r="AB182" i="8"/>
  <c r="AA182" i="8"/>
  <c r="Z182" i="8"/>
  <c r="Y182" i="8"/>
  <c r="X182" i="8"/>
  <c r="W182" i="8"/>
  <c r="V182" i="8"/>
  <c r="U182" i="8"/>
  <c r="T182" i="8"/>
  <c r="S182" i="8"/>
  <c r="R182" i="8"/>
  <c r="Q182" i="8"/>
  <c r="P182" i="8"/>
  <c r="O182" i="8"/>
  <c r="N182" i="8"/>
  <c r="M182" i="8"/>
  <c r="L182" i="8"/>
  <c r="K182" i="8"/>
  <c r="J182" i="8"/>
  <c r="I182" i="8"/>
  <c r="H182" i="8"/>
  <c r="G182" i="8"/>
  <c r="F182" i="8"/>
  <c r="E182" i="8"/>
  <c r="D182" i="8"/>
  <c r="C182" i="8"/>
  <c r="B182" i="8"/>
  <c r="A182" i="8"/>
  <c r="AR181" i="8"/>
  <c r="AQ181" i="8"/>
  <c r="AP181" i="8"/>
  <c r="AO181" i="8"/>
  <c r="AN181" i="8"/>
  <c r="AM181" i="8"/>
  <c r="AL181" i="8"/>
  <c r="AK181" i="8"/>
  <c r="AJ181" i="8"/>
  <c r="AI181" i="8"/>
  <c r="AH181" i="8"/>
  <c r="AG181" i="8"/>
  <c r="AF181" i="8"/>
  <c r="AE181" i="8"/>
  <c r="AD181" i="8"/>
  <c r="AC181" i="8"/>
  <c r="AB181" i="8"/>
  <c r="AA181" i="8"/>
  <c r="Z181" i="8"/>
  <c r="Y181" i="8"/>
  <c r="X181" i="8"/>
  <c r="W181" i="8"/>
  <c r="V181" i="8"/>
  <c r="U181" i="8"/>
  <c r="T181" i="8"/>
  <c r="S181" i="8"/>
  <c r="R181" i="8"/>
  <c r="Q181" i="8"/>
  <c r="P181" i="8"/>
  <c r="O181" i="8"/>
  <c r="N181" i="8"/>
  <c r="M181" i="8"/>
  <c r="L181" i="8"/>
  <c r="K181" i="8"/>
  <c r="J181" i="8"/>
  <c r="I181" i="8"/>
  <c r="H181" i="8"/>
  <c r="G181" i="8"/>
  <c r="F181" i="8"/>
  <c r="E181" i="8"/>
  <c r="D181" i="8"/>
  <c r="C181" i="8"/>
  <c r="B181" i="8"/>
  <c r="A181" i="8"/>
  <c r="AR180" i="8"/>
  <c r="AQ180" i="8"/>
  <c r="AP180" i="8"/>
  <c r="AO180" i="8"/>
  <c r="AN180" i="8"/>
  <c r="AM180" i="8"/>
  <c r="AL180" i="8"/>
  <c r="AK180" i="8"/>
  <c r="AJ180" i="8"/>
  <c r="AI180" i="8"/>
  <c r="AH180" i="8"/>
  <c r="AG180" i="8"/>
  <c r="AF180" i="8"/>
  <c r="AE180" i="8"/>
  <c r="AD180" i="8"/>
  <c r="AC180" i="8"/>
  <c r="AB180" i="8"/>
  <c r="AA180" i="8"/>
  <c r="Z180" i="8"/>
  <c r="Y180" i="8"/>
  <c r="X180" i="8"/>
  <c r="W180" i="8"/>
  <c r="V180" i="8"/>
  <c r="U180" i="8"/>
  <c r="T180" i="8"/>
  <c r="S180" i="8"/>
  <c r="R180" i="8"/>
  <c r="Q180" i="8"/>
  <c r="P180" i="8"/>
  <c r="O180" i="8"/>
  <c r="N180" i="8"/>
  <c r="M180" i="8"/>
  <c r="L180" i="8"/>
  <c r="K180" i="8"/>
  <c r="J180" i="8"/>
  <c r="I180" i="8"/>
  <c r="H180" i="8"/>
  <c r="G180" i="8"/>
  <c r="F180" i="8"/>
  <c r="E180" i="8"/>
  <c r="D180" i="8"/>
  <c r="C180" i="8"/>
  <c r="B180" i="8"/>
  <c r="A180" i="8"/>
  <c r="AR179" i="8"/>
  <c r="AQ179" i="8"/>
  <c r="AP179" i="8"/>
  <c r="AO179" i="8"/>
  <c r="AN179" i="8"/>
  <c r="AM179" i="8"/>
  <c r="AL179" i="8"/>
  <c r="AK179" i="8"/>
  <c r="AJ179" i="8"/>
  <c r="AI179" i="8"/>
  <c r="AH179" i="8"/>
  <c r="AG179" i="8"/>
  <c r="AF179" i="8"/>
  <c r="AE179" i="8"/>
  <c r="AD179" i="8"/>
  <c r="AC179" i="8"/>
  <c r="AB179" i="8"/>
  <c r="AA179" i="8"/>
  <c r="Z179" i="8"/>
  <c r="Y179" i="8"/>
  <c r="X179" i="8"/>
  <c r="W179" i="8"/>
  <c r="V179" i="8"/>
  <c r="U179" i="8"/>
  <c r="T179" i="8"/>
  <c r="S179" i="8"/>
  <c r="R179" i="8"/>
  <c r="Q179" i="8"/>
  <c r="P179" i="8"/>
  <c r="O179" i="8"/>
  <c r="N179" i="8"/>
  <c r="M179" i="8"/>
  <c r="L179" i="8"/>
  <c r="K179" i="8"/>
  <c r="J179" i="8"/>
  <c r="I179" i="8"/>
  <c r="H179" i="8"/>
  <c r="G179" i="8"/>
  <c r="F179" i="8"/>
  <c r="E179" i="8"/>
  <c r="D179" i="8"/>
  <c r="C179" i="8"/>
  <c r="B179" i="8"/>
  <c r="A179" i="8"/>
  <c r="AR178" i="8"/>
  <c r="AQ178" i="8"/>
  <c r="AP178" i="8"/>
  <c r="AO178" i="8"/>
  <c r="AN178" i="8"/>
  <c r="AM178" i="8"/>
  <c r="AL178" i="8"/>
  <c r="AK178" i="8"/>
  <c r="AJ178" i="8"/>
  <c r="AI178" i="8"/>
  <c r="AH178" i="8"/>
  <c r="AG178" i="8"/>
  <c r="AF178" i="8"/>
  <c r="AE178" i="8"/>
  <c r="AD178" i="8"/>
  <c r="AC178" i="8"/>
  <c r="AB178" i="8"/>
  <c r="AA178" i="8"/>
  <c r="Z178" i="8"/>
  <c r="Y178" i="8"/>
  <c r="X178" i="8"/>
  <c r="W178" i="8"/>
  <c r="V178" i="8"/>
  <c r="U178" i="8"/>
  <c r="T178" i="8"/>
  <c r="S178" i="8"/>
  <c r="R178" i="8"/>
  <c r="Q178" i="8"/>
  <c r="P178" i="8"/>
  <c r="O178" i="8"/>
  <c r="N178" i="8"/>
  <c r="M178" i="8"/>
  <c r="L178" i="8"/>
  <c r="K178" i="8"/>
  <c r="J178" i="8"/>
  <c r="I178" i="8"/>
  <c r="H178" i="8"/>
  <c r="G178" i="8"/>
  <c r="F178" i="8"/>
  <c r="E178" i="8"/>
  <c r="D178" i="8"/>
  <c r="C178" i="8"/>
  <c r="B178" i="8"/>
  <c r="A178" i="8"/>
  <c r="AR177" i="8"/>
  <c r="AQ177" i="8"/>
  <c r="AP177" i="8"/>
  <c r="AO177" i="8"/>
  <c r="AN177" i="8"/>
  <c r="AM177" i="8"/>
  <c r="AL177" i="8"/>
  <c r="AK177" i="8"/>
  <c r="AJ177" i="8"/>
  <c r="AI177" i="8"/>
  <c r="AH177" i="8"/>
  <c r="AG177" i="8"/>
  <c r="AF177" i="8"/>
  <c r="AE177" i="8"/>
  <c r="AD177" i="8"/>
  <c r="AC177" i="8"/>
  <c r="AB177" i="8"/>
  <c r="AA177" i="8"/>
  <c r="Z177" i="8"/>
  <c r="Y177" i="8"/>
  <c r="X177" i="8"/>
  <c r="W177" i="8"/>
  <c r="V177" i="8"/>
  <c r="U177" i="8"/>
  <c r="T177" i="8"/>
  <c r="S177" i="8"/>
  <c r="R177" i="8"/>
  <c r="Q177" i="8"/>
  <c r="P177" i="8"/>
  <c r="O177" i="8"/>
  <c r="N177" i="8"/>
  <c r="M177" i="8"/>
  <c r="L177" i="8"/>
  <c r="K177" i="8"/>
  <c r="J177" i="8"/>
  <c r="I177" i="8"/>
  <c r="H177" i="8"/>
  <c r="G177" i="8"/>
  <c r="F177" i="8"/>
  <c r="E177" i="8"/>
  <c r="D177" i="8"/>
  <c r="C177" i="8"/>
  <c r="B177" i="8"/>
  <c r="A177" i="8"/>
  <c r="AR176" i="8"/>
  <c r="AQ176" i="8"/>
  <c r="AP176" i="8"/>
  <c r="AO176" i="8"/>
  <c r="AN176" i="8"/>
  <c r="AM176" i="8"/>
  <c r="AL176" i="8"/>
  <c r="AK176" i="8"/>
  <c r="AJ176" i="8"/>
  <c r="AI176" i="8"/>
  <c r="AH176" i="8"/>
  <c r="AG176" i="8"/>
  <c r="AF176" i="8"/>
  <c r="AE176" i="8"/>
  <c r="AD176" i="8"/>
  <c r="AC176" i="8"/>
  <c r="AB176" i="8"/>
  <c r="AA176" i="8"/>
  <c r="Z176" i="8"/>
  <c r="Y176" i="8"/>
  <c r="X176" i="8"/>
  <c r="W176" i="8"/>
  <c r="V176" i="8"/>
  <c r="U176" i="8"/>
  <c r="T176" i="8"/>
  <c r="S176" i="8"/>
  <c r="R176" i="8"/>
  <c r="Q176" i="8"/>
  <c r="P176" i="8"/>
  <c r="O176" i="8"/>
  <c r="N176" i="8"/>
  <c r="M176" i="8"/>
  <c r="L176" i="8"/>
  <c r="K176" i="8"/>
  <c r="J176" i="8"/>
  <c r="I176" i="8"/>
  <c r="H176" i="8"/>
  <c r="G176" i="8"/>
  <c r="F176" i="8"/>
  <c r="E176" i="8"/>
  <c r="D176" i="8"/>
  <c r="C176" i="8"/>
  <c r="B176" i="8"/>
  <c r="A176" i="8"/>
  <c r="AR175" i="8"/>
  <c r="AQ175" i="8"/>
  <c r="AP175" i="8"/>
  <c r="AO175" i="8"/>
  <c r="AN175" i="8"/>
  <c r="AM175" i="8"/>
  <c r="AL175" i="8"/>
  <c r="AK175" i="8"/>
  <c r="AJ175" i="8"/>
  <c r="AI175" i="8"/>
  <c r="AH175" i="8"/>
  <c r="AG175" i="8"/>
  <c r="AF175" i="8"/>
  <c r="AE175" i="8"/>
  <c r="AD175" i="8"/>
  <c r="AC175" i="8"/>
  <c r="AB175" i="8"/>
  <c r="AA175" i="8"/>
  <c r="Z175" i="8"/>
  <c r="Y175" i="8"/>
  <c r="X175" i="8"/>
  <c r="W175" i="8"/>
  <c r="V175" i="8"/>
  <c r="U175" i="8"/>
  <c r="T175" i="8"/>
  <c r="S175" i="8"/>
  <c r="R175" i="8"/>
  <c r="Q175" i="8"/>
  <c r="P175" i="8"/>
  <c r="O175" i="8"/>
  <c r="N175" i="8"/>
  <c r="M175" i="8"/>
  <c r="L175" i="8"/>
  <c r="K175" i="8"/>
  <c r="J175" i="8"/>
  <c r="I175" i="8"/>
  <c r="H175" i="8"/>
  <c r="G175" i="8"/>
  <c r="F175" i="8"/>
  <c r="E175" i="8"/>
  <c r="D175" i="8"/>
  <c r="C175" i="8"/>
  <c r="B175" i="8"/>
  <c r="A175" i="8"/>
  <c r="AR174" i="8"/>
  <c r="AQ174" i="8"/>
  <c r="AP174" i="8"/>
  <c r="AO174" i="8"/>
  <c r="AN174" i="8"/>
  <c r="AM174" i="8"/>
  <c r="AL174" i="8"/>
  <c r="AK174" i="8"/>
  <c r="AJ174" i="8"/>
  <c r="AI174" i="8"/>
  <c r="AH174" i="8"/>
  <c r="AG174" i="8"/>
  <c r="AF174" i="8"/>
  <c r="AE174" i="8"/>
  <c r="AD174" i="8"/>
  <c r="AC174" i="8"/>
  <c r="AB174" i="8"/>
  <c r="AA174" i="8"/>
  <c r="Z174" i="8"/>
  <c r="Y174" i="8"/>
  <c r="X174" i="8"/>
  <c r="W174" i="8"/>
  <c r="V174" i="8"/>
  <c r="U174" i="8"/>
  <c r="T174" i="8"/>
  <c r="S174" i="8"/>
  <c r="R174" i="8"/>
  <c r="Q174" i="8"/>
  <c r="P174" i="8"/>
  <c r="O174" i="8"/>
  <c r="N174" i="8"/>
  <c r="M174" i="8"/>
  <c r="L174" i="8"/>
  <c r="K174" i="8"/>
  <c r="J174" i="8"/>
  <c r="I174" i="8"/>
  <c r="H174" i="8"/>
  <c r="G174" i="8"/>
  <c r="F174" i="8"/>
  <c r="E174" i="8"/>
  <c r="D174" i="8"/>
  <c r="C174" i="8"/>
  <c r="B174" i="8"/>
  <c r="A174" i="8"/>
  <c r="AR173" i="8"/>
  <c r="AQ173" i="8"/>
  <c r="AP173" i="8"/>
  <c r="AO173" i="8"/>
  <c r="AN173" i="8"/>
  <c r="AM173" i="8"/>
  <c r="AL173" i="8"/>
  <c r="AK173" i="8"/>
  <c r="AJ173" i="8"/>
  <c r="AI173" i="8"/>
  <c r="AH173" i="8"/>
  <c r="AG173" i="8"/>
  <c r="AF173" i="8"/>
  <c r="AE173" i="8"/>
  <c r="AD173" i="8"/>
  <c r="AC173" i="8"/>
  <c r="AB173" i="8"/>
  <c r="AA173" i="8"/>
  <c r="Z173" i="8"/>
  <c r="Y173" i="8"/>
  <c r="X173" i="8"/>
  <c r="W173" i="8"/>
  <c r="V173" i="8"/>
  <c r="U173" i="8"/>
  <c r="T173" i="8"/>
  <c r="S173" i="8"/>
  <c r="R173" i="8"/>
  <c r="Q173" i="8"/>
  <c r="P173" i="8"/>
  <c r="O173" i="8"/>
  <c r="N173" i="8"/>
  <c r="M173" i="8"/>
  <c r="L173" i="8"/>
  <c r="K173" i="8"/>
  <c r="J173" i="8"/>
  <c r="I173" i="8"/>
  <c r="H173" i="8"/>
  <c r="G173" i="8"/>
  <c r="F173" i="8"/>
  <c r="E173" i="8"/>
  <c r="D173" i="8"/>
  <c r="C173" i="8"/>
  <c r="B173" i="8"/>
  <c r="A173" i="8"/>
  <c r="AR172" i="8"/>
  <c r="AQ172" i="8"/>
  <c r="AP172" i="8"/>
  <c r="AO172" i="8"/>
  <c r="AN172" i="8"/>
  <c r="AM172" i="8"/>
  <c r="AL172" i="8"/>
  <c r="AK172" i="8"/>
  <c r="AJ172" i="8"/>
  <c r="AI172" i="8"/>
  <c r="AH172" i="8"/>
  <c r="AG172" i="8"/>
  <c r="AF172" i="8"/>
  <c r="AE172" i="8"/>
  <c r="AD172" i="8"/>
  <c r="AC172" i="8"/>
  <c r="AB172" i="8"/>
  <c r="AA172" i="8"/>
  <c r="Z172" i="8"/>
  <c r="Y172" i="8"/>
  <c r="X172" i="8"/>
  <c r="W172" i="8"/>
  <c r="V172" i="8"/>
  <c r="U172" i="8"/>
  <c r="T172" i="8"/>
  <c r="S172" i="8"/>
  <c r="R172" i="8"/>
  <c r="Q172" i="8"/>
  <c r="P172" i="8"/>
  <c r="O172" i="8"/>
  <c r="N172" i="8"/>
  <c r="M172" i="8"/>
  <c r="L172" i="8"/>
  <c r="K172" i="8"/>
  <c r="J172" i="8"/>
  <c r="I172" i="8"/>
  <c r="H172" i="8"/>
  <c r="G172" i="8"/>
  <c r="F172" i="8"/>
  <c r="E172" i="8"/>
  <c r="D172" i="8"/>
  <c r="C172" i="8"/>
  <c r="B172" i="8"/>
  <c r="A172" i="8"/>
  <c r="AR171" i="8"/>
  <c r="AQ171" i="8"/>
  <c r="AP171" i="8"/>
  <c r="AO171" i="8"/>
  <c r="AN171" i="8"/>
  <c r="AM171" i="8"/>
  <c r="AL171" i="8"/>
  <c r="AK171" i="8"/>
  <c r="AJ171" i="8"/>
  <c r="AI171" i="8"/>
  <c r="AH171" i="8"/>
  <c r="AG171" i="8"/>
  <c r="AF171" i="8"/>
  <c r="AE171" i="8"/>
  <c r="AD171" i="8"/>
  <c r="AC171" i="8"/>
  <c r="AB171" i="8"/>
  <c r="AA171" i="8"/>
  <c r="Z171" i="8"/>
  <c r="Y171" i="8"/>
  <c r="X171" i="8"/>
  <c r="W171" i="8"/>
  <c r="V171" i="8"/>
  <c r="U171" i="8"/>
  <c r="T171" i="8"/>
  <c r="S171" i="8"/>
  <c r="R171" i="8"/>
  <c r="Q171" i="8"/>
  <c r="P171" i="8"/>
  <c r="O171" i="8"/>
  <c r="N171" i="8"/>
  <c r="M171" i="8"/>
  <c r="L171" i="8"/>
  <c r="K171" i="8"/>
  <c r="J171" i="8"/>
  <c r="I171" i="8"/>
  <c r="H171" i="8"/>
  <c r="G171" i="8"/>
  <c r="F171" i="8"/>
  <c r="E171" i="8"/>
  <c r="D171" i="8"/>
  <c r="C171" i="8"/>
  <c r="B171" i="8"/>
  <c r="A171" i="8"/>
  <c r="AR170" i="8"/>
  <c r="AQ170" i="8"/>
  <c r="AP170" i="8"/>
  <c r="AO170" i="8"/>
  <c r="AN170" i="8"/>
  <c r="AM170" i="8"/>
  <c r="AL170" i="8"/>
  <c r="AK170" i="8"/>
  <c r="AJ170" i="8"/>
  <c r="AI170" i="8"/>
  <c r="AH170" i="8"/>
  <c r="AG170" i="8"/>
  <c r="AF170" i="8"/>
  <c r="AE170" i="8"/>
  <c r="AD170" i="8"/>
  <c r="AC170" i="8"/>
  <c r="AB170" i="8"/>
  <c r="AA170" i="8"/>
  <c r="Z170" i="8"/>
  <c r="Y170" i="8"/>
  <c r="X170" i="8"/>
  <c r="W170" i="8"/>
  <c r="V170" i="8"/>
  <c r="U170" i="8"/>
  <c r="T170" i="8"/>
  <c r="S170" i="8"/>
  <c r="R170" i="8"/>
  <c r="Q170" i="8"/>
  <c r="P170" i="8"/>
  <c r="O170" i="8"/>
  <c r="N170" i="8"/>
  <c r="M170" i="8"/>
  <c r="L170" i="8"/>
  <c r="K170" i="8"/>
  <c r="J170" i="8"/>
  <c r="I170" i="8"/>
  <c r="H170" i="8"/>
  <c r="G170" i="8"/>
  <c r="F170" i="8"/>
  <c r="E170" i="8"/>
  <c r="D170" i="8"/>
  <c r="C170" i="8"/>
  <c r="B170" i="8"/>
  <c r="A170" i="8"/>
  <c r="AR169" i="8"/>
  <c r="AQ169" i="8"/>
  <c r="AP169" i="8"/>
  <c r="AO169" i="8"/>
  <c r="AN169" i="8"/>
  <c r="AM169" i="8"/>
  <c r="AL169" i="8"/>
  <c r="AK169" i="8"/>
  <c r="AJ169" i="8"/>
  <c r="AI169" i="8"/>
  <c r="AH169" i="8"/>
  <c r="AG169" i="8"/>
  <c r="AF169" i="8"/>
  <c r="AE169" i="8"/>
  <c r="AD169" i="8"/>
  <c r="AC169" i="8"/>
  <c r="AB169" i="8"/>
  <c r="AA169" i="8"/>
  <c r="Z169" i="8"/>
  <c r="Y169" i="8"/>
  <c r="X169" i="8"/>
  <c r="W169" i="8"/>
  <c r="V169" i="8"/>
  <c r="U169" i="8"/>
  <c r="T169" i="8"/>
  <c r="S169" i="8"/>
  <c r="R169" i="8"/>
  <c r="Q169" i="8"/>
  <c r="P169" i="8"/>
  <c r="O169" i="8"/>
  <c r="N169" i="8"/>
  <c r="M169" i="8"/>
  <c r="L169" i="8"/>
  <c r="K169" i="8"/>
  <c r="J169" i="8"/>
  <c r="I169" i="8"/>
  <c r="H169" i="8"/>
  <c r="G169" i="8"/>
  <c r="F169" i="8"/>
  <c r="E169" i="8"/>
  <c r="D169" i="8"/>
  <c r="C169" i="8"/>
  <c r="B169" i="8"/>
  <c r="A169" i="8"/>
  <c r="AR168" i="8"/>
  <c r="AQ168" i="8"/>
  <c r="AP168" i="8"/>
  <c r="AO168" i="8"/>
  <c r="AN168" i="8"/>
  <c r="AM168" i="8"/>
  <c r="AL168" i="8"/>
  <c r="AK168" i="8"/>
  <c r="AJ168" i="8"/>
  <c r="AI168" i="8"/>
  <c r="AH168" i="8"/>
  <c r="AG168" i="8"/>
  <c r="AF168" i="8"/>
  <c r="AE168" i="8"/>
  <c r="AD168" i="8"/>
  <c r="AC168" i="8"/>
  <c r="AB168" i="8"/>
  <c r="AA168" i="8"/>
  <c r="Z168" i="8"/>
  <c r="Y168" i="8"/>
  <c r="X168" i="8"/>
  <c r="W168" i="8"/>
  <c r="V168" i="8"/>
  <c r="U168" i="8"/>
  <c r="T168" i="8"/>
  <c r="S168" i="8"/>
  <c r="R168" i="8"/>
  <c r="Q168" i="8"/>
  <c r="P168" i="8"/>
  <c r="O168" i="8"/>
  <c r="N168" i="8"/>
  <c r="M168" i="8"/>
  <c r="L168" i="8"/>
  <c r="K168" i="8"/>
  <c r="J168" i="8"/>
  <c r="I168" i="8"/>
  <c r="H168" i="8"/>
  <c r="G168" i="8"/>
  <c r="F168" i="8"/>
  <c r="E168" i="8"/>
  <c r="D168" i="8"/>
  <c r="C168" i="8"/>
  <c r="B168" i="8"/>
  <c r="A168" i="8"/>
  <c r="AR167" i="8"/>
  <c r="AQ167" i="8"/>
  <c r="AP167" i="8"/>
  <c r="AO167" i="8"/>
  <c r="AN167" i="8"/>
  <c r="AM167" i="8"/>
  <c r="AL167" i="8"/>
  <c r="AK167" i="8"/>
  <c r="AJ167" i="8"/>
  <c r="AI167" i="8"/>
  <c r="AH167" i="8"/>
  <c r="AG167" i="8"/>
  <c r="AF167" i="8"/>
  <c r="AE167" i="8"/>
  <c r="AD167" i="8"/>
  <c r="AC167" i="8"/>
  <c r="AB167" i="8"/>
  <c r="AA167" i="8"/>
  <c r="Z167" i="8"/>
  <c r="Y167" i="8"/>
  <c r="X167" i="8"/>
  <c r="W167" i="8"/>
  <c r="V167" i="8"/>
  <c r="U167" i="8"/>
  <c r="T167" i="8"/>
  <c r="S167" i="8"/>
  <c r="R167" i="8"/>
  <c r="Q167" i="8"/>
  <c r="P167" i="8"/>
  <c r="O167" i="8"/>
  <c r="N167" i="8"/>
  <c r="M167" i="8"/>
  <c r="L167" i="8"/>
  <c r="K167" i="8"/>
  <c r="J167" i="8"/>
  <c r="I167" i="8"/>
  <c r="H167" i="8"/>
  <c r="G167" i="8"/>
  <c r="F167" i="8"/>
  <c r="E167" i="8"/>
  <c r="D167" i="8"/>
  <c r="C167" i="8"/>
  <c r="B167" i="8"/>
  <c r="A167" i="8"/>
  <c r="AR166" i="8"/>
  <c r="AQ166" i="8"/>
  <c r="AP166" i="8"/>
  <c r="AO166" i="8"/>
  <c r="AN166" i="8"/>
  <c r="AM166" i="8"/>
  <c r="AL166" i="8"/>
  <c r="AK166" i="8"/>
  <c r="AJ166" i="8"/>
  <c r="AI166" i="8"/>
  <c r="AH166" i="8"/>
  <c r="AG166" i="8"/>
  <c r="AF166" i="8"/>
  <c r="AE166" i="8"/>
  <c r="AD166" i="8"/>
  <c r="AC166" i="8"/>
  <c r="AB166" i="8"/>
  <c r="AA166" i="8"/>
  <c r="Z166" i="8"/>
  <c r="Y166" i="8"/>
  <c r="X166" i="8"/>
  <c r="W166" i="8"/>
  <c r="V166" i="8"/>
  <c r="U166" i="8"/>
  <c r="T166" i="8"/>
  <c r="S166" i="8"/>
  <c r="R166" i="8"/>
  <c r="Q166" i="8"/>
  <c r="P166" i="8"/>
  <c r="O166" i="8"/>
  <c r="N166" i="8"/>
  <c r="M166" i="8"/>
  <c r="L166" i="8"/>
  <c r="K166" i="8"/>
  <c r="J166" i="8"/>
  <c r="I166" i="8"/>
  <c r="H166" i="8"/>
  <c r="G166" i="8"/>
  <c r="F166" i="8"/>
  <c r="E166" i="8"/>
  <c r="D166" i="8"/>
  <c r="C166" i="8"/>
  <c r="B166" i="8"/>
  <c r="A166" i="8"/>
  <c r="AR165" i="8"/>
  <c r="AQ165" i="8"/>
  <c r="AP165" i="8"/>
  <c r="AO165" i="8"/>
  <c r="AN165" i="8"/>
  <c r="AM165" i="8"/>
  <c r="AL165" i="8"/>
  <c r="AK165" i="8"/>
  <c r="AJ165" i="8"/>
  <c r="AI165" i="8"/>
  <c r="AH165" i="8"/>
  <c r="AG165" i="8"/>
  <c r="AF165" i="8"/>
  <c r="AE165" i="8"/>
  <c r="AD165" i="8"/>
  <c r="AC165" i="8"/>
  <c r="AB165" i="8"/>
  <c r="AA165" i="8"/>
  <c r="Z165" i="8"/>
  <c r="Y165" i="8"/>
  <c r="X165" i="8"/>
  <c r="W165" i="8"/>
  <c r="V165" i="8"/>
  <c r="U165" i="8"/>
  <c r="T165" i="8"/>
  <c r="S165" i="8"/>
  <c r="R165" i="8"/>
  <c r="Q165" i="8"/>
  <c r="P165" i="8"/>
  <c r="O165" i="8"/>
  <c r="N165" i="8"/>
  <c r="M165" i="8"/>
  <c r="L165" i="8"/>
  <c r="K165" i="8"/>
  <c r="J165" i="8"/>
  <c r="I165" i="8"/>
  <c r="H165" i="8"/>
  <c r="G165" i="8"/>
  <c r="F165" i="8"/>
  <c r="E165" i="8"/>
  <c r="D165" i="8"/>
  <c r="C165" i="8"/>
  <c r="B165" i="8"/>
  <c r="A165" i="8"/>
  <c r="AR164" i="8"/>
  <c r="AQ164" i="8"/>
  <c r="AP164" i="8"/>
  <c r="AO164" i="8"/>
  <c r="AN164" i="8"/>
  <c r="AM164" i="8"/>
  <c r="AL164" i="8"/>
  <c r="AK164" i="8"/>
  <c r="AJ164" i="8"/>
  <c r="AI164" i="8"/>
  <c r="AH164" i="8"/>
  <c r="AG164" i="8"/>
  <c r="AF164" i="8"/>
  <c r="AE164" i="8"/>
  <c r="AD164" i="8"/>
  <c r="AC164" i="8"/>
  <c r="AB164" i="8"/>
  <c r="AA164" i="8"/>
  <c r="Z164" i="8"/>
  <c r="Y164" i="8"/>
  <c r="X164" i="8"/>
  <c r="W164" i="8"/>
  <c r="V164" i="8"/>
  <c r="U164" i="8"/>
  <c r="T164" i="8"/>
  <c r="S164" i="8"/>
  <c r="R164" i="8"/>
  <c r="Q164" i="8"/>
  <c r="P164" i="8"/>
  <c r="O164" i="8"/>
  <c r="N164" i="8"/>
  <c r="M164" i="8"/>
  <c r="L164" i="8"/>
  <c r="K164" i="8"/>
  <c r="J164" i="8"/>
  <c r="I164" i="8"/>
  <c r="H164" i="8"/>
  <c r="G164" i="8"/>
  <c r="F164" i="8"/>
  <c r="E164" i="8"/>
  <c r="D164" i="8"/>
  <c r="C164" i="8"/>
  <c r="B164" i="8"/>
  <c r="A164" i="8"/>
  <c r="AR163" i="8"/>
  <c r="AQ163" i="8"/>
  <c r="AP163" i="8"/>
  <c r="AO163" i="8"/>
  <c r="AN163" i="8"/>
  <c r="AM163" i="8"/>
  <c r="AL163" i="8"/>
  <c r="AK163" i="8"/>
  <c r="AJ163" i="8"/>
  <c r="AI163" i="8"/>
  <c r="AH163" i="8"/>
  <c r="AG163" i="8"/>
  <c r="AF163" i="8"/>
  <c r="AE163" i="8"/>
  <c r="AD163" i="8"/>
  <c r="AC163" i="8"/>
  <c r="AB163" i="8"/>
  <c r="AA163" i="8"/>
  <c r="Z163" i="8"/>
  <c r="Y163" i="8"/>
  <c r="X163" i="8"/>
  <c r="W163" i="8"/>
  <c r="V163" i="8"/>
  <c r="U163" i="8"/>
  <c r="T163" i="8"/>
  <c r="S163" i="8"/>
  <c r="R163" i="8"/>
  <c r="Q163" i="8"/>
  <c r="P163" i="8"/>
  <c r="O163" i="8"/>
  <c r="N163" i="8"/>
  <c r="M163" i="8"/>
  <c r="L163" i="8"/>
  <c r="K163" i="8"/>
  <c r="J163" i="8"/>
  <c r="I163" i="8"/>
  <c r="H163" i="8"/>
  <c r="G163" i="8"/>
  <c r="F163" i="8"/>
  <c r="E163" i="8"/>
  <c r="D163" i="8"/>
  <c r="C163" i="8"/>
  <c r="B163" i="8"/>
  <c r="A163" i="8"/>
  <c r="AR162" i="8"/>
  <c r="AQ162" i="8"/>
  <c r="AP162" i="8"/>
  <c r="AO162" i="8"/>
  <c r="AN162" i="8"/>
  <c r="AM162" i="8"/>
  <c r="AL162" i="8"/>
  <c r="AK162" i="8"/>
  <c r="AJ162" i="8"/>
  <c r="AI162" i="8"/>
  <c r="AH162" i="8"/>
  <c r="AG162" i="8"/>
  <c r="AF162" i="8"/>
  <c r="AE162" i="8"/>
  <c r="AD162" i="8"/>
  <c r="AC162" i="8"/>
  <c r="AB162" i="8"/>
  <c r="AA162" i="8"/>
  <c r="Z162" i="8"/>
  <c r="Y162" i="8"/>
  <c r="X162" i="8"/>
  <c r="W162" i="8"/>
  <c r="V162" i="8"/>
  <c r="U162" i="8"/>
  <c r="T162" i="8"/>
  <c r="S162" i="8"/>
  <c r="R162" i="8"/>
  <c r="Q162" i="8"/>
  <c r="P162" i="8"/>
  <c r="O162" i="8"/>
  <c r="N162" i="8"/>
  <c r="M162" i="8"/>
  <c r="L162" i="8"/>
  <c r="K162" i="8"/>
  <c r="J162" i="8"/>
  <c r="I162" i="8"/>
  <c r="H162" i="8"/>
  <c r="G162" i="8"/>
  <c r="F162" i="8"/>
  <c r="E162" i="8"/>
  <c r="D162" i="8"/>
  <c r="C162" i="8"/>
  <c r="B162" i="8"/>
  <c r="A162" i="8"/>
  <c r="AR161" i="8"/>
  <c r="AQ161" i="8"/>
  <c r="AP161" i="8"/>
  <c r="AO161" i="8"/>
  <c r="AN161" i="8"/>
  <c r="AM161" i="8"/>
  <c r="AL161" i="8"/>
  <c r="AK161" i="8"/>
  <c r="AJ161" i="8"/>
  <c r="AI161" i="8"/>
  <c r="AH161" i="8"/>
  <c r="AG161" i="8"/>
  <c r="AF161" i="8"/>
  <c r="AE161" i="8"/>
  <c r="AD161" i="8"/>
  <c r="AC161" i="8"/>
  <c r="AB161" i="8"/>
  <c r="AA161" i="8"/>
  <c r="Z161" i="8"/>
  <c r="Y161" i="8"/>
  <c r="X161" i="8"/>
  <c r="W161" i="8"/>
  <c r="V161" i="8"/>
  <c r="U161" i="8"/>
  <c r="T161" i="8"/>
  <c r="S161" i="8"/>
  <c r="R161" i="8"/>
  <c r="Q161" i="8"/>
  <c r="P161" i="8"/>
  <c r="O161" i="8"/>
  <c r="N161" i="8"/>
  <c r="M161" i="8"/>
  <c r="L161" i="8"/>
  <c r="K161" i="8"/>
  <c r="J161" i="8"/>
  <c r="I161" i="8"/>
  <c r="H161" i="8"/>
  <c r="G161" i="8"/>
  <c r="F161" i="8"/>
  <c r="E161" i="8"/>
  <c r="D161" i="8"/>
  <c r="C161" i="8"/>
  <c r="B161" i="8"/>
  <c r="A161" i="8"/>
  <c r="AR160" i="8"/>
  <c r="AQ160" i="8"/>
  <c r="AP160" i="8"/>
  <c r="AO160" i="8"/>
  <c r="AN160" i="8"/>
  <c r="AM160" i="8"/>
  <c r="AL160" i="8"/>
  <c r="AK160" i="8"/>
  <c r="AJ160" i="8"/>
  <c r="AI160" i="8"/>
  <c r="AH160" i="8"/>
  <c r="AG160" i="8"/>
  <c r="AF160" i="8"/>
  <c r="AE160" i="8"/>
  <c r="AD160" i="8"/>
  <c r="AC160" i="8"/>
  <c r="AB160" i="8"/>
  <c r="AA160" i="8"/>
  <c r="Z160" i="8"/>
  <c r="Y160" i="8"/>
  <c r="X160" i="8"/>
  <c r="W160" i="8"/>
  <c r="V160" i="8"/>
  <c r="U160" i="8"/>
  <c r="T160" i="8"/>
  <c r="S160" i="8"/>
  <c r="R160" i="8"/>
  <c r="Q160" i="8"/>
  <c r="P160" i="8"/>
  <c r="O160" i="8"/>
  <c r="N160" i="8"/>
  <c r="M160" i="8"/>
  <c r="L160" i="8"/>
  <c r="K160" i="8"/>
  <c r="J160" i="8"/>
  <c r="I160" i="8"/>
  <c r="H160" i="8"/>
  <c r="G160" i="8"/>
  <c r="F160" i="8"/>
  <c r="E160" i="8"/>
  <c r="D160" i="8"/>
  <c r="C160" i="8"/>
  <c r="B160" i="8"/>
  <c r="A160" i="8"/>
  <c r="AR159" i="8"/>
  <c r="AQ159" i="8"/>
  <c r="AP159" i="8"/>
  <c r="AO159" i="8"/>
  <c r="AN159" i="8"/>
  <c r="AM159" i="8"/>
  <c r="AL159" i="8"/>
  <c r="AK159" i="8"/>
  <c r="AJ159" i="8"/>
  <c r="AI159" i="8"/>
  <c r="AH159" i="8"/>
  <c r="AG159" i="8"/>
  <c r="AF159" i="8"/>
  <c r="AE159" i="8"/>
  <c r="AD159" i="8"/>
  <c r="AC159" i="8"/>
  <c r="AB159" i="8"/>
  <c r="AA159" i="8"/>
  <c r="Z159" i="8"/>
  <c r="Y159" i="8"/>
  <c r="X159" i="8"/>
  <c r="W159" i="8"/>
  <c r="V159" i="8"/>
  <c r="U159" i="8"/>
  <c r="T159" i="8"/>
  <c r="S159" i="8"/>
  <c r="R159" i="8"/>
  <c r="Q159" i="8"/>
  <c r="P159" i="8"/>
  <c r="O159" i="8"/>
  <c r="N159" i="8"/>
  <c r="M159" i="8"/>
  <c r="L159" i="8"/>
  <c r="K159" i="8"/>
  <c r="J159" i="8"/>
  <c r="I159" i="8"/>
  <c r="H159" i="8"/>
  <c r="G159" i="8"/>
  <c r="F159" i="8"/>
  <c r="E159" i="8"/>
  <c r="D159" i="8"/>
  <c r="C159" i="8"/>
  <c r="B159" i="8"/>
  <c r="A159" i="8"/>
  <c r="AR158" i="8"/>
  <c r="AQ158" i="8"/>
  <c r="AP158" i="8"/>
  <c r="AO158" i="8"/>
  <c r="AN158" i="8"/>
  <c r="AM158" i="8"/>
  <c r="AL158" i="8"/>
  <c r="AK158" i="8"/>
  <c r="AJ158" i="8"/>
  <c r="AI158" i="8"/>
  <c r="AH158" i="8"/>
  <c r="AG158" i="8"/>
  <c r="AF158" i="8"/>
  <c r="AE158" i="8"/>
  <c r="AD158" i="8"/>
  <c r="AC158" i="8"/>
  <c r="AB158" i="8"/>
  <c r="AA158" i="8"/>
  <c r="Z158" i="8"/>
  <c r="Y158" i="8"/>
  <c r="X158" i="8"/>
  <c r="W158" i="8"/>
  <c r="V158" i="8"/>
  <c r="U158" i="8"/>
  <c r="T158" i="8"/>
  <c r="S158" i="8"/>
  <c r="R158" i="8"/>
  <c r="Q158" i="8"/>
  <c r="P158" i="8"/>
  <c r="O158" i="8"/>
  <c r="N158" i="8"/>
  <c r="M158" i="8"/>
  <c r="L158" i="8"/>
  <c r="K158" i="8"/>
  <c r="J158" i="8"/>
  <c r="I158" i="8"/>
  <c r="H158" i="8"/>
  <c r="G158" i="8"/>
  <c r="F158" i="8"/>
  <c r="E158" i="8"/>
  <c r="D158" i="8"/>
  <c r="C158" i="8"/>
  <c r="B158" i="8"/>
  <c r="A158" i="8"/>
  <c r="AR157" i="8"/>
  <c r="AQ157" i="8"/>
  <c r="AP157" i="8"/>
  <c r="AO157" i="8"/>
  <c r="AN157" i="8"/>
  <c r="AM157" i="8"/>
  <c r="AL157" i="8"/>
  <c r="AK157" i="8"/>
  <c r="AJ157" i="8"/>
  <c r="AI157" i="8"/>
  <c r="AH157" i="8"/>
  <c r="AG157" i="8"/>
  <c r="AF157" i="8"/>
  <c r="AE157" i="8"/>
  <c r="AD157" i="8"/>
  <c r="AC157" i="8"/>
  <c r="AB157" i="8"/>
  <c r="AA157" i="8"/>
  <c r="Z157" i="8"/>
  <c r="Y157" i="8"/>
  <c r="X157" i="8"/>
  <c r="W157" i="8"/>
  <c r="V157" i="8"/>
  <c r="U157" i="8"/>
  <c r="T157" i="8"/>
  <c r="S157" i="8"/>
  <c r="R157" i="8"/>
  <c r="Q157" i="8"/>
  <c r="P157" i="8"/>
  <c r="O157" i="8"/>
  <c r="N157" i="8"/>
  <c r="M157" i="8"/>
  <c r="L157" i="8"/>
  <c r="K157" i="8"/>
  <c r="J157" i="8"/>
  <c r="I157" i="8"/>
  <c r="H157" i="8"/>
  <c r="G157" i="8"/>
  <c r="F157" i="8"/>
  <c r="E157" i="8"/>
  <c r="D157" i="8"/>
  <c r="C157" i="8"/>
  <c r="B157" i="8"/>
  <c r="A157" i="8"/>
  <c r="AR156" i="8"/>
  <c r="AQ156" i="8"/>
  <c r="AP156" i="8"/>
  <c r="AO156" i="8"/>
  <c r="AN156" i="8"/>
  <c r="AM156" i="8"/>
  <c r="AL156" i="8"/>
  <c r="AK156" i="8"/>
  <c r="AJ156" i="8"/>
  <c r="AI156" i="8"/>
  <c r="AH156" i="8"/>
  <c r="AG156" i="8"/>
  <c r="AF156" i="8"/>
  <c r="AE156" i="8"/>
  <c r="AD156" i="8"/>
  <c r="AC156" i="8"/>
  <c r="AB156" i="8"/>
  <c r="AA156" i="8"/>
  <c r="Z156" i="8"/>
  <c r="Y156" i="8"/>
  <c r="X156" i="8"/>
  <c r="W156" i="8"/>
  <c r="V156" i="8"/>
  <c r="U156" i="8"/>
  <c r="T156" i="8"/>
  <c r="S156" i="8"/>
  <c r="R156" i="8"/>
  <c r="Q156" i="8"/>
  <c r="P156" i="8"/>
  <c r="O156" i="8"/>
  <c r="N156" i="8"/>
  <c r="M156" i="8"/>
  <c r="L156" i="8"/>
  <c r="K156" i="8"/>
  <c r="J156" i="8"/>
  <c r="I156" i="8"/>
  <c r="H156" i="8"/>
  <c r="G156" i="8"/>
  <c r="F156" i="8"/>
  <c r="E156" i="8"/>
  <c r="D156" i="8"/>
  <c r="C156" i="8"/>
  <c r="B156" i="8"/>
  <c r="A156" i="8"/>
  <c r="AR155" i="8"/>
  <c r="AQ155" i="8"/>
  <c r="AP155" i="8"/>
  <c r="AO155" i="8"/>
  <c r="AN155" i="8"/>
  <c r="AM155" i="8"/>
  <c r="AL155" i="8"/>
  <c r="AK155" i="8"/>
  <c r="AJ155" i="8"/>
  <c r="AI155" i="8"/>
  <c r="AH155" i="8"/>
  <c r="AG155" i="8"/>
  <c r="AF155" i="8"/>
  <c r="AE155" i="8"/>
  <c r="AD155" i="8"/>
  <c r="AC155" i="8"/>
  <c r="AB155" i="8"/>
  <c r="AA155" i="8"/>
  <c r="Z155" i="8"/>
  <c r="Y155" i="8"/>
  <c r="X155" i="8"/>
  <c r="W155" i="8"/>
  <c r="V155" i="8"/>
  <c r="U155" i="8"/>
  <c r="T155" i="8"/>
  <c r="S155" i="8"/>
  <c r="R155" i="8"/>
  <c r="Q155" i="8"/>
  <c r="P155" i="8"/>
  <c r="O155" i="8"/>
  <c r="N155" i="8"/>
  <c r="M155" i="8"/>
  <c r="L155" i="8"/>
  <c r="K155" i="8"/>
  <c r="J155" i="8"/>
  <c r="I155" i="8"/>
  <c r="H155" i="8"/>
  <c r="G155" i="8"/>
  <c r="F155" i="8"/>
  <c r="E155" i="8"/>
  <c r="D155" i="8"/>
  <c r="C155" i="8"/>
  <c r="B155" i="8"/>
  <c r="A155" i="8"/>
  <c r="AR154" i="8"/>
  <c r="AQ154" i="8"/>
  <c r="AP154" i="8"/>
  <c r="AO154" i="8"/>
  <c r="AN154" i="8"/>
  <c r="AM154" i="8"/>
  <c r="AL154" i="8"/>
  <c r="AK154" i="8"/>
  <c r="AJ154" i="8"/>
  <c r="AI154" i="8"/>
  <c r="AH154" i="8"/>
  <c r="AG154" i="8"/>
  <c r="AF154" i="8"/>
  <c r="AE154" i="8"/>
  <c r="AD154" i="8"/>
  <c r="AC154" i="8"/>
  <c r="AB154" i="8"/>
  <c r="AA154" i="8"/>
  <c r="Z154" i="8"/>
  <c r="Y154" i="8"/>
  <c r="X154" i="8"/>
  <c r="W154" i="8"/>
  <c r="V154" i="8"/>
  <c r="U154" i="8"/>
  <c r="T154" i="8"/>
  <c r="S154" i="8"/>
  <c r="R154" i="8"/>
  <c r="Q154" i="8"/>
  <c r="P154" i="8"/>
  <c r="O154" i="8"/>
  <c r="N154" i="8"/>
  <c r="M154" i="8"/>
  <c r="L154" i="8"/>
  <c r="K154" i="8"/>
  <c r="J154" i="8"/>
  <c r="I154" i="8"/>
  <c r="H154" i="8"/>
  <c r="G154" i="8"/>
  <c r="F154" i="8"/>
  <c r="E154" i="8"/>
  <c r="D154" i="8"/>
  <c r="C154" i="8"/>
  <c r="B154" i="8"/>
  <c r="A154" i="8"/>
  <c r="AR153" i="8"/>
  <c r="AQ153" i="8"/>
  <c r="AP153" i="8"/>
  <c r="AO153" i="8"/>
  <c r="AN153" i="8"/>
  <c r="AM153" i="8"/>
  <c r="AL153" i="8"/>
  <c r="AK153" i="8"/>
  <c r="AJ153" i="8"/>
  <c r="AI153" i="8"/>
  <c r="AH153" i="8"/>
  <c r="AG153" i="8"/>
  <c r="AF153" i="8"/>
  <c r="AE153" i="8"/>
  <c r="AD153" i="8"/>
  <c r="AC153" i="8"/>
  <c r="AB153" i="8"/>
  <c r="AA153" i="8"/>
  <c r="Z153" i="8"/>
  <c r="Y153" i="8"/>
  <c r="X153" i="8"/>
  <c r="W153" i="8"/>
  <c r="V153" i="8"/>
  <c r="U153" i="8"/>
  <c r="T153" i="8"/>
  <c r="S153" i="8"/>
  <c r="R153" i="8"/>
  <c r="Q153" i="8"/>
  <c r="P153" i="8"/>
  <c r="O153" i="8"/>
  <c r="N153" i="8"/>
  <c r="M153" i="8"/>
  <c r="L153" i="8"/>
  <c r="K153" i="8"/>
  <c r="J153" i="8"/>
  <c r="I153" i="8"/>
  <c r="H153" i="8"/>
  <c r="G153" i="8"/>
  <c r="F153" i="8"/>
  <c r="E153" i="8"/>
  <c r="D153" i="8"/>
  <c r="C153" i="8"/>
  <c r="B153" i="8"/>
  <c r="A153" i="8"/>
  <c r="AR152" i="8"/>
  <c r="AQ152" i="8"/>
  <c r="AP152" i="8"/>
  <c r="AO152" i="8"/>
  <c r="AN152" i="8"/>
  <c r="AM152" i="8"/>
  <c r="AL152" i="8"/>
  <c r="AK152" i="8"/>
  <c r="AJ152" i="8"/>
  <c r="AI152" i="8"/>
  <c r="AH152" i="8"/>
  <c r="AG152" i="8"/>
  <c r="AF152" i="8"/>
  <c r="AE152" i="8"/>
  <c r="AD152" i="8"/>
  <c r="AC152" i="8"/>
  <c r="AB152" i="8"/>
  <c r="AA152" i="8"/>
  <c r="Z152" i="8"/>
  <c r="Y152" i="8"/>
  <c r="X152" i="8"/>
  <c r="W152" i="8"/>
  <c r="V152" i="8"/>
  <c r="U152" i="8"/>
  <c r="T152" i="8"/>
  <c r="S152" i="8"/>
  <c r="R152" i="8"/>
  <c r="Q152" i="8"/>
  <c r="P152" i="8"/>
  <c r="O152" i="8"/>
  <c r="N152" i="8"/>
  <c r="M152" i="8"/>
  <c r="L152" i="8"/>
  <c r="K152" i="8"/>
  <c r="J152" i="8"/>
  <c r="I152" i="8"/>
  <c r="H152" i="8"/>
  <c r="G152" i="8"/>
  <c r="F152" i="8"/>
  <c r="E152" i="8"/>
  <c r="D152" i="8"/>
  <c r="C152" i="8"/>
  <c r="B152" i="8"/>
  <c r="A152" i="8"/>
  <c r="AR151" i="8"/>
  <c r="AQ151" i="8"/>
  <c r="AP151" i="8"/>
  <c r="AO151" i="8"/>
  <c r="AN151" i="8"/>
  <c r="AM151" i="8"/>
  <c r="AL151" i="8"/>
  <c r="AK151" i="8"/>
  <c r="AJ151" i="8"/>
  <c r="AI151" i="8"/>
  <c r="AH151" i="8"/>
  <c r="AG151" i="8"/>
  <c r="AF151" i="8"/>
  <c r="AE151" i="8"/>
  <c r="AD151" i="8"/>
  <c r="AC151" i="8"/>
  <c r="AB151" i="8"/>
  <c r="AA151" i="8"/>
  <c r="Z151" i="8"/>
  <c r="Y151" i="8"/>
  <c r="X151" i="8"/>
  <c r="W151" i="8"/>
  <c r="V151" i="8"/>
  <c r="U151" i="8"/>
  <c r="T151" i="8"/>
  <c r="S151" i="8"/>
  <c r="R151" i="8"/>
  <c r="Q151" i="8"/>
  <c r="P151" i="8"/>
  <c r="O151" i="8"/>
  <c r="N151" i="8"/>
  <c r="M151" i="8"/>
  <c r="L151" i="8"/>
  <c r="K151" i="8"/>
  <c r="J151" i="8"/>
  <c r="I151" i="8"/>
  <c r="H151" i="8"/>
  <c r="G151" i="8"/>
  <c r="F151" i="8"/>
  <c r="E151" i="8"/>
  <c r="D151" i="8"/>
  <c r="C151" i="8"/>
  <c r="B151" i="8"/>
  <c r="A151" i="8"/>
  <c r="AR150" i="8"/>
  <c r="AQ150" i="8"/>
  <c r="AP150" i="8"/>
  <c r="AO150" i="8"/>
  <c r="AN150" i="8"/>
  <c r="AM150" i="8"/>
  <c r="AL150" i="8"/>
  <c r="AK150" i="8"/>
  <c r="AJ150" i="8"/>
  <c r="AI150" i="8"/>
  <c r="AH150" i="8"/>
  <c r="AG150" i="8"/>
  <c r="AF150" i="8"/>
  <c r="AE150" i="8"/>
  <c r="AD150" i="8"/>
  <c r="AC150" i="8"/>
  <c r="AB150" i="8"/>
  <c r="AA150" i="8"/>
  <c r="Z150" i="8"/>
  <c r="Y150" i="8"/>
  <c r="X150" i="8"/>
  <c r="W150" i="8"/>
  <c r="V150" i="8"/>
  <c r="U150" i="8"/>
  <c r="T150" i="8"/>
  <c r="S150" i="8"/>
  <c r="R150" i="8"/>
  <c r="Q150" i="8"/>
  <c r="P150" i="8"/>
  <c r="O150" i="8"/>
  <c r="N150" i="8"/>
  <c r="M150" i="8"/>
  <c r="L150" i="8"/>
  <c r="K150" i="8"/>
  <c r="J150" i="8"/>
  <c r="I150" i="8"/>
  <c r="H150" i="8"/>
  <c r="G150" i="8"/>
  <c r="F150" i="8"/>
  <c r="E150" i="8"/>
  <c r="D150" i="8"/>
  <c r="C150" i="8"/>
  <c r="B150" i="8"/>
  <c r="A150" i="8"/>
  <c r="AR149" i="8"/>
  <c r="AQ149" i="8"/>
  <c r="AP149" i="8"/>
  <c r="AO149" i="8"/>
  <c r="AN149" i="8"/>
  <c r="AM149" i="8"/>
  <c r="AL149" i="8"/>
  <c r="AK149" i="8"/>
  <c r="AJ149" i="8"/>
  <c r="AI149" i="8"/>
  <c r="AH149" i="8"/>
  <c r="AG149" i="8"/>
  <c r="AF149" i="8"/>
  <c r="AE149" i="8"/>
  <c r="AD149" i="8"/>
  <c r="AC149" i="8"/>
  <c r="AB149" i="8"/>
  <c r="AA149" i="8"/>
  <c r="Z149" i="8"/>
  <c r="Y149" i="8"/>
  <c r="X149" i="8"/>
  <c r="W149" i="8"/>
  <c r="V149" i="8"/>
  <c r="U149" i="8"/>
  <c r="T149" i="8"/>
  <c r="S149" i="8"/>
  <c r="R149" i="8"/>
  <c r="Q149" i="8"/>
  <c r="P149" i="8"/>
  <c r="O149" i="8"/>
  <c r="N149" i="8"/>
  <c r="M149" i="8"/>
  <c r="L149" i="8"/>
  <c r="K149" i="8"/>
  <c r="J149" i="8"/>
  <c r="I149" i="8"/>
  <c r="H149" i="8"/>
  <c r="G149" i="8"/>
  <c r="F149" i="8"/>
  <c r="E149" i="8"/>
  <c r="D149" i="8"/>
  <c r="C149" i="8"/>
  <c r="B149" i="8"/>
  <c r="A149" i="8"/>
  <c r="AR148" i="8"/>
  <c r="AQ148" i="8"/>
  <c r="AP148" i="8"/>
  <c r="AO148" i="8"/>
  <c r="AN148" i="8"/>
  <c r="AM148" i="8"/>
  <c r="AL148" i="8"/>
  <c r="AK148" i="8"/>
  <c r="AJ148" i="8"/>
  <c r="AI148" i="8"/>
  <c r="AH148" i="8"/>
  <c r="AG148" i="8"/>
  <c r="AF148" i="8"/>
  <c r="AE148" i="8"/>
  <c r="AD148" i="8"/>
  <c r="AC148" i="8"/>
  <c r="AB148" i="8"/>
  <c r="AA148" i="8"/>
  <c r="Z148" i="8"/>
  <c r="Y148" i="8"/>
  <c r="X148" i="8"/>
  <c r="W148" i="8"/>
  <c r="V148" i="8"/>
  <c r="U148" i="8"/>
  <c r="T148" i="8"/>
  <c r="S148" i="8"/>
  <c r="R148" i="8"/>
  <c r="Q148" i="8"/>
  <c r="P148" i="8"/>
  <c r="O148" i="8"/>
  <c r="N148" i="8"/>
  <c r="M148" i="8"/>
  <c r="L148" i="8"/>
  <c r="K148" i="8"/>
  <c r="J148" i="8"/>
  <c r="I148" i="8"/>
  <c r="H148" i="8"/>
  <c r="G148" i="8"/>
  <c r="F148" i="8"/>
  <c r="E148" i="8"/>
  <c r="D148" i="8"/>
  <c r="C148" i="8"/>
  <c r="B148" i="8"/>
  <c r="A148" i="8"/>
  <c r="AR147" i="8"/>
  <c r="AQ147" i="8"/>
  <c r="AP147" i="8"/>
  <c r="AO147" i="8"/>
  <c r="AN147" i="8"/>
  <c r="AM147" i="8"/>
  <c r="AL147" i="8"/>
  <c r="AK147" i="8"/>
  <c r="AJ147" i="8"/>
  <c r="AI147" i="8"/>
  <c r="AH147" i="8"/>
  <c r="AG147" i="8"/>
  <c r="AF147" i="8"/>
  <c r="AE147" i="8"/>
  <c r="AD147" i="8"/>
  <c r="AC147" i="8"/>
  <c r="AB147" i="8"/>
  <c r="AA147" i="8"/>
  <c r="Z147" i="8"/>
  <c r="Y147" i="8"/>
  <c r="X147" i="8"/>
  <c r="W147" i="8"/>
  <c r="V147" i="8"/>
  <c r="U147" i="8"/>
  <c r="T147" i="8"/>
  <c r="S147" i="8"/>
  <c r="R147" i="8"/>
  <c r="Q147" i="8"/>
  <c r="P147" i="8"/>
  <c r="O147" i="8"/>
  <c r="N147" i="8"/>
  <c r="M147" i="8"/>
  <c r="L147" i="8"/>
  <c r="K147" i="8"/>
  <c r="J147" i="8"/>
  <c r="I147" i="8"/>
  <c r="H147" i="8"/>
  <c r="G147" i="8"/>
  <c r="F147" i="8"/>
  <c r="E147" i="8"/>
  <c r="D147" i="8"/>
  <c r="C147" i="8"/>
  <c r="B147" i="8"/>
  <c r="A147" i="8"/>
  <c r="AR146" i="8"/>
  <c r="AQ146" i="8"/>
  <c r="AP146" i="8"/>
  <c r="AO146" i="8"/>
  <c r="AN146" i="8"/>
  <c r="AM146" i="8"/>
  <c r="AL146" i="8"/>
  <c r="AK146" i="8"/>
  <c r="AJ146" i="8"/>
  <c r="AI146" i="8"/>
  <c r="AH146" i="8"/>
  <c r="AG146" i="8"/>
  <c r="AF146" i="8"/>
  <c r="AE146" i="8"/>
  <c r="AD146" i="8"/>
  <c r="AC146" i="8"/>
  <c r="AB146" i="8"/>
  <c r="AA146" i="8"/>
  <c r="Z146" i="8"/>
  <c r="Y146" i="8"/>
  <c r="X146" i="8"/>
  <c r="W146" i="8"/>
  <c r="V146" i="8"/>
  <c r="U146" i="8"/>
  <c r="T146" i="8"/>
  <c r="S146" i="8"/>
  <c r="R146" i="8"/>
  <c r="Q146" i="8"/>
  <c r="P146" i="8"/>
  <c r="O146" i="8"/>
  <c r="N146" i="8"/>
  <c r="M146" i="8"/>
  <c r="L146" i="8"/>
  <c r="K146" i="8"/>
  <c r="J146" i="8"/>
  <c r="I146" i="8"/>
  <c r="H146" i="8"/>
  <c r="G146" i="8"/>
  <c r="F146" i="8"/>
  <c r="E146" i="8"/>
  <c r="D146" i="8"/>
  <c r="C146" i="8"/>
  <c r="B146" i="8"/>
  <c r="A146" i="8"/>
  <c r="AR145" i="8"/>
  <c r="AQ145" i="8"/>
  <c r="AP145" i="8"/>
  <c r="AO145" i="8"/>
  <c r="AN145" i="8"/>
  <c r="AM145" i="8"/>
  <c r="AL145" i="8"/>
  <c r="AK145" i="8"/>
  <c r="AJ145" i="8"/>
  <c r="AI145" i="8"/>
  <c r="AH145" i="8"/>
  <c r="AG145" i="8"/>
  <c r="AF145" i="8"/>
  <c r="AE145" i="8"/>
  <c r="AD145" i="8"/>
  <c r="AC145" i="8"/>
  <c r="AB145" i="8"/>
  <c r="AA145" i="8"/>
  <c r="Z145" i="8"/>
  <c r="Y145" i="8"/>
  <c r="X145" i="8"/>
  <c r="W145" i="8"/>
  <c r="V145" i="8"/>
  <c r="U145" i="8"/>
  <c r="T145" i="8"/>
  <c r="S145" i="8"/>
  <c r="R145" i="8"/>
  <c r="Q145" i="8"/>
  <c r="P145" i="8"/>
  <c r="O145" i="8"/>
  <c r="N145" i="8"/>
  <c r="M145" i="8"/>
  <c r="L145" i="8"/>
  <c r="K145" i="8"/>
  <c r="J145" i="8"/>
  <c r="I145" i="8"/>
  <c r="H145" i="8"/>
  <c r="G145" i="8"/>
  <c r="F145" i="8"/>
  <c r="E145" i="8"/>
  <c r="D145" i="8"/>
  <c r="C145" i="8"/>
  <c r="B145" i="8"/>
  <c r="A145" i="8"/>
  <c r="AR144" i="8"/>
  <c r="AQ144" i="8"/>
  <c r="AP144" i="8"/>
  <c r="AO144" i="8"/>
  <c r="AN144" i="8"/>
  <c r="AM144" i="8"/>
  <c r="AL144" i="8"/>
  <c r="AK144" i="8"/>
  <c r="AJ144" i="8"/>
  <c r="AI144" i="8"/>
  <c r="AH144" i="8"/>
  <c r="AG144" i="8"/>
  <c r="AF144" i="8"/>
  <c r="AE144" i="8"/>
  <c r="AD144" i="8"/>
  <c r="AC144" i="8"/>
  <c r="AB144" i="8"/>
  <c r="AA144" i="8"/>
  <c r="Z144" i="8"/>
  <c r="Y144" i="8"/>
  <c r="X144" i="8"/>
  <c r="W144" i="8"/>
  <c r="V144" i="8"/>
  <c r="U144" i="8"/>
  <c r="T144" i="8"/>
  <c r="S144" i="8"/>
  <c r="R144" i="8"/>
  <c r="Q144" i="8"/>
  <c r="P144" i="8"/>
  <c r="O144" i="8"/>
  <c r="N144" i="8"/>
  <c r="M144" i="8"/>
  <c r="L144" i="8"/>
  <c r="K144" i="8"/>
  <c r="J144" i="8"/>
  <c r="I144" i="8"/>
  <c r="H144" i="8"/>
  <c r="G144" i="8"/>
  <c r="F144" i="8"/>
  <c r="E144" i="8"/>
  <c r="D144" i="8"/>
  <c r="C144" i="8"/>
  <c r="B144" i="8"/>
  <c r="A144" i="8"/>
  <c r="AR143" i="8"/>
  <c r="AQ143" i="8"/>
  <c r="AP143" i="8"/>
  <c r="AO143" i="8"/>
  <c r="AN143" i="8"/>
  <c r="AM143" i="8"/>
  <c r="AL143" i="8"/>
  <c r="AK143" i="8"/>
  <c r="AJ143" i="8"/>
  <c r="AI143" i="8"/>
  <c r="AH143" i="8"/>
  <c r="AG143" i="8"/>
  <c r="AF143" i="8"/>
  <c r="AE143" i="8"/>
  <c r="AD143" i="8"/>
  <c r="AC143" i="8"/>
  <c r="AB143" i="8"/>
  <c r="AA143" i="8"/>
  <c r="Z143" i="8"/>
  <c r="Y143" i="8"/>
  <c r="X143" i="8"/>
  <c r="W143" i="8"/>
  <c r="V143" i="8"/>
  <c r="U143" i="8"/>
  <c r="T143" i="8"/>
  <c r="S143" i="8"/>
  <c r="R143" i="8"/>
  <c r="Q143" i="8"/>
  <c r="P143" i="8"/>
  <c r="O143" i="8"/>
  <c r="N143" i="8"/>
  <c r="M143" i="8"/>
  <c r="L143" i="8"/>
  <c r="K143" i="8"/>
  <c r="J143" i="8"/>
  <c r="I143" i="8"/>
  <c r="H143" i="8"/>
  <c r="G143" i="8"/>
  <c r="F143" i="8"/>
  <c r="E143" i="8"/>
  <c r="D143" i="8"/>
  <c r="C143" i="8"/>
  <c r="B143" i="8"/>
  <c r="A143" i="8"/>
  <c r="AR142" i="8"/>
  <c r="AQ142" i="8"/>
  <c r="AP142" i="8"/>
  <c r="AO142" i="8"/>
  <c r="AN142" i="8"/>
  <c r="AM142" i="8"/>
  <c r="AL142" i="8"/>
  <c r="AK142" i="8"/>
  <c r="AJ142" i="8"/>
  <c r="AI142" i="8"/>
  <c r="AH142" i="8"/>
  <c r="AG142" i="8"/>
  <c r="AF142" i="8"/>
  <c r="AE142" i="8"/>
  <c r="AD142" i="8"/>
  <c r="AC142" i="8"/>
  <c r="AB142" i="8"/>
  <c r="AA142" i="8"/>
  <c r="Z142" i="8"/>
  <c r="Y142" i="8"/>
  <c r="X142" i="8"/>
  <c r="W142" i="8"/>
  <c r="V142" i="8"/>
  <c r="U142" i="8"/>
  <c r="T142" i="8"/>
  <c r="S142" i="8"/>
  <c r="R142" i="8"/>
  <c r="Q142" i="8"/>
  <c r="P142" i="8"/>
  <c r="O142" i="8"/>
  <c r="N142" i="8"/>
  <c r="M142" i="8"/>
  <c r="L142" i="8"/>
  <c r="K142" i="8"/>
  <c r="J142" i="8"/>
  <c r="I142" i="8"/>
  <c r="H142" i="8"/>
  <c r="G142" i="8"/>
  <c r="F142" i="8"/>
  <c r="E142" i="8"/>
  <c r="D142" i="8"/>
  <c r="C142" i="8"/>
  <c r="B142" i="8"/>
  <c r="A142" i="8"/>
  <c r="AR141" i="8"/>
  <c r="AQ141" i="8"/>
  <c r="AP141" i="8"/>
  <c r="AO141" i="8"/>
  <c r="AN141" i="8"/>
  <c r="AM141" i="8"/>
  <c r="AL141" i="8"/>
  <c r="AK141" i="8"/>
  <c r="AJ141" i="8"/>
  <c r="AI141" i="8"/>
  <c r="AH141" i="8"/>
  <c r="AG141" i="8"/>
  <c r="AF141" i="8"/>
  <c r="AE141" i="8"/>
  <c r="AD141" i="8"/>
  <c r="AC141" i="8"/>
  <c r="AB141" i="8"/>
  <c r="AA141" i="8"/>
  <c r="Z141" i="8"/>
  <c r="Y141" i="8"/>
  <c r="X141" i="8"/>
  <c r="W141" i="8"/>
  <c r="V141" i="8"/>
  <c r="U141" i="8"/>
  <c r="T141" i="8"/>
  <c r="S141" i="8"/>
  <c r="R141" i="8"/>
  <c r="Q141" i="8"/>
  <c r="P141" i="8"/>
  <c r="O141" i="8"/>
  <c r="N141" i="8"/>
  <c r="M141" i="8"/>
  <c r="L141" i="8"/>
  <c r="K141" i="8"/>
  <c r="J141" i="8"/>
  <c r="I141" i="8"/>
  <c r="H141" i="8"/>
  <c r="G141" i="8"/>
  <c r="F141" i="8"/>
  <c r="E141" i="8"/>
  <c r="D141" i="8"/>
  <c r="C141" i="8"/>
  <c r="B141" i="8"/>
  <c r="A141" i="8"/>
  <c r="AR140" i="8"/>
  <c r="AQ140" i="8"/>
  <c r="AP140" i="8"/>
  <c r="AO140" i="8"/>
  <c r="AN140" i="8"/>
  <c r="AM140" i="8"/>
  <c r="AL140" i="8"/>
  <c r="AK140" i="8"/>
  <c r="AJ140" i="8"/>
  <c r="AI140" i="8"/>
  <c r="AH140" i="8"/>
  <c r="AG140" i="8"/>
  <c r="AF140" i="8"/>
  <c r="AE140" i="8"/>
  <c r="AD140" i="8"/>
  <c r="AC140" i="8"/>
  <c r="AB140" i="8"/>
  <c r="AA140" i="8"/>
  <c r="Z140" i="8"/>
  <c r="Y140" i="8"/>
  <c r="X140" i="8"/>
  <c r="W140" i="8"/>
  <c r="V140" i="8"/>
  <c r="U140" i="8"/>
  <c r="T140" i="8"/>
  <c r="S140" i="8"/>
  <c r="R140" i="8"/>
  <c r="Q140" i="8"/>
  <c r="P140" i="8"/>
  <c r="O140" i="8"/>
  <c r="N140" i="8"/>
  <c r="M140" i="8"/>
  <c r="L140" i="8"/>
  <c r="K140" i="8"/>
  <c r="J140" i="8"/>
  <c r="I140" i="8"/>
  <c r="H140" i="8"/>
  <c r="G140" i="8"/>
  <c r="F140" i="8"/>
  <c r="E140" i="8"/>
  <c r="D140" i="8"/>
  <c r="C140" i="8"/>
  <c r="B140" i="8"/>
  <c r="A140" i="8"/>
  <c r="AR139" i="8"/>
  <c r="AQ139" i="8"/>
  <c r="AP139" i="8"/>
  <c r="AO139" i="8"/>
  <c r="AN139" i="8"/>
  <c r="AM139" i="8"/>
  <c r="AL139" i="8"/>
  <c r="AK139" i="8"/>
  <c r="AJ139" i="8"/>
  <c r="AI139" i="8"/>
  <c r="AH139" i="8"/>
  <c r="AG139" i="8"/>
  <c r="AF139" i="8"/>
  <c r="AE139" i="8"/>
  <c r="AD139" i="8"/>
  <c r="AC139" i="8"/>
  <c r="AB139" i="8"/>
  <c r="AA139" i="8"/>
  <c r="Z139" i="8"/>
  <c r="Y139" i="8"/>
  <c r="X139" i="8"/>
  <c r="W139" i="8"/>
  <c r="V139" i="8"/>
  <c r="U139" i="8"/>
  <c r="T139" i="8"/>
  <c r="S139" i="8"/>
  <c r="R139" i="8"/>
  <c r="Q139" i="8"/>
  <c r="P139" i="8"/>
  <c r="O139" i="8"/>
  <c r="N139" i="8"/>
  <c r="M139" i="8"/>
  <c r="L139" i="8"/>
  <c r="K139" i="8"/>
  <c r="J139" i="8"/>
  <c r="I139" i="8"/>
  <c r="H139" i="8"/>
  <c r="G139" i="8"/>
  <c r="F139" i="8"/>
  <c r="E139" i="8"/>
  <c r="D139" i="8"/>
  <c r="C139" i="8"/>
  <c r="B139" i="8"/>
  <c r="A139" i="8"/>
  <c r="AR138" i="8"/>
  <c r="AQ138" i="8"/>
  <c r="AP138" i="8"/>
  <c r="AO138" i="8"/>
  <c r="AN138" i="8"/>
  <c r="AM138" i="8"/>
  <c r="AL138" i="8"/>
  <c r="AK138" i="8"/>
  <c r="AJ138" i="8"/>
  <c r="AI138" i="8"/>
  <c r="AH138" i="8"/>
  <c r="AG138" i="8"/>
  <c r="AF138" i="8"/>
  <c r="AE138" i="8"/>
  <c r="AD138" i="8"/>
  <c r="AC138" i="8"/>
  <c r="AB138" i="8"/>
  <c r="AA138" i="8"/>
  <c r="Z138" i="8"/>
  <c r="Y138" i="8"/>
  <c r="X138" i="8"/>
  <c r="W138" i="8"/>
  <c r="V138" i="8"/>
  <c r="U138" i="8"/>
  <c r="T138" i="8"/>
  <c r="S138" i="8"/>
  <c r="R138" i="8"/>
  <c r="Q138" i="8"/>
  <c r="P138" i="8"/>
  <c r="O138" i="8"/>
  <c r="N138" i="8"/>
  <c r="M138" i="8"/>
  <c r="L138" i="8"/>
  <c r="K138" i="8"/>
  <c r="J138" i="8"/>
  <c r="I138" i="8"/>
  <c r="H138" i="8"/>
  <c r="G138" i="8"/>
  <c r="F138" i="8"/>
  <c r="E138" i="8"/>
  <c r="D138" i="8"/>
  <c r="C138" i="8"/>
  <c r="B138" i="8"/>
  <c r="A138" i="8"/>
  <c r="AR137" i="8"/>
  <c r="AQ137" i="8"/>
  <c r="AP137" i="8"/>
  <c r="AO137" i="8"/>
  <c r="AN137" i="8"/>
  <c r="AM137" i="8"/>
  <c r="AL137" i="8"/>
  <c r="AK137" i="8"/>
  <c r="AJ137" i="8"/>
  <c r="AI137" i="8"/>
  <c r="AH137" i="8"/>
  <c r="AG137" i="8"/>
  <c r="AF137" i="8"/>
  <c r="AE137" i="8"/>
  <c r="AD137" i="8"/>
  <c r="AC137" i="8"/>
  <c r="AB137" i="8"/>
  <c r="AA137" i="8"/>
  <c r="Z137" i="8"/>
  <c r="Y137" i="8"/>
  <c r="X137" i="8"/>
  <c r="W137" i="8"/>
  <c r="V137" i="8"/>
  <c r="U137" i="8"/>
  <c r="T137" i="8"/>
  <c r="S137" i="8"/>
  <c r="R137" i="8"/>
  <c r="Q137" i="8"/>
  <c r="P137" i="8"/>
  <c r="O137" i="8"/>
  <c r="N137" i="8"/>
  <c r="M137" i="8"/>
  <c r="L137" i="8"/>
  <c r="K137" i="8"/>
  <c r="J137" i="8"/>
  <c r="I137" i="8"/>
  <c r="H137" i="8"/>
  <c r="G137" i="8"/>
  <c r="F137" i="8"/>
  <c r="E137" i="8"/>
  <c r="D137" i="8"/>
  <c r="C137" i="8"/>
  <c r="B137" i="8"/>
  <c r="A137" i="8"/>
  <c r="AR136" i="8"/>
  <c r="AQ136" i="8"/>
  <c r="AP136" i="8"/>
  <c r="AO136" i="8"/>
  <c r="AN136" i="8"/>
  <c r="AM136" i="8"/>
  <c r="AL136" i="8"/>
  <c r="AK136" i="8"/>
  <c r="AJ136" i="8"/>
  <c r="AI136" i="8"/>
  <c r="AH136" i="8"/>
  <c r="AG136" i="8"/>
  <c r="AF136" i="8"/>
  <c r="AE136" i="8"/>
  <c r="AD136" i="8"/>
  <c r="AC136" i="8"/>
  <c r="AB136" i="8"/>
  <c r="AA136" i="8"/>
  <c r="Z136" i="8"/>
  <c r="Y136" i="8"/>
  <c r="X136" i="8"/>
  <c r="W136" i="8"/>
  <c r="V136" i="8"/>
  <c r="U136" i="8"/>
  <c r="T136" i="8"/>
  <c r="S136" i="8"/>
  <c r="R136" i="8"/>
  <c r="Q136" i="8"/>
  <c r="P136" i="8"/>
  <c r="O136" i="8"/>
  <c r="N136" i="8"/>
  <c r="M136" i="8"/>
  <c r="L136" i="8"/>
  <c r="K136" i="8"/>
  <c r="J136" i="8"/>
  <c r="I136" i="8"/>
  <c r="H136" i="8"/>
  <c r="G136" i="8"/>
  <c r="F136" i="8"/>
  <c r="E136" i="8"/>
  <c r="D136" i="8"/>
  <c r="C136" i="8"/>
  <c r="B136" i="8"/>
  <c r="A136" i="8"/>
  <c r="AR135" i="8"/>
  <c r="AQ135" i="8"/>
  <c r="AP135" i="8"/>
  <c r="AO135" i="8"/>
  <c r="AN135" i="8"/>
  <c r="AM135" i="8"/>
  <c r="AL135" i="8"/>
  <c r="AK135" i="8"/>
  <c r="AJ135" i="8"/>
  <c r="AI135" i="8"/>
  <c r="AH135" i="8"/>
  <c r="AG135" i="8"/>
  <c r="AF135" i="8"/>
  <c r="AE135" i="8"/>
  <c r="AD135" i="8"/>
  <c r="AC135" i="8"/>
  <c r="AB135" i="8"/>
  <c r="AA135" i="8"/>
  <c r="Z135" i="8"/>
  <c r="Y135" i="8"/>
  <c r="X135" i="8"/>
  <c r="W135" i="8"/>
  <c r="V135" i="8"/>
  <c r="U135" i="8"/>
  <c r="T135" i="8"/>
  <c r="S135" i="8"/>
  <c r="R135" i="8"/>
  <c r="Q135" i="8"/>
  <c r="P135" i="8"/>
  <c r="O135" i="8"/>
  <c r="N135" i="8"/>
  <c r="M135" i="8"/>
  <c r="L135" i="8"/>
  <c r="K135" i="8"/>
  <c r="J135" i="8"/>
  <c r="I135" i="8"/>
  <c r="H135" i="8"/>
  <c r="G135" i="8"/>
  <c r="F135" i="8"/>
  <c r="E135" i="8"/>
  <c r="D135" i="8"/>
  <c r="C135" i="8"/>
  <c r="B135" i="8"/>
  <c r="A135" i="8"/>
  <c r="AR134" i="8"/>
  <c r="AQ134" i="8"/>
  <c r="AP134" i="8"/>
  <c r="AO134" i="8"/>
  <c r="AN134" i="8"/>
  <c r="AM134" i="8"/>
  <c r="AL134" i="8"/>
  <c r="AK134" i="8"/>
  <c r="AJ134" i="8"/>
  <c r="AI134" i="8"/>
  <c r="AH134" i="8"/>
  <c r="AG134" i="8"/>
  <c r="AF134" i="8"/>
  <c r="AE134" i="8"/>
  <c r="AD134" i="8"/>
  <c r="AC134" i="8"/>
  <c r="AB134" i="8"/>
  <c r="AA134" i="8"/>
  <c r="Z134" i="8"/>
  <c r="Y134" i="8"/>
  <c r="X134" i="8"/>
  <c r="W134" i="8"/>
  <c r="V134" i="8"/>
  <c r="U134" i="8"/>
  <c r="T134" i="8"/>
  <c r="S134" i="8"/>
  <c r="R134" i="8"/>
  <c r="Q134" i="8"/>
  <c r="P134" i="8"/>
  <c r="O134" i="8"/>
  <c r="N134" i="8"/>
  <c r="M134" i="8"/>
  <c r="L134" i="8"/>
  <c r="K134" i="8"/>
  <c r="J134" i="8"/>
  <c r="I134" i="8"/>
  <c r="H134" i="8"/>
  <c r="G134" i="8"/>
  <c r="F134" i="8"/>
  <c r="E134" i="8"/>
  <c r="D134" i="8"/>
  <c r="C134" i="8"/>
  <c r="B134" i="8"/>
  <c r="A134" i="8"/>
  <c r="AR133" i="8"/>
  <c r="AQ133" i="8"/>
  <c r="AP133" i="8"/>
  <c r="AO133" i="8"/>
  <c r="AN133" i="8"/>
  <c r="AM133" i="8"/>
  <c r="AL133" i="8"/>
  <c r="AK133" i="8"/>
  <c r="AJ133" i="8"/>
  <c r="AI133" i="8"/>
  <c r="AH133" i="8"/>
  <c r="AG133" i="8"/>
  <c r="AF133" i="8"/>
  <c r="AE133" i="8"/>
  <c r="AD133" i="8"/>
  <c r="AC133" i="8"/>
  <c r="AB133" i="8"/>
  <c r="AA133" i="8"/>
  <c r="Z133" i="8"/>
  <c r="Y133" i="8"/>
  <c r="X133" i="8"/>
  <c r="W133" i="8"/>
  <c r="V133" i="8"/>
  <c r="U133" i="8"/>
  <c r="T133" i="8"/>
  <c r="S133" i="8"/>
  <c r="R133" i="8"/>
  <c r="Q133" i="8"/>
  <c r="P133" i="8"/>
  <c r="O133" i="8"/>
  <c r="N133" i="8"/>
  <c r="M133" i="8"/>
  <c r="L133" i="8"/>
  <c r="K133" i="8"/>
  <c r="J133" i="8"/>
  <c r="I133" i="8"/>
  <c r="H133" i="8"/>
  <c r="G133" i="8"/>
  <c r="F133" i="8"/>
  <c r="E133" i="8"/>
  <c r="D133" i="8"/>
  <c r="C133" i="8"/>
  <c r="B133" i="8"/>
  <c r="A133" i="8"/>
  <c r="AR132" i="8"/>
  <c r="AQ132" i="8"/>
  <c r="AP132" i="8"/>
  <c r="AO132" i="8"/>
  <c r="AN132" i="8"/>
  <c r="AM132" i="8"/>
  <c r="AL132" i="8"/>
  <c r="AK132" i="8"/>
  <c r="AJ132" i="8"/>
  <c r="AI132" i="8"/>
  <c r="AH132" i="8"/>
  <c r="AG132" i="8"/>
  <c r="AF132" i="8"/>
  <c r="AE132" i="8"/>
  <c r="AD132" i="8"/>
  <c r="AC132" i="8"/>
  <c r="AB132" i="8"/>
  <c r="AA132" i="8"/>
  <c r="Z132" i="8"/>
  <c r="Y132" i="8"/>
  <c r="X132" i="8"/>
  <c r="W132" i="8"/>
  <c r="V132" i="8"/>
  <c r="U132" i="8"/>
  <c r="T132" i="8"/>
  <c r="S132" i="8"/>
  <c r="R132" i="8"/>
  <c r="Q132" i="8"/>
  <c r="P132" i="8"/>
  <c r="O132" i="8"/>
  <c r="N132" i="8"/>
  <c r="M132" i="8"/>
  <c r="L132" i="8"/>
  <c r="K132" i="8"/>
  <c r="J132" i="8"/>
  <c r="I132" i="8"/>
  <c r="H132" i="8"/>
  <c r="G132" i="8"/>
  <c r="F132" i="8"/>
  <c r="E132" i="8"/>
  <c r="D132" i="8"/>
  <c r="C132" i="8"/>
  <c r="B132" i="8"/>
  <c r="A132" i="8"/>
  <c r="AR131" i="8"/>
  <c r="AQ131" i="8"/>
  <c r="AP131" i="8"/>
  <c r="AO131" i="8"/>
  <c r="AN131" i="8"/>
  <c r="AM131" i="8"/>
  <c r="AL131" i="8"/>
  <c r="AK131" i="8"/>
  <c r="AJ131" i="8"/>
  <c r="AI131" i="8"/>
  <c r="AH131" i="8"/>
  <c r="AG131" i="8"/>
  <c r="AF131" i="8"/>
  <c r="AE131" i="8"/>
  <c r="AD131" i="8"/>
  <c r="AC131" i="8"/>
  <c r="AB131" i="8"/>
  <c r="AA131" i="8"/>
  <c r="Z131" i="8"/>
  <c r="Y131" i="8"/>
  <c r="X131" i="8"/>
  <c r="W131" i="8"/>
  <c r="V131" i="8"/>
  <c r="U131" i="8"/>
  <c r="T131" i="8"/>
  <c r="S131" i="8"/>
  <c r="R131" i="8"/>
  <c r="Q131" i="8"/>
  <c r="P131" i="8"/>
  <c r="O131" i="8"/>
  <c r="N131" i="8"/>
  <c r="M131" i="8"/>
  <c r="L131" i="8"/>
  <c r="K131" i="8"/>
  <c r="J131" i="8"/>
  <c r="I131" i="8"/>
  <c r="H131" i="8"/>
  <c r="G131" i="8"/>
  <c r="F131" i="8"/>
  <c r="E131" i="8"/>
  <c r="D131" i="8"/>
  <c r="C131" i="8"/>
  <c r="B131" i="8"/>
  <c r="A131" i="8"/>
  <c r="AR130" i="8"/>
  <c r="AQ130" i="8"/>
  <c r="AP130" i="8"/>
  <c r="AO130" i="8"/>
  <c r="AN130" i="8"/>
  <c r="AM130" i="8"/>
  <c r="AL130" i="8"/>
  <c r="AK130" i="8"/>
  <c r="AJ130" i="8"/>
  <c r="AI130" i="8"/>
  <c r="AH130" i="8"/>
  <c r="AG130" i="8"/>
  <c r="AF130" i="8"/>
  <c r="AE130" i="8"/>
  <c r="AD130" i="8"/>
  <c r="AC130" i="8"/>
  <c r="AB130" i="8"/>
  <c r="AA130" i="8"/>
  <c r="Z130" i="8"/>
  <c r="Y130" i="8"/>
  <c r="X130" i="8"/>
  <c r="W130" i="8"/>
  <c r="V130" i="8"/>
  <c r="U130" i="8"/>
  <c r="T130" i="8"/>
  <c r="S130" i="8"/>
  <c r="R130" i="8"/>
  <c r="Q130" i="8"/>
  <c r="P130" i="8"/>
  <c r="O130" i="8"/>
  <c r="N130" i="8"/>
  <c r="M130" i="8"/>
  <c r="L130" i="8"/>
  <c r="K130" i="8"/>
  <c r="J130" i="8"/>
  <c r="I130" i="8"/>
  <c r="H130" i="8"/>
  <c r="G130" i="8"/>
  <c r="F130" i="8"/>
  <c r="E130" i="8"/>
  <c r="D130" i="8"/>
  <c r="C130" i="8"/>
  <c r="B130" i="8"/>
  <c r="A130" i="8"/>
  <c r="AR129" i="8"/>
  <c r="AQ129" i="8"/>
  <c r="AP129" i="8"/>
  <c r="AO129" i="8"/>
  <c r="AN129" i="8"/>
  <c r="AM129" i="8"/>
  <c r="AL129" i="8"/>
  <c r="AK129" i="8"/>
  <c r="AJ129" i="8"/>
  <c r="AI129" i="8"/>
  <c r="AH129" i="8"/>
  <c r="AG129" i="8"/>
  <c r="AF129" i="8"/>
  <c r="AE129" i="8"/>
  <c r="AD129" i="8"/>
  <c r="AC129" i="8"/>
  <c r="AB129" i="8"/>
  <c r="AA129" i="8"/>
  <c r="Z129" i="8"/>
  <c r="Y129" i="8"/>
  <c r="X129" i="8"/>
  <c r="W129" i="8"/>
  <c r="V129" i="8"/>
  <c r="U129" i="8"/>
  <c r="T129" i="8"/>
  <c r="S129" i="8"/>
  <c r="R129" i="8"/>
  <c r="Q129" i="8"/>
  <c r="P129" i="8"/>
  <c r="O129" i="8"/>
  <c r="N129" i="8"/>
  <c r="M129" i="8"/>
  <c r="L129" i="8"/>
  <c r="K129" i="8"/>
  <c r="J129" i="8"/>
  <c r="I129" i="8"/>
  <c r="H129" i="8"/>
  <c r="G129" i="8"/>
  <c r="F129" i="8"/>
  <c r="E129" i="8"/>
  <c r="D129" i="8"/>
  <c r="C129" i="8"/>
  <c r="B129" i="8"/>
  <c r="A129" i="8"/>
  <c r="AR128" i="8"/>
  <c r="AQ128" i="8"/>
  <c r="AP128" i="8"/>
  <c r="AO128" i="8"/>
  <c r="AN128" i="8"/>
  <c r="AM128" i="8"/>
  <c r="AL128" i="8"/>
  <c r="AK128" i="8"/>
  <c r="AJ128" i="8"/>
  <c r="AI128" i="8"/>
  <c r="AH128" i="8"/>
  <c r="AG128" i="8"/>
  <c r="AF128" i="8"/>
  <c r="AE128" i="8"/>
  <c r="AD128" i="8"/>
  <c r="AC128" i="8"/>
  <c r="AB128" i="8"/>
  <c r="AA128" i="8"/>
  <c r="Z128" i="8"/>
  <c r="Y128" i="8"/>
  <c r="X128" i="8"/>
  <c r="W128" i="8"/>
  <c r="V128" i="8"/>
  <c r="U128" i="8"/>
  <c r="T128" i="8"/>
  <c r="S128" i="8"/>
  <c r="R128" i="8"/>
  <c r="Q128" i="8"/>
  <c r="P128" i="8"/>
  <c r="O128" i="8"/>
  <c r="N128" i="8"/>
  <c r="M128" i="8"/>
  <c r="L128" i="8"/>
  <c r="K128" i="8"/>
  <c r="J128" i="8"/>
  <c r="I128" i="8"/>
  <c r="H128" i="8"/>
  <c r="G128" i="8"/>
  <c r="F128" i="8"/>
  <c r="E128" i="8"/>
  <c r="D128" i="8"/>
  <c r="C128" i="8"/>
  <c r="B128" i="8"/>
  <c r="A128" i="8"/>
  <c r="AR127" i="8"/>
  <c r="AQ127" i="8"/>
  <c r="AP127" i="8"/>
  <c r="AO127" i="8"/>
  <c r="AN127" i="8"/>
  <c r="AM127" i="8"/>
  <c r="AL127" i="8"/>
  <c r="AK127" i="8"/>
  <c r="AJ127" i="8"/>
  <c r="AI127" i="8"/>
  <c r="AH127" i="8"/>
  <c r="AG127" i="8"/>
  <c r="AF127" i="8"/>
  <c r="AE127" i="8"/>
  <c r="AD127" i="8"/>
  <c r="AC127" i="8"/>
  <c r="AB127" i="8"/>
  <c r="AA127" i="8"/>
  <c r="Z127" i="8"/>
  <c r="Y127" i="8"/>
  <c r="X127" i="8"/>
  <c r="W127" i="8"/>
  <c r="V127" i="8"/>
  <c r="U127" i="8"/>
  <c r="T127" i="8"/>
  <c r="S127" i="8"/>
  <c r="R127" i="8"/>
  <c r="Q127" i="8"/>
  <c r="P127" i="8"/>
  <c r="O127" i="8"/>
  <c r="N127" i="8"/>
  <c r="M127" i="8"/>
  <c r="L127" i="8"/>
  <c r="K127" i="8"/>
  <c r="J127" i="8"/>
  <c r="I127" i="8"/>
  <c r="H127" i="8"/>
  <c r="G127" i="8"/>
  <c r="F127" i="8"/>
  <c r="E127" i="8"/>
  <c r="D127" i="8"/>
  <c r="C127" i="8"/>
  <c r="B127" i="8"/>
  <c r="A127" i="8"/>
  <c r="AR126" i="8"/>
  <c r="AQ126" i="8"/>
  <c r="AP126" i="8"/>
  <c r="AO126" i="8"/>
  <c r="AN126" i="8"/>
  <c r="AM126" i="8"/>
  <c r="AL126" i="8"/>
  <c r="AK126" i="8"/>
  <c r="AJ126" i="8"/>
  <c r="AI126" i="8"/>
  <c r="AH126" i="8"/>
  <c r="AG126" i="8"/>
  <c r="AF126" i="8"/>
  <c r="AE126" i="8"/>
  <c r="AD126" i="8"/>
  <c r="AC126" i="8"/>
  <c r="AB126" i="8"/>
  <c r="AA126" i="8"/>
  <c r="Z126" i="8"/>
  <c r="Y126" i="8"/>
  <c r="X126" i="8"/>
  <c r="W126" i="8"/>
  <c r="V126" i="8"/>
  <c r="U126" i="8"/>
  <c r="T126" i="8"/>
  <c r="S126" i="8"/>
  <c r="R126" i="8"/>
  <c r="Q126" i="8"/>
  <c r="P126" i="8"/>
  <c r="O126" i="8"/>
  <c r="N126" i="8"/>
  <c r="M126" i="8"/>
  <c r="L126" i="8"/>
  <c r="K126" i="8"/>
  <c r="J126" i="8"/>
  <c r="I126" i="8"/>
  <c r="H126" i="8"/>
  <c r="G126" i="8"/>
  <c r="F126" i="8"/>
  <c r="E126" i="8"/>
  <c r="D126" i="8"/>
  <c r="C126" i="8"/>
  <c r="B126" i="8"/>
  <c r="A126" i="8"/>
  <c r="AR125" i="8"/>
  <c r="AQ125" i="8"/>
  <c r="AP125" i="8"/>
  <c r="AO125" i="8"/>
  <c r="AN125" i="8"/>
  <c r="AM125" i="8"/>
  <c r="AL125" i="8"/>
  <c r="AK125" i="8"/>
  <c r="AJ125" i="8"/>
  <c r="AI125" i="8"/>
  <c r="AH125" i="8"/>
  <c r="AG125" i="8"/>
  <c r="AF125" i="8"/>
  <c r="AE125" i="8"/>
  <c r="AD125" i="8"/>
  <c r="AC125" i="8"/>
  <c r="AB125" i="8"/>
  <c r="AA125" i="8"/>
  <c r="Z125" i="8"/>
  <c r="Y125" i="8"/>
  <c r="X125" i="8"/>
  <c r="W125" i="8"/>
  <c r="V125" i="8"/>
  <c r="U125" i="8"/>
  <c r="T125" i="8"/>
  <c r="S125" i="8"/>
  <c r="R125" i="8"/>
  <c r="Q125" i="8"/>
  <c r="P125" i="8"/>
  <c r="O125" i="8"/>
  <c r="N125" i="8"/>
  <c r="M125" i="8"/>
  <c r="L125" i="8"/>
  <c r="K125" i="8"/>
  <c r="J125" i="8"/>
  <c r="I125" i="8"/>
  <c r="H125" i="8"/>
  <c r="G125" i="8"/>
  <c r="F125" i="8"/>
  <c r="E125" i="8"/>
  <c r="D125" i="8"/>
  <c r="C125" i="8"/>
  <c r="B125" i="8"/>
  <c r="A125" i="8"/>
  <c r="AR124" i="8"/>
  <c r="AQ124" i="8"/>
  <c r="AP124" i="8"/>
  <c r="AO124" i="8"/>
  <c r="AN124" i="8"/>
  <c r="AM124" i="8"/>
  <c r="AL124" i="8"/>
  <c r="AK124" i="8"/>
  <c r="AJ124" i="8"/>
  <c r="AI124" i="8"/>
  <c r="AH124" i="8"/>
  <c r="AG124" i="8"/>
  <c r="AF124" i="8"/>
  <c r="AE124" i="8"/>
  <c r="AD124" i="8"/>
  <c r="AC124" i="8"/>
  <c r="AB124" i="8"/>
  <c r="AA124" i="8"/>
  <c r="Z124" i="8"/>
  <c r="Y124" i="8"/>
  <c r="X124" i="8"/>
  <c r="W124" i="8"/>
  <c r="V124" i="8"/>
  <c r="U124" i="8"/>
  <c r="T124" i="8"/>
  <c r="S124" i="8"/>
  <c r="R124" i="8"/>
  <c r="Q124" i="8"/>
  <c r="P124" i="8"/>
  <c r="O124" i="8"/>
  <c r="N124" i="8"/>
  <c r="M124" i="8"/>
  <c r="L124" i="8"/>
  <c r="K124" i="8"/>
  <c r="J124" i="8"/>
  <c r="I124" i="8"/>
  <c r="H124" i="8"/>
  <c r="G124" i="8"/>
  <c r="F124" i="8"/>
  <c r="E124" i="8"/>
  <c r="D124" i="8"/>
  <c r="C124" i="8"/>
  <c r="B124" i="8"/>
  <c r="A124" i="8"/>
  <c r="AR123" i="8"/>
  <c r="AQ123" i="8"/>
  <c r="AP123" i="8"/>
  <c r="AO123" i="8"/>
  <c r="AN123" i="8"/>
  <c r="AM123" i="8"/>
  <c r="AL123" i="8"/>
  <c r="AK123" i="8"/>
  <c r="AJ123" i="8"/>
  <c r="AI123" i="8"/>
  <c r="AH123" i="8"/>
  <c r="AG123" i="8"/>
  <c r="AF123" i="8"/>
  <c r="AE123" i="8"/>
  <c r="AD123" i="8"/>
  <c r="AC123" i="8"/>
  <c r="AB123" i="8"/>
  <c r="AA123" i="8"/>
  <c r="Z123" i="8"/>
  <c r="Y123" i="8"/>
  <c r="X123" i="8"/>
  <c r="W123" i="8"/>
  <c r="V123" i="8"/>
  <c r="U123" i="8"/>
  <c r="T123" i="8"/>
  <c r="S123" i="8"/>
  <c r="R123" i="8"/>
  <c r="Q123" i="8"/>
  <c r="P123" i="8"/>
  <c r="O123" i="8"/>
  <c r="N123" i="8"/>
  <c r="M123" i="8"/>
  <c r="L123" i="8"/>
  <c r="K123" i="8"/>
  <c r="J123" i="8"/>
  <c r="I123" i="8"/>
  <c r="H123" i="8"/>
  <c r="G123" i="8"/>
  <c r="F123" i="8"/>
  <c r="E123" i="8"/>
  <c r="D123" i="8"/>
  <c r="C123" i="8"/>
  <c r="B123" i="8"/>
  <c r="A123" i="8"/>
  <c r="AR122" i="8"/>
  <c r="AQ122" i="8"/>
  <c r="AP122" i="8"/>
  <c r="AO122" i="8"/>
  <c r="AN122" i="8"/>
  <c r="AM122" i="8"/>
  <c r="AL122" i="8"/>
  <c r="AK122" i="8"/>
  <c r="AJ122" i="8"/>
  <c r="AI122" i="8"/>
  <c r="AH122" i="8"/>
  <c r="AG122" i="8"/>
  <c r="AF122" i="8"/>
  <c r="AE122" i="8"/>
  <c r="AD122" i="8"/>
  <c r="AC122" i="8"/>
  <c r="AB122" i="8"/>
  <c r="AA122" i="8"/>
  <c r="Z122" i="8"/>
  <c r="Y122" i="8"/>
  <c r="X122" i="8"/>
  <c r="W122" i="8"/>
  <c r="V122" i="8"/>
  <c r="U122" i="8"/>
  <c r="T122" i="8"/>
  <c r="S122" i="8"/>
  <c r="R122" i="8"/>
  <c r="Q122" i="8"/>
  <c r="P122" i="8"/>
  <c r="O122" i="8"/>
  <c r="N122" i="8"/>
  <c r="M122" i="8"/>
  <c r="L122" i="8"/>
  <c r="K122" i="8"/>
  <c r="J122" i="8"/>
  <c r="I122" i="8"/>
  <c r="H122" i="8"/>
  <c r="G122" i="8"/>
  <c r="F122" i="8"/>
  <c r="E122" i="8"/>
  <c r="D122" i="8"/>
  <c r="C122" i="8"/>
  <c r="B122" i="8"/>
  <c r="A122" i="8"/>
  <c r="AR121" i="8"/>
  <c r="AQ121" i="8"/>
  <c r="AP121" i="8"/>
  <c r="AO121" i="8"/>
  <c r="AN121" i="8"/>
  <c r="AM121" i="8"/>
  <c r="AL121" i="8"/>
  <c r="AK121" i="8"/>
  <c r="AJ121" i="8"/>
  <c r="AI121" i="8"/>
  <c r="AH121" i="8"/>
  <c r="AG121" i="8"/>
  <c r="AF121" i="8"/>
  <c r="AE121" i="8"/>
  <c r="AD121" i="8"/>
  <c r="AC121" i="8"/>
  <c r="AB121" i="8"/>
  <c r="AA121" i="8"/>
  <c r="Z121" i="8"/>
  <c r="Y121" i="8"/>
  <c r="X121" i="8"/>
  <c r="W121" i="8"/>
  <c r="V121" i="8"/>
  <c r="U121" i="8"/>
  <c r="T121" i="8"/>
  <c r="S121" i="8"/>
  <c r="R121" i="8"/>
  <c r="Q121" i="8"/>
  <c r="P121" i="8"/>
  <c r="O121" i="8"/>
  <c r="N121" i="8"/>
  <c r="M121" i="8"/>
  <c r="L121" i="8"/>
  <c r="K121" i="8"/>
  <c r="J121" i="8"/>
  <c r="I121" i="8"/>
  <c r="H121" i="8"/>
  <c r="G121" i="8"/>
  <c r="F121" i="8"/>
  <c r="E121" i="8"/>
  <c r="D121" i="8"/>
  <c r="C121" i="8"/>
  <c r="B121" i="8"/>
  <c r="A121" i="8"/>
  <c r="AR120" i="8"/>
  <c r="AQ120" i="8"/>
  <c r="AP120" i="8"/>
  <c r="AO120" i="8"/>
  <c r="AN120" i="8"/>
  <c r="AM120" i="8"/>
  <c r="AL120" i="8"/>
  <c r="AK120" i="8"/>
  <c r="AJ120" i="8"/>
  <c r="AI120" i="8"/>
  <c r="AH120" i="8"/>
  <c r="AG120" i="8"/>
  <c r="AF120" i="8"/>
  <c r="AE120" i="8"/>
  <c r="AD120" i="8"/>
  <c r="AC120" i="8"/>
  <c r="AB120" i="8"/>
  <c r="AA120" i="8"/>
  <c r="Z120" i="8"/>
  <c r="Y120" i="8"/>
  <c r="X120" i="8"/>
  <c r="W120" i="8"/>
  <c r="V120" i="8"/>
  <c r="U120" i="8"/>
  <c r="T120" i="8"/>
  <c r="S120" i="8"/>
  <c r="R120" i="8"/>
  <c r="Q120" i="8"/>
  <c r="P120" i="8"/>
  <c r="O120" i="8"/>
  <c r="N120" i="8"/>
  <c r="M120" i="8"/>
  <c r="L120" i="8"/>
  <c r="K120" i="8"/>
  <c r="J120" i="8"/>
  <c r="I120" i="8"/>
  <c r="H120" i="8"/>
  <c r="G120" i="8"/>
  <c r="F120" i="8"/>
  <c r="E120" i="8"/>
  <c r="D120" i="8"/>
  <c r="C120" i="8"/>
  <c r="B120" i="8"/>
  <c r="A120" i="8"/>
  <c r="AR119" i="8"/>
  <c r="AQ119" i="8"/>
  <c r="AP119" i="8"/>
  <c r="AO119" i="8"/>
  <c r="AN119" i="8"/>
  <c r="AM119" i="8"/>
  <c r="AL119" i="8"/>
  <c r="AK119" i="8"/>
  <c r="AJ119" i="8"/>
  <c r="AI119" i="8"/>
  <c r="AH119" i="8"/>
  <c r="AG119" i="8"/>
  <c r="AF119" i="8"/>
  <c r="AE119" i="8"/>
  <c r="AD119" i="8"/>
  <c r="AC119" i="8"/>
  <c r="AB119" i="8"/>
  <c r="AA119" i="8"/>
  <c r="Z119" i="8"/>
  <c r="Y119" i="8"/>
  <c r="X119" i="8"/>
  <c r="W119" i="8"/>
  <c r="V119" i="8"/>
  <c r="U119" i="8"/>
  <c r="T119" i="8"/>
  <c r="S119" i="8"/>
  <c r="R119" i="8"/>
  <c r="Q119" i="8"/>
  <c r="P119" i="8"/>
  <c r="O119" i="8"/>
  <c r="N119" i="8"/>
  <c r="M119" i="8"/>
  <c r="L119" i="8"/>
  <c r="K119" i="8"/>
  <c r="J119" i="8"/>
  <c r="I119" i="8"/>
  <c r="H119" i="8"/>
  <c r="G119" i="8"/>
  <c r="F119" i="8"/>
  <c r="E119" i="8"/>
  <c r="D119" i="8"/>
  <c r="C119" i="8"/>
  <c r="B119" i="8"/>
  <c r="A119" i="8"/>
  <c r="AR118" i="8"/>
  <c r="AQ118" i="8"/>
  <c r="AP118" i="8"/>
  <c r="AO118" i="8"/>
  <c r="AN118" i="8"/>
  <c r="AM118" i="8"/>
  <c r="AL118" i="8"/>
  <c r="AK118" i="8"/>
  <c r="AJ118" i="8"/>
  <c r="AI118" i="8"/>
  <c r="AH118" i="8"/>
  <c r="AG118" i="8"/>
  <c r="AF118" i="8"/>
  <c r="AE118" i="8"/>
  <c r="AD118" i="8"/>
  <c r="AC118" i="8"/>
  <c r="AB118" i="8"/>
  <c r="AA118" i="8"/>
  <c r="Z118" i="8"/>
  <c r="Y118" i="8"/>
  <c r="X118" i="8"/>
  <c r="W118" i="8"/>
  <c r="V118" i="8"/>
  <c r="U118" i="8"/>
  <c r="T118" i="8"/>
  <c r="S118" i="8"/>
  <c r="R118" i="8"/>
  <c r="Q118" i="8"/>
  <c r="P118" i="8"/>
  <c r="O118" i="8"/>
  <c r="N118" i="8"/>
  <c r="M118" i="8"/>
  <c r="L118" i="8"/>
  <c r="K118" i="8"/>
  <c r="J118" i="8"/>
  <c r="I118" i="8"/>
  <c r="H118" i="8"/>
  <c r="G118" i="8"/>
  <c r="F118" i="8"/>
  <c r="E118" i="8"/>
  <c r="D118" i="8"/>
  <c r="C118" i="8"/>
  <c r="B118" i="8"/>
  <c r="A118" i="8"/>
  <c r="AR117" i="8"/>
  <c r="AQ117" i="8"/>
  <c r="AP117" i="8"/>
  <c r="AO117" i="8"/>
  <c r="AN117" i="8"/>
  <c r="AM117" i="8"/>
  <c r="AL117" i="8"/>
  <c r="AK117" i="8"/>
  <c r="AJ117" i="8"/>
  <c r="AI117" i="8"/>
  <c r="AH117" i="8"/>
  <c r="AG117" i="8"/>
  <c r="AF117" i="8"/>
  <c r="AE117" i="8"/>
  <c r="AD117" i="8"/>
  <c r="AC117" i="8"/>
  <c r="AB117" i="8"/>
  <c r="AA117" i="8"/>
  <c r="Z117" i="8"/>
  <c r="Y117" i="8"/>
  <c r="X117" i="8"/>
  <c r="W117" i="8"/>
  <c r="V117" i="8"/>
  <c r="U117" i="8"/>
  <c r="T117" i="8"/>
  <c r="S117" i="8"/>
  <c r="R117" i="8"/>
  <c r="Q117" i="8"/>
  <c r="P117" i="8"/>
  <c r="O117" i="8"/>
  <c r="N117" i="8"/>
  <c r="M117" i="8"/>
  <c r="L117" i="8"/>
  <c r="K117" i="8"/>
  <c r="J117" i="8"/>
  <c r="I117" i="8"/>
  <c r="H117" i="8"/>
  <c r="G117" i="8"/>
  <c r="F117" i="8"/>
  <c r="E117" i="8"/>
  <c r="D117" i="8"/>
  <c r="C117" i="8"/>
  <c r="B117" i="8"/>
  <c r="A117" i="8"/>
  <c r="AR116" i="8"/>
  <c r="AQ116" i="8"/>
  <c r="AP116" i="8"/>
  <c r="AO116" i="8"/>
  <c r="AN116" i="8"/>
  <c r="AM116" i="8"/>
  <c r="AL116" i="8"/>
  <c r="AK116" i="8"/>
  <c r="AJ116" i="8"/>
  <c r="AI116" i="8"/>
  <c r="AH116" i="8"/>
  <c r="AG116" i="8"/>
  <c r="AF116" i="8"/>
  <c r="AE116" i="8"/>
  <c r="AD116" i="8"/>
  <c r="AC116" i="8"/>
  <c r="AB116" i="8"/>
  <c r="AA116" i="8"/>
  <c r="Z116" i="8"/>
  <c r="Y116" i="8"/>
  <c r="X116" i="8"/>
  <c r="W116" i="8"/>
  <c r="V116" i="8"/>
  <c r="U116" i="8"/>
  <c r="T116" i="8"/>
  <c r="S116" i="8"/>
  <c r="R116" i="8"/>
  <c r="Q116" i="8"/>
  <c r="P116" i="8"/>
  <c r="O116" i="8"/>
  <c r="N116" i="8"/>
  <c r="M116" i="8"/>
  <c r="L116" i="8"/>
  <c r="K116" i="8"/>
  <c r="J116" i="8"/>
  <c r="I116" i="8"/>
  <c r="H116" i="8"/>
  <c r="G116" i="8"/>
  <c r="F116" i="8"/>
  <c r="E116" i="8"/>
  <c r="D116" i="8"/>
  <c r="C116" i="8"/>
  <c r="B116" i="8"/>
  <c r="A116" i="8"/>
  <c r="AR115" i="8"/>
  <c r="AQ115" i="8"/>
  <c r="AP115" i="8"/>
  <c r="AO115" i="8"/>
  <c r="AN115" i="8"/>
  <c r="AM115" i="8"/>
  <c r="AL115" i="8"/>
  <c r="AK115" i="8"/>
  <c r="AJ115" i="8"/>
  <c r="AI115" i="8"/>
  <c r="AH115" i="8"/>
  <c r="AG115" i="8"/>
  <c r="AF115" i="8"/>
  <c r="AE115" i="8"/>
  <c r="AD115" i="8"/>
  <c r="AC115" i="8"/>
  <c r="AB115" i="8"/>
  <c r="AA115" i="8"/>
  <c r="Z115" i="8"/>
  <c r="Y115" i="8"/>
  <c r="X115" i="8"/>
  <c r="W115" i="8"/>
  <c r="V115" i="8"/>
  <c r="U115" i="8"/>
  <c r="T115" i="8"/>
  <c r="S115" i="8"/>
  <c r="R115" i="8"/>
  <c r="Q115" i="8"/>
  <c r="P115" i="8"/>
  <c r="O115" i="8"/>
  <c r="N115" i="8"/>
  <c r="M115" i="8"/>
  <c r="L115" i="8"/>
  <c r="K115" i="8"/>
  <c r="J115" i="8"/>
  <c r="I115" i="8"/>
  <c r="H115" i="8"/>
  <c r="G115" i="8"/>
  <c r="F115" i="8"/>
  <c r="E115" i="8"/>
  <c r="D115" i="8"/>
  <c r="C115" i="8"/>
  <c r="B115" i="8"/>
  <c r="A115" i="8"/>
  <c r="AR114" i="8"/>
  <c r="AQ114" i="8"/>
  <c r="AP114" i="8"/>
  <c r="AO114" i="8"/>
  <c r="AN114" i="8"/>
  <c r="AM114" i="8"/>
  <c r="AL114" i="8"/>
  <c r="AK114" i="8"/>
  <c r="AJ114" i="8"/>
  <c r="AI114" i="8"/>
  <c r="AH114" i="8"/>
  <c r="AG114" i="8"/>
  <c r="AF114" i="8"/>
  <c r="AE114" i="8"/>
  <c r="AD114" i="8"/>
  <c r="AC114" i="8"/>
  <c r="AB114" i="8"/>
  <c r="AA114" i="8"/>
  <c r="Z114" i="8"/>
  <c r="Y114" i="8"/>
  <c r="X114" i="8"/>
  <c r="W114" i="8"/>
  <c r="V114" i="8"/>
  <c r="U114" i="8"/>
  <c r="T114" i="8"/>
  <c r="S114" i="8"/>
  <c r="R114" i="8"/>
  <c r="Q114" i="8"/>
  <c r="P114" i="8"/>
  <c r="O114" i="8"/>
  <c r="N114" i="8"/>
  <c r="M114" i="8"/>
  <c r="L114" i="8"/>
  <c r="K114" i="8"/>
  <c r="J114" i="8"/>
  <c r="I114" i="8"/>
  <c r="H114" i="8"/>
  <c r="G114" i="8"/>
  <c r="F114" i="8"/>
  <c r="E114" i="8"/>
  <c r="D114" i="8"/>
  <c r="C114" i="8"/>
  <c r="B114" i="8"/>
  <c r="A114" i="8"/>
  <c r="AR113" i="8"/>
  <c r="AQ113" i="8"/>
  <c r="AP113" i="8"/>
  <c r="AO113" i="8"/>
  <c r="AN113" i="8"/>
  <c r="AM113" i="8"/>
  <c r="AL113" i="8"/>
  <c r="AK113" i="8"/>
  <c r="AJ113" i="8"/>
  <c r="AI113" i="8"/>
  <c r="AH113" i="8"/>
  <c r="AG113" i="8"/>
  <c r="AF113" i="8"/>
  <c r="AE113" i="8"/>
  <c r="AD113" i="8"/>
  <c r="AC113" i="8"/>
  <c r="AB113" i="8"/>
  <c r="AA113" i="8"/>
  <c r="Z113" i="8"/>
  <c r="Y113" i="8"/>
  <c r="X113" i="8"/>
  <c r="W113" i="8"/>
  <c r="V113" i="8"/>
  <c r="U113" i="8"/>
  <c r="T113" i="8"/>
  <c r="S113" i="8"/>
  <c r="R113" i="8"/>
  <c r="Q113" i="8"/>
  <c r="P113" i="8"/>
  <c r="O113" i="8"/>
  <c r="N113" i="8"/>
  <c r="M113" i="8"/>
  <c r="L113" i="8"/>
  <c r="K113" i="8"/>
  <c r="J113" i="8"/>
  <c r="I113" i="8"/>
  <c r="H113" i="8"/>
  <c r="G113" i="8"/>
  <c r="F113" i="8"/>
  <c r="E113" i="8"/>
  <c r="D113" i="8"/>
  <c r="C113" i="8"/>
  <c r="B113" i="8"/>
  <c r="A113" i="8"/>
  <c r="AR112" i="8"/>
  <c r="AQ112" i="8"/>
  <c r="AP112" i="8"/>
  <c r="AO112" i="8"/>
  <c r="AN112" i="8"/>
  <c r="AM112" i="8"/>
  <c r="AL112" i="8"/>
  <c r="AK112" i="8"/>
  <c r="AJ112" i="8"/>
  <c r="AI112" i="8"/>
  <c r="AH112" i="8"/>
  <c r="AG112" i="8"/>
  <c r="AF112" i="8"/>
  <c r="AE112" i="8"/>
  <c r="AD112" i="8"/>
  <c r="AC112" i="8"/>
  <c r="AB112" i="8"/>
  <c r="AA112" i="8"/>
  <c r="Z112" i="8"/>
  <c r="Y112" i="8"/>
  <c r="X112" i="8"/>
  <c r="W112" i="8"/>
  <c r="V112" i="8"/>
  <c r="U112" i="8"/>
  <c r="T112" i="8"/>
  <c r="S112" i="8"/>
  <c r="R112" i="8"/>
  <c r="Q112" i="8"/>
  <c r="P112" i="8"/>
  <c r="O112" i="8"/>
  <c r="N112" i="8"/>
  <c r="M112" i="8"/>
  <c r="L112" i="8"/>
  <c r="K112" i="8"/>
  <c r="J112" i="8"/>
  <c r="I112" i="8"/>
  <c r="H112" i="8"/>
  <c r="G112" i="8"/>
  <c r="F112" i="8"/>
  <c r="E112" i="8"/>
  <c r="D112" i="8"/>
  <c r="C112" i="8"/>
  <c r="B112" i="8"/>
  <c r="A112" i="8"/>
  <c r="AR111" i="8"/>
  <c r="AQ111" i="8"/>
  <c r="AP111" i="8"/>
  <c r="AO111" i="8"/>
  <c r="AN111" i="8"/>
  <c r="AM111" i="8"/>
  <c r="AL111" i="8"/>
  <c r="AK111" i="8"/>
  <c r="AJ111" i="8"/>
  <c r="AI111" i="8"/>
  <c r="AH111" i="8"/>
  <c r="AG111" i="8"/>
  <c r="AF111" i="8"/>
  <c r="AE111" i="8"/>
  <c r="AD111" i="8"/>
  <c r="AC111" i="8"/>
  <c r="AB111" i="8"/>
  <c r="AA111" i="8"/>
  <c r="Z111" i="8"/>
  <c r="Y111" i="8"/>
  <c r="X111" i="8"/>
  <c r="W111" i="8"/>
  <c r="V111" i="8"/>
  <c r="U111" i="8"/>
  <c r="T111" i="8"/>
  <c r="S111" i="8"/>
  <c r="R111" i="8"/>
  <c r="Q111" i="8"/>
  <c r="P111" i="8"/>
  <c r="O111" i="8"/>
  <c r="N111" i="8"/>
  <c r="M111" i="8"/>
  <c r="L111" i="8"/>
  <c r="K111" i="8"/>
  <c r="J111" i="8"/>
  <c r="I111" i="8"/>
  <c r="H111" i="8"/>
  <c r="G111" i="8"/>
  <c r="F111" i="8"/>
  <c r="E111" i="8"/>
  <c r="D111" i="8"/>
  <c r="C111" i="8"/>
  <c r="B111" i="8"/>
  <c r="A111" i="8"/>
  <c r="AR110" i="8"/>
  <c r="AQ110" i="8"/>
  <c r="AP110" i="8"/>
  <c r="AO110" i="8"/>
  <c r="AN110" i="8"/>
  <c r="AM110" i="8"/>
  <c r="AL110" i="8"/>
  <c r="AK110" i="8"/>
  <c r="AJ110" i="8"/>
  <c r="AI110" i="8"/>
  <c r="AH110" i="8"/>
  <c r="AG110" i="8"/>
  <c r="AF110" i="8"/>
  <c r="AE110" i="8"/>
  <c r="AD110" i="8"/>
  <c r="AC110" i="8"/>
  <c r="AB110" i="8"/>
  <c r="AA110" i="8"/>
  <c r="Z110" i="8"/>
  <c r="Y110" i="8"/>
  <c r="X110" i="8"/>
  <c r="W110" i="8"/>
  <c r="V110" i="8"/>
  <c r="U110" i="8"/>
  <c r="T110" i="8"/>
  <c r="S110" i="8"/>
  <c r="R110" i="8"/>
  <c r="Q110" i="8"/>
  <c r="P110" i="8"/>
  <c r="O110" i="8"/>
  <c r="N110" i="8"/>
  <c r="M110" i="8"/>
  <c r="L110" i="8"/>
  <c r="K110" i="8"/>
  <c r="J110" i="8"/>
  <c r="I110" i="8"/>
  <c r="H110" i="8"/>
  <c r="G110" i="8"/>
  <c r="F110" i="8"/>
  <c r="E110" i="8"/>
  <c r="D110" i="8"/>
  <c r="C110" i="8"/>
  <c r="B110" i="8"/>
  <c r="A110" i="8"/>
  <c r="AR109" i="8"/>
  <c r="AQ109" i="8"/>
  <c r="AP109" i="8"/>
  <c r="AO109" i="8"/>
  <c r="AN109" i="8"/>
  <c r="AM109" i="8"/>
  <c r="AL109" i="8"/>
  <c r="AK109" i="8"/>
  <c r="AJ109" i="8"/>
  <c r="AI109" i="8"/>
  <c r="AH109" i="8"/>
  <c r="AG109" i="8"/>
  <c r="AF109" i="8"/>
  <c r="AE109" i="8"/>
  <c r="AD109" i="8"/>
  <c r="AC109" i="8"/>
  <c r="AB109" i="8"/>
  <c r="AA109" i="8"/>
  <c r="Z109" i="8"/>
  <c r="Y109" i="8"/>
  <c r="X109" i="8"/>
  <c r="W109" i="8"/>
  <c r="V109" i="8"/>
  <c r="U109" i="8"/>
  <c r="T109" i="8"/>
  <c r="S109" i="8"/>
  <c r="R109" i="8"/>
  <c r="Q109" i="8"/>
  <c r="P109" i="8"/>
  <c r="O109" i="8"/>
  <c r="N109" i="8"/>
  <c r="M109" i="8"/>
  <c r="L109" i="8"/>
  <c r="K109" i="8"/>
  <c r="J109" i="8"/>
  <c r="I109" i="8"/>
  <c r="H109" i="8"/>
  <c r="G109" i="8"/>
  <c r="F109" i="8"/>
  <c r="E109" i="8"/>
  <c r="D109" i="8"/>
  <c r="C109" i="8"/>
  <c r="B109" i="8"/>
  <c r="A109" i="8"/>
  <c r="AR108" i="8"/>
  <c r="AQ108" i="8"/>
  <c r="AP108" i="8"/>
  <c r="AO108" i="8"/>
  <c r="AN108" i="8"/>
  <c r="AM108" i="8"/>
  <c r="AL108" i="8"/>
  <c r="AK108" i="8"/>
  <c r="AJ108" i="8"/>
  <c r="AI108" i="8"/>
  <c r="AH108" i="8"/>
  <c r="AG108" i="8"/>
  <c r="AF108" i="8"/>
  <c r="AE108" i="8"/>
  <c r="AD108" i="8"/>
  <c r="AC108" i="8"/>
  <c r="AB108" i="8"/>
  <c r="AA108" i="8"/>
  <c r="Z108" i="8"/>
  <c r="Y108" i="8"/>
  <c r="X108" i="8"/>
  <c r="W108" i="8"/>
  <c r="V108" i="8"/>
  <c r="U108" i="8"/>
  <c r="T108" i="8"/>
  <c r="S108" i="8"/>
  <c r="R108" i="8"/>
  <c r="Q108" i="8"/>
  <c r="P108" i="8"/>
  <c r="O108" i="8"/>
  <c r="N108" i="8"/>
  <c r="M108" i="8"/>
  <c r="L108" i="8"/>
  <c r="K108" i="8"/>
  <c r="J108" i="8"/>
  <c r="I108" i="8"/>
  <c r="H108" i="8"/>
  <c r="G108" i="8"/>
  <c r="F108" i="8"/>
  <c r="E108" i="8"/>
  <c r="D108" i="8"/>
  <c r="C108" i="8"/>
  <c r="B108" i="8"/>
  <c r="A108" i="8"/>
  <c r="AR107" i="8"/>
  <c r="AQ107" i="8"/>
  <c r="AP107" i="8"/>
  <c r="AO107" i="8"/>
  <c r="AN107" i="8"/>
  <c r="AM107" i="8"/>
  <c r="AL107" i="8"/>
  <c r="AK107" i="8"/>
  <c r="AJ107" i="8"/>
  <c r="AI107" i="8"/>
  <c r="AH107" i="8"/>
  <c r="AG107" i="8"/>
  <c r="AF107" i="8"/>
  <c r="AE107" i="8"/>
  <c r="AD107" i="8"/>
  <c r="AC107" i="8"/>
  <c r="AB107" i="8"/>
  <c r="AA107" i="8"/>
  <c r="Z107" i="8"/>
  <c r="Y107" i="8"/>
  <c r="X107" i="8"/>
  <c r="W107" i="8"/>
  <c r="V107" i="8"/>
  <c r="U107" i="8"/>
  <c r="T107" i="8"/>
  <c r="S107" i="8"/>
  <c r="R107" i="8"/>
  <c r="Q107" i="8"/>
  <c r="P107" i="8"/>
  <c r="O107" i="8"/>
  <c r="N107" i="8"/>
  <c r="M107" i="8"/>
  <c r="L107" i="8"/>
  <c r="K107" i="8"/>
  <c r="J107" i="8"/>
  <c r="I107" i="8"/>
  <c r="H107" i="8"/>
  <c r="G107" i="8"/>
  <c r="F107" i="8"/>
  <c r="E107" i="8"/>
  <c r="D107" i="8"/>
  <c r="C107" i="8"/>
  <c r="B107" i="8"/>
  <c r="A107" i="8"/>
  <c r="AR106" i="8"/>
  <c r="AQ106" i="8"/>
  <c r="AP106" i="8"/>
  <c r="AO106" i="8"/>
  <c r="AN106" i="8"/>
  <c r="AM106" i="8"/>
  <c r="AL106" i="8"/>
  <c r="AK106" i="8"/>
  <c r="AJ106" i="8"/>
  <c r="AI106" i="8"/>
  <c r="AH106" i="8"/>
  <c r="AG106" i="8"/>
  <c r="AF106" i="8"/>
  <c r="AE106" i="8"/>
  <c r="AD106" i="8"/>
  <c r="AC106" i="8"/>
  <c r="AB106" i="8"/>
  <c r="AA106" i="8"/>
  <c r="Z106" i="8"/>
  <c r="Y106" i="8"/>
  <c r="X106" i="8"/>
  <c r="W106" i="8"/>
  <c r="V106" i="8"/>
  <c r="U106" i="8"/>
  <c r="T106" i="8"/>
  <c r="S106" i="8"/>
  <c r="R106" i="8"/>
  <c r="Q106" i="8"/>
  <c r="P106" i="8"/>
  <c r="O106" i="8"/>
  <c r="N106" i="8"/>
  <c r="M106" i="8"/>
  <c r="L106" i="8"/>
  <c r="K106" i="8"/>
  <c r="J106" i="8"/>
  <c r="I106" i="8"/>
  <c r="H106" i="8"/>
  <c r="G106" i="8"/>
  <c r="F106" i="8"/>
  <c r="E106" i="8"/>
  <c r="D106" i="8"/>
  <c r="C106" i="8"/>
  <c r="B106" i="8"/>
  <c r="A106" i="8"/>
  <c r="AR105" i="8"/>
  <c r="AQ105" i="8"/>
  <c r="AP105" i="8"/>
  <c r="AO105" i="8"/>
  <c r="AN105" i="8"/>
  <c r="AM105" i="8"/>
  <c r="AL105" i="8"/>
  <c r="AK105" i="8"/>
  <c r="AJ105" i="8"/>
  <c r="AI105" i="8"/>
  <c r="AH105" i="8"/>
  <c r="AG105" i="8"/>
  <c r="AF105" i="8"/>
  <c r="AE105" i="8"/>
  <c r="AD105" i="8"/>
  <c r="AC105" i="8"/>
  <c r="AB105" i="8"/>
  <c r="AA105" i="8"/>
  <c r="Z105" i="8"/>
  <c r="Y105" i="8"/>
  <c r="X105" i="8"/>
  <c r="W105" i="8"/>
  <c r="V105" i="8"/>
  <c r="U105" i="8"/>
  <c r="T105" i="8"/>
  <c r="S105" i="8"/>
  <c r="R105" i="8"/>
  <c r="Q105" i="8"/>
  <c r="P105" i="8"/>
  <c r="O105" i="8"/>
  <c r="N105" i="8"/>
  <c r="M105" i="8"/>
  <c r="L105" i="8"/>
  <c r="K105" i="8"/>
  <c r="J105" i="8"/>
  <c r="I105" i="8"/>
  <c r="H105" i="8"/>
  <c r="G105" i="8"/>
  <c r="F105" i="8"/>
  <c r="E105" i="8"/>
  <c r="D105" i="8"/>
  <c r="C105" i="8"/>
  <c r="B105" i="8"/>
  <c r="A105" i="8"/>
  <c r="AR104" i="8"/>
  <c r="AQ104" i="8"/>
  <c r="AP104" i="8"/>
  <c r="AO104" i="8"/>
  <c r="AN104" i="8"/>
  <c r="AM104" i="8"/>
  <c r="AL104" i="8"/>
  <c r="AK104" i="8"/>
  <c r="AJ104" i="8"/>
  <c r="AI104" i="8"/>
  <c r="AH104" i="8"/>
  <c r="AG104" i="8"/>
  <c r="AF104" i="8"/>
  <c r="AE104" i="8"/>
  <c r="AD104" i="8"/>
  <c r="AC104" i="8"/>
  <c r="AB104" i="8"/>
  <c r="AA104" i="8"/>
  <c r="Z104" i="8"/>
  <c r="Y104" i="8"/>
  <c r="X104" i="8"/>
  <c r="W104" i="8"/>
  <c r="V104" i="8"/>
  <c r="U104" i="8"/>
  <c r="T104" i="8"/>
  <c r="S104" i="8"/>
  <c r="R104" i="8"/>
  <c r="Q104" i="8"/>
  <c r="P104" i="8"/>
  <c r="O104" i="8"/>
  <c r="N104" i="8"/>
  <c r="M104" i="8"/>
  <c r="L104" i="8"/>
  <c r="K104" i="8"/>
  <c r="J104" i="8"/>
  <c r="I104" i="8"/>
  <c r="H104" i="8"/>
  <c r="G104" i="8"/>
  <c r="F104" i="8"/>
  <c r="E104" i="8"/>
  <c r="D104" i="8"/>
  <c r="C104" i="8"/>
  <c r="B104" i="8"/>
  <c r="A104" i="8"/>
  <c r="AR103" i="8"/>
  <c r="AQ103" i="8"/>
  <c r="AP103" i="8"/>
  <c r="AO103" i="8"/>
  <c r="AN103" i="8"/>
  <c r="AM103" i="8"/>
  <c r="AL103" i="8"/>
  <c r="AK103" i="8"/>
  <c r="AJ103" i="8"/>
  <c r="AI103" i="8"/>
  <c r="AH103" i="8"/>
  <c r="AG103" i="8"/>
  <c r="AF103" i="8"/>
  <c r="AE103" i="8"/>
  <c r="AD103" i="8"/>
  <c r="AC103" i="8"/>
  <c r="AB103" i="8"/>
  <c r="AA103" i="8"/>
  <c r="Z103" i="8"/>
  <c r="Y103" i="8"/>
  <c r="X103" i="8"/>
  <c r="W103" i="8"/>
  <c r="V103" i="8"/>
  <c r="U103" i="8"/>
  <c r="T103" i="8"/>
  <c r="S103" i="8"/>
  <c r="R103" i="8"/>
  <c r="Q103" i="8"/>
  <c r="P103" i="8"/>
  <c r="O103" i="8"/>
  <c r="N103" i="8"/>
  <c r="M103" i="8"/>
  <c r="L103" i="8"/>
  <c r="K103" i="8"/>
  <c r="J103" i="8"/>
  <c r="I103" i="8"/>
  <c r="H103" i="8"/>
  <c r="G103" i="8"/>
  <c r="F103" i="8"/>
  <c r="E103" i="8"/>
  <c r="D103" i="8"/>
  <c r="C103" i="8"/>
  <c r="B103" i="8"/>
  <c r="A103" i="8"/>
  <c r="AR102" i="8"/>
  <c r="AQ102" i="8"/>
  <c r="AP102" i="8"/>
  <c r="AO102" i="8"/>
  <c r="AN102" i="8"/>
  <c r="AM102" i="8"/>
  <c r="AL102" i="8"/>
  <c r="AK102" i="8"/>
  <c r="AJ102" i="8"/>
  <c r="AI102" i="8"/>
  <c r="AH102" i="8"/>
  <c r="AG102" i="8"/>
  <c r="AF102" i="8"/>
  <c r="AE102" i="8"/>
  <c r="AD102" i="8"/>
  <c r="AC102" i="8"/>
  <c r="AB102" i="8"/>
  <c r="AA102" i="8"/>
  <c r="Z102" i="8"/>
  <c r="Y102" i="8"/>
  <c r="X102" i="8"/>
  <c r="W102" i="8"/>
  <c r="V102" i="8"/>
  <c r="U102" i="8"/>
  <c r="T102" i="8"/>
  <c r="S102" i="8"/>
  <c r="R102" i="8"/>
  <c r="Q102" i="8"/>
  <c r="P102" i="8"/>
  <c r="O102" i="8"/>
  <c r="N102" i="8"/>
  <c r="M102" i="8"/>
  <c r="L102" i="8"/>
  <c r="K102" i="8"/>
  <c r="J102" i="8"/>
  <c r="I102" i="8"/>
  <c r="H102" i="8"/>
  <c r="G102" i="8"/>
  <c r="F102" i="8"/>
  <c r="E102" i="8"/>
  <c r="D102" i="8"/>
  <c r="C102" i="8"/>
  <c r="B102" i="8"/>
  <c r="A102" i="8"/>
  <c r="AR101" i="8"/>
  <c r="AQ101" i="8"/>
  <c r="AP101" i="8"/>
  <c r="AO101" i="8"/>
  <c r="AN101" i="8"/>
  <c r="AM101" i="8"/>
  <c r="AL101" i="8"/>
  <c r="AK101" i="8"/>
  <c r="AJ101" i="8"/>
  <c r="AI101" i="8"/>
  <c r="AH101" i="8"/>
  <c r="AG101" i="8"/>
  <c r="AF101" i="8"/>
  <c r="AE101" i="8"/>
  <c r="AD101" i="8"/>
  <c r="AC101" i="8"/>
  <c r="AB101" i="8"/>
  <c r="AA101" i="8"/>
  <c r="Z101" i="8"/>
  <c r="Y101" i="8"/>
  <c r="X101" i="8"/>
  <c r="W101" i="8"/>
  <c r="V101" i="8"/>
  <c r="U101" i="8"/>
  <c r="T101" i="8"/>
  <c r="S101" i="8"/>
  <c r="R101" i="8"/>
  <c r="Q101" i="8"/>
  <c r="P101" i="8"/>
  <c r="O101" i="8"/>
  <c r="N101" i="8"/>
  <c r="M101" i="8"/>
  <c r="L101" i="8"/>
  <c r="K101" i="8"/>
  <c r="J101" i="8"/>
  <c r="I101" i="8"/>
  <c r="H101" i="8"/>
  <c r="G101" i="8"/>
  <c r="F101" i="8"/>
  <c r="E101" i="8"/>
  <c r="D101" i="8"/>
  <c r="C101" i="8"/>
  <c r="B101" i="8"/>
  <c r="A101" i="8"/>
  <c r="AR100" i="8"/>
  <c r="AQ100" i="8"/>
  <c r="AP100" i="8"/>
  <c r="AO100" i="8"/>
  <c r="AN100" i="8"/>
  <c r="AM100" i="8"/>
  <c r="AL100" i="8"/>
  <c r="AK100" i="8"/>
  <c r="AJ100" i="8"/>
  <c r="AI100" i="8"/>
  <c r="AH100" i="8"/>
  <c r="AG100" i="8"/>
  <c r="AF100" i="8"/>
  <c r="AE100" i="8"/>
  <c r="AD100" i="8"/>
  <c r="AC100" i="8"/>
  <c r="AB100" i="8"/>
  <c r="AA100" i="8"/>
  <c r="Z100" i="8"/>
  <c r="Y100" i="8"/>
  <c r="X100" i="8"/>
  <c r="W100" i="8"/>
  <c r="V100" i="8"/>
  <c r="U100" i="8"/>
  <c r="T100" i="8"/>
  <c r="S100" i="8"/>
  <c r="R100" i="8"/>
  <c r="Q100" i="8"/>
  <c r="P100" i="8"/>
  <c r="O100" i="8"/>
  <c r="N100" i="8"/>
  <c r="M100" i="8"/>
  <c r="L100" i="8"/>
  <c r="K100" i="8"/>
  <c r="J100" i="8"/>
  <c r="I100" i="8"/>
  <c r="H100" i="8"/>
  <c r="G100" i="8"/>
  <c r="F100" i="8"/>
  <c r="E100" i="8"/>
  <c r="D100" i="8"/>
  <c r="C100" i="8"/>
  <c r="B100" i="8"/>
  <c r="A100" i="8"/>
  <c r="AR99" i="8"/>
  <c r="AQ99" i="8"/>
  <c r="AP99" i="8"/>
  <c r="AO99" i="8"/>
  <c r="AN99" i="8"/>
  <c r="AM99" i="8"/>
  <c r="AL99" i="8"/>
  <c r="AK99" i="8"/>
  <c r="AJ99" i="8"/>
  <c r="AI99" i="8"/>
  <c r="AH99" i="8"/>
  <c r="AG99" i="8"/>
  <c r="AF99" i="8"/>
  <c r="AE99" i="8"/>
  <c r="AD99" i="8"/>
  <c r="AC99" i="8"/>
  <c r="AB99" i="8"/>
  <c r="AA99" i="8"/>
  <c r="Z99" i="8"/>
  <c r="Y99" i="8"/>
  <c r="X99" i="8"/>
  <c r="W99" i="8"/>
  <c r="V99" i="8"/>
  <c r="U99" i="8"/>
  <c r="T99" i="8"/>
  <c r="S99" i="8"/>
  <c r="R99" i="8"/>
  <c r="Q99" i="8"/>
  <c r="P99" i="8"/>
  <c r="O99" i="8"/>
  <c r="N99" i="8"/>
  <c r="M99" i="8"/>
  <c r="L99" i="8"/>
  <c r="K99" i="8"/>
  <c r="J99" i="8"/>
  <c r="I99" i="8"/>
  <c r="H99" i="8"/>
  <c r="G99" i="8"/>
  <c r="F99" i="8"/>
  <c r="E99" i="8"/>
  <c r="D99" i="8"/>
  <c r="C99" i="8"/>
  <c r="B99" i="8"/>
  <c r="A99" i="8"/>
  <c r="AR98" i="8"/>
  <c r="AQ98" i="8"/>
  <c r="AP98" i="8"/>
  <c r="AO98" i="8"/>
  <c r="AN98" i="8"/>
  <c r="AM98" i="8"/>
  <c r="AL98" i="8"/>
  <c r="AK98" i="8"/>
  <c r="AJ98" i="8"/>
  <c r="AI98" i="8"/>
  <c r="AH98" i="8"/>
  <c r="AG98" i="8"/>
  <c r="AF98" i="8"/>
  <c r="AE98" i="8"/>
  <c r="AD98" i="8"/>
  <c r="AC98" i="8"/>
  <c r="AB98" i="8"/>
  <c r="AA98" i="8"/>
  <c r="Z98" i="8"/>
  <c r="Y98" i="8"/>
  <c r="X98" i="8"/>
  <c r="W98" i="8"/>
  <c r="V98" i="8"/>
  <c r="U98" i="8"/>
  <c r="T98" i="8"/>
  <c r="S98" i="8"/>
  <c r="R98" i="8"/>
  <c r="Q98" i="8"/>
  <c r="P98" i="8"/>
  <c r="O98" i="8"/>
  <c r="N98" i="8"/>
  <c r="M98" i="8"/>
  <c r="L98" i="8"/>
  <c r="K98" i="8"/>
  <c r="J98" i="8"/>
  <c r="I98" i="8"/>
  <c r="H98" i="8"/>
  <c r="G98" i="8"/>
  <c r="F98" i="8"/>
  <c r="E98" i="8"/>
  <c r="D98" i="8"/>
  <c r="C98" i="8"/>
  <c r="B98" i="8"/>
  <c r="A98" i="8"/>
  <c r="AR97" i="8"/>
  <c r="AQ97" i="8"/>
  <c r="AP97" i="8"/>
  <c r="AO97" i="8"/>
  <c r="AN97" i="8"/>
  <c r="AM97" i="8"/>
  <c r="AL97" i="8"/>
  <c r="AK97" i="8"/>
  <c r="AJ97" i="8"/>
  <c r="AI97" i="8"/>
  <c r="AH97" i="8"/>
  <c r="AG97" i="8"/>
  <c r="AF97" i="8"/>
  <c r="AE97" i="8"/>
  <c r="AD97" i="8"/>
  <c r="AC97" i="8"/>
  <c r="AB97" i="8"/>
  <c r="AA97" i="8"/>
  <c r="Z97" i="8"/>
  <c r="Y97" i="8"/>
  <c r="X97" i="8"/>
  <c r="W97" i="8"/>
  <c r="V97" i="8"/>
  <c r="U97" i="8"/>
  <c r="T97" i="8"/>
  <c r="S97" i="8"/>
  <c r="R97" i="8"/>
  <c r="Q97" i="8"/>
  <c r="P97" i="8"/>
  <c r="O97" i="8"/>
  <c r="N97" i="8"/>
  <c r="M97" i="8"/>
  <c r="L97" i="8"/>
  <c r="K97" i="8"/>
  <c r="J97" i="8"/>
  <c r="I97" i="8"/>
  <c r="H97" i="8"/>
  <c r="G97" i="8"/>
  <c r="F97" i="8"/>
  <c r="E97" i="8"/>
  <c r="D97" i="8"/>
  <c r="C97" i="8"/>
  <c r="B97" i="8"/>
  <c r="A97" i="8"/>
  <c r="AR96" i="8"/>
  <c r="AQ96" i="8"/>
  <c r="AP96" i="8"/>
  <c r="AO96" i="8"/>
  <c r="AN96" i="8"/>
  <c r="AM96" i="8"/>
  <c r="AL96" i="8"/>
  <c r="AK96" i="8"/>
  <c r="AJ96" i="8"/>
  <c r="AI96" i="8"/>
  <c r="AH96" i="8"/>
  <c r="AG96" i="8"/>
  <c r="AF96" i="8"/>
  <c r="AE96" i="8"/>
  <c r="AD96" i="8"/>
  <c r="AC96" i="8"/>
  <c r="AB96" i="8"/>
  <c r="AA96" i="8"/>
  <c r="Z96" i="8"/>
  <c r="Y96" i="8"/>
  <c r="X96" i="8"/>
  <c r="W96" i="8"/>
  <c r="V96" i="8"/>
  <c r="U96" i="8"/>
  <c r="T96" i="8"/>
  <c r="S96" i="8"/>
  <c r="R96" i="8"/>
  <c r="Q96" i="8"/>
  <c r="P96" i="8"/>
  <c r="O96" i="8"/>
  <c r="N96" i="8"/>
  <c r="M96" i="8"/>
  <c r="L96" i="8"/>
  <c r="K96" i="8"/>
  <c r="J96" i="8"/>
  <c r="I96" i="8"/>
  <c r="H96" i="8"/>
  <c r="G96" i="8"/>
  <c r="F96" i="8"/>
  <c r="E96" i="8"/>
  <c r="D96" i="8"/>
  <c r="C96" i="8"/>
  <c r="B96" i="8"/>
  <c r="A96" i="8"/>
  <c r="AR95" i="8"/>
  <c r="AQ95" i="8"/>
  <c r="AP95" i="8"/>
  <c r="AO95" i="8"/>
  <c r="AN95" i="8"/>
  <c r="AM95" i="8"/>
  <c r="AL95" i="8"/>
  <c r="AK95" i="8"/>
  <c r="AJ95" i="8"/>
  <c r="AI95" i="8"/>
  <c r="AH95" i="8"/>
  <c r="AG95" i="8"/>
  <c r="AF95" i="8"/>
  <c r="AE95" i="8"/>
  <c r="AD95" i="8"/>
  <c r="AC95" i="8"/>
  <c r="AB95" i="8"/>
  <c r="AA95" i="8"/>
  <c r="Z95" i="8"/>
  <c r="Y95" i="8"/>
  <c r="X95" i="8"/>
  <c r="W95" i="8"/>
  <c r="V95" i="8"/>
  <c r="U95" i="8"/>
  <c r="T95" i="8"/>
  <c r="S95" i="8"/>
  <c r="R95" i="8"/>
  <c r="Q95" i="8"/>
  <c r="P95" i="8"/>
  <c r="O95" i="8"/>
  <c r="N95" i="8"/>
  <c r="M95" i="8"/>
  <c r="L95" i="8"/>
  <c r="K95" i="8"/>
  <c r="J95" i="8"/>
  <c r="I95" i="8"/>
  <c r="H95" i="8"/>
  <c r="G95" i="8"/>
  <c r="F95" i="8"/>
  <c r="E95" i="8"/>
  <c r="D95" i="8"/>
  <c r="C95" i="8"/>
  <c r="B95" i="8"/>
  <c r="A95" i="8"/>
  <c r="AR94" i="8"/>
  <c r="AQ94" i="8"/>
  <c r="AP94" i="8"/>
  <c r="AO94" i="8"/>
  <c r="AN94" i="8"/>
  <c r="AM94" i="8"/>
  <c r="AL94" i="8"/>
  <c r="AK94" i="8"/>
  <c r="AJ94" i="8"/>
  <c r="AI94" i="8"/>
  <c r="AH94" i="8"/>
  <c r="AG94" i="8"/>
  <c r="AF94" i="8"/>
  <c r="AE94" i="8"/>
  <c r="AD94" i="8"/>
  <c r="AC94" i="8"/>
  <c r="AB94" i="8"/>
  <c r="AA94" i="8"/>
  <c r="Z94" i="8"/>
  <c r="Y94" i="8"/>
  <c r="X94" i="8"/>
  <c r="W94" i="8"/>
  <c r="V94" i="8"/>
  <c r="U94" i="8"/>
  <c r="T94" i="8"/>
  <c r="S94" i="8"/>
  <c r="R94" i="8"/>
  <c r="Q94" i="8"/>
  <c r="P94" i="8"/>
  <c r="O94" i="8"/>
  <c r="N94" i="8"/>
  <c r="M94" i="8"/>
  <c r="L94" i="8"/>
  <c r="K94" i="8"/>
  <c r="J94" i="8"/>
  <c r="I94" i="8"/>
  <c r="H94" i="8"/>
  <c r="G94" i="8"/>
  <c r="F94" i="8"/>
  <c r="E94" i="8"/>
  <c r="D94" i="8"/>
  <c r="C94" i="8"/>
  <c r="B94" i="8"/>
  <c r="A94" i="8"/>
  <c r="AR93" i="8"/>
  <c r="AQ93" i="8"/>
  <c r="AP93" i="8"/>
  <c r="AO93" i="8"/>
  <c r="AN93" i="8"/>
  <c r="AM93" i="8"/>
  <c r="AL93" i="8"/>
  <c r="AK93" i="8"/>
  <c r="AJ93" i="8"/>
  <c r="AI93" i="8"/>
  <c r="AH93" i="8"/>
  <c r="AG93" i="8"/>
  <c r="AF93" i="8"/>
  <c r="AE93" i="8"/>
  <c r="AD93" i="8"/>
  <c r="AC93" i="8"/>
  <c r="AB93" i="8"/>
  <c r="AA93" i="8"/>
  <c r="Z93" i="8"/>
  <c r="Y93" i="8"/>
  <c r="X93" i="8"/>
  <c r="W93" i="8"/>
  <c r="V93" i="8"/>
  <c r="U93" i="8"/>
  <c r="T93" i="8"/>
  <c r="S93" i="8"/>
  <c r="R93" i="8"/>
  <c r="Q93" i="8"/>
  <c r="P93" i="8"/>
  <c r="O93" i="8"/>
  <c r="N93" i="8"/>
  <c r="M93" i="8"/>
  <c r="L93" i="8"/>
  <c r="K93" i="8"/>
  <c r="J93" i="8"/>
  <c r="I93" i="8"/>
  <c r="H93" i="8"/>
  <c r="G93" i="8"/>
  <c r="F93" i="8"/>
  <c r="E93" i="8"/>
  <c r="D93" i="8"/>
  <c r="C93" i="8"/>
  <c r="B93" i="8"/>
  <c r="A93" i="8"/>
  <c r="AR92" i="8"/>
  <c r="AQ92" i="8"/>
  <c r="AP92" i="8"/>
  <c r="AO92" i="8"/>
  <c r="AN92" i="8"/>
  <c r="AM92" i="8"/>
  <c r="AL92" i="8"/>
  <c r="AK92" i="8"/>
  <c r="AJ92" i="8"/>
  <c r="AI92" i="8"/>
  <c r="AH92" i="8"/>
  <c r="AG92" i="8"/>
  <c r="AF92" i="8"/>
  <c r="AE92" i="8"/>
  <c r="AD92" i="8"/>
  <c r="AC92" i="8"/>
  <c r="AB92" i="8"/>
  <c r="AA92" i="8"/>
  <c r="Z92" i="8"/>
  <c r="Y92" i="8"/>
  <c r="X92" i="8"/>
  <c r="W92" i="8"/>
  <c r="V92" i="8"/>
  <c r="U92" i="8"/>
  <c r="T92" i="8"/>
  <c r="S92" i="8"/>
  <c r="R92" i="8"/>
  <c r="Q92" i="8"/>
  <c r="P92" i="8"/>
  <c r="O92" i="8"/>
  <c r="N92" i="8"/>
  <c r="M92" i="8"/>
  <c r="L92" i="8"/>
  <c r="K92" i="8"/>
  <c r="J92" i="8"/>
  <c r="I92" i="8"/>
  <c r="H92" i="8"/>
  <c r="G92" i="8"/>
  <c r="F92" i="8"/>
  <c r="E92" i="8"/>
  <c r="D92" i="8"/>
  <c r="C92" i="8"/>
  <c r="B92" i="8"/>
  <c r="A92" i="8"/>
  <c r="AR91" i="8"/>
  <c r="AQ91" i="8"/>
  <c r="AP91" i="8"/>
  <c r="AO91" i="8"/>
  <c r="AN91" i="8"/>
  <c r="AM91" i="8"/>
  <c r="AL91" i="8"/>
  <c r="AK91" i="8"/>
  <c r="AJ91" i="8"/>
  <c r="AI91" i="8"/>
  <c r="AH91" i="8"/>
  <c r="AG91" i="8"/>
  <c r="AF91" i="8"/>
  <c r="AE91" i="8"/>
  <c r="AD91" i="8"/>
  <c r="AC91" i="8"/>
  <c r="AB91" i="8"/>
  <c r="AA91" i="8"/>
  <c r="Z91" i="8"/>
  <c r="Y91" i="8"/>
  <c r="X91" i="8"/>
  <c r="W91" i="8"/>
  <c r="V91" i="8"/>
  <c r="U91" i="8"/>
  <c r="T91" i="8"/>
  <c r="S91" i="8"/>
  <c r="R91" i="8"/>
  <c r="Q91" i="8"/>
  <c r="P91" i="8"/>
  <c r="O91" i="8"/>
  <c r="N91" i="8"/>
  <c r="M91" i="8"/>
  <c r="L91" i="8"/>
  <c r="K91" i="8"/>
  <c r="J91" i="8"/>
  <c r="I91" i="8"/>
  <c r="H91" i="8"/>
  <c r="G91" i="8"/>
  <c r="F91" i="8"/>
  <c r="E91" i="8"/>
  <c r="D91" i="8"/>
  <c r="C91" i="8"/>
  <c r="B91" i="8"/>
  <c r="A91" i="8"/>
  <c r="AR90" i="8"/>
  <c r="AQ90" i="8"/>
  <c r="AP90" i="8"/>
  <c r="AO90" i="8"/>
  <c r="AN90" i="8"/>
  <c r="AM90" i="8"/>
  <c r="AL90" i="8"/>
  <c r="AK90" i="8"/>
  <c r="AJ90" i="8"/>
  <c r="AI90" i="8"/>
  <c r="AH90" i="8"/>
  <c r="AG90" i="8"/>
  <c r="AF90" i="8"/>
  <c r="AE90" i="8"/>
  <c r="AD90" i="8"/>
  <c r="AC90" i="8"/>
  <c r="AB90" i="8"/>
  <c r="AA90" i="8"/>
  <c r="Z90" i="8"/>
  <c r="Y90" i="8"/>
  <c r="X90" i="8"/>
  <c r="W90" i="8"/>
  <c r="V90" i="8"/>
  <c r="U90" i="8"/>
  <c r="T90" i="8"/>
  <c r="S90" i="8"/>
  <c r="R90" i="8"/>
  <c r="Q90" i="8"/>
  <c r="P90" i="8"/>
  <c r="O90" i="8"/>
  <c r="N90" i="8"/>
  <c r="M90" i="8"/>
  <c r="L90" i="8"/>
  <c r="K90" i="8"/>
  <c r="J90" i="8"/>
  <c r="I90" i="8"/>
  <c r="H90" i="8"/>
  <c r="G90" i="8"/>
  <c r="F90" i="8"/>
  <c r="E90" i="8"/>
  <c r="D90" i="8"/>
  <c r="C90" i="8"/>
  <c r="B90" i="8"/>
  <c r="A90" i="8"/>
  <c r="AR89" i="8"/>
  <c r="AQ89" i="8"/>
  <c r="AP89" i="8"/>
  <c r="AO89" i="8"/>
  <c r="AN89" i="8"/>
  <c r="AM89" i="8"/>
  <c r="AL89" i="8"/>
  <c r="AK89" i="8"/>
  <c r="AJ89" i="8"/>
  <c r="AI89" i="8"/>
  <c r="AH89" i="8"/>
  <c r="AG89" i="8"/>
  <c r="AF89" i="8"/>
  <c r="AE89" i="8"/>
  <c r="AD89" i="8"/>
  <c r="AC89" i="8"/>
  <c r="AB89" i="8"/>
  <c r="AA89" i="8"/>
  <c r="Z89" i="8"/>
  <c r="Y89" i="8"/>
  <c r="X89" i="8"/>
  <c r="W89" i="8"/>
  <c r="V89" i="8"/>
  <c r="U89" i="8"/>
  <c r="T89" i="8"/>
  <c r="S89" i="8"/>
  <c r="R89" i="8"/>
  <c r="Q89" i="8"/>
  <c r="P89" i="8"/>
  <c r="O89" i="8"/>
  <c r="N89" i="8"/>
  <c r="M89" i="8"/>
  <c r="L89" i="8"/>
  <c r="K89" i="8"/>
  <c r="J89" i="8"/>
  <c r="I89" i="8"/>
  <c r="H89" i="8"/>
  <c r="G89" i="8"/>
  <c r="F89" i="8"/>
  <c r="E89" i="8"/>
  <c r="D89" i="8"/>
  <c r="C89" i="8"/>
  <c r="B89" i="8"/>
  <c r="A89" i="8"/>
  <c r="AR88" i="8"/>
  <c r="AQ88" i="8"/>
  <c r="AP88" i="8"/>
  <c r="AO88" i="8"/>
  <c r="AN88" i="8"/>
  <c r="AM88" i="8"/>
  <c r="AL88" i="8"/>
  <c r="AK88" i="8"/>
  <c r="AJ88" i="8"/>
  <c r="AI88" i="8"/>
  <c r="AH88" i="8"/>
  <c r="AG88" i="8"/>
  <c r="AF88" i="8"/>
  <c r="AE88" i="8"/>
  <c r="AD88" i="8"/>
  <c r="AC88" i="8"/>
  <c r="AB88" i="8"/>
  <c r="AA88" i="8"/>
  <c r="Z88" i="8"/>
  <c r="Y88" i="8"/>
  <c r="X88" i="8"/>
  <c r="W88" i="8"/>
  <c r="V88" i="8"/>
  <c r="U88" i="8"/>
  <c r="T88" i="8"/>
  <c r="S88" i="8"/>
  <c r="R88" i="8"/>
  <c r="Q88" i="8"/>
  <c r="P88" i="8"/>
  <c r="O88" i="8"/>
  <c r="N88" i="8"/>
  <c r="M88" i="8"/>
  <c r="L88" i="8"/>
  <c r="K88" i="8"/>
  <c r="J88" i="8"/>
  <c r="I88" i="8"/>
  <c r="H88" i="8"/>
  <c r="G88" i="8"/>
  <c r="F88" i="8"/>
  <c r="E88" i="8"/>
  <c r="D88" i="8"/>
  <c r="C88" i="8"/>
  <c r="B88" i="8"/>
  <c r="A88" i="8"/>
  <c r="AR87" i="8"/>
  <c r="AQ87" i="8"/>
  <c r="AP87" i="8"/>
  <c r="AO87" i="8"/>
  <c r="AN87" i="8"/>
  <c r="AM87" i="8"/>
  <c r="AL87" i="8"/>
  <c r="AK87" i="8"/>
  <c r="AJ87" i="8"/>
  <c r="AI87" i="8"/>
  <c r="AH87" i="8"/>
  <c r="AG87" i="8"/>
  <c r="AF87" i="8"/>
  <c r="AE87" i="8"/>
  <c r="AD87" i="8"/>
  <c r="AC87" i="8"/>
  <c r="AB87" i="8"/>
  <c r="AA87" i="8"/>
  <c r="Z87" i="8"/>
  <c r="Y87" i="8"/>
  <c r="X87" i="8"/>
  <c r="W87" i="8"/>
  <c r="V87" i="8"/>
  <c r="U87" i="8"/>
  <c r="T87" i="8"/>
  <c r="S87" i="8"/>
  <c r="R87" i="8"/>
  <c r="Q87" i="8"/>
  <c r="P87" i="8"/>
  <c r="O87" i="8"/>
  <c r="N87" i="8"/>
  <c r="M87" i="8"/>
  <c r="L87" i="8"/>
  <c r="K87" i="8"/>
  <c r="J87" i="8"/>
  <c r="I87" i="8"/>
  <c r="H87" i="8"/>
  <c r="G87" i="8"/>
  <c r="F87" i="8"/>
  <c r="E87" i="8"/>
  <c r="D87" i="8"/>
  <c r="C87" i="8"/>
  <c r="B87" i="8"/>
  <c r="A87" i="8"/>
  <c r="AR86" i="8"/>
  <c r="AQ86" i="8"/>
  <c r="AP86" i="8"/>
  <c r="AO86" i="8"/>
  <c r="AN86" i="8"/>
  <c r="AM86" i="8"/>
  <c r="AL86" i="8"/>
  <c r="AK86" i="8"/>
  <c r="AJ86" i="8"/>
  <c r="AI86" i="8"/>
  <c r="AH86" i="8"/>
  <c r="AG86" i="8"/>
  <c r="AF86" i="8"/>
  <c r="AE86" i="8"/>
  <c r="AD86" i="8"/>
  <c r="AC86" i="8"/>
  <c r="AB86" i="8"/>
  <c r="AA86" i="8"/>
  <c r="Z86" i="8"/>
  <c r="Y86" i="8"/>
  <c r="X86" i="8"/>
  <c r="W86" i="8"/>
  <c r="V86" i="8"/>
  <c r="U86" i="8"/>
  <c r="T86" i="8"/>
  <c r="S86" i="8"/>
  <c r="R86" i="8"/>
  <c r="Q86" i="8"/>
  <c r="P86" i="8"/>
  <c r="O86" i="8"/>
  <c r="N86" i="8"/>
  <c r="M86" i="8"/>
  <c r="L86" i="8"/>
  <c r="K86" i="8"/>
  <c r="J86" i="8"/>
  <c r="I86" i="8"/>
  <c r="H86" i="8"/>
  <c r="G86" i="8"/>
  <c r="F86" i="8"/>
  <c r="E86" i="8"/>
  <c r="D86" i="8"/>
  <c r="C86" i="8"/>
  <c r="B86" i="8"/>
  <c r="A86" i="8"/>
  <c r="AR85" i="8"/>
  <c r="AQ85" i="8"/>
  <c r="AP85" i="8"/>
  <c r="AO85" i="8"/>
  <c r="AN85" i="8"/>
  <c r="AM85" i="8"/>
  <c r="AL85" i="8"/>
  <c r="AK85" i="8"/>
  <c r="AJ85" i="8"/>
  <c r="AI85" i="8"/>
  <c r="AH85" i="8"/>
  <c r="AG85" i="8"/>
  <c r="AF85" i="8"/>
  <c r="AE85" i="8"/>
  <c r="AD85" i="8"/>
  <c r="AC85" i="8"/>
  <c r="AB85" i="8"/>
  <c r="AA85" i="8"/>
  <c r="Z85" i="8"/>
  <c r="Y85" i="8"/>
  <c r="X85" i="8"/>
  <c r="W85" i="8"/>
  <c r="V85" i="8"/>
  <c r="U85" i="8"/>
  <c r="T85" i="8"/>
  <c r="S85" i="8"/>
  <c r="R85" i="8"/>
  <c r="Q85" i="8"/>
  <c r="P85" i="8"/>
  <c r="O85" i="8"/>
  <c r="N85" i="8"/>
  <c r="M85" i="8"/>
  <c r="L85" i="8"/>
  <c r="K85" i="8"/>
  <c r="J85" i="8"/>
  <c r="I85" i="8"/>
  <c r="H85" i="8"/>
  <c r="G85" i="8"/>
  <c r="F85" i="8"/>
  <c r="E85" i="8"/>
  <c r="D85" i="8"/>
  <c r="C85" i="8"/>
  <c r="B85" i="8"/>
  <c r="A85" i="8"/>
  <c r="AR84" i="8"/>
  <c r="AQ84" i="8"/>
  <c r="AP84" i="8"/>
  <c r="AO84" i="8"/>
  <c r="AN84" i="8"/>
  <c r="AM84" i="8"/>
  <c r="AL84" i="8"/>
  <c r="AK84" i="8"/>
  <c r="AJ84" i="8"/>
  <c r="AI84" i="8"/>
  <c r="AH84" i="8"/>
  <c r="AG84" i="8"/>
  <c r="AF84" i="8"/>
  <c r="AE84" i="8"/>
  <c r="AD84" i="8"/>
  <c r="AC84" i="8"/>
  <c r="AB84" i="8"/>
  <c r="AA84" i="8"/>
  <c r="Z84" i="8"/>
  <c r="Y84" i="8"/>
  <c r="X84" i="8"/>
  <c r="W84" i="8"/>
  <c r="V84" i="8"/>
  <c r="U84" i="8"/>
  <c r="T84" i="8"/>
  <c r="S84" i="8"/>
  <c r="R84" i="8"/>
  <c r="Q84" i="8"/>
  <c r="P84" i="8"/>
  <c r="O84" i="8"/>
  <c r="N84" i="8"/>
  <c r="M84" i="8"/>
  <c r="L84" i="8"/>
  <c r="K84" i="8"/>
  <c r="J84" i="8"/>
  <c r="I84" i="8"/>
  <c r="H84" i="8"/>
  <c r="G84" i="8"/>
  <c r="F84" i="8"/>
  <c r="E84" i="8"/>
  <c r="D84" i="8"/>
  <c r="C84" i="8"/>
  <c r="B84" i="8"/>
  <c r="A84" i="8"/>
  <c r="AR83" i="8"/>
  <c r="AQ83" i="8"/>
  <c r="AP83" i="8"/>
  <c r="AO83" i="8"/>
  <c r="AN83" i="8"/>
  <c r="AM83" i="8"/>
  <c r="AL83" i="8"/>
  <c r="AK83" i="8"/>
  <c r="AJ83" i="8"/>
  <c r="AI83" i="8"/>
  <c r="AH83" i="8"/>
  <c r="AG83" i="8"/>
  <c r="AF83" i="8"/>
  <c r="AE83" i="8"/>
  <c r="AD83" i="8"/>
  <c r="AC83" i="8"/>
  <c r="AB83" i="8"/>
  <c r="AA83" i="8"/>
  <c r="Z83" i="8"/>
  <c r="Y83" i="8"/>
  <c r="X83" i="8"/>
  <c r="W83" i="8"/>
  <c r="V83" i="8"/>
  <c r="U83" i="8"/>
  <c r="T83" i="8"/>
  <c r="S83" i="8"/>
  <c r="R83" i="8"/>
  <c r="Q83" i="8"/>
  <c r="P83" i="8"/>
  <c r="O83" i="8"/>
  <c r="N83" i="8"/>
  <c r="M83" i="8"/>
  <c r="L83" i="8"/>
  <c r="K83" i="8"/>
  <c r="J83" i="8"/>
  <c r="I83" i="8"/>
  <c r="H83" i="8"/>
  <c r="G83" i="8"/>
  <c r="F83" i="8"/>
  <c r="E83" i="8"/>
  <c r="D83" i="8"/>
  <c r="C83" i="8"/>
  <c r="B83" i="8"/>
  <c r="A83" i="8"/>
  <c r="AR82" i="8"/>
  <c r="AQ82" i="8"/>
  <c r="AP82" i="8"/>
  <c r="AO82" i="8"/>
  <c r="AN82" i="8"/>
  <c r="AM82" i="8"/>
  <c r="AL82" i="8"/>
  <c r="AK82" i="8"/>
  <c r="AJ82" i="8"/>
  <c r="AI82" i="8"/>
  <c r="AH82" i="8"/>
  <c r="AG82" i="8"/>
  <c r="AF82" i="8"/>
  <c r="AE82" i="8"/>
  <c r="AD82" i="8"/>
  <c r="AC82" i="8"/>
  <c r="AB82" i="8"/>
  <c r="AA82" i="8"/>
  <c r="Z82" i="8"/>
  <c r="Y82" i="8"/>
  <c r="X82" i="8"/>
  <c r="W82" i="8"/>
  <c r="V82" i="8"/>
  <c r="U82" i="8"/>
  <c r="T82" i="8"/>
  <c r="S82" i="8"/>
  <c r="R82" i="8"/>
  <c r="Q82" i="8"/>
  <c r="P82" i="8"/>
  <c r="O82" i="8"/>
  <c r="N82" i="8"/>
  <c r="M82" i="8"/>
  <c r="L82" i="8"/>
  <c r="K82" i="8"/>
  <c r="J82" i="8"/>
  <c r="I82" i="8"/>
  <c r="H82" i="8"/>
  <c r="G82" i="8"/>
  <c r="F82" i="8"/>
  <c r="E82" i="8"/>
  <c r="D82" i="8"/>
  <c r="C82" i="8"/>
  <c r="B82" i="8"/>
  <c r="A82" i="8"/>
  <c r="AR81" i="8"/>
  <c r="AQ81" i="8"/>
  <c r="AP81" i="8"/>
  <c r="AO81" i="8"/>
  <c r="AN81" i="8"/>
  <c r="AM81" i="8"/>
  <c r="AL81" i="8"/>
  <c r="AK81" i="8"/>
  <c r="AJ81" i="8"/>
  <c r="AI81" i="8"/>
  <c r="AH81" i="8"/>
  <c r="AG81" i="8"/>
  <c r="AF81" i="8"/>
  <c r="AE81" i="8"/>
  <c r="AD81" i="8"/>
  <c r="AC81" i="8"/>
  <c r="AB81" i="8"/>
  <c r="AA81" i="8"/>
  <c r="Z81" i="8"/>
  <c r="Y81" i="8"/>
  <c r="X81" i="8"/>
  <c r="W81" i="8"/>
  <c r="V81" i="8"/>
  <c r="U81" i="8"/>
  <c r="T81" i="8"/>
  <c r="S81" i="8"/>
  <c r="R81" i="8"/>
  <c r="Q81" i="8"/>
  <c r="P81" i="8"/>
  <c r="O81" i="8"/>
  <c r="N81" i="8"/>
  <c r="M81" i="8"/>
  <c r="L81" i="8"/>
  <c r="K81" i="8"/>
  <c r="J81" i="8"/>
  <c r="I81" i="8"/>
  <c r="H81" i="8"/>
  <c r="G81" i="8"/>
  <c r="F81" i="8"/>
  <c r="E81" i="8"/>
  <c r="D81" i="8"/>
  <c r="C81" i="8"/>
  <c r="B81" i="8"/>
  <c r="A81" i="8"/>
  <c r="AR80" i="8"/>
  <c r="AQ80" i="8"/>
  <c r="AP80" i="8"/>
  <c r="AO80" i="8"/>
  <c r="AN80" i="8"/>
  <c r="AM80" i="8"/>
  <c r="AL80" i="8"/>
  <c r="AK80" i="8"/>
  <c r="AJ80" i="8"/>
  <c r="AI80" i="8"/>
  <c r="AH80" i="8"/>
  <c r="AG80" i="8"/>
  <c r="AF80" i="8"/>
  <c r="AE80" i="8"/>
  <c r="AD80" i="8"/>
  <c r="AC80" i="8"/>
  <c r="AB80" i="8"/>
  <c r="AA80" i="8"/>
  <c r="Z80" i="8"/>
  <c r="Y80" i="8"/>
  <c r="X80" i="8"/>
  <c r="W80" i="8"/>
  <c r="V80" i="8"/>
  <c r="U80" i="8"/>
  <c r="T80" i="8"/>
  <c r="S80" i="8"/>
  <c r="R80" i="8"/>
  <c r="Q80" i="8"/>
  <c r="P80" i="8"/>
  <c r="O80" i="8"/>
  <c r="N80" i="8"/>
  <c r="M80" i="8"/>
  <c r="L80" i="8"/>
  <c r="K80" i="8"/>
  <c r="J80" i="8"/>
  <c r="I80" i="8"/>
  <c r="H80" i="8"/>
  <c r="G80" i="8"/>
  <c r="F80" i="8"/>
  <c r="E80" i="8"/>
  <c r="D80" i="8"/>
  <c r="C80" i="8"/>
  <c r="B80" i="8"/>
  <c r="A80" i="8"/>
  <c r="AR79" i="8"/>
  <c r="AQ79" i="8"/>
  <c r="AP79" i="8"/>
  <c r="AO79" i="8"/>
  <c r="AN79" i="8"/>
  <c r="AM79" i="8"/>
  <c r="AL79" i="8"/>
  <c r="AK79" i="8"/>
  <c r="AJ79" i="8"/>
  <c r="AI79" i="8"/>
  <c r="AH79" i="8"/>
  <c r="AG79" i="8"/>
  <c r="AF79" i="8"/>
  <c r="AE79" i="8"/>
  <c r="AD79" i="8"/>
  <c r="AC79" i="8"/>
  <c r="AB79" i="8"/>
  <c r="AA79" i="8"/>
  <c r="Z79" i="8"/>
  <c r="Y79" i="8"/>
  <c r="X79" i="8"/>
  <c r="W79" i="8"/>
  <c r="V79" i="8"/>
  <c r="U79" i="8"/>
  <c r="T79" i="8"/>
  <c r="S79" i="8"/>
  <c r="R79" i="8"/>
  <c r="Q79" i="8"/>
  <c r="P79" i="8"/>
  <c r="O79" i="8"/>
  <c r="N79" i="8"/>
  <c r="M79" i="8"/>
  <c r="L79" i="8"/>
  <c r="K79" i="8"/>
  <c r="J79" i="8"/>
  <c r="I79" i="8"/>
  <c r="H79" i="8"/>
  <c r="G79" i="8"/>
  <c r="F79" i="8"/>
  <c r="E79" i="8"/>
  <c r="D79" i="8"/>
  <c r="C79" i="8"/>
  <c r="B79" i="8"/>
  <c r="A79" i="8"/>
  <c r="AR78" i="8"/>
  <c r="AQ78" i="8"/>
  <c r="AP78" i="8"/>
  <c r="AO78" i="8"/>
  <c r="AN78" i="8"/>
  <c r="AM78" i="8"/>
  <c r="AL78" i="8"/>
  <c r="AK78" i="8"/>
  <c r="AJ78" i="8"/>
  <c r="AI78" i="8"/>
  <c r="AH78" i="8"/>
  <c r="AG78" i="8"/>
  <c r="AF78" i="8"/>
  <c r="AE78" i="8"/>
  <c r="AD78" i="8"/>
  <c r="AC78" i="8"/>
  <c r="AB78" i="8"/>
  <c r="AA78" i="8"/>
  <c r="Z78" i="8"/>
  <c r="Y78" i="8"/>
  <c r="X78" i="8"/>
  <c r="W78" i="8"/>
  <c r="V78" i="8"/>
  <c r="U78" i="8"/>
  <c r="T78" i="8"/>
  <c r="S78" i="8"/>
  <c r="R78" i="8"/>
  <c r="Q78" i="8"/>
  <c r="P78" i="8"/>
  <c r="O78" i="8"/>
  <c r="N78" i="8"/>
  <c r="M78" i="8"/>
  <c r="L78" i="8"/>
  <c r="K78" i="8"/>
  <c r="J78" i="8"/>
  <c r="I78" i="8"/>
  <c r="H78" i="8"/>
  <c r="G78" i="8"/>
  <c r="F78" i="8"/>
  <c r="E78" i="8"/>
  <c r="D78" i="8"/>
  <c r="C78" i="8"/>
  <c r="B78" i="8"/>
  <c r="A78" i="8"/>
  <c r="AR77" i="8"/>
  <c r="AQ77" i="8"/>
  <c r="AP77" i="8"/>
  <c r="AO77" i="8"/>
  <c r="AN77" i="8"/>
  <c r="AM77" i="8"/>
  <c r="AL77" i="8"/>
  <c r="AK77" i="8"/>
  <c r="AJ77" i="8"/>
  <c r="AI77" i="8"/>
  <c r="AH77" i="8"/>
  <c r="AG77" i="8"/>
  <c r="AF77" i="8"/>
  <c r="AE77" i="8"/>
  <c r="AD77" i="8"/>
  <c r="AC77" i="8"/>
  <c r="AB77" i="8"/>
  <c r="AA77" i="8"/>
  <c r="Z77" i="8"/>
  <c r="Y77" i="8"/>
  <c r="X77" i="8"/>
  <c r="W77" i="8"/>
  <c r="V77" i="8"/>
  <c r="U77" i="8"/>
  <c r="T77" i="8"/>
  <c r="S77" i="8"/>
  <c r="R77" i="8"/>
  <c r="Q77" i="8"/>
  <c r="P77" i="8"/>
  <c r="O77" i="8"/>
  <c r="N77" i="8"/>
  <c r="M77" i="8"/>
  <c r="L77" i="8"/>
  <c r="K77" i="8"/>
  <c r="J77" i="8"/>
  <c r="I77" i="8"/>
  <c r="H77" i="8"/>
  <c r="G77" i="8"/>
  <c r="F77" i="8"/>
  <c r="E77" i="8"/>
  <c r="D77" i="8"/>
  <c r="C77" i="8"/>
  <c r="B77" i="8"/>
  <c r="A77" i="8"/>
  <c r="AR76" i="8"/>
  <c r="AQ76" i="8"/>
  <c r="AP76" i="8"/>
  <c r="AO76" i="8"/>
  <c r="AN76" i="8"/>
  <c r="AM76" i="8"/>
  <c r="AL76" i="8"/>
  <c r="AK76" i="8"/>
  <c r="AJ76" i="8"/>
  <c r="AI76" i="8"/>
  <c r="AH76" i="8"/>
  <c r="AG76" i="8"/>
  <c r="AF76" i="8"/>
  <c r="AE76" i="8"/>
  <c r="AD76" i="8"/>
  <c r="AC76" i="8"/>
  <c r="AB76" i="8"/>
  <c r="AA76" i="8"/>
  <c r="Z76" i="8"/>
  <c r="Y76" i="8"/>
  <c r="X76" i="8"/>
  <c r="W76" i="8"/>
  <c r="V76" i="8"/>
  <c r="U76" i="8"/>
  <c r="T76" i="8"/>
  <c r="S76" i="8"/>
  <c r="R76" i="8"/>
  <c r="Q76" i="8"/>
  <c r="P76" i="8"/>
  <c r="O76" i="8"/>
  <c r="N76" i="8"/>
  <c r="M76" i="8"/>
  <c r="L76" i="8"/>
  <c r="K76" i="8"/>
  <c r="J76" i="8"/>
  <c r="I76" i="8"/>
  <c r="H76" i="8"/>
  <c r="G76" i="8"/>
  <c r="F76" i="8"/>
  <c r="E76" i="8"/>
  <c r="D76" i="8"/>
  <c r="C76" i="8"/>
  <c r="B76" i="8"/>
  <c r="A76" i="8"/>
  <c r="AR75" i="8"/>
  <c r="AQ75" i="8"/>
  <c r="AP75" i="8"/>
  <c r="AO75" i="8"/>
  <c r="AN75" i="8"/>
  <c r="AM75" i="8"/>
  <c r="AL75" i="8"/>
  <c r="AK75" i="8"/>
  <c r="AJ75" i="8"/>
  <c r="AI75" i="8"/>
  <c r="AH75" i="8"/>
  <c r="AG75" i="8"/>
  <c r="AF75" i="8"/>
  <c r="AE75" i="8"/>
  <c r="AD75" i="8"/>
  <c r="AC75" i="8"/>
  <c r="AB75" i="8"/>
  <c r="AA75" i="8"/>
  <c r="Z75" i="8"/>
  <c r="Y75" i="8"/>
  <c r="X75" i="8"/>
  <c r="W75" i="8"/>
  <c r="V75" i="8"/>
  <c r="U75" i="8"/>
  <c r="T75" i="8"/>
  <c r="S75" i="8"/>
  <c r="R75" i="8"/>
  <c r="Q75" i="8"/>
  <c r="P75" i="8"/>
  <c r="O75" i="8"/>
  <c r="N75" i="8"/>
  <c r="M75" i="8"/>
  <c r="L75" i="8"/>
  <c r="K75" i="8"/>
  <c r="J75" i="8"/>
  <c r="I75" i="8"/>
  <c r="H75" i="8"/>
  <c r="G75" i="8"/>
  <c r="F75" i="8"/>
  <c r="E75" i="8"/>
  <c r="D75" i="8"/>
  <c r="C75" i="8"/>
  <c r="B75" i="8"/>
  <c r="A75" i="8"/>
  <c r="AR74" i="8"/>
  <c r="AQ74" i="8"/>
  <c r="AP74" i="8"/>
  <c r="AO74" i="8"/>
  <c r="AN74" i="8"/>
  <c r="AM74" i="8"/>
  <c r="AL74" i="8"/>
  <c r="AK74" i="8"/>
  <c r="AJ74" i="8"/>
  <c r="AI74" i="8"/>
  <c r="AH74" i="8"/>
  <c r="AG74" i="8"/>
  <c r="AF74" i="8"/>
  <c r="AE74" i="8"/>
  <c r="AD74" i="8"/>
  <c r="AC74" i="8"/>
  <c r="AB74" i="8"/>
  <c r="AA74" i="8"/>
  <c r="Z74" i="8"/>
  <c r="Y74" i="8"/>
  <c r="X74" i="8"/>
  <c r="W74" i="8"/>
  <c r="V74" i="8"/>
  <c r="U74" i="8"/>
  <c r="T74" i="8"/>
  <c r="S74" i="8"/>
  <c r="R74" i="8"/>
  <c r="Q74" i="8"/>
  <c r="P74" i="8"/>
  <c r="O74" i="8"/>
  <c r="N74" i="8"/>
  <c r="M74" i="8"/>
  <c r="L74" i="8"/>
  <c r="K74" i="8"/>
  <c r="J74" i="8"/>
  <c r="I74" i="8"/>
  <c r="H74" i="8"/>
  <c r="G74" i="8"/>
  <c r="F74" i="8"/>
  <c r="E74" i="8"/>
  <c r="D74" i="8"/>
  <c r="C74" i="8"/>
  <c r="B74" i="8"/>
  <c r="A74" i="8"/>
  <c r="AR73" i="8"/>
  <c r="AQ73" i="8"/>
  <c r="AP73" i="8"/>
  <c r="AO73" i="8"/>
  <c r="AN73" i="8"/>
  <c r="AM73" i="8"/>
  <c r="AL73" i="8"/>
  <c r="AK73" i="8"/>
  <c r="AJ73" i="8"/>
  <c r="AI73" i="8"/>
  <c r="AH73" i="8"/>
  <c r="AG73" i="8"/>
  <c r="AF73" i="8"/>
  <c r="AE73" i="8"/>
  <c r="AD73" i="8"/>
  <c r="AC73" i="8"/>
  <c r="AB73" i="8"/>
  <c r="AA73" i="8"/>
  <c r="Z73" i="8"/>
  <c r="Y73" i="8"/>
  <c r="X73" i="8"/>
  <c r="W73" i="8"/>
  <c r="V73" i="8"/>
  <c r="U73" i="8"/>
  <c r="T73" i="8"/>
  <c r="S73" i="8"/>
  <c r="R73" i="8"/>
  <c r="Q73" i="8"/>
  <c r="P73" i="8"/>
  <c r="O73" i="8"/>
  <c r="N73" i="8"/>
  <c r="M73" i="8"/>
  <c r="L73" i="8"/>
  <c r="K73" i="8"/>
  <c r="J73" i="8"/>
  <c r="I73" i="8"/>
  <c r="H73" i="8"/>
  <c r="G73" i="8"/>
  <c r="F73" i="8"/>
  <c r="E73" i="8"/>
  <c r="D73" i="8"/>
  <c r="C73" i="8"/>
  <c r="B73" i="8"/>
  <c r="A73" i="8"/>
  <c r="AR72" i="8"/>
  <c r="AQ72" i="8"/>
  <c r="AP72" i="8"/>
  <c r="AO72" i="8"/>
  <c r="AN72" i="8"/>
  <c r="AM72" i="8"/>
  <c r="AL72" i="8"/>
  <c r="AK72" i="8"/>
  <c r="AJ72" i="8"/>
  <c r="AI72" i="8"/>
  <c r="AH72" i="8"/>
  <c r="AG72" i="8"/>
  <c r="AF72" i="8"/>
  <c r="AE72" i="8"/>
  <c r="AD72" i="8"/>
  <c r="AC72" i="8"/>
  <c r="AB72" i="8"/>
  <c r="AA72" i="8"/>
  <c r="Z72" i="8"/>
  <c r="Y72" i="8"/>
  <c r="X72" i="8"/>
  <c r="W72" i="8"/>
  <c r="V72" i="8"/>
  <c r="U72" i="8"/>
  <c r="T72" i="8"/>
  <c r="S72" i="8"/>
  <c r="R72" i="8"/>
  <c r="Q72" i="8"/>
  <c r="P72" i="8"/>
  <c r="O72" i="8"/>
  <c r="N72" i="8"/>
  <c r="M72" i="8"/>
  <c r="L72" i="8"/>
  <c r="K72" i="8"/>
  <c r="J72" i="8"/>
  <c r="I72" i="8"/>
  <c r="H72" i="8"/>
  <c r="G72" i="8"/>
  <c r="F72" i="8"/>
  <c r="E72" i="8"/>
  <c r="D72" i="8"/>
  <c r="C72" i="8"/>
  <c r="B72" i="8"/>
  <c r="A72" i="8"/>
  <c r="AR71" i="8"/>
  <c r="AQ71" i="8"/>
  <c r="AP71" i="8"/>
  <c r="AO71" i="8"/>
  <c r="AN71" i="8"/>
  <c r="AM71" i="8"/>
  <c r="AL71" i="8"/>
  <c r="AK71" i="8"/>
  <c r="AJ71" i="8"/>
  <c r="AI71" i="8"/>
  <c r="AH71" i="8"/>
  <c r="AG71" i="8"/>
  <c r="AF71" i="8"/>
  <c r="AE71" i="8"/>
  <c r="AD71" i="8"/>
  <c r="AC71" i="8"/>
  <c r="AB71" i="8"/>
  <c r="AA71" i="8"/>
  <c r="Z71" i="8"/>
  <c r="Y71" i="8"/>
  <c r="X71" i="8"/>
  <c r="W71" i="8"/>
  <c r="V71" i="8"/>
  <c r="U71" i="8"/>
  <c r="T71" i="8"/>
  <c r="S71" i="8"/>
  <c r="R71" i="8"/>
  <c r="Q71" i="8"/>
  <c r="P71" i="8"/>
  <c r="O71" i="8"/>
  <c r="N71" i="8"/>
  <c r="M71" i="8"/>
  <c r="L71" i="8"/>
  <c r="K71" i="8"/>
  <c r="J71" i="8"/>
  <c r="I71" i="8"/>
  <c r="H71" i="8"/>
  <c r="G71" i="8"/>
  <c r="F71" i="8"/>
  <c r="E71" i="8"/>
  <c r="D71" i="8"/>
  <c r="C71" i="8"/>
  <c r="B71" i="8"/>
  <c r="A71" i="8"/>
  <c r="AR70" i="8"/>
  <c r="AQ70" i="8"/>
  <c r="AP70" i="8"/>
  <c r="AO70" i="8"/>
  <c r="AN70" i="8"/>
  <c r="AM70" i="8"/>
  <c r="AL70" i="8"/>
  <c r="AK70" i="8"/>
  <c r="AJ70" i="8"/>
  <c r="AI70" i="8"/>
  <c r="AH70" i="8"/>
  <c r="AG70" i="8"/>
  <c r="AF70" i="8"/>
  <c r="AE70" i="8"/>
  <c r="AD70" i="8"/>
  <c r="AC70" i="8"/>
  <c r="AB70" i="8"/>
  <c r="AA70" i="8"/>
  <c r="Z70" i="8"/>
  <c r="Y70" i="8"/>
  <c r="X70" i="8"/>
  <c r="W70" i="8"/>
  <c r="V70" i="8"/>
  <c r="U70" i="8"/>
  <c r="T70" i="8"/>
  <c r="S70" i="8"/>
  <c r="R70" i="8"/>
  <c r="Q70" i="8"/>
  <c r="P70" i="8"/>
  <c r="O70" i="8"/>
  <c r="N70" i="8"/>
  <c r="M70" i="8"/>
  <c r="L70" i="8"/>
  <c r="K70" i="8"/>
  <c r="J70" i="8"/>
  <c r="I70" i="8"/>
  <c r="H70" i="8"/>
  <c r="G70" i="8"/>
  <c r="F70" i="8"/>
  <c r="E70" i="8"/>
  <c r="D70" i="8"/>
  <c r="C70" i="8"/>
  <c r="B70" i="8"/>
  <c r="A70" i="8"/>
  <c r="AR69" i="8"/>
  <c r="AQ69" i="8"/>
  <c r="AP69" i="8"/>
  <c r="AO69" i="8"/>
  <c r="AN69" i="8"/>
  <c r="AM69" i="8"/>
  <c r="AL69" i="8"/>
  <c r="AK69" i="8"/>
  <c r="AJ69" i="8"/>
  <c r="AI69" i="8"/>
  <c r="AH69" i="8"/>
  <c r="AG69" i="8"/>
  <c r="AF69" i="8"/>
  <c r="AE69" i="8"/>
  <c r="AD69" i="8"/>
  <c r="AC69" i="8"/>
  <c r="AB69" i="8"/>
  <c r="AA69" i="8"/>
  <c r="Z69" i="8"/>
  <c r="Y69" i="8"/>
  <c r="X69" i="8"/>
  <c r="W69" i="8"/>
  <c r="V69" i="8"/>
  <c r="U69" i="8"/>
  <c r="T69" i="8"/>
  <c r="S69" i="8"/>
  <c r="R69" i="8"/>
  <c r="Q69" i="8"/>
  <c r="P69" i="8"/>
  <c r="O69" i="8"/>
  <c r="N69" i="8"/>
  <c r="M69" i="8"/>
  <c r="L69" i="8"/>
  <c r="K69" i="8"/>
  <c r="J69" i="8"/>
  <c r="I69" i="8"/>
  <c r="H69" i="8"/>
  <c r="G69" i="8"/>
  <c r="F69" i="8"/>
  <c r="E69" i="8"/>
  <c r="D69" i="8"/>
  <c r="C69" i="8"/>
  <c r="B69" i="8"/>
  <c r="A69" i="8"/>
  <c r="AR68" i="8"/>
  <c r="AQ68" i="8"/>
  <c r="AP68" i="8"/>
  <c r="AO68" i="8"/>
  <c r="AN68" i="8"/>
  <c r="AM68" i="8"/>
  <c r="AL68" i="8"/>
  <c r="AK68" i="8"/>
  <c r="AJ68" i="8"/>
  <c r="AI68" i="8"/>
  <c r="AH68" i="8"/>
  <c r="AG68" i="8"/>
  <c r="AF68" i="8"/>
  <c r="AE68" i="8"/>
  <c r="AD68" i="8"/>
  <c r="AC68" i="8"/>
  <c r="AB68" i="8"/>
  <c r="AA68" i="8"/>
  <c r="Z68" i="8"/>
  <c r="Y68" i="8"/>
  <c r="X68" i="8"/>
  <c r="W68" i="8"/>
  <c r="V68" i="8"/>
  <c r="U68" i="8"/>
  <c r="T68" i="8"/>
  <c r="S68" i="8"/>
  <c r="R68" i="8"/>
  <c r="Q68" i="8"/>
  <c r="P68" i="8"/>
  <c r="O68" i="8"/>
  <c r="N68" i="8"/>
  <c r="M68" i="8"/>
  <c r="L68" i="8"/>
  <c r="K68" i="8"/>
  <c r="J68" i="8"/>
  <c r="I68" i="8"/>
  <c r="H68" i="8"/>
  <c r="G68" i="8"/>
  <c r="F68" i="8"/>
  <c r="E68" i="8"/>
  <c r="D68" i="8"/>
  <c r="C68" i="8"/>
  <c r="B68" i="8"/>
  <c r="A68" i="8"/>
  <c r="AR67" i="8"/>
  <c r="AQ67" i="8"/>
  <c r="AP67" i="8"/>
  <c r="AO67" i="8"/>
  <c r="AN67" i="8"/>
  <c r="AM67" i="8"/>
  <c r="AL67" i="8"/>
  <c r="AK67" i="8"/>
  <c r="AJ67" i="8"/>
  <c r="AI67" i="8"/>
  <c r="AH67" i="8"/>
  <c r="AG67" i="8"/>
  <c r="AF67" i="8"/>
  <c r="AE67" i="8"/>
  <c r="AD67" i="8"/>
  <c r="AC67" i="8"/>
  <c r="AB67" i="8"/>
  <c r="AA67" i="8"/>
  <c r="Z67" i="8"/>
  <c r="Y67" i="8"/>
  <c r="X67" i="8"/>
  <c r="W67" i="8"/>
  <c r="V67" i="8"/>
  <c r="U67" i="8"/>
  <c r="T67" i="8"/>
  <c r="S67" i="8"/>
  <c r="R67" i="8"/>
  <c r="Q67" i="8"/>
  <c r="P67" i="8"/>
  <c r="O67" i="8"/>
  <c r="N67" i="8"/>
  <c r="M67" i="8"/>
  <c r="L67" i="8"/>
  <c r="K67" i="8"/>
  <c r="J67" i="8"/>
  <c r="I67" i="8"/>
  <c r="H67" i="8"/>
  <c r="G67" i="8"/>
  <c r="F67" i="8"/>
  <c r="E67" i="8"/>
  <c r="D67" i="8"/>
  <c r="C67" i="8"/>
  <c r="B67" i="8"/>
  <c r="A67" i="8"/>
  <c r="AR66" i="8"/>
  <c r="AQ66" i="8"/>
  <c r="AP66" i="8"/>
  <c r="AO66" i="8"/>
  <c r="AN66" i="8"/>
  <c r="AM66" i="8"/>
  <c r="AL66" i="8"/>
  <c r="AK66" i="8"/>
  <c r="AJ66" i="8"/>
  <c r="AI66" i="8"/>
  <c r="AH66" i="8"/>
  <c r="AG66" i="8"/>
  <c r="AF66" i="8"/>
  <c r="AE66" i="8"/>
  <c r="AD66" i="8"/>
  <c r="AC66" i="8"/>
  <c r="AB66" i="8"/>
  <c r="AA66" i="8"/>
  <c r="Z66" i="8"/>
  <c r="Y66" i="8"/>
  <c r="X66" i="8"/>
  <c r="W66" i="8"/>
  <c r="V66" i="8"/>
  <c r="U66" i="8"/>
  <c r="T66" i="8"/>
  <c r="S66" i="8"/>
  <c r="R66" i="8"/>
  <c r="Q66" i="8"/>
  <c r="P66" i="8"/>
  <c r="O66" i="8"/>
  <c r="N66" i="8"/>
  <c r="M66" i="8"/>
  <c r="L66" i="8"/>
  <c r="K66" i="8"/>
  <c r="J66" i="8"/>
  <c r="I66" i="8"/>
  <c r="H66" i="8"/>
  <c r="G66" i="8"/>
  <c r="F66" i="8"/>
  <c r="E66" i="8"/>
  <c r="D66" i="8"/>
  <c r="C66" i="8"/>
  <c r="B66" i="8"/>
  <c r="A66" i="8"/>
  <c r="AR65" i="8"/>
  <c r="AQ65" i="8"/>
  <c r="AP65" i="8"/>
  <c r="AO65" i="8"/>
  <c r="AN65" i="8"/>
  <c r="AM65" i="8"/>
  <c r="AL65" i="8"/>
  <c r="AK65" i="8"/>
  <c r="AJ65" i="8"/>
  <c r="AI65" i="8"/>
  <c r="AH65" i="8"/>
  <c r="AG65" i="8"/>
  <c r="AF65" i="8"/>
  <c r="AE65" i="8"/>
  <c r="AD65" i="8"/>
  <c r="AC65" i="8"/>
  <c r="AB65" i="8"/>
  <c r="AA65" i="8"/>
  <c r="Z65" i="8"/>
  <c r="Y65" i="8"/>
  <c r="X65" i="8"/>
  <c r="W65" i="8"/>
  <c r="V65" i="8"/>
  <c r="U65" i="8"/>
  <c r="T65" i="8"/>
  <c r="S65" i="8"/>
  <c r="R65" i="8"/>
  <c r="Q65" i="8"/>
  <c r="P65" i="8"/>
  <c r="O65" i="8"/>
  <c r="N65" i="8"/>
  <c r="M65" i="8"/>
  <c r="L65" i="8"/>
  <c r="K65" i="8"/>
  <c r="J65" i="8"/>
  <c r="I65" i="8"/>
  <c r="H65" i="8"/>
  <c r="G65" i="8"/>
  <c r="F65" i="8"/>
  <c r="E65" i="8"/>
  <c r="D65" i="8"/>
  <c r="C65" i="8"/>
  <c r="B65" i="8"/>
  <c r="A65" i="8"/>
  <c r="AR64" i="8"/>
  <c r="AQ64" i="8"/>
  <c r="AP64" i="8"/>
  <c r="AO64" i="8"/>
  <c r="AN64" i="8"/>
  <c r="AM64" i="8"/>
  <c r="AL64" i="8"/>
  <c r="AK64" i="8"/>
  <c r="AJ64" i="8"/>
  <c r="AI64" i="8"/>
  <c r="AH64" i="8"/>
  <c r="AG64" i="8"/>
  <c r="AF64" i="8"/>
  <c r="AE64" i="8"/>
  <c r="AD64" i="8"/>
  <c r="AC64" i="8"/>
  <c r="AB64" i="8"/>
  <c r="AA64" i="8"/>
  <c r="Z64" i="8"/>
  <c r="Y64" i="8"/>
  <c r="X64" i="8"/>
  <c r="W64" i="8"/>
  <c r="V64" i="8"/>
  <c r="U64" i="8"/>
  <c r="T64" i="8"/>
  <c r="S64" i="8"/>
  <c r="R64" i="8"/>
  <c r="Q64" i="8"/>
  <c r="P64" i="8"/>
  <c r="O64" i="8"/>
  <c r="N64" i="8"/>
  <c r="M64" i="8"/>
  <c r="L64" i="8"/>
  <c r="K64" i="8"/>
  <c r="J64" i="8"/>
  <c r="I64" i="8"/>
  <c r="H64" i="8"/>
  <c r="G64" i="8"/>
  <c r="F64" i="8"/>
  <c r="E64" i="8"/>
  <c r="D64" i="8"/>
  <c r="C64" i="8"/>
  <c r="B64" i="8"/>
  <c r="A64" i="8"/>
  <c r="AR63" i="8"/>
  <c r="AQ63" i="8"/>
  <c r="AP63" i="8"/>
  <c r="AO63" i="8"/>
  <c r="AN63" i="8"/>
  <c r="AM63" i="8"/>
  <c r="AL63" i="8"/>
  <c r="AK63" i="8"/>
  <c r="AJ63" i="8"/>
  <c r="AI63" i="8"/>
  <c r="AH63" i="8"/>
  <c r="AG63" i="8"/>
  <c r="AF63" i="8"/>
  <c r="AE63" i="8"/>
  <c r="AD63" i="8"/>
  <c r="AC63" i="8"/>
  <c r="AB63" i="8"/>
  <c r="AA63" i="8"/>
  <c r="Z63" i="8"/>
  <c r="Y63" i="8"/>
  <c r="X63" i="8"/>
  <c r="W63" i="8"/>
  <c r="V63" i="8"/>
  <c r="U63" i="8"/>
  <c r="T63" i="8"/>
  <c r="S63" i="8"/>
  <c r="R63" i="8"/>
  <c r="Q63" i="8"/>
  <c r="P63" i="8"/>
  <c r="O63" i="8"/>
  <c r="N63" i="8"/>
  <c r="M63" i="8"/>
  <c r="L63" i="8"/>
  <c r="K63" i="8"/>
  <c r="J63" i="8"/>
  <c r="I63" i="8"/>
  <c r="H63" i="8"/>
  <c r="G63" i="8"/>
  <c r="F63" i="8"/>
  <c r="E63" i="8"/>
  <c r="D63" i="8"/>
  <c r="C63" i="8"/>
  <c r="B63" i="8"/>
  <c r="A63" i="8"/>
  <c r="AR62" i="8"/>
  <c r="AQ62" i="8"/>
  <c r="AP62" i="8"/>
  <c r="AO62" i="8"/>
  <c r="AN62" i="8"/>
  <c r="AM62" i="8"/>
  <c r="AL62" i="8"/>
  <c r="AK62" i="8"/>
  <c r="AJ62" i="8"/>
  <c r="AI62" i="8"/>
  <c r="AH62" i="8"/>
  <c r="AG62" i="8"/>
  <c r="AF62" i="8"/>
  <c r="AE62" i="8"/>
  <c r="AD62" i="8"/>
  <c r="AC62" i="8"/>
  <c r="AB62" i="8"/>
  <c r="AA62" i="8"/>
  <c r="Z62" i="8"/>
  <c r="Y62" i="8"/>
  <c r="X62" i="8"/>
  <c r="W62" i="8"/>
  <c r="V62" i="8"/>
  <c r="U62" i="8"/>
  <c r="T62" i="8"/>
  <c r="S62" i="8"/>
  <c r="R62" i="8"/>
  <c r="Q62" i="8"/>
  <c r="P62" i="8"/>
  <c r="O62" i="8"/>
  <c r="N62" i="8"/>
  <c r="M62" i="8"/>
  <c r="L62" i="8"/>
  <c r="K62" i="8"/>
  <c r="J62" i="8"/>
  <c r="I62" i="8"/>
  <c r="H62" i="8"/>
  <c r="G62" i="8"/>
  <c r="F62" i="8"/>
  <c r="E62" i="8"/>
  <c r="D62" i="8"/>
  <c r="C62" i="8"/>
  <c r="B62" i="8"/>
  <c r="A62" i="8"/>
  <c r="AR61" i="8"/>
  <c r="AQ61" i="8"/>
  <c r="AP61" i="8"/>
  <c r="AO61" i="8"/>
  <c r="AN61" i="8"/>
  <c r="AM61" i="8"/>
  <c r="AL61" i="8"/>
  <c r="AK61" i="8"/>
  <c r="AJ61" i="8"/>
  <c r="AI61" i="8"/>
  <c r="AH61" i="8"/>
  <c r="AG61" i="8"/>
  <c r="AF61" i="8"/>
  <c r="AE61" i="8"/>
  <c r="AD61" i="8"/>
  <c r="AC61" i="8"/>
  <c r="AB61" i="8"/>
  <c r="AA61" i="8"/>
  <c r="Z61" i="8"/>
  <c r="Y61" i="8"/>
  <c r="X61" i="8"/>
  <c r="W61" i="8"/>
  <c r="V61" i="8"/>
  <c r="U61" i="8"/>
  <c r="T61" i="8"/>
  <c r="S61" i="8"/>
  <c r="R61" i="8"/>
  <c r="Q61" i="8"/>
  <c r="P61" i="8"/>
  <c r="O61" i="8"/>
  <c r="N61" i="8"/>
  <c r="M61" i="8"/>
  <c r="L61" i="8"/>
  <c r="K61" i="8"/>
  <c r="J61" i="8"/>
  <c r="I61" i="8"/>
  <c r="H61" i="8"/>
  <c r="G61" i="8"/>
  <c r="F61" i="8"/>
  <c r="E61" i="8"/>
  <c r="D61" i="8"/>
  <c r="C61" i="8"/>
  <c r="B61" i="8"/>
  <c r="A61" i="8"/>
  <c r="AR60" i="8"/>
  <c r="AQ60" i="8"/>
  <c r="AP60" i="8"/>
  <c r="AO60" i="8"/>
  <c r="AN60" i="8"/>
  <c r="AM60" i="8"/>
  <c r="AL60" i="8"/>
  <c r="AK60" i="8"/>
  <c r="AJ60" i="8"/>
  <c r="AI60" i="8"/>
  <c r="AH60" i="8"/>
  <c r="AG60" i="8"/>
  <c r="AF60" i="8"/>
  <c r="AE60" i="8"/>
  <c r="AD60" i="8"/>
  <c r="AC60" i="8"/>
  <c r="AB60" i="8"/>
  <c r="AA60" i="8"/>
  <c r="Z60" i="8"/>
  <c r="Y60" i="8"/>
  <c r="X60" i="8"/>
  <c r="W60" i="8"/>
  <c r="V60" i="8"/>
  <c r="U60" i="8"/>
  <c r="T60" i="8"/>
  <c r="S60" i="8"/>
  <c r="R60" i="8"/>
  <c r="Q60" i="8"/>
  <c r="P60" i="8"/>
  <c r="O60" i="8"/>
  <c r="N60" i="8"/>
  <c r="M60" i="8"/>
  <c r="L60" i="8"/>
  <c r="K60" i="8"/>
  <c r="J60" i="8"/>
  <c r="I60" i="8"/>
  <c r="H60" i="8"/>
  <c r="G60" i="8"/>
  <c r="F60" i="8"/>
  <c r="E60" i="8"/>
  <c r="D60" i="8"/>
  <c r="C60" i="8"/>
  <c r="B60" i="8"/>
  <c r="A60" i="8"/>
  <c r="AR59" i="8"/>
  <c r="AQ59" i="8"/>
  <c r="AP59" i="8"/>
  <c r="AO59" i="8"/>
  <c r="AN59" i="8"/>
  <c r="AM59" i="8"/>
  <c r="AL59" i="8"/>
  <c r="AK59" i="8"/>
  <c r="AJ59" i="8"/>
  <c r="AI59" i="8"/>
  <c r="AH59" i="8"/>
  <c r="AG59" i="8"/>
  <c r="AF59" i="8"/>
  <c r="AE59" i="8"/>
  <c r="AD59" i="8"/>
  <c r="AC59" i="8"/>
  <c r="AB59" i="8"/>
  <c r="AA59" i="8"/>
  <c r="Z59" i="8"/>
  <c r="Y59" i="8"/>
  <c r="X59" i="8"/>
  <c r="W59" i="8"/>
  <c r="V59" i="8"/>
  <c r="U59" i="8"/>
  <c r="T59" i="8"/>
  <c r="S59" i="8"/>
  <c r="R59" i="8"/>
  <c r="Q59" i="8"/>
  <c r="P59" i="8"/>
  <c r="O59" i="8"/>
  <c r="N59" i="8"/>
  <c r="M59" i="8"/>
  <c r="L59" i="8"/>
  <c r="K59" i="8"/>
  <c r="J59" i="8"/>
  <c r="I59" i="8"/>
  <c r="H59" i="8"/>
  <c r="G59" i="8"/>
  <c r="F59" i="8"/>
  <c r="E59" i="8"/>
  <c r="D59" i="8"/>
  <c r="C59" i="8"/>
  <c r="B59" i="8"/>
  <c r="A59" i="8"/>
  <c r="AR58" i="8"/>
  <c r="AQ58" i="8"/>
  <c r="AP58" i="8"/>
  <c r="AO58" i="8"/>
  <c r="AN58" i="8"/>
  <c r="AM58" i="8"/>
  <c r="AL58" i="8"/>
  <c r="AK58" i="8"/>
  <c r="AJ58" i="8"/>
  <c r="AI58" i="8"/>
  <c r="AH58" i="8"/>
  <c r="AG58" i="8"/>
  <c r="AF58" i="8"/>
  <c r="AE58" i="8"/>
  <c r="AD58" i="8"/>
  <c r="AC58" i="8"/>
  <c r="AB58" i="8"/>
  <c r="AA58" i="8"/>
  <c r="Z58" i="8"/>
  <c r="Y58" i="8"/>
  <c r="X58" i="8"/>
  <c r="W58" i="8"/>
  <c r="V58" i="8"/>
  <c r="U58" i="8"/>
  <c r="T58" i="8"/>
  <c r="S58" i="8"/>
  <c r="R58" i="8"/>
  <c r="Q58" i="8"/>
  <c r="P58" i="8"/>
  <c r="O58" i="8"/>
  <c r="N58" i="8"/>
  <c r="M58" i="8"/>
  <c r="L58" i="8"/>
  <c r="K58" i="8"/>
  <c r="J58" i="8"/>
  <c r="I58" i="8"/>
  <c r="H58" i="8"/>
  <c r="G58" i="8"/>
  <c r="F58" i="8"/>
  <c r="E58" i="8"/>
  <c r="D58" i="8"/>
  <c r="C58" i="8"/>
  <c r="B58" i="8"/>
  <c r="A58" i="8"/>
  <c r="AR57" i="8"/>
  <c r="AQ57" i="8"/>
  <c r="AP57" i="8"/>
  <c r="AO57" i="8"/>
  <c r="AN57" i="8"/>
  <c r="AM57" i="8"/>
  <c r="AL57" i="8"/>
  <c r="AK57" i="8"/>
  <c r="AJ57" i="8"/>
  <c r="AI57" i="8"/>
  <c r="AH57" i="8"/>
  <c r="AG57" i="8"/>
  <c r="AF57" i="8"/>
  <c r="AE57" i="8"/>
  <c r="AD57" i="8"/>
  <c r="AC57" i="8"/>
  <c r="AB57" i="8"/>
  <c r="AA57" i="8"/>
  <c r="Z57" i="8"/>
  <c r="Y57" i="8"/>
  <c r="X57" i="8"/>
  <c r="W57" i="8"/>
  <c r="V57" i="8"/>
  <c r="U57" i="8"/>
  <c r="T57" i="8"/>
  <c r="S57" i="8"/>
  <c r="R57" i="8"/>
  <c r="Q57" i="8"/>
  <c r="P57" i="8"/>
  <c r="O57" i="8"/>
  <c r="N57" i="8"/>
  <c r="M57" i="8"/>
  <c r="L57" i="8"/>
  <c r="K57" i="8"/>
  <c r="J57" i="8"/>
  <c r="I57" i="8"/>
  <c r="H57" i="8"/>
  <c r="G57" i="8"/>
  <c r="F57" i="8"/>
  <c r="E57" i="8"/>
  <c r="D57" i="8"/>
  <c r="C57" i="8"/>
  <c r="B57" i="8"/>
  <c r="A57" i="8"/>
  <c r="AR56" i="8"/>
  <c r="AQ56" i="8"/>
  <c r="AP56" i="8"/>
  <c r="AO56" i="8"/>
  <c r="AN56" i="8"/>
  <c r="AM56" i="8"/>
  <c r="AL56" i="8"/>
  <c r="AK56" i="8"/>
  <c r="AJ56" i="8"/>
  <c r="AI56" i="8"/>
  <c r="AH56" i="8"/>
  <c r="AG56" i="8"/>
  <c r="AF56" i="8"/>
  <c r="AE56" i="8"/>
  <c r="AD56" i="8"/>
  <c r="AC56" i="8"/>
  <c r="AB56" i="8"/>
  <c r="AA56" i="8"/>
  <c r="Z56" i="8"/>
  <c r="Y56" i="8"/>
  <c r="X56" i="8"/>
  <c r="W56" i="8"/>
  <c r="V56" i="8"/>
  <c r="U56" i="8"/>
  <c r="T56" i="8"/>
  <c r="S56" i="8"/>
  <c r="R56" i="8"/>
  <c r="Q56" i="8"/>
  <c r="P56" i="8"/>
  <c r="O56" i="8"/>
  <c r="N56" i="8"/>
  <c r="M56" i="8"/>
  <c r="L56" i="8"/>
  <c r="K56" i="8"/>
  <c r="J56" i="8"/>
  <c r="I56" i="8"/>
  <c r="H56" i="8"/>
  <c r="G56" i="8"/>
  <c r="F56" i="8"/>
  <c r="E56" i="8"/>
  <c r="D56" i="8"/>
  <c r="C56" i="8"/>
  <c r="B56" i="8"/>
  <c r="A56" i="8"/>
  <c r="AR55" i="8"/>
  <c r="AQ55" i="8"/>
  <c r="AP55" i="8"/>
  <c r="AO55" i="8"/>
  <c r="AN55" i="8"/>
  <c r="AM55" i="8"/>
  <c r="AL55" i="8"/>
  <c r="AK55" i="8"/>
  <c r="AJ55" i="8"/>
  <c r="AI55" i="8"/>
  <c r="AH55" i="8"/>
  <c r="AG55" i="8"/>
  <c r="AF55" i="8"/>
  <c r="AE55" i="8"/>
  <c r="AD55" i="8"/>
  <c r="AC55" i="8"/>
  <c r="AB55" i="8"/>
  <c r="AA55" i="8"/>
  <c r="Z55" i="8"/>
  <c r="Y55" i="8"/>
  <c r="X55" i="8"/>
  <c r="W55" i="8"/>
  <c r="V55" i="8"/>
  <c r="U55" i="8"/>
  <c r="T55" i="8"/>
  <c r="S55" i="8"/>
  <c r="R55" i="8"/>
  <c r="Q55" i="8"/>
  <c r="P55" i="8"/>
  <c r="O55" i="8"/>
  <c r="N55" i="8"/>
  <c r="M55" i="8"/>
  <c r="L55" i="8"/>
  <c r="K55" i="8"/>
  <c r="J55" i="8"/>
  <c r="I55" i="8"/>
  <c r="H55" i="8"/>
  <c r="G55" i="8"/>
  <c r="F55" i="8"/>
  <c r="E55" i="8"/>
  <c r="D55" i="8"/>
  <c r="C55" i="8"/>
  <c r="B55" i="8"/>
  <c r="A55" i="8"/>
  <c r="AR54" i="8"/>
  <c r="AQ54" i="8"/>
  <c r="AP54" i="8"/>
  <c r="AO54" i="8"/>
  <c r="AN54" i="8"/>
  <c r="AM54" i="8"/>
  <c r="AL54" i="8"/>
  <c r="AK54" i="8"/>
  <c r="AJ54" i="8"/>
  <c r="AI54" i="8"/>
  <c r="AH54" i="8"/>
  <c r="AG54" i="8"/>
  <c r="AF54" i="8"/>
  <c r="AE54" i="8"/>
  <c r="AD54" i="8"/>
  <c r="AC54" i="8"/>
  <c r="AB54" i="8"/>
  <c r="AA54" i="8"/>
  <c r="Z54" i="8"/>
  <c r="Y54" i="8"/>
  <c r="X54" i="8"/>
  <c r="W54" i="8"/>
  <c r="V54" i="8"/>
  <c r="U54" i="8"/>
  <c r="T54" i="8"/>
  <c r="S54" i="8"/>
  <c r="R54" i="8"/>
  <c r="Q54" i="8"/>
  <c r="P54" i="8"/>
  <c r="O54" i="8"/>
  <c r="N54" i="8"/>
  <c r="M54" i="8"/>
  <c r="L54" i="8"/>
  <c r="K54" i="8"/>
  <c r="J54" i="8"/>
  <c r="I54" i="8"/>
  <c r="H54" i="8"/>
  <c r="G54" i="8"/>
  <c r="F54" i="8"/>
  <c r="E54" i="8"/>
  <c r="D54" i="8"/>
  <c r="C54" i="8"/>
  <c r="B54" i="8"/>
  <c r="A54" i="8"/>
  <c r="AR53" i="8"/>
  <c r="AQ53" i="8"/>
  <c r="AP53" i="8"/>
  <c r="AO53" i="8"/>
  <c r="AN53" i="8"/>
  <c r="AM53" i="8"/>
  <c r="AL53" i="8"/>
  <c r="AK53" i="8"/>
  <c r="AJ53" i="8"/>
  <c r="AI53" i="8"/>
  <c r="AH53" i="8"/>
  <c r="AG53" i="8"/>
  <c r="AF53" i="8"/>
  <c r="AE53" i="8"/>
  <c r="AD53" i="8"/>
  <c r="AC53" i="8"/>
  <c r="AB53" i="8"/>
  <c r="AA53" i="8"/>
  <c r="Z53" i="8"/>
  <c r="Y53" i="8"/>
  <c r="X53" i="8"/>
  <c r="W53" i="8"/>
  <c r="V53" i="8"/>
  <c r="U53" i="8"/>
  <c r="T53" i="8"/>
  <c r="S53" i="8"/>
  <c r="R53" i="8"/>
  <c r="Q53" i="8"/>
  <c r="P53" i="8"/>
  <c r="O53" i="8"/>
  <c r="N53" i="8"/>
  <c r="M53" i="8"/>
  <c r="L53" i="8"/>
  <c r="K53" i="8"/>
  <c r="J53" i="8"/>
  <c r="I53" i="8"/>
  <c r="H53" i="8"/>
  <c r="G53" i="8"/>
  <c r="F53" i="8"/>
  <c r="E53" i="8"/>
  <c r="D53" i="8"/>
  <c r="C53" i="8"/>
  <c r="B53" i="8"/>
  <c r="A53" i="8"/>
  <c r="AR52" i="8"/>
  <c r="AQ52" i="8"/>
  <c r="AP52" i="8"/>
  <c r="AO52" i="8"/>
  <c r="AN52" i="8"/>
  <c r="AM52" i="8"/>
  <c r="AL52" i="8"/>
  <c r="AK52" i="8"/>
  <c r="AJ52" i="8"/>
  <c r="AI52" i="8"/>
  <c r="AH52" i="8"/>
  <c r="AG52" i="8"/>
  <c r="AF52" i="8"/>
  <c r="AE52" i="8"/>
  <c r="AD52" i="8"/>
  <c r="AC52" i="8"/>
  <c r="AB52" i="8"/>
  <c r="AA52" i="8"/>
  <c r="Z52" i="8"/>
  <c r="Y52" i="8"/>
  <c r="X52" i="8"/>
  <c r="W52" i="8"/>
  <c r="V52" i="8"/>
  <c r="U52" i="8"/>
  <c r="T52" i="8"/>
  <c r="S52" i="8"/>
  <c r="R52" i="8"/>
  <c r="Q52" i="8"/>
  <c r="P52" i="8"/>
  <c r="O52" i="8"/>
  <c r="N52" i="8"/>
  <c r="M52" i="8"/>
  <c r="L52" i="8"/>
  <c r="K52" i="8"/>
  <c r="J52" i="8"/>
  <c r="I52" i="8"/>
  <c r="H52" i="8"/>
  <c r="G52" i="8"/>
  <c r="F52" i="8"/>
  <c r="E52" i="8"/>
  <c r="D52" i="8"/>
  <c r="C52" i="8"/>
  <c r="B52" i="8"/>
  <c r="A52" i="8"/>
  <c r="AR51" i="8"/>
  <c r="AQ51" i="8"/>
  <c r="AP51" i="8"/>
  <c r="AO51" i="8"/>
  <c r="AN51" i="8"/>
  <c r="AM51" i="8"/>
  <c r="AL51" i="8"/>
  <c r="AK51" i="8"/>
  <c r="AJ51" i="8"/>
  <c r="AI51" i="8"/>
  <c r="AH51" i="8"/>
  <c r="AG51" i="8"/>
  <c r="AF51" i="8"/>
  <c r="AE51" i="8"/>
  <c r="AD51" i="8"/>
  <c r="AC51" i="8"/>
  <c r="AB51" i="8"/>
  <c r="AA51" i="8"/>
  <c r="Z51" i="8"/>
  <c r="Y51" i="8"/>
  <c r="X51" i="8"/>
  <c r="W51" i="8"/>
  <c r="V51" i="8"/>
  <c r="U51" i="8"/>
  <c r="T51" i="8"/>
  <c r="S51" i="8"/>
  <c r="R51" i="8"/>
  <c r="Q51" i="8"/>
  <c r="P51" i="8"/>
  <c r="O51" i="8"/>
  <c r="N51" i="8"/>
  <c r="M51" i="8"/>
  <c r="L51" i="8"/>
  <c r="K51" i="8"/>
  <c r="J51" i="8"/>
  <c r="I51" i="8"/>
  <c r="H51" i="8"/>
  <c r="G51" i="8"/>
  <c r="F51" i="8"/>
  <c r="E51" i="8"/>
  <c r="D51" i="8"/>
  <c r="C51" i="8"/>
  <c r="B51" i="8"/>
  <c r="A51" i="8"/>
  <c r="AR50" i="8"/>
  <c r="AQ50" i="8"/>
  <c r="AP50" i="8"/>
  <c r="AO50" i="8"/>
  <c r="AN50" i="8"/>
  <c r="AM50" i="8"/>
  <c r="AL50" i="8"/>
  <c r="AK50" i="8"/>
  <c r="AJ50" i="8"/>
  <c r="AI50" i="8"/>
  <c r="AH50" i="8"/>
  <c r="AG50" i="8"/>
  <c r="AF50" i="8"/>
  <c r="AE50" i="8"/>
  <c r="AD50" i="8"/>
  <c r="AC50" i="8"/>
  <c r="AB50" i="8"/>
  <c r="AA50" i="8"/>
  <c r="Z50" i="8"/>
  <c r="Y50" i="8"/>
  <c r="X50" i="8"/>
  <c r="W50" i="8"/>
  <c r="V50" i="8"/>
  <c r="U50" i="8"/>
  <c r="T50" i="8"/>
  <c r="S50" i="8"/>
  <c r="R50" i="8"/>
  <c r="Q50" i="8"/>
  <c r="P50" i="8"/>
  <c r="O50" i="8"/>
  <c r="N50" i="8"/>
  <c r="M50" i="8"/>
  <c r="L50" i="8"/>
  <c r="K50" i="8"/>
  <c r="J50" i="8"/>
  <c r="I50" i="8"/>
  <c r="H50" i="8"/>
  <c r="G50" i="8"/>
  <c r="F50" i="8"/>
  <c r="E50" i="8"/>
  <c r="D50" i="8"/>
  <c r="C50" i="8"/>
  <c r="B50" i="8"/>
  <c r="A50" i="8"/>
  <c r="AR49" i="8"/>
  <c r="AQ49" i="8"/>
  <c r="AP49" i="8"/>
  <c r="AO49" i="8"/>
  <c r="AN49" i="8"/>
  <c r="AM49" i="8"/>
  <c r="AL49" i="8"/>
  <c r="AK49" i="8"/>
  <c r="AJ49" i="8"/>
  <c r="AI49" i="8"/>
  <c r="AH49" i="8"/>
  <c r="AG49" i="8"/>
  <c r="AF49" i="8"/>
  <c r="AE49" i="8"/>
  <c r="AD49" i="8"/>
  <c r="AC49" i="8"/>
  <c r="AB49" i="8"/>
  <c r="AA49" i="8"/>
  <c r="Z49" i="8"/>
  <c r="Y49" i="8"/>
  <c r="X49" i="8"/>
  <c r="W49" i="8"/>
  <c r="V49" i="8"/>
  <c r="U49" i="8"/>
  <c r="T49" i="8"/>
  <c r="S49" i="8"/>
  <c r="R49" i="8"/>
  <c r="Q49" i="8"/>
  <c r="P49" i="8"/>
  <c r="O49" i="8"/>
  <c r="N49" i="8"/>
  <c r="M49" i="8"/>
  <c r="L49" i="8"/>
  <c r="K49" i="8"/>
  <c r="J49" i="8"/>
  <c r="I49" i="8"/>
  <c r="H49" i="8"/>
  <c r="G49" i="8"/>
  <c r="F49" i="8"/>
  <c r="E49" i="8"/>
  <c r="D49" i="8"/>
  <c r="C49" i="8"/>
  <c r="B49" i="8"/>
  <c r="A49" i="8"/>
  <c r="AR48" i="8"/>
  <c r="AQ48" i="8"/>
  <c r="AP48" i="8"/>
  <c r="AO48" i="8"/>
  <c r="AN48" i="8"/>
  <c r="AM48" i="8"/>
  <c r="AL48" i="8"/>
  <c r="AK48" i="8"/>
  <c r="AJ48" i="8"/>
  <c r="AI48" i="8"/>
  <c r="AH48" i="8"/>
  <c r="AG48" i="8"/>
  <c r="AF48" i="8"/>
  <c r="AE48" i="8"/>
  <c r="AD48" i="8"/>
  <c r="AC48" i="8"/>
  <c r="AB48" i="8"/>
  <c r="AA48" i="8"/>
  <c r="Z48" i="8"/>
  <c r="Y48" i="8"/>
  <c r="X48" i="8"/>
  <c r="W48" i="8"/>
  <c r="V48" i="8"/>
  <c r="U48" i="8"/>
  <c r="T48" i="8"/>
  <c r="S48" i="8"/>
  <c r="R48" i="8"/>
  <c r="Q48" i="8"/>
  <c r="P48" i="8"/>
  <c r="O48" i="8"/>
  <c r="N48" i="8"/>
  <c r="M48" i="8"/>
  <c r="L48" i="8"/>
  <c r="K48" i="8"/>
  <c r="J48" i="8"/>
  <c r="I48" i="8"/>
  <c r="H48" i="8"/>
  <c r="G48" i="8"/>
  <c r="F48" i="8"/>
  <c r="E48" i="8"/>
  <c r="D48" i="8"/>
  <c r="C48" i="8"/>
  <c r="B48" i="8"/>
  <c r="A48" i="8"/>
  <c r="AR47" i="8"/>
  <c r="AQ47" i="8"/>
  <c r="AP47" i="8"/>
  <c r="AO47" i="8"/>
  <c r="AN47" i="8"/>
  <c r="AM47" i="8"/>
  <c r="AL47" i="8"/>
  <c r="AK47" i="8"/>
  <c r="AJ47" i="8"/>
  <c r="AI47" i="8"/>
  <c r="AH47" i="8"/>
  <c r="AG47" i="8"/>
  <c r="AF47" i="8"/>
  <c r="AE47" i="8"/>
  <c r="AD47" i="8"/>
  <c r="AC47" i="8"/>
  <c r="AB47" i="8"/>
  <c r="AA47" i="8"/>
  <c r="Z47" i="8"/>
  <c r="Y47" i="8"/>
  <c r="X47" i="8"/>
  <c r="W47" i="8"/>
  <c r="V47" i="8"/>
  <c r="U47" i="8"/>
  <c r="T47" i="8"/>
  <c r="S47" i="8"/>
  <c r="R47" i="8"/>
  <c r="Q47" i="8"/>
  <c r="P47" i="8"/>
  <c r="O47" i="8"/>
  <c r="N47" i="8"/>
  <c r="M47" i="8"/>
  <c r="L47" i="8"/>
  <c r="K47" i="8"/>
  <c r="J47" i="8"/>
  <c r="I47" i="8"/>
  <c r="H47" i="8"/>
  <c r="G47" i="8"/>
  <c r="F47" i="8"/>
  <c r="E47" i="8"/>
  <c r="D47" i="8"/>
  <c r="C47" i="8"/>
  <c r="B47" i="8"/>
  <c r="A47" i="8"/>
  <c r="AR46" i="8"/>
  <c r="AQ46" i="8"/>
  <c r="AP46" i="8"/>
  <c r="AO46" i="8"/>
  <c r="AN46" i="8"/>
  <c r="AM46" i="8"/>
  <c r="AL46" i="8"/>
  <c r="AK46" i="8"/>
  <c r="AJ46" i="8"/>
  <c r="AI46" i="8"/>
  <c r="AH46" i="8"/>
  <c r="AG46" i="8"/>
  <c r="AF46" i="8"/>
  <c r="AE46" i="8"/>
  <c r="AD46" i="8"/>
  <c r="AC46" i="8"/>
  <c r="AB46" i="8"/>
  <c r="AA46" i="8"/>
  <c r="Z46" i="8"/>
  <c r="Y46" i="8"/>
  <c r="X46" i="8"/>
  <c r="W46" i="8"/>
  <c r="V46" i="8"/>
  <c r="U46" i="8"/>
  <c r="T46" i="8"/>
  <c r="S46" i="8"/>
  <c r="R46" i="8"/>
  <c r="Q46" i="8"/>
  <c r="P46" i="8"/>
  <c r="O46" i="8"/>
  <c r="N46" i="8"/>
  <c r="M46" i="8"/>
  <c r="L46" i="8"/>
  <c r="K46" i="8"/>
  <c r="J46" i="8"/>
  <c r="I46" i="8"/>
  <c r="H46" i="8"/>
  <c r="G46" i="8"/>
  <c r="F46" i="8"/>
  <c r="E46" i="8"/>
  <c r="D46" i="8"/>
  <c r="C46" i="8"/>
  <c r="B46" i="8"/>
  <c r="A46" i="8"/>
  <c r="AR45" i="8"/>
  <c r="AQ45" i="8"/>
  <c r="AP45" i="8"/>
  <c r="AO45" i="8"/>
  <c r="AN45" i="8"/>
  <c r="AM45" i="8"/>
  <c r="AL45" i="8"/>
  <c r="AK45" i="8"/>
  <c r="AJ45" i="8"/>
  <c r="AI45" i="8"/>
  <c r="AH45" i="8"/>
  <c r="AG45" i="8"/>
  <c r="AF45" i="8"/>
  <c r="AE45" i="8"/>
  <c r="AD45" i="8"/>
  <c r="AC45" i="8"/>
  <c r="AB45" i="8"/>
  <c r="AA45" i="8"/>
  <c r="Z45" i="8"/>
  <c r="Y45" i="8"/>
  <c r="X45" i="8"/>
  <c r="W45" i="8"/>
  <c r="V45" i="8"/>
  <c r="U45" i="8"/>
  <c r="T45" i="8"/>
  <c r="S45" i="8"/>
  <c r="R45" i="8"/>
  <c r="Q45" i="8"/>
  <c r="P45" i="8"/>
  <c r="O45" i="8"/>
  <c r="N45" i="8"/>
  <c r="M45" i="8"/>
  <c r="L45" i="8"/>
  <c r="K45" i="8"/>
  <c r="J45" i="8"/>
  <c r="I45" i="8"/>
  <c r="H45" i="8"/>
  <c r="G45" i="8"/>
  <c r="F45" i="8"/>
  <c r="E45" i="8"/>
  <c r="D45" i="8"/>
  <c r="C45" i="8"/>
  <c r="B45" i="8"/>
  <c r="A45" i="8"/>
  <c r="AR44" i="8"/>
  <c r="AQ44" i="8"/>
  <c r="AP44" i="8"/>
  <c r="AO44" i="8"/>
  <c r="AN44" i="8"/>
  <c r="AM44" i="8"/>
  <c r="AL44" i="8"/>
  <c r="AK44" i="8"/>
  <c r="AJ44" i="8"/>
  <c r="AI44" i="8"/>
  <c r="AH44" i="8"/>
  <c r="AG44" i="8"/>
  <c r="AF44" i="8"/>
  <c r="AE44" i="8"/>
  <c r="AD44" i="8"/>
  <c r="AC44" i="8"/>
  <c r="AB44" i="8"/>
  <c r="AA44" i="8"/>
  <c r="Z44" i="8"/>
  <c r="Y44" i="8"/>
  <c r="X44" i="8"/>
  <c r="W44" i="8"/>
  <c r="V44" i="8"/>
  <c r="U44" i="8"/>
  <c r="T44" i="8"/>
  <c r="S44" i="8"/>
  <c r="R44" i="8"/>
  <c r="Q44" i="8"/>
  <c r="P44" i="8"/>
  <c r="O44" i="8"/>
  <c r="N44" i="8"/>
  <c r="M44" i="8"/>
  <c r="L44" i="8"/>
  <c r="K44" i="8"/>
  <c r="J44" i="8"/>
  <c r="I44" i="8"/>
  <c r="H44" i="8"/>
  <c r="G44" i="8"/>
  <c r="F44" i="8"/>
  <c r="E44" i="8"/>
  <c r="D44" i="8"/>
  <c r="C44" i="8"/>
  <c r="B44" i="8"/>
  <c r="A44" i="8"/>
  <c r="AR43" i="8"/>
  <c r="AQ43" i="8"/>
  <c r="AP43" i="8"/>
  <c r="AO43" i="8"/>
  <c r="AN43" i="8"/>
  <c r="AM43" i="8"/>
  <c r="AL43" i="8"/>
  <c r="AK43" i="8"/>
  <c r="AJ43" i="8"/>
  <c r="AI43" i="8"/>
  <c r="AH43" i="8"/>
  <c r="AG43" i="8"/>
  <c r="AF43" i="8"/>
  <c r="AE43" i="8"/>
  <c r="AD43" i="8"/>
  <c r="AC43" i="8"/>
  <c r="AB43" i="8"/>
  <c r="AA43" i="8"/>
  <c r="Z43" i="8"/>
  <c r="Y43" i="8"/>
  <c r="X43" i="8"/>
  <c r="W43" i="8"/>
  <c r="V43" i="8"/>
  <c r="U43" i="8"/>
  <c r="T43" i="8"/>
  <c r="S43" i="8"/>
  <c r="R43" i="8"/>
  <c r="Q43" i="8"/>
  <c r="P43" i="8"/>
  <c r="O43" i="8"/>
  <c r="N43" i="8"/>
  <c r="M43" i="8"/>
  <c r="L43" i="8"/>
  <c r="K43" i="8"/>
  <c r="J43" i="8"/>
  <c r="I43" i="8"/>
  <c r="H43" i="8"/>
  <c r="G43" i="8"/>
  <c r="F43" i="8"/>
  <c r="E43" i="8"/>
  <c r="D43" i="8"/>
  <c r="C43" i="8"/>
  <c r="B43" i="8"/>
  <c r="A43" i="8"/>
  <c r="AR42" i="8"/>
  <c r="AQ42" i="8"/>
  <c r="AP42" i="8"/>
  <c r="AO42" i="8"/>
  <c r="AN42" i="8"/>
  <c r="AM42" i="8"/>
  <c r="AL42" i="8"/>
  <c r="AK42" i="8"/>
  <c r="AJ42" i="8"/>
  <c r="AI42" i="8"/>
  <c r="AH42" i="8"/>
  <c r="AG42" i="8"/>
  <c r="AF42" i="8"/>
  <c r="AE42" i="8"/>
  <c r="AD42" i="8"/>
  <c r="AC42" i="8"/>
  <c r="AB42" i="8"/>
  <c r="AA42" i="8"/>
  <c r="Z42" i="8"/>
  <c r="Y42" i="8"/>
  <c r="X42" i="8"/>
  <c r="W42" i="8"/>
  <c r="V42" i="8"/>
  <c r="U42" i="8"/>
  <c r="T42" i="8"/>
  <c r="S42" i="8"/>
  <c r="R42" i="8"/>
  <c r="Q42" i="8"/>
  <c r="P42" i="8"/>
  <c r="O42" i="8"/>
  <c r="N42" i="8"/>
  <c r="M42" i="8"/>
  <c r="L42" i="8"/>
  <c r="K42" i="8"/>
  <c r="J42" i="8"/>
  <c r="I42" i="8"/>
  <c r="H42" i="8"/>
  <c r="G42" i="8"/>
  <c r="F42" i="8"/>
  <c r="E42" i="8"/>
  <c r="D42" i="8"/>
  <c r="C42" i="8"/>
  <c r="B42" i="8"/>
  <c r="A42" i="8"/>
  <c r="AR41" i="8"/>
  <c r="AQ41" i="8"/>
  <c r="AP41" i="8"/>
  <c r="AO41" i="8"/>
  <c r="AN41" i="8"/>
  <c r="AM41" i="8"/>
  <c r="AL41" i="8"/>
  <c r="AK41" i="8"/>
  <c r="AJ41" i="8"/>
  <c r="AI41" i="8"/>
  <c r="AH41" i="8"/>
  <c r="AG41" i="8"/>
  <c r="AF41" i="8"/>
  <c r="AE41" i="8"/>
  <c r="AD41" i="8"/>
  <c r="AC41" i="8"/>
  <c r="AB41" i="8"/>
  <c r="AA41" i="8"/>
  <c r="Z41" i="8"/>
  <c r="Y41" i="8"/>
  <c r="X41" i="8"/>
  <c r="W41" i="8"/>
  <c r="V41" i="8"/>
  <c r="U41" i="8"/>
  <c r="T41" i="8"/>
  <c r="S41" i="8"/>
  <c r="R41" i="8"/>
  <c r="Q41" i="8"/>
  <c r="P41" i="8"/>
  <c r="O41" i="8"/>
  <c r="N41" i="8"/>
  <c r="M41" i="8"/>
  <c r="L41" i="8"/>
  <c r="K41" i="8"/>
  <c r="J41" i="8"/>
  <c r="I41" i="8"/>
  <c r="H41" i="8"/>
  <c r="G41" i="8"/>
  <c r="F41" i="8"/>
  <c r="E41" i="8"/>
  <c r="D41" i="8"/>
  <c r="C41" i="8"/>
  <c r="B41" i="8"/>
  <c r="A41" i="8"/>
  <c r="AR40" i="8"/>
  <c r="AQ40" i="8"/>
  <c r="AP40" i="8"/>
  <c r="AO40" i="8"/>
  <c r="AN40" i="8"/>
  <c r="AM40" i="8"/>
  <c r="AL40" i="8"/>
  <c r="AK40" i="8"/>
  <c r="AJ40" i="8"/>
  <c r="AI40" i="8"/>
  <c r="AH40" i="8"/>
  <c r="AG40" i="8"/>
  <c r="AF40" i="8"/>
  <c r="AE40" i="8"/>
  <c r="AD40" i="8"/>
  <c r="AC40" i="8"/>
  <c r="AB40" i="8"/>
  <c r="AA40" i="8"/>
  <c r="Z40" i="8"/>
  <c r="Y40" i="8"/>
  <c r="X40" i="8"/>
  <c r="W40" i="8"/>
  <c r="V40" i="8"/>
  <c r="U40" i="8"/>
  <c r="T40" i="8"/>
  <c r="S40" i="8"/>
  <c r="R40" i="8"/>
  <c r="Q40" i="8"/>
  <c r="P40" i="8"/>
  <c r="O40" i="8"/>
  <c r="N40" i="8"/>
  <c r="M40" i="8"/>
  <c r="L40" i="8"/>
  <c r="K40" i="8"/>
  <c r="J40" i="8"/>
  <c r="I40" i="8"/>
  <c r="H40" i="8"/>
  <c r="G40" i="8"/>
  <c r="F40" i="8"/>
  <c r="E40" i="8"/>
  <c r="D40" i="8"/>
  <c r="C40" i="8"/>
  <c r="B40" i="8"/>
  <c r="A40" i="8"/>
  <c r="AR39" i="8"/>
  <c r="AQ39" i="8"/>
  <c r="AP39" i="8"/>
  <c r="AO39" i="8"/>
  <c r="AN39" i="8"/>
  <c r="AM39" i="8"/>
  <c r="AL39" i="8"/>
  <c r="AK39" i="8"/>
  <c r="AJ39" i="8"/>
  <c r="AI39" i="8"/>
  <c r="AH39" i="8"/>
  <c r="AG39" i="8"/>
  <c r="AF39" i="8"/>
  <c r="AE39" i="8"/>
  <c r="AD39" i="8"/>
  <c r="AC39" i="8"/>
  <c r="AB39" i="8"/>
  <c r="AA39" i="8"/>
  <c r="Z39" i="8"/>
  <c r="Y39" i="8"/>
  <c r="X39" i="8"/>
  <c r="W39" i="8"/>
  <c r="V39" i="8"/>
  <c r="U39" i="8"/>
  <c r="T39" i="8"/>
  <c r="S39" i="8"/>
  <c r="R39" i="8"/>
  <c r="Q39" i="8"/>
  <c r="P39" i="8"/>
  <c r="O39" i="8"/>
  <c r="N39" i="8"/>
  <c r="M39" i="8"/>
  <c r="L39" i="8"/>
  <c r="K39" i="8"/>
  <c r="J39" i="8"/>
  <c r="I39" i="8"/>
  <c r="H39" i="8"/>
  <c r="G39" i="8"/>
  <c r="F39" i="8"/>
  <c r="E39" i="8"/>
  <c r="D39" i="8"/>
  <c r="C39" i="8"/>
  <c r="B39" i="8"/>
  <c r="A39" i="8"/>
  <c r="AR38" i="8"/>
  <c r="AQ38" i="8"/>
  <c r="AP38" i="8"/>
  <c r="AO38" i="8"/>
  <c r="AN38" i="8"/>
  <c r="AM38" i="8"/>
  <c r="AL38" i="8"/>
  <c r="AK38" i="8"/>
  <c r="AJ38" i="8"/>
  <c r="AI38" i="8"/>
  <c r="AH38" i="8"/>
  <c r="AG38" i="8"/>
  <c r="AF38" i="8"/>
  <c r="AE38" i="8"/>
  <c r="AD38" i="8"/>
  <c r="AC38" i="8"/>
  <c r="AB38" i="8"/>
  <c r="AA38" i="8"/>
  <c r="Z38" i="8"/>
  <c r="Y38" i="8"/>
  <c r="X38" i="8"/>
  <c r="W38" i="8"/>
  <c r="V38" i="8"/>
  <c r="U38" i="8"/>
  <c r="T38" i="8"/>
  <c r="S38" i="8"/>
  <c r="R38" i="8"/>
  <c r="Q38" i="8"/>
  <c r="P38" i="8"/>
  <c r="O38" i="8"/>
  <c r="N38" i="8"/>
  <c r="M38" i="8"/>
  <c r="L38" i="8"/>
  <c r="K38" i="8"/>
  <c r="J38" i="8"/>
  <c r="I38" i="8"/>
  <c r="H38" i="8"/>
  <c r="G38" i="8"/>
  <c r="F38" i="8"/>
  <c r="E38" i="8"/>
  <c r="D38" i="8"/>
  <c r="C38" i="8"/>
  <c r="B38" i="8"/>
  <c r="A38" i="8"/>
  <c r="AR37" i="8"/>
  <c r="AQ37" i="8"/>
  <c r="AP37" i="8"/>
  <c r="AO37" i="8"/>
  <c r="AN37" i="8"/>
  <c r="AM37" i="8"/>
  <c r="AL37" i="8"/>
  <c r="AK37" i="8"/>
  <c r="AJ37" i="8"/>
  <c r="AI37" i="8"/>
  <c r="AH37" i="8"/>
  <c r="AG37" i="8"/>
  <c r="AF37" i="8"/>
  <c r="AE37" i="8"/>
  <c r="AD37" i="8"/>
  <c r="AC37" i="8"/>
  <c r="AB37" i="8"/>
  <c r="AA37" i="8"/>
  <c r="Z37" i="8"/>
  <c r="Y37" i="8"/>
  <c r="X37" i="8"/>
  <c r="W37" i="8"/>
  <c r="V37" i="8"/>
  <c r="U37" i="8"/>
  <c r="T37" i="8"/>
  <c r="S37" i="8"/>
  <c r="R37" i="8"/>
  <c r="Q37" i="8"/>
  <c r="P37" i="8"/>
  <c r="O37" i="8"/>
  <c r="N37" i="8"/>
  <c r="M37" i="8"/>
  <c r="L37" i="8"/>
  <c r="K37" i="8"/>
  <c r="J37" i="8"/>
  <c r="I37" i="8"/>
  <c r="H37" i="8"/>
  <c r="G37" i="8"/>
  <c r="F37" i="8"/>
  <c r="E37" i="8"/>
  <c r="D37" i="8"/>
  <c r="C37" i="8"/>
  <c r="B37" i="8"/>
  <c r="A37" i="8"/>
  <c r="AR36" i="8"/>
  <c r="S36" i="8"/>
  <c r="K36" i="8"/>
  <c r="C36" i="8"/>
  <c r="B36" i="8"/>
  <c r="A36" i="8"/>
  <c r="AR35" i="8"/>
  <c r="AQ35" i="8"/>
  <c r="AP35" i="8"/>
  <c r="AO35" i="8"/>
  <c r="AN35" i="8"/>
  <c r="AM35" i="8"/>
  <c r="AL35" i="8"/>
  <c r="AK35" i="8"/>
  <c r="AJ35" i="8"/>
  <c r="AI35" i="8"/>
  <c r="AH35" i="8"/>
  <c r="AG35" i="8"/>
  <c r="AF35" i="8"/>
  <c r="AE35" i="8"/>
  <c r="AD35" i="8"/>
  <c r="AC35" i="8"/>
  <c r="AB35" i="8"/>
  <c r="AA35" i="8"/>
  <c r="Z35" i="8"/>
  <c r="Y35" i="8"/>
  <c r="X35" i="8"/>
  <c r="W35" i="8"/>
  <c r="V35" i="8"/>
  <c r="U35" i="8"/>
  <c r="T35" i="8"/>
  <c r="S35" i="8"/>
  <c r="R35" i="8"/>
  <c r="Q35" i="8"/>
  <c r="P35" i="8"/>
  <c r="O35" i="8"/>
  <c r="N35" i="8"/>
  <c r="M35" i="8"/>
  <c r="L35" i="8"/>
  <c r="K35" i="8"/>
  <c r="J35" i="8"/>
  <c r="I35" i="8"/>
  <c r="H35" i="8"/>
  <c r="G35" i="8"/>
  <c r="F35" i="8"/>
  <c r="E35" i="8"/>
  <c r="D35" i="8"/>
  <c r="C35" i="8"/>
  <c r="B35" i="8"/>
  <c r="A35" i="8"/>
  <c r="AR34" i="8"/>
  <c r="S34" i="8"/>
  <c r="C34" i="8"/>
  <c r="B34" i="8"/>
  <c r="A34" i="8"/>
  <c r="AR33" i="8"/>
  <c r="S33" i="8"/>
  <c r="C33" i="8"/>
  <c r="B33" i="8"/>
  <c r="A33" i="8"/>
  <c r="AR32" i="8"/>
  <c r="S32" i="8"/>
  <c r="C32" i="8"/>
  <c r="B32" i="8"/>
  <c r="A32" i="8"/>
  <c r="S31" i="8"/>
  <c r="C31" i="8"/>
  <c r="B31" i="8"/>
  <c r="A31" i="8"/>
  <c r="S30" i="8"/>
  <c r="C30" i="8"/>
  <c r="B30" i="8"/>
  <c r="A30" i="8"/>
  <c r="AR29" i="8"/>
  <c r="AQ29" i="8"/>
  <c r="AP29" i="8"/>
  <c r="AO29" i="8"/>
  <c r="AN29" i="8"/>
  <c r="AM29" i="8"/>
  <c r="AL29" i="8"/>
  <c r="AK29" i="8"/>
  <c r="AJ29" i="8"/>
  <c r="AI29" i="8"/>
  <c r="AH29" i="8"/>
  <c r="AG29" i="8"/>
  <c r="AF29" i="8"/>
  <c r="AE29" i="8"/>
  <c r="AD29" i="8"/>
  <c r="AC29" i="8"/>
  <c r="AB29" i="8"/>
  <c r="AA29" i="8"/>
  <c r="Z29" i="8"/>
  <c r="Y29" i="8"/>
  <c r="X29" i="8"/>
  <c r="W29" i="8"/>
  <c r="V29" i="8"/>
  <c r="U29" i="8"/>
  <c r="T29" i="8"/>
  <c r="S29" i="8"/>
  <c r="R29" i="8"/>
  <c r="Q29" i="8"/>
  <c r="P29" i="8"/>
  <c r="O29" i="8"/>
  <c r="N29" i="8"/>
  <c r="M29" i="8"/>
  <c r="L29" i="8"/>
  <c r="K29" i="8"/>
  <c r="J29" i="8"/>
  <c r="I29" i="8"/>
  <c r="H29" i="8"/>
  <c r="G29" i="8"/>
  <c r="F29" i="8"/>
  <c r="E29" i="8"/>
  <c r="D29" i="8"/>
  <c r="C29" i="8"/>
  <c r="B29" i="8"/>
  <c r="A29" i="8"/>
  <c r="AR28" i="8"/>
  <c r="AQ28" i="8"/>
  <c r="AP28" i="8"/>
  <c r="AO28" i="8"/>
  <c r="AN28" i="8"/>
  <c r="AM28" i="8"/>
  <c r="AL28" i="8"/>
  <c r="AK28" i="8"/>
  <c r="AJ28" i="8"/>
  <c r="AI28" i="8"/>
  <c r="AH28" i="8"/>
  <c r="AG28" i="8"/>
  <c r="AF28" i="8"/>
  <c r="AE28" i="8"/>
  <c r="AD28" i="8"/>
  <c r="AC28" i="8"/>
  <c r="AB28" i="8"/>
  <c r="AA28" i="8"/>
  <c r="Z28" i="8"/>
  <c r="Y28" i="8"/>
  <c r="X28" i="8"/>
  <c r="W28" i="8"/>
  <c r="V28" i="8"/>
  <c r="U28" i="8"/>
  <c r="T28" i="8"/>
  <c r="S28" i="8"/>
  <c r="R28" i="8"/>
  <c r="Q28" i="8"/>
  <c r="P28" i="8"/>
  <c r="O28" i="8"/>
  <c r="N28" i="8"/>
  <c r="M28" i="8"/>
  <c r="L28" i="8"/>
  <c r="K28" i="8"/>
  <c r="J28" i="8"/>
  <c r="I28" i="8"/>
  <c r="H28" i="8"/>
  <c r="G28" i="8"/>
  <c r="F28" i="8"/>
  <c r="E28" i="8"/>
  <c r="D28" i="8"/>
  <c r="C28" i="8"/>
  <c r="B28" i="8"/>
  <c r="A28" i="8"/>
  <c r="AR27" i="8"/>
  <c r="AQ27" i="8"/>
  <c r="AP27" i="8"/>
  <c r="AO27" i="8"/>
  <c r="AN27" i="8"/>
  <c r="AM27" i="8"/>
  <c r="AL27" i="8"/>
  <c r="AK27" i="8"/>
  <c r="AJ27" i="8"/>
  <c r="AI27" i="8"/>
  <c r="AH27" i="8"/>
  <c r="AG27" i="8"/>
  <c r="AF27" i="8"/>
  <c r="AE27" i="8"/>
  <c r="AD27" i="8"/>
  <c r="AC27" i="8"/>
  <c r="AB27" i="8"/>
  <c r="AA27" i="8"/>
  <c r="Z27" i="8"/>
  <c r="Y27" i="8"/>
  <c r="X27" i="8"/>
  <c r="W27" i="8"/>
  <c r="V27" i="8"/>
  <c r="U27" i="8"/>
  <c r="T27" i="8"/>
  <c r="S27" i="8"/>
  <c r="R27" i="8"/>
  <c r="Q27" i="8"/>
  <c r="P27" i="8"/>
  <c r="O27" i="8"/>
  <c r="N27" i="8"/>
  <c r="M27" i="8"/>
  <c r="L27" i="8"/>
  <c r="K27" i="8"/>
  <c r="J27" i="8"/>
  <c r="I27" i="8"/>
  <c r="H27" i="8"/>
  <c r="G27" i="8"/>
  <c r="F27" i="8"/>
  <c r="E27" i="8"/>
  <c r="D27" i="8"/>
  <c r="C27" i="8"/>
  <c r="B27" i="8"/>
  <c r="A27" i="8"/>
  <c r="AR26" i="8"/>
  <c r="AQ26" i="8"/>
  <c r="AP26" i="8"/>
  <c r="AO26" i="8"/>
  <c r="AN26" i="8"/>
  <c r="AM26" i="8"/>
  <c r="AL26" i="8"/>
  <c r="AK26" i="8"/>
  <c r="AJ26" i="8"/>
  <c r="AI26" i="8"/>
  <c r="AH26" i="8"/>
  <c r="AG26" i="8"/>
  <c r="AF26" i="8"/>
  <c r="AE26" i="8"/>
  <c r="AD26" i="8"/>
  <c r="AC26" i="8"/>
  <c r="AB26" i="8"/>
  <c r="AA26" i="8"/>
  <c r="Z26" i="8"/>
  <c r="Y26" i="8"/>
  <c r="X26" i="8"/>
  <c r="W26" i="8"/>
  <c r="V26" i="8"/>
  <c r="U26" i="8"/>
  <c r="T26" i="8"/>
  <c r="S26" i="8"/>
  <c r="R26" i="8"/>
  <c r="Q26" i="8"/>
  <c r="P26" i="8"/>
  <c r="O26" i="8"/>
  <c r="N26" i="8"/>
  <c r="M26" i="8"/>
  <c r="L26" i="8"/>
  <c r="K26" i="8"/>
  <c r="J26" i="8"/>
  <c r="I26" i="8"/>
  <c r="H26" i="8"/>
  <c r="G26" i="8"/>
  <c r="F26" i="8"/>
  <c r="E26" i="8"/>
  <c r="D26" i="8"/>
  <c r="C26" i="8"/>
  <c r="B26" i="8"/>
  <c r="A26" i="8"/>
  <c r="AR25" i="8"/>
  <c r="AQ25" i="8"/>
  <c r="AP25" i="8"/>
  <c r="AO25" i="8"/>
  <c r="AN25" i="8"/>
  <c r="AM25" i="8"/>
  <c r="AL25" i="8"/>
  <c r="AK25" i="8"/>
  <c r="AJ25" i="8"/>
  <c r="AI25" i="8"/>
  <c r="AH25" i="8"/>
  <c r="AG25" i="8"/>
  <c r="AF25" i="8"/>
  <c r="AE25" i="8"/>
  <c r="AD25" i="8"/>
  <c r="AC25" i="8"/>
  <c r="AB25" i="8"/>
  <c r="AA25" i="8"/>
  <c r="Z25" i="8"/>
  <c r="Y25" i="8"/>
  <c r="X25" i="8"/>
  <c r="W25" i="8"/>
  <c r="V25" i="8"/>
  <c r="U25" i="8"/>
  <c r="T25" i="8"/>
  <c r="S25" i="8"/>
  <c r="R25" i="8"/>
  <c r="Q25" i="8"/>
  <c r="P25" i="8"/>
  <c r="O25" i="8"/>
  <c r="N25" i="8"/>
  <c r="M25" i="8"/>
  <c r="L25" i="8"/>
  <c r="K25" i="8"/>
  <c r="J25" i="8"/>
  <c r="I25" i="8"/>
  <c r="H25" i="8"/>
  <c r="G25" i="8"/>
  <c r="F25" i="8"/>
  <c r="E25" i="8"/>
  <c r="D25" i="8"/>
  <c r="C25" i="8"/>
  <c r="B25" i="8"/>
  <c r="A25" i="8"/>
  <c r="AR24" i="8"/>
  <c r="AQ24" i="8"/>
  <c r="AP24" i="8"/>
  <c r="AO24" i="8"/>
  <c r="AN24" i="8"/>
  <c r="AM24" i="8"/>
  <c r="AL24" i="8"/>
  <c r="AK24" i="8"/>
  <c r="AJ24" i="8"/>
  <c r="AI24" i="8"/>
  <c r="AH24" i="8"/>
  <c r="AG24" i="8"/>
  <c r="AF24" i="8"/>
  <c r="AE24" i="8"/>
  <c r="AD24" i="8"/>
  <c r="AC24" i="8"/>
  <c r="AB24" i="8"/>
  <c r="AA24" i="8"/>
  <c r="Z24" i="8"/>
  <c r="Y24" i="8"/>
  <c r="X24" i="8"/>
  <c r="W24" i="8"/>
  <c r="V24" i="8"/>
  <c r="U24" i="8"/>
  <c r="T24" i="8"/>
  <c r="S24" i="8"/>
  <c r="R24" i="8"/>
  <c r="Q24" i="8"/>
  <c r="P24" i="8"/>
  <c r="O24" i="8"/>
  <c r="N24" i="8"/>
  <c r="M24" i="8"/>
  <c r="L24" i="8"/>
  <c r="K24" i="8"/>
  <c r="J24" i="8"/>
  <c r="I24" i="8"/>
  <c r="H24" i="8"/>
  <c r="G24" i="8"/>
  <c r="F24" i="8"/>
  <c r="E24" i="8"/>
  <c r="D24" i="8"/>
  <c r="C24" i="8"/>
  <c r="B24" i="8"/>
  <c r="A24" i="8"/>
  <c r="AR23" i="8"/>
  <c r="AQ23" i="8"/>
  <c r="AP23" i="8"/>
  <c r="AO23" i="8"/>
  <c r="AN23" i="8"/>
  <c r="AM23" i="8"/>
  <c r="AL23" i="8"/>
  <c r="AK23" i="8"/>
  <c r="AJ23" i="8"/>
  <c r="AI23" i="8"/>
  <c r="AH23" i="8"/>
  <c r="AG23" i="8"/>
  <c r="AF23" i="8"/>
  <c r="AE23" i="8"/>
  <c r="AD23" i="8"/>
  <c r="AC23" i="8"/>
  <c r="AB23" i="8"/>
  <c r="AA23" i="8"/>
  <c r="Z23" i="8"/>
  <c r="Y23" i="8"/>
  <c r="X23" i="8"/>
  <c r="W23" i="8"/>
  <c r="V23" i="8"/>
  <c r="U23" i="8"/>
  <c r="T23" i="8"/>
  <c r="S23" i="8"/>
  <c r="R23" i="8"/>
  <c r="Q23" i="8"/>
  <c r="P23" i="8"/>
  <c r="O23" i="8"/>
  <c r="N23" i="8"/>
  <c r="M23" i="8"/>
  <c r="L23" i="8"/>
  <c r="K23" i="8"/>
  <c r="J23" i="8"/>
  <c r="I23" i="8"/>
  <c r="H23" i="8"/>
  <c r="G23" i="8"/>
  <c r="F23" i="8"/>
  <c r="E23" i="8"/>
  <c r="D23" i="8"/>
  <c r="C23" i="8"/>
  <c r="B23" i="8"/>
  <c r="A23" i="8"/>
  <c r="AR22" i="8"/>
  <c r="AQ22" i="8"/>
  <c r="AP22" i="8"/>
  <c r="AO22" i="8"/>
  <c r="AN22" i="8"/>
  <c r="AM22" i="8"/>
  <c r="AL22" i="8"/>
  <c r="AK22" i="8"/>
  <c r="AJ22" i="8"/>
  <c r="AI22" i="8"/>
  <c r="AH22" i="8"/>
  <c r="AG22" i="8"/>
  <c r="AF22" i="8"/>
  <c r="AE22" i="8"/>
  <c r="AD22" i="8"/>
  <c r="AC22" i="8"/>
  <c r="AB22" i="8"/>
  <c r="AA22" i="8"/>
  <c r="Z22" i="8"/>
  <c r="Y22" i="8"/>
  <c r="X22" i="8"/>
  <c r="W22" i="8"/>
  <c r="V22" i="8"/>
  <c r="U22" i="8"/>
  <c r="T22" i="8"/>
  <c r="S22" i="8"/>
  <c r="R22" i="8"/>
  <c r="Q22" i="8"/>
  <c r="P22" i="8"/>
  <c r="O22" i="8"/>
  <c r="N22" i="8"/>
  <c r="M22" i="8"/>
  <c r="L22" i="8"/>
  <c r="K22" i="8"/>
  <c r="J22" i="8"/>
  <c r="I22" i="8"/>
  <c r="H22" i="8"/>
  <c r="G22" i="8"/>
  <c r="F22" i="8"/>
  <c r="E22" i="8"/>
  <c r="D22" i="8"/>
  <c r="C22" i="8"/>
  <c r="B22" i="8"/>
  <c r="A22" i="8"/>
  <c r="AR21" i="8"/>
  <c r="AQ21" i="8"/>
  <c r="AP21" i="8"/>
  <c r="AO21" i="8"/>
  <c r="AN21" i="8"/>
  <c r="AM21" i="8"/>
  <c r="AL21" i="8"/>
  <c r="AK21" i="8"/>
  <c r="AJ21" i="8"/>
  <c r="AI21" i="8"/>
  <c r="AH21" i="8"/>
  <c r="AG21" i="8"/>
  <c r="AF21" i="8"/>
  <c r="AE21" i="8"/>
  <c r="AD21" i="8"/>
  <c r="AC21" i="8"/>
  <c r="AB21" i="8"/>
  <c r="AA21" i="8"/>
  <c r="Z21" i="8"/>
  <c r="Y21" i="8"/>
  <c r="X21" i="8"/>
  <c r="W21" i="8"/>
  <c r="V21" i="8"/>
  <c r="U21" i="8"/>
  <c r="T21" i="8"/>
  <c r="S21" i="8"/>
  <c r="R21" i="8"/>
  <c r="Q21" i="8"/>
  <c r="P21" i="8"/>
  <c r="O21" i="8"/>
  <c r="N21" i="8"/>
  <c r="M21" i="8"/>
  <c r="L21" i="8"/>
  <c r="K21" i="8"/>
  <c r="J21" i="8"/>
  <c r="I21" i="8"/>
  <c r="H21" i="8"/>
  <c r="G21" i="8"/>
  <c r="F21" i="8"/>
  <c r="E21" i="8"/>
  <c r="D21" i="8"/>
  <c r="C21" i="8"/>
  <c r="B21" i="8"/>
  <c r="A21" i="8"/>
  <c r="AR20" i="8"/>
  <c r="AQ20" i="8"/>
  <c r="AP20" i="8"/>
  <c r="AO20" i="8"/>
  <c r="AN20" i="8"/>
  <c r="AM20" i="8"/>
  <c r="AL20" i="8"/>
  <c r="AK20" i="8"/>
  <c r="AJ20" i="8"/>
  <c r="AI20" i="8"/>
  <c r="AH20" i="8"/>
  <c r="AG20" i="8"/>
  <c r="AF20" i="8"/>
  <c r="AE20" i="8"/>
  <c r="AD20" i="8"/>
  <c r="AC20" i="8"/>
  <c r="AB20" i="8"/>
  <c r="AA20" i="8"/>
  <c r="Z20" i="8"/>
  <c r="Y20" i="8"/>
  <c r="X20" i="8"/>
  <c r="W20" i="8"/>
  <c r="V20" i="8"/>
  <c r="U20" i="8"/>
  <c r="T20" i="8"/>
  <c r="S20" i="8"/>
  <c r="R20" i="8"/>
  <c r="Q20" i="8"/>
  <c r="P20" i="8"/>
  <c r="O20" i="8"/>
  <c r="N20" i="8"/>
  <c r="M20" i="8"/>
  <c r="L20" i="8"/>
  <c r="K20" i="8"/>
  <c r="J20" i="8"/>
  <c r="I20" i="8"/>
  <c r="H20" i="8"/>
  <c r="G20" i="8"/>
  <c r="F20" i="8"/>
  <c r="E20" i="8"/>
  <c r="D20" i="8"/>
  <c r="C20" i="8"/>
  <c r="B20" i="8"/>
  <c r="A20" i="8"/>
  <c r="AR19" i="8"/>
  <c r="AQ19" i="8"/>
  <c r="AP19" i="8"/>
  <c r="AO19" i="8"/>
  <c r="AN19" i="8"/>
  <c r="AM19" i="8"/>
  <c r="AL19" i="8"/>
  <c r="AK19" i="8"/>
  <c r="AJ19" i="8"/>
  <c r="AI19" i="8"/>
  <c r="AH19" i="8"/>
  <c r="AG19" i="8"/>
  <c r="AF19" i="8"/>
  <c r="AE19" i="8"/>
  <c r="AD19" i="8"/>
  <c r="AC19" i="8"/>
  <c r="AB19" i="8"/>
  <c r="AA19" i="8"/>
  <c r="Z19" i="8"/>
  <c r="Y19" i="8"/>
  <c r="X19" i="8"/>
  <c r="W19" i="8"/>
  <c r="V19" i="8"/>
  <c r="U19" i="8"/>
  <c r="T19" i="8"/>
  <c r="S19" i="8"/>
  <c r="R19" i="8"/>
  <c r="Q19" i="8"/>
  <c r="P19" i="8"/>
  <c r="O19" i="8"/>
  <c r="N19" i="8"/>
  <c r="M19" i="8"/>
  <c r="L19" i="8"/>
  <c r="K19" i="8"/>
  <c r="J19" i="8"/>
  <c r="I19" i="8"/>
  <c r="H19" i="8"/>
  <c r="G19" i="8"/>
  <c r="F19" i="8"/>
  <c r="E19" i="8"/>
  <c r="D19" i="8"/>
  <c r="C19" i="8"/>
  <c r="B19" i="8"/>
  <c r="A19" i="8"/>
  <c r="AR18" i="8"/>
  <c r="AQ18" i="8"/>
  <c r="AP18" i="8"/>
  <c r="AO18" i="8"/>
  <c r="AN18" i="8"/>
  <c r="AM18" i="8"/>
  <c r="AL18" i="8"/>
  <c r="AK18" i="8"/>
  <c r="AJ18" i="8"/>
  <c r="AI18" i="8"/>
  <c r="AH18" i="8"/>
  <c r="AG18" i="8"/>
  <c r="AF18" i="8"/>
  <c r="AE18" i="8"/>
  <c r="AD18" i="8"/>
  <c r="AC18" i="8"/>
  <c r="AB18" i="8"/>
  <c r="AA18" i="8"/>
  <c r="Z18" i="8"/>
  <c r="Y18" i="8"/>
  <c r="X18" i="8"/>
  <c r="W18" i="8"/>
  <c r="V18" i="8"/>
  <c r="U18" i="8"/>
  <c r="T18" i="8"/>
  <c r="S18" i="8"/>
  <c r="R18" i="8"/>
  <c r="Q18" i="8"/>
  <c r="P18" i="8"/>
  <c r="O18" i="8"/>
  <c r="N18" i="8"/>
  <c r="M18" i="8"/>
  <c r="L18" i="8"/>
  <c r="K18" i="8"/>
  <c r="J18" i="8"/>
  <c r="I18" i="8"/>
  <c r="H18" i="8"/>
  <c r="G18" i="8"/>
  <c r="F18" i="8"/>
  <c r="E18" i="8"/>
  <c r="D18" i="8"/>
  <c r="C18" i="8"/>
  <c r="B18" i="8"/>
  <c r="A18" i="8"/>
  <c r="AR17" i="8"/>
  <c r="AQ17" i="8"/>
  <c r="AP17" i="8"/>
  <c r="AO17" i="8"/>
  <c r="AN17" i="8"/>
  <c r="AM17" i="8"/>
  <c r="AL17" i="8"/>
  <c r="AK17" i="8"/>
  <c r="AJ17" i="8"/>
  <c r="AI17" i="8"/>
  <c r="AH17" i="8"/>
  <c r="AG17" i="8"/>
  <c r="AF17" i="8"/>
  <c r="AE17" i="8"/>
  <c r="AD17" i="8"/>
  <c r="AC17" i="8"/>
  <c r="AB17" i="8"/>
  <c r="AA17" i="8"/>
  <c r="Z17" i="8"/>
  <c r="Y17" i="8"/>
  <c r="X17" i="8"/>
  <c r="W17" i="8"/>
  <c r="V17" i="8"/>
  <c r="U17" i="8"/>
  <c r="T17" i="8"/>
  <c r="S17" i="8"/>
  <c r="R17" i="8"/>
  <c r="Q17" i="8"/>
  <c r="P17" i="8"/>
  <c r="O17" i="8"/>
  <c r="N17" i="8"/>
  <c r="M17" i="8"/>
  <c r="L17" i="8"/>
  <c r="K17" i="8"/>
  <c r="J17" i="8"/>
  <c r="I17" i="8"/>
  <c r="H17" i="8"/>
  <c r="G17" i="8"/>
  <c r="F17" i="8"/>
  <c r="E17" i="8"/>
  <c r="D17" i="8"/>
  <c r="C17" i="8"/>
  <c r="B17" i="8"/>
  <c r="A17" i="8"/>
  <c r="AR16" i="8"/>
  <c r="AQ16" i="8"/>
  <c r="AP16" i="8"/>
  <c r="AO16" i="8"/>
  <c r="AN16" i="8"/>
  <c r="AM16" i="8"/>
  <c r="AL16" i="8"/>
  <c r="AK16" i="8"/>
  <c r="AJ16" i="8"/>
  <c r="AI16" i="8"/>
  <c r="AH16" i="8"/>
  <c r="AG16" i="8"/>
  <c r="AF16" i="8"/>
  <c r="AE16" i="8"/>
  <c r="AD16" i="8"/>
  <c r="AC16" i="8"/>
  <c r="AB16" i="8"/>
  <c r="AA16" i="8"/>
  <c r="Z16" i="8"/>
  <c r="Y16" i="8"/>
  <c r="X16" i="8"/>
  <c r="W16" i="8"/>
  <c r="V16" i="8"/>
  <c r="U16" i="8"/>
  <c r="T16" i="8"/>
  <c r="S16" i="8"/>
  <c r="R16" i="8"/>
  <c r="Q16" i="8"/>
  <c r="P16" i="8"/>
  <c r="O16" i="8"/>
  <c r="N16" i="8"/>
  <c r="M16" i="8"/>
  <c r="L16" i="8"/>
  <c r="K16" i="8"/>
  <c r="J16" i="8"/>
  <c r="I16" i="8"/>
  <c r="H16" i="8"/>
  <c r="G16" i="8"/>
  <c r="F16" i="8"/>
  <c r="E16" i="8"/>
  <c r="D16" i="8"/>
  <c r="C16" i="8"/>
  <c r="B16" i="8"/>
  <c r="A16" i="8"/>
  <c r="AR15" i="8"/>
  <c r="AQ15" i="8"/>
  <c r="AP15" i="8"/>
  <c r="AO15" i="8"/>
  <c r="AN15" i="8"/>
  <c r="AM15" i="8"/>
  <c r="AL15" i="8"/>
  <c r="AK15" i="8"/>
  <c r="AJ15" i="8"/>
  <c r="AI15" i="8"/>
  <c r="AH15" i="8"/>
  <c r="AG15" i="8"/>
  <c r="AF15" i="8"/>
  <c r="AE15" i="8"/>
  <c r="AD15" i="8"/>
  <c r="AC15" i="8"/>
  <c r="AB15" i="8"/>
  <c r="AA15" i="8"/>
  <c r="Z15" i="8"/>
  <c r="Y15" i="8"/>
  <c r="X15" i="8"/>
  <c r="W15" i="8"/>
  <c r="V15" i="8"/>
  <c r="U15" i="8"/>
  <c r="T15" i="8"/>
  <c r="S15" i="8"/>
  <c r="R15" i="8"/>
  <c r="Q15" i="8"/>
  <c r="P15" i="8"/>
  <c r="O15" i="8"/>
  <c r="N15" i="8"/>
  <c r="M15" i="8"/>
  <c r="L15" i="8"/>
  <c r="K15" i="8"/>
  <c r="J15" i="8"/>
  <c r="I15" i="8"/>
  <c r="H15" i="8"/>
  <c r="G15" i="8"/>
  <c r="F15" i="8"/>
  <c r="E15" i="8"/>
  <c r="D15" i="8"/>
  <c r="C15" i="8"/>
  <c r="B15" i="8"/>
  <c r="A15" i="8"/>
  <c r="AR14" i="8"/>
  <c r="AQ14" i="8"/>
  <c r="AP14" i="8"/>
  <c r="AO14" i="8"/>
  <c r="AN14" i="8"/>
  <c r="AM14" i="8"/>
  <c r="AL14" i="8"/>
  <c r="AK14" i="8"/>
  <c r="AJ14" i="8"/>
  <c r="AI14" i="8"/>
  <c r="AH14" i="8"/>
  <c r="AG14" i="8"/>
  <c r="AF14" i="8"/>
  <c r="AE14" i="8"/>
  <c r="AD14" i="8"/>
  <c r="AC14" i="8"/>
  <c r="AB14" i="8"/>
  <c r="AA14" i="8"/>
  <c r="Z14" i="8"/>
  <c r="Y14" i="8"/>
  <c r="X14" i="8"/>
  <c r="W14" i="8"/>
  <c r="V14" i="8"/>
  <c r="U14" i="8"/>
  <c r="T14" i="8"/>
  <c r="S14" i="8"/>
  <c r="R14" i="8"/>
  <c r="Q14" i="8"/>
  <c r="P14" i="8"/>
  <c r="O14" i="8"/>
  <c r="N14" i="8"/>
  <c r="M14" i="8"/>
  <c r="L14" i="8"/>
  <c r="K14" i="8"/>
  <c r="J14" i="8"/>
  <c r="I14" i="8"/>
  <c r="H14" i="8"/>
  <c r="G14" i="8"/>
  <c r="F14" i="8"/>
  <c r="E14" i="8"/>
  <c r="D14" i="8"/>
  <c r="C14" i="8"/>
  <c r="B14" i="8"/>
  <c r="A14" i="8"/>
  <c r="AR13" i="8"/>
  <c r="AQ13" i="8"/>
  <c r="AP13" i="8"/>
  <c r="AO13" i="8"/>
  <c r="AN13" i="8"/>
  <c r="AM13" i="8"/>
  <c r="AL13" i="8"/>
  <c r="AK13" i="8"/>
  <c r="AJ13" i="8"/>
  <c r="AI13" i="8"/>
  <c r="AH13" i="8"/>
  <c r="AG13" i="8"/>
  <c r="AF13" i="8"/>
  <c r="AE13" i="8"/>
  <c r="AD13" i="8"/>
  <c r="AC13" i="8"/>
  <c r="AB13" i="8"/>
  <c r="AA13" i="8"/>
  <c r="Z13" i="8"/>
  <c r="Y13" i="8"/>
  <c r="X13" i="8"/>
  <c r="W13" i="8"/>
  <c r="V13" i="8"/>
  <c r="U13" i="8"/>
  <c r="T13" i="8"/>
  <c r="S13" i="8"/>
  <c r="R13" i="8"/>
  <c r="Q13" i="8"/>
  <c r="P13" i="8"/>
  <c r="O13" i="8"/>
  <c r="N13" i="8"/>
  <c r="M13" i="8"/>
  <c r="L13" i="8"/>
  <c r="K13" i="8"/>
  <c r="J13" i="8"/>
  <c r="I13" i="8"/>
  <c r="H13" i="8"/>
  <c r="G13" i="8"/>
  <c r="F13" i="8"/>
  <c r="E13" i="8"/>
  <c r="D13" i="8"/>
  <c r="C13" i="8"/>
  <c r="B13" i="8"/>
  <c r="A13" i="8"/>
  <c r="AR12" i="8"/>
  <c r="AQ12" i="8"/>
  <c r="AP12" i="8"/>
  <c r="AO12" i="8"/>
  <c r="AN12" i="8"/>
  <c r="AM12" i="8"/>
  <c r="AL12" i="8"/>
  <c r="AK12" i="8"/>
  <c r="AJ12" i="8"/>
  <c r="AI12" i="8"/>
  <c r="AH12" i="8"/>
  <c r="AG12" i="8"/>
  <c r="AF12" i="8"/>
  <c r="AE12" i="8"/>
  <c r="AD12" i="8"/>
  <c r="AC12" i="8"/>
  <c r="AB12" i="8"/>
  <c r="AA12" i="8"/>
  <c r="Z12" i="8"/>
  <c r="Y12" i="8"/>
  <c r="X12" i="8"/>
  <c r="W12" i="8"/>
  <c r="V12" i="8"/>
  <c r="U12" i="8"/>
  <c r="T12" i="8"/>
  <c r="S12" i="8"/>
  <c r="R12" i="8"/>
  <c r="Q12" i="8"/>
  <c r="P12" i="8"/>
  <c r="O12" i="8"/>
  <c r="N12" i="8"/>
  <c r="M12" i="8"/>
  <c r="L12" i="8"/>
  <c r="K12" i="8"/>
  <c r="J12" i="8"/>
  <c r="I12" i="8"/>
  <c r="H12" i="8"/>
  <c r="G12" i="8"/>
  <c r="F12" i="8"/>
  <c r="E12" i="8"/>
  <c r="D12" i="8"/>
  <c r="C12" i="8"/>
  <c r="B12" i="8"/>
  <c r="A12" i="8"/>
  <c r="AR11" i="8"/>
  <c r="AQ11" i="8"/>
  <c r="AP11" i="8"/>
  <c r="AO11" i="8"/>
  <c r="AN11" i="8"/>
  <c r="AM11" i="8"/>
  <c r="AL11" i="8"/>
  <c r="AK11" i="8"/>
  <c r="AJ11" i="8"/>
  <c r="AI11" i="8"/>
  <c r="AH11" i="8"/>
  <c r="AG11" i="8"/>
  <c r="AF11" i="8"/>
  <c r="AE11" i="8"/>
  <c r="AD11" i="8"/>
  <c r="AC11" i="8"/>
  <c r="AB11" i="8"/>
  <c r="AA11" i="8"/>
  <c r="Z11" i="8"/>
  <c r="Y11" i="8"/>
  <c r="X11" i="8"/>
  <c r="W11" i="8"/>
  <c r="V11" i="8"/>
  <c r="U11" i="8"/>
  <c r="T11" i="8"/>
  <c r="S11" i="8"/>
  <c r="R11" i="8"/>
  <c r="Q11" i="8"/>
  <c r="P11" i="8"/>
  <c r="O11" i="8"/>
  <c r="N11" i="8"/>
  <c r="M11" i="8"/>
  <c r="L11" i="8"/>
  <c r="K11" i="8"/>
  <c r="J11" i="8"/>
  <c r="I11" i="8"/>
  <c r="H11" i="8"/>
  <c r="G11" i="8"/>
  <c r="F11" i="8"/>
  <c r="E11" i="8"/>
  <c r="D11" i="8"/>
  <c r="C11" i="8"/>
  <c r="B11" i="8"/>
  <c r="A11" i="8"/>
  <c r="AR10" i="8"/>
  <c r="AQ10" i="8"/>
  <c r="AP10" i="8"/>
  <c r="AO10" i="8"/>
  <c r="AN10" i="8"/>
  <c r="AM10" i="8"/>
  <c r="AL10" i="8"/>
  <c r="AK10" i="8"/>
  <c r="AJ10" i="8"/>
  <c r="AI10" i="8"/>
  <c r="AH10" i="8"/>
  <c r="AG10" i="8"/>
  <c r="AF10" i="8"/>
  <c r="AE10" i="8"/>
  <c r="AD10" i="8"/>
  <c r="AC10" i="8"/>
  <c r="AB10" i="8"/>
  <c r="AA10" i="8"/>
  <c r="Z10" i="8"/>
  <c r="Y10" i="8"/>
  <c r="X10" i="8"/>
  <c r="W10" i="8"/>
  <c r="V10" i="8"/>
  <c r="U10" i="8"/>
  <c r="T10" i="8"/>
  <c r="S10" i="8"/>
  <c r="R10" i="8"/>
  <c r="Q10" i="8"/>
  <c r="P10" i="8"/>
  <c r="O10" i="8"/>
  <c r="N10" i="8"/>
  <c r="M10" i="8"/>
  <c r="L10" i="8"/>
  <c r="K10" i="8"/>
  <c r="J10" i="8"/>
  <c r="I10" i="8"/>
  <c r="H10" i="8"/>
  <c r="G10" i="8"/>
  <c r="F10" i="8"/>
  <c r="E10" i="8"/>
  <c r="D10" i="8"/>
  <c r="C10" i="8"/>
  <c r="B10" i="8"/>
  <c r="A10" i="8"/>
  <c r="AR9" i="8"/>
  <c r="AQ9" i="8"/>
  <c r="AP9" i="8"/>
  <c r="AO9" i="8"/>
  <c r="AN9" i="8"/>
  <c r="AM9" i="8"/>
  <c r="AL9" i="8"/>
  <c r="AK9" i="8"/>
  <c r="AJ9" i="8"/>
  <c r="AI9" i="8"/>
  <c r="AH9" i="8"/>
  <c r="AG9" i="8"/>
  <c r="AF9" i="8"/>
  <c r="AE9" i="8"/>
  <c r="AD9" i="8"/>
  <c r="AC9" i="8"/>
  <c r="AB9" i="8"/>
  <c r="AA9" i="8"/>
  <c r="Z9" i="8"/>
  <c r="Y9" i="8"/>
  <c r="X9" i="8"/>
  <c r="W9" i="8"/>
  <c r="V9" i="8"/>
  <c r="U9" i="8"/>
  <c r="T9" i="8"/>
  <c r="S9" i="8"/>
  <c r="R9" i="8"/>
  <c r="Q9" i="8"/>
  <c r="P9" i="8"/>
  <c r="O9" i="8"/>
  <c r="N9" i="8"/>
  <c r="M9" i="8"/>
  <c r="L9" i="8"/>
  <c r="K9" i="8"/>
  <c r="J9" i="8"/>
  <c r="I9" i="8"/>
  <c r="H9" i="8"/>
  <c r="G9" i="8"/>
  <c r="F9" i="8"/>
  <c r="E9" i="8"/>
  <c r="D9" i="8"/>
  <c r="C9" i="8"/>
  <c r="B9" i="8"/>
  <c r="A9" i="8"/>
  <c r="AR8" i="8"/>
  <c r="AQ8" i="8"/>
  <c r="AP8" i="8"/>
  <c r="AO8" i="8"/>
  <c r="AN8" i="8"/>
  <c r="AM8" i="8"/>
  <c r="AL8" i="8"/>
  <c r="AK8" i="8"/>
  <c r="AJ8" i="8"/>
  <c r="AI8" i="8"/>
  <c r="AH8" i="8"/>
  <c r="AG8" i="8"/>
  <c r="AF8" i="8"/>
  <c r="AE8" i="8"/>
  <c r="AD8" i="8"/>
  <c r="AC8" i="8"/>
  <c r="AB8" i="8"/>
  <c r="AA8" i="8"/>
  <c r="Z8" i="8"/>
  <c r="Y8" i="8"/>
  <c r="X8" i="8"/>
  <c r="W8" i="8"/>
  <c r="V8" i="8"/>
  <c r="U8" i="8"/>
  <c r="T8" i="8"/>
  <c r="S8" i="8"/>
  <c r="R8" i="8"/>
  <c r="Q8" i="8"/>
  <c r="P8" i="8"/>
  <c r="O8" i="8"/>
  <c r="N8" i="8"/>
  <c r="M8" i="8"/>
  <c r="L8" i="8"/>
  <c r="K8" i="8"/>
  <c r="J8" i="8"/>
  <c r="I8" i="8"/>
  <c r="H8" i="8"/>
  <c r="G8" i="8"/>
  <c r="F8" i="8"/>
  <c r="E8" i="8"/>
  <c r="D8" i="8"/>
  <c r="C8" i="8"/>
  <c r="B8" i="8"/>
  <c r="A8" i="8"/>
  <c r="AR7" i="8"/>
  <c r="AQ7" i="8"/>
  <c r="AP7" i="8"/>
  <c r="AO7" i="8"/>
  <c r="AN7" i="8"/>
  <c r="AM7" i="8"/>
  <c r="AL7" i="8"/>
  <c r="AK7" i="8"/>
  <c r="AJ7" i="8"/>
  <c r="AI7" i="8"/>
  <c r="AH7" i="8"/>
  <c r="AG7" i="8"/>
  <c r="AF7" i="8"/>
  <c r="AE7" i="8"/>
  <c r="AD7" i="8"/>
  <c r="AC7" i="8"/>
  <c r="AB7" i="8"/>
  <c r="AA7" i="8"/>
  <c r="Z7" i="8"/>
  <c r="Y7" i="8"/>
  <c r="X7" i="8"/>
  <c r="W7" i="8"/>
  <c r="V7" i="8"/>
  <c r="U7" i="8"/>
  <c r="T7" i="8"/>
  <c r="S7" i="8"/>
  <c r="R7" i="8"/>
  <c r="Q7" i="8"/>
  <c r="P7" i="8"/>
  <c r="O7" i="8"/>
  <c r="N7" i="8"/>
  <c r="M7" i="8"/>
  <c r="L7" i="8"/>
  <c r="K7" i="8"/>
  <c r="J7" i="8"/>
  <c r="I7" i="8"/>
  <c r="H7" i="8"/>
  <c r="G7" i="8"/>
  <c r="F7" i="8"/>
  <c r="E7" i="8"/>
  <c r="D7" i="8"/>
  <c r="C7" i="8"/>
  <c r="B7" i="8"/>
  <c r="A7" i="8"/>
  <c r="AR6" i="8"/>
  <c r="AQ6" i="8"/>
  <c r="AP6" i="8"/>
  <c r="AO6" i="8"/>
  <c r="AN6" i="8"/>
  <c r="AM6" i="8"/>
  <c r="AL6" i="8"/>
  <c r="AK6" i="8"/>
  <c r="AJ6" i="8"/>
  <c r="AI6" i="8"/>
  <c r="AH6" i="8"/>
  <c r="AG6" i="8"/>
  <c r="AF6" i="8"/>
  <c r="AE6" i="8"/>
  <c r="AD6" i="8"/>
  <c r="AC6" i="8"/>
  <c r="AB6" i="8"/>
  <c r="AA6" i="8"/>
  <c r="Z6" i="8"/>
  <c r="Y6" i="8"/>
  <c r="X6" i="8"/>
  <c r="W6" i="8"/>
  <c r="V6" i="8"/>
  <c r="U6" i="8"/>
  <c r="T6" i="8"/>
  <c r="S6" i="8"/>
  <c r="R6" i="8"/>
  <c r="Q6" i="8"/>
  <c r="P6" i="8"/>
  <c r="O6" i="8"/>
  <c r="N6" i="8"/>
  <c r="M6" i="8"/>
  <c r="L6" i="8"/>
  <c r="K6" i="8"/>
  <c r="J6" i="8"/>
  <c r="I6" i="8"/>
  <c r="H6" i="8"/>
  <c r="G6" i="8"/>
  <c r="F6" i="8"/>
  <c r="E6" i="8"/>
  <c r="D6" i="8"/>
  <c r="C6" i="8"/>
  <c r="B6" i="8"/>
  <c r="A6" i="8"/>
  <c r="AR5" i="8"/>
  <c r="AQ5" i="8"/>
  <c r="AP5" i="8"/>
  <c r="AO5" i="8"/>
  <c r="AN5" i="8"/>
  <c r="AM5" i="8"/>
  <c r="AL5" i="8"/>
  <c r="AK5" i="8"/>
  <c r="AJ5" i="8"/>
  <c r="AI5" i="8"/>
  <c r="AH5" i="8"/>
  <c r="AG5" i="8"/>
  <c r="AF5" i="8"/>
  <c r="AE5" i="8"/>
  <c r="AD5" i="8"/>
  <c r="AC5" i="8"/>
  <c r="AB5" i="8"/>
  <c r="AA5" i="8"/>
  <c r="Z5" i="8"/>
  <c r="Y5" i="8"/>
  <c r="X5" i="8"/>
  <c r="W5" i="8"/>
  <c r="V5" i="8"/>
  <c r="U5" i="8"/>
  <c r="T5" i="8"/>
  <c r="S5" i="8"/>
  <c r="R5" i="8"/>
  <c r="Q5" i="8"/>
  <c r="P5" i="8"/>
  <c r="O5" i="8"/>
  <c r="N5" i="8"/>
  <c r="M5" i="8"/>
  <c r="L5" i="8"/>
  <c r="K5" i="8"/>
  <c r="J5" i="8"/>
  <c r="I5" i="8"/>
  <c r="H5" i="8"/>
  <c r="G5" i="8"/>
  <c r="F5" i="8"/>
  <c r="E5" i="8"/>
  <c r="D5" i="8"/>
  <c r="C5" i="8"/>
  <c r="B5" i="8"/>
  <c r="A5" i="8"/>
  <c r="A3" i="20"/>
  <c r="C2" i="25"/>
  <c r="B2" i="25"/>
  <c r="A2" i="12"/>
  <c r="E1" i="12"/>
  <c r="C1" i="12"/>
  <c r="B4" i="24"/>
  <c r="A4" i="24"/>
  <c r="K4" i="13"/>
  <c r="J4" i="13"/>
  <c r="I4" i="13"/>
  <c r="H4" i="13"/>
  <c r="G4" i="13"/>
  <c r="F4" i="13"/>
  <c r="E4" i="13"/>
  <c r="D4" i="13"/>
  <c r="C4" i="13"/>
  <c r="B4" i="13"/>
  <c r="A4" i="13"/>
  <c r="V3" i="13"/>
  <c r="L3" i="13"/>
  <c r="K3" i="13"/>
  <c r="J3" i="13"/>
  <c r="I3" i="13"/>
  <c r="H3" i="13"/>
  <c r="G3" i="13"/>
  <c r="F3" i="13"/>
  <c r="E3" i="13"/>
  <c r="D3" i="13"/>
  <c r="C3" i="13"/>
  <c r="B3" i="13"/>
  <c r="A3" i="13"/>
  <c r="L2" i="13"/>
  <c r="A2" i="13"/>
  <c r="E101" i="29"/>
  <c r="E100" i="29"/>
  <c r="E99" i="29"/>
  <c r="E98" i="29"/>
  <c r="E97" i="29"/>
  <c r="E96" i="29"/>
  <c r="E95" i="29"/>
  <c r="E94" i="29"/>
  <c r="E93" i="29"/>
  <c r="E92" i="29"/>
  <c r="E91" i="29"/>
  <c r="E90" i="29"/>
  <c r="E89" i="29"/>
  <c r="E88" i="29"/>
  <c r="E87" i="29"/>
  <c r="E86" i="29"/>
  <c r="E85" i="29"/>
  <c r="E84" i="29"/>
  <c r="E83" i="29"/>
  <c r="E82" i="29"/>
  <c r="E81" i="29"/>
  <c r="E80" i="29"/>
  <c r="E79" i="29"/>
  <c r="E78" i="29"/>
  <c r="E77" i="29"/>
  <c r="E76" i="29"/>
  <c r="E75" i="29"/>
  <c r="E74" i="29"/>
  <c r="E73" i="29"/>
  <c r="E72" i="29"/>
  <c r="E71" i="29"/>
  <c r="B71" i="29"/>
  <c r="E70" i="29"/>
  <c r="E69" i="29"/>
  <c r="E68" i="29"/>
  <c r="E67" i="29"/>
  <c r="E66" i="29"/>
  <c r="E65" i="29"/>
  <c r="E64" i="29"/>
  <c r="E63" i="29"/>
  <c r="E62" i="29"/>
  <c r="E61" i="29"/>
  <c r="E60" i="29"/>
  <c r="E59" i="29"/>
  <c r="E58" i="29"/>
  <c r="E57" i="29"/>
  <c r="E56" i="29"/>
  <c r="E55" i="29"/>
  <c r="E54" i="29"/>
  <c r="E53" i="29"/>
  <c r="E52" i="29"/>
  <c r="E51" i="29"/>
  <c r="E50" i="29"/>
  <c r="E49" i="29"/>
  <c r="E48" i="29"/>
  <c r="E47" i="29"/>
  <c r="E46" i="29"/>
  <c r="E45" i="29"/>
  <c r="E44" i="29"/>
  <c r="E43" i="29"/>
  <c r="E42" i="29"/>
  <c r="E41" i="29"/>
  <c r="E40" i="29"/>
  <c r="E39" i="29"/>
  <c r="E38" i="29"/>
  <c r="E37" i="29"/>
  <c r="E36" i="29"/>
  <c r="E35" i="29"/>
  <c r="E34" i="29"/>
  <c r="E33" i="29"/>
  <c r="E32" i="29"/>
  <c r="E31" i="29"/>
  <c r="E30" i="29"/>
  <c r="E29" i="29"/>
  <c r="E28" i="29"/>
  <c r="E27" i="29"/>
  <c r="E26" i="29"/>
  <c r="E25" i="29"/>
  <c r="E24" i="29"/>
  <c r="E23" i="29"/>
  <c r="E22" i="29"/>
  <c r="E21" i="29"/>
  <c r="E20" i="29"/>
  <c r="E19" i="29"/>
  <c r="E18" i="29"/>
  <c r="E17" i="29"/>
  <c r="E16" i="29"/>
  <c r="E15" i="29"/>
  <c r="E14" i="29"/>
  <c r="E13" i="29"/>
  <c r="E12" i="29"/>
  <c r="E11" i="29"/>
  <c r="E10" i="29"/>
  <c r="E9" i="29"/>
  <c r="E8" i="29"/>
  <c r="E7" i="29"/>
  <c r="E6" i="29"/>
  <c r="E5" i="29"/>
  <c r="E4" i="29"/>
  <c r="E3" i="29"/>
  <c r="E2" i="29"/>
  <c r="B24" i="3"/>
  <c r="B11" i="3"/>
  <c r="B60" i="29" s="1"/>
  <c r="C10" i="3"/>
  <c r="C9" i="3"/>
  <c r="E7" i="3"/>
  <c r="C5" i="3"/>
  <c r="W354" i="1"/>
  <c r="U354" i="1"/>
  <c r="J354" i="1"/>
  <c r="B354" i="1"/>
  <c r="W353" i="1"/>
  <c r="U353" i="1"/>
  <c r="J353" i="1"/>
  <c r="B353" i="1"/>
  <c r="W352" i="1"/>
  <c r="U352" i="1"/>
  <c r="J352" i="1"/>
  <c r="B352" i="1"/>
  <c r="W351" i="1"/>
  <c r="U351" i="1"/>
  <c r="J351" i="1"/>
  <c r="B351" i="1"/>
  <c r="W350" i="1"/>
  <c r="U350" i="1"/>
  <c r="J350" i="1"/>
  <c r="B350" i="1"/>
  <c r="W349" i="1"/>
  <c r="U349" i="1"/>
  <c r="J349" i="1"/>
  <c r="B349" i="1"/>
  <c r="W348" i="1"/>
  <c r="U348" i="1"/>
  <c r="J348" i="1"/>
  <c r="B348" i="1"/>
  <c r="W347" i="1"/>
  <c r="U347" i="1"/>
  <c r="J347" i="1"/>
  <c r="B347" i="1"/>
  <c r="W346" i="1"/>
  <c r="U346" i="1"/>
  <c r="J346" i="1"/>
  <c r="B346" i="1"/>
  <c r="W345" i="1"/>
  <c r="U345" i="1"/>
  <c r="J345" i="1"/>
  <c r="B345" i="1"/>
  <c r="W344" i="1"/>
  <c r="U344" i="1"/>
  <c r="J344" i="1"/>
  <c r="B344" i="1"/>
  <c r="W343" i="1"/>
  <c r="U343" i="1"/>
  <c r="J343" i="1"/>
  <c r="B343" i="1"/>
  <c r="W342" i="1"/>
  <c r="U342" i="1"/>
  <c r="J342" i="1"/>
  <c r="B342" i="1"/>
  <c r="W341" i="1"/>
  <c r="U341" i="1"/>
  <c r="J341" i="1"/>
  <c r="B341" i="1"/>
  <c r="W340" i="1"/>
  <c r="U340" i="1"/>
  <c r="J340" i="1"/>
  <c r="B340" i="1"/>
  <c r="W339" i="1"/>
  <c r="U339" i="1"/>
  <c r="J339" i="1"/>
  <c r="B339" i="1"/>
  <c r="W338" i="1"/>
  <c r="U338" i="1"/>
  <c r="J338" i="1"/>
  <c r="B338" i="1"/>
  <c r="W337" i="1"/>
  <c r="U337" i="1"/>
  <c r="J337" i="1"/>
  <c r="B337" i="1"/>
  <c r="W336" i="1"/>
  <c r="U336" i="1"/>
  <c r="J336" i="1"/>
  <c r="B336" i="1"/>
  <c r="W335" i="1"/>
  <c r="U335" i="1"/>
  <c r="J335" i="1"/>
  <c r="B335" i="1"/>
  <c r="W334" i="1"/>
  <c r="U334" i="1"/>
  <c r="J334" i="1"/>
  <c r="B334" i="1"/>
  <c r="W333" i="1"/>
  <c r="U333" i="1"/>
  <c r="J333" i="1"/>
  <c r="B333" i="1"/>
  <c r="W332" i="1"/>
  <c r="U332" i="1"/>
  <c r="J332" i="1"/>
  <c r="B332" i="1"/>
  <c r="W331" i="1"/>
  <c r="U331" i="1"/>
  <c r="J331" i="1"/>
  <c r="B331" i="1"/>
  <c r="W330" i="1"/>
  <c r="U330" i="1"/>
  <c r="J330" i="1"/>
  <c r="B330" i="1"/>
  <c r="W329" i="1"/>
  <c r="U329" i="1"/>
  <c r="J329" i="1"/>
  <c r="B329" i="1"/>
  <c r="W328" i="1"/>
  <c r="U328" i="1"/>
  <c r="J328" i="1"/>
  <c r="B328" i="1"/>
  <c r="W327" i="1"/>
  <c r="U327" i="1"/>
  <c r="J327" i="1"/>
  <c r="B327" i="1"/>
  <c r="W326" i="1"/>
  <c r="U326" i="1"/>
  <c r="J326" i="1"/>
  <c r="B326" i="1"/>
  <c r="W325" i="1"/>
  <c r="U325" i="1"/>
  <c r="J325" i="1"/>
  <c r="B325" i="1"/>
  <c r="W324" i="1"/>
  <c r="U324" i="1"/>
  <c r="J324" i="1"/>
  <c r="B324" i="1"/>
  <c r="W323" i="1"/>
  <c r="U323" i="1"/>
  <c r="J323" i="1"/>
  <c r="B323" i="1"/>
  <c r="W322" i="1"/>
  <c r="U322" i="1"/>
  <c r="J322" i="1"/>
  <c r="B322" i="1"/>
  <c r="W321" i="1"/>
  <c r="U321" i="1"/>
  <c r="J321" i="1"/>
  <c r="W320" i="1"/>
  <c r="U320" i="1"/>
  <c r="W319" i="1"/>
  <c r="U319" i="1"/>
  <c r="W318" i="1"/>
  <c r="U318" i="1"/>
  <c r="W317" i="1"/>
  <c r="U317" i="1"/>
  <c r="W316" i="1"/>
  <c r="U316" i="1"/>
  <c r="W315" i="1"/>
  <c r="U315" i="1"/>
  <c r="W314" i="1"/>
  <c r="U314" i="1"/>
  <c r="W313" i="1"/>
  <c r="U313" i="1"/>
  <c r="W312" i="1"/>
  <c r="U312" i="1"/>
  <c r="W311" i="1"/>
  <c r="U311" i="1"/>
  <c r="W310" i="1"/>
  <c r="U310" i="1"/>
  <c r="W309" i="1"/>
  <c r="U309" i="1"/>
  <c r="W308" i="1"/>
  <c r="U308" i="1"/>
  <c r="W307" i="1"/>
  <c r="U307" i="1"/>
  <c r="W306" i="1"/>
  <c r="U306" i="1"/>
  <c r="W305" i="1"/>
  <c r="U305" i="1"/>
  <c r="W304" i="1"/>
  <c r="U304" i="1"/>
  <c r="W303" i="1"/>
  <c r="U303" i="1"/>
  <c r="W302" i="1"/>
  <c r="U302" i="1"/>
  <c r="W301" i="1"/>
  <c r="U301" i="1"/>
  <c r="W300" i="1"/>
  <c r="U300" i="1"/>
  <c r="W299" i="1"/>
  <c r="U299" i="1"/>
  <c r="W298" i="1"/>
  <c r="U298" i="1"/>
  <c r="W297" i="1"/>
  <c r="U297" i="1"/>
  <c r="W296" i="1"/>
  <c r="U296" i="1"/>
  <c r="BE295" i="1"/>
  <c r="AU295" i="1"/>
  <c r="AK295" i="1"/>
  <c r="AC295" i="1"/>
  <c r="X295" i="1"/>
  <c r="W295" i="1"/>
  <c r="BE294" i="1"/>
  <c r="AU294" i="1"/>
  <c r="AK294" i="1"/>
  <c r="AC294" i="1"/>
  <c r="X294" i="1"/>
  <c r="BE293" i="1"/>
  <c r="AU293" i="1"/>
  <c r="AK293" i="1"/>
  <c r="AC293" i="1"/>
  <c r="X293" i="1"/>
  <c r="BE292" i="1"/>
  <c r="AU292" i="1"/>
  <c r="AK292" i="1"/>
  <c r="AC292" i="1"/>
  <c r="X292" i="1"/>
  <c r="W291" i="1"/>
  <c r="U291" i="1"/>
  <c r="W290" i="1"/>
  <c r="U290" i="1"/>
  <c r="W289" i="1"/>
  <c r="W288" i="1"/>
  <c r="W287" i="1"/>
  <c r="W286" i="1"/>
  <c r="W285" i="1"/>
  <c r="U285" i="1"/>
  <c r="W284" i="1"/>
  <c r="U284" i="1"/>
  <c r="W283" i="1"/>
  <c r="U283" i="1"/>
  <c r="W282" i="1"/>
  <c r="U282" i="1"/>
  <c r="W281" i="1"/>
  <c r="U281" i="1"/>
  <c r="W280" i="1"/>
  <c r="U280" i="1"/>
  <c r="W279" i="1"/>
  <c r="U279" i="1"/>
  <c r="W278" i="1"/>
  <c r="U278" i="1"/>
  <c r="W277" i="1"/>
  <c r="U277" i="1"/>
  <c r="W276" i="1"/>
  <c r="U276" i="1"/>
  <c r="W275" i="1"/>
  <c r="U275" i="1"/>
  <c r="W274" i="1"/>
  <c r="W273" i="1"/>
  <c r="U273" i="1"/>
  <c r="W272" i="1"/>
  <c r="W271" i="1"/>
  <c r="W270" i="1"/>
  <c r="W269" i="1"/>
  <c r="W268" i="1"/>
  <c r="W267" i="1"/>
  <c r="W266" i="1"/>
  <c r="U265" i="1"/>
  <c r="W264" i="1"/>
  <c r="U264" i="1"/>
  <c r="W263" i="1"/>
  <c r="U263" i="1"/>
  <c r="W262" i="1"/>
  <c r="U262" i="1"/>
  <c r="AU261" i="1"/>
  <c r="X261" i="1"/>
  <c r="W261" i="1"/>
  <c r="AU260" i="1"/>
  <c r="X260" i="1"/>
  <c r="AU259" i="1"/>
  <c r="W259" i="1" s="1"/>
  <c r="X259" i="1"/>
  <c r="AU258" i="1"/>
  <c r="X258" i="1"/>
  <c r="AU257" i="1"/>
  <c r="X257" i="1"/>
  <c r="W257" i="1"/>
  <c r="AU256" i="1"/>
  <c r="X256" i="1"/>
  <c r="W255" i="1"/>
  <c r="U255" i="1"/>
  <c r="BE254" i="1"/>
  <c r="AU254" i="1"/>
  <c r="AK254" i="1"/>
  <c r="AB254" i="1"/>
  <c r="X254" i="1"/>
  <c r="BE253" i="1"/>
  <c r="AU253" i="1"/>
  <c r="AK253" i="1"/>
  <c r="AB253" i="1"/>
  <c r="X253" i="1"/>
  <c r="BE252" i="1"/>
  <c r="AU252" i="1"/>
  <c r="AK252" i="1"/>
  <c r="AB252" i="1"/>
  <c r="X252" i="1"/>
  <c r="W252" i="1"/>
  <c r="BE251" i="1"/>
  <c r="AU251" i="1"/>
  <c r="AK251" i="1"/>
  <c r="AB251" i="1"/>
  <c r="X251" i="1"/>
  <c r="BE250" i="1"/>
  <c r="AU250" i="1"/>
  <c r="AK250" i="1"/>
  <c r="AB250" i="1"/>
  <c r="X250" i="1"/>
  <c r="BE249" i="1"/>
  <c r="AU249" i="1"/>
  <c r="AK249" i="1"/>
  <c r="AB249" i="1"/>
  <c r="X249" i="1"/>
  <c r="W249" i="1"/>
  <c r="BE248" i="1"/>
  <c r="AU248" i="1"/>
  <c r="AK248" i="1"/>
  <c r="AB248" i="1"/>
  <c r="X248" i="1"/>
  <c r="BE247" i="1"/>
  <c r="AU247" i="1"/>
  <c r="AK247" i="1"/>
  <c r="AB247" i="1"/>
  <c r="X247" i="1"/>
  <c r="BE246" i="1"/>
  <c r="AU246" i="1"/>
  <c r="AK246" i="1"/>
  <c r="AB246" i="1"/>
  <c r="X246" i="1"/>
  <c r="BE245" i="1"/>
  <c r="AU245" i="1"/>
  <c r="AK245" i="1"/>
  <c r="AB245" i="1"/>
  <c r="W245" i="1" s="1"/>
  <c r="X245" i="1"/>
  <c r="W244" i="1"/>
  <c r="W243" i="1"/>
  <c r="W242" i="1"/>
  <c r="W241" i="1"/>
  <c r="W240" i="1"/>
  <c r="W239" i="1"/>
  <c r="W238" i="1"/>
  <c r="U238" i="1"/>
  <c r="W237" i="1"/>
  <c r="U237" i="1"/>
  <c r="W236" i="1"/>
  <c r="U236" i="1"/>
  <c r="W235" i="1"/>
  <c r="U235" i="1"/>
  <c r="W234" i="1"/>
  <c r="U234" i="1"/>
  <c r="W233" i="1"/>
  <c r="U233" i="1"/>
  <c r="W232" i="1"/>
  <c r="U232" i="1"/>
  <c r="W231" i="1"/>
  <c r="U231" i="1"/>
  <c r="W230" i="1"/>
  <c r="U230" i="1"/>
  <c r="W229" i="1"/>
  <c r="U229" i="1"/>
  <c r="W228" i="1"/>
  <c r="U228" i="1"/>
  <c r="W227" i="1"/>
  <c r="U227" i="1"/>
  <c r="W226" i="1"/>
  <c r="U226" i="1"/>
  <c r="W225" i="1"/>
  <c r="U225" i="1"/>
  <c r="W224" i="1"/>
  <c r="U224" i="1"/>
  <c r="W223" i="1"/>
  <c r="U223" i="1"/>
  <c r="W222" i="1"/>
  <c r="U222" i="1"/>
  <c r="W221" i="1"/>
  <c r="U221" i="1"/>
  <c r="W220" i="1"/>
  <c r="U220" i="1"/>
  <c r="W219" i="1"/>
  <c r="U219" i="1"/>
  <c r="W218" i="1"/>
  <c r="U218" i="1"/>
  <c r="W217" i="1"/>
  <c r="U217" i="1"/>
  <c r="W216" i="1"/>
  <c r="W215" i="1"/>
  <c r="W214" i="1"/>
  <c r="W213" i="1"/>
  <c r="W212" i="1"/>
  <c r="W211" i="1"/>
  <c r="W210" i="1"/>
  <c r="W209" i="1"/>
  <c r="W208" i="1"/>
  <c r="W207" i="1"/>
  <c r="W206" i="1"/>
  <c r="W205" i="1"/>
  <c r="W204" i="1"/>
  <c r="W203" i="1"/>
  <c r="W202" i="1"/>
  <c r="W201" i="1"/>
  <c r="W200" i="1"/>
  <c r="U200" i="1"/>
  <c r="W199" i="1"/>
  <c r="U199" i="1"/>
  <c r="J199" i="1"/>
  <c r="C199" i="1"/>
  <c r="W198" i="1"/>
  <c r="U198" i="1"/>
  <c r="W197" i="1"/>
  <c r="U197" i="1"/>
  <c r="W196" i="1"/>
  <c r="U196" i="1"/>
  <c r="C196" i="1"/>
  <c r="J196" i="1" s="1"/>
  <c r="W195" i="1"/>
  <c r="U195" i="1"/>
  <c r="C195" i="1"/>
  <c r="J195" i="1" s="1"/>
  <c r="W194" i="1"/>
  <c r="U194" i="1"/>
  <c r="C194" i="1"/>
  <c r="J194" i="1" s="1"/>
  <c r="W193" i="1"/>
  <c r="U193" i="1"/>
  <c r="W192" i="1"/>
  <c r="U192" i="1"/>
  <c r="W191" i="1"/>
  <c r="U191" i="1"/>
  <c r="C191" i="1"/>
  <c r="J191" i="1" s="1"/>
  <c r="W190" i="1"/>
  <c r="U190" i="1"/>
  <c r="W189" i="1"/>
  <c r="U189" i="1"/>
  <c r="C189" i="1"/>
  <c r="J189" i="1" s="1"/>
  <c r="W188" i="1"/>
  <c r="U188" i="1"/>
  <c r="C188" i="1"/>
  <c r="J188" i="1" s="1"/>
  <c r="W187" i="1"/>
  <c r="U187" i="1"/>
  <c r="W186" i="1"/>
  <c r="U186" i="1"/>
  <c r="W185" i="1"/>
  <c r="U185" i="1"/>
  <c r="C185" i="1"/>
  <c r="J185" i="1" s="1"/>
  <c r="W184" i="1"/>
  <c r="U184" i="1"/>
  <c r="W183" i="1"/>
  <c r="U183" i="1"/>
  <c r="C183" i="1"/>
  <c r="J183" i="1" s="1"/>
  <c r="W182" i="1"/>
  <c r="U182" i="1"/>
  <c r="J182" i="1"/>
  <c r="C182" i="1"/>
  <c r="W181" i="1"/>
  <c r="U181" i="1"/>
  <c r="W180" i="1"/>
  <c r="U180" i="1"/>
  <c r="C180" i="1"/>
  <c r="J180" i="1" s="1"/>
  <c r="W179" i="1"/>
  <c r="U179" i="1"/>
  <c r="C179" i="1"/>
  <c r="J179" i="1" s="1"/>
  <c r="W178" i="1"/>
  <c r="U178" i="1"/>
  <c r="W177" i="1"/>
  <c r="U177" i="1"/>
  <c r="W176" i="1"/>
  <c r="U176" i="1"/>
  <c r="C176" i="1"/>
  <c r="J176" i="1" s="1"/>
  <c r="W175" i="1"/>
  <c r="U175" i="1"/>
  <c r="W174" i="1"/>
  <c r="U174" i="1"/>
  <c r="W173" i="1"/>
  <c r="U173" i="1"/>
  <c r="C173" i="1"/>
  <c r="J173" i="1" s="1"/>
  <c r="W172" i="1"/>
  <c r="U172" i="1"/>
  <c r="J172" i="1"/>
  <c r="C172" i="1"/>
  <c r="W171" i="1"/>
  <c r="U171" i="1"/>
  <c r="C171" i="1"/>
  <c r="J171" i="1" s="1"/>
  <c r="W170" i="1"/>
  <c r="U170" i="1"/>
  <c r="W169" i="1"/>
  <c r="U169" i="1"/>
  <c r="W168" i="1"/>
  <c r="U168" i="1"/>
  <c r="W167" i="1"/>
  <c r="U167" i="1"/>
  <c r="W166" i="1"/>
  <c r="U166" i="1"/>
  <c r="J166" i="1"/>
  <c r="C166" i="1"/>
  <c r="W165" i="1"/>
  <c r="U165" i="1"/>
  <c r="C165" i="1"/>
  <c r="J165" i="1" s="1"/>
  <c r="W164" i="1"/>
  <c r="U164" i="1"/>
  <c r="W163" i="1"/>
  <c r="C163" i="1"/>
  <c r="J163" i="1" s="1"/>
  <c r="W162" i="1"/>
  <c r="U162" i="1"/>
  <c r="W161" i="1"/>
  <c r="U161" i="1"/>
  <c r="W160" i="1"/>
  <c r="U160" i="1"/>
  <c r="C160" i="1"/>
  <c r="J160" i="1" s="1"/>
  <c r="W159" i="1"/>
  <c r="U159" i="1"/>
  <c r="W158" i="1"/>
  <c r="C158" i="1"/>
  <c r="J158" i="1" s="1"/>
  <c r="W157" i="1"/>
  <c r="C157" i="1"/>
  <c r="J157" i="1" s="1"/>
  <c r="W156" i="1"/>
  <c r="W155" i="1"/>
  <c r="C155" i="1"/>
  <c r="J155" i="1" s="1"/>
  <c r="W154" i="1"/>
  <c r="W153" i="1"/>
  <c r="W152" i="1"/>
  <c r="U152" i="1"/>
  <c r="W151" i="1"/>
  <c r="U151" i="1"/>
  <c r="W150" i="1"/>
  <c r="U150" i="1"/>
  <c r="C150" i="1"/>
  <c r="J150" i="1" s="1"/>
  <c r="W149" i="1"/>
  <c r="U149" i="1"/>
  <c r="W148" i="1"/>
  <c r="U148" i="1"/>
  <c r="C148" i="1"/>
  <c r="J148" i="1" s="1"/>
  <c r="W147" i="1"/>
  <c r="C147" i="1"/>
  <c r="J147" i="1" s="1"/>
  <c r="W146" i="1"/>
  <c r="U146" i="1"/>
  <c r="W145" i="1"/>
  <c r="W144" i="1"/>
  <c r="U144" i="1"/>
  <c r="W143" i="1"/>
  <c r="U143" i="1"/>
  <c r="W142" i="1"/>
  <c r="U142" i="1"/>
  <c r="C142" i="1"/>
  <c r="J142" i="1" s="1"/>
  <c r="W141" i="1"/>
  <c r="U141" i="1"/>
  <c r="W140" i="1"/>
  <c r="U140" i="1"/>
  <c r="W139" i="1"/>
  <c r="U139" i="1"/>
  <c r="W138" i="1"/>
  <c r="U138" i="1"/>
  <c r="W137" i="1"/>
  <c r="U137" i="1"/>
  <c r="C137" i="1"/>
  <c r="J137" i="1" s="1"/>
  <c r="W136" i="1"/>
  <c r="U136" i="1"/>
  <c r="W135" i="1"/>
  <c r="U135" i="1"/>
  <c r="W134" i="1"/>
  <c r="U134" i="1"/>
  <c r="W133" i="1"/>
  <c r="U133" i="1"/>
  <c r="W132" i="1"/>
  <c r="U132" i="1"/>
  <c r="W131" i="1"/>
  <c r="U131" i="1"/>
  <c r="W130" i="1"/>
  <c r="U130" i="1"/>
  <c r="C130" i="1"/>
  <c r="J130" i="1" s="1"/>
  <c r="W129" i="1"/>
  <c r="U129" i="1"/>
  <c r="W128" i="1"/>
  <c r="W127" i="1"/>
  <c r="W126" i="1"/>
  <c r="W125" i="1"/>
  <c r="W124" i="1"/>
  <c r="W123" i="1"/>
  <c r="W122" i="1"/>
  <c r="U122" i="1"/>
  <c r="W121" i="1"/>
  <c r="U121" i="1"/>
  <c r="W120" i="1"/>
  <c r="U120" i="1"/>
  <c r="W119" i="1"/>
  <c r="U119" i="1"/>
  <c r="W118" i="1"/>
  <c r="U118" i="1"/>
  <c r="W117" i="1"/>
  <c r="U117" i="1"/>
  <c r="W116" i="1"/>
  <c r="U116" i="1"/>
  <c r="C116" i="1"/>
  <c r="J116" i="1" s="1"/>
  <c r="W115" i="1"/>
  <c r="U115" i="1"/>
  <c r="C115" i="1"/>
  <c r="J115" i="1" s="1"/>
  <c r="W114" i="1"/>
  <c r="U114" i="1"/>
  <c r="W113" i="1"/>
  <c r="U113" i="1"/>
  <c r="W112" i="1"/>
  <c r="U112" i="1"/>
  <c r="W111" i="1"/>
  <c r="U111" i="1"/>
  <c r="W110" i="1"/>
  <c r="U110" i="1"/>
  <c r="W109" i="1"/>
  <c r="U109" i="1"/>
  <c r="W108" i="1"/>
  <c r="U108" i="1"/>
  <c r="C108" i="1"/>
  <c r="J108" i="1" s="1"/>
  <c r="W107" i="1"/>
  <c r="U107" i="1"/>
  <c r="W106" i="1"/>
  <c r="U106" i="1"/>
  <c r="W105" i="1"/>
  <c r="U105" i="1"/>
  <c r="W104" i="1"/>
  <c r="U104" i="1"/>
  <c r="W103" i="1"/>
  <c r="U103" i="1"/>
  <c r="W102" i="1"/>
  <c r="U102" i="1"/>
  <c r="C102" i="1"/>
  <c r="J102" i="1" s="1"/>
  <c r="W101" i="1"/>
  <c r="U101" i="1"/>
  <c r="W100" i="1"/>
  <c r="U100" i="1"/>
  <c r="W99" i="1"/>
  <c r="U99" i="1"/>
  <c r="W98" i="1"/>
  <c r="U98" i="1"/>
  <c r="W97" i="1"/>
  <c r="U97" i="1"/>
  <c r="W96" i="1"/>
  <c r="U96" i="1"/>
  <c r="W95" i="1"/>
  <c r="U95" i="1"/>
  <c r="C95" i="1"/>
  <c r="J95" i="1" s="1"/>
  <c r="W94" i="1"/>
  <c r="U94" i="1"/>
  <c r="W93" i="1"/>
  <c r="U93" i="1"/>
  <c r="W92" i="1"/>
  <c r="U92" i="1"/>
  <c r="W91" i="1"/>
  <c r="U91" i="1"/>
  <c r="W90" i="1"/>
  <c r="U90" i="1"/>
  <c r="W89" i="1"/>
  <c r="U89" i="1"/>
  <c r="W88" i="1"/>
  <c r="U88" i="1"/>
  <c r="W87" i="1"/>
  <c r="U87" i="1"/>
  <c r="C87" i="1"/>
  <c r="J87" i="1" s="1"/>
  <c r="W86" i="1"/>
  <c r="U86" i="1"/>
  <c r="W85" i="1"/>
  <c r="U85" i="1"/>
  <c r="W84" i="1"/>
  <c r="U84" i="1"/>
  <c r="W83" i="1"/>
  <c r="U83" i="1"/>
  <c r="W82" i="1"/>
  <c r="U82" i="1"/>
  <c r="W81" i="1"/>
  <c r="U81" i="1"/>
  <c r="W80" i="1"/>
  <c r="U80" i="1"/>
  <c r="W79" i="1"/>
  <c r="U79" i="1"/>
  <c r="W78" i="1"/>
  <c r="U78" i="1"/>
  <c r="W77" i="1"/>
  <c r="U77" i="1"/>
  <c r="W76" i="1"/>
  <c r="U76" i="1"/>
  <c r="C76" i="1"/>
  <c r="J76" i="1" s="1"/>
  <c r="W75" i="1"/>
  <c r="U75" i="1"/>
  <c r="W74" i="1"/>
  <c r="U74" i="1"/>
  <c r="W73" i="1"/>
  <c r="U73" i="1"/>
  <c r="C73" i="1"/>
  <c r="J73" i="1" s="1"/>
  <c r="W72" i="1"/>
  <c r="W71" i="1"/>
  <c r="W70" i="1"/>
  <c r="W69" i="1"/>
  <c r="C69" i="1"/>
  <c r="J69" i="1" s="1"/>
  <c r="W68" i="1"/>
  <c r="W67" i="1"/>
  <c r="W66" i="1"/>
  <c r="C66" i="1"/>
  <c r="J66" i="1" s="1"/>
  <c r="W65" i="1"/>
  <c r="W64" i="1"/>
  <c r="W63" i="1"/>
  <c r="W62" i="1"/>
  <c r="W61" i="1"/>
  <c r="W60" i="1"/>
  <c r="W59" i="1"/>
  <c r="W58" i="1"/>
  <c r="W57" i="1"/>
  <c r="W56" i="1"/>
  <c r="C56" i="1"/>
  <c r="J56" i="1" s="1"/>
  <c r="W55" i="1"/>
  <c r="U55" i="1"/>
  <c r="W54" i="1"/>
  <c r="U54" i="1"/>
  <c r="W53" i="1"/>
  <c r="U53" i="1"/>
  <c r="W52" i="1"/>
  <c r="U52" i="1"/>
  <c r="C52" i="1"/>
  <c r="J52" i="1" s="1"/>
  <c r="W51" i="1"/>
  <c r="U51" i="1"/>
  <c r="W50" i="1"/>
  <c r="U50" i="1"/>
  <c r="W49" i="1"/>
  <c r="U49" i="1"/>
  <c r="W48" i="1"/>
  <c r="U48" i="1"/>
  <c r="W47" i="1"/>
  <c r="U47" i="1"/>
  <c r="W46" i="1"/>
  <c r="U46" i="1"/>
  <c r="W45" i="1"/>
  <c r="U45" i="1"/>
  <c r="C45" i="1"/>
  <c r="J45" i="1" s="1"/>
  <c r="W44" i="1"/>
  <c r="U44" i="1"/>
  <c r="W43" i="1"/>
  <c r="U43" i="1"/>
  <c r="W42" i="1"/>
  <c r="U42" i="1"/>
  <c r="W41" i="1"/>
  <c r="U41" i="1"/>
  <c r="W40" i="1"/>
  <c r="U40" i="1"/>
  <c r="W39" i="1"/>
  <c r="U39" i="1"/>
  <c r="AO38" i="1"/>
  <c r="AH38" i="1"/>
  <c r="AG38" i="1"/>
  <c r="L36" i="8" s="1"/>
  <c r="Z38" i="1"/>
  <c r="Y38" i="1"/>
  <c r="AW37" i="1"/>
  <c r="AX37" i="1" s="1"/>
  <c r="AY37" i="1" s="1"/>
  <c r="AZ37" i="1" s="1"/>
  <c r="BA37" i="1" s="1"/>
  <c r="BB37" i="1" s="1"/>
  <c r="BC37" i="1" s="1"/>
  <c r="BD37" i="1" s="1"/>
  <c r="BE37" i="1" s="1"/>
  <c r="BF37" i="1" s="1"/>
  <c r="BG37" i="1" s="1"/>
  <c r="BH37" i="1" s="1"/>
  <c r="BI37" i="1" s="1"/>
  <c r="BJ37" i="1" s="1"/>
  <c r="BK37" i="1" s="1"/>
  <c r="BL37" i="1" s="1"/>
  <c r="AP37" i="1"/>
  <c r="AQ37" i="1" s="1"/>
  <c r="AR37" i="1" s="1"/>
  <c r="AS37" i="1" s="1"/>
  <c r="AT37" i="1" s="1"/>
  <c r="AU37" i="1" s="1"/>
  <c r="AV37" i="1" s="1"/>
  <c r="AO37" i="1"/>
  <c r="AJ37" i="1"/>
  <c r="AK37" i="1" s="1"/>
  <c r="AL37" i="1" s="1"/>
  <c r="AM37" i="1" s="1"/>
  <c r="Z37" i="1"/>
  <c r="AA37" i="1" s="1"/>
  <c r="AB37" i="1" s="1"/>
  <c r="AC37" i="1" s="1"/>
  <c r="AD37" i="1" s="1"/>
  <c r="AE37" i="1" s="1"/>
  <c r="AF37" i="1" s="1"/>
  <c r="AG37" i="1" s="1"/>
  <c r="AH37" i="1" s="1"/>
  <c r="AI37" i="1" s="1"/>
  <c r="Y37" i="1"/>
  <c r="W36" i="1"/>
  <c r="U36" i="1"/>
  <c r="AP35" i="1"/>
  <c r="AO35" i="1"/>
  <c r="T34" i="8" s="1"/>
  <c r="Y35" i="1"/>
  <c r="C35" i="1"/>
  <c r="J35" i="1" s="1"/>
  <c r="AP34" i="1"/>
  <c r="AO34" i="1"/>
  <c r="T33" i="8" s="1"/>
  <c r="AA34" i="1"/>
  <c r="Z34" i="1"/>
  <c r="E33" i="8" s="1"/>
  <c r="Y34" i="1"/>
  <c r="AP33" i="1"/>
  <c r="AO33" i="1"/>
  <c r="T32" i="8" s="1"/>
  <c r="Y33" i="1"/>
  <c r="AO32" i="1"/>
  <c r="Z32" i="1"/>
  <c r="Y32" i="1"/>
  <c r="D31" i="8" s="1"/>
  <c r="AO31" i="1"/>
  <c r="AB31" i="1"/>
  <c r="AA31" i="1"/>
  <c r="F30" i="8" s="1"/>
  <c r="Z31" i="1"/>
  <c r="Y31" i="1"/>
  <c r="D30" i="8" s="1"/>
  <c r="C31" i="1"/>
  <c r="J31" i="1" s="1"/>
  <c r="W30" i="1"/>
  <c r="U30" i="1"/>
  <c r="W29" i="1"/>
  <c r="W28" i="1"/>
  <c r="W27" i="1"/>
  <c r="U27" i="1"/>
  <c r="W26" i="1"/>
  <c r="U26" i="1"/>
  <c r="W25" i="1"/>
  <c r="U25" i="1"/>
  <c r="W24" i="1"/>
  <c r="U24" i="1"/>
  <c r="W23" i="1"/>
  <c r="W22" i="1"/>
  <c r="W21" i="1"/>
  <c r="W20" i="1"/>
  <c r="W19" i="1"/>
  <c r="U19" i="1"/>
  <c r="W18" i="1"/>
  <c r="U18" i="1"/>
  <c r="W17" i="1"/>
  <c r="U17" i="1"/>
  <c r="J17" i="1"/>
  <c r="C17" i="1"/>
  <c r="W16" i="1"/>
  <c r="U16" i="1"/>
  <c r="W15" i="1"/>
  <c r="U15" i="1"/>
  <c r="W14" i="1"/>
  <c r="U14" i="1"/>
  <c r="W13" i="1"/>
  <c r="J13" i="1"/>
  <c r="W12" i="1"/>
  <c r="C12" i="1"/>
  <c r="J12" i="1" s="1"/>
  <c r="W11" i="1"/>
  <c r="W9" i="1"/>
  <c r="W8" i="1"/>
  <c r="J8" i="1"/>
  <c r="J7" i="1"/>
  <c r="W6" i="1"/>
  <c r="S5" i="1"/>
  <c r="Q5" i="1"/>
  <c r="O5" i="1"/>
  <c r="K5" i="1"/>
  <c r="F5" i="1"/>
  <c r="C4" i="1"/>
  <c r="B4" i="1"/>
  <c r="A4" i="1"/>
  <c r="T2" i="1"/>
  <c r="S2" i="1"/>
  <c r="R2" i="1"/>
  <c r="Q2" i="1"/>
  <c r="P2" i="1"/>
  <c r="O2" i="1"/>
  <c r="N2" i="1"/>
  <c r="M2" i="1"/>
  <c r="L2" i="1"/>
  <c r="K2" i="1"/>
  <c r="Y1" i="1"/>
  <c r="X1" i="1"/>
  <c r="U272" i="1" s="1"/>
  <c r="U1" i="1"/>
  <c r="W1" i="1" s="1"/>
  <c r="J1" i="1"/>
  <c r="H1" i="1"/>
  <c r="B155" i="5"/>
  <c r="B154" i="5"/>
  <c r="D4" i="22" s="1"/>
  <c r="B153" i="5"/>
  <c r="B148" i="5"/>
  <c r="B145" i="5"/>
  <c r="B144" i="5"/>
  <c r="B142" i="5"/>
  <c r="B140" i="5"/>
  <c r="B139" i="5"/>
  <c r="B138" i="5"/>
  <c r="B137" i="5"/>
  <c r="B136" i="5"/>
  <c r="B134" i="5"/>
  <c r="B133" i="5"/>
  <c r="B131" i="5"/>
  <c r="B130" i="5"/>
  <c r="B129" i="5"/>
  <c r="B128" i="5"/>
  <c r="B126" i="5"/>
  <c r="B125" i="5"/>
  <c r="B124" i="5"/>
  <c r="B122" i="5"/>
  <c r="B121" i="5"/>
  <c r="FK1" i="2" s="1"/>
  <c r="FK6" i="2" s="1"/>
  <c r="B120" i="5"/>
  <c r="B118" i="5"/>
  <c r="B117" i="5"/>
  <c r="C123" i="1" s="1"/>
  <c r="J123" i="1" s="1"/>
  <c r="B116" i="5"/>
  <c r="B115" i="5"/>
  <c r="B112" i="5"/>
  <c r="B111" i="5"/>
  <c r="B109" i="5"/>
  <c r="B108" i="5"/>
  <c r="B107" i="5"/>
  <c r="B106" i="5"/>
  <c r="D1" i="20" s="1"/>
  <c r="B105" i="5"/>
  <c r="B103" i="5"/>
  <c r="B101" i="5"/>
  <c r="B100" i="5"/>
  <c r="B99" i="5"/>
  <c r="B98" i="5"/>
  <c r="B97" i="5"/>
  <c r="B96" i="5"/>
  <c r="B1" i="18" s="1"/>
  <c r="B93" i="5"/>
  <c r="C257" i="7" s="1"/>
  <c r="B92" i="5"/>
  <c r="C256" i="7" s="1"/>
  <c r="B91" i="5"/>
  <c r="B90" i="5"/>
  <c r="C218" i="7" s="1"/>
  <c r="B88" i="5"/>
  <c r="B87" i="5"/>
  <c r="B86" i="5"/>
  <c r="B83" i="5"/>
  <c r="B82" i="5"/>
  <c r="B81" i="5"/>
  <c r="B80" i="5"/>
  <c r="B79" i="5"/>
  <c r="B78" i="5"/>
  <c r="B76" i="5"/>
  <c r="E6" i="23" s="1"/>
  <c r="B74" i="5"/>
  <c r="B73" i="5"/>
  <c r="K6" i="23" s="1"/>
  <c r="B72" i="5"/>
  <c r="B71" i="5"/>
  <c r="I6" i="23" s="1"/>
  <c r="B70" i="5"/>
  <c r="B68" i="5"/>
  <c r="G6" i="23" s="1"/>
  <c r="B67" i="5"/>
  <c r="B65" i="5"/>
  <c r="B64" i="5"/>
  <c r="B63" i="5"/>
  <c r="B61" i="5"/>
  <c r="B59" i="5"/>
  <c r="V6" i="2" s="1"/>
  <c r="B58" i="5"/>
  <c r="B57" i="5"/>
  <c r="EM5" i="2" s="1"/>
  <c r="B55" i="5"/>
  <c r="B54" i="5"/>
  <c r="B53" i="5"/>
  <c r="CY5" i="2" s="1"/>
  <c r="B51" i="5"/>
  <c r="FG5" i="2" s="1"/>
  <c r="B50" i="5"/>
  <c r="B49" i="5"/>
  <c r="DS5" i="2" s="1"/>
  <c r="B48" i="5"/>
  <c r="B46" i="5"/>
  <c r="B45" i="5"/>
  <c r="BY6" i="2" s="1"/>
  <c r="B43" i="5"/>
  <c r="B42" i="5"/>
  <c r="B41" i="5"/>
  <c r="B40" i="5"/>
  <c r="B39" i="5"/>
  <c r="W5" i="2" s="1"/>
  <c r="B37" i="5"/>
  <c r="B35" i="5"/>
  <c r="B34" i="5"/>
  <c r="B33" i="5"/>
  <c r="B32" i="5"/>
  <c r="GA6" i="2" s="1"/>
  <c r="B31" i="5"/>
  <c r="B30" i="5"/>
  <c r="B27" i="5"/>
  <c r="B26" i="5"/>
  <c r="B25" i="5"/>
  <c r="B24" i="5"/>
  <c r="N5" i="1" s="1"/>
  <c r="B23" i="5"/>
  <c r="B22" i="5"/>
  <c r="B21" i="5"/>
  <c r="B18" i="5"/>
  <c r="B17" i="5"/>
  <c r="B16" i="5"/>
  <c r="C236" i="7" s="1"/>
  <c r="B15" i="5"/>
  <c r="B14" i="5"/>
  <c r="B13" i="5"/>
  <c r="B11" i="5"/>
  <c r="C252" i="7" s="1"/>
  <c r="B9" i="5"/>
  <c r="B8" i="5"/>
  <c r="C253" i="7" s="1"/>
  <c r="B7" i="5"/>
  <c r="B6" i="5"/>
  <c r="B5" i="5"/>
  <c r="A1" i="1" s="1"/>
  <c r="C48" i="7" s="1"/>
  <c r="B3" i="5"/>
  <c r="A3" i="5"/>
  <c r="A2" i="5"/>
  <c r="J6" i="23"/>
  <c r="F6" i="23"/>
  <c r="B6" i="23"/>
  <c r="A6" i="23"/>
  <c r="O5" i="23"/>
  <c r="I5" i="23"/>
  <c r="G5" i="23"/>
  <c r="F5" i="23"/>
  <c r="E5" i="23"/>
  <c r="C5" i="23"/>
  <c r="A5" i="23"/>
  <c r="A2" i="23"/>
  <c r="FY6" i="2"/>
  <c r="FW6" i="2"/>
  <c r="FT6" i="2"/>
  <c r="FQ6" i="2"/>
  <c r="FC6" i="2"/>
  <c r="EZ6" i="2"/>
  <c r="EK6" i="2"/>
  <c r="EJ6" i="2"/>
  <c r="EH6" i="2"/>
  <c r="EE6" i="2"/>
  <c r="EC6" i="2"/>
  <c r="DR6" i="2"/>
  <c r="DO6" i="2"/>
  <c r="DN6" i="2"/>
  <c r="DM6" i="2"/>
  <c r="DL6" i="2"/>
  <c r="DK6" i="2"/>
  <c r="DJ6" i="2"/>
  <c r="DH6" i="2"/>
  <c r="DF6" i="2"/>
  <c r="DE6" i="2"/>
  <c r="DD6" i="2"/>
  <c r="DC6" i="2"/>
  <c r="DB6" i="2"/>
  <c r="CZ6" i="2"/>
  <c r="CY6" i="2"/>
  <c r="CW6" i="2"/>
  <c r="CU6" i="2"/>
  <c r="CT6" i="2"/>
  <c r="CR6" i="2"/>
  <c r="CQ6" i="2"/>
  <c r="CP6" i="2"/>
  <c r="CM6" i="2"/>
  <c r="CJ6" i="2"/>
  <c r="CI6" i="2"/>
  <c r="CH6" i="2"/>
  <c r="CG6" i="2"/>
  <c r="CE6" i="2"/>
  <c r="CD6" i="2"/>
  <c r="BZ6" i="2"/>
  <c r="BX6" i="2"/>
  <c r="BV6" i="2"/>
  <c r="BT6" i="2"/>
  <c r="BS6" i="2"/>
  <c r="BO6" i="2"/>
  <c r="BL6" i="2"/>
  <c r="BK6" i="2"/>
  <c r="BI6" i="2"/>
  <c r="AX6" i="2"/>
  <c r="AS6" i="2"/>
  <c r="AQ6" i="2"/>
  <c r="T6" i="2"/>
  <c r="S6" i="2"/>
  <c r="Q6" i="2"/>
  <c r="P6" i="2"/>
  <c r="O6" i="2"/>
  <c r="N6" i="2"/>
  <c r="L6" i="2"/>
  <c r="G6" i="2"/>
  <c r="F6" i="2"/>
  <c r="AQ5" i="2"/>
  <c r="H5" i="2"/>
  <c r="G5" i="2"/>
  <c r="E5" i="2"/>
  <c r="D5" i="2"/>
  <c r="C5" i="2"/>
  <c r="A5" i="2"/>
  <c r="A2" i="2"/>
  <c r="FZ1" i="2"/>
  <c r="FZ6" i="2" s="1"/>
  <c r="FY1" i="2"/>
  <c r="FX1" i="2"/>
  <c r="FX6" i="2" s="1"/>
  <c r="FW1" i="2"/>
  <c r="FV1" i="2"/>
  <c r="FV6" i="2" s="1"/>
  <c r="FU1" i="2"/>
  <c r="FU6" i="2" s="1"/>
  <c r="FT1" i="2"/>
  <c r="FS1" i="2"/>
  <c r="FS6" i="2" s="1"/>
  <c r="FR1" i="2"/>
  <c r="FR6" i="2" s="1"/>
  <c r="FQ1" i="2"/>
  <c r="FP1" i="2"/>
  <c r="FP6" i="2" s="1"/>
  <c r="FN1" i="2"/>
  <c r="FL1" i="2"/>
  <c r="FL6" i="2" s="1"/>
  <c r="FJ1" i="2"/>
  <c r="FJ6" i="2" s="1"/>
  <c r="FG1" i="2"/>
  <c r="FG6" i="2" s="1"/>
  <c r="FF1" i="2"/>
  <c r="FF6" i="2" s="1"/>
  <c r="FE1" i="2"/>
  <c r="FE6" i="2" s="1"/>
  <c r="FD1" i="2"/>
  <c r="FD6" i="2" s="1"/>
  <c r="FC1" i="2"/>
  <c r="FB1" i="2"/>
  <c r="FB6" i="2" s="1"/>
  <c r="FA1" i="2"/>
  <c r="FA6" i="2" s="1"/>
  <c r="EZ1" i="2"/>
  <c r="EY1" i="2"/>
  <c r="EY6" i="2" s="1"/>
  <c r="EX1" i="2"/>
  <c r="EX6" i="2" s="1"/>
  <c r="EW1" i="2"/>
  <c r="EW6" i="2" s="1"/>
  <c r="EV1" i="2"/>
  <c r="EV6" i="2" s="1"/>
  <c r="ET1" i="2"/>
  <c r="EP1" i="2"/>
  <c r="EN1" i="2"/>
  <c r="EL1" i="2"/>
  <c r="EL6" i="2" s="1"/>
  <c r="EK1" i="2"/>
  <c r="EJ1" i="2"/>
  <c r="EI1" i="2"/>
  <c r="EI6" i="2" s="1"/>
  <c r="EH1" i="2"/>
  <c r="EG1" i="2"/>
  <c r="EG6" i="2" s="1"/>
  <c r="EF1" i="2"/>
  <c r="EF6" i="2" s="1"/>
  <c r="EE1" i="2"/>
  <c r="ED1" i="2"/>
  <c r="ED6" i="2" s="1"/>
  <c r="EC1" i="2"/>
  <c r="EB1" i="2"/>
  <c r="EB6" i="2" s="1"/>
  <c r="DZ1" i="2"/>
  <c r="DX1" i="2"/>
  <c r="DW1" i="2"/>
  <c r="DW6" i="2" s="1"/>
  <c r="DT1" i="2"/>
  <c r="DT6" i="2" s="1"/>
  <c r="DE1" i="2"/>
  <c r="E1" i="2"/>
  <c r="C4" i="22"/>
  <c r="A2" i="22"/>
  <c r="A1" i="22"/>
  <c r="AU5" i="18"/>
  <c r="AL5" i="18"/>
  <c r="N5" i="18"/>
  <c r="B2" i="18"/>
  <c r="V628" i="19"/>
  <c r="AH610" i="19"/>
  <c r="AF610" i="19"/>
  <c r="AB610" i="19"/>
  <c r="X610" i="19"/>
  <c r="R610" i="19"/>
  <c r="Q610" i="19"/>
  <c r="N610" i="19"/>
  <c r="K610" i="19"/>
  <c r="H610" i="19"/>
  <c r="G610" i="19"/>
  <c r="AF218" i="19"/>
  <c r="AE218" i="19"/>
  <c r="AC218" i="19"/>
  <c r="AB218" i="19"/>
  <c r="AA218" i="19"/>
  <c r="Y218" i="19"/>
  <c r="X218" i="19"/>
  <c r="V218" i="19"/>
  <c r="U218" i="19"/>
  <c r="S218" i="19"/>
  <c r="R218" i="19"/>
  <c r="Q218" i="19"/>
  <c r="O218" i="19"/>
  <c r="N218" i="19"/>
  <c r="L218" i="19"/>
  <c r="K218" i="19"/>
  <c r="I218" i="19"/>
  <c r="H218" i="19"/>
  <c r="G218" i="19"/>
  <c r="E218" i="19"/>
  <c r="D218" i="19"/>
  <c r="A215" i="19"/>
  <c r="A214" i="19"/>
  <c r="A212" i="19"/>
  <c r="A211" i="19"/>
  <c r="A210" i="19"/>
  <c r="A208" i="19"/>
  <c r="A207" i="19"/>
  <c r="L161" i="19"/>
  <c r="K161" i="19"/>
  <c r="I161" i="19"/>
  <c r="H161" i="19"/>
  <c r="G161" i="19"/>
  <c r="E161" i="19"/>
  <c r="D161" i="19"/>
  <c r="L141" i="19"/>
  <c r="K141" i="19"/>
  <c r="I141" i="19"/>
  <c r="H141" i="19"/>
  <c r="G141" i="19"/>
  <c r="E141" i="19"/>
  <c r="D141" i="19"/>
  <c r="L140" i="19"/>
  <c r="K140" i="19"/>
  <c r="I140" i="19"/>
  <c r="H140" i="19"/>
  <c r="G140" i="19"/>
  <c r="E140" i="19"/>
  <c r="D140" i="19"/>
  <c r="L120" i="19"/>
  <c r="K120" i="19"/>
  <c r="I120" i="19"/>
  <c r="H120" i="19"/>
  <c r="G120" i="19"/>
  <c r="E120" i="19"/>
  <c r="D120" i="19"/>
  <c r="A115" i="19"/>
  <c r="A114" i="19"/>
  <c r="A112" i="19"/>
  <c r="A111" i="19"/>
  <c r="A110" i="19"/>
  <c r="A108" i="19"/>
  <c r="A107" i="19"/>
  <c r="A94" i="19"/>
  <c r="A84" i="19"/>
  <c r="B52" i="18" s="1"/>
  <c r="A64" i="19"/>
  <c r="B42" i="18" s="1"/>
  <c r="A54" i="19"/>
  <c r="A44" i="19"/>
  <c r="B32" i="18" s="1"/>
  <c r="A24" i="19"/>
  <c r="B22" i="18" s="1"/>
  <c r="A14" i="19"/>
  <c r="C9" i="19"/>
  <c r="AJ6" i="19"/>
  <c r="AJ5" i="19" s="1"/>
  <c r="D6" i="19"/>
  <c r="D3" i="19"/>
  <c r="B3" i="19"/>
  <c r="AO1" i="19"/>
  <c r="A1" i="19"/>
  <c r="A2" i="27"/>
  <c r="A1" i="27"/>
  <c r="A2" i="28"/>
  <c r="A1" i="28"/>
  <c r="AL85" i="11"/>
  <c r="AL84" i="11"/>
  <c r="D84" i="11"/>
  <c r="D83" i="11"/>
  <c r="AL81" i="11"/>
  <c r="D81" i="11"/>
  <c r="D80" i="11"/>
  <c r="AL78" i="11"/>
  <c r="AL77" i="11"/>
  <c r="D77" i="11"/>
  <c r="D76" i="11"/>
  <c r="AL74" i="11"/>
  <c r="AL73" i="11"/>
  <c r="D73" i="11"/>
  <c r="D72" i="11"/>
  <c r="AL70" i="11"/>
  <c r="AL69" i="11"/>
  <c r="D69" i="11"/>
  <c r="D68" i="11"/>
  <c r="AL66" i="11"/>
  <c r="AL65" i="11"/>
  <c r="D65" i="11"/>
  <c r="D64" i="11"/>
  <c r="AL62" i="11"/>
  <c r="AL61" i="11"/>
  <c r="D61" i="11"/>
  <c r="D60" i="11"/>
  <c r="AL58" i="11"/>
  <c r="AL57" i="11"/>
  <c r="D57" i="11"/>
  <c r="D56" i="11"/>
  <c r="AL54" i="11"/>
  <c r="AL53" i="11"/>
  <c r="D53" i="11"/>
  <c r="D52" i="11"/>
  <c r="AL50" i="11"/>
  <c r="D50" i="11"/>
  <c r="D49" i="11"/>
  <c r="AL48" i="11"/>
  <c r="AM47" i="11"/>
  <c r="O4" i="11"/>
  <c r="L4" i="11"/>
  <c r="A2" i="11"/>
  <c r="A1" i="11"/>
  <c r="BE5" i="16"/>
  <c r="AY5" i="16"/>
  <c r="BE4" i="16"/>
  <c r="AN4" i="16"/>
  <c r="AF4" i="16"/>
  <c r="Y4" i="16"/>
  <c r="M4" i="16"/>
  <c r="B4" i="16"/>
  <c r="B2" i="16"/>
  <c r="A1" i="16"/>
  <c r="B131" i="11"/>
  <c r="C277" i="7"/>
  <c r="B110" i="11"/>
  <c r="B159" i="11"/>
  <c r="B56" i="11"/>
  <c r="B72" i="11"/>
  <c r="B68" i="11"/>
  <c r="B80" i="11"/>
  <c r="C176" i="7"/>
  <c r="B124" i="11"/>
  <c r="B138" i="11"/>
  <c r="B103" i="11"/>
  <c r="B83" i="11"/>
  <c r="B64" i="11"/>
  <c r="B52" i="11"/>
  <c r="U7" i="1" l="1"/>
  <c r="U153" i="1"/>
  <c r="U66" i="1"/>
  <c r="U241" i="1"/>
  <c r="U31" i="1"/>
  <c r="U268" i="1"/>
  <c r="U23" i="1"/>
  <c r="U58" i="1"/>
  <c r="U254" i="1"/>
  <c r="U38" i="1"/>
  <c r="U63" i="1"/>
  <c r="U201" i="1"/>
  <c r="U242" i="1"/>
  <c r="U269" i="1"/>
  <c r="U64" i="1"/>
  <c r="U207" i="1"/>
  <c r="U213" i="1"/>
  <c r="U21" i="1"/>
  <c r="U35" i="1"/>
  <c r="U56" i="1"/>
  <c r="U158" i="1"/>
  <c r="U270" i="1"/>
  <c r="U288" i="1"/>
  <c r="U292" i="1"/>
  <c r="U37" i="1"/>
  <c r="U154" i="1"/>
  <c r="U72" i="1"/>
  <c r="U6" i="1"/>
  <c r="U65" i="1"/>
  <c r="U208" i="1"/>
  <c r="U244" i="1"/>
  <c r="U12" i="1"/>
  <c r="U123" i="1"/>
  <c r="U206" i="1"/>
  <c r="U257" i="1"/>
  <c r="U10" i="1"/>
  <c r="U61" i="1"/>
  <c r="U11" i="1"/>
  <c r="U22" i="1"/>
  <c r="U32" i="1"/>
  <c r="U57" i="1"/>
  <c r="U145" i="1"/>
  <c r="U240" i="1"/>
  <c r="U252" i="1"/>
  <c r="U289" i="1"/>
  <c r="U71" i="1"/>
  <c r="U128" i="1"/>
  <c r="U157" i="1"/>
  <c r="U8" i="1"/>
  <c r="U28" i="1"/>
  <c r="U60" i="1"/>
  <c r="U34" i="1"/>
  <c r="U69" i="1"/>
  <c r="U126" i="1"/>
  <c r="U155" i="1"/>
  <c r="U204" i="1"/>
  <c r="U62" i="1"/>
  <c r="U70" i="1"/>
  <c r="U127" i="1"/>
  <c r="U205" i="1"/>
  <c r="U216" i="1"/>
  <c r="U245" i="1"/>
  <c r="U248" i="1"/>
  <c r="B57" i="18"/>
  <c r="E6" i="19"/>
  <c r="D5" i="19"/>
  <c r="F47" i="11" s="1"/>
  <c r="AM6" i="19"/>
  <c r="B17" i="18"/>
  <c r="B37" i="18"/>
  <c r="U32" i="8"/>
  <c r="AQ33" i="1"/>
  <c r="W246" i="1"/>
  <c r="U246" i="1"/>
  <c r="U258" i="1"/>
  <c r="W258" i="1"/>
  <c r="C175" i="7"/>
  <c r="C47" i="7"/>
  <c r="C23" i="7"/>
  <c r="C7" i="7"/>
  <c r="C5" i="7"/>
  <c r="C6" i="7"/>
  <c r="C4" i="7"/>
  <c r="A3" i="8"/>
  <c r="C21" i="7"/>
  <c r="D34" i="8"/>
  <c r="Z35" i="1"/>
  <c r="F2" i="13"/>
  <c r="G5" i="1"/>
  <c r="B5" i="1"/>
  <c r="C319" i="1"/>
  <c r="J319" i="1" s="1"/>
  <c r="C317" i="1"/>
  <c r="J317" i="1" s="1"/>
  <c r="C315" i="1"/>
  <c r="J315" i="1" s="1"/>
  <c r="C313" i="1"/>
  <c r="J313" i="1" s="1"/>
  <c r="C311" i="1"/>
  <c r="J311" i="1" s="1"/>
  <c r="C309" i="1"/>
  <c r="J309" i="1" s="1"/>
  <c r="C307" i="1"/>
  <c r="J307" i="1" s="1"/>
  <c r="C305" i="1"/>
  <c r="J305" i="1" s="1"/>
  <c r="C303" i="1"/>
  <c r="J303" i="1" s="1"/>
  <c r="C301" i="1"/>
  <c r="J301" i="1" s="1"/>
  <c r="C299" i="1"/>
  <c r="J299" i="1" s="1"/>
  <c r="C297" i="1"/>
  <c r="J297" i="1" s="1"/>
  <c r="C314" i="1"/>
  <c r="J314" i="1" s="1"/>
  <c r="C298" i="1"/>
  <c r="J298" i="1" s="1"/>
  <c r="C306" i="1"/>
  <c r="J306" i="1" s="1"/>
  <c r="C308" i="1"/>
  <c r="J308" i="1" s="1"/>
  <c r="C300" i="1"/>
  <c r="J300" i="1" s="1"/>
  <c r="B25" i="3"/>
  <c r="C316" i="1"/>
  <c r="J316" i="1" s="1"/>
  <c r="C296" i="1"/>
  <c r="J296" i="1" s="1"/>
  <c r="EA1" i="2"/>
  <c r="EA6" i="2" s="1"/>
  <c r="FO1" i="2"/>
  <c r="FO6" i="2" s="1"/>
  <c r="O610" i="19"/>
  <c r="C318" i="1"/>
  <c r="J318" i="1" s="1"/>
  <c r="C310" i="1"/>
  <c r="J310" i="1" s="1"/>
  <c r="C304" i="1"/>
  <c r="J304" i="1" s="1"/>
  <c r="C302" i="1"/>
  <c r="J302" i="1" s="1"/>
  <c r="EU1" i="2"/>
  <c r="C320" i="1"/>
  <c r="J320" i="1" s="1"/>
  <c r="Y610" i="19"/>
  <c r="C312" i="1"/>
  <c r="J312" i="1" s="1"/>
  <c r="AI610" i="19"/>
  <c r="T30" i="8"/>
  <c r="AP31" i="1"/>
  <c r="U253" i="1"/>
  <c r="W253" i="1"/>
  <c r="DX6" i="2"/>
  <c r="ET6" i="2"/>
  <c r="C225" i="7"/>
  <c r="A4" i="8"/>
  <c r="A1" i="12"/>
  <c r="A5" i="1"/>
  <c r="C227" i="7"/>
  <c r="R5" i="1"/>
  <c r="C238" i="7"/>
  <c r="Q2" i="13"/>
  <c r="D2" i="21"/>
  <c r="J2" i="13"/>
  <c r="B6" i="2"/>
  <c r="C243" i="7"/>
  <c r="CE5" i="2"/>
  <c r="C276" i="1"/>
  <c r="J276" i="1" s="1"/>
  <c r="C274" i="1"/>
  <c r="J274" i="1" s="1"/>
  <c r="C272" i="1"/>
  <c r="J272" i="1" s="1"/>
  <c r="C270" i="1"/>
  <c r="J270" i="1" s="1"/>
  <c r="C268" i="1"/>
  <c r="J268" i="1" s="1"/>
  <c r="C266" i="1"/>
  <c r="J266" i="1" s="1"/>
  <c r="C259" i="1"/>
  <c r="J259" i="1" s="1"/>
  <c r="B20" i="3"/>
  <c r="C261" i="1"/>
  <c r="J261" i="1" s="1"/>
  <c r="C269" i="1"/>
  <c r="J269" i="1" s="1"/>
  <c r="C260" i="1"/>
  <c r="J260" i="1" s="1"/>
  <c r="C275" i="1"/>
  <c r="J275" i="1" s="1"/>
  <c r="C263" i="1"/>
  <c r="J263" i="1" s="1"/>
  <c r="AD610" i="19"/>
  <c r="C257" i="1"/>
  <c r="J257" i="1" s="1"/>
  <c r="T610" i="19"/>
  <c r="J610" i="19"/>
  <c r="C271" i="1"/>
  <c r="J271" i="1" s="1"/>
  <c r="DV1" i="2"/>
  <c r="DV6" i="2" s="1"/>
  <c r="C267" i="1"/>
  <c r="J267" i="1" s="1"/>
  <c r="C264" i="1"/>
  <c r="J264" i="1" s="1"/>
  <c r="C258" i="1"/>
  <c r="J258" i="1" s="1"/>
  <c r="C273" i="1"/>
  <c r="J273" i="1" s="1"/>
  <c r="C262" i="1"/>
  <c r="J262" i="1" s="1"/>
  <c r="C265" i="1"/>
  <c r="C256" i="1"/>
  <c r="J256" i="1" s="1"/>
  <c r="M5" i="1"/>
  <c r="M36" i="8"/>
  <c r="AI38" i="1"/>
  <c r="A1" i="3"/>
  <c r="C264" i="7"/>
  <c r="A1" i="10"/>
  <c r="A1" i="8"/>
  <c r="A1" i="23"/>
  <c r="A1" i="5"/>
  <c r="A1" i="2"/>
  <c r="C89" i="7" s="1"/>
  <c r="D1" i="12"/>
  <c r="C234" i="7"/>
  <c r="C2" i="13"/>
  <c r="D5" i="1"/>
  <c r="C2" i="21"/>
  <c r="C245" i="7"/>
  <c r="I2" i="13"/>
  <c r="W2" i="13"/>
  <c r="D6" i="2"/>
  <c r="M2" i="13"/>
  <c r="C242" i="7"/>
  <c r="BE6" i="2"/>
  <c r="AW6" i="2"/>
  <c r="BD6" i="2"/>
  <c r="AU6" i="2"/>
  <c r="BG6" i="2"/>
  <c r="AV6" i="2"/>
  <c r="BC6" i="2"/>
  <c r="AR6" i="2"/>
  <c r="BB6" i="2"/>
  <c r="AY6" i="2"/>
  <c r="BJ6" i="2"/>
  <c r="AT6" i="2"/>
  <c r="BA6" i="2"/>
  <c r="BH6" i="2"/>
  <c r="BF6" i="2"/>
  <c r="AZ6" i="2"/>
  <c r="B22" i="3"/>
  <c r="C277" i="1"/>
  <c r="J277" i="1" s="1"/>
  <c r="L610" i="19"/>
  <c r="V610" i="19"/>
  <c r="ER1" i="2"/>
  <c r="AA32" i="1"/>
  <c r="E31" i="8"/>
  <c r="DZ6" i="2"/>
  <c r="C47" i="1"/>
  <c r="J47" i="1" s="1"/>
  <c r="C54" i="1"/>
  <c r="J54" i="1" s="1"/>
  <c r="C78" i="1"/>
  <c r="J78" i="1" s="1"/>
  <c r="C219" i="7"/>
  <c r="A2" i="3"/>
  <c r="C233" i="7"/>
  <c r="B4" i="8"/>
  <c r="H1" i="21"/>
  <c r="B1" i="12"/>
  <c r="P5" i="1"/>
  <c r="H1" i="12"/>
  <c r="GB6" i="2"/>
  <c r="C247" i="7"/>
  <c r="H6" i="2"/>
  <c r="BK5" i="2"/>
  <c r="C34" i="1"/>
  <c r="J34" i="1" s="1"/>
  <c r="C136" i="1"/>
  <c r="J136" i="1" s="1"/>
  <c r="C129" i="1"/>
  <c r="J129" i="1" s="1"/>
  <c r="C120" i="1"/>
  <c r="J120" i="1" s="1"/>
  <c r="C113" i="1"/>
  <c r="J113" i="1" s="1"/>
  <c r="C104" i="1"/>
  <c r="J104" i="1" s="1"/>
  <c r="C97" i="1"/>
  <c r="J97" i="1" s="1"/>
  <c r="C88" i="1"/>
  <c r="J88" i="1" s="1"/>
  <c r="C81" i="1"/>
  <c r="J81" i="1" s="1"/>
  <c r="C72" i="1"/>
  <c r="J72" i="1" s="1"/>
  <c r="C132" i="1"/>
  <c r="J132" i="1" s="1"/>
  <c r="C127" i="1"/>
  <c r="J127" i="1" s="1"/>
  <c r="C122" i="1"/>
  <c r="J122" i="1" s="1"/>
  <c r="C117" i="1"/>
  <c r="J117" i="1" s="1"/>
  <c r="C110" i="1"/>
  <c r="J110" i="1" s="1"/>
  <c r="C105" i="1"/>
  <c r="J105" i="1" s="1"/>
  <c r="C98" i="1"/>
  <c r="J98" i="1" s="1"/>
  <c r="C93" i="1"/>
  <c r="J93" i="1" s="1"/>
  <c r="C71" i="1"/>
  <c r="J71" i="1" s="1"/>
  <c r="C64" i="1"/>
  <c r="J64" i="1" s="1"/>
  <c r="C57" i="1"/>
  <c r="J57" i="1" s="1"/>
  <c r="C48" i="1"/>
  <c r="J48" i="1" s="1"/>
  <c r="C41" i="1"/>
  <c r="J41" i="1" s="1"/>
  <c r="C32" i="1"/>
  <c r="J32" i="1" s="1"/>
  <c r="C30" i="1"/>
  <c r="J30" i="1" s="1"/>
  <c r="C28" i="1"/>
  <c r="J28" i="1" s="1"/>
  <c r="C26" i="1"/>
  <c r="J26" i="1" s="1"/>
  <c r="C24" i="1"/>
  <c r="J24" i="1" s="1"/>
  <c r="C22" i="1"/>
  <c r="J22" i="1" s="1"/>
  <c r="C20" i="1"/>
  <c r="J20" i="1" s="1"/>
  <c r="C18" i="1"/>
  <c r="J18" i="1" s="1"/>
  <c r="C16" i="1"/>
  <c r="J16" i="1" s="1"/>
  <c r="C14" i="1"/>
  <c r="J14" i="1" s="1"/>
  <c r="C143" i="1"/>
  <c r="J143" i="1" s="1"/>
  <c r="C133" i="1"/>
  <c r="J133" i="1" s="1"/>
  <c r="C128" i="1"/>
  <c r="J128" i="1" s="1"/>
  <c r="C112" i="1"/>
  <c r="J112" i="1" s="1"/>
  <c r="C107" i="1"/>
  <c r="J107" i="1" s="1"/>
  <c r="C99" i="1"/>
  <c r="J99" i="1" s="1"/>
  <c r="C94" i="1"/>
  <c r="J94" i="1" s="1"/>
  <c r="C86" i="1"/>
  <c r="J86" i="1" s="1"/>
  <c r="C63" i="1"/>
  <c r="J63" i="1" s="1"/>
  <c r="C51" i="1"/>
  <c r="J51" i="1" s="1"/>
  <c r="C46" i="1"/>
  <c r="J46" i="1" s="1"/>
  <c r="C38" i="1"/>
  <c r="J38" i="1" s="1"/>
  <c r="C25" i="1"/>
  <c r="J25" i="1" s="1"/>
  <c r="C134" i="1"/>
  <c r="J134" i="1" s="1"/>
  <c r="C131" i="1"/>
  <c r="J131" i="1" s="1"/>
  <c r="C109" i="1"/>
  <c r="J109" i="1" s="1"/>
  <c r="C103" i="1"/>
  <c r="J103" i="1" s="1"/>
  <c r="C92" i="1"/>
  <c r="J92" i="1" s="1"/>
  <c r="C84" i="1"/>
  <c r="J84" i="1" s="1"/>
  <c r="C79" i="1"/>
  <c r="J79" i="1" s="1"/>
  <c r="C74" i="1"/>
  <c r="J74" i="1" s="1"/>
  <c r="C55" i="1"/>
  <c r="J55" i="1" s="1"/>
  <c r="C50" i="1"/>
  <c r="J50" i="1" s="1"/>
  <c r="C40" i="1"/>
  <c r="J40" i="1" s="1"/>
  <c r="C36" i="1"/>
  <c r="J36" i="1" s="1"/>
  <c r="C33" i="1"/>
  <c r="J33" i="1" s="1"/>
  <c r="C29" i="1"/>
  <c r="J29" i="1" s="1"/>
  <c r="C19" i="1"/>
  <c r="J19" i="1" s="1"/>
  <c r="C138" i="1"/>
  <c r="J138" i="1" s="1"/>
  <c r="C118" i="1"/>
  <c r="J118" i="1" s="1"/>
  <c r="C89" i="1"/>
  <c r="J89" i="1" s="1"/>
  <c r="C70" i="1"/>
  <c r="J70" i="1" s="1"/>
  <c r="C67" i="1"/>
  <c r="J67" i="1" s="1"/>
  <c r="C59" i="1"/>
  <c r="J59" i="1" s="1"/>
  <c r="C43" i="1"/>
  <c r="J43" i="1" s="1"/>
  <c r="C11" i="1"/>
  <c r="J11" i="1" s="1"/>
  <c r="EM1" i="2"/>
  <c r="AA610" i="19"/>
  <c r="C140" i="1"/>
  <c r="J140" i="1" s="1"/>
  <c r="C106" i="1"/>
  <c r="J106" i="1" s="1"/>
  <c r="C100" i="1"/>
  <c r="J100" i="1" s="1"/>
  <c r="C91" i="1"/>
  <c r="J91" i="1" s="1"/>
  <c r="C75" i="1"/>
  <c r="J75" i="1" s="1"/>
  <c r="C61" i="1"/>
  <c r="J61" i="1" s="1"/>
  <c r="C53" i="1"/>
  <c r="J53" i="1" s="1"/>
  <c r="C135" i="1"/>
  <c r="J135" i="1" s="1"/>
  <c r="C125" i="1"/>
  <c r="J125" i="1" s="1"/>
  <c r="C111" i="1"/>
  <c r="J111" i="1" s="1"/>
  <c r="C80" i="1"/>
  <c r="J80" i="1" s="1"/>
  <c r="C77" i="1"/>
  <c r="J77" i="1" s="1"/>
  <c r="C44" i="1"/>
  <c r="J44" i="1" s="1"/>
  <c r="C21" i="1"/>
  <c r="J21" i="1" s="1"/>
  <c r="C141" i="1"/>
  <c r="J141" i="1" s="1"/>
  <c r="C119" i="1"/>
  <c r="J119" i="1" s="1"/>
  <c r="C90" i="1"/>
  <c r="J90" i="1" s="1"/>
  <c r="C68" i="1"/>
  <c r="J68" i="1" s="1"/>
  <c r="C62" i="1"/>
  <c r="J62" i="1" s="1"/>
  <c r="C124" i="1"/>
  <c r="J124" i="1" s="1"/>
  <c r="C121" i="1"/>
  <c r="J121" i="1" s="1"/>
  <c r="C96" i="1"/>
  <c r="J96" i="1" s="1"/>
  <c r="C83" i="1"/>
  <c r="J83" i="1" s="1"/>
  <c r="C58" i="1"/>
  <c r="J58" i="1" s="1"/>
  <c r="C49" i="1"/>
  <c r="J49" i="1" s="1"/>
  <c r="C37" i="1"/>
  <c r="J37" i="1" s="1"/>
  <c r="C27" i="1"/>
  <c r="J27" i="1" s="1"/>
  <c r="C15" i="1"/>
  <c r="J15" i="1" s="1"/>
  <c r="C139" i="1"/>
  <c r="J139" i="1" s="1"/>
  <c r="C126" i="1"/>
  <c r="J126" i="1" s="1"/>
  <c r="C101" i="1"/>
  <c r="J101" i="1" s="1"/>
  <c r="C82" i="1"/>
  <c r="J82" i="1" s="1"/>
  <c r="C60" i="1"/>
  <c r="J60" i="1" s="1"/>
  <c r="C42" i="1"/>
  <c r="J42" i="1" s="1"/>
  <c r="C39" i="1"/>
  <c r="J39" i="1" s="1"/>
  <c r="DS1" i="2"/>
  <c r="DS6" i="2" s="1"/>
  <c r="C23" i="1"/>
  <c r="J23" i="1" s="1"/>
  <c r="F33" i="8"/>
  <c r="AB34" i="1"/>
  <c r="C85" i="1"/>
  <c r="J85" i="1" s="1"/>
  <c r="C114" i="1"/>
  <c r="J114" i="1" s="1"/>
  <c r="U294" i="1"/>
  <c r="W294" i="1"/>
  <c r="B101" i="29"/>
  <c r="B97" i="29"/>
  <c r="B93" i="29"/>
  <c r="B89" i="29"/>
  <c r="B85" i="29"/>
  <c r="B81" i="29"/>
  <c r="B77" i="29"/>
  <c r="B73" i="29"/>
  <c r="B69" i="29"/>
  <c r="B65" i="29"/>
  <c r="B61" i="29"/>
  <c r="B57" i="29"/>
  <c r="B53" i="29"/>
  <c r="B49" i="29"/>
  <c r="B45" i="29"/>
  <c r="B41" i="29"/>
  <c r="B37" i="29"/>
  <c r="B33" i="29"/>
  <c r="B29" i="29"/>
  <c r="B25" i="29"/>
  <c r="B21" i="29"/>
  <c r="B17" i="29"/>
  <c r="B13" i="29"/>
  <c r="B9" i="29"/>
  <c r="B5" i="29"/>
  <c r="B98" i="29"/>
  <c r="B84" i="29"/>
  <c r="B75" i="29"/>
  <c r="B66" i="29"/>
  <c r="B52" i="29"/>
  <c r="B43" i="29"/>
  <c r="B34" i="29"/>
  <c r="B20" i="29"/>
  <c r="B11" i="29"/>
  <c r="B2" i="29"/>
  <c r="B90" i="29"/>
  <c r="B80" i="29"/>
  <c r="B56" i="29"/>
  <c r="B51" i="29"/>
  <c r="B27" i="29"/>
  <c r="B3" i="29"/>
  <c r="B99" i="29"/>
  <c r="B94" i="29"/>
  <c r="B59" i="29"/>
  <c r="B54" i="29"/>
  <c r="B48" i="29"/>
  <c r="B14" i="29"/>
  <c r="B4" i="29"/>
  <c r="B88" i="29"/>
  <c r="B83" i="29"/>
  <c r="B78" i="29"/>
  <c r="B68" i="29"/>
  <c r="B63" i="29"/>
  <c r="B58" i="29"/>
  <c r="B46" i="29"/>
  <c r="B36" i="29"/>
  <c r="B31" i="29"/>
  <c r="B26" i="29"/>
  <c r="B16" i="29"/>
  <c r="B6" i="29"/>
  <c r="B86" i="29"/>
  <c r="B74" i="29"/>
  <c r="B23" i="29"/>
  <c r="B18" i="29"/>
  <c r="B12" i="29"/>
  <c r="B7" i="29"/>
  <c r="B62" i="29"/>
  <c r="B22" i="29"/>
  <c r="B87" i="29"/>
  <c r="B50" i="29"/>
  <c r="B44" i="29"/>
  <c r="B39" i="29"/>
  <c r="B28" i="29"/>
  <c r="B15" i="29"/>
  <c r="B92" i="29"/>
  <c r="B79" i="29"/>
  <c r="B55" i="29"/>
  <c r="B30" i="29"/>
  <c r="B95" i="29"/>
  <c r="B42" i="29"/>
  <c r="B47" i="29"/>
  <c r="B35" i="29"/>
  <c r="B8" i="29"/>
  <c r="B100" i="29"/>
  <c r="B19" i="29"/>
  <c r="B40" i="29"/>
  <c r="B72" i="29"/>
  <c r="B67" i="29"/>
  <c r="B32" i="29"/>
  <c r="B10" i="29"/>
  <c r="B96" i="29"/>
  <c r="B82" i="29"/>
  <c r="B70" i="29"/>
  <c r="B64" i="29"/>
  <c r="B38" i="29"/>
  <c r="A1" i="20"/>
  <c r="G30" i="8"/>
  <c r="AC31" i="1"/>
  <c r="D32" i="8"/>
  <c r="Z33" i="1"/>
  <c r="C65" i="1"/>
  <c r="J65" i="1" s="1"/>
  <c r="B17" i="3"/>
  <c r="B24" i="29"/>
  <c r="B76" i="29"/>
  <c r="B91" i="29"/>
  <c r="T31" i="8"/>
  <c r="AP32" i="1"/>
  <c r="AA38" i="1"/>
  <c r="E36" i="8"/>
  <c r="U256" i="1"/>
  <c r="W256" i="1"/>
  <c r="U293" i="1"/>
  <c r="W293" i="1"/>
  <c r="U260" i="1"/>
  <c r="W260" i="1"/>
  <c r="B2" i="13"/>
  <c r="C224" i="7"/>
  <c r="C5" i="1"/>
  <c r="C26" i="7" s="1"/>
  <c r="C230" i="7"/>
  <c r="G2" i="13"/>
  <c r="I6" i="2"/>
  <c r="A2" i="21"/>
  <c r="C241" i="7"/>
  <c r="CC6" i="2"/>
  <c r="BU6" i="2"/>
  <c r="BM6" i="2"/>
  <c r="BW6" i="2"/>
  <c r="BN6" i="2"/>
  <c r="CA6" i="2"/>
  <c r="BQ6" i="2"/>
  <c r="CB6" i="2"/>
  <c r="BP6" i="2"/>
  <c r="BR6" i="2"/>
  <c r="U610" i="19"/>
  <c r="EQ1" i="2"/>
  <c r="AE610" i="19"/>
  <c r="B21" i="3"/>
  <c r="W37" i="1"/>
  <c r="FN6" i="2"/>
  <c r="D36" i="8"/>
  <c r="T36" i="8"/>
  <c r="AP38" i="1"/>
  <c r="W251" i="1"/>
  <c r="W254" i="1"/>
  <c r="C223" i="7"/>
  <c r="E2" i="13"/>
  <c r="H5" i="1"/>
  <c r="F2" i="21"/>
  <c r="C244" i="7"/>
  <c r="CS6" i="2"/>
  <c r="CK6" i="2"/>
  <c r="CX6" i="2"/>
  <c r="CO6" i="2"/>
  <c r="CF6" i="2"/>
  <c r="CV6" i="2"/>
  <c r="CL6" i="2"/>
  <c r="M6" i="2"/>
  <c r="R6" i="2"/>
  <c r="U33" i="8"/>
  <c r="AQ34" i="1"/>
  <c r="A6" i="2"/>
  <c r="K6" i="2"/>
  <c r="CN6" i="2"/>
  <c r="C226" i="7"/>
  <c r="L5" i="1"/>
  <c r="C248" i="7"/>
  <c r="B18" i="3"/>
  <c r="C193" i="1"/>
  <c r="J193" i="1" s="1"/>
  <c r="C184" i="1"/>
  <c r="J184" i="1" s="1"/>
  <c r="C177" i="1"/>
  <c r="J177" i="1" s="1"/>
  <c r="C168" i="1"/>
  <c r="J168" i="1" s="1"/>
  <c r="C161" i="1"/>
  <c r="J161" i="1" s="1"/>
  <c r="C152" i="1"/>
  <c r="J152" i="1" s="1"/>
  <c r="C145" i="1"/>
  <c r="J145" i="1" s="1"/>
  <c r="C198" i="1"/>
  <c r="J198" i="1" s="1"/>
  <c r="C186" i="1"/>
  <c r="J186" i="1" s="1"/>
  <c r="C181" i="1"/>
  <c r="J181" i="1" s="1"/>
  <c r="C174" i="1"/>
  <c r="J174" i="1" s="1"/>
  <c r="C169" i="1"/>
  <c r="J169" i="1" s="1"/>
  <c r="C159" i="1"/>
  <c r="J159" i="1" s="1"/>
  <c r="C154" i="1"/>
  <c r="J154" i="1" s="1"/>
  <c r="C149" i="1"/>
  <c r="J149" i="1" s="1"/>
  <c r="C144" i="1"/>
  <c r="J144" i="1" s="1"/>
  <c r="C178" i="1"/>
  <c r="J178" i="1" s="1"/>
  <c r="C175" i="1"/>
  <c r="J175" i="1" s="1"/>
  <c r="C170" i="1"/>
  <c r="J170" i="1" s="1"/>
  <c r="C167" i="1"/>
  <c r="J167" i="1" s="1"/>
  <c r="C162" i="1"/>
  <c r="J162" i="1" s="1"/>
  <c r="C151" i="1"/>
  <c r="J151" i="1" s="1"/>
  <c r="C146" i="1"/>
  <c r="J146" i="1" s="1"/>
  <c r="C197" i="1"/>
  <c r="J197" i="1" s="1"/>
  <c r="C192" i="1"/>
  <c r="J192" i="1" s="1"/>
  <c r="C187" i="1"/>
  <c r="J187" i="1" s="1"/>
  <c r="C156" i="1"/>
  <c r="J156" i="1" s="1"/>
  <c r="C153" i="1"/>
  <c r="J153" i="1" s="1"/>
  <c r="FH1" i="2"/>
  <c r="FH6" i="2" s="1"/>
  <c r="E30" i="8"/>
  <c r="U34" i="8"/>
  <c r="AQ35" i="1"/>
  <c r="C164" i="1"/>
  <c r="J164" i="1" s="1"/>
  <c r="C190" i="1"/>
  <c r="J190" i="1" s="1"/>
  <c r="W247" i="1"/>
  <c r="C231" i="7"/>
  <c r="C228" i="7"/>
  <c r="V2" i="13"/>
  <c r="C1" i="25"/>
  <c r="B2" i="21"/>
  <c r="C246" i="7"/>
  <c r="B1" i="25"/>
  <c r="E6" i="2"/>
  <c r="DQ6" i="2"/>
  <c r="DI6" i="2"/>
  <c r="DA6" i="2"/>
  <c r="DP6" i="2"/>
  <c r="DG6" i="2"/>
  <c r="C251" i="7"/>
  <c r="C255" i="7"/>
  <c r="D33" i="8"/>
  <c r="H2" i="13"/>
  <c r="C260" i="7"/>
  <c r="B157" i="5"/>
  <c r="F4" i="22" s="1"/>
  <c r="B143" i="5"/>
  <c r="AQ47" i="11" s="1"/>
  <c r="B135" i="5"/>
  <c r="B127" i="5"/>
  <c r="B119" i="5"/>
  <c r="B110" i="5"/>
  <c r="D48" i="11" s="1"/>
  <c r="B102" i="5"/>
  <c r="B94" i="5"/>
  <c r="C258" i="7" s="1"/>
  <c r="B85" i="5"/>
  <c r="B77" i="5"/>
  <c r="B69" i="5"/>
  <c r="H6" i="23" s="1"/>
  <c r="B60" i="5"/>
  <c r="B52" i="5"/>
  <c r="EN6" i="2" s="1"/>
  <c r="B44" i="5"/>
  <c r="C239" i="7" s="1"/>
  <c r="B36" i="5"/>
  <c r="B28" i="5"/>
  <c r="B20" i="5"/>
  <c r="B12" i="5"/>
  <c r="C237" i="7" s="1"/>
  <c r="B10" i="5"/>
  <c r="V4" i="13" s="1"/>
  <c r="B19" i="5"/>
  <c r="B29" i="5"/>
  <c r="B38" i="5"/>
  <c r="B47" i="5"/>
  <c r="B56" i="5"/>
  <c r="B66" i="5"/>
  <c r="B75" i="5"/>
  <c r="D6" i="23" s="1"/>
  <c r="B84" i="5"/>
  <c r="B95" i="5"/>
  <c r="C254" i="7" s="1"/>
  <c r="B104" i="5"/>
  <c r="B114" i="5"/>
  <c r="B123" i="5"/>
  <c r="B132" i="5"/>
  <c r="B141" i="5"/>
  <c r="B156" i="5"/>
  <c r="E4" i="22" s="1"/>
  <c r="U274" i="1"/>
  <c r="U267" i="1"/>
  <c r="U249" i="1"/>
  <c r="U247" i="1"/>
  <c r="U243" i="1"/>
  <c r="U211" i="1"/>
  <c r="U202" i="1"/>
  <c r="U287" i="1"/>
  <c r="U271" i="1"/>
  <c r="U266" i="1"/>
  <c r="U239" i="1"/>
  <c r="U210" i="1"/>
  <c r="U163" i="1"/>
  <c r="U156" i="1"/>
  <c r="U147" i="1"/>
  <c r="U124" i="1"/>
  <c r="U67" i="1"/>
  <c r="U259" i="1"/>
  <c r="U214" i="1"/>
  <c r="U203" i="1"/>
  <c r="U59" i="1"/>
  <c r="U9" i="1"/>
  <c r="U2" i="1"/>
  <c r="U13" i="1"/>
  <c r="U20" i="1"/>
  <c r="U29" i="1"/>
  <c r="U33" i="1"/>
  <c r="U68" i="1"/>
  <c r="U125" i="1"/>
  <c r="U209" i="1"/>
  <c r="U212" i="1"/>
  <c r="U215" i="1"/>
  <c r="U261" i="1"/>
  <c r="U286" i="1"/>
  <c r="W248" i="1"/>
  <c r="U295" i="1"/>
  <c r="W250" i="1"/>
  <c r="U250" i="1"/>
  <c r="W292" i="1"/>
  <c r="U251" i="1"/>
  <c r="Q14" i="4"/>
  <c r="Q9" i="4"/>
  <c r="Q13" i="4"/>
  <c r="Q12" i="4"/>
  <c r="S10" i="4"/>
  <c r="S9" i="4"/>
  <c r="S8" i="4"/>
  <c r="A3" i="22"/>
  <c r="B29" i="22" l="1"/>
  <c r="B11" i="22"/>
  <c r="B27" i="22"/>
  <c r="B19" i="22"/>
  <c r="B26" i="22"/>
  <c r="B18" i="22"/>
  <c r="B9" i="22"/>
  <c r="B33" i="22"/>
  <c r="B25" i="22"/>
  <c r="B17" i="22"/>
  <c r="B8" i="22"/>
  <c r="B32" i="22"/>
  <c r="B24" i="22"/>
  <c r="B16" i="22"/>
  <c r="B7" i="22"/>
  <c r="B31" i="22"/>
  <c r="B23" i="22"/>
  <c r="B15" i="22"/>
  <c r="B30" i="22"/>
  <c r="B22" i="22"/>
  <c r="B14" i="22"/>
  <c r="B21" i="22"/>
  <c r="B13" i="22"/>
  <c r="B28" i="22"/>
  <c r="B20" i="22"/>
  <c r="B10" i="22"/>
  <c r="B6" i="22"/>
  <c r="C292" i="1"/>
  <c r="J292" i="1" s="1"/>
  <c r="C290" i="1"/>
  <c r="J290" i="1" s="1"/>
  <c r="C288" i="1"/>
  <c r="J288" i="1" s="1"/>
  <c r="C286" i="1"/>
  <c r="J286" i="1" s="1"/>
  <c r="C284" i="1"/>
  <c r="J284" i="1" s="1"/>
  <c r="C282" i="1"/>
  <c r="J282" i="1" s="1"/>
  <c r="C280" i="1"/>
  <c r="J280" i="1" s="1"/>
  <c r="C278" i="1"/>
  <c r="J278" i="1" s="1"/>
  <c r="C295" i="1"/>
  <c r="J295" i="1" s="1"/>
  <c r="C279" i="1"/>
  <c r="J279" i="1" s="1"/>
  <c r="C285" i="1"/>
  <c r="J285" i="1" s="1"/>
  <c r="B23" i="3"/>
  <c r="C293" i="1"/>
  <c r="J293" i="1" s="1"/>
  <c r="C289" i="1"/>
  <c r="J289" i="1" s="1"/>
  <c r="C281" i="1"/>
  <c r="J281" i="1" s="1"/>
  <c r="ES1" i="2"/>
  <c r="ES6" i="2" s="1"/>
  <c r="C294" i="1"/>
  <c r="J294" i="1" s="1"/>
  <c r="C287" i="1"/>
  <c r="J287" i="1" s="1"/>
  <c r="FM1" i="2"/>
  <c r="FM6" i="2" s="1"/>
  <c r="M610" i="19"/>
  <c r="DY1" i="2"/>
  <c r="DY6" i="2" s="1"/>
  <c r="C65" i="7" s="1"/>
  <c r="C283" i="1"/>
  <c r="J283" i="1" s="1"/>
  <c r="W610" i="19"/>
  <c r="AG610" i="19"/>
  <c r="J140" i="19"/>
  <c r="A213" i="19"/>
  <c r="J120" i="19"/>
  <c r="J161" i="19"/>
  <c r="AD218" i="19"/>
  <c r="T218" i="19"/>
  <c r="J218" i="19"/>
  <c r="A113" i="19"/>
  <c r="J141" i="19"/>
  <c r="C291" i="1"/>
  <c r="J291" i="1" s="1"/>
  <c r="A74" i="19"/>
  <c r="C249" i="7"/>
  <c r="E2" i="21"/>
  <c r="K2" i="13"/>
  <c r="C6" i="2"/>
  <c r="AU4" i="16"/>
  <c r="C92" i="7"/>
  <c r="AQ38" i="1"/>
  <c r="U36" i="8"/>
  <c r="EQ6" i="2"/>
  <c r="ER6" i="2"/>
  <c r="D3" i="5"/>
  <c r="C261" i="7" s="1"/>
  <c r="C3" i="5"/>
  <c r="C259" i="7" s="1"/>
  <c r="AQ31" i="1"/>
  <c r="U30" i="8"/>
  <c r="E34" i="8"/>
  <c r="AA35" i="1"/>
  <c r="EP6" i="2"/>
  <c r="A614" i="19"/>
  <c r="A613" i="19"/>
  <c r="A621" i="19"/>
  <c r="A620" i="19"/>
  <c r="A617" i="19"/>
  <c r="A611" i="19"/>
  <c r="A618" i="19"/>
  <c r="A619" i="19"/>
  <c r="A615" i="19"/>
  <c r="A612" i="19"/>
  <c r="A616" i="19"/>
  <c r="A623" i="19"/>
  <c r="A622" i="19"/>
  <c r="AJ4" i="19"/>
  <c r="A219" i="19"/>
  <c r="C219" i="19" s="1"/>
  <c r="A223" i="19"/>
  <c r="A225" i="19" s="1"/>
  <c r="A222" i="19"/>
  <c r="A220" i="19"/>
  <c r="AM4" i="19"/>
  <c r="AM5" i="19"/>
  <c r="D85" i="11"/>
  <c r="D58" i="11"/>
  <c r="D62" i="11"/>
  <c r="D74" i="11"/>
  <c r="D66" i="11"/>
  <c r="D78" i="11"/>
  <c r="D70" i="11"/>
  <c r="D54" i="11"/>
  <c r="J6" i="2"/>
  <c r="V34" i="8"/>
  <c r="AR35" i="1"/>
  <c r="V33" i="8"/>
  <c r="AR34" i="1"/>
  <c r="I1" i="21"/>
  <c r="J1" i="21"/>
  <c r="V32" i="8"/>
  <c r="AR33" i="1"/>
  <c r="E32" i="8"/>
  <c r="AA33" i="1"/>
  <c r="C240" i="7"/>
  <c r="AF6" i="23"/>
  <c r="X6" i="23"/>
  <c r="P6" i="23"/>
  <c r="AO6" i="2"/>
  <c r="AG6" i="2"/>
  <c r="AB6" i="23"/>
  <c r="S6" i="23"/>
  <c r="AL6" i="2"/>
  <c r="AC6" i="2"/>
  <c r="AG6" i="23"/>
  <c r="V6" i="23"/>
  <c r="AK6" i="2"/>
  <c r="AA6" i="2"/>
  <c r="Z6" i="23"/>
  <c r="AF6" i="2"/>
  <c r="W6" i="23"/>
  <c r="AH6" i="23"/>
  <c r="R6" i="23"/>
  <c r="AP6" i="2"/>
  <c r="AB6" i="2"/>
  <c r="Y6" i="23"/>
  <c r="AI6" i="2"/>
  <c r="T6" i="23"/>
  <c r="AE6" i="2"/>
  <c r="AC6" i="23"/>
  <c r="AM6" i="2"/>
  <c r="X6" i="2"/>
  <c r="AH6" i="2"/>
  <c r="AE6" i="23"/>
  <c r="AD6" i="2"/>
  <c r="AD6" i="23"/>
  <c r="Z6" i="2"/>
  <c r="Q6" i="23"/>
  <c r="Y6" i="2"/>
  <c r="AN6" i="2"/>
  <c r="AJ6" i="2"/>
  <c r="U6" i="23"/>
  <c r="AA6" i="23"/>
  <c r="O6" i="23"/>
  <c r="W6" i="2"/>
  <c r="C222" i="7"/>
  <c r="E5" i="1"/>
  <c r="C253" i="1"/>
  <c r="J253" i="1" s="1"/>
  <c r="C245" i="1"/>
  <c r="J245" i="1" s="1"/>
  <c r="B19" i="3"/>
  <c r="C255" i="1"/>
  <c r="J255" i="1" s="1"/>
  <c r="C239" i="1"/>
  <c r="J239" i="1" s="1"/>
  <c r="C232" i="1"/>
  <c r="J232" i="1" s="1"/>
  <c r="C223" i="1"/>
  <c r="J223" i="1" s="1"/>
  <c r="C216" i="1"/>
  <c r="J216" i="1" s="1"/>
  <c r="C207" i="1"/>
  <c r="J207" i="1" s="1"/>
  <c r="C200" i="1"/>
  <c r="J200" i="1" s="1"/>
  <c r="C249" i="1"/>
  <c r="J249" i="1" s="1"/>
  <c r="C242" i="1"/>
  <c r="J242" i="1" s="1"/>
  <c r="C237" i="1"/>
  <c r="J237" i="1" s="1"/>
  <c r="C225" i="1"/>
  <c r="J225" i="1" s="1"/>
  <c r="C220" i="1"/>
  <c r="J220" i="1" s="1"/>
  <c r="C213" i="1"/>
  <c r="J213" i="1" s="1"/>
  <c r="C203" i="1"/>
  <c r="J203" i="1" s="1"/>
  <c r="C252" i="1"/>
  <c r="J252" i="1" s="1"/>
  <c r="C243" i="1"/>
  <c r="J243" i="1" s="1"/>
  <c r="C240" i="1"/>
  <c r="J240" i="1" s="1"/>
  <c r="C222" i="1"/>
  <c r="J222" i="1" s="1"/>
  <c r="C206" i="1"/>
  <c r="J206" i="1" s="1"/>
  <c r="C250" i="1"/>
  <c r="J250" i="1" s="1"/>
  <c r="C236" i="1"/>
  <c r="J236" i="1" s="1"/>
  <c r="C229" i="1"/>
  <c r="J229" i="1" s="1"/>
  <c r="C221" i="1"/>
  <c r="J221" i="1" s="1"/>
  <c r="C6" i="1"/>
  <c r="J6" i="1" s="1"/>
  <c r="FI1" i="2"/>
  <c r="FI6" i="2" s="1"/>
  <c r="DU1" i="2"/>
  <c r="DU6" i="2" s="1"/>
  <c r="C251" i="1"/>
  <c r="J251" i="1" s="1"/>
  <c r="C246" i="1"/>
  <c r="J246" i="1" s="1"/>
  <c r="C227" i="1"/>
  <c r="J227" i="1" s="1"/>
  <c r="C224" i="1"/>
  <c r="J224" i="1" s="1"/>
  <c r="C215" i="1"/>
  <c r="J215" i="1" s="1"/>
  <c r="C202" i="1"/>
  <c r="J202" i="1" s="1"/>
  <c r="C254" i="1"/>
  <c r="J254" i="1" s="1"/>
  <c r="C210" i="1"/>
  <c r="J210" i="1" s="1"/>
  <c r="C204" i="1"/>
  <c r="J204" i="1" s="1"/>
  <c r="C247" i="1"/>
  <c r="J247" i="1" s="1"/>
  <c r="C244" i="1"/>
  <c r="J244" i="1" s="1"/>
  <c r="C234" i="1"/>
  <c r="J234" i="1" s="1"/>
  <c r="C226" i="1"/>
  <c r="J226" i="1" s="1"/>
  <c r="C209" i="1"/>
  <c r="J209" i="1" s="1"/>
  <c r="C228" i="1"/>
  <c r="J228" i="1" s="1"/>
  <c r="C218" i="1"/>
  <c r="J218" i="1" s="1"/>
  <c r="C214" i="1"/>
  <c r="J214" i="1" s="1"/>
  <c r="C211" i="1"/>
  <c r="J211" i="1" s="1"/>
  <c r="C233" i="1"/>
  <c r="J233" i="1" s="1"/>
  <c r="C230" i="1"/>
  <c r="J230" i="1" s="1"/>
  <c r="C9" i="1"/>
  <c r="J9" i="1" s="1"/>
  <c r="C219" i="1"/>
  <c r="J219" i="1" s="1"/>
  <c r="C248" i="1"/>
  <c r="J248" i="1" s="1"/>
  <c r="C238" i="1"/>
  <c r="J238" i="1" s="1"/>
  <c r="C235" i="1"/>
  <c r="J235" i="1" s="1"/>
  <c r="I610" i="19"/>
  <c r="C212" i="1"/>
  <c r="J212" i="1" s="1"/>
  <c r="C205" i="1"/>
  <c r="J205" i="1" s="1"/>
  <c r="C201" i="1"/>
  <c r="J201" i="1" s="1"/>
  <c r="C208" i="1"/>
  <c r="J208" i="1" s="1"/>
  <c r="C231" i="1"/>
  <c r="J231" i="1" s="1"/>
  <c r="AC610" i="19"/>
  <c r="C217" i="1"/>
  <c r="J217" i="1" s="1"/>
  <c r="C10" i="1"/>
  <c r="J10" i="1" s="1"/>
  <c r="C241" i="1"/>
  <c r="J241" i="1" s="1"/>
  <c r="S610" i="19"/>
  <c r="Z218" i="19"/>
  <c r="F161" i="19"/>
  <c r="P218" i="19"/>
  <c r="F120" i="19"/>
  <c r="A209" i="19"/>
  <c r="A109" i="19"/>
  <c r="F218" i="19"/>
  <c r="EO1" i="2"/>
  <c r="EO6" i="2" s="1"/>
  <c r="A34" i="19"/>
  <c r="F141" i="19"/>
  <c r="F140" i="19"/>
  <c r="C29" i="7"/>
  <c r="E14" i="19"/>
  <c r="C229" i="7"/>
  <c r="F1" i="12"/>
  <c r="D2" i="13"/>
  <c r="I5" i="1"/>
  <c r="I2" i="1" s="1"/>
  <c r="U6" i="2"/>
  <c r="AY4" i="16"/>
  <c r="F36" i="8"/>
  <c r="AB38" i="1"/>
  <c r="K217" i="19"/>
  <c r="U31" i="8"/>
  <c r="AQ32" i="1"/>
  <c r="E7" i="19"/>
  <c r="E8" i="19" s="1"/>
  <c r="E5" i="19"/>
  <c r="G47" i="11" s="1"/>
  <c r="F6" i="19"/>
  <c r="AL80" i="11"/>
  <c r="AL49" i="11"/>
  <c r="AL60" i="11"/>
  <c r="AL64" i="11"/>
  <c r="AL68" i="11"/>
  <c r="AL52" i="11"/>
  <c r="AL76" i="11"/>
  <c r="AL83" i="11"/>
  <c r="AL56" i="11"/>
  <c r="AL72" i="11"/>
  <c r="G5" i="18"/>
  <c r="C6" i="23"/>
  <c r="A4" i="11"/>
  <c r="C235" i="7"/>
  <c r="J5" i="1"/>
  <c r="C37" i="7" s="1"/>
  <c r="C19" i="7"/>
  <c r="N36" i="8"/>
  <c r="AJ38" i="1"/>
  <c r="EU6" i="2"/>
  <c r="C22" i="7"/>
  <c r="E94" i="19"/>
  <c r="G83" i="11" s="1"/>
  <c r="G33" i="8"/>
  <c r="AC34" i="1"/>
  <c r="EM6" i="2"/>
  <c r="C50" i="7"/>
  <c r="C232" i="7"/>
  <c r="U5" i="1"/>
  <c r="C74" i="7"/>
  <c r="H30" i="8"/>
  <c r="AD31" i="1"/>
  <c r="F31" i="8"/>
  <c r="AB32" i="1"/>
  <c r="C54" i="7"/>
  <c r="D97" i="19" l="1"/>
  <c r="E56" i="19"/>
  <c r="J3" i="2"/>
  <c r="C91" i="7"/>
  <c r="C75" i="7"/>
  <c r="K557" i="19"/>
  <c r="K534" i="19"/>
  <c r="K529" i="19"/>
  <c r="K509" i="19"/>
  <c r="K553" i="19"/>
  <c r="K542" i="19"/>
  <c r="K528" i="19"/>
  <c r="K476" i="19"/>
  <c r="K555" i="19"/>
  <c r="K485" i="19"/>
  <c r="K464" i="19"/>
  <c r="K489" i="19"/>
  <c r="K416" i="19"/>
  <c r="K364" i="19"/>
  <c r="K348" i="19"/>
  <c r="K332" i="19"/>
  <c r="K481" i="19"/>
  <c r="K409" i="19"/>
  <c r="K478" i="19"/>
  <c r="K580" i="19"/>
  <c r="K369" i="19"/>
  <c r="K402" i="19"/>
  <c r="K412" i="19"/>
  <c r="K260" i="19"/>
  <c r="K259" i="19"/>
  <c r="K472" i="19"/>
  <c r="K383" i="19"/>
  <c r="K357" i="19"/>
  <c r="K439" i="19"/>
  <c r="K424" i="19"/>
  <c r="K363" i="19"/>
  <c r="K349" i="19"/>
  <c r="K375" i="19"/>
  <c r="K374" i="19"/>
  <c r="K347" i="19"/>
  <c r="K343" i="19"/>
  <c r="K282" i="19"/>
  <c r="K280" i="19"/>
  <c r="K302" i="19"/>
  <c r="K289" i="19"/>
  <c r="K240" i="19"/>
  <c r="K238" i="19"/>
  <c r="K219" i="19"/>
  <c r="K450" i="19"/>
  <c r="K333" i="19"/>
  <c r="K306" i="19"/>
  <c r="K290" i="19"/>
  <c r="K288" i="19"/>
  <c r="K229" i="19"/>
  <c r="K436" i="19"/>
  <c r="K239" i="19"/>
  <c r="K544" i="19"/>
  <c r="K494" i="19"/>
  <c r="K437" i="19"/>
  <c r="K237" i="19"/>
  <c r="K490" i="19"/>
  <c r="K279" i="19"/>
  <c r="K271" i="19"/>
  <c r="K223" i="19"/>
  <c r="K253" i="19"/>
  <c r="K227" i="19"/>
  <c r="K482" i="19"/>
  <c r="K235" i="19"/>
  <c r="K380" i="19"/>
  <c r="K257" i="19"/>
  <c r="K241" i="19"/>
  <c r="K267" i="19"/>
  <c r="C16" i="7"/>
  <c r="C64" i="7"/>
  <c r="E96" i="19"/>
  <c r="C32" i="7"/>
  <c r="V36" i="8"/>
  <c r="AR38" i="1"/>
  <c r="H3" i="2"/>
  <c r="C161" i="7"/>
  <c r="E24" i="19"/>
  <c r="G56" i="11" s="1"/>
  <c r="D87" i="19"/>
  <c r="C100" i="7"/>
  <c r="C167" i="7"/>
  <c r="C55" i="7"/>
  <c r="C58" i="7"/>
  <c r="C164" i="7"/>
  <c r="C170" i="7"/>
  <c r="X3" i="1"/>
  <c r="C156" i="7"/>
  <c r="N3" i="1"/>
  <c r="C41" i="7"/>
  <c r="C8" i="3"/>
  <c r="W33" i="8"/>
  <c r="AS34" i="1"/>
  <c r="F622" i="19"/>
  <c r="C622" i="19"/>
  <c r="F34" i="8"/>
  <c r="AB35" i="1"/>
  <c r="FG3" i="2"/>
  <c r="C15" i="7"/>
  <c r="C105" i="7"/>
  <c r="C69" i="7"/>
  <c r="E87" i="19"/>
  <c r="O3" i="23"/>
  <c r="C154" i="7"/>
  <c r="F620" i="19"/>
  <c r="C98" i="7"/>
  <c r="E217" i="19"/>
  <c r="L217" i="19"/>
  <c r="AQ3" i="2"/>
  <c r="CY3" i="2"/>
  <c r="C3" i="23"/>
  <c r="B47" i="18"/>
  <c r="E77" i="19"/>
  <c r="D76" i="19"/>
  <c r="D77" i="19"/>
  <c r="F74" i="19"/>
  <c r="H76" i="11" s="1"/>
  <c r="F76" i="19"/>
  <c r="AJ74" i="19"/>
  <c r="AK74" i="19" s="1"/>
  <c r="AM76" i="11" s="1"/>
  <c r="E76" i="19"/>
  <c r="F77" i="19"/>
  <c r="AM74" i="19"/>
  <c r="AN74" i="19" s="1"/>
  <c r="AQ76" i="11" s="1"/>
  <c r="E74" i="19"/>
  <c r="G76" i="11" s="1"/>
  <c r="D74" i="19"/>
  <c r="F76" i="11" s="1"/>
  <c r="D86" i="19"/>
  <c r="C68" i="7"/>
  <c r="C8" i="7"/>
  <c r="C44" i="7"/>
  <c r="F3" i="2"/>
  <c r="D7" i="19"/>
  <c r="D8" i="19" s="1"/>
  <c r="C40" i="7"/>
  <c r="C46" i="7"/>
  <c r="F46" i="19"/>
  <c r="F26" i="19"/>
  <c r="F7" i="19"/>
  <c r="F8" i="19" s="1"/>
  <c r="G6" i="19"/>
  <c r="F87" i="19"/>
  <c r="F64" i="19"/>
  <c r="H72" i="11" s="1"/>
  <c r="F84" i="19"/>
  <c r="H80" i="11" s="1"/>
  <c r="F5" i="19"/>
  <c r="H47" i="11" s="1"/>
  <c r="F44" i="19"/>
  <c r="H64" i="11" s="1"/>
  <c r="F17" i="19"/>
  <c r="F67" i="19"/>
  <c r="F57" i="19"/>
  <c r="F24" i="19"/>
  <c r="H56" i="11" s="1"/>
  <c r="F96" i="19"/>
  <c r="F14" i="19"/>
  <c r="F47" i="19"/>
  <c r="F66" i="19"/>
  <c r="F97" i="19"/>
  <c r="F27" i="19"/>
  <c r="F86" i="19"/>
  <c r="F94" i="19"/>
  <c r="H83" i="11" s="1"/>
  <c r="F16" i="19"/>
  <c r="G12" i="19" s="1"/>
  <c r="F54" i="19"/>
  <c r="H68" i="11" s="1"/>
  <c r="F56" i="19"/>
  <c r="E44" i="19"/>
  <c r="G64" i="11" s="1"/>
  <c r="E84" i="19"/>
  <c r="G80" i="11" s="1"/>
  <c r="C36" i="7"/>
  <c r="C150" i="7"/>
  <c r="E46" i="19"/>
  <c r="C173" i="7"/>
  <c r="C159" i="7"/>
  <c r="GB3" i="2"/>
  <c r="S217" i="19"/>
  <c r="G1" i="1"/>
  <c r="W34" i="8"/>
  <c r="AS35" i="1"/>
  <c r="AM3" i="19"/>
  <c r="AQ48" i="11" s="1"/>
  <c r="AM24" i="19"/>
  <c r="AN24" i="19" s="1"/>
  <c r="AQ56" i="11" s="1"/>
  <c r="AM64" i="19"/>
  <c r="AN64" i="19" s="1"/>
  <c r="AQ72" i="11" s="1"/>
  <c r="AM44" i="19"/>
  <c r="AN44" i="19" s="1"/>
  <c r="AQ64" i="11" s="1"/>
  <c r="AM84" i="19"/>
  <c r="AN84" i="19" s="1"/>
  <c r="AQ80" i="11" s="1"/>
  <c r="AM54" i="19"/>
  <c r="AN54" i="19" s="1"/>
  <c r="AQ68" i="11" s="1"/>
  <c r="AM14" i="19"/>
  <c r="AM94" i="19"/>
  <c r="AN94" i="19" s="1"/>
  <c r="AQ83" i="11" s="1"/>
  <c r="F616" i="19"/>
  <c r="C616" i="19"/>
  <c r="F621" i="19"/>
  <c r="Q217" i="19"/>
  <c r="G217" i="19"/>
  <c r="EM3" i="2"/>
  <c r="DS3" i="2"/>
  <c r="N217" i="19"/>
  <c r="D67" i="19"/>
  <c r="C95" i="7"/>
  <c r="C79" i="7"/>
  <c r="I3" i="23"/>
  <c r="C103" i="7"/>
  <c r="C84" i="7"/>
  <c r="C73" i="7"/>
  <c r="I1" i="1"/>
  <c r="C24" i="7"/>
  <c r="E3" i="2"/>
  <c r="C102" i="7"/>
  <c r="E57" i="19"/>
  <c r="C12" i="7"/>
  <c r="D47" i="19"/>
  <c r="C82" i="7"/>
  <c r="C149" i="7"/>
  <c r="J3" i="23"/>
  <c r="D3" i="2"/>
  <c r="D57" i="19"/>
  <c r="CE3" i="2"/>
  <c r="C39" i="7"/>
  <c r="O36" i="8"/>
  <c r="AK38" i="1"/>
  <c r="F1" i="1"/>
  <c r="D64" i="19"/>
  <c r="F72" i="11" s="1"/>
  <c r="C9" i="7"/>
  <c r="D17" i="19"/>
  <c r="C85" i="7"/>
  <c r="I217" i="19"/>
  <c r="I3" i="2"/>
  <c r="C72" i="7"/>
  <c r="C3" i="2"/>
  <c r="U217" i="19"/>
  <c r="G31" i="8"/>
  <c r="AC32" i="1"/>
  <c r="C71" i="7"/>
  <c r="C61" i="7"/>
  <c r="C86" i="7"/>
  <c r="E26" i="19"/>
  <c r="H3" i="23"/>
  <c r="E67" i="19"/>
  <c r="C83" i="7"/>
  <c r="C157" i="7"/>
  <c r="C153" i="7"/>
  <c r="C33" i="7"/>
  <c r="C162" i="7"/>
  <c r="P217" i="19"/>
  <c r="V217" i="19"/>
  <c r="C14" i="7"/>
  <c r="F615" i="19"/>
  <c r="F614" i="19"/>
  <c r="C614" i="19"/>
  <c r="C160" i="7"/>
  <c r="K3" i="23"/>
  <c r="D27" i="19"/>
  <c r="R217" i="19"/>
  <c r="A3" i="23"/>
  <c r="C104" i="7"/>
  <c r="G52" i="11"/>
  <c r="C38" i="7"/>
  <c r="C67" i="7"/>
  <c r="F611" i="19"/>
  <c r="C611" i="19"/>
  <c r="C87" i="7"/>
  <c r="C151" i="7"/>
  <c r="D217" i="19"/>
  <c r="C51" i="7"/>
  <c r="F217" i="19"/>
  <c r="F32" i="8"/>
  <c r="AB33" i="1"/>
  <c r="B3" i="2"/>
  <c r="C166" i="7"/>
  <c r="D4" i="1"/>
  <c r="C174" i="7" s="1"/>
  <c r="C88" i="7"/>
  <c r="C62" i="7"/>
  <c r="C66" i="7"/>
  <c r="H33" i="8"/>
  <c r="AD34" i="1"/>
  <c r="C97" i="7"/>
  <c r="E47" i="19"/>
  <c r="V31" i="8"/>
  <c r="AR32" i="1"/>
  <c r="G3" i="2"/>
  <c r="C13" i="7"/>
  <c r="C45" i="7"/>
  <c r="F612" i="19"/>
  <c r="D56" i="19"/>
  <c r="C152" i="7"/>
  <c r="C18" i="7"/>
  <c r="C59" i="7"/>
  <c r="D84" i="19"/>
  <c r="F80" i="11" s="1"/>
  <c r="C11" i="7"/>
  <c r="O3" i="1"/>
  <c r="E16" i="19"/>
  <c r="F12" i="19" s="1"/>
  <c r="E17" i="19"/>
  <c r="D96" i="19"/>
  <c r="F3" i="23"/>
  <c r="D94" i="19"/>
  <c r="F83" i="11" s="1"/>
  <c r="C169" i="7"/>
  <c r="C30" i="7"/>
  <c r="C163" i="7"/>
  <c r="W3" i="2"/>
  <c r="AS33" i="1"/>
  <c r="W32" i="8"/>
  <c r="F619" i="19"/>
  <c r="D46" i="19"/>
  <c r="C168" i="7"/>
  <c r="D44" i="19"/>
  <c r="F64" i="11" s="1"/>
  <c r="B3" i="23"/>
  <c r="A3" i="2"/>
  <c r="C63" i="7"/>
  <c r="J217" i="19"/>
  <c r="E54" i="19"/>
  <c r="G68" i="11" s="1"/>
  <c r="I30" i="8"/>
  <c r="AE31" i="1"/>
  <c r="AJ3" i="19"/>
  <c r="AM48" i="11" s="1"/>
  <c r="AJ94" i="19"/>
  <c r="AK94" i="19" s="1"/>
  <c r="AM83" i="11" s="1"/>
  <c r="AJ64" i="19"/>
  <c r="AK64" i="19" s="1"/>
  <c r="AM72" i="11" s="1"/>
  <c r="AJ24" i="19"/>
  <c r="AK24" i="19" s="1"/>
  <c r="AM56" i="11" s="1"/>
  <c r="AJ84" i="19"/>
  <c r="AK84" i="19" s="1"/>
  <c r="AM80" i="11" s="1"/>
  <c r="AJ44" i="19"/>
  <c r="AK44" i="19" s="1"/>
  <c r="AJ14" i="19"/>
  <c r="AJ54" i="19"/>
  <c r="AK54" i="19" s="1"/>
  <c r="AM68" i="11" s="1"/>
  <c r="O217" i="19"/>
  <c r="C35" i="7"/>
  <c r="Y3" i="1"/>
  <c r="C52" i="7"/>
  <c r="C42" i="7"/>
  <c r="F617" i="19"/>
  <c r="H217" i="19"/>
  <c r="E97" i="19"/>
  <c r="D24" i="19"/>
  <c r="F56" i="11" s="1"/>
  <c r="E86" i="19"/>
  <c r="J2" i="1"/>
  <c r="D26" i="19"/>
  <c r="D14" i="19"/>
  <c r="E64" i="19"/>
  <c r="G72" i="11" s="1"/>
  <c r="C165" i="7"/>
  <c r="C146" i="7"/>
  <c r="C96" i="7"/>
  <c r="F613" i="19"/>
  <c r="V30" i="8"/>
  <c r="AR31" i="1"/>
  <c r="C148" i="7"/>
  <c r="C70" i="7"/>
  <c r="C101" i="7"/>
  <c r="C155" i="7"/>
  <c r="BK3" i="2"/>
  <c r="C93" i="7"/>
  <c r="C31" i="7"/>
  <c r="C80" i="7"/>
  <c r="C106" i="7"/>
  <c r="D54" i="19"/>
  <c r="F68" i="11" s="1"/>
  <c r="E27" i="19"/>
  <c r="E66" i="19"/>
  <c r="G36" i="8"/>
  <c r="AC38" i="1"/>
  <c r="D66" i="19"/>
  <c r="C10" i="7"/>
  <c r="C20" i="7"/>
  <c r="C77" i="7"/>
  <c r="B27" i="18"/>
  <c r="D37" i="19"/>
  <c r="F34" i="19"/>
  <c r="H60" i="11" s="1"/>
  <c r="AM34" i="19"/>
  <c r="AN34" i="19" s="1"/>
  <c r="AQ60" i="11" s="1"/>
  <c r="E34" i="19"/>
  <c r="G60" i="11" s="1"/>
  <c r="D36" i="19"/>
  <c r="AJ34" i="19"/>
  <c r="AK34" i="19" s="1"/>
  <c r="D34" i="19"/>
  <c r="F60" i="11" s="1"/>
  <c r="F36" i="19"/>
  <c r="G37" i="19"/>
  <c r="F37" i="19"/>
  <c r="E37" i="19"/>
  <c r="E36" i="19"/>
  <c r="C78" i="7"/>
  <c r="C158" i="7"/>
  <c r="C220" i="19"/>
  <c r="C221" i="19" s="1"/>
  <c r="C222" i="19" s="1"/>
  <c r="C223" i="19" s="1"/>
  <c r="C224" i="19" s="1"/>
  <c r="C225" i="19" s="1"/>
  <c r="C226" i="19" s="1"/>
  <c r="C227" i="19" s="1"/>
  <c r="C228" i="19" s="1"/>
  <c r="C229" i="19" s="1"/>
  <c r="C230" i="19" s="1"/>
  <c r="C231" i="19" s="1"/>
  <c r="C232" i="19" s="1"/>
  <c r="C233" i="19" s="1"/>
  <c r="C234" i="19" s="1"/>
  <c r="C235" i="19" s="1"/>
  <c r="C236" i="19" s="1"/>
  <c r="C237" i="19" s="1"/>
  <c r="C238" i="19" s="1"/>
  <c r="C239" i="19" s="1"/>
  <c r="C240" i="19" s="1"/>
  <c r="C241" i="19" s="1"/>
  <c r="C242" i="19" s="1"/>
  <c r="C243" i="19" s="1"/>
  <c r="C244" i="19" s="1"/>
  <c r="C245" i="19" s="1"/>
  <c r="C246" i="19" s="1"/>
  <c r="C247" i="19" s="1"/>
  <c r="C248" i="19" s="1"/>
  <c r="C249" i="19" s="1"/>
  <c r="C250" i="19" s="1"/>
  <c r="C251" i="19" s="1"/>
  <c r="C252" i="19" s="1"/>
  <c r="C253" i="19" s="1"/>
  <c r="C254" i="19" s="1"/>
  <c r="C255" i="19" s="1"/>
  <c r="C256" i="19" s="1"/>
  <c r="C257" i="19" s="1"/>
  <c r="C258" i="19" s="1"/>
  <c r="C259" i="19" s="1"/>
  <c r="C260" i="19" s="1"/>
  <c r="C261" i="19" s="1"/>
  <c r="C262" i="19" s="1"/>
  <c r="C263" i="19" s="1"/>
  <c r="C264" i="19" s="1"/>
  <c r="C265" i="19" s="1"/>
  <c r="C266" i="19" s="1"/>
  <c r="C267" i="19" s="1"/>
  <c r="C268" i="19" s="1"/>
  <c r="C269" i="19" s="1"/>
  <c r="C270" i="19" s="1"/>
  <c r="C271" i="19" s="1"/>
  <c r="C272" i="19" s="1"/>
  <c r="C273" i="19" s="1"/>
  <c r="C274" i="19" s="1"/>
  <c r="C275" i="19" s="1"/>
  <c r="C276" i="19" s="1"/>
  <c r="C277" i="19" s="1"/>
  <c r="C278" i="19" s="1"/>
  <c r="C279" i="19" s="1"/>
  <c r="C280" i="19" s="1"/>
  <c r="C281" i="19" s="1"/>
  <c r="C282" i="19" s="1"/>
  <c r="C283" i="19" s="1"/>
  <c r="C284" i="19" s="1"/>
  <c r="C285" i="19" s="1"/>
  <c r="C286" i="19" s="1"/>
  <c r="C287" i="19" s="1"/>
  <c r="C288" i="19" s="1"/>
  <c r="C289" i="19" s="1"/>
  <c r="C290" i="19" s="1"/>
  <c r="C291" i="19" s="1"/>
  <c r="C292" i="19" s="1"/>
  <c r="C293" i="19" s="1"/>
  <c r="C294" i="19" s="1"/>
  <c r="C295" i="19" s="1"/>
  <c r="C296" i="19" s="1"/>
  <c r="C297" i="19" s="1"/>
  <c r="C298" i="19" s="1"/>
  <c r="C299" i="19" s="1"/>
  <c r="C300" i="19" s="1"/>
  <c r="C301" i="19" s="1"/>
  <c r="C302" i="19" s="1"/>
  <c r="C303" i="19" s="1"/>
  <c r="C304" i="19" s="1"/>
  <c r="C305" i="19" s="1"/>
  <c r="C306" i="19" s="1"/>
  <c r="C307" i="19" s="1"/>
  <c r="C308" i="19" s="1"/>
  <c r="C309" i="19" s="1"/>
  <c r="C310" i="19" s="1"/>
  <c r="C311" i="19" s="1"/>
  <c r="C312" i="19" s="1"/>
  <c r="C313" i="19" s="1"/>
  <c r="C314" i="19" s="1"/>
  <c r="C315" i="19" s="1"/>
  <c r="C316" i="19" s="1"/>
  <c r="C317" i="19" s="1"/>
  <c r="C318" i="19" s="1"/>
  <c r="C319" i="19" s="1"/>
  <c r="C320" i="19" s="1"/>
  <c r="C321" i="19" s="1"/>
  <c r="C322" i="19" s="1"/>
  <c r="C323" i="19" s="1"/>
  <c r="C324" i="19" s="1"/>
  <c r="C325" i="19" s="1"/>
  <c r="C326" i="19" s="1"/>
  <c r="C327" i="19" s="1"/>
  <c r="C328" i="19" s="1"/>
  <c r="C329" i="19" s="1"/>
  <c r="C330" i="19" s="1"/>
  <c r="C331" i="19" s="1"/>
  <c r="C332" i="19" s="1"/>
  <c r="C333" i="19" s="1"/>
  <c r="C334" i="19" s="1"/>
  <c r="C335" i="19" s="1"/>
  <c r="C336" i="19" s="1"/>
  <c r="C337" i="19" s="1"/>
  <c r="C338" i="19" s="1"/>
  <c r="C339" i="19" s="1"/>
  <c r="C340" i="19" s="1"/>
  <c r="C341" i="19" s="1"/>
  <c r="C342" i="19" s="1"/>
  <c r="C343" i="19" s="1"/>
  <c r="C344" i="19" s="1"/>
  <c r="C345" i="19" s="1"/>
  <c r="C346" i="19" s="1"/>
  <c r="C347" i="19" s="1"/>
  <c r="C348" i="19" s="1"/>
  <c r="C349" i="19" s="1"/>
  <c r="C350" i="19" s="1"/>
  <c r="C351" i="19" s="1"/>
  <c r="C352" i="19" s="1"/>
  <c r="C353" i="19" s="1"/>
  <c r="C354" i="19" s="1"/>
  <c r="C355" i="19" s="1"/>
  <c r="C356" i="19" s="1"/>
  <c r="C357" i="19" s="1"/>
  <c r="C358" i="19" s="1"/>
  <c r="C359" i="19" s="1"/>
  <c r="C360" i="19" s="1"/>
  <c r="C361" i="19" s="1"/>
  <c r="C362" i="19" s="1"/>
  <c r="C363" i="19" s="1"/>
  <c r="C364" i="19" s="1"/>
  <c r="C365" i="19" s="1"/>
  <c r="C366" i="19" s="1"/>
  <c r="C367" i="19" s="1"/>
  <c r="C368" i="19" s="1"/>
  <c r="C369" i="19" s="1"/>
  <c r="C370" i="19" s="1"/>
  <c r="C371" i="19" s="1"/>
  <c r="C372" i="19" s="1"/>
  <c r="C373" i="19" s="1"/>
  <c r="C374" i="19" s="1"/>
  <c r="C375" i="19" s="1"/>
  <c r="C376" i="19" s="1"/>
  <c r="C377" i="19" s="1"/>
  <c r="C378" i="19" s="1"/>
  <c r="C379" i="19" s="1"/>
  <c r="C380" i="19" s="1"/>
  <c r="C381" i="19" s="1"/>
  <c r="C382" i="19" s="1"/>
  <c r="C383" i="19" s="1"/>
  <c r="C384" i="19" s="1"/>
  <c r="C385" i="19" s="1"/>
  <c r="C386" i="19" s="1"/>
  <c r="C387" i="19" s="1"/>
  <c r="C388" i="19" s="1"/>
  <c r="C389" i="19" s="1"/>
  <c r="C390" i="19" s="1"/>
  <c r="C391" i="19" s="1"/>
  <c r="C392" i="19" s="1"/>
  <c r="C393" i="19" s="1"/>
  <c r="C394" i="19" s="1"/>
  <c r="C395" i="19" s="1"/>
  <c r="C396" i="19" s="1"/>
  <c r="C397" i="19" s="1"/>
  <c r="C398" i="19" s="1"/>
  <c r="C399" i="19" s="1"/>
  <c r="C400" i="19" s="1"/>
  <c r="C401" i="19" s="1"/>
  <c r="C402" i="19" s="1"/>
  <c r="C403" i="19" s="1"/>
  <c r="C404" i="19" s="1"/>
  <c r="C405" i="19" s="1"/>
  <c r="C406" i="19" s="1"/>
  <c r="C407" i="19" s="1"/>
  <c r="C408" i="19" s="1"/>
  <c r="C409" i="19" s="1"/>
  <c r="C410" i="19" s="1"/>
  <c r="C411" i="19" s="1"/>
  <c r="C412" i="19" s="1"/>
  <c r="C413" i="19" s="1"/>
  <c r="C414" i="19" s="1"/>
  <c r="C415" i="19" s="1"/>
  <c r="C416" i="19" s="1"/>
  <c r="C417" i="19" s="1"/>
  <c r="C418" i="19" s="1"/>
  <c r="C419" i="19" s="1"/>
  <c r="C420" i="19" s="1"/>
  <c r="C421" i="19" s="1"/>
  <c r="C422" i="19" s="1"/>
  <c r="C423" i="19" s="1"/>
  <c r="C424" i="19" s="1"/>
  <c r="C425" i="19" s="1"/>
  <c r="C426" i="19" s="1"/>
  <c r="C427" i="19" s="1"/>
  <c r="C428" i="19" s="1"/>
  <c r="C429" i="19" s="1"/>
  <c r="C430" i="19" s="1"/>
  <c r="C431" i="19" s="1"/>
  <c r="C432" i="19" s="1"/>
  <c r="C433" i="19" s="1"/>
  <c r="C434" i="19" s="1"/>
  <c r="C435" i="19" s="1"/>
  <c r="C436" i="19" s="1"/>
  <c r="C437" i="19" s="1"/>
  <c r="C438" i="19" s="1"/>
  <c r="C439" i="19" s="1"/>
  <c r="C440" i="19" s="1"/>
  <c r="C441" i="19" s="1"/>
  <c r="C442" i="19" s="1"/>
  <c r="C443" i="19" s="1"/>
  <c r="C444" i="19" s="1"/>
  <c r="C445" i="19" s="1"/>
  <c r="C446" i="19" s="1"/>
  <c r="C447" i="19" s="1"/>
  <c r="C448" i="19" s="1"/>
  <c r="C449" i="19" s="1"/>
  <c r="C450" i="19" s="1"/>
  <c r="C451" i="19" s="1"/>
  <c r="C452" i="19" s="1"/>
  <c r="C453" i="19" s="1"/>
  <c r="C454" i="19" s="1"/>
  <c r="C455" i="19" s="1"/>
  <c r="C456" i="19" s="1"/>
  <c r="C457" i="19" s="1"/>
  <c r="C458" i="19" s="1"/>
  <c r="C459" i="19" s="1"/>
  <c r="C460" i="19" s="1"/>
  <c r="C461" i="19" s="1"/>
  <c r="C462" i="19" s="1"/>
  <c r="C463" i="19" s="1"/>
  <c r="C464" i="19" s="1"/>
  <c r="C465" i="19" s="1"/>
  <c r="C466" i="19" s="1"/>
  <c r="C467" i="19" s="1"/>
  <c r="C468" i="19" s="1"/>
  <c r="C469" i="19" s="1"/>
  <c r="C470" i="19" s="1"/>
  <c r="C471" i="19" s="1"/>
  <c r="C472" i="19" s="1"/>
  <c r="C473" i="19" s="1"/>
  <c r="C474" i="19" s="1"/>
  <c r="C475" i="19" s="1"/>
  <c r="C476" i="19" s="1"/>
  <c r="C477" i="19" s="1"/>
  <c r="C478" i="19" s="1"/>
  <c r="C479" i="19" s="1"/>
  <c r="C480" i="19" s="1"/>
  <c r="C481" i="19" s="1"/>
  <c r="C482" i="19" s="1"/>
  <c r="C483" i="19" s="1"/>
  <c r="C484" i="19" s="1"/>
  <c r="C485" i="19" s="1"/>
  <c r="C486" i="19" s="1"/>
  <c r="C487" i="19" s="1"/>
  <c r="C488" i="19" s="1"/>
  <c r="C489" i="19" s="1"/>
  <c r="C490" i="19" s="1"/>
  <c r="C491" i="19" s="1"/>
  <c r="C492" i="19" s="1"/>
  <c r="C493" i="19" s="1"/>
  <c r="C494" i="19" s="1"/>
  <c r="C495" i="19" s="1"/>
  <c r="C496" i="19" s="1"/>
  <c r="C497" i="19" s="1"/>
  <c r="C498" i="19" s="1"/>
  <c r="C499" i="19" s="1"/>
  <c r="C500" i="19" s="1"/>
  <c r="C501" i="19" s="1"/>
  <c r="C502" i="19" s="1"/>
  <c r="C503" i="19" s="1"/>
  <c r="C504" i="19" s="1"/>
  <c r="C505" i="19" s="1"/>
  <c r="C506" i="19" s="1"/>
  <c r="C507" i="19" s="1"/>
  <c r="C508" i="19" s="1"/>
  <c r="C509" i="19" s="1"/>
  <c r="C510" i="19" s="1"/>
  <c r="C511" i="19" s="1"/>
  <c r="C512" i="19" s="1"/>
  <c r="C513" i="19" s="1"/>
  <c r="C514" i="19" s="1"/>
  <c r="C515" i="19" s="1"/>
  <c r="C516" i="19" s="1"/>
  <c r="C517" i="19" s="1"/>
  <c r="C518" i="19" s="1"/>
  <c r="C519" i="19" s="1"/>
  <c r="C520" i="19" s="1"/>
  <c r="C521" i="19" s="1"/>
  <c r="C522" i="19" s="1"/>
  <c r="C523" i="19" s="1"/>
  <c r="C524" i="19" s="1"/>
  <c r="C525" i="19" s="1"/>
  <c r="C526" i="19" s="1"/>
  <c r="C527" i="19" s="1"/>
  <c r="C528" i="19" s="1"/>
  <c r="C529" i="19" s="1"/>
  <c r="C530" i="19" s="1"/>
  <c r="C531" i="19" s="1"/>
  <c r="C532" i="19" s="1"/>
  <c r="C533" i="19" s="1"/>
  <c r="C534" i="19" s="1"/>
  <c r="C535" i="19" s="1"/>
  <c r="C536" i="19" s="1"/>
  <c r="C537" i="19" s="1"/>
  <c r="C538" i="19" s="1"/>
  <c r="C539" i="19" s="1"/>
  <c r="C540" i="19" s="1"/>
  <c r="C541" i="19" s="1"/>
  <c r="C542" i="19" s="1"/>
  <c r="C543" i="19" s="1"/>
  <c r="C544" i="19" s="1"/>
  <c r="C545" i="19" s="1"/>
  <c r="C546" i="19" s="1"/>
  <c r="C547" i="19" s="1"/>
  <c r="C548" i="19" s="1"/>
  <c r="C549" i="19" s="1"/>
  <c r="C550" i="19" s="1"/>
  <c r="C551" i="19" s="1"/>
  <c r="C552" i="19" s="1"/>
  <c r="C553" i="19" s="1"/>
  <c r="C554" i="19" s="1"/>
  <c r="C555" i="19" s="1"/>
  <c r="C556" i="19" s="1"/>
  <c r="C557" i="19" s="1"/>
  <c r="C558" i="19" s="1"/>
  <c r="C559" i="19" s="1"/>
  <c r="C560" i="19" s="1"/>
  <c r="C561" i="19" s="1"/>
  <c r="C562" i="19" s="1"/>
  <c r="C563" i="19" s="1"/>
  <c r="C564" i="19" s="1"/>
  <c r="C565" i="19" s="1"/>
  <c r="C566" i="19" s="1"/>
  <c r="C567" i="19" s="1"/>
  <c r="C568" i="19" s="1"/>
  <c r="C569" i="19" s="1"/>
  <c r="C570" i="19" s="1"/>
  <c r="C571" i="19" s="1"/>
  <c r="C572" i="19" s="1"/>
  <c r="C573" i="19" s="1"/>
  <c r="C574" i="19" s="1"/>
  <c r="C575" i="19" s="1"/>
  <c r="C576" i="19" s="1"/>
  <c r="C577" i="19" s="1"/>
  <c r="C578" i="19" s="1"/>
  <c r="C579" i="19" s="1"/>
  <c r="C580" i="19" s="1"/>
  <c r="C581" i="19" s="1"/>
  <c r="C582" i="19" s="1"/>
  <c r="C583" i="19" s="1"/>
  <c r="C584" i="19" s="1"/>
  <c r="K584" i="19" s="1"/>
  <c r="F618" i="19"/>
  <c r="C57" i="7"/>
  <c r="D16" i="19"/>
  <c r="E3" i="23"/>
  <c r="G3" i="23"/>
  <c r="T217" i="19"/>
  <c r="C25" i="7"/>
  <c r="B76" i="11"/>
  <c r="B145" i="11"/>
  <c r="B60" i="11"/>
  <c r="B117" i="11"/>
  <c r="H2" i="1" l="1"/>
  <c r="C17" i="7"/>
  <c r="O572" i="19"/>
  <c r="Y572" i="19" s="1"/>
  <c r="O571" i="19"/>
  <c r="Y571" i="19" s="1"/>
  <c r="O556" i="19"/>
  <c r="Y556" i="19" s="1"/>
  <c r="O555" i="19"/>
  <c r="Y555" i="19" s="1"/>
  <c r="O583" i="19"/>
  <c r="Y583" i="19" s="1"/>
  <c r="O564" i="19"/>
  <c r="Y564" i="19" s="1"/>
  <c r="O561" i="19"/>
  <c r="Y561" i="19" s="1"/>
  <c r="O545" i="19"/>
  <c r="Y545" i="19" s="1"/>
  <c r="O544" i="19"/>
  <c r="Y544" i="19" s="1"/>
  <c r="O574" i="19"/>
  <c r="Y574" i="19" s="1"/>
  <c r="O568" i="19"/>
  <c r="Y568" i="19" s="1"/>
  <c r="O565" i="19"/>
  <c r="Y565" i="19" s="1"/>
  <c r="O580" i="19"/>
  <c r="Y580" i="19" s="1"/>
  <c r="O579" i="19"/>
  <c r="Y579" i="19" s="1"/>
  <c r="O559" i="19"/>
  <c r="Y559" i="19" s="1"/>
  <c r="O529" i="19"/>
  <c r="Y529" i="19" s="1"/>
  <c r="O528" i="19"/>
  <c r="Y528" i="19" s="1"/>
  <c r="O576" i="19"/>
  <c r="Y576" i="19" s="1"/>
  <c r="O575" i="19"/>
  <c r="Y575" i="19" s="1"/>
  <c r="O557" i="19"/>
  <c r="Y557" i="19" s="1"/>
  <c r="O553" i="19"/>
  <c r="Y553" i="19" s="1"/>
  <c r="O546" i="19"/>
  <c r="Y546" i="19" s="1"/>
  <c r="O541" i="19"/>
  <c r="Y541" i="19" s="1"/>
  <c r="O540" i="19"/>
  <c r="Y540" i="19" s="1"/>
  <c r="O525" i="19"/>
  <c r="Y525" i="19" s="1"/>
  <c r="O573" i="19"/>
  <c r="Y573" i="19" s="1"/>
  <c r="O562" i="19"/>
  <c r="Y562" i="19" s="1"/>
  <c r="O547" i="19"/>
  <c r="Y547" i="19" s="1"/>
  <c r="O538" i="19"/>
  <c r="Y538" i="19" s="1"/>
  <c r="O535" i="19"/>
  <c r="Y535" i="19" s="1"/>
  <c r="O523" i="19"/>
  <c r="Y523" i="19" s="1"/>
  <c r="O519" i="19"/>
  <c r="Y519" i="19" s="1"/>
  <c r="O518" i="19"/>
  <c r="Y518" i="19" s="1"/>
  <c r="O503" i="19"/>
  <c r="Y503" i="19" s="1"/>
  <c r="O502" i="19"/>
  <c r="Y502" i="19" s="1"/>
  <c r="O493" i="19"/>
  <c r="Y493" i="19" s="1"/>
  <c r="O491" i="19"/>
  <c r="Y491" i="19" s="1"/>
  <c r="O489" i="19"/>
  <c r="Y489" i="19" s="1"/>
  <c r="O487" i="19"/>
  <c r="Y487" i="19" s="1"/>
  <c r="O485" i="19"/>
  <c r="Y485" i="19" s="1"/>
  <c r="O483" i="19"/>
  <c r="Y483" i="19" s="1"/>
  <c r="O481" i="19"/>
  <c r="Y481" i="19" s="1"/>
  <c r="O479" i="19"/>
  <c r="Y479" i="19" s="1"/>
  <c r="O477" i="19"/>
  <c r="Y477" i="19" s="1"/>
  <c r="O475" i="19"/>
  <c r="Y475" i="19" s="1"/>
  <c r="O473" i="19"/>
  <c r="Y473" i="19" s="1"/>
  <c r="O471" i="19"/>
  <c r="Y471" i="19" s="1"/>
  <c r="O469" i="19"/>
  <c r="Y469" i="19" s="1"/>
  <c r="O467" i="19"/>
  <c r="Y467" i="19" s="1"/>
  <c r="O465" i="19"/>
  <c r="Y465" i="19" s="1"/>
  <c r="O463" i="19"/>
  <c r="Y463" i="19" s="1"/>
  <c r="O461" i="19"/>
  <c r="Y461" i="19" s="1"/>
  <c r="O459" i="19"/>
  <c r="Y459" i="19" s="1"/>
  <c r="O457" i="19"/>
  <c r="Y457" i="19" s="1"/>
  <c r="O455" i="19"/>
  <c r="Y455" i="19" s="1"/>
  <c r="O453" i="19"/>
  <c r="Y453" i="19" s="1"/>
  <c r="O451" i="19"/>
  <c r="Y451" i="19" s="1"/>
  <c r="O449" i="19"/>
  <c r="Y449" i="19" s="1"/>
  <c r="O447" i="19"/>
  <c r="Y447" i="19" s="1"/>
  <c r="O445" i="19"/>
  <c r="Y445" i="19" s="1"/>
  <c r="O443" i="19"/>
  <c r="Y443" i="19" s="1"/>
  <c r="O441" i="19"/>
  <c r="Y441" i="19" s="1"/>
  <c r="O439" i="19"/>
  <c r="Y439" i="19" s="1"/>
  <c r="O437" i="19"/>
  <c r="Y437" i="19" s="1"/>
  <c r="O435" i="19"/>
  <c r="Y435" i="19" s="1"/>
  <c r="O433" i="19"/>
  <c r="Y433" i="19" s="1"/>
  <c r="O431" i="19"/>
  <c r="Y431" i="19" s="1"/>
  <c r="O429" i="19"/>
  <c r="Y429" i="19" s="1"/>
  <c r="O427" i="19"/>
  <c r="Y427" i="19" s="1"/>
  <c r="O425" i="19"/>
  <c r="Y425" i="19" s="1"/>
  <c r="O423" i="19"/>
  <c r="Y423" i="19" s="1"/>
  <c r="O421" i="19"/>
  <c r="Y421" i="19" s="1"/>
  <c r="O419" i="19"/>
  <c r="Y419" i="19" s="1"/>
  <c r="O417" i="19"/>
  <c r="Y417" i="19" s="1"/>
  <c r="O415" i="19"/>
  <c r="Y415" i="19" s="1"/>
  <c r="O413" i="19"/>
  <c r="Y413" i="19" s="1"/>
  <c r="O411" i="19"/>
  <c r="Y411" i="19" s="1"/>
  <c r="O409" i="19"/>
  <c r="Y409" i="19" s="1"/>
  <c r="O407" i="19"/>
  <c r="Y407" i="19" s="1"/>
  <c r="O405" i="19"/>
  <c r="Y405" i="19" s="1"/>
  <c r="O403" i="19"/>
  <c r="Y403" i="19" s="1"/>
  <c r="O401" i="19"/>
  <c r="Y401" i="19" s="1"/>
  <c r="O399" i="19"/>
  <c r="Y399" i="19" s="1"/>
  <c r="O397" i="19"/>
  <c r="Y397" i="19" s="1"/>
  <c r="O395" i="19"/>
  <c r="Y395" i="19" s="1"/>
  <c r="O393" i="19"/>
  <c r="Y393" i="19" s="1"/>
  <c r="O391" i="19"/>
  <c r="Y391" i="19" s="1"/>
  <c r="O389" i="19"/>
  <c r="Y389" i="19" s="1"/>
  <c r="O387" i="19"/>
  <c r="Y387" i="19" s="1"/>
  <c r="O385" i="19"/>
  <c r="Y385" i="19" s="1"/>
  <c r="O383" i="19"/>
  <c r="Y383" i="19" s="1"/>
  <c r="O381" i="19"/>
  <c r="Y381" i="19" s="1"/>
  <c r="O379" i="19"/>
  <c r="Y379" i="19" s="1"/>
  <c r="O377" i="19"/>
  <c r="Y377" i="19" s="1"/>
  <c r="O375" i="19"/>
  <c r="Y375" i="19" s="1"/>
  <c r="O584" i="19"/>
  <c r="Y584" i="19" s="1"/>
  <c r="O569" i="19"/>
  <c r="Y569" i="19" s="1"/>
  <c r="O560" i="19"/>
  <c r="Y560" i="19" s="1"/>
  <c r="O558" i="19"/>
  <c r="Y558" i="19" s="1"/>
  <c r="O517" i="19"/>
  <c r="Y517" i="19" s="1"/>
  <c r="O516" i="19"/>
  <c r="Y516" i="19" s="1"/>
  <c r="O501" i="19"/>
  <c r="Y501" i="19" s="1"/>
  <c r="O500" i="19"/>
  <c r="Y500" i="19" s="1"/>
  <c r="O582" i="19"/>
  <c r="Y582" i="19" s="1"/>
  <c r="O567" i="19"/>
  <c r="Y567" i="19" s="1"/>
  <c r="O554" i="19"/>
  <c r="Y554" i="19" s="1"/>
  <c r="O552" i="19"/>
  <c r="Y552" i="19" s="1"/>
  <c r="O548" i="19"/>
  <c r="Y548" i="19" s="1"/>
  <c r="O534" i="19"/>
  <c r="Y534" i="19" s="1"/>
  <c r="O531" i="19"/>
  <c r="Y531" i="19" s="1"/>
  <c r="O524" i="19"/>
  <c r="Y524" i="19" s="1"/>
  <c r="O515" i="19"/>
  <c r="Y515" i="19" s="1"/>
  <c r="O514" i="19"/>
  <c r="Y514" i="19" s="1"/>
  <c r="O499" i="19"/>
  <c r="Y499" i="19" s="1"/>
  <c r="O498" i="19"/>
  <c r="Y498" i="19" s="1"/>
  <c r="O581" i="19"/>
  <c r="Y581" i="19" s="1"/>
  <c r="O550" i="19"/>
  <c r="Y550" i="19" s="1"/>
  <c r="O543" i="19"/>
  <c r="Y543" i="19" s="1"/>
  <c r="O536" i="19"/>
  <c r="Y536" i="19" s="1"/>
  <c r="O490" i="19"/>
  <c r="Y490" i="19" s="1"/>
  <c r="O474" i="19"/>
  <c r="Y474" i="19" s="1"/>
  <c r="O458" i="19"/>
  <c r="Y458" i="19" s="1"/>
  <c r="O442" i="19"/>
  <c r="Y442" i="19" s="1"/>
  <c r="O426" i="19"/>
  <c r="Y426" i="19" s="1"/>
  <c r="O484" i="19"/>
  <c r="Y484" i="19" s="1"/>
  <c r="O468" i="19"/>
  <c r="Y468" i="19" s="1"/>
  <c r="O563" i="19"/>
  <c r="Y563" i="19" s="1"/>
  <c r="O504" i="19"/>
  <c r="Y504" i="19" s="1"/>
  <c r="O494" i="19"/>
  <c r="Y494" i="19" s="1"/>
  <c r="O478" i="19"/>
  <c r="Y478" i="19" s="1"/>
  <c r="O462" i="19"/>
  <c r="Y462" i="19" s="1"/>
  <c r="O446" i="19"/>
  <c r="Y446" i="19" s="1"/>
  <c r="O578" i="19"/>
  <c r="Y578" i="19" s="1"/>
  <c r="O539" i="19"/>
  <c r="Y539" i="19" s="1"/>
  <c r="O542" i="19"/>
  <c r="Y542" i="19" s="1"/>
  <c r="O521" i="19"/>
  <c r="Y521" i="19" s="1"/>
  <c r="O510" i="19"/>
  <c r="Y510" i="19" s="1"/>
  <c r="O505" i="19"/>
  <c r="Y505" i="19" s="1"/>
  <c r="O470" i="19"/>
  <c r="Y470" i="19" s="1"/>
  <c r="O444" i="19"/>
  <c r="Y444" i="19" s="1"/>
  <c r="O434" i="19"/>
  <c r="Y434" i="19" s="1"/>
  <c r="O422" i="19"/>
  <c r="Y422" i="19" s="1"/>
  <c r="O414" i="19"/>
  <c r="Y414" i="19" s="1"/>
  <c r="O398" i="19"/>
  <c r="Y398" i="19" s="1"/>
  <c r="O392" i="19"/>
  <c r="Y392" i="19" s="1"/>
  <c r="O384" i="19"/>
  <c r="Y384" i="19" s="1"/>
  <c r="O376" i="19"/>
  <c r="Y376" i="19" s="1"/>
  <c r="O530" i="19"/>
  <c r="Y530" i="19" s="1"/>
  <c r="O520" i="19"/>
  <c r="Y520" i="19" s="1"/>
  <c r="O486" i="19"/>
  <c r="Y486" i="19" s="1"/>
  <c r="O472" i="19"/>
  <c r="Y472" i="19" s="1"/>
  <c r="O450" i="19"/>
  <c r="Y450" i="19" s="1"/>
  <c r="O436" i="19"/>
  <c r="Y436" i="19" s="1"/>
  <c r="O424" i="19"/>
  <c r="Y424" i="19" s="1"/>
  <c r="O408" i="19"/>
  <c r="Y408" i="19" s="1"/>
  <c r="O373" i="19"/>
  <c r="Y373" i="19" s="1"/>
  <c r="O371" i="19"/>
  <c r="Y371" i="19" s="1"/>
  <c r="O369" i="19"/>
  <c r="Y369" i="19" s="1"/>
  <c r="O367" i="19"/>
  <c r="Y367" i="19" s="1"/>
  <c r="O365" i="19"/>
  <c r="Y365" i="19" s="1"/>
  <c r="O363" i="19"/>
  <c r="Y363" i="19" s="1"/>
  <c r="O361" i="19"/>
  <c r="Y361" i="19" s="1"/>
  <c r="O359" i="19"/>
  <c r="Y359" i="19" s="1"/>
  <c r="O357" i="19"/>
  <c r="Y357" i="19" s="1"/>
  <c r="O355" i="19"/>
  <c r="Y355" i="19" s="1"/>
  <c r="O353" i="19"/>
  <c r="Y353" i="19" s="1"/>
  <c r="O351" i="19"/>
  <c r="Y351" i="19" s="1"/>
  <c r="O349" i="19"/>
  <c r="Y349" i="19" s="1"/>
  <c r="O347" i="19"/>
  <c r="Y347" i="19" s="1"/>
  <c r="O345" i="19"/>
  <c r="Y345" i="19" s="1"/>
  <c r="O343" i="19"/>
  <c r="Y343" i="19" s="1"/>
  <c r="O341" i="19"/>
  <c r="Y341" i="19" s="1"/>
  <c r="O339" i="19"/>
  <c r="Y339" i="19" s="1"/>
  <c r="O337" i="19"/>
  <c r="Y337" i="19" s="1"/>
  <c r="O335" i="19"/>
  <c r="Y335" i="19" s="1"/>
  <c r="O333" i="19"/>
  <c r="Y333" i="19" s="1"/>
  <c r="O331" i="19"/>
  <c r="Y331" i="19" s="1"/>
  <c r="O329" i="19"/>
  <c r="Y329" i="19" s="1"/>
  <c r="O327" i="19"/>
  <c r="Y327" i="19" s="1"/>
  <c r="O325" i="19"/>
  <c r="Y325" i="19" s="1"/>
  <c r="O323" i="19"/>
  <c r="Y323" i="19" s="1"/>
  <c r="O321" i="19"/>
  <c r="Y321" i="19" s="1"/>
  <c r="O319" i="19"/>
  <c r="Y319" i="19" s="1"/>
  <c r="O317" i="19"/>
  <c r="Y317" i="19" s="1"/>
  <c r="O315" i="19"/>
  <c r="Y315" i="19" s="1"/>
  <c r="O313" i="19"/>
  <c r="Y313" i="19" s="1"/>
  <c r="O311" i="19"/>
  <c r="Y311" i="19" s="1"/>
  <c r="O309" i="19"/>
  <c r="Y309" i="19" s="1"/>
  <c r="O307" i="19"/>
  <c r="Y307" i="19" s="1"/>
  <c r="O305" i="19"/>
  <c r="Y305" i="19" s="1"/>
  <c r="O303" i="19"/>
  <c r="Y303" i="19" s="1"/>
  <c r="O301" i="19"/>
  <c r="Y301" i="19" s="1"/>
  <c r="O299" i="19"/>
  <c r="Y299" i="19" s="1"/>
  <c r="O297" i="19"/>
  <c r="Y297" i="19" s="1"/>
  <c r="O295" i="19"/>
  <c r="Y295" i="19" s="1"/>
  <c r="O293" i="19"/>
  <c r="Y293" i="19" s="1"/>
  <c r="O291" i="19"/>
  <c r="Y291" i="19" s="1"/>
  <c r="O289" i="19"/>
  <c r="Y289" i="19" s="1"/>
  <c r="O287" i="19"/>
  <c r="Y287" i="19" s="1"/>
  <c r="O285" i="19"/>
  <c r="Y285" i="19" s="1"/>
  <c r="O283" i="19"/>
  <c r="Y283" i="19" s="1"/>
  <c r="O281" i="19"/>
  <c r="Y281" i="19" s="1"/>
  <c r="O279" i="19"/>
  <c r="Y279" i="19" s="1"/>
  <c r="O277" i="19"/>
  <c r="Y277" i="19" s="1"/>
  <c r="O275" i="19"/>
  <c r="Y275" i="19" s="1"/>
  <c r="O273" i="19"/>
  <c r="Y273" i="19" s="1"/>
  <c r="O271" i="19"/>
  <c r="Y271" i="19" s="1"/>
  <c r="O269" i="19"/>
  <c r="Y269" i="19" s="1"/>
  <c r="O577" i="19"/>
  <c r="Y577" i="19" s="1"/>
  <c r="O509" i="19"/>
  <c r="Y509" i="19" s="1"/>
  <c r="O488" i="19"/>
  <c r="Y488" i="19" s="1"/>
  <c r="O464" i="19"/>
  <c r="Y464" i="19" s="1"/>
  <c r="O456" i="19"/>
  <c r="Y456" i="19" s="1"/>
  <c r="O418" i="19"/>
  <c r="Y418" i="19" s="1"/>
  <c r="O402" i="19"/>
  <c r="Y402" i="19" s="1"/>
  <c r="O390" i="19"/>
  <c r="Y390" i="19" s="1"/>
  <c r="O382" i="19"/>
  <c r="Y382" i="19" s="1"/>
  <c r="O374" i="19"/>
  <c r="Y374" i="19" s="1"/>
  <c r="O497" i="19"/>
  <c r="Y497" i="19" s="1"/>
  <c r="O454" i="19"/>
  <c r="Y454" i="19" s="1"/>
  <c r="O432" i="19"/>
  <c r="Y432" i="19" s="1"/>
  <c r="O410" i="19"/>
  <c r="Y410" i="19" s="1"/>
  <c r="O368" i="19"/>
  <c r="Y368" i="19" s="1"/>
  <c r="O566" i="19"/>
  <c r="Y566" i="19" s="1"/>
  <c r="O537" i="19"/>
  <c r="Y537" i="19" s="1"/>
  <c r="O513" i="19"/>
  <c r="Y513" i="19" s="1"/>
  <c r="O492" i="19"/>
  <c r="Y492" i="19" s="1"/>
  <c r="O466" i="19"/>
  <c r="Y466" i="19" s="1"/>
  <c r="O452" i="19"/>
  <c r="Y452" i="19" s="1"/>
  <c r="O448" i="19"/>
  <c r="Y448" i="19" s="1"/>
  <c r="O412" i="19"/>
  <c r="Y412" i="19" s="1"/>
  <c r="O396" i="19"/>
  <c r="Y396" i="19" s="1"/>
  <c r="O527" i="19"/>
  <c r="Y527" i="19" s="1"/>
  <c r="O522" i="19"/>
  <c r="Y522" i="19" s="1"/>
  <c r="O482" i="19"/>
  <c r="Y482" i="19" s="1"/>
  <c r="O394" i="19"/>
  <c r="Y394" i="19" s="1"/>
  <c r="O495" i="19"/>
  <c r="Y495" i="19" s="1"/>
  <c r="O440" i="19"/>
  <c r="Y440" i="19" s="1"/>
  <c r="O428" i="19"/>
  <c r="Y428" i="19" s="1"/>
  <c r="O406" i="19"/>
  <c r="Y406" i="19" s="1"/>
  <c r="O352" i="19"/>
  <c r="Y352" i="19" s="1"/>
  <c r="O336" i="19"/>
  <c r="Y336" i="19" s="1"/>
  <c r="O320" i="19"/>
  <c r="Y320" i="19" s="1"/>
  <c r="O316" i="19"/>
  <c r="Y316" i="19" s="1"/>
  <c r="O308" i="19"/>
  <c r="Y308" i="19" s="1"/>
  <c r="O300" i="19"/>
  <c r="Y300" i="19" s="1"/>
  <c r="O292" i="19"/>
  <c r="Y292" i="19" s="1"/>
  <c r="O284" i="19"/>
  <c r="Y284" i="19" s="1"/>
  <c r="O276" i="19"/>
  <c r="Y276" i="19" s="1"/>
  <c r="O570" i="19"/>
  <c r="Y570" i="19" s="1"/>
  <c r="O549" i="19"/>
  <c r="Y549" i="19" s="1"/>
  <c r="O380" i="19"/>
  <c r="Y380" i="19" s="1"/>
  <c r="O378" i="19"/>
  <c r="Y378" i="19" s="1"/>
  <c r="O370" i="19"/>
  <c r="Y370" i="19" s="1"/>
  <c r="O356" i="19"/>
  <c r="Y356" i="19" s="1"/>
  <c r="O340" i="19"/>
  <c r="Y340" i="19" s="1"/>
  <c r="O324" i="19"/>
  <c r="Y324" i="19" s="1"/>
  <c r="O314" i="19"/>
  <c r="Y314" i="19" s="1"/>
  <c r="O306" i="19"/>
  <c r="Y306" i="19" s="1"/>
  <c r="O298" i="19"/>
  <c r="Y298" i="19" s="1"/>
  <c r="O290" i="19"/>
  <c r="Y290" i="19" s="1"/>
  <c r="O282" i="19"/>
  <c r="Y282" i="19" s="1"/>
  <c r="O274" i="19"/>
  <c r="Y274" i="19" s="1"/>
  <c r="O511" i="19"/>
  <c r="Y511" i="19" s="1"/>
  <c r="O460" i="19"/>
  <c r="Y460" i="19" s="1"/>
  <c r="O480" i="19"/>
  <c r="Y480" i="19" s="1"/>
  <c r="O416" i="19"/>
  <c r="Y416" i="19" s="1"/>
  <c r="O512" i="19"/>
  <c r="Y512" i="19" s="1"/>
  <c r="O430" i="19"/>
  <c r="Y430" i="19" s="1"/>
  <c r="O344" i="19"/>
  <c r="Y344" i="19" s="1"/>
  <c r="O330" i="19"/>
  <c r="Y330" i="19" s="1"/>
  <c r="O318" i="19"/>
  <c r="Y318" i="19" s="1"/>
  <c r="O533" i="19"/>
  <c r="Y533" i="19" s="1"/>
  <c r="O386" i="19"/>
  <c r="Y386" i="19" s="1"/>
  <c r="O362" i="19"/>
  <c r="Y362" i="19" s="1"/>
  <c r="O348" i="19"/>
  <c r="Y348" i="19" s="1"/>
  <c r="O526" i="19"/>
  <c r="Y526" i="19" s="1"/>
  <c r="O388" i="19"/>
  <c r="Y388" i="19" s="1"/>
  <c r="O364" i="19"/>
  <c r="Y364" i="19" s="1"/>
  <c r="O338" i="19"/>
  <c r="Y338" i="19" s="1"/>
  <c r="O222" i="19"/>
  <c r="Y222" i="19" s="1"/>
  <c r="O508" i="19"/>
  <c r="Y508" i="19" s="1"/>
  <c r="O400" i="19"/>
  <c r="Y400" i="19" s="1"/>
  <c r="O350" i="19"/>
  <c r="Y350" i="19" s="1"/>
  <c r="O346" i="19"/>
  <c r="Y346" i="19" s="1"/>
  <c r="O342" i="19"/>
  <c r="Y342" i="19" s="1"/>
  <c r="O310" i="19"/>
  <c r="Y310" i="19" s="1"/>
  <c r="O296" i="19"/>
  <c r="Y296" i="19" s="1"/>
  <c r="O294" i="19"/>
  <c r="Y294" i="19" s="1"/>
  <c r="O267" i="19"/>
  <c r="Y267" i="19" s="1"/>
  <c r="O264" i="19"/>
  <c r="Y264" i="19" s="1"/>
  <c r="O257" i="19"/>
  <c r="Y257" i="19" s="1"/>
  <c r="O220" i="19"/>
  <c r="Y220" i="19" s="1"/>
  <c r="O532" i="19"/>
  <c r="Y532" i="19" s="1"/>
  <c r="O438" i="19"/>
  <c r="Y438" i="19" s="1"/>
  <c r="O354" i="19"/>
  <c r="Y354" i="19" s="1"/>
  <c r="O328" i="19"/>
  <c r="Y328" i="19" s="1"/>
  <c r="O261" i="19"/>
  <c r="Y261" i="19" s="1"/>
  <c r="O258" i="19"/>
  <c r="Y258" i="19" s="1"/>
  <c r="O256" i="19"/>
  <c r="Y256" i="19" s="1"/>
  <c r="O255" i="19"/>
  <c r="Y255" i="19" s="1"/>
  <c r="O245" i="19"/>
  <c r="Y245" i="19" s="1"/>
  <c r="O243" i="19"/>
  <c r="Y243" i="19" s="1"/>
  <c r="O241" i="19"/>
  <c r="Y241" i="19" s="1"/>
  <c r="O239" i="19"/>
  <c r="Y239" i="19" s="1"/>
  <c r="O237" i="19"/>
  <c r="Y237" i="19" s="1"/>
  <c r="O235" i="19"/>
  <c r="Y235" i="19" s="1"/>
  <c r="O233" i="19"/>
  <c r="Y233" i="19" s="1"/>
  <c r="O231" i="19"/>
  <c r="Y231" i="19" s="1"/>
  <c r="O229" i="19"/>
  <c r="Y229" i="19" s="1"/>
  <c r="O227" i="19"/>
  <c r="Y227" i="19" s="1"/>
  <c r="O225" i="19"/>
  <c r="Y225" i="19" s="1"/>
  <c r="O476" i="19"/>
  <c r="Y476" i="19" s="1"/>
  <c r="O265" i="19"/>
  <c r="Y265" i="19" s="1"/>
  <c r="O262" i="19"/>
  <c r="Y262" i="19" s="1"/>
  <c r="O251" i="19"/>
  <c r="Y251" i="19" s="1"/>
  <c r="O250" i="19"/>
  <c r="Y250" i="19" s="1"/>
  <c r="O244" i="19"/>
  <c r="Y244" i="19" s="1"/>
  <c r="O228" i="19"/>
  <c r="Y228" i="19" s="1"/>
  <c r="O219" i="19"/>
  <c r="Y219" i="19" s="1"/>
  <c r="O404" i="19"/>
  <c r="Y404" i="19" s="1"/>
  <c r="O360" i="19"/>
  <c r="Y360" i="19" s="1"/>
  <c r="O334" i="19"/>
  <c r="Y334" i="19" s="1"/>
  <c r="O302" i="19"/>
  <c r="Y302" i="19" s="1"/>
  <c r="O280" i="19"/>
  <c r="Y280" i="19" s="1"/>
  <c r="O259" i="19"/>
  <c r="Y259" i="19" s="1"/>
  <c r="O253" i="19"/>
  <c r="Y253" i="19" s="1"/>
  <c r="O252" i="19"/>
  <c r="Y252" i="19" s="1"/>
  <c r="O238" i="19"/>
  <c r="Y238" i="19" s="1"/>
  <c r="O278" i="19"/>
  <c r="Y278" i="19" s="1"/>
  <c r="O230" i="19"/>
  <c r="Y230" i="19" s="1"/>
  <c r="O366" i="19"/>
  <c r="Y366" i="19" s="1"/>
  <c r="O286" i="19"/>
  <c r="Y286" i="19" s="1"/>
  <c r="O249" i="19"/>
  <c r="Y249" i="19" s="1"/>
  <c r="O242" i="19"/>
  <c r="Y242" i="19" s="1"/>
  <c r="O234" i="19"/>
  <c r="Y234" i="19" s="1"/>
  <c r="O223" i="19"/>
  <c r="Y223" i="19" s="1"/>
  <c r="O551" i="19"/>
  <c r="Y551" i="19" s="1"/>
  <c r="O506" i="19"/>
  <c r="Y506" i="19" s="1"/>
  <c r="O326" i="19"/>
  <c r="Y326" i="19" s="1"/>
  <c r="O260" i="19"/>
  <c r="Y260" i="19" s="1"/>
  <c r="O248" i="19"/>
  <c r="Y248" i="19" s="1"/>
  <c r="O236" i="19"/>
  <c r="Y236" i="19" s="1"/>
  <c r="O372" i="19"/>
  <c r="Y372" i="19" s="1"/>
  <c r="O332" i="19"/>
  <c r="Y332" i="19" s="1"/>
  <c r="O312" i="19"/>
  <c r="Y312" i="19" s="1"/>
  <c r="O288" i="19"/>
  <c r="Y288" i="19" s="1"/>
  <c r="O507" i="19"/>
  <c r="Y507" i="19" s="1"/>
  <c r="O322" i="19"/>
  <c r="Y322" i="19" s="1"/>
  <c r="O270" i="19"/>
  <c r="Y270" i="19" s="1"/>
  <c r="O263" i="19"/>
  <c r="Y263" i="19" s="1"/>
  <c r="O247" i="19"/>
  <c r="Y247" i="19" s="1"/>
  <c r="O420" i="19"/>
  <c r="Y420" i="19" s="1"/>
  <c r="O272" i="19"/>
  <c r="Y272" i="19" s="1"/>
  <c r="O246" i="19"/>
  <c r="Y246" i="19" s="1"/>
  <c r="O232" i="19"/>
  <c r="Y232" i="19" s="1"/>
  <c r="O496" i="19"/>
  <c r="Y496" i="19" s="1"/>
  <c r="O304" i="19"/>
  <c r="Y304" i="19" s="1"/>
  <c r="O268" i="19"/>
  <c r="Y268" i="19" s="1"/>
  <c r="O240" i="19"/>
  <c r="Y240" i="19" s="1"/>
  <c r="O224" i="19"/>
  <c r="Y224" i="19" s="1"/>
  <c r="O254" i="19"/>
  <c r="Y254" i="19" s="1"/>
  <c r="O221" i="19"/>
  <c r="Y221" i="19" s="1"/>
  <c r="O358" i="19"/>
  <c r="Y358" i="19" s="1"/>
  <c r="O226" i="19"/>
  <c r="Y226" i="19" s="1"/>
  <c r="O266" i="19"/>
  <c r="Y266" i="19" s="1"/>
  <c r="H583" i="19"/>
  <c r="H581" i="19"/>
  <c r="H579" i="19"/>
  <c r="H577" i="19"/>
  <c r="H575" i="19"/>
  <c r="H573" i="19"/>
  <c r="H571" i="19"/>
  <c r="H569" i="19"/>
  <c r="H567" i="19"/>
  <c r="H565" i="19"/>
  <c r="H563" i="19"/>
  <c r="H561" i="19"/>
  <c r="H559" i="19"/>
  <c r="H557" i="19"/>
  <c r="H555" i="19"/>
  <c r="H553" i="19"/>
  <c r="H551" i="19"/>
  <c r="H549" i="19"/>
  <c r="H547" i="19"/>
  <c r="H582" i="19"/>
  <c r="H566" i="19"/>
  <c r="H550" i="19"/>
  <c r="H544" i="19"/>
  <c r="H542" i="19"/>
  <c r="H540" i="19"/>
  <c r="H538" i="19"/>
  <c r="H536" i="19"/>
  <c r="H534" i="19"/>
  <c r="H532" i="19"/>
  <c r="H530" i="19"/>
  <c r="H528" i="19"/>
  <c r="H526" i="19"/>
  <c r="H584" i="19"/>
  <c r="H578" i="19"/>
  <c r="H556" i="19"/>
  <c r="H558" i="19"/>
  <c r="H570" i="19"/>
  <c r="H548" i="19"/>
  <c r="H539" i="19"/>
  <c r="H564" i="19"/>
  <c r="H545" i="19"/>
  <c r="H535" i="19"/>
  <c r="H533" i="19"/>
  <c r="H514" i="19"/>
  <c r="H513" i="19"/>
  <c r="H498" i="19"/>
  <c r="H497" i="19"/>
  <c r="H568" i="19"/>
  <c r="H546" i="19"/>
  <c r="H543" i="19"/>
  <c r="H512" i="19"/>
  <c r="H511" i="19"/>
  <c r="H496" i="19"/>
  <c r="H495" i="19"/>
  <c r="H562" i="19"/>
  <c r="H560" i="19"/>
  <c r="H529" i="19"/>
  <c r="H510" i="19"/>
  <c r="H509" i="19"/>
  <c r="H494" i="19"/>
  <c r="H492" i="19"/>
  <c r="H490" i="19"/>
  <c r="H488" i="19"/>
  <c r="H486" i="19"/>
  <c r="H484" i="19"/>
  <c r="H482" i="19"/>
  <c r="H480" i="19"/>
  <c r="H478" i="19"/>
  <c r="H476" i="19"/>
  <c r="H474" i="19"/>
  <c r="H472" i="19"/>
  <c r="H470" i="19"/>
  <c r="H468" i="19"/>
  <c r="H466" i="19"/>
  <c r="H464" i="19"/>
  <c r="H462" i="19"/>
  <c r="H460" i="19"/>
  <c r="H458" i="19"/>
  <c r="H456" i="19"/>
  <c r="H454" i="19"/>
  <c r="H452" i="19"/>
  <c r="H450" i="19"/>
  <c r="H448" i="19"/>
  <c r="H446" i="19"/>
  <c r="H444" i="19"/>
  <c r="H442" i="19"/>
  <c r="H440" i="19"/>
  <c r="H438" i="19"/>
  <c r="H436" i="19"/>
  <c r="H434" i="19"/>
  <c r="H432" i="19"/>
  <c r="H430" i="19"/>
  <c r="H428" i="19"/>
  <c r="H426" i="19"/>
  <c r="H424" i="19"/>
  <c r="H422" i="19"/>
  <c r="H420" i="19"/>
  <c r="H418" i="19"/>
  <c r="H416" i="19"/>
  <c r="H414" i="19"/>
  <c r="H412" i="19"/>
  <c r="H410" i="19"/>
  <c r="H408" i="19"/>
  <c r="H406" i="19"/>
  <c r="H404" i="19"/>
  <c r="H402" i="19"/>
  <c r="H400" i="19"/>
  <c r="H398" i="19"/>
  <c r="H396" i="19"/>
  <c r="H394" i="19"/>
  <c r="H392" i="19"/>
  <c r="H390" i="19"/>
  <c r="H388" i="19"/>
  <c r="H386" i="19"/>
  <c r="H384" i="19"/>
  <c r="H382" i="19"/>
  <c r="H380" i="19"/>
  <c r="H378" i="19"/>
  <c r="H376" i="19"/>
  <c r="H374" i="19"/>
  <c r="H580" i="19"/>
  <c r="H576" i="19"/>
  <c r="H574" i="19"/>
  <c r="H537" i="19"/>
  <c r="H521" i="19"/>
  <c r="H520" i="19"/>
  <c r="H493" i="19"/>
  <c r="H477" i="19"/>
  <c r="H461" i="19"/>
  <c r="H445" i="19"/>
  <c r="H429" i="19"/>
  <c r="H554" i="19"/>
  <c r="H552" i="19"/>
  <c r="H525" i="19"/>
  <c r="H522" i="19"/>
  <c r="H487" i="19"/>
  <c r="H471" i="19"/>
  <c r="H541" i="19"/>
  <c r="H523" i="19"/>
  <c r="H499" i="19"/>
  <c r="H481" i="19"/>
  <c r="H465" i="19"/>
  <c r="H449" i="19"/>
  <c r="H527" i="19"/>
  <c r="H517" i="19"/>
  <c r="H501" i="19"/>
  <c r="H479" i="19"/>
  <c r="H451" i="19"/>
  <c r="H443" i="19"/>
  <c r="H417" i="19"/>
  <c r="H401" i="19"/>
  <c r="H393" i="19"/>
  <c r="H385" i="19"/>
  <c r="H377" i="19"/>
  <c r="H506" i="19"/>
  <c r="H457" i="19"/>
  <c r="H411" i="19"/>
  <c r="H516" i="19"/>
  <c r="H505" i="19"/>
  <c r="H500" i="19"/>
  <c r="H473" i="19"/>
  <c r="H459" i="19"/>
  <c r="H431" i="19"/>
  <c r="H405" i="19"/>
  <c r="H391" i="19"/>
  <c r="H383" i="19"/>
  <c r="H375" i="19"/>
  <c r="H504" i="19"/>
  <c r="H491" i="19"/>
  <c r="H483" i="19"/>
  <c r="H419" i="19"/>
  <c r="H389" i="19"/>
  <c r="H371" i="19"/>
  <c r="H370" i="19"/>
  <c r="H531" i="19"/>
  <c r="H508" i="19"/>
  <c r="H463" i="19"/>
  <c r="H455" i="19"/>
  <c r="H397" i="19"/>
  <c r="H572" i="19"/>
  <c r="H441" i="19"/>
  <c r="H407" i="19"/>
  <c r="H519" i="19"/>
  <c r="H469" i="19"/>
  <c r="H467" i="19"/>
  <c r="H435" i="19"/>
  <c r="H427" i="19"/>
  <c r="H423" i="19"/>
  <c r="H373" i="19"/>
  <c r="H355" i="19"/>
  <c r="H354" i="19"/>
  <c r="H339" i="19"/>
  <c r="H338" i="19"/>
  <c r="H323" i="19"/>
  <c r="H322" i="19"/>
  <c r="H317" i="19"/>
  <c r="H312" i="19"/>
  <c r="H309" i="19"/>
  <c r="H304" i="19"/>
  <c r="H301" i="19"/>
  <c r="H296" i="19"/>
  <c r="H293" i="19"/>
  <c r="H288" i="19"/>
  <c r="H285" i="19"/>
  <c r="H280" i="19"/>
  <c r="H277" i="19"/>
  <c r="H272" i="19"/>
  <c r="H269" i="19"/>
  <c r="H265" i="19"/>
  <c r="H264" i="19"/>
  <c r="H489" i="19"/>
  <c r="H413" i="19"/>
  <c r="H359" i="19"/>
  <c r="H358" i="19"/>
  <c r="H343" i="19"/>
  <c r="H342" i="19"/>
  <c r="H327" i="19"/>
  <c r="H326" i="19"/>
  <c r="H318" i="19"/>
  <c r="H315" i="19"/>
  <c r="H310" i="19"/>
  <c r="H307" i="19"/>
  <c r="H302" i="19"/>
  <c r="H299" i="19"/>
  <c r="H294" i="19"/>
  <c r="H291" i="19"/>
  <c r="H286" i="19"/>
  <c r="H283" i="19"/>
  <c r="H278" i="19"/>
  <c r="H275" i="19"/>
  <c r="H270" i="19"/>
  <c r="H507" i="19"/>
  <c r="H475" i="19"/>
  <c r="H437" i="19"/>
  <c r="H502" i="19"/>
  <c r="H439" i="19"/>
  <c r="H381" i="19"/>
  <c r="H365" i="19"/>
  <c r="H351" i="19"/>
  <c r="H346" i="19"/>
  <c r="H332" i="19"/>
  <c r="H308" i="19"/>
  <c r="H306" i="19"/>
  <c r="H305" i="19"/>
  <c r="H303" i="19"/>
  <c r="H425" i="19"/>
  <c r="H415" i="19"/>
  <c r="H399" i="19"/>
  <c r="H364" i="19"/>
  <c r="H350" i="19"/>
  <c r="H347" i="19"/>
  <c r="H333" i="19"/>
  <c r="H447" i="19"/>
  <c r="H403" i="19"/>
  <c r="H372" i="19"/>
  <c r="H361" i="19"/>
  <c r="H356" i="19"/>
  <c r="H335" i="19"/>
  <c r="H330" i="19"/>
  <c r="H319" i="19"/>
  <c r="H316" i="19"/>
  <c r="H268" i="19"/>
  <c r="H262" i="19"/>
  <c r="H255" i="19"/>
  <c r="H254" i="19"/>
  <c r="H245" i="19"/>
  <c r="H243" i="19"/>
  <c r="H241" i="19"/>
  <c r="H239" i="19"/>
  <c r="H237" i="19"/>
  <c r="H235" i="19"/>
  <c r="H233" i="19"/>
  <c r="H231" i="19"/>
  <c r="H229" i="19"/>
  <c r="H227" i="19"/>
  <c r="H225" i="19"/>
  <c r="H503" i="19"/>
  <c r="H360" i="19"/>
  <c r="H334" i="19"/>
  <c r="H321" i="19"/>
  <c r="H298" i="19"/>
  <c r="H284" i="19"/>
  <c r="H282" i="19"/>
  <c r="H281" i="19"/>
  <c r="H279" i="19"/>
  <c r="H259" i="19"/>
  <c r="H253" i="19"/>
  <c r="H252" i="19"/>
  <c r="H223" i="19"/>
  <c r="H421" i="19"/>
  <c r="H379" i="19"/>
  <c r="H369" i="19"/>
  <c r="H368" i="19"/>
  <c r="H325" i="19"/>
  <c r="H313" i="19"/>
  <c r="H251" i="19"/>
  <c r="H250" i="19"/>
  <c r="H518" i="19"/>
  <c r="H453" i="19"/>
  <c r="H329" i="19"/>
  <c r="H295" i="19"/>
  <c r="H290" i="19"/>
  <c r="H256" i="19"/>
  <c r="H246" i="19"/>
  <c r="H230" i="19"/>
  <c r="H273" i="19"/>
  <c r="H267" i="19"/>
  <c r="H261" i="19"/>
  <c r="H258" i="19"/>
  <c r="H257" i="19"/>
  <c r="H248" i="19"/>
  <c r="H247" i="19"/>
  <c r="H240" i="19"/>
  <c r="H515" i="19"/>
  <c r="H433" i="19"/>
  <c r="H366" i="19"/>
  <c r="H362" i="19"/>
  <c r="H357" i="19"/>
  <c r="H353" i="19"/>
  <c r="H344" i="19"/>
  <c r="H340" i="19"/>
  <c r="H336" i="19"/>
  <c r="H331" i="19"/>
  <c r="H311" i="19"/>
  <c r="H271" i="19"/>
  <c r="H266" i="19"/>
  <c r="H263" i="19"/>
  <c r="H260" i="19"/>
  <c r="H232" i="19"/>
  <c r="H524" i="19"/>
  <c r="H387" i="19"/>
  <c r="H341" i="19"/>
  <c r="H324" i="19"/>
  <c r="H320" i="19"/>
  <c r="H287" i="19"/>
  <c r="H242" i="19"/>
  <c r="H395" i="19"/>
  <c r="H349" i="19"/>
  <c r="H345" i="19"/>
  <c r="H328" i="19"/>
  <c r="H292" i="19"/>
  <c r="H274" i="19"/>
  <c r="H409" i="19"/>
  <c r="H337" i="19"/>
  <c r="H314" i="19"/>
  <c r="H249" i="19"/>
  <c r="H234" i="19"/>
  <c r="H226" i="19"/>
  <c r="H221" i="19"/>
  <c r="H228" i="19"/>
  <c r="H363" i="19"/>
  <c r="H300" i="19"/>
  <c r="H289" i="19"/>
  <c r="H367" i="19"/>
  <c r="H297" i="19"/>
  <c r="H276" i="19"/>
  <c r="H238" i="19"/>
  <c r="H222" i="19"/>
  <c r="H352" i="19"/>
  <c r="H224" i="19"/>
  <c r="H244" i="19"/>
  <c r="H219" i="19"/>
  <c r="H485" i="19"/>
  <c r="H236" i="19"/>
  <c r="H220" i="19"/>
  <c r="H348" i="19"/>
  <c r="L584" i="19"/>
  <c r="L582" i="19"/>
  <c r="L580" i="19"/>
  <c r="L578" i="19"/>
  <c r="L576" i="19"/>
  <c r="L574" i="19"/>
  <c r="L572" i="19"/>
  <c r="L570" i="19"/>
  <c r="L568" i="19"/>
  <c r="L566" i="19"/>
  <c r="L564" i="19"/>
  <c r="L562" i="19"/>
  <c r="L560" i="19"/>
  <c r="L558" i="19"/>
  <c r="L556" i="19"/>
  <c r="L554" i="19"/>
  <c r="L552" i="19"/>
  <c r="L550" i="19"/>
  <c r="L548" i="19"/>
  <c r="L546" i="19"/>
  <c r="L575" i="19"/>
  <c r="L559" i="19"/>
  <c r="L545" i="19"/>
  <c r="L543" i="19"/>
  <c r="L541" i="19"/>
  <c r="L539" i="19"/>
  <c r="L537" i="19"/>
  <c r="L535" i="19"/>
  <c r="L533" i="19"/>
  <c r="L531" i="19"/>
  <c r="L529" i="19"/>
  <c r="L527" i="19"/>
  <c r="L525" i="19"/>
  <c r="L579" i="19"/>
  <c r="L573" i="19"/>
  <c r="L551" i="19"/>
  <c r="L583" i="19"/>
  <c r="L563" i="19"/>
  <c r="L557" i="19"/>
  <c r="L532" i="19"/>
  <c r="L577" i="19"/>
  <c r="L528" i="19"/>
  <c r="L542" i="19"/>
  <c r="L522" i="19"/>
  <c r="L507" i="19"/>
  <c r="L506" i="19"/>
  <c r="L571" i="19"/>
  <c r="L547" i="19"/>
  <c r="L523" i="19"/>
  <c r="L521" i="19"/>
  <c r="L520" i="19"/>
  <c r="L505" i="19"/>
  <c r="L504" i="19"/>
  <c r="L538" i="19"/>
  <c r="L519" i="19"/>
  <c r="L518" i="19"/>
  <c r="L503" i="19"/>
  <c r="L502" i="19"/>
  <c r="L493" i="19"/>
  <c r="L491" i="19"/>
  <c r="L489" i="19"/>
  <c r="L487" i="19"/>
  <c r="L485" i="19"/>
  <c r="L483" i="19"/>
  <c r="L481" i="19"/>
  <c r="L479" i="19"/>
  <c r="L477" i="19"/>
  <c r="L475" i="19"/>
  <c r="L473" i="19"/>
  <c r="L471" i="19"/>
  <c r="L469" i="19"/>
  <c r="L467" i="19"/>
  <c r="L465" i="19"/>
  <c r="L463" i="19"/>
  <c r="L461" i="19"/>
  <c r="L459" i="19"/>
  <c r="L457" i="19"/>
  <c r="L455" i="19"/>
  <c r="L453" i="19"/>
  <c r="L451" i="19"/>
  <c r="L449" i="19"/>
  <c r="L447" i="19"/>
  <c r="L445" i="19"/>
  <c r="L443" i="19"/>
  <c r="L441" i="19"/>
  <c r="L439" i="19"/>
  <c r="L437" i="19"/>
  <c r="L435" i="19"/>
  <c r="L433" i="19"/>
  <c r="L431" i="19"/>
  <c r="L429" i="19"/>
  <c r="L427" i="19"/>
  <c r="L425" i="19"/>
  <c r="L423" i="19"/>
  <c r="L421" i="19"/>
  <c r="L419" i="19"/>
  <c r="L417" i="19"/>
  <c r="L415" i="19"/>
  <c r="L413" i="19"/>
  <c r="L411" i="19"/>
  <c r="L409" i="19"/>
  <c r="L407" i="19"/>
  <c r="L405" i="19"/>
  <c r="L403" i="19"/>
  <c r="L401" i="19"/>
  <c r="L399" i="19"/>
  <c r="L397" i="19"/>
  <c r="L395" i="19"/>
  <c r="L393" i="19"/>
  <c r="L391" i="19"/>
  <c r="L389" i="19"/>
  <c r="L387" i="19"/>
  <c r="L385" i="19"/>
  <c r="L383" i="19"/>
  <c r="L381" i="19"/>
  <c r="L379" i="19"/>
  <c r="L377" i="19"/>
  <c r="L375" i="19"/>
  <c r="L555" i="19"/>
  <c r="L553" i="19"/>
  <c r="L549" i="19"/>
  <c r="L534" i="19"/>
  <c r="L512" i="19"/>
  <c r="L511" i="19"/>
  <c r="L501" i="19"/>
  <c r="L486" i="19"/>
  <c r="L470" i="19"/>
  <c r="L454" i="19"/>
  <c r="L438" i="19"/>
  <c r="L422" i="19"/>
  <c r="L581" i="19"/>
  <c r="L514" i="19"/>
  <c r="L513" i="19"/>
  <c r="L480" i="19"/>
  <c r="L464" i="19"/>
  <c r="L561" i="19"/>
  <c r="L536" i="19"/>
  <c r="L516" i="19"/>
  <c r="L515" i="19"/>
  <c r="L490" i="19"/>
  <c r="L474" i="19"/>
  <c r="L458" i="19"/>
  <c r="L442" i="19"/>
  <c r="L544" i="19"/>
  <c r="L569" i="19"/>
  <c r="L476" i="19"/>
  <c r="L462" i="19"/>
  <c r="L452" i="19"/>
  <c r="L432" i="19"/>
  <c r="L410" i="19"/>
  <c r="L394" i="19"/>
  <c r="L386" i="19"/>
  <c r="L378" i="19"/>
  <c r="L500" i="19"/>
  <c r="L495" i="19"/>
  <c r="L492" i="19"/>
  <c r="L478" i="19"/>
  <c r="L420" i="19"/>
  <c r="L404" i="19"/>
  <c r="L530" i="19"/>
  <c r="L510" i="19"/>
  <c r="L494" i="19"/>
  <c r="L444" i="19"/>
  <c r="L434" i="19"/>
  <c r="L414" i="19"/>
  <c r="L398" i="19"/>
  <c r="L392" i="19"/>
  <c r="L384" i="19"/>
  <c r="L376" i="19"/>
  <c r="L526" i="19"/>
  <c r="L524" i="19"/>
  <c r="L508" i="19"/>
  <c r="L496" i="19"/>
  <c r="L484" i="19"/>
  <c r="L456" i="19"/>
  <c r="L416" i="19"/>
  <c r="L402" i="19"/>
  <c r="L517" i="19"/>
  <c r="L472" i="19"/>
  <c r="L450" i="19"/>
  <c r="L436" i="19"/>
  <c r="L426" i="19"/>
  <c r="L418" i="19"/>
  <c r="L565" i="19"/>
  <c r="L488" i="19"/>
  <c r="L440" i="19"/>
  <c r="L430" i="19"/>
  <c r="L424" i="19"/>
  <c r="L482" i="19"/>
  <c r="L448" i="19"/>
  <c r="L412" i="19"/>
  <c r="L390" i="19"/>
  <c r="L388" i="19"/>
  <c r="L374" i="19"/>
  <c r="L364" i="19"/>
  <c r="L363" i="19"/>
  <c r="L348" i="19"/>
  <c r="L347" i="19"/>
  <c r="L332" i="19"/>
  <c r="L331" i="19"/>
  <c r="L318" i="19"/>
  <c r="L313" i="19"/>
  <c r="L310" i="19"/>
  <c r="L305" i="19"/>
  <c r="L302" i="19"/>
  <c r="L297" i="19"/>
  <c r="L294" i="19"/>
  <c r="L289" i="19"/>
  <c r="L286" i="19"/>
  <c r="L281" i="19"/>
  <c r="L278" i="19"/>
  <c r="L273" i="19"/>
  <c r="L270" i="19"/>
  <c r="L258" i="19"/>
  <c r="L428" i="19"/>
  <c r="L369" i="19"/>
  <c r="L368" i="19"/>
  <c r="L367" i="19"/>
  <c r="L352" i="19"/>
  <c r="L351" i="19"/>
  <c r="L336" i="19"/>
  <c r="L335" i="19"/>
  <c r="L320" i="19"/>
  <c r="L319" i="19"/>
  <c r="L316" i="19"/>
  <c r="L311" i="19"/>
  <c r="L308" i="19"/>
  <c r="L303" i="19"/>
  <c r="L300" i="19"/>
  <c r="L295" i="19"/>
  <c r="L292" i="19"/>
  <c r="L287" i="19"/>
  <c r="L284" i="19"/>
  <c r="L279" i="19"/>
  <c r="L276" i="19"/>
  <c r="L271" i="19"/>
  <c r="L498" i="19"/>
  <c r="L567" i="19"/>
  <c r="L509" i="19"/>
  <c r="L468" i="19"/>
  <c r="L400" i="19"/>
  <c r="L446" i="19"/>
  <c r="L406" i="19"/>
  <c r="L380" i="19"/>
  <c r="L370" i="19"/>
  <c r="L360" i="19"/>
  <c r="L355" i="19"/>
  <c r="L341" i="19"/>
  <c r="L327" i="19"/>
  <c r="L324" i="19"/>
  <c r="L317" i="19"/>
  <c r="L315" i="19"/>
  <c r="L314" i="19"/>
  <c r="L312" i="19"/>
  <c r="L396" i="19"/>
  <c r="L373" i="19"/>
  <c r="L359" i="19"/>
  <c r="L356" i="19"/>
  <c r="L342" i="19"/>
  <c r="L328" i="19"/>
  <c r="L323" i="19"/>
  <c r="L334" i="19"/>
  <c r="L329" i="19"/>
  <c r="L325" i="19"/>
  <c r="L321" i="19"/>
  <c r="L266" i="19"/>
  <c r="L263" i="19"/>
  <c r="L248" i="19"/>
  <c r="L247" i="19"/>
  <c r="L244" i="19"/>
  <c r="L242" i="19"/>
  <c r="L240" i="19"/>
  <c r="L238" i="19"/>
  <c r="L236" i="19"/>
  <c r="L234" i="19"/>
  <c r="L232" i="19"/>
  <c r="L230" i="19"/>
  <c r="L228" i="19"/>
  <c r="L226" i="19"/>
  <c r="L219" i="19"/>
  <c r="L382" i="19"/>
  <c r="L338" i="19"/>
  <c r="L333" i="19"/>
  <c r="L306" i="19"/>
  <c r="L299" i="19"/>
  <c r="L293" i="19"/>
  <c r="L291" i="19"/>
  <c r="L290" i="19"/>
  <c r="L288" i="19"/>
  <c r="L260" i="19"/>
  <c r="L246" i="19"/>
  <c r="L224" i="19"/>
  <c r="L540" i="19"/>
  <c r="L497" i="19"/>
  <c r="L346" i="19"/>
  <c r="L337" i="19"/>
  <c r="L267" i="19"/>
  <c r="L222" i="19"/>
  <c r="L371" i="19"/>
  <c r="L304" i="19"/>
  <c r="L239" i="19"/>
  <c r="L499" i="19"/>
  <c r="L460" i="19"/>
  <c r="L301" i="19"/>
  <c r="L285" i="19"/>
  <c r="L272" i="19"/>
  <c r="L268" i="19"/>
  <c r="L265" i="19"/>
  <c r="L249" i="19"/>
  <c r="L233" i="19"/>
  <c r="L223" i="19"/>
  <c r="L358" i="19"/>
  <c r="L309" i="19"/>
  <c r="L307" i="19"/>
  <c r="L283" i="19"/>
  <c r="L274" i="19"/>
  <c r="L269" i="19"/>
  <c r="L257" i="19"/>
  <c r="L256" i="19"/>
  <c r="L241" i="19"/>
  <c r="L225" i="19"/>
  <c r="L362" i="19"/>
  <c r="L339" i="19"/>
  <c r="L298" i="19"/>
  <c r="L264" i="19"/>
  <c r="L245" i="19"/>
  <c r="L221" i="19"/>
  <c r="L408" i="19"/>
  <c r="L349" i="19"/>
  <c r="L296" i="19"/>
  <c r="L259" i="19"/>
  <c r="L253" i="19"/>
  <c r="L220" i="19"/>
  <c r="L361" i="19"/>
  <c r="L357" i="19"/>
  <c r="L330" i="19"/>
  <c r="L326" i="19"/>
  <c r="L322" i="19"/>
  <c r="L275" i="19"/>
  <c r="L366" i="19"/>
  <c r="L345" i="19"/>
  <c r="L343" i="19"/>
  <c r="L282" i="19"/>
  <c r="L262" i="19"/>
  <c r="L261" i="19"/>
  <c r="L254" i="19"/>
  <c r="L231" i="19"/>
  <c r="L353" i="19"/>
  <c r="L340" i="19"/>
  <c r="L280" i="19"/>
  <c r="L251" i="19"/>
  <c r="L243" i="19"/>
  <c r="L235" i="19"/>
  <c r="L466" i="19"/>
  <c r="L350" i="19"/>
  <c r="L344" i="19"/>
  <c r="L250" i="19"/>
  <c r="L229" i="19"/>
  <c r="L354" i="19"/>
  <c r="L255" i="19"/>
  <c r="L227" i="19"/>
  <c r="L252" i="19"/>
  <c r="L237" i="19"/>
  <c r="L372" i="19"/>
  <c r="L365" i="19"/>
  <c r="L277" i="19"/>
  <c r="W30" i="8"/>
  <c r="AS31" i="1"/>
  <c r="D9" i="19"/>
  <c r="F52" i="11"/>
  <c r="C617" i="19"/>
  <c r="AJ9" i="19"/>
  <c r="AK14" i="19"/>
  <c r="AM52" i="11" s="1"/>
  <c r="AF31" i="1"/>
  <c r="J30" i="8"/>
  <c r="C615" i="19"/>
  <c r="I581" i="19"/>
  <c r="I580" i="19"/>
  <c r="I565" i="19"/>
  <c r="I564" i="19"/>
  <c r="I549" i="19"/>
  <c r="I548" i="19"/>
  <c r="I575" i="19"/>
  <c r="I572" i="19"/>
  <c r="I553" i="19"/>
  <c r="I550" i="19"/>
  <c r="I547" i="19"/>
  <c r="I584" i="19"/>
  <c r="I578" i="19"/>
  <c r="I555" i="19"/>
  <c r="I552" i="19"/>
  <c r="I568" i="19"/>
  <c r="I566" i="19"/>
  <c r="I551" i="19"/>
  <c r="I538" i="19"/>
  <c r="I537" i="19"/>
  <c r="I524" i="19"/>
  <c r="I583" i="19"/>
  <c r="I582" i="19"/>
  <c r="I562" i="19"/>
  <c r="I560" i="19"/>
  <c r="I534" i="19"/>
  <c r="I533" i="19"/>
  <c r="I579" i="19"/>
  <c r="I570" i="19"/>
  <c r="I546" i="19"/>
  <c r="I544" i="19"/>
  <c r="I543" i="19"/>
  <c r="I540" i="19"/>
  <c r="I512" i="19"/>
  <c r="I511" i="19"/>
  <c r="I496" i="19"/>
  <c r="I495" i="19"/>
  <c r="I577" i="19"/>
  <c r="I536" i="19"/>
  <c r="I529" i="19"/>
  <c r="I526" i="19"/>
  <c r="I510" i="19"/>
  <c r="I509" i="19"/>
  <c r="I494" i="19"/>
  <c r="I492" i="19"/>
  <c r="I490" i="19"/>
  <c r="I488" i="19"/>
  <c r="I486" i="19"/>
  <c r="I484" i="19"/>
  <c r="I482" i="19"/>
  <c r="I480" i="19"/>
  <c r="I478" i="19"/>
  <c r="I476" i="19"/>
  <c r="I474" i="19"/>
  <c r="I472" i="19"/>
  <c r="I470" i="19"/>
  <c r="I468" i="19"/>
  <c r="I466" i="19"/>
  <c r="I464" i="19"/>
  <c r="I462" i="19"/>
  <c r="I460" i="19"/>
  <c r="I458" i="19"/>
  <c r="I456" i="19"/>
  <c r="I454" i="19"/>
  <c r="I452" i="19"/>
  <c r="I450" i="19"/>
  <c r="I448" i="19"/>
  <c r="I446" i="19"/>
  <c r="I444" i="19"/>
  <c r="I442" i="19"/>
  <c r="I440" i="19"/>
  <c r="I438" i="19"/>
  <c r="I436" i="19"/>
  <c r="I434" i="19"/>
  <c r="I432" i="19"/>
  <c r="I430" i="19"/>
  <c r="I428" i="19"/>
  <c r="I426" i="19"/>
  <c r="I424" i="19"/>
  <c r="I422" i="19"/>
  <c r="I420" i="19"/>
  <c r="I418" i="19"/>
  <c r="I416" i="19"/>
  <c r="I414" i="19"/>
  <c r="I412" i="19"/>
  <c r="I410" i="19"/>
  <c r="I408" i="19"/>
  <c r="I406" i="19"/>
  <c r="I404" i="19"/>
  <c r="I402" i="19"/>
  <c r="I400" i="19"/>
  <c r="I398" i="19"/>
  <c r="I539" i="19"/>
  <c r="I532" i="19"/>
  <c r="I508" i="19"/>
  <c r="I507" i="19"/>
  <c r="I554" i="19"/>
  <c r="I530" i="19"/>
  <c r="I525" i="19"/>
  <c r="I522" i="19"/>
  <c r="I497" i="19"/>
  <c r="I487" i="19"/>
  <c r="I471" i="19"/>
  <c r="I455" i="19"/>
  <c r="I439" i="19"/>
  <c r="I423" i="19"/>
  <c r="I558" i="19"/>
  <c r="I556" i="19"/>
  <c r="I541" i="19"/>
  <c r="I523" i="19"/>
  <c r="I499" i="19"/>
  <c r="I498" i="19"/>
  <c r="I481" i="19"/>
  <c r="I465" i="19"/>
  <c r="I557" i="19"/>
  <c r="I527" i="19"/>
  <c r="I501" i="19"/>
  <c r="I500" i="19"/>
  <c r="I491" i="19"/>
  <c r="I475" i="19"/>
  <c r="I459" i="19"/>
  <c r="I443" i="19"/>
  <c r="I573" i="19"/>
  <c r="I571" i="19"/>
  <c r="I545" i="19"/>
  <c r="I506" i="19"/>
  <c r="I457" i="19"/>
  <c r="I429" i="19"/>
  <c r="I411" i="19"/>
  <c r="I396" i="19"/>
  <c r="I388" i="19"/>
  <c r="I380" i="19"/>
  <c r="I569" i="19"/>
  <c r="I567" i="19"/>
  <c r="I542" i="19"/>
  <c r="I535" i="19"/>
  <c r="I528" i="19"/>
  <c r="I521" i="19"/>
  <c r="I516" i="19"/>
  <c r="I505" i="19"/>
  <c r="I473" i="19"/>
  <c r="I449" i="19"/>
  <c r="I431" i="19"/>
  <c r="I405" i="19"/>
  <c r="I391" i="19"/>
  <c r="I383" i="19"/>
  <c r="I375" i="19"/>
  <c r="I531" i="19"/>
  <c r="I515" i="19"/>
  <c r="I489" i="19"/>
  <c r="I441" i="19"/>
  <c r="I433" i="19"/>
  <c r="I421" i="19"/>
  <c r="I415" i="19"/>
  <c r="I399" i="19"/>
  <c r="I394" i="19"/>
  <c r="I386" i="19"/>
  <c r="I378" i="19"/>
  <c r="I372" i="19"/>
  <c r="I370" i="19"/>
  <c r="I368" i="19"/>
  <c r="I366" i="19"/>
  <c r="I364" i="19"/>
  <c r="I362" i="19"/>
  <c r="I360" i="19"/>
  <c r="I358" i="19"/>
  <c r="I356" i="19"/>
  <c r="I354" i="19"/>
  <c r="I352" i="19"/>
  <c r="I350" i="19"/>
  <c r="I348" i="19"/>
  <c r="I346" i="19"/>
  <c r="I344" i="19"/>
  <c r="I342" i="19"/>
  <c r="I340" i="19"/>
  <c r="I338" i="19"/>
  <c r="I336" i="19"/>
  <c r="I334" i="19"/>
  <c r="I332" i="19"/>
  <c r="I330" i="19"/>
  <c r="I328" i="19"/>
  <c r="I326" i="19"/>
  <c r="I324" i="19"/>
  <c r="I322" i="19"/>
  <c r="I320" i="19"/>
  <c r="I318" i="19"/>
  <c r="I316" i="19"/>
  <c r="I314" i="19"/>
  <c r="I312" i="19"/>
  <c r="I310" i="19"/>
  <c r="I308" i="19"/>
  <c r="I306" i="19"/>
  <c r="I304" i="19"/>
  <c r="I302" i="19"/>
  <c r="I300" i="19"/>
  <c r="I298" i="19"/>
  <c r="I296" i="19"/>
  <c r="I294" i="19"/>
  <c r="I292" i="19"/>
  <c r="I290" i="19"/>
  <c r="I288" i="19"/>
  <c r="I286" i="19"/>
  <c r="I284" i="19"/>
  <c r="I282" i="19"/>
  <c r="I280" i="19"/>
  <c r="I278" i="19"/>
  <c r="I276" i="19"/>
  <c r="I274" i="19"/>
  <c r="I272" i="19"/>
  <c r="I270" i="19"/>
  <c r="I268" i="19"/>
  <c r="I266" i="19"/>
  <c r="I264" i="19"/>
  <c r="I262" i="19"/>
  <c r="I260" i="19"/>
  <c r="I258" i="19"/>
  <c r="I520" i="19"/>
  <c r="I463" i="19"/>
  <c r="I397" i="19"/>
  <c r="I392" i="19"/>
  <c r="I381" i="19"/>
  <c r="I563" i="19"/>
  <c r="I485" i="19"/>
  <c r="I477" i="19"/>
  <c r="I453" i="19"/>
  <c r="I437" i="19"/>
  <c r="I427" i="19"/>
  <c r="I413" i="19"/>
  <c r="I395" i="19"/>
  <c r="I514" i="19"/>
  <c r="I502" i="19"/>
  <c r="I493" i="19"/>
  <c r="I467" i="19"/>
  <c r="I445" i="19"/>
  <c r="I435" i="19"/>
  <c r="I425" i="19"/>
  <c r="I409" i="19"/>
  <c r="I393" i="19"/>
  <c r="I561" i="19"/>
  <c r="I379" i="19"/>
  <c r="I377" i="19"/>
  <c r="I365" i="19"/>
  <c r="I349" i="19"/>
  <c r="I333" i="19"/>
  <c r="I263" i="19"/>
  <c r="I503" i="19"/>
  <c r="I461" i="19"/>
  <c r="I451" i="19"/>
  <c r="I390" i="19"/>
  <c r="I376" i="19"/>
  <c r="I374" i="19"/>
  <c r="I353" i="19"/>
  <c r="I337" i="19"/>
  <c r="I321" i="19"/>
  <c r="I574" i="19"/>
  <c r="I513" i="19"/>
  <c r="I479" i="19"/>
  <c r="I447" i="19"/>
  <c r="I519" i="19"/>
  <c r="I483" i="19"/>
  <c r="I403" i="19"/>
  <c r="I382" i="19"/>
  <c r="I357" i="19"/>
  <c r="I343" i="19"/>
  <c r="I329" i="19"/>
  <c r="I307" i="19"/>
  <c r="I417" i="19"/>
  <c r="I387" i="19"/>
  <c r="I369" i="19"/>
  <c r="I361" i="19"/>
  <c r="I325" i="19"/>
  <c r="I504" i="19"/>
  <c r="I469" i="19"/>
  <c r="I419" i="19"/>
  <c r="I373" i="19"/>
  <c r="I339" i="19"/>
  <c r="I305" i="19"/>
  <c r="I301" i="19"/>
  <c r="I281" i="19"/>
  <c r="I279" i="19"/>
  <c r="I277" i="19"/>
  <c r="I265" i="19"/>
  <c r="I259" i="19"/>
  <c r="I253" i="19"/>
  <c r="I252" i="19"/>
  <c r="I223" i="19"/>
  <c r="I371" i="19"/>
  <c r="I347" i="19"/>
  <c r="I313" i="19"/>
  <c r="I309" i="19"/>
  <c r="I283" i="19"/>
  <c r="I251" i="19"/>
  <c r="I250" i="19"/>
  <c r="I385" i="19"/>
  <c r="I351" i="19"/>
  <c r="I289" i="19"/>
  <c r="I287" i="19"/>
  <c r="I285" i="19"/>
  <c r="I249" i="19"/>
  <c r="I248" i="19"/>
  <c r="I221" i="19"/>
  <c r="I576" i="19"/>
  <c r="I559" i="19"/>
  <c r="I401" i="19"/>
  <c r="I355" i="19"/>
  <c r="I319" i="19"/>
  <c r="I317" i="19"/>
  <c r="I273" i="19"/>
  <c r="I269" i="19"/>
  <c r="I267" i="19"/>
  <c r="I261" i="19"/>
  <c r="I257" i="19"/>
  <c r="I247" i="19"/>
  <c r="I241" i="19"/>
  <c r="I240" i="19"/>
  <c r="I225" i="19"/>
  <c r="I303" i="19"/>
  <c r="I235" i="19"/>
  <c r="I234" i="19"/>
  <c r="I224" i="19"/>
  <c r="I220" i="19"/>
  <c r="I327" i="19"/>
  <c r="I297" i="19"/>
  <c r="I275" i="19"/>
  <c r="I243" i="19"/>
  <c r="I242" i="19"/>
  <c r="I227" i="19"/>
  <c r="I226" i="19"/>
  <c r="I222" i="19"/>
  <c r="I384" i="19"/>
  <c r="I331" i="19"/>
  <c r="I229" i="19"/>
  <c r="I345" i="19"/>
  <c r="I311" i="19"/>
  <c r="I299" i="19"/>
  <c r="I254" i="19"/>
  <c r="I228" i="19"/>
  <c r="I407" i="19"/>
  <c r="I341" i="19"/>
  <c r="I335" i="19"/>
  <c r="I295" i="19"/>
  <c r="I291" i="19"/>
  <c r="I255" i="19"/>
  <c r="I245" i="19"/>
  <c r="I237" i="19"/>
  <c r="I244" i="19"/>
  <c r="I239" i="19"/>
  <c r="I236" i="19"/>
  <c r="I231" i="19"/>
  <c r="I517" i="19"/>
  <c r="I389" i="19"/>
  <c r="I367" i="19"/>
  <c r="I293" i="19"/>
  <c r="I271" i="19"/>
  <c r="I238" i="19"/>
  <c r="I233" i="19"/>
  <c r="I230" i="19"/>
  <c r="I246" i="19"/>
  <c r="I219" i="19"/>
  <c r="I359" i="19"/>
  <c r="I232" i="19"/>
  <c r="I518" i="19"/>
  <c r="I363" i="19"/>
  <c r="I315" i="19"/>
  <c r="I256" i="19"/>
  <c r="I323" i="19"/>
  <c r="X34" i="8"/>
  <c r="AT35" i="1"/>
  <c r="G47" i="19"/>
  <c r="G27" i="19"/>
  <c r="G7" i="19"/>
  <c r="G8" i="19" s="1"/>
  <c r="H6" i="19"/>
  <c r="G44" i="19"/>
  <c r="I64" i="11" s="1"/>
  <c r="G5" i="19"/>
  <c r="I47" i="11" s="1"/>
  <c r="G64" i="19"/>
  <c r="I72" i="11" s="1"/>
  <c r="G24" i="19"/>
  <c r="I56" i="11" s="1"/>
  <c r="G56" i="19"/>
  <c r="G16" i="19"/>
  <c r="H12" i="19" s="1"/>
  <c r="G84" i="19"/>
  <c r="I80" i="11" s="1"/>
  <c r="G97" i="19"/>
  <c r="G17" i="19"/>
  <c r="G57" i="19"/>
  <c r="G87" i="19"/>
  <c r="G66" i="19"/>
  <c r="G26" i="19"/>
  <c r="G96" i="19"/>
  <c r="G54" i="19"/>
  <c r="I68" i="11" s="1"/>
  <c r="G14" i="19"/>
  <c r="G67" i="19"/>
  <c r="G86" i="19"/>
  <c r="G46" i="19"/>
  <c r="G94" i="19"/>
  <c r="I83" i="11" s="1"/>
  <c r="G77" i="19"/>
  <c r="G76" i="19"/>
  <c r="E572" i="19"/>
  <c r="E571" i="19"/>
  <c r="E556" i="19"/>
  <c r="E555" i="19"/>
  <c r="E580" i="19"/>
  <c r="E577" i="19"/>
  <c r="E558" i="19"/>
  <c r="E552" i="19"/>
  <c r="E549" i="19"/>
  <c r="E545" i="19"/>
  <c r="E544" i="19"/>
  <c r="E582" i="19"/>
  <c r="E579" i="19"/>
  <c r="E574" i="19"/>
  <c r="E573" i="19"/>
  <c r="E554" i="19"/>
  <c r="E553" i="19"/>
  <c r="E546" i="19"/>
  <c r="E529" i="19"/>
  <c r="E528" i="19"/>
  <c r="E523" i="19"/>
  <c r="E568" i="19"/>
  <c r="E567" i="19"/>
  <c r="E551" i="19"/>
  <c r="E541" i="19"/>
  <c r="E540" i="19"/>
  <c r="E525" i="19"/>
  <c r="E576" i="19"/>
  <c r="E561" i="19"/>
  <c r="E534" i="19"/>
  <c r="E531" i="19"/>
  <c r="E519" i="19"/>
  <c r="E518" i="19"/>
  <c r="E503" i="19"/>
  <c r="E502" i="19"/>
  <c r="E583" i="19"/>
  <c r="E581" i="19"/>
  <c r="E570" i="19"/>
  <c r="E559" i="19"/>
  <c r="E537" i="19"/>
  <c r="E527" i="19"/>
  <c r="E524" i="19"/>
  <c r="E517" i="19"/>
  <c r="E516" i="19"/>
  <c r="E501" i="19"/>
  <c r="E500" i="19"/>
  <c r="E493" i="19"/>
  <c r="E491" i="19"/>
  <c r="E489" i="19"/>
  <c r="E487" i="19"/>
  <c r="E485" i="19"/>
  <c r="E483" i="19"/>
  <c r="E481" i="19"/>
  <c r="E479" i="19"/>
  <c r="E477" i="19"/>
  <c r="E475" i="19"/>
  <c r="E473" i="19"/>
  <c r="E471" i="19"/>
  <c r="E469" i="19"/>
  <c r="E467" i="19"/>
  <c r="E465" i="19"/>
  <c r="E463" i="19"/>
  <c r="E461" i="19"/>
  <c r="E459" i="19"/>
  <c r="E457" i="19"/>
  <c r="E455" i="19"/>
  <c r="E453" i="19"/>
  <c r="E451" i="19"/>
  <c r="E449" i="19"/>
  <c r="E447" i="19"/>
  <c r="E445" i="19"/>
  <c r="E443" i="19"/>
  <c r="E441" i="19"/>
  <c r="E439" i="19"/>
  <c r="E437" i="19"/>
  <c r="E435" i="19"/>
  <c r="E433" i="19"/>
  <c r="E431" i="19"/>
  <c r="E429" i="19"/>
  <c r="E427" i="19"/>
  <c r="E425" i="19"/>
  <c r="E423" i="19"/>
  <c r="E421" i="19"/>
  <c r="E419" i="19"/>
  <c r="E417" i="19"/>
  <c r="E415" i="19"/>
  <c r="E413" i="19"/>
  <c r="E411" i="19"/>
  <c r="E409" i="19"/>
  <c r="E407" i="19"/>
  <c r="E405" i="19"/>
  <c r="E403" i="19"/>
  <c r="E401" i="19"/>
  <c r="E399" i="19"/>
  <c r="E397" i="19"/>
  <c r="E566" i="19"/>
  <c r="E557" i="19"/>
  <c r="E550" i="19"/>
  <c r="E530" i="19"/>
  <c r="E515" i="19"/>
  <c r="E514" i="19"/>
  <c r="E499" i="19"/>
  <c r="E498" i="19"/>
  <c r="E575" i="19"/>
  <c r="E535" i="19"/>
  <c r="E506" i="19"/>
  <c r="E505" i="19"/>
  <c r="E496" i="19"/>
  <c r="E495" i="19"/>
  <c r="E494" i="19"/>
  <c r="E478" i="19"/>
  <c r="E462" i="19"/>
  <c r="E446" i="19"/>
  <c r="E430" i="19"/>
  <c r="E539" i="19"/>
  <c r="E508" i="19"/>
  <c r="E507" i="19"/>
  <c r="E497" i="19"/>
  <c r="E488" i="19"/>
  <c r="E472" i="19"/>
  <c r="E584" i="19"/>
  <c r="E578" i="19"/>
  <c r="E532" i="19"/>
  <c r="E520" i="19"/>
  <c r="E510" i="19"/>
  <c r="E509" i="19"/>
  <c r="E482" i="19"/>
  <c r="E466" i="19"/>
  <c r="E450" i="19"/>
  <c r="E569" i="19"/>
  <c r="E547" i="19"/>
  <c r="E526" i="19"/>
  <c r="E522" i="19"/>
  <c r="E474" i="19"/>
  <c r="E460" i="19"/>
  <c r="E448" i="19"/>
  <c r="E438" i="19"/>
  <c r="E426" i="19"/>
  <c r="E418" i="19"/>
  <c r="E402" i="19"/>
  <c r="E395" i="19"/>
  <c r="E387" i="19"/>
  <c r="E379" i="19"/>
  <c r="E565" i="19"/>
  <c r="E563" i="19"/>
  <c r="E538" i="19"/>
  <c r="E511" i="19"/>
  <c r="E490" i="19"/>
  <c r="E476" i="19"/>
  <c r="E454" i="19"/>
  <c r="E440" i="19"/>
  <c r="E428" i="19"/>
  <c r="E412" i="19"/>
  <c r="E390" i="19"/>
  <c r="E382" i="19"/>
  <c r="E374" i="19"/>
  <c r="E542" i="19"/>
  <c r="E521" i="19"/>
  <c r="E492" i="19"/>
  <c r="E468" i="19"/>
  <c r="E406" i="19"/>
  <c r="E393" i="19"/>
  <c r="E385" i="19"/>
  <c r="E377" i="19"/>
  <c r="E373" i="19"/>
  <c r="E371" i="19"/>
  <c r="E369" i="19"/>
  <c r="E367" i="19"/>
  <c r="E365" i="19"/>
  <c r="E363" i="19"/>
  <c r="E361" i="19"/>
  <c r="E359" i="19"/>
  <c r="E357" i="19"/>
  <c r="E355" i="19"/>
  <c r="E353" i="19"/>
  <c r="E351" i="19"/>
  <c r="E349" i="19"/>
  <c r="E347" i="19"/>
  <c r="E345" i="19"/>
  <c r="E343" i="19"/>
  <c r="E341" i="19"/>
  <c r="E339" i="19"/>
  <c r="E337" i="19"/>
  <c r="E335" i="19"/>
  <c r="E333" i="19"/>
  <c r="E331" i="19"/>
  <c r="E329" i="19"/>
  <c r="E327" i="19"/>
  <c r="E325" i="19"/>
  <c r="E323" i="19"/>
  <c r="E321" i="19"/>
  <c r="E319" i="19"/>
  <c r="E317" i="19"/>
  <c r="E315" i="19"/>
  <c r="E313" i="19"/>
  <c r="E311" i="19"/>
  <c r="E309" i="19"/>
  <c r="E307" i="19"/>
  <c r="E305" i="19"/>
  <c r="E303" i="19"/>
  <c r="E301" i="19"/>
  <c r="E299" i="19"/>
  <c r="E297" i="19"/>
  <c r="E295" i="19"/>
  <c r="E293" i="19"/>
  <c r="E291" i="19"/>
  <c r="E289" i="19"/>
  <c r="E287" i="19"/>
  <c r="E285" i="19"/>
  <c r="E283" i="19"/>
  <c r="E281" i="19"/>
  <c r="E279" i="19"/>
  <c r="E277" i="19"/>
  <c r="E275" i="19"/>
  <c r="E273" i="19"/>
  <c r="E271" i="19"/>
  <c r="E269" i="19"/>
  <c r="E267" i="19"/>
  <c r="E265" i="19"/>
  <c r="E263" i="19"/>
  <c r="E261" i="19"/>
  <c r="E259" i="19"/>
  <c r="E560" i="19"/>
  <c r="E470" i="19"/>
  <c r="E414" i="19"/>
  <c r="E400" i="19"/>
  <c r="E394" i="19"/>
  <c r="E383" i="19"/>
  <c r="E372" i="19"/>
  <c r="E512" i="19"/>
  <c r="E484" i="19"/>
  <c r="E416" i="19"/>
  <c r="E543" i="19"/>
  <c r="E458" i="19"/>
  <c r="E444" i="19"/>
  <c r="E504" i="19"/>
  <c r="E404" i="19"/>
  <c r="E356" i="19"/>
  <c r="E340" i="19"/>
  <c r="E324" i="19"/>
  <c r="E432" i="19"/>
  <c r="E398" i="19"/>
  <c r="E388" i="19"/>
  <c r="E360" i="19"/>
  <c r="E344" i="19"/>
  <c r="E328" i="19"/>
  <c r="E464" i="19"/>
  <c r="E452" i="19"/>
  <c r="E422" i="19"/>
  <c r="E420" i="19"/>
  <c r="E408" i="19"/>
  <c r="E536" i="19"/>
  <c r="E486" i="19"/>
  <c r="E480" i="19"/>
  <c r="E424" i="19"/>
  <c r="E384" i="19"/>
  <c r="E348" i="19"/>
  <c r="E334" i="19"/>
  <c r="E320" i="19"/>
  <c r="E298" i="19"/>
  <c r="E391" i="19"/>
  <c r="E366" i="19"/>
  <c r="E352" i="19"/>
  <c r="E436" i="19"/>
  <c r="E378" i="19"/>
  <c r="E322" i="19"/>
  <c r="E272" i="19"/>
  <c r="E270" i="19"/>
  <c r="E264" i="19"/>
  <c r="E224" i="19"/>
  <c r="E533" i="19"/>
  <c r="E326" i="19"/>
  <c r="E312" i="19"/>
  <c r="E308" i="19"/>
  <c r="E274" i="19"/>
  <c r="E258" i="19"/>
  <c r="E257" i="19"/>
  <c r="E222" i="19"/>
  <c r="E564" i="19"/>
  <c r="E410" i="19"/>
  <c r="E375" i="19"/>
  <c r="E330" i="19"/>
  <c r="E280" i="19"/>
  <c r="E278" i="19"/>
  <c r="E276" i="19"/>
  <c r="E268" i="19"/>
  <c r="E256" i="19"/>
  <c r="E255" i="19"/>
  <c r="E220" i="19"/>
  <c r="E562" i="19"/>
  <c r="E548" i="19"/>
  <c r="E381" i="19"/>
  <c r="E350" i="19"/>
  <c r="E306" i="19"/>
  <c r="E282" i="19"/>
  <c r="E260" i="19"/>
  <c r="E232" i="19"/>
  <c r="E231" i="19"/>
  <c r="E376" i="19"/>
  <c r="E368" i="19"/>
  <c r="E364" i="19"/>
  <c r="E346" i="19"/>
  <c r="E342" i="19"/>
  <c r="E338" i="19"/>
  <c r="E286" i="19"/>
  <c r="E242" i="19"/>
  <c r="E241" i="19"/>
  <c r="E226" i="19"/>
  <c r="E225" i="19"/>
  <c r="E392" i="19"/>
  <c r="E389" i="19"/>
  <c r="E300" i="19"/>
  <c r="E288" i="19"/>
  <c r="E284" i="19"/>
  <c r="E251" i="19"/>
  <c r="E250" i="19"/>
  <c r="E234" i="19"/>
  <c r="E233" i="19"/>
  <c r="E223" i="19"/>
  <c r="E380" i="19"/>
  <c r="E354" i="19"/>
  <c r="E310" i="19"/>
  <c r="E304" i="19"/>
  <c r="E294" i="19"/>
  <c r="E290" i="19"/>
  <c r="E246" i="19"/>
  <c r="E243" i="19"/>
  <c r="E238" i="19"/>
  <c r="E434" i="19"/>
  <c r="E396" i="19"/>
  <c r="E362" i="19"/>
  <c r="E302" i="19"/>
  <c r="E266" i="19"/>
  <c r="E245" i="19"/>
  <c r="E240" i="19"/>
  <c r="E237" i="19"/>
  <c r="E221" i="19"/>
  <c r="E370" i="19"/>
  <c r="E314" i="19"/>
  <c r="E262" i="19"/>
  <c r="E254" i="19"/>
  <c r="E358" i="19"/>
  <c r="E229" i="19"/>
  <c r="E219" i="19"/>
  <c r="E249" i="19"/>
  <c r="E332" i="19"/>
  <c r="E318" i="19"/>
  <c r="E292" i="19"/>
  <c r="E248" i="19"/>
  <c r="E236" i="19"/>
  <c r="E228" i="19"/>
  <c r="E336" i="19"/>
  <c r="E252" i="19"/>
  <c r="E247" i="19"/>
  <c r="E244" i="19"/>
  <c r="E230" i="19"/>
  <c r="E227" i="19"/>
  <c r="E456" i="19"/>
  <c r="E235" i="19"/>
  <c r="E296" i="19"/>
  <c r="E239" i="19"/>
  <c r="E386" i="19"/>
  <c r="E513" i="19"/>
  <c r="E442" i="19"/>
  <c r="E253" i="19"/>
  <c r="E316" i="19"/>
  <c r="X33" i="8"/>
  <c r="AT34" i="1"/>
  <c r="K222" i="19"/>
  <c r="K300" i="19"/>
  <c r="K243" i="19"/>
  <c r="K276" i="19"/>
  <c r="K264" i="19"/>
  <c r="K401" i="19"/>
  <c r="K265" i="19"/>
  <c r="K231" i="19"/>
  <c r="K281" i="19"/>
  <c r="K245" i="19"/>
  <c r="K291" i="19"/>
  <c r="K359" i="19"/>
  <c r="K226" i="19"/>
  <c r="K242" i="19"/>
  <c r="K317" i="19"/>
  <c r="K283" i="19"/>
  <c r="K351" i="19"/>
  <c r="K388" i="19"/>
  <c r="K379" i="19"/>
  <c r="K426" i="19"/>
  <c r="K385" i="19"/>
  <c r="K246" i="19"/>
  <c r="K321" i="19"/>
  <c r="K461" i="19"/>
  <c r="K451" i="19"/>
  <c r="K387" i="19"/>
  <c r="K404" i="19"/>
  <c r="K552" i="19"/>
  <c r="K432" i="19"/>
  <c r="K320" i="19"/>
  <c r="K336" i="19"/>
  <c r="K352" i="19"/>
  <c r="K368" i="19"/>
  <c r="K430" i="19"/>
  <c r="K567" i="19"/>
  <c r="K480" i="19"/>
  <c r="K502" i="19"/>
  <c r="K428" i="19"/>
  <c r="K492" i="19"/>
  <c r="K556" i="19"/>
  <c r="K562" i="19"/>
  <c r="K497" i="19"/>
  <c r="K513" i="19"/>
  <c r="K547" i="19"/>
  <c r="K565" i="19"/>
  <c r="K582" i="19"/>
  <c r="C618" i="19"/>
  <c r="G36" i="19"/>
  <c r="G34" i="19"/>
  <c r="I60" i="11" s="1"/>
  <c r="C612" i="19"/>
  <c r="I33" i="8"/>
  <c r="AE34" i="1"/>
  <c r="G32" i="8"/>
  <c r="AC33" i="1"/>
  <c r="AN14" i="19"/>
  <c r="AQ52" i="11" s="1"/>
  <c r="AM9" i="19"/>
  <c r="W36" i="8"/>
  <c r="AS38" i="1"/>
  <c r="K275" i="19"/>
  <c r="K318" i="19"/>
  <c r="K251" i="19"/>
  <c r="K297" i="19"/>
  <c r="K311" i="19"/>
  <c r="K261" i="19"/>
  <c r="K269" i="19"/>
  <c r="K255" i="19"/>
  <c r="K304" i="19"/>
  <c r="K277" i="19"/>
  <c r="K292" i="19"/>
  <c r="K376" i="19"/>
  <c r="K228" i="19"/>
  <c r="K244" i="19"/>
  <c r="K329" i="19"/>
  <c r="K284" i="19"/>
  <c r="K408" i="19"/>
  <c r="K413" i="19"/>
  <c r="K468" i="19"/>
  <c r="K434" i="19"/>
  <c r="K406" i="19"/>
  <c r="K248" i="19"/>
  <c r="K337" i="19"/>
  <c r="K466" i="19"/>
  <c r="K456" i="19"/>
  <c r="K405" i="19"/>
  <c r="K419" i="19"/>
  <c r="K378" i="19"/>
  <c r="K433" i="19"/>
  <c r="K322" i="19"/>
  <c r="K338" i="19"/>
  <c r="K354" i="19"/>
  <c r="K370" i="19"/>
  <c r="K441" i="19"/>
  <c r="K537" i="19"/>
  <c r="K514" i="19"/>
  <c r="K512" i="19"/>
  <c r="K443" i="19"/>
  <c r="K500" i="19"/>
  <c r="K571" i="19"/>
  <c r="K573" i="19"/>
  <c r="K499" i="19"/>
  <c r="K515" i="19"/>
  <c r="K558" i="19"/>
  <c r="K583" i="19"/>
  <c r="K560" i="19"/>
  <c r="D615" i="19"/>
  <c r="K518" i="19"/>
  <c r="AM60" i="11"/>
  <c r="AM64" i="11"/>
  <c r="H36" i="8"/>
  <c r="AD38" i="1"/>
  <c r="C619" i="19"/>
  <c r="V576" i="19"/>
  <c r="AF576" i="19" s="1"/>
  <c r="V575" i="19"/>
  <c r="AF575" i="19" s="1"/>
  <c r="V560" i="19"/>
  <c r="AF560" i="19" s="1"/>
  <c r="V559" i="19"/>
  <c r="AF559" i="19" s="1"/>
  <c r="V566" i="19"/>
  <c r="AF566" i="19" s="1"/>
  <c r="V563" i="19"/>
  <c r="AF563" i="19" s="1"/>
  <c r="V557" i="19"/>
  <c r="AF557" i="19" s="1"/>
  <c r="V584" i="19"/>
  <c r="AF584" i="19" s="1"/>
  <c r="V581" i="19"/>
  <c r="AF581" i="19" s="1"/>
  <c r="V552" i="19"/>
  <c r="AF552" i="19" s="1"/>
  <c r="V570" i="19"/>
  <c r="AF570" i="19" s="1"/>
  <c r="V569" i="19"/>
  <c r="AF569" i="19" s="1"/>
  <c r="V548" i="19"/>
  <c r="AF548" i="19" s="1"/>
  <c r="V545" i="19"/>
  <c r="AF545" i="19" s="1"/>
  <c r="V533" i="19"/>
  <c r="AF533" i="19" s="1"/>
  <c r="V532" i="19"/>
  <c r="AF532" i="19" s="1"/>
  <c r="V523" i="19"/>
  <c r="AF523" i="19" s="1"/>
  <c r="V583" i="19"/>
  <c r="AF583" i="19" s="1"/>
  <c r="V565" i="19"/>
  <c r="AF565" i="19" s="1"/>
  <c r="V529" i="19"/>
  <c r="AF529" i="19" s="1"/>
  <c r="V528" i="19"/>
  <c r="AF528" i="19" s="1"/>
  <c r="V578" i="19"/>
  <c r="AF578" i="19" s="1"/>
  <c r="V549" i="19"/>
  <c r="AF549" i="19" s="1"/>
  <c r="V544" i="19"/>
  <c r="AF544" i="19" s="1"/>
  <c r="V543" i="19"/>
  <c r="AF543" i="19" s="1"/>
  <c r="V526" i="19"/>
  <c r="AF526" i="19" s="1"/>
  <c r="V522" i="19"/>
  <c r="AF522" i="19" s="1"/>
  <c r="V507" i="19"/>
  <c r="AF507" i="19" s="1"/>
  <c r="V506" i="19"/>
  <c r="AF506" i="19" s="1"/>
  <c r="V574" i="19"/>
  <c r="AF574" i="19" s="1"/>
  <c r="V561" i="19"/>
  <c r="AF561" i="19" s="1"/>
  <c r="V536" i="19"/>
  <c r="AF536" i="19" s="1"/>
  <c r="V521" i="19"/>
  <c r="AF521" i="19" s="1"/>
  <c r="V520" i="19"/>
  <c r="AF520" i="19" s="1"/>
  <c r="V505" i="19"/>
  <c r="AF505" i="19" s="1"/>
  <c r="V504" i="19"/>
  <c r="AF504" i="19" s="1"/>
  <c r="V493" i="19"/>
  <c r="AF493" i="19" s="1"/>
  <c r="V491" i="19"/>
  <c r="AF491" i="19" s="1"/>
  <c r="V489" i="19"/>
  <c r="AF489" i="19" s="1"/>
  <c r="V487" i="19"/>
  <c r="AF487" i="19" s="1"/>
  <c r="V485" i="19"/>
  <c r="AF485" i="19" s="1"/>
  <c r="V483" i="19"/>
  <c r="AF483" i="19" s="1"/>
  <c r="V481" i="19"/>
  <c r="AF481" i="19" s="1"/>
  <c r="V479" i="19"/>
  <c r="AF479" i="19" s="1"/>
  <c r="V477" i="19"/>
  <c r="AF477" i="19" s="1"/>
  <c r="V475" i="19"/>
  <c r="AF475" i="19" s="1"/>
  <c r="V473" i="19"/>
  <c r="AF473" i="19" s="1"/>
  <c r="V471" i="19"/>
  <c r="AF471" i="19" s="1"/>
  <c r="V469" i="19"/>
  <c r="AF469" i="19" s="1"/>
  <c r="V467" i="19"/>
  <c r="AF467" i="19" s="1"/>
  <c r="V465" i="19"/>
  <c r="AF465" i="19" s="1"/>
  <c r="V463" i="19"/>
  <c r="AF463" i="19" s="1"/>
  <c r="V461" i="19"/>
  <c r="AF461" i="19" s="1"/>
  <c r="V459" i="19"/>
  <c r="AF459" i="19" s="1"/>
  <c r="V457" i="19"/>
  <c r="AF457" i="19" s="1"/>
  <c r="V455" i="19"/>
  <c r="AF455" i="19" s="1"/>
  <c r="V453" i="19"/>
  <c r="AF453" i="19" s="1"/>
  <c r="V451" i="19"/>
  <c r="AF451" i="19" s="1"/>
  <c r="V449" i="19"/>
  <c r="AF449" i="19" s="1"/>
  <c r="V447" i="19"/>
  <c r="AF447" i="19" s="1"/>
  <c r="V445" i="19"/>
  <c r="AF445" i="19" s="1"/>
  <c r="V443" i="19"/>
  <c r="AF443" i="19" s="1"/>
  <c r="V441" i="19"/>
  <c r="AF441" i="19" s="1"/>
  <c r="V439" i="19"/>
  <c r="AF439" i="19" s="1"/>
  <c r="V437" i="19"/>
  <c r="AF437" i="19" s="1"/>
  <c r="V435" i="19"/>
  <c r="AF435" i="19" s="1"/>
  <c r="V433" i="19"/>
  <c r="AF433" i="19" s="1"/>
  <c r="V431" i="19"/>
  <c r="AF431" i="19" s="1"/>
  <c r="V429" i="19"/>
  <c r="AF429" i="19" s="1"/>
  <c r="V427" i="19"/>
  <c r="AF427" i="19" s="1"/>
  <c r="V425" i="19"/>
  <c r="AF425" i="19" s="1"/>
  <c r="V423" i="19"/>
  <c r="AF423" i="19" s="1"/>
  <c r="V421" i="19"/>
  <c r="AF421" i="19" s="1"/>
  <c r="V419" i="19"/>
  <c r="AF419" i="19" s="1"/>
  <c r="V417" i="19"/>
  <c r="AF417" i="19" s="1"/>
  <c r="V415" i="19"/>
  <c r="AF415" i="19" s="1"/>
  <c r="V413" i="19"/>
  <c r="AF413" i="19" s="1"/>
  <c r="V411" i="19"/>
  <c r="AF411" i="19" s="1"/>
  <c r="V409" i="19"/>
  <c r="AF409" i="19" s="1"/>
  <c r="V407" i="19"/>
  <c r="AF407" i="19" s="1"/>
  <c r="V405" i="19"/>
  <c r="AF405" i="19" s="1"/>
  <c r="V403" i="19"/>
  <c r="AF403" i="19" s="1"/>
  <c r="V401" i="19"/>
  <c r="AF401" i="19" s="1"/>
  <c r="V399" i="19"/>
  <c r="AF399" i="19" s="1"/>
  <c r="V397" i="19"/>
  <c r="AF397" i="19" s="1"/>
  <c r="V572" i="19"/>
  <c r="AF572" i="19" s="1"/>
  <c r="V550" i="19"/>
  <c r="AF550" i="19" s="1"/>
  <c r="V542" i="19"/>
  <c r="AF542" i="19" s="1"/>
  <c r="V539" i="19"/>
  <c r="AF539" i="19" s="1"/>
  <c r="V519" i="19"/>
  <c r="AF519" i="19" s="1"/>
  <c r="V518" i="19"/>
  <c r="AF518" i="19" s="1"/>
  <c r="V503" i="19"/>
  <c r="AF503" i="19" s="1"/>
  <c r="V502" i="19"/>
  <c r="AF502" i="19" s="1"/>
  <c r="V564" i="19"/>
  <c r="AF564" i="19" s="1"/>
  <c r="V562" i="19"/>
  <c r="AF562" i="19" s="1"/>
  <c r="V546" i="19"/>
  <c r="AF546" i="19" s="1"/>
  <c r="V540" i="19"/>
  <c r="AF540" i="19" s="1"/>
  <c r="V496" i="19"/>
  <c r="AF496" i="19" s="1"/>
  <c r="V495" i="19"/>
  <c r="AF495" i="19" s="1"/>
  <c r="V482" i="19"/>
  <c r="AF482" i="19" s="1"/>
  <c r="V466" i="19"/>
  <c r="AF466" i="19" s="1"/>
  <c r="V450" i="19"/>
  <c r="AF450" i="19" s="1"/>
  <c r="V434" i="19"/>
  <c r="AF434" i="19" s="1"/>
  <c r="V568" i="19"/>
  <c r="AF568" i="19" s="1"/>
  <c r="V535" i="19"/>
  <c r="AF535" i="19" s="1"/>
  <c r="V508" i="19"/>
  <c r="AF508" i="19" s="1"/>
  <c r="V498" i="19"/>
  <c r="AF498" i="19" s="1"/>
  <c r="V497" i="19"/>
  <c r="AF497" i="19" s="1"/>
  <c r="V492" i="19"/>
  <c r="AF492" i="19" s="1"/>
  <c r="V476" i="19"/>
  <c r="AF476" i="19" s="1"/>
  <c r="V460" i="19"/>
  <c r="AF460" i="19" s="1"/>
  <c r="V567" i="19"/>
  <c r="AF567" i="19" s="1"/>
  <c r="V510" i="19"/>
  <c r="AF510" i="19" s="1"/>
  <c r="V509" i="19"/>
  <c r="AF509" i="19" s="1"/>
  <c r="V500" i="19"/>
  <c r="AF500" i="19" s="1"/>
  <c r="V499" i="19"/>
  <c r="AF499" i="19" s="1"/>
  <c r="V486" i="19"/>
  <c r="AF486" i="19" s="1"/>
  <c r="V470" i="19"/>
  <c r="AF470" i="19" s="1"/>
  <c r="V454" i="19"/>
  <c r="AF454" i="19" s="1"/>
  <c r="V582" i="19"/>
  <c r="AF582" i="19" s="1"/>
  <c r="V580" i="19"/>
  <c r="AF580" i="19" s="1"/>
  <c r="V554" i="19"/>
  <c r="AF554" i="19" s="1"/>
  <c r="V538" i="19"/>
  <c r="AF538" i="19" s="1"/>
  <c r="V579" i="19"/>
  <c r="AF579" i="19" s="1"/>
  <c r="V577" i="19"/>
  <c r="AF577" i="19" s="1"/>
  <c r="V494" i="19"/>
  <c r="AF494" i="19" s="1"/>
  <c r="V472" i="19"/>
  <c r="AF472" i="19" s="1"/>
  <c r="V458" i="19"/>
  <c r="AF458" i="19" s="1"/>
  <c r="V456" i="19"/>
  <c r="AF456" i="19" s="1"/>
  <c r="V448" i="19"/>
  <c r="AF448" i="19" s="1"/>
  <c r="V428" i="19"/>
  <c r="AF428" i="19" s="1"/>
  <c r="V406" i="19"/>
  <c r="AF406" i="19" s="1"/>
  <c r="V391" i="19"/>
  <c r="AF391" i="19" s="1"/>
  <c r="V383" i="19"/>
  <c r="AF383" i="19" s="1"/>
  <c r="V375" i="19"/>
  <c r="AF375" i="19" s="1"/>
  <c r="V531" i="19"/>
  <c r="AF531" i="19" s="1"/>
  <c r="V513" i="19"/>
  <c r="AF513" i="19" s="1"/>
  <c r="V488" i="19"/>
  <c r="AF488" i="19" s="1"/>
  <c r="V474" i="19"/>
  <c r="AF474" i="19" s="1"/>
  <c r="V416" i="19"/>
  <c r="AF416" i="19" s="1"/>
  <c r="V400" i="19"/>
  <c r="AF400" i="19" s="1"/>
  <c r="V394" i="19"/>
  <c r="AF394" i="19" s="1"/>
  <c r="V386" i="19"/>
  <c r="AF386" i="19" s="1"/>
  <c r="V378" i="19"/>
  <c r="AF378" i="19" s="1"/>
  <c r="V558" i="19"/>
  <c r="AF558" i="19" s="1"/>
  <c r="V556" i="19"/>
  <c r="AF556" i="19" s="1"/>
  <c r="V525" i="19"/>
  <c r="AF525" i="19" s="1"/>
  <c r="V512" i="19"/>
  <c r="AF512" i="19" s="1"/>
  <c r="V490" i="19"/>
  <c r="AF490" i="19" s="1"/>
  <c r="V440" i="19"/>
  <c r="AF440" i="19" s="1"/>
  <c r="V430" i="19"/>
  <c r="AF430" i="19" s="1"/>
  <c r="V410" i="19"/>
  <c r="AF410" i="19" s="1"/>
  <c r="V389" i="19"/>
  <c r="AF389" i="19" s="1"/>
  <c r="V381" i="19"/>
  <c r="AF381" i="19" s="1"/>
  <c r="V373" i="19"/>
  <c r="AF373" i="19" s="1"/>
  <c r="V371" i="19"/>
  <c r="AF371" i="19" s="1"/>
  <c r="V369" i="19"/>
  <c r="AF369" i="19" s="1"/>
  <c r="V367" i="19"/>
  <c r="AF367" i="19" s="1"/>
  <c r="V365" i="19"/>
  <c r="AF365" i="19" s="1"/>
  <c r="V363" i="19"/>
  <c r="AF363" i="19" s="1"/>
  <c r="V361" i="19"/>
  <c r="AF361" i="19" s="1"/>
  <c r="V359" i="19"/>
  <c r="AF359" i="19" s="1"/>
  <c r="V357" i="19"/>
  <c r="AF357" i="19" s="1"/>
  <c r="V355" i="19"/>
  <c r="AF355" i="19" s="1"/>
  <c r="V353" i="19"/>
  <c r="AF353" i="19" s="1"/>
  <c r="V351" i="19"/>
  <c r="AF351" i="19" s="1"/>
  <c r="V349" i="19"/>
  <c r="AF349" i="19" s="1"/>
  <c r="V347" i="19"/>
  <c r="AF347" i="19" s="1"/>
  <c r="V345" i="19"/>
  <c r="AF345" i="19" s="1"/>
  <c r="V343" i="19"/>
  <c r="AF343" i="19" s="1"/>
  <c r="V341" i="19"/>
  <c r="AF341" i="19" s="1"/>
  <c r="V339" i="19"/>
  <c r="AF339" i="19" s="1"/>
  <c r="V337" i="19"/>
  <c r="AF337" i="19" s="1"/>
  <c r="V335" i="19"/>
  <c r="AF335" i="19" s="1"/>
  <c r="V333" i="19"/>
  <c r="AF333" i="19" s="1"/>
  <c r="V331" i="19"/>
  <c r="AF331" i="19" s="1"/>
  <c r="V329" i="19"/>
  <c r="AF329" i="19" s="1"/>
  <c r="V327" i="19"/>
  <c r="AF327" i="19" s="1"/>
  <c r="V325" i="19"/>
  <c r="AF325" i="19" s="1"/>
  <c r="V323" i="19"/>
  <c r="AF323" i="19" s="1"/>
  <c r="V321" i="19"/>
  <c r="AF321" i="19" s="1"/>
  <c r="V319" i="19"/>
  <c r="AF319" i="19" s="1"/>
  <c r="V317" i="19"/>
  <c r="AF317" i="19" s="1"/>
  <c r="V315" i="19"/>
  <c r="AF315" i="19" s="1"/>
  <c r="V313" i="19"/>
  <c r="AF313" i="19" s="1"/>
  <c r="V311" i="19"/>
  <c r="AF311" i="19" s="1"/>
  <c r="V309" i="19"/>
  <c r="AF309" i="19" s="1"/>
  <c r="V307" i="19"/>
  <c r="AF307" i="19" s="1"/>
  <c r="V305" i="19"/>
  <c r="AF305" i="19" s="1"/>
  <c r="V303" i="19"/>
  <c r="AF303" i="19" s="1"/>
  <c r="V301" i="19"/>
  <c r="AF301" i="19" s="1"/>
  <c r="V299" i="19"/>
  <c r="AF299" i="19" s="1"/>
  <c r="V297" i="19"/>
  <c r="AF297" i="19" s="1"/>
  <c r="V295" i="19"/>
  <c r="AF295" i="19" s="1"/>
  <c r="V293" i="19"/>
  <c r="AF293" i="19" s="1"/>
  <c r="V291" i="19"/>
  <c r="AF291" i="19" s="1"/>
  <c r="V289" i="19"/>
  <c r="AF289" i="19" s="1"/>
  <c r="V287" i="19"/>
  <c r="AF287" i="19" s="1"/>
  <c r="V285" i="19"/>
  <c r="AF285" i="19" s="1"/>
  <c r="V283" i="19"/>
  <c r="AF283" i="19" s="1"/>
  <c r="V281" i="19"/>
  <c r="AF281" i="19" s="1"/>
  <c r="V279" i="19"/>
  <c r="AF279" i="19" s="1"/>
  <c r="V277" i="19"/>
  <c r="AF277" i="19" s="1"/>
  <c r="V275" i="19"/>
  <c r="AF275" i="19" s="1"/>
  <c r="V273" i="19"/>
  <c r="AF273" i="19" s="1"/>
  <c r="V271" i="19"/>
  <c r="AF271" i="19" s="1"/>
  <c r="V269" i="19"/>
  <c r="AF269" i="19" s="1"/>
  <c r="V267" i="19"/>
  <c r="AF267" i="19" s="1"/>
  <c r="V265" i="19"/>
  <c r="AF265" i="19" s="1"/>
  <c r="V263" i="19"/>
  <c r="AF263" i="19" s="1"/>
  <c r="V261" i="19"/>
  <c r="AF261" i="19" s="1"/>
  <c r="V259" i="19"/>
  <c r="AF259" i="19" s="1"/>
  <c r="V573" i="19"/>
  <c r="AF573" i="19" s="1"/>
  <c r="V553" i="19"/>
  <c r="AF553" i="19" s="1"/>
  <c r="V547" i="19"/>
  <c r="AF547" i="19" s="1"/>
  <c r="V537" i="19"/>
  <c r="AF537" i="19" s="1"/>
  <c r="V444" i="19"/>
  <c r="AF444" i="19" s="1"/>
  <c r="V412" i="19"/>
  <c r="AF412" i="19" s="1"/>
  <c r="V398" i="19"/>
  <c r="AF398" i="19" s="1"/>
  <c r="V388" i="19"/>
  <c r="AF388" i="19" s="1"/>
  <c r="V377" i="19"/>
  <c r="AF377" i="19" s="1"/>
  <c r="V480" i="19"/>
  <c r="AF480" i="19" s="1"/>
  <c r="V442" i="19"/>
  <c r="AF442" i="19" s="1"/>
  <c r="V414" i="19"/>
  <c r="AF414" i="19" s="1"/>
  <c r="V551" i="19"/>
  <c r="AF551" i="19" s="1"/>
  <c r="V534" i="19"/>
  <c r="AF534" i="19" s="1"/>
  <c r="V515" i="19"/>
  <c r="AF515" i="19" s="1"/>
  <c r="V462" i="19"/>
  <c r="AF462" i="19" s="1"/>
  <c r="V438" i="19"/>
  <c r="AF438" i="19" s="1"/>
  <c r="V432" i="19"/>
  <c r="AF432" i="19" s="1"/>
  <c r="V422" i="19"/>
  <c r="AF422" i="19" s="1"/>
  <c r="V571" i="19"/>
  <c r="AF571" i="19" s="1"/>
  <c r="V555" i="19"/>
  <c r="AF555" i="19" s="1"/>
  <c r="V541" i="19"/>
  <c r="AF541" i="19" s="1"/>
  <c r="V516" i="19"/>
  <c r="AF516" i="19" s="1"/>
  <c r="V514" i="19"/>
  <c r="AF514" i="19" s="1"/>
  <c r="V501" i="19"/>
  <c r="AF501" i="19" s="1"/>
  <c r="V478" i="19"/>
  <c r="AF478" i="19" s="1"/>
  <c r="V436" i="19"/>
  <c r="AF436" i="19" s="1"/>
  <c r="V380" i="19"/>
  <c r="AF380" i="19" s="1"/>
  <c r="V372" i="19"/>
  <c r="AF372" i="19" s="1"/>
  <c r="V360" i="19"/>
  <c r="AF360" i="19" s="1"/>
  <c r="V344" i="19"/>
  <c r="AF344" i="19" s="1"/>
  <c r="V328" i="19"/>
  <c r="AF328" i="19" s="1"/>
  <c r="V258" i="19"/>
  <c r="AF258" i="19" s="1"/>
  <c r="V452" i="19"/>
  <c r="AF452" i="19" s="1"/>
  <c r="V402" i="19"/>
  <c r="AF402" i="19" s="1"/>
  <c r="V364" i="19"/>
  <c r="AF364" i="19" s="1"/>
  <c r="V348" i="19"/>
  <c r="AF348" i="19" s="1"/>
  <c r="V332" i="19"/>
  <c r="AF332" i="19" s="1"/>
  <c r="V517" i="19"/>
  <c r="AF517" i="19" s="1"/>
  <c r="V484" i="19"/>
  <c r="AF484" i="19" s="1"/>
  <c r="V418" i="19"/>
  <c r="AF418" i="19" s="1"/>
  <c r="V446" i="19"/>
  <c r="AF446" i="19" s="1"/>
  <c r="V426" i="19"/>
  <c r="AF426" i="19" s="1"/>
  <c r="V395" i="19"/>
  <c r="AF395" i="19" s="1"/>
  <c r="V390" i="19"/>
  <c r="AF390" i="19" s="1"/>
  <c r="V404" i="19"/>
  <c r="AF404" i="19" s="1"/>
  <c r="V356" i="19"/>
  <c r="AF356" i="19" s="1"/>
  <c r="V320" i="19"/>
  <c r="AF320" i="19" s="1"/>
  <c r="V302" i="19"/>
  <c r="AF302" i="19" s="1"/>
  <c r="V524" i="19"/>
  <c r="AF524" i="19" s="1"/>
  <c r="V408" i="19"/>
  <c r="AF408" i="19" s="1"/>
  <c r="V393" i="19"/>
  <c r="AF393" i="19" s="1"/>
  <c r="V382" i="19"/>
  <c r="AF382" i="19" s="1"/>
  <c r="V370" i="19"/>
  <c r="AF370" i="19" s="1"/>
  <c r="V352" i="19"/>
  <c r="AF352" i="19" s="1"/>
  <c r="V338" i="19"/>
  <c r="AF338" i="19" s="1"/>
  <c r="V324" i="19"/>
  <c r="AF324" i="19" s="1"/>
  <c r="V385" i="19"/>
  <c r="AF385" i="19" s="1"/>
  <c r="V376" i="19"/>
  <c r="AF376" i="19" s="1"/>
  <c r="V358" i="19"/>
  <c r="AF358" i="19" s="1"/>
  <c r="V354" i="19"/>
  <c r="AF354" i="19" s="1"/>
  <c r="V350" i="19"/>
  <c r="AF350" i="19" s="1"/>
  <c r="V308" i="19"/>
  <c r="AF308" i="19" s="1"/>
  <c r="V304" i="19"/>
  <c r="AF304" i="19" s="1"/>
  <c r="V276" i="19"/>
  <c r="AF276" i="19" s="1"/>
  <c r="V274" i="19"/>
  <c r="AF274" i="19" s="1"/>
  <c r="V272" i="19"/>
  <c r="AF272" i="19" s="1"/>
  <c r="V248" i="19"/>
  <c r="AF248" i="19" s="1"/>
  <c r="V247" i="19"/>
  <c r="AF247" i="19" s="1"/>
  <c r="V224" i="19"/>
  <c r="AF224" i="19" s="1"/>
  <c r="V468" i="19"/>
  <c r="AF468" i="19" s="1"/>
  <c r="V362" i="19"/>
  <c r="AF362" i="19" s="1"/>
  <c r="V336" i="19"/>
  <c r="AF336" i="19" s="1"/>
  <c r="V278" i="19"/>
  <c r="AF278" i="19" s="1"/>
  <c r="V266" i="19"/>
  <c r="AF266" i="19" s="1"/>
  <c r="V246" i="19"/>
  <c r="AF246" i="19" s="1"/>
  <c r="V222" i="19"/>
  <c r="AF222" i="19" s="1"/>
  <c r="V366" i="19"/>
  <c r="AF366" i="19" s="1"/>
  <c r="V340" i="19"/>
  <c r="AF340" i="19" s="1"/>
  <c r="V316" i="19"/>
  <c r="AF316" i="19" s="1"/>
  <c r="V312" i="19"/>
  <c r="AF312" i="19" s="1"/>
  <c r="V284" i="19"/>
  <c r="AF284" i="19" s="1"/>
  <c r="V282" i="19"/>
  <c r="AF282" i="19" s="1"/>
  <c r="V280" i="19"/>
  <c r="AF280" i="19" s="1"/>
  <c r="V260" i="19"/>
  <c r="AF260" i="19" s="1"/>
  <c r="V220" i="19"/>
  <c r="AF220" i="19" s="1"/>
  <c r="V511" i="19"/>
  <c r="AF511" i="19" s="1"/>
  <c r="V322" i="19"/>
  <c r="AF322" i="19" s="1"/>
  <c r="V300" i="19"/>
  <c r="AF300" i="19" s="1"/>
  <c r="V298" i="19"/>
  <c r="AF298" i="19" s="1"/>
  <c r="V292" i="19"/>
  <c r="AF292" i="19" s="1"/>
  <c r="V288" i="19"/>
  <c r="AF288" i="19" s="1"/>
  <c r="V257" i="19"/>
  <c r="AF257" i="19" s="1"/>
  <c r="V256" i="19"/>
  <c r="AF256" i="19" s="1"/>
  <c r="V236" i="19"/>
  <c r="AF236" i="19" s="1"/>
  <c r="V235" i="19"/>
  <c r="AF235" i="19" s="1"/>
  <c r="V221" i="19"/>
  <c r="AF221" i="19" s="1"/>
  <c r="V396" i="19"/>
  <c r="AF396" i="19" s="1"/>
  <c r="V392" i="19"/>
  <c r="AF392" i="19" s="1"/>
  <c r="V387" i="19"/>
  <c r="AF387" i="19" s="1"/>
  <c r="V310" i="19"/>
  <c r="AF310" i="19" s="1"/>
  <c r="V245" i="19"/>
  <c r="AF245" i="19" s="1"/>
  <c r="V230" i="19"/>
  <c r="AF230" i="19" s="1"/>
  <c r="V229" i="19"/>
  <c r="AF229" i="19" s="1"/>
  <c r="V527" i="19"/>
  <c r="AF527" i="19" s="1"/>
  <c r="V464" i="19"/>
  <c r="AF464" i="19" s="1"/>
  <c r="V379" i="19"/>
  <c r="AF379" i="19" s="1"/>
  <c r="V318" i="19"/>
  <c r="AF318" i="19" s="1"/>
  <c r="V294" i="19"/>
  <c r="AF294" i="19" s="1"/>
  <c r="V268" i="19"/>
  <c r="AF268" i="19" s="1"/>
  <c r="V251" i="19"/>
  <c r="AF251" i="19" s="1"/>
  <c r="V250" i="19"/>
  <c r="AF250" i="19" s="1"/>
  <c r="V238" i="19"/>
  <c r="AF238" i="19" s="1"/>
  <c r="V237" i="19"/>
  <c r="AF237" i="19" s="1"/>
  <c r="V314" i="19"/>
  <c r="AF314" i="19" s="1"/>
  <c r="V270" i="19"/>
  <c r="AF270" i="19" s="1"/>
  <c r="V244" i="19"/>
  <c r="AF244" i="19" s="1"/>
  <c r="V241" i="19"/>
  <c r="AF241" i="19" s="1"/>
  <c r="V330" i="19"/>
  <c r="AF330" i="19" s="1"/>
  <c r="V306" i="19"/>
  <c r="AF306" i="19" s="1"/>
  <c r="V243" i="19"/>
  <c r="AF243" i="19" s="1"/>
  <c r="V334" i="19"/>
  <c r="AF334" i="19" s="1"/>
  <c r="V240" i="19"/>
  <c r="AF240" i="19" s="1"/>
  <c r="V424" i="19"/>
  <c r="AF424" i="19" s="1"/>
  <c r="V368" i="19"/>
  <c r="AF368" i="19" s="1"/>
  <c r="V326" i="19"/>
  <c r="AF326" i="19" s="1"/>
  <c r="V296" i="19"/>
  <c r="AF296" i="19" s="1"/>
  <c r="V252" i="19"/>
  <c r="AF252" i="19" s="1"/>
  <c r="V227" i="19"/>
  <c r="AF227" i="19" s="1"/>
  <c r="V232" i="19"/>
  <c r="AF232" i="19" s="1"/>
  <c r="V219" i="19"/>
  <c r="AF219" i="19" s="1"/>
  <c r="V374" i="19"/>
  <c r="AF374" i="19" s="1"/>
  <c r="V346" i="19"/>
  <c r="AF346" i="19" s="1"/>
  <c r="V290" i="19"/>
  <c r="AF290" i="19" s="1"/>
  <c r="V286" i="19"/>
  <c r="AF286" i="19" s="1"/>
  <c r="V264" i="19"/>
  <c r="AF264" i="19" s="1"/>
  <c r="V239" i="19"/>
  <c r="AF239" i="19" s="1"/>
  <c r="V234" i="19"/>
  <c r="AF234" i="19" s="1"/>
  <c r="V231" i="19"/>
  <c r="AF231" i="19" s="1"/>
  <c r="V226" i="19"/>
  <c r="AF226" i="19" s="1"/>
  <c r="V223" i="19"/>
  <c r="AF223" i="19" s="1"/>
  <c r="V384" i="19"/>
  <c r="AF384" i="19" s="1"/>
  <c r="V254" i="19"/>
  <c r="AF254" i="19" s="1"/>
  <c r="V249" i="19"/>
  <c r="AF249" i="19" s="1"/>
  <c r="V242" i="19"/>
  <c r="AF242" i="19" s="1"/>
  <c r="V420" i="19"/>
  <c r="AF420" i="19" s="1"/>
  <c r="V342" i="19"/>
  <c r="AF342" i="19" s="1"/>
  <c r="V530" i="19"/>
  <c r="AF530" i="19" s="1"/>
  <c r="V253" i="19"/>
  <c r="AF253" i="19" s="1"/>
  <c r="V262" i="19"/>
  <c r="AF262" i="19" s="1"/>
  <c r="V233" i="19"/>
  <c r="AF233" i="19" s="1"/>
  <c r="V225" i="19"/>
  <c r="AF225" i="19" s="1"/>
  <c r="V228" i="19"/>
  <c r="AF228" i="19" s="1"/>
  <c r="V255" i="19"/>
  <c r="AF255" i="19" s="1"/>
  <c r="Q583" i="19"/>
  <c r="AA583" i="19" s="1"/>
  <c r="Q581" i="19"/>
  <c r="AA581" i="19" s="1"/>
  <c r="Q579" i="19"/>
  <c r="AA579" i="19" s="1"/>
  <c r="Q577" i="19"/>
  <c r="AA577" i="19" s="1"/>
  <c r="Q575" i="19"/>
  <c r="AA575" i="19" s="1"/>
  <c r="Q573" i="19"/>
  <c r="AA573" i="19" s="1"/>
  <c r="Q571" i="19"/>
  <c r="AA571" i="19" s="1"/>
  <c r="Q569" i="19"/>
  <c r="AA569" i="19" s="1"/>
  <c r="Q567" i="19"/>
  <c r="AA567" i="19" s="1"/>
  <c r="Q565" i="19"/>
  <c r="AA565" i="19" s="1"/>
  <c r="Q563" i="19"/>
  <c r="AA563" i="19" s="1"/>
  <c r="Q561" i="19"/>
  <c r="AA561" i="19" s="1"/>
  <c r="Q559" i="19"/>
  <c r="AA559" i="19" s="1"/>
  <c r="Q557" i="19"/>
  <c r="AA557" i="19" s="1"/>
  <c r="Q555" i="19"/>
  <c r="AA555" i="19" s="1"/>
  <c r="Q553" i="19"/>
  <c r="AA553" i="19" s="1"/>
  <c r="Q551" i="19"/>
  <c r="AA551" i="19" s="1"/>
  <c r="Q549" i="19"/>
  <c r="AA549" i="19" s="1"/>
  <c r="Q547" i="19"/>
  <c r="AA547" i="19" s="1"/>
  <c r="Q584" i="19"/>
  <c r="AA584" i="19" s="1"/>
  <c r="Q568" i="19"/>
  <c r="AA568" i="19" s="1"/>
  <c r="Q552" i="19"/>
  <c r="AA552" i="19" s="1"/>
  <c r="Q544" i="19"/>
  <c r="AA544" i="19" s="1"/>
  <c r="Q542" i="19"/>
  <c r="AA542" i="19" s="1"/>
  <c r="Q540" i="19"/>
  <c r="AA540" i="19" s="1"/>
  <c r="Q538" i="19"/>
  <c r="AA538" i="19" s="1"/>
  <c r="Q536" i="19"/>
  <c r="AA536" i="19" s="1"/>
  <c r="Q534" i="19"/>
  <c r="AA534" i="19" s="1"/>
  <c r="Q532" i="19"/>
  <c r="AA532" i="19" s="1"/>
  <c r="Q530" i="19"/>
  <c r="AA530" i="19" s="1"/>
  <c r="Q528" i="19"/>
  <c r="AA528" i="19" s="1"/>
  <c r="Q526" i="19"/>
  <c r="AA526" i="19" s="1"/>
  <c r="Q574" i="19"/>
  <c r="AA574" i="19" s="1"/>
  <c r="Q546" i="19"/>
  <c r="AA546" i="19" s="1"/>
  <c r="Q582" i="19"/>
  <c r="AA582" i="19" s="1"/>
  <c r="Q556" i="19"/>
  <c r="AA556" i="19" s="1"/>
  <c r="Q576" i="19"/>
  <c r="AA576" i="19" s="1"/>
  <c r="Q558" i="19"/>
  <c r="AA558" i="19" s="1"/>
  <c r="Q541" i="19"/>
  <c r="AA541" i="19" s="1"/>
  <c r="Q525" i="19"/>
  <c r="AA525" i="19" s="1"/>
  <c r="Q572" i="19"/>
  <c r="AA572" i="19" s="1"/>
  <c r="Q554" i="19"/>
  <c r="AA554" i="19" s="1"/>
  <c r="Q537" i="19"/>
  <c r="AA537" i="19" s="1"/>
  <c r="Q560" i="19"/>
  <c r="AA560" i="19" s="1"/>
  <c r="Q548" i="19"/>
  <c r="AA548" i="19" s="1"/>
  <c r="Q531" i="19"/>
  <c r="AA531" i="19" s="1"/>
  <c r="Q516" i="19"/>
  <c r="AA516" i="19" s="1"/>
  <c r="Q515" i="19"/>
  <c r="AA515" i="19" s="1"/>
  <c r="Q500" i="19"/>
  <c r="AA500" i="19" s="1"/>
  <c r="Q499" i="19"/>
  <c r="AA499" i="19" s="1"/>
  <c r="Q524" i="19"/>
  <c r="AA524" i="19" s="1"/>
  <c r="Q514" i="19"/>
  <c r="AA514" i="19" s="1"/>
  <c r="Q513" i="19"/>
  <c r="AA513" i="19" s="1"/>
  <c r="Q498" i="19"/>
  <c r="AA498" i="19" s="1"/>
  <c r="Q497" i="19"/>
  <c r="AA497" i="19" s="1"/>
  <c r="Q580" i="19"/>
  <c r="AA580" i="19" s="1"/>
  <c r="Q578" i="19"/>
  <c r="AA578" i="19" s="1"/>
  <c r="Q527" i="19"/>
  <c r="AA527" i="19" s="1"/>
  <c r="Q512" i="19"/>
  <c r="AA512" i="19" s="1"/>
  <c r="Q511" i="19"/>
  <c r="AA511" i="19" s="1"/>
  <c r="Q496" i="19"/>
  <c r="AA496" i="19" s="1"/>
  <c r="Q495" i="19"/>
  <c r="AA495" i="19" s="1"/>
  <c r="Q492" i="19"/>
  <c r="AA492" i="19" s="1"/>
  <c r="Q490" i="19"/>
  <c r="AA490" i="19" s="1"/>
  <c r="Q488" i="19"/>
  <c r="AA488" i="19" s="1"/>
  <c r="Q486" i="19"/>
  <c r="AA486" i="19" s="1"/>
  <c r="Q484" i="19"/>
  <c r="AA484" i="19" s="1"/>
  <c r="Q482" i="19"/>
  <c r="AA482" i="19" s="1"/>
  <c r="Q480" i="19"/>
  <c r="AA480" i="19" s="1"/>
  <c r="Q478" i="19"/>
  <c r="AA478" i="19" s="1"/>
  <c r="Q476" i="19"/>
  <c r="AA476" i="19" s="1"/>
  <c r="Q474" i="19"/>
  <c r="AA474" i="19" s="1"/>
  <c r="Q472" i="19"/>
  <c r="AA472" i="19" s="1"/>
  <c r="Q470" i="19"/>
  <c r="AA470" i="19" s="1"/>
  <c r="Q468" i="19"/>
  <c r="AA468" i="19" s="1"/>
  <c r="Q466" i="19"/>
  <c r="AA466" i="19" s="1"/>
  <c r="Q464" i="19"/>
  <c r="AA464" i="19" s="1"/>
  <c r="Q462" i="19"/>
  <c r="AA462" i="19" s="1"/>
  <c r="Q460" i="19"/>
  <c r="AA460" i="19" s="1"/>
  <c r="Q458" i="19"/>
  <c r="AA458" i="19" s="1"/>
  <c r="Q456" i="19"/>
  <c r="AA456" i="19" s="1"/>
  <c r="Q454" i="19"/>
  <c r="AA454" i="19" s="1"/>
  <c r="Q452" i="19"/>
  <c r="AA452" i="19" s="1"/>
  <c r="Q450" i="19"/>
  <c r="AA450" i="19" s="1"/>
  <c r="Q448" i="19"/>
  <c r="AA448" i="19" s="1"/>
  <c r="Q446" i="19"/>
  <c r="AA446" i="19" s="1"/>
  <c r="Q444" i="19"/>
  <c r="AA444" i="19" s="1"/>
  <c r="Q442" i="19"/>
  <c r="AA442" i="19" s="1"/>
  <c r="Q440" i="19"/>
  <c r="AA440" i="19" s="1"/>
  <c r="Q438" i="19"/>
  <c r="AA438" i="19" s="1"/>
  <c r="Q436" i="19"/>
  <c r="AA436" i="19" s="1"/>
  <c r="Q434" i="19"/>
  <c r="AA434" i="19" s="1"/>
  <c r="Q432" i="19"/>
  <c r="AA432" i="19" s="1"/>
  <c r="Q430" i="19"/>
  <c r="AA430" i="19" s="1"/>
  <c r="Q428" i="19"/>
  <c r="AA428" i="19" s="1"/>
  <c r="Q426" i="19"/>
  <c r="AA426" i="19" s="1"/>
  <c r="Q424" i="19"/>
  <c r="AA424" i="19" s="1"/>
  <c r="Q422" i="19"/>
  <c r="AA422" i="19" s="1"/>
  <c r="Q420" i="19"/>
  <c r="AA420" i="19" s="1"/>
  <c r="Q418" i="19"/>
  <c r="AA418" i="19" s="1"/>
  <c r="Q416" i="19"/>
  <c r="AA416" i="19" s="1"/>
  <c r="Q414" i="19"/>
  <c r="AA414" i="19" s="1"/>
  <c r="Q412" i="19"/>
  <c r="AA412" i="19" s="1"/>
  <c r="Q410" i="19"/>
  <c r="AA410" i="19" s="1"/>
  <c r="Q408" i="19"/>
  <c r="AA408" i="19" s="1"/>
  <c r="Q406" i="19"/>
  <c r="AA406" i="19" s="1"/>
  <c r="Q404" i="19"/>
  <c r="AA404" i="19" s="1"/>
  <c r="Q402" i="19"/>
  <c r="AA402" i="19" s="1"/>
  <c r="Q400" i="19"/>
  <c r="AA400" i="19" s="1"/>
  <c r="Q398" i="19"/>
  <c r="AA398" i="19" s="1"/>
  <c r="Q396" i="19"/>
  <c r="AA396" i="19" s="1"/>
  <c r="Q394" i="19"/>
  <c r="AA394" i="19" s="1"/>
  <c r="Q392" i="19"/>
  <c r="AA392" i="19" s="1"/>
  <c r="Q390" i="19"/>
  <c r="AA390" i="19" s="1"/>
  <c r="Q388" i="19"/>
  <c r="AA388" i="19" s="1"/>
  <c r="Q386" i="19"/>
  <c r="AA386" i="19" s="1"/>
  <c r="Q384" i="19"/>
  <c r="AA384" i="19" s="1"/>
  <c r="Q382" i="19"/>
  <c r="AA382" i="19" s="1"/>
  <c r="Q380" i="19"/>
  <c r="AA380" i="19" s="1"/>
  <c r="Q378" i="19"/>
  <c r="AA378" i="19" s="1"/>
  <c r="Q376" i="19"/>
  <c r="AA376" i="19" s="1"/>
  <c r="Q374" i="19"/>
  <c r="AA374" i="19" s="1"/>
  <c r="Q529" i="19"/>
  <c r="AA529" i="19" s="1"/>
  <c r="Q503" i="19"/>
  <c r="AA503" i="19" s="1"/>
  <c r="Q502" i="19"/>
  <c r="AA502" i="19" s="1"/>
  <c r="Q479" i="19"/>
  <c r="AA479" i="19" s="1"/>
  <c r="Q463" i="19"/>
  <c r="AA463" i="19" s="1"/>
  <c r="Q447" i="19"/>
  <c r="AA447" i="19" s="1"/>
  <c r="Q431" i="19"/>
  <c r="AA431" i="19" s="1"/>
  <c r="Q533" i="19"/>
  <c r="AA533" i="19" s="1"/>
  <c r="Q505" i="19"/>
  <c r="AA505" i="19" s="1"/>
  <c r="Q504" i="19"/>
  <c r="AA504" i="19" s="1"/>
  <c r="Q494" i="19"/>
  <c r="AA494" i="19" s="1"/>
  <c r="Q489" i="19"/>
  <c r="AA489" i="19" s="1"/>
  <c r="Q473" i="19"/>
  <c r="AA473" i="19" s="1"/>
  <c r="Q457" i="19"/>
  <c r="AA457" i="19" s="1"/>
  <c r="Q566" i="19"/>
  <c r="AA566" i="19" s="1"/>
  <c r="Q564" i="19"/>
  <c r="AA564" i="19" s="1"/>
  <c r="Q562" i="19"/>
  <c r="AA562" i="19" s="1"/>
  <c r="Q545" i="19"/>
  <c r="AA545" i="19" s="1"/>
  <c r="Q517" i="19"/>
  <c r="AA517" i="19" s="1"/>
  <c r="Q507" i="19"/>
  <c r="AA507" i="19" s="1"/>
  <c r="Q506" i="19"/>
  <c r="AA506" i="19" s="1"/>
  <c r="Q483" i="19"/>
  <c r="AA483" i="19" s="1"/>
  <c r="Q467" i="19"/>
  <c r="AA467" i="19" s="1"/>
  <c r="Q451" i="19"/>
  <c r="AA451" i="19" s="1"/>
  <c r="Q550" i="19"/>
  <c r="AA550" i="19" s="1"/>
  <c r="Q520" i="19"/>
  <c r="AA520" i="19" s="1"/>
  <c r="Q509" i="19"/>
  <c r="AA509" i="19" s="1"/>
  <c r="Q459" i="19"/>
  <c r="AA459" i="19" s="1"/>
  <c r="Q435" i="19"/>
  <c r="AA435" i="19" s="1"/>
  <c r="Q423" i="19"/>
  <c r="AA423" i="19" s="1"/>
  <c r="Q419" i="19"/>
  <c r="AA419" i="19" s="1"/>
  <c r="Q403" i="19"/>
  <c r="AA403" i="19" s="1"/>
  <c r="Q395" i="19"/>
  <c r="AA395" i="19" s="1"/>
  <c r="Q387" i="19"/>
  <c r="AA387" i="19" s="1"/>
  <c r="Q379" i="19"/>
  <c r="AA379" i="19" s="1"/>
  <c r="Q539" i="19"/>
  <c r="AA539" i="19" s="1"/>
  <c r="Q519" i="19"/>
  <c r="AA519" i="19" s="1"/>
  <c r="Q475" i="19"/>
  <c r="AA475" i="19" s="1"/>
  <c r="Q461" i="19"/>
  <c r="AA461" i="19" s="1"/>
  <c r="Q425" i="19"/>
  <c r="AA425" i="19" s="1"/>
  <c r="Q413" i="19"/>
  <c r="AA413" i="19" s="1"/>
  <c r="Q397" i="19"/>
  <c r="AA397" i="19" s="1"/>
  <c r="Q543" i="19"/>
  <c r="AA543" i="19" s="1"/>
  <c r="Q508" i="19"/>
  <c r="AA508" i="19" s="1"/>
  <c r="Q491" i="19"/>
  <c r="AA491" i="19" s="1"/>
  <c r="Q477" i="19"/>
  <c r="AA477" i="19" s="1"/>
  <c r="Q453" i="19"/>
  <c r="AA453" i="19" s="1"/>
  <c r="Q445" i="19"/>
  <c r="AA445" i="19" s="1"/>
  <c r="Q437" i="19"/>
  <c r="AA437" i="19" s="1"/>
  <c r="Q407" i="19"/>
  <c r="AA407" i="19" s="1"/>
  <c r="Q393" i="19"/>
  <c r="AA393" i="19" s="1"/>
  <c r="Q385" i="19"/>
  <c r="AA385" i="19" s="1"/>
  <c r="Q377" i="19"/>
  <c r="AA377" i="19" s="1"/>
  <c r="Q493" i="19"/>
  <c r="AA493" i="19" s="1"/>
  <c r="Q485" i="19"/>
  <c r="AA485" i="19" s="1"/>
  <c r="Q455" i="19"/>
  <c r="AA455" i="19" s="1"/>
  <c r="Q399" i="19"/>
  <c r="AA399" i="19" s="1"/>
  <c r="Q373" i="19"/>
  <c r="AA373" i="19" s="1"/>
  <c r="Q372" i="19"/>
  <c r="AA372" i="19" s="1"/>
  <c r="Q535" i="19"/>
  <c r="AA535" i="19" s="1"/>
  <c r="Q521" i="19"/>
  <c r="AA521" i="19" s="1"/>
  <c r="Q465" i="19"/>
  <c r="AA465" i="19" s="1"/>
  <c r="Q449" i="19"/>
  <c r="AA449" i="19" s="1"/>
  <c r="Q421" i="19"/>
  <c r="AA421" i="19" s="1"/>
  <c r="Q415" i="19"/>
  <c r="AA415" i="19" s="1"/>
  <c r="Q401" i="19"/>
  <c r="AA401" i="19" s="1"/>
  <c r="Q481" i="19"/>
  <c r="AA481" i="19" s="1"/>
  <c r="Q411" i="19"/>
  <c r="AA411" i="19" s="1"/>
  <c r="Q523" i="19"/>
  <c r="AA523" i="19" s="1"/>
  <c r="Q510" i="19"/>
  <c r="AA510" i="19" s="1"/>
  <c r="Q370" i="19"/>
  <c r="AA370" i="19" s="1"/>
  <c r="Q357" i="19"/>
  <c r="AA357" i="19" s="1"/>
  <c r="Q356" i="19"/>
  <c r="AA356" i="19" s="1"/>
  <c r="Q341" i="19"/>
  <c r="AA341" i="19" s="1"/>
  <c r="Q340" i="19"/>
  <c r="AA340" i="19" s="1"/>
  <c r="Q325" i="19"/>
  <c r="AA325" i="19" s="1"/>
  <c r="Q324" i="19"/>
  <c r="AA324" i="19" s="1"/>
  <c r="Q314" i="19"/>
  <c r="AA314" i="19" s="1"/>
  <c r="Q311" i="19"/>
  <c r="AA311" i="19" s="1"/>
  <c r="Q306" i="19"/>
  <c r="AA306" i="19" s="1"/>
  <c r="Q303" i="19"/>
  <c r="AA303" i="19" s="1"/>
  <c r="Q298" i="19"/>
  <c r="AA298" i="19" s="1"/>
  <c r="Q295" i="19"/>
  <c r="AA295" i="19" s="1"/>
  <c r="Q290" i="19"/>
  <c r="AA290" i="19" s="1"/>
  <c r="Q287" i="19"/>
  <c r="AA287" i="19" s="1"/>
  <c r="Q282" i="19"/>
  <c r="AA282" i="19" s="1"/>
  <c r="Q279" i="19"/>
  <c r="AA279" i="19" s="1"/>
  <c r="Q274" i="19"/>
  <c r="AA274" i="19" s="1"/>
  <c r="Q271" i="19"/>
  <c r="AA271" i="19" s="1"/>
  <c r="Q267" i="19"/>
  <c r="AA267" i="19" s="1"/>
  <c r="Q266" i="19"/>
  <c r="AA266" i="19" s="1"/>
  <c r="Q501" i="19"/>
  <c r="AA501" i="19" s="1"/>
  <c r="Q429" i="19"/>
  <c r="AA429" i="19" s="1"/>
  <c r="Q371" i="19"/>
  <c r="AA371" i="19" s="1"/>
  <c r="Q361" i="19"/>
  <c r="AA361" i="19" s="1"/>
  <c r="Q360" i="19"/>
  <c r="AA360" i="19" s="1"/>
  <c r="Q345" i="19"/>
  <c r="AA345" i="19" s="1"/>
  <c r="Q344" i="19"/>
  <c r="AA344" i="19" s="1"/>
  <c r="Q329" i="19"/>
  <c r="AA329" i="19" s="1"/>
  <c r="Q328" i="19"/>
  <c r="AA328" i="19" s="1"/>
  <c r="Q317" i="19"/>
  <c r="AA317" i="19" s="1"/>
  <c r="Q312" i="19"/>
  <c r="AA312" i="19" s="1"/>
  <c r="Q309" i="19"/>
  <c r="AA309" i="19" s="1"/>
  <c r="Q304" i="19"/>
  <c r="AA304" i="19" s="1"/>
  <c r="Q301" i="19"/>
  <c r="AA301" i="19" s="1"/>
  <c r="Q296" i="19"/>
  <c r="AA296" i="19" s="1"/>
  <c r="Q293" i="19"/>
  <c r="AA293" i="19" s="1"/>
  <c r="Q288" i="19"/>
  <c r="AA288" i="19" s="1"/>
  <c r="Q285" i="19"/>
  <c r="AA285" i="19" s="1"/>
  <c r="Q280" i="19"/>
  <c r="AA280" i="19" s="1"/>
  <c r="Q277" i="19"/>
  <c r="AA277" i="19" s="1"/>
  <c r="Q272" i="19"/>
  <c r="AA272" i="19" s="1"/>
  <c r="Q269" i="19"/>
  <c r="AA269" i="19" s="1"/>
  <c r="Q471" i="19"/>
  <c r="AA471" i="19" s="1"/>
  <c r="Q381" i="19"/>
  <c r="AA381" i="19" s="1"/>
  <c r="Q522" i="19"/>
  <c r="AA522" i="19" s="1"/>
  <c r="Q441" i="19"/>
  <c r="AA441" i="19" s="1"/>
  <c r="Q409" i="19"/>
  <c r="AA409" i="19" s="1"/>
  <c r="Q364" i="19"/>
  <c r="AA364" i="19" s="1"/>
  <c r="Q350" i="19"/>
  <c r="AA350" i="19" s="1"/>
  <c r="Q336" i="19"/>
  <c r="AA336" i="19" s="1"/>
  <c r="Q333" i="19"/>
  <c r="AA333" i="19" s="1"/>
  <c r="Q319" i="19"/>
  <c r="AA319" i="19" s="1"/>
  <c r="Q487" i="19"/>
  <c r="AA487" i="19" s="1"/>
  <c r="Q469" i="19"/>
  <c r="AA469" i="19" s="1"/>
  <c r="Q365" i="19"/>
  <c r="AA365" i="19" s="1"/>
  <c r="Q351" i="19"/>
  <c r="AA351" i="19" s="1"/>
  <c r="Q337" i="19"/>
  <c r="AA337" i="19" s="1"/>
  <c r="Q332" i="19"/>
  <c r="AA332" i="19" s="1"/>
  <c r="Q439" i="19"/>
  <c r="AA439" i="19" s="1"/>
  <c r="Q391" i="19"/>
  <c r="AA391" i="19" s="1"/>
  <c r="Q369" i="19"/>
  <c r="AA369" i="19" s="1"/>
  <c r="Q368" i="19"/>
  <c r="AA368" i="19" s="1"/>
  <c r="Q355" i="19"/>
  <c r="AA355" i="19" s="1"/>
  <c r="Q346" i="19"/>
  <c r="AA346" i="19" s="1"/>
  <c r="Q320" i="19"/>
  <c r="AA320" i="19" s="1"/>
  <c r="Q261" i="19"/>
  <c r="AA261" i="19" s="1"/>
  <c r="Q258" i="19"/>
  <c r="AA258" i="19" s="1"/>
  <c r="Q257" i="19"/>
  <c r="AA257" i="19" s="1"/>
  <c r="Q256" i="19"/>
  <c r="AA256" i="19" s="1"/>
  <c r="Q245" i="19"/>
  <c r="AA245" i="19" s="1"/>
  <c r="Q243" i="19"/>
  <c r="AA243" i="19" s="1"/>
  <c r="Q241" i="19"/>
  <c r="AA241" i="19" s="1"/>
  <c r="Q239" i="19"/>
  <c r="AA239" i="19" s="1"/>
  <c r="Q237" i="19"/>
  <c r="AA237" i="19" s="1"/>
  <c r="Q235" i="19"/>
  <c r="AA235" i="19" s="1"/>
  <c r="Q233" i="19"/>
  <c r="AA233" i="19" s="1"/>
  <c r="Q231" i="19"/>
  <c r="AA231" i="19" s="1"/>
  <c r="Q229" i="19"/>
  <c r="AA229" i="19" s="1"/>
  <c r="Q227" i="19"/>
  <c r="AA227" i="19" s="1"/>
  <c r="Q225" i="19"/>
  <c r="AA225" i="19" s="1"/>
  <c r="Q405" i="19"/>
  <c r="AA405" i="19" s="1"/>
  <c r="Q359" i="19"/>
  <c r="AA359" i="19" s="1"/>
  <c r="Q354" i="19"/>
  <c r="AA354" i="19" s="1"/>
  <c r="Q318" i="19"/>
  <c r="AA318" i="19" s="1"/>
  <c r="Q307" i="19"/>
  <c r="AA307" i="19" s="1"/>
  <c r="Q300" i="19"/>
  <c r="AA300" i="19" s="1"/>
  <c r="Q270" i="19"/>
  <c r="AA270" i="19" s="1"/>
  <c r="Q255" i="19"/>
  <c r="AA255" i="19" s="1"/>
  <c r="Q254" i="19"/>
  <c r="AA254" i="19" s="1"/>
  <c r="Q223" i="19"/>
  <c r="AA223" i="19" s="1"/>
  <c r="Q518" i="19"/>
  <c r="AA518" i="19" s="1"/>
  <c r="Q389" i="19"/>
  <c r="AA389" i="19" s="1"/>
  <c r="Q367" i="19"/>
  <c r="AA367" i="19" s="1"/>
  <c r="Q363" i="19"/>
  <c r="AA363" i="19" s="1"/>
  <c r="Q358" i="19"/>
  <c r="AA358" i="19" s="1"/>
  <c r="Q268" i="19"/>
  <c r="AA268" i="19" s="1"/>
  <c r="Q265" i="19"/>
  <c r="AA265" i="19" s="1"/>
  <c r="Q262" i="19"/>
  <c r="AA262" i="19" s="1"/>
  <c r="Q253" i="19"/>
  <c r="AA253" i="19" s="1"/>
  <c r="Q252" i="19"/>
  <c r="AA252" i="19" s="1"/>
  <c r="Q427" i="19"/>
  <c r="AA427" i="19" s="1"/>
  <c r="Q417" i="19"/>
  <c r="AA417" i="19" s="1"/>
  <c r="Q334" i="19"/>
  <c r="AA334" i="19" s="1"/>
  <c r="Q232" i="19"/>
  <c r="AA232" i="19" s="1"/>
  <c r="Q443" i="19"/>
  <c r="AA443" i="19" s="1"/>
  <c r="Q352" i="19"/>
  <c r="AA352" i="19" s="1"/>
  <c r="Q348" i="19"/>
  <c r="AA348" i="19" s="1"/>
  <c r="Q347" i="19"/>
  <c r="AA347" i="19" s="1"/>
  <c r="Q343" i="19"/>
  <c r="AA343" i="19" s="1"/>
  <c r="Q339" i="19"/>
  <c r="AA339" i="19" s="1"/>
  <c r="Q330" i="19"/>
  <c r="AA330" i="19" s="1"/>
  <c r="Q326" i="19"/>
  <c r="AA326" i="19" s="1"/>
  <c r="Q322" i="19"/>
  <c r="AA322" i="19" s="1"/>
  <c r="Q321" i="19"/>
  <c r="AA321" i="19" s="1"/>
  <c r="Q289" i="19"/>
  <c r="AA289" i="19" s="1"/>
  <c r="Q284" i="19"/>
  <c r="AA284" i="19" s="1"/>
  <c r="Q275" i="19"/>
  <c r="AA275" i="19" s="1"/>
  <c r="Q242" i="19"/>
  <c r="AA242" i="19" s="1"/>
  <c r="Q226" i="19"/>
  <c r="AA226" i="19" s="1"/>
  <c r="Q222" i="19"/>
  <c r="AA222" i="19" s="1"/>
  <c r="Q570" i="19"/>
  <c r="AA570" i="19" s="1"/>
  <c r="Q291" i="19"/>
  <c r="AA291" i="19" s="1"/>
  <c r="Q286" i="19"/>
  <c r="AA286" i="19" s="1"/>
  <c r="Q273" i="19"/>
  <c r="AA273" i="19" s="1"/>
  <c r="Q264" i="19"/>
  <c r="AA264" i="19" s="1"/>
  <c r="Q248" i="19"/>
  <c r="AA248" i="19" s="1"/>
  <c r="Q247" i="19"/>
  <c r="AA247" i="19" s="1"/>
  <c r="Q234" i="19"/>
  <c r="AA234" i="19" s="1"/>
  <c r="Q224" i="19"/>
  <c r="AA224" i="19" s="1"/>
  <c r="Q220" i="19"/>
  <c r="AA220" i="19" s="1"/>
  <c r="Q308" i="19"/>
  <c r="AA308" i="19" s="1"/>
  <c r="Q260" i="19"/>
  <c r="AA260" i="19" s="1"/>
  <c r="Q236" i="19"/>
  <c r="AA236" i="19" s="1"/>
  <c r="Q228" i="19"/>
  <c r="AA228" i="19" s="1"/>
  <c r="Q353" i="19"/>
  <c r="AA353" i="19" s="1"/>
  <c r="Q292" i="19"/>
  <c r="AA292" i="19" s="1"/>
  <c r="Q230" i="19"/>
  <c r="AA230" i="19" s="1"/>
  <c r="Q433" i="19"/>
  <c r="AA433" i="19" s="1"/>
  <c r="Q375" i="19"/>
  <c r="AA375" i="19" s="1"/>
  <c r="Q315" i="19"/>
  <c r="AA315" i="19" s="1"/>
  <c r="Q297" i="19"/>
  <c r="AA297" i="19" s="1"/>
  <c r="Q238" i="19"/>
  <c r="AA238" i="19" s="1"/>
  <c r="Q383" i="19"/>
  <c r="AA383" i="19" s="1"/>
  <c r="Q349" i="19"/>
  <c r="AA349" i="19" s="1"/>
  <c r="Q305" i="19"/>
  <c r="AA305" i="19" s="1"/>
  <c r="Q302" i="19"/>
  <c r="AA302" i="19" s="1"/>
  <c r="Q299" i="19"/>
  <c r="AA299" i="19" s="1"/>
  <c r="Q283" i="19"/>
  <c r="AA283" i="19" s="1"/>
  <c r="Q259" i="19"/>
  <c r="AA259" i="19" s="1"/>
  <c r="Q244" i="19"/>
  <c r="AA244" i="19" s="1"/>
  <c r="Q342" i="19"/>
  <c r="AA342" i="19" s="1"/>
  <c r="Q323" i="19"/>
  <c r="AA323" i="19" s="1"/>
  <c r="Q250" i="19"/>
  <c r="AA250" i="19" s="1"/>
  <c r="Q240" i="19"/>
  <c r="AA240" i="19" s="1"/>
  <c r="Q221" i="19"/>
  <c r="AA221" i="19" s="1"/>
  <c r="Q327" i="19"/>
  <c r="AA327" i="19" s="1"/>
  <c r="Q316" i="19"/>
  <c r="AA316" i="19" s="1"/>
  <c r="Q313" i="19"/>
  <c r="AA313" i="19" s="1"/>
  <c r="Q310" i="19"/>
  <c r="AA310" i="19" s="1"/>
  <c r="Q294" i="19"/>
  <c r="AA294" i="19" s="1"/>
  <c r="Q281" i="19"/>
  <c r="AA281" i="19" s="1"/>
  <c r="Q335" i="19"/>
  <c r="AA335" i="19" s="1"/>
  <c r="Q366" i="19"/>
  <c r="AA366" i="19" s="1"/>
  <c r="Q278" i="19"/>
  <c r="AA278" i="19" s="1"/>
  <c r="Q362" i="19"/>
  <c r="AA362" i="19" s="1"/>
  <c r="Q251" i="19"/>
  <c r="AA251" i="19" s="1"/>
  <c r="Q331" i="19"/>
  <c r="AA331" i="19" s="1"/>
  <c r="Q249" i="19"/>
  <c r="AA249" i="19" s="1"/>
  <c r="Q276" i="19"/>
  <c r="AA276" i="19" s="1"/>
  <c r="Q338" i="19"/>
  <c r="AA338" i="19" s="1"/>
  <c r="Q219" i="19"/>
  <c r="AA219" i="19" s="1"/>
  <c r="Q263" i="19"/>
  <c r="AA263" i="19" s="1"/>
  <c r="Q246" i="19"/>
  <c r="AA246" i="19" s="1"/>
  <c r="S581" i="19"/>
  <c r="AC581" i="19" s="1"/>
  <c r="S580" i="19"/>
  <c r="AC580" i="19" s="1"/>
  <c r="S565" i="19"/>
  <c r="AC565" i="19" s="1"/>
  <c r="S564" i="19"/>
  <c r="AC564" i="19" s="1"/>
  <c r="S549" i="19"/>
  <c r="AC549" i="19" s="1"/>
  <c r="S548" i="19"/>
  <c r="AC548" i="19" s="1"/>
  <c r="S584" i="19"/>
  <c r="AC584" i="19" s="1"/>
  <c r="S578" i="19"/>
  <c r="AC578" i="19" s="1"/>
  <c r="S559" i="19"/>
  <c r="AC559" i="19" s="1"/>
  <c r="S556" i="19"/>
  <c r="AC556" i="19" s="1"/>
  <c r="S573" i="19"/>
  <c r="AC573" i="19" s="1"/>
  <c r="S570" i="19"/>
  <c r="AC570" i="19" s="1"/>
  <c r="S574" i="19"/>
  <c r="AC574" i="19" s="1"/>
  <c r="S572" i="19"/>
  <c r="AC572" i="19" s="1"/>
  <c r="S555" i="19"/>
  <c r="AC555" i="19" s="1"/>
  <c r="S554" i="19"/>
  <c r="AC554" i="19" s="1"/>
  <c r="S544" i="19"/>
  <c r="AC544" i="19" s="1"/>
  <c r="S538" i="19"/>
  <c r="AC538" i="19" s="1"/>
  <c r="S537" i="19"/>
  <c r="AC537" i="19" s="1"/>
  <c r="S571" i="19"/>
  <c r="AC571" i="19" s="1"/>
  <c r="S569" i="19"/>
  <c r="AC569" i="19" s="1"/>
  <c r="S551" i="19"/>
  <c r="AC551" i="19" s="1"/>
  <c r="S545" i="19"/>
  <c r="AC545" i="19" s="1"/>
  <c r="S534" i="19"/>
  <c r="AC534" i="19" s="1"/>
  <c r="S533" i="19"/>
  <c r="AC533" i="19" s="1"/>
  <c r="S582" i="19"/>
  <c r="AC582" i="19" s="1"/>
  <c r="S567" i="19"/>
  <c r="AC567" i="19" s="1"/>
  <c r="S527" i="19"/>
  <c r="AC527" i="19" s="1"/>
  <c r="S524" i="19"/>
  <c r="AC524" i="19" s="1"/>
  <c r="S512" i="19"/>
  <c r="AC512" i="19" s="1"/>
  <c r="S511" i="19"/>
  <c r="AC511" i="19" s="1"/>
  <c r="S496" i="19"/>
  <c r="AC496" i="19" s="1"/>
  <c r="S495" i="19"/>
  <c r="AC495" i="19" s="1"/>
  <c r="S492" i="19"/>
  <c r="AC492" i="19" s="1"/>
  <c r="S490" i="19"/>
  <c r="AC490" i="19" s="1"/>
  <c r="S488" i="19"/>
  <c r="AC488" i="19" s="1"/>
  <c r="S486" i="19"/>
  <c r="AC486" i="19" s="1"/>
  <c r="S484" i="19"/>
  <c r="AC484" i="19" s="1"/>
  <c r="S482" i="19"/>
  <c r="AC482" i="19" s="1"/>
  <c r="S480" i="19"/>
  <c r="AC480" i="19" s="1"/>
  <c r="S478" i="19"/>
  <c r="AC478" i="19" s="1"/>
  <c r="S476" i="19"/>
  <c r="AC476" i="19" s="1"/>
  <c r="S474" i="19"/>
  <c r="AC474" i="19" s="1"/>
  <c r="S472" i="19"/>
  <c r="AC472" i="19" s="1"/>
  <c r="S470" i="19"/>
  <c r="AC470" i="19" s="1"/>
  <c r="S468" i="19"/>
  <c r="AC468" i="19" s="1"/>
  <c r="S466" i="19"/>
  <c r="AC466" i="19" s="1"/>
  <c r="S464" i="19"/>
  <c r="AC464" i="19" s="1"/>
  <c r="S462" i="19"/>
  <c r="AC462" i="19" s="1"/>
  <c r="S460" i="19"/>
  <c r="AC460" i="19" s="1"/>
  <c r="S458" i="19"/>
  <c r="AC458" i="19" s="1"/>
  <c r="S456" i="19"/>
  <c r="AC456" i="19" s="1"/>
  <c r="S454" i="19"/>
  <c r="AC454" i="19" s="1"/>
  <c r="S452" i="19"/>
  <c r="AC452" i="19" s="1"/>
  <c r="S450" i="19"/>
  <c r="AC450" i="19" s="1"/>
  <c r="S448" i="19"/>
  <c r="AC448" i="19" s="1"/>
  <c r="S446" i="19"/>
  <c r="AC446" i="19" s="1"/>
  <c r="S444" i="19"/>
  <c r="AC444" i="19" s="1"/>
  <c r="S442" i="19"/>
  <c r="AC442" i="19" s="1"/>
  <c r="S440" i="19"/>
  <c r="AC440" i="19" s="1"/>
  <c r="S438" i="19"/>
  <c r="AC438" i="19" s="1"/>
  <c r="S436" i="19"/>
  <c r="AC436" i="19" s="1"/>
  <c r="S434" i="19"/>
  <c r="AC434" i="19" s="1"/>
  <c r="S432" i="19"/>
  <c r="AC432" i="19" s="1"/>
  <c r="S430" i="19"/>
  <c r="AC430" i="19" s="1"/>
  <c r="S428" i="19"/>
  <c r="AC428" i="19" s="1"/>
  <c r="S426" i="19"/>
  <c r="AC426" i="19" s="1"/>
  <c r="S424" i="19"/>
  <c r="AC424" i="19" s="1"/>
  <c r="S422" i="19"/>
  <c r="AC422" i="19" s="1"/>
  <c r="S420" i="19"/>
  <c r="AC420" i="19" s="1"/>
  <c r="S418" i="19"/>
  <c r="AC418" i="19" s="1"/>
  <c r="S416" i="19"/>
  <c r="AC416" i="19" s="1"/>
  <c r="S414" i="19"/>
  <c r="AC414" i="19" s="1"/>
  <c r="S412" i="19"/>
  <c r="AC412" i="19" s="1"/>
  <c r="S410" i="19"/>
  <c r="AC410" i="19" s="1"/>
  <c r="S408" i="19"/>
  <c r="AC408" i="19" s="1"/>
  <c r="S406" i="19"/>
  <c r="AC406" i="19" s="1"/>
  <c r="S404" i="19"/>
  <c r="AC404" i="19" s="1"/>
  <c r="S402" i="19"/>
  <c r="AC402" i="19" s="1"/>
  <c r="S400" i="19"/>
  <c r="AC400" i="19" s="1"/>
  <c r="S398" i="19"/>
  <c r="AC398" i="19" s="1"/>
  <c r="S396" i="19"/>
  <c r="AC396" i="19" s="1"/>
  <c r="S394" i="19"/>
  <c r="AC394" i="19" s="1"/>
  <c r="S392" i="19"/>
  <c r="AC392" i="19" s="1"/>
  <c r="S390" i="19"/>
  <c r="AC390" i="19" s="1"/>
  <c r="S388" i="19"/>
  <c r="AC388" i="19" s="1"/>
  <c r="S386" i="19"/>
  <c r="AC386" i="19" s="1"/>
  <c r="S384" i="19"/>
  <c r="AC384" i="19" s="1"/>
  <c r="S382" i="19"/>
  <c r="AC382" i="19" s="1"/>
  <c r="S380" i="19"/>
  <c r="AC380" i="19" s="1"/>
  <c r="S378" i="19"/>
  <c r="AC378" i="19" s="1"/>
  <c r="S376" i="19"/>
  <c r="AC376" i="19" s="1"/>
  <c r="S374" i="19"/>
  <c r="AC374" i="19" s="1"/>
  <c r="S563" i="19"/>
  <c r="AC563" i="19" s="1"/>
  <c r="S552" i="19"/>
  <c r="AC552" i="19" s="1"/>
  <c r="S530" i="19"/>
  <c r="AC530" i="19" s="1"/>
  <c r="S510" i="19"/>
  <c r="AC510" i="19" s="1"/>
  <c r="S509" i="19"/>
  <c r="AC509" i="19" s="1"/>
  <c r="S494" i="19"/>
  <c r="AC494" i="19" s="1"/>
  <c r="S576" i="19"/>
  <c r="AC576" i="19" s="1"/>
  <c r="S561" i="19"/>
  <c r="AC561" i="19" s="1"/>
  <c r="S543" i="19"/>
  <c r="AC543" i="19" s="1"/>
  <c r="S540" i="19"/>
  <c r="AC540" i="19" s="1"/>
  <c r="S508" i="19"/>
  <c r="AC508" i="19" s="1"/>
  <c r="S507" i="19"/>
  <c r="AC507" i="19" s="1"/>
  <c r="S560" i="19"/>
  <c r="AC560" i="19" s="1"/>
  <c r="S558" i="19"/>
  <c r="AC558" i="19" s="1"/>
  <c r="S547" i="19"/>
  <c r="AC547" i="19" s="1"/>
  <c r="S531" i="19"/>
  <c r="AC531" i="19" s="1"/>
  <c r="S517" i="19"/>
  <c r="AC517" i="19" s="1"/>
  <c r="S516" i="19"/>
  <c r="AC516" i="19" s="1"/>
  <c r="S506" i="19"/>
  <c r="AC506" i="19" s="1"/>
  <c r="S483" i="19"/>
  <c r="AC483" i="19" s="1"/>
  <c r="S467" i="19"/>
  <c r="AC467" i="19" s="1"/>
  <c r="S451" i="19"/>
  <c r="AC451" i="19" s="1"/>
  <c r="S435" i="19"/>
  <c r="AC435" i="19" s="1"/>
  <c r="S566" i="19"/>
  <c r="AC566" i="19" s="1"/>
  <c r="S562" i="19"/>
  <c r="AC562" i="19" s="1"/>
  <c r="S546" i="19"/>
  <c r="AC546" i="19" s="1"/>
  <c r="S526" i="19"/>
  <c r="AC526" i="19" s="1"/>
  <c r="S519" i="19"/>
  <c r="AC519" i="19" s="1"/>
  <c r="S518" i="19"/>
  <c r="AC518" i="19" s="1"/>
  <c r="S493" i="19"/>
  <c r="AC493" i="19" s="1"/>
  <c r="S477" i="19"/>
  <c r="AC477" i="19" s="1"/>
  <c r="S461" i="19"/>
  <c r="AC461" i="19" s="1"/>
  <c r="S568" i="19"/>
  <c r="AC568" i="19" s="1"/>
  <c r="S542" i="19"/>
  <c r="AC542" i="19" s="1"/>
  <c r="S535" i="19"/>
  <c r="AC535" i="19" s="1"/>
  <c r="S521" i="19"/>
  <c r="AC521" i="19" s="1"/>
  <c r="S520" i="19"/>
  <c r="AC520" i="19" s="1"/>
  <c r="S487" i="19"/>
  <c r="AC487" i="19" s="1"/>
  <c r="S471" i="19"/>
  <c r="AC471" i="19" s="1"/>
  <c r="S455" i="19"/>
  <c r="AC455" i="19" s="1"/>
  <c r="S579" i="19"/>
  <c r="AC579" i="19" s="1"/>
  <c r="S577" i="19"/>
  <c r="AC577" i="19" s="1"/>
  <c r="S553" i="19"/>
  <c r="AC553" i="19" s="1"/>
  <c r="S541" i="19"/>
  <c r="AC541" i="19" s="1"/>
  <c r="S536" i="19"/>
  <c r="AC536" i="19" s="1"/>
  <c r="S539" i="19"/>
  <c r="AC539" i="19" s="1"/>
  <c r="S515" i="19"/>
  <c r="AC515" i="19" s="1"/>
  <c r="S499" i="19"/>
  <c r="AC499" i="19" s="1"/>
  <c r="S491" i="19"/>
  <c r="AC491" i="19" s="1"/>
  <c r="S453" i="19"/>
  <c r="AC453" i="19" s="1"/>
  <c r="S437" i="19"/>
  <c r="AC437" i="19" s="1"/>
  <c r="S425" i="19"/>
  <c r="AC425" i="19" s="1"/>
  <c r="S407" i="19"/>
  <c r="AC407" i="19" s="1"/>
  <c r="S393" i="19"/>
  <c r="AC393" i="19" s="1"/>
  <c r="S385" i="19"/>
  <c r="AC385" i="19" s="1"/>
  <c r="S377" i="19"/>
  <c r="AC377" i="19" s="1"/>
  <c r="S575" i="19"/>
  <c r="AC575" i="19" s="1"/>
  <c r="S550" i="19"/>
  <c r="AC550" i="19" s="1"/>
  <c r="S532" i="19"/>
  <c r="AC532" i="19" s="1"/>
  <c r="S504" i="19"/>
  <c r="AC504" i="19" s="1"/>
  <c r="S469" i="19"/>
  <c r="AC469" i="19" s="1"/>
  <c r="S445" i="19"/>
  <c r="AC445" i="19" s="1"/>
  <c r="S439" i="19"/>
  <c r="AC439" i="19" s="1"/>
  <c r="S427" i="19"/>
  <c r="AC427" i="19" s="1"/>
  <c r="S417" i="19"/>
  <c r="AC417" i="19" s="1"/>
  <c r="S401" i="19"/>
  <c r="AC401" i="19" s="1"/>
  <c r="S372" i="19"/>
  <c r="AC372" i="19" s="1"/>
  <c r="S370" i="19"/>
  <c r="AC370" i="19" s="1"/>
  <c r="S368" i="19"/>
  <c r="AC368" i="19" s="1"/>
  <c r="S366" i="19"/>
  <c r="AC366" i="19" s="1"/>
  <c r="S364" i="19"/>
  <c r="AC364" i="19" s="1"/>
  <c r="S362" i="19"/>
  <c r="AC362" i="19" s="1"/>
  <c r="S360" i="19"/>
  <c r="AC360" i="19" s="1"/>
  <c r="S358" i="19"/>
  <c r="AC358" i="19" s="1"/>
  <c r="S356" i="19"/>
  <c r="AC356" i="19" s="1"/>
  <c r="S354" i="19"/>
  <c r="AC354" i="19" s="1"/>
  <c r="S352" i="19"/>
  <c r="AC352" i="19" s="1"/>
  <c r="S350" i="19"/>
  <c r="AC350" i="19" s="1"/>
  <c r="S348" i="19"/>
  <c r="AC348" i="19" s="1"/>
  <c r="S346" i="19"/>
  <c r="AC346" i="19" s="1"/>
  <c r="S344" i="19"/>
  <c r="AC344" i="19" s="1"/>
  <c r="S342" i="19"/>
  <c r="AC342" i="19" s="1"/>
  <c r="S340" i="19"/>
  <c r="AC340" i="19" s="1"/>
  <c r="S338" i="19"/>
  <c r="AC338" i="19" s="1"/>
  <c r="S336" i="19"/>
  <c r="AC336" i="19" s="1"/>
  <c r="S334" i="19"/>
  <c r="AC334" i="19" s="1"/>
  <c r="S332" i="19"/>
  <c r="AC332" i="19" s="1"/>
  <c r="S330" i="19"/>
  <c r="AC330" i="19" s="1"/>
  <c r="S328" i="19"/>
  <c r="AC328" i="19" s="1"/>
  <c r="S326" i="19"/>
  <c r="AC326" i="19" s="1"/>
  <c r="S324" i="19"/>
  <c r="AC324" i="19" s="1"/>
  <c r="S322" i="19"/>
  <c r="AC322" i="19" s="1"/>
  <c r="S320" i="19"/>
  <c r="AC320" i="19" s="1"/>
  <c r="S318" i="19"/>
  <c r="AC318" i="19" s="1"/>
  <c r="S316" i="19"/>
  <c r="AC316" i="19" s="1"/>
  <c r="S314" i="19"/>
  <c r="AC314" i="19" s="1"/>
  <c r="S312" i="19"/>
  <c r="AC312" i="19" s="1"/>
  <c r="S310" i="19"/>
  <c r="AC310" i="19" s="1"/>
  <c r="S308" i="19"/>
  <c r="AC308" i="19" s="1"/>
  <c r="S306" i="19"/>
  <c r="AC306" i="19" s="1"/>
  <c r="S304" i="19"/>
  <c r="AC304" i="19" s="1"/>
  <c r="S302" i="19"/>
  <c r="AC302" i="19" s="1"/>
  <c r="S300" i="19"/>
  <c r="AC300" i="19" s="1"/>
  <c r="S298" i="19"/>
  <c r="AC298" i="19" s="1"/>
  <c r="S296" i="19"/>
  <c r="AC296" i="19" s="1"/>
  <c r="S294" i="19"/>
  <c r="AC294" i="19" s="1"/>
  <c r="S292" i="19"/>
  <c r="AC292" i="19" s="1"/>
  <c r="S290" i="19"/>
  <c r="AC290" i="19" s="1"/>
  <c r="S288" i="19"/>
  <c r="AC288" i="19" s="1"/>
  <c r="S286" i="19"/>
  <c r="AC286" i="19" s="1"/>
  <c r="S284" i="19"/>
  <c r="AC284" i="19" s="1"/>
  <c r="S282" i="19"/>
  <c r="AC282" i="19" s="1"/>
  <c r="S280" i="19"/>
  <c r="AC280" i="19" s="1"/>
  <c r="S278" i="19"/>
  <c r="AC278" i="19" s="1"/>
  <c r="S276" i="19"/>
  <c r="AC276" i="19" s="1"/>
  <c r="S274" i="19"/>
  <c r="AC274" i="19" s="1"/>
  <c r="S272" i="19"/>
  <c r="AC272" i="19" s="1"/>
  <c r="S270" i="19"/>
  <c r="AC270" i="19" s="1"/>
  <c r="S583" i="19"/>
  <c r="AC583" i="19" s="1"/>
  <c r="S514" i="19"/>
  <c r="AC514" i="19" s="1"/>
  <c r="S503" i="19"/>
  <c r="AC503" i="19" s="1"/>
  <c r="S498" i="19"/>
  <c r="AC498" i="19" s="1"/>
  <c r="S485" i="19"/>
  <c r="AC485" i="19" s="1"/>
  <c r="S429" i="19"/>
  <c r="AC429" i="19" s="1"/>
  <c r="S411" i="19"/>
  <c r="AC411" i="19" s="1"/>
  <c r="S391" i="19"/>
  <c r="AC391" i="19" s="1"/>
  <c r="S383" i="19"/>
  <c r="AC383" i="19" s="1"/>
  <c r="S375" i="19"/>
  <c r="AC375" i="19" s="1"/>
  <c r="S513" i="19"/>
  <c r="AC513" i="19" s="1"/>
  <c r="S501" i="19"/>
  <c r="AC501" i="19" s="1"/>
  <c r="S479" i="19"/>
  <c r="AC479" i="19" s="1"/>
  <c r="S443" i="19"/>
  <c r="AC443" i="19" s="1"/>
  <c r="S522" i="19"/>
  <c r="AC522" i="19" s="1"/>
  <c r="S505" i="19"/>
  <c r="AC505" i="19" s="1"/>
  <c r="S459" i="19"/>
  <c r="AC459" i="19" s="1"/>
  <c r="S447" i="19"/>
  <c r="AC447" i="19" s="1"/>
  <c r="S409" i="19"/>
  <c r="AC409" i="19" s="1"/>
  <c r="S523" i="19"/>
  <c r="AC523" i="19" s="1"/>
  <c r="S475" i="19"/>
  <c r="AC475" i="19" s="1"/>
  <c r="S433" i="19"/>
  <c r="AC433" i="19" s="1"/>
  <c r="S423" i="19"/>
  <c r="AC423" i="19" s="1"/>
  <c r="S419" i="19"/>
  <c r="AC419" i="19" s="1"/>
  <c r="S405" i="19"/>
  <c r="AC405" i="19" s="1"/>
  <c r="S497" i="19"/>
  <c r="AC497" i="19" s="1"/>
  <c r="S413" i="19"/>
  <c r="AC413" i="19" s="1"/>
  <c r="S371" i="19"/>
  <c r="AC371" i="19" s="1"/>
  <c r="S361" i="19"/>
  <c r="AC361" i="19" s="1"/>
  <c r="S345" i="19"/>
  <c r="AC345" i="19" s="1"/>
  <c r="S329" i="19"/>
  <c r="AC329" i="19" s="1"/>
  <c r="S317" i="19"/>
  <c r="AC317" i="19" s="1"/>
  <c r="S309" i="19"/>
  <c r="AC309" i="19" s="1"/>
  <c r="S301" i="19"/>
  <c r="AC301" i="19" s="1"/>
  <c r="S293" i="19"/>
  <c r="AC293" i="19" s="1"/>
  <c r="S285" i="19"/>
  <c r="AC285" i="19" s="1"/>
  <c r="S277" i="19"/>
  <c r="AC277" i="19" s="1"/>
  <c r="S269" i="19"/>
  <c r="AC269" i="19" s="1"/>
  <c r="S264" i="19"/>
  <c r="AC264" i="19" s="1"/>
  <c r="S263" i="19"/>
  <c r="AC263" i="19" s="1"/>
  <c r="S481" i="19"/>
  <c r="AC481" i="19" s="1"/>
  <c r="S457" i="19"/>
  <c r="AC457" i="19" s="1"/>
  <c r="S449" i="19"/>
  <c r="AC449" i="19" s="1"/>
  <c r="S421" i="19"/>
  <c r="AC421" i="19" s="1"/>
  <c r="S415" i="19"/>
  <c r="AC415" i="19" s="1"/>
  <c r="S373" i="19"/>
  <c r="AC373" i="19" s="1"/>
  <c r="S365" i="19"/>
  <c r="AC365" i="19" s="1"/>
  <c r="S349" i="19"/>
  <c r="AC349" i="19" s="1"/>
  <c r="S333" i="19"/>
  <c r="AC333" i="19" s="1"/>
  <c r="S315" i="19"/>
  <c r="AC315" i="19" s="1"/>
  <c r="S307" i="19"/>
  <c r="AC307" i="19" s="1"/>
  <c r="S299" i="19"/>
  <c r="AC299" i="19" s="1"/>
  <c r="S291" i="19"/>
  <c r="AC291" i="19" s="1"/>
  <c r="S283" i="19"/>
  <c r="AC283" i="19" s="1"/>
  <c r="S275" i="19"/>
  <c r="AC275" i="19" s="1"/>
  <c r="S502" i="19"/>
  <c r="AC502" i="19" s="1"/>
  <c r="S473" i="19"/>
  <c r="AC473" i="19" s="1"/>
  <c r="S489" i="19"/>
  <c r="AC489" i="19" s="1"/>
  <c r="S465" i="19"/>
  <c r="AC465" i="19" s="1"/>
  <c r="S441" i="19"/>
  <c r="AC441" i="19" s="1"/>
  <c r="S379" i="19"/>
  <c r="AC379" i="19" s="1"/>
  <c r="S557" i="19"/>
  <c r="AC557" i="19" s="1"/>
  <c r="S395" i="19"/>
  <c r="AC395" i="19" s="1"/>
  <c r="S389" i="19"/>
  <c r="AC389" i="19" s="1"/>
  <c r="S353" i="19"/>
  <c r="AC353" i="19" s="1"/>
  <c r="S339" i="19"/>
  <c r="AC339" i="19" s="1"/>
  <c r="S325" i="19"/>
  <c r="AC325" i="19" s="1"/>
  <c r="S297" i="19"/>
  <c r="AC297" i="19" s="1"/>
  <c r="S500" i="19"/>
  <c r="AC500" i="19" s="1"/>
  <c r="S463" i="19"/>
  <c r="AC463" i="19" s="1"/>
  <c r="S431" i="19"/>
  <c r="AC431" i="19" s="1"/>
  <c r="S357" i="19"/>
  <c r="AC357" i="19" s="1"/>
  <c r="S321" i="19"/>
  <c r="AC321" i="19" s="1"/>
  <c r="S363" i="19"/>
  <c r="AC363" i="19" s="1"/>
  <c r="S337" i="19"/>
  <c r="AC337" i="19" s="1"/>
  <c r="S253" i="19"/>
  <c r="AC253" i="19" s="1"/>
  <c r="S252" i="19"/>
  <c r="AC252" i="19" s="1"/>
  <c r="S525" i="19"/>
  <c r="AC525" i="19" s="1"/>
  <c r="S367" i="19"/>
  <c r="AC367" i="19" s="1"/>
  <c r="S341" i="19"/>
  <c r="AC341" i="19" s="1"/>
  <c r="S311" i="19"/>
  <c r="AC311" i="19" s="1"/>
  <c r="S273" i="19"/>
  <c r="AC273" i="19" s="1"/>
  <c r="S271" i="19"/>
  <c r="AC271" i="19" s="1"/>
  <c r="S268" i="19"/>
  <c r="AC268" i="19" s="1"/>
  <c r="S265" i="19"/>
  <c r="AC265" i="19" s="1"/>
  <c r="S262" i="19"/>
  <c r="AC262" i="19" s="1"/>
  <c r="S259" i="19"/>
  <c r="AC259" i="19" s="1"/>
  <c r="S251" i="19"/>
  <c r="AC251" i="19" s="1"/>
  <c r="S250" i="19"/>
  <c r="AC250" i="19" s="1"/>
  <c r="S221" i="19"/>
  <c r="AC221" i="19" s="1"/>
  <c r="S397" i="19"/>
  <c r="AC397" i="19" s="1"/>
  <c r="S327" i="19"/>
  <c r="AC327" i="19" s="1"/>
  <c r="S323" i="19"/>
  <c r="AC323" i="19" s="1"/>
  <c r="S249" i="19"/>
  <c r="AC249" i="19" s="1"/>
  <c r="S248" i="19"/>
  <c r="AC248" i="19" s="1"/>
  <c r="S244" i="19"/>
  <c r="AC244" i="19" s="1"/>
  <c r="S242" i="19"/>
  <c r="AC242" i="19" s="1"/>
  <c r="S240" i="19"/>
  <c r="AC240" i="19" s="1"/>
  <c r="S238" i="19"/>
  <c r="AC238" i="19" s="1"/>
  <c r="S236" i="19"/>
  <c r="AC236" i="19" s="1"/>
  <c r="S234" i="19"/>
  <c r="AC234" i="19" s="1"/>
  <c r="S232" i="19"/>
  <c r="AC232" i="19" s="1"/>
  <c r="S230" i="19"/>
  <c r="AC230" i="19" s="1"/>
  <c r="S228" i="19"/>
  <c r="AC228" i="19" s="1"/>
  <c r="S226" i="19"/>
  <c r="AC226" i="19" s="1"/>
  <c r="S219" i="19"/>
  <c r="AC219" i="19" s="1"/>
  <c r="S351" i="19"/>
  <c r="AC351" i="19" s="1"/>
  <c r="S347" i="19"/>
  <c r="AC347" i="19" s="1"/>
  <c r="S343" i="19"/>
  <c r="AC343" i="19" s="1"/>
  <c r="S313" i="19"/>
  <c r="AC313" i="19" s="1"/>
  <c r="S237" i="19"/>
  <c r="AC237" i="19" s="1"/>
  <c r="S335" i="19"/>
  <c r="AC335" i="19" s="1"/>
  <c r="S331" i="19"/>
  <c r="AC331" i="19" s="1"/>
  <c r="S279" i="19"/>
  <c r="AC279" i="19" s="1"/>
  <c r="S266" i="19"/>
  <c r="AC266" i="19" s="1"/>
  <c r="S260" i="19"/>
  <c r="AC260" i="19" s="1"/>
  <c r="S254" i="19"/>
  <c r="AC254" i="19" s="1"/>
  <c r="S231" i="19"/>
  <c r="AC231" i="19" s="1"/>
  <c r="S319" i="19"/>
  <c r="AC319" i="19" s="1"/>
  <c r="S295" i="19"/>
  <c r="AC295" i="19" s="1"/>
  <c r="S281" i="19"/>
  <c r="AC281" i="19" s="1"/>
  <c r="S258" i="19"/>
  <c r="AC258" i="19" s="1"/>
  <c r="S239" i="19"/>
  <c r="AC239" i="19" s="1"/>
  <c r="S529" i="19"/>
  <c r="AC529" i="19" s="1"/>
  <c r="S387" i="19"/>
  <c r="AC387" i="19" s="1"/>
  <c r="S305" i="19"/>
  <c r="AC305" i="19" s="1"/>
  <c r="S287" i="19"/>
  <c r="AC287" i="19" s="1"/>
  <c r="S261" i="19"/>
  <c r="AC261" i="19" s="1"/>
  <c r="S225" i="19"/>
  <c r="AC225" i="19" s="1"/>
  <c r="S220" i="19"/>
  <c r="AC220" i="19" s="1"/>
  <c r="S257" i="19"/>
  <c r="AC257" i="19" s="1"/>
  <c r="S246" i="19"/>
  <c r="AC246" i="19" s="1"/>
  <c r="S222" i="19"/>
  <c r="AC222" i="19" s="1"/>
  <c r="S359" i="19"/>
  <c r="AC359" i="19" s="1"/>
  <c r="S355" i="19"/>
  <c r="AC355" i="19" s="1"/>
  <c r="S256" i="19"/>
  <c r="AC256" i="19" s="1"/>
  <c r="S235" i="19"/>
  <c r="AC235" i="19" s="1"/>
  <c r="S227" i="19"/>
  <c r="AC227" i="19" s="1"/>
  <c r="S224" i="19"/>
  <c r="AC224" i="19" s="1"/>
  <c r="S528" i="19"/>
  <c r="AC528" i="19" s="1"/>
  <c r="S403" i="19"/>
  <c r="AC403" i="19" s="1"/>
  <c r="S247" i="19"/>
  <c r="AC247" i="19" s="1"/>
  <c r="S241" i="19"/>
  <c r="AC241" i="19" s="1"/>
  <c r="S233" i="19"/>
  <c r="AC233" i="19" s="1"/>
  <c r="S399" i="19"/>
  <c r="AC399" i="19" s="1"/>
  <c r="S381" i="19"/>
  <c r="AC381" i="19" s="1"/>
  <c r="S369" i="19"/>
  <c r="AC369" i="19" s="1"/>
  <c r="S255" i="19"/>
  <c r="AC255" i="19" s="1"/>
  <c r="S229" i="19"/>
  <c r="AC229" i="19" s="1"/>
  <c r="S267" i="19"/>
  <c r="AC267" i="19" s="1"/>
  <c r="S245" i="19"/>
  <c r="AC245" i="19" s="1"/>
  <c r="S289" i="19"/>
  <c r="AC289" i="19" s="1"/>
  <c r="S223" i="19"/>
  <c r="AC223" i="19" s="1"/>
  <c r="S303" i="19"/>
  <c r="AC303" i="19" s="1"/>
  <c r="S243" i="19"/>
  <c r="AC243" i="19" s="1"/>
  <c r="K431" i="19"/>
  <c r="K301" i="19"/>
  <c r="K319" i="19"/>
  <c r="K365" i="19"/>
  <c r="K220" i="19"/>
  <c r="K274" i="19"/>
  <c r="K335" i="19"/>
  <c r="K296" i="19"/>
  <c r="K315" i="19"/>
  <c r="K305" i="19"/>
  <c r="K295" i="19"/>
  <c r="K393" i="19"/>
  <c r="K232" i="19"/>
  <c r="K263" i="19"/>
  <c r="K473" i="19"/>
  <c r="K287" i="19"/>
  <c r="K331" i="19"/>
  <c r="K578" i="19"/>
  <c r="K382" i="19"/>
  <c r="K568" i="19"/>
  <c r="K425" i="19"/>
  <c r="K252" i="19"/>
  <c r="K493" i="19"/>
  <c r="K487" i="19"/>
  <c r="K471" i="19"/>
  <c r="K457" i="19"/>
  <c r="K422" i="19"/>
  <c r="K386" i="19"/>
  <c r="K455" i="19"/>
  <c r="K326" i="19"/>
  <c r="K342" i="19"/>
  <c r="K358" i="19"/>
  <c r="K399" i="19"/>
  <c r="K449" i="19"/>
  <c r="K447" i="19"/>
  <c r="K538" i="19"/>
  <c r="K548" i="19"/>
  <c r="K459" i="19"/>
  <c r="K527" i="19"/>
  <c r="K522" i="19"/>
  <c r="K508" i="19"/>
  <c r="K503" i="19"/>
  <c r="K519" i="19"/>
  <c r="K579" i="19"/>
  <c r="K566" i="19"/>
  <c r="K576" i="19"/>
  <c r="D613" i="19"/>
  <c r="E613" i="19" s="1"/>
  <c r="P36" i="8"/>
  <c r="AL38" i="1"/>
  <c r="K417" i="19"/>
  <c r="K407" i="19"/>
  <c r="K384" i="19"/>
  <c r="K403" i="19"/>
  <c r="K483" i="19"/>
  <c r="K410" i="19"/>
  <c r="K545" i="19"/>
  <c r="K334" i="19"/>
  <c r="K350" i="19"/>
  <c r="K366" i="19"/>
  <c r="K421" i="19"/>
  <c r="K496" i="19"/>
  <c r="K479" i="19"/>
  <c r="K486" i="19"/>
  <c r="K427" i="19"/>
  <c r="K491" i="19"/>
  <c r="K535" i="19"/>
  <c r="K551" i="19"/>
  <c r="K495" i="19"/>
  <c r="K511" i="19"/>
  <c r="K530" i="19"/>
  <c r="K564" i="19"/>
  <c r="K563" i="19"/>
  <c r="D11" i="19"/>
  <c r="E11" i="19" s="1"/>
  <c r="F11" i="19" s="1"/>
  <c r="G11" i="19" s="1"/>
  <c r="H11" i="19" s="1"/>
  <c r="I11" i="19" s="1"/>
  <c r="J11" i="19" s="1"/>
  <c r="K11" i="19" s="1"/>
  <c r="L11" i="19" s="1"/>
  <c r="M11" i="19" s="1"/>
  <c r="N11" i="19" s="1"/>
  <c r="O11" i="19" s="1"/>
  <c r="P11" i="19" s="1"/>
  <c r="Q11" i="19" s="1"/>
  <c r="R11" i="19" s="1"/>
  <c r="S11" i="19" s="1"/>
  <c r="T11" i="19" s="1"/>
  <c r="U11" i="19" s="1"/>
  <c r="V11" i="19" s="1"/>
  <c r="W11" i="19" s="1"/>
  <c r="X11" i="19" s="1"/>
  <c r="Y11" i="19" s="1"/>
  <c r="Z11" i="19" s="1"/>
  <c r="AA11" i="19" s="1"/>
  <c r="AB11" i="19" s="1"/>
  <c r="AC11" i="19" s="1"/>
  <c r="AD11" i="19" s="1"/>
  <c r="AE11" i="19" s="1"/>
  <c r="AF11" i="19" s="1"/>
  <c r="AG11" i="19" s="1"/>
  <c r="AH11" i="19" s="1"/>
  <c r="G584" i="19"/>
  <c r="G583" i="19"/>
  <c r="G568" i="19"/>
  <c r="G567" i="19"/>
  <c r="G552" i="19"/>
  <c r="G551" i="19"/>
  <c r="G581" i="19"/>
  <c r="G562" i="19"/>
  <c r="G559" i="19"/>
  <c r="G570" i="19"/>
  <c r="G564" i="19"/>
  <c r="G561" i="19"/>
  <c r="G571" i="19"/>
  <c r="G569" i="19"/>
  <c r="G544" i="19"/>
  <c r="G541" i="19"/>
  <c r="G540" i="19"/>
  <c r="G525" i="19"/>
  <c r="G565" i="19"/>
  <c r="G563" i="19"/>
  <c r="G537" i="19"/>
  <c r="G536" i="19"/>
  <c r="G524" i="19"/>
  <c r="G522" i="19"/>
  <c r="G520" i="19"/>
  <c r="G518" i="19"/>
  <c r="G516" i="19"/>
  <c r="G514" i="19"/>
  <c r="G512" i="19"/>
  <c r="G510" i="19"/>
  <c r="G508" i="19"/>
  <c r="G506" i="19"/>
  <c r="G504" i="19"/>
  <c r="G502" i="19"/>
  <c r="G500" i="19"/>
  <c r="G498" i="19"/>
  <c r="G496" i="19"/>
  <c r="G574" i="19"/>
  <c r="G572" i="19"/>
  <c r="G557" i="19"/>
  <c r="G550" i="19"/>
  <c r="G545" i="19"/>
  <c r="G530" i="19"/>
  <c r="G527" i="19"/>
  <c r="G515" i="19"/>
  <c r="G499" i="19"/>
  <c r="G579" i="19"/>
  <c r="G566" i="19"/>
  <c r="G555" i="19"/>
  <c r="G533" i="19"/>
  <c r="G513" i="19"/>
  <c r="G497" i="19"/>
  <c r="G577" i="19"/>
  <c r="G575" i="19"/>
  <c r="G553" i="19"/>
  <c r="G547" i="19"/>
  <c r="G546" i="19"/>
  <c r="G543" i="19"/>
  <c r="G526" i="19"/>
  <c r="G511" i="19"/>
  <c r="G495" i="19"/>
  <c r="G578" i="19"/>
  <c r="G539" i="19"/>
  <c r="G532" i="19"/>
  <c r="G519" i="19"/>
  <c r="G509" i="19"/>
  <c r="G483" i="19"/>
  <c r="G482" i="19"/>
  <c r="G467" i="19"/>
  <c r="G466" i="19"/>
  <c r="G451" i="19"/>
  <c r="G450" i="19"/>
  <c r="G435" i="19"/>
  <c r="G434" i="19"/>
  <c r="G582" i="19"/>
  <c r="G580" i="19"/>
  <c r="G576" i="19"/>
  <c r="G521" i="19"/>
  <c r="G493" i="19"/>
  <c r="G492" i="19"/>
  <c r="G477" i="19"/>
  <c r="G476" i="19"/>
  <c r="G461" i="19"/>
  <c r="G460" i="19"/>
  <c r="G560" i="19"/>
  <c r="G558" i="19"/>
  <c r="G556" i="19"/>
  <c r="G554" i="19"/>
  <c r="G534" i="19"/>
  <c r="G487" i="19"/>
  <c r="G486" i="19"/>
  <c r="G471" i="19"/>
  <c r="G470" i="19"/>
  <c r="G455" i="19"/>
  <c r="G454" i="19"/>
  <c r="G542" i="19"/>
  <c r="G535" i="19"/>
  <c r="G538" i="19"/>
  <c r="G507" i="19"/>
  <c r="G468" i="19"/>
  <c r="G463" i="19"/>
  <c r="G440" i="19"/>
  <c r="G439" i="19"/>
  <c r="G427" i="19"/>
  <c r="G407" i="19"/>
  <c r="G406" i="19"/>
  <c r="G373" i="19"/>
  <c r="G371" i="19"/>
  <c r="G369" i="19"/>
  <c r="G367" i="19"/>
  <c r="G365" i="19"/>
  <c r="G363" i="19"/>
  <c r="G361" i="19"/>
  <c r="G359" i="19"/>
  <c r="G357" i="19"/>
  <c r="G355" i="19"/>
  <c r="G353" i="19"/>
  <c r="G351" i="19"/>
  <c r="G349" i="19"/>
  <c r="G347" i="19"/>
  <c r="G345" i="19"/>
  <c r="G343" i="19"/>
  <c r="G341" i="19"/>
  <c r="G339" i="19"/>
  <c r="G337" i="19"/>
  <c r="G335" i="19"/>
  <c r="G333" i="19"/>
  <c r="G331" i="19"/>
  <c r="G329" i="19"/>
  <c r="G327" i="19"/>
  <c r="G325" i="19"/>
  <c r="G323" i="19"/>
  <c r="G321" i="19"/>
  <c r="G529" i="19"/>
  <c r="G517" i="19"/>
  <c r="G501" i="19"/>
  <c r="G484" i="19"/>
  <c r="G479" i="19"/>
  <c r="G465" i="19"/>
  <c r="G446" i="19"/>
  <c r="G443" i="19"/>
  <c r="G430" i="19"/>
  <c r="G429" i="19"/>
  <c r="G417" i="19"/>
  <c r="G416" i="19"/>
  <c r="G401" i="19"/>
  <c r="G400" i="19"/>
  <c r="G396" i="19"/>
  <c r="G393" i="19"/>
  <c r="G388" i="19"/>
  <c r="G385" i="19"/>
  <c r="G380" i="19"/>
  <c r="G377" i="19"/>
  <c r="G573" i="19"/>
  <c r="G528" i="19"/>
  <c r="G481" i="19"/>
  <c r="G462" i="19"/>
  <c r="G457" i="19"/>
  <c r="G452" i="19"/>
  <c r="G449" i="19"/>
  <c r="G432" i="19"/>
  <c r="G411" i="19"/>
  <c r="G410" i="19"/>
  <c r="G490" i="19"/>
  <c r="G469" i="19"/>
  <c r="G464" i="19"/>
  <c r="G438" i="19"/>
  <c r="G433" i="19"/>
  <c r="G428" i="19"/>
  <c r="G423" i="19"/>
  <c r="G422" i="19"/>
  <c r="G408" i="19"/>
  <c r="G403" i="19"/>
  <c r="G378" i="19"/>
  <c r="G375" i="19"/>
  <c r="G491" i="19"/>
  <c r="G478" i="19"/>
  <c r="G419" i="19"/>
  <c r="G405" i="19"/>
  <c r="G392" i="19"/>
  <c r="G549" i="19"/>
  <c r="G494" i="19"/>
  <c r="G473" i="19"/>
  <c r="G447" i="19"/>
  <c r="G442" i="19"/>
  <c r="G420" i="19"/>
  <c r="G415" i="19"/>
  <c r="G480" i="19"/>
  <c r="G456" i="19"/>
  <c r="G453" i="19"/>
  <c r="G431" i="19"/>
  <c r="G418" i="19"/>
  <c r="G398" i="19"/>
  <c r="G397" i="19"/>
  <c r="G395" i="19"/>
  <c r="G391" i="19"/>
  <c r="G386" i="19"/>
  <c r="G360" i="19"/>
  <c r="G344" i="19"/>
  <c r="G328" i="19"/>
  <c r="G267" i="19"/>
  <c r="G266" i="19"/>
  <c r="G257" i="19"/>
  <c r="G255" i="19"/>
  <c r="G253" i="19"/>
  <c r="G251" i="19"/>
  <c r="G249" i="19"/>
  <c r="G247" i="19"/>
  <c r="G474" i="19"/>
  <c r="G459" i="19"/>
  <c r="G436" i="19"/>
  <c r="G424" i="19"/>
  <c r="G399" i="19"/>
  <c r="G381" i="19"/>
  <c r="G379" i="19"/>
  <c r="G364" i="19"/>
  <c r="G348" i="19"/>
  <c r="G332" i="19"/>
  <c r="G444" i="19"/>
  <c r="G441" i="19"/>
  <c r="G437" i="19"/>
  <c r="G425" i="19"/>
  <c r="G523" i="19"/>
  <c r="G384" i="19"/>
  <c r="G383" i="19"/>
  <c r="G548" i="19"/>
  <c r="G531" i="19"/>
  <c r="G505" i="19"/>
  <c r="G489" i="19"/>
  <c r="G426" i="19"/>
  <c r="G414" i="19"/>
  <c r="G368" i="19"/>
  <c r="G354" i="19"/>
  <c r="G340" i="19"/>
  <c r="G304" i="19"/>
  <c r="G301" i="19"/>
  <c r="G445" i="19"/>
  <c r="G389" i="19"/>
  <c r="G336" i="19"/>
  <c r="G322" i="19"/>
  <c r="G413" i="19"/>
  <c r="G387" i="19"/>
  <c r="G374" i="19"/>
  <c r="G352" i="19"/>
  <c r="G326" i="19"/>
  <c r="G312" i="19"/>
  <c r="G297" i="19"/>
  <c r="G278" i="19"/>
  <c r="G276" i="19"/>
  <c r="G275" i="19"/>
  <c r="G274" i="19"/>
  <c r="G273" i="19"/>
  <c r="G271" i="19"/>
  <c r="G256" i="19"/>
  <c r="G220" i="19"/>
  <c r="G488" i="19"/>
  <c r="G372" i="19"/>
  <c r="G370" i="19"/>
  <c r="G356" i="19"/>
  <c r="G330" i="19"/>
  <c r="G319" i="19"/>
  <c r="G316" i="19"/>
  <c r="G305" i="19"/>
  <c r="G280" i="19"/>
  <c r="G277" i="19"/>
  <c r="G268" i="19"/>
  <c r="G265" i="19"/>
  <c r="G262" i="19"/>
  <c r="G254" i="19"/>
  <c r="G245" i="19"/>
  <c r="G243" i="19"/>
  <c r="G241" i="19"/>
  <c r="G239" i="19"/>
  <c r="G237" i="19"/>
  <c r="G235" i="19"/>
  <c r="G233" i="19"/>
  <c r="G231" i="19"/>
  <c r="G229" i="19"/>
  <c r="G227" i="19"/>
  <c r="G225" i="19"/>
  <c r="G503" i="19"/>
  <c r="G458" i="19"/>
  <c r="G382" i="19"/>
  <c r="G342" i="19"/>
  <c r="G338" i="19"/>
  <c r="G334" i="19"/>
  <c r="G309" i="19"/>
  <c r="G302" i="19"/>
  <c r="G298" i="19"/>
  <c r="G286" i="19"/>
  <c r="G284" i="19"/>
  <c r="G283" i="19"/>
  <c r="G282" i="19"/>
  <c r="G281" i="19"/>
  <c r="G279" i="19"/>
  <c r="G259" i="19"/>
  <c r="G252" i="19"/>
  <c r="G223" i="19"/>
  <c r="G409" i="19"/>
  <c r="G376" i="19"/>
  <c r="G320" i="19"/>
  <c r="G318" i="19"/>
  <c r="G236" i="19"/>
  <c r="G221" i="19"/>
  <c r="G412" i="19"/>
  <c r="G317" i="19"/>
  <c r="G295" i="19"/>
  <c r="G294" i="19"/>
  <c r="G290" i="19"/>
  <c r="G269" i="19"/>
  <c r="G264" i="19"/>
  <c r="G246" i="19"/>
  <c r="G230" i="19"/>
  <c r="G402" i="19"/>
  <c r="G292" i="19"/>
  <c r="G238" i="19"/>
  <c r="G358" i="19"/>
  <c r="G307" i="19"/>
  <c r="G250" i="19"/>
  <c r="G240" i="19"/>
  <c r="G232" i="19"/>
  <c r="G224" i="19"/>
  <c r="G219" i="19"/>
  <c r="G475" i="19"/>
  <c r="G366" i="19"/>
  <c r="G314" i="19"/>
  <c r="G291" i="19"/>
  <c r="G263" i="19"/>
  <c r="G234" i="19"/>
  <c r="G226" i="19"/>
  <c r="G472" i="19"/>
  <c r="G421" i="19"/>
  <c r="G390" i="19"/>
  <c r="G324" i="19"/>
  <c r="G311" i="19"/>
  <c r="G308" i="19"/>
  <c r="G296" i="19"/>
  <c r="G287" i="19"/>
  <c r="G270" i="19"/>
  <c r="G261" i="19"/>
  <c r="G248" i="19"/>
  <c r="G242" i="19"/>
  <c r="G448" i="19"/>
  <c r="G362" i="19"/>
  <c r="G299" i="19"/>
  <c r="G260" i="19"/>
  <c r="G485" i="19"/>
  <c r="G394" i="19"/>
  <c r="G315" i="19"/>
  <c r="G306" i="19"/>
  <c r="G303" i="19"/>
  <c r="G244" i="19"/>
  <c r="G346" i="19"/>
  <c r="G300" i="19"/>
  <c r="G293" i="19"/>
  <c r="G289" i="19"/>
  <c r="G285" i="19"/>
  <c r="G313" i="19"/>
  <c r="G350" i="19"/>
  <c r="G404" i="19"/>
  <c r="G222" i="19"/>
  <c r="G258" i="19"/>
  <c r="G310" i="19"/>
  <c r="G228" i="19"/>
  <c r="G288" i="19"/>
  <c r="G272" i="19"/>
  <c r="K546" i="19"/>
  <c r="K312" i="19"/>
  <c r="K262" i="19"/>
  <c r="K294" i="19"/>
  <c r="K453" i="19"/>
  <c r="T579" i="19"/>
  <c r="AD579" i="19" s="1"/>
  <c r="T578" i="19"/>
  <c r="AD578" i="19" s="1"/>
  <c r="T563" i="19"/>
  <c r="AD563" i="19" s="1"/>
  <c r="T562" i="19"/>
  <c r="AD562" i="19" s="1"/>
  <c r="T547" i="19"/>
  <c r="AD547" i="19" s="1"/>
  <c r="T546" i="19"/>
  <c r="AD546" i="19" s="1"/>
  <c r="T581" i="19"/>
  <c r="AD581" i="19" s="1"/>
  <c r="T575" i="19"/>
  <c r="AD575" i="19" s="1"/>
  <c r="T572" i="19"/>
  <c r="AD572" i="19" s="1"/>
  <c r="T553" i="19"/>
  <c r="AD553" i="19" s="1"/>
  <c r="T550" i="19"/>
  <c r="AD550" i="19" s="1"/>
  <c r="T567" i="19"/>
  <c r="AD567" i="19" s="1"/>
  <c r="T564" i="19"/>
  <c r="AD564" i="19" s="1"/>
  <c r="T561" i="19"/>
  <c r="AD561" i="19" s="1"/>
  <c r="T558" i="19"/>
  <c r="AD558" i="19" s="1"/>
  <c r="T573" i="19"/>
  <c r="AD573" i="19" s="1"/>
  <c r="T552" i="19"/>
  <c r="AD552" i="19" s="1"/>
  <c r="T536" i="19"/>
  <c r="AD536" i="19" s="1"/>
  <c r="T535" i="19"/>
  <c r="AD535" i="19" s="1"/>
  <c r="T568" i="19"/>
  <c r="AD568" i="19" s="1"/>
  <c r="T566" i="19"/>
  <c r="AD566" i="19" s="1"/>
  <c r="T532" i="19"/>
  <c r="AD532" i="19" s="1"/>
  <c r="T531" i="19"/>
  <c r="AD531" i="19" s="1"/>
  <c r="T523" i="19"/>
  <c r="AD523" i="19" s="1"/>
  <c r="T521" i="19"/>
  <c r="AD521" i="19" s="1"/>
  <c r="T519" i="19"/>
  <c r="AD519" i="19" s="1"/>
  <c r="T517" i="19"/>
  <c r="AD517" i="19" s="1"/>
  <c r="T515" i="19"/>
  <c r="AD515" i="19" s="1"/>
  <c r="T513" i="19"/>
  <c r="AD513" i="19" s="1"/>
  <c r="T511" i="19"/>
  <c r="AD511" i="19" s="1"/>
  <c r="T509" i="19"/>
  <c r="AD509" i="19" s="1"/>
  <c r="T507" i="19"/>
  <c r="AD507" i="19" s="1"/>
  <c r="T505" i="19"/>
  <c r="AD505" i="19" s="1"/>
  <c r="T503" i="19"/>
  <c r="AD503" i="19" s="1"/>
  <c r="T501" i="19"/>
  <c r="AD501" i="19" s="1"/>
  <c r="T499" i="19"/>
  <c r="AD499" i="19" s="1"/>
  <c r="T497" i="19"/>
  <c r="AD497" i="19" s="1"/>
  <c r="T495" i="19"/>
  <c r="AD495" i="19" s="1"/>
  <c r="T580" i="19"/>
  <c r="AD580" i="19" s="1"/>
  <c r="T556" i="19"/>
  <c r="AD556" i="19" s="1"/>
  <c r="T554" i="19"/>
  <c r="AD554" i="19" s="1"/>
  <c r="T537" i="19"/>
  <c r="AD537" i="19" s="1"/>
  <c r="T530" i="19"/>
  <c r="AD530" i="19" s="1"/>
  <c r="T510" i="19"/>
  <c r="AD510" i="19" s="1"/>
  <c r="T494" i="19"/>
  <c r="AD494" i="19" s="1"/>
  <c r="T576" i="19"/>
  <c r="AD576" i="19" s="1"/>
  <c r="T565" i="19"/>
  <c r="AD565" i="19" s="1"/>
  <c r="T545" i="19"/>
  <c r="AD545" i="19" s="1"/>
  <c r="T543" i="19"/>
  <c r="AD543" i="19" s="1"/>
  <c r="T540" i="19"/>
  <c r="AD540" i="19" s="1"/>
  <c r="T533" i="19"/>
  <c r="AD533" i="19" s="1"/>
  <c r="T508" i="19"/>
  <c r="AD508" i="19" s="1"/>
  <c r="T574" i="19"/>
  <c r="AD574" i="19" s="1"/>
  <c r="T549" i="19"/>
  <c r="AD549" i="19" s="1"/>
  <c r="T544" i="19"/>
  <c r="AD544" i="19" s="1"/>
  <c r="T529" i="19"/>
  <c r="AD529" i="19" s="1"/>
  <c r="T526" i="19"/>
  <c r="AD526" i="19" s="1"/>
  <c r="T522" i="19"/>
  <c r="AD522" i="19" s="1"/>
  <c r="T506" i="19"/>
  <c r="AD506" i="19" s="1"/>
  <c r="T548" i="19"/>
  <c r="AD548" i="19" s="1"/>
  <c r="T538" i="19"/>
  <c r="AD538" i="19" s="1"/>
  <c r="T518" i="19"/>
  <c r="AD518" i="19" s="1"/>
  <c r="T493" i="19"/>
  <c r="AD493" i="19" s="1"/>
  <c r="T478" i="19"/>
  <c r="AD478" i="19" s="1"/>
  <c r="T477" i="19"/>
  <c r="AD477" i="19" s="1"/>
  <c r="T462" i="19"/>
  <c r="AD462" i="19" s="1"/>
  <c r="T461" i="19"/>
  <c r="AD461" i="19" s="1"/>
  <c r="T446" i="19"/>
  <c r="AD446" i="19" s="1"/>
  <c r="T445" i="19"/>
  <c r="AD445" i="19" s="1"/>
  <c r="T430" i="19"/>
  <c r="AD430" i="19" s="1"/>
  <c r="T429" i="19"/>
  <c r="AD429" i="19" s="1"/>
  <c r="T542" i="19"/>
  <c r="AD542" i="19" s="1"/>
  <c r="T524" i="19"/>
  <c r="AD524" i="19" s="1"/>
  <c r="T520" i="19"/>
  <c r="AD520" i="19" s="1"/>
  <c r="T488" i="19"/>
  <c r="AD488" i="19" s="1"/>
  <c r="T487" i="19"/>
  <c r="AD487" i="19" s="1"/>
  <c r="T472" i="19"/>
  <c r="AD472" i="19" s="1"/>
  <c r="T471" i="19"/>
  <c r="AD471" i="19" s="1"/>
  <c r="T570" i="19"/>
  <c r="AD570" i="19" s="1"/>
  <c r="T528" i="19"/>
  <c r="AD528" i="19" s="1"/>
  <c r="T496" i="19"/>
  <c r="AD496" i="19" s="1"/>
  <c r="T482" i="19"/>
  <c r="AD482" i="19" s="1"/>
  <c r="T481" i="19"/>
  <c r="AD481" i="19" s="1"/>
  <c r="T466" i="19"/>
  <c r="AD466" i="19" s="1"/>
  <c r="T465" i="19"/>
  <c r="AD465" i="19" s="1"/>
  <c r="T450" i="19"/>
  <c r="AD450" i="19" s="1"/>
  <c r="T449" i="19"/>
  <c r="AD449" i="19" s="1"/>
  <c r="T583" i="19"/>
  <c r="AD583" i="19" s="1"/>
  <c r="T557" i="19"/>
  <c r="AD557" i="19" s="1"/>
  <c r="T555" i="19"/>
  <c r="AD555" i="19" s="1"/>
  <c r="T534" i="19"/>
  <c r="AD534" i="19" s="1"/>
  <c r="T571" i="19"/>
  <c r="AD571" i="19" s="1"/>
  <c r="T504" i="19"/>
  <c r="AD504" i="19" s="1"/>
  <c r="T483" i="19"/>
  <c r="AD483" i="19" s="1"/>
  <c r="T469" i="19"/>
  <c r="AD469" i="19" s="1"/>
  <c r="T464" i="19"/>
  <c r="AD464" i="19" s="1"/>
  <c r="T439" i="19"/>
  <c r="AD439" i="19" s="1"/>
  <c r="T436" i="19"/>
  <c r="AD436" i="19" s="1"/>
  <c r="T427" i="19"/>
  <c r="AD427" i="19" s="1"/>
  <c r="T418" i="19"/>
  <c r="AD418" i="19" s="1"/>
  <c r="T417" i="19"/>
  <c r="AD417" i="19" s="1"/>
  <c r="T402" i="19"/>
  <c r="AD402" i="19" s="1"/>
  <c r="T401" i="19"/>
  <c r="AD401" i="19" s="1"/>
  <c r="T372" i="19"/>
  <c r="AD372" i="19" s="1"/>
  <c r="T370" i="19"/>
  <c r="AD370" i="19" s="1"/>
  <c r="T368" i="19"/>
  <c r="AD368" i="19" s="1"/>
  <c r="T366" i="19"/>
  <c r="AD366" i="19" s="1"/>
  <c r="T364" i="19"/>
  <c r="AD364" i="19" s="1"/>
  <c r="T362" i="19"/>
  <c r="AD362" i="19" s="1"/>
  <c r="T360" i="19"/>
  <c r="AD360" i="19" s="1"/>
  <c r="T358" i="19"/>
  <c r="AD358" i="19" s="1"/>
  <c r="T356" i="19"/>
  <c r="AD356" i="19" s="1"/>
  <c r="T354" i="19"/>
  <c r="AD354" i="19" s="1"/>
  <c r="T352" i="19"/>
  <c r="AD352" i="19" s="1"/>
  <c r="T350" i="19"/>
  <c r="AD350" i="19" s="1"/>
  <c r="T348" i="19"/>
  <c r="AD348" i="19" s="1"/>
  <c r="T346" i="19"/>
  <c r="AD346" i="19" s="1"/>
  <c r="T344" i="19"/>
  <c r="AD344" i="19" s="1"/>
  <c r="T342" i="19"/>
  <c r="AD342" i="19" s="1"/>
  <c r="T340" i="19"/>
  <c r="AD340" i="19" s="1"/>
  <c r="T338" i="19"/>
  <c r="AD338" i="19" s="1"/>
  <c r="T336" i="19"/>
  <c r="AD336" i="19" s="1"/>
  <c r="T334" i="19"/>
  <c r="AD334" i="19" s="1"/>
  <c r="T332" i="19"/>
  <c r="AD332" i="19" s="1"/>
  <c r="T330" i="19"/>
  <c r="AD330" i="19" s="1"/>
  <c r="T328" i="19"/>
  <c r="AD328" i="19" s="1"/>
  <c r="T326" i="19"/>
  <c r="AD326" i="19" s="1"/>
  <c r="T324" i="19"/>
  <c r="AD324" i="19" s="1"/>
  <c r="T322" i="19"/>
  <c r="AD322" i="19" s="1"/>
  <c r="T320" i="19"/>
  <c r="AD320" i="19" s="1"/>
  <c r="T577" i="19"/>
  <c r="AD577" i="19" s="1"/>
  <c r="T514" i="19"/>
  <c r="AD514" i="19" s="1"/>
  <c r="T498" i="19"/>
  <c r="AD498" i="19" s="1"/>
  <c r="T485" i="19"/>
  <c r="AD485" i="19" s="1"/>
  <c r="T480" i="19"/>
  <c r="AD480" i="19" s="1"/>
  <c r="T456" i="19"/>
  <c r="AD456" i="19" s="1"/>
  <c r="T442" i="19"/>
  <c r="AD442" i="19" s="1"/>
  <c r="T438" i="19"/>
  <c r="AD438" i="19" s="1"/>
  <c r="T426" i="19"/>
  <c r="AD426" i="19" s="1"/>
  <c r="T412" i="19"/>
  <c r="AD412" i="19" s="1"/>
  <c r="T411" i="19"/>
  <c r="AD411" i="19" s="1"/>
  <c r="T396" i="19"/>
  <c r="AD396" i="19" s="1"/>
  <c r="T391" i="19"/>
  <c r="AD391" i="19" s="1"/>
  <c r="T388" i="19"/>
  <c r="AD388" i="19" s="1"/>
  <c r="T383" i="19"/>
  <c r="AD383" i="19" s="1"/>
  <c r="T380" i="19"/>
  <c r="AD380" i="19" s="1"/>
  <c r="T375" i="19"/>
  <c r="AD375" i="19" s="1"/>
  <c r="T560" i="19"/>
  <c r="AD560" i="19" s="1"/>
  <c r="T463" i="19"/>
  <c r="AD463" i="19" s="1"/>
  <c r="T458" i="19"/>
  <c r="AD458" i="19" s="1"/>
  <c r="T451" i="19"/>
  <c r="AD451" i="19" s="1"/>
  <c r="T448" i="19"/>
  <c r="AD448" i="19" s="1"/>
  <c r="T443" i="19"/>
  <c r="AD443" i="19" s="1"/>
  <c r="T428" i="19"/>
  <c r="AD428" i="19" s="1"/>
  <c r="T406" i="19"/>
  <c r="AD406" i="19" s="1"/>
  <c r="T405" i="19"/>
  <c r="AD405" i="19" s="1"/>
  <c r="T459" i="19"/>
  <c r="AD459" i="19" s="1"/>
  <c r="T452" i="19"/>
  <c r="AD452" i="19" s="1"/>
  <c r="T447" i="19"/>
  <c r="AD447" i="19" s="1"/>
  <c r="T409" i="19"/>
  <c r="AD409" i="19" s="1"/>
  <c r="T404" i="19"/>
  <c r="AD404" i="19" s="1"/>
  <c r="T385" i="19"/>
  <c r="AD385" i="19" s="1"/>
  <c r="T382" i="19"/>
  <c r="AD382" i="19" s="1"/>
  <c r="T371" i="19"/>
  <c r="AD371" i="19" s="1"/>
  <c r="T502" i="19"/>
  <c r="AD502" i="19" s="1"/>
  <c r="T486" i="19"/>
  <c r="AD486" i="19" s="1"/>
  <c r="T473" i="19"/>
  <c r="AD473" i="19" s="1"/>
  <c r="T460" i="19"/>
  <c r="AD460" i="19" s="1"/>
  <c r="T444" i="19"/>
  <c r="AD444" i="19" s="1"/>
  <c r="T441" i="19"/>
  <c r="AD441" i="19" s="1"/>
  <c r="T440" i="19"/>
  <c r="AD440" i="19" s="1"/>
  <c r="T435" i="19"/>
  <c r="AD435" i="19" s="1"/>
  <c r="T425" i="19"/>
  <c r="AD425" i="19" s="1"/>
  <c r="T420" i="19"/>
  <c r="AD420" i="19" s="1"/>
  <c r="T394" i="19"/>
  <c r="AD394" i="19" s="1"/>
  <c r="T489" i="19"/>
  <c r="AD489" i="19" s="1"/>
  <c r="T476" i="19"/>
  <c r="AD476" i="19" s="1"/>
  <c r="T468" i="19"/>
  <c r="AD468" i="19" s="1"/>
  <c r="T416" i="19"/>
  <c r="AD416" i="19" s="1"/>
  <c r="T397" i="19"/>
  <c r="AD397" i="19" s="1"/>
  <c r="T395" i="19"/>
  <c r="AD395" i="19" s="1"/>
  <c r="T392" i="19"/>
  <c r="AD392" i="19" s="1"/>
  <c r="T582" i="19"/>
  <c r="AD582" i="19" s="1"/>
  <c r="T525" i="19"/>
  <c r="AD525" i="19" s="1"/>
  <c r="T512" i="19"/>
  <c r="AD512" i="19" s="1"/>
  <c r="T491" i="19"/>
  <c r="AD491" i="19" s="1"/>
  <c r="T474" i="19"/>
  <c r="AD474" i="19" s="1"/>
  <c r="T454" i="19"/>
  <c r="AD454" i="19" s="1"/>
  <c r="T432" i="19"/>
  <c r="AD432" i="19" s="1"/>
  <c r="T424" i="19"/>
  <c r="AD424" i="19" s="1"/>
  <c r="T400" i="19"/>
  <c r="AD400" i="19" s="1"/>
  <c r="T389" i="19"/>
  <c r="AD389" i="19" s="1"/>
  <c r="T387" i="19"/>
  <c r="AD387" i="19" s="1"/>
  <c r="T355" i="19"/>
  <c r="AD355" i="19" s="1"/>
  <c r="T339" i="19"/>
  <c r="AD339" i="19" s="1"/>
  <c r="T323" i="19"/>
  <c r="AD323" i="19" s="1"/>
  <c r="T262" i="19"/>
  <c r="AD262" i="19" s="1"/>
  <c r="T261" i="19"/>
  <c r="AD261" i="19" s="1"/>
  <c r="T256" i="19"/>
  <c r="AD256" i="19" s="1"/>
  <c r="T254" i="19"/>
  <c r="AD254" i="19" s="1"/>
  <c r="T252" i="19"/>
  <c r="AD252" i="19" s="1"/>
  <c r="T250" i="19"/>
  <c r="AD250" i="19" s="1"/>
  <c r="T248" i="19"/>
  <c r="AD248" i="19" s="1"/>
  <c r="T246" i="19"/>
  <c r="AD246" i="19" s="1"/>
  <c r="T559" i="19"/>
  <c r="AD559" i="19" s="1"/>
  <c r="T516" i="19"/>
  <c r="AD516" i="19" s="1"/>
  <c r="T470" i="19"/>
  <c r="AD470" i="19" s="1"/>
  <c r="T437" i="19"/>
  <c r="AD437" i="19" s="1"/>
  <c r="T408" i="19"/>
  <c r="AD408" i="19" s="1"/>
  <c r="T359" i="19"/>
  <c r="AD359" i="19" s="1"/>
  <c r="T343" i="19"/>
  <c r="AD343" i="19" s="1"/>
  <c r="T327" i="19"/>
  <c r="AD327" i="19" s="1"/>
  <c r="T584" i="19"/>
  <c r="AD584" i="19" s="1"/>
  <c r="T539" i="19"/>
  <c r="AD539" i="19" s="1"/>
  <c r="T500" i="19"/>
  <c r="AD500" i="19" s="1"/>
  <c r="T431" i="19"/>
  <c r="AD431" i="19" s="1"/>
  <c r="T423" i="19"/>
  <c r="AD423" i="19" s="1"/>
  <c r="T527" i="19"/>
  <c r="AD527" i="19" s="1"/>
  <c r="T492" i="19"/>
  <c r="AD492" i="19" s="1"/>
  <c r="T414" i="19"/>
  <c r="AD414" i="19" s="1"/>
  <c r="T378" i="19"/>
  <c r="AD378" i="19" s="1"/>
  <c r="T377" i="19"/>
  <c r="AD377" i="19" s="1"/>
  <c r="T398" i="19"/>
  <c r="AD398" i="19" s="1"/>
  <c r="T369" i="19"/>
  <c r="AD369" i="19" s="1"/>
  <c r="T367" i="19"/>
  <c r="AD367" i="19" s="1"/>
  <c r="T331" i="19"/>
  <c r="AD331" i="19" s="1"/>
  <c r="T299" i="19"/>
  <c r="AD299" i="19" s="1"/>
  <c r="T296" i="19"/>
  <c r="AD296" i="19" s="1"/>
  <c r="T569" i="19"/>
  <c r="AD569" i="19" s="1"/>
  <c r="T490" i="19"/>
  <c r="AD490" i="19" s="1"/>
  <c r="T475" i="19"/>
  <c r="AD475" i="19" s="1"/>
  <c r="T457" i="19"/>
  <c r="AD457" i="19" s="1"/>
  <c r="T433" i="19"/>
  <c r="AD433" i="19" s="1"/>
  <c r="T381" i="19"/>
  <c r="AD381" i="19" s="1"/>
  <c r="T363" i="19"/>
  <c r="AD363" i="19" s="1"/>
  <c r="T349" i="19"/>
  <c r="AD349" i="19" s="1"/>
  <c r="T335" i="19"/>
  <c r="AD335" i="19" s="1"/>
  <c r="T422" i="19"/>
  <c r="AD422" i="19" s="1"/>
  <c r="T410" i="19"/>
  <c r="AD410" i="19" s="1"/>
  <c r="T379" i="19"/>
  <c r="AD379" i="19" s="1"/>
  <c r="T341" i="19"/>
  <c r="AD341" i="19" s="1"/>
  <c r="T318" i="19"/>
  <c r="AD318" i="19" s="1"/>
  <c r="T314" i="19"/>
  <c r="AD314" i="19" s="1"/>
  <c r="T311" i="19"/>
  <c r="AD311" i="19" s="1"/>
  <c r="T300" i="19"/>
  <c r="AD300" i="19" s="1"/>
  <c r="T273" i="19"/>
  <c r="AD273" i="19" s="1"/>
  <c r="T271" i="19"/>
  <c r="AD271" i="19" s="1"/>
  <c r="T270" i="19"/>
  <c r="AD270" i="19" s="1"/>
  <c r="T269" i="19"/>
  <c r="AD269" i="19" s="1"/>
  <c r="T268" i="19"/>
  <c r="AD268" i="19" s="1"/>
  <c r="T265" i="19"/>
  <c r="AD265" i="19" s="1"/>
  <c r="T259" i="19"/>
  <c r="AD259" i="19" s="1"/>
  <c r="T251" i="19"/>
  <c r="AD251" i="19" s="1"/>
  <c r="T221" i="19"/>
  <c r="AD221" i="19" s="1"/>
  <c r="T541" i="19"/>
  <c r="AD541" i="19" s="1"/>
  <c r="T421" i="19"/>
  <c r="AD421" i="19" s="1"/>
  <c r="T415" i="19"/>
  <c r="AD415" i="19" s="1"/>
  <c r="T393" i="19"/>
  <c r="AD393" i="19" s="1"/>
  <c r="T386" i="19"/>
  <c r="AD386" i="19" s="1"/>
  <c r="T376" i="19"/>
  <c r="AD376" i="19" s="1"/>
  <c r="T345" i="19"/>
  <c r="AD345" i="19" s="1"/>
  <c r="T315" i="19"/>
  <c r="AD315" i="19" s="1"/>
  <c r="T304" i="19"/>
  <c r="AD304" i="19" s="1"/>
  <c r="T297" i="19"/>
  <c r="AD297" i="19" s="1"/>
  <c r="T275" i="19"/>
  <c r="AD275" i="19" s="1"/>
  <c r="T272" i="19"/>
  <c r="AD272" i="19" s="1"/>
  <c r="T249" i="19"/>
  <c r="AD249" i="19" s="1"/>
  <c r="T244" i="19"/>
  <c r="AD244" i="19" s="1"/>
  <c r="T242" i="19"/>
  <c r="AD242" i="19" s="1"/>
  <c r="T240" i="19"/>
  <c r="AD240" i="19" s="1"/>
  <c r="T238" i="19"/>
  <c r="AD238" i="19" s="1"/>
  <c r="T236" i="19"/>
  <c r="AD236" i="19" s="1"/>
  <c r="T234" i="19"/>
  <c r="AD234" i="19" s="1"/>
  <c r="T232" i="19"/>
  <c r="AD232" i="19" s="1"/>
  <c r="T230" i="19"/>
  <c r="AD230" i="19" s="1"/>
  <c r="T228" i="19"/>
  <c r="AD228" i="19" s="1"/>
  <c r="T226" i="19"/>
  <c r="AD226" i="19" s="1"/>
  <c r="T219" i="19"/>
  <c r="AD219" i="19" s="1"/>
  <c r="T551" i="19"/>
  <c r="AD551" i="19" s="1"/>
  <c r="T407" i="19"/>
  <c r="AD407" i="19" s="1"/>
  <c r="T353" i="19"/>
  <c r="AD353" i="19" s="1"/>
  <c r="T308" i="19"/>
  <c r="AD308" i="19" s="1"/>
  <c r="T305" i="19"/>
  <c r="AD305" i="19" s="1"/>
  <c r="T301" i="19"/>
  <c r="AD301" i="19" s="1"/>
  <c r="T281" i="19"/>
  <c r="AD281" i="19" s="1"/>
  <c r="T279" i="19"/>
  <c r="AD279" i="19" s="1"/>
  <c r="T278" i="19"/>
  <c r="AD278" i="19" s="1"/>
  <c r="T277" i="19"/>
  <c r="AD277" i="19" s="1"/>
  <c r="T276" i="19"/>
  <c r="AD276" i="19" s="1"/>
  <c r="T274" i="19"/>
  <c r="AD274" i="19" s="1"/>
  <c r="T247" i="19"/>
  <c r="AD247" i="19" s="1"/>
  <c r="T224" i="19"/>
  <c r="AD224" i="19" s="1"/>
  <c r="T479" i="19"/>
  <c r="AD479" i="19" s="1"/>
  <c r="T413" i="19"/>
  <c r="AD413" i="19" s="1"/>
  <c r="T390" i="19"/>
  <c r="AD390" i="19" s="1"/>
  <c r="T374" i="19"/>
  <c r="AD374" i="19" s="1"/>
  <c r="T365" i="19"/>
  <c r="AD365" i="19" s="1"/>
  <c r="T312" i="19"/>
  <c r="AD312" i="19" s="1"/>
  <c r="T293" i="19"/>
  <c r="AD293" i="19" s="1"/>
  <c r="T284" i="19"/>
  <c r="AD284" i="19" s="1"/>
  <c r="T266" i="19"/>
  <c r="AD266" i="19" s="1"/>
  <c r="T263" i="19"/>
  <c r="AD263" i="19" s="1"/>
  <c r="T260" i="19"/>
  <c r="AD260" i="19" s="1"/>
  <c r="T253" i="19"/>
  <c r="AD253" i="19" s="1"/>
  <c r="T231" i="19"/>
  <c r="AD231" i="19" s="1"/>
  <c r="T361" i="19"/>
  <c r="AD361" i="19" s="1"/>
  <c r="T357" i="19"/>
  <c r="AD357" i="19" s="1"/>
  <c r="T298" i="19"/>
  <c r="AD298" i="19" s="1"/>
  <c r="T288" i="19"/>
  <c r="AD288" i="19" s="1"/>
  <c r="T283" i="19"/>
  <c r="AD283" i="19" s="1"/>
  <c r="T255" i="19"/>
  <c r="AD255" i="19" s="1"/>
  <c r="T241" i="19"/>
  <c r="AD241" i="19" s="1"/>
  <c r="T225" i="19"/>
  <c r="AD225" i="19" s="1"/>
  <c r="T484" i="19"/>
  <c r="AD484" i="19" s="1"/>
  <c r="T455" i="19"/>
  <c r="AD455" i="19" s="1"/>
  <c r="T419" i="19"/>
  <c r="AD419" i="19" s="1"/>
  <c r="T337" i="19"/>
  <c r="AD337" i="19" s="1"/>
  <c r="T306" i="19"/>
  <c r="AD306" i="19" s="1"/>
  <c r="T233" i="19"/>
  <c r="AD233" i="19" s="1"/>
  <c r="T223" i="19"/>
  <c r="AD223" i="19" s="1"/>
  <c r="T403" i="19"/>
  <c r="AD403" i="19" s="1"/>
  <c r="T317" i="19"/>
  <c r="AD317" i="19" s="1"/>
  <c r="T302" i="19"/>
  <c r="AD302" i="19" s="1"/>
  <c r="T351" i="19"/>
  <c r="AD351" i="19" s="1"/>
  <c r="T309" i="19"/>
  <c r="AD309" i="19" s="1"/>
  <c r="T235" i="19"/>
  <c r="AD235" i="19" s="1"/>
  <c r="T227" i="19"/>
  <c r="AD227" i="19" s="1"/>
  <c r="T303" i="19"/>
  <c r="AD303" i="19" s="1"/>
  <c r="T289" i="19"/>
  <c r="AD289" i="19" s="1"/>
  <c r="T280" i="19"/>
  <c r="AD280" i="19" s="1"/>
  <c r="T243" i="19"/>
  <c r="AD243" i="19" s="1"/>
  <c r="T434" i="19"/>
  <c r="AD434" i="19" s="1"/>
  <c r="T347" i="19"/>
  <c r="AD347" i="19" s="1"/>
  <c r="T292" i="19"/>
  <c r="AD292" i="19" s="1"/>
  <c r="T258" i="19"/>
  <c r="AD258" i="19" s="1"/>
  <c r="T257" i="19"/>
  <c r="AD257" i="19" s="1"/>
  <c r="T222" i="19"/>
  <c r="AD222" i="19" s="1"/>
  <c r="T467" i="19"/>
  <c r="AD467" i="19" s="1"/>
  <c r="T453" i="19"/>
  <c r="AD453" i="19" s="1"/>
  <c r="T321" i="19"/>
  <c r="AD321" i="19" s="1"/>
  <c r="T319" i="19"/>
  <c r="AD319" i="19" s="1"/>
  <c r="T316" i="19"/>
  <c r="AD316" i="19" s="1"/>
  <c r="T313" i="19"/>
  <c r="AD313" i="19" s="1"/>
  <c r="T310" i="19"/>
  <c r="AD310" i="19" s="1"/>
  <c r="T294" i="19"/>
  <c r="AD294" i="19" s="1"/>
  <c r="T267" i="19"/>
  <c r="AD267" i="19" s="1"/>
  <c r="T245" i="19"/>
  <c r="AD245" i="19" s="1"/>
  <c r="T237" i="19"/>
  <c r="AD237" i="19" s="1"/>
  <c r="T325" i="19"/>
  <c r="AD325" i="19" s="1"/>
  <c r="T307" i="19"/>
  <c r="AD307" i="19" s="1"/>
  <c r="T290" i="19"/>
  <c r="AD290" i="19" s="1"/>
  <c r="T286" i="19"/>
  <c r="AD286" i="19" s="1"/>
  <c r="T295" i="19"/>
  <c r="AD295" i="19" s="1"/>
  <c r="T229" i="19"/>
  <c r="AD229" i="19" s="1"/>
  <c r="T333" i="19"/>
  <c r="AD333" i="19" s="1"/>
  <c r="T264" i="19"/>
  <c r="AD264" i="19" s="1"/>
  <c r="T220" i="19"/>
  <c r="AD220" i="19" s="1"/>
  <c r="T384" i="19"/>
  <c r="AD384" i="19" s="1"/>
  <c r="T329" i="19"/>
  <c r="AD329" i="19" s="1"/>
  <c r="T291" i="19"/>
  <c r="AD291" i="19" s="1"/>
  <c r="T239" i="19"/>
  <c r="AD239" i="19" s="1"/>
  <c r="T399" i="19"/>
  <c r="AD399" i="19" s="1"/>
  <c r="T285" i="19"/>
  <c r="AD285" i="19" s="1"/>
  <c r="T282" i="19"/>
  <c r="AD282" i="19" s="1"/>
  <c r="T287" i="19"/>
  <c r="AD287" i="19" s="1"/>
  <c r="T373" i="19"/>
  <c r="AD373" i="19" s="1"/>
  <c r="J579" i="19"/>
  <c r="J578" i="19"/>
  <c r="J563" i="19"/>
  <c r="J562" i="19"/>
  <c r="J547" i="19"/>
  <c r="J546" i="19"/>
  <c r="J569" i="19"/>
  <c r="J566" i="19"/>
  <c r="J560" i="19"/>
  <c r="J581" i="19"/>
  <c r="J575" i="19"/>
  <c r="J572" i="19"/>
  <c r="J567" i="19"/>
  <c r="J545" i="19"/>
  <c r="J536" i="19"/>
  <c r="J535" i="19"/>
  <c r="J580" i="19"/>
  <c r="J561" i="19"/>
  <c r="J550" i="19"/>
  <c r="J532" i="19"/>
  <c r="J531" i="19"/>
  <c r="J577" i="19"/>
  <c r="J568" i="19"/>
  <c r="J555" i="19"/>
  <c r="J529" i="19"/>
  <c r="J526" i="19"/>
  <c r="J510" i="19"/>
  <c r="J509" i="19"/>
  <c r="J494" i="19"/>
  <c r="J492" i="19"/>
  <c r="J490" i="19"/>
  <c r="J488" i="19"/>
  <c r="J486" i="19"/>
  <c r="J484" i="19"/>
  <c r="J482" i="19"/>
  <c r="J480" i="19"/>
  <c r="J478" i="19"/>
  <c r="J476" i="19"/>
  <c r="J474" i="19"/>
  <c r="J472" i="19"/>
  <c r="J470" i="19"/>
  <c r="J468" i="19"/>
  <c r="J466" i="19"/>
  <c r="J464" i="19"/>
  <c r="J462" i="19"/>
  <c r="J460" i="19"/>
  <c r="J458" i="19"/>
  <c r="J456" i="19"/>
  <c r="J454" i="19"/>
  <c r="J452" i="19"/>
  <c r="J450" i="19"/>
  <c r="J448" i="19"/>
  <c r="J446" i="19"/>
  <c r="J444" i="19"/>
  <c r="J442" i="19"/>
  <c r="J440" i="19"/>
  <c r="J438" i="19"/>
  <c r="J436" i="19"/>
  <c r="J434" i="19"/>
  <c r="J432" i="19"/>
  <c r="J430" i="19"/>
  <c r="J428" i="19"/>
  <c r="J426" i="19"/>
  <c r="J424" i="19"/>
  <c r="J422" i="19"/>
  <c r="J420" i="19"/>
  <c r="J418" i="19"/>
  <c r="J416" i="19"/>
  <c r="J414" i="19"/>
  <c r="J412" i="19"/>
  <c r="J410" i="19"/>
  <c r="J408" i="19"/>
  <c r="J406" i="19"/>
  <c r="J404" i="19"/>
  <c r="J402" i="19"/>
  <c r="J400" i="19"/>
  <c r="J398" i="19"/>
  <c r="J396" i="19"/>
  <c r="J394" i="19"/>
  <c r="J392" i="19"/>
  <c r="J390" i="19"/>
  <c r="J388" i="19"/>
  <c r="J386" i="19"/>
  <c r="J384" i="19"/>
  <c r="J382" i="19"/>
  <c r="J380" i="19"/>
  <c r="J378" i="19"/>
  <c r="J376" i="19"/>
  <c r="J374" i="19"/>
  <c r="J564" i="19"/>
  <c r="J553" i="19"/>
  <c r="J539" i="19"/>
  <c r="J508" i="19"/>
  <c r="J507" i="19"/>
  <c r="J573" i="19"/>
  <c r="J558" i="19"/>
  <c r="J551" i="19"/>
  <c r="J542" i="19"/>
  <c r="J525" i="19"/>
  <c r="J523" i="19"/>
  <c r="J522" i="19"/>
  <c r="J521" i="19"/>
  <c r="J506" i="19"/>
  <c r="J505" i="19"/>
  <c r="J582" i="19"/>
  <c r="J556" i="19"/>
  <c r="J552" i="19"/>
  <c r="J544" i="19"/>
  <c r="J541" i="19"/>
  <c r="J499" i="19"/>
  <c r="J498" i="19"/>
  <c r="J481" i="19"/>
  <c r="J465" i="19"/>
  <c r="J449" i="19"/>
  <c r="J433" i="19"/>
  <c r="J584" i="19"/>
  <c r="J557" i="19"/>
  <c r="J534" i="19"/>
  <c r="J527" i="19"/>
  <c r="J511" i="19"/>
  <c r="J501" i="19"/>
  <c r="J500" i="19"/>
  <c r="J491" i="19"/>
  <c r="J475" i="19"/>
  <c r="J459" i="19"/>
  <c r="J583" i="19"/>
  <c r="J559" i="19"/>
  <c r="J549" i="19"/>
  <c r="J548" i="19"/>
  <c r="J543" i="19"/>
  <c r="J513" i="19"/>
  <c r="J512" i="19"/>
  <c r="J503" i="19"/>
  <c r="J502" i="19"/>
  <c r="J485" i="19"/>
  <c r="J469" i="19"/>
  <c r="J453" i="19"/>
  <c r="J576" i="19"/>
  <c r="J574" i="19"/>
  <c r="J570" i="19"/>
  <c r="J565" i="19"/>
  <c r="J528" i="19"/>
  <c r="J516" i="19"/>
  <c r="J487" i="19"/>
  <c r="J473" i="19"/>
  <c r="J431" i="19"/>
  <c r="J405" i="19"/>
  <c r="J391" i="19"/>
  <c r="J383" i="19"/>
  <c r="J375" i="19"/>
  <c r="J571" i="19"/>
  <c r="J515" i="19"/>
  <c r="J496" i="19"/>
  <c r="J489" i="19"/>
  <c r="J441" i="19"/>
  <c r="J421" i="19"/>
  <c r="J415" i="19"/>
  <c r="J399" i="19"/>
  <c r="J372" i="19"/>
  <c r="J370" i="19"/>
  <c r="J368" i="19"/>
  <c r="J366" i="19"/>
  <c r="J364" i="19"/>
  <c r="J362" i="19"/>
  <c r="J360" i="19"/>
  <c r="J358" i="19"/>
  <c r="J356" i="19"/>
  <c r="J354" i="19"/>
  <c r="J352" i="19"/>
  <c r="J350" i="19"/>
  <c r="J348" i="19"/>
  <c r="J346" i="19"/>
  <c r="J344" i="19"/>
  <c r="J342" i="19"/>
  <c r="J340" i="19"/>
  <c r="J338" i="19"/>
  <c r="J336" i="19"/>
  <c r="J334" i="19"/>
  <c r="J332" i="19"/>
  <c r="J330" i="19"/>
  <c r="J328" i="19"/>
  <c r="J326" i="19"/>
  <c r="J324" i="19"/>
  <c r="J322" i="19"/>
  <c r="J320" i="19"/>
  <c r="J318" i="19"/>
  <c r="J316" i="19"/>
  <c r="J314" i="19"/>
  <c r="J312" i="19"/>
  <c r="J310" i="19"/>
  <c r="J308" i="19"/>
  <c r="J306" i="19"/>
  <c r="J304" i="19"/>
  <c r="J302" i="19"/>
  <c r="J300" i="19"/>
  <c r="J298" i="19"/>
  <c r="J296" i="19"/>
  <c r="J294" i="19"/>
  <c r="J292" i="19"/>
  <c r="J290" i="19"/>
  <c r="J288" i="19"/>
  <c r="J286" i="19"/>
  <c r="J284" i="19"/>
  <c r="J282" i="19"/>
  <c r="J280" i="19"/>
  <c r="J278" i="19"/>
  <c r="J276" i="19"/>
  <c r="J274" i="19"/>
  <c r="J272" i="19"/>
  <c r="J270" i="19"/>
  <c r="J554" i="19"/>
  <c r="J520" i="19"/>
  <c r="J504" i="19"/>
  <c r="J495" i="19"/>
  <c r="J467" i="19"/>
  <c r="J455" i="19"/>
  <c r="J447" i="19"/>
  <c r="J409" i="19"/>
  <c r="J389" i="19"/>
  <c r="J381" i="19"/>
  <c r="J540" i="19"/>
  <c r="J477" i="19"/>
  <c r="J437" i="19"/>
  <c r="J427" i="19"/>
  <c r="J413" i="19"/>
  <c r="J395" i="19"/>
  <c r="J533" i="19"/>
  <c r="J457" i="19"/>
  <c r="J518" i="19"/>
  <c r="J443" i="19"/>
  <c r="J401" i="19"/>
  <c r="J445" i="19"/>
  <c r="J439" i="19"/>
  <c r="J419" i="19"/>
  <c r="J411" i="19"/>
  <c r="J359" i="19"/>
  <c r="J343" i="19"/>
  <c r="J327" i="19"/>
  <c r="J315" i="19"/>
  <c r="J307" i="19"/>
  <c r="J299" i="19"/>
  <c r="J291" i="19"/>
  <c r="J283" i="19"/>
  <c r="J275" i="19"/>
  <c r="J262" i="19"/>
  <c r="J261" i="19"/>
  <c r="J497" i="19"/>
  <c r="J407" i="19"/>
  <c r="J363" i="19"/>
  <c r="J347" i="19"/>
  <c r="J331" i="19"/>
  <c r="J313" i="19"/>
  <c r="J305" i="19"/>
  <c r="J297" i="19"/>
  <c r="J289" i="19"/>
  <c r="J281" i="19"/>
  <c r="J273" i="19"/>
  <c r="J524" i="19"/>
  <c r="J537" i="19"/>
  <c r="J519" i="19"/>
  <c r="J483" i="19"/>
  <c r="J403" i="19"/>
  <c r="J397" i="19"/>
  <c r="J393" i="19"/>
  <c r="J471" i="19"/>
  <c r="J451" i="19"/>
  <c r="J335" i="19"/>
  <c r="J321" i="19"/>
  <c r="J311" i="19"/>
  <c r="J309" i="19"/>
  <c r="J517" i="19"/>
  <c r="J367" i="19"/>
  <c r="J353" i="19"/>
  <c r="J339" i="19"/>
  <c r="J493" i="19"/>
  <c r="J429" i="19"/>
  <c r="J371" i="19"/>
  <c r="J365" i="19"/>
  <c r="J251" i="19"/>
  <c r="J250" i="19"/>
  <c r="J514" i="19"/>
  <c r="J425" i="19"/>
  <c r="J385" i="19"/>
  <c r="J379" i="19"/>
  <c r="J369" i="19"/>
  <c r="J351" i="19"/>
  <c r="J325" i="19"/>
  <c r="J287" i="19"/>
  <c r="J285" i="19"/>
  <c r="J249" i="19"/>
  <c r="J248" i="19"/>
  <c r="J221" i="19"/>
  <c r="J463" i="19"/>
  <c r="J435" i="19"/>
  <c r="J355" i="19"/>
  <c r="J329" i="19"/>
  <c r="J317" i="19"/>
  <c r="J266" i="19"/>
  <c r="J263" i="19"/>
  <c r="J260" i="19"/>
  <c r="J247" i="19"/>
  <c r="J246" i="19"/>
  <c r="J244" i="19"/>
  <c r="J242" i="19"/>
  <c r="J240" i="19"/>
  <c r="J238" i="19"/>
  <c r="J236" i="19"/>
  <c r="J234" i="19"/>
  <c r="J232" i="19"/>
  <c r="J230" i="19"/>
  <c r="J228" i="19"/>
  <c r="J226" i="19"/>
  <c r="J219" i="19"/>
  <c r="J530" i="19"/>
  <c r="J423" i="19"/>
  <c r="J303" i="19"/>
  <c r="J264" i="19"/>
  <c r="J258" i="19"/>
  <c r="J235" i="19"/>
  <c r="J224" i="19"/>
  <c r="J220" i="19"/>
  <c r="J479" i="19"/>
  <c r="J417" i="19"/>
  <c r="J277" i="19"/>
  <c r="J245" i="19"/>
  <c r="J229" i="19"/>
  <c r="J377" i="19"/>
  <c r="J349" i="19"/>
  <c r="J345" i="19"/>
  <c r="J341" i="19"/>
  <c r="J323" i="19"/>
  <c r="J279" i="19"/>
  <c r="J254" i="19"/>
  <c r="J253" i="19"/>
  <c r="J237" i="19"/>
  <c r="J337" i="19"/>
  <c r="J333" i="19"/>
  <c r="J301" i="19"/>
  <c r="J295" i="19"/>
  <c r="J268" i="19"/>
  <c r="J267" i="19"/>
  <c r="J255" i="19"/>
  <c r="J239" i="19"/>
  <c r="J231" i="19"/>
  <c r="J223" i="19"/>
  <c r="J259" i="19"/>
  <c r="J461" i="19"/>
  <c r="J387" i="19"/>
  <c r="J373" i="19"/>
  <c r="J269" i="19"/>
  <c r="J265" i="19"/>
  <c r="J361" i="19"/>
  <c r="J257" i="19"/>
  <c r="J252" i="19"/>
  <c r="J241" i="19"/>
  <c r="J222" i="19"/>
  <c r="J538" i="19"/>
  <c r="J256" i="19"/>
  <c r="J227" i="19"/>
  <c r="J319" i="19"/>
  <c r="J233" i="19"/>
  <c r="J293" i="19"/>
  <c r="J225" i="19"/>
  <c r="J357" i="19"/>
  <c r="J243" i="19"/>
  <c r="J271" i="19"/>
  <c r="F570" i="19"/>
  <c r="F569" i="19"/>
  <c r="F554" i="19"/>
  <c r="F553" i="19"/>
  <c r="F574" i="19"/>
  <c r="F571" i="19"/>
  <c r="F568" i="19"/>
  <c r="F565" i="19"/>
  <c r="F546" i="19"/>
  <c r="F576" i="19"/>
  <c r="F573" i="19"/>
  <c r="F567" i="19"/>
  <c r="F572" i="19"/>
  <c r="F552" i="19"/>
  <c r="F543" i="19"/>
  <c r="F542" i="19"/>
  <c r="F527" i="19"/>
  <c r="F526" i="19"/>
  <c r="F584" i="19"/>
  <c r="F566" i="19"/>
  <c r="F548" i="19"/>
  <c r="F539" i="19"/>
  <c r="F538" i="19"/>
  <c r="F583" i="19"/>
  <c r="F581" i="19"/>
  <c r="F559" i="19"/>
  <c r="F549" i="19"/>
  <c r="F537" i="19"/>
  <c r="F524" i="19"/>
  <c r="F517" i="19"/>
  <c r="F516" i="19"/>
  <c r="F501" i="19"/>
  <c r="F500" i="19"/>
  <c r="F493" i="19"/>
  <c r="F491" i="19"/>
  <c r="F489" i="19"/>
  <c r="F487" i="19"/>
  <c r="F485" i="19"/>
  <c r="F483" i="19"/>
  <c r="F481" i="19"/>
  <c r="F479" i="19"/>
  <c r="F477" i="19"/>
  <c r="F475" i="19"/>
  <c r="F473" i="19"/>
  <c r="F471" i="19"/>
  <c r="F469" i="19"/>
  <c r="F467" i="19"/>
  <c r="F465" i="19"/>
  <c r="F463" i="19"/>
  <c r="F461" i="19"/>
  <c r="F459" i="19"/>
  <c r="F457" i="19"/>
  <c r="F455" i="19"/>
  <c r="F453" i="19"/>
  <c r="F451" i="19"/>
  <c r="F449" i="19"/>
  <c r="F447" i="19"/>
  <c r="F445" i="19"/>
  <c r="F443" i="19"/>
  <c r="F441" i="19"/>
  <c r="F439" i="19"/>
  <c r="F437" i="19"/>
  <c r="F435" i="19"/>
  <c r="F433" i="19"/>
  <c r="F431" i="19"/>
  <c r="F429" i="19"/>
  <c r="F427" i="19"/>
  <c r="F425" i="19"/>
  <c r="F423" i="19"/>
  <c r="F421" i="19"/>
  <c r="F419" i="19"/>
  <c r="F417" i="19"/>
  <c r="F415" i="19"/>
  <c r="F413" i="19"/>
  <c r="F411" i="19"/>
  <c r="F409" i="19"/>
  <c r="F407" i="19"/>
  <c r="F405" i="19"/>
  <c r="F403" i="19"/>
  <c r="F401" i="19"/>
  <c r="F399" i="19"/>
  <c r="F397" i="19"/>
  <c r="F395" i="19"/>
  <c r="F393" i="19"/>
  <c r="F391" i="19"/>
  <c r="F389" i="19"/>
  <c r="F387" i="19"/>
  <c r="F385" i="19"/>
  <c r="F383" i="19"/>
  <c r="F381" i="19"/>
  <c r="F379" i="19"/>
  <c r="F377" i="19"/>
  <c r="F375" i="19"/>
  <c r="F557" i="19"/>
  <c r="F550" i="19"/>
  <c r="F545" i="19"/>
  <c r="F544" i="19"/>
  <c r="F540" i="19"/>
  <c r="F530" i="19"/>
  <c r="F515" i="19"/>
  <c r="F514" i="19"/>
  <c r="F499" i="19"/>
  <c r="F498" i="19"/>
  <c r="F579" i="19"/>
  <c r="F564" i="19"/>
  <c r="F555" i="19"/>
  <c r="F536" i="19"/>
  <c r="F533" i="19"/>
  <c r="F513" i="19"/>
  <c r="F512" i="19"/>
  <c r="F497" i="19"/>
  <c r="F496" i="19"/>
  <c r="F577" i="19"/>
  <c r="F551" i="19"/>
  <c r="F528" i="19"/>
  <c r="F518" i="19"/>
  <c r="F508" i="19"/>
  <c r="F507" i="19"/>
  <c r="F488" i="19"/>
  <c r="F472" i="19"/>
  <c r="F456" i="19"/>
  <c r="F440" i="19"/>
  <c r="F424" i="19"/>
  <c r="F578" i="19"/>
  <c r="F532" i="19"/>
  <c r="F520" i="19"/>
  <c r="F519" i="19"/>
  <c r="F510" i="19"/>
  <c r="F509" i="19"/>
  <c r="F482" i="19"/>
  <c r="F466" i="19"/>
  <c r="F582" i="19"/>
  <c r="F580" i="19"/>
  <c r="F525" i="19"/>
  <c r="F522" i="19"/>
  <c r="F521" i="19"/>
  <c r="F511" i="19"/>
  <c r="F492" i="19"/>
  <c r="F476" i="19"/>
  <c r="F460" i="19"/>
  <c r="F444" i="19"/>
  <c r="F563" i="19"/>
  <c r="F561" i="19"/>
  <c r="F502" i="19"/>
  <c r="F490" i="19"/>
  <c r="F454" i="19"/>
  <c r="F428" i="19"/>
  <c r="F412" i="19"/>
  <c r="F390" i="19"/>
  <c r="F382" i="19"/>
  <c r="F374" i="19"/>
  <c r="F468" i="19"/>
  <c r="F406" i="19"/>
  <c r="F373" i="19"/>
  <c r="F371" i="19"/>
  <c r="F369" i="19"/>
  <c r="F367" i="19"/>
  <c r="F365" i="19"/>
  <c r="F363" i="19"/>
  <c r="F361" i="19"/>
  <c r="F359" i="19"/>
  <c r="F357" i="19"/>
  <c r="F355" i="19"/>
  <c r="F353" i="19"/>
  <c r="F351" i="19"/>
  <c r="F349" i="19"/>
  <c r="F347" i="19"/>
  <c r="F345" i="19"/>
  <c r="F343" i="19"/>
  <c r="F341" i="19"/>
  <c r="F339" i="19"/>
  <c r="F337" i="19"/>
  <c r="F335" i="19"/>
  <c r="F333" i="19"/>
  <c r="F331" i="19"/>
  <c r="F329" i="19"/>
  <c r="F327" i="19"/>
  <c r="F325" i="19"/>
  <c r="F323" i="19"/>
  <c r="F321" i="19"/>
  <c r="F319" i="19"/>
  <c r="F317" i="19"/>
  <c r="F315" i="19"/>
  <c r="F313" i="19"/>
  <c r="F311" i="19"/>
  <c r="F309" i="19"/>
  <c r="F307" i="19"/>
  <c r="F305" i="19"/>
  <c r="F303" i="19"/>
  <c r="F301" i="19"/>
  <c r="F299" i="19"/>
  <c r="F297" i="19"/>
  <c r="F295" i="19"/>
  <c r="F293" i="19"/>
  <c r="F291" i="19"/>
  <c r="F289" i="19"/>
  <c r="F287" i="19"/>
  <c r="F285" i="19"/>
  <c r="F283" i="19"/>
  <c r="F281" i="19"/>
  <c r="F279" i="19"/>
  <c r="F277" i="19"/>
  <c r="F275" i="19"/>
  <c r="F273" i="19"/>
  <c r="F271" i="19"/>
  <c r="F269" i="19"/>
  <c r="F575" i="19"/>
  <c r="F535" i="19"/>
  <c r="F529" i="19"/>
  <c r="F506" i="19"/>
  <c r="F484" i="19"/>
  <c r="F470" i="19"/>
  <c r="F446" i="19"/>
  <c r="F430" i="19"/>
  <c r="F416" i="19"/>
  <c r="F400" i="19"/>
  <c r="F396" i="19"/>
  <c r="F388" i="19"/>
  <c r="F380" i="19"/>
  <c r="F523" i="19"/>
  <c r="F503" i="19"/>
  <c r="F386" i="19"/>
  <c r="F556" i="19"/>
  <c r="F547" i="19"/>
  <c r="F504" i="19"/>
  <c r="F464" i="19"/>
  <c r="F438" i="19"/>
  <c r="F432" i="19"/>
  <c r="F422" i="19"/>
  <c r="F408" i="19"/>
  <c r="F558" i="19"/>
  <c r="F480" i="19"/>
  <c r="F448" i="19"/>
  <c r="F436" i="19"/>
  <c r="F426" i="19"/>
  <c r="F418" i="19"/>
  <c r="F404" i="19"/>
  <c r="F442" i="19"/>
  <c r="F394" i="19"/>
  <c r="F392" i="19"/>
  <c r="F384" i="19"/>
  <c r="F372" i="19"/>
  <c r="F366" i="19"/>
  <c r="F350" i="19"/>
  <c r="F334" i="19"/>
  <c r="F314" i="19"/>
  <c r="F306" i="19"/>
  <c r="F298" i="19"/>
  <c r="F290" i="19"/>
  <c r="F282" i="19"/>
  <c r="F274" i="19"/>
  <c r="F268" i="19"/>
  <c r="F541" i="19"/>
  <c r="F534" i="19"/>
  <c r="F531" i="19"/>
  <c r="F420" i="19"/>
  <c r="F354" i="19"/>
  <c r="F338" i="19"/>
  <c r="F322" i="19"/>
  <c r="F312" i="19"/>
  <c r="F304" i="19"/>
  <c r="F296" i="19"/>
  <c r="F288" i="19"/>
  <c r="F280" i="19"/>
  <c r="F272" i="19"/>
  <c r="F562" i="19"/>
  <c r="F494" i="19"/>
  <c r="F486" i="19"/>
  <c r="F495" i="19"/>
  <c r="F474" i="19"/>
  <c r="F462" i="19"/>
  <c r="F362" i="19"/>
  <c r="F326" i="19"/>
  <c r="F302" i="19"/>
  <c r="F300" i="19"/>
  <c r="F450" i="19"/>
  <c r="F410" i="19"/>
  <c r="F376" i="19"/>
  <c r="F358" i="19"/>
  <c r="F344" i="19"/>
  <c r="F330" i="19"/>
  <c r="F398" i="19"/>
  <c r="F348" i="19"/>
  <c r="F308" i="19"/>
  <c r="F261" i="19"/>
  <c r="F258" i="19"/>
  <c r="F257" i="19"/>
  <c r="F222" i="19"/>
  <c r="F478" i="19"/>
  <c r="F352" i="19"/>
  <c r="F278" i="19"/>
  <c r="F276" i="19"/>
  <c r="F256" i="19"/>
  <c r="F255" i="19"/>
  <c r="F220" i="19"/>
  <c r="F370" i="19"/>
  <c r="F364" i="19"/>
  <c r="F360" i="19"/>
  <c r="F356" i="19"/>
  <c r="F316" i="19"/>
  <c r="F265" i="19"/>
  <c r="F262" i="19"/>
  <c r="F254" i="19"/>
  <c r="F253" i="19"/>
  <c r="F245" i="19"/>
  <c r="F243" i="19"/>
  <c r="F241" i="19"/>
  <c r="F239" i="19"/>
  <c r="F237" i="19"/>
  <c r="F235" i="19"/>
  <c r="F233" i="19"/>
  <c r="F231" i="19"/>
  <c r="F229" i="19"/>
  <c r="F227" i="19"/>
  <c r="F225" i="19"/>
  <c r="F434" i="19"/>
  <c r="F452" i="19"/>
  <c r="F368" i="19"/>
  <c r="F346" i="19"/>
  <c r="F342" i="19"/>
  <c r="F324" i="19"/>
  <c r="F286" i="19"/>
  <c r="F242" i="19"/>
  <c r="F226" i="19"/>
  <c r="F320" i="19"/>
  <c r="F318" i="19"/>
  <c r="F236" i="19"/>
  <c r="F221" i="19"/>
  <c r="F310" i="19"/>
  <c r="F252" i="19"/>
  <c r="F244" i="19"/>
  <c r="F228" i="19"/>
  <c r="F219" i="19"/>
  <c r="F458" i="19"/>
  <c r="F402" i="19"/>
  <c r="F264" i="19"/>
  <c r="F249" i="19"/>
  <c r="F505" i="19"/>
  <c r="F414" i="19"/>
  <c r="F263" i="19"/>
  <c r="F223" i="19"/>
  <c r="F560" i="19"/>
  <c r="F267" i="19"/>
  <c r="F266" i="19"/>
  <c r="F250" i="19"/>
  <c r="F240" i="19"/>
  <c r="F232" i="19"/>
  <c r="F224" i="19"/>
  <c r="F234" i="19"/>
  <c r="F336" i="19"/>
  <c r="F284" i="19"/>
  <c r="F247" i="19"/>
  <c r="F340" i="19"/>
  <c r="F230" i="19"/>
  <c r="F251" i="19"/>
  <c r="F378" i="19"/>
  <c r="F294" i="19"/>
  <c r="F238" i="19"/>
  <c r="F328" i="19"/>
  <c r="F270" i="19"/>
  <c r="F248" i="19"/>
  <c r="F259" i="19"/>
  <c r="F260" i="19"/>
  <c r="F292" i="19"/>
  <c r="F246" i="19"/>
  <c r="F332" i="19"/>
  <c r="P570" i="19"/>
  <c r="Z570" i="19" s="1"/>
  <c r="P569" i="19"/>
  <c r="Z569" i="19" s="1"/>
  <c r="P554" i="19"/>
  <c r="Z554" i="19" s="1"/>
  <c r="P553" i="19"/>
  <c r="Z553" i="19" s="1"/>
  <c r="P580" i="19"/>
  <c r="Z580" i="19" s="1"/>
  <c r="P577" i="19"/>
  <c r="Z577" i="19" s="1"/>
  <c r="P558" i="19"/>
  <c r="Z558" i="19" s="1"/>
  <c r="P555" i="19"/>
  <c r="Z555" i="19" s="1"/>
  <c r="P552" i="19"/>
  <c r="Z552" i="19" s="1"/>
  <c r="P549" i="19"/>
  <c r="Z549" i="19" s="1"/>
  <c r="P562" i="19"/>
  <c r="Z562" i="19" s="1"/>
  <c r="P559" i="19"/>
  <c r="Z559" i="19" s="1"/>
  <c r="P578" i="19"/>
  <c r="Z578" i="19" s="1"/>
  <c r="P560" i="19"/>
  <c r="Z560" i="19" s="1"/>
  <c r="P543" i="19"/>
  <c r="Z543" i="19" s="1"/>
  <c r="P542" i="19"/>
  <c r="Z542" i="19" s="1"/>
  <c r="P527" i="19"/>
  <c r="Z527" i="19" s="1"/>
  <c r="P526" i="19"/>
  <c r="Z526" i="19" s="1"/>
  <c r="P574" i="19"/>
  <c r="Z574" i="19" s="1"/>
  <c r="P573" i="19"/>
  <c r="Z573" i="19" s="1"/>
  <c r="P544" i="19"/>
  <c r="Z544" i="19" s="1"/>
  <c r="P539" i="19"/>
  <c r="Z539" i="19" s="1"/>
  <c r="P538" i="19"/>
  <c r="Z538" i="19" s="1"/>
  <c r="P524" i="19"/>
  <c r="Z524" i="19" s="1"/>
  <c r="P522" i="19"/>
  <c r="Z522" i="19" s="1"/>
  <c r="P520" i="19"/>
  <c r="Z520" i="19" s="1"/>
  <c r="P518" i="19"/>
  <c r="Z518" i="19" s="1"/>
  <c r="P516" i="19"/>
  <c r="Z516" i="19" s="1"/>
  <c r="P514" i="19"/>
  <c r="Z514" i="19" s="1"/>
  <c r="P512" i="19"/>
  <c r="Z512" i="19" s="1"/>
  <c r="P510" i="19"/>
  <c r="Z510" i="19" s="1"/>
  <c r="P508" i="19"/>
  <c r="Z508" i="19" s="1"/>
  <c r="P506" i="19"/>
  <c r="Z506" i="19" s="1"/>
  <c r="P504" i="19"/>
  <c r="Z504" i="19" s="1"/>
  <c r="P502" i="19"/>
  <c r="Z502" i="19" s="1"/>
  <c r="P500" i="19"/>
  <c r="Z500" i="19" s="1"/>
  <c r="P498" i="19"/>
  <c r="Z498" i="19" s="1"/>
  <c r="P496" i="19"/>
  <c r="Z496" i="19" s="1"/>
  <c r="P494" i="19"/>
  <c r="Z494" i="19" s="1"/>
  <c r="P584" i="19"/>
  <c r="Z584" i="19" s="1"/>
  <c r="P571" i="19"/>
  <c r="Z571" i="19" s="1"/>
  <c r="P528" i="19"/>
  <c r="Z528" i="19" s="1"/>
  <c r="P517" i="19"/>
  <c r="Z517" i="19" s="1"/>
  <c r="P501" i="19"/>
  <c r="Z501" i="19" s="1"/>
  <c r="P582" i="19"/>
  <c r="Z582" i="19" s="1"/>
  <c r="P567" i="19"/>
  <c r="Z567" i="19" s="1"/>
  <c r="P556" i="19"/>
  <c r="Z556" i="19" s="1"/>
  <c r="P548" i="19"/>
  <c r="Z548" i="19" s="1"/>
  <c r="P541" i="19"/>
  <c r="Z541" i="19" s="1"/>
  <c r="P534" i="19"/>
  <c r="Z534" i="19" s="1"/>
  <c r="P531" i="19"/>
  <c r="Z531" i="19" s="1"/>
  <c r="P515" i="19"/>
  <c r="Z515" i="19" s="1"/>
  <c r="P499" i="19"/>
  <c r="Z499" i="19" s="1"/>
  <c r="P565" i="19"/>
  <c r="Z565" i="19" s="1"/>
  <c r="P537" i="19"/>
  <c r="Z537" i="19" s="1"/>
  <c r="P513" i="19"/>
  <c r="Z513" i="19" s="1"/>
  <c r="P497" i="19"/>
  <c r="Z497" i="19" s="1"/>
  <c r="P583" i="19"/>
  <c r="Z583" i="19" s="1"/>
  <c r="P557" i="19"/>
  <c r="Z557" i="19" s="1"/>
  <c r="P523" i="19"/>
  <c r="Z523" i="19" s="1"/>
  <c r="P485" i="19"/>
  <c r="Z485" i="19" s="1"/>
  <c r="P484" i="19"/>
  <c r="Z484" i="19" s="1"/>
  <c r="P469" i="19"/>
  <c r="Z469" i="19" s="1"/>
  <c r="P468" i="19"/>
  <c r="Z468" i="19" s="1"/>
  <c r="P453" i="19"/>
  <c r="Z453" i="19" s="1"/>
  <c r="P452" i="19"/>
  <c r="Z452" i="19" s="1"/>
  <c r="P437" i="19"/>
  <c r="Z437" i="19" s="1"/>
  <c r="P436" i="19"/>
  <c r="Z436" i="19" s="1"/>
  <c r="P421" i="19"/>
  <c r="Z421" i="19" s="1"/>
  <c r="P563" i="19"/>
  <c r="Z563" i="19" s="1"/>
  <c r="P561" i="19"/>
  <c r="Z561" i="19" s="1"/>
  <c r="P540" i="19"/>
  <c r="Z540" i="19" s="1"/>
  <c r="P529" i="19"/>
  <c r="Z529" i="19" s="1"/>
  <c r="P503" i="19"/>
  <c r="Z503" i="19" s="1"/>
  <c r="P479" i="19"/>
  <c r="Z479" i="19" s="1"/>
  <c r="P478" i="19"/>
  <c r="Z478" i="19" s="1"/>
  <c r="P463" i="19"/>
  <c r="Z463" i="19" s="1"/>
  <c r="P462" i="19"/>
  <c r="Z462" i="19" s="1"/>
  <c r="P547" i="19"/>
  <c r="Z547" i="19" s="1"/>
  <c r="P546" i="19"/>
  <c r="Z546" i="19" s="1"/>
  <c r="P533" i="19"/>
  <c r="Z533" i="19" s="1"/>
  <c r="P505" i="19"/>
  <c r="Z505" i="19" s="1"/>
  <c r="P495" i="19"/>
  <c r="Z495" i="19" s="1"/>
  <c r="P489" i="19"/>
  <c r="Z489" i="19" s="1"/>
  <c r="P488" i="19"/>
  <c r="Z488" i="19" s="1"/>
  <c r="P473" i="19"/>
  <c r="Z473" i="19" s="1"/>
  <c r="P472" i="19"/>
  <c r="Z472" i="19" s="1"/>
  <c r="P457" i="19"/>
  <c r="Z457" i="19" s="1"/>
  <c r="P456" i="19"/>
  <c r="Z456" i="19" s="1"/>
  <c r="P441" i="19"/>
  <c r="Z441" i="19" s="1"/>
  <c r="P440" i="19"/>
  <c r="Z440" i="19" s="1"/>
  <c r="P575" i="19"/>
  <c r="Z575" i="19" s="1"/>
  <c r="P551" i="19"/>
  <c r="Z551" i="19" s="1"/>
  <c r="P535" i="19"/>
  <c r="Z535" i="19" s="1"/>
  <c r="P530" i="19"/>
  <c r="Z530" i="19" s="1"/>
  <c r="P486" i="19"/>
  <c r="Z486" i="19" s="1"/>
  <c r="P481" i="19"/>
  <c r="Z481" i="19" s="1"/>
  <c r="P467" i="19"/>
  <c r="Z467" i="19" s="1"/>
  <c r="P455" i="19"/>
  <c r="Z455" i="19" s="1"/>
  <c r="P450" i="19"/>
  <c r="Z450" i="19" s="1"/>
  <c r="P433" i="19"/>
  <c r="Z433" i="19" s="1"/>
  <c r="P424" i="19"/>
  <c r="Z424" i="19" s="1"/>
  <c r="P409" i="19"/>
  <c r="Z409" i="19" s="1"/>
  <c r="P408" i="19"/>
  <c r="Z408" i="19" s="1"/>
  <c r="P373" i="19"/>
  <c r="Z373" i="19" s="1"/>
  <c r="P371" i="19"/>
  <c r="Z371" i="19" s="1"/>
  <c r="P369" i="19"/>
  <c r="Z369" i="19" s="1"/>
  <c r="P367" i="19"/>
  <c r="Z367" i="19" s="1"/>
  <c r="P365" i="19"/>
  <c r="Z365" i="19" s="1"/>
  <c r="P363" i="19"/>
  <c r="Z363" i="19" s="1"/>
  <c r="P361" i="19"/>
  <c r="Z361" i="19" s="1"/>
  <c r="P359" i="19"/>
  <c r="Z359" i="19" s="1"/>
  <c r="P357" i="19"/>
  <c r="Z357" i="19" s="1"/>
  <c r="P355" i="19"/>
  <c r="Z355" i="19" s="1"/>
  <c r="P353" i="19"/>
  <c r="Z353" i="19" s="1"/>
  <c r="P351" i="19"/>
  <c r="Z351" i="19" s="1"/>
  <c r="P349" i="19"/>
  <c r="Z349" i="19" s="1"/>
  <c r="P347" i="19"/>
  <c r="Z347" i="19" s="1"/>
  <c r="P345" i="19"/>
  <c r="Z345" i="19" s="1"/>
  <c r="P343" i="19"/>
  <c r="Z343" i="19" s="1"/>
  <c r="P341" i="19"/>
  <c r="Z341" i="19" s="1"/>
  <c r="P339" i="19"/>
  <c r="Z339" i="19" s="1"/>
  <c r="P337" i="19"/>
  <c r="Z337" i="19" s="1"/>
  <c r="P335" i="19"/>
  <c r="Z335" i="19" s="1"/>
  <c r="P333" i="19"/>
  <c r="Z333" i="19" s="1"/>
  <c r="P331" i="19"/>
  <c r="Z331" i="19" s="1"/>
  <c r="P329" i="19"/>
  <c r="Z329" i="19" s="1"/>
  <c r="P327" i="19"/>
  <c r="Z327" i="19" s="1"/>
  <c r="P325" i="19"/>
  <c r="Z325" i="19" s="1"/>
  <c r="P323" i="19"/>
  <c r="Z323" i="19" s="1"/>
  <c r="P321" i="19"/>
  <c r="Z321" i="19" s="1"/>
  <c r="P319" i="19"/>
  <c r="Z319" i="19" s="1"/>
  <c r="P509" i="19"/>
  <c r="Z509" i="19" s="1"/>
  <c r="P483" i="19"/>
  <c r="Z483" i="19" s="1"/>
  <c r="P464" i="19"/>
  <c r="Z464" i="19" s="1"/>
  <c r="P459" i="19"/>
  <c r="Z459" i="19" s="1"/>
  <c r="P447" i="19"/>
  <c r="Z447" i="19" s="1"/>
  <c r="P435" i="19"/>
  <c r="Z435" i="19" s="1"/>
  <c r="P423" i="19"/>
  <c r="Z423" i="19" s="1"/>
  <c r="P419" i="19"/>
  <c r="Z419" i="19" s="1"/>
  <c r="P418" i="19"/>
  <c r="Z418" i="19" s="1"/>
  <c r="P403" i="19"/>
  <c r="Z403" i="19" s="1"/>
  <c r="P402" i="19"/>
  <c r="Z402" i="19" s="1"/>
  <c r="P395" i="19"/>
  <c r="Z395" i="19" s="1"/>
  <c r="P390" i="19"/>
  <c r="Z390" i="19" s="1"/>
  <c r="P387" i="19"/>
  <c r="Z387" i="19" s="1"/>
  <c r="P382" i="19"/>
  <c r="Z382" i="19" s="1"/>
  <c r="P379" i="19"/>
  <c r="Z379" i="19" s="1"/>
  <c r="P374" i="19"/>
  <c r="Z374" i="19" s="1"/>
  <c r="P581" i="19"/>
  <c r="Z581" i="19" s="1"/>
  <c r="P579" i="19"/>
  <c r="Z579" i="19" s="1"/>
  <c r="P550" i="19"/>
  <c r="Z550" i="19" s="1"/>
  <c r="P536" i="19"/>
  <c r="Z536" i="19" s="1"/>
  <c r="P519" i="19"/>
  <c r="Z519" i="19" s="1"/>
  <c r="P480" i="19"/>
  <c r="Z480" i="19" s="1"/>
  <c r="P475" i="19"/>
  <c r="Z475" i="19" s="1"/>
  <c r="P466" i="19"/>
  <c r="Z466" i="19" s="1"/>
  <c r="P461" i="19"/>
  <c r="Z461" i="19" s="1"/>
  <c r="P442" i="19"/>
  <c r="Z442" i="19" s="1"/>
  <c r="P438" i="19"/>
  <c r="Z438" i="19" s="1"/>
  <c r="P426" i="19"/>
  <c r="Z426" i="19" s="1"/>
  <c r="P425" i="19"/>
  <c r="Z425" i="19" s="1"/>
  <c r="P413" i="19"/>
  <c r="Z413" i="19" s="1"/>
  <c r="P412" i="19"/>
  <c r="Z412" i="19" s="1"/>
  <c r="P397" i="19"/>
  <c r="Z397" i="19" s="1"/>
  <c r="P566" i="19"/>
  <c r="Z566" i="19" s="1"/>
  <c r="P492" i="19"/>
  <c r="Z492" i="19" s="1"/>
  <c r="P471" i="19"/>
  <c r="Z471" i="19" s="1"/>
  <c r="P458" i="19"/>
  <c r="Z458" i="19" s="1"/>
  <c r="P451" i="19"/>
  <c r="Z451" i="19" s="1"/>
  <c r="P448" i="19"/>
  <c r="Z448" i="19" s="1"/>
  <c r="P407" i="19"/>
  <c r="Z407" i="19" s="1"/>
  <c r="P396" i="19"/>
  <c r="Z396" i="19" s="1"/>
  <c r="P393" i="19"/>
  <c r="Z393" i="19" s="1"/>
  <c r="P376" i="19"/>
  <c r="Z376" i="19" s="1"/>
  <c r="P576" i="19"/>
  <c r="Z576" i="19" s="1"/>
  <c r="P493" i="19"/>
  <c r="Z493" i="19" s="1"/>
  <c r="P446" i="19"/>
  <c r="Z446" i="19" s="1"/>
  <c r="P445" i="19"/>
  <c r="Z445" i="19" s="1"/>
  <c r="P431" i="19"/>
  <c r="Z431" i="19" s="1"/>
  <c r="P430" i="19"/>
  <c r="Z430" i="19" s="1"/>
  <c r="P404" i="19"/>
  <c r="Z404" i="19" s="1"/>
  <c r="P399" i="19"/>
  <c r="Z399" i="19" s="1"/>
  <c r="P532" i="19"/>
  <c r="Z532" i="19" s="1"/>
  <c r="P507" i="19"/>
  <c r="Z507" i="19" s="1"/>
  <c r="P439" i="19"/>
  <c r="Z439" i="19" s="1"/>
  <c r="P434" i="19"/>
  <c r="Z434" i="19" s="1"/>
  <c r="P429" i="19"/>
  <c r="Z429" i="19" s="1"/>
  <c r="P428" i="19"/>
  <c r="Z428" i="19" s="1"/>
  <c r="P414" i="19"/>
  <c r="Z414" i="19" s="1"/>
  <c r="P400" i="19"/>
  <c r="Z400" i="19" s="1"/>
  <c r="P476" i="19"/>
  <c r="Z476" i="19" s="1"/>
  <c r="P465" i="19"/>
  <c r="Z465" i="19" s="1"/>
  <c r="P420" i="19"/>
  <c r="Z420" i="19" s="1"/>
  <c r="P405" i="19"/>
  <c r="Z405" i="19" s="1"/>
  <c r="P385" i="19"/>
  <c r="Z385" i="19" s="1"/>
  <c r="P383" i="19"/>
  <c r="Z383" i="19" s="1"/>
  <c r="P381" i="19"/>
  <c r="Z381" i="19" s="1"/>
  <c r="P368" i="19"/>
  <c r="Z368" i="19" s="1"/>
  <c r="P362" i="19"/>
  <c r="Z362" i="19" s="1"/>
  <c r="P346" i="19"/>
  <c r="Z346" i="19" s="1"/>
  <c r="P330" i="19"/>
  <c r="Z330" i="19" s="1"/>
  <c r="P268" i="19"/>
  <c r="Z268" i="19" s="1"/>
  <c r="P257" i="19"/>
  <c r="Z257" i="19" s="1"/>
  <c r="P255" i="19"/>
  <c r="Z255" i="19" s="1"/>
  <c r="P253" i="19"/>
  <c r="Z253" i="19" s="1"/>
  <c r="P251" i="19"/>
  <c r="Z251" i="19" s="1"/>
  <c r="P249" i="19"/>
  <c r="Z249" i="19" s="1"/>
  <c r="P247" i="19"/>
  <c r="Z247" i="19" s="1"/>
  <c r="P564" i="19"/>
  <c r="Z564" i="19" s="1"/>
  <c r="P525" i="19"/>
  <c r="Z525" i="19" s="1"/>
  <c r="P487" i="19"/>
  <c r="Z487" i="19" s="1"/>
  <c r="P443" i="19"/>
  <c r="Z443" i="19" s="1"/>
  <c r="P401" i="19"/>
  <c r="Z401" i="19" s="1"/>
  <c r="P372" i="19"/>
  <c r="Z372" i="19" s="1"/>
  <c r="P366" i="19"/>
  <c r="Z366" i="19" s="1"/>
  <c r="P350" i="19"/>
  <c r="Z350" i="19" s="1"/>
  <c r="P334" i="19"/>
  <c r="Z334" i="19" s="1"/>
  <c r="P490" i="19"/>
  <c r="Z490" i="19" s="1"/>
  <c r="P422" i="19"/>
  <c r="Z422" i="19" s="1"/>
  <c r="P417" i="19"/>
  <c r="Z417" i="19" s="1"/>
  <c r="P477" i="19"/>
  <c r="Z477" i="19" s="1"/>
  <c r="P474" i="19"/>
  <c r="Z474" i="19" s="1"/>
  <c r="P406" i="19"/>
  <c r="Z406" i="19" s="1"/>
  <c r="P394" i="19"/>
  <c r="Z394" i="19" s="1"/>
  <c r="P378" i="19"/>
  <c r="Z378" i="19" s="1"/>
  <c r="P377" i="19"/>
  <c r="Z377" i="19" s="1"/>
  <c r="P358" i="19"/>
  <c r="Z358" i="19" s="1"/>
  <c r="P322" i="19"/>
  <c r="Z322" i="19" s="1"/>
  <c r="P545" i="19"/>
  <c r="Z545" i="19" s="1"/>
  <c r="P460" i="19"/>
  <c r="Z460" i="19" s="1"/>
  <c r="P427" i="19"/>
  <c r="Z427" i="19" s="1"/>
  <c r="P392" i="19"/>
  <c r="Z392" i="19" s="1"/>
  <c r="P354" i="19"/>
  <c r="Z354" i="19" s="1"/>
  <c r="P340" i="19"/>
  <c r="Z340" i="19" s="1"/>
  <c r="P326" i="19"/>
  <c r="Z326" i="19" s="1"/>
  <c r="P568" i="19"/>
  <c r="Z568" i="19" s="1"/>
  <c r="P432" i="19"/>
  <c r="Z432" i="19" s="1"/>
  <c r="P375" i="19"/>
  <c r="Z375" i="19" s="1"/>
  <c r="P342" i="19"/>
  <c r="Z342" i="19" s="1"/>
  <c r="P317" i="19"/>
  <c r="Z317" i="19" s="1"/>
  <c r="P313" i="19"/>
  <c r="Z313" i="19" s="1"/>
  <c r="P310" i="19"/>
  <c r="Z310" i="19" s="1"/>
  <c r="P299" i="19"/>
  <c r="Z299" i="19" s="1"/>
  <c r="P296" i="19"/>
  <c r="Z296" i="19" s="1"/>
  <c r="P294" i="19"/>
  <c r="Z294" i="19" s="1"/>
  <c r="P293" i="19"/>
  <c r="Z293" i="19" s="1"/>
  <c r="P292" i="19"/>
  <c r="Z292" i="19" s="1"/>
  <c r="P291" i="19"/>
  <c r="Z291" i="19" s="1"/>
  <c r="P289" i="19"/>
  <c r="Z289" i="19" s="1"/>
  <c r="P267" i="19"/>
  <c r="Z267" i="19" s="1"/>
  <c r="P264" i="19"/>
  <c r="Z264" i="19" s="1"/>
  <c r="P220" i="19"/>
  <c r="Z220" i="19" s="1"/>
  <c r="P482" i="19"/>
  <c r="Z482" i="19" s="1"/>
  <c r="P410" i="19"/>
  <c r="Z410" i="19" s="1"/>
  <c r="P391" i="19"/>
  <c r="Z391" i="19" s="1"/>
  <c r="P328" i="19"/>
  <c r="Z328" i="19" s="1"/>
  <c r="P324" i="19"/>
  <c r="Z324" i="19" s="1"/>
  <c r="P320" i="19"/>
  <c r="Z320" i="19" s="1"/>
  <c r="P314" i="19"/>
  <c r="Z314" i="19" s="1"/>
  <c r="P303" i="19"/>
  <c r="Z303" i="19" s="1"/>
  <c r="P295" i="19"/>
  <c r="Z295" i="19" s="1"/>
  <c r="P261" i="19"/>
  <c r="Z261" i="19" s="1"/>
  <c r="P258" i="19"/>
  <c r="Z258" i="19" s="1"/>
  <c r="P256" i="19"/>
  <c r="Z256" i="19" s="1"/>
  <c r="P245" i="19"/>
  <c r="Z245" i="19" s="1"/>
  <c r="P243" i="19"/>
  <c r="Z243" i="19" s="1"/>
  <c r="P241" i="19"/>
  <c r="Z241" i="19" s="1"/>
  <c r="P239" i="19"/>
  <c r="Z239" i="19" s="1"/>
  <c r="P237" i="19"/>
  <c r="Z237" i="19" s="1"/>
  <c r="P235" i="19"/>
  <c r="Z235" i="19" s="1"/>
  <c r="P233" i="19"/>
  <c r="Z233" i="19" s="1"/>
  <c r="P231" i="19"/>
  <c r="Z231" i="19" s="1"/>
  <c r="P229" i="19"/>
  <c r="Z229" i="19" s="1"/>
  <c r="P227" i="19"/>
  <c r="Z227" i="19" s="1"/>
  <c r="P225" i="19"/>
  <c r="Z225" i="19" s="1"/>
  <c r="P454" i="19"/>
  <c r="Z454" i="19" s="1"/>
  <c r="P415" i="19"/>
  <c r="Z415" i="19" s="1"/>
  <c r="P332" i="19"/>
  <c r="Z332" i="19" s="1"/>
  <c r="P318" i="19"/>
  <c r="Z318" i="19" s="1"/>
  <c r="P307" i="19"/>
  <c r="Z307" i="19" s="1"/>
  <c r="P304" i="19"/>
  <c r="Z304" i="19" s="1"/>
  <c r="P300" i="19"/>
  <c r="Z300" i="19" s="1"/>
  <c r="P272" i="19"/>
  <c r="Z272" i="19" s="1"/>
  <c r="P270" i="19"/>
  <c r="Z270" i="19" s="1"/>
  <c r="P269" i="19"/>
  <c r="Z269" i="19" s="1"/>
  <c r="P254" i="19"/>
  <c r="Z254" i="19" s="1"/>
  <c r="P223" i="19"/>
  <c r="Z223" i="19" s="1"/>
  <c r="P449" i="19"/>
  <c r="Z449" i="19" s="1"/>
  <c r="P470" i="19"/>
  <c r="Z470" i="19" s="1"/>
  <c r="P444" i="19"/>
  <c r="Z444" i="19" s="1"/>
  <c r="P364" i="19"/>
  <c r="Z364" i="19" s="1"/>
  <c r="P360" i="19"/>
  <c r="Z360" i="19" s="1"/>
  <c r="P338" i="19"/>
  <c r="Z338" i="19" s="1"/>
  <c r="P316" i="19"/>
  <c r="Z316" i="19" s="1"/>
  <c r="P315" i="19"/>
  <c r="Z315" i="19" s="1"/>
  <c r="P302" i="19"/>
  <c r="Z302" i="19" s="1"/>
  <c r="P301" i="19"/>
  <c r="Z301" i="19" s="1"/>
  <c r="P285" i="19"/>
  <c r="Z285" i="19" s="1"/>
  <c r="P281" i="19"/>
  <c r="Z281" i="19" s="1"/>
  <c r="P280" i="19"/>
  <c r="Z280" i="19" s="1"/>
  <c r="P276" i="19"/>
  <c r="Z276" i="19" s="1"/>
  <c r="P259" i="19"/>
  <c r="Z259" i="19" s="1"/>
  <c r="P252" i="19"/>
  <c r="Z252" i="19" s="1"/>
  <c r="P238" i="19"/>
  <c r="Z238" i="19" s="1"/>
  <c r="P521" i="19"/>
  <c r="Z521" i="19" s="1"/>
  <c r="P380" i="19"/>
  <c r="Z380" i="19" s="1"/>
  <c r="P356" i="19"/>
  <c r="Z356" i="19" s="1"/>
  <c r="P312" i="19"/>
  <c r="Z312" i="19" s="1"/>
  <c r="P271" i="19"/>
  <c r="Z271" i="19" s="1"/>
  <c r="P232" i="19"/>
  <c r="Z232" i="19" s="1"/>
  <c r="P386" i="19"/>
  <c r="Z386" i="19" s="1"/>
  <c r="P384" i="19"/>
  <c r="Z384" i="19" s="1"/>
  <c r="P370" i="19"/>
  <c r="Z370" i="19" s="1"/>
  <c r="P287" i="19"/>
  <c r="Z287" i="19" s="1"/>
  <c r="P282" i="19"/>
  <c r="Z282" i="19" s="1"/>
  <c r="P246" i="19"/>
  <c r="Z246" i="19" s="1"/>
  <c r="P240" i="19"/>
  <c r="Z240" i="19" s="1"/>
  <c r="P511" i="19"/>
  <c r="Z511" i="19" s="1"/>
  <c r="P311" i="19"/>
  <c r="Z311" i="19" s="1"/>
  <c r="P278" i="19"/>
  <c r="Z278" i="19" s="1"/>
  <c r="P274" i="19"/>
  <c r="Z274" i="19" s="1"/>
  <c r="P263" i="19"/>
  <c r="Z263" i="19" s="1"/>
  <c r="P262" i="19"/>
  <c r="Z262" i="19" s="1"/>
  <c r="P305" i="19"/>
  <c r="Z305" i="19" s="1"/>
  <c r="P288" i="19"/>
  <c r="Z288" i="19" s="1"/>
  <c r="P283" i="19"/>
  <c r="Z283" i="19" s="1"/>
  <c r="P279" i="19"/>
  <c r="Z279" i="19" s="1"/>
  <c r="P275" i="19"/>
  <c r="Z275" i="19" s="1"/>
  <c r="P244" i="19"/>
  <c r="Z244" i="19" s="1"/>
  <c r="P336" i="19"/>
  <c r="Z336" i="19" s="1"/>
  <c r="P284" i="19"/>
  <c r="Z284" i="19" s="1"/>
  <c r="P230" i="19"/>
  <c r="Z230" i="19" s="1"/>
  <c r="P491" i="19"/>
  <c r="Z491" i="19" s="1"/>
  <c r="P416" i="19"/>
  <c r="Z416" i="19" s="1"/>
  <c r="P308" i="19"/>
  <c r="Z308" i="19" s="1"/>
  <c r="P260" i="19"/>
  <c r="Z260" i="19" s="1"/>
  <c r="P248" i="19"/>
  <c r="Z248" i="19" s="1"/>
  <c r="P236" i="19"/>
  <c r="Z236" i="19" s="1"/>
  <c r="P228" i="19"/>
  <c r="Z228" i="19" s="1"/>
  <c r="P222" i="19"/>
  <c r="Z222" i="19" s="1"/>
  <c r="P348" i="19"/>
  <c r="Z348" i="19" s="1"/>
  <c r="P224" i="19"/>
  <c r="Z224" i="19" s="1"/>
  <c r="P219" i="19"/>
  <c r="Z219" i="19" s="1"/>
  <c r="P572" i="19"/>
  <c r="Z572" i="19" s="1"/>
  <c r="P352" i="19"/>
  <c r="Z352" i="19" s="1"/>
  <c r="P298" i="19"/>
  <c r="Z298" i="19" s="1"/>
  <c r="P277" i="19"/>
  <c r="Z277" i="19" s="1"/>
  <c r="P266" i="19"/>
  <c r="Z266" i="19" s="1"/>
  <c r="P250" i="19"/>
  <c r="Z250" i="19" s="1"/>
  <c r="P226" i="19"/>
  <c r="Z226" i="19" s="1"/>
  <c r="P221" i="19"/>
  <c r="Z221" i="19" s="1"/>
  <c r="P398" i="19"/>
  <c r="Z398" i="19" s="1"/>
  <c r="P290" i="19"/>
  <c r="Z290" i="19" s="1"/>
  <c r="P265" i="19"/>
  <c r="Z265" i="19" s="1"/>
  <c r="P306" i="19"/>
  <c r="Z306" i="19" s="1"/>
  <c r="P389" i="19"/>
  <c r="Z389" i="19" s="1"/>
  <c r="P273" i="19"/>
  <c r="Z273" i="19" s="1"/>
  <c r="P286" i="19"/>
  <c r="Z286" i="19" s="1"/>
  <c r="P242" i="19"/>
  <c r="Z242" i="19" s="1"/>
  <c r="P344" i="19"/>
  <c r="Z344" i="19" s="1"/>
  <c r="P297" i="19"/>
  <c r="Z297" i="19" s="1"/>
  <c r="P411" i="19"/>
  <c r="Z411" i="19" s="1"/>
  <c r="P309" i="19"/>
  <c r="Z309" i="19" s="1"/>
  <c r="P388" i="19"/>
  <c r="Z388" i="19" s="1"/>
  <c r="P234" i="19"/>
  <c r="Z234" i="19" s="1"/>
  <c r="U584" i="19"/>
  <c r="AE584" i="19" s="1"/>
  <c r="U582" i="19"/>
  <c r="AE582" i="19" s="1"/>
  <c r="U580" i="19"/>
  <c r="AE580" i="19" s="1"/>
  <c r="U578" i="19"/>
  <c r="AE578" i="19" s="1"/>
  <c r="U576" i="19"/>
  <c r="AE576" i="19" s="1"/>
  <c r="U574" i="19"/>
  <c r="AE574" i="19" s="1"/>
  <c r="U572" i="19"/>
  <c r="AE572" i="19" s="1"/>
  <c r="U570" i="19"/>
  <c r="AE570" i="19" s="1"/>
  <c r="U568" i="19"/>
  <c r="AE568" i="19" s="1"/>
  <c r="U566" i="19"/>
  <c r="AE566" i="19" s="1"/>
  <c r="U564" i="19"/>
  <c r="AE564" i="19" s="1"/>
  <c r="U562" i="19"/>
  <c r="AE562" i="19" s="1"/>
  <c r="U560" i="19"/>
  <c r="AE560" i="19" s="1"/>
  <c r="U558" i="19"/>
  <c r="AE558" i="19" s="1"/>
  <c r="U556" i="19"/>
  <c r="AE556" i="19" s="1"/>
  <c r="U554" i="19"/>
  <c r="AE554" i="19" s="1"/>
  <c r="U552" i="19"/>
  <c r="AE552" i="19" s="1"/>
  <c r="U550" i="19"/>
  <c r="AE550" i="19" s="1"/>
  <c r="U548" i="19"/>
  <c r="AE548" i="19" s="1"/>
  <c r="U546" i="19"/>
  <c r="AE546" i="19" s="1"/>
  <c r="U577" i="19"/>
  <c r="AE577" i="19" s="1"/>
  <c r="U561" i="19"/>
  <c r="AE561" i="19" s="1"/>
  <c r="U545" i="19"/>
  <c r="AE545" i="19" s="1"/>
  <c r="U543" i="19"/>
  <c r="AE543" i="19" s="1"/>
  <c r="U541" i="19"/>
  <c r="AE541" i="19" s="1"/>
  <c r="U539" i="19"/>
  <c r="AE539" i="19" s="1"/>
  <c r="U537" i="19"/>
  <c r="AE537" i="19" s="1"/>
  <c r="U535" i="19"/>
  <c r="AE535" i="19" s="1"/>
  <c r="U533" i="19"/>
  <c r="AE533" i="19" s="1"/>
  <c r="U531" i="19"/>
  <c r="AE531" i="19" s="1"/>
  <c r="U529" i="19"/>
  <c r="AE529" i="19" s="1"/>
  <c r="U527" i="19"/>
  <c r="AE527" i="19" s="1"/>
  <c r="U525" i="19"/>
  <c r="AE525" i="19" s="1"/>
  <c r="U569" i="19"/>
  <c r="AE569" i="19" s="1"/>
  <c r="U547" i="19"/>
  <c r="AE547" i="19" s="1"/>
  <c r="U555" i="19"/>
  <c r="AE555" i="19" s="1"/>
  <c r="U571" i="19"/>
  <c r="AE571" i="19" s="1"/>
  <c r="U553" i="19"/>
  <c r="AE553" i="19" s="1"/>
  <c r="U551" i="19"/>
  <c r="AE551" i="19" s="1"/>
  <c r="U534" i="19"/>
  <c r="AE534" i="19" s="1"/>
  <c r="U567" i="19"/>
  <c r="AE567" i="19" s="1"/>
  <c r="U530" i="19"/>
  <c r="AE530" i="19" s="1"/>
  <c r="U565" i="19"/>
  <c r="AE565" i="19" s="1"/>
  <c r="U563" i="19"/>
  <c r="AE563" i="19" s="1"/>
  <c r="U540" i="19"/>
  <c r="AE540" i="19" s="1"/>
  <c r="U509" i="19"/>
  <c r="AE509" i="19" s="1"/>
  <c r="U508" i="19"/>
  <c r="AE508" i="19" s="1"/>
  <c r="U549" i="19"/>
  <c r="AE549" i="19" s="1"/>
  <c r="U544" i="19"/>
  <c r="AE544" i="19" s="1"/>
  <c r="U526" i="19"/>
  <c r="AE526" i="19" s="1"/>
  <c r="U522" i="19"/>
  <c r="AE522" i="19" s="1"/>
  <c r="U507" i="19"/>
  <c r="AE507" i="19" s="1"/>
  <c r="U506" i="19"/>
  <c r="AE506" i="19" s="1"/>
  <c r="U583" i="19"/>
  <c r="AE583" i="19" s="1"/>
  <c r="U559" i="19"/>
  <c r="AE559" i="19" s="1"/>
  <c r="U557" i="19"/>
  <c r="AE557" i="19" s="1"/>
  <c r="U536" i="19"/>
  <c r="AE536" i="19" s="1"/>
  <c r="U521" i="19"/>
  <c r="AE521" i="19" s="1"/>
  <c r="U520" i="19"/>
  <c r="AE520" i="19" s="1"/>
  <c r="U505" i="19"/>
  <c r="AE505" i="19" s="1"/>
  <c r="U504" i="19"/>
  <c r="AE504" i="19" s="1"/>
  <c r="U493" i="19"/>
  <c r="AE493" i="19" s="1"/>
  <c r="U491" i="19"/>
  <c r="AE491" i="19" s="1"/>
  <c r="U489" i="19"/>
  <c r="AE489" i="19" s="1"/>
  <c r="U487" i="19"/>
  <c r="AE487" i="19" s="1"/>
  <c r="U485" i="19"/>
  <c r="AE485" i="19" s="1"/>
  <c r="U483" i="19"/>
  <c r="AE483" i="19" s="1"/>
  <c r="U481" i="19"/>
  <c r="AE481" i="19" s="1"/>
  <c r="U479" i="19"/>
  <c r="AE479" i="19" s="1"/>
  <c r="U477" i="19"/>
  <c r="AE477" i="19" s="1"/>
  <c r="U475" i="19"/>
  <c r="AE475" i="19" s="1"/>
  <c r="U473" i="19"/>
  <c r="AE473" i="19" s="1"/>
  <c r="U471" i="19"/>
  <c r="AE471" i="19" s="1"/>
  <c r="U469" i="19"/>
  <c r="AE469" i="19" s="1"/>
  <c r="U467" i="19"/>
  <c r="AE467" i="19" s="1"/>
  <c r="U465" i="19"/>
  <c r="AE465" i="19" s="1"/>
  <c r="U463" i="19"/>
  <c r="AE463" i="19" s="1"/>
  <c r="U461" i="19"/>
  <c r="AE461" i="19" s="1"/>
  <c r="U459" i="19"/>
  <c r="AE459" i="19" s="1"/>
  <c r="U457" i="19"/>
  <c r="AE457" i="19" s="1"/>
  <c r="U455" i="19"/>
  <c r="AE455" i="19" s="1"/>
  <c r="U453" i="19"/>
  <c r="AE453" i="19" s="1"/>
  <c r="U451" i="19"/>
  <c r="AE451" i="19" s="1"/>
  <c r="U449" i="19"/>
  <c r="AE449" i="19" s="1"/>
  <c r="U447" i="19"/>
  <c r="AE447" i="19" s="1"/>
  <c r="U445" i="19"/>
  <c r="AE445" i="19" s="1"/>
  <c r="U443" i="19"/>
  <c r="AE443" i="19" s="1"/>
  <c r="U441" i="19"/>
  <c r="AE441" i="19" s="1"/>
  <c r="U439" i="19"/>
  <c r="AE439" i="19" s="1"/>
  <c r="U437" i="19"/>
  <c r="AE437" i="19" s="1"/>
  <c r="U435" i="19"/>
  <c r="AE435" i="19" s="1"/>
  <c r="U433" i="19"/>
  <c r="AE433" i="19" s="1"/>
  <c r="U431" i="19"/>
  <c r="AE431" i="19" s="1"/>
  <c r="U429" i="19"/>
  <c r="AE429" i="19" s="1"/>
  <c r="U427" i="19"/>
  <c r="AE427" i="19" s="1"/>
  <c r="U425" i="19"/>
  <c r="AE425" i="19" s="1"/>
  <c r="U423" i="19"/>
  <c r="AE423" i="19" s="1"/>
  <c r="U421" i="19"/>
  <c r="AE421" i="19" s="1"/>
  <c r="U419" i="19"/>
  <c r="AE419" i="19" s="1"/>
  <c r="U417" i="19"/>
  <c r="AE417" i="19" s="1"/>
  <c r="U415" i="19"/>
  <c r="AE415" i="19" s="1"/>
  <c r="U413" i="19"/>
  <c r="AE413" i="19" s="1"/>
  <c r="U411" i="19"/>
  <c r="AE411" i="19" s="1"/>
  <c r="U409" i="19"/>
  <c r="AE409" i="19" s="1"/>
  <c r="U407" i="19"/>
  <c r="AE407" i="19" s="1"/>
  <c r="U405" i="19"/>
  <c r="AE405" i="19" s="1"/>
  <c r="U403" i="19"/>
  <c r="AE403" i="19" s="1"/>
  <c r="U401" i="19"/>
  <c r="AE401" i="19" s="1"/>
  <c r="U399" i="19"/>
  <c r="AE399" i="19" s="1"/>
  <c r="U397" i="19"/>
  <c r="AE397" i="19" s="1"/>
  <c r="U395" i="19"/>
  <c r="AE395" i="19" s="1"/>
  <c r="U393" i="19"/>
  <c r="AE393" i="19" s="1"/>
  <c r="U391" i="19"/>
  <c r="AE391" i="19" s="1"/>
  <c r="U389" i="19"/>
  <c r="AE389" i="19" s="1"/>
  <c r="U387" i="19"/>
  <c r="AE387" i="19" s="1"/>
  <c r="U385" i="19"/>
  <c r="AE385" i="19" s="1"/>
  <c r="U383" i="19"/>
  <c r="AE383" i="19" s="1"/>
  <c r="U381" i="19"/>
  <c r="AE381" i="19" s="1"/>
  <c r="U379" i="19"/>
  <c r="AE379" i="19" s="1"/>
  <c r="U377" i="19"/>
  <c r="AE377" i="19" s="1"/>
  <c r="U375" i="19"/>
  <c r="AE375" i="19" s="1"/>
  <c r="U542" i="19"/>
  <c r="AE542" i="19" s="1"/>
  <c r="U524" i="19"/>
  <c r="AE524" i="19" s="1"/>
  <c r="U519" i="19"/>
  <c r="AE519" i="19" s="1"/>
  <c r="U494" i="19"/>
  <c r="AE494" i="19" s="1"/>
  <c r="U488" i="19"/>
  <c r="AE488" i="19" s="1"/>
  <c r="U472" i="19"/>
  <c r="AE472" i="19" s="1"/>
  <c r="U456" i="19"/>
  <c r="AE456" i="19" s="1"/>
  <c r="U440" i="19"/>
  <c r="AE440" i="19" s="1"/>
  <c r="U424" i="19"/>
  <c r="AE424" i="19" s="1"/>
  <c r="U528" i="19"/>
  <c r="AE528" i="19" s="1"/>
  <c r="U496" i="19"/>
  <c r="AE496" i="19" s="1"/>
  <c r="U495" i="19"/>
  <c r="AE495" i="19" s="1"/>
  <c r="U482" i="19"/>
  <c r="AE482" i="19" s="1"/>
  <c r="U466" i="19"/>
  <c r="AE466" i="19" s="1"/>
  <c r="U498" i="19"/>
  <c r="AE498" i="19" s="1"/>
  <c r="U497" i="19"/>
  <c r="AE497" i="19" s="1"/>
  <c r="U492" i="19"/>
  <c r="AE492" i="19" s="1"/>
  <c r="U476" i="19"/>
  <c r="AE476" i="19" s="1"/>
  <c r="U460" i="19"/>
  <c r="AE460" i="19" s="1"/>
  <c r="U444" i="19"/>
  <c r="AE444" i="19" s="1"/>
  <c r="U575" i="19"/>
  <c r="AE575" i="19" s="1"/>
  <c r="U573" i="19"/>
  <c r="AE573" i="19" s="1"/>
  <c r="U532" i="19"/>
  <c r="AE532" i="19" s="1"/>
  <c r="U514" i="19"/>
  <c r="AE514" i="19" s="1"/>
  <c r="U480" i="19"/>
  <c r="AE480" i="19" s="1"/>
  <c r="U442" i="19"/>
  <c r="AE442" i="19" s="1"/>
  <c r="U438" i="19"/>
  <c r="AE438" i="19" s="1"/>
  <c r="U426" i="19"/>
  <c r="AE426" i="19" s="1"/>
  <c r="U412" i="19"/>
  <c r="AE412" i="19" s="1"/>
  <c r="U396" i="19"/>
  <c r="AE396" i="19" s="1"/>
  <c r="U388" i="19"/>
  <c r="AE388" i="19" s="1"/>
  <c r="U380" i="19"/>
  <c r="AE380" i="19" s="1"/>
  <c r="U581" i="19"/>
  <c r="AE581" i="19" s="1"/>
  <c r="U579" i="19"/>
  <c r="AE579" i="19" s="1"/>
  <c r="U503" i="19"/>
  <c r="AE503" i="19" s="1"/>
  <c r="U458" i="19"/>
  <c r="AE458" i="19" s="1"/>
  <c r="U448" i="19"/>
  <c r="AE448" i="19" s="1"/>
  <c r="U428" i="19"/>
  <c r="AE428" i="19" s="1"/>
  <c r="U406" i="19"/>
  <c r="AE406" i="19" s="1"/>
  <c r="U523" i="19"/>
  <c r="AE523" i="19" s="1"/>
  <c r="U518" i="19"/>
  <c r="AE518" i="19" s="1"/>
  <c r="U513" i="19"/>
  <c r="AE513" i="19" s="1"/>
  <c r="U502" i="19"/>
  <c r="AE502" i="19" s="1"/>
  <c r="U474" i="19"/>
  <c r="AE474" i="19" s="1"/>
  <c r="U454" i="19"/>
  <c r="AE454" i="19" s="1"/>
  <c r="U416" i="19"/>
  <c r="AE416" i="19" s="1"/>
  <c r="U400" i="19"/>
  <c r="AE400" i="19" s="1"/>
  <c r="U394" i="19"/>
  <c r="AE394" i="19" s="1"/>
  <c r="U386" i="19"/>
  <c r="AE386" i="19" s="1"/>
  <c r="U378" i="19"/>
  <c r="AE378" i="19" s="1"/>
  <c r="U517" i="19"/>
  <c r="AE517" i="19" s="1"/>
  <c r="U486" i="19"/>
  <c r="AE486" i="19" s="1"/>
  <c r="U478" i="19"/>
  <c r="AE478" i="19" s="1"/>
  <c r="U450" i="19"/>
  <c r="AE450" i="19" s="1"/>
  <c r="U446" i="19"/>
  <c r="AE446" i="19" s="1"/>
  <c r="U436" i="19"/>
  <c r="AE436" i="19" s="1"/>
  <c r="U430" i="19"/>
  <c r="AE430" i="19" s="1"/>
  <c r="U420" i="19"/>
  <c r="AE420" i="19" s="1"/>
  <c r="U374" i="19"/>
  <c r="AE374" i="19" s="1"/>
  <c r="U398" i="19"/>
  <c r="AE398" i="19" s="1"/>
  <c r="U511" i="19"/>
  <c r="AE511" i="19" s="1"/>
  <c r="U499" i="19"/>
  <c r="AE499" i="19" s="1"/>
  <c r="U490" i="19"/>
  <c r="AE490" i="19" s="1"/>
  <c r="U408" i="19"/>
  <c r="AE408" i="19" s="1"/>
  <c r="U538" i="19"/>
  <c r="AE538" i="19" s="1"/>
  <c r="U414" i="19"/>
  <c r="AE414" i="19" s="1"/>
  <c r="U373" i="19"/>
  <c r="AE373" i="19" s="1"/>
  <c r="U366" i="19"/>
  <c r="AE366" i="19" s="1"/>
  <c r="U365" i="19"/>
  <c r="AE365" i="19" s="1"/>
  <c r="U350" i="19"/>
  <c r="AE350" i="19" s="1"/>
  <c r="U349" i="19"/>
  <c r="AE349" i="19" s="1"/>
  <c r="U334" i="19"/>
  <c r="AE334" i="19" s="1"/>
  <c r="U333" i="19"/>
  <c r="AE333" i="19" s="1"/>
  <c r="U315" i="19"/>
  <c r="AE315" i="19" s="1"/>
  <c r="U312" i="19"/>
  <c r="AE312" i="19" s="1"/>
  <c r="U307" i="19"/>
  <c r="AE307" i="19" s="1"/>
  <c r="U304" i="19"/>
  <c r="AE304" i="19" s="1"/>
  <c r="U299" i="19"/>
  <c r="AE299" i="19" s="1"/>
  <c r="U296" i="19"/>
  <c r="AE296" i="19" s="1"/>
  <c r="U291" i="19"/>
  <c r="AE291" i="19" s="1"/>
  <c r="U288" i="19"/>
  <c r="AE288" i="19" s="1"/>
  <c r="U283" i="19"/>
  <c r="AE283" i="19" s="1"/>
  <c r="U280" i="19"/>
  <c r="AE280" i="19" s="1"/>
  <c r="U275" i="19"/>
  <c r="AE275" i="19" s="1"/>
  <c r="U272" i="19"/>
  <c r="AE272" i="19" s="1"/>
  <c r="U260" i="19"/>
  <c r="AE260" i="19" s="1"/>
  <c r="U259" i="19"/>
  <c r="AE259" i="19" s="1"/>
  <c r="U468" i="19"/>
  <c r="AE468" i="19" s="1"/>
  <c r="U384" i="19"/>
  <c r="AE384" i="19" s="1"/>
  <c r="U382" i="19"/>
  <c r="AE382" i="19" s="1"/>
  <c r="U354" i="19"/>
  <c r="AE354" i="19" s="1"/>
  <c r="U353" i="19"/>
  <c r="AE353" i="19" s="1"/>
  <c r="U338" i="19"/>
  <c r="AE338" i="19" s="1"/>
  <c r="U337" i="19"/>
  <c r="AE337" i="19" s="1"/>
  <c r="U322" i="19"/>
  <c r="AE322" i="19" s="1"/>
  <c r="U321" i="19"/>
  <c r="AE321" i="19" s="1"/>
  <c r="U318" i="19"/>
  <c r="AE318" i="19" s="1"/>
  <c r="U313" i="19"/>
  <c r="AE313" i="19" s="1"/>
  <c r="U310" i="19"/>
  <c r="AE310" i="19" s="1"/>
  <c r="U305" i="19"/>
  <c r="AE305" i="19" s="1"/>
  <c r="U302" i="19"/>
  <c r="AE302" i="19" s="1"/>
  <c r="U297" i="19"/>
  <c r="AE297" i="19" s="1"/>
  <c r="U294" i="19"/>
  <c r="AE294" i="19" s="1"/>
  <c r="U289" i="19"/>
  <c r="AE289" i="19" s="1"/>
  <c r="U286" i="19"/>
  <c r="AE286" i="19" s="1"/>
  <c r="U281" i="19"/>
  <c r="AE281" i="19" s="1"/>
  <c r="U278" i="19"/>
  <c r="AE278" i="19" s="1"/>
  <c r="U273" i="19"/>
  <c r="AE273" i="19" s="1"/>
  <c r="U270" i="19"/>
  <c r="AE270" i="19" s="1"/>
  <c r="U515" i="19"/>
  <c r="AE515" i="19" s="1"/>
  <c r="U512" i="19"/>
  <c r="AE512" i="19" s="1"/>
  <c r="U462" i="19"/>
  <c r="AE462" i="19" s="1"/>
  <c r="U434" i="19"/>
  <c r="AE434" i="19" s="1"/>
  <c r="U432" i="19"/>
  <c r="AE432" i="19" s="1"/>
  <c r="U390" i="19"/>
  <c r="AE390" i="19" s="1"/>
  <c r="U376" i="19"/>
  <c r="AE376" i="19" s="1"/>
  <c r="U359" i="19"/>
  <c r="AE359" i="19" s="1"/>
  <c r="U345" i="19"/>
  <c r="AE345" i="19" s="1"/>
  <c r="U342" i="19"/>
  <c r="AE342" i="19" s="1"/>
  <c r="U328" i="19"/>
  <c r="AE328" i="19" s="1"/>
  <c r="U303" i="19"/>
  <c r="AE303" i="19" s="1"/>
  <c r="U301" i="19"/>
  <c r="AE301" i="19" s="1"/>
  <c r="U300" i="19"/>
  <c r="AE300" i="19" s="1"/>
  <c r="U298" i="19"/>
  <c r="AE298" i="19" s="1"/>
  <c r="U510" i="19"/>
  <c r="AE510" i="19" s="1"/>
  <c r="U484" i="19"/>
  <c r="AE484" i="19" s="1"/>
  <c r="U452" i="19"/>
  <c r="AE452" i="19" s="1"/>
  <c r="U368" i="19"/>
  <c r="AE368" i="19" s="1"/>
  <c r="U360" i="19"/>
  <c r="AE360" i="19" s="1"/>
  <c r="U346" i="19"/>
  <c r="AE346" i="19" s="1"/>
  <c r="U341" i="19"/>
  <c r="AE341" i="19" s="1"/>
  <c r="U327" i="19"/>
  <c r="AE327" i="19" s="1"/>
  <c r="U464" i="19"/>
  <c r="AE464" i="19" s="1"/>
  <c r="U367" i="19"/>
  <c r="AE367" i="19" s="1"/>
  <c r="U324" i="19"/>
  <c r="AE324" i="19" s="1"/>
  <c r="U262" i="19"/>
  <c r="AE262" i="19" s="1"/>
  <c r="U250" i="19"/>
  <c r="AE250" i="19" s="1"/>
  <c r="U249" i="19"/>
  <c r="AE249" i="19" s="1"/>
  <c r="U244" i="19"/>
  <c r="AE244" i="19" s="1"/>
  <c r="U242" i="19"/>
  <c r="AE242" i="19" s="1"/>
  <c r="U240" i="19"/>
  <c r="AE240" i="19" s="1"/>
  <c r="U238" i="19"/>
  <c r="AE238" i="19" s="1"/>
  <c r="U236" i="19"/>
  <c r="AE236" i="19" s="1"/>
  <c r="U234" i="19"/>
  <c r="AE234" i="19" s="1"/>
  <c r="U232" i="19"/>
  <c r="AE232" i="19" s="1"/>
  <c r="U230" i="19"/>
  <c r="AE230" i="19" s="1"/>
  <c r="U228" i="19"/>
  <c r="AE228" i="19" s="1"/>
  <c r="U226" i="19"/>
  <c r="AE226" i="19" s="1"/>
  <c r="U219" i="19"/>
  <c r="AE219" i="19" s="1"/>
  <c r="U358" i="19"/>
  <c r="AE358" i="19" s="1"/>
  <c r="U332" i="19"/>
  <c r="AE332" i="19" s="1"/>
  <c r="U323" i="19"/>
  <c r="AE323" i="19" s="1"/>
  <c r="U308" i="19"/>
  <c r="AE308" i="19" s="1"/>
  <c r="U279" i="19"/>
  <c r="AE279" i="19" s="1"/>
  <c r="U277" i="19"/>
  <c r="AE277" i="19" s="1"/>
  <c r="U276" i="19"/>
  <c r="AE276" i="19" s="1"/>
  <c r="U274" i="19"/>
  <c r="AE274" i="19" s="1"/>
  <c r="U248" i="19"/>
  <c r="AE248" i="19" s="1"/>
  <c r="U247" i="19"/>
  <c r="AE247" i="19" s="1"/>
  <c r="U224" i="19"/>
  <c r="AE224" i="19" s="1"/>
  <c r="U418" i="19"/>
  <c r="AE418" i="19" s="1"/>
  <c r="U402" i="19"/>
  <c r="AE402" i="19" s="1"/>
  <c r="U362" i="19"/>
  <c r="AE362" i="19" s="1"/>
  <c r="U357" i="19"/>
  <c r="AE357" i="19" s="1"/>
  <c r="U336" i="19"/>
  <c r="AE336" i="19" s="1"/>
  <c r="U331" i="19"/>
  <c r="AE331" i="19" s="1"/>
  <c r="U319" i="19"/>
  <c r="AE319" i="19" s="1"/>
  <c r="U266" i="19"/>
  <c r="AE266" i="19" s="1"/>
  <c r="U263" i="19"/>
  <c r="AE263" i="19" s="1"/>
  <c r="U246" i="19"/>
  <c r="AE246" i="19" s="1"/>
  <c r="U222" i="19"/>
  <c r="AE222" i="19" s="1"/>
  <c r="U404" i="19"/>
  <c r="AE404" i="19" s="1"/>
  <c r="U361" i="19"/>
  <c r="AE361" i="19" s="1"/>
  <c r="U356" i="19"/>
  <c r="AE356" i="19" s="1"/>
  <c r="U352" i="19"/>
  <c r="AE352" i="19" s="1"/>
  <c r="U348" i="19"/>
  <c r="AE348" i="19" s="1"/>
  <c r="U339" i="19"/>
  <c r="AE339" i="19" s="1"/>
  <c r="U335" i="19"/>
  <c r="AE335" i="19" s="1"/>
  <c r="U330" i="19"/>
  <c r="AE330" i="19" s="1"/>
  <c r="U326" i="19"/>
  <c r="AE326" i="19" s="1"/>
  <c r="U314" i="19"/>
  <c r="AE314" i="19" s="1"/>
  <c r="U271" i="19"/>
  <c r="AE271" i="19" s="1"/>
  <c r="U255" i="19"/>
  <c r="AE255" i="19" s="1"/>
  <c r="U254" i="19"/>
  <c r="AE254" i="19" s="1"/>
  <c r="U241" i="19"/>
  <c r="AE241" i="19" s="1"/>
  <c r="U225" i="19"/>
  <c r="AE225" i="19" s="1"/>
  <c r="U422" i="19"/>
  <c r="AE422" i="19" s="1"/>
  <c r="U372" i="19"/>
  <c r="AE372" i="19" s="1"/>
  <c r="U369" i="19"/>
  <c r="AE369" i="19" s="1"/>
  <c r="U344" i="19"/>
  <c r="AE344" i="19" s="1"/>
  <c r="U311" i="19"/>
  <c r="AE311" i="19" s="1"/>
  <c r="U309" i="19"/>
  <c r="AE309" i="19" s="1"/>
  <c r="U292" i="19"/>
  <c r="AE292" i="19" s="1"/>
  <c r="U287" i="19"/>
  <c r="AE287" i="19" s="1"/>
  <c r="U257" i="19"/>
  <c r="AE257" i="19" s="1"/>
  <c r="U256" i="19"/>
  <c r="AE256" i="19" s="1"/>
  <c r="U235" i="19"/>
  <c r="AE235" i="19" s="1"/>
  <c r="U221" i="19"/>
  <c r="AE221" i="19" s="1"/>
  <c r="U220" i="19"/>
  <c r="AE220" i="19" s="1"/>
  <c r="U410" i="19"/>
  <c r="AE410" i="19" s="1"/>
  <c r="U363" i="19"/>
  <c r="AE363" i="19" s="1"/>
  <c r="U317" i="19"/>
  <c r="AE317" i="19" s="1"/>
  <c r="U316" i="19"/>
  <c r="AE316" i="19" s="1"/>
  <c r="U290" i="19"/>
  <c r="AE290" i="19" s="1"/>
  <c r="U285" i="19"/>
  <c r="AE285" i="19" s="1"/>
  <c r="U243" i="19"/>
  <c r="AE243" i="19" s="1"/>
  <c r="U227" i="19"/>
  <c r="AE227" i="19" s="1"/>
  <c r="U364" i="19"/>
  <c r="AE364" i="19" s="1"/>
  <c r="U347" i="19"/>
  <c r="AE347" i="19" s="1"/>
  <c r="U343" i="19"/>
  <c r="AE343" i="19" s="1"/>
  <c r="U258" i="19"/>
  <c r="AE258" i="19" s="1"/>
  <c r="U253" i="19"/>
  <c r="AE253" i="19" s="1"/>
  <c r="U233" i="19"/>
  <c r="AE233" i="19" s="1"/>
  <c r="U370" i="19"/>
  <c r="AE370" i="19" s="1"/>
  <c r="U355" i="19"/>
  <c r="AE355" i="19" s="1"/>
  <c r="U284" i="19"/>
  <c r="AE284" i="19" s="1"/>
  <c r="U252" i="19"/>
  <c r="AE252" i="19" s="1"/>
  <c r="U340" i="19"/>
  <c r="AE340" i="19" s="1"/>
  <c r="U306" i="19"/>
  <c r="AE306" i="19" s="1"/>
  <c r="U293" i="19"/>
  <c r="AE293" i="19" s="1"/>
  <c r="U351" i="19"/>
  <c r="AE351" i="19" s="1"/>
  <c r="U320" i="19"/>
  <c r="AE320" i="19" s="1"/>
  <c r="U251" i="19"/>
  <c r="AE251" i="19" s="1"/>
  <c r="U229" i="19"/>
  <c r="AE229" i="19" s="1"/>
  <c r="U500" i="19"/>
  <c r="AE500" i="19" s="1"/>
  <c r="U325" i="19"/>
  <c r="AE325" i="19" s="1"/>
  <c r="U268" i="19"/>
  <c r="AE268" i="19" s="1"/>
  <c r="U516" i="19"/>
  <c r="AE516" i="19" s="1"/>
  <c r="U392" i="19"/>
  <c r="AE392" i="19" s="1"/>
  <c r="U371" i="19"/>
  <c r="AE371" i="19" s="1"/>
  <c r="U329" i="19"/>
  <c r="AE329" i="19" s="1"/>
  <c r="U295" i="19"/>
  <c r="AE295" i="19" s="1"/>
  <c r="U282" i="19"/>
  <c r="AE282" i="19" s="1"/>
  <c r="U265" i="19"/>
  <c r="AE265" i="19" s="1"/>
  <c r="U264" i="19"/>
  <c r="AE264" i="19" s="1"/>
  <c r="U239" i="19"/>
  <c r="AE239" i="19" s="1"/>
  <c r="U231" i="19"/>
  <c r="AE231" i="19" s="1"/>
  <c r="U223" i="19"/>
  <c r="AE223" i="19" s="1"/>
  <c r="U269" i="19"/>
  <c r="AE269" i="19" s="1"/>
  <c r="U261" i="19"/>
  <c r="AE261" i="19" s="1"/>
  <c r="U470" i="19"/>
  <c r="AE470" i="19" s="1"/>
  <c r="U501" i="19"/>
  <c r="AE501" i="19" s="1"/>
  <c r="U267" i="19"/>
  <c r="AE267" i="19" s="1"/>
  <c r="U245" i="19"/>
  <c r="AE245" i="19" s="1"/>
  <c r="U237" i="19"/>
  <c r="AE237" i="19" s="1"/>
  <c r="C621" i="19"/>
  <c r="G74" i="19"/>
  <c r="I76" i="11" s="1"/>
  <c r="C623" i="19"/>
  <c r="D622" i="19" s="1"/>
  <c r="E622" i="19" s="1"/>
  <c r="G34" i="8"/>
  <c r="AC35" i="1"/>
  <c r="K438" i="19"/>
  <c r="K307" i="19"/>
  <c r="K323" i="19"/>
  <c r="K540" i="19"/>
  <c r="K233" i="19"/>
  <c r="K278" i="19"/>
  <c r="K392" i="19"/>
  <c r="K367" i="19"/>
  <c r="K316" i="19"/>
  <c r="K445" i="19"/>
  <c r="K299" i="19"/>
  <c r="K395" i="19"/>
  <c r="K234" i="19"/>
  <c r="K266" i="19"/>
  <c r="K221" i="19"/>
  <c r="K298" i="19"/>
  <c r="K345" i="19"/>
  <c r="K310" i="19"/>
  <c r="K411" i="19"/>
  <c r="K325" i="19"/>
  <c r="K440" i="19"/>
  <c r="K254" i="19"/>
  <c r="K396" i="19"/>
  <c r="K498" i="19"/>
  <c r="K524" i="19"/>
  <c r="K516" i="19"/>
  <c r="K423" i="19"/>
  <c r="K389" i="19"/>
  <c r="K462" i="19"/>
  <c r="K328" i="19"/>
  <c r="K344" i="19"/>
  <c r="K360" i="19"/>
  <c r="K400" i="19"/>
  <c r="K465" i="19"/>
  <c r="K448" i="19"/>
  <c r="K469" i="19"/>
  <c r="K549" i="19"/>
  <c r="K460" i="19"/>
  <c r="K504" i="19"/>
  <c r="K525" i="19"/>
  <c r="K536" i="19"/>
  <c r="K505" i="19"/>
  <c r="K521" i="19"/>
  <c r="K581" i="19"/>
  <c r="K569" i="19"/>
  <c r="K577" i="19"/>
  <c r="E12" i="19"/>
  <c r="D12" i="19"/>
  <c r="D621" i="19"/>
  <c r="N574" i="19"/>
  <c r="X574" i="19" s="1"/>
  <c r="N573" i="19"/>
  <c r="X573" i="19" s="1"/>
  <c r="N558" i="19"/>
  <c r="X558" i="19" s="1"/>
  <c r="N557" i="19"/>
  <c r="X557" i="19" s="1"/>
  <c r="N576" i="19"/>
  <c r="X576" i="19" s="1"/>
  <c r="N570" i="19"/>
  <c r="X570" i="19" s="1"/>
  <c r="N567" i="19"/>
  <c r="X567" i="19" s="1"/>
  <c r="N548" i="19"/>
  <c r="X548" i="19" s="1"/>
  <c r="N580" i="19"/>
  <c r="X580" i="19" s="1"/>
  <c r="N577" i="19"/>
  <c r="X577" i="19" s="1"/>
  <c r="N571" i="19"/>
  <c r="X571" i="19" s="1"/>
  <c r="N560" i="19"/>
  <c r="X560" i="19" s="1"/>
  <c r="N554" i="19"/>
  <c r="X554" i="19" s="1"/>
  <c r="N582" i="19"/>
  <c r="X582" i="19" s="1"/>
  <c r="N581" i="19"/>
  <c r="X581" i="19" s="1"/>
  <c r="N563" i="19"/>
  <c r="X563" i="19" s="1"/>
  <c r="N562" i="19"/>
  <c r="X562" i="19" s="1"/>
  <c r="N561" i="19"/>
  <c r="X561" i="19" s="1"/>
  <c r="N550" i="19"/>
  <c r="X550" i="19" s="1"/>
  <c r="N547" i="19"/>
  <c r="X547" i="19" s="1"/>
  <c r="N531" i="19"/>
  <c r="X531" i="19" s="1"/>
  <c r="N530" i="19"/>
  <c r="X530" i="19" s="1"/>
  <c r="N523" i="19"/>
  <c r="X523" i="19" s="1"/>
  <c r="N578" i="19"/>
  <c r="X578" i="19" s="1"/>
  <c r="N556" i="19"/>
  <c r="X556" i="19" s="1"/>
  <c r="N555" i="19"/>
  <c r="X555" i="19" s="1"/>
  <c r="N549" i="19"/>
  <c r="X549" i="19" s="1"/>
  <c r="N543" i="19"/>
  <c r="X543" i="19" s="1"/>
  <c r="N542" i="19"/>
  <c r="X542" i="19" s="1"/>
  <c r="N527" i="19"/>
  <c r="X527" i="19" s="1"/>
  <c r="N526" i="19"/>
  <c r="X526" i="19" s="1"/>
  <c r="N575" i="19"/>
  <c r="X575" i="19" s="1"/>
  <c r="N566" i="19"/>
  <c r="X566" i="19" s="1"/>
  <c r="N564" i="19"/>
  <c r="X564" i="19" s="1"/>
  <c r="N551" i="19"/>
  <c r="X551" i="19" s="1"/>
  <c r="N532" i="19"/>
  <c r="X532" i="19" s="1"/>
  <c r="N525" i="19"/>
  <c r="X525" i="19" s="1"/>
  <c r="N521" i="19"/>
  <c r="X521" i="19" s="1"/>
  <c r="N520" i="19"/>
  <c r="X520" i="19" s="1"/>
  <c r="N505" i="19"/>
  <c r="X505" i="19" s="1"/>
  <c r="N504" i="19"/>
  <c r="X504" i="19" s="1"/>
  <c r="N538" i="19"/>
  <c r="X538" i="19" s="1"/>
  <c r="N535" i="19"/>
  <c r="X535" i="19" s="1"/>
  <c r="N528" i="19"/>
  <c r="X528" i="19" s="1"/>
  <c r="N519" i="19"/>
  <c r="X519" i="19" s="1"/>
  <c r="N518" i="19"/>
  <c r="X518" i="19" s="1"/>
  <c r="N503" i="19"/>
  <c r="X503" i="19" s="1"/>
  <c r="N502" i="19"/>
  <c r="X502" i="19" s="1"/>
  <c r="N493" i="19"/>
  <c r="X493" i="19" s="1"/>
  <c r="N491" i="19"/>
  <c r="X491" i="19" s="1"/>
  <c r="N489" i="19"/>
  <c r="X489" i="19" s="1"/>
  <c r="N487" i="19"/>
  <c r="X487" i="19" s="1"/>
  <c r="N485" i="19"/>
  <c r="X485" i="19" s="1"/>
  <c r="N483" i="19"/>
  <c r="X483" i="19" s="1"/>
  <c r="N481" i="19"/>
  <c r="X481" i="19" s="1"/>
  <c r="N479" i="19"/>
  <c r="X479" i="19" s="1"/>
  <c r="N477" i="19"/>
  <c r="X477" i="19" s="1"/>
  <c r="N475" i="19"/>
  <c r="X475" i="19" s="1"/>
  <c r="N473" i="19"/>
  <c r="X473" i="19" s="1"/>
  <c r="N471" i="19"/>
  <c r="X471" i="19" s="1"/>
  <c r="N469" i="19"/>
  <c r="X469" i="19" s="1"/>
  <c r="N467" i="19"/>
  <c r="X467" i="19" s="1"/>
  <c r="N465" i="19"/>
  <c r="X465" i="19" s="1"/>
  <c r="N463" i="19"/>
  <c r="X463" i="19" s="1"/>
  <c r="N461" i="19"/>
  <c r="X461" i="19" s="1"/>
  <c r="N459" i="19"/>
  <c r="X459" i="19" s="1"/>
  <c r="N457" i="19"/>
  <c r="X457" i="19" s="1"/>
  <c r="N455" i="19"/>
  <c r="X455" i="19" s="1"/>
  <c r="N453" i="19"/>
  <c r="X453" i="19" s="1"/>
  <c r="N451" i="19"/>
  <c r="X451" i="19" s="1"/>
  <c r="N449" i="19"/>
  <c r="X449" i="19" s="1"/>
  <c r="N447" i="19"/>
  <c r="X447" i="19" s="1"/>
  <c r="N445" i="19"/>
  <c r="X445" i="19" s="1"/>
  <c r="N443" i="19"/>
  <c r="X443" i="19" s="1"/>
  <c r="N441" i="19"/>
  <c r="X441" i="19" s="1"/>
  <c r="N439" i="19"/>
  <c r="X439" i="19" s="1"/>
  <c r="N437" i="19"/>
  <c r="X437" i="19" s="1"/>
  <c r="N435" i="19"/>
  <c r="X435" i="19" s="1"/>
  <c r="N433" i="19"/>
  <c r="X433" i="19" s="1"/>
  <c r="N431" i="19"/>
  <c r="X431" i="19" s="1"/>
  <c r="N429" i="19"/>
  <c r="X429" i="19" s="1"/>
  <c r="N427" i="19"/>
  <c r="X427" i="19" s="1"/>
  <c r="N425" i="19"/>
  <c r="X425" i="19" s="1"/>
  <c r="N423" i="19"/>
  <c r="X423" i="19" s="1"/>
  <c r="N421" i="19"/>
  <c r="X421" i="19" s="1"/>
  <c r="N419" i="19"/>
  <c r="X419" i="19" s="1"/>
  <c r="N417" i="19"/>
  <c r="X417" i="19" s="1"/>
  <c r="N415" i="19"/>
  <c r="X415" i="19" s="1"/>
  <c r="N413" i="19"/>
  <c r="X413" i="19" s="1"/>
  <c r="N411" i="19"/>
  <c r="X411" i="19" s="1"/>
  <c r="N409" i="19"/>
  <c r="X409" i="19" s="1"/>
  <c r="N407" i="19"/>
  <c r="X407" i="19" s="1"/>
  <c r="N405" i="19"/>
  <c r="X405" i="19" s="1"/>
  <c r="N403" i="19"/>
  <c r="X403" i="19" s="1"/>
  <c r="N401" i="19"/>
  <c r="X401" i="19" s="1"/>
  <c r="N399" i="19"/>
  <c r="X399" i="19" s="1"/>
  <c r="N397" i="19"/>
  <c r="X397" i="19" s="1"/>
  <c r="N584" i="19"/>
  <c r="X584" i="19" s="1"/>
  <c r="N569" i="19"/>
  <c r="X569" i="19" s="1"/>
  <c r="N541" i="19"/>
  <c r="X541" i="19" s="1"/>
  <c r="N517" i="19"/>
  <c r="X517" i="19" s="1"/>
  <c r="N516" i="19"/>
  <c r="X516" i="19" s="1"/>
  <c r="N501" i="19"/>
  <c r="X501" i="19" s="1"/>
  <c r="N500" i="19"/>
  <c r="X500" i="19" s="1"/>
  <c r="N579" i="19"/>
  <c r="X579" i="19" s="1"/>
  <c r="N514" i="19"/>
  <c r="X514" i="19" s="1"/>
  <c r="N513" i="19"/>
  <c r="X513" i="19" s="1"/>
  <c r="N480" i="19"/>
  <c r="X480" i="19" s="1"/>
  <c r="N464" i="19"/>
  <c r="X464" i="19" s="1"/>
  <c r="N448" i="19"/>
  <c r="X448" i="19" s="1"/>
  <c r="N432" i="19"/>
  <c r="X432" i="19" s="1"/>
  <c r="N583" i="19"/>
  <c r="X583" i="19" s="1"/>
  <c r="N559" i="19"/>
  <c r="X559" i="19" s="1"/>
  <c r="N536" i="19"/>
  <c r="X536" i="19" s="1"/>
  <c r="N515" i="19"/>
  <c r="X515" i="19" s="1"/>
  <c r="N490" i="19"/>
  <c r="X490" i="19" s="1"/>
  <c r="N474" i="19"/>
  <c r="X474" i="19" s="1"/>
  <c r="N458" i="19"/>
  <c r="X458" i="19" s="1"/>
  <c r="N565" i="19"/>
  <c r="X565" i="19" s="1"/>
  <c r="N540" i="19"/>
  <c r="X540" i="19" s="1"/>
  <c r="N529" i="19"/>
  <c r="X529" i="19" s="1"/>
  <c r="N524" i="19"/>
  <c r="X524" i="19" s="1"/>
  <c r="N484" i="19"/>
  <c r="X484" i="19" s="1"/>
  <c r="N468" i="19"/>
  <c r="X468" i="19" s="1"/>
  <c r="N452" i="19"/>
  <c r="X452" i="19" s="1"/>
  <c r="N552" i="19"/>
  <c r="X552" i="19" s="1"/>
  <c r="N545" i="19"/>
  <c r="X545" i="19" s="1"/>
  <c r="N511" i="19"/>
  <c r="X511" i="19" s="1"/>
  <c r="N495" i="19"/>
  <c r="X495" i="19" s="1"/>
  <c r="N492" i="19"/>
  <c r="X492" i="19" s="1"/>
  <c r="N478" i="19"/>
  <c r="X478" i="19" s="1"/>
  <c r="N420" i="19"/>
  <c r="X420" i="19" s="1"/>
  <c r="N404" i="19"/>
  <c r="X404" i="19" s="1"/>
  <c r="N389" i="19"/>
  <c r="X389" i="19" s="1"/>
  <c r="N381" i="19"/>
  <c r="X381" i="19" s="1"/>
  <c r="N510" i="19"/>
  <c r="X510" i="19" s="1"/>
  <c r="N494" i="19"/>
  <c r="X494" i="19" s="1"/>
  <c r="N470" i="19"/>
  <c r="X470" i="19" s="1"/>
  <c r="N444" i="19"/>
  <c r="X444" i="19" s="1"/>
  <c r="N434" i="19"/>
  <c r="X434" i="19" s="1"/>
  <c r="N422" i="19"/>
  <c r="X422" i="19" s="1"/>
  <c r="N414" i="19"/>
  <c r="X414" i="19" s="1"/>
  <c r="N398" i="19"/>
  <c r="X398" i="19" s="1"/>
  <c r="N392" i="19"/>
  <c r="X392" i="19" s="1"/>
  <c r="N384" i="19"/>
  <c r="X384" i="19" s="1"/>
  <c r="N376" i="19"/>
  <c r="X376" i="19" s="1"/>
  <c r="N539" i="19"/>
  <c r="X539" i="19" s="1"/>
  <c r="N499" i="19"/>
  <c r="X499" i="19" s="1"/>
  <c r="N486" i="19"/>
  <c r="X486" i="19" s="1"/>
  <c r="N472" i="19"/>
  <c r="X472" i="19" s="1"/>
  <c r="N450" i="19"/>
  <c r="X450" i="19" s="1"/>
  <c r="N436" i="19"/>
  <c r="X436" i="19" s="1"/>
  <c r="N424" i="19"/>
  <c r="X424" i="19" s="1"/>
  <c r="N408" i="19"/>
  <c r="X408" i="19" s="1"/>
  <c r="N395" i="19"/>
  <c r="X395" i="19" s="1"/>
  <c r="N387" i="19"/>
  <c r="X387" i="19" s="1"/>
  <c r="N379" i="19"/>
  <c r="X379" i="19" s="1"/>
  <c r="N373" i="19"/>
  <c r="X373" i="19" s="1"/>
  <c r="N371" i="19"/>
  <c r="X371" i="19" s="1"/>
  <c r="N369" i="19"/>
  <c r="X369" i="19" s="1"/>
  <c r="N367" i="19"/>
  <c r="X367" i="19" s="1"/>
  <c r="N365" i="19"/>
  <c r="X365" i="19" s="1"/>
  <c r="N363" i="19"/>
  <c r="X363" i="19" s="1"/>
  <c r="N361" i="19"/>
  <c r="X361" i="19" s="1"/>
  <c r="N359" i="19"/>
  <c r="X359" i="19" s="1"/>
  <c r="N357" i="19"/>
  <c r="X357" i="19" s="1"/>
  <c r="N355" i="19"/>
  <c r="X355" i="19" s="1"/>
  <c r="N353" i="19"/>
  <c r="X353" i="19" s="1"/>
  <c r="N351" i="19"/>
  <c r="X351" i="19" s="1"/>
  <c r="N349" i="19"/>
  <c r="X349" i="19" s="1"/>
  <c r="N347" i="19"/>
  <c r="X347" i="19" s="1"/>
  <c r="N345" i="19"/>
  <c r="X345" i="19" s="1"/>
  <c r="N343" i="19"/>
  <c r="X343" i="19" s="1"/>
  <c r="N341" i="19"/>
  <c r="X341" i="19" s="1"/>
  <c r="N339" i="19"/>
  <c r="X339" i="19" s="1"/>
  <c r="N337" i="19"/>
  <c r="X337" i="19" s="1"/>
  <c r="N335" i="19"/>
  <c r="X335" i="19" s="1"/>
  <c r="N333" i="19"/>
  <c r="X333" i="19" s="1"/>
  <c r="N331" i="19"/>
  <c r="X331" i="19" s="1"/>
  <c r="N329" i="19"/>
  <c r="X329" i="19" s="1"/>
  <c r="N327" i="19"/>
  <c r="X327" i="19" s="1"/>
  <c r="N325" i="19"/>
  <c r="X325" i="19" s="1"/>
  <c r="N323" i="19"/>
  <c r="X323" i="19" s="1"/>
  <c r="N321" i="19"/>
  <c r="X321" i="19" s="1"/>
  <c r="N319" i="19"/>
  <c r="X319" i="19" s="1"/>
  <c r="N317" i="19"/>
  <c r="X317" i="19" s="1"/>
  <c r="N315" i="19"/>
  <c r="X315" i="19" s="1"/>
  <c r="N313" i="19"/>
  <c r="X313" i="19" s="1"/>
  <c r="N311" i="19"/>
  <c r="X311" i="19" s="1"/>
  <c r="N309" i="19"/>
  <c r="X309" i="19" s="1"/>
  <c r="N307" i="19"/>
  <c r="X307" i="19" s="1"/>
  <c r="N305" i="19"/>
  <c r="X305" i="19" s="1"/>
  <c r="N303" i="19"/>
  <c r="X303" i="19" s="1"/>
  <c r="N301" i="19"/>
  <c r="X301" i="19" s="1"/>
  <c r="N299" i="19"/>
  <c r="X299" i="19" s="1"/>
  <c r="N297" i="19"/>
  <c r="X297" i="19" s="1"/>
  <c r="N295" i="19"/>
  <c r="X295" i="19" s="1"/>
  <c r="N293" i="19"/>
  <c r="X293" i="19" s="1"/>
  <c r="N291" i="19"/>
  <c r="X291" i="19" s="1"/>
  <c r="N289" i="19"/>
  <c r="X289" i="19" s="1"/>
  <c r="N287" i="19"/>
  <c r="X287" i="19" s="1"/>
  <c r="N285" i="19"/>
  <c r="X285" i="19" s="1"/>
  <c r="N283" i="19"/>
  <c r="X283" i="19" s="1"/>
  <c r="N281" i="19"/>
  <c r="X281" i="19" s="1"/>
  <c r="N279" i="19"/>
  <c r="X279" i="19" s="1"/>
  <c r="N277" i="19"/>
  <c r="X277" i="19" s="1"/>
  <c r="N275" i="19"/>
  <c r="X275" i="19" s="1"/>
  <c r="N273" i="19"/>
  <c r="X273" i="19" s="1"/>
  <c r="N271" i="19"/>
  <c r="X271" i="19" s="1"/>
  <c r="N269" i="19"/>
  <c r="X269" i="19" s="1"/>
  <c r="N267" i="19"/>
  <c r="X267" i="19" s="1"/>
  <c r="N265" i="19"/>
  <c r="X265" i="19" s="1"/>
  <c r="N263" i="19"/>
  <c r="X263" i="19" s="1"/>
  <c r="N261" i="19"/>
  <c r="X261" i="19" s="1"/>
  <c r="N259" i="19"/>
  <c r="X259" i="19" s="1"/>
  <c r="N533" i="19"/>
  <c r="X533" i="19" s="1"/>
  <c r="N512" i="19"/>
  <c r="X512" i="19" s="1"/>
  <c r="N426" i="19"/>
  <c r="X426" i="19" s="1"/>
  <c r="N418" i="19"/>
  <c r="X418" i="19" s="1"/>
  <c r="N390" i="19"/>
  <c r="X390" i="19" s="1"/>
  <c r="N553" i="19"/>
  <c r="X553" i="19" s="1"/>
  <c r="N544" i="19"/>
  <c r="X544" i="19" s="1"/>
  <c r="N509" i="19"/>
  <c r="X509" i="19" s="1"/>
  <c r="N497" i="19"/>
  <c r="X497" i="19" s="1"/>
  <c r="N454" i="19"/>
  <c r="X454" i="19" s="1"/>
  <c r="N410" i="19"/>
  <c r="X410" i="19" s="1"/>
  <c r="N393" i="19"/>
  <c r="X393" i="19" s="1"/>
  <c r="N568" i="19"/>
  <c r="X568" i="19" s="1"/>
  <c r="N506" i="19"/>
  <c r="X506" i="19" s="1"/>
  <c r="N460" i="19"/>
  <c r="X460" i="19" s="1"/>
  <c r="N406" i="19"/>
  <c r="X406" i="19" s="1"/>
  <c r="N391" i="19"/>
  <c r="X391" i="19" s="1"/>
  <c r="N508" i="19"/>
  <c r="X508" i="19" s="1"/>
  <c r="N358" i="19"/>
  <c r="X358" i="19" s="1"/>
  <c r="N342" i="19"/>
  <c r="X342" i="19" s="1"/>
  <c r="N326" i="19"/>
  <c r="X326" i="19" s="1"/>
  <c r="N537" i="19"/>
  <c r="X537" i="19" s="1"/>
  <c r="N476" i="19"/>
  <c r="X476" i="19" s="1"/>
  <c r="N446" i="19"/>
  <c r="X446" i="19" s="1"/>
  <c r="N400" i="19"/>
  <c r="X400" i="19" s="1"/>
  <c r="N362" i="19"/>
  <c r="X362" i="19" s="1"/>
  <c r="N346" i="19"/>
  <c r="X346" i="19" s="1"/>
  <c r="N330" i="19"/>
  <c r="X330" i="19" s="1"/>
  <c r="N496" i="19"/>
  <c r="X496" i="19" s="1"/>
  <c r="N488" i="19"/>
  <c r="X488" i="19" s="1"/>
  <c r="N462" i="19"/>
  <c r="X462" i="19" s="1"/>
  <c r="N438" i="19"/>
  <c r="X438" i="19" s="1"/>
  <c r="N430" i="19"/>
  <c r="X430" i="19" s="1"/>
  <c r="N416" i="19"/>
  <c r="X416" i="19" s="1"/>
  <c r="N380" i="19"/>
  <c r="X380" i="19" s="1"/>
  <c r="N498" i="19"/>
  <c r="X498" i="19" s="1"/>
  <c r="N456" i="19"/>
  <c r="X456" i="19" s="1"/>
  <c r="N428" i="19"/>
  <c r="X428" i="19" s="1"/>
  <c r="N394" i="19"/>
  <c r="X394" i="19" s="1"/>
  <c r="N372" i="19"/>
  <c r="X372" i="19" s="1"/>
  <c r="N366" i="19"/>
  <c r="X366" i="19" s="1"/>
  <c r="N352" i="19"/>
  <c r="X352" i="19" s="1"/>
  <c r="N338" i="19"/>
  <c r="X338" i="19" s="1"/>
  <c r="N316" i="19"/>
  <c r="X316" i="19" s="1"/>
  <c r="N507" i="19"/>
  <c r="X507" i="19" s="1"/>
  <c r="N466" i="19"/>
  <c r="X466" i="19" s="1"/>
  <c r="N442" i="19"/>
  <c r="X442" i="19" s="1"/>
  <c r="N402" i="19"/>
  <c r="X402" i="19" s="1"/>
  <c r="N385" i="19"/>
  <c r="X385" i="19" s="1"/>
  <c r="N334" i="19"/>
  <c r="X334" i="19" s="1"/>
  <c r="N534" i="19"/>
  <c r="X534" i="19" s="1"/>
  <c r="N382" i="19"/>
  <c r="X382" i="19" s="1"/>
  <c r="N370" i="19"/>
  <c r="X370" i="19" s="1"/>
  <c r="N360" i="19"/>
  <c r="X360" i="19" s="1"/>
  <c r="N306" i="19"/>
  <c r="X306" i="19" s="1"/>
  <c r="N302" i="19"/>
  <c r="X302" i="19" s="1"/>
  <c r="N290" i="19"/>
  <c r="X290" i="19" s="1"/>
  <c r="N288" i="19"/>
  <c r="X288" i="19" s="1"/>
  <c r="N286" i="19"/>
  <c r="X286" i="19" s="1"/>
  <c r="N260" i="19"/>
  <c r="X260" i="19" s="1"/>
  <c r="N246" i="19"/>
  <c r="X246" i="19" s="1"/>
  <c r="N224" i="19"/>
  <c r="X224" i="19" s="1"/>
  <c r="N388" i="19"/>
  <c r="X388" i="19" s="1"/>
  <c r="N375" i="19"/>
  <c r="X375" i="19" s="1"/>
  <c r="N368" i="19"/>
  <c r="X368" i="19" s="1"/>
  <c r="N364" i="19"/>
  <c r="X364" i="19" s="1"/>
  <c r="N292" i="19"/>
  <c r="X292" i="19" s="1"/>
  <c r="N222" i="19"/>
  <c r="X222" i="19" s="1"/>
  <c r="N482" i="19"/>
  <c r="X482" i="19" s="1"/>
  <c r="N412" i="19"/>
  <c r="X412" i="19" s="1"/>
  <c r="N350" i="19"/>
  <c r="X350" i="19" s="1"/>
  <c r="N324" i="19"/>
  <c r="X324" i="19" s="1"/>
  <c r="N320" i="19"/>
  <c r="X320" i="19" s="1"/>
  <c r="N314" i="19"/>
  <c r="X314" i="19" s="1"/>
  <c r="N310" i="19"/>
  <c r="X310" i="19" s="1"/>
  <c r="N296" i="19"/>
  <c r="X296" i="19" s="1"/>
  <c r="N294" i="19"/>
  <c r="X294" i="19" s="1"/>
  <c r="N264" i="19"/>
  <c r="X264" i="19" s="1"/>
  <c r="N257" i="19"/>
  <c r="X257" i="19" s="1"/>
  <c r="N220" i="19"/>
  <c r="X220" i="19" s="1"/>
  <c r="N383" i="19"/>
  <c r="X383" i="19" s="1"/>
  <c r="N272" i="19"/>
  <c r="X272" i="19" s="1"/>
  <c r="N268" i="19"/>
  <c r="X268" i="19" s="1"/>
  <c r="N249" i="19"/>
  <c r="X249" i="19" s="1"/>
  <c r="N248" i="19"/>
  <c r="X248" i="19" s="1"/>
  <c r="N234" i="19"/>
  <c r="X234" i="19" s="1"/>
  <c r="N233" i="19"/>
  <c r="X233" i="19" s="1"/>
  <c r="N223" i="19"/>
  <c r="X223" i="19" s="1"/>
  <c r="N378" i="19"/>
  <c r="X378" i="19" s="1"/>
  <c r="N374" i="19"/>
  <c r="X374" i="19" s="1"/>
  <c r="N300" i="19"/>
  <c r="X300" i="19" s="1"/>
  <c r="N276" i="19"/>
  <c r="X276" i="19" s="1"/>
  <c r="N262" i="19"/>
  <c r="X262" i="19" s="1"/>
  <c r="N251" i="19"/>
  <c r="X251" i="19" s="1"/>
  <c r="N250" i="19"/>
  <c r="X250" i="19" s="1"/>
  <c r="N244" i="19"/>
  <c r="X244" i="19" s="1"/>
  <c r="N243" i="19"/>
  <c r="X243" i="19" s="1"/>
  <c r="N228" i="19"/>
  <c r="X228" i="19" s="1"/>
  <c r="N227" i="19"/>
  <c r="X227" i="19" s="1"/>
  <c r="N219" i="19"/>
  <c r="X219" i="19" s="1"/>
  <c r="N354" i="19"/>
  <c r="X354" i="19" s="1"/>
  <c r="N332" i="19"/>
  <c r="X332" i="19" s="1"/>
  <c r="N328" i="19"/>
  <c r="X328" i="19" s="1"/>
  <c r="N308" i="19"/>
  <c r="X308" i="19" s="1"/>
  <c r="N236" i="19"/>
  <c r="X236" i="19" s="1"/>
  <c r="N235" i="19"/>
  <c r="X235" i="19" s="1"/>
  <c r="N221" i="19"/>
  <c r="X221" i="19" s="1"/>
  <c r="N282" i="19"/>
  <c r="X282" i="19" s="1"/>
  <c r="N266" i="19"/>
  <c r="X266" i="19" s="1"/>
  <c r="N254" i="19"/>
  <c r="X254" i="19" s="1"/>
  <c r="N231" i="19"/>
  <c r="X231" i="19" s="1"/>
  <c r="N226" i="19"/>
  <c r="X226" i="19" s="1"/>
  <c r="N322" i="19"/>
  <c r="X322" i="19" s="1"/>
  <c r="N270" i="19"/>
  <c r="X270" i="19" s="1"/>
  <c r="N258" i="19"/>
  <c r="X258" i="19" s="1"/>
  <c r="N225" i="19"/>
  <c r="X225" i="19" s="1"/>
  <c r="N546" i="19"/>
  <c r="X546" i="19" s="1"/>
  <c r="N522" i="19"/>
  <c r="X522" i="19" s="1"/>
  <c r="N386" i="19"/>
  <c r="X386" i="19" s="1"/>
  <c r="N318" i="19"/>
  <c r="X318" i="19" s="1"/>
  <c r="N252" i="19"/>
  <c r="X252" i="19" s="1"/>
  <c r="N396" i="19"/>
  <c r="X396" i="19" s="1"/>
  <c r="N278" i="19"/>
  <c r="X278" i="19" s="1"/>
  <c r="N274" i="19"/>
  <c r="X274" i="19" s="1"/>
  <c r="N253" i="19"/>
  <c r="X253" i="19" s="1"/>
  <c r="N242" i="19"/>
  <c r="X242" i="19" s="1"/>
  <c r="N239" i="19"/>
  <c r="X239" i="19" s="1"/>
  <c r="N241" i="19"/>
  <c r="X241" i="19" s="1"/>
  <c r="N377" i="19"/>
  <c r="X377" i="19" s="1"/>
  <c r="N344" i="19"/>
  <c r="X344" i="19" s="1"/>
  <c r="N256" i="19"/>
  <c r="X256" i="19" s="1"/>
  <c r="N440" i="19"/>
  <c r="X440" i="19" s="1"/>
  <c r="N348" i="19"/>
  <c r="X348" i="19" s="1"/>
  <c r="N255" i="19"/>
  <c r="X255" i="19" s="1"/>
  <c r="N237" i="19"/>
  <c r="X237" i="19" s="1"/>
  <c r="N232" i="19"/>
  <c r="X232" i="19" s="1"/>
  <c r="N229" i="19"/>
  <c r="X229" i="19" s="1"/>
  <c r="N572" i="19"/>
  <c r="X572" i="19" s="1"/>
  <c r="N312" i="19"/>
  <c r="X312" i="19" s="1"/>
  <c r="N284" i="19"/>
  <c r="X284" i="19" s="1"/>
  <c r="N247" i="19"/>
  <c r="X247" i="19" s="1"/>
  <c r="N238" i="19"/>
  <c r="X238" i="19" s="1"/>
  <c r="N245" i="19"/>
  <c r="X245" i="19" s="1"/>
  <c r="N336" i="19"/>
  <c r="X336" i="19" s="1"/>
  <c r="N280" i="19"/>
  <c r="X280" i="19" s="1"/>
  <c r="N230" i="19"/>
  <c r="X230" i="19" s="1"/>
  <c r="N298" i="19"/>
  <c r="X298" i="19" s="1"/>
  <c r="N240" i="19"/>
  <c r="X240" i="19" s="1"/>
  <c r="N304" i="19"/>
  <c r="X304" i="19" s="1"/>
  <c r="N340" i="19"/>
  <c r="X340" i="19" s="1"/>
  <c r="N356" i="19"/>
  <c r="X356" i="19" s="1"/>
  <c r="C613" i="19"/>
  <c r="R583" i="19"/>
  <c r="AB583" i="19" s="1"/>
  <c r="R582" i="19"/>
  <c r="AB582" i="19" s="1"/>
  <c r="R567" i="19"/>
  <c r="AB567" i="19" s="1"/>
  <c r="R566" i="19"/>
  <c r="AB566" i="19" s="1"/>
  <c r="R551" i="19"/>
  <c r="AB551" i="19" s="1"/>
  <c r="R550" i="19"/>
  <c r="AB550" i="19" s="1"/>
  <c r="R571" i="19"/>
  <c r="AB571" i="19" s="1"/>
  <c r="R568" i="19"/>
  <c r="AB568" i="19" s="1"/>
  <c r="R565" i="19"/>
  <c r="AB565" i="19" s="1"/>
  <c r="R562" i="19"/>
  <c r="AB562" i="19" s="1"/>
  <c r="R579" i="19"/>
  <c r="AB579" i="19" s="1"/>
  <c r="R576" i="19"/>
  <c r="AB576" i="19" s="1"/>
  <c r="R553" i="19"/>
  <c r="AB553" i="19" s="1"/>
  <c r="R577" i="19"/>
  <c r="AB577" i="19" s="1"/>
  <c r="R575" i="19"/>
  <c r="AB575" i="19" s="1"/>
  <c r="R557" i="19"/>
  <c r="AB557" i="19" s="1"/>
  <c r="R556" i="19"/>
  <c r="AB556" i="19" s="1"/>
  <c r="R549" i="19"/>
  <c r="AB549" i="19" s="1"/>
  <c r="R546" i="19"/>
  <c r="AB546" i="19" s="1"/>
  <c r="R540" i="19"/>
  <c r="AB540" i="19" s="1"/>
  <c r="R539" i="19"/>
  <c r="AB539" i="19" s="1"/>
  <c r="R524" i="19"/>
  <c r="AB524" i="19" s="1"/>
  <c r="R570" i="19"/>
  <c r="AB570" i="19" s="1"/>
  <c r="R552" i="19"/>
  <c r="AB552" i="19" s="1"/>
  <c r="R548" i="19"/>
  <c r="AB548" i="19" s="1"/>
  <c r="R536" i="19"/>
  <c r="AB536" i="19" s="1"/>
  <c r="R535" i="19"/>
  <c r="AB535" i="19" s="1"/>
  <c r="R569" i="19"/>
  <c r="AB569" i="19" s="1"/>
  <c r="R558" i="19"/>
  <c r="AB558" i="19" s="1"/>
  <c r="R541" i="19"/>
  <c r="AB541" i="19" s="1"/>
  <c r="R534" i="19"/>
  <c r="AB534" i="19" s="1"/>
  <c r="R514" i="19"/>
  <c r="AB514" i="19" s="1"/>
  <c r="R513" i="19"/>
  <c r="AB513" i="19" s="1"/>
  <c r="R498" i="19"/>
  <c r="AB498" i="19" s="1"/>
  <c r="R497" i="19"/>
  <c r="AB497" i="19" s="1"/>
  <c r="R580" i="19"/>
  <c r="AB580" i="19" s="1"/>
  <c r="R578" i="19"/>
  <c r="AB578" i="19" s="1"/>
  <c r="R554" i="19"/>
  <c r="AB554" i="19" s="1"/>
  <c r="R537" i="19"/>
  <c r="AB537" i="19" s="1"/>
  <c r="R527" i="19"/>
  <c r="AB527" i="19" s="1"/>
  <c r="R512" i="19"/>
  <c r="AB512" i="19" s="1"/>
  <c r="R511" i="19"/>
  <c r="AB511" i="19" s="1"/>
  <c r="R496" i="19"/>
  <c r="AB496" i="19" s="1"/>
  <c r="R495" i="19"/>
  <c r="AB495" i="19" s="1"/>
  <c r="R492" i="19"/>
  <c r="AB492" i="19" s="1"/>
  <c r="R490" i="19"/>
  <c r="AB490" i="19" s="1"/>
  <c r="R488" i="19"/>
  <c r="AB488" i="19" s="1"/>
  <c r="R486" i="19"/>
  <c r="AB486" i="19" s="1"/>
  <c r="R484" i="19"/>
  <c r="AB484" i="19" s="1"/>
  <c r="R482" i="19"/>
  <c r="AB482" i="19" s="1"/>
  <c r="R480" i="19"/>
  <c r="AB480" i="19" s="1"/>
  <c r="R478" i="19"/>
  <c r="AB478" i="19" s="1"/>
  <c r="R476" i="19"/>
  <c r="AB476" i="19" s="1"/>
  <c r="R474" i="19"/>
  <c r="AB474" i="19" s="1"/>
  <c r="R472" i="19"/>
  <c r="AB472" i="19" s="1"/>
  <c r="R470" i="19"/>
  <c r="AB470" i="19" s="1"/>
  <c r="R468" i="19"/>
  <c r="AB468" i="19" s="1"/>
  <c r="R466" i="19"/>
  <c r="AB466" i="19" s="1"/>
  <c r="R464" i="19"/>
  <c r="AB464" i="19" s="1"/>
  <c r="R462" i="19"/>
  <c r="AB462" i="19" s="1"/>
  <c r="R460" i="19"/>
  <c r="AB460" i="19" s="1"/>
  <c r="R458" i="19"/>
  <c r="AB458" i="19" s="1"/>
  <c r="R456" i="19"/>
  <c r="AB456" i="19" s="1"/>
  <c r="R454" i="19"/>
  <c r="AB454" i="19" s="1"/>
  <c r="R452" i="19"/>
  <c r="AB452" i="19" s="1"/>
  <c r="R450" i="19"/>
  <c r="AB450" i="19" s="1"/>
  <c r="R448" i="19"/>
  <c r="AB448" i="19" s="1"/>
  <c r="R446" i="19"/>
  <c r="AB446" i="19" s="1"/>
  <c r="R444" i="19"/>
  <c r="AB444" i="19" s="1"/>
  <c r="R442" i="19"/>
  <c r="AB442" i="19" s="1"/>
  <c r="R440" i="19"/>
  <c r="AB440" i="19" s="1"/>
  <c r="R438" i="19"/>
  <c r="AB438" i="19" s="1"/>
  <c r="R436" i="19"/>
  <c r="AB436" i="19" s="1"/>
  <c r="R434" i="19"/>
  <c r="AB434" i="19" s="1"/>
  <c r="R432" i="19"/>
  <c r="AB432" i="19" s="1"/>
  <c r="R430" i="19"/>
  <c r="AB430" i="19" s="1"/>
  <c r="R428" i="19"/>
  <c r="AB428" i="19" s="1"/>
  <c r="R426" i="19"/>
  <c r="AB426" i="19" s="1"/>
  <c r="R424" i="19"/>
  <c r="AB424" i="19" s="1"/>
  <c r="R422" i="19"/>
  <c r="AB422" i="19" s="1"/>
  <c r="R420" i="19"/>
  <c r="AB420" i="19" s="1"/>
  <c r="R418" i="19"/>
  <c r="AB418" i="19" s="1"/>
  <c r="R416" i="19"/>
  <c r="AB416" i="19" s="1"/>
  <c r="R414" i="19"/>
  <c r="AB414" i="19" s="1"/>
  <c r="R412" i="19"/>
  <c r="AB412" i="19" s="1"/>
  <c r="R410" i="19"/>
  <c r="AB410" i="19" s="1"/>
  <c r="R408" i="19"/>
  <c r="AB408" i="19" s="1"/>
  <c r="R406" i="19"/>
  <c r="AB406" i="19" s="1"/>
  <c r="R404" i="19"/>
  <c r="AB404" i="19" s="1"/>
  <c r="R402" i="19"/>
  <c r="AB402" i="19" s="1"/>
  <c r="R400" i="19"/>
  <c r="AB400" i="19" s="1"/>
  <c r="R398" i="19"/>
  <c r="AB398" i="19" s="1"/>
  <c r="R563" i="19"/>
  <c r="AB563" i="19" s="1"/>
  <c r="R545" i="19"/>
  <c r="AB545" i="19" s="1"/>
  <c r="R533" i="19"/>
  <c r="AB533" i="19" s="1"/>
  <c r="R530" i="19"/>
  <c r="AB530" i="19" s="1"/>
  <c r="R510" i="19"/>
  <c r="AB510" i="19" s="1"/>
  <c r="R509" i="19"/>
  <c r="AB509" i="19" s="1"/>
  <c r="R494" i="19"/>
  <c r="AB494" i="19" s="1"/>
  <c r="R584" i="19"/>
  <c r="AB584" i="19" s="1"/>
  <c r="R561" i="19"/>
  <c r="AB561" i="19" s="1"/>
  <c r="R559" i="19"/>
  <c r="AB559" i="19" s="1"/>
  <c r="R515" i="19"/>
  <c r="AB515" i="19" s="1"/>
  <c r="R505" i="19"/>
  <c r="AB505" i="19" s="1"/>
  <c r="R504" i="19"/>
  <c r="AB504" i="19" s="1"/>
  <c r="R489" i="19"/>
  <c r="AB489" i="19" s="1"/>
  <c r="R473" i="19"/>
  <c r="AB473" i="19" s="1"/>
  <c r="R457" i="19"/>
  <c r="AB457" i="19" s="1"/>
  <c r="R441" i="19"/>
  <c r="AB441" i="19" s="1"/>
  <c r="R425" i="19"/>
  <c r="AB425" i="19" s="1"/>
  <c r="R564" i="19"/>
  <c r="AB564" i="19" s="1"/>
  <c r="R560" i="19"/>
  <c r="AB560" i="19" s="1"/>
  <c r="R547" i="19"/>
  <c r="AB547" i="19" s="1"/>
  <c r="R538" i="19"/>
  <c r="AB538" i="19" s="1"/>
  <c r="R531" i="19"/>
  <c r="AB531" i="19" s="1"/>
  <c r="R517" i="19"/>
  <c r="AB517" i="19" s="1"/>
  <c r="R516" i="19"/>
  <c r="AB516" i="19" s="1"/>
  <c r="R507" i="19"/>
  <c r="AB507" i="19" s="1"/>
  <c r="R506" i="19"/>
  <c r="AB506" i="19" s="1"/>
  <c r="R483" i="19"/>
  <c r="AB483" i="19" s="1"/>
  <c r="R467" i="19"/>
  <c r="AB467" i="19" s="1"/>
  <c r="R526" i="19"/>
  <c r="AB526" i="19" s="1"/>
  <c r="R519" i="19"/>
  <c r="AB519" i="19" s="1"/>
  <c r="R518" i="19"/>
  <c r="AB518" i="19" s="1"/>
  <c r="R508" i="19"/>
  <c r="AB508" i="19" s="1"/>
  <c r="R493" i="19"/>
  <c r="AB493" i="19" s="1"/>
  <c r="R477" i="19"/>
  <c r="AB477" i="19" s="1"/>
  <c r="R461" i="19"/>
  <c r="AB461" i="19" s="1"/>
  <c r="R445" i="19"/>
  <c r="AB445" i="19" s="1"/>
  <c r="R581" i="19"/>
  <c r="AB581" i="19" s="1"/>
  <c r="R543" i="19"/>
  <c r="AB543" i="19" s="1"/>
  <c r="R529" i="19"/>
  <c r="AB529" i="19" s="1"/>
  <c r="R500" i="19"/>
  <c r="AB500" i="19" s="1"/>
  <c r="R475" i="19"/>
  <c r="AB475" i="19" s="1"/>
  <c r="R447" i="19"/>
  <c r="AB447" i="19" s="1"/>
  <c r="R413" i="19"/>
  <c r="AB413" i="19" s="1"/>
  <c r="R397" i="19"/>
  <c r="AB397" i="19" s="1"/>
  <c r="R390" i="19"/>
  <c r="AB390" i="19" s="1"/>
  <c r="R382" i="19"/>
  <c r="AB382" i="19" s="1"/>
  <c r="R374" i="19"/>
  <c r="AB374" i="19" s="1"/>
  <c r="R573" i="19"/>
  <c r="AB573" i="19" s="1"/>
  <c r="R499" i="19"/>
  <c r="AB499" i="19" s="1"/>
  <c r="R491" i="19"/>
  <c r="AB491" i="19" s="1"/>
  <c r="R453" i="19"/>
  <c r="AB453" i="19" s="1"/>
  <c r="R437" i="19"/>
  <c r="AB437" i="19" s="1"/>
  <c r="R407" i="19"/>
  <c r="AB407" i="19" s="1"/>
  <c r="R393" i="19"/>
  <c r="AB393" i="19" s="1"/>
  <c r="R385" i="19"/>
  <c r="AB385" i="19" s="1"/>
  <c r="R377" i="19"/>
  <c r="AB377" i="19" s="1"/>
  <c r="R532" i="19"/>
  <c r="AB532" i="19" s="1"/>
  <c r="R469" i="19"/>
  <c r="AB469" i="19" s="1"/>
  <c r="R439" i="19"/>
  <c r="AB439" i="19" s="1"/>
  <c r="R427" i="19"/>
  <c r="AB427" i="19" s="1"/>
  <c r="R417" i="19"/>
  <c r="AB417" i="19" s="1"/>
  <c r="R401" i="19"/>
  <c r="AB401" i="19" s="1"/>
  <c r="R396" i="19"/>
  <c r="AB396" i="19" s="1"/>
  <c r="R388" i="19"/>
  <c r="AB388" i="19" s="1"/>
  <c r="R380" i="19"/>
  <c r="AB380" i="19" s="1"/>
  <c r="R372" i="19"/>
  <c r="AB372" i="19" s="1"/>
  <c r="R370" i="19"/>
  <c r="AB370" i="19" s="1"/>
  <c r="R368" i="19"/>
  <c r="AB368" i="19" s="1"/>
  <c r="R366" i="19"/>
  <c r="AB366" i="19" s="1"/>
  <c r="R364" i="19"/>
  <c r="AB364" i="19" s="1"/>
  <c r="R362" i="19"/>
  <c r="AB362" i="19" s="1"/>
  <c r="R360" i="19"/>
  <c r="AB360" i="19" s="1"/>
  <c r="R358" i="19"/>
  <c r="AB358" i="19" s="1"/>
  <c r="R356" i="19"/>
  <c r="AB356" i="19" s="1"/>
  <c r="R354" i="19"/>
  <c r="AB354" i="19" s="1"/>
  <c r="R352" i="19"/>
  <c r="AB352" i="19" s="1"/>
  <c r="R350" i="19"/>
  <c r="AB350" i="19" s="1"/>
  <c r="R348" i="19"/>
  <c r="AB348" i="19" s="1"/>
  <c r="R346" i="19"/>
  <c r="AB346" i="19" s="1"/>
  <c r="R344" i="19"/>
  <c r="AB344" i="19" s="1"/>
  <c r="R342" i="19"/>
  <c r="AB342" i="19" s="1"/>
  <c r="R340" i="19"/>
  <c r="AB340" i="19" s="1"/>
  <c r="R338" i="19"/>
  <c r="AB338" i="19" s="1"/>
  <c r="R336" i="19"/>
  <c r="AB336" i="19" s="1"/>
  <c r="R334" i="19"/>
  <c r="AB334" i="19" s="1"/>
  <c r="R332" i="19"/>
  <c r="AB332" i="19" s="1"/>
  <c r="R330" i="19"/>
  <c r="AB330" i="19" s="1"/>
  <c r="R328" i="19"/>
  <c r="AB328" i="19" s="1"/>
  <c r="R326" i="19"/>
  <c r="AB326" i="19" s="1"/>
  <c r="R324" i="19"/>
  <c r="AB324" i="19" s="1"/>
  <c r="R322" i="19"/>
  <c r="AB322" i="19" s="1"/>
  <c r="R320" i="19"/>
  <c r="AB320" i="19" s="1"/>
  <c r="R318" i="19"/>
  <c r="AB318" i="19" s="1"/>
  <c r="R316" i="19"/>
  <c r="AB316" i="19" s="1"/>
  <c r="R314" i="19"/>
  <c r="AB314" i="19" s="1"/>
  <c r="R312" i="19"/>
  <c r="AB312" i="19" s="1"/>
  <c r="R310" i="19"/>
  <c r="AB310" i="19" s="1"/>
  <c r="R308" i="19"/>
  <c r="AB308" i="19" s="1"/>
  <c r="R306" i="19"/>
  <c r="AB306" i="19" s="1"/>
  <c r="R304" i="19"/>
  <c r="AB304" i="19" s="1"/>
  <c r="R302" i="19"/>
  <c r="AB302" i="19" s="1"/>
  <c r="R300" i="19"/>
  <c r="AB300" i="19" s="1"/>
  <c r="R298" i="19"/>
  <c r="AB298" i="19" s="1"/>
  <c r="R296" i="19"/>
  <c r="AB296" i="19" s="1"/>
  <c r="R294" i="19"/>
  <c r="AB294" i="19" s="1"/>
  <c r="R292" i="19"/>
  <c r="AB292" i="19" s="1"/>
  <c r="R290" i="19"/>
  <c r="AB290" i="19" s="1"/>
  <c r="R288" i="19"/>
  <c r="AB288" i="19" s="1"/>
  <c r="R286" i="19"/>
  <c r="AB286" i="19" s="1"/>
  <c r="R284" i="19"/>
  <c r="AB284" i="19" s="1"/>
  <c r="R282" i="19"/>
  <c r="AB282" i="19" s="1"/>
  <c r="R280" i="19"/>
  <c r="AB280" i="19" s="1"/>
  <c r="R278" i="19"/>
  <c r="AB278" i="19" s="1"/>
  <c r="R276" i="19"/>
  <c r="AB276" i="19" s="1"/>
  <c r="R274" i="19"/>
  <c r="AB274" i="19" s="1"/>
  <c r="R272" i="19"/>
  <c r="AB272" i="19" s="1"/>
  <c r="R270" i="19"/>
  <c r="AB270" i="19" s="1"/>
  <c r="R268" i="19"/>
  <c r="AB268" i="19" s="1"/>
  <c r="R266" i="19"/>
  <c r="AB266" i="19" s="1"/>
  <c r="R264" i="19"/>
  <c r="AB264" i="19" s="1"/>
  <c r="R262" i="19"/>
  <c r="AB262" i="19" s="1"/>
  <c r="R260" i="19"/>
  <c r="AB260" i="19" s="1"/>
  <c r="R258" i="19"/>
  <c r="AB258" i="19" s="1"/>
  <c r="R544" i="19"/>
  <c r="AB544" i="19" s="1"/>
  <c r="R542" i="19"/>
  <c r="AB542" i="19" s="1"/>
  <c r="R521" i="19"/>
  <c r="AB521" i="19" s="1"/>
  <c r="R465" i="19"/>
  <c r="AB465" i="19" s="1"/>
  <c r="R449" i="19"/>
  <c r="AB449" i="19" s="1"/>
  <c r="R431" i="19"/>
  <c r="AB431" i="19" s="1"/>
  <c r="R421" i="19"/>
  <c r="AB421" i="19" s="1"/>
  <c r="R415" i="19"/>
  <c r="AB415" i="19" s="1"/>
  <c r="R379" i="19"/>
  <c r="AB379" i="19" s="1"/>
  <c r="R572" i="19"/>
  <c r="AB572" i="19" s="1"/>
  <c r="R501" i="19"/>
  <c r="AB501" i="19" s="1"/>
  <c r="R487" i="19"/>
  <c r="AB487" i="19" s="1"/>
  <c r="R479" i="19"/>
  <c r="AB479" i="19" s="1"/>
  <c r="R443" i="19"/>
  <c r="AB443" i="19" s="1"/>
  <c r="R391" i="19"/>
  <c r="AB391" i="19" s="1"/>
  <c r="R555" i="19"/>
  <c r="AB555" i="19" s="1"/>
  <c r="R525" i="19"/>
  <c r="AB525" i="19" s="1"/>
  <c r="R503" i="19"/>
  <c r="AB503" i="19" s="1"/>
  <c r="R403" i="19"/>
  <c r="AB403" i="19" s="1"/>
  <c r="R463" i="19"/>
  <c r="AB463" i="19" s="1"/>
  <c r="R451" i="19"/>
  <c r="AB451" i="19" s="1"/>
  <c r="R399" i="19"/>
  <c r="AB399" i="19" s="1"/>
  <c r="R378" i="19"/>
  <c r="AB378" i="19" s="1"/>
  <c r="R376" i="19"/>
  <c r="AB376" i="19" s="1"/>
  <c r="R369" i="19"/>
  <c r="AB369" i="19" s="1"/>
  <c r="R367" i="19"/>
  <c r="AB367" i="19" s="1"/>
  <c r="R351" i="19"/>
  <c r="AB351" i="19" s="1"/>
  <c r="R335" i="19"/>
  <c r="AB335" i="19" s="1"/>
  <c r="R319" i="19"/>
  <c r="AB319" i="19" s="1"/>
  <c r="R265" i="19"/>
  <c r="AB265" i="19" s="1"/>
  <c r="R528" i="19"/>
  <c r="AB528" i="19" s="1"/>
  <c r="R522" i="19"/>
  <c r="AB522" i="19" s="1"/>
  <c r="R485" i="19"/>
  <c r="AB485" i="19" s="1"/>
  <c r="R433" i="19"/>
  <c r="AB433" i="19" s="1"/>
  <c r="R389" i="19"/>
  <c r="AB389" i="19" s="1"/>
  <c r="R387" i="19"/>
  <c r="AB387" i="19" s="1"/>
  <c r="R375" i="19"/>
  <c r="AB375" i="19" s="1"/>
  <c r="R355" i="19"/>
  <c r="AB355" i="19" s="1"/>
  <c r="R339" i="19"/>
  <c r="AB339" i="19" s="1"/>
  <c r="R323" i="19"/>
  <c r="AB323" i="19" s="1"/>
  <c r="R471" i="19"/>
  <c r="AB471" i="19" s="1"/>
  <c r="R574" i="19"/>
  <c r="AB574" i="19" s="1"/>
  <c r="R502" i="19"/>
  <c r="AB502" i="19" s="1"/>
  <c r="R459" i="19"/>
  <c r="AB459" i="19" s="1"/>
  <c r="R409" i="19"/>
  <c r="AB409" i="19" s="1"/>
  <c r="R361" i="19"/>
  <c r="AB361" i="19" s="1"/>
  <c r="R347" i="19"/>
  <c r="AB347" i="19" s="1"/>
  <c r="R481" i="19"/>
  <c r="AB481" i="19" s="1"/>
  <c r="R405" i="19"/>
  <c r="AB405" i="19" s="1"/>
  <c r="R384" i="19"/>
  <c r="AB384" i="19" s="1"/>
  <c r="R383" i="19"/>
  <c r="AB383" i="19" s="1"/>
  <c r="R343" i="19"/>
  <c r="AB343" i="19" s="1"/>
  <c r="R329" i="19"/>
  <c r="AB329" i="19" s="1"/>
  <c r="R520" i="19"/>
  <c r="AB520" i="19" s="1"/>
  <c r="R455" i="19"/>
  <c r="AB455" i="19" s="1"/>
  <c r="R359" i="19"/>
  <c r="AB359" i="19" s="1"/>
  <c r="R333" i="19"/>
  <c r="AB333" i="19" s="1"/>
  <c r="R307" i="19"/>
  <c r="AB307" i="19" s="1"/>
  <c r="R303" i="19"/>
  <c r="AB303" i="19" s="1"/>
  <c r="R295" i="19"/>
  <c r="AB295" i="19" s="1"/>
  <c r="R255" i="19"/>
  <c r="AB255" i="19" s="1"/>
  <c r="R254" i="19"/>
  <c r="AB254" i="19" s="1"/>
  <c r="R223" i="19"/>
  <c r="AB223" i="19" s="1"/>
  <c r="R435" i="19"/>
  <c r="AB435" i="19" s="1"/>
  <c r="R395" i="19"/>
  <c r="AB395" i="19" s="1"/>
  <c r="R363" i="19"/>
  <c r="AB363" i="19" s="1"/>
  <c r="R337" i="19"/>
  <c r="AB337" i="19" s="1"/>
  <c r="R269" i="19"/>
  <c r="AB269" i="19" s="1"/>
  <c r="R253" i="19"/>
  <c r="AB253" i="19" s="1"/>
  <c r="R252" i="19"/>
  <c r="AB252" i="19" s="1"/>
  <c r="R386" i="19"/>
  <c r="AB386" i="19" s="1"/>
  <c r="R349" i="19"/>
  <c r="AB349" i="19" s="1"/>
  <c r="R345" i="19"/>
  <c r="AB345" i="19" s="1"/>
  <c r="R341" i="19"/>
  <c r="AB341" i="19" s="1"/>
  <c r="R315" i="19"/>
  <c r="AB315" i="19" s="1"/>
  <c r="R311" i="19"/>
  <c r="AB311" i="19" s="1"/>
  <c r="R297" i="19"/>
  <c r="AB297" i="19" s="1"/>
  <c r="R275" i="19"/>
  <c r="AB275" i="19" s="1"/>
  <c r="R273" i="19"/>
  <c r="AB273" i="19" s="1"/>
  <c r="R271" i="19"/>
  <c r="AB271" i="19" s="1"/>
  <c r="R259" i="19"/>
  <c r="AB259" i="19" s="1"/>
  <c r="R251" i="19"/>
  <c r="AB251" i="19" s="1"/>
  <c r="R250" i="19"/>
  <c r="AB250" i="19" s="1"/>
  <c r="R221" i="19"/>
  <c r="AB221" i="19" s="1"/>
  <c r="R523" i="19"/>
  <c r="AB523" i="19" s="1"/>
  <c r="R325" i="19"/>
  <c r="AB325" i="19" s="1"/>
  <c r="R321" i="19"/>
  <c r="AB321" i="19" s="1"/>
  <c r="R289" i="19"/>
  <c r="AB289" i="19" s="1"/>
  <c r="R243" i="19"/>
  <c r="AB243" i="19" s="1"/>
  <c r="R242" i="19"/>
  <c r="AB242" i="19" s="1"/>
  <c r="R227" i="19"/>
  <c r="AB227" i="19" s="1"/>
  <c r="R226" i="19"/>
  <c r="AB226" i="19" s="1"/>
  <c r="R222" i="19"/>
  <c r="AB222" i="19" s="1"/>
  <c r="R429" i="19"/>
  <c r="AB429" i="19" s="1"/>
  <c r="R365" i="19"/>
  <c r="AB365" i="19" s="1"/>
  <c r="R313" i="19"/>
  <c r="AB313" i="19" s="1"/>
  <c r="R299" i="19"/>
  <c r="AB299" i="19" s="1"/>
  <c r="R293" i="19"/>
  <c r="AB293" i="19" s="1"/>
  <c r="R263" i="19"/>
  <c r="AB263" i="19" s="1"/>
  <c r="R237" i="19"/>
  <c r="AB237" i="19" s="1"/>
  <c r="R236" i="19"/>
  <c r="AB236" i="19" s="1"/>
  <c r="R305" i="19"/>
  <c r="AB305" i="19" s="1"/>
  <c r="R277" i="19"/>
  <c r="AB277" i="19" s="1"/>
  <c r="R267" i="19"/>
  <c r="AB267" i="19" s="1"/>
  <c r="R261" i="19"/>
  <c r="AB261" i="19" s="1"/>
  <c r="R249" i="19"/>
  <c r="AB249" i="19" s="1"/>
  <c r="R245" i="19"/>
  <c r="AB245" i="19" s="1"/>
  <c r="R244" i="19"/>
  <c r="AB244" i="19" s="1"/>
  <c r="R229" i="19"/>
  <c r="AB229" i="19" s="1"/>
  <c r="R228" i="19"/>
  <c r="AB228" i="19" s="1"/>
  <c r="R219" i="19"/>
  <c r="AB219" i="19" s="1"/>
  <c r="R373" i="19"/>
  <c r="AB373" i="19" s="1"/>
  <c r="R291" i="19"/>
  <c r="AB291" i="19" s="1"/>
  <c r="R283" i="19"/>
  <c r="AB283" i="19" s="1"/>
  <c r="R248" i="19"/>
  <c r="AB248" i="19" s="1"/>
  <c r="R239" i="19"/>
  <c r="AB239" i="19" s="1"/>
  <c r="R423" i="19"/>
  <c r="AB423" i="19" s="1"/>
  <c r="R357" i="19"/>
  <c r="AB357" i="19" s="1"/>
  <c r="R247" i="19"/>
  <c r="AB247" i="19" s="1"/>
  <c r="R241" i="19"/>
  <c r="AB241" i="19" s="1"/>
  <c r="R238" i="19"/>
  <c r="AB238" i="19" s="1"/>
  <c r="R233" i="19"/>
  <c r="AB233" i="19" s="1"/>
  <c r="R309" i="19"/>
  <c r="AB309" i="19" s="1"/>
  <c r="R246" i="19"/>
  <c r="AB246" i="19" s="1"/>
  <c r="R353" i="19"/>
  <c r="AB353" i="19" s="1"/>
  <c r="R317" i="19"/>
  <c r="AB317" i="19" s="1"/>
  <c r="R287" i="19"/>
  <c r="AB287" i="19" s="1"/>
  <c r="R279" i="19"/>
  <c r="AB279" i="19" s="1"/>
  <c r="R230" i="19"/>
  <c r="AB230" i="19" s="1"/>
  <c r="R225" i="19"/>
  <c r="AB225" i="19" s="1"/>
  <c r="R220" i="19"/>
  <c r="AB220" i="19" s="1"/>
  <c r="R257" i="19"/>
  <c r="AB257" i="19" s="1"/>
  <c r="R327" i="19"/>
  <c r="AB327" i="19" s="1"/>
  <c r="R285" i="19"/>
  <c r="AB285" i="19" s="1"/>
  <c r="R281" i="19"/>
  <c r="AB281" i="19" s="1"/>
  <c r="R419" i="19"/>
  <c r="AB419" i="19" s="1"/>
  <c r="R411" i="19"/>
  <c r="AB411" i="19" s="1"/>
  <c r="R381" i="19"/>
  <c r="AB381" i="19" s="1"/>
  <c r="R331" i="19"/>
  <c r="AB331" i="19" s="1"/>
  <c r="R301" i="19"/>
  <c r="AB301" i="19" s="1"/>
  <c r="R234" i="19"/>
  <c r="AB234" i="19" s="1"/>
  <c r="R394" i="19"/>
  <c r="AB394" i="19" s="1"/>
  <c r="R235" i="19"/>
  <c r="AB235" i="19" s="1"/>
  <c r="R232" i="19"/>
  <c r="AB232" i="19" s="1"/>
  <c r="R392" i="19"/>
  <c r="AB392" i="19" s="1"/>
  <c r="R371" i="19"/>
  <c r="AB371" i="19" s="1"/>
  <c r="R224" i="19"/>
  <c r="AB224" i="19" s="1"/>
  <c r="R240" i="19"/>
  <c r="AB240" i="19" s="1"/>
  <c r="R256" i="19"/>
  <c r="AB256" i="19" s="1"/>
  <c r="R231" i="19"/>
  <c r="AB231" i="19" s="1"/>
  <c r="H31" i="8"/>
  <c r="AD32" i="1"/>
  <c r="C620" i="19"/>
  <c r="K361" i="19"/>
  <c r="K272" i="19"/>
  <c r="K339" i="19"/>
  <c r="K273" i="19"/>
  <c r="K270" i="19"/>
  <c r="K314" i="19"/>
  <c r="K293" i="19"/>
  <c r="K391" i="19"/>
  <c r="K230" i="19"/>
  <c r="K247" i="19"/>
  <c r="K355" i="19"/>
  <c r="K285" i="19"/>
  <c r="K488" i="19"/>
  <c r="K429" i="19"/>
  <c r="K574" i="19"/>
  <c r="K477" i="19"/>
  <c r="K414" i="19"/>
  <c r="K250" i="19"/>
  <c r="K353" i="19"/>
  <c r="K474" i="19"/>
  <c r="K458" i="19"/>
  <c r="K420" i="19"/>
  <c r="K381" i="19"/>
  <c r="K452" i="19"/>
  <c r="K324" i="19"/>
  <c r="K340" i="19"/>
  <c r="K356" i="19"/>
  <c r="K372" i="19"/>
  <c r="K446" i="19"/>
  <c r="K572" i="19"/>
  <c r="K531" i="19"/>
  <c r="K543" i="19"/>
  <c r="K444" i="19"/>
  <c r="K510" i="19"/>
  <c r="K506" i="19"/>
  <c r="K575" i="19"/>
  <c r="K501" i="19"/>
  <c r="K517" i="19"/>
  <c r="K559" i="19"/>
  <c r="K561" i="19"/>
  <c r="X32" i="8"/>
  <c r="AT33" i="1"/>
  <c r="W31" i="8"/>
  <c r="AS32" i="1"/>
  <c r="D584" i="19"/>
  <c r="D582" i="19"/>
  <c r="D580" i="19"/>
  <c r="D578" i="19"/>
  <c r="D576" i="19"/>
  <c r="D574" i="19"/>
  <c r="D572" i="19"/>
  <c r="D570" i="19"/>
  <c r="D568" i="19"/>
  <c r="D566" i="19"/>
  <c r="D564" i="19"/>
  <c r="D562" i="19"/>
  <c r="D560" i="19"/>
  <c r="D558" i="19"/>
  <c r="D556" i="19"/>
  <c r="D554" i="19"/>
  <c r="D552" i="19"/>
  <c r="D550" i="19"/>
  <c r="D548" i="19"/>
  <c r="D546" i="19"/>
  <c r="D573" i="19"/>
  <c r="D557" i="19"/>
  <c r="D545" i="19"/>
  <c r="D543" i="19"/>
  <c r="D541" i="19"/>
  <c r="D539" i="19"/>
  <c r="D537" i="19"/>
  <c r="D535" i="19"/>
  <c r="D533" i="19"/>
  <c r="D531" i="19"/>
  <c r="D529" i="19"/>
  <c r="D527" i="19"/>
  <c r="D525" i="19"/>
  <c r="D583" i="19"/>
  <c r="D561" i="19"/>
  <c r="D555" i="19"/>
  <c r="D559" i="19"/>
  <c r="D553" i="19"/>
  <c r="D575" i="19"/>
  <c r="D549" i="19"/>
  <c r="D530" i="19"/>
  <c r="D569" i="19"/>
  <c r="D544" i="19"/>
  <c r="D542" i="19"/>
  <c r="D526" i="19"/>
  <c r="D563" i="19"/>
  <c r="D521" i="19"/>
  <c r="D520" i="19"/>
  <c r="D505" i="19"/>
  <c r="D504" i="19"/>
  <c r="D534" i="19"/>
  <c r="D519" i="19"/>
  <c r="D518" i="19"/>
  <c r="D503" i="19"/>
  <c r="D502" i="19"/>
  <c r="D581" i="19"/>
  <c r="D540" i="19"/>
  <c r="D524" i="19"/>
  <c r="D517" i="19"/>
  <c r="D516" i="19"/>
  <c r="D501" i="19"/>
  <c r="D500" i="19"/>
  <c r="D493" i="19"/>
  <c r="D491" i="19"/>
  <c r="D489" i="19"/>
  <c r="D487" i="19"/>
  <c r="D485" i="19"/>
  <c r="D483" i="19"/>
  <c r="D481" i="19"/>
  <c r="D479" i="19"/>
  <c r="D477" i="19"/>
  <c r="D475" i="19"/>
  <c r="D473" i="19"/>
  <c r="D471" i="19"/>
  <c r="D469" i="19"/>
  <c r="D467" i="19"/>
  <c r="D465" i="19"/>
  <c r="D463" i="19"/>
  <c r="D461" i="19"/>
  <c r="D459" i="19"/>
  <c r="D457" i="19"/>
  <c r="D455" i="19"/>
  <c r="D453" i="19"/>
  <c r="D451" i="19"/>
  <c r="D449" i="19"/>
  <c r="D447" i="19"/>
  <c r="D445" i="19"/>
  <c r="D443" i="19"/>
  <c r="D441" i="19"/>
  <c r="D439" i="19"/>
  <c r="D437" i="19"/>
  <c r="D435" i="19"/>
  <c r="D433" i="19"/>
  <c r="D431" i="19"/>
  <c r="D429" i="19"/>
  <c r="D427" i="19"/>
  <c r="D425" i="19"/>
  <c r="D423" i="19"/>
  <c r="D421" i="19"/>
  <c r="D419" i="19"/>
  <c r="D417" i="19"/>
  <c r="D415" i="19"/>
  <c r="D413" i="19"/>
  <c r="D411" i="19"/>
  <c r="D409" i="19"/>
  <c r="D407" i="19"/>
  <c r="D405" i="19"/>
  <c r="D403" i="19"/>
  <c r="D401" i="19"/>
  <c r="D399" i="19"/>
  <c r="D397" i="19"/>
  <c r="D395" i="19"/>
  <c r="D393" i="19"/>
  <c r="D391" i="19"/>
  <c r="D389" i="19"/>
  <c r="D387" i="19"/>
  <c r="D385" i="19"/>
  <c r="D383" i="19"/>
  <c r="D381" i="19"/>
  <c r="D379" i="19"/>
  <c r="D377" i="19"/>
  <c r="D375" i="19"/>
  <c r="D484" i="19"/>
  <c r="D468" i="19"/>
  <c r="D452" i="19"/>
  <c r="D436" i="19"/>
  <c r="D579" i="19"/>
  <c r="D577" i="19"/>
  <c r="D551" i="19"/>
  <c r="D528" i="19"/>
  <c r="D506" i="19"/>
  <c r="D496" i="19"/>
  <c r="D495" i="19"/>
  <c r="D494" i="19"/>
  <c r="D478" i="19"/>
  <c r="D462" i="19"/>
  <c r="D508" i="19"/>
  <c r="D507" i="19"/>
  <c r="D498" i="19"/>
  <c r="D497" i="19"/>
  <c r="D488" i="19"/>
  <c r="D472" i="19"/>
  <c r="D456" i="19"/>
  <c r="D567" i="19"/>
  <c r="D565" i="19"/>
  <c r="D538" i="19"/>
  <c r="D523" i="19"/>
  <c r="D512" i="19"/>
  <c r="D482" i="19"/>
  <c r="D458" i="19"/>
  <c r="D442" i="19"/>
  <c r="D408" i="19"/>
  <c r="D392" i="19"/>
  <c r="D384" i="19"/>
  <c r="D376" i="19"/>
  <c r="D547" i="19"/>
  <c r="D522" i="19"/>
  <c r="D474" i="19"/>
  <c r="D460" i="19"/>
  <c r="D448" i="19"/>
  <c r="D438" i="19"/>
  <c r="D426" i="19"/>
  <c r="D418" i="19"/>
  <c r="D402" i="19"/>
  <c r="D571" i="19"/>
  <c r="D511" i="19"/>
  <c r="D490" i="19"/>
  <c r="D476" i="19"/>
  <c r="D454" i="19"/>
  <c r="D440" i="19"/>
  <c r="D428" i="19"/>
  <c r="D412" i="19"/>
  <c r="D390" i="19"/>
  <c r="D382" i="19"/>
  <c r="D374" i="19"/>
  <c r="D434" i="19"/>
  <c r="D424" i="19"/>
  <c r="D398" i="19"/>
  <c r="D380" i="19"/>
  <c r="D470" i="19"/>
  <c r="D414" i="19"/>
  <c r="D400" i="19"/>
  <c r="D394" i="19"/>
  <c r="D513" i="19"/>
  <c r="D510" i="19"/>
  <c r="D486" i="19"/>
  <c r="D450" i="19"/>
  <c r="D446" i="19"/>
  <c r="D410" i="19"/>
  <c r="D396" i="19"/>
  <c r="D370" i="19"/>
  <c r="D362" i="19"/>
  <c r="D361" i="19"/>
  <c r="D346" i="19"/>
  <c r="D345" i="19"/>
  <c r="D330" i="19"/>
  <c r="D329" i="19"/>
  <c r="D319" i="19"/>
  <c r="D316" i="19"/>
  <c r="D311" i="19"/>
  <c r="D308" i="19"/>
  <c r="D303" i="19"/>
  <c r="D300" i="19"/>
  <c r="D295" i="19"/>
  <c r="D292" i="19"/>
  <c r="D287" i="19"/>
  <c r="D284" i="19"/>
  <c r="D279" i="19"/>
  <c r="D276" i="19"/>
  <c r="D271" i="19"/>
  <c r="D514" i="19"/>
  <c r="D499" i="19"/>
  <c r="D480" i="19"/>
  <c r="D386" i="19"/>
  <c r="D366" i="19"/>
  <c r="D365" i="19"/>
  <c r="D350" i="19"/>
  <c r="D349" i="19"/>
  <c r="D334" i="19"/>
  <c r="D333" i="19"/>
  <c r="D317" i="19"/>
  <c r="D314" i="19"/>
  <c r="D309" i="19"/>
  <c r="D306" i="19"/>
  <c r="D301" i="19"/>
  <c r="D298" i="19"/>
  <c r="D293" i="19"/>
  <c r="D290" i="19"/>
  <c r="D285" i="19"/>
  <c r="D282" i="19"/>
  <c r="D277" i="19"/>
  <c r="D274" i="19"/>
  <c r="D269" i="19"/>
  <c r="D536" i="19"/>
  <c r="D509" i="19"/>
  <c r="D492" i="19"/>
  <c r="D466" i="19"/>
  <c r="D532" i="19"/>
  <c r="D444" i="19"/>
  <c r="D422" i="19"/>
  <c r="D420" i="19"/>
  <c r="D416" i="19"/>
  <c r="D373" i="19"/>
  <c r="D356" i="19"/>
  <c r="D342" i="19"/>
  <c r="D337" i="19"/>
  <c r="D323" i="19"/>
  <c r="D299" i="19"/>
  <c r="D297" i="19"/>
  <c r="D404" i="19"/>
  <c r="D378" i="19"/>
  <c r="D372" i="19"/>
  <c r="D355" i="19"/>
  <c r="D341" i="19"/>
  <c r="D338" i="19"/>
  <c r="D324" i="19"/>
  <c r="D515" i="19"/>
  <c r="D357" i="19"/>
  <c r="D344" i="19"/>
  <c r="D340" i="19"/>
  <c r="D336" i="19"/>
  <c r="D331" i="19"/>
  <c r="D318" i="19"/>
  <c r="D315" i="19"/>
  <c r="D304" i="19"/>
  <c r="D267" i="19"/>
  <c r="D246" i="19"/>
  <c r="D244" i="19"/>
  <c r="D242" i="19"/>
  <c r="D240" i="19"/>
  <c r="D238" i="19"/>
  <c r="D236" i="19"/>
  <c r="D234" i="19"/>
  <c r="D232" i="19"/>
  <c r="D230" i="19"/>
  <c r="D228" i="19"/>
  <c r="D226" i="19"/>
  <c r="D219" i="19"/>
  <c r="D464" i="19"/>
  <c r="D432" i="19"/>
  <c r="D348" i="19"/>
  <c r="D343" i="19"/>
  <c r="D339" i="19"/>
  <c r="D335" i="19"/>
  <c r="D322" i="19"/>
  <c r="D275" i="19"/>
  <c r="D273" i="19"/>
  <c r="D272" i="19"/>
  <c r="D270" i="19"/>
  <c r="D264" i="19"/>
  <c r="D261" i="19"/>
  <c r="D224" i="19"/>
  <c r="D388" i="19"/>
  <c r="D371" i="19"/>
  <c r="D352" i="19"/>
  <c r="D347" i="19"/>
  <c r="D326" i="19"/>
  <c r="D321" i="19"/>
  <c r="D312" i="19"/>
  <c r="D305" i="19"/>
  <c r="D258" i="19"/>
  <c r="D257" i="19"/>
  <c r="D222" i="19"/>
  <c r="D367" i="19"/>
  <c r="D363" i="19"/>
  <c r="D359" i="19"/>
  <c r="D358" i="19"/>
  <c r="D354" i="19"/>
  <c r="D332" i="19"/>
  <c r="D328" i="19"/>
  <c r="D307" i="19"/>
  <c r="D296" i="19"/>
  <c r="D291" i="19"/>
  <c r="D278" i="19"/>
  <c r="D266" i="19"/>
  <c r="D263" i="19"/>
  <c r="D255" i="19"/>
  <c r="D254" i="19"/>
  <c r="D237" i="19"/>
  <c r="D351" i="19"/>
  <c r="D325" i="19"/>
  <c r="D260" i="19"/>
  <c r="D256" i="19"/>
  <c r="D231" i="19"/>
  <c r="D262" i="19"/>
  <c r="D259" i="19"/>
  <c r="D249" i="19"/>
  <c r="D248" i="19"/>
  <c r="D239" i="19"/>
  <c r="D360" i="19"/>
  <c r="D327" i="19"/>
  <c r="D313" i="19"/>
  <c r="D251" i="19"/>
  <c r="D235" i="19"/>
  <c r="D227" i="19"/>
  <c r="D368" i="19"/>
  <c r="D265" i="19"/>
  <c r="D250" i="19"/>
  <c r="D229" i="19"/>
  <c r="D320" i="19"/>
  <c r="D302" i="19"/>
  <c r="D283" i="19"/>
  <c r="D245" i="19"/>
  <c r="D364" i="19"/>
  <c r="D310" i="19"/>
  <c r="D294" i="19"/>
  <c r="D286" i="19"/>
  <c r="D268" i="19"/>
  <c r="D243" i="19"/>
  <c r="D221" i="19"/>
  <c r="D430" i="19"/>
  <c r="D406" i="19"/>
  <c r="D288" i="19"/>
  <c r="D253" i="19"/>
  <c r="D225" i="19"/>
  <c r="D220" i="19"/>
  <c r="D369" i="19"/>
  <c r="D280" i="19"/>
  <c r="D241" i="19"/>
  <c r="D233" i="19"/>
  <c r="D289" i="19"/>
  <c r="D247" i="19"/>
  <c r="D281" i="19"/>
  <c r="D252" i="19"/>
  <c r="D353" i="19"/>
  <c r="D223" i="19"/>
  <c r="E9" i="19"/>
  <c r="F9" i="19"/>
  <c r="H52" i="11"/>
  <c r="K268" i="19"/>
  <c r="K327" i="19"/>
  <c r="K377" i="19"/>
  <c r="K225" i="19"/>
  <c r="K258" i="19"/>
  <c r="K308" i="19"/>
  <c r="K397" i="19"/>
  <c r="K373" i="19"/>
  <c r="K390" i="19"/>
  <c r="K224" i="19"/>
  <c r="K303" i="19"/>
  <c r="K442" i="19"/>
  <c r="K236" i="19"/>
  <c r="K286" i="19"/>
  <c r="K249" i="19"/>
  <c r="K309" i="19"/>
  <c r="K371" i="19"/>
  <c r="K313" i="19"/>
  <c r="K418" i="19"/>
  <c r="K341" i="19"/>
  <c r="K454" i="19"/>
  <c r="K256" i="19"/>
  <c r="K398" i="19"/>
  <c r="K541" i="19"/>
  <c r="K526" i="19"/>
  <c r="K570" i="19"/>
  <c r="K435" i="19"/>
  <c r="K394" i="19"/>
  <c r="K467" i="19"/>
  <c r="K330" i="19"/>
  <c r="K346" i="19"/>
  <c r="K362" i="19"/>
  <c r="K415" i="19"/>
  <c r="K484" i="19"/>
  <c r="K463" i="19"/>
  <c r="K470" i="19"/>
  <c r="K550" i="19"/>
  <c r="K475" i="19"/>
  <c r="K520" i="19"/>
  <c r="K532" i="19"/>
  <c r="K539" i="19"/>
  <c r="K507" i="19"/>
  <c r="K523" i="19"/>
  <c r="K533" i="19"/>
  <c r="K554" i="19"/>
  <c r="K622" i="19" l="1"/>
  <c r="O622" i="19"/>
  <c r="G622" i="19"/>
  <c r="N622" i="19"/>
  <c r="H622" i="19"/>
  <c r="L622" i="19"/>
  <c r="I622" i="19"/>
  <c r="X622" i="19"/>
  <c r="AH622" i="19" s="1"/>
  <c r="M622" i="19"/>
  <c r="J622" i="19"/>
  <c r="D55" i="19"/>
  <c r="F69" i="11" s="1"/>
  <c r="D35" i="19"/>
  <c r="F61" i="11" s="1"/>
  <c r="D15" i="19"/>
  <c r="F53" i="11" s="1"/>
  <c r="D95" i="19"/>
  <c r="F84" i="11" s="1"/>
  <c r="D75" i="19"/>
  <c r="F77" i="11" s="1"/>
  <c r="D58" i="19"/>
  <c r="D38" i="19"/>
  <c r="D18" i="19"/>
  <c r="D10" i="19"/>
  <c r="F50" i="11" s="1"/>
  <c r="D98" i="19"/>
  <c r="D78" i="19"/>
  <c r="D45" i="19"/>
  <c r="F65" i="11" s="1"/>
  <c r="D68" i="19"/>
  <c r="D85" i="19"/>
  <c r="F81" i="11" s="1"/>
  <c r="F49" i="11"/>
  <c r="D65" i="19"/>
  <c r="F73" i="11" s="1"/>
  <c r="D28" i="19"/>
  <c r="D88" i="19"/>
  <c r="D48" i="19"/>
  <c r="D25" i="19"/>
  <c r="F57" i="11" s="1"/>
  <c r="H32" i="8"/>
  <c r="AD33" i="1"/>
  <c r="Y34" i="8"/>
  <c r="AU35" i="1"/>
  <c r="H34" i="8"/>
  <c r="AD35" i="1"/>
  <c r="J33" i="8"/>
  <c r="AF34" i="1"/>
  <c r="X30" i="8"/>
  <c r="AT31" i="1"/>
  <c r="E95" i="19"/>
  <c r="G84" i="11" s="1"/>
  <c r="E75" i="19"/>
  <c r="G77" i="11" s="1"/>
  <c r="E58" i="19"/>
  <c r="E38" i="19"/>
  <c r="E18" i="19"/>
  <c r="E10" i="19"/>
  <c r="G50" i="11" s="1"/>
  <c r="E98" i="19"/>
  <c r="E78" i="19"/>
  <c r="E85" i="19"/>
  <c r="G81" i="11" s="1"/>
  <c r="E48" i="19"/>
  <c r="E68" i="19"/>
  <c r="G49" i="11"/>
  <c r="E65" i="19"/>
  <c r="G73" i="11" s="1"/>
  <c r="E45" i="19"/>
  <c r="G65" i="11" s="1"/>
  <c r="E15" i="19"/>
  <c r="G53" i="11" s="1"/>
  <c r="E88" i="19"/>
  <c r="E89" i="19" s="1"/>
  <c r="E55" i="19"/>
  <c r="G69" i="11" s="1"/>
  <c r="E35" i="19"/>
  <c r="G61" i="11" s="1"/>
  <c r="E25" i="19"/>
  <c r="G57" i="11" s="1"/>
  <c r="E28" i="19"/>
  <c r="Q622" i="19"/>
  <c r="AA622" i="19" s="1"/>
  <c r="R622" i="19"/>
  <c r="AB622" i="19" s="1"/>
  <c r="E615" i="19"/>
  <c r="L615" i="19" s="1"/>
  <c r="Q36" i="8"/>
  <c r="AM38" i="1"/>
  <c r="R36" i="8" s="1"/>
  <c r="F98" i="19"/>
  <c r="F78" i="19"/>
  <c r="F45" i="19"/>
  <c r="H65" i="11" s="1"/>
  <c r="F25" i="19"/>
  <c r="H57" i="11" s="1"/>
  <c r="F85" i="19"/>
  <c r="H81" i="11" s="1"/>
  <c r="F38" i="19"/>
  <c r="F88" i="19"/>
  <c r="F89" i="19" s="1"/>
  <c r="F75" i="19"/>
  <c r="H77" i="11" s="1"/>
  <c r="F15" i="19"/>
  <c r="H53" i="11" s="1"/>
  <c r="F28" i="19"/>
  <c r="F65" i="19"/>
  <c r="H73" i="11" s="1"/>
  <c r="F58" i="19"/>
  <c r="F10" i="19"/>
  <c r="H50" i="11" s="1"/>
  <c r="F55" i="19"/>
  <c r="H69" i="11" s="1"/>
  <c r="F48" i="19"/>
  <c r="F35" i="19"/>
  <c r="H61" i="11" s="1"/>
  <c r="F95" i="19"/>
  <c r="H84" i="11" s="1"/>
  <c r="F18" i="19"/>
  <c r="H49" i="11"/>
  <c r="F68" i="19"/>
  <c r="AG31" i="1"/>
  <c r="K30" i="8"/>
  <c r="T622" i="19"/>
  <c r="AD622" i="19" s="1"/>
  <c r="D620" i="19"/>
  <c r="E620" i="19" s="1"/>
  <c r="L620" i="19" s="1"/>
  <c r="O621" i="19"/>
  <c r="S621" i="19"/>
  <c r="AC621" i="19" s="1"/>
  <c r="H621" i="19"/>
  <c r="J621" i="19"/>
  <c r="I621" i="19"/>
  <c r="G621" i="19"/>
  <c r="Q621" i="19"/>
  <c r="AA621" i="19" s="1"/>
  <c r="T621" i="19"/>
  <c r="AD621" i="19" s="1"/>
  <c r="L619" i="19"/>
  <c r="D618" i="19"/>
  <c r="E618" i="19" s="1"/>
  <c r="I618" i="19" s="1"/>
  <c r="Y619" i="19"/>
  <c r="AI619" i="19" s="1"/>
  <c r="O619" i="19"/>
  <c r="I619" i="19"/>
  <c r="S619" i="19"/>
  <c r="AC619" i="19" s="1"/>
  <c r="X619" i="19"/>
  <c r="AH619" i="19" s="1"/>
  <c r="J619" i="19"/>
  <c r="V619" i="19"/>
  <c r="AF619" i="19" s="1"/>
  <c r="M619" i="19"/>
  <c r="K619" i="19"/>
  <c r="Q619" i="19"/>
  <c r="AA619" i="19" s="1"/>
  <c r="W619" i="19"/>
  <c r="AG619" i="19" s="1"/>
  <c r="R619" i="19"/>
  <c r="AB619" i="19" s="1"/>
  <c r="N619" i="19"/>
  <c r="D614" i="19"/>
  <c r="E614" i="19" s="1"/>
  <c r="Q615" i="19"/>
  <c r="AA615" i="19" s="1"/>
  <c r="M615" i="19"/>
  <c r="X31" i="8"/>
  <c r="AT32" i="1"/>
  <c r="Y32" i="8"/>
  <c r="AU33" i="1"/>
  <c r="W622" i="19"/>
  <c r="AG622" i="19" s="1"/>
  <c r="D619" i="19"/>
  <c r="E619" i="19" s="1"/>
  <c r="T619" i="19" s="1"/>
  <c r="AD619" i="19" s="1"/>
  <c r="J620" i="19"/>
  <c r="X620" i="19"/>
  <c r="AH620" i="19" s="1"/>
  <c r="G620" i="19"/>
  <c r="N620" i="19"/>
  <c r="Y622" i="19"/>
  <c r="AI622" i="19" s="1"/>
  <c r="V622" i="19"/>
  <c r="AF622" i="19" s="1"/>
  <c r="E621" i="19"/>
  <c r="N621" i="19" s="1"/>
  <c r="I36" i="8"/>
  <c r="AE38" i="1"/>
  <c r="J36" i="8" s="1"/>
  <c r="AM55" i="19"/>
  <c r="AQ69" i="11" s="1"/>
  <c r="AM35" i="19"/>
  <c r="AQ61" i="11" s="1"/>
  <c r="AM15" i="19"/>
  <c r="AQ53" i="11" s="1"/>
  <c r="AM95" i="19"/>
  <c r="AQ84" i="11" s="1"/>
  <c r="AM75" i="19"/>
  <c r="AQ77" i="11" s="1"/>
  <c r="AN9" i="19"/>
  <c r="AQ49" i="11" s="1"/>
  <c r="AR49" i="11" s="1"/>
  <c r="AM45" i="19"/>
  <c r="AQ65" i="11" s="1"/>
  <c r="AM25" i="19"/>
  <c r="AQ57" i="11" s="1"/>
  <c r="AM85" i="19"/>
  <c r="AQ81" i="11" s="1"/>
  <c r="AM65" i="19"/>
  <c r="AQ73" i="11" s="1"/>
  <c r="Y33" i="8"/>
  <c r="AU34" i="1"/>
  <c r="AJ55" i="19"/>
  <c r="AJ35" i="19"/>
  <c r="AJ15" i="19"/>
  <c r="AJ95" i="19"/>
  <c r="AJ75" i="19"/>
  <c r="AJ65" i="19"/>
  <c r="AK9" i="19"/>
  <c r="AM49" i="11" s="1"/>
  <c r="AN49" i="11" s="1"/>
  <c r="AJ45" i="19"/>
  <c r="AJ25" i="19"/>
  <c r="AJ85" i="19"/>
  <c r="U622" i="19"/>
  <c r="AE622" i="19" s="1"/>
  <c r="S622" i="19"/>
  <c r="AC622" i="19" s="1"/>
  <c r="X36" i="8"/>
  <c r="AT38" i="1"/>
  <c r="L612" i="19"/>
  <c r="D611" i="19"/>
  <c r="E611" i="19" s="1"/>
  <c r="T612" i="19"/>
  <c r="AD612" i="19" s="1"/>
  <c r="J612" i="19"/>
  <c r="K612" i="19"/>
  <c r="H612" i="19"/>
  <c r="X612" i="19"/>
  <c r="AH612" i="19" s="1"/>
  <c r="R612" i="19"/>
  <c r="AB612" i="19" s="1"/>
  <c r="G9" i="19"/>
  <c r="I52" i="11"/>
  <c r="H7" i="19"/>
  <c r="H8" i="19" s="1"/>
  <c r="I6" i="19"/>
  <c r="H5" i="19"/>
  <c r="J47" i="11" s="1"/>
  <c r="H84" i="19"/>
  <c r="J80" i="11" s="1"/>
  <c r="H46" i="19"/>
  <c r="H24" i="19"/>
  <c r="J56" i="11" s="1"/>
  <c r="H16" i="19"/>
  <c r="I12" i="19" s="1"/>
  <c r="H64" i="19"/>
  <c r="J72" i="11" s="1"/>
  <c r="H44" i="19"/>
  <c r="J64" i="11" s="1"/>
  <c r="H26" i="19"/>
  <c r="H54" i="19"/>
  <c r="J68" i="11" s="1"/>
  <c r="H57" i="19"/>
  <c r="H56" i="19"/>
  <c r="H14" i="19"/>
  <c r="H94" i="19"/>
  <c r="J83" i="11" s="1"/>
  <c r="H97" i="19"/>
  <c r="H87" i="19"/>
  <c r="H47" i="19"/>
  <c r="H66" i="19"/>
  <c r="H96" i="19"/>
  <c r="H67" i="19"/>
  <c r="H27" i="19"/>
  <c r="H86" i="19"/>
  <c r="H17" i="19"/>
  <c r="H37" i="19"/>
  <c r="H36" i="19"/>
  <c r="H76" i="19"/>
  <c r="H34" i="19"/>
  <c r="J60" i="11" s="1"/>
  <c r="H77" i="19"/>
  <c r="H74" i="19"/>
  <c r="J76" i="11" s="1"/>
  <c r="I31" i="8"/>
  <c r="AE32" i="1"/>
  <c r="U613" i="19"/>
  <c r="AE613" i="19" s="1"/>
  <c r="L613" i="19"/>
  <c r="D612" i="19"/>
  <c r="E612" i="19" s="1"/>
  <c r="N612" i="19" s="1"/>
  <c r="Y613" i="19"/>
  <c r="AI613" i="19" s="1"/>
  <c r="O613" i="19"/>
  <c r="X613" i="19"/>
  <c r="AH613" i="19" s="1"/>
  <c r="M613" i="19"/>
  <c r="T613" i="19"/>
  <c r="AD613" i="19" s="1"/>
  <c r="H613" i="19"/>
  <c r="J613" i="19"/>
  <c r="V613" i="19"/>
  <c r="AF613" i="19" s="1"/>
  <c r="G613" i="19"/>
  <c r="Q613" i="19"/>
  <c r="AA613" i="19" s="1"/>
  <c r="N613" i="19"/>
  <c r="K613" i="19"/>
  <c r="W613" i="19"/>
  <c r="AG613" i="19" s="1"/>
  <c r="S613" i="19"/>
  <c r="AC613" i="19" s="1"/>
  <c r="R613" i="19"/>
  <c r="AB613" i="19" s="1"/>
  <c r="I613" i="19"/>
  <c r="D617" i="19"/>
  <c r="E617" i="19" s="1"/>
  <c r="Y617" i="19" s="1"/>
  <c r="AI617" i="19" s="1"/>
  <c r="J618" i="19"/>
  <c r="V618" i="19"/>
  <c r="AF618" i="19" s="1"/>
  <c r="R618" i="19"/>
  <c r="AB618" i="19" s="1"/>
  <c r="Q618" i="19"/>
  <c r="AA618" i="19" s="1"/>
  <c r="U617" i="19"/>
  <c r="AE617" i="19" s="1"/>
  <c r="L617" i="19"/>
  <c r="D616" i="19"/>
  <c r="E616" i="19" s="1"/>
  <c r="V617" i="19"/>
  <c r="AF617" i="19" s="1"/>
  <c r="J617" i="19"/>
  <c r="X617" i="19"/>
  <c r="AH617" i="19" s="1"/>
  <c r="K617" i="19"/>
  <c r="S617" i="19"/>
  <c r="AC617" i="19" s="1"/>
  <c r="Q617" i="19"/>
  <c r="AA617" i="19" s="1"/>
  <c r="I617" i="19"/>
  <c r="H617" i="19"/>
  <c r="G617" i="19"/>
  <c r="T617" i="19"/>
  <c r="AD617" i="19" s="1"/>
  <c r="W617" i="19"/>
  <c r="AG617" i="19" s="1"/>
  <c r="R617" i="19"/>
  <c r="AB617" i="19" s="1"/>
  <c r="J31" i="8" l="1"/>
  <c r="AF32" i="1"/>
  <c r="K616" i="19"/>
  <c r="O616" i="19"/>
  <c r="L616" i="19"/>
  <c r="Y616" i="19"/>
  <c r="AI616" i="19" s="1"/>
  <c r="X616" i="19"/>
  <c r="AH616" i="19" s="1"/>
  <c r="W616" i="19"/>
  <c r="AG616" i="19" s="1"/>
  <c r="H616" i="19"/>
  <c r="S616" i="19"/>
  <c r="AC616" i="19" s="1"/>
  <c r="N616" i="19"/>
  <c r="U616" i="19"/>
  <c r="AE616" i="19" s="1"/>
  <c r="G616" i="19"/>
  <c r="R616" i="19"/>
  <c r="AB616" i="19" s="1"/>
  <c r="M616" i="19"/>
  <c r="I616" i="19"/>
  <c r="Q616" i="19"/>
  <c r="AA616" i="19" s="1"/>
  <c r="T616" i="19"/>
  <c r="AD616" i="19" s="1"/>
  <c r="V616" i="19"/>
  <c r="AF616" i="19" s="1"/>
  <c r="J616" i="19"/>
  <c r="G612" i="19"/>
  <c r="Y612" i="19"/>
  <c r="AI612" i="19" s="1"/>
  <c r="AM77" i="11"/>
  <c r="J121" i="19"/>
  <c r="I620" i="19"/>
  <c r="K620" i="19"/>
  <c r="U620" i="19"/>
  <c r="AE620" i="19" s="1"/>
  <c r="I615" i="19"/>
  <c r="N615" i="19"/>
  <c r="U615" i="19"/>
  <c r="AE615" i="19" s="1"/>
  <c r="H66" i="11"/>
  <c r="F49" i="19"/>
  <c r="E79" i="19"/>
  <c r="G78" i="11"/>
  <c r="Y30" i="8"/>
  <c r="AU31" i="1"/>
  <c r="D19" i="19"/>
  <c r="F54" i="11"/>
  <c r="G45" i="19"/>
  <c r="I65" i="11" s="1"/>
  <c r="G25" i="19"/>
  <c r="I57" i="11" s="1"/>
  <c r="G85" i="19"/>
  <c r="I81" i="11" s="1"/>
  <c r="G65" i="19"/>
  <c r="I73" i="11" s="1"/>
  <c r="G48" i="19"/>
  <c r="G28" i="19"/>
  <c r="G78" i="19"/>
  <c r="G55" i="19"/>
  <c r="I69" i="11" s="1"/>
  <c r="G98" i="19"/>
  <c r="G75" i="19"/>
  <c r="I77" i="11" s="1"/>
  <c r="G58" i="19"/>
  <c r="G15" i="19"/>
  <c r="I53" i="11" s="1"/>
  <c r="G10" i="19"/>
  <c r="I50" i="11" s="1"/>
  <c r="G38" i="19"/>
  <c r="G95" i="19"/>
  <c r="I84" i="11" s="1"/>
  <c r="G68" i="19"/>
  <c r="G18" i="19"/>
  <c r="I49" i="11"/>
  <c r="G88" i="19"/>
  <c r="G89" i="19" s="1"/>
  <c r="G35" i="19"/>
  <c r="I61" i="11" s="1"/>
  <c r="D121" i="19"/>
  <c r="AM53" i="11"/>
  <c r="Q620" i="19"/>
  <c r="AA620" i="19" s="1"/>
  <c r="H620" i="19"/>
  <c r="Z32" i="8"/>
  <c r="AV33" i="1"/>
  <c r="R615" i="19"/>
  <c r="AB615" i="19" s="1"/>
  <c r="K615" i="19"/>
  <c r="L30" i="8"/>
  <c r="AH31" i="1"/>
  <c r="AG34" i="1"/>
  <c r="K33" i="8"/>
  <c r="AE33" i="1"/>
  <c r="I32" i="8"/>
  <c r="D59" i="19"/>
  <c r="F70" i="11"/>
  <c r="X618" i="19"/>
  <c r="AH618" i="19" s="1"/>
  <c r="K618" i="19"/>
  <c r="H9" i="19"/>
  <c r="J52" i="11"/>
  <c r="M612" i="19"/>
  <c r="I612" i="19"/>
  <c r="O611" i="19"/>
  <c r="W611" i="19"/>
  <c r="AG611" i="19" s="1"/>
  <c r="N611" i="19"/>
  <c r="V611" i="19"/>
  <c r="AF611" i="19" s="1"/>
  <c r="Y611" i="19"/>
  <c r="AI611" i="19" s="1"/>
  <c r="H611" i="19"/>
  <c r="X611" i="19"/>
  <c r="AH611" i="19" s="1"/>
  <c r="S611" i="19"/>
  <c r="AC611" i="19" s="1"/>
  <c r="K611" i="19"/>
  <c r="I611" i="19"/>
  <c r="T611" i="19"/>
  <c r="AD611" i="19" s="1"/>
  <c r="J611" i="19"/>
  <c r="U611" i="19"/>
  <c r="AE611" i="19" s="1"/>
  <c r="G611" i="19"/>
  <c r="M611" i="19"/>
  <c r="L611" i="19"/>
  <c r="R611" i="19"/>
  <c r="AB611" i="19" s="1"/>
  <c r="Q611" i="19"/>
  <c r="AA611" i="19" s="1"/>
  <c r="K121" i="19"/>
  <c r="AM81" i="11"/>
  <c r="F121" i="19"/>
  <c r="AM61" i="11"/>
  <c r="V620" i="19"/>
  <c r="AF620" i="19" s="1"/>
  <c r="S620" i="19"/>
  <c r="AC620" i="19" s="1"/>
  <c r="T615" i="19"/>
  <c r="AD615" i="19" s="1"/>
  <c r="W615" i="19"/>
  <c r="AG615" i="19" s="1"/>
  <c r="G619" i="19"/>
  <c r="U619" i="19"/>
  <c r="AE619" i="19" s="1"/>
  <c r="R621" i="19"/>
  <c r="AB621" i="19" s="1"/>
  <c r="Y621" i="19"/>
  <c r="AI621" i="19" s="1"/>
  <c r="F69" i="19"/>
  <c r="H74" i="11"/>
  <c r="F59" i="19"/>
  <c r="F60" i="19" s="1"/>
  <c r="H70" i="11"/>
  <c r="E19" i="19"/>
  <c r="G54" i="11"/>
  <c r="D69" i="19"/>
  <c r="F74" i="11"/>
  <c r="H618" i="19"/>
  <c r="Y618" i="19"/>
  <c r="AI618" i="19" s="1"/>
  <c r="L618" i="19"/>
  <c r="S612" i="19"/>
  <c r="AC612" i="19" s="1"/>
  <c r="O612" i="19"/>
  <c r="U612" i="19"/>
  <c r="AE612" i="19" s="1"/>
  <c r="G121" i="19"/>
  <c r="AM65" i="11"/>
  <c r="Z33" i="8"/>
  <c r="AV34" i="1"/>
  <c r="W620" i="19"/>
  <c r="AG620" i="19" s="1"/>
  <c r="T620" i="19"/>
  <c r="AD620" i="19" s="1"/>
  <c r="G615" i="19"/>
  <c r="Y615" i="19"/>
  <c r="AI615" i="19" s="1"/>
  <c r="W621" i="19"/>
  <c r="AG621" i="19" s="1"/>
  <c r="X621" i="19"/>
  <c r="AH621" i="19" s="1"/>
  <c r="L621" i="19"/>
  <c r="F19" i="19"/>
  <c r="H54" i="11"/>
  <c r="F29" i="19"/>
  <c r="H58" i="11"/>
  <c r="F79" i="19"/>
  <c r="H78" i="11"/>
  <c r="E69" i="19"/>
  <c r="G74" i="11"/>
  <c r="E59" i="19"/>
  <c r="E60" i="19" s="1"/>
  <c r="G70" i="11"/>
  <c r="I34" i="8"/>
  <c r="AE35" i="1"/>
  <c r="D49" i="19"/>
  <c r="F66" i="11"/>
  <c r="D79" i="19"/>
  <c r="F78" i="11"/>
  <c r="L121" i="19"/>
  <c r="AM84" i="11"/>
  <c r="E99" i="19"/>
  <c r="G85" i="11"/>
  <c r="D39" i="19"/>
  <c r="F62" i="11"/>
  <c r="E121" i="19"/>
  <c r="AM57" i="11"/>
  <c r="V612" i="19"/>
  <c r="AF612" i="19" s="1"/>
  <c r="Q612" i="19"/>
  <c r="AA612" i="19" s="1"/>
  <c r="Y36" i="8"/>
  <c r="AU38" i="1"/>
  <c r="M620" i="19"/>
  <c r="O620" i="19"/>
  <c r="H615" i="19"/>
  <c r="X615" i="19"/>
  <c r="AH615" i="19" s="1"/>
  <c r="X614" i="19"/>
  <c r="AH614" i="19" s="1"/>
  <c r="O614" i="19"/>
  <c r="M614" i="19"/>
  <c r="W614" i="19"/>
  <c r="AG614" i="19" s="1"/>
  <c r="U614" i="19"/>
  <c r="AE614" i="19" s="1"/>
  <c r="K614" i="19"/>
  <c r="I614" i="19"/>
  <c r="Y614" i="19"/>
  <c r="AI614" i="19" s="1"/>
  <c r="N614" i="19"/>
  <c r="L614" i="19"/>
  <c r="S614" i="19"/>
  <c r="AC614" i="19" s="1"/>
  <c r="H614" i="19"/>
  <c r="Q614" i="19"/>
  <c r="AA614" i="19" s="1"/>
  <c r="G614" i="19"/>
  <c r="T614" i="19"/>
  <c r="AD614" i="19" s="1"/>
  <c r="V614" i="19"/>
  <c r="AF614" i="19" s="1"/>
  <c r="J614" i="19"/>
  <c r="R614" i="19"/>
  <c r="AB614" i="19" s="1"/>
  <c r="H619" i="19"/>
  <c r="V621" i="19"/>
  <c r="AF621" i="19" s="1"/>
  <c r="M621" i="19"/>
  <c r="U621" i="19"/>
  <c r="AE621" i="19" s="1"/>
  <c r="F99" i="19"/>
  <c r="H85" i="11"/>
  <c r="E49" i="19"/>
  <c r="G66" i="11"/>
  <c r="D89" i="19"/>
  <c r="F85" i="11"/>
  <c r="D99" i="19"/>
  <c r="F39" i="19"/>
  <c r="H62" i="11"/>
  <c r="S618" i="19"/>
  <c r="AC618" i="19" s="1"/>
  <c r="T618" i="19"/>
  <c r="AD618" i="19" s="1"/>
  <c r="AM69" i="11"/>
  <c r="H121" i="19"/>
  <c r="Y31" i="8"/>
  <c r="AU32" i="1"/>
  <c r="V615" i="19"/>
  <c r="AF615" i="19" s="1"/>
  <c r="O615" i="19"/>
  <c r="E29" i="19"/>
  <c r="G58" i="11"/>
  <c r="E39" i="19"/>
  <c r="G62" i="11"/>
  <c r="W618" i="19"/>
  <c r="AG618" i="19" s="1"/>
  <c r="N618" i="19"/>
  <c r="U618" i="19"/>
  <c r="AE618" i="19" s="1"/>
  <c r="M617" i="19"/>
  <c r="O617" i="19"/>
  <c r="M618" i="19"/>
  <c r="O618" i="19"/>
  <c r="N617" i="19"/>
  <c r="G618" i="19"/>
  <c r="I5" i="19"/>
  <c r="K47" i="11" s="1"/>
  <c r="I66" i="19"/>
  <c r="I64" i="19"/>
  <c r="K72" i="11" s="1"/>
  <c r="I26" i="19"/>
  <c r="I47" i="19"/>
  <c r="I46" i="19"/>
  <c r="J6" i="19"/>
  <c r="I57" i="19"/>
  <c r="I27" i="19"/>
  <c r="I84" i="19"/>
  <c r="K80" i="11" s="1"/>
  <c r="I14" i="19"/>
  <c r="I54" i="19"/>
  <c r="K68" i="11" s="1"/>
  <c r="I86" i="19"/>
  <c r="I17" i="19"/>
  <c r="I7" i="19"/>
  <c r="I8" i="19" s="1"/>
  <c r="I16" i="19"/>
  <c r="J12" i="19" s="1"/>
  <c r="I44" i="19"/>
  <c r="K64" i="11" s="1"/>
  <c r="I87" i="19"/>
  <c r="I97" i="19"/>
  <c r="I24" i="19"/>
  <c r="K56" i="11" s="1"/>
  <c r="I67" i="19"/>
  <c r="I96" i="19"/>
  <c r="I94" i="19"/>
  <c r="K83" i="11" s="1"/>
  <c r="I56" i="19"/>
  <c r="I77" i="19"/>
  <c r="I36" i="19"/>
  <c r="I76" i="19"/>
  <c r="I34" i="19"/>
  <c r="K60" i="11" s="1"/>
  <c r="I37" i="19"/>
  <c r="I74" i="19"/>
  <c r="K76" i="11" s="1"/>
  <c r="W612" i="19"/>
  <c r="AG612" i="19" s="1"/>
  <c r="I121" i="19"/>
  <c r="AM73" i="11"/>
  <c r="Y620" i="19"/>
  <c r="AI620" i="19" s="1"/>
  <c r="R620" i="19"/>
  <c r="AB620" i="19" s="1"/>
  <c r="S615" i="19"/>
  <c r="AC615" i="19" s="1"/>
  <c r="J615" i="19"/>
  <c r="K621" i="19"/>
  <c r="Z34" i="8"/>
  <c r="AV35" i="1"/>
  <c r="F58" i="11"/>
  <c r="D29" i="19"/>
  <c r="I9" i="19" l="1"/>
  <c r="K52" i="11"/>
  <c r="J34" i="8"/>
  <c r="AF35" i="1"/>
  <c r="AD624" i="19"/>
  <c r="L33" i="8"/>
  <c r="AH34" i="1"/>
  <c r="I78" i="11"/>
  <c r="G79" i="19"/>
  <c r="Z31" i="8"/>
  <c r="AV32" i="1"/>
  <c r="AC624" i="19"/>
  <c r="G49" i="19"/>
  <c r="I66" i="11"/>
  <c r="Z30" i="8"/>
  <c r="AV31" i="1"/>
  <c r="AA34" i="8"/>
  <c r="AW35" i="1"/>
  <c r="AA33" i="8"/>
  <c r="AW34" i="1"/>
  <c r="AE624" i="19"/>
  <c r="AI624" i="19"/>
  <c r="Z36" i="8"/>
  <c r="AV38" i="1"/>
  <c r="AG624" i="19"/>
  <c r="AA32" i="8"/>
  <c r="AW33" i="1"/>
  <c r="K31" i="8"/>
  <c r="AG32" i="1"/>
  <c r="AH624" i="19"/>
  <c r="M30" i="8"/>
  <c r="AI31" i="1"/>
  <c r="I62" i="11"/>
  <c r="G39" i="19"/>
  <c r="G29" i="19"/>
  <c r="I58" i="11"/>
  <c r="J5" i="19"/>
  <c r="L47" i="11" s="1"/>
  <c r="J44" i="19"/>
  <c r="L64" i="11" s="1"/>
  <c r="J24" i="19"/>
  <c r="L56" i="11" s="1"/>
  <c r="J46" i="19"/>
  <c r="J67" i="19"/>
  <c r="J87" i="19"/>
  <c r="K6" i="19"/>
  <c r="J66" i="19"/>
  <c r="J47" i="19"/>
  <c r="J86" i="19"/>
  <c r="J7" i="19"/>
  <c r="J8" i="19" s="1"/>
  <c r="J26" i="19"/>
  <c r="J27" i="19"/>
  <c r="J96" i="19"/>
  <c r="J94" i="19"/>
  <c r="L83" i="11" s="1"/>
  <c r="J84" i="19"/>
  <c r="L80" i="11" s="1"/>
  <c r="J56" i="19"/>
  <c r="J97" i="19"/>
  <c r="J14" i="19"/>
  <c r="J16" i="19"/>
  <c r="K12" i="19" s="1"/>
  <c r="J17" i="19"/>
  <c r="J54" i="19"/>
  <c r="L68" i="11" s="1"/>
  <c r="J64" i="19"/>
  <c r="L72" i="11" s="1"/>
  <c r="J57" i="19"/>
  <c r="J76" i="19"/>
  <c r="J36" i="19"/>
  <c r="J37" i="19"/>
  <c r="J34" i="19"/>
  <c r="L60" i="11" s="1"/>
  <c r="J74" i="19"/>
  <c r="L76" i="11" s="1"/>
  <c r="J77" i="19"/>
  <c r="D60" i="19"/>
  <c r="G59" i="19"/>
  <c r="I70" i="11"/>
  <c r="AA624" i="19"/>
  <c r="AB624" i="19"/>
  <c r="AF33" i="1"/>
  <c r="J32" i="8"/>
  <c r="G19" i="19"/>
  <c r="I54" i="11"/>
  <c r="I85" i="11"/>
  <c r="G99" i="19"/>
  <c r="AF624" i="19"/>
  <c r="H45" i="19"/>
  <c r="J65" i="11" s="1"/>
  <c r="H25" i="19"/>
  <c r="J57" i="11" s="1"/>
  <c r="H85" i="19"/>
  <c r="J81" i="11" s="1"/>
  <c r="H65" i="19"/>
  <c r="J73" i="11" s="1"/>
  <c r="H48" i="19"/>
  <c r="H28" i="19"/>
  <c r="H88" i="19"/>
  <c r="H89" i="19" s="1"/>
  <c r="H68" i="19"/>
  <c r="H78" i="19"/>
  <c r="H58" i="19"/>
  <c r="H95" i="19"/>
  <c r="J84" i="11" s="1"/>
  <c r="H15" i="19"/>
  <c r="J53" i="11" s="1"/>
  <c r="H35" i="19"/>
  <c r="J61" i="11" s="1"/>
  <c r="H10" i="19"/>
  <c r="J50" i="11" s="1"/>
  <c r="H38" i="19"/>
  <c r="H18" i="19"/>
  <c r="J49" i="11"/>
  <c r="H98" i="19"/>
  <c r="H55" i="19"/>
  <c r="J69" i="11" s="1"/>
  <c r="H75" i="19"/>
  <c r="J77" i="11" s="1"/>
  <c r="I74" i="11"/>
  <c r="G69" i="19"/>
  <c r="K86" i="19" l="1"/>
  <c r="K47" i="19"/>
  <c r="K66" i="19"/>
  <c r="K46" i="19"/>
  <c r="K67" i="19"/>
  <c r="K27" i="19"/>
  <c r="L6" i="19"/>
  <c r="K54" i="19"/>
  <c r="M68" i="11" s="1"/>
  <c r="K7" i="19"/>
  <c r="K8" i="19" s="1"/>
  <c r="K26" i="19"/>
  <c r="K87" i="19"/>
  <c r="K5" i="19"/>
  <c r="M47" i="11" s="1"/>
  <c r="K14" i="19"/>
  <c r="K17" i="19"/>
  <c r="K56" i="19"/>
  <c r="K16" i="19"/>
  <c r="L12" i="19" s="1"/>
  <c r="K84" i="19"/>
  <c r="M80" i="11" s="1"/>
  <c r="K44" i="19"/>
  <c r="M64" i="11" s="1"/>
  <c r="K94" i="19"/>
  <c r="M83" i="11" s="1"/>
  <c r="K64" i="19"/>
  <c r="M72" i="11" s="1"/>
  <c r="K24" i="19"/>
  <c r="M56" i="11" s="1"/>
  <c r="K97" i="19"/>
  <c r="K96" i="19"/>
  <c r="K57" i="19"/>
  <c r="K36" i="19"/>
  <c r="K74" i="19"/>
  <c r="M76" i="11" s="1"/>
  <c r="K34" i="19"/>
  <c r="M60" i="11" s="1"/>
  <c r="K37" i="19"/>
  <c r="K77" i="19"/>
  <c r="K76" i="19"/>
  <c r="J9" i="19"/>
  <c r="L52" i="11"/>
  <c r="N30" i="8"/>
  <c r="AJ31" i="1"/>
  <c r="AB34" i="8"/>
  <c r="AX35" i="1"/>
  <c r="AA31" i="8"/>
  <c r="AW32" i="1"/>
  <c r="K34" i="8"/>
  <c r="AG35" i="1"/>
  <c r="J78" i="11"/>
  <c r="H79" i="19"/>
  <c r="AB33" i="8"/>
  <c r="AX34" i="1"/>
  <c r="AA30" i="8"/>
  <c r="AW31" i="1"/>
  <c r="H19" i="19"/>
  <c r="J54" i="11"/>
  <c r="H69" i="19"/>
  <c r="J74" i="11"/>
  <c r="J85" i="11"/>
  <c r="H99" i="19"/>
  <c r="G60" i="19"/>
  <c r="H59" i="19"/>
  <c r="J70" i="11"/>
  <c r="H39" i="19"/>
  <c r="J62" i="11"/>
  <c r="K32" i="8"/>
  <c r="AG33" i="1"/>
  <c r="M33" i="8"/>
  <c r="AI34" i="1"/>
  <c r="AA36" i="8"/>
  <c r="AW38" i="1"/>
  <c r="I85" i="19"/>
  <c r="K81" i="11" s="1"/>
  <c r="I65" i="19"/>
  <c r="K73" i="11" s="1"/>
  <c r="I48" i="19"/>
  <c r="I28" i="19"/>
  <c r="I88" i="19"/>
  <c r="I89" i="19" s="1"/>
  <c r="I68" i="19"/>
  <c r="I98" i="19"/>
  <c r="I35" i="19"/>
  <c r="K61" i="11" s="1"/>
  <c r="I10" i="19"/>
  <c r="K50" i="11" s="1"/>
  <c r="I78" i="19"/>
  <c r="I45" i="19"/>
  <c r="K65" i="11" s="1"/>
  <c r="I38" i="19"/>
  <c r="I55" i="19"/>
  <c r="K69" i="11" s="1"/>
  <c r="I25" i="19"/>
  <c r="K57" i="11" s="1"/>
  <c r="I75" i="19"/>
  <c r="K77" i="11" s="1"/>
  <c r="I15" i="19"/>
  <c r="K53" i="11" s="1"/>
  <c r="K49" i="11"/>
  <c r="I58" i="19"/>
  <c r="I95" i="19"/>
  <c r="K84" i="11" s="1"/>
  <c r="I18" i="19"/>
  <c r="H29" i="19"/>
  <c r="J58" i="11"/>
  <c r="L31" i="8"/>
  <c r="AH32" i="1"/>
  <c r="H49" i="19"/>
  <c r="J66" i="11"/>
  <c r="AB32" i="8"/>
  <c r="AX33" i="1"/>
  <c r="I19" i="19" l="1"/>
  <c r="K54" i="11"/>
  <c r="I39" i="19"/>
  <c r="K62" i="11"/>
  <c r="I29" i="19"/>
  <c r="K58" i="11"/>
  <c r="N33" i="8"/>
  <c r="AJ34" i="1"/>
  <c r="H60" i="19"/>
  <c r="AY33" i="1"/>
  <c r="AC32" i="8"/>
  <c r="I49" i="19"/>
  <c r="K66" i="11"/>
  <c r="O30" i="8"/>
  <c r="AK31" i="1"/>
  <c r="I99" i="19"/>
  <c r="K85" i="11"/>
  <c r="AY34" i="1"/>
  <c r="AC33" i="8"/>
  <c r="AB31" i="8"/>
  <c r="AX32" i="1"/>
  <c r="I69" i="19"/>
  <c r="K74" i="11"/>
  <c r="AB36" i="8"/>
  <c r="AX38" i="1"/>
  <c r="I59" i="19"/>
  <c r="K70" i="11"/>
  <c r="K78" i="11"/>
  <c r="I79" i="19"/>
  <c r="K9" i="19"/>
  <c r="M52" i="11"/>
  <c r="AI32" i="1"/>
  <c r="M31" i="8"/>
  <c r="AY35" i="1"/>
  <c r="AC34" i="8"/>
  <c r="L32" i="8"/>
  <c r="AH33" i="1"/>
  <c r="AB30" i="8"/>
  <c r="AX31" i="1"/>
  <c r="L34" i="8"/>
  <c r="AH35" i="1"/>
  <c r="J88" i="19"/>
  <c r="J89" i="19" s="1"/>
  <c r="J68" i="19"/>
  <c r="J55" i="19"/>
  <c r="L69" i="11" s="1"/>
  <c r="J35" i="19"/>
  <c r="L61" i="11" s="1"/>
  <c r="J15" i="19"/>
  <c r="L53" i="11" s="1"/>
  <c r="J98" i="19"/>
  <c r="J75" i="19"/>
  <c r="L77" i="11" s="1"/>
  <c r="J28" i="19"/>
  <c r="J65" i="19"/>
  <c r="L73" i="11" s="1"/>
  <c r="J38" i="19"/>
  <c r="J45" i="19"/>
  <c r="L65" i="11" s="1"/>
  <c r="J85" i="19"/>
  <c r="L81" i="11" s="1"/>
  <c r="J78" i="19"/>
  <c r="J95" i="19"/>
  <c r="L84" i="11" s="1"/>
  <c r="J18" i="19"/>
  <c r="J58" i="19"/>
  <c r="J48" i="19"/>
  <c r="J25" i="19"/>
  <c r="L57" i="11" s="1"/>
  <c r="J10" i="19"/>
  <c r="L50" i="11" s="1"/>
  <c r="L49" i="11"/>
  <c r="L86" i="19"/>
  <c r="L87" i="19"/>
  <c r="L44" i="19"/>
  <c r="N64" i="11" s="1"/>
  <c r="M6" i="19"/>
  <c r="L54" i="19"/>
  <c r="N68" i="11" s="1"/>
  <c r="L27" i="19"/>
  <c r="L67" i="19"/>
  <c r="L47" i="19"/>
  <c r="L24" i="19"/>
  <c r="N56" i="11" s="1"/>
  <c r="L16" i="19"/>
  <c r="M12" i="19" s="1"/>
  <c r="L56" i="19"/>
  <c r="L14" i="19"/>
  <c r="L26" i="19"/>
  <c r="L5" i="19"/>
  <c r="N47" i="11" s="1"/>
  <c r="L46" i="19"/>
  <c r="L7" i="19"/>
  <c r="L8" i="19" s="1"/>
  <c r="L66" i="19"/>
  <c r="L84" i="19"/>
  <c r="N80" i="11" s="1"/>
  <c r="L96" i="19"/>
  <c r="L57" i="19"/>
  <c r="L17" i="19"/>
  <c r="L97" i="19"/>
  <c r="L94" i="19"/>
  <c r="N83" i="11" s="1"/>
  <c r="L64" i="19"/>
  <c r="N72" i="11" s="1"/>
  <c r="L76" i="19"/>
  <c r="L77" i="19"/>
  <c r="L36" i="19"/>
  <c r="L37" i="19"/>
  <c r="L34" i="19"/>
  <c r="N60" i="11" s="1"/>
  <c r="L74" i="19"/>
  <c r="N76" i="11" s="1"/>
  <c r="N31" i="8" l="1"/>
  <c r="AJ32" i="1"/>
  <c r="L9" i="19"/>
  <c r="N52" i="11"/>
  <c r="M64" i="19"/>
  <c r="O72" i="11" s="1"/>
  <c r="M66" i="19"/>
  <c r="M67" i="19"/>
  <c r="M47" i="19"/>
  <c r="M24" i="19"/>
  <c r="O56" i="11" s="1"/>
  <c r="M86" i="19"/>
  <c r="M27" i="19"/>
  <c r="M7" i="19"/>
  <c r="M8" i="19" s="1"/>
  <c r="M84" i="19"/>
  <c r="O80" i="11" s="1"/>
  <c r="M5" i="19"/>
  <c r="O47" i="11" s="1"/>
  <c r="M87" i="19"/>
  <c r="M17" i="19"/>
  <c r="N6" i="19"/>
  <c r="M57" i="19"/>
  <c r="M44" i="19"/>
  <c r="O64" i="11" s="1"/>
  <c r="M16" i="19"/>
  <c r="N12" i="19" s="1"/>
  <c r="M26" i="19"/>
  <c r="M96" i="19"/>
  <c r="M94" i="19"/>
  <c r="O83" i="11" s="1"/>
  <c r="M14" i="19"/>
  <c r="M54" i="19"/>
  <c r="O68" i="11" s="1"/>
  <c r="M46" i="19"/>
  <c r="M97" i="19"/>
  <c r="M56" i="19"/>
  <c r="M36" i="19"/>
  <c r="M74" i="19"/>
  <c r="O76" i="11" s="1"/>
  <c r="M37" i="19"/>
  <c r="M76" i="19"/>
  <c r="M34" i="19"/>
  <c r="O60" i="11" s="1"/>
  <c r="M77" i="19"/>
  <c r="L70" i="11"/>
  <c r="J59" i="19"/>
  <c r="J29" i="19"/>
  <c r="L58" i="11"/>
  <c r="AC30" i="8"/>
  <c r="AY31" i="1"/>
  <c r="L85" i="11"/>
  <c r="J99" i="19"/>
  <c r="AI33" i="1"/>
  <c r="M32" i="8"/>
  <c r="AZ34" i="1"/>
  <c r="AD33" i="8"/>
  <c r="AK34" i="1"/>
  <c r="O33" i="8"/>
  <c r="L78" i="11"/>
  <c r="J79" i="19"/>
  <c r="K55" i="19"/>
  <c r="M69" i="11" s="1"/>
  <c r="K35" i="19"/>
  <c r="M61" i="11" s="1"/>
  <c r="K15" i="19"/>
  <c r="M53" i="11" s="1"/>
  <c r="K95" i="19"/>
  <c r="M84" i="11" s="1"/>
  <c r="K75" i="19"/>
  <c r="M77" i="11" s="1"/>
  <c r="K58" i="19"/>
  <c r="K38" i="19"/>
  <c r="K18" i="19"/>
  <c r="K10" i="19"/>
  <c r="M50" i="11" s="1"/>
  <c r="K68" i="19"/>
  <c r="K78" i="19"/>
  <c r="K45" i="19"/>
  <c r="M65" i="11" s="1"/>
  <c r="K85" i="19"/>
  <c r="M81" i="11" s="1"/>
  <c r="K65" i="19"/>
  <c r="M73" i="11" s="1"/>
  <c r="K28" i="19"/>
  <c r="M49" i="11"/>
  <c r="K88" i="19"/>
  <c r="K48" i="19"/>
  <c r="K25" i="19"/>
  <c r="M57" i="11" s="1"/>
  <c r="K98" i="19"/>
  <c r="AC36" i="8"/>
  <c r="AY38" i="1"/>
  <c r="L54" i="11"/>
  <c r="J19" i="19"/>
  <c r="I60" i="19"/>
  <c r="J39" i="19"/>
  <c r="L62" i="11"/>
  <c r="J69" i="19"/>
  <c r="L74" i="11"/>
  <c r="M34" i="8"/>
  <c r="AI35" i="1"/>
  <c r="AD34" i="8"/>
  <c r="AZ35" i="1"/>
  <c r="J49" i="19"/>
  <c r="L66" i="11"/>
  <c r="AC31" i="8"/>
  <c r="AY32" i="1"/>
  <c r="P30" i="8"/>
  <c r="AL31" i="1"/>
  <c r="AD32" i="8"/>
  <c r="AZ33" i="1"/>
  <c r="AE34" i="8" l="1"/>
  <c r="BA35" i="1"/>
  <c r="K19" i="19"/>
  <c r="M54" i="11"/>
  <c r="N32" i="8"/>
  <c r="AJ33" i="1"/>
  <c r="K29" i="19"/>
  <c r="M58" i="11"/>
  <c r="K39" i="19"/>
  <c r="M62" i="11"/>
  <c r="J60" i="19"/>
  <c r="O31" i="8"/>
  <c r="AK32" i="1"/>
  <c r="M66" i="11"/>
  <c r="K49" i="19"/>
  <c r="K69" i="19"/>
  <c r="M74" i="11"/>
  <c r="AE33" i="8"/>
  <c r="BA34" i="1"/>
  <c r="AD31" i="8"/>
  <c r="AZ32" i="1"/>
  <c r="K89" i="19"/>
  <c r="N34" i="8"/>
  <c r="AJ35" i="1"/>
  <c r="AD36" i="8"/>
  <c r="AZ38" i="1"/>
  <c r="K59" i="19"/>
  <c r="M70" i="11"/>
  <c r="L55" i="19"/>
  <c r="N69" i="11" s="1"/>
  <c r="L35" i="19"/>
  <c r="N61" i="11" s="1"/>
  <c r="L15" i="19"/>
  <c r="N53" i="11" s="1"/>
  <c r="L95" i="19"/>
  <c r="N84" i="11" s="1"/>
  <c r="L75" i="19"/>
  <c r="N77" i="11" s="1"/>
  <c r="L58" i="19"/>
  <c r="L38" i="19"/>
  <c r="L18" i="19"/>
  <c r="L10" i="19"/>
  <c r="N50" i="11" s="1"/>
  <c r="L98" i="19"/>
  <c r="L78" i="19"/>
  <c r="L68" i="19"/>
  <c r="L48" i="19"/>
  <c r="L85" i="19"/>
  <c r="N81" i="11" s="1"/>
  <c r="L88" i="19"/>
  <c r="L89" i="19" s="1"/>
  <c r="L28" i="19"/>
  <c r="N49" i="11"/>
  <c r="L25" i="19"/>
  <c r="N57" i="11" s="1"/>
  <c r="L45" i="19"/>
  <c r="N65" i="11" s="1"/>
  <c r="L65" i="19"/>
  <c r="N73" i="11" s="1"/>
  <c r="AE32" i="8"/>
  <c r="BA33" i="1"/>
  <c r="AD30" i="8"/>
  <c r="AZ31" i="1"/>
  <c r="M85" i="11"/>
  <c r="K99" i="19"/>
  <c r="P33" i="8"/>
  <c r="AL34" i="1"/>
  <c r="N46" i="19"/>
  <c r="N26" i="19"/>
  <c r="N7" i="19"/>
  <c r="N8" i="19" s="1"/>
  <c r="O6" i="19"/>
  <c r="N67" i="19"/>
  <c r="N44" i="19"/>
  <c r="P64" i="11" s="1"/>
  <c r="N56" i="19"/>
  <c r="N87" i="19"/>
  <c r="N84" i="19"/>
  <c r="P80" i="11" s="1"/>
  <c r="N5" i="19"/>
  <c r="P47" i="11" s="1"/>
  <c r="N64" i="19"/>
  <c r="P72" i="11" s="1"/>
  <c r="N24" i="19"/>
  <c r="P56" i="11" s="1"/>
  <c r="N96" i="19"/>
  <c r="N17" i="19"/>
  <c r="N47" i="19"/>
  <c r="N57" i="19"/>
  <c r="N66" i="19"/>
  <c r="N16" i="19"/>
  <c r="O12" i="19" s="1"/>
  <c r="N94" i="19"/>
  <c r="P83" i="11" s="1"/>
  <c r="N97" i="19"/>
  <c r="N54" i="19"/>
  <c r="P68" i="11" s="1"/>
  <c r="N27" i="19"/>
  <c r="N86" i="19"/>
  <c r="N14" i="19"/>
  <c r="N74" i="19"/>
  <c r="P76" i="11" s="1"/>
  <c r="N37" i="19"/>
  <c r="N36" i="19"/>
  <c r="N34" i="19"/>
  <c r="P60" i="11" s="1"/>
  <c r="N77" i="19"/>
  <c r="N76" i="19"/>
  <c r="AM31" i="1"/>
  <c r="R30" i="8" s="1"/>
  <c r="Q30" i="8"/>
  <c r="K79" i="19"/>
  <c r="M78" i="11"/>
  <c r="M9" i="19"/>
  <c r="O52" i="11"/>
  <c r="N9" i="19" l="1"/>
  <c r="P52" i="11"/>
  <c r="Q33" i="8"/>
  <c r="AM34" i="1"/>
  <c r="R33" i="8" s="1"/>
  <c r="L79" i="19"/>
  <c r="N78" i="11"/>
  <c r="AE36" i="8"/>
  <c r="BA38" i="1"/>
  <c r="N58" i="11"/>
  <c r="L29" i="19"/>
  <c r="L19" i="19"/>
  <c r="N54" i="11"/>
  <c r="BA32" i="1"/>
  <c r="AE31" i="8"/>
  <c r="O34" i="8"/>
  <c r="AK35" i="1"/>
  <c r="P31" i="8"/>
  <c r="AL32" i="1"/>
  <c r="O32" i="8"/>
  <c r="AK33" i="1"/>
  <c r="M95" i="19"/>
  <c r="O84" i="11" s="1"/>
  <c r="M75" i="19"/>
  <c r="O77" i="11" s="1"/>
  <c r="M58" i="19"/>
  <c r="M38" i="19"/>
  <c r="M18" i="19"/>
  <c r="M10" i="19"/>
  <c r="O50" i="11" s="1"/>
  <c r="M98" i="19"/>
  <c r="M78" i="19"/>
  <c r="M88" i="19"/>
  <c r="M89" i="19" s="1"/>
  <c r="M28" i="19"/>
  <c r="O49" i="11"/>
  <c r="M25" i="19"/>
  <c r="O57" i="11" s="1"/>
  <c r="M55" i="19"/>
  <c r="O69" i="11" s="1"/>
  <c r="M48" i="19"/>
  <c r="M35" i="19"/>
  <c r="O61" i="11" s="1"/>
  <c r="M68" i="19"/>
  <c r="M65" i="19"/>
  <c r="O73" i="11" s="1"/>
  <c r="M45" i="19"/>
  <c r="O65" i="11" s="1"/>
  <c r="M15" i="19"/>
  <c r="O53" i="11" s="1"/>
  <c r="M85" i="19"/>
  <c r="O81" i="11" s="1"/>
  <c r="AF32" i="8"/>
  <c r="BB33" i="1"/>
  <c r="L59" i="19"/>
  <c r="N70" i="11"/>
  <c r="AF33" i="8"/>
  <c r="BB34" i="1"/>
  <c r="O47" i="19"/>
  <c r="O27" i="19"/>
  <c r="O7" i="19"/>
  <c r="O8" i="19" s="1"/>
  <c r="P6" i="19"/>
  <c r="O84" i="19"/>
  <c r="Q80" i="11" s="1"/>
  <c r="O56" i="19"/>
  <c r="O57" i="19"/>
  <c r="O5" i="19"/>
  <c r="Q47" i="11" s="1"/>
  <c r="O64" i="19"/>
  <c r="Q72" i="11" s="1"/>
  <c r="O44" i="19"/>
  <c r="Q64" i="11" s="1"/>
  <c r="O24" i="19"/>
  <c r="Q56" i="11" s="1"/>
  <c r="O16" i="19"/>
  <c r="P12" i="19" s="1"/>
  <c r="O17" i="19"/>
  <c r="O97" i="19"/>
  <c r="O66" i="19"/>
  <c r="O94" i="19"/>
  <c r="Q83" i="11" s="1"/>
  <c r="O87" i="19"/>
  <c r="O26" i="19"/>
  <c r="O14" i="19"/>
  <c r="O96" i="19"/>
  <c r="O54" i="19"/>
  <c r="Q68" i="11" s="1"/>
  <c r="O67" i="19"/>
  <c r="O86" i="19"/>
  <c r="O46" i="19"/>
  <c r="O74" i="19"/>
  <c r="Q76" i="11" s="1"/>
  <c r="O36" i="19"/>
  <c r="O77" i="19"/>
  <c r="O37" i="19"/>
  <c r="O34" i="19"/>
  <c r="Q60" i="11" s="1"/>
  <c r="O76" i="19"/>
  <c r="L39" i="19"/>
  <c r="N62" i="11"/>
  <c r="L49" i="19"/>
  <c r="N66" i="11"/>
  <c r="N85" i="11"/>
  <c r="L99" i="19"/>
  <c r="K60" i="19"/>
  <c r="AF34" i="8"/>
  <c r="BB35" i="1"/>
  <c r="AE30" i="8"/>
  <c r="BA31" i="1"/>
  <c r="L69" i="19"/>
  <c r="N74" i="11"/>
  <c r="M69" i="19" l="1"/>
  <c r="O74" i="11"/>
  <c r="M79" i="19"/>
  <c r="O78" i="11"/>
  <c r="P32" i="8"/>
  <c r="AL33" i="1"/>
  <c r="AF36" i="8"/>
  <c r="BB38" i="1"/>
  <c r="L60" i="19"/>
  <c r="M99" i="19"/>
  <c r="O85" i="11"/>
  <c r="AF31" i="8"/>
  <c r="BB32" i="1"/>
  <c r="N98" i="19"/>
  <c r="N78" i="19"/>
  <c r="N45" i="19"/>
  <c r="P65" i="11" s="1"/>
  <c r="N25" i="19"/>
  <c r="P57" i="11" s="1"/>
  <c r="N88" i="19"/>
  <c r="N89" i="19" s="1"/>
  <c r="N75" i="19"/>
  <c r="P77" i="11" s="1"/>
  <c r="N65" i="19"/>
  <c r="P73" i="11" s="1"/>
  <c r="N55" i="19"/>
  <c r="P69" i="11" s="1"/>
  <c r="N38" i="19"/>
  <c r="N95" i="19"/>
  <c r="P84" i="11" s="1"/>
  <c r="N48" i="19"/>
  <c r="N35" i="19"/>
  <c r="P61" i="11" s="1"/>
  <c r="N18" i="19"/>
  <c r="N58" i="19"/>
  <c r="N15" i="19"/>
  <c r="P53" i="11" s="1"/>
  <c r="N85" i="19"/>
  <c r="P81" i="11" s="1"/>
  <c r="N10" i="19"/>
  <c r="P50" i="11" s="1"/>
  <c r="N28" i="19"/>
  <c r="N68" i="19"/>
  <c r="P49" i="11"/>
  <c r="AF30" i="8"/>
  <c r="BB31" i="1"/>
  <c r="P7" i="19"/>
  <c r="P8" i="19" s="1"/>
  <c r="Q6" i="19"/>
  <c r="P5" i="19"/>
  <c r="R47" i="11" s="1"/>
  <c r="P84" i="19"/>
  <c r="R80" i="11" s="1"/>
  <c r="P56" i="19"/>
  <c r="P57" i="19"/>
  <c r="P14" i="19"/>
  <c r="P54" i="19"/>
  <c r="R68" i="11" s="1"/>
  <c r="P17" i="19"/>
  <c r="P64" i="19"/>
  <c r="R72" i="11" s="1"/>
  <c r="P44" i="19"/>
  <c r="R64" i="11" s="1"/>
  <c r="P24" i="19"/>
  <c r="R56" i="11" s="1"/>
  <c r="P46" i="19"/>
  <c r="P16" i="19"/>
  <c r="Q12" i="19" s="1"/>
  <c r="P26" i="19"/>
  <c r="P97" i="19"/>
  <c r="P87" i="19"/>
  <c r="P66" i="19"/>
  <c r="P47" i="19"/>
  <c r="P96" i="19"/>
  <c r="P67" i="19"/>
  <c r="P27" i="19"/>
  <c r="P86" i="19"/>
  <c r="P94" i="19"/>
  <c r="R83" i="11" s="1"/>
  <c r="P76" i="19"/>
  <c r="P36" i="19"/>
  <c r="P77" i="19"/>
  <c r="P34" i="19"/>
  <c r="R60" i="11" s="1"/>
  <c r="P74" i="19"/>
  <c r="R76" i="11" s="1"/>
  <c r="P37" i="19"/>
  <c r="AG32" i="8"/>
  <c r="BC33" i="1"/>
  <c r="M49" i="19"/>
  <c r="O66" i="11"/>
  <c r="AM32" i="1"/>
  <c r="R31" i="8" s="1"/>
  <c r="Q31" i="8"/>
  <c r="O9" i="19"/>
  <c r="Q52" i="11"/>
  <c r="M19" i="19"/>
  <c r="O54" i="11"/>
  <c r="AG33" i="8"/>
  <c r="BC34" i="1"/>
  <c r="M29" i="19"/>
  <c r="O58" i="11"/>
  <c r="M39" i="19"/>
  <c r="O62" i="11"/>
  <c r="P34" i="8"/>
  <c r="AL35" i="1"/>
  <c r="AG34" i="8"/>
  <c r="BC35" i="1"/>
  <c r="M59" i="19"/>
  <c r="O70" i="11"/>
  <c r="AG30" i="8" l="1"/>
  <c r="BC31" i="1"/>
  <c r="N59" i="19"/>
  <c r="P70" i="11"/>
  <c r="P74" i="11"/>
  <c r="N69" i="19"/>
  <c r="P66" i="11"/>
  <c r="N49" i="19"/>
  <c r="AG36" i="8"/>
  <c r="BC38" i="1"/>
  <c r="N29" i="19"/>
  <c r="P58" i="11"/>
  <c r="N79" i="19"/>
  <c r="P78" i="11"/>
  <c r="AH32" i="8"/>
  <c r="BD33" i="1"/>
  <c r="AH33" i="8"/>
  <c r="BD34" i="1"/>
  <c r="AM35" i="1"/>
  <c r="R34" i="8" s="1"/>
  <c r="Q34" i="8"/>
  <c r="P62" i="11"/>
  <c r="N39" i="19"/>
  <c r="N99" i="19"/>
  <c r="P85" i="11"/>
  <c r="Q32" i="8"/>
  <c r="AM33" i="1"/>
  <c r="R32" i="8" s="1"/>
  <c r="O45" i="19"/>
  <c r="Q65" i="11" s="1"/>
  <c r="O25" i="19"/>
  <c r="Q57" i="11" s="1"/>
  <c r="O85" i="19"/>
  <c r="Q81" i="11" s="1"/>
  <c r="O65" i="19"/>
  <c r="Q73" i="11" s="1"/>
  <c r="O48" i="19"/>
  <c r="O28" i="19"/>
  <c r="O95" i="19"/>
  <c r="Q84" i="11" s="1"/>
  <c r="O68" i="19"/>
  <c r="O58" i="19"/>
  <c r="O78" i="19"/>
  <c r="O35" i="19"/>
  <c r="Q61" i="11" s="1"/>
  <c r="O88" i="19"/>
  <c r="O89" i="19" s="1"/>
  <c r="O55" i="19"/>
  <c r="Q69" i="11" s="1"/>
  <c r="O18" i="19"/>
  <c r="O98" i="19"/>
  <c r="O75" i="19"/>
  <c r="Q77" i="11" s="1"/>
  <c r="O10" i="19"/>
  <c r="Q50" i="11" s="1"/>
  <c r="O38" i="19"/>
  <c r="O15" i="19"/>
  <c r="Q53" i="11" s="1"/>
  <c r="Q49" i="11"/>
  <c r="BD35" i="1"/>
  <c r="AH34" i="8"/>
  <c r="P9" i="19"/>
  <c r="R52" i="11"/>
  <c r="N19" i="19"/>
  <c r="P54" i="11"/>
  <c r="M60" i="19"/>
  <c r="Q5" i="19"/>
  <c r="S47" i="11" s="1"/>
  <c r="Q64" i="19"/>
  <c r="S72" i="11" s="1"/>
  <c r="Q46" i="19"/>
  <c r="Q27" i="19"/>
  <c r="Q17" i="19"/>
  <c r="Q7" i="19"/>
  <c r="Q8" i="19" s="1"/>
  <c r="Q84" i="19"/>
  <c r="S80" i="11" s="1"/>
  <c r="Q86" i="19"/>
  <c r="Q57" i="19"/>
  <c r="Q26" i="19"/>
  <c r="Q66" i="19"/>
  <c r="R6" i="19"/>
  <c r="Q47" i="19"/>
  <c r="Q87" i="19"/>
  <c r="Q96" i="19"/>
  <c r="Q44" i="19"/>
  <c r="S64" i="11" s="1"/>
  <c r="Q94" i="19"/>
  <c r="S83" i="11" s="1"/>
  <c r="Q54" i="19"/>
  <c r="S68" i="11" s="1"/>
  <c r="Q97" i="19"/>
  <c r="Q14" i="19"/>
  <c r="Q56" i="19"/>
  <c r="Q24" i="19"/>
  <c r="S56" i="11" s="1"/>
  <c r="Q67" i="19"/>
  <c r="Q16" i="19"/>
  <c r="R12" i="19" s="1"/>
  <c r="Q76" i="19"/>
  <c r="Q74" i="19"/>
  <c r="S76" i="11" s="1"/>
  <c r="Q34" i="19"/>
  <c r="S60" i="11" s="1"/>
  <c r="Q36" i="19"/>
  <c r="Q77" i="19"/>
  <c r="Q37" i="19"/>
  <c r="AG31" i="8"/>
  <c r="BC32" i="1"/>
  <c r="Q9" i="19" l="1"/>
  <c r="S52" i="11"/>
  <c r="R5" i="19"/>
  <c r="T47" i="11" s="1"/>
  <c r="R44" i="19"/>
  <c r="T64" i="11" s="1"/>
  <c r="R24" i="19"/>
  <c r="T56" i="11" s="1"/>
  <c r="R67" i="19"/>
  <c r="R47" i="19"/>
  <c r="R86" i="19"/>
  <c r="R54" i="19"/>
  <c r="T68" i="11" s="1"/>
  <c r="R26" i="19"/>
  <c r="R7" i="19"/>
  <c r="R8" i="19" s="1"/>
  <c r="R66" i="19"/>
  <c r="R46" i="19"/>
  <c r="S6" i="19"/>
  <c r="R87" i="19"/>
  <c r="R27" i="19"/>
  <c r="R97" i="19"/>
  <c r="R14" i="19"/>
  <c r="R56" i="19"/>
  <c r="R57" i="19"/>
  <c r="R84" i="19"/>
  <c r="T80" i="11" s="1"/>
  <c r="R96" i="19"/>
  <c r="R16" i="19"/>
  <c r="S12" i="19" s="1"/>
  <c r="R17" i="19"/>
  <c r="R94" i="19"/>
  <c r="T83" i="11" s="1"/>
  <c r="R64" i="19"/>
  <c r="T72" i="11" s="1"/>
  <c r="R77" i="19"/>
  <c r="R74" i="19"/>
  <c r="T76" i="11" s="1"/>
  <c r="R76" i="19"/>
  <c r="R36" i="19"/>
  <c r="R37" i="19"/>
  <c r="R34" i="19"/>
  <c r="T60" i="11" s="1"/>
  <c r="O59" i="19"/>
  <c r="Q70" i="11"/>
  <c r="Q74" i="11"/>
  <c r="O69" i="19"/>
  <c r="AI34" i="8"/>
  <c r="BE35" i="1"/>
  <c r="O49" i="19"/>
  <c r="Q66" i="11"/>
  <c r="AI33" i="8"/>
  <c r="BE34" i="1"/>
  <c r="AH36" i="8"/>
  <c r="BD38" i="1"/>
  <c r="AH30" i="8"/>
  <c r="BD31" i="1"/>
  <c r="O19" i="19"/>
  <c r="Q54" i="11"/>
  <c r="O29" i="19"/>
  <c r="Q58" i="11"/>
  <c r="N60" i="19"/>
  <c r="AH31" i="8"/>
  <c r="BD32" i="1"/>
  <c r="P45" i="19"/>
  <c r="R65" i="11" s="1"/>
  <c r="P25" i="19"/>
  <c r="R57" i="11" s="1"/>
  <c r="P85" i="19"/>
  <c r="R81" i="11" s="1"/>
  <c r="P65" i="19"/>
  <c r="R73" i="11" s="1"/>
  <c r="P48" i="19"/>
  <c r="P28" i="19"/>
  <c r="P88" i="19"/>
  <c r="P89" i="19" s="1"/>
  <c r="P68" i="19"/>
  <c r="P95" i="19"/>
  <c r="R84" i="11" s="1"/>
  <c r="P98" i="19"/>
  <c r="P55" i="19"/>
  <c r="R69" i="11" s="1"/>
  <c r="P18" i="19"/>
  <c r="P15" i="19"/>
  <c r="R53" i="11" s="1"/>
  <c r="R49" i="11"/>
  <c r="P38" i="19"/>
  <c r="P78" i="19"/>
  <c r="P75" i="19"/>
  <c r="R77" i="11" s="1"/>
  <c r="P35" i="19"/>
  <c r="R61" i="11" s="1"/>
  <c r="P10" i="19"/>
  <c r="R50" i="11" s="1"/>
  <c r="P58" i="19"/>
  <c r="O99" i="19"/>
  <c r="Q85" i="11"/>
  <c r="AI32" i="8"/>
  <c r="BE33" i="1"/>
  <c r="O39" i="19"/>
  <c r="Q62" i="11"/>
  <c r="Q78" i="11"/>
  <c r="O79" i="19"/>
  <c r="S87" i="19" l="1"/>
  <c r="S86" i="19"/>
  <c r="S7" i="19"/>
  <c r="S8" i="19" s="1"/>
  <c r="S5" i="19"/>
  <c r="U47" i="11" s="1"/>
  <c r="S26" i="19"/>
  <c r="S47" i="19"/>
  <c r="S27" i="19"/>
  <c r="T6" i="19"/>
  <c r="S66" i="19"/>
  <c r="S14" i="19"/>
  <c r="S67" i="19"/>
  <c r="S54" i="19"/>
  <c r="U68" i="11" s="1"/>
  <c r="S46" i="19"/>
  <c r="S16" i="19"/>
  <c r="T12" i="19" s="1"/>
  <c r="S94" i="19"/>
  <c r="U83" i="11" s="1"/>
  <c r="S44" i="19"/>
  <c r="U64" i="11" s="1"/>
  <c r="S84" i="19"/>
  <c r="U80" i="11" s="1"/>
  <c r="S97" i="19"/>
  <c r="S96" i="19"/>
  <c r="S57" i="19"/>
  <c r="S64" i="19"/>
  <c r="U72" i="11" s="1"/>
  <c r="S24" i="19"/>
  <c r="U56" i="11" s="1"/>
  <c r="S17" i="19"/>
  <c r="S56" i="19"/>
  <c r="S77" i="19"/>
  <c r="S74" i="19"/>
  <c r="U76" i="11" s="1"/>
  <c r="S34" i="19"/>
  <c r="U60" i="11" s="1"/>
  <c r="S37" i="19"/>
  <c r="S36" i="19"/>
  <c r="S76" i="19"/>
  <c r="P29" i="19"/>
  <c r="R58" i="11"/>
  <c r="P39" i="19"/>
  <c r="R62" i="11"/>
  <c r="AI36" i="8"/>
  <c r="BE38" i="1"/>
  <c r="R9" i="19"/>
  <c r="T52" i="11"/>
  <c r="AJ32" i="8"/>
  <c r="BF33" i="1"/>
  <c r="R78" i="11"/>
  <c r="P79" i="19"/>
  <c r="P69" i="19"/>
  <c r="R74" i="11"/>
  <c r="AI31" i="8"/>
  <c r="BE32" i="1"/>
  <c r="P49" i="19"/>
  <c r="R66" i="11"/>
  <c r="AJ33" i="8"/>
  <c r="BF34" i="1"/>
  <c r="P99" i="19"/>
  <c r="R85" i="11"/>
  <c r="O60" i="19"/>
  <c r="Q85" i="19"/>
  <c r="S81" i="11" s="1"/>
  <c r="Q65" i="19"/>
  <c r="S73" i="11" s="1"/>
  <c r="Q48" i="19"/>
  <c r="Q28" i="19"/>
  <c r="Q88" i="19"/>
  <c r="Q89" i="19" s="1"/>
  <c r="Q68" i="19"/>
  <c r="Q38" i="19"/>
  <c r="Q75" i="19"/>
  <c r="S77" i="11" s="1"/>
  <c r="Q25" i="19"/>
  <c r="S57" i="11" s="1"/>
  <c r="Q10" i="19"/>
  <c r="S50" i="11" s="1"/>
  <c r="Q95" i="19"/>
  <c r="S84" i="11" s="1"/>
  <c r="Q15" i="19"/>
  <c r="S53" i="11" s="1"/>
  <c r="Q58" i="19"/>
  <c r="Q45" i="19"/>
  <c r="S65" i="11" s="1"/>
  <c r="Q78" i="19"/>
  <c r="Q35" i="19"/>
  <c r="S61" i="11" s="1"/>
  <c r="S49" i="11"/>
  <c r="Q98" i="19"/>
  <c r="Q55" i="19"/>
  <c r="S69" i="11" s="1"/>
  <c r="Q18" i="19"/>
  <c r="R70" i="11"/>
  <c r="P59" i="19"/>
  <c r="R54" i="11"/>
  <c r="P19" i="19"/>
  <c r="AI30" i="8"/>
  <c r="BE31" i="1"/>
  <c r="AJ34" i="8"/>
  <c r="BF35" i="1"/>
  <c r="Q99" i="19" l="1"/>
  <c r="S85" i="11"/>
  <c r="AJ31" i="8"/>
  <c r="BF32" i="1"/>
  <c r="S9" i="19"/>
  <c r="U52" i="11"/>
  <c r="R88" i="19"/>
  <c r="R89" i="19" s="1"/>
  <c r="R68" i="19"/>
  <c r="R55" i="19"/>
  <c r="T69" i="11" s="1"/>
  <c r="R35" i="19"/>
  <c r="T61" i="11" s="1"/>
  <c r="R15" i="19"/>
  <c r="T53" i="11" s="1"/>
  <c r="R78" i="19"/>
  <c r="R45" i="19"/>
  <c r="T65" i="11" s="1"/>
  <c r="R95" i="19"/>
  <c r="T84" i="11" s="1"/>
  <c r="R48" i="19"/>
  <c r="R58" i="19"/>
  <c r="R10" i="19"/>
  <c r="T50" i="11" s="1"/>
  <c r="R98" i="19"/>
  <c r="R75" i="19"/>
  <c r="T77" i="11" s="1"/>
  <c r="R85" i="19"/>
  <c r="T81" i="11" s="1"/>
  <c r="R65" i="19"/>
  <c r="T73" i="11" s="1"/>
  <c r="R38" i="19"/>
  <c r="R28" i="19"/>
  <c r="R18" i="19"/>
  <c r="T49" i="11"/>
  <c r="R25" i="19"/>
  <c r="T57" i="11" s="1"/>
  <c r="S78" i="11"/>
  <c r="Q79" i="19"/>
  <c r="Q39" i="19"/>
  <c r="S62" i="11"/>
  <c r="AJ36" i="8"/>
  <c r="BF38" i="1"/>
  <c r="P60" i="19"/>
  <c r="Q69" i="19"/>
  <c r="S74" i="11"/>
  <c r="AK34" i="8"/>
  <c r="BG35" i="1"/>
  <c r="S70" i="11"/>
  <c r="Q59" i="19"/>
  <c r="BG34" i="1"/>
  <c r="AK33" i="8"/>
  <c r="Q19" i="19"/>
  <c r="S54" i="11"/>
  <c r="Q29" i="19"/>
  <c r="S58" i="11"/>
  <c r="AJ30" i="8"/>
  <c r="BF31" i="1"/>
  <c r="Q49" i="19"/>
  <c r="S66" i="11"/>
  <c r="BG33" i="1"/>
  <c r="AK32" i="8"/>
  <c r="T87" i="19"/>
  <c r="T66" i="19"/>
  <c r="T26" i="19"/>
  <c r="T5" i="19"/>
  <c r="V47" i="11" s="1"/>
  <c r="T46" i="19"/>
  <c r="U6" i="19"/>
  <c r="T47" i="19"/>
  <c r="T27" i="19"/>
  <c r="T67" i="19"/>
  <c r="T54" i="19"/>
  <c r="V68" i="11" s="1"/>
  <c r="T14" i="19"/>
  <c r="T86" i="19"/>
  <c r="T7" i="19"/>
  <c r="T8" i="19" s="1"/>
  <c r="T44" i="19"/>
  <c r="V64" i="11" s="1"/>
  <c r="T24" i="19"/>
  <c r="V56" i="11" s="1"/>
  <c r="T16" i="19"/>
  <c r="U12" i="19" s="1"/>
  <c r="T56" i="19"/>
  <c r="T96" i="19"/>
  <c r="T97" i="19"/>
  <c r="T57" i="19"/>
  <c r="T17" i="19"/>
  <c r="T84" i="19"/>
  <c r="V80" i="11" s="1"/>
  <c r="T94" i="19"/>
  <c r="V83" i="11" s="1"/>
  <c r="T64" i="19"/>
  <c r="V72" i="11" s="1"/>
  <c r="T76" i="19"/>
  <c r="T77" i="19"/>
  <c r="T74" i="19"/>
  <c r="V76" i="11" s="1"/>
  <c r="T36" i="19"/>
  <c r="T37" i="19"/>
  <c r="T34" i="19"/>
  <c r="V60" i="11" s="1"/>
  <c r="V52" i="11" l="1"/>
  <c r="T9" i="19"/>
  <c r="T54" i="11"/>
  <c r="R19" i="19"/>
  <c r="T70" i="11"/>
  <c r="R59" i="19"/>
  <c r="R69" i="19"/>
  <c r="T74" i="11"/>
  <c r="T58" i="11"/>
  <c r="R29" i="19"/>
  <c r="R49" i="19"/>
  <c r="T66" i="11"/>
  <c r="S55" i="19"/>
  <c r="U69" i="11" s="1"/>
  <c r="S35" i="19"/>
  <c r="U61" i="11" s="1"/>
  <c r="S15" i="19"/>
  <c r="U53" i="11" s="1"/>
  <c r="S95" i="19"/>
  <c r="U84" i="11" s="1"/>
  <c r="S75" i="19"/>
  <c r="U77" i="11" s="1"/>
  <c r="S58" i="19"/>
  <c r="S38" i="19"/>
  <c r="S18" i="19"/>
  <c r="S10" i="19"/>
  <c r="U50" i="11" s="1"/>
  <c r="S78" i="19"/>
  <c r="S85" i="19"/>
  <c r="U81" i="11" s="1"/>
  <c r="S48" i="19"/>
  <c r="S88" i="19"/>
  <c r="S89" i="19" s="1"/>
  <c r="S98" i="19"/>
  <c r="U49" i="11"/>
  <c r="S68" i="19"/>
  <c r="S28" i="19"/>
  <c r="S25" i="19"/>
  <c r="U57" i="11" s="1"/>
  <c r="S45" i="19"/>
  <c r="U65" i="11" s="1"/>
  <c r="S65" i="19"/>
  <c r="U73" i="11" s="1"/>
  <c r="U67" i="19"/>
  <c r="U44" i="19"/>
  <c r="W64" i="11" s="1"/>
  <c r="U5" i="19"/>
  <c r="W47" i="11" s="1"/>
  <c r="U84" i="19"/>
  <c r="W80" i="11" s="1"/>
  <c r="U66" i="19"/>
  <c r="V6" i="19"/>
  <c r="U87" i="19"/>
  <c r="U24" i="19"/>
  <c r="W56" i="11" s="1"/>
  <c r="U86" i="19"/>
  <c r="U7" i="19"/>
  <c r="U8" i="19" s="1"/>
  <c r="U47" i="19"/>
  <c r="U64" i="19"/>
  <c r="W72" i="11" s="1"/>
  <c r="U27" i="19"/>
  <c r="U16" i="19"/>
  <c r="V12" i="19" s="1"/>
  <c r="U56" i="19"/>
  <c r="U94" i="19"/>
  <c r="W83" i="11" s="1"/>
  <c r="U57" i="19"/>
  <c r="U96" i="19"/>
  <c r="U54" i="19"/>
  <c r="W68" i="11" s="1"/>
  <c r="U17" i="19"/>
  <c r="U14" i="19"/>
  <c r="U26" i="19"/>
  <c r="U97" i="19"/>
  <c r="U46" i="19"/>
  <c r="U74" i="19"/>
  <c r="W76" i="11" s="1"/>
  <c r="U37" i="19"/>
  <c r="U34" i="19"/>
  <c r="W60" i="11" s="1"/>
  <c r="U36" i="19"/>
  <c r="U77" i="19"/>
  <c r="U76" i="19"/>
  <c r="AL34" i="8"/>
  <c r="BH35" i="1"/>
  <c r="R39" i="19"/>
  <c r="T62" i="11"/>
  <c r="AL32" i="8"/>
  <c r="BH33" i="1"/>
  <c r="R79" i="19"/>
  <c r="T78" i="11"/>
  <c r="AK31" i="8"/>
  <c r="BG32" i="1"/>
  <c r="AL33" i="8"/>
  <c r="BH34" i="1"/>
  <c r="T85" i="11"/>
  <c r="R99" i="19"/>
  <c r="BG31" i="1"/>
  <c r="AK30" i="8"/>
  <c r="Q60" i="19"/>
  <c r="AK36" i="8"/>
  <c r="BG38" i="1"/>
  <c r="V46" i="19" l="1"/>
  <c r="V26" i="19"/>
  <c r="V7" i="19"/>
  <c r="V8" i="19" s="1"/>
  <c r="W6" i="19"/>
  <c r="V84" i="19"/>
  <c r="X80" i="11" s="1"/>
  <c r="V57" i="19"/>
  <c r="V87" i="19"/>
  <c r="V64" i="19"/>
  <c r="X72" i="11" s="1"/>
  <c r="V44" i="19"/>
  <c r="X64" i="11" s="1"/>
  <c r="V24" i="19"/>
  <c r="X56" i="11" s="1"/>
  <c r="V16" i="19"/>
  <c r="W12" i="19" s="1"/>
  <c r="V67" i="19"/>
  <c r="V56" i="19"/>
  <c r="V5" i="19"/>
  <c r="X47" i="11" s="1"/>
  <c r="V66" i="19"/>
  <c r="V96" i="19"/>
  <c r="V94" i="19"/>
  <c r="X83" i="11" s="1"/>
  <c r="V54" i="19"/>
  <c r="X68" i="11" s="1"/>
  <c r="V14" i="19"/>
  <c r="V97" i="19"/>
  <c r="V17" i="19"/>
  <c r="V27" i="19"/>
  <c r="V86" i="19"/>
  <c r="V47" i="19"/>
  <c r="V36" i="19"/>
  <c r="V76" i="19"/>
  <c r="V77" i="19"/>
  <c r="V74" i="19"/>
  <c r="X76" i="11" s="1"/>
  <c r="V37" i="19"/>
  <c r="V34" i="19"/>
  <c r="X60" i="11" s="1"/>
  <c r="S79" i="19"/>
  <c r="U78" i="11"/>
  <c r="R60" i="19"/>
  <c r="AL31" i="8"/>
  <c r="BH32" i="1"/>
  <c r="AM34" i="8"/>
  <c r="BI35" i="1"/>
  <c r="U58" i="11"/>
  <c r="S29" i="19"/>
  <c r="AM32" i="8"/>
  <c r="BI33" i="1"/>
  <c r="S69" i="19"/>
  <c r="U74" i="11"/>
  <c r="S19" i="19"/>
  <c r="U54" i="11"/>
  <c r="U9" i="19"/>
  <c r="W52" i="11"/>
  <c r="S39" i="19"/>
  <c r="U62" i="11"/>
  <c r="U85" i="11"/>
  <c r="S99" i="19"/>
  <c r="S59" i="19"/>
  <c r="U70" i="11"/>
  <c r="T55" i="19"/>
  <c r="V69" i="11" s="1"/>
  <c r="T35" i="19"/>
  <c r="V61" i="11" s="1"/>
  <c r="T15" i="19"/>
  <c r="V53" i="11" s="1"/>
  <c r="T95" i="19"/>
  <c r="V84" i="11" s="1"/>
  <c r="T75" i="19"/>
  <c r="V77" i="11" s="1"/>
  <c r="T58" i="19"/>
  <c r="T38" i="19"/>
  <c r="T18" i="19"/>
  <c r="T10" i="19"/>
  <c r="V50" i="11" s="1"/>
  <c r="T98" i="19"/>
  <c r="T78" i="19"/>
  <c r="T85" i="19"/>
  <c r="V81" i="11" s="1"/>
  <c r="T88" i="19"/>
  <c r="T89" i="19" s="1"/>
  <c r="T68" i="19"/>
  <c r="T65" i="19"/>
  <c r="V73" i="11" s="1"/>
  <c r="T45" i="19"/>
  <c r="V65" i="11" s="1"/>
  <c r="V49" i="11"/>
  <c r="T25" i="19"/>
  <c r="V57" i="11" s="1"/>
  <c r="T28" i="19"/>
  <c r="T48" i="19"/>
  <c r="S49" i="19"/>
  <c r="U66" i="11"/>
  <c r="AL30" i="8"/>
  <c r="BH31" i="1"/>
  <c r="BI34" i="1"/>
  <c r="AM33" i="8"/>
  <c r="AL36" i="8"/>
  <c r="BH38" i="1"/>
  <c r="BI31" i="1" l="1"/>
  <c r="AM30" i="8"/>
  <c r="T19" i="19"/>
  <c r="V54" i="11"/>
  <c r="AN34" i="8"/>
  <c r="BJ35" i="1"/>
  <c r="V58" i="11"/>
  <c r="T29" i="19"/>
  <c r="T79" i="19"/>
  <c r="V78" i="11"/>
  <c r="T39" i="19"/>
  <c r="V62" i="11"/>
  <c r="S60" i="19"/>
  <c r="W47" i="19"/>
  <c r="W27" i="19"/>
  <c r="W7" i="19"/>
  <c r="W8" i="19" s="1"/>
  <c r="X6" i="19"/>
  <c r="W64" i="19"/>
  <c r="Y72" i="11" s="1"/>
  <c r="W44" i="19"/>
  <c r="Y64" i="11" s="1"/>
  <c r="W16" i="19"/>
  <c r="X12" i="19" s="1"/>
  <c r="W84" i="19"/>
  <c r="Y80" i="11" s="1"/>
  <c r="W24" i="19"/>
  <c r="Y56" i="11" s="1"/>
  <c r="W56" i="19"/>
  <c r="W5" i="19"/>
  <c r="Y47" i="11" s="1"/>
  <c r="W57" i="19"/>
  <c r="W17" i="19"/>
  <c r="W94" i="19"/>
  <c r="Y83" i="11" s="1"/>
  <c r="W54" i="19"/>
  <c r="Y68" i="11" s="1"/>
  <c r="W14" i="19"/>
  <c r="W87" i="19"/>
  <c r="W96" i="19"/>
  <c r="W97" i="19"/>
  <c r="W67" i="19"/>
  <c r="W86" i="19"/>
  <c r="W46" i="19"/>
  <c r="W66" i="19"/>
  <c r="W26" i="19"/>
  <c r="W76" i="19"/>
  <c r="W74" i="19"/>
  <c r="Y76" i="11" s="1"/>
  <c r="W36" i="19"/>
  <c r="W34" i="19"/>
  <c r="Y60" i="11" s="1"/>
  <c r="W77" i="19"/>
  <c r="W37" i="19"/>
  <c r="V9" i="19"/>
  <c r="X52" i="11"/>
  <c r="AN33" i="8"/>
  <c r="BJ34" i="1"/>
  <c r="U95" i="19"/>
  <c r="W84" i="11" s="1"/>
  <c r="U75" i="19"/>
  <c r="W77" i="11" s="1"/>
  <c r="U58" i="19"/>
  <c r="U38" i="19"/>
  <c r="U18" i="19"/>
  <c r="U10" i="19"/>
  <c r="W50" i="11" s="1"/>
  <c r="U98" i="19"/>
  <c r="U78" i="19"/>
  <c r="U28" i="19"/>
  <c r="U65" i="19"/>
  <c r="W73" i="11" s="1"/>
  <c r="U55" i="19"/>
  <c r="W69" i="11" s="1"/>
  <c r="W49" i="11"/>
  <c r="U45" i="19"/>
  <c r="W65" i="11" s="1"/>
  <c r="U68" i="19"/>
  <c r="U15" i="19"/>
  <c r="W53" i="11" s="1"/>
  <c r="U35" i="19"/>
  <c r="W61" i="11" s="1"/>
  <c r="U48" i="19"/>
  <c r="U88" i="19"/>
  <c r="U89" i="19" s="1"/>
  <c r="U85" i="19"/>
  <c r="W81" i="11" s="1"/>
  <c r="U25" i="19"/>
  <c r="W57" i="11" s="1"/>
  <c r="T69" i="19"/>
  <c r="V74" i="11"/>
  <c r="T59" i="19"/>
  <c r="V70" i="11"/>
  <c r="BI32" i="1"/>
  <c r="AM31" i="8"/>
  <c r="V85" i="11"/>
  <c r="T99" i="19"/>
  <c r="AM36" i="8"/>
  <c r="BI38" i="1"/>
  <c r="T49" i="19"/>
  <c r="V66" i="11"/>
  <c r="AN32" i="8"/>
  <c r="BJ33" i="1"/>
  <c r="AN31" i="8" l="1"/>
  <c r="BJ32" i="1"/>
  <c r="W66" i="11"/>
  <c r="U49" i="19"/>
  <c r="U29" i="19"/>
  <c r="W58" i="11"/>
  <c r="U79" i="19"/>
  <c r="W78" i="11"/>
  <c r="BK34" i="1"/>
  <c r="AO33" i="8"/>
  <c r="T60" i="19"/>
  <c r="U99" i="19"/>
  <c r="W85" i="11"/>
  <c r="W9" i="19"/>
  <c r="Y52" i="11"/>
  <c r="U19" i="19"/>
  <c r="W54" i="11"/>
  <c r="V98" i="19"/>
  <c r="V78" i="19"/>
  <c r="V45" i="19"/>
  <c r="X65" i="11" s="1"/>
  <c r="V25" i="19"/>
  <c r="X57" i="11" s="1"/>
  <c r="V68" i="19"/>
  <c r="V58" i="19"/>
  <c r="V95" i="19"/>
  <c r="X84" i="11" s="1"/>
  <c r="V15" i="19"/>
  <c r="X53" i="11" s="1"/>
  <c r="V75" i="19"/>
  <c r="X77" i="11" s="1"/>
  <c r="V65" i="19"/>
  <c r="X73" i="11" s="1"/>
  <c r="V85" i="19"/>
  <c r="X81" i="11" s="1"/>
  <c r="V28" i="19"/>
  <c r="V10" i="19"/>
  <c r="X50" i="11" s="1"/>
  <c r="V48" i="19"/>
  <c r="V18" i="19"/>
  <c r="V88" i="19"/>
  <c r="V89" i="19" s="1"/>
  <c r="V55" i="19"/>
  <c r="X69" i="11" s="1"/>
  <c r="X49" i="11"/>
  <c r="V35" i="19"/>
  <c r="X61" i="11" s="1"/>
  <c r="V38" i="19"/>
  <c r="U39" i="19"/>
  <c r="W62" i="11"/>
  <c r="AO34" i="8"/>
  <c r="BK35" i="1"/>
  <c r="AN36" i="8"/>
  <c r="BJ38" i="1"/>
  <c r="U69" i="19"/>
  <c r="W74" i="11"/>
  <c r="U59" i="19"/>
  <c r="W70" i="11"/>
  <c r="AO32" i="8"/>
  <c r="BK33" i="1"/>
  <c r="X7" i="19"/>
  <c r="X8" i="19" s="1"/>
  <c r="Y6" i="19"/>
  <c r="X5" i="19"/>
  <c r="Z47" i="11" s="1"/>
  <c r="X64" i="19"/>
  <c r="Z72" i="11" s="1"/>
  <c r="X46" i="19"/>
  <c r="X84" i="19"/>
  <c r="Z80" i="11" s="1"/>
  <c r="X24" i="19"/>
  <c r="Z56" i="11" s="1"/>
  <c r="X44" i="19"/>
  <c r="Z64" i="11" s="1"/>
  <c r="X57" i="19"/>
  <c r="X17" i="19"/>
  <c r="X26" i="19"/>
  <c r="X56" i="19"/>
  <c r="X16" i="19"/>
  <c r="Y12" i="19" s="1"/>
  <c r="X97" i="19"/>
  <c r="X87" i="19"/>
  <c r="X47" i="19"/>
  <c r="X14" i="19"/>
  <c r="X54" i="19"/>
  <c r="Z68" i="11" s="1"/>
  <c r="X94" i="19"/>
  <c r="Z83" i="11" s="1"/>
  <c r="X96" i="19"/>
  <c r="X67" i="19"/>
  <c r="X27" i="19"/>
  <c r="X86" i="19"/>
  <c r="X66" i="19"/>
  <c r="X36" i="19"/>
  <c r="X34" i="19"/>
  <c r="Z60" i="11" s="1"/>
  <c r="X37" i="19"/>
  <c r="X76" i="19"/>
  <c r="X74" i="19"/>
  <c r="Z76" i="11" s="1"/>
  <c r="X77" i="19"/>
  <c r="AN30" i="8"/>
  <c r="BJ31" i="1"/>
  <c r="V19" i="19" l="1"/>
  <c r="X54" i="11"/>
  <c r="U60" i="19"/>
  <c r="V69" i="19"/>
  <c r="X74" i="11"/>
  <c r="W45" i="19"/>
  <c r="Y65" i="11" s="1"/>
  <c r="W25" i="19"/>
  <c r="Y57" i="11" s="1"/>
  <c r="W85" i="19"/>
  <c r="Y81" i="11" s="1"/>
  <c r="W65" i="19"/>
  <c r="Y73" i="11" s="1"/>
  <c r="W48" i="19"/>
  <c r="W28" i="19"/>
  <c r="W68" i="19"/>
  <c r="W98" i="19"/>
  <c r="W35" i="19"/>
  <c r="Y61" i="11" s="1"/>
  <c r="W10" i="19"/>
  <c r="Y50" i="11" s="1"/>
  <c r="W38" i="19"/>
  <c r="W75" i="19"/>
  <c r="Y77" i="11" s="1"/>
  <c r="W58" i="19"/>
  <c r="W88" i="19"/>
  <c r="W89" i="19" s="1"/>
  <c r="W78" i="19"/>
  <c r="W55" i="19"/>
  <c r="Y69" i="11" s="1"/>
  <c r="W95" i="19"/>
  <c r="Y84" i="11" s="1"/>
  <c r="W15" i="19"/>
  <c r="Y53" i="11" s="1"/>
  <c r="W18" i="19"/>
  <c r="Y49" i="11"/>
  <c r="X62" i="11"/>
  <c r="V39" i="19"/>
  <c r="V29" i="19"/>
  <c r="X58" i="11"/>
  <c r="Y5" i="19"/>
  <c r="AA47" i="11" s="1"/>
  <c r="Y86" i="19"/>
  <c r="Y47" i="19"/>
  <c r="Y66" i="19"/>
  <c r="Y46" i="19"/>
  <c r="Y64" i="19"/>
  <c r="AA72" i="11" s="1"/>
  <c r="Z6" i="19"/>
  <c r="Y27" i="19"/>
  <c r="Y54" i="19"/>
  <c r="AA68" i="11" s="1"/>
  <c r="Y7" i="19"/>
  <c r="Y8" i="19" s="1"/>
  <c r="Y26" i="19"/>
  <c r="Y84" i="19"/>
  <c r="AA80" i="11" s="1"/>
  <c r="Y14" i="19"/>
  <c r="Y97" i="19"/>
  <c r="Y87" i="19"/>
  <c r="Y96" i="19"/>
  <c r="Y17" i="19"/>
  <c r="Y44" i="19"/>
  <c r="AA64" i="11" s="1"/>
  <c r="Y94" i="19"/>
  <c r="AA83" i="11" s="1"/>
  <c r="Y56" i="19"/>
  <c r="Y16" i="19"/>
  <c r="Z12" i="19" s="1"/>
  <c r="Y24" i="19"/>
  <c r="AA56" i="11" s="1"/>
  <c r="Y67" i="19"/>
  <c r="Y57" i="19"/>
  <c r="Y74" i="19"/>
  <c r="AA76" i="11" s="1"/>
  <c r="Y37" i="19"/>
  <c r="Y34" i="19"/>
  <c r="AA60" i="11" s="1"/>
  <c r="Y77" i="19"/>
  <c r="Y76" i="19"/>
  <c r="Y36" i="19"/>
  <c r="BK38" i="1"/>
  <c r="AO36" i="8"/>
  <c r="V79" i="19"/>
  <c r="X78" i="11"/>
  <c r="X66" i="11"/>
  <c r="V49" i="19"/>
  <c r="V59" i="19"/>
  <c r="X70" i="11"/>
  <c r="X9" i="19"/>
  <c r="Z52" i="11"/>
  <c r="V99" i="19"/>
  <c r="X85" i="11"/>
  <c r="BK32" i="1"/>
  <c r="AO31" i="8"/>
  <c r="AO30" i="8"/>
  <c r="BK31" i="1"/>
  <c r="BL33" i="1"/>
  <c r="AP32" i="8"/>
  <c r="BL35" i="1"/>
  <c r="AP34" i="8"/>
  <c r="AP33" i="8"/>
  <c r="BL34" i="1"/>
  <c r="W19" i="19" l="1"/>
  <c r="Y54" i="11"/>
  <c r="W39" i="19"/>
  <c r="Y62" i="11"/>
  <c r="W99" i="19"/>
  <c r="Y85" i="11"/>
  <c r="X45" i="19"/>
  <c r="Z65" i="11" s="1"/>
  <c r="X25" i="19"/>
  <c r="Z57" i="11" s="1"/>
  <c r="X85" i="19"/>
  <c r="Z81" i="11" s="1"/>
  <c r="X65" i="19"/>
  <c r="Z73" i="11" s="1"/>
  <c r="X48" i="19"/>
  <c r="X28" i="19"/>
  <c r="X88" i="19"/>
  <c r="X89" i="19" s="1"/>
  <c r="X68" i="19"/>
  <c r="X98" i="19"/>
  <c r="X75" i="19"/>
  <c r="Z77" i="11" s="1"/>
  <c r="X38" i="19"/>
  <c r="X58" i="19"/>
  <c r="X18" i="19"/>
  <c r="X35" i="19"/>
  <c r="Z61" i="11" s="1"/>
  <c r="Z49" i="11"/>
  <c r="X95" i="19"/>
  <c r="Z84" i="11" s="1"/>
  <c r="X15" i="19"/>
  <c r="Z53" i="11" s="1"/>
  <c r="X78" i="19"/>
  <c r="X55" i="19"/>
  <c r="Z69" i="11" s="1"/>
  <c r="X10" i="19"/>
  <c r="Z50" i="11" s="1"/>
  <c r="BL38" i="1"/>
  <c r="AP36" i="8"/>
  <c r="Z5" i="19"/>
  <c r="AB47" i="11" s="1"/>
  <c r="Z44" i="19"/>
  <c r="AB64" i="11" s="1"/>
  <c r="Z24" i="19"/>
  <c r="AB56" i="11" s="1"/>
  <c r="Z86" i="19"/>
  <c r="Z87" i="19"/>
  <c r="AA6" i="19"/>
  <c r="Z14" i="19"/>
  <c r="Z66" i="19"/>
  <c r="Z46" i="19"/>
  <c r="Z8" i="19"/>
  <c r="Z27" i="19"/>
  <c r="Z47" i="19"/>
  <c r="Z26" i="19"/>
  <c r="Z7" i="19"/>
  <c r="Z67" i="19"/>
  <c r="Z54" i="19"/>
  <c r="AB68" i="11" s="1"/>
  <c r="Z96" i="19"/>
  <c r="Z16" i="19"/>
  <c r="AA12" i="19" s="1"/>
  <c r="Z17" i="19"/>
  <c r="Z56" i="19"/>
  <c r="Z57" i="19"/>
  <c r="Z94" i="19"/>
  <c r="AB83" i="11" s="1"/>
  <c r="Z84" i="19"/>
  <c r="AB80" i="11" s="1"/>
  <c r="Z97" i="19"/>
  <c r="Z64" i="19"/>
  <c r="AB72" i="11" s="1"/>
  <c r="Z36" i="19"/>
  <c r="Z37" i="19"/>
  <c r="Z74" i="19"/>
  <c r="AB76" i="11" s="1"/>
  <c r="Z34" i="19"/>
  <c r="AB60" i="11" s="1"/>
  <c r="Z76" i="19"/>
  <c r="Z77" i="19"/>
  <c r="Y78" i="11"/>
  <c r="W79" i="19"/>
  <c r="Y74" i="11"/>
  <c r="W69" i="19"/>
  <c r="AP31" i="8"/>
  <c r="BL32" i="1"/>
  <c r="AQ34" i="8"/>
  <c r="W35" i="1"/>
  <c r="AQ32" i="8"/>
  <c r="W33" i="1"/>
  <c r="AP30" i="8"/>
  <c r="BL31" i="1"/>
  <c r="W29" i="19"/>
  <c r="Y58" i="11"/>
  <c r="Y9" i="19"/>
  <c r="AA52" i="11"/>
  <c r="W59" i="19"/>
  <c r="Y70" i="11"/>
  <c r="W49" i="19"/>
  <c r="Y66" i="11"/>
  <c r="V60" i="19"/>
  <c r="AQ33" i="8"/>
  <c r="W34" i="1"/>
  <c r="X99" i="19" l="1"/>
  <c r="Z85" i="11"/>
  <c r="X69" i="19"/>
  <c r="Z74" i="11"/>
  <c r="X29" i="19"/>
  <c r="Z58" i="11"/>
  <c r="Z78" i="11"/>
  <c r="X79" i="19"/>
  <c r="AQ30" i="8"/>
  <c r="BM31" i="1"/>
  <c r="Z9" i="19"/>
  <c r="AB52" i="11"/>
  <c r="AQ36" i="8"/>
  <c r="W38" i="1"/>
  <c r="Z54" i="11"/>
  <c r="X19" i="19"/>
  <c r="X49" i="19"/>
  <c r="Z66" i="11"/>
  <c r="Y85" i="19"/>
  <c r="AA81" i="11" s="1"/>
  <c r="Y65" i="19"/>
  <c r="AA73" i="11" s="1"/>
  <c r="Y48" i="19"/>
  <c r="Y28" i="19"/>
  <c r="Y88" i="19"/>
  <c r="Y89" i="19" s="1"/>
  <c r="Y68" i="19"/>
  <c r="Y75" i="19"/>
  <c r="AA77" i="11" s="1"/>
  <c r="Y55" i="19"/>
  <c r="AA69" i="11" s="1"/>
  <c r="Y78" i="19"/>
  <c r="Y45" i="19"/>
  <c r="AA65" i="11" s="1"/>
  <c r="Y38" i="19"/>
  <c r="Y35" i="19"/>
  <c r="AA61" i="11" s="1"/>
  <c r="Y18" i="19"/>
  <c r="Y25" i="19"/>
  <c r="AA57" i="11" s="1"/>
  <c r="Y98" i="19"/>
  <c r="Y95" i="19"/>
  <c r="AA84" i="11" s="1"/>
  <c r="Y15" i="19"/>
  <c r="AA53" i="11" s="1"/>
  <c r="Y10" i="19"/>
  <c r="AA50" i="11" s="1"/>
  <c r="AA49" i="11"/>
  <c r="Y58" i="19"/>
  <c r="AA27" i="19"/>
  <c r="AA66" i="19"/>
  <c r="AA46" i="19"/>
  <c r="AA47" i="19"/>
  <c r="AA67" i="19"/>
  <c r="AA54" i="19"/>
  <c r="AC68" i="11" s="1"/>
  <c r="AA7" i="19"/>
  <c r="AA8" i="19" s="1"/>
  <c r="AA87" i="19"/>
  <c r="AA14" i="19"/>
  <c r="AA86" i="19"/>
  <c r="AA5" i="19"/>
  <c r="AC47" i="11" s="1"/>
  <c r="AA26" i="19"/>
  <c r="AB6" i="19"/>
  <c r="AA94" i="19"/>
  <c r="AC83" i="11" s="1"/>
  <c r="AA97" i="19"/>
  <c r="AA96" i="19"/>
  <c r="AA57" i="19"/>
  <c r="AA84" i="19"/>
  <c r="AC80" i="11" s="1"/>
  <c r="AA44" i="19"/>
  <c r="AC64" i="11" s="1"/>
  <c r="AA17" i="19"/>
  <c r="AA56" i="19"/>
  <c r="AA16" i="19"/>
  <c r="AB12" i="19" s="1"/>
  <c r="AA64" i="19"/>
  <c r="AC72" i="11" s="1"/>
  <c r="AA24" i="19"/>
  <c r="AC56" i="11" s="1"/>
  <c r="AA76" i="19"/>
  <c r="AA77" i="19"/>
  <c r="AA74" i="19"/>
  <c r="AC76" i="11" s="1"/>
  <c r="AA36" i="19"/>
  <c r="AA37" i="19"/>
  <c r="AA34" i="19"/>
  <c r="AC60" i="11" s="1"/>
  <c r="Z70" i="11"/>
  <c r="X59" i="19"/>
  <c r="W60" i="19"/>
  <c r="AQ31" i="8"/>
  <c r="BM32" i="1"/>
  <c r="X39" i="19"/>
  <c r="Z62" i="11"/>
  <c r="Y69" i="19" l="1"/>
  <c r="AA74" i="11"/>
  <c r="AA54" i="11"/>
  <c r="Y19" i="19"/>
  <c r="X60" i="19"/>
  <c r="Y59" i="19"/>
  <c r="AA70" i="11"/>
  <c r="Y29" i="19"/>
  <c r="AA58" i="11"/>
  <c r="Y39" i="19"/>
  <c r="AA62" i="11"/>
  <c r="Y49" i="19"/>
  <c r="AA66" i="11"/>
  <c r="AA9" i="19"/>
  <c r="AC52" i="11"/>
  <c r="AB67" i="19"/>
  <c r="AB44" i="19"/>
  <c r="AD64" i="11" s="1"/>
  <c r="AB46" i="19"/>
  <c r="AB87" i="19"/>
  <c r="AB66" i="19"/>
  <c r="AB26" i="19"/>
  <c r="AB47" i="19"/>
  <c r="AB27" i="19"/>
  <c r="AB7" i="19"/>
  <c r="AB8" i="19" s="1"/>
  <c r="AC6" i="19"/>
  <c r="AB86" i="19"/>
  <c r="AB24" i="19"/>
  <c r="AD56" i="11" s="1"/>
  <c r="AB56" i="19"/>
  <c r="AB5" i="19"/>
  <c r="AD47" i="11" s="1"/>
  <c r="AB64" i="19"/>
  <c r="AD72" i="11" s="1"/>
  <c r="AB57" i="19"/>
  <c r="AB96" i="19"/>
  <c r="AB97" i="19"/>
  <c r="AB17" i="19"/>
  <c r="AB84" i="19"/>
  <c r="AD80" i="11" s="1"/>
  <c r="AB16" i="19"/>
  <c r="AC12" i="19" s="1"/>
  <c r="AB94" i="19"/>
  <c r="AD83" i="11" s="1"/>
  <c r="AB54" i="19"/>
  <c r="AD68" i="11" s="1"/>
  <c r="AB14" i="19"/>
  <c r="AB76" i="19"/>
  <c r="AB77" i="19"/>
  <c r="AB34" i="19"/>
  <c r="AD60" i="11" s="1"/>
  <c r="AB36" i="19"/>
  <c r="AB37" i="19"/>
  <c r="AB74" i="19"/>
  <c r="AD76" i="11" s="1"/>
  <c r="AA78" i="11"/>
  <c r="Y79" i="19"/>
  <c r="Z88" i="19"/>
  <c r="Z89" i="19" s="1"/>
  <c r="Z68" i="19"/>
  <c r="Z55" i="19"/>
  <c r="AB69" i="11" s="1"/>
  <c r="Z35" i="19"/>
  <c r="AB61" i="11" s="1"/>
  <c r="Z15" i="19"/>
  <c r="AB53" i="11" s="1"/>
  <c r="Z95" i="19"/>
  <c r="AB84" i="11" s="1"/>
  <c r="Z48" i="19"/>
  <c r="Z85" i="19"/>
  <c r="AB81" i="11" s="1"/>
  <c r="Z58" i="19"/>
  <c r="Z98" i="19"/>
  <c r="Z75" i="19"/>
  <c r="AB77" i="11" s="1"/>
  <c r="Z25" i="19"/>
  <c r="AB57" i="11" s="1"/>
  <c r="Z65" i="19"/>
  <c r="AB73" i="11" s="1"/>
  <c r="Z45" i="19"/>
  <c r="AB65" i="11" s="1"/>
  <c r="Z38" i="19"/>
  <c r="Z18" i="19"/>
  <c r="Z28" i="19"/>
  <c r="Z78" i="19"/>
  <c r="Z10" i="19"/>
  <c r="AB50" i="11" s="1"/>
  <c r="AB49" i="11"/>
  <c r="AR30" i="8"/>
  <c r="W31" i="1"/>
  <c r="AR31" i="8"/>
  <c r="W32" i="1"/>
  <c r="AA85" i="11"/>
  <c r="Y99" i="19"/>
  <c r="AA55" i="19" l="1"/>
  <c r="AC69" i="11" s="1"/>
  <c r="AA35" i="19"/>
  <c r="AC61" i="11" s="1"/>
  <c r="AA15" i="19"/>
  <c r="AC53" i="11" s="1"/>
  <c r="AA95" i="19"/>
  <c r="AC84" i="11" s="1"/>
  <c r="AA75" i="19"/>
  <c r="AC77" i="11" s="1"/>
  <c r="AA58" i="19"/>
  <c r="AA38" i="19"/>
  <c r="AA18" i="19"/>
  <c r="AA10" i="19"/>
  <c r="AC50" i="11" s="1"/>
  <c r="AA88" i="19"/>
  <c r="AA89" i="19" s="1"/>
  <c r="AA98" i="19"/>
  <c r="AA68" i="19"/>
  <c r="AA65" i="19"/>
  <c r="AC73" i="11" s="1"/>
  <c r="AA45" i="19"/>
  <c r="AC65" i="11" s="1"/>
  <c r="AA85" i="19"/>
  <c r="AC81" i="11" s="1"/>
  <c r="AA78" i="19"/>
  <c r="AA28" i="19"/>
  <c r="AA25" i="19"/>
  <c r="AC57" i="11" s="1"/>
  <c r="AC49" i="11"/>
  <c r="AA48" i="19"/>
  <c r="Y60" i="19"/>
  <c r="Z29" i="19"/>
  <c r="AB58" i="11"/>
  <c r="Z59" i="19"/>
  <c r="AB70" i="11"/>
  <c r="AB54" i="11"/>
  <c r="Z19" i="19"/>
  <c r="Z39" i="19"/>
  <c r="AB62" i="11"/>
  <c r="Z49" i="19"/>
  <c r="AB66" i="11"/>
  <c r="AB9" i="19"/>
  <c r="AD52" i="11"/>
  <c r="Z79" i="19"/>
  <c r="AB78" i="11"/>
  <c r="AB85" i="11"/>
  <c r="Z99" i="19"/>
  <c r="Z69" i="19"/>
  <c r="AB74" i="11"/>
  <c r="AC67" i="19"/>
  <c r="AC84" i="19"/>
  <c r="AE80" i="11" s="1"/>
  <c r="AC47" i="19"/>
  <c r="AC86" i="19"/>
  <c r="AC64" i="19"/>
  <c r="AE72" i="11" s="1"/>
  <c r="AC44" i="19"/>
  <c r="AE64" i="11" s="1"/>
  <c r="AC27" i="19"/>
  <c r="AC56" i="19"/>
  <c r="AC7" i="19"/>
  <c r="AC8" i="19" s="1"/>
  <c r="AC5" i="19"/>
  <c r="AE47" i="11" s="1"/>
  <c r="AC57" i="19"/>
  <c r="AD6" i="19"/>
  <c r="AC24" i="19"/>
  <c r="AE56" i="11" s="1"/>
  <c r="AC66" i="19"/>
  <c r="AC17" i="19"/>
  <c r="AC87" i="19"/>
  <c r="AC16" i="19"/>
  <c r="AD12" i="19" s="1"/>
  <c r="AC46" i="19"/>
  <c r="AC14" i="19"/>
  <c r="AC54" i="19"/>
  <c r="AE68" i="11" s="1"/>
  <c r="AC94" i="19"/>
  <c r="AE83" i="11" s="1"/>
  <c r="AC26" i="19"/>
  <c r="AC97" i="19"/>
  <c r="AC96" i="19"/>
  <c r="AC34" i="19"/>
  <c r="AE60" i="11" s="1"/>
  <c r="AC36" i="19"/>
  <c r="AC76" i="19"/>
  <c r="AC74" i="19"/>
  <c r="AE76" i="11" s="1"/>
  <c r="AC77" i="19"/>
  <c r="AC37" i="19"/>
  <c r="AA59" i="19" l="1"/>
  <c r="AC70" i="11"/>
  <c r="AA49" i="19"/>
  <c r="AC66" i="11"/>
  <c r="AC74" i="11"/>
  <c r="AA69" i="19"/>
  <c r="Z60" i="19"/>
  <c r="AA79" i="19"/>
  <c r="AC78" i="11"/>
  <c r="AA19" i="19"/>
  <c r="AC54" i="11"/>
  <c r="AD46" i="19"/>
  <c r="AD26" i="19"/>
  <c r="AD7" i="19"/>
  <c r="AD8" i="19" s="1"/>
  <c r="AE6" i="19"/>
  <c r="AD84" i="19"/>
  <c r="AF80" i="11" s="1"/>
  <c r="AD87" i="19"/>
  <c r="AD67" i="19"/>
  <c r="AD56" i="19"/>
  <c r="AD17" i="19"/>
  <c r="AD5" i="19"/>
  <c r="AF47" i="11" s="1"/>
  <c r="AD24" i="19"/>
  <c r="AF56" i="11" s="1"/>
  <c r="AD16" i="19"/>
  <c r="AE12" i="19" s="1"/>
  <c r="AD57" i="19"/>
  <c r="AD64" i="19"/>
  <c r="AF72" i="11" s="1"/>
  <c r="AD44" i="19"/>
  <c r="AF64" i="11" s="1"/>
  <c r="AD27" i="19"/>
  <c r="AD86" i="19"/>
  <c r="AD94" i="19"/>
  <c r="AF83" i="11" s="1"/>
  <c r="AD54" i="19"/>
  <c r="AF68" i="11" s="1"/>
  <c r="AD47" i="19"/>
  <c r="AD66" i="19"/>
  <c r="AD96" i="19"/>
  <c r="AD14" i="19"/>
  <c r="AD97" i="19"/>
  <c r="AD36" i="19"/>
  <c r="AD76" i="19"/>
  <c r="AD74" i="19"/>
  <c r="AF76" i="11" s="1"/>
  <c r="AD77" i="19"/>
  <c r="AD34" i="19"/>
  <c r="AF60" i="11" s="1"/>
  <c r="AD37" i="19"/>
  <c r="AC85" i="11"/>
  <c r="AA99" i="19"/>
  <c r="AB55" i="19"/>
  <c r="AD69" i="11" s="1"/>
  <c r="AB35" i="19"/>
  <c r="AD61" i="11" s="1"/>
  <c r="AB15" i="19"/>
  <c r="AD53" i="11" s="1"/>
  <c r="AB95" i="19"/>
  <c r="AD84" i="11" s="1"/>
  <c r="AB75" i="19"/>
  <c r="AD77" i="11" s="1"/>
  <c r="AB58" i="19"/>
  <c r="AB38" i="19"/>
  <c r="AB18" i="19"/>
  <c r="AB10" i="19"/>
  <c r="AD50" i="11" s="1"/>
  <c r="AB98" i="19"/>
  <c r="AB78" i="19"/>
  <c r="AB88" i="19"/>
  <c r="AB89" i="19" s="1"/>
  <c r="AB65" i="19"/>
  <c r="AD73" i="11" s="1"/>
  <c r="AB28" i="19"/>
  <c r="AB25" i="19"/>
  <c r="AD57" i="11" s="1"/>
  <c r="AB48" i="19"/>
  <c r="AB85" i="19"/>
  <c r="AD81" i="11" s="1"/>
  <c r="AD49" i="11"/>
  <c r="AB45" i="19"/>
  <c r="AD65" i="11" s="1"/>
  <c r="AB68" i="19"/>
  <c r="AC9" i="19"/>
  <c r="AE52" i="11"/>
  <c r="AA39" i="19"/>
  <c r="AC62" i="11"/>
  <c r="AC58" i="11"/>
  <c r="AA29" i="19"/>
  <c r="AB69" i="19" l="1"/>
  <c r="AD74" i="11"/>
  <c r="AE47" i="19"/>
  <c r="AE27" i="19"/>
  <c r="AE7" i="19"/>
  <c r="AE8" i="19" s="1"/>
  <c r="AF6" i="19"/>
  <c r="AE64" i="19"/>
  <c r="AG72" i="11" s="1"/>
  <c r="AE57" i="19"/>
  <c r="AE5" i="19"/>
  <c r="AG47" i="11" s="1"/>
  <c r="AE17" i="19"/>
  <c r="AE84" i="19"/>
  <c r="AG80" i="11" s="1"/>
  <c r="AE44" i="19"/>
  <c r="AG64" i="11" s="1"/>
  <c r="AE24" i="19"/>
  <c r="AG56" i="11" s="1"/>
  <c r="AE94" i="19"/>
  <c r="AG83" i="11" s="1"/>
  <c r="AE97" i="19"/>
  <c r="AE96" i="19"/>
  <c r="AE67" i="19"/>
  <c r="AE86" i="19"/>
  <c r="AE46" i="19"/>
  <c r="AE14" i="19"/>
  <c r="AE16" i="19"/>
  <c r="AF12" i="19" s="1"/>
  <c r="AE54" i="19"/>
  <c r="AG68" i="11" s="1"/>
  <c r="AE56" i="19"/>
  <c r="AE87" i="19"/>
  <c r="AE66" i="19"/>
  <c r="AE26" i="19"/>
  <c r="AE34" i="19"/>
  <c r="AG60" i="11" s="1"/>
  <c r="AE76" i="19"/>
  <c r="AE36" i="19"/>
  <c r="AE77" i="19"/>
  <c r="AE74" i="19"/>
  <c r="AG76" i="11" s="1"/>
  <c r="AE37" i="19"/>
  <c r="AC95" i="19"/>
  <c r="AE84" i="11" s="1"/>
  <c r="AC75" i="19"/>
  <c r="AE77" i="11" s="1"/>
  <c r="AC58" i="19"/>
  <c r="AC38" i="19"/>
  <c r="AC18" i="19"/>
  <c r="AC10" i="19"/>
  <c r="AE50" i="11" s="1"/>
  <c r="AC98" i="19"/>
  <c r="AC78" i="19"/>
  <c r="AC45" i="19"/>
  <c r="AE65" i="11" s="1"/>
  <c r="AC68" i="19"/>
  <c r="AC85" i="19"/>
  <c r="AE81" i="11" s="1"/>
  <c r="AE49" i="11"/>
  <c r="AC48" i="19"/>
  <c r="AC55" i="19"/>
  <c r="AE69" i="11" s="1"/>
  <c r="AC35" i="19"/>
  <c r="AE61" i="11" s="1"/>
  <c r="AC28" i="19"/>
  <c r="AC15" i="19"/>
  <c r="AE53" i="11" s="1"/>
  <c r="AC88" i="19"/>
  <c r="AC89" i="19" s="1"/>
  <c r="AC65" i="19"/>
  <c r="AE73" i="11" s="1"/>
  <c r="AC25" i="19"/>
  <c r="AE57" i="11" s="1"/>
  <c r="AB79" i="19"/>
  <c r="AD78" i="11"/>
  <c r="AD85" i="11"/>
  <c r="AB99" i="19"/>
  <c r="AB49" i="19"/>
  <c r="AD66" i="11"/>
  <c r="AB19" i="19"/>
  <c r="AD54" i="11"/>
  <c r="AB39" i="19"/>
  <c r="AD62" i="11"/>
  <c r="AD9" i="19"/>
  <c r="AF52" i="11"/>
  <c r="AB29" i="19"/>
  <c r="AD58" i="11"/>
  <c r="AB59" i="19"/>
  <c r="AD70" i="11"/>
  <c r="AA60" i="19"/>
  <c r="AC39" i="19" l="1"/>
  <c r="AE62" i="11"/>
  <c r="AC69" i="19"/>
  <c r="AE74" i="11"/>
  <c r="AC29" i="19"/>
  <c r="AE58" i="11"/>
  <c r="AC79" i="19"/>
  <c r="AE78" i="11"/>
  <c r="AD98" i="19"/>
  <c r="AD78" i="19"/>
  <c r="AD45" i="19"/>
  <c r="AF65" i="11" s="1"/>
  <c r="AD25" i="19"/>
  <c r="AF57" i="11" s="1"/>
  <c r="AD95" i="19"/>
  <c r="AF84" i="11" s="1"/>
  <c r="AD85" i="19"/>
  <c r="AF81" i="11" s="1"/>
  <c r="AD48" i="19"/>
  <c r="AD38" i="19"/>
  <c r="AD35" i="19"/>
  <c r="AF61" i="11" s="1"/>
  <c r="AD18" i="19"/>
  <c r="AD55" i="19"/>
  <c r="AF69" i="11" s="1"/>
  <c r="AD88" i="19"/>
  <c r="AD89" i="19" s="1"/>
  <c r="AD15" i="19"/>
  <c r="AF53" i="11" s="1"/>
  <c r="AD68" i="19"/>
  <c r="AD65" i="19"/>
  <c r="AF73" i="11" s="1"/>
  <c r="AD58" i="19"/>
  <c r="AD28" i="19"/>
  <c r="AD10" i="19"/>
  <c r="AF50" i="11" s="1"/>
  <c r="AD75" i="19"/>
  <c r="AF77" i="11" s="1"/>
  <c r="AF49" i="11"/>
  <c r="AC99" i="19"/>
  <c r="AE85" i="11"/>
  <c r="AF7" i="19"/>
  <c r="AF8" i="19" s="1"/>
  <c r="AG6" i="19"/>
  <c r="AF5" i="19"/>
  <c r="AH47" i="11" s="1"/>
  <c r="AF44" i="19"/>
  <c r="AH64" i="11" s="1"/>
  <c r="AF54" i="19"/>
  <c r="AH68" i="11" s="1"/>
  <c r="AF24" i="19"/>
  <c r="AH56" i="11" s="1"/>
  <c r="AF56" i="19"/>
  <c r="AF26" i="19"/>
  <c r="AF84" i="19"/>
  <c r="AH80" i="11" s="1"/>
  <c r="AF64" i="19"/>
  <c r="AH72" i="11" s="1"/>
  <c r="AF16" i="19"/>
  <c r="AG12" i="19" s="1"/>
  <c r="AF46" i="19"/>
  <c r="AF67" i="19"/>
  <c r="AF27" i="19"/>
  <c r="AF86" i="19"/>
  <c r="AF96" i="19"/>
  <c r="AF97" i="19"/>
  <c r="AF57" i="19"/>
  <c r="AF17" i="19"/>
  <c r="AF87" i="19"/>
  <c r="AF47" i="19"/>
  <c r="AF66" i="19"/>
  <c r="AF94" i="19"/>
  <c r="AH83" i="11" s="1"/>
  <c r="AF14" i="19"/>
  <c r="AF76" i="19"/>
  <c r="AF34" i="19"/>
  <c r="AH60" i="11" s="1"/>
  <c r="AF37" i="19"/>
  <c r="AF36" i="19"/>
  <c r="AF74" i="19"/>
  <c r="AH76" i="11" s="1"/>
  <c r="AF77" i="19"/>
  <c r="AC49" i="19"/>
  <c r="AE66" i="11"/>
  <c r="AC19" i="19"/>
  <c r="AE54" i="11"/>
  <c r="AE9" i="19"/>
  <c r="AG52" i="11"/>
  <c r="AB60" i="19"/>
  <c r="AC59" i="19"/>
  <c r="AE70" i="11"/>
  <c r="AD49" i="19" l="1"/>
  <c r="AF66" i="11"/>
  <c r="AF9" i="19"/>
  <c r="AH52" i="11"/>
  <c r="AD69" i="19"/>
  <c r="AF74" i="11"/>
  <c r="AC60" i="19"/>
  <c r="AG5" i="19"/>
  <c r="AI47" i="11" s="1"/>
  <c r="AG84" i="19"/>
  <c r="AI80" i="11" s="1"/>
  <c r="AG47" i="19"/>
  <c r="AG7" i="19"/>
  <c r="AG8" i="19" s="1"/>
  <c r="AG57" i="19"/>
  <c r="AG86" i="19"/>
  <c r="AG54" i="19"/>
  <c r="AI68" i="11" s="1"/>
  <c r="AG26" i="19"/>
  <c r="AG64" i="19"/>
  <c r="AI72" i="11" s="1"/>
  <c r="AG66" i="19"/>
  <c r="AG46" i="19"/>
  <c r="AG14" i="19"/>
  <c r="AG27" i="19"/>
  <c r="AH6" i="19"/>
  <c r="AG94" i="19"/>
  <c r="AI83" i="11" s="1"/>
  <c r="AG17" i="19"/>
  <c r="AG24" i="19"/>
  <c r="AI56" i="11" s="1"/>
  <c r="AG67" i="19"/>
  <c r="AG96" i="19"/>
  <c r="AG56" i="19"/>
  <c r="AG44" i="19"/>
  <c r="AI64" i="11" s="1"/>
  <c r="AG87" i="19"/>
  <c r="AG16" i="19"/>
  <c r="AH12" i="19" s="1"/>
  <c r="AG97" i="19"/>
  <c r="AG77" i="19"/>
  <c r="AG34" i="19"/>
  <c r="AI60" i="11" s="1"/>
  <c r="AG37" i="19"/>
  <c r="AG36" i="19"/>
  <c r="AG76" i="19"/>
  <c r="AG74" i="19"/>
  <c r="AI76" i="11" s="1"/>
  <c r="AD59" i="19"/>
  <c r="AF70" i="11"/>
  <c r="AF62" i="11"/>
  <c r="AD39" i="19"/>
  <c r="AD19" i="19"/>
  <c r="AF54" i="11"/>
  <c r="AD79" i="19"/>
  <c r="AF78" i="11"/>
  <c r="AE45" i="19"/>
  <c r="AG65" i="11" s="1"/>
  <c r="AE25" i="19"/>
  <c r="AG57" i="11" s="1"/>
  <c r="AE85" i="19"/>
  <c r="AG81" i="11" s="1"/>
  <c r="AE65" i="19"/>
  <c r="AG73" i="11" s="1"/>
  <c r="AE48" i="19"/>
  <c r="AE28" i="19"/>
  <c r="AE38" i="19"/>
  <c r="AE88" i="19"/>
  <c r="AE89" i="19" s="1"/>
  <c r="AE75" i="19"/>
  <c r="AG77" i="11" s="1"/>
  <c r="AE15" i="19"/>
  <c r="AG53" i="11" s="1"/>
  <c r="AE78" i="19"/>
  <c r="AE55" i="19"/>
  <c r="AG69" i="11" s="1"/>
  <c r="AE10" i="19"/>
  <c r="AG50" i="11" s="1"/>
  <c r="AN50" i="11" s="1"/>
  <c r="AE68" i="19"/>
  <c r="AE58" i="19"/>
  <c r="AE98" i="19"/>
  <c r="AE35" i="19"/>
  <c r="AG61" i="11" s="1"/>
  <c r="AE95" i="19"/>
  <c r="AG84" i="11" s="1"/>
  <c r="AE18" i="19"/>
  <c r="AG49" i="11"/>
  <c r="AD29" i="19"/>
  <c r="AF58" i="11"/>
  <c r="AD99" i="19"/>
  <c r="AF85" i="11"/>
  <c r="AG70" i="11" l="1"/>
  <c r="AN70" i="11" s="1"/>
  <c r="AE59" i="19"/>
  <c r="AE39" i="19"/>
  <c r="AG62" i="11"/>
  <c r="AN62" i="11" s="1"/>
  <c r="AE19" i="19"/>
  <c r="AG54" i="11"/>
  <c r="AN54" i="11" s="1"/>
  <c r="AG78" i="11"/>
  <c r="AN78" i="11" s="1"/>
  <c r="AE79" i="19"/>
  <c r="AD60" i="19"/>
  <c r="AE99" i="19"/>
  <c r="AG85" i="11"/>
  <c r="AN85" i="11" s="1"/>
  <c r="AH5" i="19"/>
  <c r="AJ47" i="11" s="1"/>
  <c r="AH44" i="19"/>
  <c r="AJ64" i="11" s="1"/>
  <c r="AH24" i="19"/>
  <c r="AJ56" i="11" s="1"/>
  <c r="AH87" i="19"/>
  <c r="AH66" i="19"/>
  <c r="AH54" i="19"/>
  <c r="AJ68" i="11" s="1"/>
  <c r="AH26" i="19"/>
  <c r="AH86" i="19"/>
  <c r="AH67" i="19"/>
  <c r="AH46" i="19"/>
  <c r="AH27" i="19"/>
  <c r="AH14" i="19"/>
  <c r="AH7" i="19"/>
  <c r="AH8" i="19" s="1"/>
  <c r="AJ8" i="19" s="1"/>
  <c r="AH47" i="19"/>
  <c r="AH56" i="19"/>
  <c r="AH57" i="19"/>
  <c r="AH64" i="19"/>
  <c r="AJ72" i="11" s="1"/>
  <c r="AH94" i="19"/>
  <c r="AJ83" i="11" s="1"/>
  <c r="AH16" i="19"/>
  <c r="AH17" i="19"/>
  <c r="AH97" i="19"/>
  <c r="AH84" i="19"/>
  <c r="AJ80" i="11" s="1"/>
  <c r="AH96" i="19"/>
  <c r="AH36" i="19"/>
  <c r="AH37" i="19"/>
  <c r="AH34" i="19"/>
  <c r="AJ60" i="11" s="1"/>
  <c r="AH74" i="19"/>
  <c r="AJ76" i="11" s="1"/>
  <c r="AH77" i="19"/>
  <c r="AH76" i="19"/>
  <c r="AG74" i="11"/>
  <c r="AN74" i="11" s="1"/>
  <c r="AE69" i="19"/>
  <c r="AE29" i="19"/>
  <c r="AG58" i="11"/>
  <c r="AN58" i="11" s="1"/>
  <c r="AG9" i="19"/>
  <c r="AI52" i="11"/>
  <c r="AF45" i="19"/>
  <c r="AH65" i="11" s="1"/>
  <c r="AF25" i="19"/>
  <c r="AH57" i="11" s="1"/>
  <c r="AF85" i="19"/>
  <c r="AH81" i="11" s="1"/>
  <c r="AF65" i="19"/>
  <c r="AH73" i="11" s="1"/>
  <c r="AF48" i="19"/>
  <c r="AF28" i="19"/>
  <c r="AF88" i="19"/>
  <c r="AF89" i="19" s="1"/>
  <c r="AF68" i="19"/>
  <c r="AF78" i="19"/>
  <c r="AF55" i="19"/>
  <c r="AH69" i="11" s="1"/>
  <c r="AF95" i="19"/>
  <c r="AH84" i="11" s="1"/>
  <c r="AF15" i="19"/>
  <c r="AH53" i="11" s="1"/>
  <c r="AF10" i="19"/>
  <c r="AH50" i="11" s="1"/>
  <c r="AH49" i="11"/>
  <c r="AF98" i="19"/>
  <c r="AF75" i="19"/>
  <c r="AH77" i="11" s="1"/>
  <c r="AF35" i="19"/>
  <c r="AH61" i="11" s="1"/>
  <c r="AF18" i="19"/>
  <c r="AF58" i="19"/>
  <c r="AF38" i="19"/>
  <c r="AE49" i="19"/>
  <c r="AG66" i="11"/>
  <c r="AN66" i="11" s="1"/>
  <c r="AF19" i="19" l="1"/>
  <c r="AH54" i="11"/>
  <c r="E163" i="19"/>
  <c r="L163" i="19"/>
  <c r="D163" i="19"/>
  <c r="K163" i="19"/>
  <c r="F163" i="19"/>
  <c r="I163" i="19"/>
  <c r="J163" i="19"/>
  <c r="H163" i="19"/>
  <c r="G163" i="19"/>
  <c r="AH78" i="11"/>
  <c r="AF79" i="19"/>
  <c r="AF99" i="19"/>
  <c r="AH85" i="11"/>
  <c r="AG85" i="19"/>
  <c r="AI81" i="11" s="1"/>
  <c r="AG65" i="19"/>
  <c r="AI73" i="11" s="1"/>
  <c r="AG48" i="19"/>
  <c r="AG28" i="19"/>
  <c r="AG88" i="19"/>
  <c r="AG89" i="19" s="1"/>
  <c r="AG68" i="19"/>
  <c r="AG78" i="19"/>
  <c r="AG58" i="19"/>
  <c r="AG95" i="19"/>
  <c r="AI84" i="11" s="1"/>
  <c r="AG55" i="19"/>
  <c r="AI69" i="11" s="1"/>
  <c r="AG15" i="19"/>
  <c r="AI53" i="11" s="1"/>
  <c r="AG10" i="19"/>
  <c r="AI50" i="11" s="1"/>
  <c r="AG98" i="19"/>
  <c r="AG75" i="19"/>
  <c r="AI77" i="11" s="1"/>
  <c r="AG35" i="19"/>
  <c r="AI61" i="11" s="1"/>
  <c r="AG18" i="19"/>
  <c r="AG45" i="19"/>
  <c r="AI65" i="11" s="1"/>
  <c r="AG38" i="19"/>
  <c r="AG25" i="19"/>
  <c r="AI57" i="11" s="1"/>
  <c r="AI49" i="11"/>
  <c r="AJ52" i="11"/>
  <c r="AH9" i="19"/>
  <c r="AF69" i="19"/>
  <c r="AH74" i="11"/>
  <c r="AF29" i="19"/>
  <c r="AH58" i="11"/>
  <c r="AF49" i="19"/>
  <c r="AH66" i="11"/>
  <c r="AE60" i="19"/>
  <c r="AF39" i="19"/>
  <c r="AH62" i="11"/>
  <c r="AH70" i="11"/>
  <c r="AF59" i="19"/>
  <c r="AI78" i="11" l="1"/>
  <c r="AG79" i="19"/>
  <c r="AG69" i="19"/>
  <c r="AI74" i="11"/>
  <c r="AF60" i="19"/>
  <c r="AI85" i="11"/>
  <c r="AG99" i="19"/>
  <c r="AG29" i="19"/>
  <c r="AI58" i="11"/>
  <c r="AI62" i="11"/>
  <c r="AG39" i="19"/>
  <c r="AH88" i="19"/>
  <c r="AH68" i="19"/>
  <c r="AH55" i="19"/>
  <c r="AJ69" i="11" s="1"/>
  <c r="AH35" i="19"/>
  <c r="AJ61" i="11" s="1"/>
  <c r="AH15" i="19"/>
  <c r="AJ53" i="11" s="1"/>
  <c r="AH85" i="19"/>
  <c r="AJ81" i="11" s="1"/>
  <c r="AH98" i="19"/>
  <c r="AH78" i="19"/>
  <c r="AH10" i="19"/>
  <c r="AJ50" i="11" s="1"/>
  <c r="AH95" i="19"/>
  <c r="AJ84" i="11" s="1"/>
  <c r="AH58" i="19"/>
  <c r="AH48" i="19"/>
  <c r="AH65" i="19"/>
  <c r="AJ73" i="11" s="1"/>
  <c r="AH45" i="19"/>
  <c r="AJ65" i="11" s="1"/>
  <c r="AH38" i="19"/>
  <c r="AH28" i="19"/>
  <c r="AH25" i="19"/>
  <c r="AJ57" i="11" s="1"/>
  <c r="AH75" i="19"/>
  <c r="AJ77" i="11" s="1"/>
  <c r="AJ49" i="11"/>
  <c r="AH18" i="19"/>
  <c r="AG49" i="19"/>
  <c r="AI66" i="11"/>
  <c r="AG19" i="19"/>
  <c r="AI54" i="11"/>
  <c r="AG59" i="19"/>
  <c r="AI70" i="11"/>
  <c r="AM50" i="11" l="1"/>
  <c r="AO50" i="11" s="1"/>
  <c r="AR50" i="11"/>
  <c r="AH89" i="19"/>
  <c r="AJ88" i="19"/>
  <c r="K162" i="19" s="1"/>
  <c r="AH49" i="19"/>
  <c r="AJ66" i="11"/>
  <c r="AJ48" i="19"/>
  <c r="G162" i="19" s="1"/>
  <c r="AJ70" i="11"/>
  <c r="AH59" i="19"/>
  <c r="AJ58" i="19"/>
  <c r="H162" i="19" s="1"/>
  <c r="AJ78" i="11"/>
  <c r="AH79" i="19"/>
  <c r="AJ78" i="19"/>
  <c r="J162" i="19" s="1"/>
  <c r="AH39" i="19"/>
  <c r="AJ62" i="11"/>
  <c r="AJ38" i="19"/>
  <c r="F162" i="19" s="1"/>
  <c r="AJ85" i="11"/>
  <c r="AH99" i="19"/>
  <c r="AJ98" i="19"/>
  <c r="L162" i="19" s="1"/>
  <c r="AH19" i="19"/>
  <c r="AJ54" i="11"/>
  <c r="AJ18" i="19"/>
  <c r="D162" i="19" s="1"/>
  <c r="AG60" i="19"/>
  <c r="AJ58" i="11"/>
  <c r="AH29" i="19"/>
  <c r="AJ28" i="19"/>
  <c r="E162" i="19" s="1"/>
  <c r="AH69" i="19"/>
  <c r="AJ74" i="11"/>
  <c r="AJ68" i="19"/>
  <c r="I162" i="19" s="1"/>
  <c r="AJ69" i="19"/>
  <c r="AJ19" i="19"/>
  <c r="AJ89" i="19"/>
  <c r="AJ79" i="19"/>
  <c r="AJ99" i="19"/>
  <c r="AJ59" i="19"/>
  <c r="AJ29" i="19"/>
  <c r="AJ49" i="19"/>
  <c r="AJ39" i="19"/>
  <c r="AQ50" i="11" l="1"/>
  <c r="AS50" i="11" s="1"/>
  <c r="AK69" i="19"/>
  <c r="I142" i="19" s="1"/>
  <c r="AK99" i="19"/>
  <c r="L142" i="19" s="1"/>
  <c r="AK79" i="19"/>
  <c r="J142" i="19" s="1"/>
  <c r="G142" i="19"/>
  <c r="AK49" i="19"/>
  <c r="AK29" i="19"/>
  <c r="E142" i="19"/>
  <c r="AK89" i="19"/>
  <c r="K142" i="19" s="1"/>
  <c r="AK39" i="19"/>
  <c r="F142" i="19"/>
  <c r="AK59" i="19"/>
  <c r="H142" i="19" s="1"/>
  <c r="AK19" i="19"/>
  <c r="D142" i="19" s="1"/>
  <c r="AM58" i="11"/>
  <c r="AR58" i="11"/>
  <c r="AM62" i="11"/>
  <c r="AO62" i="11" s="1"/>
  <c r="AR62" i="11"/>
  <c r="AR54" i="11"/>
  <c r="AM54" i="11"/>
  <c r="AM85" i="11"/>
  <c r="AR85" i="11"/>
  <c r="AM78" i="11"/>
  <c r="AO78" i="11" s="1"/>
  <c r="AR78" i="11"/>
  <c r="AH60" i="19"/>
  <c r="AR70" i="11"/>
  <c r="AM70" i="11"/>
  <c r="AO70" i="11" s="1"/>
  <c r="AM74" i="11"/>
  <c r="AO74" i="11" s="1"/>
  <c r="AR74" i="11"/>
  <c r="AM66" i="11"/>
  <c r="AR66" i="11"/>
  <c r="AQ70" i="11" l="1"/>
  <c r="AS70" i="11" s="1"/>
  <c r="AO54" i="11"/>
  <c r="AQ54" i="11"/>
  <c r="AS54" i="11" s="1"/>
  <c r="AO66" i="11"/>
  <c r="AQ66" i="11"/>
  <c r="AS66" i="11" s="1"/>
  <c r="AO58" i="11"/>
  <c r="AQ58" i="11"/>
  <c r="AS58" i="11" s="1"/>
  <c r="AO85" i="11"/>
  <c r="AQ85" i="11"/>
  <c r="AS85" i="11" s="1"/>
  <c r="AQ62" i="11"/>
  <c r="AS62" i="11" s="1"/>
  <c r="AQ74" i="11"/>
  <c r="AS74" i="11" s="1"/>
  <c r="AQ78" i="11"/>
  <c r="AS78" i="11" s="1"/>
</calcChain>
</file>

<file path=xl/comments1.xml><?xml version="1.0" encoding="utf-8"?>
<comments xmlns="http://schemas.openxmlformats.org/spreadsheetml/2006/main">
  <authors>
    <author>Micha</author>
  </authors>
  <commentList>
    <comment ref="AK19" authorId="0" shapeId="0">
      <text>
        <r>
          <rPr>
            <sz val="9"/>
            <color indexed="81"/>
            <rFont val="Segoe UI"/>
            <family val="2"/>
          </rPr>
          <t>HCP Veränderung</t>
        </r>
      </text>
    </comment>
    <comment ref="AK29" authorId="0" shapeId="0">
      <text>
        <r>
          <rPr>
            <sz val="9"/>
            <color indexed="81"/>
            <rFont val="Segoe UI"/>
            <family val="2"/>
          </rPr>
          <t>HCP Veränderung</t>
        </r>
      </text>
    </comment>
    <comment ref="AK39" authorId="0" shapeId="0">
      <text>
        <r>
          <rPr>
            <sz val="9"/>
            <color indexed="81"/>
            <rFont val="Segoe UI"/>
            <family val="2"/>
          </rPr>
          <t>HCP Veränderung</t>
        </r>
      </text>
    </comment>
    <comment ref="AK49" authorId="0" shapeId="0">
      <text>
        <r>
          <rPr>
            <sz val="9"/>
            <color indexed="81"/>
            <rFont val="Segoe UI"/>
            <family val="2"/>
          </rPr>
          <t>HCP Veränderung</t>
        </r>
      </text>
    </comment>
    <comment ref="AK59" authorId="0" shapeId="0">
      <text>
        <r>
          <rPr>
            <sz val="9"/>
            <color indexed="81"/>
            <rFont val="Segoe UI"/>
            <family val="2"/>
          </rPr>
          <t>HCP Veränderung</t>
        </r>
      </text>
    </comment>
    <comment ref="AK69" authorId="0" shapeId="0">
      <text>
        <r>
          <rPr>
            <sz val="9"/>
            <color indexed="81"/>
            <rFont val="Segoe UI"/>
            <family val="2"/>
          </rPr>
          <t>HCP Veränderung</t>
        </r>
      </text>
    </comment>
    <comment ref="AK79" authorId="0" shapeId="0">
      <text>
        <r>
          <rPr>
            <sz val="9"/>
            <color indexed="81"/>
            <rFont val="Segoe UI"/>
            <family val="2"/>
          </rPr>
          <t>HCP Veränderung</t>
        </r>
      </text>
    </comment>
    <comment ref="AK89" authorId="0" shapeId="0">
      <text>
        <r>
          <rPr>
            <sz val="9"/>
            <color indexed="81"/>
            <rFont val="Segoe UI"/>
            <family val="2"/>
          </rPr>
          <t>HCP Veränderung</t>
        </r>
      </text>
    </comment>
    <comment ref="AK99" authorId="0" shapeId="0">
      <text>
        <r>
          <rPr>
            <sz val="9"/>
            <color indexed="81"/>
            <rFont val="Segoe UI"/>
            <family val="2"/>
          </rPr>
          <t>HCP Veränderung</t>
        </r>
      </text>
    </comment>
  </commentList>
</comments>
</file>

<file path=xl/comments2.xml><?xml version="1.0" encoding="utf-8"?>
<comments xmlns="http://schemas.openxmlformats.org/spreadsheetml/2006/main">
  <authors>
    <author>Autor</author>
  </authors>
  <commentList>
    <comment ref="C3" authorId="0" shapeId="0">
      <text>
        <r>
          <rPr>
            <sz val="9"/>
            <color indexed="81"/>
            <rFont val="Segoe UI"/>
            <family val="2"/>
          </rPr>
          <t xml:space="preserve">Finde 1. Zeile wo Daten abliegen
</t>
        </r>
      </text>
    </comment>
    <comment ref="D3" authorId="0" shapeId="0">
      <text>
        <r>
          <rPr>
            <sz val="9"/>
            <color indexed="81"/>
            <rFont val="Segoe UI"/>
            <family val="2"/>
          </rPr>
          <t xml:space="preserve">Anzahl eingebrachter MUI Labels
</t>
        </r>
      </text>
    </comment>
  </commentList>
</comments>
</file>

<file path=xl/comments3.xml><?xml version="1.0" encoding="utf-8"?>
<comments xmlns="http://schemas.openxmlformats.org/spreadsheetml/2006/main">
  <authors>
    <author>Micha</author>
  </authors>
  <commentList>
    <comment ref="A4" authorId="0" shapeId="0">
      <text>
        <r>
          <rPr>
            <b/>
            <sz val="9"/>
            <color indexed="81"/>
            <rFont val="Segoe UI"/>
            <family val="2"/>
          </rPr>
          <t>Micha:</t>
        </r>
        <r>
          <rPr>
            <sz val="9"/>
            <color indexed="81"/>
            <rFont val="Segoe UI"/>
            <family val="2"/>
          </rPr>
          <t xml:space="preserve">
List of All Players currently in the DATABASE DBP
</t>
        </r>
      </text>
    </comment>
    <comment ref="B4" authorId="0" shapeId="0">
      <text>
        <r>
          <rPr>
            <b/>
            <sz val="9"/>
            <color indexed="81"/>
            <rFont val="Segoe UI"/>
            <family val="2"/>
          </rPr>
          <t>Micha:</t>
        </r>
        <r>
          <rPr>
            <sz val="9"/>
            <color indexed="81"/>
            <rFont val="Segoe UI"/>
            <family val="2"/>
          </rPr>
          <t xml:space="preserve">
List of All Players currently in the DATABASE DBP
</t>
        </r>
      </text>
    </comment>
  </commentList>
</comments>
</file>

<file path=xl/comments4.xml><?xml version="1.0" encoding="utf-8"?>
<comments xmlns="http://schemas.openxmlformats.org/spreadsheetml/2006/main">
  <authors>
    <author>Micha</author>
  </authors>
  <commentList>
    <comment ref="A3" authorId="0" shapeId="0">
      <text>
        <r>
          <rPr>
            <b/>
            <sz val="9"/>
            <color indexed="81"/>
            <rFont val="Segoe UI"/>
            <family val="2"/>
          </rPr>
          <t>Micha:</t>
        </r>
        <r>
          <rPr>
            <sz val="9"/>
            <color indexed="81"/>
            <rFont val="Segoe UI"/>
            <family val="2"/>
          </rPr>
          <t xml:space="preserve">
The Table Header will only be provided, if a header is clearly defined. Otherwise it will be a element of the data field, which will be replaced redundantly.
=&gt; so ignore !!!</t>
        </r>
      </text>
    </comment>
  </commentList>
</comments>
</file>

<file path=xl/sharedStrings.xml><?xml version="1.0" encoding="utf-8"?>
<sst xmlns="http://schemas.openxmlformats.org/spreadsheetml/2006/main" count="4722" uniqueCount="1694">
  <si>
    <t># of protocols</t>
  </si>
  <si>
    <t>Date</t>
  </si>
  <si>
    <t>Database for storing the list of Drills</t>
  </si>
  <si>
    <t># of drills</t>
  </si>
  <si>
    <t>Current drill</t>
  </si>
  <si>
    <t>Max Score</t>
  </si>
  <si>
    <t>Game</t>
  </si>
  <si>
    <t>Putting</t>
  </si>
  <si>
    <t>Putting Hero</t>
  </si>
  <si>
    <t>Range Target</t>
  </si>
  <si>
    <t>Ball will be dropped and played until wholed. For each one Putt you get 1 Point, for a two Putt you get 0 points and for all other you get -1 points. 
End of the game is determined by a define target (e.g whoever has 5 points)</t>
  </si>
  <si>
    <t>One of participants, decide which target shall be played for and defines the tolerance for the shot.
If the shot is in this tolerance, the player will get 1 point. 
Who will be the first with 10 points?</t>
  </si>
  <si>
    <t>Chipping</t>
  </si>
  <si>
    <t>Each player gets a predefined numer of credit points.
One player starts with chipping the ball at least to the fringe of the green but let it finish in front of the predetermined hole. 
Whoever misses the green or let the ball pass the hole loose 1 point.
Whoever drops first to zero will loose.</t>
  </si>
  <si>
    <t>Each player gets a predefined numer of credit points.
One player starts with putting the ball at least to the hole, but let it finish in front of the predetermined hole.  The next player has to pass this ball and still be in front of the hole.
Whoever misses the green, stops before the last ball or let the ball pass the hole loose 1 point.
Whoever drops first to zero will loose.</t>
  </si>
  <si>
    <t>Each player gets a predefined numer of credit points.
One player starts with chipping the ball at least to the fringe of the green but let it finish in front of the predetermined hole.  The next player has to pass this ball and still be in front of the hole.
Whoever misses the green, stops before the last ball or let the ball pass the hole loose 1 point.
Whoever drops first to zero will loose.</t>
  </si>
  <si>
    <t>Chipping Ladder Gambling</t>
  </si>
  <si>
    <t>Putting Ladder Gambling</t>
  </si>
  <si>
    <t>Golf Workbook Manager</t>
  </si>
  <si>
    <t>Deutsch</t>
  </si>
  <si>
    <t>Program Improvements and Features</t>
  </si>
  <si>
    <t>ID</t>
  </si>
  <si>
    <t>Desccription</t>
  </si>
  <si>
    <t>Priority
L-M-H</t>
  </si>
  <si>
    <t>Effort
in days</t>
  </si>
  <si>
    <t>H</t>
  </si>
  <si>
    <t>Es soll zu jedem Trainingsgebiet die Art des Trainings möglich sein. (mehrere Antworten möglich)
Z.B. Technik, Test, Spiel,...</t>
  </si>
  <si>
    <t>Es soll aus Auswahl möglich sein, die Trainingsgebiete festzulegen. (mehrere Antworten möglich)
Trainingsgebiete sind z.B. Pitchen, Chipping, Putten, Long Play,…</t>
  </si>
  <si>
    <t>max</t>
  </si>
  <si>
    <t>M</t>
  </si>
  <si>
    <t>Prinzipiell soll das Programm Deutsch und Englisch unterstützen. Die Übungsformen werden direkt in der Übungsdatenbank in beiden Sprachen geschrieben.
Für die anderen wie Titel, Befehle, Übungsformen, Trainingsgebiete, etc. wird eine Übersetzungstabelle angelegt.</t>
  </si>
  <si>
    <t>English</t>
  </si>
  <si>
    <t>Selection</t>
  </si>
  <si>
    <t>MUI_SEL_LANG</t>
  </si>
  <si>
    <t>LABEL</t>
  </si>
  <si>
    <t>Usage 
Factor</t>
  </si>
  <si>
    <t>MUI_Title</t>
  </si>
  <si>
    <t>MUI_DB_Title</t>
  </si>
  <si>
    <t>Results Database</t>
  </si>
  <si>
    <t>Ergebnis Datenbank</t>
  </si>
  <si>
    <t>Übung Datenbank</t>
  </si>
  <si>
    <t>MUI_DBR_T_ProtocolID</t>
  </si>
  <si>
    <t>MUI_DBR_T_ExDate</t>
  </si>
  <si>
    <t>MUI_DBR_T_PlayerID</t>
  </si>
  <si>
    <t>MUI_DBR_T_GroupID</t>
  </si>
  <si>
    <t>MUI_DBR_T_PlayerHCP</t>
  </si>
  <si>
    <t>Result HCP</t>
  </si>
  <si>
    <t>MUI_Description</t>
  </si>
  <si>
    <t>Language Table</t>
  </si>
  <si>
    <t>Sprachendatenbank</t>
  </si>
  <si>
    <t>Value</t>
  </si>
  <si>
    <t>Test</t>
  </si>
  <si>
    <t>MUI_CONFIG_Description</t>
  </si>
  <si>
    <t>Config Table</t>
  </si>
  <si>
    <t>Konfigurationstabelle</t>
  </si>
  <si>
    <t>Übungstitel</t>
  </si>
  <si>
    <t>Lange Beschreibung</t>
  </si>
  <si>
    <t>Ausführliches Bild</t>
  </si>
  <si>
    <t>MUI_DBE_T_DrillID</t>
  </si>
  <si>
    <t>MUI_DBE_T_EX_Group</t>
  </si>
  <si>
    <t>MUI_DBE_T_EX_Type</t>
  </si>
  <si>
    <t>MUI_DBE_T_EX_UsageFactor</t>
  </si>
  <si>
    <t>MUI_DBE_T_EX_Duration</t>
  </si>
  <si>
    <t>MUI_DBE_T_EX_Title</t>
  </si>
  <si>
    <t>MUI_DBE_T_EX_LongDesc</t>
  </si>
  <si>
    <t>MUI_DBE_T_EX_LongDescImage</t>
  </si>
  <si>
    <t>MUI_DBE_T_EX_ShortDesc</t>
  </si>
  <si>
    <t>MUI_DBE_Title</t>
  </si>
  <si>
    <t>NAMES WORKsheet</t>
  </si>
  <si>
    <t>Name</t>
  </si>
  <si>
    <t>Index</t>
  </si>
  <si>
    <t>Act Value</t>
  </si>
  <si>
    <t>Visible</t>
  </si>
  <si>
    <t>DBR_ID</t>
  </si>
  <si>
    <t>MUI_FIRST_ROW</t>
  </si>
  <si>
    <t>MUI_LAST_ROW</t>
  </si>
  <si>
    <t>MUI_T_LABEL</t>
  </si>
  <si>
    <t>MUI_DBE_T_EX_ID</t>
  </si>
  <si>
    <t>MUI_DBR_Title</t>
  </si>
  <si>
    <t>DELETE</t>
  </si>
  <si>
    <t>MUI_LANG_ID</t>
  </si>
  <si>
    <t>Comment</t>
  </si>
  <si>
    <t>ERROR</t>
  </si>
  <si>
    <t>MUI General Definition</t>
  </si>
  <si>
    <t>DB Exercise MUI Information</t>
  </si>
  <si>
    <t>DB Results MUI Information</t>
  </si>
  <si>
    <t>DB Results Definition</t>
  </si>
  <si>
    <t>MUI Config Description</t>
  </si>
  <si>
    <t>Result</t>
  </si>
  <si>
    <t>Kick them out</t>
  </si>
  <si>
    <t>Two teams are playing towards a line from the same distance.
Whoever has the farthest to the line will be kicked out. 
The coach will provide a starting signal (e.g. 1-2-3...put) and all players have to put immediately.
Remark: 
- If you play from the same side, ist easier to detect the distance to the line
- Let the teams reside on the opposite side to each other.</t>
  </si>
  <si>
    <t xml:space="preserve">Two teams are playing towards a line from the same distance. Each player start with a predefined number of lifes (e.g. 5)
The coach will provide a starting signal (e.g. 1-2-3...put) and all players have to put immediately.
Whoever has the farthest to the line will reduce his number of lifes by one. 
</t>
  </si>
  <si>
    <t xml:space="preserve">Two teams are playing towards a line from the same distance. The "Best of x" needs to be defined in advanced (e.g. Best of 10). The coach will provide a starting signal (e.g. 1-2-3...put) and all players have to put immediately.
Whatever teams has the closest to the line wins a point. </t>
  </si>
  <si>
    <t>MUI_DBE_T_EX_NrOfPlayers</t>
  </si>
  <si>
    <t>Two teams are playing towards a line from the same distance. Whoever has the closest chip to the line, can choose a player from the other team to be kicked out. 
The coach will provide a starting signal (e.g. 1-2-3...put) and all players have to chip immediately.
When the last player of one team is eleminated, the game is out.</t>
  </si>
  <si>
    <t>Chipping Hero</t>
  </si>
  <si>
    <t>Putting Hero Ultra</t>
  </si>
  <si>
    <t>Putting Hero Extrem</t>
  </si>
  <si>
    <t>Challenge</t>
  </si>
  <si>
    <t>Putting Zirkel</t>
  </si>
  <si>
    <t>Um ein Loch auf dem Putting Grün werden 10 Tees im Abstand von 90cm im Kreis aufgestellt. Ziel ist es 10 Bälle am Stück einzulochen. Wenn ein Ball daneben geht, dann werden alle Bälle wieder zurükgelegt und an der letzten Stelle wieder begonnen.
Tipp: Schwieriger aber besser ist es, wenn man nur mit einem Ball spielt und jedes Mal sich neu ausrichtet und einstellt.</t>
  </si>
  <si>
    <t>Putting Zirkel 90-120-150-180</t>
  </si>
  <si>
    <t>Um ein Loch auf dem Putting Grün werden jweils 10 Tees im Abstand von 90cm, 120cm, 150cm und 180cm im Kreis aufgestellt. Ziel ist es alle Bälle am Stück einzulochen. Wenn ein Ball daneben geht, dann werden alle Bälle wieder zurükgelegt und an der letzten Stelle wieder begonnen.
Anfänger können mit Rettungsanker arbeiten: wenn man einen Abstandsring geschafft hat, fällt man nicht mehr auf diesen zurück, sondern muss nur den selben Ring wiederholen.
Tipp: Schwieriger aber besser ist es, wenn man nur mit einem Ball spielt und jedes Mal sich neu ausrichtet und einstellt.</t>
  </si>
  <si>
    <t>Loche alle Bälle am Stück aus 90-120,150,180 cm ein, die im Kreis ums Loch verteilt sind. Wenn daneben, dann Start vom Anfang oder Anfang des aktuellen Abstandes.</t>
  </si>
  <si>
    <t>Loche 10 Bälle am Stück aus 90cm ein, die im Kreis ums Loch verteilt sind. Wenn daneben, dann Start vom Anfang</t>
  </si>
  <si>
    <t>Around a hole in a distance of app. 3 feet 10 tees will mark an circle. The task is to hit 10 shots in a row and hole them. If you miss one, then resample all balls and restart from the hole you missed the last time.
Tip: If you use only one ball and retarget every time the excerise is even better.</t>
  </si>
  <si>
    <t>Putting Circle 3 feet</t>
  </si>
  <si>
    <t>3 Balls per distance of 40,50,60 feet to the hole will be layed down. Starting from the middle distance of 50 feet, the target is to get all 3 balls into a marked dircle of 3 feet radius to the hole. Afterwards we try the same from 40 feet and later from 60 feet.
If one ball misses, you need to redo the complete 9 balls.</t>
  </si>
  <si>
    <t>Putten 15-12-18m</t>
  </si>
  <si>
    <t>Aus einer Distanz von 12-15-18m sollen jeweils 3 Bälle in einem durch Tees  markierten Kreis von ca. 90cm Radius geputten werden. Begonnen wird von der mitteleren Position aus 15m. Danach 12 und schließlich aus 15m. Ziel ist es alle 9 Bälle in den Kreis liegen zu lassen oder einzulochen.
Sollte ein Ball es nicht schaffen, so muss die komplette Übung wiederholt werden.</t>
  </si>
  <si>
    <t>Aus 15-12-18m sollen jeweils 3 Bälle im Umkreis von maximal 90cm um das Loch geputtet werden. Übungsende: wenn alle 9 Bälle im Kreis liegen geblieben sind, sonst: erneut versuchen.</t>
  </si>
  <si>
    <t>MUI_DBE_T_EX_Calc2ndSelection</t>
  </si>
  <si>
    <t>Calculate second Selection</t>
  </si>
  <si>
    <t>Kalkulierte zweite Auswahl</t>
  </si>
  <si>
    <t>DBE_ExGroup</t>
  </si>
  <si>
    <t>DBE_ExType</t>
  </si>
  <si>
    <t>EOL</t>
  </si>
  <si>
    <t>ZZZ</t>
  </si>
  <si>
    <t>MaxLine</t>
  </si>
  <si>
    <t>DBE_ADJ_ExGroup</t>
  </si>
  <si>
    <t>DBE_ADJ_ExType</t>
  </si>
  <si>
    <t>DBE_ADJ_NrOfPlayers</t>
  </si>
  <si>
    <t>DBE_ADJ_Title</t>
  </si>
  <si>
    <t>DBE_COUNT</t>
  </si>
  <si>
    <t>DBE_NrOfPlayers</t>
  </si>
  <si>
    <t>DBE_Title</t>
  </si>
  <si>
    <t>DELME_RG</t>
  </si>
  <si>
    <t>DL__ExGroup</t>
  </si>
  <si>
    <t>DL__ExType</t>
  </si>
  <si>
    <t>DL__NrOfPlayers</t>
  </si>
  <si>
    <t>DL__Title</t>
  </si>
  <si>
    <t>DL_COL_DL_ExGroup</t>
  </si>
  <si>
    <t>DL_COL_DL_ExType</t>
  </si>
  <si>
    <t>DL_COL_DL_NrOfPlayers</t>
  </si>
  <si>
    <t>DL_COL_DL_Title</t>
  </si>
  <si>
    <t>DL_COL_Prep_ExGroup</t>
  </si>
  <si>
    <t>DL_COL_Prep_ExType</t>
  </si>
  <si>
    <t>DL_COL_Prep_NrOfPlayers</t>
  </si>
  <si>
    <t>DL_COL_Prep_Title</t>
  </si>
  <si>
    <t>DL_DATA_MAXLINE</t>
  </si>
  <si>
    <t>DL_DATA_STARTLINE</t>
  </si>
  <si>
    <t>DL_Prep_ExGroup</t>
  </si>
  <si>
    <t>DL_Prep_ExType</t>
  </si>
  <si>
    <t>DL_Prep_NrOfPlayers</t>
  </si>
  <si>
    <t>DL_Prep_ROWS_ExGroup</t>
  </si>
  <si>
    <t>DL_Prep_ROWS_ExType</t>
  </si>
  <si>
    <t>DL_Prep_ROWS_Title</t>
  </si>
  <si>
    <t>DL_Prep_Title</t>
  </si>
  <si>
    <t>DL_ROWS_ExGroup</t>
  </si>
  <si>
    <t>DL_ROWS_ExType</t>
  </si>
  <si>
    <t>DL_ROWS_NrOfPlayers</t>
  </si>
  <si>
    <t>DL_ROWS_Title</t>
  </si>
  <si>
    <t>DL_START</t>
  </si>
  <si>
    <t>DL_START_DL_Title</t>
  </si>
  <si>
    <t>DROPLIST_ExGroup</t>
  </si>
  <si>
    <t>DROPLIST_ExType</t>
  </si>
  <si>
    <t>DROPLIST_NrOfPlayers</t>
  </si>
  <si>
    <t>LANG_RANGE</t>
  </si>
  <si>
    <t>MUI_CFG_T_ROWID</t>
  </si>
  <si>
    <t>ROW ID Selection</t>
  </si>
  <si>
    <t>Zeilen Nr. Auswahl</t>
  </si>
  <si>
    <t>SEL_ROW_ID</t>
  </si>
  <si>
    <t>DBE_COLUMNS</t>
  </si>
  <si>
    <t>DBE_LANG_START</t>
  </si>
  <si>
    <t>DBE_LANG_TITLES</t>
  </si>
  <si>
    <t>DBE_LongDesc</t>
  </si>
  <si>
    <t>DBE_LongDescImage</t>
  </si>
  <si>
    <t>DBE_SEL_ROWID</t>
  </si>
  <si>
    <t>DBE_ShortDesc</t>
  </si>
  <si>
    <t>DBE_ShortDescImage</t>
  </si>
  <si>
    <t>DBE_START</t>
  </si>
  <si>
    <t>DBE_START_ROWID_DATA</t>
  </si>
  <si>
    <t>SEL_ExGroup</t>
  </si>
  <si>
    <t>SEL_ExType</t>
  </si>
  <si>
    <t>SEL_LongDescImage</t>
  </si>
  <si>
    <t>SEL_NrOfPlayers</t>
  </si>
  <si>
    <t>SEL_Title</t>
  </si>
  <si>
    <t>IMG_LG_1</t>
  </si>
  <si>
    <t>MUI_DBE_T_EX_ShortMaterial</t>
  </si>
  <si>
    <t>Material</t>
  </si>
  <si>
    <t>Range Targets</t>
  </si>
  <si>
    <t>Drill</t>
  </si>
  <si>
    <t>Putting contest for 18 holes
=====================
Put 18x times from approximately 7-12m towards different flags on your putting green until you knock them in. All strokes are cumulated for 18 holes.
If you wonna be hard on you: If you cant make it in your target, restart drill from the beginning.</t>
  </si>
  <si>
    <t>Putting 18</t>
  </si>
  <si>
    <t>Putting 9</t>
  </si>
  <si>
    <t>Putting contest for 9 holes
=====================
Put 18x times from approximately 7-12m towards different flags on your putting green until you knock them in. All strokes are cumulated for 9 holes.
If you wonna be hard on you: If you cant make it in your target, restart drill from the beginning.</t>
  </si>
  <si>
    <t>Putting 60</t>
  </si>
  <si>
    <t>Place 12 Balls in different distances of app. 0,5m, 1m, 1,5m, 2m, 2,5m, 3m (so each distance 2 balls) from 12 different directions toward a hole on your putting green. Count the number of putts you make. Go to 4 different other holes on your putting green and repeat the drill. The total number of these 5 holes will provide your result.
If you wonna be hard on you: If you cant make it in your target, restart drill from the beginning.</t>
  </si>
  <si>
    <t>IMG_LG_24</t>
  </si>
  <si>
    <t>Pressure Putting</t>
  </si>
  <si>
    <t>The challenge is to hole in the given time of 8 minutes as many putts as possible. Each ball shall be played from a different location around several holes on the putting green. A maximum number of 30 balls are allowed to play.
For each holed ball you get 1 point. 
For each 2+ putt you get -3 points.
Whats is the number of balls you can achieve?</t>
  </si>
  <si>
    <t>Each ball shall be played from a different location around several holes on the putting green.
For each holed ball you get 1 point. 
For each 2+ putt you get -3 points.
You are not allowed to stop before you have reached the target number.</t>
  </si>
  <si>
    <t>Putting Break to the right</t>
  </si>
  <si>
    <t>Putting Break to the left</t>
  </si>
  <si>
    <t>Place 10 balls with a distance of app. 1m each on the assumed putting line with a break to the left.
Cumulated the number of holed balls and compare them to the target.</t>
  </si>
  <si>
    <t>Place 10 balls with a distance of app. 1m each on the assumed putting line with a break to the right.
Cumulated the number of holed balls and compare them to the target.</t>
  </si>
  <si>
    <t>Tour Length Control</t>
  </si>
  <si>
    <t>One player need to accomplish single shots from 0,5m, 1m, 1,5m, 2m and 2,5m  without any missed put. 
If you miss a single put in the row, you need to restart from scratch, so from 0,5m.
Track how many turns you need until you cope this challenge.</t>
  </si>
  <si>
    <t>DBE_COLID_ExGroup</t>
  </si>
  <si>
    <t>DBE_COLID_ExType</t>
  </si>
  <si>
    <t>DBE_Header</t>
  </si>
  <si>
    <t>DBE_Header_LENGTH</t>
  </si>
  <si>
    <t>DBE_ID</t>
  </si>
  <si>
    <t>IMG</t>
  </si>
  <si>
    <t>IMG_3</t>
  </si>
  <si>
    <t>IMG_LG_10</t>
  </si>
  <si>
    <t>IMG_LG_11</t>
  </si>
  <si>
    <t>IMG_LG_12</t>
  </si>
  <si>
    <t>IMG_LG_13</t>
  </si>
  <si>
    <t>IMG_LG_14</t>
  </si>
  <si>
    <t>IMG_LG_15</t>
  </si>
  <si>
    <t>IMG_LG_16</t>
  </si>
  <si>
    <t>IMG_LG_17</t>
  </si>
  <si>
    <t>IMG_LG_18</t>
  </si>
  <si>
    <t>IMG_LG_19</t>
  </si>
  <si>
    <t>IMG_LG_2</t>
  </si>
  <si>
    <t>IMG_LG_20</t>
  </si>
  <si>
    <t>IMG_LG_21</t>
  </si>
  <si>
    <t>IMG_LG_22</t>
  </si>
  <si>
    <t>IMG_LG_23</t>
  </si>
  <si>
    <t>IMG_LG_3</t>
  </si>
  <si>
    <t>IMG_LG_4</t>
  </si>
  <si>
    <t>IMG_LG_5</t>
  </si>
  <si>
    <t>IMG_LG_6</t>
  </si>
  <si>
    <t>IMG_LG_7</t>
  </si>
  <si>
    <t>IMG_LG_8</t>
  </si>
  <si>
    <t>IMG_LG_9</t>
  </si>
  <si>
    <t>SEL_IMG</t>
  </si>
  <si>
    <t>MUI_EX_T_ACTION</t>
  </si>
  <si>
    <t>Action</t>
  </si>
  <si>
    <t>Aktion</t>
  </si>
  <si>
    <t>Exercise Database</t>
  </si>
  <si>
    <t>MUI_DBE_T_EX_Material</t>
  </si>
  <si>
    <t xml:space="preserve"> </t>
  </si>
  <si>
    <t>2 teams are playing against each other from a single spot to the hole.  Aim is to kick members of the other team out. This can be done if somebody has a one put. Another choice with a one put is to get somebody from your own team back, who has been kicked of the games, into the game.  
Whoever gets the other team completed kick out will win the game.
Alternative:
- Play towards more holes and switch every other put.</t>
  </si>
  <si>
    <t>MUI_EX_T_RESULT</t>
  </si>
  <si>
    <t>Ergebnis</t>
  </si>
  <si>
    <t>MUI_EX_MAIN_HEADER</t>
  </si>
  <si>
    <t>Übungsverwaltung</t>
  </si>
  <si>
    <t>Select 2 targets (imagine them as flag sticks) with a gap (imaging this as the green) of app 25m between each other and a distance to yourself of app. 140m.No imagine, that on the outer sides of this targets is hazard. 
Everybody hits 3 balls to each of the flags and add up his points:
Landing on the green toward the targeted Flag side = 3 points
Landing on the green toward the NOT targeted Flag side = 2 points
Landing in the hazard = -2 points
Landing on the outside of the other flag  = -1 point
Who wins the game?</t>
  </si>
  <si>
    <t>Find the right Approach</t>
  </si>
  <si>
    <t>Many</t>
  </si>
  <si>
    <t>The Drill asks you to hit the 3 different shapes: FADE, DRAW and STRAIGHT.
For each shape you should each the 3 types of shots: HIGH, MEDIUM and LOW.
Do this drill by have a clear target on the range and using a 7 iron.
Play with open stance, ball position, body alignment, open club, etc. 
When feeling comfortable and accomplishing all 9 types: try to do the same with different clubs.</t>
  </si>
  <si>
    <t>Putt
- 3 balls from a distance of app 12m 
- 3 balls from a distance of app. 15m
- 3 balls from a distance of app. 18m
Result:
4 points … for a holed putt
2 points … if you are within 90 cm to the hole
1 points … if you are betwenn 90 an 180cm
Add your points and compare them to your target.</t>
  </si>
  <si>
    <t>In this drill the idea is to hit on the green which has flag stick in dangerous areas to the left or right. The idea is to save the ball on the green and not in the hazard. Select 2 targets (imagine them as flag sticks) with a gap (imaging this as the green) of app 25m between each other and a distance to yourself of app. 140m.No imagine, that on the outer sides of this targets is hazard. 
Hit 6 balls to each of the flags and add your points:
Landing on the green toward the targeted Flag side = 3 points
Landing on the green toward the NOT targeted Flag side = 2 points
Landing in the hazard = -2 points
Landing on the outside of the other flag  = -1 point
So, with all 12 strokes adding up: Max is 36 points. How much can you gain?</t>
  </si>
  <si>
    <t>MUI_EX_T_TARGET</t>
  </si>
  <si>
    <t>Target</t>
  </si>
  <si>
    <t>Ziel</t>
  </si>
  <si>
    <t>MUI_DBE_T_EX_Target</t>
  </si>
  <si>
    <t>Bunker</t>
  </si>
  <si>
    <t xml:space="preserve">Pick a spot in a greenside bunker which app. 4m of a distance to a landing spot. Mark the landing spot (towel, 4 clubs, tees,..)
The landing zone should be app 2mx2m
Practice as long as you need to hit THREE IN A ROW.
</t>
  </si>
  <si>
    <t xml:space="preserve">Pick a spot in a greenside bunker which app. 4m of a distance to a landing spot. Mark the landing spot (towel, 4 clubs, tees,..)
The landing zone should be app 3mx3m
Practice as long as you need to hit THREE IN A ROW.
</t>
  </si>
  <si>
    <t xml:space="preserve">Pick a spot in a greenside bunker which app. 4m of a distance to a landing spot. Mark the landing spot (towel, 4 clubs, tees,..)
The landing zone should be app 1mx1m
Practice as long as you need to hit THREE IN A ROW.
</t>
  </si>
  <si>
    <t>Pick a spot in a greenside bunker which app. 4m of a distance to a landing spot. Mark the landing spot (towel, 4 clubs, tees,..).
The landing zone should be app 2mx2m
Whenever you land the ball in the zone, the next shot is one step further away.
If you miss the shot, you need to step closer by one step.
Can you accomplish 5 in a row?</t>
  </si>
  <si>
    <t>Pick a spot in a greenside bunker which app. 4m of a distance to a landing spot. Mark the landing spot (towel, 4 clubs, tees,..).
The landing zone should be app 2mx2m
Whenever you land the ball in the zone, the next shot is one step further away.
If you miss the shot, you need to step back to the FIRST position.
Can you accomplish 5 in a row, so to the final position?</t>
  </si>
  <si>
    <t>Pick a spot in a greenside bunker which app. 4m of a distance to a landing spot. Mark the landing spot (towel, 4 clubs, tees,..).
The landing zone should be app 2mx2m
Whenever you land the ball in the zone, the next shot is one step further away. For each distance you have 3 shots. If you miss all three shots, you need to step closer by one step.
Can you accomplish 5 in a row?</t>
  </si>
  <si>
    <t>Two teams are playing towards a line from the same distance.
The coach will provide a starting signal (e.g. 1-2-3...put) and all players have to put immediately.
Whoever has the weakest put to the line gets kicked out. 
When the last player of one team is eleminated, the game is out.</t>
  </si>
  <si>
    <t>MUI_DBE_T_EX_UID</t>
  </si>
  <si>
    <t>MUI_DBR_T_PlayerName</t>
  </si>
  <si>
    <t>Rounded HCP</t>
  </si>
  <si>
    <t>Resultierendes
HCP</t>
  </si>
  <si>
    <t>MUI_EX_T_ResultHCP</t>
  </si>
  <si>
    <t>MUI_DBR_T_ExID</t>
  </si>
  <si>
    <t>EXR_</t>
  </si>
  <si>
    <t>EX_</t>
  </si>
  <si>
    <t>EXH_</t>
  </si>
  <si>
    <t>MUI_DBR_T_ExIDs_ResHCP</t>
  </si>
  <si>
    <t>MUI_DBR_T_ExIDs_Result</t>
  </si>
  <si>
    <t>MUI_DBR_T_ExIDs_Planned</t>
  </si>
  <si>
    <t>MUI_DBR_T_TotalDuration</t>
  </si>
  <si>
    <t>MUI_DBR_T_PlayerResultHCP</t>
  </si>
  <si>
    <t>MUI_DBR_T_PlayerRoundedHCP</t>
  </si>
  <si>
    <t>To be modified ID</t>
  </si>
  <si>
    <t>TO be saved ID</t>
  </si>
  <si>
    <t>MUI_DBR_T_PlayerWorkoutID</t>
  </si>
  <si>
    <t>DBE_COLID_Duration</t>
  </si>
  <si>
    <t>DBE_COLID_ExID</t>
  </si>
  <si>
    <t>DBE_COLID_LongDesc</t>
  </si>
  <si>
    <t>DBE_COLID_LongDescImage</t>
  </si>
  <si>
    <t>DBE_COLID_Material</t>
  </si>
  <si>
    <t>DBE_COLID_ShortDesc</t>
  </si>
  <si>
    <t>DBE_COLID_ShortDescImage</t>
  </si>
  <si>
    <t>DBE_COLID_START</t>
  </si>
  <si>
    <t>DBE_COLID_Target</t>
  </si>
  <si>
    <t>DBE_COLID_Title</t>
  </si>
  <si>
    <t>DBE_Duration</t>
  </si>
  <si>
    <t>DBE_ExID</t>
  </si>
  <si>
    <t>DBE_Material</t>
  </si>
  <si>
    <t>DBE_SEL_Duration</t>
  </si>
  <si>
    <t>DBE_SEL_ExGroup</t>
  </si>
  <si>
    <t>DBE_SEL_ExID</t>
  </si>
  <si>
    <t>DBE_SEL_ExType</t>
  </si>
  <si>
    <t>DBE_SEL_LongDesc</t>
  </si>
  <si>
    <t>DBE_SEL_LongDescImage</t>
  </si>
  <si>
    <t>DBE_SEL_Material</t>
  </si>
  <si>
    <t>DBE_SEL_NrOfPlayers</t>
  </si>
  <si>
    <t>DBE_SEL_Target</t>
  </si>
  <si>
    <t>DBE_SEL_Title</t>
  </si>
  <si>
    <t>DBE_Target</t>
  </si>
  <si>
    <t>DBEL_Duration</t>
  </si>
  <si>
    <t>DBEL_ExGroup</t>
  </si>
  <si>
    <t>DBEL_ExID</t>
  </si>
  <si>
    <t>DBEL_ExType</t>
  </si>
  <si>
    <t>DBEL_ID</t>
  </si>
  <si>
    <t>DBEL_LongDescImage</t>
  </si>
  <si>
    <t>DBEL_LongDescription</t>
  </si>
  <si>
    <t>DBEL_Material</t>
  </si>
  <si>
    <t>DBEL_NrOfPlayers</t>
  </si>
  <si>
    <t>DBEL_Target</t>
  </si>
  <si>
    <t>DBEL_Title</t>
  </si>
  <si>
    <t>DBR_COLID_ExDate</t>
  </si>
  <si>
    <t>DBR_COLID_ExIDs_Planned_Start</t>
  </si>
  <si>
    <t>DBR_COLID_ExIDs_ResHCP_Start</t>
  </si>
  <si>
    <t>DBR_COLID_ExIDs_Result_Start</t>
  </si>
  <si>
    <t>DBR_COLID_PlayerHCP</t>
  </si>
  <si>
    <t>DBR_COLID_PlayerID</t>
  </si>
  <si>
    <t>DBR_COLID_PlayerName</t>
  </si>
  <si>
    <t>DBR_COLID_PlayerResultHCP</t>
  </si>
  <si>
    <t>DBR_COLID_PlayerRoundedHCP</t>
  </si>
  <si>
    <t>DBR_COLID_PlayerWorkoutID</t>
  </si>
  <si>
    <t>DBR_COLID_ProtocolID</t>
  </si>
  <si>
    <t>DBR_COLID_TotalDuration</t>
  </si>
  <si>
    <t>DBR_Columns</t>
  </si>
  <si>
    <t>DBR_COUNT</t>
  </si>
  <si>
    <t>DBR_ExDate</t>
  </si>
  <si>
    <t>DBR_ExIDs_Planned_Start</t>
  </si>
  <si>
    <t>DBR_ExIDs_ResHCP_Start</t>
  </si>
  <si>
    <t>DBR_ExIDs_Result_Start</t>
  </si>
  <si>
    <t>DBR_PlayerHCP</t>
  </si>
  <si>
    <t>DBR_PlayerID</t>
  </si>
  <si>
    <t>DBR_PlayerName</t>
  </si>
  <si>
    <t>DBR_PlayerResultHCP</t>
  </si>
  <si>
    <t>DBR_PlayerRoundedHCP</t>
  </si>
  <si>
    <t>DBR_PlayerWorkoutID</t>
  </si>
  <si>
    <t>DBR_ProtocolID</t>
  </si>
  <si>
    <t>DBR_START</t>
  </si>
  <si>
    <t>DBR_START_ROWID_DATA</t>
  </si>
  <si>
    <t>DBR_Titles</t>
  </si>
  <si>
    <t>DBR_Titles_Start</t>
  </si>
  <si>
    <t>DBR_TotalDuration</t>
  </si>
  <si>
    <t>DELME_A</t>
  </si>
  <si>
    <t>DELME_B</t>
  </si>
  <si>
    <t>DL_Prep_ROWS_NrOfPlayers</t>
  </si>
  <si>
    <t>DL_SINGLE_ExType</t>
  </si>
  <si>
    <t>DL_SINGLE_NrOfPlayers</t>
  </si>
  <si>
    <t>DL_SINGLE_Title</t>
  </si>
  <si>
    <t>Exercises!Print_Area</t>
  </si>
  <si>
    <t>EX_AIM_Duration</t>
  </si>
  <si>
    <t>EX_AIM_ExGroup</t>
  </si>
  <si>
    <t>EX_AIM_ExID</t>
  </si>
  <si>
    <t>EX_AIM_ExType</t>
  </si>
  <si>
    <t>EX_AIM_LongDesc</t>
  </si>
  <si>
    <t>EX_AIM_LongDescImage</t>
  </si>
  <si>
    <t>EX_AIM_Material</t>
  </si>
  <si>
    <t>EX_AIM_NrOfPlayers</t>
  </si>
  <si>
    <t>EX_AIM_RowID</t>
  </si>
  <si>
    <t>EX_AIM_Target</t>
  </si>
  <si>
    <t>EX_AIM_Title</t>
  </si>
  <si>
    <t>EX_COLID_Action</t>
  </si>
  <si>
    <t>EX_COLID_Duration</t>
  </si>
  <si>
    <t>EX_COLID_ExGroup</t>
  </si>
  <si>
    <t>EX_COLID_ExID</t>
  </si>
  <si>
    <t>EX_COLID_ExType</t>
  </si>
  <si>
    <t>EX_COLID_LongDesc</t>
  </si>
  <si>
    <t>EX_COLID_LongDescImage</t>
  </si>
  <si>
    <t>EX_COLID_Material</t>
  </si>
  <si>
    <t>EX_COLID_NrOfPlayers</t>
  </si>
  <si>
    <t>EX_COLID_Target</t>
  </si>
  <si>
    <t>EX_COLID_Title</t>
  </si>
  <si>
    <t>EX_Count</t>
  </si>
  <si>
    <t>EX_ExID</t>
  </si>
  <si>
    <t>Ex_ExID_MaxRange</t>
  </si>
  <si>
    <t>EX_START</t>
  </si>
  <si>
    <t>EX_START_ROWID_DATA</t>
  </si>
  <si>
    <t>EX_TITLES</t>
  </si>
  <si>
    <t>EX_TITLES_LENGTH</t>
  </si>
  <si>
    <t>EX_TITLES_START</t>
  </si>
  <si>
    <t>IMG_EX_10</t>
  </si>
  <si>
    <t>IMG_EX_11</t>
  </si>
  <si>
    <t>IMG_EX_12</t>
  </si>
  <si>
    <t>IMG_EX_13</t>
  </si>
  <si>
    <t>IMG_EX_14</t>
  </si>
  <si>
    <t>IMG_EX_15</t>
  </si>
  <si>
    <t>IMG_EX_16</t>
  </si>
  <si>
    <t>IMG_EX_17</t>
  </si>
  <si>
    <t>IMG_EX_18</t>
  </si>
  <si>
    <t>IMG_EX_19</t>
  </si>
  <si>
    <t>IMG_EX_20</t>
  </si>
  <si>
    <t>IMG_EX_21</t>
  </si>
  <si>
    <t>IMG_EX_22</t>
  </si>
  <si>
    <t>IMG_EX_23</t>
  </si>
  <si>
    <t>PL_ExDate</t>
  </si>
  <si>
    <t>PL_HCP</t>
  </si>
  <si>
    <t>PL_ID</t>
  </si>
  <si>
    <t>PL_Name</t>
  </si>
  <si>
    <t>PL_ResultHCP</t>
  </si>
  <si>
    <t>PL_RoundedHCP</t>
  </si>
  <si>
    <t>PL_TotalDuration</t>
  </si>
  <si>
    <t>PL_WorkoutID</t>
  </si>
  <si>
    <t>SEL_Duration</t>
  </si>
  <si>
    <t>SEL_ExID</t>
  </si>
  <si>
    <t>SEL_LongDesc</t>
  </si>
  <si>
    <t>SEL_Material</t>
  </si>
  <si>
    <t>SEL_Target</t>
  </si>
  <si>
    <t>DBRM_ID</t>
  </si>
  <si>
    <t>Micha Dürr</t>
  </si>
  <si>
    <t>Two teams play alternatingly against each other. The target gate are app 5m away and have 4 different width. 
The smallest gate gaines 1 point, 2nd gets 3 points, 3rd gets 5 points and the widdest gets 7 points.
It is up to the player to decide, which gate he is aiming for. 
If he gets throught the gate he gets the points.
The team cumulates their player results. 
Winning team is the one gaining first 50 or more points.</t>
  </si>
  <si>
    <t>Two teams play alternatingly against each other. The target gate are app 5m away and have 4 different width. The smallest gate gaines 1 point, 2nd gets 3 points, 3rd gets 5 points and the widdest gets 7 points.
It is up to the player to decide, which gate he is aiming for. 
If he gets throught the gate he gets the points.
If he misses his target, the team gets -2 points.
The team cumulates their player results. 
Winning team is the one gaining first 50 or more points.</t>
  </si>
  <si>
    <t>Two teams play alternatingly against each other. The target flags are of different distance (starting from 3m up to 15m) away. For each flag the target is max.  one club length (e.g. SW). For the nearest flag you gain 1 point. For each other flag add 2 points per distance ranking (so 2nd=3pts, 3rd=5pts,...)
It is up to the player to decide, which flag he is aiming for. 
If the ball holes or stays in a one club circle to the cup he gains the points.
The team cumulates their player results. 
Winning team is the one gaining first 50 or more points.</t>
  </si>
  <si>
    <t>Two teams play alternatingly against each other. The target flags are of different distance (starting from 3m up to 15m) away. For each flag the target is max.  one club length (e.g. SW). For the nearest flag you gain 1 point. For each other flag add 2 points per distance ranking (so 2nd=3pts, 3rd=5pts,...)
It is up to the player to decide, which flag he is aiming for. 
If the ball holes or stays in a one club circle to the cup he gains the points.
The team cumulates their player results. 
IF HE MISS ... subtract 2 points from the teams score.
Winning team is the one gaining first 50 or more points.</t>
  </si>
  <si>
    <t xml:space="preserve">Each player gets a predefined number of credit points.
One player starts with putting the ball at least to the hole, but let it either finish in front of the predetermined hole.  The next player has to pass this ball and still be in front of the hole or gets the ball in the hole.
Whoever misses the hole, stops before the last ball of the other player or let the ball pass the hole loose 1 point. Each hole will be started alternately by the other player.
Whoever drops first to zero will loose.
</t>
  </si>
  <si>
    <t>DBR_Count</t>
  </si>
  <si>
    <t>Pitching</t>
  </si>
  <si>
    <t>The player starts with chipping the ball at least to the fringe of the green but let it finish in front of the predetermined hole. 
How many balls (including the first one) can you shoot and be farther than the one before but still end in front of the hole?
The game is over, when you manage a predefine number depending on the handicap.</t>
  </si>
  <si>
    <t>- Target line
- Putter</t>
  </si>
  <si>
    <t>One of the team selects a starting spot around the pitching green and a flag on this green.
Everybody shoots from the same spot one after another.
Whoever has the weakest shoot, will be dropped out of the competition.
Who will win the Game?</t>
  </si>
  <si>
    <t>One of the team selects a starting spot on or close to the putting green and a flag on the putting green.
Everybody shoots from the same spot one after another.
Whoever has the weakest shoot, will be dropped out of the competition.
Who will win the Game?</t>
  </si>
  <si>
    <t>One of the team selects a starting spot around the chipping or pitching green and a flag on this green.
Everybody shoots from the same spot one after another.
Whoever has the weakest shoot, will be dropped out of the competition.
Who will win the Game?</t>
  </si>
  <si>
    <t>Version</t>
  </si>
  <si>
    <t>Golf Workout Manager V0.1</t>
  </si>
  <si>
    <t>MUI_DBR_T_Planned</t>
  </si>
  <si>
    <t>MUI_DBE_T_EX_Correction</t>
  </si>
  <si>
    <t>Correction</t>
  </si>
  <si>
    <t>Korrektur</t>
  </si>
  <si>
    <t>Most Important corrections …</t>
  </si>
  <si>
    <t>Material used:
n.a.</t>
  </si>
  <si>
    <t>- Proper Alignment
- To much Hand action</t>
  </si>
  <si>
    <t>From a distance of app. 2-3 feet place your putter directly behind the ball.
Now push the ball with the putter into the hole (without any move of the put backwards)
If it works, step back 1-2 feet and repeat action.</t>
  </si>
  <si>
    <t>Push Put Drill</t>
  </si>
  <si>
    <t>From a distance of app. 6m use your 2 alignment stick (or 2 clubs with heads at the back side turn outside).
Now swing without touching the sticks.
With this drill, you learn to move your club straight.
As tighter the sticks are besides your normal putter width, as tougher it gets. Start with 1 Ball gap on both side of the putter and adjust the difficulty during the drill.</t>
  </si>
  <si>
    <t>From a distance of app. 6m use your 2 alignment stick (or 2 clubs with heads at the back side turn outside). At the end of the sticks towards the hole, place 2 balls (or tees) and narrow the gap. 
Now swing without touching the sticks and hitting the 2 balls.
With this drill, you learn to move your club straight and make sure, that you hit the ball straight.
As tighter the sticks are besides your normal putter width, as tougher it gets. Start with 1 Ball gap on both side of the putter and adjust the difficulty during the drill. Dito. make the ball gaps tighter to make it tough.</t>
  </si>
  <si>
    <t>Eyes Position</t>
  </si>
  <si>
    <t>Eyes should be directly above the ball</t>
  </si>
  <si>
    <t>Place a ball and take the putter shaft to your eyes. Without any force, the club will show you, if your eyes are directly above the ball.
(dito. dropping a ball, might help).
Also when using a mirror putting aid, you see directly, if your eyes are above the ball or below/above the ball.</t>
  </si>
  <si>
    <t>Learn to fix your hand movement during the putting. As more you turn the hand to the outside as less hand movement you will have.</t>
  </si>
  <si>
    <t>Fix Hands</t>
  </si>
  <si>
    <t>- 2nd ball to drop</t>
  </si>
  <si>
    <t xml:space="preserve">- 2 Aligment Sticks or clubs
- 2 Balls or Tees
</t>
  </si>
  <si>
    <t xml:space="preserve">- 2 Aligment Sticks or clubs
</t>
  </si>
  <si>
    <t>Mark 5 points of a distance of 0,5m, 1m, 1,5m, 2m and 2,5m for each of the 5 branches
Beginning with 0,5m and increase the distance finish one branch before you go to the next one.
Make sure, you use only 1 ball and do you full preshot routine and setup as normal for every stroke.</t>
  </si>
  <si>
    <t>Mark 5 points of a distance of 0,5m, 1m, 1,5m, 2m and 2,5m for each of the 5 branches
Beginning with 0,5m and increase the distance finish one branch before you go to the next one.
If you miss one distance, you drop back to the FIRST distance (=0,5m).
Make sure, you use only 1 ball and do you full preshot routine and setup as normal for every stroke.</t>
  </si>
  <si>
    <t>Mark 5 points of a distance of 0,5m, 1m, 1,5m, 2m and 2,5m for each of the 5 branches
Beginning with 0,5m and increase the distance finish one branch before you go to the next one.
If you miss one distance, you drop back to the PREVIOUS distance.
Make sure, you use only 1 ball and do you full preshot routine and setup as normal for every stroke.</t>
  </si>
  <si>
    <t>- Hit 5 shots from 25m and let the ball LAND IN a 2m radius.
- Hit 5 shots from 40m and let the ball LAND IN a 2m radius.
- Hit 5 shots from 55m and let the ball LAND IN a 3m radius.
- Hit 5 shots from 70m and let the ball LAND IN a 3m radius.
- Hit 5 shots from 85m and let the ball LAND IN a 3m radius.
For each LANDING ball in this circle you will gain 1 point. 
Cumulate your total points.</t>
  </si>
  <si>
    <t>Make sure balls need to end inside the circle</t>
  </si>
  <si>
    <t>Swing</t>
  </si>
  <si>
    <t>Swish Drill</t>
  </si>
  <si>
    <t>Turn your driver upside down or, better yet, use a driver shaft with no clubhead. If you use your regular driver, grip the shaft directly below the clubhead. Take your address and then swing. If you hear a swish sound right away while swinging down, you have released the club to early. This fault is called "casting". 
Keep swinging and retaining your wrist hinge longer until you hear the swish at the impact position</t>
  </si>
  <si>
    <t>http://www.tomtuckergolf.com/drillswish.html</t>
  </si>
  <si>
    <t>This is the summary information using the Tucker Test.
You need to do all challenges exercise and sum up your total score. 
This will provide you with an overall handicap comparision
Keep in mind: the Tucker test is mainly seen to detect your weaknesses and not to compare handicaps.</t>
  </si>
  <si>
    <t>The following test shall be played with a single ball and with clear preshot routine per ball.
4 branches in all 4 directions (please not opposite site, slightly different) will be marked with tees on 0,5m 1m,1,5m,2m and 2,5m.
So in summary, you need to do 20 puts: 5 each branch.
Keep in mind: the Tucker test is mainly seen to detect your weaknesses and not to compare handicaps.</t>
  </si>
  <si>
    <t>In a bunker the ball can be layed up on a flat area.
- Hit 5 shots from 6m and let the ball LAND IN a 1,2m radius.
- Hit 5 shots from 12m and let the ball LAND IN a 1,8m radius.
- Hit 5 shots from 18m and let the ball LAND IN a 2,4m radius.
For each LANDING ball in this circle you will gain 1 point. 
Cumulate your total points.
Keep in mind: the Tucker test is mainly seen to detect your weaknesses and not to compare handicaps.</t>
  </si>
  <si>
    <t>- Hit 5 shots from 15m and let the ball roll INTO a 1,5m radius.
- Hit 5 shots from 20m and let the ball roll INTO a 2m radius.
Each ball shall be dropped at least 6m or further away from the start of the green ! For each ending ball in this circle you will gain 1 point. 
Cumulate your total points.
Keep in mind: the Tucker test is mainly seen to detect your weaknesses and not to compare handicaps.</t>
  </si>
  <si>
    <t>Workout Manager</t>
  </si>
  <si>
    <t>Handicap Conversion Table compared to result and target</t>
  </si>
  <si>
    <t>MUI_DBE_T_EX_Conversion</t>
  </si>
  <si>
    <t>UID</t>
  </si>
  <si>
    <t>Häufigkeit</t>
  </si>
  <si>
    <t>Type</t>
  </si>
  <si>
    <t>Thema</t>
  </si>
  <si>
    <t>Duration</t>
  </si>
  <si>
    <t>Dauer</t>
  </si>
  <si>
    <t>Ball will be randomly dropped and played until holed (Each Player plays from the same spot). For each one Putt you get 1 Point, for a two Putt you get 0 points and for all other you get -1 points. 
End of the game is determined by a define target (e.g whoever has 5 points)</t>
  </si>
  <si>
    <t>The following test shall be played with a single ball and with clear preshot routine per ball.
- Hit 5 shots from 6m and let the ball roll INTO a 1,5m radius HALF CIRCLE behind the hole.
- Hit 5 shots from 12m and the let the ball roll INTO a 1,5m radius FULL CIRCLE around the hole
- Hit 5 shots from 18m and the let the ball roll INTO a 1,5m radius FULL CIRCLE around the hole
So, in summary: max 15 points are possible on this challenge.
Keep in mind: the Tucker test is mainly seen to detect your weaknesses and not to compare handicaps.</t>
  </si>
  <si>
    <t>Drop your ball at 5 difficult position (e.g. rough, water area, flat, divot, left/right side blocked, underneath a bush, ...)
For each ball ENDING in a circle of app. 15% radius of the distance you will gain 1 point. 
Cumulate your total points (max 5 points)
Keep in mind: the Tucker test is mainly seen to detect your weaknesses and not to compare handicaps.</t>
  </si>
  <si>
    <t>5 tees per hole you can use on the putting green.</t>
  </si>
  <si>
    <t>This drill is not useful for handicap -18 and worse</t>
  </si>
  <si>
    <t>Different challenges are lot/ of green in front of flag, not much green before the flag, sand in front, relation flag:fringe vs. fringe to ball, slope of green towards/away from player,…</t>
  </si>
  <si>
    <t>Exercise Conversion Table</t>
  </si>
  <si>
    <t>Each player gets a predefined numer of credit points (e.g. 10)
One player starts with chipping the ball at least to the fringe of the green but let it finish in front of the predetermined hole.  The next player has to pass this ball and still be in front of the hole.
Whoever misses the green, stops before the last ball of the other player or let the ball pass the hole loose 1 point.
Whoever drops first to zero will loose.</t>
  </si>
  <si>
    <t xml:space="preserve"> This test is very unspecific, since the sample rate is low. Don't overestimate the value of this part of the test, compared to the other hard facts.</t>
  </si>
  <si>
    <t>Out of a distance of app. 15m the target is to get as much as possible 1- oder 2 putts. Count the number of accomplishment IN A ROW until the clock runs out (Start: 8 minutes). 
If you have more than 2 putts, you have to  restart from 0.
The aim is, to reach at least the targeted number.</t>
  </si>
  <si>
    <t>Drop your ball app. 6 m (+/-150cm) away of a flag on the putting green and hole the ball. Switch flag after each try. The target is to reach your target points with the following point system:
+5 points … sinking the ball with the first shot
1 points … if the first ball is with 1m and you need 2 putts
0 points ... if the first ball is outside 1m and you need 2 putts
-3 points ... if you need 3 or more putts
Cumulate the numbers of POINTS you get during the 10 holes.</t>
  </si>
  <si>
    <t>Drop your ball app. 9 m (+/-150cm) away of a flag on the putting green and hole the ball. Switch flag after each try. The target is to reach your target points with the following point system:
+5 points … sinking the ball with the first shot
1 points … if the first ball is with 1m and you need 2 putts
0 points ... if the first ball is outside 1m and you need 2 putts
-3 points ... if you need 3 or more putts
Cumulate the numbers of POINTS you get during the 10 holes.</t>
  </si>
  <si>
    <t>Drop your ball app. 12 m (+/-150cm) away of a flag on the putting green and hole the ball. Switch flag after each try. The target is to reach your target points with the following point system:
+5 points … sinking the ball with the first shot
1 points … if the first ball is with 1m and you need 2 putts
0 points ... if the first ball is outside 1m and you need 2 putts
-3 points ... if you need 3 or more putts
Cumulate the numbers of POINTS you get during the 10 holes.</t>
  </si>
  <si>
    <t>Drop your ball app. 3m (+/-30cm) away of a flag on the putting green and hole the ball. Switch flag after each try. The target is to reach your target points with the following point system:
+2 points … sinking the ball with the first shot
0 points … if the first ball is to long and you need 2 putts
-1 points ... if the first ball is to SHORT and you need 2 putts
-3 points ... if you need 3 or more putts
Cumulate the numbers of POINTS you get during the 10 holes</t>
  </si>
  <si>
    <t>Drop your ball app. 4,5 m (+/-50cm) away of a flag on the putting green and hole the ball. Switch flag after each try. The target is to reach your target points with the following point system:
+2 points … sinking the ball with the first shot
0 points … if the first ball is to long and you need 2 putts
-1 points ... if the first ball is to SHORT and you need 2 putts
-3 points ... if you need 3 or more putts
Cumulate the numbers of POINTS you get during the 10 holes</t>
  </si>
  <si>
    <t>Drop your ball app. 1,5 m (+/-30cm) away of a flag on the putting green and hole the ball. Switch flag after each try. The target is to reach your target points with the following point system:
+2 points … sinking the ball with the first shot
0 points … if the first ball is to long and you need 2 putts
-1 points ... if the first ball is to SHORT and you need 2 putts
-3 points ... if you need 3 or more putts
Cumulate the numbers of POINTS you get during the 10 holes</t>
  </si>
  <si>
    <t>MUI_DBE_T_EX_Level</t>
  </si>
  <si>
    <t>Beginner</t>
  </si>
  <si>
    <t xml:space="preserve">Choose a place on the putting green, where 3 different holes of different directions are app. 3m away. Take 3 balls and drop them at the same place.
Hit the three balls in a row to each of these holes, so each ball reside nearby or in a different hole.
If you can get ALL THREE Balls at the same attempt in 1 or 2 putts in the hole, you will win.
If at least one hole is missed with 3+ putts, you need to restart this challenge.
YOU NEED TO COMMIT YOURSELF TO DO THIS CHALLENGE UNTIL YOU ACCOMPLISH IT.
</t>
  </si>
  <si>
    <t>Intermediate</t>
  </si>
  <si>
    <t xml:space="preserve">Choose a place on the putting green, where 3 different holes of different directions are app. 3-6m away. Take 3 balls and drop them at the same place. Try to vary the distances of each hole between the given distance range.
Hit the three balls in a row to each of these holes, so each ball reside nearby or in a different hole.
If you can get ALL THREE Balls at the same attempt in 1 or 2 putts in the hole, you will win.
If at least one hole is missed with 3+ putts, you need to restart this challenge.
YOU NEED TO COMMIT YOURSELF TO DO THIS CHALLENGE UNTIL YOU ACCOMPLISH IT.
</t>
  </si>
  <si>
    <t xml:space="preserve">Choose a place on the putting green, where 3 different holes of different directions are app. 3-9m away. Take 3 balls and drop them at the same place. Try to vary the distances of each hole between the given distance range.
Hit the three balls in a row to each of these holes, so each ball reside nearby or in a different hole.
If you can get ALL THREE Balls at the same attempt in 1 or 2 putts in the hole, you will win.
If at least one hole is missed with 3+ putts, you need to restart this challenge.
YOU NEED TO COMMIT YOURSELF TO DO THIS CHALLENGE UNTIL YOU ACCOMPLISH IT.
</t>
  </si>
  <si>
    <t xml:space="preserve">Choose a place on the putting green, where 3 different holes of different directions are app. 3-12m away. Take 3 balls and drop them at the same place. Try to vary the distances of each hole between the given distance range.
Hit the three balls in a row to each of these holes, so each ball reside nearby or in a different hole.
If you can get ALL THREE Balls at the same attempt in 1 or 2 putts in the hole, you will win.
If at least one hole is missed with 3+ putts, you need to restart this challenge.
YOU NEED TO COMMIT YOURSELF TO DO THIS CHALLENGE UNTIL YOU ACCOMPLISH IT.
</t>
  </si>
  <si>
    <t>Expert</t>
  </si>
  <si>
    <t>Ultra</t>
  </si>
  <si>
    <t xml:space="preserve">Choose a place on the putting green, where 5 different holes of different directions are app. 3m away. Take 5 balls and drop them at the same place.
Hit the three balls in a row to each of these holes, so each ball reside nearby or in a different hole.
If you can get ALL THREE Balls at the same attempt in 1 or 2 putts in the hole, you will win.
If at least one hole is missed with 3+ putts, you need to restart this challenge.
YOU NEED TO COMMIT YOURSELF TO DO THIS CHALLENGE UNTIL YOU ACCOMPLISH IT.
</t>
  </si>
  <si>
    <t xml:space="preserve">Choose a place on the putting green, where 7 different holes of different directions are app. 3m away. Take 7 balls and drop them at the same place.
Hit the three balls in a row to each of these holes, so each ball reside nearby or in a different hole.
If you can get ALL THREE Balls at the same attempt in 1 or 2 putts in the hole, you will win.
If at least one hole is missed with 3+ putts, you need to restart this challenge.
YOU NEED TO COMMIT YOURSELF TO DO THIS CHALLENGE UNTIL YOU ACCOMPLISH IT.
</t>
  </si>
  <si>
    <t>Put through the gate</t>
  </si>
  <si>
    <t>Choose a hole without any break in a distance of app. 1m. When you are sure, that there is no break in your way, place your putter on the spot and mark the bottom and the top of the putter with a tiny gap. 
Now place your first ball IN FRONT of the gate (so you need to put through the gate before hitting the ball)  and do your putting without touching the tees.</t>
  </si>
  <si>
    <t>2 tees
5 balls</t>
  </si>
  <si>
    <t>The putter needs to bestraight and always in the same line. With this drill (actually used from Tiger Woods during warming up for Majors) you will learn to sychronize your putting movement and to make same identical for each try.
It is not about distance ... so don't make it to tough and leave distance to app 1m.</t>
  </si>
  <si>
    <t>MUI_DBR_T_PlayerTeam</t>
  </si>
  <si>
    <t>Vom Spieler aus gesehen wird links neben dem Ball ein Ballmarker tief in den Boden eingedrückt.
Dieser Ballmarker soll beim Chippen leicht gestreift werden.</t>
  </si>
  <si>
    <t>Technic</t>
  </si>
  <si>
    <t>Ballmarker links neben Ball</t>
  </si>
  <si>
    <t xml:space="preserve"> Ballmarker, Golfschläger zum Chippen, Golfbälle </t>
  </si>
  <si>
    <t xml:space="preserve">Golfschläger, Golfbälle, pro Spieler ein Loch </t>
  </si>
  <si>
    <t>Mark 5 points of a distance of 0,5m, 1m, 1,5m, 2m and 2,5m for each of the 5 branches
Beginning with 0,5m and increase the distance finish one branch before you go to the next one.
If you miss one distance, you drop back to the FIRST distance (=0,5m).
If you miss inside a SINGLE branch 3x times in a row .. restart the complete drill.
Make sure, you use only 1 ball and do you full preshot routine and setup as normal for every stroke.</t>
  </si>
  <si>
    <t>Vor den Ball ca. 5cm näher zum Ziel einen Blatt, ein Tee oder einen Luftball legen.
Ziel ist es, mit dem Schläger den Ball und den Gegenstand wegzufegen.</t>
  </si>
  <si>
    <t>Vermide das zu schnelle hochziehen des Schlägers nach dem treffen</t>
  </si>
  <si>
    <t>At the beginning every Player has 3 Balls in his pocket.
One player choose the next hole. The winner of the last hole starts (at the first hole: the one with the better handicap).
Whoever make a hole with less putts than the other gets a ball from the other player.
Whoever has no ball left ... looses.</t>
  </si>
  <si>
    <t>With smaller kids: the 3 balls should be given back at the end of the game.</t>
  </si>
  <si>
    <t>At the beginning every Player has 3 Balls in his pocket.
One player choose the next hole. The winner of the last hole starts (at the first hole: the one with the better handicap).
Whoever is closest to the given hole gets a ball from the other player.
Whoever has no ball left ... looses.</t>
  </si>
  <si>
    <t>Steal the ball</t>
  </si>
  <si>
    <t>At the beginning every Player has 3 Balls in his pocket.
One player choose the next flag on the pitching area. The winner of the last flag starts (at the start of the game: the one with the better handicap).
Whoever is closest to the given flag gets a ball from the other player.
Whoever has no ball left ... looses.</t>
  </si>
  <si>
    <t>6 Tees, 6 Bälle, (Linkshand-)Schläger</t>
  </si>
  <si>
    <t>6 Bälle werden im Abstand von 10cm in einer Reihe aufgeteet.
Jeder Ball, der in Folge eines anderen Balls getroffen wird und über 5 Meter weit fliegt, wird mit einem Punkt bewertet.</t>
  </si>
  <si>
    <t>Ballmaschine</t>
  </si>
  <si>
    <t>Chippen andersrum</t>
  </si>
  <si>
    <t>6 Bälle werden im Abstand von 10cm in einer Reihe aufgeteet.
Das Ziel ist es den Ball in einem vorgegebenen Bereich (Prozentual von Entferung und Handicap) ENDEN zu lassen.
Die ersten 3 Bälle werden als Rechtshänder mit dem eignen Schläger durchgeführt, die zweiten 3 Bälle mit dem Schläger eines Linkshänders (Linkshänder anders herum).</t>
  </si>
  <si>
    <t>Schwungbahn begrenzen</t>
  </si>
  <si>
    <t xml:space="preserve">Um die ideale Schwungbahn zu finden, kann man einen Schuhkarton so aufstellen, dass dieser beim Schlag berührt wird, wenn die ideale Schwungbahn verlassen wird.
</t>
  </si>
  <si>
    <t>Je nach Bedarf kann der Karton innen oder außen aufgestellt werden - bei manchen Schwüngen ist es sogar nötig, Kartons auf beiden Seiten zu positionieren.</t>
  </si>
  <si>
    <t>Es werden 3 Zonen abgesteckt, beispielsweise mit Tees. Die Breite der Zonen beträgt 3m. Die 1. Zone ist ca. 2-5m vom Grünrand entfernt.
•  1. Zone: 4-6 Meter
•  2. Zone: 2-4 Meter
•  3. Zone: 1-2 Meter
Die Spieler versuchen jeweils 2Chips von ausserhalb des Grüns in die erste Zone, dann 2 Chips in die zweite Zone usw. zu putten. Bei einem Chip außerhalb der Zone muss eine "Strafrunde" um das Putting-Grün gelaufen werden. Danach wird weiter gechipped. Pro Ball in der Zone gibt es 1 Punkt.
Welche Mannschaft hat zuerst 50 Punkte?</t>
  </si>
  <si>
    <t xml:space="preserve">5 Putts aus 60 cm Entfernung.
Pro eingelochten Ball gibt es einen Punkt.
Welche Mannschaft hat als erstes 100 Punkte?
</t>
  </si>
  <si>
    <t>Asse Putting</t>
  </si>
  <si>
    <t>Bei diesem Spiel werden so viele Löcher benötigt, wie Personen an dem Spiel teilnehmen. Jeder Spieler hat einen Ball.
Jeder Spieler steht an einem der Löcher und puttet zum nächsten Loch, alle Putting gleichzeitig. Wird ein Ball eingelocht, wandern alle Spieler ein Loch weiter.</t>
  </si>
  <si>
    <t>Es werden 3 Zonen abgesteckt, beispielsweise mit Tees. Die Breite der Zonen beträgt 3m.
•  1. Zone: 4-6 Meter
•  2. Zone: 2-4 Meter
•  3. Zone: 1-2 Meter
Die Spieler versuchen jeweils 2 Putts in die erste Zone, dann 2 Putts in die zweite Zone usw. zu Putting. Bei einem Putt außerhalb der Zone muss eine "Strafrunde" um das Putting-Grün gelaufen werden. Danach wird weiter geputtet. Pro Ball in der Zone gibt es 1 Punkt.
Welche Mannschaft hat zuerst 50 Punkte?</t>
  </si>
  <si>
    <t xml:space="preserve">5 chips aus 5-15m Entfernung (beide Mannschaft dieselbe Entfernung
Pro Ball der in der Zielzone (ca. 1mx1m) LIEGEN BLEIBT gibt es einen Punkt.
Welche Mannschaft hat als erstes 50 Punkte?
</t>
  </si>
  <si>
    <t xml:space="preserve">5 Pitches aus 20-50m Entfernung (beide Mannschaft dieselbe Entfernung
Pro Ball der in der Zielzone (Radius ca. 5% der Entfernung ) LIEGEN BLEIBT gibt es einen Punkt.
Welche Mannschaft hat als erstes 25 Punkte?
</t>
  </si>
  <si>
    <t>Chipping Ladder</t>
  </si>
  <si>
    <t>3 circles</t>
  </si>
  <si>
    <t>Create 3 target circles on the green of 2m,3m and 4m diameter size.
Starting from the first one: try to land 3 balls in a row, one in each circle.
If you can't accomplish it: restart from scratch.</t>
  </si>
  <si>
    <t>n.a.</t>
  </si>
  <si>
    <t xml:space="preserve">•Es wird aufsteigend in jede Zielzone ein Ball gespielt.
•Es wird nach vorheriger Ansage in jede Zielzone ein Ball gespielt.
•mit einer Hand
•mit geschlossenen Augen
•mit vorher festgelegten Schwunggrößen oder Schlägern
•bilateral
</t>
  </si>
  <si>
    <t>Warm Up</t>
  </si>
  <si>
    <t>Deckenball</t>
  </si>
  <si>
    <t>2 Teams aus etwa 6 Spielern verteilen sich um eine robuste Decke oder ein Stück stabilen Stoffs ähnlicher Größe.
Sie ergreifen den Rand ihrer Decke und ein Strandball wird in die Mitte einer der beiden Decken gelegt. Die Teams befördern den Ball hin und her, indem sie ihn alle gleichzeitig mit der Decke dem anderen Team zuwerfen.</t>
  </si>
  <si>
    <t xml:space="preserve">Variation 
Zur Erhöhung der Schwierigkeit kann auch mit 2 Bällen gleichzeitig gespielt werden.
</t>
  </si>
  <si>
    <t xml:space="preserve">• 2 robuste Decken
• 2 Strandbälle  </t>
  </si>
  <si>
    <t xml:space="preserve">Man puttet zwei nebeneinander liegende Bälle gleichzeitig. Trifft man beide im gleichen Moment - also mit gerader Schlagfläche - rollen sie direkt nebeneinander her und bleiben nahe beieinander liegen.
Für messbares Feedback kann man ein Zielfeld markieren, in dem beide Bälle liegen bleiben müssen. Alternativ kann man auch den Abstand der Bälle voneinander nach dem Ausrollen messen.
</t>
  </si>
  <si>
    <t>Doppelball</t>
  </si>
  <si>
    <t xml:space="preserve">Drei Bälle werden so auf dem Boden aufgebaut, dass der mittlere Ball geschlagen werden kann, ohne die beiden äußeren Bälle zu berühren.
Jetzt wird der mittlere Ball gechippt, ohne die äußeren Bälle zu berühren.
</t>
  </si>
  <si>
    <t>Es wird von mehreren nebeneinander liegenden und markierten Startpunkten im Bunker auf drei hintereinander liegende und rund markierte Zielzonen auf dem Grün gespielt. Die Distanzregulation wird mit zwei Einflussgrößen (1. Schwunggröße / 2. Bewegungsgeschwindigkeit) auf drei Zielzonen geübt. Die Zielzonen messen jeweils zwölf Meter im Durchmesser.
Die drei Zielzonen werden von kurz nach lang immer im Wechsel nach jedem Ball angespielt. Dabei ist zuerst die Distanzkontrolle mit Variationen der Schwunggröße (kurz/mittel/groß) und dann der Bewegungsgeschwindigkeit (langsam/mittel/schnell) zu üben. Die Übung ist beendet, sobald mit beiden Einflussgrößen jeweils zwei Bälle in jeder Zielzone zur Ruhe gekommen sind. Die Schlägerwahl ist frei.</t>
  </si>
  <si>
    <t xml:space="preserve">Variation 
•mit Hanglagen
•mit eingebohrten Bällen
•mit unterschiedlich hohen Bunkerkanten
•mit unterschiedlichen Sandbeschaffenheiten
•mit vorgegebenem Schläger
</t>
  </si>
  <si>
    <t xml:space="preserve">Variation 
• mit Hanglagen
• mit eingebohrten Bällen
• mit unterschiedlich hohen Bunkerkanten
• mit unterschiedlichen Sandbeschaffenheiten
• mit vorgegebenem Schläger
</t>
  </si>
  <si>
    <t>Einbeinschlag</t>
  </si>
  <si>
    <t>Avoid Wrist Action</t>
  </si>
  <si>
    <t>The impact drill is performed by sliding a Tour Stick down through the grip and the shaft. The objective of this drill is to hit chip and pitch shots without allowing the wrists to break down and flip the hands at the ball. If performed correctly, you will be able to hit shots without any interference from the protruding Tour Stick. However, if you allow the wrists to break down, the stick will bump into your side or hip, letting you know you are not maintaining those solid wrists.</t>
  </si>
  <si>
    <t xml:space="preserve">Es wird von mehreren nebeneinander liegenden und markierten Startpunkten im Bunker auf drei hintereinander liegende und rund markierte Zielzonen auf dem Grün gespielt.Die Zielzonen messen jeweils zwölf Meter im Durchmesser. Die drei Zielzonen werden von kurz nach lang immer im Wechsel nach jedem Ball angespielt. 
Dabei ist zuerst die Distanzkontrolle mit
• Variationen der Schwunggröße (kurz/mittel/groß),
• dann der Bewegungsgeschwindigkeit (langsam/mittel/schnell)
• und der Sandmenge (wenig/normal/viel)
• durch Balllage (mittig/leicht links/ganz links)
• und schließlich (Leistungstraining) des statischen und dynamischen Lofts (linksverdreht/neutral/ rechtsverdreht) zu üben.
Die Übung ist beendet, sobald mit allen drei (vier) Einflussgrößen jeweils zwei Bälle in jeder Zielzone zur Ruhe gekommen sind. Die Schlägerwahl ist frei.
</t>
  </si>
  <si>
    <t>c</t>
  </si>
  <si>
    <t>From a distance of app. 4m place a ball on the ground. Take your normal putting position.
Now turn both hands more to the outside as much you feel comfortable.
As more you turn to the outside, as less hand movement you will get during the stroke.</t>
  </si>
  <si>
    <t>Fred Shoemaker "Extraordinary Putting"</t>
  </si>
  <si>
    <t>Put 10 minutes in your normal way and observe
- What are you telling yourself before, during and after the stroke
- What tipps you think you need to remember
- What judgement arise, before, during or after the putt</t>
  </si>
  <si>
    <t xml:space="preserve">Fred Shoemaker "Extraordinary Putting"
Make sure, you don't follow the ball with your eyes during the take away 
</t>
  </si>
  <si>
    <t>a.) Place a ball on the ground, kneel down and take a deep look at the ball. See shadowing, overall light, sparkles, labeling, etc. Look for what you haven't seen before.
b.) Take the ball gentle away, WITHOUT COVERING THE TOP OF THE BALL WITH YOUR HAND . Dont follow the ball with your eyes, kepp on staring at the area the ball was.
What do you see at the area where the ball was?
If you don't see anything ... do it again.</t>
  </si>
  <si>
    <t>a.) Place a ball on the ground, kneel down and take a deep look at the ball. See shadowing, overall light, sparkles, labeling, etc. Look for what you haven't seen before.
b.) Put the ball without any particular target. . Dont follow the ball with your eyes, kepp on staring at the area the ball was.
What do you see at the area where the ball was?
If you don't see anything ... do it again.</t>
  </si>
  <si>
    <t>On the putting green remove a flagstick and anything in your path. Stand app. 7m away from the hole and get into your putting stance. Look to the hole  and to the ball vice verse as you would do normally. 
Then close your eyes and turn the putter upside down, holding the club with your grip pointing downward. Turn and start walking toward the hole with the intent to place the tip of the grip in the hole. Do not count your steps are recall your memory.
Notice where the hole is relative to where you though it was. What is your pattern: Short, Left, right, Long?
REPEAT FROM DIFFERENT DISTANCE WITH MINIMUM 4m DISTANCE (vary in slope and distance each time)</t>
  </si>
  <si>
    <t>RangeChallengeSingle5Find the right Approach</t>
  </si>
  <si>
    <t>Play 9 holes on the range but limit them to tee shots and approaches. 
Give yourself a point for hitting the fairway and a point for hitting the green.
Use your own judgement depening on the fairway and green size of the particular course you are picturing.
(The defined target is the brutto points you gain in difference of the design hole par, so e.g. your stroke is 3 on a par 4, so you are +1 for the defintion of the hole)</t>
  </si>
  <si>
    <t>Play  18 holes on the range but limit them to tee shots and approaches. 
Give yourself a point for hitting the fairway and a point for hitting the green.
Use your own judgement depening on the fairway and green size of the particular course you are picturing.
(The defined target is the brutto points you gain in difference of the design hole par, so e.g. your stroke is 3 on a par 4, so you are +1 for the defintion of the hole)</t>
  </si>
  <si>
    <t>In this challenge you need to hit the DRIVER in a "fairway" of app. 35m width (e.g. between 2 flag sticks or fence posts). 
Target is to hit as many consecutives shots onto the fairway as possible. 
If you miss a fairway (outside of flag sticks or shorter than app. 80% of normal distance) you have to start your count again.</t>
  </si>
  <si>
    <t>In this challenge you need to hit either a WOOD or a RESCUE club  in a "fairway" of app. 30m width (e.g. between 2 flag sticks or fence posts). 
Target is to hit as many consecutives shots onto the fairway as possible. 
If you miss a fairway (outside of flag sticks or shorter than app. 80% of normal distance) you have to start your count again.</t>
  </si>
  <si>
    <t>In this challenge you need to hit a 5 iron  in a "fairway" of app. 25m width (e.g. between 2 flag sticks or fence posts). 
Target is to hit as many consecutives shots onto the fairway as possible. 
If you miss a fairway (outside of flag sticks or shorter than app. 80% of normal distance) you have to start your count again.</t>
  </si>
  <si>
    <t>In this challenge you need to hit a 7 iron  in a "fairway" of app. 20m width (e.g. between 2 flag sticks or fence posts). 
Target is to hit as many consecutives shots onto the fairway as possible. 
If you miss a fairway (outside of flag sticks or shorter than app. 80% of normal distance) you have to start your count again.</t>
  </si>
  <si>
    <t>In this challenge you need to hit a Pitching Wedge iron  in a "fairway" of app. 15m width (e.g. between 2 flag sticks or fence posts). 
Target is to hit as many consecutives shots onto the fairway as possible. 
If you miss a fairway (outside of flag sticks or shorter than app. 80% of normal distance) you have to start your count again.</t>
  </si>
  <si>
    <t>MUI_STAT_MAIN_HEADER</t>
  </si>
  <si>
    <t>Status Report</t>
  </si>
  <si>
    <t>Status Bericht</t>
  </si>
  <si>
    <t>MUI_STAT_T_Day</t>
  </si>
  <si>
    <t>MUI_STAT_T_TotalTime_Day</t>
  </si>
  <si>
    <t>MUI_STAT_T_PlayerHCP_Day</t>
  </si>
  <si>
    <t>Monatsauswahl</t>
  </si>
  <si>
    <t>Day</t>
  </si>
  <si>
    <t>Tag</t>
  </si>
  <si>
    <t>Total Time/Day</t>
  </si>
  <si>
    <t>Trainingszeit/Tag</t>
  </si>
  <si>
    <t>Player HCP/Day</t>
  </si>
  <si>
    <t>Spieler HCP/Tag</t>
  </si>
  <si>
    <t>Pitchen</t>
  </si>
  <si>
    <t>Putten</t>
  </si>
  <si>
    <t>HCP</t>
  </si>
  <si>
    <t>MUI_STAT_T_MainTitel_1</t>
  </si>
  <si>
    <t>MUI_STAT_T_Sub_HCP</t>
  </si>
  <si>
    <t>MUI_STAT_T_Sub_PercTime</t>
  </si>
  <si>
    <t>%of Total Time</t>
  </si>
  <si>
    <t>% Trainingszeit</t>
  </si>
  <si>
    <t>MUI_STAT_T_Sub_Duration</t>
  </si>
  <si>
    <t>MUI_STAT_T_MainTitel_2</t>
  </si>
  <si>
    <t>MUI_STAT_T_MainTitel_3</t>
  </si>
  <si>
    <t>MUI_STAT_T_MainTitel_4</t>
  </si>
  <si>
    <t>MUI_STAT_T_MainTitel_5</t>
  </si>
  <si>
    <t>MUI_STAT_T_MainTitel_6</t>
  </si>
  <si>
    <t>Driver</t>
  </si>
  <si>
    <t>Chippen</t>
  </si>
  <si>
    <t>Holz</t>
  </si>
  <si>
    <t>MUI_STAT_T_MainTitel_7</t>
  </si>
  <si>
    <t>MUI_STAT_T_MonthOverview</t>
  </si>
  <si>
    <t>MUI_STAT_T_TotalDuration</t>
  </si>
  <si>
    <t>MUI_STAT_T_HCPChanges</t>
  </si>
  <si>
    <t>Overview of the month</t>
  </si>
  <si>
    <t>Monatsüberblick</t>
  </si>
  <si>
    <t>MUI_STAT_T_YearOverview</t>
  </si>
  <si>
    <t>Overview of the Year</t>
  </si>
  <si>
    <t>Jahresüberblick</t>
  </si>
  <si>
    <t>MUI_STAT_T_TotalPercDuration</t>
  </si>
  <si>
    <t>MUI_STAT_T_TotalHCP</t>
  </si>
  <si>
    <t>MUI_STAT_SelectionPlayer</t>
  </si>
  <si>
    <t>MUI_STAT_SelectionMonth</t>
  </si>
  <si>
    <t>Spielerauswahl</t>
  </si>
  <si>
    <t>MUI_STAT_T_MainTitel_8</t>
  </si>
  <si>
    <t>Mental</t>
  </si>
  <si>
    <t>HCP Avg , Std, Delta</t>
  </si>
  <si>
    <t>HCP Schnitt, STA, Delta</t>
  </si>
  <si>
    <t>MUI_STAT_T_MainTitel_9</t>
  </si>
  <si>
    <t>Round of Golf</t>
  </si>
  <si>
    <t>Golfrunde</t>
  </si>
  <si>
    <t>TH_DELTA_HCP</t>
  </si>
  <si>
    <t>Beschreibung</t>
  </si>
  <si>
    <t>Threshold for the Indicator of the HCP Delta</t>
  </si>
  <si>
    <t>Total Duration (in Min)</t>
  </si>
  <si>
    <t>Kumulierte Dauer (in Min.)</t>
  </si>
  <si>
    <t>HCP Min, Avg, Max</t>
  </si>
  <si>
    <t>TH_STD_HCP</t>
  </si>
  <si>
    <t>Threshold for the Indicator of the HCP Standard Deviation</t>
  </si>
  <si>
    <t>ExType</t>
  </si>
  <si>
    <t>Übungsart</t>
  </si>
  <si>
    <t>ExTopic</t>
  </si>
  <si>
    <t>ExTitle</t>
  </si>
  <si>
    <t>ExID</t>
  </si>
  <si>
    <t>Topic</t>
  </si>
  <si>
    <t>Level</t>
  </si>
  <si>
    <t>Nr of Players</t>
  </si>
  <si>
    <t>Nearest to the line  Shoot out</t>
  </si>
  <si>
    <t>7 holes       3m      Level 3</t>
  </si>
  <si>
    <t>Biathlon      Zonen</t>
  </si>
  <si>
    <t>Biathlon      5 in a Row</t>
  </si>
  <si>
    <t>Tee Shot Challenge  Driver</t>
  </si>
  <si>
    <t>Tee Shot Challenge  Rescue  Wood</t>
  </si>
  <si>
    <t>Tee Shot Challenge  5 iron</t>
  </si>
  <si>
    <t>Tee Shot Challenge  7 iron</t>
  </si>
  <si>
    <t>Tee Shot Challenge    PW</t>
  </si>
  <si>
    <t>Fairway and Greens  9 holes</t>
  </si>
  <si>
    <t>Fairway and Greens  18 holes</t>
  </si>
  <si>
    <t>Modul</t>
  </si>
  <si>
    <t>Einfügen der Links zu den Übungen auf dem Spreadsheet pro Trainingseinheit</t>
  </si>
  <si>
    <t>Ex ID</t>
  </si>
  <si>
    <t>Real Duration</t>
  </si>
  <si>
    <t>ExLevel</t>
  </si>
  <si>
    <t>Putting  Hero</t>
  </si>
  <si>
    <t>Nearest to the line    Shoot out</t>
  </si>
  <si>
    <t>Nearest to the line    5 lifes</t>
  </si>
  <si>
    <t>Nearest to the line   Best of X</t>
  </si>
  <si>
    <t>Chipping 18  Outside the Green</t>
  </si>
  <si>
    <t>Chipping 9  Outside the Green</t>
  </si>
  <si>
    <t>Pressure Putting  until target points</t>
  </si>
  <si>
    <t>9 Shots for  Different Shapes</t>
  </si>
  <si>
    <t>TOP 40  Can you beat them</t>
  </si>
  <si>
    <t>Chipping 18  10m off the green</t>
  </si>
  <si>
    <t>Chipping 9  10m off the green</t>
  </si>
  <si>
    <t>Scrambling   Outside the green  Beginner Mode</t>
  </si>
  <si>
    <t>Scrambling   Outside the green  Expert Mode</t>
  </si>
  <si>
    <t>Scrambling   Outside the green  Ultra Mode</t>
  </si>
  <si>
    <t>Scrambling   10m off the green  Beginner Mode</t>
  </si>
  <si>
    <t>Scrambling   10m off the green  Expert Mode</t>
  </si>
  <si>
    <t>Scrambling   10m off the green  Ultra Mode</t>
  </si>
  <si>
    <t>TOP 20  Can you beat them</t>
  </si>
  <si>
    <t>3 in a row  Intermediate</t>
  </si>
  <si>
    <t>3 in a row  Expert</t>
  </si>
  <si>
    <t>3 in a row  Ultra Mode</t>
  </si>
  <si>
    <t>Stepping back the ladder  Beginner</t>
  </si>
  <si>
    <t>Stepping back the ladder  Intermediate</t>
  </si>
  <si>
    <t>Stepping back the ladder  Expert</t>
  </si>
  <si>
    <t>50 points  Beginner</t>
  </si>
  <si>
    <t>50 points  Intermediate</t>
  </si>
  <si>
    <t>50 points  Expert</t>
  </si>
  <si>
    <t>50 points  Ultra</t>
  </si>
  <si>
    <t>Nearest to the hole  Shoot out</t>
  </si>
  <si>
    <t>Guarded Put Drill  Beginner</t>
  </si>
  <si>
    <t>Guarded Put Drill  Expert</t>
  </si>
  <si>
    <t>Do the star  Beginner</t>
  </si>
  <si>
    <t>Do the star  Intermediate</t>
  </si>
  <si>
    <t>Do the star  Expert</t>
  </si>
  <si>
    <t>Do the star  Ultra</t>
  </si>
  <si>
    <t>TUCKER TEST  Pitch   SHORT DISTANCE</t>
  </si>
  <si>
    <t>TUCKER TEST  Pitch   LONG DISTANCE</t>
  </si>
  <si>
    <t>TUCKER TEST  BUNKER</t>
  </si>
  <si>
    <t>TUCKER TEST  CHIPPING</t>
  </si>
  <si>
    <t>TUCKER TEST  TROUBLE SHOTS</t>
  </si>
  <si>
    <t>TUCKER TEST  Putting  Short Distance</t>
  </si>
  <si>
    <t>TUCKER TEST  Putting  LONG Distance</t>
  </si>
  <si>
    <t>TUCKER TEST  Total Points</t>
  </si>
  <si>
    <t>1,5 m  15 points</t>
  </si>
  <si>
    <t>3 m  10 points</t>
  </si>
  <si>
    <t>4,5 m  5 points</t>
  </si>
  <si>
    <t>1,5 m  10 holes</t>
  </si>
  <si>
    <t>3 m  10 holes</t>
  </si>
  <si>
    <t>4,5 m  10 holes</t>
  </si>
  <si>
    <t>6 m  15 points</t>
  </si>
  <si>
    <t>9 m  10 points</t>
  </si>
  <si>
    <t>12 m  5 points</t>
  </si>
  <si>
    <t>6 m  10 holes</t>
  </si>
  <si>
    <t>9 m  10 holes</t>
  </si>
  <si>
    <t>12 m  10 holes</t>
  </si>
  <si>
    <t>5 Shots Fairway 18m 20 yds</t>
  </si>
  <si>
    <t>5 Shots Fairway 27m 30 yds</t>
  </si>
  <si>
    <t>5 Shots Fairway 37m 40 yds</t>
  </si>
  <si>
    <t>5 Shots Rough 9m 10yds</t>
  </si>
  <si>
    <t>5 Shots Rough 18m 20 yds</t>
  </si>
  <si>
    <t>5 Shots Rough 27m 30 yds</t>
  </si>
  <si>
    <t>5 Shots Rough 37m 40 yds</t>
  </si>
  <si>
    <t>5 Shots Bunker 9m 10yds</t>
  </si>
  <si>
    <t>5 Shots Bunker 18m 20 yds</t>
  </si>
  <si>
    <t>5 Shots Bunker 27m 30 yds</t>
  </si>
  <si>
    <t>5 Shots Bunker 37m 40 yds</t>
  </si>
  <si>
    <t>3 holes  3m  Level 1</t>
  </si>
  <si>
    <t>5 holes  3m Level 2</t>
  </si>
  <si>
    <t>Erst Ball dann Boden treffen</t>
  </si>
  <si>
    <t>1</t>
  </si>
  <si>
    <t>2-many</t>
  </si>
  <si>
    <t xml:space="preserve">Playing the game of golf </t>
  </si>
  <si>
    <t>ExDescription</t>
  </si>
  <si>
    <t>ExImage</t>
  </si>
  <si>
    <t>MUI_DBE_T_EX_Desc</t>
  </si>
  <si>
    <t>MUI_DBE_T_EX_Image</t>
  </si>
  <si>
    <t>MUI_DBE_T_EX_Topic</t>
  </si>
  <si>
    <t>Freedom Exploration   
1    Where are you now</t>
  </si>
  <si>
    <t>Freedom Exploration   
1a    The Spot</t>
  </si>
  <si>
    <t>Freedom Exploration   
1b    The Spot while putting</t>
  </si>
  <si>
    <t>Freedom Exploration   
1c    The Spot to a target</t>
  </si>
  <si>
    <t>Freedom Exploration   
2a    The Flagstick</t>
  </si>
  <si>
    <t>Freedom Exploration   
2a     The Flagstick and the target</t>
  </si>
  <si>
    <t>Freedom Exploration    
3a    Adding numbers</t>
  </si>
  <si>
    <t>Freedom Exploration 
3b    Looking at the hole</t>
  </si>
  <si>
    <t>Freedom Exploration    
3c    Connecting to the Target</t>
  </si>
  <si>
    <t>Freedom Exploration    
4a    Enjoying the Motion</t>
  </si>
  <si>
    <t>Freedom Exploration    
4b     Enjoying the Motion with a target</t>
  </si>
  <si>
    <t>Freedom Exploration   
5    Exposing Interferce</t>
  </si>
  <si>
    <t>Freedom Exploration   
6a    Reaction Putting</t>
  </si>
  <si>
    <t>Freedom Exploration 
6b    Reaction Putting to a hole</t>
  </si>
  <si>
    <t>Peace of Mind Exploratin 
1    The Voice</t>
  </si>
  <si>
    <t>Peace of Mind Exploratin 
2a    Concentration on the Clubhead</t>
  </si>
  <si>
    <t>Peace of Mind Exploratin 
2b    Deepening Concentration</t>
  </si>
  <si>
    <t>Peace of Mind Exploratin 
3    Narrow Focus</t>
  </si>
  <si>
    <t>Peace of Mind Exploratin 
4    Exposing Judgments</t>
  </si>
  <si>
    <t>SelfCoaching Exploration 
1     Reality Check</t>
  </si>
  <si>
    <t>SelfCoaching Exploration 
2    Reading Greens</t>
  </si>
  <si>
    <t>SelfCoaching Exploration
3a    Is the practice Stroke enough</t>
  </si>
  <si>
    <t>SelfCoaching Exploration 
3b    Interference in the Stroke</t>
  </si>
  <si>
    <t>SelfCoaching Exploration 
4a    The blind walk</t>
  </si>
  <si>
    <t>SelfCoaching Exploration 
4b    The blind walk  a shift in perception</t>
  </si>
  <si>
    <t>SelfCoaching Exploration 
5a    Putt and predict direction</t>
  </si>
  <si>
    <t>SelfCoaching Exploration 
5b    Putt and predict distance</t>
  </si>
  <si>
    <t>Sprial Game  60  -  270 cm</t>
  </si>
  <si>
    <t>Sprial Game  60 -  240 cm</t>
  </si>
  <si>
    <t>Sprial Game  60  -  210 cm</t>
  </si>
  <si>
    <t>Sprial Game  60  -  300 cm</t>
  </si>
  <si>
    <t>5 Shots Fairway 9m (=10yds)</t>
  </si>
  <si>
    <t>Einen Sektor von mindestens 40m Länge und 30m Breite markieren.
Im Einbeinstand mit einem Schläger (z.B. Eisen 7) einen Golfball vom Tee schlagen und 3 Sekunden im Finish verweilen. Der Ball muss im markierten Sektor landen. Es sollen je 3 Schläge mit einem Rechtshand- bzw. Linkshandschläger ausgeführt werden. 
Wertung: Jeder gültige Versuch 1 Punkt</t>
  </si>
  <si>
    <t>PlayerID</t>
  </si>
  <si>
    <t>PlayerTeam</t>
  </si>
  <si>
    <t>PlayerName</t>
  </si>
  <si>
    <t>PlannedExercise</t>
  </si>
  <si>
    <t>ResultHCP</t>
  </si>
  <si>
    <t>RoundedHCP</t>
  </si>
  <si>
    <t>TotalDuration</t>
  </si>
  <si>
    <t>Exercise DropDown List</t>
  </si>
  <si>
    <t>MUI_DBR_T_PlayerWorkplanDate</t>
  </si>
  <si>
    <t>Temporary Used by the application … DO NOT change any rows and cells</t>
  </si>
  <si>
    <t>Temporary Handicap List</t>
  </si>
  <si>
    <t>Druckbereich automatisch festlegen, immer 6 Exercises pro Seite</t>
  </si>
  <si>
    <t>Header festlegen … welches Zeilen aus dem Sheet sollen mit ausgedruckt werden</t>
  </si>
  <si>
    <t>Info und Copyright Information auf Ausdruck einbrennen.</t>
  </si>
  <si>
    <t>PlayerInfo</t>
  </si>
  <si>
    <t>L</t>
  </si>
  <si>
    <t>Update Player Info … Vergleichsfenster</t>
  </si>
  <si>
    <t>Update Player Info … über externe Datei einlesen bzw. diese Schreiben um anderen Server anzupassen</t>
  </si>
  <si>
    <t>DELETE Player Info … Confirmation und Datensätze aus den anderen Datenquellen löschen z.B. DBR</t>
  </si>
  <si>
    <t>Grafischer Überblick beim Monat
- Verteilung der Gebiete
- Handicap Verbesserung Spieler
- HCP Verbesserung je Übungsgebiet</t>
  </si>
  <si>
    <t>Grafischer Überblick beim Jahresüberblick
- Verteilung der Gebiete
- Handicap Verbesserung Spieler
- HCP Verbesserung je Übungsgebiet</t>
  </si>
  <si>
    <t>Spielerauswahl und Anpassen der Daten</t>
  </si>
  <si>
    <t>Monatsauswahl und Anpassen der Daten</t>
  </si>
  <si>
    <t>Daten werden aus Datensätzen erzeugt</t>
  </si>
  <si>
    <t>Done</t>
  </si>
  <si>
    <t>Einfügen der Links zu den Übungen auf dem Spreadsheet pro Tag</t>
  </si>
  <si>
    <t>Security</t>
  </si>
  <si>
    <t>NAMES auf unsichtbar setzen</t>
  </si>
  <si>
    <t>Menüpunkt FORMELN aus Menüleiste nehmen</t>
  </si>
  <si>
    <t>Menüpunkt SAVE und SAVE AS aus Menüleiste nehmen</t>
  </si>
  <si>
    <t>Screenshot Möglichkeit blockieren</t>
  </si>
  <si>
    <t>Druckfunktion für Trainer blockieren? … Wirklich?</t>
  </si>
  <si>
    <t>Deaktivieren für Menüshort cuts … notwendig wenn Menü ausgeblendet ist?</t>
  </si>
  <si>
    <t>1. Version … befristet USAGE Time aktivieren .. Fest codiert bis Ende April 2014</t>
  </si>
  <si>
    <t>Rollenkonzept als Worksheet implementieren … automatischen Zuordnen wer was darf</t>
  </si>
  <si>
    <t>Funktion die für Rollen erlaubt oder verboten sind prinzipiell als Abfrage einbringen … 
Funktionsname aus Tabelle mit logischen Zugriff der aktuellen Rolle. Wenn Hacken vorhanden, dann ist der Logische Namen auf TRUE und die Funktion darf ausgeführt werden. Die Spalte werden automatisch aus de Rolle zugeriffen .. ähnliche der DEUTSCH/ENGLISCHEN Titelzeilen...</t>
  </si>
  <si>
    <t>SQL</t>
  </si>
  <si>
    <t xml:space="preserve">Tabellennamen werden aus den Begriffen abgeleitet… wirklich notwendig. Warum lassen wir nicht die SQL Tabelle nur auf Englisch? </t>
  </si>
  <si>
    <t>GENERAL</t>
  </si>
  <si>
    <t xml:space="preserve">Gruppenversand möglich. Das Programm erkennt an Hand der Gruppe die Emails. Für jeden Spieler wird sein Handicap gemäß die Bewertung der Übungen eingebracht, als PDF erzeugt und an den Spieler gesandt. Alternativ: wir schicken nur die Übungsnummer mit Datum und er lädt das sich selbst in das Programm ... Wäre einfacher in der 1. Version. Man könnt auch in der Email einfach nur die Nummer schicken ohne Datei ... dann muss der Spieler es selbst eintragen. Sollte aber bei ca. 6 Nummern nicht so schwer sein .... </t>
  </si>
  <si>
    <t>49 Shot Challenge</t>
  </si>
  <si>
    <t>Do the following test. Do ahead of all shots your full preshot routine:
(1)  … 5 Shots with a free choice of club to 5 different targets on the range [5 STROKES]
(2) … With 2 different clubs each should hit the following ball curves: High Straight, low straight, Draw, Fade, Big Draw, Big Fade [12 STROKES]
(3) ... Hit a pitching wedge and remember the landing spot ... now use 7 different clubs to land the ball close to the same spot. [1+7 STROKES]
(4) ... Choose a club and curve him left side up: no hit 6 strokes to a selected target  [6 STROKES]
(5) ... 6 Strokes with 6 different clubs to 6 different targets [6 STROKES]
For each good shot you gain a point.
Cumulate the numbers and compare it to your target.</t>
  </si>
  <si>
    <t>3 holes  3 - 6m  Level 1</t>
  </si>
  <si>
    <t>3 holes  6 - 9m  Level 1</t>
  </si>
  <si>
    <t>3 holes  6 - 12m  Level 2</t>
  </si>
  <si>
    <t>Sprial Game  60  - 180 cm</t>
  </si>
  <si>
    <t>RD_</t>
  </si>
  <si>
    <t>EXT_</t>
  </si>
  <si>
    <t>MUI_DBR_T_RealDuration</t>
  </si>
  <si>
    <t>RealDuration</t>
  </si>
  <si>
    <t>MUI_DBR_T_TotalRealDuration</t>
  </si>
  <si>
    <t>MUI_DBR_T_TotalPlannedDuration</t>
  </si>
  <si>
    <t>Planned Duration</t>
  </si>
  <si>
    <t>WPID</t>
  </si>
  <si>
    <t>MUI_STAT_SelectionYear</t>
  </si>
  <si>
    <t>Select Year</t>
  </si>
  <si>
    <t>Jahresauswahl</t>
  </si>
  <si>
    <t>MUI_DBR_T_ExTopic</t>
  </si>
  <si>
    <t>ExerciseTopic</t>
  </si>
  <si>
    <t>TotalReal Duration</t>
  </si>
  <si>
    <t>TRD_</t>
  </si>
  <si>
    <t>MUI_DBR_T_TopicHCP</t>
  </si>
  <si>
    <t>TopicHCP</t>
  </si>
  <si>
    <t>THCP_</t>
  </si>
  <si>
    <t>Time%</t>
  </si>
  <si>
    <t>Topic.Count</t>
  </si>
  <si>
    <t>MUI_DBR_T_TopicCount</t>
  </si>
  <si>
    <t>TopicCount</t>
  </si>
  <si>
    <t>TCount_</t>
  </si>
  <si>
    <t>HCP Sum</t>
  </si>
  <si>
    <t>HCP Avg</t>
  </si>
  <si>
    <t>Es wird immer von ca. 4-8 Meter außerhalb des Grün gespielt. Die Bälle sollen in einer Landezone von ca. 1,5m Tiefe enden. Die Landezone soll bei ca. 2-3m vom Grünrand liegen. 
Es wird mit 5 verschiedenen Schläger in willkürlicher Reihenfolge gespielt. 
Die Übung ist beendet, sobald mit allen Schlägern die Landezone hintereinander getroffen wurde (also kein Fehlschlag !!!)</t>
  </si>
  <si>
    <t>Es wird immer von ca. 4-8 Meter außerhalb des Grün gespielt. Die Bälle sollen in einer Landezone von ca. 1,5m Tiefe enden. Die Landezone soll bei ca. 2-3m vom Grünrand liegen. 
Es wird mit 5 verschiedenen Schläger in willkürlicher Reihenfolge gespielt.
Die Übung ist beendet, sobald mit allen Schlägern die Landezone insgesamt dreimal getroffen wurde.</t>
  </si>
  <si>
    <t xml:space="preserve">Chipping in eine Landezone mit wenig Grün zum Rollen
</t>
  </si>
  <si>
    <t>Chipping with at least 7-9m of  green to work with</t>
  </si>
  <si>
    <t>Each ball will be hit from app. 4-5m outside of the green. The target is app 1,5m deep and starts app. 7-9 m of the edge of the green. So only limited green to work with is available.
Select 5 clubs out of your bag and play them in random order.
The exercise is finished, when the task has been accomplished with  at least THREE  times in a sequence of the 5 clubs.</t>
  </si>
  <si>
    <t>Es wird immer von ca. 4-8 Meter außerhalb des Grün gespielt. Die Bälle sollen in einer Landezone von ca. 1,5m Tiefe enden. Die Landezone soll bei ca. 7-9 m vom Grünrand liegen. 
Es wird mit 5 verschiedenen Schläger in willkürlicher Reihenfolge gespielt. 
Die Übung ist beendet, sobald mit allen Schlägern die Landezone hintereinander getroffen wurde (also kein Fehlschlag !!!)</t>
  </si>
  <si>
    <t>Es wird immer von ca. 4-8 Meter außerhalb des Grün gespielt. Die Bälle sollen in einer Landezone von ca. 1,5m Tiefe enden. Die Landezone soll bei ca. 7-9 m vom Grünrand liegen. 
Es wird mit 5 verschiedenen Schläger in willkürlicher Reihenfolge gespielt.
Die Übung ist beendet, sobald mit allen Schlägern die Landezone insgesamt dreimal getroffen wurde.</t>
  </si>
  <si>
    <t>Es wird immer von ca. 4-8 Meter außerhalb des Grün gespielt. Die Bälle sollen in einer Landezone von ca. 1,5m Tiefe enden. Die Landezone soll bei ca. 7-9 m vom Grünrand liegen. 
Es wird mit 5 verschiedenen Schläger in willkürlicher Reihenfolge gespielt.
Die Übung ist beendet, sobald die Aufgabe mit allen Schlägern gelungen ist</t>
  </si>
  <si>
    <t>Es wird immer von ca. 4-8 Meter außerhalb des Grün gespielt. Die Bälle sollen in einer Landezone von ca. 1,5m Tiefe enden. Die Landezone soll bei ca. 4-6 m vom Grünrand liegen. 
Es wird mit 5 verschiedenen Schläger in willkürlicher Reihenfolge gespielt. 
Die Übung ist beendet, sobald mit allen Schlägern die Landezone hintereinander getroffen wurde (also kein Fehlschlag !!!)</t>
  </si>
  <si>
    <t>Es wird immer von ca. 4-8 Meter außerhalb des Grün gespielt. Die Bälle sollen in einer Landezone von ca. 1,5m Tiefe enden. Die Landezone soll bei ca. 4-6 m vom Grünrand liegen. 
Es wird mit 5 verschiedenen Schläger in willkürlicher Reihenfolge gespielt.
Die Übung ist beendet, sobald mit allen Schlägern die Landezone insgesamt dreimal getroffen wurde.</t>
  </si>
  <si>
    <t>Es wird immer von ca. 4-8 Meter außerhalb des Grün gespielt. Die Bälle sollen in einer Landezone von ca. 1,5m Tiefe enden. Die Landezone soll bei ca. 4-6 m vom Grünrand liegen. 
Es wird mit 5 verschiedenen Schläger in willkürlicher Reihenfolge gespielt.
Die Übung ist beendet, sobald die Aufgabe mit allen Schlägern gelungen ist</t>
  </si>
  <si>
    <t>Chipping with at least 4-6 m of  green to work with</t>
  </si>
  <si>
    <t>Es wird immer von ca. 4 Meter außerhalb des Grün gespielt. Die Bälle sollen in einer Landezone von ca. 1,5m Tiefe enden. Die Landezone soll bei ca. 2-3m vom Grünrand liegen. 
Es wird mit 5 verschiedenen Schläger in willkürlicher Reihenfolge gespielt.
Die Übung ist beendet, sobald die Aufgabe mit allen Schlägern gelungen ist</t>
  </si>
  <si>
    <t>Chipping with at limited  green to work with</t>
  </si>
  <si>
    <t xml:space="preserve">Each ball will be hit from app. 2 m outside of the green. The target is app 1,5m deep and starts app. 2m of the edge of the green. So only limited green to work with is available.
Select 5 clubs out of your bag and play them in random order.
The exercise is finished, when the task has been accomplished with each club at least ONCE.
</t>
  </si>
  <si>
    <t>Each ball will be hit from app. 2 m outside of the green. The target is app 1,5m deep and starts app. 2m of the edge of the green. So only limited green to work with is available.
Select 5 clubs out of your bag and play them in random order.
The exercise is finished, when the task has been accomplished with each club at least THREE  times.</t>
  </si>
  <si>
    <t>Each ball will be hit from app. 2 m outside of the green. The target is app 1,5m deep and starts app. 2m of the edge of the green. So only limited green to work with is available.
Select 5 clubs out of your bag and play them in random order.
The exercise is finished, when the task has been accomplished with  at least THREE  times in a sequence of the 5 clubs.</t>
  </si>
  <si>
    <t>Each ball will be hit from app. 2 m outside of the green. The target is app 1,5m deep and starts app. 2m of the edge of the green. So only limited green to work with is available.
Select 5 clubs out of your bag and play them in random order.
The exercise is finished, when the task has been accomplished with  all clubs after each other (so no miss hit inbetween)</t>
  </si>
  <si>
    <t xml:space="preserve">Datum </t>
  </si>
  <si>
    <t>Uhrzeit</t>
  </si>
  <si>
    <t>Debugger Meldungen</t>
  </si>
  <si>
    <t xml:space="preserve">   </t>
  </si>
  <si>
    <t>MUI_DBR_T_PlayerWorkplanID</t>
  </si>
  <si>
    <t>ExDuration</t>
  </si>
  <si>
    <t>ExDauer</t>
  </si>
  <si>
    <t>ExNrOfPlayers</t>
  </si>
  <si>
    <t>ExSpielerAnzahl</t>
  </si>
  <si>
    <t>Short Distance  -  5 in a Row</t>
  </si>
  <si>
    <t>Long Distance  -  5 in a Row</t>
  </si>
  <si>
    <t>One player need to accomplish single shots from 8m, 12m, 16m, 20m and 24m  by doing only 1- or 2-putts.
If you you need 3 or more putts for one hole, you need to restart from scratch, so from 8m.
Track how many turns you need until you cope this challenge.</t>
  </si>
  <si>
    <t>Mid Distances  -  10 in a Row</t>
  </si>
  <si>
    <t>Putting Circle 3-4-5-6 feet</t>
  </si>
  <si>
    <t>Putting Contest  40 - 50 - 60 feet</t>
  </si>
  <si>
    <t>Around a hole in a distance of app. 3,4,5,6 feet 20 tees each will mark 4 circles. The task is to hit all shots in a row and hole them. If you miss one, then resample all balls and restart from the hole you missed the last time.
Ultras falls back to the beginning of this challenge ... so, starting from the first tee.
Tip: If you use only one ball and retarget every time the excerise is even better.</t>
  </si>
  <si>
    <t>Around a hole in a distance of app. 3,4,5,6 feet 20 tees each will mark 4 circles. The task is to hit all shots in a row and hole them. If you miss one, then resample all balls and restart from the hole you missed the last time.
Intermediates falling back on the current ring. So, if you cope one distance, this distance is safe.
Tip: If you use only one ball and retarget every time the excerise is even better.</t>
  </si>
  <si>
    <t>Around a hole in a distance of app. 3,4,5,6 feet 20 tees each will mark 4 circles. The task is to hit all shots in a row and hole them. If you miss one, then resample all balls and restart from the hole you missed the last time.
Experts fall back to the last ring, if the miss a putt (e.g. if you are doing the 5 feets, restart with 4 feets)
Tip: If you use only one ball and retarget every time the excerise is even better.</t>
  </si>
  <si>
    <t>ReleaseID</t>
  </si>
  <si>
    <t>PrioID</t>
  </si>
  <si>
    <t>MUI_DBE_T_EX_Released</t>
  </si>
  <si>
    <t>Released</t>
  </si>
  <si>
    <t>All</t>
  </si>
  <si>
    <t>WP Viewer</t>
  </si>
  <si>
    <t>WP Generator</t>
  </si>
  <si>
    <t>WP als Spieler betrachten (z.B. KEINE HCP Leiste sehen ..)</t>
  </si>
  <si>
    <t>Aktuelles WP als VORLAGE speichern</t>
  </si>
  <si>
    <t>Übersicht aller WPs zu einem Spieler in einer Liste mit Datum und ExIDs</t>
  </si>
  <si>
    <t>Übersicht aller WPs zu einemTeam in einer Liste mit Datum und ExIDs</t>
  </si>
  <si>
    <t>Übersicht der durchschnittlichen Ergebnisse eines Teams zu allen Workplan (Avg, Min, Max, HCP Delta, Wie oft geübt,..)</t>
  </si>
  <si>
    <t>Übersicht der durchschnittlichen Ergebnisse eines Teams zu allen Workplan (Avg, Min, Max, HCP Delta,Wie oft geübt,..)</t>
  </si>
  <si>
    <t>Übersicht der durchschnittlichen Ergebnisse eines Teams zu allen ExIds (Avg, Min, Max, HCP Delta,Wie oft geübt,..)</t>
  </si>
  <si>
    <t>Übersicht der durchschnittlichen Ergebnisse eines Teams zu allen ExIDs (Avg, Min, Max, HCP Delta, Wie oft geübt,..)</t>
  </si>
  <si>
    <t>Modify Player Information (Form, Team und DBR anpassen)</t>
  </si>
  <si>
    <t>Speichern der Ergebnisse in DBR (Überschreiben oder New .. Abfrage, wenn Daten bereits vorhanden)</t>
  </si>
  <si>
    <t>Erkenne, ob Daten in WP Viewer verändert wurden, so dass Speicherung sinnvoll ist.</t>
  </si>
  <si>
    <t>IMPORT</t>
  </si>
  <si>
    <t>Aktuelles WP direkt einem Player zuweisen (ggf. Update)</t>
  </si>
  <si>
    <t>EXPORT</t>
  </si>
  <si>
    <t>Datei erzeugen zum aktuellem WP im WPV. Diese kann dann an den Trainer geschickt werden</t>
  </si>
  <si>
    <t>SEND</t>
  </si>
  <si>
    <t>DELETE aktuelles WP eines Spielers</t>
  </si>
  <si>
    <t>DELETE aktuelles Template eines Spielers (Spieler = TEMPLATE)</t>
  </si>
  <si>
    <t>Weisse TEMPLATE mehreren TEAMS zu (Multi Select) … keine Prüfung ob bereits vorhanden (nur DATE prüfen)</t>
  </si>
  <si>
    <t>Weisse TEMPLATE mehreren PLAYER zu (Multi Select) … keine Prüfung ob bereits vorhanden (nur DATE prüfen)</t>
  </si>
  <si>
    <t>ExEditor</t>
  </si>
  <si>
    <t>Definiere neue EXERCISE</t>
  </si>
  <si>
    <t>Speicher neue EXERCISE</t>
  </si>
  <si>
    <t>Lade exisitierende EXERCISE</t>
  </si>
  <si>
    <t>MODIFY exisitierende EXERCISE</t>
  </si>
  <si>
    <t>UPDATE exisitierende EXERCISE</t>
  </si>
  <si>
    <t>Send automatic newly stored exercise to Micha to increase DB</t>
  </si>
  <si>
    <t>Utilities</t>
  </si>
  <si>
    <t>Modify Team Name</t>
  </si>
  <si>
    <t>Add new Team Name</t>
  </si>
  <si>
    <t>Update Player List for each Team specification</t>
  </si>
  <si>
    <t>Delete Team Name (e.g. also in DBR)</t>
  </si>
  <si>
    <t>General</t>
  </si>
  <si>
    <t>Check if Team name is possible
1.) Es darf kein anderes Team geben, was einen kürzerer Namen hat und exakt aus dem neuen Namen besteht
2.) Der eingegebene Name darf nicht identisch zu dem Beginn eines längeren Namens sein</t>
  </si>
  <si>
    <t>DELETE Player</t>
  </si>
  <si>
    <t>Allow at least 12 Exercise per WP</t>
  </si>
  <si>
    <t>Save WP as PDF directly from Program (not SAVE as .pdf)</t>
  </si>
  <si>
    <t>Support PRINT … means we need to set the print area and Header etc.</t>
  </si>
  <si>
    <t>Support SAVE AS as PDF … means we need to set the print area and Header etc.</t>
  </si>
  <si>
    <t xml:space="preserve">HIDE MENUE: Print </t>
  </si>
  <si>
    <t>HIDE MENUE: Save as</t>
  </si>
  <si>
    <t>HIDE MENUE: Name Manager</t>
  </si>
  <si>
    <t xml:space="preserve">BLOCK Hot keys:: Print </t>
  </si>
  <si>
    <t>BLOCK Hot keys:: Save as</t>
  </si>
  <si>
    <t>BLOCK Hot keys:: Name Manager</t>
  </si>
  <si>
    <t>DBE</t>
  </si>
  <si>
    <t>BEARBEITUNGSLEISTE in EXCEL ausblenenden</t>
  </si>
  <si>
    <t>BEARBEITUNGSLEISTE Menüpunkt zum aktivieren entfernen</t>
  </si>
  <si>
    <t>Info an Anwender … ca. 3 Tage zuvor  … befristet USAGE Time</t>
  </si>
  <si>
    <t>Nach Ende USAGE Time … WPG nicht mehr startbar. Nur noch seine alten Werte ansehbar … auch keine STORE Funktion mehr</t>
  </si>
  <si>
    <t>Verschlüsseln des DBE Bereichs vor dem Speichern</t>
  </si>
  <si>
    <t>Entschlüsseln des DBE Bereichs nach dem Laden</t>
  </si>
  <si>
    <t>YES</t>
  </si>
  <si>
    <t>lade WP mit Results in WPV
- Result HCP fehlt noch und wird allg. nicht berechnet</t>
  </si>
  <si>
    <t>Drei ist Trumpf im Grünbunker</t>
  </si>
  <si>
    <t xml:space="preserve">Datum ändern und dadurch kann man andere Workplans ebenfalls als neu abspeichern lassen … </t>
  </si>
  <si>
    <t xml:space="preserve">Verändere die Workplan ID nachträglich eines Spielers ähnlich MP3EDIT Tracknumber by START AND INCREMENT </t>
  </si>
  <si>
    <t>Ausblenden irrelvanter TaskCards für den Endanwender. Der Anwender soll nur die Tab Cards sehen, wo er Zugriff hat. Dito sind gewisse Elemente auf dem Screen teilweise dann nicht sichtbar bzw. nicht aufrufbar. Die Idee ist eine Tabelle zu führen, die sich ähnlich wie die UI Title Sprache entsprechend automatisch regelt. D.b. wir haben eine Zielspalte, die ist unsere Spalte, die wir immer abfragen. Diese wird erstellt je nach definierter Rolle für diese Anwender.</t>
  </si>
  <si>
    <t>MUI_LIC_ROLE_COACH</t>
  </si>
  <si>
    <t>Coach</t>
  </si>
  <si>
    <t>Trainer</t>
  </si>
  <si>
    <t>MUI_LIC_ROLE_PLAYER</t>
  </si>
  <si>
    <t>Player</t>
  </si>
  <si>
    <t>Spieler</t>
  </si>
  <si>
    <t>Y</t>
  </si>
  <si>
    <t>N</t>
  </si>
  <si>
    <t>MUI_LIC_Description</t>
  </si>
  <si>
    <t>License Manager</t>
  </si>
  <si>
    <t>Lizensverwaltung</t>
  </si>
  <si>
    <t>LIC_F_SAVE_WORKPLAN</t>
  </si>
  <si>
    <t>LIC_F_SAVE_WORKPLAN_TO_TEAM</t>
  </si>
  <si>
    <t>Workplan DropDown List</t>
  </si>
  <si>
    <t>MUI_DBR_T_SAVE_FOR_PlayerName</t>
  </si>
  <si>
    <t>MUI_DBR_T_SAVE_FOR_PlayerID</t>
  </si>
  <si>
    <t>SAVEFOR_PlayerName</t>
  </si>
  <si>
    <t>SAVEFOR_PlayerID</t>
  </si>
  <si>
    <t>1 = Pre Version, 5 = Official 1. Release</t>
  </si>
  <si>
    <t>Wechseln des Workplans (ggf. Save des exisitierenden, falls noch nicht geschehen…Abfrage ob wirklich)
=&gt; Auswahl über LOAD Button. Geänderte Daten gehen verloren.</t>
  </si>
  <si>
    <t>Wechseln des Workplans (ggf. Save des exisitierenden, falls noch nicht geschehen…Abfrage ob wirklich). 
=&gt; Aktuell nicht vorgesehen. Der Generator ist nur da um NEUE Templates zu erstellen. Im Notfall muss man in der 1. Version die Zahlen neu eingeben.</t>
  </si>
  <si>
    <t>NO</t>
  </si>
  <si>
    <t>Player Information Database</t>
  </si>
  <si>
    <t>MUI_DBP_Title</t>
  </si>
  <si>
    <t>MUI_DBP_T_DBPUID</t>
  </si>
  <si>
    <t>DBP_UID</t>
  </si>
  <si>
    <t>MUI_DBP_T_CoachEmail</t>
  </si>
  <si>
    <t>Coach Email</t>
  </si>
  <si>
    <t>MUI_DBP_T_PlayerName</t>
  </si>
  <si>
    <t>MUI_DBP_T_PlayerTitle</t>
  </si>
  <si>
    <t>MUI_DBP_T_PlayerFirstName</t>
  </si>
  <si>
    <t>MUI_DBP_T_PlayerLastName</t>
  </si>
  <si>
    <t>PlayerTitle</t>
  </si>
  <si>
    <t>PlayerFirstName</t>
  </si>
  <si>
    <t>PlayerLastName</t>
  </si>
  <si>
    <t>MUI_DBP_T_PlayerID</t>
  </si>
  <si>
    <t>MUI_DBP_T_PlayerCountryID</t>
  </si>
  <si>
    <t>MUI_DBP_T_PlayerClubID</t>
  </si>
  <si>
    <t>MUI_DBP_T_PlayerMemberID</t>
  </si>
  <si>
    <t>CountryID</t>
  </si>
  <si>
    <t>ClubID</t>
  </si>
  <si>
    <t>MemberID</t>
  </si>
  <si>
    <t>MUI_DBP_T_PT</t>
  </si>
  <si>
    <t>TeamsOfPlayer</t>
  </si>
  <si>
    <t>MUI_DBP_T_PlayerTeam</t>
  </si>
  <si>
    <t>Demo</t>
  </si>
  <si>
    <t>LICENSE</t>
  </si>
  <si>
    <t>Update aus Datei (wenn ein Spieler z.B. seine Ergebnisse einem Trainer schickt)  … Vergleich zwischen ALT Und NEU 
- Speicherung der neuen Daten
- Andere Informationen updaten? Z.B. PlayerID ändert sich =&gt; DBR ändern</t>
  </si>
  <si>
    <t>Formular erstellen zur Eingabe
Felder dabei: 
- Name
- PlayerID
- Teams (Plural !!!)
- HCP (haben wir weggelassen .. Das HCP muss im Workplan jeweils aktuell eingetragen werden)
- Email</t>
  </si>
  <si>
    <t>Bediene die maximale Anzahl von Exercises in einem Workplan. Dies ist wesentlich für den Generator wie auch für die Anzeige und den Ausdruck. Wenn ein Spieler von einem Trainer mehr bekommt, so ist das OK und er darf es ausdrucken.
Also z.B. ein Spieler darf 6 Exercises auswählen, bekommt aber von seinem Trainer 12. Dann sollen die 12 angezeigt und ausgedruckt werden können. (es muss also sichergestellt sein, dass ein Spieler die Einträge von einem Trainer nicht ändern kann ... Cross Check einbauen ?!)</t>
  </si>
  <si>
    <t>Putting Extrem #1</t>
  </si>
  <si>
    <t>DBRI_ID</t>
  </si>
  <si>
    <t>DBRI_ExDate</t>
  </si>
  <si>
    <t>DBRI_ExIDs_Planned_Start</t>
  </si>
  <si>
    <t>DBRI_ExIDs_ResHCP_Start</t>
  </si>
  <si>
    <t>DBRI_ExIDs_Result_Start</t>
  </si>
  <si>
    <t>DBRI_PlayerID</t>
  </si>
  <si>
    <t>DBRI_PlayerName</t>
  </si>
  <si>
    <t>DBRI_PlayerResultHCP</t>
  </si>
  <si>
    <t>DBRI_PlayerRoundedHCP</t>
  </si>
  <si>
    <t>DBRI_PlayerWorkoutID</t>
  </si>
  <si>
    <t>DBRI_ProtocolID</t>
  </si>
  <si>
    <t>DBRI_TotalDuration</t>
  </si>
  <si>
    <t>Putting Extrem #2</t>
  </si>
  <si>
    <t>Putting Extrem #3</t>
  </si>
  <si>
    <t>Putting Extrem #4</t>
  </si>
  <si>
    <t>Putting Extrem #5</t>
  </si>
  <si>
    <t>Putting Extrem #6</t>
  </si>
  <si>
    <t>From the defined distance, the Player is trying to hole as many balls IN A ROW as defined in the target.
In case you miss a ball, you need to restart and begin counting from 0.
While you may think it is an easy task, remember: its getting tough when you really commit yourself to try this until accomplished. 
Thats the spirit of this challenge.
Try to start from "Extrem #1" and end up with #6 of this serie of challenges.</t>
  </si>
  <si>
    <t>Putt Distance 60</t>
  </si>
  <si>
    <t>Do 60 putts with a random, distance between 5 up to 30m. With a rough measure ment of the distance judge yourself and add points with the following regulation:
15x Putts from closer than 5 m: 1 point if distance is less 0,5m
15x Putts from closer than 10 m: 1 point if distance is less 0,5m
15x Putts from closer than 15 m: 1 point if distance is less 0,75m
15x Putts from further than 15 m: 1 point if distance is less 1 m</t>
  </si>
  <si>
    <t>IMPORT der Ergebnisse von Spielern als PRO (notwendig zum Diskutieren der Ergebnisse) … ggf. neuer Spieler !!!</t>
  </si>
  <si>
    <t>IMPORT von WPs … reine TEMPLATES (wenn nicht vorhanden, dann können wir Nr. an Spieler senden)</t>
  </si>
  <si>
    <t>Als Trainer/Pro: Datei erzeugen für Spieler oder Team. Diese kann dann an Spieler/Team geschickt werden</t>
  </si>
  <si>
    <t>Export der aktuellen Daten zum Transfer an den Trainer. In der 1. Version sollen die Daten einfach als Datei erstellt werden und der Nutzer kann sie dann in seinem Mailprogramm einbringen und versenden.</t>
  </si>
  <si>
    <t>CODING</t>
  </si>
  <si>
    <t>in CODE_DBR find setOldDBRSIDbyWorkplanUID … for maintenance reason update reference to row for start of database.
We need to check if this is more often … strange reference might lead to errors.</t>
  </si>
  <si>
    <t>MUI_DBR_T_WorkplanUID</t>
  </si>
  <si>
    <t>WorkplanUID</t>
  </si>
  <si>
    <t>MUI_DBR_T_HashKey</t>
  </si>
  <si>
    <t>MUI_DBR_T_UpdateStamp</t>
  </si>
  <si>
    <t>HashKey</t>
  </si>
  <si>
    <t>UpdateStamp</t>
  </si>
  <si>
    <t>LIC_USER_NAME</t>
  </si>
  <si>
    <t>Title</t>
  </si>
  <si>
    <t>Count</t>
  </si>
  <si>
    <t>Table Header</t>
  </si>
  <si>
    <t>Start Data</t>
  </si>
  <si>
    <t>MUI_DBR_P_TopicCount</t>
  </si>
  <si>
    <t>MUI_DBR_P_ExIDs_ResultHCP</t>
  </si>
  <si>
    <t>MUI_DBR_P_ExIDs_Result</t>
  </si>
  <si>
    <t>MUI_DBR_P_ExIDs_Planned</t>
  </si>
  <si>
    <t>MUI_DBR_P_ExIDs_RealDuration</t>
  </si>
  <si>
    <t>MUI_DBR_P_TopicTotalRealDuration</t>
  </si>
  <si>
    <t>MUI_DBR_P_ExIDs_Topic</t>
  </si>
  <si>
    <t>MUI_DBR_P_ExIDs_TopicHCP</t>
  </si>
  <si>
    <t xml:space="preserve">Check Real Duration by Adding Exercise Duration Time
Da wir keine AutoUpdate haben, müssen wir prüfen ob eine Eingabe im Range "RealDuration" auf dem Workplan vorliegt. Ist die Zelle im Range, dann soll die Summe von RealDuration oben rechts auf dem Sheet upgedated werden.
Function InRange(Range1 As Range, Range2 As Range) As Boolean
' returns True if Range1 is within Range2'
    InRange = Not (Application.Intersect(Range1, Range2)) Is Nothing
End Function
</t>
  </si>
  <si>
    <t>Check Plannend Duration by Adding Exercise Duration Time
Die Zeiten sind aktuell nicht korrekt. Teilweise werden sie nicht addiert. Dies muss beim Einfügen von neuen ExIds sein, aber auch beim löschen muss es neu kalkuliert werden. Am besten eine Routine die alle aktuellen Tab EXID addiert, egal ob Insert oder Delete</t>
  </si>
  <si>
    <t>CM_PlayerTitle</t>
  </si>
  <si>
    <t>CM_PlayerFirstName</t>
  </si>
  <si>
    <t>CM_PlayerLastName</t>
  </si>
  <si>
    <t>User Settings</t>
  </si>
  <si>
    <t>CM_PlayerName</t>
  </si>
  <si>
    <t>CM_PlayerID</t>
  </si>
  <si>
    <t>CM_PlayerID_MemberID</t>
  </si>
  <si>
    <t>CM_PlayerID_ClubID</t>
  </si>
  <si>
    <t>CM_PlayerHCP</t>
  </si>
  <si>
    <t>CM_PlayerCoachEmail</t>
  </si>
  <si>
    <t>yes</t>
  </si>
  <si>
    <t>Drop your ball just  1-3m aside the green.
- Hit 5 shots from 12m and let the ball end inside a 1,2m radius.
- Hit 5 shots from 18m and let the ball end inside a 1,8m radius.
For each ball ENDING in this circle you will gain 1 point. 
Cumulate your total points.
Keep in mind: the Tucker test is mainly seen to detect your weaknesses and not to compare handicaps.</t>
  </si>
  <si>
    <t>Best Ball Chipping</t>
  </si>
  <si>
    <t>WORST Ball Chipping</t>
  </si>
  <si>
    <t>You play with 2 balls.
Try to CHIP to the hole out of app. 7-12m with each ball. 
Take the WORST of the 2 attempts.  Again you have 2 try, were to hole at least 1.
The target to accomplish as many 2 strokes (one approach chip and if necessary max.  1 putt to hole the ball) as possible. 
Count the number of maxium holes for each attempt. 
Maximum number of attempts is 3.</t>
  </si>
  <si>
    <t>You play with 2 balls.
Try to CHIP to the hole out of app. 7-12m with each ball. 
Take the BEST of the 2 attempts.  Again you have 2 try, were to hole at least 1.
The target to accomplish as many 2 strokes (one approach chip and if necessary max.  1 putt to hole the ball) as possible. 
Count the number of maxium holes for each attempt. 
Maximum number of attempts is 3.</t>
  </si>
  <si>
    <t>You play with 3 balls.
Try to CHIP to the hole out of app. 7-12m with each ball. 
Take the WORST of the 3 attempts.  Again you have 3 try, were to hole at least 1.
The target to accomplish as many 2 strokes (one approach chip and if necessary max.  1 putt to hole the ball) as possible. 
Count the number of maxium holes for each attempt. 
Maximum number of attempts is 3.</t>
  </si>
  <si>
    <t>Best Ball Pitching 30m</t>
  </si>
  <si>
    <t>Worst Ball Pitching 30m</t>
  </si>
  <si>
    <t>Best Ball Pitching 50m</t>
  </si>
  <si>
    <t>Worst Ball Pitching 50m</t>
  </si>
  <si>
    <t>You play with 2 balls. Try to PITCH to the hole out of app. 50m with each ball.  
The target is to let the ball end in a 5m radius.The WORST ball counts
Count the number of holes in a row were you can achieve this target  for each attempt.
An attempt ends, whenever all  balls are left outside of the defined range. 
After each accomplishment change hole and start position.
Maximum number of attempts is 3.</t>
  </si>
  <si>
    <t>You play with 4 balls. Try to PITCH to the hole out of app. 50m with each ball.  
The target is to let the ball end in a 5m radius. The BEST ball counts
Count the number of holes in a row were you can achieve this target  for each attempt.
An attempt ends, whenever all  balls are left outside of the defined range. 
After each accomplishment change hole and start position.
Maximum number of attempts is 3.</t>
  </si>
  <si>
    <t>You play with 3 balls. Try to PITCH to the hole out of app. 50m with each ball.  
The target is to let the ball end in a 5m radius. The BEST ball counts.
Count the number of holes in a row were you can achieve this target  for each attempt.
An attempt ends, whenever all  balls are left outside of the defined range. 
After each accomplishment change hole and start position.
Maximum number of attempts is 3.</t>
  </si>
  <si>
    <t>Best Ball Pitching 70m</t>
  </si>
  <si>
    <t>You play with 4 balls. Try to PITCH to the hole out of app. 70m with each ball.  
The target is to let the ball end in a 5m radius. The BEST ball counts
Count the number of holes in a row were you can achieve this target  for each attempt.
An attempt ends, whenever all  balls are left outside of the defined range. 
After each accomplishment change hole and start position.
Maximum number of attempts is 3.</t>
  </si>
  <si>
    <t>You play with 3 balls. Try to PITCH to the hole out of app. 70m with each ball.  
The target is to let the ball end in a 5m radius. The BEST ball counts.
Count the number of holes in a row were you can achieve this target  for each attempt.
An attempt ends, whenever all  balls are left outside of the defined range. 
After each accomplishment change hole and start position.
Maximum number of attempts is 3.</t>
  </si>
  <si>
    <t>Worst Ball Pitching 70m</t>
  </si>
  <si>
    <t>You play with 3 balls. Try to PITCH to the hole out of app. 70m with each ball.  
The target is to let the ball end in a 5m radius.The WORST ball counts
Count the number of holes in a row were you can achieve this target  for each attempt.
An attempt ends, whenever all  balls are left outside of the defined range. 
After each accomplishment change hole and start position.
Maximum number of attempts is 3.</t>
  </si>
  <si>
    <t>You play with 2 balls. Try to PITCH to the hole out of app. 70m with each ball.  
The target is to let the ball end in a 5m radius.The BEST ball counts
Count the number of holes in a row were you can achieve this target  for each attempt.
An attempt ends, whenever all  balls are left outside of the defined range. 
After each accomplishment change hole and start position.
Maximum number of attempts is 3.</t>
  </si>
  <si>
    <t xml:space="preserve">Two players with a handicap delta of app. 10-15 play against each other from app. 70m to the flag. 
While the better one plays WORST Ball with 2 balls, the weaker player plays as BEST Ball with 2 balls. 
All other shots with WORST and BEST procedure as described.
The game is match play, whoever has the better score, wins the hole.
</t>
  </si>
  <si>
    <t>Best of 10 : Worst  vs. Best Ball Pitching 70m</t>
  </si>
  <si>
    <t>Best of 10 : Worst  vs. Best Ball Pitching 50m</t>
  </si>
  <si>
    <t xml:space="preserve">Two players with a handicap delta of app. 10-15 play against each other from app. 50m to the flag. 
While the better one plays WORST Ball with 2 balls, the weaker player plays as BEST Ball with 2 balls. 
All other shots with WORST and BEST procedure as described.
The game is match play, whoever has the better score, wins the hole.
</t>
  </si>
  <si>
    <t>Best of 10 : Worst  vs. Best Ball Pitching 30m</t>
  </si>
  <si>
    <t xml:space="preserve">Two players with a handicap delta of app. 10-15 play against each other from app. 30m to the flag. 
While the better one plays WORST Ball with 2 balls, the weaker player plays as BEST Ball with 2 balls. 
All other shots with WORST and BEST procedure as described.
The game is match play, whoever has the better score, wins the hole.
</t>
  </si>
  <si>
    <t>Best of 10 : Worst  vs. Best Ball Pitching 20m</t>
  </si>
  <si>
    <t xml:space="preserve">Two players with a handicap delta of app. 10-15 play against each other from app. 20m to the flag. 
While the better one plays WORST Ball with 2 balls, the weaker player plays as BEST Ball with 2 balls. 
All other shots with WORST and BEST procedure as described.
The game is match play, whoever has the better score, wins the hole.
</t>
  </si>
  <si>
    <t xml:space="preserve">Two players with a handicap delta of app. 10-15 play against each other from app. 15m to the flag. 
While the better one plays WORST Ball with 2 balls, the weaker player plays as BEST Ball with 2 balls. 
All other shots with WORST and BEST procedure as described.
The game is match play, whoever has the better score, wins the hole.
</t>
  </si>
  <si>
    <t xml:space="preserve">Two players with a handicap delta of app. 10-15 play against each other from app. 10m to the flag. 
While the better one plays WORST Ball with 2 balls, the weaker player plays as BEST Ball with 2 balls. 
All other shots with WORST and BEST procedure as described.
The game is match play, whoever has the better score, wins the hole.
</t>
  </si>
  <si>
    <t>Best of 10 : Worst  vs. Best Ball Chipping 15m</t>
  </si>
  <si>
    <t>Best of 10 : Worst  vs. Best Ball Chipping 10m</t>
  </si>
  <si>
    <t>Best of 10 : Worst  vs. Best Ball Putting 10m</t>
  </si>
  <si>
    <t>Best of 10 : Worst  vs. Best Ball Putting 7m</t>
  </si>
  <si>
    <t>Best of 10 : Worst  vs. Best Ball Putting 4m</t>
  </si>
  <si>
    <t xml:space="preserve">Two players with a handicap delta of app. 10-15 play against each other from app. 7m to the flag. 
While the better one plays WORST Ball with 2 balls, the weaker player plays as BEST Ball with 2 balls. 
All other shots with WORST and BEST procedure as described.
The game is match play, whoever has the better score, wins the hole.
</t>
  </si>
  <si>
    <t xml:space="preserve">Two players with a handicap delta of app. 10-15 play against each other from app. 4m to the flag. 
While the better one plays WORST Ball with 2 balls, the weaker player plays as BEST Ball with 2 balls. 
All other shots with WORST and BEST procedure as described.
The game is match play, whoever has the better score, wins the hole.
</t>
  </si>
  <si>
    <t>Drei Bälle</t>
  </si>
  <si>
    <t>You play with 2 balls. Try to PITCH to the hole out of app. 30m with each ball.  
The target is to let ALL the balls end in a 4m radius.
Count the number of holes in a row were you can achieve this target  for each attempt.
An attempt ends, whenever all  balls are left outside of the defined range. 
After each accomplishment change hole and start position.
Maximum number of attempts is 3.</t>
  </si>
  <si>
    <t>You play with 2 balls. Try to PITCH to the hole out of app. 30m with each ball.  
The target is to let at least one ball end in a 4m radius.
Count the number of holes in a row were you can achieve this target  for each attempt.
An attempt ends, whenever all  balls are left outside of the defined range. 
After each accomplishment change hole and start position.
Maximum number of attempts is 3.</t>
  </si>
  <si>
    <t>You play with 3 balls. Try to PITCH to the hole out of app. 30m with each ball.  
The target is to let at least one ball end in a 5m radius.
Count the number of holes in a row were you can achieve this target  for each attempt.
An attempt ends, whenever all  balls are left outside of the defined range. 
After each accomplishment change hole and start position.
Maximum number of attempts is 3.</t>
  </si>
  <si>
    <t>Best Ball Putting #1</t>
  </si>
  <si>
    <t>Best Ball Putting #2</t>
  </si>
  <si>
    <t>Best Ball Putting #3</t>
  </si>
  <si>
    <t>Best Ball Putting #4</t>
  </si>
  <si>
    <t>Beim Starten des Programms sollte der WP Viewer gelöscht werden (CLEAN Aufruf)</t>
  </si>
  <si>
    <t>The normal usage idea</t>
  </si>
  <si>
    <t>Using the 
WORKPLAN GENERATOR</t>
  </si>
  <si>
    <t>CM_PlayerEmail</t>
  </si>
  <si>
    <t>MUI_Title_Viewer</t>
  </si>
  <si>
    <t>Workplan Viewer</t>
  </si>
  <si>
    <t>Using the 
WORKPLAN VIEWER</t>
  </si>
  <si>
    <t>EXERCISE TYPES</t>
  </si>
  <si>
    <t>Im Monatlichen Statistik Überblick sollte man beim MouseOver über einer der linken Ex Topics automatisch den resultierenden HCP Verlauf und den damaligen echten HCP Verlauf sehen.  .. Nur über das Monat. Als Fenster bzw. Diagramm Display.</t>
  </si>
  <si>
    <t>Best</t>
  </si>
  <si>
    <t>Best Ball Putting #5</t>
  </si>
  <si>
    <t>Best Ball Putting #6</t>
  </si>
  <si>
    <t>WORST Ball Putting #1</t>
  </si>
  <si>
    <t>WORST Ball Putting #2</t>
  </si>
  <si>
    <t>WORST Ball Putting #3</t>
  </si>
  <si>
    <t>WORST Ball Putting #4</t>
  </si>
  <si>
    <t>WORST Ball Putting #5</t>
  </si>
  <si>
    <t>WORST Ball Putting #6</t>
  </si>
  <si>
    <t>Aktuelles WP direkt einem Player zuweisen (ggf. Update) … nein, wird immer im WP Viewer zugeordnet</t>
  </si>
  <si>
    <t>Aktuelles WP einem Team zuweisen (ggf. Update) … nein, wird immer im WP Viewer zugeordnet</t>
  </si>
  <si>
    <t>Beim EXPORT sollte entweder Team oder SpielerName mit in den Namen aufgenommen werden, damit man dann beim versenden es einfacher zuordnen kann.
Regel: Ist ein Team Name vorhanden, dann wird der Team Name mit eingetragen:   ___TEAM___AK14
Ist der Team Name leer und der Player Name gefüllt, dann nehme Player Name: ___PLAYER___Micha_Dürr
Sind beide Felder leer, so wird es als Template gespeichert: ___TEMPLATE___</t>
  </si>
  <si>
    <t>A User with the Privilige to adjust PlayerName or TeamName can insert only either the PLAYER_NAME or the TEAM_NAME or no value for both tags. The other information will be automatically deleted in the WP Viewer. 
With this regulation, SAVE is clearly defined. Either Team, Player or in case of no value at all: its a TEMPLATE</t>
  </si>
  <si>
    <r>
      <t xml:space="preserve">Select the number of  holes (as defined as target) on the putting greens, with increasing difficulty level. All should be at least 3m away from your starting position. 
You have only 1 try for each hole. You can proceed to the next hole, when you do at least a 2 put. If you fail to do so you drop back to the </t>
    </r>
    <r>
      <rPr>
        <u/>
        <sz val="10"/>
        <color theme="1"/>
        <rFont val="Calibri"/>
        <family val="2"/>
        <scheme val="minor"/>
      </rPr>
      <t>FIRST</t>
    </r>
    <r>
      <rPr>
        <sz val="10"/>
        <color theme="1"/>
        <rFont val="Calibri"/>
        <family val="2"/>
        <scheme val="minor"/>
      </rPr>
      <t xml:space="preserve"> hole. 
Goal: Reach the final flag.</t>
    </r>
  </si>
  <si>
    <r>
      <t xml:space="preserve">Select the number of  holes (as defined as target) on the putting greens, with increasing difficulty level. All should be at least 3m away from your starting position. 
You have only 1 attempt for each hole. You can proceed to the next hole, when you do at least a 2 put. If you fail, you drop back to the </t>
    </r>
    <r>
      <rPr>
        <u/>
        <sz val="10"/>
        <color theme="1"/>
        <rFont val="Calibri"/>
        <family val="2"/>
        <scheme val="minor"/>
      </rPr>
      <t>PREVIOUS</t>
    </r>
    <r>
      <rPr>
        <sz val="10"/>
        <color theme="1"/>
        <rFont val="Calibri"/>
        <family val="2"/>
        <scheme val="minor"/>
      </rPr>
      <t xml:space="preserve"> hole. 
Goal: Reach the final flag.</t>
    </r>
  </si>
  <si>
    <t>Select the number of  holes (as defined as target) on the putting greens, with increasing difficulty level. All should be at least 3m away from your starting position.
You have 3 trials for each hole.. 
You can proceed to the next hole, when you do at least a 2 put. 
If you fail to do so for 3 times on the same hole, you drop back to the FIRST hole. 
Goal: Reach the final flag.</t>
  </si>
  <si>
    <t>Select the number of  holes (as defined as target) on the putting greens, with increasing difficulty level. All should be at least 3m away from your starting position.
You have 3 trials for each hole. 
You can proceed to the next hole, when you do at least a 2 put. 
If you fail to do so for 3 times on the same hole, you drop back to the PREVIOUS hole. 
Goal: Reach the final flag.</t>
  </si>
  <si>
    <t>1+</t>
  </si>
  <si>
    <t>9 Holes 3x3</t>
  </si>
  <si>
    <t>18 Holes 6x3</t>
  </si>
  <si>
    <t xml:space="preserve">HCP </t>
  </si>
  <si>
    <t>Year Total  Efforts</t>
  </si>
  <si>
    <t>Golf Workplan Manager</t>
  </si>
  <si>
    <t>Month Year Selection List</t>
  </si>
  <si>
    <t>Feb.15</t>
  </si>
  <si>
    <t>Mrz.15</t>
  </si>
  <si>
    <t>MonthTotal  Efforts</t>
  </si>
  <si>
    <t>M.Dürr</t>
  </si>
  <si>
    <t>Dont touch these images…  they are white !!!</t>
  </si>
  <si>
    <t>CM_FREQUENT_BACKUPS</t>
  </si>
  <si>
    <t>Development</t>
  </si>
  <si>
    <t>Player Selection STATISTIC</t>
  </si>
  <si>
    <t>Player Selection Workplan Manager</t>
  </si>
  <si>
    <t>HCP Available?</t>
  </si>
  <si>
    <t>Player HCP</t>
  </si>
  <si>
    <t>Player HCP/date</t>
  </si>
  <si>
    <t># of Workplans</t>
  </si>
  <si>
    <t>HCP DELTA</t>
  </si>
  <si>
    <t>PLAYED HCP</t>
  </si>
  <si>
    <t>Monthly HCP per Topic</t>
  </si>
  <si>
    <t>END OF CALCULATION … leave it like it is</t>
  </si>
  <si>
    <t>Median of 11 Shots - 140m</t>
  </si>
  <si>
    <t>Median of 11 Shots - 120m</t>
  </si>
  <si>
    <t>Median of 11 Shots - 100m</t>
  </si>
  <si>
    <t>Median of 11 Shots - 160</t>
  </si>
  <si>
    <t>Median of 11 Shots - 180m</t>
  </si>
  <si>
    <t>Median of 11 Shots - 200m</t>
  </si>
  <si>
    <t>5 holes      4 - 6m      Level 2</t>
  </si>
  <si>
    <t xml:space="preserve">Choose a place on the putting green, where 5 different holes of different directions are app. 4-6m away. Take 5 balls and drop them at the same place. Try to vary the distances of each hole between the given distance range.
Hit the 5 balls in a row to each of these holes, so each ball reside nearby or in a different hole.
If you can get ALL FIVE Balls at the same attempt in 1 or 2 putts in the hole, you will win.
If at least one hole is missed with 3+ putts, you need to restart this challenge.
YOU NEED TO COMMIT YOURSELF TO DO THIS CHALLENGE UNTIL YOU ACCOMPLISH IT.
</t>
  </si>
  <si>
    <t xml:space="preserve">Choose a place on the putting green, where 5 different holes of different directions are app.3-4m away. Take 5 balls and drop them at the same place. Try to vary the distances of each hole between the given distance range.
Hit the 5 balls in a row to each of these holes, so each ball reside nearby or in a different hole.
If you can get ALL FIVE Balls at the same attempt in 1 or 2 putts in the hole, you will win.
If at least one hole is missed with 3+ putts, you need to restart this challenge.
YOU NEED TO COMMIT YOURSELF TO DO THIS CHALLENGE UNTIL YOU ACCOMPLISH IT.
</t>
  </si>
  <si>
    <t>5 holes      3 - 4m      Level 2</t>
  </si>
  <si>
    <t>5 holes     5 - 8m      Level 2</t>
  </si>
  <si>
    <t xml:space="preserve">Choose a place on the putting green, where 5 different holes of different directions are app. 5-8m away. Take 5 balls and drop them at the same place. Try to vary the distances of each hole between the given distance range.
Hit the 5 balls in a row to each of these holes, so each ball reside nearby or in a different hole.
If you can get ALL FIVE Balls at the same attempt in 1 or 2 putts in the hole, you will win.
If at least one hole is missed with 3+ putts, you need to restart this challenge.
YOU NEED TO COMMIT YOURSELF TO DO THIS CHALLENGE UNTIL YOU ACCOMPLISH IT.
</t>
  </si>
  <si>
    <t>5 holes      6 - 10m      Level 2</t>
  </si>
  <si>
    <t xml:space="preserve">Choose a place on the putting green, where 5 different holes of different directions are app. 6-10m away. Take 5 balls and drop them at the same place. Try to vary the distances of each hole between the given distance range.
Hit the 5 balls in a row to each of these holes, so each ball reside nearby or in a different hole.
If you can get ALL FIVE Balls at the same attempt in 1 or 2 putts in the hole, you will win.
If at least one hole is missed with 3+ putts, you need to restart this challenge.
YOU NEED TO COMMIT YOURSELF TO DO THIS CHALLENGE UNTIL YOU ACCOMPLISH IT.
</t>
  </si>
  <si>
    <t>5 holes      7 - 12m      Level 2</t>
  </si>
  <si>
    <t xml:space="preserve">Choose a place on the putting green, where 5 different holes of different directions are app. 7-12m away. Take 5 balls and drop them at the same place. Try to vary the distances of each hole between the given distance range.
Hit the5 balls in a row to each of these holes, so each ball reside nearby or in a different hole.
If you can get ALL FIVE Balls at the same attempt in 1 or 2 putts in the hole, you will win.
If at least one hole is missed with 3+ putts, you need to restart this challenge.
YOU NEED TO COMMIT YOURSELF TO DO THIS CHALLENGE UNTIL YOU ACCOMPLISH IT.
</t>
  </si>
  <si>
    <t>ID Ranges for ExID by Type</t>
  </si>
  <si>
    <t>Test (Offical)</t>
  </si>
  <si>
    <t>START</t>
  </si>
  <si>
    <t>Current ROWID</t>
  </si>
  <si>
    <t>WARM UP</t>
  </si>
  <si>
    <t>keine Auswertung</t>
  </si>
  <si>
    <t>BEST</t>
  </si>
  <si>
    <t>Player Manager SQL Temporary Result Lists</t>
  </si>
  <si>
    <t>7 holes      3 - 4m      Level 3</t>
  </si>
  <si>
    <t>7 holes      4 - 6m      Level 3</t>
  </si>
  <si>
    <t>7 holes      5 - 8m      Level 3</t>
  </si>
  <si>
    <t>7 holes      6 - 10m      Level 3</t>
  </si>
  <si>
    <t>7 holes       7 - 12m      Level 3</t>
  </si>
  <si>
    <t xml:space="preserve">Choose a place on the putting green, where 7 different holes of different directions are app. 7 - 12m away. Take 7 balls and drop them at the same place. Try to vary the distances of each hole between the given distance range.
Hit the 7 balls in a row to each of these holes, so each ball reside nearby or in a different hole.
If you can get ALL SEVEN Balls at the same attempt in 1 or 2 putts in the hole, you will win.
If at least one hole is missed with 3+ putts, you need to restart this challenge.
YOU NEED TO COMMIT YOURSELF TO DO THIS CHALLENGE UNTIL YOU ACCOMPLISH IT.
</t>
  </si>
  <si>
    <t xml:space="preserve">Choose a place on the putting green, where 7 different holes of different directions are app. 6 - 10m away. Take 7 balls and drop them at the same place. Try to vary the distances of each hole between the given distance range.
Hit the 7 balls in a row to each of these holes, so each ball reside nearby or in a different hole.
If you can get ALL SEVEN Balls at the same attempt in 1 or 2 putts in the hole, you will win.
If at least one hole is missed with 3+ putts, you need to restart this challenge.
YOU NEED TO COMMIT YOURSELF TO DO THIS CHALLENGE UNTIL YOU ACCOMPLISH IT.
</t>
  </si>
  <si>
    <t xml:space="preserve">Choose a place on the putting green, where 7 different holes of different directions are app. 5 - 8m away. Take 7 balls and drop them at the same place. Try to vary the distances of each hole between the given distance range.
Hit the 7 balls in a row to each of these holes, so each ball reside nearby or in a different hole.
If you can get ALL SEVEN Balls at the same attempt in 1 or 2 putts in the hole, you will win.
If at least one hole is missed with 3+ putts, you need to restart this challenge.
YOU NEED TO COMMIT YOURSELF TO DO THIS CHALLENGE UNTIL YOU ACCOMPLISH IT.
</t>
  </si>
  <si>
    <t xml:space="preserve">Choose a place on the putting green, where 7 different holes of different directions are app. 4-6m away. Take 7 balls and drop them at the same place. Try to vary the distances of each hole between the given distance range.
Hit the 7 balls in a row to each of these holes, so each ball reside nearby or in a different hole.
If you can get ALL SEVEN Balls at the same attempt in 1 or 2 putts in the hole, you will win.
If at least one hole is missed with 3+ putts, you need to restart this challenge.
YOU NEED TO COMMIT YOURSELF TO DO THIS CHALLENGE UNTIL YOU ACCOMPLISH IT.
</t>
  </si>
  <si>
    <t xml:space="preserve">Choose a place on the putting green, where 7 different holes of different directions are app. 3-4m away. Take 7 balls and drop them at the same place. Try to vary the distances of each hole between the given distance range.
Hit the 7 balls in a row to each of these holes, so each ball reside nearby or in a different hole.
If you can get ALL SEVEN Balls at the same attempt in 1 or 2 putts in the hole, you will win.
If at least one hole is missed with 3+ putts, you need to restart this challenge.
YOU NEED TO COMMIT YOURSELF TO DO THIS CHALLENGE UNTIL YOU ACCOMPLISH IT.
</t>
  </si>
  <si>
    <t>Shot from 140m 11 balls to an given target.
Out of the 11 balls detect the 5 best and the 5 weakest strokes (in sense of distance to the targeted flag. 
The final ball's (called MEDIAN) distance to the flag will be measure in m and to be recorded in the result field.</t>
  </si>
  <si>
    <t>Shot from 120m 11 balls to an given target.
Out of the 11 balls detect the 5 best and the 5 weakest strokes (in sense of distance to the targeted flag. 
The final ball's (called MEDIAN) distance to the flag will be measure in m and to be recorded in the result field.</t>
  </si>
  <si>
    <t>Shot from 160m 11 balls to an given target.
Out of the 11 balls detect the 5 best and the 5 weakest strokes (in sense of distance to the targeted flag. 
The final ball's (called MEDIAN) distance to the flag will be measure in m and to be recorded in the result field.</t>
  </si>
  <si>
    <t>Shot from 180m 11 balls to an given target.
Out of the 11 balls detect the 5 best and the 5 weakest strokes (in sense of distance to the targeted flag. 
The final ball's (called MEDIAN) distance to the flag will be measure in m and to be recorded in the result field.</t>
  </si>
  <si>
    <t>Shot from 200m 11 balls to an given target.
Out of the 11 balls detect the 5 best and the 5 weakest strokes (in sense of distance to the targeted flag. 
The final ball's (called MEDIAN) distance to the flag will be measure in m and to be recorded in the result field.</t>
  </si>
  <si>
    <t>Relativ Effort Distribution per Topic in Selected Month / Year</t>
  </si>
  <si>
    <t>HANDICAP SUMME</t>
  </si>
  <si>
    <t>HANDICAP ANZAHL</t>
  </si>
  <si>
    <t>Durchschnittliches HANDICAP SUMME</t>
  </si>
  <si>
    <t>Monat</t>
  </si>
  <si>
    <t>Jahr</t>
  </si>
  <si>
    <t>TOPIC RELATIIV EFFORT</t>
  </si>
  <si>
    <t>JAHRESÜBERBLICK</t>
  </si>
  <si>
    <t>Tage</t>
  </si>
  <si>
    <t>Last DayID</t>
  </si>
  <si>
    <t>1. DayID</t>
  </si>
  <si>
    <t>Summejahr</t>
  </si>
  <si>
    <t>#Days of Month</t>
  </si>
  <si>
    <t>Approach Shot</t>
  </si>
  <si>
    <t>Wood</t>
  </si>
  <si>
    <t>MUI_STAT_T_TotalWorkplans</t>
  </si>
  <si>
    <t># of Exercises</t>
  </si>
  <si>
    <t>Übungseinheiten</t>
  </si>
  <si>
    <t>The idea behind is, to generate workplans and use this workplans. 
The WORKPLAN Generator allows you to create such new workplans. 
The WORKPLAN Viewer allows to display a single workplan, update your results and store it in the database.
Once results are available, the STATISTIC VIEWER allows to walk throught the main golf elements and see your performance per Month or per year as you wish.</t>
  </si>
  <si>
    <t>MUI_USE_MAIN_HEADER</t>
  </si>
  <si>
    <t>Usage Description</t>
  </si>
  <si>
    <t>Anwendungsüberblick</t>
  </si>
  <si>
    <t>Normal 18 Holes</t>
  </si>
  <si>
    <t>Normal  9 Holes</t>
  </si>
  <si>
    <t>Best Ball 18 Holes</t>
  </si>
  <si>
    <t>Best Ball 9 Holes</t>
  </si>
  <si>
    <t>Worst Ball 18 Holes</t>
  </si>
  <si>
    <t>Worst Ball 9 Holes</t>
  </si>
  <si>
    <t>The game is, to play with 2 balls, from each position.
When reaching the 2 balls, game will be continued from the BEST ball (whatever you think the best ball is)
Count your strokes as normal (but do not count  the 2nd stroke)
The game will show you, how good you might be, when your strokes will always be in your best shot area.</t>
  </si>
  <si>
    <t>The game is, to play with 2 balls, from each position.
When reaching the 2 balls, game will be continued from the WORST ball (whatever you think the wost ball is)
Count your strokes as normal (but do not count  the 2nd stroke)
The game will show you, how hard your game is, when you can't repeat your swing.</t>
  </si>
  <si>
    <t>Approach Best Ball 18 Holes</t>
  </si>
  <si>
    <t>Approach Best Ball 9 Holes</t>
  </si>
  <si>
    <t>Approach Worst  Ball 18 Holes</t>
  </si>
  <si>
    <t>Approach Worst  Ball 9 Holes</t>
  </si>
  <si>
    <t>The game is, to play with 2 balls, whenever you are in green approach distance.. From their on, you need to play with 2 balls.
When reaching the 2 balls, game will be continued from the BEST ball (whatever you think the best ball is)
Count your strokes as normal (but do not count  the 2nd stroke)
The game will show you, how good you might be, when your strokes will always be in your best shot area.</t>
  </si>
  <si>
    <t>The game is, to play with 2 balls, whenever you are in green approach distance.. From their on, you need to play with 2 balls.
When reaching the 2 balls, game will be continued from the WORST ball (whatever you think the worst ball is)
Count your strokes as normal (but do not count  the 2nd stroke)
The game will show you, how good you might be, when your strokes will always be in your best shot area.</t>
  </si>
  <si>
    <t>Putting Best Ball 18 Holes</t>
  </si>
  <si>
    <t>Putting Best Ball 9 Holes</t>
  </si>
  <si>
    <t>Putting Worst  Ball 18 Holes</t>
  </si>
  <si>
    <t>Putting Worst  Ball 9 Holes</t>
  </si>
  <si>
    <t>The game is, to play with 2 balls, whenever you are on the green.. From their on, you need to play with 2 balls.
When reaching the 2 balls, game will be continued from the BEST ball (whatever you think the best ball is)
Count your strokes as normal (but do not count  the 2nd stroke)
The game will show you, how good you might be, when your strokes will always be in your best shot area.</t>
  </si>
  <si>
    <t>The game is, to play with 2 balls, whenever you are on the green.. From their on, you need to play with 2 balls.
When reaching the 2 balls, game will be continued from the WORST ball (whatever you think the worst ball is)
Count your strokes as normal (but do not count  the 2nd stroke)
The game will show you, how good you might be, when your strokes will always be in your best shot area.</t>
  </si>
  <si>
    <t>The game is, to play with 2 balls,whenever you are on the green.. From their on, you need to play with 2 balls.
When reaching the 2 balls, game will be continued from the WORST ball (whatever you think the worst ball is)
Count your strokes as normal (but do not count  the 2nd stroke)
The game will show you, how good you might be, when your strokes will always be in your best shot area.</t>
  </si>
  <si>
    <t>The game is, like normal, with the exception, whenever you reached a green in regulation, you need to drop the ball outside of the green
Count each stroke.
The game will improve your short game around the green.</t>
  </si>
  <si>
    <t>No Green in Regulation - 9 Holes</t>
  </si>
  <si>
    <t>No Green in Regulation - 18 Holes</t>
  </si>
  <si>
    <t>You are playing a quit normal round of golf, with one excemption: whenever you reach a ball not the green, place the ball in a tough spot nearby.
This could be a divot on the fairway, a ball underneath a bush/tree, a ball with a downhill lay in a bunker, etc.
So make your round of golf a little bit tougher as usual.
Count strokes as normal.</t>
  </si>
  <si>
    <t>When the tough gets going - 18 Holes</t>
  </si>
  <si>
    <t>When the tough gets going - 9 Holes</t>
  </si>
  <si>
    <t>Aim for the flag - 18 Holes</t>
  </si>
  <si>
    <t>In this game, you need to target the flag whenever possible. So, never reduce the risks and go always for the flag. 
For each shot, regardless if it is a long par 3, water protect greens, etc. 
Count Strokes as normal.</t>
  </si>
  <si>
    <t>Aim for the flag - 9 Holes</t>
  </si>
  <si>
    <t>Stylish Golf - 18 Holes</t>
  </si>
  <si>
    <t>In this game, you need to hit two strokes for all driver, woods and other approach shots &gt; 130m. 
From each of these position, you need to hit 2 strokes: FADE AND DRAW
Play both balls as MATCH PLAY and count all strokes.
For each stroke not fulfilling your expectations of a DRAW or FADE, add one penalty point to your strokes.
Depending on the number of people behind you: you can put out each hole or whenever you are on the green, pick up the ball and add 2 strokes.
Note: Perhaps you wonna label your balls DRAW and FADE, to make your life easier for counting the strokes.</t>
  </si>
  <si>
    <t>Stylish Golf - 9 Holes</t>
  </si>
  <si>
    <t>9 Holes of Points</t>
  </si>
  <si>
    <t>18 Holes of Points</t>
  </si>
  <si>
    <t>In this game, a point system will be used instead of your strokes count.
- On each Par4/5 … add 1 point for ending your tee shot on the fairway
- add 1 point for all Green in Regluation
- subtract -1 for a three put
- subtract -2 for a four and more put
Add up points and compare it to your best score.</t>
  </si>
  <si>
    <t>MUI_LIC_ROLE_DEVELOPMENT</t>
  </si>
  <si>
    <t>CM_Role</t>
  </si>
  <si>
    <t>CM_LicenseKey</t>
  </si>
  <si>
    <t>CM_PlayerID_CountryID</t>
  </si>
  <si>
    <t>MUI_FM_WPG_BT_CreateWorkplan</t>
  </si>
  <si>
    <t>Create Workplan</t>
  </si>
  <si>
    <t>Arbeitsplan generieren</t>
  </si>
  <si>
    <t>MUI_TEMPLATE</t>
  </si>
  <si>
    <t>&lt; TEMPLATE &gt;</t>
  </si>
  <si>
    <t>&lt; VORLAGE &gt;</t>
  </si>
  <si>
    <t>Max Mustermann</t>
  </si>
  <si>
    <t>Insert Calendar Form to select a Date in always the same format</t>
  </si>
  <si>
    <t>Chipping Ladder Extrem</t>
  </si>
  <si>
    <t>Selected Player</t>
  </si>
  <si>
    <t>Selected Month</t>
  </si>
  <si>
    <t>Apr.15</t>
  </si>
  <si>
    <t>0049-8881-007</t>
  </si>
  <si>
    <t>Broadie
"Every Shot Counts
P. 120</t>
  </si>
  <si>
    <t>Source</t>
  </si>
  <si>
    <t>Broadie
"Every Shot Counts"
P. 202</t>
  </si>
  <si>
    <t xml:space="preserve">Bunker MEDIAN 5 Shots  37m 40yds </t>
  </si>
  <si>
    <t>Bunker MEDIAN 5 Shots  27m  30yds</t>
  </si>
  <si>
    <t>Bunker MEDIAN 5 Shots  18m  20yds</t>
  </si>
  <si>
    <t>Bunker MEDIAN 5 Shots  9m 10yds</t>
  </si>
  <si>
    <t>You play with 2 balls. The drill period is restricted with the defined time.
Try to putt to the hole out of app. 7-12m with each ball. 
Take the BEST of the 2 approaches.  Again you have 2 try, were to hole at least 1.
The target to accomplish as many 2 putts (one approach putt and if necessary max.  1 putt to hole the ball) as possible. 
Count the number of holes (in a row) managed with maximum of 2 putts.</t>
  </si>
  <si>
    <t xml:space="preserve">You play with 2 balls.The drill period is restricted with the defined time.
Try to putt to the hole out of app. 7-12m with each ball. 
Take the BEST of the 2 approaches.  Again you have 2 try, were to hole at least 1.
The target to accomplish as many 2 putts (one approach putt and if necessary max.  1 putt to hole the ball) as possible. 
Count the number of holes (in a row) managed with maximum of 2 putts. </t>
  </si>
  <si>
    <t>You play with 2 balls.The drill period is restricted with the defined time.
Try to putt to the hole out of app. 7-12m with each ball. 
Take the BEST of the 2 approaches.  Again you have 2 try, were to hole at least 1.
The target to accomplish as many 2 putts (one approach putt and if necessary max.  1 putt to hole the ball) as possible. 
Count the number of holes (in a row) managed with maximum of 2 putts.</t>
  </si>
  <si>
    <t>You play with 2 balls.The drill period is restricted with the defined time.
Try to putt to the hole out of app. 7-12m with each ball. 
Take the WORST of the 2 approaches.  Again you have 2 try, were to hole at least 1.
The target to accomplish as many 2 putts (one approach putt and if necessary max.  1 putt to hole the ball) as possible. 
Count the number of holes (in a row) managed with maximum of 2 putts.</t>
  </si>
  <si>
    <t>You play with 2 balls.The drill period is restricted with the defined time.
Try to putt to the hole out of app. 7-12m with each ball. 
Take the WORST of the 2 approaches.  With only 1 ball from this position: hole the ball.
The target to accomplish as many 2 putts (one approach putt and if necessary max.  1 putt to hole the ball) as possible. 
Count the number of holes (in a row) managed with maximum of 2 putts.</t>
  </si>
  <si>
    <t>You play with 2 balls.The drill period is restricted with the defined time.
Try to putt to the hole out of app. 7-12m with each ball. 
Take the WORST of the 2 approaches.  With 2 balls from this position:  you need to  hole  ALL balls..
The target to accomplish as many 2 putts (one approach putt and if necessary max.  1 putt to hole the final balls) as possible. 
Count the number of holes (in a row) managed with maximum of 2 putts.</t>
  </si>
  <si>
    <t>You play with 3 balls.The drill period is restricted with the defined time.
Try to putt to the hole out of app. 7-12m with each ball. 
Take the WORST of the 3 approaches.  With these balls and from this position:  you need to  hole  ALL balls..
The target to accomplish as many 2 putts (one approach putt and if necessary max.  1 putt to hole the final balls) as possible. 
Count the number of holes (in a row) managed with maximum of 2 putts.</t>
  </si>
  <si>
    <t>You play with 3 balls.The drill period is restricted with the defined time.
Try to putt to the hole out of app. 10-15m with each ball. 
Take the WORST of the 3 approaches.  With these balls and from this position:  you need to  hole  ALL balls..
The target to accomplish as many 2 putts (one approach putt and if necessary max.  1 putt to hole the final balls) as possible. 
Count the number of holes (in a row) managed with maximum of 2 putts.</t>
  </si>
  <si>
    <t>You play with 3 balls.The drill period is restricted with the defined time.
Try to putt to the hole out of app. 15-20 m with each ball. 
Take the WORST of the 3 approaches.  With these balls and from this position:  you need to  hole  ALL balls..
The target to accomplish as many 2 putts (one approach putt and if necessary max.  1 putt to hole the final balls) as possible. 
Count the number of holes (in a row) managed with maximum of 2 putts.</t>
  </si>
  <si>
    <t>MUI_STAT_T_MainTitel_10</t>
  </si>
  <si>
    <t/>
  </si>
  <si>
    <t>The WORKPLAN VIEWER allows to view any predefined template (per player or per team) and to reload stored workplans and their result data.
With saving the data you can either update this information or you can copy into to a new date.
With saving any displayed data as a new player name or a new workplan date, the information will be stored in the database and will be shown in the statistics. Please do not forget to update the data after your workplan execution at the golf course.
Just reload the workplan, update results and required time per exercises and save it ... immediatly the data is available for your statistic information.</t>
  </si>
  <si>
    <t>The aim is to LAND your balls into the gaps between the markers. Whenever you accomplished one distance 3 times, you can move on to the next distance.
Do it one time from the nearest to the furthest away gap and backwards.
Count the number of total strokes until you finish the Challenge.</t>
  </si>
  <si>
    <t>The aim is to LAND your balls into the gaps between the markers. Whenever you accomplished one distance, you can move on to the next distance.
Do it one time from the nearest to the furthest away gap and backwards.
Count the number of total strokes until you finish the Challenge.</t>
  </si>
  <si>
    <t>The aim is to LAND your balls into the gaps between the markers. After each attempt, move on to the next gap.
The target gap shall be choosen randomly BUT not the neighbour gap.
The challenge ends whenever you hit 10 gaps .
Count the number of total strokes until you finish the Challenge.</t>
  </si>
  <si>
    <t>The aim is to LAND your balls into the gaps between the markers. After each attempt, move on to the next gap.
The target gap shall be choosen randomly BUT not the neighbour gap.
The challenge ends to hit all gaps in a row without any mistakes.
Count the number of total strokes until you finish the Challenge.</t>
  </si>
  <si>
    <t>The aim is to LAND your balls into the gaps between the markers. Whenever you accomplished one distance 3 times, you can move on to the next distance.
Do it one time from the nearest to the furthest away gap and backwards.
After each stroke you need to switch between LW, SW; GW, PW,Iron 9, Iron 8 or Iron 7. 
Each club shall not be used before all other clubs are played.
Count the number of total strokes until you finish the Challenge.</t>
  </si>
  <si>
    <t>The aim is to LAND your balls into the gaps between the markers. Whenever you accomplished one distance, you can move on to the next distance.
Do it one time from the nearest to the furthest away gap and backwards.
After each stroke you need to switch between LW, SW; GW, PW,Iron 9, Iron 8 or Iron 7. 
Each club shall not be used before all other clubs are played.
Count the number of total strokes until you finish the Challenge.</t>
  </si>
  <si>
    <t>The aim is to LAND your balls into the gaps between the markers. After each attempt, move on to the next gap.
The target gap shall be choosen randomly BUT not the neighbour gap.
The challenge ends whenever you hit 10 gaps .
After each stroke you need to switch between LW, SW; GW, PW,Iron 9, Iron 8 or Iron 7. 
Each club shall not be used before all other clubs are played.
Count the number of total strokes until you finish the Challenge.</t>
  </si>
  <si>
    <t>The aim is to LAND your balls into the gaps between the markers. After each attempt, move on to the next gap.
The target gap shall be choosen randomly BUT not the neighbour gap.
The challenge ends to hit all gaps in a row without any mistakes.
After each stroke you need to switch between LW, SW; GW, PW,Iron 9, Iron 8 or Iron 7. 
Each club shall not be used before all other clubs are played.
Count the number of total strokes until you finish the Challenge.</t>
  </si>
  <si>
    <t>Moritz Playgood</t>
  </si>
  <si>
    <t>0049-8881-4711</t>
  </si>
  <si>
    <t>Summe der Handicaps nach TOPIC</t>
  </si>
  <si>
    <t>Anzahl der Übungen mit Handicap Messung nach TOPIC</t>
  </si>
  <si>
    <t>Broadie
"Every Shot Counts"
P. 197</t>
  </si>
  <si>
    <t>15 Shots Fairway 9m (=10yds)</t>
  </si>
  <si>
    <t>15 Shots Fairway 18m 20 yds</t>
  </si>
  <si>
    <t>15 Shots Fairway 27m 30 yds</t>
  </si>
  <si>
    <t>15 Shots Fairway 37m 40 yds</t>
  </si>
  <si>
    <t>15 Shots Rough 9m 10yds</t>
  </si>
  <si>
    <t>15 Shots Rough 18m 20 yds</t>
  </si>
  <si>
    <t>15 Shots Rough 27m 30 yds</t>
  </si>
  <si>
    <t>15 Shots Rough 37m 40 yds</t>
  </si>
  <si>
    <t>9 Holes Up and Down 20-40m</t>
  </si>
  <si>
    <t>9 Holes Up and Down 40-60m</t>
  </si>
  <si>
    <t>9 Holes Up and Down 60-80m</t>
  </si>
  <si>
    <t>18 Holes Up and Down 20-40m</t>
  </si>
  <si>
    <t>18 Holes Up and Down 40-60m</t>
  </si>
  <si>
    <t>18 Holes Up and Down 60-80m</t>
  </si>
  <si>
    <t>Broadie
"Every Shot Counts
P. 113</t>
  </si>
  <si>
    <t>You play with 3 balls. Try to PITCH to the hole out of app. 30m with each ball.  
The target is to let ALL the balls end in a 3m radius.
Count the number of holes in a row were you can achieve this target  for each attempt.
An attempt ends, whenever all  balls are left outside of the defined range. 
After each accomplishment change hole and start position.
Maximum number of attempts is 1.</t>
  </si>
  <si>
    <t>You play with 3 balls. Try to PITCH to the hole out of app. 50m with each ball.  
The target is to let the ball end in a 4m radius.The WORST ball counts
Count the number of holes in a row were you can achieve this target  for each attempt.
An attempt ends, whenever all  balls are left outside of the defined range. 
After each accomplishment change hole and start position.
Maximum number of attempts is 1.</t>
  </si>
  <si>
    <t>Shot from 100m 11 balls to an given target.
Out of the 11 balls detect the 5 best and the 5 weakest strokes (in sense of distance to the targeted flag. 
The final ball's (called MEDIAN) distance to the flag will be measure in m and to be recorded in the result field.</t>
  </si>
  <si>
    <t>Broadie
"Every Shot Counts
P. 201</t>
  </si>
  <si>
    <t>Pick 10 spots in a greenside bunker which app. 8m of a distance to the flag
The following scoring system will be used:
Over 2m = 0 points
Within 2m = 2 points
Within 1m = 4 points
In the hole = 6 points
Whats your score? (Try to beat 20 points) ... record your score in the sheet.</t>
  </si>
  <si>
    <t>Pick 10 spots in a greenside bunker which app. 4m of a distance to a landing spot. Mark the landing spot (towel, 4 clubs, tees,..)
For each ball landing in this zone, you get a point.
Whats your score? (Try to beat 20 points) ... record your score in the sheet.</t>
  </si>
  <si>
    <t>Standing app. 3-5m in front of the green and app. 30m towards the flag, try to get the first just at the beginning of the green.
The 2nd shot should end between first ball and flag. 
The game is over, when you either passed the flag, shorter than last ball or hit an previous played ball.
Record the number of balls you have done until the failure. (so total ball minus 1)</t>
  </si>
  <si>
    <t>Line them Up 4m &amp; 10m</t>
  </si>
  <si>
    <t>Standing app. 3-5m in front of the green and app. 10m towards the flag, try to get the first just at the beginning of the green.
The 2nd shot should end between first ball and flag. 
The game is over, when you either passed the flag, shorter than last ball or hit an previous played ball.
Record the number of balls you have done until the failure. (so total ball minus 1)</t>
  </si>
  <si>
    <t>Standing app. 3-5m in front of the green and app. 20m towards the flag, try to get the first just at the beginning of the green.
The 2nd shot should end between first ball and flag. 
The game is over, when you either passed the flag, shorter than last ball or hit an previous played ball.
Record the number of balls you have done until the failure. (so total ball minus 1)</t>
  </si>
  <si>
    <t>Line them Up 4m &amp; 20m</t>
  </si>
  <si>
    <t>Line them Up 4m &amp; 30m</t>
  </si>
  <si>
    <t>6 up</t>
  </si>
  <si>
    <t>Two players are playing against each other. The balls will be dropped outside of the green so they can be chipped towards a predefined flag.
Each round the following points will be given:
+1 … for the player closest to the flag
+3 … for the player who holes the ball
+5 ... to the player holing on top of the other
After each round, the winner will start towards a new flag and from another starting position.
Game is over when one of the player is leading by 6 points.</t>
  </si>
  <si>
    <t>Two players are playing against each other. The balls will be dropped outside of the green (app. 20 m away) so they can be pitched towards a predefined flag.
Each round the following points will be given:
+1 … for the player closest to the flag
+3 … for the player who holes the ball
+5 ... to the player holing on top of the other
After each round, the winner will start towards a new flag and from another starting position.
Game is over when one of the player is leading by 6 points.</t>
  </si>
  <si>
    <t>One player (or more) are playing from 3 easy, 3 medium and 3 tough spots around the practice green and counting their strokes.
Sum up all your strokes (from chipping to putting) until you hole the ball.
Try to beat your target.</t>
  </si>
  <si>
    <t>One player (or more) are playing from 6 easy,  6 medium and 6 tough spots around the practice green and counting their strokes.
Sum up all your strokes (from chipping to putting) until you hole the ball.
Try to beat your target.</t>
  </si>
  <si>
    <t>One player (or more) are playing from 3 easy, 3 medium and 3 tough spots around the practice green (= fairway, semi rough, rough) from different distances (app. 20-40m) and counting their strokes.
Sum up all your strokes (from pitches to putting) until you hole the ball.
Try to beat your target.</t>
  </si>
  <si>
    <t>One player (or more) are playing from 3 easy, 3 medium and 3 tough spots around the practice green (= fairway, semi rough, rough) from different distances (app. 40-60m) and counting their strokes.
Sum up all your strokes (from pitches to putting) until you hole the ball.
Try to beat your target.</t>
  </si>
  <si>
    <t>One player (or more) are playing from 3 easy, 3 medium and 3 tough spots around the practice green (= fairway, semi rough, rough) from different distances (app. 60-80m) and counting their strokes.
Sum up all your strokes (from pitches to putting) until you hole the ball.
Try to beat your target.</t>
  </si>
  <si>
    <t>One player (or more) are playing from 6 easy,  6 medium and 6 tough spots around the practice green  (= fairway, semi rough, rough) from different distances (app. 20-40m) and counting their strokes.
Sum up all your strokes (from pitches to putting) until you hole the ball.
Try to beat your target.</t>
  </si>
  <si>
    <t>One player (or more) are playing from 6 easy,  6 medium and 6 tough spots around the practice green  (= fairway, semi rough, rough) from different distances (app. 40-60m) and counting their strokes.
Sum up all your strokes (from pitches to putting) until you hole the ball.
Try to beat your target.</t>
  </si>
  <si>
    <t>One player (or more) are playing from 6 easy,  6 medium and 6 tough spots around the practice green  (= fairway, semi rough, rough) from different distances (app. 60-80m) and counting their strokes.
Sum up all your strokes (from pitches to putting) until you hole the ball.
Try to beat your target.</t>
  </si>
  <si>
    <t>Drop your ball app. 3m (+/-30cm) away of a flag on the putting green and hole the ball. Switch flag after each try. The target is to reach 10 points with the following point system:
+2 points … sinking the ball with the first shot
0 points … if the first ball is to long and you need 2 putts
-1 points ... if the first ball is to SHORT and you need 2 putts
-3 points ... if you need 3 or more putts
If your score goes to -10 you loose that game. Count the number of HOLES you need to finish. If you loose, enter -10 into results.
NOT RECOMMEND FOR PLAYER WITH A HANDICAP WORST THAN -28. TARGET MIGHT BE NOT REACHABLE !!!</t>
  </si>
  <si>
    <t>Drop your ball app. 4 m (+/-50cm) away of a flag on the putting green and hole the ball. Switch flag after each try. The target is to reach 5 points with the following point system:
+2 points … sinking the ball with the first shot
0 points … if the first ball is to long and you need 2 putts
-1 points ... if the first ball is to SHORT and you need 2 putts
-3 points ... if you need 3 or more putts
If your score goes to -10 you loose that game.Count the number of HOLES you need to finish. If you loose, enter -10 into results.
NOT RECOMMEND FOR PLAYER WITH A HANDICAP WORST THAN -28. TARGET MIGHT BE NOT REACHABLE !!!</t>
  </si>
  <si>
    <t>Drop your ball app. 1,5m (+/-30cm) away of a flag on the putting green and hole the ball. Switch flag after each try. The target is to reach 15 points with the following point system:
+2 points … sinking the ball with the first shot
0 points … if the first ball is to long and you need 2 putts
-1 points ... if the first ball is to SHORT and you need 2 putts
-3 points ... if you need 3 or more putts
If your score goes to -10 you loose that game. Count the number of HOLES you need to finish. If you loose, enter -10 into results.</t>
  </si>
  <si>
    <t>Drop your ball app. 9 m (+/-150cm) away of a flag on the putting green and hole the ball. Switch flag after each try. The target is to reach 10 points with the following point system:
+5 points … sinking the ball with the first shot
1 points … if the first ball is with 1m and you need 2 putts
0 points ... if the first ball is outside 1m and you need 2 putts
-3 points ... if you need 3 or more putts
If your score goes to -15 you loose that game. Count the number of HOLES you need to finish. If you loose, enter -15 into results.</t>
  </si>
  <si>
    <t>Drop your ball app. 6 m (+/-150cm) away of a flag on the putting green and hole the ball. Switch flag after each try. The target is to reach 15 points with the following point system:
+5 points … sinking the ball with the first shot
1 points … if the first ball is with 1m and you need 2 putts
0 points ... if the first ball is outside 1m and you need 2 putts
-3 points ... if you need 3 or more putts
If your score goes to -15 you loose that game. Count the number of HOLES you need to finish. If you loose, enter -15 into results.</t>
  </si>
  <si>
    <t>Drop your ball app. 12 m (+/-150cm) away of a flag on the putting green and hole the ball. Switch flag after each try. The target is to reach 5 points with the following point system:
+5 points … sinking the ball with the first shot
1 points … if the first ball is with 1m and you need 2 putts
0 points ... if the first ball is outside 1m and you need 2 putts
-3 points ... if you need 3 or more putts
If your score goes to -15 you loose that game. Count the number of HOLES you need to finish.  If you loose, enter -15 into results.</t>
  </si>
  <si>
    <t>Shot from 27 m (+/- 4m) 5 balls to an given target (fairway or mid of green).
All five shots should come from different directions and distanced  to, if possible, different flags. 
Out of the 5 balls detect the 2 best and the 2 weakest strokes (in sense of distance to the targeted flag) and collect them. 
The final ball's (called MEDIAN) distance to the flag will be measure in m and to be recorded in the result field.</t>
  </si>
  <si>
    <t>Shot from 18 m (+/- 4m) 5 balls to an given target (fairway or mid of green).
All five shots should come from different directions and distanced  to, if possible, different flags. 
Out of the 5 balls detect the 2 best and the 2 weakest strokes (in sense of distance to the targeted flag) and collect them. 
The final ball's (called MEDIAN) distance to the flag will be measure in m and to be recorded in the result field.</t>
  </si>
  <si>
    <t>Shot from 9 m (+/- 3m) 5 balls to an given target (fairway or mid of green).
All five shots should come from different directions and distanced  to, if possible, different flags. 
Out of the 5 balls detect the 2 best and the 2 weakest strokes (in sense of distance to the targeted flag) and collect them. 
The final ball's (called MEDIAN) distance to the flag will be measure in m and to be recorded in the result field.</t>
  </si>
  <si>
    <t>Shot from 37m (+/- 5m) 5 balls to an given target (fairway or mid of green).
All five shots should come from different directions and distanced  to, if possible, different flags. 
Out of the 5 balls detect the 2 best and the 2 weakest strokes (in sense of distance to the targeted flag) and collect them. 
The final ball's (called MEDIAN) distance to the flag will be measure in m and to be recorded in the result field.</t>
  </si>
  <si>
    <t>Shot from 46m (+/- 5m) 5 balls to an given target (fairway or mid of green).
All five shots should come from different directions and distanced  to, if possible, different flags. 
Out of the 5 balls detect the 2 best and the 2 weakest strokes (in sense of distance to the targeted flag) and collect them. 
The final ball's (called MEDIAN) distance to the flag will be measure in m and to be recorded in the result field.</t>
  </si>
  <si>
    <t>Shot from 55m (+/- 5m) 5 balls to an given target (fairway or mid of green).
All five shots should come from different directions and distanced  to, if possible, different flags. 
Out of the 5 balls detect the 2 best and the 2 weakest strokes (in sense of distance to the targeted flag) and collect them. 
The final ball's (called MEDIAN) distance to the flag will be measure in m and to be recorded in the result field.</t>
  </si>
  <si>
    <t>Shot from 64m (+/- 5m) 5 balls to an given target (fairway or mid of green).
All five shots should come from different directions and distanced  to, if possible, different flags. 
Out of the 5 balls detect the 2 best and the 2 weakest strokes (in sense of distance to the targeted flag) and collect them. 
The final ball's (called MEDIAN) distance to the flag will be measure in m and to be recorded in the result field.</t>
  </si>
  <si>
    <t>Shot from 82m (+/- 5m) 5 balls to an given target (fairway or mid of green).
All five shots should come from different directions and distanced  to, if possible, different flags. 
Out of the 5 balls detect the 2 best and the 2 weakest strokes (in sense of distance to the targeted flag) and collect them. 
The final ball's (called MEDIAN) distance to the flag will be measure in m and to be recorded in the result field.</t>
  </si>
  <si>
    <t>Shot from 91m (+/- 5m) 5 balls to an given target (fairway or mid of green).
All five shots should come from different directions and distanced  to, if possible, different flags. 
Out of the 5 balls detect the 2 best and the 2 weakest strokes (in sense of distance to the targeted flag) and collect them. 
The final ball's (called MEDIAN) distance to the flag will be measure in m and to be recorded in the result field.</t>
  </si>
  <si>
    <t>Each ball will be hit from app. 4-5m outside of the green. The target is app 1,5m deep and starts app. 4-6m of the edge of the green.
Select 5 clubs out of your bag and play them in random order.
The exercise is finished, when the task has been accomplished with each club at least THREE  times.</t>
  </si>
  <si>
    <t>Each ball will be hit from app. 4-5m outside of the green. The target is app 1,5m deep and starts app. 4-6m of the edge of the green.
Select 5 clubs out of your bag and play them in random order.
The exercise is finished, when the task has been accomplished with  at least THREE  times in a sequence of the 5 clubs.</t>
  </si>
  <si>
    <t>Each ball will be hit from app. 4-5m outside of the green. The target is app 1,5m deep and starts app. 4-6m of the edge of the green. 
Select 5 clubs out of your bag and play them in random order.
The exercise is finished, when the task has been accomplished with  all clubs after each other (so no miss hit inbetween)</t>
  </si>
  <si>
    <t xml:space="preserve">Each ball will be hit from app. 4-5m outside of the green. The target is app 1,5m deep and starts app. 7-9 m of the edge of the green. 
Select 5 clubs out of your bag and play them in random order.
The exercise is finished, when the task has been accomplished with each club at least ONCE.
</t>
  </si>
  <si>
    <t>Each ball will be hit from app. 4-5m outside of the green. The target is app 1,5m deep and starts app. 7-9 m of the edge of the green. 
Select 5 clubs out of your bag and play them in random order.
The exercise is finished, when the task has been accomplished with each club at least THREE  times.</t>
  </si>
  <si>
    <t>Each ball will be hit from app. 4-5m outside of the green. The target is app 1,5m deep and starts app. 7-9 m of the edge of the green. L186
Select 5 clubs out of your bag and play them in random order.
The exercise is finished, when the task has been accomplished with  all clubs after each other (so no miss hit inbetween)</t>
  </si>
  <si>
    <t xml:space="preserve">Each ball will be hit from app. 4-5m outside of the green. The target is app 1,5m deep and starts app. 2m of the edge of the green. 
Select 5 clubs out of your bag and play them in random order.
The exercise is finished, when the task has been accomplished with each club at least ONCE.
</t>
  </si>
  <si>
    <t>Place 5 balls in a clockwise spiral starting from 60cm to 240cm (app.60-105-150-195-240 cm) around a hole. If possible, use tees ahead on several holes and do the same counterclockwise.
Try to hole each spiral without any missing shots.
If you miss a single shot , restart immediately at another hole.
Count the number ofspirals/restarts  until you made a complete spiral.</t>
  </si>
  <si>
    <t xml:space="preserve">Place 5 balls in a clockwise spiral starting from 60cm to 270cm (app.60-115-165-220-270 cm) around a hole. If possible, use tees ahead on several holes and do the same counterclockwise.
Try to hole each spiral without any missing shots.
If you miss a single shot , restart immediately at another hole.
Count the number of spirals/restarts until you made a complete spiral.
NOT RECOMMEND FOR PLAYER WITH A HANDICAP WORST THAN -28. </t>
  </si>
  <si>
    <t xml:space="preserve">Place 5 balls in a clockwise spiral starting from 60cm to 300cm (app.60-120-180-240-300 cm) around a hole.
If possible, use tees ahead on several holes and do the same counterclockwise.
Try to hole each spiral without any missing shots.
If you miss a single shot , restart immediately at another hole.
Count the number of spirals/restarts  until you made a complete spiral.
NOT RECOMMEND FOR PLAYER WITH A HANDICAP WORST THAN -8. </t>
  </si>
  <si>
    <t>Place 5 balls in a clockwise spiral starting from 60cm to 180cm (app.60-90-135-172-210 cm) around a hole. If possible, use tees ahead on several holes and do the same counterclockwise.
Try to hole each spiral without any missing shots.
If you miss a single shot , restart immediately at another hole.
Count the number of spirals/restarts until you made a complete spiral.</t>
  </si>
  <si>
    <t>Place 5 balls in a clockwise spiral starting from 60cm to 180cm (app.60-90-120-150-180 cm) around a hole. If possible, use tees ahead on several holes and do the same counterclockwise.
Try to hole each spiral without any missing shots.
If you miss a single shot , restart immediately at another hole.
Count the number of spirals/restarts  until you made a complete spiral.</t>
  </si>
  <si>
    <t>Hide of Tabs with every major action</t>
  </si>
  <si>
    <t>StatistikViewer</t>
  </si>
  <si>
    <t>WP als Coach betrachten (z.B. HCP Leiste sieht nur Development Rolle..)</t>
  </si>
  <si>
    <t>Aktuelles WP als VORLAGE speichern .. Speicherung immer nur über WP Viewer</t>
  </si>
  <si>
    <t>Allow the current Workplan to be editable in the WPG. So, WPV can callup WPG with a special command not to create the Workplan, but to update. In this case, Player ID, Workplan Date, etc. will be taken as before. Also Templates are possible to be updated.</t>
  </si>
  <si>
    <t>Kopieren des angezeigten Workplans auf anderen Spieler
 - Eintrag in DBR, neue WPID, Lösche Result und RealDuration Feld
KANN DURCH EINTRAGEN EINES NEUES NAMES; ID; ETC und anschliessendem SAVE durchgeführt werden.</t>
  </si>
  <si>
    <t>Mai.15</t>
  </si>
  <si>
    <t>Area</t>
  </si>
  <si>
    <t>Titel of Bug</t>
  </si>
  <si>
    <t>Description</t>
  </si>
  <si>
    <t>Frequency</t>
  </si>
  <si>
    <t>Rare</t>
  </si>
  <si>
    <t>Workaround</t>
  </si>
  <si>
    <t>Selection not taken</t>
  </si>
  <si>
    <t>In some strange situations, a click on the list of exercises will show no result in the DETAIL window.</t>
  </si>
  <si>
    <t>Click somewhere else and click again on the exercise. Normally after a view tries, the information will now be displayed in the DETAIL window.</t>
  </si>
  <si>
    <t>No Image in Detail Area</t>
  </si>
  <si>
    <t>In case a exercise will be selected all information except the image will be shown.</t>
  </si>
  <si>
    <t>Very Rare</t>
  </si>
  <si>
    <t>MUI_BUG_REPORT</t>
  </si>
  <si>
    <t>BUG REPORT</t>
  </si>
  <si>
    <t>Bekannte Fehler</t>
  </si>
  <si>
    <t>Please report known bug immediately to micha.duerr@online.de</t>
  </si>
  <si>
    <t xml:space="preserve">YARDS </t>
  </si>
  <si>
    <t>=&gt; METER</t>
  </si>
  <si>
    <t>_FeetsToMeter</t>
  </si>
  <si>
    <t>_YardsToMeter</t>
  </si>
  <si>
    <t>Feet</t>
  </si>
  <si>
    <t>Median of 5 Shots - 73 m / 80yds</t>
  </si>
  <si>
    <t>Median of 5 Shots - 64m / 70yds</t>
  </si>
  <si>
    <t>Median of 5 Shots - 55 m / 60yds</t>
  </si>
  <si>
    <t>Median of 5 Shots - 46 m / 50 yds</t>
  </si>
  <si>
    <t>Median of 5 Shots - 37 m / 40 yds</t>
  </si>
  <si>
    <t>Median of 5 Shots -27 m / 30 yds</t>
  </si>
  <si>
    <t>Median of 5 Shots - 18 m / 20 yds</t>
  </si>
  <si>
    <t>Median of 5 Shots - 9 m / 10 yds</t>
  </si>
  <si>
    <t>Median of 5 Shots - 82 m /90</t>
  </si>
  <si>
    <t>Median of 5 Shots - 91m / 100 yds</t>
  </si>
  <si>
    <t>BLACKLIST … wenn ein User seinen License Code weitergibt, dann werden automatisch auch entsprechend beim Coach alle Workplan mit diesem Licensecode gesperrt. Wenn also zum Coach ein andere Spieler (wie erkenne ich den?) das Programm verwendet und an den Coach schickt, so sollen dort alle Workplan für diesen Spieler umbenamt werden ... entweder auf den alten Namen oder den neuen Namen. Das bedeutet, alle Information zu einem Spieler werden überschrieben. =&gt; für einen Trainer macht es keinen Sinn, mit diesen Spieler zu arbeiten.</t>
  </si>
  <si>
    <t>MUI_DBR_T_User_LIC_UID</t>
  </si>
  <si>
    <t>SpielerLizensUID</t>
  </si>
  <si>
    <t>UserLicenseUID</t>
  </si>
  <si>
    <t>5758EC23829945858379B4B7D9F3BCA6</t>
  </si>
  <si>
    <t>CM_LIC_TERM</t>
  </si>
  <si>
    <t>CM_LIC_FIRST_NAME_PREFIX</t>
  </si>
  <si>
    <t>CM_LIC_LAST_NAME_PREFIX</t>
  </si>
  <si>
    <t>CM_LIC_ROLE</t>
  </si>
  <si>
    <t>CM_LIC_UserUID</t>
  </si>
  <si>
    <t>MUI_DBR_T_NOT_USED</t>
  </si>
  <si>
    <t xml:space="preserve">NOT USED </t>
  </si>
  <si>
    <t>NOT USED</t>
  </si>
  <si>
    <t>Not supported</t>
  </si>
  <si>
    <t>20150403_47.376</t>
  </si>
  <si>
    <t>20150403_47.279</t>
  </si>
  <si>
    <t>20150402_70.552</t>
  </si>
  <si>
    <t>20150403_47.348</t>
  </si>
  <si>
    <t>20150403_47.265</t>
  </si>
  <si>
    <t>20150403_47.148</t>
  </si>
  <si>
    <t>20150403_47.336</t>
  </si>
  <si>
    <t>20150403_47.246</t>
  </si>
  <si>
    <t>20150403_47.133</t>
  </si>
  <si>
    <t>20150403_47.051</t>
  </si>
  <si>
    <t>20150403_47.325</t>
  </si>
  <si>
    <t>20150403_47.235</t>
  </si>
  <si>
    <t>20150403_57.877</t>
  </si>
  <si>
    <t>20150403_47.032</t>
  </si>
  <si>
    <t>20150403_47.482</t>
  </si>
  <si>
    <t>20150403_47.307</t>
  </si>
  <si>
    <t>20150403_47.197</t>
  </si>
  <si>
    <t>20150403_47.102</t>
  </si>
  <si>
    <t>20150403_46.990</t>
  </si>
  <si>
    <t>20150403_50.556</t>
  </si>
  <si>
    <t>20150403_50.565</t>
  </si>
  <si>
    <t>20150403_51.951</t>
  </si>
  <si>
    <t>20150404_27.556</t>
  </si>
  <si>
    <t>20150404_28.015</t>
  </si>
  <si>
    <t>20150404_28.242</t>
  </si>
  <si>
    <t>20150404_28.417</t>
  </si>
  <si>
    <t>945F29BB67EC470AA032D6A3E2874E9A</t>
  </si>
  <si>
    <t>3DC81FC377174425A7860826E9A471DF</t>
  </si>
  <si>
    <t>06D0A8AF63434C0880D4F2CF8F3F19E5</t>
  </si>
  <si>
    <t>0FB8F013AE7A4607AAC18DF1861EBBD7</t>
  </si>
  <si>
    <t>1E17CBCBD8BB4C5C8E1E46D6CC104EE0</t>
  </si>
  <si>
    <t>DEDC42647E674CF69C9E4992F229E572</t>
  </si>
  <si>
    <t>241EF75AB22D412CA4B62FB110334D77</t>
  </si>
  <si>
    <t>EA5C9A34504847A5AADAE53F77A0F873</t>
  </si>
  <si>
    <t>DEABD5F9BB844DD2B8051E8C7F3C5472</t>
  </si>
  <si>
    <t>2BF6333FF52740E39384782908803CCB</t>
  </si>
  <si>
    <t>AEB1AA409B3F42F58150C453FAA9866F</t>
  </si>
  <si>
    <t>3A2610B5F7F846C584E6F237C8530750</t>
  </si>
  <si>
    <t>D5C764F9994C49FBBCE5F2BD6B62587E</t>
  </si>
  <si>
    <t>DA822BE4DF314FAEA4FB458C09821E6A</t>
  </si>
  <si>
    <t>5DE27AD0B55341E3A0CA10AF6AE489A9</t>
  </si>
  <si>
    <t>5152F10EF262420588C168CB55C0C22D</t>
  </si>
  <si>
    <t>F4CC640EDF8D44EFB1BBB7FCDBB5A5A1</t>
  </si>
  <si>
    <t>F603CC12C67D449CAB207222075EA87C</t>
  </si>
  <si>
    <t>865FC1E013354AE3A7C2621FEC01EF16</t>
  </si>
  <si>
    <t>57DF86A95E42484DB5D5E5480B59800C</t>
  </si>
  <si>
    <t>3336B3FF69954255A146E08EF1A4A8DC</t>
  </si>
  <si>
    <t>73F99C4981B64703B025E403504313C3</t>
  </si>
  <si>
    <t>C8A430DDC35A4C4AAFE0A153853CAE14</t>
  </si>
  <si>
    <t>A71F15E55FE04127BE452EB35E667D05</t>
  </si>
  <si>
    <t>629F5C7A345049F8A039364FC4C5AE30</t>
  </si>
  <si>
    <t>29E736413FA64EADBC4D962C16E720DE</t>
  </si>
  <si>
    <t>4FC48CA893234DA5A68DC99B2FA2EB3A</t>
  </si>
  <si>
    <t>7C5337C3BBFD4AEF994C69049D162D84</t>
  </si>
  <si>
    <t>4AD8DA9ED0BB4FBD9993A6EEF5CC372C</t>
  </si>
  <si>
    <t>0049-8881-009001</t>
  </si>
  <si>
    <t>1F9577C37A5941998387FFA9E336866B</t>
  </si>
  <si>
    <t>Alex Elsner</t>
  </si>
  <si>
    <t>5</t>
  </si>
  <si>
    <t>10</t>
  </si>
  <si>
    <t>11</t>
  </si>
  <si>
    <t>12</t>
  </si>
  <si>
    <t>13</t>
  </si>
  <si>
    <t>15</t>
  </si>
  <si>
    <t>16</t>
  </si>
  <si>
    <t>17</t>
  </si>
  <si>
    <t>18</t>
  </si>
  <si>
    <t>19</t>
  </si>
  <si>
    <t>2</t>
  </si>
  <si>
    <t>20</t>
  </si>
  <si>
    <t>21</t>
  </si>
  <si>
    <t>22</t>
  </si>
  <si>
    <t>23</t>
  </si>
  <si>
    <t>24</t>
  </si>
  <si>
    <t>25</t>
  </si>
  <si>
    <t>26</t>
  </si>
  <si>
    <t>3</t>
  </si>
  <si>
    <t>4</t>
  </si>
  <si>
    <t>6</t>
  </si>
  <si>
    <t>7</t>
  </si>
  <si>
    <t>8</t>
  </si>
  <si>
    <t>9</t>
  </si>
  <si>
    <t>14.04.2015</t>
  </si>
  <si>
    <t>0049-8881-0033625</t>
  </si>
  <si>
    <t>Drop 5 ballsapp.9 m (+/-4,5m/5 yds) away of a flag in the rough.Switch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</si>
  <si>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Drop 15 ballsapp.37m (+/-4,5m/5yds) away of a flag on the fairway. 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</si>
  <si>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Drop 5 ballsapp.18 m (+/-4,5m/5yds) away of a flag in the rough.Switch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</si>
  <si>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Drop 5 ballsapp.27 m (+/-4,5m/5yds) away of a flag in the rough.Switch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</si>
  <si>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Drop 5 ballsapp.37m (+/-4,5m/5yds) away of a flag in the rough. 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</si>
  <si>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Drop 15 ballsapp.9 m (+/-4,5m/5 yds) away of a flag in the rough. 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</si>
  <si>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Drop 15 ballsapp.37m (+/-4,5m/5yds) away of a flag in the rough. 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</si>
  <si>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Drop 15 ballsapp.27 m (+/-4,5m/5yds) away of a flag in the rough. 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</si>
  <si>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Drop 15 ballsapp.18 m (+/-4,5m/5yds) away of a flag in the rough. 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</si>
  <si>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Drop 15 ballsapp.27 m (+/-4,5m/5yds) away of a flag on the fairway.Switch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</si>
  <si>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Drop 5 ballsapp.9 m (+/-4,5m/5 yds) away of a flag on the fairway. 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</si>
  <si>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Drop 5 ballsapp.18 m (+/-4,5m/5yds) away of a flag on the fairway. 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</si>
  <si>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Drop 5 ballsapp.27 m (+/-4,5m/5yds) away of a flag on the fairway. 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</si>
  <si>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Drop 5 ballsapp.37m (+/-4,5m/5yds) away of a flag on the fairway. 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</si>
  <si>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Drop 15 ballsapp.9 m (+/-4,5m/5 yds) away of a flag on the fairway. 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</si>
  <si>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Drop 15 ballsapp.18 m (+/-4,5m/5yds) away of a flag on the fairway. 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</si>
  <si>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Drop 5 ballsapp.9 m (+/-4,5m/5 yds) away of a flag in the Bunker. 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</si>
  <si>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Drop 5 balls app.18 m (+/-4,5m/5yds) away of a flag in the Bunker. 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</si>
  <si>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Drop 5 balls app.27 m (+/-4,5m/5yds) away of a flag in the Bunker. 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</si>
  <si>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Drop 5 balls app.37m (+/-4,5m/5yds) away of a flag in the Bunker. Switch ball position, distance and challenges after each try. Check for different slope (Towards, away from ball) directions and amount of greens to work on. Don't trick yourself, with easy shot positions.
               +5 points … sinking the ball with the first shot
               +2 points … if the ball ends within 1,8m around the flag
               +1 points ... if the first ball is within 1,8m up to  3,6m around the flag
                 0 points ... for ON GREEN, but outside of 3,6m
               -1 point ... if you are not on the green
=&gt;     Cumulate the number of POINTS of your 5 shots</t>
  </si>
  <si>
    <t xml:space="preserve">Drop 5 ballsapp.9 m (+/-4,5m/5 yds) away of a flag in the Bunker. Switch ball position, distance and challenges after each try. Check for different slope (Towards, away from ball) directions and amount of greens to work on. Don't trick yourself, with easy shot positions.
- Pick up the 2 shots which are closest to the hole
- Pick up the 2 shots which are farthest from the hole
- Measure the distance of the last ball to the flag
The target shows and compares your handicap to the expected distance.
</t>
  </si>
  <si>
    <t xml:space="preserve">Drop 5 ballsapp.18 m (+/-4,5m/5 yds) away of a flag in the Bunker. Switch ball position, distance and challenges after each try. Check for different slope (Towards, away from ball) directions and amount of greens to work on. Don't trick yourself, with easy shot positions.
- Pick up the 2 shots which are closest to the hole
- Pick up the 2 shots which are farthest from the hole
- Measure the distance of the last ball to the flag
The target shows and compares your handicap to the expected distance.
</t>
  </si>
  <si>
    <t xml:space="preserve">Drop 5 ballsapp.27 m (+/-4,5m/5 yds) away of a flag in the Bunker. Switch ball position, distance and challenges after each try. Check for different slope (Towards, away from ball) directions and amount of greens to work on. Don't trick yourself, with easy shot positions.
- Pick up the 2 shots which are closest to the hole
- Pick up the 2 shots which are farthest from the hole
- Measure the distance of the last ball to the flag
The target shows and compares your handicap to the expected distance.
</t>
  </si>
  <si>
    <t xml:space="preserve">Drop 5 ballsapp.37 m (+/-4,5m/5 yds) away of a flag in the Bunker. Switch ball position, distance and challenges after each try. Check for different slope (Towards, away from ball) directions and amount of greens to work on. Don't trick yourself, with easy shot positions.
- Pick up the 2 shots which are closest to the hole
- Pick up the 2 shots which are farthest from the hole
- Measure the distance of the last ball to the flag
The target shows and compares your handicap to the expected distance.
</t>
  </si>
  <si>
    <t>WorkplanDate</t>
  </si>
  <si>
    <t>GCH 1. Männer DAY 2</t>
  </si>
  <si>
    <t>GCH 1. Männer DAY 3</t>
  </si>
  <si>
    <t>GCH 1. Männer DAY 4</t>
  </si>
  <si>
    <t>GCH 1. Männer</t>
  </si>
  <si>
    <t>A71F15E55FE04127BE452EB35E667D01</t>
  </si>
  <si>
    <t>A71F15E55FE04127BE452EB35E667D02</t>
  </si>
  <si>
    <t>A71F15E55FE04127BE452EB35E667D03</t>
  </si>
  <si>
    <t>A71F15E55FE04127BE452EB35E667D04</t>
  </si>
  <si>
    <t>A71F15E55FE04127BE452EB35E667D06</t>
  </si>
  <si>
    <t>A71F15E55FE04127BE452EB35E667D07</t>
  </si>
  <si>
    <t>A71F15E55FE04127BE452EB35E667D08</t>
  </si>
  <si>
    <t>MUI_DBP_T_PlayerHCP</t>
  </si>
  <si>
    <t>PlayerHCP</t>
  </si>
  <si>
    <t>0049-8881-009002</t>
  </si>
  <si>
    <t>0049-8881-009003</t>
  </si>
  <si>
    <t>0049-8881-009004</t>
  </si>
  <si>
    <t>0049-8881-009005</t>
  </si>
  <si>
    <t>0049-8881-009006</t>
  </si>
  <si>
    <t>0049-8881-009007</t>
  </si>
  <si>
    <t>0049-8881-009008</t>
  </si>
  <si>
    <t>0049-8881-009009</t>
  </si>
  <si>
    <t>0049-8881-009010</t>
  </si>
  <si>
    <t>0049-8881-009011</t>
  </si>
  <si>
    <t>0049-8881-009012</t>
  </si>
  <si>
    <t>A71F15E55FE04127BE452EB35E667D09</t>
  </si>
  <si>
    <t>A71F15E55FE04127BE452EB35E667D10</t>
  </si>
  <si>
    <t>A71F15E55FE04127BE452EB35E667D11</t>
  </si>
  <si>
    <t>A71F15E55FE04127BE452EB35E667D12</t>
  </si>
  <si>
    <t>Benni Gerber</t>
  </si>
  <si>
    <t>Michi Schalt</t>
  </si>
  <si>
    <t>Basti Schalt</t>
  </si>
  <si>
    <t>Gordi Curtis</t>
  </si>
  <si>
    <t>Marco Dietrich</t>
  </si>
  <si>
    <t>Flo Dittrich</t>
  </si>
  <si>
    <t>Benni Gabler</t>
  </si>
  <si>
    <t>Frank Dürr</t>
  </si>
  <si>
    <t>Christoph Pregizer</t>
  </si>
  <si>
    <t>Chrissy Sehn</t>
  </si>
  <si>
    <t>12.04.2015</t>
  </si>
  <si>
    <t>15.04.2015</t>
  </si>
  <si>
    <t>16.04.2015</t>
  </si>
  <si>
    <t>Lars Leverenz</t>
  </si>
  <si>
    <t>CM_LIC_Version</t>
  </si>
  <si>
    <t>CM_LIC_KEY_EXPIRATION_DATE</t>
  </si>
  <si>
    <t>CM_LIC_UserID_PREFIX</t>
  </si>
  <si>
    <t>GCH AK35</t>
  </si>
  <si>
    <t>Ball will be dropped around the green and played until holed. Cumulate your points by the following definitions:
- for each chip in you get  + 3   Point
- for a chip and put you get  + 1   points
- for all other you get   - 1   points. 
End of the game is determined by the define target of points or if you down by -10.
Count the number of holes you played.</t>
  </si>
  <si>
    <t>02.04.2015</t>
  </si>
  <si>
    <t>09.04.2015</t>
  </si>
  <si>
    <t>23.04.2015</t>
  </si>
  <si>
    <t>30.04.2015</t>
  </si>
  <si>
    <t>03.04.2015</t>
  </si>
  <si>
    <t>10.04.2015</t>
  </si>
  <si>
    <t>17.04.2015</t>
  </si>
  <si>
    <t>24.04.2015</t>
  </si>
  <si>
    <t>04.04.2015</t>
  </si>
  <si>
    <t>11.04.2015</t>
  </si>
  <si>
    <t>18.04.2015</t>
  </si>
  <si>
    <t>25.04.2015</t>
  </si>
  <si>
    <t>05.04.2015</t>
  </si>
  <si>
    <t>19.04.2015</t>
  </si>
  <si>
    <t>26.04.2015</t>
  </si>
  <si>
    <t>01.04.2015</t>
  </si>
  <si>
    <t>08.04.2015</t>
  </si>
  <si>
    <t>22.04.2015</t>
  </si>
  <si>
    <t>29.04.2015</t>
  </si>
  <si>
    <t>01.05.2015</t>
  </si>
  <si>
    <t>02.05.2015</t>
  </si>
  <si>
    <t>03.05.2015</t>
  </si>
  <si>
    <t>42109</t>
  </si>
  <si>
    <t>MUI_LIC_ROLE_DEMO</t>
  </si>
  <si>
    <t>CM_LIC_MODEL</t>
  </si>
  <si>
    <t>[CM_PlayerName] needs to be the first line !!!</t>
  </si>
  <si>
    <t>CM_LicenseKey_Valid</t>
  </si>
  <si>
    <t>Axel Strebe</t>
  </si>
  <si>
    <t>63F796F300E54C48B875B5D1F1BBB334</t>
  </si>
  <si>
    <t>Pick 10 spots around the green of different difficulty level (short run to the flag
The following scoring system will be used:
Over 2m = 0 points
Withing 2m = 2 points
Within 1m = 4 points
In the hole = 6 points
Whats your score? (Try to beat 40 points)</t>
  </si>
  <si>
    <t>Scramble (a.k.a. Up and Down) from outside the green
==================================================
Chip from outside the green towards different flags on your chipping green. After the chip the ball needs to be putted in the hole.  In this beginner mode, you have one safety life at the beginning of each attempt.
The target desribes the number of successful scrambles you need to makle IN A ROW (!!!).
If you can't make it, your safety life is gone. The next time you fail for an "up and down" in this attempt you need to restart from scratch.</t>
  </si>
  <si>
    <t>Scramble (a.k.a. Up and Down) from outside the green
==================================================
Chip from outside the green towards different flags on your chipping green. After the chip the ball needs to be putted in the hole.
The target desribes the number of successful scrambles you need to makle IN A ROW (!!!).  If you miss only a single  attempt you need to restart from scratch.
YOU ARE NOT ALLOWED TO STOP BEFORE YOU MEET YOUR TARGET !!!</t>
  </si>
  <si>
    <t>Up and Down for 18 holes
=====================
Chip 18x times from outside the green towards different flags on your chipping green. After the chip the ball needs to be putted in the hole. All strokes are cumulated for 18 holes.
If you wonna be hard on you: If you cant make it in your target, restart drill from the beginning.</t>
  </si>
  <si>
    <t>Up and Down for 9 holes from outside the green
=======================================
Chip 9x times from outside the green towards different flags on your chipping green. After the chip the ball needs to be putted in the hole. All strokes are cumulated for 9 holes.
If you wonna be hard on you: If you cant make it in your target, restart drill from the beginning.</t>
  </si>
  <si>
    <t>Up and Down for 18 holes from a distance of app 10m around the green
==================================================================
Chip 18x times from outside the green towards different flags on your chipping green. After the chip the ball needs to be putted in the hole. All strokes are cumulated for 18 holes.
If you wonna be hard on you: If you cant make it in your target, restart drill from the beginning.</t>
  </si>
  <si>
    <t>Up and Down for 9 holes from a distance of app 10m around the green
=================================================================
Chip 18x times from outside the green towards different flags on your chipping green. After the chip the ball needs to be putted in the hole. All strokes are cumulated for 18 holes.
If you wonna be hard on you: If you cant make it in your target, restart drill from the beginning.</t>
  </si>
  <si>
    <t>Scramble (a.k.a. Up and Down) from 10m off the green
==================================================
Chip from outside the green towards different flags on your chipping green. After the chip the ball needs to be putted in the hole.  In this beginner mode, you have one safety life at the beginning of each attempt.
The target desribes the number of successful scrambles you need to makle IN A ROW (!!!).
If you can't make it, your safety life is gone. The next time in the attempt you need to restart from scratch.</t>
  </si>
  <si>
    <t>Scramble (a.k.a. Up and Down) from 10m off the green
==================================================
Chip from outside the green towards different flags on your chipping green. After the chip the ball needs to be putted in the hole.
The target desribes the number of successful scrambles you need to makle IN A ROW (!!!).  If you miss only a single  attempt you need to restart from scratch.
YOU ARE NOT ALLOWED TO STOP BEFORE YOU MEET YOUR TARGET !!!</t>
  </si>
  <si>
    <t>Scramble (a.k.a. Up and Down) from 10m off the green
==================================================
Chip from outside the green towards different flags on your chipping green. After the chip the ball needs to be putted in the hole. 
The target desribes the number of successful scrambles you need to make in total.</t>
  </si>
  <si>
    <t>Scramble (a.k.a. Up and Down) from outside the green
==================================================
Chip from outside the green towards different flags on your chipping green. After the chip the ball needs to be putted in the hole. 
The target desribes the number of successful scrambles you need to make in total.</t>
  </si>
  <si>
    <t>Median of 5 Shots - 9 m  10 yds</t>
  </si>
  <si>
    <t>Median of 5 Shots - 18 m  20 yds</t>
  </si>
  <si>
    <t>Median of 5 Shots -27 m  30 yds</t>
  </si>
  <si>
    <t>Median of 5 Shots - 37 m  40 yds</t>
  </si>
  <si>
    <t>Median of 5 Shots - 46 m  50 yds</t>
  </si>
  <si>
    <t>Median of 5 Shots - 55 m  60yds</t>
  </si>
  <si>
    <t>Median of 5 Shots - 64m  70yds</t>
  </si>
  <si>
    <t>Median of 5 Shots - 73 m  80yds</t>
  </si>
  <si>
    <t>Median of 5 Shots - 82 m 90</t>
  </si>
  <si>
    <t>Median of 5 Shots - 91m  100 yds</t>
  </si>
  <si>
    <t>Frank Dörr</t>
  </si>
  <si>
    <t>CM_LIC_MACAddress</t>
  </si>
  <si>
    <t>Putting Extrem 1</t>
  </si>
  <si>
    <t>Putting Extrem 2</t>
  </si>
  <si>
    <t>Putting Extrem 3</t>
  </si>
  <si>
    <t>Putting Extrem 4</t>
  </si>
  <si>
    <t>Putting Extrem 5</t>
  </si>
  <si>
    <t>Putting Extrem 6</t>
  </si>
  <si>
    <t>Best Ball Putting 1</t>
  </si>
  <si>
    <t>Best Ball Putting 2</t>
  </si>
  <si>
    <t>Best Ball Putting 3</t>
  </si>
  <si>
    <t>Best Ball Putting 4</t>
  </si>
  <si>
    <t>Best Ball Putting 5</t>
  </si>
  <si>
    <t>Best Ball Putting 6</t>
  </si>
  <si>
    <t>WORST Ball Putting 1</t>
  </si>
  <si>
    <t>WORST Ball Putting 2</t>
  </si>
  <si>
    <t>WORST Ball Putting 3</t>
  </si>
  <si>
    <t>WORST Ball Putting 4</t>
  </si>
  <si>
    <t>WORST Ball Putting 5</t>
  </si>
  <si>
    <t>WORST Ball Putting 6</t>
  </si>
  <si>
    <t>Line them Up 4m  10m</t>
  </si>
  <si>
    <t>Line them Up 4m  20m</t>
  </si>
  <si>
    <t>Line them Up 4m  30m</t>
  </si>
  <si>
    <t xml:space="preserve">One Player finds a point on the green where the distance for 5 flags is app. 7,9,11,13 and 15m. 
The start is with 7m, incremental up to 15m. From this spot, you need to put the ball into a  invisible circle of app. 3feet. This will be done twice.
For each ball inside the circle you get 1 point.
Cumulated the points and compare it to the target.
</t>
  </si>
  <si>
    <t>CM_ActivationDate</t>
  </si>
  <si>
    <t>CM_LIC_EXPIRATION_DATE</t>
  </si>
  <si>
    <t>LIC_MULTIPLE_PLAYER_MANAGEMENT</t>
  </si>
  <si>
    <t>LIC_PrintDateLatest</t>
  </si>
  <si>
    <t>LIC_PrintTimeLatest</t>
  </si>
  <si>
    <t>LIC_PrintTimeDelayTime</t>
  </si>
  <si>
    <t>LIC_PrintDateNext</t>
  </si>
  <si>
    <t>LIC_PrintTimeNext</t>
  </si>
  <si>
    <t>LIC_SAVE_TO_PDF</t>
  </si>
  <si>
    <t>LIC_PDFDateLatest</t>
  </si>
  <si>
    <t>LIC_PDFTimeLatest</t>
  </si>
  <si>
    <t>LIC_PDFTimeDelayTime</t>
  </si>
  <si>
    <t>LIC_PDFDateNext</t>
  </si>
  <si>
    <t>LIC_PDFTimeNext</t>
  </si>
  <si>
    <t>LIC_DO_FREQUENT_BACKUPS</t>
  </si>
  <si>
    <t>CM_PlayerTeam</t>
  </si>
  <si>
    <t>LIC_CHANGEABLE_TEAM_NAME</t>
  </si>
  <si>
    <t>LIC_CHANGEABLE_PLAYER_NAME</t>
  </si>
  <si>
    <t>LIC_CHANGEABLE_PLAYER_ID</t>
  </si>
  <si>
    <t>0049-8881-0021084</t>
  </si>
  <si>
    <t>ADD new Player ... Formular and Code Logic</t>
  </si>
  <si>
    <t>MODIFY Player ... Formular and Code Logic</t>
  </si>
  <si>
    <t>Aktuelles WP einem Team zuweisen (ggf. Update) … Team muss eingegeben oder selektiert werden. Für den ersten Schritt muss das Team als Name eingegeben werden. Bedeutet aber auch, dass wir irgendwie jeden Spieler Teams zuordnen können. Ein Spieler kann in mehreren Teams sein. 
Team Formular ist derzeit noch offen. In der aktuellen Version kann man ein Team eintragen. ein Team Management ist derzeit nicht möglich (z.B. copy Template to Team,..)</t>
  </si>
  <si>
    <t>GWPM Import Datei erlaubt diverse Funktion wie Exercise, WP, Results updates … aber auch Dinge wie z.B. Update Player Information, Update Team Information (e.g. rename), Update Modules
Derzeit nur Spielergebnisse und Config übertrag möglich. CM Info … Was passiert damit . Nochmal nachschauen, dass beim einem Trainer nicht die CM Tab zerschossen wird.</t>
  </si>
  <si>
    <t>Update Modules muss im Basis Paket bereits integriert sein… siehe MEETING MINUTES Konzept
Aktuell geht das ganze einen anderen Weg. Falls ein Update notwendig ist, so wird die Datei und CM gespeichert. Der Spieler lädt sich die neuste Version und lädt seine CM und DB wieder neu rein.
NOCHMAL PRÜFEN OB DAS AUCH SO FUNKTIONIERT</t>
  </si>
  <si>
    <t>Speichere alle Menu Zustände die Du veränderst … beim schliessen sollte EXCEL auf den alten Zustand zurückgesetzt werden</t>
  </si>
  <si>
    <t>Kopieren des angezeigten Workplans auf neues Datum.
 - Eintrag in DBR, neue WPID, Lösche Result und RealDuration Feld
=&gt; wird durch STORE ermöglicht, wenn der Anwender ein neues Datum einträgt</t>
  </si>
  <si>
    <t>Update eines Workout Plans =&gt; Speichern in DBR
Was passiert, wenn ein Anwender die Daten ändert und einen neuen Workplan lädt.
Wir müssen bei LOAD oder TAB CARD wechsel prüfen, ob die RESULTS oder TIME USAGE sich verändert hat.
Bei Eintritt bzw. beim Load eines Workplan sich die alten Daten merken und CHANGE EVENT abfragen</t>
  </si>
  <si>
    <t>Lock "Name Manager" call up
Andere Weg … die Namen sind unsichtbar. Da man aber in einem Debug Fenster die unsichtbar rückgängig machen könnte, wäre ein 2. Sicherheitsweg sinnvoll.</t>
  </si>
  <si>
    <t xml:space="preserve">Ein Trainer soll die Möglichkeit haben sich für den aktuellen Workplan das ganze in groß ausdrucken zu lassen n(mit HCP Umrechnungstabelle). Was bedeutet, dass wir ca. 2-4 Aufträge haben können. Die zusätzlich Information für den Trainer ist aber, dass er unten für alle Handicaps die Zielvorgabe sieht. Das bedeutet, wenn ein Spieler fragt, was er mit seinem Ergebnis für ein Handicap hat, dann kann der Trainer im sofort eine ungefähre Antwort geben. Ausserdem kann er immer einem Spieler sein Ziel geben, der vielleicht seinen Ausdruck vergessen hat. </t>
  </si>
  <si>
    <t>SEND Funktion direkt aus Tool heraus zum übertragen des WP an Spieler
… OK für Outlook … wird aber schwieriger, wenn man andere EMAIL Clients hat</t>
  </si>
  <si>
    <t>Sendet DIREKT RESULTS eines Spielers an den Trainer mit anonymen Informationen (um HCP/Dauer einer Übung festzustellen)</t>
  </si>
  <si>
    <t>Sendet DIREKT RESULTS eines Spielers an den Trainer mit persönlichen Informationen</t>
  </si>
  <si>
    <t>Beim Speichern werden Player Name und das rechte Feld PLAYER ID daneben nicht übernommen. Öffnet man mit LOAD erneut, sind diese Felder leer. Anzeige Fehler oder Speicherfehler?
Korrigiert</t>
  </si>
  <si>
    <t xml:space="preserve">When leaving the WB Viewer OR LOADING another Workplan, check for changes and save them, before you go to the desired target.
</t>
  </si>
  <si>
    <t>License Code in DBR verschlüsselt (=encoded) abspeichern, so dass wir ggf. wissen, von wem eine Übung eingereicht wurde. Der License Key soll also auch eine eindeutige UserKennung beinhalten.  Global Unique Identifier verwenden?
Die USER ID ist dem Schlüssel angehängt.</t>
  </si>
  <si>
    <t>Subroutine für die Auslieferung
- Hide ALL Names
- Clear CM 
- Clear CM Formular
- Clear DB
- Hide Tab Cards</t>
  </si>
  <si>
    <t>Application.EventsEnable sollte nicht seperate stehen sondern immer über das Macro pushApplicationMode gesetzt werden. So kann man später das zurücksetzen vereinfachen.</t>
  </si>
  <si>
    <t>Handicap darf innerhalb eines Monats nicht mehr als 1 HCP Punkt nach oben korrigiert werden. 
Grund: Verhinderung der Anwendung für mehrere Spieler
Das heisst, nach unten geht es beliebig, aber man kann es nicht zurücksetzen. Dadurch wird verhindert, dass einer das HCP für einen anderen Spieler eingibt und dann wieder für sich zurücksetzen.</t>
  </si>
  <si>
    <t>PLAYER NAME ändern … komplette Datenbank wird bei einer SINGLE USER Lizense auf diesen Namen zurückgesetzt.</t>
  </si>
  <si>
    <t>CM Form</t>
  </si>
  <si>
    <t>Im ConfigManager Formular soll sich die Farbe wechseln, wenn der LIC Key eingegeben wird.
Sollte schon vorhanden sein … prüfen</t>
  </si>
  <si>
    <t>Abspeichern der Änderung aus CM Form am Ende prüfen. Wenn unser am Ende CANCEL drückt, werden die Änderungen nicht übernommen.
Prüfen…</t>
  </si>
  <si>
    <t>Beim Schliesen des Fenster kommt die Fehlermeldung, dass veränderte Daten nicht abgespeichert werden, obwohl gar keine Änderungen abgelegt wurde.
Es wird geprüft, ob sich die Einträge verglichen mit der CM TAB verändert haben</t>
  </si>
  <si>
    <t>Yes</t>
  </si>
  <si>
    <t>20150712_78.486</t>
  </si>
  <si>
    <t>20150719_35.418</t>
  </si>
  <si>
    <t>20150719_36.169</t>
  </si>
  <si>
    <t>LIC_EXPIRATION_DATE</t>
  </si>
  <si>
    <t>LIC_PURCHASE_DATE</t>
  </si>
  <si>
    <t>LIC_ADDITIONAL_DAYS</t>
  </si>
  <si>
    <t>LIC_MAX_EXERCISES_IN_WORKPLAN</t>
  </si>
  <si>
    <t>LIC_LIMIT_IMPORT_PLAYERS</t>
  </si>
  <si>
    <t>0049</t>
  </si>
  <si>
    <t>0049-8881-3625</t>
  </si>
  <si>
    <t>LIC_LatestUsedDate</t>
  </si>
  <si>
    <t>LIC_BLOCKED_LICENSE</t>
  </si>
  <si>
    <t>LIC_BLOCKED_LICENSE_REASON</t>
  </si>
  <si>
    <t>HOME PAGE</t>
  </si>
  <si>
    <t>At the home page, the user may save the current changes or import his records to the local file systems. This small file can be sent to his coach. The file is located in a subfolder call EXPORT, wherever his Golf Workplan Manager EXCEL file resides.
To import templates or former own records files need to be stored in the subfolder IMPORT. When pressing the IMPORT Button, the system will load his assigned templates or former records. Only records of himself are allowed in a Player license.</t>
  </si>
  <si>
    <r>
      <rPr>
        <b/>
        <u/>
        <sz val="11"/>
        <color theme="1"/>
        <rFont val="Calibri"/>
        <family val="2"/>
        <scheme val="minor"/>
      </rPr>
      <t>Technic</t>
    </r>
    <r>
      <rPr>
        <sz val="11"/>
        <color theme="1"/>
        <rFont val="Calibri"/>
        <family val="2"/>
        <scheme val="minor"/>
      </rPr>
      <t xml:space="preserve">:     Exercises to improve the technique of your stroke
</t>
    </r>
    <r>
      <rPr>
        <b/>
        <u/>
        <sz val="11"/>
        <color theme="1"/>
        <rFont val="Calibri"/>
        <family val="2"/>
        <scheme val="minor"/>
      </rPr>
      <t>Drill</t>
    </r>
    <r>
      <rPr>
        <sz val="11"/>
        <color theme="1"/>
        <rFont val="Calibri"/>
        <family val="2"/>
        <scheme val="minor"/>
      </rPr>
      <t xml:space="preserve">:           Exercises allowing you to practive special strokes
</t>
    </r>
    <r>
      <rPr>
        <b/>
        <u/>
        <sz val="11"/>
        <color theme="1"/>
        <rFont val="Calibri"/>
        <family val="2"/>
        <scheme val="minor"/>
      </rPr>
      <t>Challange</t>
    </r>
    <r>
      <rPr>
        <sz val="11"/>
        <color theme="1"/>
        <rFont val="Calibri"/>
        <family val="2"/>
        <scheme val="minor"/>
      </rPr>
      <t xml:space="preserve">:  Exercises, with a clearly defined target. You need to commit yourself NOT to stop before hand. The pressue will increase and you need to fight against any upcoming obstructing feeling
</t>
    </r>
    <r>
      <rPr>
        <b/>
        <u/>
        <sz val="11"/>
        <color theme="1"/>
        <rFont val="Calibri"/>
        <family val="2"/>
        <scheme val="minor"/>
      </rPr>
      <t>Test</t>
    </r>
    <r>
      <rPr>
        <sz val="11"/>
        <color theme="1"/>
        <rFont val="Calibri"/>
        <family val="2"/>
        <scheme val="minor"/>
      </rPr>
      <t xml:space="preserve">:           Exercises, with a clear target compared to your handicap. The resulting handicap will be calculated and a good benchmark of the current status of this exercises topic will be result.
</t>
    </r>
    <r>
      <rPr>
        <b/>
        <u/>
        <sz val="11"/>
        <color theme="1"/>
        <rFont val="Calibri"/>
        <family val="2"/>
        <scheme val="minor"/>
      </rPr>
      <t>Best</t>
    </r>
    <r>
      <rPr>
        <sz val="11"/>
        <color theme="1"/>
        <rFont val="Calibri"/>
        <family val="2"/>
        <scheme val="minor"/>
      </rPr>
      <t>:           For this exercise the target is to gain better personal results than ever before. The system will track your performance and calculate the best performance so far as a new target.</t>
    </r>
  </si>
  <si>
    <t>LIC_EXPORT_FUNCTION_AVAILABLE</t>
  </si>
  <si>
    <t>DEFAULT</t>
  </si>
  <si>
    <t>LIMITED TIME USAGE</t>
  </si>
  <si>
    <t>Max</t>
  </si>
  <si>
    <t>Mustermann</t>
  </si>
  <si>
    <t>4711</t>
  </si>
  <si>
    <t>000007</t>
  </si>
  <si>
    <t>0049-4711-000007</t>
  </si>
  <si>
    <t>max.mustermann@emailnotgood.com</t>
  </si>
  <si>
    <t>favouritecoach@emailnotgood.com</t>
  </si>
  <si>
    <t>C64B810F3D31463D96286DE5E306ED43</t>
  </si>
  <si>
    <t>LCJHGB-QDMIBD-BBFCBC-BJBCBI-IGDFKI-IDBGBO-PDBKKF-PLJBFH-BOLQFM-EQGBGD-C64B81-0F3D31-463D96-286DE5-E306ED-43</t>
  </si>
  <si>
    <t>94:DE:80:AF:46:EA</t>
  </si>
  <si>
    <t>-9,2</t>
  </si>
  <si>
    <t>The WORKPLAN GENERATOR has two main section: the SELECTION and the WORKPLAN BUNDLE area.
The Selection Area allows you to filter the complete list of available of exercises. With a single click on a line, you get the current selected exercises displayed in more detailed in the WORKPLAN BUNDLE area. With a double click the information will be also displayed in detailed, but in addition, the EXERCISE ID will be automatically added to the WORKPLAN BUNDLE list on top of the BUNDLE area.
In the WORKPLAN BUNDLE you see on the top left side a ACTUAL and 0 to n TAB CARDs labeled by the Exercises ID.
With the ADD button, you can add the current viewed Exercises ID to the Workplan IDs. 
With the DELETE Button, you can remove the current
In the DEMO Version you are allowed to enter two Drills into a workplan. PLAYERs may add up to 6 drills.</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</si>
</sst>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164" formatCode="d/m/yy;@"/>
    <numFmt numFmtId="165" formatCode="\+0;\-0"/>
    <numFmt numFmtId="166" formatCode="[$-407]d/\ mmm/\ yy;@"/>
    <numFmt numFmtId="167" formatCode="#\'"/>
    <numFmt numFmtId="168" formatCode="0.0"/>
    <numFmt numFmtId="169" formatCode="General\."/>
    <numFmt numFmtId="170" formatCode="\+\ 0%;\ \ \-\ 0%"/>
    <numFmt numFmtId="171" formatCode="#\';\ #\';&quot;&quot;"/>
    <numFmt numFmtId="172" formatCode="#\';#\';&quot;&quot;"/>
    <numFmt numFmtId="173" formatCode="\+0.0;\-0.0"/>
    <numFmt numFmtId="174" formatCode="[$-407]mmmm\ yy;@"/>
    <numFmt numFmtId="175" formatCode="[Blue]\+0;[Red]\-0"/>
    <numFmt numFmtId="176" formatCode="0.0000000000"/>
    <numFmt numFmtId="177" formatCode="0.0000"/>
  </numFmts>
  <fonts count="70" x14ac:knownFonts="1">
    <font>
      <sz val="11"/>
      <color theme="1"/>
      <name val="Calibri"/>
      <family val="2"/>
      <scheme val="minor"/>
    </font>
    <font>
      <sz val="11"/>
      <color theme="0"/>
      <name val="Calibri"/>
      <family val="2"/>
      <scheme val="minor"/>
    </font>
    <font>
      <sz val="22"/>
      <color theme="0"/>
      <name val="Calibri"/>
      <family val="2"/>
      <scheme val="minor"/>
    </font>
    <font>
      <sz val="11"/>
      <color rgb="FF002060"/>
      <name val="Calibri"/>
      <family val="2"/>
      <scheme val="minor"/>
    </font>
    <font>
      <b/>
      <sz val="28"/>
      <color theme="0"/>
      <name val="Calibri"/>
      <family val="2"/>
      <scheme val="minor"/>
    </font>
    <font>
      <sz val="9"/>
      <color indexed="81"/>
      <name val="Segoe UI"/>
      <family val="2"/>
    </font>
    <font>
      <sz val="8"/>
      <color theme="1"/>
      <name val="Calibri"/>
      <family val="2"/>
      <scheme val="minor"/>
    </font>
    <font>
      <sz val="10"/>
      <color theme="1"/>
      <name val="Calibri"/>
      <family val="2"/>
      <scheme val="minor"/>
    </font>
    <font>
      <sz val="12"/>
      <color theme="1"/>
      <name val="Calibri"/>
      <family val="2"/>
      <scheme val="minor"/>
    </font>
    <font>
      <sz val="28"/>
      <color theme="1"/>
      <name val="Calibri"/>
      <family val="2"/>
      <scheme val="minor"/>
    </font>
    <font>
      <b/>
      <i/>
      <sz val="28"/>
      <color theme="0"/>
      <name val="Calibri"/>
      <family val="2"/>
      <scheme val="minor"/>
    </font>
    <font>
      <sz val="10"/>
      <color theme="0"/>
      <name val="Calibri"/>
      <family val="2"/>
      <scheme val="minor"/>
    </font>
    <font>
      <u/>
      <sz val="10"/>
      <color theme="1"/>
      <name val="Calibri"/>
      <family val="2"/>
      <scheme val="minor"/>
    </font>
    <font>
      <sz val="18"/>
      <color theme="1"/>
      <name val="Calibri"/>
      <family val="2"/>
      <scheme val="minor"/>
    </font>
    <font>
      <b/>
      <i/>
      <u/>
      <sz val="11"/>
      <color theme="1"/>
      <name val="Calibri"/>
      <family val="2"/>
      <scheme val="minor"/>
    </font>
    <font>
      <b/>
      <i/>
      <sz val="28"/>
      <color rgb="FF002060"/>
      <name val="Calibri"/>
      <family val="2"/>
      <scheme val="minor"/>
    </font>
    <font>
      <sz val="11"/>
      <color theme="3"/>
      <name val="Calibri"/>
      <family val="2"/>
      <scheme val="minor"/>
    </font>
    <font>
      <sz val="24"/>
      <color theme="1"/>
      <name val="Calibri"/>
      <family val="2"/>
      <scheme val="minor"/>
    </font>
    <font>
      <u/>
      <sz val="11"/>
      <color theme="10"/>
      <name val="Calibri"/>
      <family val="2"/>
      <scheme val="minor"/>
    </font>
    <font>
      <b/>
      <i/>
      <sz val="12"/>
      <color theme="0"/>
      <name val="Calibri"/>
      <family val="2"/>
      <scheme val="minor"/>
    </font>
    <font>
      <b/>
      <sz val="18"/>
      <color theme="0"/>
      <name val="Calibri"/>
      <family val="2"/>
      <scheme val="minor"/>
    </font>
    <font>
      <sz val="14"/>
      <color theme="1"/>
      <name val="Calibri"/>
      <family val="2"/>
      <scheme val="minor"/>
    </font>
    <font>
      <u/>
      <sz val="12"/>
      <color theme="10"/>
      <name val="Calibri"/>
      <family val="2"/>
      <scheme val="minor"/>
    </font>
    <font>
      <sz val="9"/>
      <color rgb="FF393939"/>
      <name val="Georgia"/>
      <family val="1"/>
    </font>
    <font>
      <sz val="42.45"/>
      <color rgb="FF606060"/>
      <name val="Arial"/>
      <family val="2"/>
    </font>
    <font>
      <b/>
      <i/>
      <sz val="14"/>
      <color theme="0"/>
      <name val="Calibri"/>
      <family val="2"/>
      <scheme val="minor"/>
    </font>
    <font>
      <b/>
      <i/>
      <sz val="10"/>
      <color theme="0"/>
      <name val="Calibri"/>
      <family val="2"/>
      <scheme val="minor"/>
    </font>
    <font>
      <b/>
      <i/>
      <sz val="10"/>
      <color theme="3"/>
      <name val="Calibri"/>
      <family val="2"/>
      <scheme val="minor"/>
    </font>
    <font>
      <b/>
      <i/>
      <sz val="14"/>
      <color theme="3"/>
      <name val="Calibri"/>
      <family val="2"/>
      <scheme val="minor"/>
    </font>
    <font>
      <b/>
      <i/>
      <sz val="12"/>
      <color theme="3"/>
      <name val="Calibri"/>
      <family val="2"/>
      <scheme val="minor"/>
    </font>
    <font>
      <sz val="11"/>
      <color theme="1"/>
      <name val="Calibri"/>
      <family val="2"/>
      <scheme val="minor"/>
    </font>
    <font>
      <b/>
      <i/>
      <sz val="10"/>
      <color rgb="FF002060"/>
      <name val="Calibri"/>
      <family val="2"/>
      <scheme val="minor"/>
    </font>
    <font>
      <b/>
      <i/>
      <sz val="14"/>
      <color rgb="FF002060"/>
      <name val="Calibri"/>
      <family val="2"/>
      <scheme val="minor"/>
    </font>
    <font>
      <b/>
      <i/>
      <sz val="14"/>
      <color rgb="FF7030A0"/>
      <name val="Calibri"/>
      <family val="2"/>
      <scheme val="minor"/>
    </font>
    <font>
      <b/>
      <sz val="26"/>
      <color rgb="FF0070C0"/>
      <name val="Calibri"/>
      <family val="2"/>
      <scheme val="minor"/>
    </font>
    <font>
      <sz val="20"/>
      <color rgb="FF002060"/>
      <name val="Calibri"/>
      <family val="2"/>
      <scheme val="minor"/>
    </font>
    <font>
      <b/>
      <i/>
      <sz val="20"/>
      <color theme="0"/>
      <name val="Calibri"/>
      <family val="2"/>
      <scheme val="minor"/>
    </font>
    <font>
      <b/>
      <i/>
      <sz val="36"/>
      <color theme="0"/>
      <name val="Calibri"/>
      <family val="2"/>
      <scheme val="minor"/>
    </font>
    <font>
      <sz val="36"/>
      <color theme="1"/>
      <name val="Calibri"/>
      <family val="2"/>
      <scheme val="minor"/>
    </font>
    <font>
      <b/>
      <sz val="24"/>
      <color rgb="FF0070C0"/>
      <name val="Calibri"/>
      <family val="2"/>
      <scheme val="minor"/>
    </font>
    <font>
      <sz val="26"/>
      <color rgb="FF002060"/>
      <name val="Calibri"/>
      <family val="2"/>
      <scheme val="minor"/>
    </font>
    <font>
      <sz val="18"/>
      <color rgb="FF002060"/>
      <name val="Calibri"/>
      <family val="2"/>
      <scheme val="minor"/>
    </font>
    <font>
      <b/>
      <sz val="48"/>
      <color rgb="FF002060"/>
      <name val="Calibri"/>
      <family val="2"/>
      <scheme val="minor"/>
    </font>
    <font>
      <b/>
      <sz val="10"/>
      <color theme="3"/>
      <name val="Calibri"/>
      <family val="2"/>
      <scheme val="minor"/>
    </font>
    <font>
      <b/>
      <sz val="10"/>
      <color theme="0"/>
      <name val="Calibri"/>
      <family val="2"/>
      <scheme val="minor"/>
    </font>
    <font>
      <b/>
      <sz val="24"/>
      <color rgb="FF002060"/>
      <name val="Calibri"/>
      <family val="2"/>
      <scheme val="minor"/>
    </font>
    <font>
      <b/>
      <sz val="24"/>
      <color theme="0"/>
      <name val="Calibri"/>
      <family val="2"/>
      <scheme val="minor"/>
    </font>
    <font>
      <sz val="24"/>
      <color rgb="FF0070C0"/>
      <name val="Calibri"/>
      <family val="2"/>
      <scheme val="minor"/>
    </font>
    <font>
      <b/>
      <sz val="20"/>
      <color rgb="FF0070C0"/>
      <name val="Calibri"/>
      <family val="2"/>
      <scheme val="minor"/>
    </font>
    <font>
      <b/>
      <sz val="9"/>
      <color indexed="81"/>
      <name val="Segoe UI"/>
      <family val="2"/>
    </font>
    <font>
      <b/>
      <sz val="11"/>
      <color theme="1"/>
      <name val="Calibri"/>
      <family val="2"/>
      <scheme val="minor"/>
    </font>
    <font>
      <sz val="20"/>
      <color theme="1"/>
      <name val="Calibri"/>
      <family val="2"/>
      <scheme val="minor"/>
    </font>
    <font>
      <b/>
      <i/>
      <sz val="18"/>
      <color theme="0"/>
      <name val="Calibri"/>
      <family val="2"/>
      <scheme val="minor"/>
    </font>
    <font>
      <b/>
      <i/>
      <sz val="9"/>
      <color theme="0"/>
      <name val="Calibri"/>
      <family val="2"/>
      <scheme val="minor"/>
    </font>
    <font>
      <b/>
      <sz val="12"/>
      <color theme="1"/>
      <name val="Calibri"/>
      <family val="2"/>
      <scheme val="minor"/>
    </font>
    <font>
      <b/>
      <i/>
      <sz val="24"/>
      <color rgb="FF0070C0"/>
      <name val="Calibri"/>
      <family val="2"/>
      <scheme val="minor"/>
    </font>
    <font>
      <b/>
      <u/>
      <sz val="11"/>
      <color theme="1"/>
      <name val="Calibri"/>
      <family val="2"/>
      <scheme val="minor"/>
    </font>
    <font>
      <b/>
      <sz val="18"/>
      <color rgb="FF002060"/>
      <name val="Calibri"/>
      <family val="2"/>
      <scheme val="minor"/>
    </font>
    <font>
      <b/>
      <sz val="11"/>
      <color rgb="FF002060"/>
      <name val="Calibri"/>
      <family val="2"/>
      <scheme val="minor"/>
    </font>
    <font>
      <b/>
      <sz val="11"/>
      <color rgb="FF0070C0"/>
      <name val="Calibri"/>
      <family val="2"/>
      <scheme val="minor"/>
    </font>
    <font>
      <b/>
      <sz val="10"/>
      <color rgb="FF002060"/>
      <name val="Calibri"/>
      <family val="2"/>
      <scheme val="minor"/>
    </font>
    <font>
      <b/>
      <i/>
      <sz val="12"/>
      <color rgb="FF002060"/>
      <name val="Calibri"/>
      <family val="2"/>
      <scheme val="minor"/>
    </font>
    <font>
      <i/>
      <sz val="18"/>
      <color theme="0"/>
      <name val="Calibri"/>
      <family val="2"/>
      <scheme val="minor"/>
    </font>
    <font>
      <i/>
      <sz val="20"/>
      <color theme="0"/>
      <name val="Calibri"/>
      <family val="2"/>
      <scheme val="minor"/>
    </font>
    <font>
      <b/>
      <sz val="11"/>
      <color theme="0"/>
      <name val="Calibri"/>
      <family val="2"/>
      <scheme val="minor"/>
    </font>
    <font>
      <sz val="11"/>
      <color rgb="FF7030A0"/>
      <name val="Calibri"/>
      <family val="2"/>
      <scheme val="minor"/>
    </font>
    <font>
      <sz val="9"/>
      <color theme="1"/>
      <name val="Calibri"/>
      <family val="2"/>
      <scheme val="minor"/>
    </font>
    <font>
      <b/>
      <i/>
      <sz val="48"/>
      <color theme="0"/>
      <name val="Calibri"/>
      <family val="2"/>
      <scheme val="minor"/>
    </font>
    <font>
      <b/>
      <sz val="28"/>
      <color theme="3"/>
      <name val="Calibri"/>
      <family val="2"/>
      <scheme val="minor"/>
    </font>
    <font>
      <b/>
      <sz val="18"/>
      <color rgb="FF0070C0"/>
      <name val="Calibri"/>
      <family val="2"/>
      <scheme val="minor"/>
    </font>
  </fonts>
  <fills count="34">
    <fill>
      <patternFill patternType="none"/>
    </fill>
    <fill>
      <patternFill patternType="gray125"/>
    </fill>
    <fill>
      <patternFill patternType="solid">
        <fgColor theme="4" tint="-0.249977111117893"/>
        <bgColor indexed="64"/>
      </patternFill>
    </fill>
    <fill>
      <patternFill patternType="solid">
        <fgColor theme="4" tint="0.59999389629810485"/>
        <bgColor indexed="64"/>
      </patternFill>
    </fill>
    <fill>
      <patternFill patternType="solid">
        <fgColor theme="3" tint="0.59999389629810485"/>
        <bgColor indexed="64"/>
      </patternFill>
    </fill>
    <fill>
      <patternFill patternType="solid">
        <fgColor rgb="FFFFC000"/>
        <bgColor indexed="64"/>
      </patternFill>
    </fill>
    <fill>
      <patternFill patternType="solid">
        <fgColor rgb="FFFF0000"/>
        <bgColor indexed="64"/>
      </patternFill>
    </fill>
    <fill>
      <patternFill patternType="solid">
        <fgColor rgb="FF00206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theme="4" tint="0.39997558519241921"/>
        <bgColor indexed="64"/>
      </patternFill>
    </fill>
    <fill>
      <patternFill patternType="solid">
        <fgColor rgb="FFFFFFCC"/>
        <bgColor indexed="64"/>
      </patternFill>
    </fill>
    <fill>
      <patternFill patternType="solid">
        <fgColor theme="0"/>
        <bgColor indexed="64"/>
      </patternFill>
    </fill>
    <fill>
      <patternFill patternType="solid">
        <fgColor theme="6" tint="0.39997558519241921"/>
        <bgColor indexed="64"/>
      </patternFill>
    </fill>
    <fill>
      <patternFill patternType="solid">
        <fgColor theme="8" tint="-0.249977111117893"/>
        <bgColor indexed="64"/>
      </patternFill>
    </fill>
    <fill>
      <patternFill patternType="solid">
        <fgColor theme="7" tint="0.39997558519241921"/>
        <bgColor indexed="64"/>
      </patternFill>
    </fill>
    <fill>
      <patternFill patternType="solid">
        <fgColor theme="5" tint="0.79998168889431442"/>
        <bgColor indexed="64"/>
      </patternFill>
    </fill>
    <fill>
      <patternFill patternType="solid">
        <fgColor theme="3" tint="-0.249977111117893"/>
        <bgColor indexed="64"/>
      </patternFill>
    </fill>
    <fill>
      <patternFill patternType="solid">
        <fgColor theme="4" tint="-0.499984740745262"/>
        <bgColor indexed="64"/>
      </patternFill>
    </fill>
    <fill>
      <patternFill patternType="solid">
        <fgColor theme="7" tint="0.79998168889431442"/>
        <bgColor indexed="64"/>
      </patternFill>
    </fill>
    <fill>
      <patternFill patternType="solid">
        <fgColor rgb="FF7030A0"/>
        <bgColor indexed="64"/>
      </patternFill>
    </fill>
    <fill>
      <patternFill patternType="solid">
        <fgColor theme="0" tint="-4.9989318521683403E-2"/>
        <bgColor indexed="64"/>
      </patternFill>
    </fill>
    <fill>
      <patternFill patternType="solid">
        <fgColor theme="9" tint="-0.24994659260841701"/>
        <bgColor indexed="64"/>
      </patternFill>
    </fill>
    <fill>
      <patternFill patternType="solid">
        <fgColor theme="3" tint="0.39997558519241921"/>
        <bgColor indexed="64"/>
      </patternFill>
    </fill>
    <fill>
      <patternFill patternType="solid">
        <fgColor theme="6" tint="-0.249977111117893"/>
        <bgColor indexed="64"/>
      </patternFill>
    </fill>
    <fill>
      <patternFill patternType="solid">
        <fgColor rgb="FF00B0F0"/>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2" tint="-0.49998474074526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7" tint="0.39994506668294322"/>
        <bgColor indexed="64"/>
      </patternFill>
    </fill>
  </fills>
  <borders count="8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style="thick">
        <color rgb="FF002060"/>
      </left>
      <right style="thin">
        <color rgb="FF002060"/>
      </right>
      <top style="thick">
        <color rgb="FF002060"/>
      </top>
      <bottom style="thin">
        <color rgb="FF002060"/>
      </bottom>
      <diagonal/>
    </border>
    <border>
      <left style="thin">
        <color rgb="FF002060"/>
      </left>
      <right style="thin">
        <color rgb="FF002060"/>
      </right>
      <top style="thick">
        <color rgb="FF002060"/>
      </top>
      <bottom style="thin">
        <color rgb="FF002060"/>
      </bottom>
      <diagonal/>
    </border>
    <border>
      <left style="thin">
        <color rgb="FF002060"/>
      </left>
      <right style="thick">
        <color rgb="FF002060"/>
      </right>
      <top style="thick">
        <color rgb="FF002060"/>
      </top>
      <bottom style="thin">
        <color rgb="FF002060"/>
      </bottom>
      <diagonal/>
    </border>
    <border>
      <left style="thick">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thin">
        <color rgb="FF002060"/>
      </left>
      <right style="thick">
        <color rgb="FF002060"/>
      </right>
      <top style="thin">
        <color rgb="FF002060"/>
      </top>
      <bottom style="thin">
        <color rgb="FF002060"/>
      </bottom>
      <diagonal/>
    </border>
    <border>
      <left style="thick">
        <color rgb="FF002060"/>
      </left>
      <right style="thin">
        <color rgb="FF002060"/>
      </right>
      <top style="thin">
        <color rgb="FF002060"/>
      </top>
      <bottom style="thick">
        <color rgb="FF002060"/>
      </bottom>
      <diagonal/>
    </border>
    <border>
      <left style="thin">
        <color rgb="FF002060"/>
      </left>
      <right style="thin">
        <color rgb="FF002060"/>
      </right>
      <top style="thin">
        <color rgb="FF002060"/>
      </top>
      <bottom style="thick">
        <color rgb="FF002060"/>
      </bottom>
      <diagonal/>
    </border>
    <border>
      <left style="thin">
        <color rgb="FF002060"/>
      </left>
      <right style="thick">
        <color rgb="FF002060"/>
      </right>
      <top style="thin">
        <color rgb="FF002060"/>
      </top>
      <bottom style="thick">
        <color rgb="FF002060"/>
      </bottom>
      <diagonal/>
    </border>
    <border>
      <left style="thick">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rgb="FF002060"/>
      </left>
      <right style="thick">
        <color rgb="FF002060"/>
      </right>
      <top/>
      <bottom style="thin">
        <color rgb="FF002060"/>
      </bottom>
      <diagonal/>
    </border>
    <border>
      <left style="medium">
        <color indexed="64"/>
      </left>
      <right style="thin">
        <color rgb="FF002060"/>
      </right>
      <top style="medium">
        <color indexed="64"/>
      </top>
      <bottom style="thin">
        <color rgb="FF002060"/>
      </bottom>
      <diagonal/>
    </border>
    <border>
      <left style="thin">
        <color rgb="FF002060"/>
      </left>
      <right style="thin">
        <color rgb="FF002060"/>
      </right>
      <top style="medium">
        <color indexed="64"/>
      </top>
      <bottom style="thin">
        <color rgb="FF002060"/>
      </bottom>
      <diagonal/>
    </border>
    <border>
      <left style="thin">
        <color rgb="FF002060"/>
      </left>
      <right style="medium">
        <color indexed="64"/>
      </right>
      <top style="medium">
        <color indexed="64"/>
      </top>
      <bottom style="thin">
        <color rgb="FF002060"/>
      </bottom>
      <diagonal/>
    </border>
    <border>
      <left style="medium">
        <color indexed="64"/>
      </left>
      <right style="thin">
        <color rgb="FF002060"/>
      </right>
      <top style="thin">
        <color rgb="FF002060"/>
      </top>
      <bottom style="thin">
        <color rgb="FF002060"/>
      </bottom>
      <diagonal/>
    </border>
    <border>
      <left style="thin">
        <color rgb="FF002060"/>
      </left>
      <right style="medium">
        <color indexed="64"/>
      </right>
      <top style="thin">
        <color rgb="FF002060"/>
      </top>
      <bottom style="thin">
        <color rgb="FF002060"/>
      </bottom>
      <diagonal/>
    </border>
    <border>
      <left style="medium">
        <color indexed="64"/>
      </left>
      <right style="thin">
        <color rgb="FF002060"/>
      </right>
      <top style="thin">
        <color rgb="FF002060"/>
      </top>
      <bottom style="medium">
        <color indexed="64"/>
      </bottom>
      <diagonal/>
    </border>
    <border>
      <left style="thin">
        <color rgb="FF002060"/>
      </left>
      <right style="thin">
        <color rgb="FF002060"/>
      </right>
      <top style="thin">
        <color rgb="FF002060"/>
      </top>
      <bottom style="medium">
        <color indexed="64"/>
      </bottom>
      <diagonal/>
    </border>
    <border>
      <left style="thin">
        <color rgb="FF002060"/>
      </left>
      <right style="medium">
        <color indexed="64"/>
      </right>
      <top style="thin">
        <color rgb="FF002060"/>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rgb="FF002060"/>
      </left>
      <right/>
      <top style="thin">
        <color rgb="FF002060"/>
      </top>
      <bottom style="thin">
        <color rgb="FF002060"/>
      </bottom>
      <diagonal/>
    </border>
    <border>
      <left/>
      <right/>
      <top style="thin">
        <color rgb="FF002060"/>
      </top>
      <bottom style="thin">
        <color rgb="FF002060"/>
      </bottom>
      <diagonal/>
    </border>
    <border>
      <left/>
      <right style="thin">
        <color rgb="FF002060"/>
      </right>
      <top style="thin">
        <color rgb="FF002060"/>
      </top>
      <bottom style="thin">
        <color rgb="FF002060"/>
      </bottom>
      <diagonal/>
    </border>
    <border>
      <left style="medium">
        <color indexed="64"/>
      </left>
      <right style="thin">
        <color rgb="FF002060"/>
      </right>
      <top style="thin">
        <color rgb="FF002060"/>
      </top>
      <bottom/>
      <diagonal/>
    </border>
    <border>
      <left style="thin">
        <color rgb="FF002060"/>
      </left>
      <right style="thin">
        <color rgb="FF002060"/>
      </right>
      <top style="thin">
        <color rgb="FF002060"/>
      </top>
      <bottom/>
      <diagonal/>
    </border>
    <border>
      <left style="thin">
        <color rgb="FF002060"/>
      </left>
      <right style="medium">
        <color indexed="64"/>
      </right>
      <top style="thin">
        <color rgb="FF002060"/>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theme="0"/>
      </bottom>
      <diagonal/>
    </border>
    <border>
      <left style="thin">
        <color rgb="FF002060"/>
      </left>
      <right/>
      <top style="thin">
        <color rgb="FF002060"/>
      </top>
      <bottom/>
      <diagonal/>
    </border>
    <border>
      <left/>
      <right/>
      <top style="thin">
        <color rgb="FF002060"/>
      </top>
      <bottom/>
      <diagonal/>
    </border>
    <border>
      <left style="thin">
        <color rgb="FF002060"/>
      </left>
      <right/>
      <top/>
      <bottom style="thin">
        <color theme="0"/>
      </bottom>
      <diagonal/>
    </border>
    <border>
      <left/>
      <right style="thin">
        <color theme="0"/>
      </right>
      <top style="thin">
        <color rgb="FF002060"/>
      </top>
      <bottom/>
      <diagonal/>
    </border>
    <border>
      <left/>
      <right style="thin">
        <color theme="0"/>
      </right>
      <top/>
      <bottom style="thin">
        <color theme="0"/>
      </bottom>
      <diagonal/>
    </border>
    <border>
      <left/>
      <right style="thin">
        <color rgb="FF002060"/>
      </right>
      <top style="thin">
        <color rgb="FF002060"/>
      </top>
      <bottom/>
      <diagonal/>
    </border>
    <border>
      <left style="thin">
        <color rgb="FF002060"/>
      </left>
      <right/>
      <top/>
      <bottom/>
      <diagonal/>
    </border>
    <border>
      <left/>
      <right style="thin">
        <color rgb="FF002060"/>
      </right>
      <top/>
      <bottom/>
      <diagonal/>
    </border>
    <border>
      <left style="thin">
        <color rgb="FF002060"/>
      </left>
      <right/>
      <top/>
      <bottom style="thick">
        <color rgb="FF002060"/>
      </bottom>
      <diagonal/>
    </border>
    <border>
      <left/>
      <right/>
      <top/>
      <bottom style="thick">
        <color rgb="FF002060"/>
      </bottom>
      <diagonal/>
    </border>
    <border>
      <left/>
      <right style="thin">
        <color rgb="FF002060"/>
      </right>
      <top/>
      <bottom style="thick">
        <color rgb="FF002060"/>
      </bottom>
      <diagonal/>
    </border>
    <border>
      <left style="thin">
        <color rgb="FF002060"/>
      </left>
      <right/>
      <top style="thick">
        <color rgb="FF002060"/>
      </top>
      <bottom/>
      <diagonal/>
    </border>
    <border>
      <left/>
      <right/>
      <top style="thick">
        <color rgb="FF002060"/>
      </top>
      <bottom/>
      <diagonal/>
    </border>
    <border>
      <left/>
      <right style="thin">
        <color rgb="FF002060"/>
      </right>
      <top style="thick">
        <color rgb="FF002060"/>
      </top>
      <bottom/>
      <diagonal/>
    </border>
    <border>
      <left style="thin">
        <color rgb="FF002060"/>
      </left>
      <right/>
      <top/>
      <bottom style="thin">
        <color rgb="FF002060"/>
      </bottom>
      <diagonal/>
    </border>
    <border>
      <left/>
      <right/>
      <top/>
      <bottom style="thin">
        <color rgb="FF002060"/>
      </bottom>
      <diagonal/>
    </border>
    <border>
      <left/>
      <right style="thin">
        <color rgb="FF002060"/>
      </right>
      <top/>
      <bottom style="thin">
        <color rgb="FF002060"/>
      </bottom>
      <diagonal/>
    </border>
    <border>
      <left style="thin">
        <color rgb="FF002060"/>
      </left>
      <right/>
      <top style="medium">
        <color indexed="64"/>
      </top>
      <bottom/>
      <diagonal/>
    </border>
    <border>
      <left/>
      <right/>
      <top style="medium">
        <color indexed="64"/>
      </top>
      <bottom/>
      <diagonal/>
    </border>
    <border>
      <left/>
      <right style="thin">
        <color rgb="FF002060"/>
      </right>
      <top style="medium">
        <color indexed="64"/>
      </top>
      <bottom/>
      <diagonal/>
    </border>
    <border>
      <left style="thin">
        <color rgb="FF002060"/>
      </left>
      <right/>
      <top/>
      <bottom style="medium">
        <color indexed="64"/>
      </bottom>
      <diagonal/>
    </border>
    <border>
      <left/>
      <right/>
      <top/>
      <bottom style="medium">
        <color indexed="64"/>
      </bottom>
      <diagonal/>
    </border>
    <border>
      <left/>
      <right style="thin">
        <color rgb="FF002060"/>
      </right>
      <top/>
      <bottom style="medium">
        <color indexed="64"/>
      </bottom>
      <diagonal/>
    </border>
    <border>
      <left/>
      <right style="thin">
        <color rgb="FF002060"/>
      </right>
      <top/>
      <bottom style="thin">
        <color theme="0"/>
      </bottom>
      <diagonal/>
    </border>
    <border>
      <left style="thin">
        <color indexed="64"/>
      </left>
      <right/>
      <top/>
      <bottom/>
      <diagonal/>
    </border>
    <border>
      <left/>
      <right style="thick">
        <color rgb="FF002060"/>
      </right>
      <top style="thin">
        <color rgb="FF002060"/>
      </top>
      <bottom/>
      <diagonal/>
    </border>
    <border>
      <left/>
      <right style="thick">
        <color rgb="FF002060"/>
      </right>
      <top/>
      <bottom/>
      <diagonal/>
    </border>
    <border>
      <left/>
      <right style="thick">
        <color rgb="FF002060"/>
      </right>
      <top/>
      <bottom style="thin">
        <color rgb="FF002060"/>
      </bottom>
      <diagonal/>
    </border>
  </borders>
  <cellStyleXfs count="3">
    <xf numFmtId="0" fontId="0" fillId="0" borderId="0"/>
    <xf numFmtId="0" fontId="18" fillId="0" borderId="0" applyNumberFormat="0" applyFill="0" applyBorder="0" applyAlignment="0" applyProtection="0"/>
    <xf numFmtId="9" fontId="30" fillId="0" borderId="0" applyFont="0" applyFill="0" applyBorder="0" applyAlignment="0" applyProtection="0"/>
  </cellStyleXfs>
  <cellXfs count="528">
    <xf numFmtId="0" fontId="0" fillId="0" borderId="0" xfId="0"/>
    <xf numFmtId="0" fontId="0" fillId="0" borderId="0" xfId="0" applyAlignment="1">
      <alignment horizontal="center" vertical="center"/>
    </xf>
    <xf numFmtId="0" fontId="1" fillId="4" borderId="0" xfId="0" applyFont="1" applyFill="1" applyAlignment="1">
      <alignment horizontal="center" vertical="center"/>
    </xf>
    <xf numFmtId="0" fontId="1" fillId="3" borderId="1" xfId="0" applyFont="1" applyFill="1" applyBorder="1" applyAlignment="1">
      <alignment horizontal="center" vertical="center"/>
    </xf>
    <xf numFmtId="0" fontId="1" fillId="2" borderId="0" xfId="0" applyFont="1" applyFill="1" applyAlignment="1">
      <alignment horizontal="center" vertical="center"/>
    </xf>
    <xf numFmtId="0" fontId="1" fillId="2" borderId="0" xfId="0" applyFont="1" applyFill="1" applyAlignment="1">
      <alignment horizontal="left" vertical="center"/>
    </xf>
    <xf numFmtId="0" fontId="1" fillId="4" borderId="0" xfId="0" applyFont="1" applyFill="1" applyAlignment="1">
      <alignment horizontal="left" vertical="center"/>
    </xf>
    <xf numFmtId="0" fontId="1" fillId="3" borderId="0" xfId="0" applyFont="1" applyFill="1" applyBorder="1" applyAlignment="1">
      <alignment horizontal="center" vertical="center"/>
    </xf>
    <xf numFmtId="0" fontId="1" fillId="2" borderId="0" xfId="0" applyFont="1" applyFill="1" applyAlignment="1">
      <alignment horizontal="justify" vertical="top" wrapText="1"/>
    </xf>
    <xf numFmtId="0" fontId="1" fillId="4" borderId="0" xfId="0" applyFont="1" applyFill="1" applyAlignment="1">
      <alignment horizontal="justify" vertical="top" wrapText="1"/>
    </xf>
    <xf numFmtId="0" fontId="0" fillId="0" borderId="0" xfId="0" applyAlignment="1">
      <alignment horizontal="justify" vertical="top" wrapText="1"/>
    </xf>
    <xf numFmtId="0" fontId="0" fillId="0" borderId="1" xfId="0" applyBorder="1" applyAlignment="1">
      <alignment horizontal="center" vertical="center"/>
    </xf>
    <xf numFmtId="0" fontId="0" fillId="0" borderId="1" xfId="0" applyBorder="1"/>
    <xf numFmtId="0" fontId="0" fillId="0" borderId="1" xfId="0" applyBorder="1" applyAlignment="1">
      <alignment horizontal="justify" vertical="top" wrapText="1"/>
    </xf>
    <xf numFmtId="0" fontId="0" fillId="0" borderId="1" xfId="0" applyBorder="1" applyAlignment="1">
      <alignment horizontal="center" vertical="center" wrapText="1"/>
    </xf>
    <xf numFmtId="0" fontId="1" fillId="4" borderId="0" xfId="0" applyFont="1" applyFill="1" applyAlignment="1">
      <alignment horizontal="center" vertical="top" wrapText="1"/>
    </xf>
    <xf numFmtId="0" fontId="1" fillId="4" borderId="0" xfId="0" applyFont="1" applyFill="1" applyAlignment="1">
      <alignment vertical="top" wrapText="1"/>
    </xf>
    <xf numFmtId="0" fontId="1" fillId="6" borderId="0" xfId="0" applyFont="1" applyFill="1" applyAlignment="1">
      <alignment horizontal="justify" vertical="top" wrapText="1"/>
    </xf>
    <xf numFmtId="0" fontId="1" fillId="6" borderId="0" xfId="0" applyFont="1" applyFill="1" applyAlignment="1">
      <alignment horizontal="center" vertical="center"/>
    </xf>
    <xf numFmtId="0" fontId="3" fillId="5" borderId="0" xfId="0" applyFont="1" applyFill="1" applyAlignment="1">
      <alignment vertical="top" wrapText="1"/>
    </xf>
    <xf numFmtId="0" fontId="3" fillId="5" borderId="0" xfId="0" applyFont="1" applyFill="1" applyAlignment="1">
      <alignment horizontal="justify" vertical="top" wrapText="1"/>
    </xf>
    <xf numFmtId="0" fontId="0" fillId="0" borderId="0" xfId="0" applyAlignment="1">
      <alignment wrapText="1"/>
    </xf>
    <xf numFmtId="0" fontId="0" fillId="0" borderId="0" xfId="0" applyAlignment="1">
      <alignment vertical="top"/>
    </xf>
    <xf numFmtId="0" fontId="1" fillId="7" borderId="0" xfId="0" applyFont="1" applyFill="1"/>
    <xf numFmtId="0" fontId="4" fillId="2" borderId="0" xfId="0" applyFont="1" applyFill="1" applyAlignment="1">
      <alignment horizontal="left" vertical="center"/>
    </xf>
    <xf numFmtId="0" fontId="3" fillId="8" borderId="0" xfId="0" applyFont="1" applyFill="1"/>
    <xf numFmtId="0" fontId="1" fillId="3" borderId="1" xfId="0" applyFont="1" applyFill="1" applyBorder="1"/>
    <xf numFmtId="0" fontId="3" fillId="8" borderId="1" xfId="0" applyFont="1" applyFill="1" applyBorder="1" applyAlignment="1">
      <alignment vertical="top"/>
    </xf>
    <xf numFmtId="0" fontId="0" fillId="5" borderId="0" xfId="0" applyFill="1"/>
    <xf numFmtId="0" fontId="0" fillId="10" borderId="0" xfId="0" applyFill="1" applyAlignment="1">
      <alignment horizontal="center" vertical="top"/>
    </xf>
    <xf numFmtId="0" fontId="3" fillId="9" borderId="0" xfId="0" applyFont="1" applyFill="1" applyAlignment="1">
      <alignment horizontal="center" vertical="center"/>
    </xf>
    <xf numFmtId="1" fontId="0" fillId="0" borderId="1" xfId="0" applyNumberFormat="1" applyBorder="1" applyAlignment="1">
      <alignment horizontal="center" vertical="center"/>
    </xf>
    <xf numFmtId="0" fontId="0" fillId="6" borderId="0" xfId="0" applyFill="1" applyAlignment="1">
      <alignment horizontal="center" vertical="top"/>
    </xf>
    <xf numFmtId="0" fontId="0" fillId="0" borderId="1" xfId="0" applyBorder="1" applyAlignment="1">
      <alignment horizontal="left" vertical="center"/>
    </xf>
    <xf numFmtId="0" fontId="0" fillId="11" borderId="1" xfId="0" applyFill="1" applyBorder="1" applyAlignment="1">
      <alignment horizontal="left" vertical="center"/>
    </xf>
    <xf numFmtId="0" fontId="6" fillId="0" borderId="1" xfId="0" applyFont="1" applyBorder="1" applyAlignment="1">
      <alignment horizontal="justify" vertical="top" wrapText="1"/>
    </xf>
    <xf numFmtId="0" fontId="0" fillId="0" borderId="1" xfId="0" applyBorder="1" applyAlignment="1">
      <alignment horizontal="left" vertical="top"/>
    </xf>
    <xf numFmtId="0" fontId="1" fillId="3" borderId="1" xfId="0" applyFont="1" applyFill="1" applyBorder="1" applyAlignment="1">
      <alignment horizontal="left" vertical="top"/>
    </xf>
    <xf numFmtId="0" fontId="0" fillId="9" borderId="1" xfId="0" applyFill="1" applyBorder="1" applyAlignment="1">
      <alignment horizontal="left" vertical="top"/>
    </xf>
    <xf numFmtId="0" fontId="0" fillId="9" borderId="1" xfId="0" applyFill="1" applyBorder="1" applyAlignment="1">
      <alignment horizontal="left" vertical="top" wrapText="1"/>
    </xf>
    <xf numFmtId="0" fontId="3" fillId="10" borderId="1" xfId="0" applyFont="1" applyFill="1" applyBorder="1" applyAlignment="1">
      <alignment horizontal="left" vertical="top"/>
    </xf>
    <xf numFmtId="0" fontId="0" fillId="10" borderId="1" xfId="0" applyFill="1" applyBorder="1" applyAlignment="1">
      <alignment horizontal="left" vertical="top"/>
    </xf>
    <xf numFmtId="0" fontId="0" fillId="9" borderId="1" xfId="0" applyFill="1" applyBorder="1" applyAlignment="1">
      <alignment horizontal="center" vertical="center"/>
    </xf>
    <xf numFmtId="0" fontId="0" fillId="0" borderId="1" xfId="0" quotePrefix="1" applyBorder="1" applyAlignment="1">
      <alignment horizontal="left" vertical="center"/>
    </xf>
    <xf numFmtId="0" fontId="0" fillId="11" borderId="1" xfId="0" applyFill="1" applyBorder="1" applyAlignment="1">
      <alignment horizontal="left" vertical="center" wrapText="1"/>
    </xf>
    <xf numFmtId="0" fontId="1" fillId="4" borderId="0" xfId="0" applyFont="1" applyFill="1" applyAlignment="1">
      <alignment horizontal="center" vertical="center" wrapText="1"/>
    </xf>
    <xf numFmtId="0" fontId="6" fillId="0" borderId="1" xfId="0" applyFont="1" applyBorder="1" applyAlignment="1">
      <alignment horizontal="left" vertical="center"/>
    </xf>
    <xf numFmtId="0" fontId="0" fillId="12" borderId="0" xfId="0" applyFill="1"/>
    <xf numFmtId="0" fontId="3" fillId="5" borderId="0" xfId="0" applyFont="1" applyFill="1" applyAlignment="1">
      <alignment horizontal="center" vertical="top"/>
    </xf>
    <xf numFmtId="0" fontId="0" fillId="0" borderId="4" xfId="0" applyBorder="1" applyAlignment="1">
      <alignment horizontal="justify" vertical="top" wrapText="1"/>
    </xf>
    <xf numFmtId="1" fontId="0" fillId="9" borderId="1" xfId="0" applyNumberFormat="1" applyFill="1" applyBorder="1" applyAlignment="1">
      <alignment horizontal="center" vertical="center"/>
    </xf>
    <xf numFmtId="1" fontId="0" fillId="14" borderId="1" xfId="0" applyNumberFormat="1" applyFill="1" applyBorder="1" applyAlignment="1">
      <alignment horizontal="center" vertical="center"/>
    </xf>
    <xf numFmtId="0" fontId="0" fillId="0" borderId="1" xfId="0" applyBorder="1" applyAlignment="1">
      <alignment vertical="top"/>
    </xf>
    <xf numFmtId="0" fontId="1" fillId="2" borderId="0" xfId="0" applyFont="1" applyFill="1" applyAlignment="1">
      <alignment horizontal="center" vertical="center" wrapText="1"/>
    </xf>
    <xf numFmtId="0" fontId="9" fillId="0" borderId="1" xfId="0" applyFont="1" applyBorder="1" applyAlignment="1">
      <alignment horizontal="center" vertical="center"/>
    </xf>
    <xf numFmtId="0" fontId="0" fillId="8" borderId="1" xfId="0" applyFill="1" applyBorder="1" applyAlignment="1">
      <alignment horizontal="center" vertical="center" wrapText="1"/>
    </xf>
    <xf numFmtId="0" fontId="10" fillId="2" borderId="0" xfId="0" applyFont="1" applyFill="1" applyAlignment="1">
      <alignment vertical="center"/>
    </xf>
    <xf numFmtId="0" fontId="7" fillId="0" borderId="1" xfId="0" applyFont="1" applyBorder="1" applyAlignment="1">
      <alignment horizontal="justify" vertical="center" wrapText="1"/>
    </xf>
    <xf numFmtId="0" fontId="0" fillId="0" borderId="1" xfId="0" applyFont="1" applyBorder="1" applyAlignment="1">
      <alignment horizontal="center" vertical="center" wrapText="1"/>
    </xf>
    <xf numFmtId="0" fontId="0" fillId="0" borderId="0" xfId="0" applyFont="1" applyAlignment="1">
      <alignment horizontal="center" vertical="center" wrapText="1"/>
    </xf>
    <xf numFmtId="0" fontId="11" fillId="2" borderId="0" xfId="0" applyFont="1" applyFill="1" applyAlignment="1">
      <alignment horizontal="justify" vertical="top" wrapText="1"/>
    </xf>
    <xf numFmtId="0" fontId="11" fillId="4" borderId="0" xfId="0" applyFont="1" applyFill="1" applyAlignment="1">
      <alignment vertical="top" wrapText="1"/>
    </xf>
    <xf numFmtId="0" fontId="11" fillId="4" borderId="0" xfId="0" applyFont="1" applyFill="1" applyAlignment="1">
      <alignment horizontal="justify" vertical="top" wrapText="1"/>
    </xf>
    <xf numFmtId="0" fontId="7" fillId="0" borderId="0" xfId="0" applyFont="1" applyAlignment="1">
      <alignment horizontal="justify" vertical="top" wrapText="1"/>
    </xf>
    <xf numFmtId="165" fontId="1" fillId="4" borderId="0" xfId="0" applyNumberFormat="1" applyFont="1" applyFill="1" applyAlignment="1">
      <alignment horizontal="center" vertical="center"/>
    </xf>
    <xf numFmtId="0" fontId="0" fillId="10" borderId="1" xfId="0" applyFill="1" applyBorder="1" applyAlignment="1">
      <alignment horizontal="left" vertical="top" wrapText="1"/>
    </xf>
    <xf numFmtId="0" fontId="0" fillId="0" borderId="1" xfId="0" applyBorder="1" applyAlignment="1">
      <alignment horizontal="left" vertical="top" wrapText="1"/>
    </xf>
    <xf numFmtId="0" fontId="1" fillId="16" borderId="1" xfId="0" applyFont="1" applyFill="1" applyBorder="1" applyAlignment="1">
      <alignment horizontal="center" vertical="center"/>
    </xf>
    <xf numFmtId="0" fontId="1" fillId="17" borderId="1" xfId="0" applyFont="1" applyFill="1" applyBorder="1" applyAlignment="1">
      <alignment horizontal="center" vertical="center"/>
    </xf>
    <xf numFmtId="166" fontId="0" fillId="0" borderId="0" xfId="0" applyNumberFormat="1" applyAlignment="1">
      <alignment horizontal="center" vertical="center"/>
    </xf>
    <xf numFmtId="0" fontId="14" fillId="0" borderId="0" xfId="0" applyFont="1"/>
    <xf numFmtId="0" fontId="1" fillId="2" borderId="0" xfId="0" applyFont="1" applyFill="1" applyAlignment="1">
      <alignment horizontal="center" vertical="top"/>
    </xf>
    <xf numFmtId="0" fontId="0" fillId="0" borderId="1" xfId="0" quotePrefix="1" applyBorder="1" applyAlignment="1">
      <alignment vertical="top" wrapText="1"/>
    </xf>
    <xf numFmtId="0" fontId="16" fillId="18" borderId="1" xfId="0" applyFont="1" applyFill="1" applyBorder="1" applyAlignment="1">
      <alignment horizontal="center" vertical="center"/>
    </xf>
    <xf numFmtId="0" fontId="0" fillId="0" borderId="1" xfId="0" applyBorder="1" applyAlignment="1">
      <alignment vertical="top" wrapText="1"/>
    </xf>
    <xf numFmtId="0" fontId="8" fillId="0" borderId="1" xfId="0" applyFont="1" applyBorder="1" applyAlignment="1">
      <alignment horizontal="center" vertical="center" wrapText="1"/>
    </xf>
    <xf numFmtId="0" fontId="0" fillId="0" borderId="1" xfId="0" quotePrefix="1" applyBorder="1" applyAlignment="1">
      <alignment vertical="top"/>
    </xf>
    <xf numFmtId="0" fontId="7" fillId="0" borderId="1" xfId="0" quotePrefix="1" applyFont="1" applyBorder="1" applyAlignment="1">
      <alignment horizontal="justify" vertical="center" wrapText="1"/>
    </xf>
    <xf numFmtId="1" fontId="1" fillId="2" borderId="0" xfId="0" applyNumberFormat="1" applyFont="1" applyFill="1" applyAlignment="1">
      <alignment horizontal="center" vertical="center"/>
    </xf>
    <xf numFmtId="1" fontId="1" fillId="4" borderId="0" xfId="0" applyNumberFormat="1" applyFont="1" applyFill="1" applyAlignment="1">
      <alignment horizontal="center" vertical="center"/>
    </xf>
    <xf numFmtId="1" fontId="1" fillId="4" borderId="0" xfId="0" applyNumberFormat="1" applyFont="1" applyFill="1" applyAlignment="1">
      <alignment horizontal="justify" vertical="top" wrapText="1"/>
    </xf>
    <xf numFmtId="1" fontId="17" fillId="9" borderId="1" xfId="0" applyNumberFormat="1" applyFont="1" applyFill="1" applyBorder="1" applyAlignment="1">
      <alignment horizontal="center" vertical="center"/>
    </xf>
    <xf numFmtId="1" fontId="0" fillId="0" borderId="0" xfId="0" applyNumberFormat="1"/>
    <xf numFmtId="1" fontId="17" fillId="5" borderId="1" xfId="0" applyNumberFormat="1" applyFont="1" applyFill="1" applyBorder="1" applyAlignment="1">
      <alignment horizontal="center" vertical="center"/>
    </xf>
    <xf numFmtId="0" fontId="0" fillId="9" borderId="1" xfId="0" quotePrefix="1" applyFill="1" applyBorder="1" applyAlignment="1">
      <alignment horizontal="left" vertical="top"/>
    </xf>
    <xf numFmtId="0" fontId="0" fillId="5" borderId="1" xfId="0" applyFill="1" applyBorder="1" applyAlignment="1">
      <alignment horizontal="center" vertical="center"/>
    </xf>
    <xf numFmtId="0" fontId="0" fillId="14" borderId="1" xfId="0" applyFill="1" applyBorder="1" applyAlignment="1">
      <alignment horizontal="center" vertical="center"/>
    </xf>
    <xf numFmtId="0" fontId="7" fillId="0" borderId="1" xfId="0" applyFont="1" applyBorder="1" applyAlignment="1">
      <alignment horizontal="justify" vertical="top" wrapText="1"/>
    </xf>
    <xf numFmtId="0" fontId="20" fillId="2" borderId="0" xfId="0" applyFont="1" applyFill="1" applyAlignment="1">
      <alignment horizontal="left" vertical="center"/>
    </xf>
    <xf numFmtId="0" fontId="8" fillId="0" borderId="1" xfId="0" quotePrefix="1" applyFont="1" applyBorder="1" applyAlignment="1">
      <alignment horizontal="justify" vertical="top" wrapText="1"/>
    </xf>
    <xf numFmtId="0" fontId="8" fillId="0" borderId="1" xfId="0" applyFont="1" applyBorder="1" applyAlignment="1">
      <alignment horizontal="justify" vertical="top" wrapText="1"/>
    </xf>
    <xf numFmtId="0" fontId="22" fillId="0" borderId="1" xfId="1" quotePrefix="1" applyFont="1" applyBorder="1" applyAlignment="1">
      <alignment horizontal="justify" vertical="top" wrapText="1"/>
    </xf>
    <xf numFmtId="9" fontId="0" fillId="0" borderId="1" xfId="0" applyNumberFormat="1" applyBorder="1" applyAlignment="1">
      <alignment horizontal="center" vertical="center"/>
    </xf>
    <xf numFmtId="0" fontId="23" fillId="0" borderId="1" xfId="0" applyFont="1" applyBorder="1" applyAlignment="1">
      <alignment horizontal="left" vertical="center" wrapText="1"/>
    </xf>
    <xf numFmtId="0" fontId="8" fillId="0" borderId="4" xfId="0" applyFont="1" applyBorder="1" applyAlignment="1">
      <alignment horizontal="justify" vertical="top" wrapText="1"/>
    </xf>
    <xf numFmtId="0" fontId="1" fillId="4" borderId="1" xfId="0" applyFont="1" applyFill="1" applyBorder="1" applyAlignment="1">
      <alignment horizontal="left" vertical="top"/>
    </xf>
    <xf numFmtId="0" fontId="1" fillId="19" borderId="1" xfId="0" applyFont="1" applyFill="1" applyBorder="1" applyAlignment="1">
      <alignment horizontal="left" vertical="top"/>
    </xf>
    <xf numFmtId="0" fontId="10" fillId="2" borderId="0" xfId="0" applyFont="1" applyFill="1" applyAlignment="1">
      <alignment horizontal="center" vertical="center"/>
    </xf>
    <xf numFmtId="0" fontId="10" fillId="2" borderId="0" xfId="0" quotePrefix="1" applyFont="1" applyFill="1" applyAlignment="1">
      <alignment horizontal="center" vertical="center"/>
    </xf>
    <xf numFmtId="0" fontId="0" fillId="0" borderId="0" xfId="0" applyAlignment="1">
      <alignment horizontal="center"/>
    </xf>
    <xf numFmtId="0" fontId="1" fillId="19" borderId="7" xfId="0" applyFont="1" applyFill="1" applyBorder="1" applyAlignment="1">
      <alignment horizontal="left" vertical="top"/>
    </xf>
    <xf numFmtId="0" fontId="26" fillId="2" borderId="0" xfId="0" applyFont="1" applyFill="1" applyAlignment="1">
      <alignment horizontal="left" vertical="center"/>
    </xf>
    <xf numFmtId="167" fontId="27" fillId="14" borderId="3" xfId="0" applyNumberFormat="1" applyFont="1" applyFill="1" applyBorder="1" applyAlignment="1">
      <alignment vertical="center"/>
    </xf>
    <xf numFmtId="0" fontId="31" fillId="9" borderId="1" xfId="0" applyFont="1" applyFill="1" applyBorder="1" applyAlignment="1">
      <alignment horizontal="center" vertical="center"/>
    </xf>
    <xf numFmtId="0" fontId="15" fillId="2" borderId="0" xfId="0" applyFont="1" applyFill="1" applyAlignment="1">
      <alignment vertical="center"/>
    </xf>
    <xf numFmtId="0" fontId="0" fillId="5" borderId="0" xfId="0" applyFill="1" applyAlignment="1">
      <alignment horizontal="center" vertical="center"/>
    </xf>
    <xf numFmtId="0" fontId="25" fillId="22" borderId="0" xfId="0" applyFont="1" applyFill="1" applyBorder="1" applyAlignment="1">
      <alignment horizontal="center" vertical="top" wrapText="1"/>
    </xf>
    <xf numFmtId="0" fontId="21" fillId="0" borderId="0" xfId="0" applyFont="1"/>
    <xf numFmtId="0" fontId="25" fillId="2" borderId="0" xfId="0" applyFont="1" applyFill="1" applyBorder="1" applyAlignment="1">
      <alignment horizontal="center" vertical="top" wrapText="1"/>
    </xf>
    <xf numFmtId="0" fontId="37" fillId="2" borderId="0" xfId="0" applyFont="1" applyFill="1" applyAlignment="1">
      <alignment vertical="center"/>
    </xf>
    <xf numFmtId="0" fontId="38" fillId="0" borderId="0" xfId="0" applyFont="1"/>
    <xf numFmtId="0" fontId="13" fillId="0" borderId="0" xfId="0" applyFont="1" applyAlignment="1"/>
    <xf numFmtId="0" fontId="1" fillId="7" borderId="0" xfId="0" applyFont="1" applyFill="1" applyAlignment="1">
      <alignment horizontal="center"/>
    </xf>
    <xf numFmtId="0" fontId="0" fillId="0" borderId="5" xfId="0" applyBorder="1"/>
    <xf numFmtId="0" fontId="19" fillId="2" borderId="0" xfId="0" applyFont="1" applyFill="1" applyBorder="1" applyAlignment="1">
      <alignment horizontal="center" vertical="top" wrapText="1"/>
    </xf>
    <xf numFmtId="0" fontId="36" fillId="2" borderId="0" xfId="0" applyFont="1" applyFill="1" applyAlignment="1">
      <alignment wrapText="1"/>
    </xf>
    <xf numFmtId="0" fontId="16" fillId="10" borderId="1" xfId="0" applyFont="1" applyFill="1" applyBorder="1" applyAlignment="1">
      <alignment horizontal="center" vertical="center"/>
    </xf>
    <xf numFmtId="0" fontId="36" fillId="2" borderId="0" xfId="0" applyFont="1" applyFill="1" applyBorder="1" applyAlignment="1">
      <alignment wrapText="1"/>
    </xf>
    <xf numFmtId="14" fontId="0" fillId="0" borderId="0" xfId="0" applyNumberFormat="1"/>
    <xf numFmtId="0" fontId="3" fillId="5" borderId="0" xfId="0" applyFont="1" applyFill="1" applyAlignment="1">
      <alignment horizontal="center" vertical="top" wrapText="1"/>
    </xf>
    <xf numFmtId="0" fontId="10" fillId="2" borderId="0" xfId="0" quotePrefix="1" applyFont="1" applyFill="1" applyAlignment="1">
      <alignment horizontal="left" vertical="center"/>
    </xf>
    <xf numFmtId="0" fontId="0" fillId="10" borderId="0" xfId="0" applyFill="1" applyAlignment="1">
      <alignment horizontal="center" vertical="center"/>
    </xf>
    <xf numFmtId="0" fontId="1" fillId="24" borderId="1" xfId="0" applyFont="1" applyFill="1" applyBorder="1" applyAlignment="1">
      <alignment horizontal="center" vertical="center"/>
    </xf>
    <xf numFmtId="9" fontId="0" fillId="9" borderId="0" xfId="2" applyFont="1" applyFill="1"/>
    <xf numFmtId="0" fontId="1" fillId="4" borderId="1" xfId="0" applyFont="1" applyFill="1" applyBorder="1" applyAlignment="1">
      <alignment horizontal="center" vertical="center"/>
    </xf>
    <xf numFmtId="0" fontId="1" fillId="25" borderId="0" xfId="0" applyFont="1" applyFill="1" applyAlignment="1">
      <alignment horizontal="center" vertical="center"/>
    </xf>
    <xf numFmtId="0" fontId="3" fillId="8" borderId="1" xfId="0" applyFont="1" applyFill="1" applyBorder="1" applyAlignment="1">
      <alignment horizontal="center" vertical="center"/>
    </xf>
    <xf numFmtId="0" fontId="3" fillId="8" borderId="1" xfId="0" applyFont="1" applyFill="1" applyBorder="1" applyAlignment="1">
      <alignment horizontal="left" vertical="center"/>
    </xf>
    <xf numFmtId="0" fontId="0" fillId="0" borderId="0" xfId="0" applyAlignment="1">
      <alignment horizontal="right"/>
    </xf>
    <xf numFmtId="0" fontId="0" fillId="9" borderId="0" xfId="0" applyFill="1"/>
    <xf numFmtId="0" fontId="1" fillId="4" borderId="0" xfId="0" applyFont="1" applyFill="1"/>
    <xf numFmtId="168" fontId="1" fillId="4" borderId="0" xfId="0" applyNumberFormat="1" applyFont="1" applyFill="1"/>
    <xf numFmtId="168" fontId="0" fillId="9" borderId="0" xfId="0" applyNumberFormat="1" applyFill="1"/>
    <xf numFmtId="169" fontId="44" fillId="20" borderId="1" xfId="0" applyNumberFormat="1" applyFont="1" applyFill="1" applyBorder="1" applyAlignment="1">
      <alignment horizontal="center" vertical="center"/>
    </xf>
    <xf numFmtId="171" fontId="31" fillId="3" borderId="1" xfId="0" applyNumberFormat="1" applyFont="1" applyFill="1" applyBorder="1" applyAlignment="1">
      <alignment horizontal="center" vertical="center"/>
    </xf>
    <xf numFmtId="172" fontId="43" fillId="14" borderId="1" xfId="0" applyNumberFormat="1" applyFont="1" applyFill="1" applyBorder="1" applyAlignment="1">
      <alignment horizontal="center" vertical="center"/>
    </xf>
    <xf numFmtId="19" fontId="0" fillId="0" borderId="0" xfId="0" applyNumberFormat="1"/>
    <xf numFmtId="0" fontId="19" fillId="2" borderId="0" xfId="0" applyFont="1" applyFill="1" applyAlignment="1">
      <alignment vertical="center"/>
    </xf>
    <xf numFmtId="0" fontId="8" fillId="0" borderId="0" xfId="0" applyFont="1"/>
    <xf numFmtId="0" fontId="10" fillId="2" borderId="0" xfId="0" quotePrefix="1" applyFont="1" applyFill="1" applyAlignment="1">
      <alignment horizontal="right" vertical="center"/>
    </xf>
    <xf numFmtId="19" fontId="10" fillId="2" borderId="0" xfId="0" applyNumberFormat="1" applyFont="1" applyFill="1" applyAlignment="1">
      <alignment vertical="center"/>
    </xf>
    <xf numFmtId="0" fontId="10" fillId="2" borderId="0" xfId="0" applyFont="1" applyFill="1" applyAlignment="1">
      <alignment horizontal="left" vertical="center"/>
    </xf>
    <xf numFmtId="0" fontId="19" fillId="2" borderId="0" xfId="0" applyFont="1" applyFill="1" applyAlignment="1">
      <alignment horizontal="left" vertical="center"/>
    </xf>
    <xf numFmtId="0" fontId="0" fillId="0" borderId="0" xfId="0" applyAlignment="1">
      <alignment horizontal="left"/>
    </xf>
    <xf numFmtId="0" fontId="38" fillId="2" borderId="0" xfId="0" applyFont="1" applyFill="1"/>
    <xf numFmtId="0" fontId="0" fillId="2" borderId="0" xfId="0" applyFill="1"/>
    <xf numFmtId="0" fontId="21" fillId="2" borderId="0" xfId="0" applyFont="1" applyFill="1"/>
    <xf numFmtId="0" fontId="1" fillId="7" borderId="0" xfId="0" applyFont="1" applyFill="1" applyAlignment="1">
      <alignment horizontal="left"/>
    </xf>
    <xf numFmtId="0" fontId="1" fillId="16" borderId="0" xfId="0" applyFont="1" applyFill="1" applyAlignment="1">
      <alignment horizontal="center"/>
    </xf>
    <xf numFmtId="0" fontId="1" fillId="16" borderId="0" xfId="0" applyFont="1" applyFill="1" applyAlignment="1">
      <alignment horizontal="center" wrapText="1"/>
    </xf>
    <xf numFmtId="0" fontId="1" fillId="6" borderId="0" xfId="0" applyFont="1" applyFill="1" applyAlignment="1">
      <alignment horizontal="center" vertical="center"/>
    </xf>
    <xf numFmtId="0" fontId="0" fillId="0" borderId="1" xfId="0" applyFill="1" applyBorder="1" applyAlignment="1">
      <alignment horizontal="center" vertical="center"/>
    </xf>
    <xf numFmtId="0" fontId="0" fillId="0" borderId="0" xfId="0" applyFill="1"/>
    <xf numFmtId="0" fontId="4" fillId="2" borderId="1" xfId="0" applyFont="1" applyFill="1" applyBorder="1" applyAlignment="1">
      <alignment horizontal="left" vertical="top"/>
    </xf>
    <xf numFmtId="0" fontId="1" fillId="7" borderId="1" xfId="0" applyFont="1" applyFill="1" applyBorder="1" applyAlignment="1">
      <alignment horizontal="center" vertical="top"/>
    </xf>
    <xf numFmtId="0" fontId="1" fillId="7" borderId="1" xfId="0" applyNumberFormat="1" applyFont="1" applyFill="1" applyBorder="1" applyAlignment="1">
      <alignment vertical="top" wrapText="1"/>
    </xf>
    <xf numFmtId="0" fontId="1" fillId="4" borderId="1" xfId="0" applyFont="1" applyFill="1" applyBorder="1" applyAlignment="1">
      <alignment horizontal="center" vertical="top"/>
    </xf>
    <xf numFmtId="0" fontId="1" fillId="4" borderId="1" xfId="0" applyFont="1" applyFill="1" applyBorder="1" applyAlignment="1">
      <alignment horizontal="center" vertical="top" wrapText="1"/>
    </xf>
    <xf numFmtId="0" fontId="1" fillId="4" borderId="1" xfId="0" applyNumberFormat="1" applyFont="1" applyFill="1" applyBorder="1" applyAlignment="1">
      <alignment vertical="top" wrapText="1"/>
    </xf>
    <xf numFmtId="164" fontId="0" fillId="0" borderId="1" xfId="0" applyNumberFormat="1" applyBorder="1" applyAlignment="1">
      <alignment horizontal="center" vertical="top"/>
    </xf>
    <xf numFmtId="0" fontId="0" fillId="0" borderId="1" xfId="0" applyBorder="1" applyAlignment="1">
      <alignment horizontal="center" vertical="top"/>
    </xf>
    <xf numFmtId="0" fontId="0" fillId="0" borderId="1" xfId="0" applyNumberFormat="1" applyBorder="1" applyAlignment="1">
      <alignment horizontal="left" vertical="top" wrapText="1"/>
    </xf>
    <xf numFmtId="0" fontId="0" fillId="0" borderId="1" xfId="0" applyBorder="1" applyAlignment="1">
      <alignment horizontal="center" vertical="top" wrapText="1"/>
    </xf>
    <xf numFmtId="0" fontId="0" fillId="0" borderId="1" xfId="0" applyNumberFormat="1" applyBorder="1" applyAlignment="1">
      <alignment vertical="top" wrapText="1"/>
    </xf>
    <xf numFmtId="0" fontId="1" fillId="4" borderId="0" xfId="0" applyNumberFormat="1" applyFont="1" applyFill="1" applyAlignment="1">
      <alignment horizontal="center" vertical="top" wrapText="1"/>
    </xf>
    <xf numFmtId="0" fontId="0" fillId="0" borderId="0" xfId="0" applyNumberFormat="1" applyAlignment="1">
      <alignment horizontal="center"/>
    </xf>
    <xf numFmtId="0" fontId="1" fillId="4" borderId="0" xfId="0" applyNumberFormat="1" applyFont="1" applyFill="1" applyAlignment="1">
      <alignment horizontal="center" vertical="center" wrapText="1"/>
    </xf>
    <xf numFmtId="0" fontId="0" fillId="0" borderId="0" xfId="0" applyNumberFormat="1" applyAlignment="1">
      <alignment horizontal="center" vertical="center"/>
    </xf>
    <xf numFmtId="14" fontId="0" fillId="0" borderId="0" xfId="0" applyNumberFormat="1" applyAlignment="1">
      <alignment horizontal="center"/>
    </xf>
    <xf numFmtId="0" fontId="1" fillId="2" borderId="0" xfId="0" applyNumberFormat="1" applyFont="1" applyFill="1" applyAlignment="1">
      <alignment horizontal="center" vertical="center"/>
    </xf>
    <xf numFmtId="168" fontId="0" fillId="5" borderId="1" xfId="0" applyNumberFormat="1" applyFill="1" applyBorder="1" applyAlignment="1">
      <alignment horizontal="center" vertical="center"/>
    </xf>
    <xf numFmtId="168" fontId="0" fillId="15" borderId="1" xfId="0" applyNumberFormat="1" applyFill="1" applyBorder="1" applyAlignment="1">
      <alignment horizontal="center" vertical="center"/>
    </xf>
    <xf numFmtId="168" fontId="0" fillId="14" borderId="1" xfId="0" applyNumberFormat="1" applyFill="1" applyBorder="1" applyAlignment="1">
      <alignment horizontal="center" vertical="center"/>
    </xf>
    <xf numFmtId="168" fontId="0" fillId="9" borderId="1" xfId="0" applyNumberFormat="1" applyFill="1" applyBorder="1" applyAlignment="1">
      <alignment horizontal="center" vertical="center"/>
    </xf>
    <xf numFmtId="0" fontId="0" fillId="0" borderId="0" xfId="0" applyNumberFormat="1"/>
    <xf numFmtId="0" fontId="1" fillId="4" borderId="0" xfId="0" applyNumberFormat="1" applyFont="1" applyFill="1" applyAlignment="1">
      <alignment horizontal="left" vertical="center"/>
    </xf>
    <xf numFmtId="0" fontId="1" fillId="3" borderId="1" xfId="0" applyNumberFormat="1" applyFont="1" applyFill="1" applyBorder="1" applyAlignment="1">
      <alignment horizontal="center" vertical="center"/>
    </xf>
    <xf numFmtId="0" fontId="3" fillId="5" borderId="0" xfId="0" applyNumberFormat="1" applyFont="1" applyFill="1" applyAlignment="1">
      <alignment horizontal="center" vertical="top" wrapText="1"/>
    </xf>
    <xf numFmtId="168" fontId="0" fillId="0" borderId="1" xfId="0" applyNumberFormat="1" applyBorder="1" applyAlignment="1">
      <alignment horizontal="center" vertical="center"/>
    </xf>
    <xf numFmtId="0" fontId="1" fillId="6" borderId="1" xfId="0" applyFont="1" applyFill="1" applyBorder="1" applyAlignment="1">
      <alignment horizontal="left" vertical="top"/>
    </xf>
    <xf numFmtId="0" fontId="0" fillId="6" borderId="1" xfId="0" applyFill="1" applyBorder="1"/>
    <xf numFmtId="0" fontId="3" fillId="5" borderId="1" xfId="0" applyFont="1" applyFill="1" applyBorder="1" applyAlignment="1">
      <alignment horizontal="left" vertical="top"/>
    </xf>
    <xf numFmtId="0" fontId="0" fillId="0" borderId="4" xfId="0" applyBorder="1"/>
    <xf numFmtId="0" fontId="1" fillId="7" borderId="0" xfId="0" applyFont="1" applyFill="1" applyAlignment="1">
      <alignment horizontal="center" vertical="center"/>
    </xf>
    <xf numFmtId="0" fontId="3" fillId="8" borderId="31" xfId="0" applyFont="1" applyFill="1" applyBorder="1" applyAlignment="1">
      <alignment horizontal="center" vertical="center"/>
    </xf>
    <xf numFmtId="0" fontId="0" fillId="0" borderId="4" xfId="0" applyBorder="1" applyAlignment="1">
      <alignment horizontal="center" vertical="center"/>
    </xf>
    <xf numFmtId="0" fontId="3" fillId="8" borderId="33" xfId="0" applyFont="1" applyFill="1" applyBorder="1"/>
    <xf numFmtId="0" fontId="3" fillId="8" borderId="34" xfId="0" applyFont="1" applyFill="1" applyBorder="1" applyAlignment="1">
      <alignment horizontal="center" vertical="center"/>
    </xf>
    <xf numFmtId="0" fontId="3" fillId="23" borderId="31" xfId="0" applyFont="1" applyFill="1" applyBorder="1" applyAlignment="1">
      <alignment horizontal="center" vertical="center"/>
    </xf>
    <xf numFmtId="0" fontId="3" fillId="8" borderId="32" xfId="0" applyFont="1" applyFill="1" applyBorder="1" applyAlignment="1">
      <alignment horizontal="center" vertical="center"/>
    </xf>
    <xf numFmtId="0" fontId="1" fillId="25" borderId="34" xfId="0" applyFont="1" applyFill="1" applyBorder="1" applyAlignment="1">
      <alignment horizontal="center" vertical="center"/>
    </xf>
    <xf numFmtId="0" fontId="1" fillId="26" borderId="1" xfId="0" applyFont="1" applyFill="1" applyBorder="1" applyAlignment="1">
      <alignment horizontal="left" vertical="top"/>
    </xf>
    <xf numFmtId="0" fontId="1" fillId="26" borderId="1" xfId="0" applyFont="1" applyFill="1" applyBorder="1" applyAlignment="1">
      <alignment horizontal="left" vertical="top" wrapText="1"/>
    </xf>
    <xf numFmtId="0" fontId="3" fillId="3" borderId="0" xfId="0" applyFont="1" applyFill="1" applyAlignment="1">
      <alignment horizontal="center"/>
    </xf>
    <xf numFmtId="0" fontId="3" fillId="8" borderId="30" xfId="0" applyFont="1" applyFill="1" applyBorder="1" applyAlignment="1">
      <alignment horizontal="center" vertical="center"/>
    </xf>
    <xf numFmtId="14" fontId="0" fillId="0" borderId="1" xfId="0" applyNumberFormat="1" applyBorder="1" applyAlignment="1">
      <alignment horizontal="center" vertical="top"/>
    </xf>
    <xf numFmtId="0" fontId="1" fillId="7" borderId="1" xfId="0" applyFont="1" applyFill="1" applyBorder="1" applyAlignment="1">
      <alignment horizontal="left" vertical="top"/>
    </xf>
    <xf numFmtId="14" fontId="0" fillId="8" borderId="4" xfId="0" applyNumberFormat="1" applyFill="1" applyBorder="1" applyAlignment="1">
      <alignment horizontal="center" vertical="center"/>
    </xf>
    <xf numFmtId="0" fontId="0" fillId="28" borderId="0" xfId="0" applyFill="1"/>
    <xf numFmtId="0" fontId="1" fillId="12" borderId="0" xfId="0" applyFont="1" applyFill="1"/>
    <xf numFmtId="2" fontId="0" fillId="0" borderId="0" xfId="0" applyNumberFormat="1"/>
    <xf numFmtId="0" fontId="36" fillId="2" borderId="0" xfId="0" applyFont="1" applyFill="1" applyAlignment="1">
      <alignment vertical="center"/>
    </xf>
    <xf numFmtId="0" fontId="25" fillId="8" borderId="0" xfId="0" applyFont="1" applyFill="1" applyAlignment="1">
      <alignment vertical="center"/>
    </xf>
    <xf numFmtId="0" fontId="10" fillId="8" borderId="0" xfId="0" applyFont="1" applyFill="1" applyAlignment="1">
      <alignment vertical="center"/>
    </xf>
    <xf numFmtId="0" fontId="36" fillId="2" borderId="0" xfId="0" applyFont="1" applyFill="1" applyBorder="1" applyAlignment="1">
      <alignment horizontal="center" wrapText="1"/>
    </xf>
    <xf numFmtId="0" fontId="51" fillId="2" borderId="0" xfId="0" applyFont="1" applyFill="1" applyAlignment="1"/>
    <xf numFmtId="0" fontId="51" fillId="0" borderId="0" xfId="0" applyFont="1" applyAlignment="1"/>
    <xf numFmtId="1" fontId="43" fillId="14" borderId="1" xfId="0" applyNumberFormat="1" applyFont="1" applyFill="1" applyBorder="1" applyAlignment="1">
      <alignment horizontal="center" vertical="center"/>
    </xf>
    <xf numFmtId="9" fontId="43" fillId="9" borderId="1" xfId="0" applyNumberFormat="1" applyFont="1" applyFill="1" applyBorder="1" applyAlignment="1">
      <alignment horizontal="right" vertical="center"/>
    </xf>
    <xf numFmtId="0" fontId="25" fillId="2" borderId="0" xfId="0" applyFont="1" applyFill="1" applyAlignment="1">
      <alignment vertical="center"/>
    </xf>
    <xf numFmtId="0" fontId="19" fillId="2" borderId="0" xfId="0" applyFont="1" applyFill="1" applyAlignment="1"/>
    <xf numFmtId="0" fontId="53" fillId="2" borderId="0" xfId="0" applyFont="1" applyFill="1" applyAlignment="1">
      <alignment horizontal="right"/>
    </xf>
    <xf numFmtId="0" fontId="18" fillId="0" borderId="0" xfId="1"/>
    <xf numFmtId="0" fontId="3" fillId="6" borderId="0" xfId="0" applyFont="1" applyFill="1" applyAlignment="1">
      <alignment horizontal="center"/>
    </xf>
    <xf numFmtId="0" fontId="7" fillId="0" borderId="0" xfId="0" applyFont="1"/>
    <xf numFmtId="0" fontId="7" fillId="0" borderId="0" xfId="0" applyFont="1" applyAlignment="1">
      <alignment horizontal="right"/>
    </xf>
    <xf numFmtId="0" fontId="0" fillId="9" borderId="1" xfId="0" applyFill="1" applyBorder="1"/>
    <xf numFmtId="0" fontId="0" fillId="5" borderId="1" xfId="0" applyFill="1" applyBorder="1"/>
    <xf numFmtId="20" fontId="1" fillId="4" borderId="0" xfId="0" applyNumberFormat="1" applyFont="1" applyFill="1" applyAlignment="1">
      <alignment horizontal="center" vertical="center"/>
    </xf>
    <xf numFmtId="0" fontId="3" fillId="3" borderId="0" xfId="0" applyFont="1" applyFill="1" applyAlignment="1">
      <alignment horizontal="center"/>
    </xf>
    <xf numFmtId="0" fontId="37" fillId="2" borderId="0" xfId="0" applyFont="1" applyFill="1" applyAlignment="1">
      <alignment vertical="top"/>
    </xf>
    <xf numFmtId="0" fontId="52" fillId="2" borderId="0" xfId="0" applyFont="1" applyFill="1" applyAlignment="1">
      <alignment vertical="top"/>
    </xf>
    <xf numFmtId="1" fontId="1" fillId="4" borderId="0" xfId="0" applyNumberFormat="1" applyFont="1" applyFill="1"/>
    <xf numFmtId="168" fontId="0" fillId="0" borderId="0" xfId="0" applyNumberFormat="1"/>
    <xf numFmtId="14" fontId="1" fillId="12" borderId="0" xfId="0" applyNumberFormat="1" applyFont="1" applyFill="1"/>
    <xf numFmtId="168" fontId="6" fillId="0" borderId="1" xfId="0" applyNumberFormat="1" applyFont="1" applyBorder="1" applyAlignment="1">
      <alignment horizontal="center" vertical="center"/>
    </xf>
    <xf numFmtId="0" fontId="0" fillId="0" borderId="0" xfId="0" applyBorder="1" applyAlignment="1">
      <alignment horizontal="justify" vertical="top" wrapText="1"/>
    </xf>
    <xf numFmtId="0" fontId="23" fillId="0" borderId="1" xfId="0" applyFont="1" applyBorder="1"/>
    <xf numFmtId="0" fontId="24" fillId="0" borderId="1" xfId="0" applyFont="1" applyBorder="1"/>
    <xf numFmtId="0" fontId="56" fillId="10" borderId="0" xfId="0" applyFont="1" applyFill="1" applyAlignment="1">
      <alignment horizontal="right"/>
    </xf>
    <xf numFmtId="0" fontId="57" fillId="0" borderId="0" xfId="0" applyFont="1"/>
    <xf numFmtId="0" fontId="7" fillId="0" borderId="2" xfId="0" quotePrefix="1" applyFont="1" applyBorder="1" applyAlignment="1">
      <alignment horizontal="justify" vertical="center" wrapText="1"/>
    </xf>
    <xf numFmtId="0" fontId="23" fillId="0" borderId="0" xfId="0" applyFont="1" applyBorder="1"/>
    <xf numFmtId="0" fontId="7" fillId="0" borderId="2" xfId="0" applyFont="1" applyBorder="1" applyAlignment="1">
      <alignment horizontal="justify" vertical="top" wrapText="1"/>
    </xf>
    <xf numFmtId="0" fontId="23" fillId="0" borderId="4" xfId="0" applyFont="1" applyBorder="1"/>
    <xf numFmtId="9" fontId="0" fillId="0" borderId="0" xfId="2" applyFont="1"/>
    <xf numFmtId="0" fontId="59" fillId="5" borderId="0" xfId="0" applyFont="1" applyFill="1"/>
    <xf numFmtId="0" fontId="0" fillId="0" borderId="0" xfId="0" applyAlignment="1"/>
    <xf numFmtId="0" fontId="25" fillId="14" borderId="0" xfId="0" applyFont="1" applyFill="1" applyAlignment="1">
      <alignment horizontal="center" vertical="center"/>
    </xf>
    <xf numFmtId="0" fontId="10" fillId="14" borderId="0" xfId="0" applyFont="1" applyFill="1" applyAlignment="1">
      <alignment vertical="center"/>
    </xf>
    <xf numFmtId="0" fontId="25" fillId="14" borderId="0" xfId="0" applyFont="1" applyFill="1" applyAlignment="1">
      <alignment horizontal="left" vertical="center"/>
    </xf>
    <xf numFmtId="169" fontId="44" fillId="14" borderId="0" xfId="0" applyNumberFormat="1" applyFont="1" applyFill="1" applyBorder="1" applyAlignment="1">
      <alignment horizontal="center" vertical="center"/>
    </xf>
    <xf numFmtId="0" fontId="15" fillId="14" borderId="0" xfId="0" applyFont="1" applyFill="1" applyAlignment="1">
      <alignment vertical="center"/>
    </xf>
    <xf numFmtId="0" fontId="32" fillId="14" borderId="0" xfId="0" applyFont="1" applyFill="1" applyAlignment="1">
      <alignment horizontal="left" vertical="center"/>
    </xf>
    <xf numFmtId="169" fontId="60" fillId="14" borderId="0" xfId="0" applyNumberFormat="1" applyFont="1" applyFill="1" applyBorder="1" applyAlignment="1">
      <alignment horizontal="center" vertical="center"/>
    </xf>
    <xf numFmtId="0" fontId="31" fillId="14" borderId="0" xfId="0" applyFont="1" applyFill="1" applyAlignment="1">
      <alignment horizontal="center" vertical="center"/>
    </xf>
    <xf numFmtId="0" fontId="31" fillId="14" borderId="0" xfId="0" applyFont="1" applyFill="1" applyAlignment="1">
      <alignment horizontal="left"/>
    </xf>
    <xf numFmtId="0" fontId="15" fillId="2" borderId="0" xfId="0" applyFont="1" applyFill="1" applyAlignment="1">
      <alignment horizontal="center" vertical="center"/>
    </xf>
    <xf numFmtId="0" fontId="61" fillId="2" borderId="0" xfId="0" applyFont="1" applyFill="1" applyAlignment="1"/>
    <xf numFmtId="0" fontId="15" fillId="2" borderId="0" xfId="0" quotePrefix="1" applyFont="1" applyFill="1" applyAlignment="1">
      <alignment horizontal="center" vertical="center"/>
    </xf>
    <xf numFmtId="0" fontId="31" fillId="14" borderId="0" xfId="0" applyFont="1" applyFill="1" applyAlignment="1">
      <alignment horizontal="left" vertical="center"/>
    </xf>
    <xf numFmtId="0" fontId="19" fillId="14" borderId="0" xfId="0" applyFont="1" applyFill="1" applyAlignment="1">
      <alignment horizontal="center" vertical="center"/>
    </xf>
    <xf numFmtId="0" fontId="0" fillId="14" borderId="0" xfId="0" applyFill="1"/>
    <xf numFmtId="0" fontId="0" fillId="14" borderId="0" xfId="0" applyFill="1" applyAlignment="1">
      <alignment horizontal="center"/>
    </xf>
    <xf numFmtId="0" fontId="55" fillId="14" borderId="0" xfId="0" applyFont="1" applyFill="1" applyAlignment="1">
      <alignment vertical="center"/>
    </xf>
    <xf numFmtId="0" fontId="26" fillId="14" borderId="0" xfId="0" applyFont="1" applyFill="1" applyAlignment="1">
      <alignment horizontal="center" vertical="center"/>
    </xf>
    <xf numFmtId="0" fontId="10" fillId="14" borderId="0" xfId="0" applyFont="1" applyFill="1" applyAlignment="1">
      <alignment horizontal="center" vertical="center"/>
    </xf>
    <xf numFmtId="167" fontId="27" fillId="14" borderId="2" xfId="0" applyNumberFormat="1" applyFont="1" applyFill="1" applyBorder="1" applyAlignment="1">
      <alignment horizontal="center" vertical="center"/>
    </xf>
    <xf numFmtId="0" fontId="10" fillId="2" borderId="0" xfId="0" applyFont="1" applyFill="1" applyAlignment="1">
      <alignment horizontal="center" vertical="center"/>
    </xf>
    <xf numFmtId="170" fontId="29" fillId="21" borderId="1" xfId="2" applyNumberFormat="1" applyFont="1" applyFill="1" applyBorder="1" applyAlignment="1">
      <alignment horizontal="center" vertical="center"/>
    </xf>
    <xf numFmtId="168" fontId="29" fillId="21" borderId="1" xfId="0" applyNumberFormat="1" applyFont="1" applyFill="1" applyBorder="1" applyAlignment="1">
      <alignment horizontal="center" vertical="center"/>
    </xf>
    <xf numFmtId="0" fontId="15" fillId="14" borderId="0" xfId="0" applyFont="1" applyFill="1" applyAlignment="1">
      <alignment horizontal="center" vertical="center"/>
    </xf>
    <xf numFmtId="167" fontId="27" fillId="14" borderId="1" xfId="0" applyNumberFormat="1" applyFont="1" applyFill="1" applyBorder="1" applyAlignment="1">
      <alignment horizontal="center" vertical="center"/>
    </xf>
    <xf numFmtId="0" fontId="10" fillId="2" borderId="0" xfId="0" applyFont="1" applyFill="1" applyAlignment="1">
      <alignment horizontal="center" vertical="center"/>
    </xf>
    <xf numFmtId="0" fontId="38" fillId="14" borderId="0" xfId="0" applyFont="1" applyFill="1"/>
    <xf numFmtId="0" fontId="37" fillId="2" borderId="0" xfId="0" quotePrefix="1" applyFont="1" applyFill="1" applyAlignment="1">
      <alignment vertical="top"/>
    </xf>
    <xf numFmtId="0" fontId="36" fillId="2" borderId="0" xfId="0" applyFont="1" applyFill="1" applyAlignment="1">
      <alignment vertical="top"/>
    </xf>
    <xf numFmtId="0" fontId="1" fillId="30" borderId="1" xfId="0" applyFont="1" applyFill="1" applyBorder="1" applyAlignment="1">
      <alignment horizontal="left" vertical="top"/>
    </xf>
    <xf numFmtId="0" fontId="0" fillId="30" borderId="1" xfId="0" applyFill="1" applyBorder="1"/>
    <xf numFmtId="0" fontId="3" fillId="14" borderId="1" xfId="0" applyFont="1" applyFill="1" applyBorder="1" applyAlignment="1">
      <alignment horizontal="left" vertical="top"/>
    </xf>
    <xf numFmtId="0" fontId="36" fillId="3" borderId="0" xfId="0" applyFont="1" applyFill="1" applyAlignment="1">
      <alignment vertical="top"/>
    </xf>
    <xf numFmtId="0" fontId="37" fillId="3" borderId="0" xfId="0" applyFont="1" applyFill="1" applyAlignment="1">
      <alignment vertical="center"/>
    </xf>
    <xf numFmtId="0" fontId="36" fillId="3" borderId="0" xfId="0" applyFont="1" applyFill="1" applyAlignment="1">
      <alignment vertical="center"/>
    </xf>
    <xf numFmtId="0" fontId="38" fillId="3" borderId="0" xfId="0" applyFont="1" applyFill="1"/>
    <xf numFmtId="0" fontId="10" fillId="2" borderId="0" xfId="0" applyFont="1" applyFill="1" applyAlignment="1">
      <alignment horizontal="center" vertical="center"/>
    </xf>
    <xf numFmtId="0" fontId="52" fillId="3" borderId="0" xfId="0" applyFont="1" applyFill="1" applyAlignment="1">
      <alignment vertical="top"/>
    </xf>
    <xf numFmtId="0" fontId="10" fillId="3" borderId="0" xfId="0" applyFont="1" applyFill="1" applyAlignment="1">
      <alignment vertical="center"/>
    </xf>
    <xf numFmtId="0" fontId="10" fillId="3" borderId="0" xfId="0" applyFont="1" applyFill="1" applyAlignment="1">
      <alignment horizontal="center" vertical="center"/>
    </xf>
    <xf numFmtId="0" fontId="53" fillId="3" borderId="0" xfId="0" applyFont="1" applyFill="1" applyAlignment="1">
      <alignment horizontal="right"/>
    </xf>
    <xf numFmtId="0" fontId="25" fillId="3" borderId="0" xfId="0" applyFont="1" applyFill="1" applyAlignment="1">
      <alignment vertical="center"/>
    </xf>
    <xf numFmtId="0" fontId="19" fillId="3" borderId="0" xfId="0" applyFont="1" applyFill="1" applyAlignment="1"/>
    <xf numFmtId="0" fontId="62" fillId="2" borderId="0" xfId="0" applyFont="1" applyFill="1" applyAlignment="1"/>
    <xf numFmtId="0" fontId="53" fillId="2" borderId="0" xfId="0" applyFont="1" applyFill="1" applyAlignment="1">
      <alignment horizontal="left"/>
    </xf>
    <xf numFmtId="0" fontId="64" fillId="6" borderId="0" xfId="0" applyFont="1" applyFill="1" applyAlignment="1">
      <alignment horizontal="center" vertical="center"/>
    </xf>
    <xf numFmtId="0" fontId="65" fillId="31" borderId="1" xfId="0" applyFont="1" applyFill="1" applyBorder="1" applyAlignment="1">
      <alignment horizontal="left" vertical="top"/>
    </xf>
    <xf numFmtId="0" fontId="65" fillId="32" borderId="1" xfId="0" applyFont="1" applyFill="1" applyBorder="1" applyAlignment="1">
      <alignment horizontal="left" vertical="top"/>
    </xf>
    <xf numFmtId="165" fontId="1" fillId="4" borderId="1" xfId="0" applyNumberFormat="1" applyFont="1" applyFill="1" applyBorder="1" applyAlignment="1">
      <alignment horizontal="center" vertical="center"/>
    </xf>
    <xf numFmtId="14" fontId="0" fillId="17" borderId="4" xfId="0" applyNumberFormat="1" applyFill="1" applyBorder="1" applyAlignment="1">
      <alignment horizontal="center" vertical="center"/>
    </xf>
    <xf numFmtId="0" fontId="0" fillId="17" borderId="4" xfId="0" applyFill="1" applyBorder="1" applyAlignment="1">
      <alignment horizontal="center" vertical="center"/>
    </xf>
    <xf numFmtId="22" fontId="0" fillId="0" borderId="0" xfId="0" applyNumberFormat="1"/>
    <xf numFmtId="21" fontId="0" fillId="0" borderId="1" xfId="0" applyNumberFormat="1" applyBorder="1" applyAlignment="1">
      <alignment horizontal="center" vertical="center"/>
    </xf>
    <xf numFmtId="1" fontId="0" fillId="0" borderId="4" xfId="0" applyNumberFormat="1" applyBorder="1" applyAlignment="1">
      <alignment horizontal="center" vertical="center"/>
    </xf>
    <xf numFmtId="19" fontId="0" fillId="33" borderId="4" xfId="0" applyNumberFormat="1" applyFill="1" applyBorder="1" applyAlignment="1">
      <alignment horizontal="center" vertical="center"/>
    </xf>
    <xf numFmtId="19" fontId="0" fillId="8" borderId="4" xfId="0" applyNumberFormat="1" applyFill="1" applyBorder="1" applyAlignment="1">
      <alignment horizontal="center" vertical="center"/>
    </xf>
    <xf numFmtId="0" fontId="53" fillId="2" borderId="0" xfId="0" applyFont="1" applyFill="1" applyAlignment="1">
      <alignment vertical="top"/>
    </xf>
    <xf numFmtId="0" fontId="53" fillId="2" borderId="0" xfId="0" applyFont="1" applyFill="1" applyAlignment="1">
      <alignment vertical="center"/>
    </xf>
    <xf numFmtId="0" fontId="66" fillId="2" borderId="0" xfId="0" applyFont="1" applyFill="1"/>
    <xf numFmtId="0" fontId="66" fillId="14" borderId="0" xfId="0" applyFont="1" applyFill="1"/>
    <xf numFmtId="0" fontId="66" fillId="0" borderId="0" xfId="0" applyFont="1"/>
    <xf numFmtId="0" fontId="67" fillId="2" borderId="0" xfId="0" applyFont="1" applyFill="1" applyAlignment="1">
      <alignment vertical="top"/>
    </xf>
    <xf numFmtId="0" fontId="19" fillId="8" borderId="0" xfId="0" quotePrefix="1" applyFont="1" applyFill="1" applyAlignment="1">
      <alignment horizontal="left" vertical="center"/>
    </xf>
    <xf numFmtId="0" fontId="10" fillId="8" borderId="0" xfId="0" applyFont="1" applyFill="1" applyAlignment="1">
      <alignment horizontal="center" vertical="center"/>
    </xf>
    <xf numFmtId="0" fontId="15" fillId="8" borderId="0" xfId="0" applyFont="1" applyFill="1" applyAlignment="1">
      <alignment vertical="center"/>
    </xf>
    <xf numFmtId="0" fontId="1" fillId="4" borderId="0" xfId="0" quotePrefix="1" applyFont="1" applyFill="1" applyAlignment="1">
      <alignment horizontal="justify" vertical="top" wrapText="1"/>
    </xf>
    <xf numFmtId="0" fontId="7" fillId="0" borderId="1" xfId="0" applyFont="1" applyBorder="1" applyAlignment="1">
      <alignment horizontal="center" vertical="center" wrapText="1"/>
    </xf>
    <xf numFmtId="0" fontId="1" fillId="19" borderId="1" xfId="0" quotePrefix="1" applyFont="1" applyFill="1" applyBorder="1" applyAlignment="1">
      <alignment horizontal="left" vertical="top"/>
    </xf>
    <xf numFmtId="0" fontId="21" fillId="0" borderId="1" xfId="0" applyFont="1" applyBorder="1" applyAlignment="1">
      <alignment horizontal="center" vertical="center" wrapText="1"/>
    </xf>
    <xf numFmtId="0" fontId="9" fillId="12" borderId="1" xfId="0" applyFont="1" applyFill="1" applyBorder="1" applyAlignment="1">
      <alignment horizontal="center" vertical="center"/>
    </xf>
    <xf numFmtId="0" fontId="10" fillId="2" borderId="0" xfId="0" applyFont="1" applyFill="1" applyAlignment="1">
      <alignment horizontal="center" vertical="center"/>
    </xf>
    <xf numFmtId="0" fontId="0" fillId="10" borderId="0" xfId="0" applyFill="1"/>
    <xf numFmtId="0" fontId="1" fillId="7" borderId="0" xfId="0" quotePrefix="1" applyFont="1" applyFill="1"/>
    <xf numFmtId="2" fontId="0" fillId="9" borderId="1" xfId="0" applyNumberFormat="1" applyFill="1" applyBorder="1" applyAlignment="1">
      <alignment horizontal="center" vertical="center"/>
    </xf>
    <xf numFmtId="177" fontId="0" fillId="0" borderId="0" xfId="0" applyNumberFormat="1"/>
    <xf numFmtId="176" fontId="0" fillId="0" borderId="0" xfId="0" applyNumberFormat="1"/>
    <xf numFmtId="0" fontId="0" fillId="23" borderId="1" xfId="0" applyFill="1" applyBorder="1" applyAlignment="1">
      <alignment horizontal="left"/>
    </xf>
    <xf numFmtId="0" fontId="18" fillId="23" borderId="1" xfId="1" applyFill="1" applyBorder="1" applyAlignment="1">
      <alignment horizontal="left"/>
    </xf>
    <xf numFmtId="14" fontId="0" fillId="23" borderId="1" xfId="0" applyNumberFormat="1" applyFill="1" applyBorder="1" applyAlignment="1">
      <alignment horizontal="left"/>
    </xf>
    <xf numFmtId="0" fontId="0" fillId="29" borderId="1" xfId="0" applyFill="1" applyBorder="1" applyAlignment="1">
      <alignment horizontal="left"/>
    </xf>
    <xf numFmtId="11" fontId="0" fillId="0" borderId="0" xfId="0" applyNumberFormat="1" applyAlignment="1">
      <alignment horizontal="center" vertical="center"/>
    </xf>
    <xf numFmtId="49" fontId="0" fillId="0" borderId="0" xfId="0" applyNumberFormat="1" applyAlignment="1">
      <alignment horizontal="center" vertical="center"/>
    </xf>
    <xf numFmtId="14" fontId="0" fillId="0" borderId="0" xfId="0" quotePrefix="1" applyNumberFormat="1" applyAlignment="1">
      <alignment horizontal="center" vertical="center"/>
    </xf>
    <xf numFmtId="14" fontId="0" fillId="0" borderId="0" xfId="0" applyNumberFormat="1" applyAlignment="1">
      <alignment horizontal="center" vertical="center"/>
    </xf>
    <xf numFmtId="0" fontId="1" fillId="3" borderId="0" xfId="0" applyNumberFormat="1" applyFont="1" applyFill="1" applyBorder="1" applyAlignment="1">
      <alignment horizontal="center" vertical="center"/>
    </xf>
    <xf numFmtId="0" fontId="0" fillId="0" borderId="0" xfId="0" applyAlignment="1">
      <alignment vertical="center"/>
    </xf>
    <xf numFmtId="173" fontId="0" fillId="0" borderId="0" xfId="0" applyNumberFormat="1" applyAlignment="1">
      <alignment horizontal="center" vertical="center"/>
    </xf>
    <xf numFmtId="0" fontId="0" fillId="3" borderId="1" xfId="0" applyFill="1" applyBorder="1" applyAlignment="1">
      <alignment horizontal="left"/>
    </xf>
    <xf numFmtId="0" fontId="0" fillId="0" borderId="0" xfId="0" applyAlignment="1">
      <alignment horizontal="center"/>
    </xf>
    <xf numFmtId="0" fontId="1" fillId="0" borderId="0" xfId="0" applyFont="1"/>
    <xf numFmtId="49" fontId="0" fillId="0" borderId="1" xfId="0" applyNumberFormat="1" applyBorder="1" applyAlignment="1">
      <alignment horizontal="center" vertical="center"/>
    </xf>
    <xf numFmtId="49" fontId="0" fillId="0" borderId="1" xfId="0" applyNumberFormat="1" applyBorder="1" applyAlignment="1">
      <alignment horizontal="center" vertical="center" wrapText="1"/>
    </xf>
    <xf numFmtId="49" fontId="0" fillId="0" borderId="0" xfId="0" applyNumberFormat="1"/>
    <xf numFmtId="49" fontId="0" fillId="23" borderId="1" xfId="0" applyNumberFormat="1" applyFill="1" applyBorder="1" applyAlignment="1">
      <alignment horizontal="left"/>
    </xf>
    <xf numFmtId="22" fontId="0" fillId="17" borderId="4" xfId="0" applyNumberFormat="1" applyFill="1" applyBorder="1" applyAlignment="1">
      <alignment horizontal="center" vertical="center"/>
    </xf>
    <xf numFmtId="0" fontId="37" fillId="2" borderId="0" xfId="0" applyFont="1" applyFill="1" applyAlignment="1">
      <alignment horizontal="center" vertical="center"/>
    </xf>
    <xf numFmtId="0" fontId="37" fillId="2" borderId="0" xfId="0" applyFont="1" applyFill="1" applyAlignment="1">
      <alignment horizontal="center" vertical="top"/>
    </xf>
    <xf numFmtId="0" fontId="42" fillId="8" borderId="10" xfId="0" applyFont="1" applyFill="1" applyBorder="1" applyAlignment="1">
      <alignment horizontal="center" vertical="center" wrapText="1"/>
    </xf>
    <xf numFmtId="0" fontId="42" fillId="8" borderId="11" xfId="0" applyFont="1" applyFill="1" applyBorder="1" applyAlignment="1">
      <alignment horizontal="center" vertical="center" wrapText="1"/>
    </xf>
    <xf numFmtId="0" fontId="42" fillId="8" borderId="13" xfId="0" applyFont="1" applyFill="1" applyBorder="1" applyAlignment="1">
      <alignment horizontal="center" vertical="center" wrapText="1"/>
    </xf>
    <xf numFmtId="0" fontId="42" fillId="8" borderId="14" xfId="0" applyFont="1" applyFill="1" applyBorder="1" applyAlignment="1">
      <alignment horizontal="center" vertical="center" wrapText="1"/>
    </xf>
    <xf numFmtId="0" fontId="41" fillId="9" borderId="11" xfId="0" applyFont="1" applyFill="1" applyBorder="1" applyAlignment="1">
      <alignment horizontal="center" vertical="center"/>
    </xf>
    <xf numFmtId="0" fontId="40" fillId="23" borderId="63" xfId="0" applyFont="1" applyFill="1" applyBorder="1" applyAlignment="1">
      <alignment horizontal="center" vertical="center" wrapText="1"/>
    </xf>
    <xf numFmtId="0" fontId="40" fillId="23" borderId="64" xfId="0" applyFont="1" applyFill="1" applyBorder="1" applyAlignment="1">
      <alignment horizontal="center" vertical="center" wrapText="1"/>
    </xf>
    <xf numFmtId="0" fontId="40" fillId="23" borderId="65" xfId="0" applyFont="1" applyFill="1" applyBorder="1" applyAlignment="1">
      <alignment horizontal="center" vertical="center" wrapText="1"/>
    </xf>
    <xf numFmtId="0" fontId="40" fillId="23" borderId="58" xfId="0" applyFont="1" applyFill="1" applyBorder="1" applyAlignment="1">
      <alignment horizontal="center" vertical="center" wrapText="1"/>
    </xf>
    <xf numFmtId="0" fontId="40" fillId="23" borderId="0" xfId="0" applyFont="1" applyFill="1" applyBorder="1" applyAlignment="1">
      <alignment horizontal="center" vertical="center" wrapText="1"/>
    </xf>
    <xf numFmtId="0" fontId="40" fillId="23" borderId="59" xfId="0" applyFont="1" applyFill="1" applyBorder="1" applyAlignment="1">
      <alignment horizontal="center" vertical="center" wrapText="1"/>
    </xf>
    <xf numFmtId="0" fontId="40" fillId="23" borderId="66" xfId="0" applyFont="1" applyFill="1" applyBorder="1" applyAlignment="1">
      <alignment horizontal="center" vertical="center" wrapText="1"/>
    </xf>
    <xf numFmtId="0" fontId="40" fillId="23" borderId="67" xfId="0" applyFont="1" applyFill="1" applyBorder="1" applyAlignment="1">
      <alignment horizontal="center" vertical="center" wrapText="1"/>
    </xf>
    <xf numFmtId="0" fontId="40" fillId="23" borderId="68" xfId="0" applyFont="1" applyFill="1" applyBorder="1" applyAlignment="1">
      <alignment horizontal="center" vertical="center" wrapText="1"/>
    </xf>
    <xf numFmtId="0" fontId="41" fillId="9" borderId="13" xfId="0" applyFont="1" applyFill="1" applyBorder="1" applyAlignment="1">
      <alignment horizontal="center" vertical="center"/>
    </xf>
    <xf numFmtId="0" fontId="41" fillId="9" borderId="14" xfId="0" applyFont="1" applyFill="1" applyBorder="1" applyAlignment="1">
      <alignment horizontal="center" vertical="center"/>
    </xf>
    <xf numFmtId="0" fontId="34" fillId="9" borderId="13" xfId="0" applyFont="1" applyFill="1" applyBorder="1" applyAlignment="1">
      <alignment horizontal="center" vertical="center"/>
    </xf>
    <xf numFmtId="0" fontId="34" fillId="9" borderId="14" xfId="0" applyFont="1" applyFill="1" applyBorder="1" applyAlignment="1">
      <alignment horizontal="center" vertical="center"/>
    </xf>
    <xf numFmtId="0" fontId="42" fillId="8" borderId="22" xfId="0" applyFont="1" applyFill="1" applyBorder="1" applyAlignment="1">
      <alignment horizontal="center" vertical="center" wrapText="1"/>
    </xf>
    <xf numFmtId="0" fontId="42" fillId="8" borderId="23" xfId="0" applyFont="1" applyFill="1" applyBorder="1" applyAlignment="1">
      <alignment horizontal="center" vertical="center" wrapText="1"/>
    </xf>
    <xf numFmtId="0" fontId="42" fillId="8" borderId="25" xfId="0" applyFont="1" applyFill="1" applyBorder="1" applyAlignment="1">
      <alignment horizontal="center" vertical="center" wrapText="1"/>
    </xf>
    <xf numFmtId="0" fontId="35" fillId="9" borderId="13" xfId="0" applyFont="1" applyFill="1" applyBorder="1" applyAlignment="1">
      <alignment horizontal="center" vertical="center"/>
    </xf>
    <xf numFmtId="0" fontId="35" fillId="9" borderId="14" xfId="0" applyFont="1" applyFill="1" applyBorder="1" applyAlignment="1">
      <alignment horizontal="center" vertical="center"/>
    </xf>
    <xf numFmtId="0" fontId="34" fillId="9" borderId="25" xfId="0" applyFont="1" applyFill="1" applyBorder="1" applyAlignment="1">
      <alignment horizontal="center" vertical="center"/>
    </xf>
    <xf numFmtId="0" fontId="34" fillId="9" borderId="38" xfId="0" applyFont="1" applyFill="1" applyBorder="1" applyAlignment="1">
      <alignment horizontal="center" vertical="center"/>
    </xf>
    <xf numFmtId="0" fontId="34" fillId="9" borderId="39" xfId="0" applyFont="1" applyFill="1" applyBorder="1" applyAlignment="1">
      <alignment horizontal="center" vertical="center"/>
    </xf>
    <xf numFmtId="0" fontId="35" fillId="0" borderId="23" xfId="0" applyFont="1" applyBorder="1" applyAlignment="1">
      <alignment horizontal="left" vertical="center" wrapText="1"/>
    </xf>
    <xf numFmtId="0" fontId="35" fillId="0" borderId="14" xfId="0" applyFont="1" applyBorder="1" applyAlignment="1">
      <alignment horizontal="left" vertical="center" wrapText="1"/>
    </xf>
    <xf numFmtId="0" fontId="35" fillId="0" borderId="39" xfId="0" applyFont="1" applyBorder="1" applyAlignment="1">
      <alignment horizontal="left" vertical="center" wrapText="1"/>
    </xf>
    <xf numFmtId="0" fontId="40" fillId="23" borderId="69" xfId="0" applyFont="1" applyFill="1" applyBorder="1" applyAlignment="1">
      <alignment horizontal="center" vertical="center" wrapText="1"/>
    </xf>
    <xf numFmtId="0" fontId="40" fillId="23" borderId="70" xfId="0" applyFont="1" applyFill="1" applyBorder="1" applyAlignment="1">
      <alignment horizontal="center" vertical="center" wrapText="1"/>
    </xf>
    <xf numFmtId="0" fontId="40" fillId="23" borderId="71" xfId="0" applyFont="1" applyFill="1" applyBorder="1" applyAlignment="1">
      <alignment horizontal="center" vertical="center" wrapText="1"/>
    </xf>
    <xf numFmtId="0" fontId="21" fillId="0" borderId="52" xfId="0" applyFont="1" applyBorder="1" applyAlignment="1">
      <alignment horizontal="center" vertical="center"/>
    </xf>
    <xf numFmtId="0" fontId="21" fillId="0" borderId="53" xfId="0" applyFont="1" applyBorder="1" applyAlignment="1">
      <alignment horizontal="center" vertical="center"/>
    </xf>
    <xf numFmtId="0" fontId="21" fillId="0" borderId="57" xfId="0" applyFont="1" applyBorder="1" applyAlignment="1">
      <alignment horizontal="center" vertical="center"/>
    </xf>
    <xf numFmtId="0" fontId="21" fillId="0" borderId="58" xfId="0" applyFont="1" applyBorder="1" applyAlignment="1">
      <alignment horizontal="center" vertical="center"/>
    </xf>
    <xf numFmtId="0" fontId="21" fillId="0" borderId="0" xfId="0" applyFont="1" applyBorder="1" applyAlignment="1">
      <alignment horizontal="center" vertical="center"/>
    </xf>
    <xf numFmtId="0" fontId="21" fillId="0" borderId="59" xfId="0" applyFont="1" applyBorder="1" applyAlignment="1">
      <alignment horizontal="center" vertical="center"/>
    </xf>
    <xf numFmtId="0" fontId="21" fillId="0" borderId="60" xfId="0" applyFont="1" applyBorder="1" applyAlignment="1">
      <alignment horizontal="center" vertical="center"/>
    </xf>
    <xf numFmtId="0" fontId="21" fillId="0" borderId="61" xfId="0" applyFont="1" applyBorder="1" applyAlignment="1">
      <alignment horizontal="center" vertical="center"/>
    </xf>
    <xf numFmtId="0" fontId="21" fillId="0" borderId="62" xfId="0" applyFont="1" applyBorder="1" applyAlignment="1">
      <alignment horizontal="center" vertical="center"/>
    </xf>
    <xf numFmtId="0" fontId="69" fillId="0" borderId="14" xfId="0" applyFont="1" applyBorder="1" applyAlignment="1">
      <alignment horizontal="center" vertical="center"/>
    </xf>
    <xf numFmtId="0" fontId="41" fillId="9" borderId="23" xfId="0" applyFont="1" applyFill="1" applyBorder="1" applyAlignment="1">
      <alignment horizontal="center" vertical="center"/>
    </xf>
    <xf numFmtId="0" fontId="36" fillId="2" borderId="0" xfId="0" applyFont="1" applyFill="1" applyBorder="1" applyAlignment="1">
      <alignment horizontal="center" wrapText="1"/>
    </xf>
    <xf numFmtId="173" fontId="47" fillId="13" borderId="0" xfId="0" applyNumberFormat="1" applyFont="1" applyFill="1" applyAlignment="1" applyProtection="1">
      <alignment horizontal="center" vertical="center"/>
      <protection locked="0"/>
    </xf>
    <xf numFmtId="0" fontId="63" fillId="2" borderId="0" xfId="0" applyFont="1" applyFill="1" applyBorder="1" applyAlignment="1">
      <alignment horizontal="left" wrapText="1"/>
    </xf>
    <xf numFmtId="0" fontId="46" fillId="17" borderId="0" xfId="0" applyFont="1" applyFill="1" applyAlignment="1">
      <alignment horizontal="center" vertical="center"/>
    </xf>
    <xf numFmtId="0" fontId="47" fillId="13" borderId="0" xfId="0" applyFont="1" applyFill="1" applyAlignment="1" applyProtection="1">
      <alignment horizontal="center" vertical="center"/>
      <protection locked="0"/>
    </xf>
    <xf numFmtId="49" fontId="47" fillId="13" borderId="0" xfId="0" applyNumberFormat="1" applyFont="1" applyFill="1" applyAlignment="1" applyProtection="1">
      <alignment horizontal="center" vertical="center"/>
      <protection locked="0"/>
    </xf>
    <xf numFmtId="0" fontId="36" fillId="2" borderId="0" xfId="0" applyFont="1" applyFill="1" applyAlignment="1">
      <alignment horizontal="center" wrapText="1"/>
    </xf>
    <xf numFmtId="0" fontId="41" fillId="8" borderId="23" xfId="0" applyFont="1" applyFill="1" applyBorder="1" applyAlignment="1">
      <alignment horizontal="center" vertical="center"/>
    </xf>
    <xf numFmtId="0" fontId="41" fillId="8" borderId="24" xfId="0" applyFont="1" applyFill="1" applyBorder="1" applyAlignment="1">
      <alignment horizontal="center" vertical="center"/>
    </xf>
    <xf numFmtId="0" fontId="45" fillId="8" borderId="14" xfId="0" applyFont="1" applyFill="1" applyBorder="1" applyAlignment="1">
      <alignment horizontal="center" vertical="center"/>
    </xf>
    <xf numFmtId="0" fontId="45" fillId="8" borderId="26" xfId="0" applyFont="1" applyFill="1" applyBorder="1" applyAlignment="1">
      <alignment horizontal="center" vertical="center"/>
    </xf>
    <xf numFmtId="0" fontId="41" fillId="8" borderId="14" xfId="0" applyFont="1" applyFill="1" applyBorder="1" applyAlignment="1">
      <alignment horizontal="center" vertical="center"/>
    </xf>
    <xf numFmtId="0" fontId="41" fillId="8" borderId="26" xfId="0" applyFont="1" applyFill="1" applyBorder="1" applyAlignment="1">
      <alignment horizontal="center" vertical="center"/>
    </xf>
    <xf numFmtId="0" fontId="46" fillId="17" borderId="0" xfId="0" applyFont="1" applyFill="1" applyAlignment="1" applyProtection="1">
      <alignment horizontal="center" vertical="center"/>
      <protection locked="0"/>
    </xf>
    <xf numFmtId="0" fontId="69" fillId="0" borderId="17" xfId="0" applyFont="1" applyBorder="1" applyAlignment="1">
      <alignment horizontal="center" vertical="center"/>
    </xf>
    <xf numFmtId="0" fontId="39" fillId="13" borderId="14" xfId="0" applyFont="1" applyFill="1" applyBorder="1" applyAlignment="1" applyProtection="1">
      <alignment horizontal="center" vertical="center"/>
      <protection locked="0"/>
    </xf>
    <xf numFmtId="0" fontId="39" fillId="13" borderId="15" xfId="0" applyFont="1" applyFill="1" applyBorder="1" applyAlignment="1" applyProtection="1">
      <alignment horizontal="center" vertical="center"/>
      <protection locked="0"/>
    </xf>
    <xf numFmtId="0" fontId="39" fillId="13" borderId="17" xfId="0" applyFont="1" applyFill="1" applyBorder="1" applyAlignment="1" applyProtection="1">
      <alignment horizontal="center" vertical="center"/>
      <protection locked="0"/>
    </xf>
    <xf numFmtId="0" fontId="39" fillId="13" borderId="18" xfId="0" applyFont="1" applyFill="1" applyBorder="1" applyAlignment="1" applyProtection="1">
      <alignment horizontal="center" vertical="center"/>
      <protection locked="0"/>
    </xf>
    <xf numFmtId="0" fontId="39" fillId="13" borderId="26" xfId="0" applyFont="1" applyFill="1" applyBorder="1" applyAlignment="1" applyProtection="1">
      <alignment horizontal="center" vertical="center"/>
      <protection locked="0"/>
    </xf>
    <xf numFmtId="165" fontId="39" fillId="8" borderId="14" xfId="0" applyNumberFormat="1" applyFont="1" applyFill="1" applyBorder="1" applyAlignment="1">
      <alignment horizontal="center" vertical="center"/>
    </xf>
    <xf numFmtId="165" fontId="39" fillId="8" borderId="26" xfId="0" applyNumberFormat="1" applyFont="1" applyFill="1" applyBorder="1" applyAlignment="1">
      <alignment horizontal="center" vertical="center"/>
    </xf>
    <xf numFmtId="0" fontId="69" fillId="0" borderId="39" xfId="0" applyFont="1" applyBorder="1" applyAlignment="1">
      <alignment horizontal="center" vertical="center"/>
    </xf>
    <xf numFmtId="0" fontId="39" fillId="13" borderId="39" xfId="0" applyFont="1" applyFill="1" applyBorder="1" applyAlignment="1" applyProtection="1">
      <alignment horizontal="center" vertical="center"/>
      <protection locked="0"/>
    </xf>
    <xf numFmtId="0" fontId="39" fillId="13" borderId="40" xfId="0" applyFont="1" applyFill="1" applyBorder="1" applyAlignment="1" applyProtection="1">
      <alignment horizontal="center" vertical="center"/>
      <protection locked="0"/>
    </xf>
    <xf numFmtId="0" fontId="41" fillId="8" borderId="15" xfId="0" applyFont="1" applyFill="1" applyBorder="1" applyAlignment="1">
      <alignment horizontal="center" vertical="center"/>
    </xf>
    <xf numFmtId="0" fontId="34" fillId="9" borderId="16" xfId="0" applyFont="1" applyFill="1" applyBorder="1" applyAlignment="1">
      <alignment horizontal="center" vertical="center"/>
    </xf>
    <xf numFmtId="0" fontId="34" fillId="9" borderId="17" xfId="0" applyFont="1" applyFill="1" applyBorder="1" applyAlignment="1">
      <alignment horizontal="center" vertical="center"/>
    </xf>
    <xf numFmtId="175" fontId="39" fillId="8" borderId="14" xfId="0" applyNumberFormat="1" applyFont="1" applyFill="1" applyBorder="1" applyAlignment="1">
      <alignment horizontal="center" vertical="center"/>
    </xf>
    <xf numFmtId="175" fontId="39" fillId="8" borderId="26" xfId="0" applyNumberFormat="1" applyFont="1" applyFill="1" applyBorder="1" applyAlignment="1">
      <alignment horizontal="center" vertical="center"/>
    </xf>
    <xf numFmtId="0" fontId="35" fillId="0" borderId="11" xfId="0" applyFont="1" applyBorder="1" applyAlignment="1">
      <alignment horizontal="left" vertical="center" wrapText="1"/>
    </xf>
    <xf numFmtId="0" fontId="35" fillId="0" borderId="17" xfId="0" applyFont="1" applyBorder="1" applyAlignment="1">
      <alignment horizontal="left" vertical="center" wrapText="1"/>
    </xf>
    <xf numFmtId="0" fontId="41" fillId="8" borderId="11" xfId="0" applyFont="1" applyFill="1" applyBorder="1" applyAlignment="1">
      <alignment horizontal="center" vertical="center"/>
    </xf>
    <xf numFmtId="0" fontId="41" fillId="8" borderId="12" xfId="0" applyFont="1" applyFill="1" applyBorder="1" applyAlignment="1">
      <alignment horizontal="center" vertical="center"/>
    </xf>
    <xf numFmtId="0" fontId="39" fillId="8" borderId="14" xfId="0" applyFont="1" applyFill="1" applyBorder="1" applyAlignment="1">
      <alignment horizontal="center" vertical="center"/>
    </xf>
    <xf numFmtId="0" fontId="39" fillId="8" borderId="15" xfId="0" applyFont="1" applyFill="1" applyBorder="1" applyAlignment="1">
      <alignment horizontal="center" vertical="center"/>
    </xf>
    <xf numFmtId="0" fontId="39" fillId="13" borderId="52" xfId="0" applyFont="1" applyFill="1" applyBorder="1" applyAlignment="1" applyProtection="1">
      <alignment horizontal="center" vertical="center"/>
      <protection locked="0"/>
    </xf>
    <xf numFmtId="0" fontId="39" fillId="13" borderId="53" xfId="0" applyFont="1" applyFill="1" applyBorder="1" applyAlignment="1" applyProtection="1">
      <alignment horizontal="center" vertical="center"/>
      <protection locked="0"/>
    </xf>
    <xf numFmtId="0" fontId="39" fillId="13" borderId="77" xfId="0" applyFont="1" applyFill="1" applyBorder="1" applyAlignment="1" applyProtection="1">
      <alignment horizontal="center" vertical="center"/>
      <protection locked="0"/>
    </xf>
    <xf numFmtId="0" fontId="39" fillId="13" borderId="58" xfId="0" applyFont="1" applyFill="1" applyBorder="1" applyAlignment="1" applyProtection="1">
      <alignment horizontal="center" vertical="center"/>
      <protection locked="0"/>
    </xf>
    <xf numFmtId="0" fontId="39" fillId="13" borderId="0" xfId="0" applyFont="1" applyFill="1" applyBorder="1" applyAlignment="1" applyProtection="1">
      <alignment horizontal="center" vertical="center"/>
      <protection locked="0"/>
    </xf>
    <xf numFmtId="0" fontId="39" fillId="13" borderId="78" xfId="0" applyFont="1" applyFill="1" applyBorder="1" applyAlignment="1" applyProtection="1">
      <alignment horizontal="center" vertical="center"/>
      <protection locked="0"/>
    </xf>
    <xf numFmtId="0" fontId="39" fillId="13" borderId="66" xfId="0" applyFont="1" applyFill="1" applyBorder="1" applyAlignment="1" applyProtection="1">
      <alignment horizontal="center" vertical="center"/>
      <protection locked="0"/>
    </xf>
    <xf numFmtId="0" fontId="39" fillId="13" borderId="67" xfId="0" applyFont="1" applyFill="1" applyBorder="1" applyAlignment="1" applyProtection="1">
      <alignment horizontal="center" vertical="center"/>
      <protection locked="0"/>
    </xf>
    <xf numFmtId="0" fontId="39" fillId="13" borderId="79" xfId="0" applyFont="1" applyFill="1" applyBorder="1" applyAlignment="1" applyProtection="1">
      <alignment horizontal="center" vertical="center"/>
      <protection locked="0"/>
    </xf>
    <xf numFmtId="0" fontId="39" fillId="8" borderId="26" xfId="0" applyFont="1" applyFill="1" applyBorder="1" applyAlignment="1">
      <alignment horizontal="center" vertical="center"/>
    </xf>
    <xf numFmtId="0" fontId="41" fillId="9" borderId="35" xfId="0" applyFont="1" applyFill="1" applyBorder="1" applyAlignment="1">
      <alignment horizontal="center" vertical="center"/>
    </xf>
    <xf numFmtId="0" fontId="41" fillId="9" borderId="36" xfId="0" applyFont="1" applyFill="1" applyBorder="1" applyAlignment="1">
      <alignment horizontal="center" vertical="center"/>
    </xf>
    <xf numFmtId="0" fontId="41" fillId="9" borderId="37" xfId="0" applyFont="1" applyFill="1" applyBorder="1" applyAlignment="1">
      <alignment horizontal="center" vertical="center"/>
    </xf>
    <xf numFmtId="1" fontId="39" fillId="8" borderId="14" xfId="0" applyNumberFormat="1" applyFont="1" applyFill="1" applyBorder="1" applyAlignment="1">
      <alignment horizontal="center" vertical="center"/>
    </xf>
    <xf numFmtId="0" fontId="35" fillId="0" borderId="28" xfId="0" applyFont="1" applyBorder="1" applyAlignment="1">
      <alignment horizontal="left" vertical="center" wrapText="1"/>
    </xf>
    <xf numFmtId="0" fontId="48" fillId="0" borderId="14" xfId="0" applyFont="1" applyBorder="1" applyAlignment="1">
      <alignment horizontal="center" vertical="center"/>
    </xf>
    <xf numFmtId="0" fontId="21" fillId="0" borderId="72" xfId="0" applyFont="1" applyBorder="1" applyAlignment="1">
      <alignment horizontal="center" vertical="center"/>
    </xf>
    <xf numFmtId="0" fontId="21" fillId="0" borderId="73" xfId="0" applyFont="1" applyBorder="1" applyAlignment="1">
      <alignment horizontal="center" vertical="center"/>
    </xf>
    <xf numFmtId="0" fontId="21" fillId="0" borderId="74" xfId="0" applyFont="1" applyBorder="1" applyAlignment="1">
      <alignment horizontal="center" vertical="center"/>
    </xf>
    <xf numFmtId="0" fontId="34" fillId="9" borderId="27" xfId="0" applyFont="1" applyFill="1" applyBorder="1" applyAlignment="1">
      <alignment horizontal="center" vertical="center"/>
    </xf>
    <xf numFmtId="0" fontId="34" fillId="9" borderId="28" xfId="0" applyFont="1" applyFill="1" applyBorder="1" applyAlignment="1">
      <alignment horizontal="center" vertical="center"/>
    </xf>
    <xf numFmtId="0" fontId="39" fillId="13" borderId="28" xfId="0" applyFont="1" applyFill="1" applyBorder="1" applyAlignment="1" applyProtection="1">
      <alignment horizontal="center" vertical="center"/>
      <protection locked="0"/>
    </xf>
    <xf numFmtId="0" fontId="39" fillId="13" borderId="29" xfId="0" applyFont="1" applyFill="1" applyBorder="1" applyAlignment="1" applyProtection="1">
      <alignment horizontal="center" vertical="center"/>
      <protection locked="0"/>
    </xf>
    <xf numFmtId="0" fontId="42" fillId="8" borderId="19" xfId="0" applyFont="1" applyFill="1" applyBorder="1" applyAlignment="1">
      <alignment horizontal="center" vertical="center" wrapText="1"/>
    </xf>
    <xf numFmtId="0" fontId="42" fillId="8" borderId="20" xfId="0" applyFont="1" applyFill="1" applyBorder="1" applyAlignment="1">
      <alignment horizontal="center" vertical="center" wrapText="1"/>
    </xf>
    <xf numFmtId="0" fontId="41" fillId="9" borderId="20" xfId="0" applyFont="1" applyFill="1" applyBorder="1" applyAlignment="1">
      <alignment horizontal="center" vertical="center"/>
    </xf>
    <xf numFmtId="0" fontId="35" fillId="0" borderId="20" xfId="0" applyFont="1" applyBorder="1" applyAlignment="1">
      <alignment horizontal="left" vertical="center" wrapText="1"/>
    </xf>
    <xf numFmtId="0" fontId="41" fillId="8" borderId="20" xfId="0" applyFont="1" applyFill="1" applyBorder="1" applyAlignment="1">
      <alignment horizontal="center" vertical="center"/>
    </xf>
    <xf numFmtId="0" fontId="41" fillId="8" borderId="21" xfId="0" applyFont="1" applyFill="1" applyBorder="1" applyAlignment="1">
      <alignment horizontal="center" vertical="center"/>
    </xf>
    <xf numFmtId="0" fontId="28" fillId="8" borderId="1" xfId="0" applyFont="1" applyFill="1" applyBorder="1" applyAlignment="1">
      <alignment horizontal="left" vertical="center"/>
    </xf>
    <xf numFmtId="167" fontId="27" fillId="14" borderId="2" xfId="0" applyNumberFormat="1" applyFont="1" applyFill="1" applyBorder="1" applyAlignment="1">
      <alignment horizontal="center" vertical="center"/>
    </xf>
    <xf numFmtId="167" fontId="27" fillId="14" borderId="8" xfId="0" applyNumberFormat="1" applyFont="1" applyFill="1" applyBorder="1" applyAlignment="1">
      <alignment horizontal="center" vertical="center"/>
    </xf>
    <xf numFmtId="167" fontId="27" fillId="14" borderId="3" xfId="0" applyNumberFormat="1" applyFont="1" applyFill="1" applyBorder="1" applyAlignment="1">
      <alignment horizontal="center" vertical="center"/>
    </xf>
    <xf numFmtId="9" fontId="27" fillId="14" borderId="2" xfId="2" applyFont="1" applyFill="1" applyBorder="1" applyAlignment="1">
      <alignment horizontal="center" vertical="center"/>
    </xf>
    <xf numFmtId="9" fontId="27" fillId="14" borderId="8" xfId="2" applyFont="1" applyFill="1" applyBorder="1" applyAlignment="1">
      <alignment horizontal="center" vertical="center"/>
    </xf>
    <xf numFmtId="9" fontId="27" fillId="14" borderId="3" xfId="2" applyFont="1" applyFill="1" applyBorder="1" applyAlignment="1">
      <alignment horizontal="center" vertical="center"/>
    </xf>
    <xf numFmtId="20" fontId="27" fillId="14" borderId="2" xfId="0" applyNumberFormat="1" applyFont="1" applyFill="1" applyBorder="1" applyAlignment="1">
      <alignment horizontal="center" vertical="center"/>
    </xf>
    <xf numFmtId="9" fontId="27" fillId="14" borderId="8" xfId="0" applyNumberFormat="1" applyFont="1" applyFill="1" applyBorder="1" applyAlignment="1">
      <alignment horizontal="center" vertical="center"/>
    </xf>
    <xf numFmtId="9" fontId="27" fillId="14" borderId="3" xfId="0" applyNumberFormat="1" applyFont="1" applyFill="1" applyBorder="1" applyAlignment="1">
      <alignment horizontal="center" vertical="center"/>
    </xf>
    <xf numFmtId="0" fontId="28" fillId="21" borderId="1" xfId="0" applyFont="1" applyFill="1" applyBorder="1" applyAlignment="1">
      <alignment horizontal="center" vertical="center"/>
    </xf>
    <xf numFmtId="0" fontId="19" fillId="20" borderId="9" xfId="0" applyFont="1" applyFill="1" applyBorder="1" applyAlignment="1">
      <alignment horizontal="center" vertical="center"/>
    </xf>
    <xf numFmtId="0" fontId="19" fillId="20" borderId="6" xfId="0" applyFont="1" applyFill="1" applyBorder="1" applyAlignment="1">
      <alignment horizontal="center" vertical="center"/>
    </xf>
    <xf numFmtId="0" fontId="15" fillId="14" borderId="0" xfId="0" applyFont="1" applyFill="1" applyAlignment="1">
      <alignment horizontal="center" vertical="center"/>
    </xf>
    <xf numFmtId="0" fontId="53" fillId="2" borderId="67" xfId="0" applyFont="1" applyFill="1" applyBorder="1" applyAlignment="1">
      <alignment horizontal="left"/>
    </xf>
    <xf numFmtId="174" fontId="32" fillId="11" borderId="52" xfId="0" applyNumberFormat="1" applyFont="1" applyFill="1" applyBorder="1" applyAlignment="1" applyProtection="1">
      <alignment horizontal="center" vertical="center"/>
      <protection locked="0"/>
    </xf>
    <xf numFmtId="174" fontId="32" fillId="11" borderId="53" xfId="0" applyNumberFormat="1" applyFont="1" applyFill="1" applyBorder="1" applyAlignment="1" applyProtection="1">
      <alignment horizontal="center" vertical="center"/>
      <protection locked="0"/>
    </xf>
    <xf numFmtId="174" fontId="32" fillId="11" borderId="55" xfId="0" applyNumberFormat="1" applyFont="1" applyFill="1" applyBorder="1" applyAlignment="1" applyProtection="1">
      <alignment horizontal="center" vertical="center"/>
      <protection locked="0"/>
    </xf>
    <xf numFmtId="174" fontId="32" fillId="11" borderId="54" xfId="0" applyNumberFormat="1" applyFont="1" applyFill="1" applyBorder="1" applyAlignment="1" applyProtection="1">
      <alignment horizontal="center" vertical="center"/>
      <protection locked="0"/>
    </xf>
    <xf numFmtId="174" fontId="32" fillId="11" borderId="51" xfId="0" applyNumberFormat="1" applyFont="1" applyFill="1" applyBorder="1" applyAlignment="1" applyProtection="1">
      <alignment horizontal="center" vertical="center"/>
      <protection locked="0"/>
    </xf>
    <xf numFmtId="174" fontId="32" fillId="11" borderId="56" xfId="0" applyNumberFormat="1" applyFont="1" applyFill="1" applyBorder="1" applyAlignment="1" applyProtection="1">
      <alignment horizontal="center" vertical="center"/>
      <protection locked="0"/>
    </xf>
    <xf numFmtId="0" fontId="29" fillId="8" borderId="1" xfId="0" applyFont="1" applyFill="1" applyBorder="1" applyAlignment="1">
      <alignment horizontal="center" vertical="center"/>
    </xf>
    <xf numFmtId="0" fontId="10" fillId="2" borderId="0" xfId="0" applyFont="1" applyFill="1" applyAlignment="1">
      <alignment horizontal="center" vertical="center"/>
    </xf>
    <xf numFmtId="0" fontId="10" fillId="14" borderId="0" xfId="0" applyFont="1" applyFill="1" applyAlignment="1">
      <alignment horizontal="center" vertical="center"/>
    </xf>
    <xf numFmtId="0" fontId="32" fillId="11" borderId="52" xfId="0" applyFont="1" applyFill="1" applyBorder="1" applyAlignment="1" applyProtection="1">
      <alignment horizontal="center" vertical="center"/>
      <protection locked="0"/>
    </xf>
    <xf numFmtId="0" fontId="32" fillId="11" borderId="53" xfId="0" applyFont="1" applyFill="1" applyBorder="1" applyAlignment="1" applyProtection="1">
      <alignment horizontal="center" vertical="center"/>
      <protection locked="0"/>
    </xf>
    <xf numFmtId="0" fontId="32" fillId="11" borderId="55" xfId="0" applyFont="1" applyFill="1" applyBorder="1" applyAlignment="1" applyProtection="1">
      <alignment horizontal="center" vertical="center"/>
      <protection locked="0"/>
    </xf>
    <xf numFmtId="0" fontId="32" fillId="11" borderId="54" xfId="0" applyFont="1" applyFill="1" applyBorder="1" applyAlignment="1" applyProtection="1">
      <alignment horizontal="center" vertical="center"/>
      <protection locked="0"/>
    </xf>
    <xf numFmtId="0" fontId="32" fillId="11" borderId="51" xfId="0" applyFont="1" applyFill="1" applyBorder="1" applyAlignment="1" applyProtection="1">
      <alignment horizontal="center" vertical="center"/>
      <protection locked="0"/>
    </xf>
    <xf numFmtId="0" fontId="32" fillId="11" borderId="56" xfId="0" applyFont="1" applyFill="1" applyBorder="1" applyAlignment="1" applyProtection="1">
      <alignment horizontal="center" vertical="center"/>
      <protection locked="0"/>
    </xf>
    <xf numFmtId="0" fontId="32" fillId="11" borderId="57" xfId="0" applyFont="1" applyFill="1" applyBorder="1" applyAlignment="1" applyProtection="1">
      <alignment horizontal="center" vertical="center"/>
      <protection locked="0"/>
    </xf>
    <xf numFmtId="0" fontId="32" fillId="11" borderId="75" xfId="0" applyFont="1" applyFill="1" applyBorder="1" applyAlignment="1" applyProtection="1">
      <alignment horizontal="center" vertical="center"/>
      <protection locked="0"/>
    </xf>
    <xf numFmtId="0" fontId="28" fillId="8" borderId="50" xfId="0" applyFont="1" applyFill="1" applyBorder="1" applyAlignment="1">
      <alignment horizontal="center" vertical="center"/>
    </xf>
    <xf numFmtId="0" fontId="28" fillId="8" borderId="7" xfId="0" applyFont="1" applyFill="1" applyBorder="1" applyAlignment="1">
      <alignment horizontal="center" vertical="center"/>
    </xf>
    <xf numFmtId="0" fontId="28" fillId="8" borderId="4" xfId="0" applyFont="1" applyFill="1" applyBorder="1" applyAlignment="1">
      <alignment horizontal="center" vertical="center"/>
    </xf>
    <xf numFmtId="9" fontId="27" fillId="14" borderId="2" xfId="0" applyNumberFormat="1" applyFont="1" applyFill="1" applyBorder="1" applyAlignment="1">
      <alignment horizontal="center" vertical="center"/>
    </xf>
    <xf numFmtId="0" fontId="33" fillId="4" borderId="1" xfId="1" applyFont="1" applyFill="1" applyBorder="1" applyAlignment="1">
      <alignment horizontal="left" vertical="center"/>
    </xf>
    <xf numFmtId="0" fontId="33" fillId="4" borderId="1" xfId="0" applyFont="1" applyFill="1" applyBorder="1" applyAlignment="1">
      <alignment horizontal="left" vertical="center"/>
    </xf>
    <xf numFmtId="0" fontId="26" fillId="14" borderId="0" xfId="0" applyFont="1" applyFill="1" applyAlignment="1">
      <alignment horizontal="center" vertical="center"/>
    </xf>
    <xf numFmtId="0" fontId="25" fillId="27" borderId="50" xfId="0" applyFont="1" applyFill="1" applyBorder="1" applyAlignment="1">
      <alignment horizontal="center" vertical="center"/>
    </xf>
    <xf numFmtId="0" fontId="25" fillId="27" borderId="7" xfId="0" applyFont="1" applyFill="1" applyBorder="1" applyAlignment="1">
      <alignment horizontal="center" vertical="center"/>
    </xf>
    <xf numFmtId="0" fontId="25" fillId="27" borderId="4" xfId="0" applyFont="1" applyFill="1" applyBorder="1" applyAlignment="1">
      <alignment horizontal="center" vertical="center"/>
    </xf>
    <xf numFmtId="0" fontId="25" fillId="2" borderId="0" xfId="0" applyFont="1" applyFill="1" applyAlignment="1">
      <alignment horizontal="right"/>
    </xf>
    <xf numFmtId="0" fontId="50" fillId="0" borderId="2" xfId="0" applyFont="1" applyBorder="1" applyAlignment="1">
      <alignment horizontal="center" vertical="center" wrapText="1"/>
    </xf>
    <xf numFmtId="0" fontId="50" fillId="0" borderId="8" xfId="0" applyFont="1" applyBorder="1" applyAlignment="1">
      <alignment horizontal="center" vertical="center"/>
    </xf>
    <xf numFmtId="0" fontId="50" fillId="0" borderId="3" xfId="0" applyFont="1" applyBorder="1" applyAlignment="1">
      <alignment horizontal="center" vertical="center"/>
    </xf>
    <xf numFmtId="0" fontId="0" fillId="0" borderId="2" xfId="0" applyBorder="1" applyAlignment="1">
      <alignment horizontal="left" vertical="center" wrapText="1"/>
    </xf>
    <xf numFmtId="0" fontId="0" fillId="0" borderId="8" xfId="0" applyBorder="1" applyAlignment="1">
      <alignment horizontal="left" vertical="center" wrapText="1"/>
    </xf>
    <xf numFmtId="0" fontId="0" fillId="0" borderId="3" xfId="0" applyBorder="1" applyAlignment="1">
      <alignment horizontal="left" vertical="center" wrapText="1"/>
    </xf>
    <xf numFmtId="0" fontId="50" fillId="0" borderId="2" xfId="0" applyFont="1" applyBorder="1" applyAlignment="1">
      <alignment horizontal="center" vertical="center"/>
    </xf>
    <xf numFmtId="0" fontId="1" fillId="7" borderId="0" xfId="0" applyFont="1" applyFill="1" applyAlignment="1">
      <alignment horizontal="center"/>
    </xf>
    <xf numFmtId="0" fontId="58" fillId="8" borderId="0" xfId="0" applyFont="1" applyFill="1" applyAlignment="1">
      <alignment horizontal="center"/>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0" borderId="44" xfId="0" applyBorder="1" applyAlignment="1">
      <alignment horizontal="center"/>
    </xf>
    <xf numFmtId="0" fontId="0" fillId="0" borderId="1" xfId="0" applyBorder="1" applyAlignment="1">
      <alignment horizontal="center"/>
    </xf>
    <xf numFmtId="0" fontId="0" fillId="0" borderId="45"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38" fillId="0" borderId="41" xfId="0" applyFont="1" applyBorder="1" applyAlignment="1">
      <alignment horizontal="center" vertical="center"/>
    </xf>
    <xf numFmtId="0" fontId="38" fillId="0" borderId="42" xfId="0" applyFont="1" applyBorder="1" applyAlignment="1">
      <alignment horizontal="center" vertical="center"/>
    </xf>
    <xf numFmtId="0" fontId="38" fillId="0" borderId="43" xfId="0" applyFont="1" applyBorder="1" applyAlignment="1">
      <alignment horizontal="center" vertical="center"/>
    </xf>
    <xf numFmtId="0" fontId="38" fillId="0" borderId="44" xfId="0" applyFont="1" applyBorder="1" applyAlignment="1">
      <alignment horizontal="center" vertical="center"/>
    </xf>
    <xf numFmtId="0" fontId="38" fillId="0" borderId="1" xfId="0" applyFont="1" applyBorder="1" applyAlignment="1">
      <alignment horizontal="center" vertical="center"/>
    </xf>
    <xf numFmtId="0" fontId="38" fillId="0" borderId="45" xfId="0" applyFont="1" applyBorder="1" applyAlignment="1">
      <alignment horizontal="center" vertical="center"/>
    </xf>
    <xf numFmtId="0" fontId="38" fillId="0" borderId="46" xfId="0" applyFont="1" applyBorder="1" applyAlignment="1">
      <alignment horizontal="center" vertical="center"/>
    </xf>
    <xf numFmtId="0" fontId="38" fillId="0" borderId="47" xfId="0" applyFont="1" applyBorder="1" applyAlignment="1">
      <alignment horizontal="center" vertical="center"/>
    </xf>
    <xf numFmtId="0" fontId="38" fillId="0" borderId="48" xfId="0" applyFont="1" applyBorder="1" applyAlignment="1">
      <alignment horizontal="center" vertical="center"/>
    </xf>
    <xf numFmtId="0" fontId="54" fillId="0" borderId="6" xfId="0" applyFont="1" applyBorder="1" applyAlignment="1">
      <alignment horizontal="center"/>
    </xf>
    <xf numFmtId="0" fontId="54" fillId="0" borderId="49" xfId="0" applyFont="1" applyBorder="1" applyAlignment="1">
      <alignment horizontal="center"/>
    </xf>
    <xf numFmtId="0" fontId="68" fillId="8" borderId="76" xfId="0" applyFont="1" applyFill="1" applyBorder="1" applyAlignment="1">
      <alignment horizontal="center" vertical="center" textRotation="90" wrapText="1"/>
    </xf>
    <xf numFmtId="0" fontId="68" fillId="8" borderId="0" xfId="0" applyFont="1" applyFill="1" applyBorder="1" applyAlignment="1">
      <alignment horizontal="center" vertical="center" textRotation="90" wrapText="1"/>
    </xf>
    <xf numFmtId="0" fontId="15" fillId="2" borderId="0" xfId="0" applyFont="1" applyFill="1" applyAlignment="1">
      <alignment horizontal="center" vertical="center"/>
    </xf>
    <xf numFmtId="0" fontId="0" fillId="0" borderId="0" xfId="0" applyAlignment="1">
      <alignment horizontal="center"/>
    </xf>
    <xf numFmtId="0" fontId="15" fillId="8" borderId="0" xfId="0" applyFont="1" applyFill="1" applyAlignment="1">
      <alignment horizontal="center" vertical="center"/>
    </xf>
    <xf numFmtId="174" fontId="15" fillId="8" borderId="0" xfId="0" applyNumberFormat="1" applyFont="1" applyFill="1" applyAlignment="1">
      <alignment horizontal="center" vertical="center"/>
    </xf>
    <xf numFmtId="0" fontId="1" fillId="4" borderId="6" xfId="0" applyFont="1" applyFill="1" applyBorder="1" applyAlignment="1">
      <alignment horizontal="center" vertical="center"/>
    </xf>
    <xf numFmtId="0" fontId="2" fillId="2" borderId="0" xfId="0" applyFont="1" applyFill="1" applyAlignment="1">
      <alignment horizontal="center" vertical="center" wrapText="1"/>
    </xf>
    <xf numFmtId="0" fontId="2" fillId="6" borderId="0" xfId="0" applyFont="1" applyFill="1" applyAlignment="1">
      <alignment horizontal="center" vertical="top" wrapText="1"/>
    </xf>
    <xf numFmtId="0" fontId="1" fillId="6" borderId="0" xfId="0" applyFont="1" applyFill="1" applyAlignment="1">
      <alignment horizontal="center" vertical="center"/>
    </xf>
    <xf numFmtId="0" fontId="3" fillId="3" borderId="0" xfId="0" applyFont="1" applyFill="1" applyAlignment="1">
      <alignment horizontal="center"/>
    </xf>
    <xf numFmtId="0" fontId="3" fillId="6" borderId="0" xfId="0" applyFont="1" applyFill="1" applyAlignment="1">
      <alignment horizontal="center"/>
    </xf>
    <xf numFmtId="0" fontId="1" fillId="27" borderId="0" xfId="0" applyFont="1" applyFill="1" applyAlignment="1">
      <alignment horizontal="center"/>
    </xf>
  </cellXfs>
  <cellStyles count="3">
    <cellStyle name="Link" xfId="1" builtinId="8"/>
    <cellStyle name="Prozent" xfId="2" builtinId="5"/>
    <cellStyle name="Standard" xfId="0" builtinId="0"/>
  </cellStyles>
  <dxfs count="150">
    <dxf>
      <font>
        <color theme="0"/>
      </font>
      <fill>
        <patternFill>
          <bgColor rgb="FFFF0000"/>
        </patternFill>
      </fill>
    </dxf>
    <dxf>
      <font>
        <color rgb="FF002060"/>
      </font>
      <fill>
        <patternFill>
          <bgColor theme="4" tint="0.59996337778862885"/>
        </patternFill>
      </fill>
    </dxf>
    <dxf>
      <fill>
        <patternFill>
          <bgColor theme="9" tint="0.39994506668294322"/>
        </patternFill>
      </fill>
    </dxf>
    <dxf>
      <font>
        <color theme="0"/>
      </font>
      <fill>
        <patternFill>
          <bgColor rgb="FFFF0000"/>
        </patternFill>
      </fill>
    </dxf>
    <dxf>
      <font>
        <color theme="0"/>
      </font>
      <fill>
        <patternFill>
          <bgColor theme="3" tint="0.39994506668294322"/>
        </patternFill>
      </fill>
    </dxf>
    <dxf>
      <font>
        <color theme="0"/>
      </font>
      <fill>
        <patternFill>
          <bgColor rgb="FFFF0000"/>
        </patternFill>
      </fill>
    </dxf>
    <dxf>
      <font>
        <color theme="0"/>
      </font>
      <fill>
        <patternFill>
          <bgColor theme="3" tint="0.39994506668294322"/>
        </patternFill>
      </fill>
    </dxf>
    <dxf>
      <fill>
        <patternFill>
          <bgColor theme="4" tint="0.59996337778862885"/>
        </patternFill>
      </fill>
    </dxf>
    <dxf>
      <font>
        <color theme="0"/>
      </font>
      <fill>
        <patternFill>
          <bgColor rgb="FF002060"/>
        </patternFill>
      </fill>
    </dxf>
    <dxf>
      <font>
        <color theme="0"/>
      </font>
      <fill>
        <patternFill>
          <bgColor rgb="FFFF0000"/>
        </patternFill>
      </fill>
    </dxf>
    <dxf>
      <font>
        <color theme="0"/>
      </font>
      <fill>
        <patternFill>
          <bgColor rgb="FFFF0000"/>
        </patternFill>
      </fill>
    </dxf>
    <dxf>
      <fill>
        <patternFill>
          <bgColor rgb="FFFFFFCC"/>
        </patternFill>
      </fill>
    </dxf>
    <dxf>
      <fill>
        <patternFill>
          <bgColor rgb="FFFFFF00"/>
        </patternFill>
      </fill>
    </dxf>
    <dxf>
      <fill>
        <patternFill>
          <bgColor theme="9" tint="0.39994506668294322"/>
        </patternFill>
      </fill>
    </dxf>
    <dxf>
      <font>
        <color theme="0"/>
      </font>
      <fill>
        <patternFill>
          <bgColor rgb="FFFF0000"/>
        </patternFill>
      </fill>
    </dxf>
    <dxf>
      <font>
        <color theme="0"/>
      </font>
      <fill>
        <patternFill>
          <bgColor rgb="FFFF0000"/>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theme="4" tint="0.39994506668294322"/>
        </patternFill>
      </fill>
    </dxf>
    <dxf>
      <font>
        <color theme="0"/>
      </font>
      <fill>
        <patternFill>
          <bgColor rgb="FFFF0000"/>
        </patternFill>
      </fill>
    </dxf>
    <dxf>
      <font>
        <color theme="0"/>
      </font>
      <fill>
        <patternFill>
          <bgColor theme="4" tint="0.39994506668294322"/>
        </patternFill>
      </fill>
    </dxf>
    <dxf>
      <font>
        <color theme="0"/>
      </font>
      <fill>
        <patternFill>
          <bgColor rgb="FFFF0000"/>
        </patternFill>
      </fill>
    </dxf>
    <dxf>
      <font>
        <color theme="0"/>
      </font>
      <fill>
        <patternFill>
          <bgColor theme="4" tint="0.39994506668294322"/>
        </patternFill>
      </fill>
    </dxf>
    <dxf>
      <font>
        <color theme="0"/>
      </font>
      <fill>
        <patternFill>
          <bgColor rgb="FFFF0000"/>
        </patternFill>
      </fill>
    </dxf>
    <dxf>
      <font>
        <color theme="0"/>
      </font>
      <fill>
        <patternFill>
          <bgColor theme="4" tint="0.39994506668294322"/>
        </patternFill>
      </fill>
    </dxf>
    <dxf>
      <font>
        <color theme="0"/>
      </font>
      <fill>
        <patternFill>
          <bgColor rgb="FFFF0000"/>
        </patternFill>
      </fill>
    </dxf>
    <dxf>
      <font>
        <color theme="0"/>
      </font>
      <fill>
        <patternFill>
          <bgColor theme="4" tint="0.39994506668294322"/>
        </patternFill>
      </fill>
    </dxf>
    <dxf>
      <font>
        <color theme="0"/>
      </font>
      <fill>
        <patternFill>
          <bgColor rgb="FFFF0000"/>
        </patternFill>
      </fill>
    </dxf>
    <dxf>
      <font>
        <color theme="0"/>
      </font>
      <fill>
        <patternFill>
          <bgColor theme="4" tint="0.39994506668294322"/>
        </patternFill>
      </fill>
    </dxf>
    <dxf>
      <font>
        <color theme="0"/>
      </font>
      <fill>
        <patternFill>
          <bgColor rgb="FFFF0000"/>
        </patternFill>
      </fill>
    </dxf>
    <dxf>
      <font>
        <color theme="0"/>
      </font>
      <fill>
        <patternFill>
          <bgColor theme="4" tint="0.39994506668294322"/>
        </patternFill>
      </fill>
    </dxf>
    <dxf>
      <font>
        <color theme="0"/>
      </font>
      <fill>
        <patternFill>
          <bgColor rgb="FFFF0000"/>
        </patternFill>
      </fill>
    </dxf>
    <dxf>
      <font>
        <color theme="0"/>
      </font>
      <fill>
        <patternFill>
          <bgColor theme="4" tint="0.39994506668294322"/>
        </patternFill>
      </fill>
    </dxf>
    <dxf>
      <font>
        <color theme="0"/>
      </font>
      <fill>
        <patternFill>
          <bgColor rgb="FFFF0000"/>
        </patternFill>
      </fill>
    </dxf>
    <dxf>
      <font>
        <color theme="0"/>
      </font>
      <fill>
        <patternFill>
          <bgColor theme="4" tint="0.39994506668294322"/>
        </patternFill>
      </fill>
    </dxf>
    <dxf>
      <font>
        <color theme="0"/>
      </font>
      <fill>
        <patternFill>
          <bgColor rgb="FFFF0000"/>
        </patternFill>
      </fill>
    </dxf>
    <dxf>
      <font>
        <color theme="0"/>
      </font>
      <fill>
        <patternFill>
          <bgColor theme="4" tint="0.39994506668294322"/>
        </patternFill>
      </fill>
    </dxf>
    <dxf>
      <font>
        <color theme="0"/>
      </font>
      <fill>
        <patternFill>
          <bgColor rgb="FFFF0000"/>
        </patternFill>
      </fill>
    </dxf>
    <dxf>
      <font>
        <color theme="0"/>
      </font>
      <fill>
        <patternFill>
          <bgColor theme="4" tint="0.39994506668294322"/>
        </patternFill>
      </fill>
    </dxf>
    <dxf>
      <font>
        <color theme="0"/>
      </font>
      <fill>
        <patternFill>
          <bgColor rgb="FFFF0000"/>
        </patternFill>
      </fill>
    </dxf>
    <dxf>
      <font>
        <color theme="0"/>
      </font>
      <fill>
        <patternFill>
          <bgColor theme="4" tint="0.39994506668294322"/>
        </patternFill>
      </fill>
    </dxf>
    <dxf>
      <font>
        <color theme="0"/>
      </font>
      <fill>
        <patternFill>
          <bgColor rgb="FFFF0000"/>
        </patternFill>
      </fill>
    </dxf>
    <dxf>
      <font>
        <color theme="0"/>
      </font>
      <fill>
        <patternFill>
          <bgColor theme="4" tint="0.39994506668294322"/>
        </patternFill>
      </fill>
    </dxf>
    <dxf>
      <font>
        <color theme="0"/>
      </font>
      <fill>
        <patternFill>
          <bgColor rgb="FFFF0000"/>
        </patternFill>
      </fill>
    </dxf>
    <dxf>
      <font>
        <color theme="0"/>
      </font>
      <fill>
        <patternFill>
          <bgColor theme="4" tint="0.39994506668294322"/>
        </patternFill>
      </fill>
    </dxf>
    <dxf>
      <font>
        <color theme="0"/>
      </font>
      <fill>
        <patternFill>
          <bgColor rgb="FFFF0000"/>
        </patternFill>
      </fill>
    </dxf>
    <dxf>
      <font>
        <color theme="0"/>
      </font>
      <fill>
        <patternFill>
          <bgColor theme="4" tint="0.39994506668294322"/>
        </patternFill>
      </fill>
    </dxf>
    <dxf>
      <font>
        <color theme="0"/>
      </font>
      <fill>
        <patternFill>
          <bgColor rgb="FFFF0000"/>
        </patternFill>
      </fill>
    </dxf>
    <dxf>
      <font>
        <color theme="0"/>
      </font>
      <fill>
        <patternFill>
          <bgColor theme="4" tint="0.39994506668294322"/>
        </patternFill>
      </fill>
    </dxf>
    <dxf>
      <font>
        <color theme="0"/>
      </font>
      <fill>
        <patternFill>
          <bgColor rgb="FFFF0000"/>
        </patternFill>
      </fill>
    </dxf>
    <dxf>
      <font>
        <color theme="0"/>
      </font>
      <fill>
        <patternFill>
          <bgColor theme="4" tint="0.39994506668294322"/>
        </patternFill>
      </fill>
    </dxf>
    <dxf>
      <font>
        <color theme="0"/>
      </font>
      <fill>
        <patternFill>
          <bgColor rgb="FFFF0000"/>
        </patternFill>
      </fill>
    </dxf>
    <dxf>
      <font>
        <color theme="0"/>
      </font>
      <fill>
        <patternFill>
          <bgColor theme="4" tint="0.39994506668294322"/>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fill>
        <patternFill>
          <bgColor theme="4" tint="0.3999450666829432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4" tint="-0.24994659260841701"/>
      </font>
      <fill>
        <patternFill>
          <bgColor theme="4" tint="-0.24994659260841701"/>
        </patternFill>
      </fill>
    </dxf>
    <dxf>
      <font>
        <color theme="0"/>
      </font>
    </dxf>
    <dxf>
      <fill>
        <patternFill>
          <bgColor theme="4" tint="0.59996337778862885"/>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s>
  <tableStyles count="0" defaultTableStyle="TableStyleMedium2" defaultPivotStyle="PivotStyleMedium9"/>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 Id="rId30"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3" Type="http://schemas.openxmlformats.org/officeDocument/2006/relationships/chartUserShapes" Target="../drawings/drawing7.xml"/><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1.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2.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3.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34.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35.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36.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37.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38.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39.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40.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_rels/chart41.xml.rels><?xml version="1.0" encoding="UTF-8" standalone="yes"?>
<Relationships xmlns="http://schemas.openxmlformats.org/package/2006/relationships"><Relationship Id="rId2" Type="http://schemas.microsoft.com/office/2011/relationships/chartColorStyle" Target="colors41.xml"/><Relationship Id="rId1" Type="http://schemas.microsoft.com/office/2011/relationships/chartStyle" Target="style41.xml"/></Relationships>
</file>

<file path=xl/charts/_rels/chart42.xml.rels><?xml version="1.0" encoding="UTF-8" standalone="yes"?>
<Relationships xmlns="http://schemas.openxmlformats.org/package/2006/relationships"><Relationship Id="rId2" Type="http://schemas.microsoft.com/office/2011/relationships/chartColorStyle" Target="colors42.xml"/><Relationship Id="rId1" Type="http://schemas.microsoft.com/office/2011/relationships/chartStyle" Target="style42.xml"/></Relationships>
</file>

<file path=xl/charts/_rels/chart43.xml.rels><?xml version="1.0" encoding="UTF-8" standalone="yes"?>
<Relationships xmlns="http://schemas.openxmlformats.org/package/2006/relationships"><Relationship Id="rId2" Type="http://schemas.microsoft.com/office/2011/relationships/chartColorStyle" Target="colors43.xml"/><Relationship Id="rId1" Type="http://schemas.microsoft.com/office/2011/relationships/chartStyle" Target="style43.xml"/></Relationships>
</file>

<file path=xl/charts/_rels/chart44.xml.rels><?xml version="1.0" encoding="UTF-8" standalone="yes"?>
<Relationships xmlns="http://schemas.openxmlformats.org/package/2006/relationships"><Relationship Id="rId2" Type="http://schemas.microsoft.com/office/2011/relationships/chartColorStyle" Target="colors44.xml"/><Relationship Id="rId1" Type="http://schemas.microsoft.com/office/2011/relationships/chartStyle" Target="style4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2011465961845763E-2"/>
          <c:y val="2.3572372543500898E-2"/>
          <c:w val="0.77395573820899388"/>
          <c:h val="0.91608088277025113"/>
        </c:manualLayout>
      </c:layout>
      <c:lineChart>
        <c:grouping val="standard"/>
        <c:varyColors val="0"/>
        <c:ser>
          <c:idx val="0"/>
          <c:order val="0"/>
          <c:tx>
            <c:v>Avg. Topic HCP</c:v>
          </c:tx>
          <c:spPr>
            <a:ln w="28575" cap="rnd">
              <a:noFill/>
              <a:round/>
            </a:ln>
            <a:effectLst/>
          </c:spPr>
          <c:marker>
            <c:symbol val="square"/>
            <c:size val="5"/>
            <c:spPr>
              <a:solidFill>
                <a:schemeClr val="accent1"/>
              </a:solidFill>
              <a:ln w="82550">
                <a:solidFill>
                  <a:schemeClr val="accent1"/>
                </a:solidFill>
              </a:ln>
              <a:effectLst/>
            </c:spPr>
          </c:marker>
          <c:dLbls>
            <c:numFmt formatCode="[Blue]\+0.0;[Red]\-0.0;[Black]\ 0" sourceLinked="0"/>
            <c:spPr>
              <a:solidFill>
                <a:schemeClr val="accent1">
                  <a:lumMod val="20000"/>
                  <a:lumOff val="80000"/>
                </a:schemeClr>
              </a:solidFill>
              <a:ln>
                <a:solidFill>
                  <a:schemeClr val="tx2"/>
                </a:solidFill>
              </a:ln>
              <a:effectLst/>
              <a:scene3d>
                <a:camera prst="orthographicFront"/>
                <a:lightRig rig="threePt" dir="t"/>
              </a:scene3d>
              <a:sp3d>
                <a:bevelT/>
              </a:sp3d>
            </c:spPr>
            <c:txPr>
              <a:bodyPr rot="0" spcFirstLastPara="1" vertOverflow="clip" horzOverflow="clip" vert="horz" wrap="square" lIns="36576" tIns="18288" rIns="36576" bIns="18288" anchor="ctr" anchorCtr="1">
                <a:spAutoFit/>
              </a:bodyPr>
              <a:lstStyle/>
              <a:p>
                <a:pPr>
                  <a:defRPr sz="1200" b="1" i="0" u="none" strike="noStrike" kern="1200" baseline="0">
                    <a:solidFill>
                      <a:schemeClr val="bg1"/>
                    </a:solidFill>
                    <a:latin typeface="+mn-lt"/>
                    <a:ea typeface="+mn-ea"/>
                    <a:cs typeface="+mn-cs"/>
                  </a:defRPr>
                </a:pPr>
                <a:endParaRPr lang="de-DE"/>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oundRect">
                    <a:avLst/>
                  </a:prstGeom>
                  <a:noFill/>
                  <a:ln>
                    <a:noFill/>
                  </a:ln>
                </c15:spPr>
                <c15:showLeaderLines val="0"/>
              </c:ext>
            </c:extLst>
          </c:dLbls>
          <c:cat>
            <c:strRef>
              <c:f>'_Data Status Month'!$D$141:$L$141</c:f>
              <c:strCache>
                <c:ptCount val="9"/>
                <c:pt idx="0">
                  <c:v>Putting</c:v>
                </c:pt>
                <c:pt idx="1">
                  <c:v>Chipping</c:v>
                </c:pt>
                <c:pt idx="2">
                  <c:v>Pitching</c:v>
                </c:pt>
                <c:pt idx="3">
                  <c:v>Approach Shot</c:v>
                </c:pt>
                <c:pt idx="4">
                  <c:v>Wood</c:v>
                </c:pt>
                <c:pt idx="5">
                  <c:v>Driver</c:v>
                </c:pt>
                <c:pt idx="6">
                  <c:v>Bunker</c:v>
                </c:pt>
                <c:pt idx="7">
                  <c:v>Mental</c:v>
                </c:pt>
                <c:pt idx="8">
                  <c:v>Round of Golf</c:v>
                </c:pt>
              </c:strCache>
            </c:strRef>
          </c:cat>
          <c:val>
            <c:numRef>
              <c:f>'_Data Status Month'!$D$162:$L$162</c:f>
              <c:numCache>
                <c:formatCode>0.0</c:formatCode>
                <c:ptCount val="9"/>
                <c:pt idx="0">
                  <c:v>0</c:v>
                </c:pt>
                <c:pt idx="1">
                  <c:v>0</c:v>
                </c:pt>
                <c:pt idx="2">
                  <c:v>0</c:v>
                </c:pt>
                <c:pt idx="3">
                  <c:v>0</c:v>
                </c:pt>
                <c:pt idx="4">
                  <c:v>0</c:v>
                </c:pt>
                <c:pt idx="5">
                  <c:v>0</c:v>
                </c:pt>
                <c:pt idx="6">
                  <c:v>0</c:v>
                </c:pt>
                <c:pt idx="7">
                  <c:v>0</c:v>
                </c:pt>
                <c:pt idx="8">
                  <c:v>0</c:v>
                </c:pt>
              </c:numCache>
            </c:numRef>
          </c:val>
          <c:smooth val="0"/>
        </c:ser>
        <c:ser>
          <c:idx val="1"/>
          <c:order val="1"/>
          <c:tx>
            <c:v>Month HCP</c:v>
          </c:tx>
          <c:spPr>
            <a:ln w="123825" cap="rnd">
              <a:solidFill>
                <a:schemeClr val="accent2">
                  <a:alpha val="47000"/>
                </a:schemeClr>
              </a:solidFill>
              <a:round/>
            </a:ln>
            <a:effectLst/>
          </c:spPr>
          <c:marker>
            <c:symbol val="none"/>
          </c:marker>
          <c:cat>
            <c:strRef>
              <c:f>'_Data Status Month'!$D$141:$L$141</c:f>
              <c:strCache>
                <c:ptCount val="9"/>
                <c:pt idx="0">
                  <c:v>Putting</c:v>
                </c:pt>
                <c:pt idx="1">
                  <c:v>Chipping</c:v>
                </c:pt>
                <c:pt idx="2">
                  <c:v>Pitching</c:v>
                </c:pt>
                <c:pt idx="3">
                  <c:v>Approach Shot</c:v>
                </c:pt>
                <c:pt idx="4">
                  <c:v>Wood</c:v>
                </c:pt>
                <c:pt idx="5">
                  <c:v>Driver</c:v>
                </c:pt>
                <c:pt idx="6">
                  <c:v>Bunker</c:v>
                </c:pt>
                <c:pt idx="7">
                  <c:v>Mental</c:v>
                </c:pt>
                <c:pt idx="8">
                  <c:v>Round of Golf</c:v>
                </c:pt>
              </c:strCache>
            </c:strRef>
          </c:cat>
          <c:val>
            <c:numRef>
              <c:f>'_Data Status Month'!$D$163:$L$163</c:f>
              <c:numCache>
                <c:formatCode>0.0</c:formatCode>
                <c:ptCount val="9"/>
                <c:pt idx="0">
                  <c:v>0</c:v>
                </c:pt>
                <c:pt idx="1">
                  <c:v>0</c:v>
                </c:pt>
                <c:pt idx="2">
                  <c:v>0</c:v>
                </c:pt>
                <c:pt idx="3">
                  <c:v>0</c:v>
                </c:pt>
                <c:pt idx="4">
                  <c:v>0</c:v>
                </c:pt>
                <c:pt idx="5">
                  <c:v>0</c:v>
                </c:pt>
                <c:pt idx="6">
                  <c:v>0</c:v>
                </c:pt>
                <c:pt idx="7">
                  <c:v>0</c:v>
                </c:pt>
                <c:pt idx="8">
                  <c:v>0</c:v>
                </c:pt>
              </c:numCache>
            </c:numRef>
          </c:val>
          <c:smooth val="0"/>
        </c:ser>
        <c:dLbls>
          <c:showLegendKey val="0"/>
          <c:showVal val="0"/>
          <c:showCatName val="0"/>
          <c:showSerName val="0"/>
          <c:showPercent val="0"/>
          <c:showBubbleSize val="0"/>
        </c:dLbls>
        <c:marker val="1"/>
        <c:smooth val="0"/>
        <c:axId val="384667192"/>
        <c:axId val="384667584"/>
      </c:lineChart>
      <c:catAx>
        <c:axId val="384667192"/>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1" i="0" u="none" strike="noStrike" kern="1200" baseline="0">
                <a:solidFill>
                  <a:srgbClr val="002060"/>
                </a:solidFill>
                <a:latin typeface="+mn-lt"/>
                <a:ea typeface="+mn-ea"/>
                <a:cs typeface="+mn-cs"/>
              </a:defRPr>
            </a:pPr>
            <a:endParaRPr lang="de-DE"/>
          </a:p>
        </c:txPr>
        <c:crossAx val="384667584"/>
        <c:crosses val="autoZero"/>
        <c:auto val="1"/>
        <c:lblAlgn val="ctr"/>
        <c:lblOffset val="10"/>
        <c:noMultiLvlLbl val="0"/>
      </c:catAx>
      <c:valAx>
        <c:axId val="384667584"/>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rgbClr val="002060"/>
                </a:solidFill>
                <a:latin typeface="+mn-lt"/>
                <a:ea typeface="+mn-ea"/>
                <a:cs typeface="+mn-cs"/>
              </a:defRPr>
            </a:pPr>
            <a:endParaRPr lang="de-DE"/>
          </a:p>
        </c:txPr>
        <c:crossAx val="384667192"/>
        <c:crossesAt val="1"/>
        <c:crossBetween val="between"/>
      </c:valAx>
      <c:spPr>
        <a:noFill/>
        <a:ln>
          <a:noFill/>
        </a:ln>
        <a:effectLst/>
      </c:spPr>
    </c:plotArea>
    <c:legend>
      <c:legendPos val="r"/>
      <c:layout>
        <c:manualLayout>
          <c:xMode val="edge"/>
          <c:yMode val="edge"/>
          <c:x val="0.83196730293717913"/>
          <c:y val="7.687870711732015E-4"/>
          <c:w val="0.12455947058947897"/>
          <c:h val="0.34300026815075074"/>
        </c:manualLayout>
      </c:layout>
      <c:overlay val="0"/>
      <c:spPr>
        <a:noFill/>
        <a:ln>
          <a:noFill/>
        </a:ln>
        <a:effectLst/>
      </c:spPr>
      <c:txPr>
        <a:bodyPr rot="0" spcFirstLastPara="1" vertOverflow="ellipsis" vert="horz" wrap="square" anchor="ctr" anchorCtr="1"/>
        <a:lstStyle/>
        <a:p>
          <a:pPr>
            <a:defRPr sz="1200" b="1" i="0" u="none" strike="noStrike" kern="1200" baseline="0">
              <a:solidFill>
                <a:srgbClr val="002060"/>
              </a:solidFill>
              <a:latin typeface="+mn-lt"/>
              <a:ea typeface="+mn-ea"/>
              <a:cs typeface="+mn-cs"/>
            </a:defRPr>
          </a:pPr>
          <a:endParaRPr lang="de-D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2011465961845763E-2"/>
          <c:y val="2.3572372543500898E-2"/>
          <c:w val="0.9479885340381542"/>
          <c:h val="0.91608088277025113"/>
        </c:manualLayout>
      </c:layout>
      <c:barChart>
        <c:barDir val="col"/>
        <c:grouping val="clustered"/>
        <c:varyColors val="0"/>
        <c:ser>
          <c:idx val="0"/>
          <c:order val="0"/>
          <c:spPr>
            <a:solidFill>
              <a:schemeClr val="accent1">
                <a:lumMod val="40000"/>
                <a:lumOff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tx1">
                        <a:lumMod val="75000"/>
                        <a:lumOff val="2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'_Data Status Month'!$D$120:$L$120</c:f>
              <c:strCache>
                <c:ptCount val="9"/>
                <c:pt idx="0">
                  <c:v>Putting</c:v>
                </c:pt>
                <c:pt idx="1">
                  <c:v>Chipping</c:v>
                </c:pt>
                <c:pt idx="2">
                  <c:v>Pitching</c:v>
                </c:pt>
                <c:pt idx="3">
                  <c:v>Approach Shot</c:v>
                </c:pt>
                <c:pt idx="4">
                  <c:v>Wood</c:v>
                </c:pt>
                <c:pt idx="5">
                  <c:v>Driver</c:v>
                </c:pt>
                <c:pt idx="6">
                  <c:v>Bunker</c:v>
                </c:pt>
                <c:pt idx="7">
                  <c:v>Mental</c:v>
                </c:pt>
                <c:pt idx="8">
                  <c:v>Round of Golf</c:v>
                </c:pt>
              </c:strCache>
            </c:strRef>
          </c:cat>
          <c:val>
            <c:numRef>
              <c:f>'_Data Status Month'!$D$121:$L$121</c:f>
              <c:numCache>
                <c:formatCode>0%</c:formatCode>
                <c:ptCount val="9"/>
                <c:pt idx="0">
                  <c:v>0</c:v>
                </c:pt>
                <c:pt idx="1">
                  <c:v>0</c:v>
                </c:pt>
                <c:pt idx="2">
                  <c:v>0</c:v>
                </c:pt>
                <c:pt idx="3">
                  <c:v>0</c:v>
                </c:pt>
                <c:pt idx="4">
                  <c:v>0</c:v>
                </c:pt>
                <c:pt idx="5">
                  <c:v>0</c:v>
                </c:pt>
                <c:pt idx="6">
                  <c:v>0</c:v>
                </c:pt>
                <c:pt idx="7">
                  <c:v>0</c:v>
                </c:pt>
                <c:pt idx="8">
                  <c:v>0</c:v>
                </c:pt>
              </c:numCache>
            </c:numRef>
          </c:val>
        </c:ser>
        <c:dLbls>
          <c:showLegendKey val="0"/>
          <c:showVal val="0"/>
          <c:showCatName val="0"/>
          <c:showSerName val="0"/>
          <c:showPercent val="0"/>
          <c:showBubbleSize val="0"/>
        </c:dLbls>
        <c:gapWidth val="30"/>
        <c:axId val="384668368"/>
        <c:axId val="384668760"/>
      </c:barChart>
      <c:catAx>
        <c:axId val="384668368"/>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1" i="0" u="none" strike="noStrike" kern="1200" baseline="0">
                <a:solidFill>
                  <a:srgbClr val="002060"/>
                </a:solidFill>
                <a:latin typeface="+mn-lt"/>
                <a:ea typeface="+mn-ea"/>
                <a:cs typeface="+mn-cs"/>
              </a:defRPr>
            </a:pPr>
            <a:endParaRPr lang="de-DE"/>
          </a:p>
        </c:txPr>
        <c:crossAx val="384668760"/>
        <c:crosses val="autoZero"/>
        <c:auto val="1"/>
        <c:lblAlgn val="ctr"/>
        <c:lblOffset val="100"/>
        <c:noMultiLvlLbl val="0"/>
      </c:catAx>
      <c:valAx>
        <c:axId val="3846687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rgbClr val="002060"/>
                </a:solidFill>
                <a:latin typeface="+mn-lt"/>
                <a:ea typeface="+mn-ea"/>
                <a:cs typeface="+mn-cs"/>
              </a:defRPr>
            </a:pPr>
            <a:endParaRPr lang="de-DE"/>
          </a:p>
        </c:txPr>
        <c:crossAx val="3846683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5050266428333045E-2"/>
          <c:y val="9.4489465914246326E-2"/>
          <c:w val="0.91025490997437541"/>
          <c:h val="0.83159805024371958"/>
        </c:manualLayout>
      </c:layout>
      <c:barChart>
        <c:barDir val="col"/>
        <c:grouping val="clustered"/>
        <c:varyColors val="0"/>
        <c:ser>
          <c:idx val="0"/>
          <c:order val="0"/>
          <c:tx>
            <c:strRef>
              <c:f>'_Data Status Month'!$A$14</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val>
            <c:numRef>
              <c:f>[0]!ST_MONTH_Putting_HCP_AVG</c:f>
              <c:numCache>
                <c:formatCode>0.0</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ser>
        <c:dLbls>
          <c:showLegendKey val="0"/>
          <c:showVal val="0"/>
          <c:showCatName val="0"/>
          <c:showSerName val="0"/>
          <c:showPercent val="0"/>
          <c:showBubbleSize val="0"/>
        </c:dLbls>
        <c:gapWidth val="41"/>
        <c:axId val="384669544"/>
        <c:axId val="384669936"/>
      </c:barChart>
      <c:catAx>
        <c:axId val="384669544"/>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4669936"/>
        <c:crosses val="autoZero"/>
        <c:auto val="1"/>
        <c:lblAlgn val="ctr"/>
        <c:lblOffset val="100"/>
        <c:noMultiLvlLbl val="0"/>
      </c:catAx>
      <c:valAx>
        <c:axId val="384669936"/>
        <c:scaling>
          <c:orientation val="minMax"/>
        </c:scaling>
        <c:delete val="0"/>
        <c:axPos val="l"/>
        <c:majorGridlines>
          <c:spPr>
            <a:ln w="3175" cap="flat" cmpd="sng" algn="ctr">
              <a:solidFill>
                <a:srgbClr val="7030A0"/>
              </a:solidFill>
              <a:prstDash val="dash"/>
              <a:round/>
            </a:ln>
            <a:effectLst/>
          </c:spPr>
        </c:majorGridlines>
        <c:minorGridlines>
          <c:spPr>
            <a:ln>
              <a:solidFill>
                <a:schemeClr val="tx2">
                  <a:lumMod val="20000"/>
                  <a:lumOff val="80000"/>
                </a:schemeClr>
              </a:solidFill>
              <a:prstDash val="sysDot"/>
            </a:ln>
            <a:effectLst/>
          </c:spPr>
        </c:minorGridlines>
        <c:numFmt formatCode="[Blue]\+0;[Red]\-0;[Black]\ 0" sourceLinked="0"/>
        <c:majorTickMark val="out"/>
        <c:minorTickMark val="in"/>
        <c:tickLblPos val="nextTo"/>
        <c:spPr>
          <a:noFill/>
          <a:ln>
            <a:no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4669544"/>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4221267416859795E-2"/>
          <c:y val="8.5403997577225929E-2"/>
          <c:w val="0.91139861921648568"/>
          <c:h val="0.73116050878255601"/>
        </c:manualLayout>
      </c:layout>
      <c:barChart>
        <c:barDir val="col"/>
        <c:grouping val="clustered"/>
        <c:varyColors val="0"/>
        <c:ser>
          <c:idx val="0"/>
          <c:order val="0"/>
          <c:tx>
            <c:strRef>
              <c:f>'_Data Status Month'!$A$24</c:f>
              <c:strCache>
                <c:ptCount val="1"/>
                <c:pt idx="0">
                  <c:v>Chipping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val>
            <c:numRef>
              <c:f>[0]!ST_MONTH_Chipping_HCP_AVG</c:f>
              <c:numCache>
                <c:formatCode>0.0</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ser>
        <c:dLbls>
          <c:showLegendKey val="0"/>
          <c:showVal val="0"/>
          <c:showCatName val="0"/>
          <c:showSerName val="0"/>
          <c:showPercent val="0"/>
          <c:showBubbleSize val="0"/>
        </c:dLbls>
        <c:gapWidth val="41"/>
        <c:axId val="384670720"/>
        <c:axId val="384671112"/>
      </c:barChart>
      <c:catAx>
        <c:axId val="384670720"/>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4671112"/>
        <c:crosses val="autoZero"/>
        <c:auto val="1"/>
        <c:lblAlgn val="ctr"/>
        <c:lblOffset val="100"/>
        <c:noMultiLvlLbl val="0"/>
      </c:catAx>
      <c:valAx>
        <c:axId val="384671112"/>
        <c:scaling>
          <c:orientation val="minMax"/>
        </c:scaling>
        <c:delete val="0"/>
        <c:axPos val="l"/>
        <c:majorGridlines>
          <c:spPr>
            <a:ln w="3175" cap="flat" cmpd="sng" algn="ctr">
              <a:solidFill>
                <a:srgbClr val="7030A0"/>
              </a:solidFill>
              <a:prstDash val="dash"/>
              <a:round/>
            </a:ln>
            <a:effectLst/>
          </c:spPr>
        </c:majorGridlines>
        <c:minorGridlines>
          <c:spPr>
            <a:ln>
              <a:solidFill>
                <a:schemeClr val="tx2">
                  <a:lumMod val="20000"/>
                  <a:lumOff val="80000"/>
                </a:schemeClr>
              </a:solidFill>
              <a:prstDash val="sysDot"/>
            </a:ln>
            <a:effectLst/>
          </c:spPr>
        </c:minorGridlines>
        <c:numFmt formatCode="[Blue]\+0;[Red]\-0;[Black]\ 0" sourceLinked="0"/>
        <c:majorTickMark val="out"/>
        <c:minorTickMark val="in"/>
        <c:tickLblPos val="nextTo"/>
        <c:spPr>
          <a:noFill/>
          <a:ln>
            <a:no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4670720"/>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Month'!$A$34</c:f>
              <c:strCache>
                <c:ptCount val="1"/>
                <c:pt idx="0">
                  <c:v>Pitching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val>
            <c:numRef>
              <c:f>[0]!ST_MONTH_Pitching_HCP_AVG</c:f>
              <c:numCache>
                <c:formatCode>0.0</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ser>
        <c:dLbls>
          <c:showLegendKey val="0"/>
          <c:showVal val="0"/>
          <c:showCatName val="0"/>
          <c:showSerName val="0"/>
          <c:showPercent val="0"/>
          <c:showBubbleSize val="0"/>
        </c:dLbls>
        <c:gapWidth val="41"/>
        <c:axId val="384671896"/>
        <c:axId val="384672288"/>
      </c:barChart>
      <c:catAx>
        <c:axId val="384671896"/>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out"/>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4672288"/>
        <c:crosses val="autoZero"/>
        <c:auto val="1"/>
        <c:lblAlgn val="ctr"/>
        <c:lblOffset val="100"/>
        <c:noMultiLvlLbl val="0"/>
      </c:catAx>
      <c:valAx>
        <c:axId val="384672288"/>
        <c:scaling>
          <c:orientation val="minMax"/>
        </c:scaling>
        <c:delete val="0"/>
        <c:axPos val="l"/>
        <c:majorGridlines>
          <c:spPr>
            <a:ln w="3175" cap="flat" cmpd="sng" algn="ctr">
              <a:solidFill>
                <a:srgbClr val="7030A0"/>
              </a:solidFill>
              <a:prstDash val="dash"/>
              <a:round/>
            </a:ln>
            <a:effectLst/>
          </c:spPr>
        </c:majorGridlines>
        <c:minorGridlines>
          <c:spPr>
            <a:ln>
              <a:solidFill>
                <a:schemeClr val="tx2">
                  <a:lumMod val="20000"/>
                  <a:lumOff val="80000"/>
                </a:schemeClr>
              </a:solidFill>
              <a:prstDash val="sysDot"/>
            </a:ln>
            <a:effectLst/>
          </c:spPr>
        </c:minorGridlines>
        <c:numFmt formatCode="[Blue]\+0;[Red]\-0;[Black]\ 0" sourceLinked="0"/>
        <c:majorTickMark val="out"/>
        <c:minorTickMark val="in"/>
        <c:tickLblPos val="nextTo"/>
        <c:spPr>
          <a:noFill/>
          <a:ln>
            <a:no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4671896"/>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Month'!$A$44</c:f>
              <c:strCache>
                <c:ptCount val="1"/>
                <c:pt idx="0">
                  <c:v>Approach Shot</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val>
            <c:numRef>
              <c:f>[0]!ST_MONTH_ApproachShots_HCP_AVG</c:f>
              <c:numCache>
                <c:formatCode>0.0</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ser>
        <c:dLbls>
          <c:showLegendKey val="0"/>
          <c:showVal val="0"/>
          <c:showCatName val="0"/>
          <c:showSerName val="0"/>
          <c:showPercent val="0"/>
          <c:showBubbleSize val="0"/>
        </c:dLbls>
        <c:gapWidth val="41"/>
        <c:axId val="384673072"/>
        <c:axId val="384673464"/>
      </c:barChart>
      <c:catAx>
        <c:axId val="384673072"/>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4673464"/>
        <c:crosses val="autoZero"/>
        <c:auto val="1"/>
        <c:lblAlgn val="ctr"/>
        <c:lblOffset val="100"/>
        <c:noMultiLvlLbl val="0"/>
      </c:catAx>
      <c:valAx>
        <c:axId val="384673464"/>
        <c:scaling>
          <c:orientation val="minMax"/>
        </c:scaling>
        <c:delete val="0"/>
        <c:axPos val="l"/>
        <c:majorGridlines>
          <c:spPr>
            <a:ln w="3175" cap="flat" cmpd="sng" algn="ctr">
              <a:solidFill>
                <a:srgbClr val="7030A0"/>
              </a:solidFill>
              <a:prstDash val="dash"/>
              <a:round/>
            </a:ln>
            <a:effectLst/>
          </c:spPr>
        </c:majorGridlines>
        <c:minorGridlines>
          <c:spPr>
            <a:ln>
              <a:solidFill>
                <a:schemeClr val="tx2">
                  <a:lumMod val="20000"/>
                  <a:lumOff val="80000"/>
                </a:schemeClr>
              </a:solidFill>
              <a:prstDash val="sysDot"/>
            </a:ln>
            <a:effectLst/>
          </c:spPr>
        </c:minorGridlines>
        <c:numFmt formatCode="[Blue]\+0;[Red]\-0;[Black]\ 0" sourceLinked="0"/>
        <c:majorTickMark val="out"/>
        <c:minorTickMark val="in"/>
        <c:tickLblPos val="nextTo"/>
        <c:spPr>
          <a:noFill/>
          <a:ln>
            <a:no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4673072"/>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Month'!$A$54</c:f>
              <c:strCache>
                <c:ptCount val="1"/>
                <c:pt idx="0">
                  <c:v>Wood</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val>
            <c:numRef>
              <c:f>[0]!ST_MONTH_Woods_HCP_AVG</c:f>
              <c:numCache>
                <c:formatCode>0.0</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ser>
        <c:dLbls>
          <c:showLegendKey val="0"/>
          <c:showVal val="0"/>
          <c:showCatName val="0"/>
          <c:showSerName val="0"/>
          <c:showPercent val="0"/>
          <c:showBubbleSize val="0"/>
        </c:dLbls>
        <c:gapWidth val="41"/>
        <c:axId val="384674248"/>
        <c:axId val="384674640"/>
      </c:barChart>
      <c:catAx>
        <c:axId val="384674248"/>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4674640"/>
        <c:crosses val="autoZero"/>
        <c:auto val="1"/>
        <c:lblAlgn val="ctr"/>
        <c:lblOffset val="100"/>
        <c:noMultiLvlLbl val="0"/>
      </c:catAx>
      <c:valAx>
        <c:axId val="384674640"/>
        <c:scaling>
          <c:orientation val="minMax"/>
        </c:scaling>
        <c:delete val="0"/>
        <c:axPos val="l"/>
        <c:majorGridlines>
          <c:spPr>
            <a:ln w="3175" cap="flat" cmpd="sng" algn="ctr">
              <a:solidFill>
                <a:srgbClr val="7030A0"/>
              </a:solidFill>
              <a:prstDash val="dash"/>
              <a:round/>
            </a:ln>
            <a:effectLst/>
          </c:spPr>
        </c:majorGridlines>
        <c:minorGridlines>
          <c:spPr>
            <a:ln>
              <a:solidFill>
                <a:schemeClr val="tx2">
                  <a:lumMod val="20000"/>
                  <a:lumOff val="80000"/>
                </a:schemeClr>
              </a:solidFill>
              <a:prstDash val="sysDot"/>
            </a:ln>
            <a:effectLst/>
          </c:spPr>
        </c:minorGridlines>
        <c:numFmt formatCode="[Blue]\+0;[Red]\-0;[Black]\ 0" sourceLinked="0"/>
        <c:majorTickMark val="out"/>
        <c:minorTickMark val="in"/>
        <c:tickLblPos val="nextTo"/>
        <c:spPr>
          <a:noFill/>
          <a:ln>
            <a:no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4674248"/>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Month'!$A$14</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val>
            <c:numRef>
              <c:f>[0]!ST_MONTH_Driver_HCP_AVG</c:f>
              <c:numCache>
                <c:formatCode>0.0</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ser>
        <c:dLbls>
          <c:showLegendKey val="0"/>
          <c:showVal val="0"/>
          <c:showCatName val="0"/>
          <c:showSerName val="0"/>
          <c:showPercent val="0"/>
          <c:showBubbleSize val="0"/>
        </c:dLbls>
        <c:gapWidth val="41"/>
        <c:axId val="385436016"/>
        <c:axId val="385436408"/>
      </c:barChart>
      <c:catAx>
        <c:axId val="385436016"/>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5436408"/>
        <c:crosses val="autoZero"/>
        <c:auto val="1"/>
        <c:lblAlgn val="ctr"/>
        <c:lblOffset val="100"/>
        <c:noMultiLvlLbl val="0"/>
      </c:catAx>
      <c:valAx>
        <c:axId val="385436408"/>
        <c:scaling>
          <c:orientation val="minMax"/>
        </c:scaling>
        <c:delete val="0"/>
        <c:axPos val="l"/>
        <c:majorGridlines>
          <c:spPr>
            <a:ln w="3175" cap="flat" cmpd="sng" algn="ctr">
              <a:solidFill>
                <a:srgbClr val="7030A0"/>
              </a:solidFill>
              <a:prstDash val="dash"/>
              <a:round/>
            </a:ln>
            <a:effectLst/>
          </c:spPr>
        </c:majorGridlines>
        <c:minorGridlines>
          <c:spPr>
            <a:ln>
              <a:solidFill>
                <a:schemeClr val="tx2">
                  <a:lumMod val="20000"/>
                  <a:lumOff val="80000"/>
                </a:schemeClr>
              </a:solidFill>
              <a:prstDash val="sysDot"/>
            </a:ln>
            <a:effectLst/>
          </c:spPr>
        </c:minorGridlines>
        <c:numFmt formatCode="[Blue]\+0;[Red]\-0;[Black]\ 0" sourceLinked="0"/>
        <c:majorTickMark val="out"/>
        <c:minorTickMark val="in"/>
        <c:tickLblPos val="nextTo"/>
        <c:spPr>
          <a:noFill/>
          <a:ln>
            <a:no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5436016"/>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Month'!$A$14</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val>
            <c:numRef>
              <c:f>[0]!ST_Month_Bunker_HCP_AVG</c:f>
              <c:numCache>
                <c:formatCode>0.0</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ext xmlns:c15="http://schemas.microsoft.com/office/drawing/2012/chart" uri="{02D57815-91ED-43cb-92C2-25804820EDAC}">
              <c15:filteredCategoryTitle>
                <c15:cat>
                  <c:multiLvlStrRef>
                    <c:extLst>
                      <c:ext uri="{02D57815-91ED-43cb-92C2-25804820EDAC}">
                        <c15:formulaRef>
                          <c15:sqref>[0]!ST_MONTH_SEL_MONTH_DAYS</c15:sqref>
                        </c15:formulaRef>
                      </c:ext>
                    </c:extLst>
                  </c:multiLvlStrRef>
                </c15:cat>
              </c15:filteredCategoryTitle>
            </c:ext>
          </c:extLst>
        </c:ser>
        <c:dLbls>
          <c:showLegendKey val="0"/>
          <c:showVal val="0"/>
          <c:showCatName val="0"/>
          <c:showSerName val="0"/>
          <c:showPercent val="0"/>
          <c:showBubbleSize val="0"/>
        </c:dLbls>
        <c:gapWidth val="41"/>
        <c:axId val="385437192"/>
        <c:axId val="385437584"/>
      </c:barChart>
      <c:catAx>
        <c:axId val="385437192"/>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5437584"/>
        <c:crosses val="autoZero"/>
        <c:auto val="1"/>
        <c:lblAlgn val="ctr"/>
        <c:lblOffset val="100"/>
        <c:noMultiLvlLbl val="0"/>
      </c:catAx>
      <c:valAx>
        <c:axId val="385437584"/>
        <c:scaling>
          <c:orientation val="minMax"/>
        </c:scaling>
        <c:delete val="0"/>
        <c:axPos val="l"/>
        <c:majorGridlines>
          <c:spPr>
            <a:ln w="3175" cap="flat" cmpd="sng" algn="ctr">
              <a:solidFill>
                <a:srgbClr val="7030A0"/>
              </a:solidFill>
              <a:prstDash val="dash"/>
              <a:round/>
            </a:ln>
            <a:effectLst/>
          </c:spPr>
        </c:majorGridlines>
        <c:minorGridlines>
          <c:spPr>
            <a:ln>
              <a:solidFill>
                <a:schemeClr val="tx2">
                  <a:lumMod val="20000"/>
                  <a:lumOff val="80000"/>
                </a:schemeClr>
              </a:solidFill>
              <a:prstDash val="sysDot"/>
            </a:ln>
            <a:effectLst/>
          </c:spPr>
        </c:minorGridlines>
        <c:numFmt formatCode="[Blue]\+0.0;[Red]\-0.0;[Black]\ 0" sourceLinked="0"/>
        <c:majorTickMark val="out"/>
        <c:minorTickMark val="in"/>
        <c:tickLblPos val="nextTo"/>
        <c:spPr>
          <a:noFill/>
          <a:ln>
            <a:no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5437192"/>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Month'!$A$14</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val>
            <c:numRef>
              <c:f>[0]!ST_MONTH_Mental_HCP_AVG</c:f>
              <c:numCache>
                <c:formatCode>0.0</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ser>
        <c:dLbls>
          <c:showLegendKey val="0"/>
          <c:showVal val="0"/>
          <c:showCatName val="0"/>
          <c:showSerName val="0"/>
          <c:showPercent val="0"/>
          <c:showBubbleSize val="0"/>
        </c:dLbls>
        <c:gapWidth val="41"/>
        <c:axId val="385438368"/>
        <c:axId val="385438760"/>
      </c:barChart>
      <c:catAx>
        <c:axId val="385438368"/>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5438760"/>
        <c:crosses val="autoZero"/>
        <c:auto val="1"/>
        <c:lblAlgn val="ctr"/>
        <c:lblOffset val="100"/>
        <c:noMultiLvlLbl val="0"/>
      </c:catAx>
      <c:valAx>
        <c:axId val="385438760"/>
        <c:scaling>
          <c:orientation val="minMax"/>
        </c:scaling>
        <c:delete val="0"/>
        <c:axPos val="l"/>
        <c:majorGridlines>
          <c:spPr>
            <a:ln w="3175" cap="flat" cmpd="sng" algn="ctr">
              <a:solidFill>
                <a:srgbClr val="7030A0"/>
              </a:solidFill>
              <a:prstDash val="dash"/>
              <a:round/>
            </a:ln>
            <a:effectLst/>
          </c:spPr>
        </c:majorGridlines>
        <c:minorGridlines>
          <c:spPr>
            <a:ln>
              <a:solidFill>
                <a:schemeClr val="tx2">
                  <a:lumMod val="20000"/>
                  <a:lumOff val="80000"/>
                </a:schemeClr>
              </a:solidFill>
              <a:prstDash val="sysDot"/>
            </a:ln>
            <a:effectLst/>
          </c:spPr>
        </c:minorGridlines>
        <c:numFmt formatCode="[Blue]\+0;[Red]\-0;[Black]\ 0" sourceLinked="0"/>
        <c:majorTickMark val="out"/>
        <c:minorTickMark val="in"/>
        <c:tickLblPos val="nextTo"/>
        <c:spPr>
          <a:noFill/>
          <a:ln>
            <a:no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5438368"/>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Month'!$A$14</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val>
            <c:numRef>
              <c:f>[0]!ST_MONTH_RoG_HCP_AVG</c:f>
              <c:numCache>
                <c:formatCode>0.0</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9">
                  <c:v>0</c:v>
                </c:pt>
              </c:numCache>
            </c:numRef>
          </c:val>
          <c:extLst/>
        </c:ser>
        <c:dLbls>
          <c:showLegendKey val="0"/>
          <c:showVal val="0"/>
          <c:showCatName val="0"/>
          <c:showSerName val="0"/>
          <c:showPercent val="0"/>
          <c:showBubbleSize val="0"/>
        </c:dLbls>
        <c:gapWidth val="41"/>
        <c:axId val="385439544"/>
        <c:axId val="385439936"/>
      </c:barChart>
      <c:catAx>
        <c:axId val="385439544"/>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5439936"/>
        <c:crosses val="autoZero"/>
        <c:auto val="1"/>
        <c:lblAlgn val="ctr"/>
        <c:lblOffset val="100"/>
        <c:noMultiLvlLbl val="0"/>
      </c:catAx>
      <c:valAx>
        <c:axId val="385439936"/>
        <c:scaling>
          <c:orientation val="minMax"/>
        </c:scaling>
        <c:delete val="0"/>
        <c:axPos val="l"/>
        <c:majorGridlines>
          <c:spPr>
            <a:ln w="3175" cap="flat" cmpd="sng" algn="ctr">
              <a:solidFill>
                <a:srgbClr val="7030A0"/>
              </a:solidFill>
              <a:prstDash val="dash"/>
              <a:round/>
            </a:ln>
            <a:effectLst/>
          </c:spPr>
        </c:majorGridlines>
        <c:minorGridlines>
          <c:spPr>
            <a:ln>
              <a:solidFill>
                <a:schemeClr val="tx2">
                  <a:lumMod val="20000"/>
                  <a:lumOff val="80000"/>
                </a:schemeClr>
              </a:solidFill>
              <a:prstDash val="sysDot"/>
            </a:ln>
            <a:effectLst/>
          </c:spPr>
        </c:minorGridlines>
        <c:numFmt formatCode="[Blue]\+0;[Red]\-0;[Black]\ 0" sourceLinked="0"/>
        <c:majorTickMark val="out"/>
        <c:minorTickMark val="in"/>
        <c:tickLblPos val="nextTo"/>
        <c:spPr>
          <a:noFill/>
          <a:ln>
            <a:noFill/>
          </a:ln>
          <a:effectLst/>
        </c:spPr>
        <c:txPr>
          <a:bodyPr rot="-60000000" spcFirstLastPara="1" vertOverflow="ellipsis" vert="horz" wrap="square" anchor="ctr" anchorCtr="1"/>
          <a:lstStyle/>
          <a:p>
            <a:pPr>
              <a:defRPr sz="1000" b="0" i="0" u="none" strike="noStrike" kern="1200" baseline="0">
                <a:solidFill>
                  <a:srgbClr val="FF0000"/>
                </a:solidFill>
                <a:latin typeface="+mn-lt"/>
                <a:ea typeface="+mn-ea"/>
                <a:cs typeface="+mn-cs"/>
              </a:defRPr>
            </a:pPr>
            <a:endParaRPr lang="de-DE"/>
          </a:p>
        </c:txPr>
        <c:crossAx val="385439544"/>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Month'!$AA$610</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trendline>
            <c:spPr>
              <a:ln w="19050" cap="rnd">
                <a:solidFill>
                  <a:schemeClr val="accent1"/>
                </a:solidFill>
                <a:prstDash val="sysDash"/>
              </a:ln>
              <a:effectLst/>
            </c:spPr>
            <c:trendlineType val="linear"/>
            <c:dispRSqr val="0"/>
            <c:dispEq val="0"/>
          </c:trendline>
          <c:cat>
            <c:strRef>
              <c:f>'_Data Status Month'!$F$611:$F$622</c:f>
              <c:strCache>
                <c:ptCount val="12"/>
                <c:pt idx="0">
                  <c:v>Jan</c:v>
                </c:pt>
                <c:pt idx="1">
                  <c:v>Feb</c:v>
                </c:pt>
                <c:pt idx="2">
                  <c:v>Mrz</c:v>
                </c:pt>
                <c:pt idx="3">
                  <c:v>Apr</c:v>
                </c:pt>
                <c:pt idx="4">
                  <c:v>Mai</c:v>
                </c:pt>
                <c:pt idx="5">
                  <c:v>Jun</c:v>
                </c:pt>
                <c:pt idx="6">
                  <c:v>Jul</c:v>
                </c:pt>
                <c:pt idx="7">
                  <c:v>Aug</c:v>
                </c:pt>
                <c:pt idx="8">
                  <c:v>Sep</c:v>
                </c:pt>
                <c:pt idx="9">
                  <c:v>Okt</c:v>
                </c:pt>
                <c:pt idx="10">
                  <c:v>Nov</c:v>
                </c:pt>
                <c:pt idx="11">
                  <c:v>Dez</c:v>
                </c:pt>
              </c:strCache>
            </c:strRef>
          </c:cat>
          <c:val>
            <c:numRef>
              <c:f>[0]!ST_YEAR_DATA_1</c:f>
              <c:numCache>
                <c:formatCode>General</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ser>
        <c:dLbls>
          <c:dLblPos val="outEnd"/>
          <c:showLegendKey val="0"/>
          <c:showVal val="1"/>
          <c:showCatName val="0"/>
          <c:showSerName val="0"/>
          <c:showPercent val="0"/>
          <c:showBubbleSize val="0"/>
        </c:dLbls>
        <c:gapWidth val="41"/>
        <c:axId val="385440720"/>
        <c:axId val="385441112"/>
      </c:barChart>
      <c:catAx>
        <c:axId val="385440720"/>
        <c:scaling>
          <c:orientation val="minMax"/>
        </c:scaling>
        <c:delete val="0"/>
        <c:axPos val="b"/>
        <c:majorGridlines>
          <c:spPr>
            <a:ln w="9525" cap="flat" cmpd="sng" algn="ctr">
              <a:solidFill>
                <a:schemeClr val="tx2">
                  <a:lumMod val="20000"/>
                  <a:lumOff val="80000"/>
                </a:schemeClr>
              </a:solidFill>
              <a:round/>
            </a:ln>
            <a:effectLst/>
          </c:spPr>
        </c:majorGridlines>
        <c:numFmt formatCode="[Blue]\+0;[Red]\-0;[Black]\ 0" sourceLinked="0"/>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5441112"/>
        <c:crosses val="autoZero"/>
        <c:auto val="1"/>
        <c:lblAlgn val="ctr"/>
        <c:lblOffset val="100"/>
        <c:noMultiLvlLbl val="0"/>
      </c:catAx>
      <c:valAx>
        <c:axId val="385441112"/>
        <c:scaling>
          <c:orientation val="minMax"/>
        </c:scaling>
        <c:delete val="0"/>
        <c:axPos val="l"/>
        <c:majorGridlines>
          <c:spPr>
            <a:ln w="3175" cap="flat" cmpd="sng" algn="ctr">
              <a:solidFill>
                <a:srgbClr val="7030A0"/>
              </a:solidFill>
              <a:prstDash val="dash"/>
              <a:round/>
            </a:ln>
            <a:effectLst/>
          </c:spPr>
        </c:majorGridlines>
        <c:minorGridlines>
          <c:spPr>
            <a:ln w="3175">
              <a:solidFill>
                <a:schemeClr val="tx2">
                  <a:lumMod val="20000"/>
                  <a:lumOff val="80000"/>
                </a:schemeClr>
              </a:solidFill>
              <a:prstDash val="sysDash"/>
            </a:ln>
            <a:effectLst/>
          </c:spPr>
        </c:minorGridlines>
        <c:numFmt formatCode="[Blue]\+0;[Red]\-0;[Black]\ 0" sourceLinked="0"/>
        <c:majorTickMark val="out"/>
        <c:minorTickMark val="none"/>
        <c:tickLblPos val="nextTo"/>
        <c:spPr>
          <a:noFill/>
          <a:ln>
            <a:solidFill>
              <a:schemeClr val="tx2">
                <a:lumMod val="20000"/>
                <a:lumOff val="80000"/>
              </a:schemeClr>
            </a:solid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5440720"/>
        <c:crosses val="autoZero"/>
        <c:crossBetween val="between"/>
      </c:valAx>
      <c:dTable>
        <c:showHorzBorder val="1"/>
        <c:showVertBorder val="1"/>
        <c:showOutline val="1"/>
        <c:showKeys val="1"/>
        <c:spPr>
          <a:noFill/>
          <a:ln w="9525">
            <a:solidFill>
              <a:schemeClr val="dk1">
                <a:lumMod val="15000"/>
                <a:lumOff val="85000"/>
              </a:schemeClr>
            </a:solidFill>
          </a:ln>
          <a:effectLst/>
        </c:spPr>
        <c:txPr>
          <a:bodyPr rot="0" spcFirstLastPara="1" vertOverflow="ellipsis" vert="horz" wrap="square" anchor="ctr" anchorCtr="1"/>
          <a:lstStyle/>
          <a:p>
            <a:pPr rtl="0">
              <a:defRPr sz="900" b="0" i="0" u="none" strike="noStrike" kern="1200" baseline="0">
                <a:solidFill>
                  <a:schemeClr val="dk1">
                    <a:lumMod val="65000"/>
                    <a:lumOff val="35000"/>
                  </a:schemeClr>
                </a:solidFill>
                <a:latin typeface="+mn-lt"/>
                <a:ea typeface="+mn-ea"/>
                <a:cs typeface="+mn-cs"/>
              </a:defRPr>
            </a:pPr>
            <a:endParaRPr lang="de-DE"/>
          </a:p>
        </c:txPr>
      </c:dTable>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Month'!$AB$610</c:f>
              <c:strCache>
                <c:ptCount val="1"/>
                <c:pt idx="0">
                  <c:v>Chipping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cat>
            <c:strRef>
              <c:f>'_Data Status Month'!$F$611:$F$622</c:f>
              <c:strCache>
                <c:ptCount val="12"/>
                <c:pt idx="0">
                  <c:v>Jan</c:v>
                </c:pt>
                <c:pt idx="1">
                  <c:v>Feb</c:v>
                </c:pt>
                <c:pt idx="2">
                  <c:v>Mrz</c:v>
                </c:pt>
                <c:pt idx="3">
                  <c:v>Apr</c:v>
                </c:pt>
                <c:pt idx="4">
                  <c:v>Mai</c:v>
                </c:pt>
                <c:pt idx="5">
                  <c:v>Jun</c:v>
                </c:pt>
                <c:pt idx="6">
                  <c:v>Jul</c:v>
                </c:pt>
                <c:pt idx="7">
                  <c:v>Aug</c:v>
                </c:pt>
                <c:pt idx="8">
                  <c:v>Sep</c:v>
                </c:pt>
                <c:pt idx="9">
                  <c:v>Okt</c:v>
                </c:pt>
                <c:pt idx="10">
                  <c:v>Nov</c:v>
                </c:pt>
                <c:pt idx="11">
                  <c:v>Dez</c:v>
                </c:pt>
              </c:strCache>
            </c:strRef>
          </c:cat>
          <c:val>
            <c:numRef>
              <c:f>[0]!ST_YEAR_DATA_2</c:f>
              <c:numCache>
                <c:formatCode>General</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ser>
        <c:dLbls>
          <c:showLegendKey val="0"/>
          <c:showVal val="0"/>
          <c:showCatName val="0"/>
          <c:showSerName val="0"/>
          <c:showPercent val="0"/>
          <c:showBubbleSize val="0"/>
        </c:dLbls>
        <c:gapWidth val="41"/>
        <c:axId val="385442288"/>
        <c:axId val="385442680"/>
      </c:barChart>
      <c:catAx>
        <c:axId val="385442288"/>
        <c:scaling>
          <c:orientation val="minMax"/>
        </c:scaling>
        <c:delete val="0"/>
        <c:axPos val="b"/>
        <c:majorGridlines>
          <c:spPr>
            <a:ln w="9525" cap="flat" cmpd="sng" algn="ctr">
              <a:solidFill>
                <a:schemeClr val="tx2">
                  <a:lumMod val="20000"/>
                  <a:lumOff val="80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5442680"/>
        <c:crosses val="autoZero"/>
        <c:auto val="1"/>
        <c:lblAlgn val="ctr"/>
        <c:lblOffset val="100"/>
        <c:noMultiLvlLbl val="0"/>
      </c:catAx>
      <c:valAx>
        <c:axId val="385442680"/>
        <c:scaling>
          <c:orientation val="minMax"/>
        </c:scaling>
        <c:delete val="0"/>
        <c:axPos val="l"/>
        <c:majorGridlines>
          <c:spPr>
            <a:ln w="3175" cap="flat" cmpd="sng" algn="ctr">
              <a:solidFill>
                <a:srgbClr val="7030A0"/>
              </a:solidFill>
              <a:prstDash val="dash"/>
              <a:round/>
            </a:ln>
            <a:effectLst/>
          </c:spPr>
        </c:majorGridlines>
        <c:minorGridlines>
          <c:spPr>
            <a:ln w="3175">
              <a:solidFill>
                <a:schemeClr val="tx2">
                  <a:lumMod val="20000"/>
                  <a:lumOff val="80000"/>
                </a:schemeClr>
              </a:solidFill>
              <a:prstDash val="sysDash"/>
            </a:ln>
            <a:effectLst/>
          </c:spPr>
        </c:minorGridlines>
        <c:numFmt formatCode="[Blue]\+0;[Red]\-0;[Black]\ 0" sourceLinked="0"/>
        <c:majorTickMark val="out"/>
        <c:minorTickMark val="none"/>
        <c:tickLblPos val="nextTo"/>
        <c:spPr>
          <a:noFill/>
          <a:ln>
            <a:solidFill>
              <a:schemeClr val="tx2">
                <a:lumMod val="20000"/>
                <a:lumOff val="80000"/>
              </a:schemeClr>
            </a:solid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5442288"/>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Month'!$AC$610</c:f>
              <c:strCache>
                <c:ptCount val="1"/>
                <c:pt idx="0">
                  <c:v>Pitching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cat>
            <c:strRef>
              <c:f>'_Data Status Month'!$F$611:$F$622</c:f>
              <c:strCache>
                <c:ptCount val="12"/>
                <c:pt idx="0">
                  <c:v>Jan</c:v>
                </c:pt>
                <c:pt idx="1">
                  <c:v>Feb</c:v>
                </c:pt>
                <c:pt idx="2">
                  <c:v>Mrz</c:v>
                </c:pt>
                <c:pt idx="3">
                  <c:v>Apr</c:v>
                </c:pt>
                <c:pt idx="4">
                  <c:v>Mai</c:v>
                </c:pt>
                <c:pt idx="5">
                  <c:v>Jun</c:v>
                </c:pt>
                <c:pt idx="6">
                  <c:v>Jul</c:v>
                </c:pt>
                <c:pt idx="7">
                  <c:v>Aug</c:v>
                </c:pt>
                <c:pt idx="8">
                  <c:v>Sep</c:v>
                </c:pt>
                <c:pt idx="9">
                  <c:v>Okt</c:v>
                </c:pt>
                <c:pt idx="10">
                  <c:v>Nov</c:v>
                </c:pt>
                <c:pt idx="11">
                  <c:v>Dez</c:v>
                </c:pt>
              </c:strCache>
            </c:strRef>
          </c:cat>
          <c:val>
            <c:numRef>
              <c:f>[0]!ST_YEAR_DATA_3</c:f>
              <c:numCache>
                <c:formatCode>General</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ser>
        <c:dLbls>
          <c:showLegendKey val="0"/>
          <c:showVal val="0"/>
          <c:showCatName val="0"/>
          <c:showSerName val="0"/>
          <c:showPercent val="0"/>
          <c:showBubbleSize val="0"/>
        </c:dLbls>
        <c:gapWidth val="41"/>
        <c:axId val="385814064"/>
        <c:axId val="385814456"/>
      </c:barChart>
      <c:catAx>
        <c:axId val="385814064"/>
        <c:scaling>
          <c:orientation val="minMax"/>
        </c:scaling>
        <c:delete val="0"/>
        <c:axPos val="b"/>
        <c:majorGridlines>
          <c:spPr>
            <a:ln w="9525" cap="flat" cmpd="sng" algn="ctr">
              <a:solidFill>
                <a:schemeClr val="tx2">
                  <a:lumMod val="20000"/>
                  <a:lumOff val="80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5814456"/>
        <c:crosses val="autoZero"/>
        <c:auto val="1"/>
        <c:lblAlgn val="ctr"/>
        <c:lblOffset val="100"/>
        <c:noMultiLvlLbl val="0"/>
      </c:catAx>
      <c:valAx>
        <c:axId val="385814456"/>
        <c:scaling>
          <c:orientation val="minMax"/>
        </c:scaling>
        <c:delete val="0"/>
        <c:axPos val="l"/>
        <c:majorGridlines>
          <c:spPr>
            <a:ln w="3175" cap="flat" cmpd="sng" algn="ctr">
              <a:solidFill>
                <a:srgbClr val="7030A0"/>
              </a:solidFill>
              <a:prstDash val="dash"/>
              <a:round/>
            </a:ln>
            <a:effectLst/>
          </c:spPr>
        </c:majorGridlines>
        <c:minorGridlines>
          <c:spPr>
            <a:ln w="3175">
              <a:solidFill>
                <a:schemeClr val="tx2">
                  <a:lumMod val="20000"/>
                  <a:lumOff val="80000"/>
                </a:schemeClr>
              </a:solidFill>
              <a:prstDash val="sysDash"/>
            </a:ln>
            <a:effectLst/>
          </c:spPr>
        </c:minorGridlines>
        <c:numFmt formatCode="[Blue]\+0;[Red]\-0;[Black]\ 0" sourceLinked="0"/>
        <c:majorTickMark val="out"/>
        <c:minorTickMark val="none"/>
        <c:tickLblPos val="nextTo"/>
        <c:spPr>
          <a:noFill/>
          <a:ln>
            <a:solidFill>
              <a:schemeClr val="tx2">
                <a:lumMod val="20000"/>
                <a:lumOff val="80000"/>
              </a:schemeClr>
            </a:solid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5814064"/>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Month'!$AD$610</c:f>
              <c:strCache>
                <c:ptCount val="1"/>
                <c:pt idx="0">
                  <c:v>Approach Shot</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cat>
            <c:strRef>
              <c:f>'_Data Status Month'!$F$611:$F$622</c:f>
              <c:strCache>
                <c:ptCount val="12"/>
                <c:pt idx="0">
                  <c:v>Jan</c:v>
                </c:pt>
                <c:pt idx="1">
                  <c:v>Feb</c:v>
                </c:pt>
                <c:pt idx="2">
                  <c:v>Mrz</c:v>
                </c:pt>
                <c:pt idx="3">
                  <c:v>Apr</c:v>
                </c:pt>
                <c:pt idx="4">
                  <c:v>Mai</c:v>
                </c:pt>
                <c:pt idx="5">
                  <c:v>Jun</c:v>
                </c:pt>
                <c:pt idx="6">
                  <c:v>Jul</c:v>
                </c:pt>
                <c:pt idx="7">
                  <c:v>Aug</c:v>
                </c:pt>
                <c:pt idx="8">
                  <c:v>Sep</c:v>
                </c:pt>
                <c:pt idx="9">
                  <c:v>Okt</c:v>
                </c:pt>
                <c:pt idx="10">
                  <c:v>Nov</c:v>
                </c:pt>
                <c:pt idx="11">
                  <c:v>Dez</c:v>
                </c:pt>
              </c:strCache>
            </c:strRef>
          </c:cat>
          <c:val>
            <c:numRef>
              <c:f>[0]!ST_YEAR_DATA_4</c:f>
              <c:numCache>
                <c:formatCode>General</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ser>
        <c:dLbls>
          <c:showLegendKey val="0"/>
          <c:showVal val="0"/>
          <c:showCatName val="0"/>
          <c:showSerName val="0"/>
          <c:showPercent val="0"/>
          <c:showBubbleSize val="0"/>
        </c:dLbls>
        <c:gapWidth val="41"/>
        <c:axId val="385815240"/>
        <c:axId val="385815632"/>
      </c:barChart>
      <c:catAx>
        <c:axId val="385815240"/>
        <c:scaling>
          <c:orientation val="minMax"/>
        </c:scaling>
        <c:delete val="0"/>
        <c:axPos val="b"/>
        <c:majorGridlines>
          <c:spPr>
            <a:ln w="9525" cap="flat" cmpd="sng" algn="ctr">
              <a:solidFill>
                <a:schemeClr val="tx2">
                  <a:lumMod val="20000"/>
                  <a:lumOff val="80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5815632"/>
        <c:crosses val="autoZero"/>
        <c:auto val="1"/>
        <c:lblAlgn val="ctr"/>
        <c:lblOffset val="100"/>
        <c:noMultiLvlLbl val="0"/>
      </c:catAx>
      <c:valAx>
        <c:axId val="385815632"/>
        <c:scaling>
          <c:orientation val="minMax"/>
        </c:scaling>
        <c:delete val="0"/>
        <c:axPos val="l"/>
        <c:majorGridlines>
          <c:spPr>
            <a:ln w="3175" cap="flat" cmpd="sng" algn="ctr">
              <a:solidFill>
                <a:srgbClr val="7030A0"/>
              </a:solidFill>
              <a:prstDash val="dash"/>
              <a:round/>
            </a:ln>
            <a:effectLst/>
          </c:spPr>
        </c:majorGridlines>
        <c:minorGridlines>
          <c:spPr>
            <a:ln w="3175">
              <a:solidFill>
                <a:schemeClr val="tx2">
                  <a:lumMod val="20000"/>
                  <a:lumOff val="80000"/>
                </a:schemeClr>
              </a:solidFill>
              <a:prstDash val="sysDash"/>
            </a:ln>
            <a:effectLst/>
          </c:spPr>
        </c:minorGridlines>
        <c:numFmt formatCode="[Blue]\+0;[Red]\-0;[Black]\ 0" sourceLinked="0"/>
        <c:majorTickMark val="out"/>
        <c:minorTickMark val="none"/>
        <c:tickLblPos val="nextTo"/>
        <c:spPr>
          <a:noFill/>
          <a:ln>
            <a:solidFill>
              <a:schemeClr val="tx2">
                <a:lumMod val="20000"/>
                <a:lumOff val="80000"/>
              </a:schemeClr>
            </a:solid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5815240"/>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Month'!$AE$610</c:f>
              <c:strCache>
                <c:ptCount val="1"/>
                <c:pt idx="0">
                  <c:v>Wood</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cat>
            <c:strRef>
              <c:f>'_Data Status Month'!$F$611:$F$622</c:f>
              <c:strCache>
                <c:ptCount val="12"/>
                <c:pt idx="0">
                  <c:v>Jan</c:v>
                </c:pt>
                <c:pt idx="1">
                  <c:v>Feb</c:v>
                </c:pt>
                <c:pt idx="2">
                  <c:v>Mrz</c:v>
                </c:pt>
                <c:pt idx="3">
                  <c:v>Apr</c:v>
                </c:pt>
                <c:pt idx="4">
                  <c:v>Mai</c:v>
                </c:pt>
                <c:pt idx="5">
                  <c:v>Jun</c:v>
                </c:pt>
                <c:pt idx="6">
                  <c:v>Jul</c:v>
                </c:pt>
                <c:pt idx="7">
                  <c:v>Aug</c:v>
                </c:pt>
                <c:pt idx="8">
                  <c:v>Sep</c:v>
                </c:pt>
                <c:pt idx="9">
                  <c:v>Okt</c:v>
                </c:pt>
                <c:pt idx="10">
                  <c:v>Nov</c:v>
                </c:pt>
                <c:pt idx="11">
                  <c:v>Dez</c:v>
                </c:pt>
              </c:strCache>
            </c:strRef>
          </c:cat>
          <c:val>
            <c:numRef>
              <c:f>[0]!ST_YEAR_DATA_5</c:f>
              <c:numCache>
                <c:formatCode>General</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ser>
        <c:dLbls>
          <c:showLegendKey val="0"/>
          <c:showVal val="0"/>
          <c:showCatName val="0"/>
          <c:showSerName val="0"/>
          <c:showPercent val="0"/>
          <c:showBubbleSize val="0"/>
        </c:dLbls>
        <c:gapWidth val="41"/>
        <c:axId val="385816416"/>
        <c:axId val="385816808"/>
      </c:barChart>
      <c:catAx>
        <c:axId val="385816416"/>
        <c:scaling>
          <c:orientation val="minMax"/>
        </c:scaling>
        <c:delete val="0"/>
        <c:axPos val="b"/>
        <c:majorGridlines>
          <c:spPr>
            <a:ln w="9525" cap="flat" cmpd="sng" algn="ctr">
              <a:solidFill>
                <a:schemeClr val="tx2">
                  <a:lumMod val="20000"/>
                  <a:lumOff val="80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5816808"/>
        <c:crosses val="autoZero"/>
        <c:auto val="1"/>
        <c:lblAlgn val="ctr"/>
        <c:lblOffset val="100"/>
        <c:noMultiLvlLbl val="0"/>
      </c:catAx>
      <c:valAx>
        <c:axId val="385816808"/>
        <c:scaling>
          <c:orientation val="minMax"/>
        </c:scaling>
        <c:delete val="0"/>
        <c:axPos val="l"/>
        <c:majorGridlines>
          <c:spPr>
            <a:ln w="3175" cap="flat" cmpd="sng" algn="ctr">
              <a:solidFill>
                <a:srgbClr val="7030A0"/>
              </a:solidFill>
              <a:prstDash val="dash"/>
              <a:round/>
            </a:ln>
            <a:effectLst/>
          </c:spPr>
        </c:majorGridlines>
        <c:minorGridlines>
          <c:spPr>
            <a:ln w="3175">
              <a:solidFill>
                <a:schemeClr val="tx2">
                  <a:lumMod val="20000"/>
                  <a:lumOff val="80000"/>
                </a:schemeClr>
              </a:solidFill>
              <a:prstDash val="sysDash"/>
            </a:ln>
            <a:effectLst/>
          </c:spPr>
        </c:minorGridlines>
        <c:numFmt formatCode="[Blue]\+0;[Red]\-0;[Black]\ 0" sourceLinked="0"/>
        <c:majorTickMark val="out"/>
        <c:minorTickMark val="none"/>
        <c:tickLblPos val="nextTo"/>
        <c:spPr>
          <a:noFill/>
          <a:ln>
            <a:solidFill>
              <a:schemeClr val="tx2">
                <a:lumMod val="20000"/>
                <a:lumOff val="80000"/>
              </a:schemeClr>
            </a:solid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5816416"/>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Month'!$AA$610</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cat>
            <c:strRef>
              <c:f>'_Data Status Month'!$F$611:$F$622</c:f>
              <c:strCache>
                <c:ptCount val="12"/>
                <c:pt idx="0">
                  <c:v>Jan</c:v>
                </c:pt>
                <c:pt idx="1">
                  <c:v>Feb</c:v>
                </c:pt>
                <c:pt idx="2">
                  <c:v>Mrz</c:v>
                </c:pt>
                <c:pt idx="3">
                  <c:v>Apr</c:v>
                </c:pt>
                <c:pt idx="4">
                  <c:v>Mai</c:v>
                </c:pt>
                <c:pt idx="5">
                  <c:v>Jun</c:v>
                </c:pt>
                <c:pt idx="6">
                  <c:v>Jul</c:v>
                </c:pt>
                <c:pt idx="7">
                  <c:v>Aug</c:v>
                </c:pt>
                <c:pt idx="8">
                  <c:v>Sep</c:v>
                </c:pt>
                <c:pt idx="9">
                  <c:v>Okt</c:v>
                </c:pt>
                <c:pt idx="10">
                  <c:v>Nov</c:v>
                </c:pt>
                <c:pt idx="11">
                  <c:v>Dez</c:v>
                </c:pt>
              </c:strCache>
            </c:strRef>
          </c:cat>
          <c:val>
            <c:numRef>
              <c:f>[0]!ST_YEAR_DATA_6</c:f>
              <c:numCache>
                <c:formatCode>General</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ser>
        <c:dLbls>
          <c:showLegendKey val="0"/>
          <c:showVal val="0"/>
          <c:showCatName val="0"/>
          <c:showSerName val="0"/>
          <c:showPercent val="0"/>
          <c:showBubbleSize val="0"/>
        </c:dLbls>
        <c:gapWidth val="41"/>
        <c:axId val="385817592"/>
        <c:axId val="385817984"/>
      </c:barChart>
      <c:catAx>
        <c:axId val="385817592"/>
        <c:scaling>
          <c:orientation val="minMax"/>
        </c:scaling>
        <c:delete val="0"/>
        <c:axPos val="b"/>
        <c:majorGridlines>
          <c:spPr>
            <a:ln w="9525" cap="flat" cmpd="sng" algn="ctr">
              <a:solidFill>
                <a:schemeClr val="tx2">
                  <a:lumMod val="20000"/>
                  <a:lumOff val="80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5817984"/>
        <c:crosses val="autoZero"/>
        <c:auto val="1"/>
        <c:lblAlgn val="ctr"/>
        <c:lblOffset val="100"/>
        <c:noMultiLvlLbl val="0"/>
      </c:catAx>
      <c:valAx>
        <c:axId val="385817984"/>
        <c:scaling>
          <c:orientation val="minMax"/>
        </c:scaling>
        <c:delete val="0"/>
        <c:axPos val="l"/>
        <c:majorGridlines>
          <c:spPr>
            <a:ln w="3175" cap="flat" cmpd="sng" algn="ctr">
              <a:solidFill>
                <a:srgbClr val="7030A0"/>
              </a:solidFill>
              <a:prstDash val="dash"/>
              <a:round/>
            </a:ln>
            <a:effectLst/>
          </c:spPr>
        </c:majorGridlines>
        <c:minorGridlines>
          <c:spPr>
            <a:ln w="3175">
              <a:solidFill>
                <a:schemeClr val="tx2">
                  <a:lumMod val="20000"/>
                  <a:lumOff val="80000"/>
                </a:schemeClr>
              </a:solidFill>
              <a:prstDash val="sysDash"/>
            </a:ln>
            <a:effectLst/>
          </c:spPr>
        </c:minorGridlines>
        <c:numFmt formatCode="[Blue]\+0;[Red]\-0;[Black]\ 0" sourceLinked="0"/>
        <c:majorTickMark val="out"/>
        <c:minorTickMark val="none"/>
        <c:tickLblPos val="nextTo"/>
        <c:spPr>
          <a:noFill/>
          <a:ln>
            <a:solidFill>
              <a:schemeClr val="tx2">
                <a:lumMod val="20000"/>
                <a:lumOff val="80000"/>
              </a:schemeClr>
            </a:solid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5817592"/>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Month'!$AA$610</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cat>
            <c:strRef>
              <c:f>'_Data Status Month'!$F$611:$F$622</c:f>
              <c:strCache>
                <c:ptCount val="12"/>
                <c:pt idx="0">
                  <c:v>Jan</c:v>
                </c:pt>
                <c:pt idx="1">
                  <c:v>Feb</c:v>
                </c:pt>
                <c:pt idx="2">
                  <c:v>Mrz</c:v>
                </c:pt>
                <c:pt idx="3">
                  <c:v>Apr</c:v>
                </c:pt>
                <c:pt idx="4">
                  <c:v>Mai</c:v>
                </c:pt>
                <c:pt idx="5">
                  <c:v>Jun</c:v>
                </c:pt>
                <c:pt idx="6">
                  <c:v>Jul</c:v>
                </c:pt>
                <c:pt idx="7">
                  <c:v>Aug</c:v>
                </c:pt>
                <c:pt idx="8">
                  <c:v>Sep</c:v>
                </c:pt>
                <c:pt idx="9">
                  <c:v>Okt</c:v>
                </c:pt>
                <c:pt idx="10">
                  <c:v>Nov</c:v>
                </c:pt>
                <c:pt idx="11">
                  <c:v>Dez</c:v>
                </c:pt>
              </c:strCache>
            </c:strRef>
          </c:cat>
          <c:val>
            <c:numRef>
              <c:f>[0]!ST_YEAR_DATA_7</c:f>
              <c:numCache>
                <c:formatCode>General</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ser>
        <c:dLbls>
          <c:showLegendKey val="0"/>
          <c:showVal val="0"/>
          <c:showCatName val="0"/>
          <c:showSerName val="0"/>
          <c:showPercent val="0"/>
          <c:showBubbleSize val="0"/>
        </c:dLbls>
        <c:gapWidth val="41"/>
        <c:axId val="385818768"/>
        <c:axId val="385819160"/>
      </c:barChart>
      <c:catAx>
        <c:axId val="385818768"/>
        <c:scaling>
          <c:orientation val="minMax"/>
        </c:scaling>
        <c:delete val="0"/>
        <c:axPos val="b"/>
        <c:majorGridlines>
          <c:spPr>
            <a:ln w="9525" cap="flat" cmpd="sng" algn="ctr">
              <a:solidFill>
                <a:schemeClr val="tx2">
                  <a:lumMod val="20000"/>
                  <a:lumOff val="80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5819160"/>
        <c:crosses val="autoZero"/>
        <c:auto val="1"/>
        <c:lblAlgn val="ctr"/>
        <c:lblOffset val="100"/>
        <c:noMultiLvlLbl val="0"/>
      </c:catAx>
      <c:valAx>
        <c:axId val="385819160"/>
        <c:scaling>
          <c:orientation val="minMax"/>
        </c:scaling>
        <c:delete val="0"/>
        <c:axPos val="l"/>
        <c:majorGridlines>
          <c:spPr>
            <a:ln w="3175" cap="flat" cmpd="sng" algn="ctr">
              <a:solidFill>
                <a:srgbClr val="7030A0"/>
              </a:solidFill>
              <a:prstDash val="dash"/>
              <a:round/>
            </a:ln>
            <a:effectLst/>
          </c:spPr>
        </c:majorGridlines>
        <c:minorGridlines>
          <c:spPr>
            <a:ln w="3175">
              <a:solidFill>
                <a:schemeClr val="tx2">
                  <a:lumMod val="20000"/>
                  <a:lumOff val="80000"/>
                </a:schemeClr>
              </a:solidFill>
              <a:prstDash val="sysDash"/>
            </a:ln>
            <a:effectLst/>
          </c:spPr>
        </c:minorGridlines>
        <c:numFmt formatCode="[Blue]\+0;[Red]\-0;[Black]\ 0" sourceLinked="0"/>
        <c:majorTickMark val="out"/>
        <c:minorTickMark val="none"/>
        <c:tickLblPos val="nextTo"/>
        <c:spPr>
          <a:noFill/>
          <a:ln>
            <a:solidFill>
              <a:schemeClr val="tx2">
                <a:lumMod val="20000"/>
                <a:lumOff val="80000"/>
              </a:schemeClr>
            </a:solid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5818768"/>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Month'!$AA$610</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cat>
            <c:strRef>
              <c:f>'_Data Status Month'!$F$611:$F$622</c:f>
              <c:strCache>
                <c:ptCount val="12"/>
                <c:pt idx="0">
                  <c:v>Jan</c:v>
                </c:pt>
                <c:pt idx="1">
                  <c:v>Feb</c:v>
                </c:pt>
                <c:pt idx="2">
                  <c:v>Mrz</c:v>
                </c:pt>
                <c:pt idx="3">
                  <c:v>Apr</c:v>
                </c:pt>
                <c:pt idx="4">
                  <c:v>Mai</c:v>
                </c:pt>
                <c:pt idx="5">
                  <c:v>Jun</c:v>
                </c:pt>
                <c:pt idx="6">
                  <c:v>Jul</c:v>
                </c:pt>
                <c:pt idx="7">
                  <c:v>Aug</c:v>
                </c:pt>
                <c:pt idx="8">
                  <c:v>Sep</c:v>
                </c:pt>
                <c:pt idx="9">
                  <c:v>Okt</c:v>
                </c:pt>
                <c:pt idx="10">
                  <c:v>Nov</c:v>
                </c:pt>
                <c:pt idx="11">
                  <c:v>Dez</c:v>
                </c:pt>
              </c:strCache>
            </c:strRef>
          </c:cat>
          <c:val>
            <c:numRef>
              <c:f>[0]!ST_YEAR_DATA_8</c:f>
              <c:numCache>
                <c:formatCode>General</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ser>
        <c:dLbls>
          <c:showLegendKey val="0"/>
          <c:showVal val="0"/>
          <c:showCatName val="0"/>
          <c:showSerName val="0"/>
          <c:showPercent val="0"/>
          <c:showBubbleSize val="0"/>
        </c:dLbls>
        <c:gapWidth val="41"/>
        <c:axId val="385820336"/>
        <c:axId val="385820728"/>
      </c:barChart>
      <c:catAx>
        <c:axId val="385820336"/>
        <c:scaling>
          <c:orientation val="minMax"/>
        </c:scaling>
        <c:delete val="0"/>
        <c:axPos val="b"/>
        <c:majorGridlines>
          <c:spPr>
            <a:ln w="9525" cap="flat" cmpd="sng" algn="ctr">
              <a:solidFill>
                <a:schemeClr val="tx2">
                  <a:lumMod val="20000"/>
                  <a:lumOff val="80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5820728"/>
        <c:crosses val="autoZero"/>
        <c:auto val="1"/>
        <c:lblAlgn val="ctr"/>
        <c:lblOffset val="100"/>
        <c:noMultiLvlLbl val="0"/>
      </c:catAx>
      <c:valAx>
        <c:axId val="385820728"/>
        <c:scaling>
          <c:orientation val="minMax"/>
        </c:scaling>
        <c:delete val="0"/>
        <c:axPos val="l"/>
        <c:majorGridlines>
          <c:spPr>
            <a:ln w="3175" cap="flat" cmpd="sng" algn="ctr">
              <a:solidFill>
                <a:srgbClr val="7030A0"/>
              </a:solidFill>
              <a:prstDash val="dash"/>
              <a:round/>
            </a:ln>
            <a:effectLst/>
          </c:spPr>
        </c:majorGridlines>
        <c:minorGridlines>
          <c:spPr>
            <a:ln w="3175">
              <a:solidFill>
                <a:schemeClr val="tx2">
                  <a:lumMod val="20000"/>
                  <a:lumOff val="80000"/>
                </a:schemeClr>
              </a:solidFill>
              <a:prstDash val="sysDash"/>
            </a:ln>
            <a:effectLst/>
          </c:spPr>
        </c:minorGridlines>
        <c:numFmt formatCode="[Blue]\+0;[Red]\-0;[Black]\ 0" sourceLinked="0"/>
        <c:majorTickMark val="out"/>
        <c:minorTickMark val="none"/>
        <c:tickLblPos val="nextTo"/>
        <c:spPr>
          <a:noFill/>
          <a:ln>
            <a:solidFill>
              <a:schemeClr val="tx2">
                <a:lumMod val="20000"/>
                <a:lumOff val="80000"/>
              </a:schemeClr>
            </a:solid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5820336"/>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Month'!$AA$610</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cat>
            <c:strRef>
              <c:f>'_Data Status Month'!$F$611:$F$622</c:f>
              <c:strCache>
                <c:ptCount val="12"/>
                <c:pt idx="0">
                  <c:v>Jan</c:v>
                </c:pt>
                <c:pt idx="1">
                  <c:v>Feb</c:v>
                </c:pt>
                <c:pt idx="2">
                  <c:v>Mrz</c:v>
                </c:pt>
                <c:pt idx="3">
                  <c:v>Apr</c:v>
                </c:pt>
                <c:pt idx="4">
                  <c:v>Mai</c:v>
                </c:pt>
                <c:pt idx="5">
                  <c:v>Jun</c:v>
                </c:pt>
                <c:pt idx="6">
                  <c:v>Jul</c:v>
                </c:pt>
                <c:pt idx="7">
                  <c:v>Aug</c:v>
                </c:pt>
                <c:pt idx="8">
                  <c:v>Sep</c:v>
                </c:pt>
                <c:pt idx="9">
                  <c:v>Okt</c:v>
                </c:pt>
                <c:pt idx="10">
                  <c:v>Nov</c:v>
                </c:pt>
                <c:pt idx="11">
                  <c:v>Dez</c:v>
                </c:pt>
              </c:strCache>
            </c:strRef>
          </c:cat>
          <c:val>
            <c:numRef>
              <c:f>[0]!ST_YEAR_DATA_9</c:f>
              <c:numCache>
                <c:formatCode>General</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ser>
        <c:dLbls>
          <c:showLegendKey val="0"/>
          <c:showVal val="0"/>
          <c:showCatName val="0"/>
          <c:showSerName val="0"/>
          <c:showPercent val="0"/>
          <c:showBubbleSize val="0"/>
        </c:dLbls>
        <c:gapWidth val="41"/>
        <c:axId val="385821512"/>
        <c:axId val="384301912"/>
      </c:barChart>
      <c:catAx>
        <c:axId val="385821512"/>
        <c:scaling>
          <c:orientation val="minMax"/>
        </c:scaling>
        <c:delete val="0"/>
        <c:axPos val="b"/>
        <c:majorGridlines>
          <c:spPr>
            <a:ln w="9525" cap="flat" cmpd="sng" algn="ctr">
              <a:solidFill>
                <a:schemeClr val="tx2">
                  <a:lumMod val="20000"/>
                  <a:lumOff val="80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4301912"/>
        <c:crosses val="autoZero"/>
        <c:auto val="1"/>
        <c:lblAlgn val="ctr"/>
        <c:lblOffset val="100"/>
        <c:noMultiLvlLbl val="0"/>
      </c:catAx>
      <c:valAx>
        <c:axId val="384301912"/>
        <c:scaling>
          <c:orientation val="minMax"/>
        </c:scaling>
        <c:delete val="0"/>
        <c:axPos val="l"/>
        <c:majorGridlines>
          <c:spPr>
            <a:ln w="3175" cap="flat" cmpd="sng" algn="ctr">
              <a:solidFill>
                <a:srgbClr val="7030A0"/>
              </a:solidFill>
              <a:prstDash val="dash"/>
              <a:round/>
            </a:ln>
            <a:effectLst/>
          </c:spPr>
        </c:majorGridlines>
        <c:minorGridlines>
          <c:spPr>
            <a:ln w="3175">
              <a:solidFill>
                <a:schemeClr val="tx2">
                  <a:lumMod val="20000"/>
                  <a:lumOff val="80000"/>
                </a:schemeClr>
              </a:solidFill>
              <a:prstDash val="sysDash"/>
            </a:ln>
            <a:effectLst/>
          </c:spPr>
        </c:minorGridlines>
        <c:numFmt formatCode="[Blue]\+0;[Red]\-0;[Black]\ 0" sourceLinked="0"/>
        <c:majorTickMark val="out"/>
        <c:minorTickMark val="none"/>
        <c:tickLblPos val="nextTo"/>
        <c:spPr>
          <a:noFill/>
          <a:ln>
            <a:solidFill>
              <a:schemeClr val="tx2">
                <a:lumMod val="20000"/>
                <a:lumOff val="80000"/>
              </a:schemeClr>
            </a:solid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5821512"/>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9859126201674043E-2"/>
          <c:y val="0.14107302220896617"/>
          <c:w val="0.72314324345820447"/>
          <c:h val="0.85892697779103377"/>
        </c:manualLayout>
      </c:layout>
      <c:barChart>
        <c:barDir val="bar"/>
        <c:grouping val="clustered"/>
        <c:varyColors val="0"/>
        <c:ser>
          <c:idx val="0"/>
          <c:order val="0"/>
          <c:spPr>
            <a:solidFill>
              <a:schemeClr val="accent1"/>
            </a:solidFill>
            <a:ln>
              <a:noFill/>
            </a:ln>
            <a:effectLst/>
          </c:spPr>
          <c:invertIfNegative val="0"/>
          <c:cat>
            <c:strRef>
              <c:f>'_Data Status Month'!$A$107:$A$115</c:f>
              <c:strCache>
                <c:ptCount val="9"/>
                <c:pt idx="0">
                  <c:v>Putting</c:v>
                </c:pt>
                <c:pt idx="1">
                  <c:v>Chipping</c:v>
                </c:pt>
                <c:pt idx="2">
                  <c:v>Pitching</c:v>
                </c:pt>
                <c:pt idx="3">
                  <c:v>Approach Shot</c:v>
                </c:pt>
                <c:pt idx="4">
                  <c:v>Wood</c:v>
                </c:pt>
                <c:pt idx="5">
                  <c:v>Driver</c:v>
                </c:pt>
                <c:pt idx="6">
                  <c:v>Bunker</c:v>
                </c:pt>
                <c:pt idx="7">
                  <c:v>Mental</c:v>
                </c:pt>
                <c:pt idx="8">
                  <c:v>Round of Golf</c:v>
                </c:pt>
              </c:strCache>
            </c:strRef>
          </c:cat>
          <c:val>
            <c:numRef>
              <c:f>'_Data Status Month'!$B$107:$B$115</c:f>
            </c:numRef>
          </c:val>
        </c:ser>
        <c:ser>
          <c:idx val="1"/>
          <c:order val="1"/>
          <c:spPr>
            <a:solidFill>
              <a:schemeClr val="accent1">
                <a:lumMod val="40000"/>
                <a:lumOff val="60000"/>
              </a:schemeClr>
            </a:solidFill>
            <a:ln>
              <a:noFill/>
            </a:ln>
            <a:effectLst/>
          </c:spPr>
          <c:invertIfNegative val="0"/>
          <c:cat>
            <c:strRef>
              <c:f>'_Data Status Month'!$A$107:$A$115</c:f>
              <c:strCache>
                <c:ptCount val="9"/>
                <c:pt idx="0">
                  <c:v>Putting</c:v>
                </c:pt>
                <c:pt idx="1">
                  <c:v>Chipping</c:v>
                </c:pt>
                <c:pt idx="2">
                  <c:v>Pitching</c:v>
                </c:pt>
                <c:pt idx="3">
                  <c:v>Approach Shot</c:v>
                </c:pt>
                <c:pt idx="4">
                  <c:v>Wood</c:v>
                </c:pt>
                <c:pt idx="5">
                  <c:v>Driver</c:v>
                </c:pt>
                <c:pt idx="6">
                  <c:v>Bunker</c:v>
                </c:pt>
                <c:pt idx="7">
                  <c:v>Mental</c:v>
                </c:pt>
                <c:pt idx="8">
                  <c:v>Round of Golf</c:v>
                </c:pt>
              </c:strCache>
            </c:strRef>
          </c:cat>
          <c:val>
            <c:numRef>
              <c:f>'_Data Status Month'!$C$107:$C$115</c:f>
              <c:numCache>
                <c:formatCode>General</c:formatCode>
                <c:ptCount val="9"/>
              </c:numCache>
            </c:numRef>
          </c:val>
        </c:ser>
        <c:dLbls>
          <c:showLegendKey val="0"/>
          <c:showVal val="0"/>
          <c:showCatName val="0"/>
          <c:showSerName val="0"/>
          <c:showPercent val="0"/>
          <c:showBubbleSize val="0"/>
        </c:dLbls>
        <c:gapWidth val="20"/>
        <c:axId val="384302304"/>
        <c:axId val="384303088"/>
      </c:barChart>
      <c:catAx>
        <c:axId val="384302304"/>
        <c:scaling>
          <c:orientation val="maxMin"/>
        </c:scaling>
        <c:delete val="1"/>
        <c:axPos val="l"/>
        <c:numFmt formatCode="General" sourceLinked="1"/>
        <c:majorTickMark val="none"/>
        <c:minorTickMark val="none"/>
        <c:tickLblPos val="none"/>
        <c:crossAx val="384303088"/>
        <c:crosses val="autoZero"/>
        <c:auto val="1"/>
        <c:lblAlgn val="ctr"/>
        <c:lblOffset val="100"/>
        <c:noMultiLvlLbl val="0"/>
      </c:catAx>
      <c:valAx>
        <c:axId val="384303088"/>
        <c:scaling>
          <c:orientation val="minMax"/>
        </c:scaling>
        <c:delete val="0"/>
        <c:axPos val="t"/>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100" b="1" i="0" u="none" strike="noStrike" kern="1200" baseline="0">
                <a:solidFill>
                  <a:srgbClr val="002060"/>
                </a:solidFill>
                <a:latin typeface="Calibri" panose="020F0502020204030204" pitchFamily="34" charset="0"/>
                <a:ea typeface="+mn-ea"/>
                <a:cs typeface="+mn-cs"/>
              </a:defRPr>
            </a:pPr>
            <a:endParaRPr lang="de-DE"/>
          </a:p>
        </c:txPr>
        <c:crossAx val="384302304"/>
        <c:crossesAt val="1"/>
        <c:crossBetween val="between"/>
      </c:valAx>
      <c:spPr>
        <a:noFill/>
        <a:ln>
          <a:noFill/>
        </a:ln>
        <a:effectLst/>
      </c:spPr>
    </c:plotArea>
    <c:plotVisOnly val="1"/>
    <c:dispBlanksAs val="gap"/>
    <c:showDLblsOverMax val="0"/>
  </c:chart>
  <c:spPr>
    <a:no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0000000000000029" r="0.70000000000000029" t="0.78740157499999996" header="0.30000000000000016" footer="0.30000000000000016"/>
    <c:pageSetup/>
  </c:printSettings>
  <c:userShapes r:id="rId3"/>
</c:chartSpace>
</file>

<file path=xl/charts/chart22.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2011465961845763E-2"/>
          <c:y val="2.3572372543500898E-2"/>
          <c:w val="0.9479885340381542"/>
          <c:h val="0.91608088277025113"/>
        </c:manualLayout>
      </c:layout>
      <c:barChart>
        <c:barDir val="col"/>
        <c:grouping val="clustered"/>
        <c:varyColors val="0"/>
        <c:ser>
          <c:idx val="0"/>
          <c:order val="0"/>
          <c:spPr>
            <a:solidFill>
              <a:schemeClr val="accent1">
                <a:lumMod val="40000"/>
                <a:lumOff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tx1">
                        <a:lumMod val="75000"/>
                        <a:lumOff val="2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'_Data Status Month'!$D$141:$L$141</c:f>
              <c:strCache>
                <c:ptCount val="9"/>
                <c:pt idx="0">
                  <c:v>Putting</c:v>
                </c:pt>
                <c:pt idx="1">
                  <c:v>Chipping</c:v>
                </c:pt>
                <c:pt idx="2">
                  <c:v>Pitching</c:v>
                </c:pt>
                <c:pt idx="3">
                  <c:v>Approach Shot</c:v>
                </c:pt>
                <c:pt idx="4">
                  <c:v>Wood</c:v>
                </c:pt>
                <c:pt idx="5">
                  <c:v>Driver</c:v>
                </c:pt>
                <c:pt idx="6">
                  <c:v>Bunker</c:v>
                </c:pt>
                <c:pt idx="7">
                  <c:v>Mental</c:v>
                </c:pt>
                <c:pt idx="8">
                  <c:v>Round of Golf</c:v>
                </c:pt>
              </c:strCache>
            </c:strRef>
          </c:cat>
          <c:val>
            <c:numRef>
              <c:f>'_Data Status Month'!$D$142:$L$142</c:f>
              <c:numCache>
                <c:formatCode>0</c:formatCode>
                <c:ptCount val="9"/>
                <c:pt idx="0">
                  <c:v>0</c:v>
                </c:pt>
                <c:pt idx="1">
                  <c:v>-1</c:v>
                </c:pt>
                <c:pt idx="2">
                  <c:v>-1</c:v>
                </c:pt>
                <c:pt idx="3">
                  <c:v>-1</c:v>
                </c:pt>
                <c:pt idx="4">
                  <c:v>0</c:v>
                </c:pt>
                <c:pt idx="5">
                  <c:v>0</c:v>
                </c:pt>
                <c:pt idx="6">
                  <c:v>0</c:v>
                </c:pt>
                <c:pt idx="7">
                  <c:v>0</c:v>
                </c:pt>
                <c:pt idx="8">
                  <c:v>0</c:v>
                </c:pt>
              </c:numCache>
            </c:numRef>
          </c:val>
        </c:ser>
        <c:dLbls>
          <c:showLegendKey val="0"/>
          <c:showVal val="0"/>
          <c:showCatName val="0"/>
          <c:showSerName val="0"/>
          <c:showPercent val="0"/>
          <c:showBubbleSize val="0"/>
        </c:dLbls>
        <c:gapWidth val="30"/>
        <c:axId val="384303872"/>
        <c:axId val="384304264"/>
      </c:barChart>
      <c:catAx>
        <c:axId val="384303872"/>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1" i="0" u="none" strike="noStrike" kern="1200" baseline="0">
                <a:solidFill>
                  <a:srgbClr val="002060"/>
                </a:solidFill>
                <a:latin typeface="+mn-lt"/>
                <a:ea typeface="+mn-ea"/>
                <a:cs typeface="+mn-cs"/>
              </a:defRPr>
            </a:pPr>
            <a:endParaRPr lang="de-DE"/>
          </a:p>
        </c:txPr>
        <c:crossAx val="384304264"/>
        <c:crosses val="autoZero"/>
        <c:auto val="1"/>
        <c:lblAlgn val="ctr"/>
        <c:lblOffset val="100"/>
        <c:noMultiLvlLbl val="0"/>
      </c:catAx>
      <c:valAx>
        <c:axId val="3843042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rgbClr val="002060"/>
                </a:solidFill>
                <a:latin typeface="+mn-lt"/>
                <a:ea typeface="+mn-ea"/>
                <a:cs typeface="+mn-cs"/>
              </a:defRPr>
            </a:pPr>
            <a:endParaRPr lang="de-DE"/>
          </a:p>
        </c:txPr>
        <c:crossAx val="38430387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2011465961845763E-2"/>
          <c:y val="2.3572372543500898E-2"/>
          <c:w val="0.80593541827018189"/>
          <c:h val="0.91608088277025113"/>
        </c:manualLayout>
      </c:layout>
      <c:barChart>
        <c:barDir val="col"/>
        <c:grouping val="clustered"/>
        <c:varyColors val="0"/>
        <c:ser>
          <c:idx val="0"/>
          <c:order val="0"/>
          <c:tx>
            <c:v>Avg. Topic HCP</c:v>
          </c:tx>
          <c:spPr>
            <a:solidFill>
              <a:schemeClr val="accent1">
                <a:lumMod val="40000"/>
                <a:lumOff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rgbClr val="002060"/>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'_Data Status Month'!$D$141:$L$141</c:f>
              <c:strCache>
                <c:ptCount val="9"/>
                <c:pt idx="0">
                  <c:v>Putting</c:v>
                </c:pt>
                <c:pt idx="1">
                  <c:v>Chipping</c:v>
                </c:pt>
                <c:pt idx="2">
                  <c:v>Pitching</c:v>
                </c:pt>
                <c:pt idx="3">
                  <c:v>Approach Shot</c:v>
                </c:pt>
                <c:pt idx="4">
                  <c:v>Wood</c:v>
                </c:pt>
                <c:pt idx="5">
                  <c:v>Driver</c:v>
                </c:pt>
                <c:pt idx="6">
                  <c:v>Bunker</c:v>
                </c:pt>
                <c:pt idx="7">
                  <c:v>Mental</c:v>
                </c:pt>
                <c:pt idx="8">
                  <c:v>Round of Golf</c:v>
                </c:pt>
              </c:strCache>
            </c:strRef>
          </c:cat>
          <c:val>
            <c:numRef>
              <c:f>'_Data Status Month'!$D$162:$L$162</c:f>
              <c:numCache>
                <c:formatCode>0.0</c:formatCode>
                <c:ptCount val="9"/>
                <c:pt idx="0">
                  <c:v>0</c:v>
                </c:pt>
                <c:pt idx="1">
                  <c:v>0</c:v>
                </c:pt>
                <c:pt idx="2">
                  <c:v>0</c:v>
                </c:pt>
                <c:pt idx="3">
                  <c:v>0</c:v>
                </c:pt>
                <c:pt idx="4">
                  <c:v>0</c:v>
                </c:pt>
                <c:pt idx="5">
                  <c:v>0</c:v>
                </c:pt>
                <c:pt idx="6">
                  <c:v>0</c:v>
                </c:pt>
                <c:pt idx="7">
                  <c:v>0</c:v>
                </c:pt>
                <c:pt idx="8">
                  <c:v>0</c:v>
                </c:pt>
              </c:numCache>
            </c:numRef>
          </c:val>
        </c:ser>
        <c:dLbls>
          <c:showLegendKey val="0"/>
          <c:showVal val="0"/>
          <c:showCatName val="0"/>
          <c:showSerName val="0"/>
          <c:showPercent val="0"/>
          <c:showBubbleSize val="0"/>
        </c:dLbls>
        <c:gapWidth val="30"/>
        <c:axId val="384305048"/>
        <c:axId val="384305440"/>
      </c:barChart>
      <c:lineChart>
        <c:grouping val="standard"/>
        <c:varyColors val="0"/>
        <c:ser>
          <c:idx val="1"/>
          <c:order val="1"/>
          <c:tx>
            <c:v>Month HCP</c:v>
          </c:tx>
          <c:spPr>
            <a:ln w="28575" cap="rnd">
              <a:solidFill>
                <a:schemeClr val="accent2"/>
              </a:solidFill>
              <a:round/>
            </a:ln>
            <a:effectLst/>
          </c:spPr>
          <c:marker>
            <c:symbol val="none"/>
          </c:marker>
          <c:val>
            <c:numRef>
              <c:f>'_Data Status Month'!$D$163:$L$163</c:f>
              <c:numCache>
                <c:formatCode>0.0</c:formatCode>
                <c:ptCount val="9"/>
                <c:pt idx="0">
                  <c:v>0</c:v>
                </c:pt>
                <c:pt idx="1">
                  <c:v>0</c:v>
                </c:pt>
                <c:pt idx="2">
                  <c:v>0</c:v>
                </c:pt>
                <c:pt idx="3">
                  <c:v>0</c:v>
                </c:pt>
                <c:pt idx="4">
                  <c:v>0</c:v>
                </c:pt>
                <c:pt idx="5">
                  <c:v>0</c:v>
                </c:pt>
                <c:pt idx="6">
                  <c:v>0</c:v>
                </c:pt>
                <c:pt idx="7">
                  <c:v>0</c:v>
                </c:pt>
                <c:pt idx="8">
                  <c:v>0</c:v>
                </c:pt>
              </c:numCache>
            </c:numRef>
          </c:val>
          <c:smooth val="0"/>
        </c:ser>
        <c:dLbls>
          <c:showLegendKey val="0"/>
          <c:showVal val="0"/>
          <c:showCatName val="0"/>
          <c:showSerName val="0"/>
          <c:showPercent val="0"/>
          <c:showBubbleSize val="0"/>
        </c:dLbls>
        <c:marker val="1"/>
        <c:smooth val="0"/>
        <c:axId val="384305048"/>
        <c:axId val="384305440"/>
      </c:lineChart>
      <c:catAx>
        <c:axId val="384305048"/>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1" i="0" u="none" strike="noStrike" kern="1200" baseline="0">
                <a:solidFill>
                  <a:srgbClr val="002060"/>
                </a:solidFill>
                <a:latin typeface="+mn-lt"/>
                <a:ea typeface="+mn-ea"/>
                <a:cs typeface="+mn-cs"/>
              </a:defRPr>
            </a:pPr>
            <a:endParaRPr lang="de-DE"/>
          </a:p>
        </c:txPr>
        <c:crossAx val="384305440"/>
        <c:crosses val="autoZero"/>
        <c:auto val="1"/>
        <c:lblAlgn val="ctr"/>
        <c:lblOffset val="10"/>
        <c:noMultiLvlLbl val="0"/>
      </c:catAx>
      <c:valAx>
        <c:axId val="384305440"/>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rgbClr val="002060"/>
                </a:solidFill>
                <a:latin typeface="+mn-lt"/>
                <a:ea typeface="+mn-ea"/>
                <a:cs typeface="+mn-cs"/>
              </a:defRPr>
            </a:pPr>
            <a:endParaRPr lang="de-DE"/>
          </a:p>
        </c:txPr>
        <c:crossAx val="384305048"/>
        <c:crossesAt val="1"/>
        <c:crossBetween val="between"/>
      </c:valAx>
      <c:spPr>
        <a:noFill/>
        <a:ln>
          <a:noFill/>
        </a:ln>
        <a:effectLst/>
      </c:spPr>
    </c:plotArea>
    <c:legend>
      <c:legendPos val="r"/>
      <c:layout>
        <c:manualLayout>
          <c:xMode val="edge"/>
          <c:yMode val="edge"/>
          <c:x val="0.86513141671244587"/>
          <c:y val="7.687870711732015E-4"/>
          <c:w val="0.13486858328755416"/>
          <c:h val="0.20413598757431609"/>
        </c:manualLayout>
      </c:layout>
      <c:overlay val="0"/>
      <c:spPr>
        <a:noFill/>
        <a:ln>
          <a:noFill/>
        </a:ln>
        <a:effectLst/>
      </c:spPr>
      <c:txPr>
        <a:bodyPr rot="0" spcFirstLastPara="1" vertOverflow="ellipsis" vert="horz" wrap="square" anchor="ctr" anchorCtr="1"/>
        <a:lstStyle/>
        <a:p>
          <a:pPr>
            <a:defRPr sz="1800" b="1" i="0" u="none" strike="noStrike" kern="1200" baseline="0">
              <a:solidFill>
                <a:srgbClr val="002060"/>
              </a:solidFill>
              <a:latin typeface="+mn-lt"/>
              <a:ea typeface="+mn-ea"/>
              <a:cs typeface="+mn-cs"/>
            </a:defRPr>
          </a:pPr>
          <a:endParaRPr lang="de-D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2011465961845763E-2"/>
          <c:y val="2.3572372543500898E-2"/>
          <c:w val="0.9479885340381542"/>
          <c:h val="0.91608088277025113"/>
        </c:manualLayout>
      </c:layout>
      <c:barChart>
        <c:barDir val="col"/>
        <c:grouping val="clustered"/>
        <c:varyColors val="0"/>
        <c:ser>
          <c:idx val="0"/>
          <c:order val="0"/>
          <c:spPr>
            <a:solidFill>
              <a:schemeClr val="accent1">
                <a:lumMod val="40000"/>
                <a:lumOff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tx1">
                        <a:lumMod val="75000"/>
                        <a:lumOff val="2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'_Data Status Month'!$D$120:$L$120</c:f>
              <c:strCache>
                <c:ptCount val="9"/>
                <c:pt idx="0">
                  <c:v>Putting</c:v>
                </c:pt>
                <c:pt idx="1">
                  <c:v>Chipping</c:v>
                </c:pt>
                <c:pt idx="2">
                  <c:v>Pitching</c:v>
                </c:pt>
                <c:pt idx="3">
                  <c:v>Approach Shot</c:v>
                </c:pt>
                <c:pt idx="4">
                  <c:v>Wood</c:v>
                </c:pt>
                <c:pt idx="5">
                  <c:v>Driver</c:v>
                </c:pt>
                <c:pt idx="6">
                  <c:v>Bunker</c:v>
                </c:pt>
                <c:pt idx="7">
                  <c:v>Mental</c:v>
                </c:pt>
                <c:pt idx="8">
                  <c:v>Round of Golf</c:v>
                </c:pt>
              </c:strCache>
            </c:strRef>
          </c:cat>
          <c:val>
            <c:numRef>
              <c:f>'_Data Status Month'!$D$121:$L$121</c:f>
              <c:numCache>
                <c:formatCode>0%</c:formatCode>
                <c:ptCount val="9"/>
                <c:pt idx="0">
                  <c:v>0</c:v>
                </c:pt>
                <c:pt idx="1">
                  <c:v>0</c:v>
                </c:pt>
                <c:pt idx="2">
                  <c:v>0</c:v>
                </c:pt>
                <c:pt idx="3">
                  <c:v>0</c:v>
                </c:pt>
                <c:pt idx="4">
                  <c:v>0</c:v>
                </c:pt>
                <c:pt idx="5">
                  <c:v>0</c:v>
                </c:pt>
                <c:pt idx="6">
                  <c:v>0</c:v>
                </c:pt>
                <c:pt idx="7">
                  <c:v>0</c:v>
                </c:pt>
                <c:pt idx="8">
                  <c:v>0</c:v>
                </c:pt>
              </c:numCache>
            </c:numRef>
          </c:val>
        </c:ser>
        <c:dLbls>
          <c:showLegendKey val="0"/>
          <c:showVal val="0"/>
          <c:showCatName val="0"/>
          <c:showSerName val="0"/>
          <c:showPercent val="0"/>
          <c:showBubbleSize val="0"/>
        </c:dLbls>
        <c:gapWidth val="30"/>
        <c:axId val="384306224"/>
        <c:axId val="384306616"/>
      </c:barChart>
      <c:catAx>
        <c:axId val="384306224"/>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1" i="0" u="none" strike="noStrike" kern="1200" baseline="0">
                <a:solidFill>
                  <a:srgbClr val="002060"/>
                </a:solidFill>
                <a:latin typeface="+mn-lt"/>
                <a:ea typeface="+mn-ea"/>
                <a:cs typeface="+mn-cs"/>
              </a:defRPr>
            </a:pPr>
            <a:endParaRPr lang="de-DE"/>
          </a:p>
        </c:txPr>
        <c:crossAx val="384306616"/>
        <c:crosses val="autoZero"/>
        <c:auto val="1"/>
        <c:lblAlgn val="ctr"/>
        <c:lblOffset val="100"/>
        <c:noMultiLvlLbl val="0"/>
      </c:catAx>
      <c:valAx>
        <c:axId val="3843066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rgbClr val="002060"/>
                </a:solidFill>
                <a:latin typeface="+mn-lt"/>
                <a:ea typeface="+mn-ea"/>
                <a:cs typeface="+mn-cs"/>
              </a:defRPr>
            </a:pPr>
            <a:endParaRPr lang="de-DE"/>
          </a:p>
        </c:txPr>
        <c:crossAx val="38430622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2011465961845763E-2"/>
          <c:y val="2.3572372543500898E-2"/>
          <c:w val="0.77395573820899388"/>
          <c:h val="0.91608088277025113"/>
        </c:manualLayout>
      </c:layout>
      <c:lineChart>
        <c:grouping val="standard"/>
        <c:varyColors val="0"/>
        <c:ser>
          <c:idx val="0"/>
          <c:order val="0"/>
          <c:tx>
            <c:v>Avg. Topic HCP</c:v>
          </c:tx>
          <c:spPr>
            <a:ln w="28575" cap="rnd">
              <a:noFill/>
              <a:round/>
            </a:ln>
            <a:effectLst/>
          </c:spPr>
          <c:marker>
            <c:symbol val="square"/>
            <c:size val="5"/>
            <c:spPr>
              <a:solidFill>
                <a:schemeClr val="accent1"/>
              </a:solidFill>
              <a:ln w="82550">
                <a:solidFill>
                  <a:schemeClr val="accent1"/>
                </a:solidFill>
              </a:ln>
              <a:effectLst/>
            </c:spPr>
          </c:marker>
          <c:dLbls>
            <c:numFmt formatCode="[Blue]\+0.0;[Red]\-0.0;[Black]\ 0" sourceLinked="0"/>
            <c:spPr>
              <a:solidFill>
                <a:schemeClr val="accent1">
                  <a:lumMod val="20000"/>
                  <a:lumOff val="80000"/>
                </a:schemeClr>
              </a:solidFill>
              <a:ln>
                <a:solidFill>
                  <a:schemeClr val="tx2"/>
                </a:solidFill>
              </a:ln>
              <a:effectLst/>
              <a:scene3d>
                <a:camera prst="orthographicFront"/>
                <a:lightRig rig="threePt" dir="t"/>
              </a:scene3d>
              <a:sp3d>
                <a:bevelT/>
              </a:sp3d>
            </c:spPr>
            <c:txPr>
              <a:bodyPr rot="0" spcFirstLastPara="1" vertOverflow="clip" horzOverflow="clip" vert="horz" wrap="square" lIns="36576" tIns="18288" rIns="36576" bIns="18288" anchor="ctr" anchorCtr="1">
                <a:spAutoFit/>
              </a:bodyPr>
              <a:lstStyle/>
              <a:p>
                <a:pPr>
                  <a:defRPr sz="1200" b="1" i="0" u="none" strike="noStrike" kern="1200" baseline="0">
                    <a:solidFill>
                      <a:schemeClr val="bg1"/>
                    </a:solidFill>
                    <a:latin typeface="+mn-lt"/>
                    <a:ea typeface="+mn-ea"/>
                    <a:cs typeface="+mn-cs"/>
                  </a:defRPr>
                </a:pPr>
                <a:endParaRPr lang="de-DE"/>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oundRect">
                    <a:avLst/>
                  </a:prstGeom>
                  <a:noFill/>
                  <a:ln>
                    <a:noFill/>
                  </a:ln>
                </c15:spPr>
                <c15:showLeaderLines val="0"/>
              </c:ext>
            </c:extLst>
          </c:dLbls>
          <c:cat>
            <c:strRef>
              <c:f>'_Data Status Month'!$D$141:$L$141</c:f>
              <c:strCache>
                <c:ptCount val="9"/>
                <c:pt idx="0">
                  <c:v>Putting</c:v>
                </c:pt>
                <c:pt idx="1">
                  <c:v>Chipping</c:v>
                </c:pt>
                <c:pt idx="2">
                  <c:v>Pitching</c:v>
                </c:pt>
                <c:pt idx="3">
                  <c:v>Approach Shot</c:v>
                </c:pt>
                <c:pt idx="4">
                  <c:v>Wood</c:v>
                </c:pt>
                <c:pt idx="5">
                  <c:v>Driver</c:v>
                </c:pt>
                <c:pt idx="6">
                  <c:v>Bunker</c:v>
                </c:pt>
                <c:pt idx="7">
                  <c:v>Mental</c:v>
                </c:pt>
                <c:pt idx="8">
                  <c:v>Round of Golf</c:v>
                </c:pt>
              </c:strCache>
            </c:strRef>
          </c:cat>
          <c:val>
            <c:numRef>
              <c:f>'_Data Status Month'!$D$162:$L$162</c:f>
              <c:numCache>
                <c:formatCode>0.0</c:formatCode>
                <c:ptCount val="9"/>
                <c:pt idx="0">
                  <c:v>0</c:v>
                </c:pt>
                <c:pt idx="1">
                  <c:v>0</c:v>
                </c:pt>
                <c:pt idx="2">
                  <c:v>0</c:v>
                </c:pt>
                <c:pt idx="3">
                  <c:v>0</c:v>
                </c:pt>
                <c:pt idx="4">
                  <c:v>0</c:v>
                </c:pt>
                <c:pt idx="5">
                  <c:v>0</c:v>
                </c:pt>
                <c:pt idx="6">
                  <c:v>0</c:v>
                </c:pt>
                <c:pt idx="7">
                  <c:v>0</c:v>
                </c:pt>
                <c:pt idx="8">
                  <c:v>0</c:v>
                </c:pt>
              </c:numCache>
            </c:numRef>
          </c:val>
          <c:smooth val="0"/>
        </c:ser>
        <c:ser>
          <c:idx val="1"/>
          <c:order val="1"/>
          <c:tx>
            <c:v>Month HCP</c:v>
          </c:tx>
          <c:spPr>
            <a:ln w="123825" cap="rnd">
              <a:solidFill>
                <a:schemeClr val="accent2">
                  <a:alpha val="47000"/>
                </a:schemeClr>
              </a:solidFill>
              <a:round/>
            </a:ln>
            <a:effectLst/>
          </c:spPr>
          <c:marker>
            <c:symbol val="none"/>
          </c:marker>
          <c:cat>
            <c:strRef>
              <c:f>'_Data Status Month'!$D$141:$L$141</c:f>
              <c:strCache>
                <c:ptCount val="9"/>
                <c:pt idx="0">
                  <c:v>Putting</c:v>
                </c:pt>
                <c:pt idx="1">
                  <c:v>Chipping</c:v>
                </c:pt>
                <c:pt idx="2">
                  <c:v>Pitching</c:v>
                </c:pt>
                <c:pt idx="3">
                  <c:v>Approach Shot</c:v>
                </c:pt>
                <c:pt idx="4">
                  <c:v>Wood</c:v>
                </c:pt>
                <c:pt idx="5">
                  <c:v>Driver</c:v>
                </c:pt>
                <c:pt idx="6">
                  <c:v>Bunker</c:v>
                </c:pt>
                <c:pt idx="7">
                  <c:v>Mental</c:v>
                </c:pt>
                <c:pt idx="8">
                  <c:v>Round of Golf</c:v>
                </c:pt>
              </c:strCache>
            </c:strRef>
          </c:cat>
          <c:val>
            <c:numRef>
              <c:f>'_Data Status Month'!$D$163:$L$163</c:f>
              <c:numCache>
                <c:formatCode>0.0</c:formatCode>
                <c:ptCount val="9"/>
                <c:pt idx="0">
                  <c:v>0</c:v>
                </c:pt>
                <c:pt idx="1">
                  <c:v>0</c:v>
                </c:pt>
                <c:pt idx="2">
                  <c:v>0</c:v>
                </c:pt>
                <c:pt idx="3">
                  <c:v>0</c:v>
                </c:pt>
                <c:pt idx="4">
                  <c:v>0</c:v>
                </c:pt>
                <c:pt idx="5">
                  <c:v>0</c:v>
                </c:pt>
                <c:pt idx="6">
                  <c:v>0</c:v>
                </c:pt>
                <c:pt idx="7">
                  <c:v>0</c:v>
                </c:pt>
                <c:pt idx="8">
                  <c:v>0</c:v>
                </c:pt>
              </c:numCache>
            </c:numRef>
          </c:val>
          <c:smooth val="0"/>
        </c:ser>
        <c:dLbls>
          <c:showLegendKey val="0"/>
          <c:showVal val="0"/>
          <c:showCatName val="0"/>
          <c:showSerName val="0"/>
          <c:showPercent val="0"/>
          <c:showBubbleSize val="0"/>
        </c:dLbls>
        <c:marker val="1"/>
        <c:smooth val="0"/>
        <c:axId val="384307400"/>
        <c:axId val="384307792"/>
      </c:lineChart>
      <c:catAx>
        <c:axId val="384307400"/>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1" i="0" u="none" strike="noStrike" kern="1200" baseline="0">
                <a:solidFill>
                  <a:srgbClr val="002060"/>
                </a:solidFill>
                <a:latin typeface="+mn-lt"/>
                <a:ea typeface="+mn-ea"/>
                <a:cs typeface="+mn-cs"/>
              </a:defRPr>
            </a:pPr>
            <a:endParaRPr lang="de-DE"/>
          </a:p>
        </c:txPr>
        <c:crossAx val="384307792"/>
        <c:crosses val="autoZero"/>
        <c:auto val="1"/>
        <c:lblAlgn val="ctr"/>
        <c:lblOffset val="10"/>
        <c:noMultiLvlLbl val="0"/>
      </c:catAx>
      <c:valAx>
        <c:axId val="384307792"/>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rgbClr val="002060"/>
                </a:solidFill>
                <a:latin typeface="+mn-lt"/>
                <a:ea typeface="+mn-ea"/>
                <a:cs typeface="+mn-cs"/>
              </a:defRPr>
            </a:pPr>
            <a:endParaRPr lang="de-DE"/>
          </a:p>
        </c:txPr>
        <c:crossAx val="384307400"/>
        <c:crossesAt val="1"/>
        <c:crossBetween val="between"/>
      </c:valAx>
      <c:spPr>
        <a:noFill/>
        <a:ln>
          <a:noFill/>
        </a:ln>
        <a:effectLst/>
      </c:spPr>
    </c:plotArea>
    <c:legend>
      <c:legendPos val="r"/>
      <c:layout>
        <c:manualLayout>
          <c:xMode val="edge"/>
          <c:yMode val="edge"/>
          <c:x val="0.83196730293717913"/>
          <c:y val="7.687870711732015E-4"/>
          <c:w val="0.16803266047524612"/>
          <c:h val="0.21931922976935334"/>
        </c:manualLayout>
      </c:layout>
      <c:overlay val="0"/>
      <c:spPr>
        <a:noFill/>
        <a:ln>
          <a:noFill/>
        </a:ln>
        <a:effectLst/>
      </c:spPr>
      <c:txPr>
        <a:bodyPr rot="0" spcFirstLastPara="1" vertOverflow="ellipsis" vert="horz" wrap="square" anchor="ctr" anchorCtr="1"/>
        <a:lstStyle/>
        <a:p>
          <a:pPr>
            <a:defRPr sz="1600" b="1" i="0" u="none" strike="noStrike" kern="1200" baseline="0">
              <a:solidFill>
                <a:srgbClr val="002060"/>
              </a:solidFill>
              <a:latin typeface="+mn-lt"/>
              <a:ea typeface="+mn-ea"/>
              <a:cs typeface="+mn-cs"/>
            </a:defRPr>
          </a:pPr>
          <a:endParaRPr lang="de-D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2011465961845763E-2"/>
          <c:y val="2.3572372543500898E-2"/>
          <c:w val="0.9479885340381542"/>
          <c:h val="0.91608088277025113"/>
        </c:manualLayout>
      </c:layout>
      <c:barChart>
        <c:barDir val="col"/>
        <c:grouping val="clustered"/>
        <c:varyColors val="0"/>
        <c:ser>
          <c:idx val="0"/>
          <c:order val="0"/>
          <c:spPr>
            <a:solidFill>
              <a:schemeClr val="accent1">
                <a:lumMod val="40000"/>
                <a:lumOff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tx1">
                        <a:lumMod val="75000"/>
                        <a:lumOff val="2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'_Data Status Month'!$D$120:$L$120</c:f>
              <c:strCache>
                <c:ptCount val="9"/>
                <c:pt idx="0">
                  <c:v>Putting</c:v>
                </c:pt>
                <c:pt idx="1">
                  <c:v>Chipping</c:v>
                </c:pt>
                <c:pt idx="2">
                  <c:v>Pitching</c:v>
                </c:pt>
                <c:pt idx="3">
                  <c:v>Approach Shot</c:v>
                </c:pt>
                <c:pt idx="4">
                  <c:v>Wood</c:v>
                </c:pt>
                <c:pt idx="5">
                  <c:v>Driver</c:v>
                </c:pt>
                <c:pt idx="6">
                  <c:v>Bunker</c:v>
                </c:pt>
                <c:pt idx="7">
                  <c:v>Mental</c:v>
                </c:pt>
                <c:pt idx="8">
                  <c:v>Round of Golf</c:v>
                </c:pt>
              </c:strCache>
            </c:strRef>
          </c:cat>
          <c:val>
            <c:numRef>
              <c:f>'_Data Status Month'!$D$121:$L$121</c:f>
              <c:numCache>
                <c:formatCode>0%</c:formatCode>
                <c:ptCount val="9"/>
                <c:pt idx="0">
                  <c:v>0</c:v>
                </c:pt>
                <c:pt idx="1">
                  <c:v>0</c:v>
                </c:pt>
                <c:pt idx="2">
                  <c:v>0</c:v>
                </c:pt>
                <c:pt idx="3">
                  <c:v>0</c:v>
                </c:pt>
                <c:pt idx="4">
                  <c:v>0</c:v>
                </c:pt>
                <c:pt idx="5">
                  <c:v>0</c:v>
                </c:pt>
                <c:pt idx="6">
                  <c:v>0</c:v>
                </c:pt>
                <c:pt idx="7">
                  <c:v>0</c:v>
                </c:pt>
                <c:pt idx="8">
                  <c:v>0</c:v>
                </c:pt>
              </c:numCache>
            </c:numRef>
          </c:val>
        </c:ser>
        <c:dLbls>
          <c:showLegendKey val="0"/>
          <c:showVal val="0"/>
          <c:showCatName val="0"/>
          <c:showSerName val="0"/>
          <c:showPercent val="0"/>
          <c:showBubbleSize val="0"/>
        </c:dLbls>
        <c:gapWidth val="30"/>
        <c:axId val="384308576"/>
        <c:axId val="384308968"/>
      </c:barChart>
      <c:catAx>
        <c:axId val="384308576"/>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1" i="0" u="none" strike="noStrike" kern="1200" baseline="0">
                <a:solidFill>
                  <a:srgbClr val="002060"/>
                </a:solidFill>
                <a:latin typeface="+mn-lt"/>
                <a:ea typeface="+mn-ea"/>
                <a:cs typeface="+mn-cs"/>
              </a:defRPr>
            </a:pPr>
            <a:endParaRPr lang="de-DE"/>
          </a:p>
        </c:txPr>
        <c:crossAx val="384308968"/>
        <c:crosses val="autoZero"/>
        <c:auto val="1"/>
        <c:lblAlgn val="ctr"/>
        <c:lblOffset val="100"/>
        <c:noMultiLvlLbl val="0"/>
      </c:catAx>
      <c:valAx>
        <c:axId val="3843089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rgbClr val="002060"/>
                </a:solidFill>
                <a:latin typeface="+mn-lt"/>
                <a:ea typeface="+mn-ea"/>
                <a:cs typeface="+mn-cs"/>
              </a:defRPr>
            </a:pPr>
            <a:endParaRPr lang="de-DE"/>
          </a:p>
        </c:txPr>
        <c:crossAx val="3843085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5050266428333045E-2"/>
          <c:y val="6.1155980502437209E-2"/>
          <c:w val="0.91025490997437541"/>
          <c:h val="0.84335995500562433"/>
        </c:manualLayout>
      </c:layout>
      <c:barChart>
        <c:barDir val="col"/>
        <c:grouping val="clustered"/>
        <c:varyColors val="0"/>
        <c:ser>
          <c:idx val="0"/>
          <c:order val="0"/>
          <c:tx>
            <c:strRef>
              <c:f>'_Data Status Month'!$A$14</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val>
            <c:numRef>
              <c:f>[0]!ST_MONTH_Putting_HCP_AVG</c:f>
              <c:numCache>
                <c:formatCode>0.0</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ser>
        <c:dLbls>
          <c:showLegendKey val="0"/>
          <c:showVal val="0"/>
          <c:showCatName val="0"/>
          <c:showSerName val="0"/>
          <c:showPercent val="0"/>
          <c:showBubbleSize val="0"/>
        </c:dLbls>
        <c:gapWidth val="41"/>
        <c:axId val="385819552"/>
        <c:axId val="380139824"/>
      </c:barChart>
      <c:catAx>
        <c:axId val="385819552"/>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0139824"/>
        <c:crosses val="autoZero"/>
        <c:auto val="1"/>
        <c:lblAlgn val="ctr"/>
        <c:lblOffset val="100"/>
        <c:noMultiLvlLbl val="0"/>
      </c:catAx>
      <c:valAx>
        <c:axId val="380139824"/>
        <c:scaling>
          <c:orientation val="minMax"/>
        </c:scaling>
        <c:delete val="0"/>
        <c:axPos val="l"/>
        <c:majorGridlines>
          <c:spPr>
            <a:ln w="3175" cap="flat" cmpd="sng" algn="ctr">
              <a:solidFill>
                <a:srgbClr val="7030A0"/>
              </a:solidFill>
              <a:prstDash val="dash"/>
              <a:round/>
            </a:ln>
            <a:effectLst/>
          </c:spPr>
        </c:majorGridlines>
        <c:minorGridlines>
          <c:spPr>
            <a:ln>
              <a:solidFill>
                <a:schemeClr val="tx2">
                  <a:lumMod val="20000"/>
                  <a:lumOff val="80000"/>
                </a:schemeClr>
              </a:solidFill>
              <a:prstDash val="sysDot"/>
            </a:ln>
            <a:effectLst/>
          </c:spPr>
        </c:minorGridlines>
        <c:numFmt formatCode="[Blue]\+0;[Red]\-0;[Black]\ 0" sourceLinked="0"/>
        <c:majorTickMark val="out"/>
        <c:minorTickMark val="in"/>
        <c:tickLblPos val="nextTo"/>
        <c:spPr>
          <a:noFill/>
          <a:ln>
            <a:no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5819552"/>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Month'!$AA$610</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cat>
            <c:strRef>
              <c:f>'_Data Status Month'!$F$611:$F$622</c:f>
              <c:strCache>
                <c:ptCount val="12"/>
                <c:pt idx="0">
                  <c:v>Jan</c:v>
                </c:pt>
                <c:pt idx="1">
                  <c:v>Feb</c:v>
                </c:pt>
                <c:pt idx="2">
                  <c:v>Mrz</c:v>
                </c:pt>
                <c:pt idx="3">
                  <c:v>Apr</c:v>
                </c:pt>
                <c:pt idx="4">
                  <c:v>Mai</c:v>
                </c:pt>
                <c:pt idx="5">
                  <c:v>Jun</c:v>
                </c:pt>
                <c:pt idx="6">
                  <c:v>Jul</c:v>
                </c:pt>
                <c:pt idx="7">
                  <c:v>Aug</c:v>
                </c:pt>
                <c:pt idx="8">
                  <c:v>Sep</c:v>
                </c:pt>
                <c:pt idx="9">
                  <c:v>Okt</c:v>
                </c:pt>
                <c:pt idx="10">
                  <c:v>Nov</c:v>
                </c:pt>
                <c:pt idx="11">
                  <c:v>Dez</c:v>
                </c:pt>
              </c:strCache>
            </c:strRef>
          </c:cat>
          <c:val>
            <c:numRef>
              <c:f>[0]!ST_YEAR_DATA_1</c:f>
              <c:numCache>
                <c:formatCode>General</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ser>
        <c:dLbls>
          <c:showLegendKey val="0"/>
          <c:showVal val="0"/>
          <c:showCatName val="0"/>
          <c:showSerName val="0"/>
          <c:showPercent val="0"/>
          <c:showBubbleSize val="0"/>
        </c:dLbls>
        <c:gapWidth val="41"/>
        <c:axId val="387122656"/>
        <c:axId val="387123048"/>
      </c:barChart>
      <c:catAx>
        <c:axId val="387122656"/>
        <c:scaling>
          <c:orientation val="minMax"/>
        </c:scaling>
        <c:delete val="0"/>
        <c:axPos val="b"/>
        <c:majorGridlines>
          <c:spPr>
            <a:ln w="9525" cap="flat" cmpd="sng" algn="ctr">
              <a:solidFill>
                <a:schemeClr val="tx2">
                  <a:lumMod val="20000"/>
                  <a:lumOff val="80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7123048"/>
        <c:crosses val="autoZero"/>
        <c:auto val="1"/>
        <c:lblAlgn val="ctr"/>
        <c:lblOffset val="100"/>
        <c:noMultiLvlLbl val="0"/>
      </c:catAx>
      <c:valAx>
        <c:axId val="387123048"/>
        <c:scaling>
          <c:orientation val="minMax"/>
        </c:scaling>
        <c:delete val="0"/>
        <c:axPos val="l"/>
        <c:majorGridlines>
          <c:spPr>
            <a:ln w="3175" cap="flat" cmpd="sng" algn="ctr">
              <a:solidFill>
                <a:srgbClr val="7030A0"/>
              </a:solidFill>
              <a:prstDash val="dash"/>
              <a:round/>
            </a:ln>
            <a:effectLst/>
          </c:spPr>
        </c:majorGridlines>
        <c:minorGridlines>
          <c:spPr>
            <a:ln w="3175">
              <a:solidFill>
                <a:schemeClr val="tx2">
                  <a:lumMod val="20000"/>
                  <a:lumOff val="80000"/>
                </a:schemeClr>
              </a:solidFill>
              <a:prstDash val="sysDash"/>
            </a:ln>
            <a:effectLst/>
          </c:spPr>
        </c:minorGridlines>
        <c:numFmt formatCode="[Blue]\+0;[Red]\-0;[Black]\ 0" sourceLinked="0"/>
        <c:majorTickMark val="out"/>
        <c:minorTickMark val="none"/>
        <c:tickLblPos val="nextTo"/>
        <c:spPr>
          <a:noFill/>
          <a:ln>
            <a:solidFill>
              <a:schemeClr val="tx2">
                <a:lumMod val="20000"/>
                <a:lumOff val="80000"/>
              </a:schemeClr>
            </a:solid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7122656"/>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4221267416859795E-2"/>
          <c:y val="8.5403997577225929E-2"/>
          <c:w val="0.91139861921648568"/>
          <c:h val="0.73116050878255601"/>
        </c:manualLayout>
      </c:layout>
      <c:barChart>
        <c:barDir val="col"/>
        <c:grouping val="clustered"/>
        <c:varyColors val="0"/>
        <c:ser>
          <c:idx val="0"/>
          <c:order val="0"/>
          <c:tx>
            <c:strRef>
              <c:f>'_Data Status Month'!$A$24</c:f>
              <c:strCache>
                <c:ptCount val="1"/>
                <c:pt idx="0">
                  <c:v>Chipping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val>
            <c:numRef>
              <c:f>[0]!ST_MONTH_Chipping_HCP_AVG</c:f>
              <c:numCache>
                <c:formatCode>0.0</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ser>
        <c:dLbls>
          <c:showLegendKey val="0"/>
          <c:showVal val="0"/>
          <c:showCatName val="0"/>
          <c:showSerName val="0"/>
          <c:showPercent val="0"/>
          <c:showBubbleSize val="0"/>
        </c:dLbls>
        <c:gapWidth val="41"/>
        <c:axId val="387123832"/>
        <c:axId val="387124224"/>
      </c:barChart>
      <c:catAx>
        <c:axId val="387123832"/>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7124224"/>
        <c:crosses val="autoZero"/>
        <c:auto val="1"/>
        <c:lblAlgn val="ctr"/>
        <c:lblOffset val="100"/>
        <c:noMultiLvlLbl val="0"/>
      </c:catAx>
      <c:valAx>
        <c:axId val="387124224"/>
        <c:scaling>
          <c:orientation val="minMax"/>
        </c:scaling>
        <c:delete val="0"/>
        <c:axPos val="l"/>
        <c:majorGridlines>
          <c:spPr>
            <a:ln w="3175" cap="flat" cmpd="sng" algn="ctr">
              <a:solidFill>
                <a:srgbClr val="7030A0"/>
              </a:solidFill>
              <a:prstDash val="dash"/>
              <a:round/>
            </a:ln>
            <a:effectLst/>
          </c:spPr>
        </c:majorGridlines>
        <c:minorGridlines>
          <c:spPr>
            <a:ln>
              <a:solidFill>
                <a:schemeClr val="tx2">
                  <a:lumMod val="20000"/>
                  <a:lumOff val="80000"/>
                </a:schemeClr>
              </a:solidFill>
              <a:prstDash val="sysDot"/>
            </a:ln>
            <a:effectLst/>
          </c:spPr>
        </c:minorGridlines>
        <c:numFmt formatCode="[Blue]\+0;[Red]\-0;[Black]\ 0" sourceLinked="0"/>
        <c:majorTickMark val="out"/>
        <c:minorTickMark val="in"/>
        <c:tickLblPos val="nextTo"/>
        <c:spPr>
          <a:noFill/>
          <a:ln>
            <a:no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7123832"/>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Month'!$AB$610</c:f>
              <c:strCache>
                <c:ptCount val="1"/>
                <c:pt idx="0">
                  <c:v>Chipping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cat>
            <c:strRef>
              <c:f>'_Data Status Month'!$F$611:$F$622</c:f>
              <c:strCache>
                <c:ptCount val="12"/>
                <c:pt idx="0">
                  <c:v>Jan</c:v>
                </c:pt>
                <c:pt idx="1">
                  <c:v>Feb</c:v>
                </c:pt>
                <c:pt idx="2">
                  <c:v>Mrz</c:v>
                </c:pt>
                <c:pt idx="3">
                  <c:v>Apr</c:v>
                </c:pt>
                <c:pt idx="4">
                  <c:v>Mai</c:v>
                </c:pt>
                <c:pt idx="5">
                  <c:v>Jun</c:v>
                </c:pt>
                <c:pt idx="6">
                  <c:v>Jul</c:v>
                </c:pt>
                <c:pt idx="7">
                  <c:v>Aug</c:v>
                </c:pt>
                <c:pt idx="8">
                  <c:v>Sep</c:v>
                </c:pt>
                <c:pt idx="9">
                  <c:v>Okt</c:v>
                </c:pt>
                <c:pt idx="10">
                  <c:v>Nov</c:v>
                </c:pt>
                <c:pt idx="11">
                  <c:v>Dez</c:v>
                </c:pt>
              </c:strCache>
            </c:strRef>
          </c:cat>
          <c:val>
            <c:numRef>
              <c:f>[0]!ST_YEAR_DATA_2</c:f>
              <c:numCache>
                <c:formatCode>General</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ser>
        <c:dLbls>
          <c:showLegendKey val="0"/>
          <c:showVal val="0"/>
          <c:showCatName val="0"/>
          <c:showSerName val="0"/>
          <c:showPercent val="0"/>
          <c:showBubbleSize val="0"/>
        </c:dLbls>
        <c:gapWidth val="41"/>
        <c:axId val="387125008"/>
        <c:axId val="387125400"/>
      </c:barChart>
      <c:catAx>
        <c:axId val="387125008"/>
        <c:scaling>
          <c:orientation val="minMax"/>
        </c:scaling>
        <c:delete val="0"/>
        <c:axPos val="b"/>
        <c:majorGridlines>
          <c:spPr>
            <a:ln w="9525" cap="flat" cmpd="sng" algn="ctr">
              <a:solidFill>
                <a:schemeClr val="tx2">
                  <a:lumMod val="20000"/>
                  <a:lumOff val="80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7125400"/>
        <c:crosses val="autoZero"/>
        <c:auto val="1"/>
        <c:lblAlgn val="ctr"/>
        <c:lblOffset val="100"/>
        <c:noMultiLvlLbl val="0"/>
      </c:catAx>
      <c:valAx>
        <c:axId val="387125400"/>
        <c:scaling>
          <c:orientation val="minMax"/>
        </c:scaling>
        <c:delete val="0"/>
        <c:axPos val="l"/>
        <c:majorGridlines>
          <c:spPr>
            <a:ln w="3175" cap="flat" cmpd="sng" algn="ctr">
              <a:solidFill>
                <a:srgbClr val="7030A0"/>
              </a:solidFill>
              <a:prstDash val="dash"/>
              <a:round/>
            </a:ln>
            <a:effectLst/>
          </c:spPr>
        </c:majorGridlines>
        <c:minorGridlines>
          <c:spPr>
            <a:ln w="3175">
              <a:solidFill>
                <a:schemeClr val="tx2">
                  <a:lumMod val="20000"/>
                  <a:lumOff val="80000"/>
                </a:schemeClr>
              </a:solidFill>
              <a:prstDash val="sysDash"/>
            </a:ln>
            <a:effectLst/>
          </c:spPr>
        </c:minorGridlines>
        <c:numFmt formatCode="[Blue]\+0;[Red]\-0;[Black]\ 0" sourceLinked="0"/>
        <c:majorTickMark val="out"/>
        <c:minorTickMark val="none"/>
        <c:tickLblPos val="nextTo"/>
        <c:spPr>
          <a:noFill/>
          <a:ln>
            <a:solidFill>
              <a:schemeClr val="tx2">
                <a:lumMod val="20000"/>
                <a:lumOff val="80000"/>
              </a:schemeClr>
            </a:solid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7125008"/>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Month'!$A$34</c:f>
              <c:strCache>
                <c:ptCount val="1"/>
                <c:pt idx="0">
                  <c:v>Pitching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val>
            <c:numRef>
              <c:f>[0]!ST_MONTH_Pitching_HCP_AVG</c:f>
              <c:numCache>
                <c:formatCode>0.0</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ser>
        <c:dLbls>
          <c:showLegendKey val="0"/>
          <c:showVal val="0"/>
          <c:showCatName val="0"/>
          <c:showSerName val="0"/>
          <c:showPercent val="0"/>
          <c:showBubbleSize val="0"/>
        </c:dLbls>
        <c:gapWidth val="41"/>
        <c:axId val="387126184"/>
        <c:axId val="387126576"/>
      </c:barChart>
      <c:catAx>
        <c:axId val="387126184"/>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out"/>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7126576"/>
        <c:crosses val="autoZero"/>
        <c:auto val="1"/>
        <c:lblAlgn val="ctr"/>
        <c:lblOffset val="100"/>
        <c:noMultiLvlLbl val="0"/>
      </c:catAx>
      <c:valAx>
        <c:axId val="387126576"/>
        <c:scaling>
          <c:orientation val="minMax"/>
        </c:scaling>
        <c:delete val="0"/>
        <c:axPos val="l"/>
        <c:majorGridlines>
          <c:spPr>
            <a:ln w="3175" cap="flat" cmpd="sng" algn="ctr">
              <a:solidFill>
                <a:srgbClr val="7030A0"/>
              </a:solidFill>
              <a:prstDash val="dash"/>
              <a:round/>
            </a:ln>
            <a:effectLst/>
          </c:spPr>
        </c:majorGridlines>
        <c:minorGridlines>
          <c:spPr>
            <a:ln>
              <a:solidFill>
                <a:schemeClr val="tx2">
                  <a:lumMod val="20000"/>
                  <a:lumOff val="80000"/>
                </a:schemeClr>
              </a:solidFill>
              <a:prstDash val="sysDot"/>
            </a:ln>
            <a:effectLst/>
          </c:spPr>
        </c:minorGridlines>
        <c:numFmt formatCode="[Blue]\+0;[Red]\-0;[Black]\ 0" sourceLinked="0"/>
        <c:majorTickMark val="out"/>
        <c:minorTickMark val="in"/>
        <c:tickLblPos val="nextTo"/>
        <c:spPr>
          <a:noFill/>
          <a:ln>
            <a:no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7126184"/>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Month'!$AC$610</c:f>
              <c:strCache>
                <c:ptCount val="1"/>
                <c:pt idx="0">
                  <c:v>Pitching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cat>
            <c:strRef>
              <c:f>'_Data Status Month'!$F$611:$F$622</c:f>
              <c:strCache>
                <c:ptCount val="12"/>
                <c:pt idx="0">
                  <c:v>Jan</c:v>
                </c:pt>
                <c:pt idx="1">
                  <c:v>Feb</c:v>
                </c:pt>
                <c:pt idx="2">
                  <c:v>Mrz</c:v>
                </c:pt>
                <c:pt idx="3">
                  <c:v>Apr</c:v>
                </c:pt>
                <c:pt idx="4">
                  <c:v>Mai</c:v>
                </c:pt>
                <c:pt idx="5">
                  <c:v>Jun</c:v>
                </c:pt>
                <c:pt idx="6">
                  <c:v>Jul</c:v>
                </c:pt>
                <c:pt idx="7">
                  <c:v>Aug</c:v>
                </c:pt>
                <c:pt idx="8">
                  <c:v>Sep</c:v>
                </c:pt>
                <c:pt idx="9">
                  <c:v>Okt</c:v>
                </c:pt>
                <c:pt idx="10">
                  <c:v>Nov</c:v>
                </c:pt>
                <c:pt idx="11">
                  <c:v>Dez</c:v>
                </c:pt>
              </c:strCache>
            </c:strRef>
          </c:cat>
          <c:val>
            <c:numRef>
              <c:f>[0]!ST_YEAR_DATA_3</c:f>
              <c:numCache>
                <c:formatCode>General</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ser>
        <c:dLbls>
          <c:showLegendKey val="0"/>
          <c:showVal val="0"/>
          <c:showCatName val="0"/>
          <c:showSerName val="0"/>
          <c:showPercent val="0"/>
          <c:showBubbleSize val="0"/>
        </c:dLbls>
        <c:gapWidth val="41"/>
        <c:axId val="387127360"/>
        <c:axId val="387127752"/>
      </c:barChart>
      <c:catAx>
        <c:axId val="387127360"/>
        <c:scaling>
          <c:orientation val="minMax"/>
        </c:scaling>
        <c:delete val="0"/>
        <c:axPos val="b"/>
        <c:majorGridlines>
          <c:spPr>
            <a:ln w="9525" cap="flat" cmpd="sng" algn="ctr">
              <a:solidFill>
                <a:schemeClr val="tx2">
                  <a:lumMod val="20000"/>
                  <a:lumOff val="80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7127752"/>
        <c:crosses val="autoZero"/>
        <c:auto val="1"/>
        <c:lblAlgn val="ctr"/>
        <c:lblOffset val="100"/>
        <c:noMultiLvlLbl val="0"/>
      </c:catAx>
      <c:valAx>
        <c:axId val="387127752"/>
        <c:scaling>
          <c:orientation val="minMax"/>
        </c:scaling>
        <c:delete val="0"/>
        <c:axPos val="l"/>
        <c:majorGridlines>
          <c:spPr>
            <a:ln w="3175" cap="flat" cmpd="sng" algn="ctr">
              <a:solidFill>
                <a:srgbClr val="7030A0"/>
              </a:solidFill>
              <a:prstDash val="dash"/>
              <a:round/>
            </a:ln>
            <a:effectLst/>
          </c:spPr>
        </c:majorGridlines>
        <c:minorGridlines>
          <c:spPr>
            <a:ln w="3175">
              <a:solidFill>
                <a:schemeClr val="tx2">
                  <a:lumMod val="20000"/>
                  <a:lumOff val="80000"/>
                </a:schemeClr>
              </a:solidFill>
              <a:prstDash val="sysDash"/>
            </a:ln>
            <a:effectLst/>
          </c:spPr>
        </c:minorGridlines>
        <c:numFmt formatCode="[Blue]\+0;[Red]\-0;[Black]\ 0" sourceLinked="0"/>
        <c:majorTickMark val="out"/>
        <c:minorTickMark val="none"/>
        <c:tickLblPos val="nextTo"/>
        <c:spPr>
          <a:noFill/>
          <a:ln>
            <a:solidFill>
              <a:schemeClr val="tx2">
                <a:lumMod val="20000"/>
                <a:lumOff val="80000"/>
              </a:schemeClr>
            </a:solid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7127360"/>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Month'!$A$44</c:f>
              <c:strCache>
                <c:ptCount val="1"/>
                <c:pt idx="0">
                  <c:v>Approach Shot</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val>
            <c:numRef>
              <c:f>[0]!ST_MONTH_ApproachShots_HCP_AVG</c:f>
              <c:numCache>
                <c:formatCode>0.0</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ser>
        <c:dLbls>
          <c:showLegendKey val="0"/>
          <c:showVal val="0"/>
          <c:showCatName val="0"/>
          <c:showSerName val="0"/>
          <c:showPercent val="0"/>
          <c:showBubbleSize val="0"/>
        </c:dLbls>
        <c:gapWidth val="41"/>
        <c:axId val="387128536"/>
        <c:axId val="387128928"/>
      </c:barChart>
      <c:catAx>
        <c:axId val="387128536"/>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387128928"/>
        <c:crosses val="autoZero"/>
        <c:auto val="1"/>
        <c:lblAlgn val="ctr"/>
        <c:lblOffset val="100"/>
        <c:noMultiLvlLbl val="0"/>
      </c:catAx>
      <c:valAx>
        <c:axId val="387128928"/>
        <c:scaling>
          <c:orientation val="minMax"/>
        </c:scaling>
        <c:delete val="0"/>
        <c:axPos val="l"/>
        <c:majorGridlines>
          <c:spPr>
            <a:ln w="3175" cap="flat" cmpd="sng" algn="ctr">
              <a:solidFill>
                <a:srgbClr val="7030A0"/>
              </a:solidFill>
              <a:prstDash val="dash"/>
              <a:round/>
            </a:ln>
            <a:effectLst/>
          </c:spPr>
        </c:majorGridlines>
        <c:minorGridlines>
          <c:spPr>
            <a:ln>
              <a:solidFill>
                <a:schemeClr val="tx2">
                  <a:lumMod val="20000"/>
                  <a:lumOff val="80000"/>
                </a:schemeClr>
              </a:solidFill>
              <a:prstDash val="sysDot"/>
            </a:ln>
            <a:effectLst/>
          </c:spPr>
        </c:minorGridlines>
        <c:numFmt formatCode="[Blue]\+0;[Red]\-0;[Black]\ 0" sourceLinked="0"/>
        <c:majorTickMark val="out"/>
        <c:minorTickMark val="in"/>
        <c:tickLblPos val="nextTo"/>
        <c:spPr>
          <a:noFill/>
          <a:ln>
            <a:no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7128536"/>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Month'!$AD$610</c:f>
              <c:strCache>
                <c:ptCount val="1"/>
                <c:pt idx="0">
                  <c:v>Approach Shot</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cat>
            <c:strRef>
              <c:f>'_Data Status Month'!$F$611:$F$622</c:f>
              <c:strCache>
                <c:ptCount val="12"/>
                <c:pt idx="0">
                  <c:v>Jan</c:v>
                </c:pt>
                <c:pt idx="1">
                  <c:v>Feb</c:v>
                </c:pt>
                <c:pt idx="2">
                  <c:v>Mrz</c:v>
                </c:pt>
                <c:pt idx="3">
                  <c:v>Apr</c:v>
                </c:pt>
                <c:pt idx="4">
                  <c:v>Mai</c:v>
                </c:pt>
                <c:pt idx="5">
                  <c:v>Jun</c:v>
                </c:pt>
                <c:pt idx="6">
                  <c:v>Jul</c:v>
                </c:pt>
                <c:pt idx="7">
                  <c:v>Aug</c:v>
                </c:pt>
                <c:pt idx="8">
                  <c:v>Sep</c:v>
                </c:pt>
                <c:pt idx="9">
                  <c:v>Okt</c:v>
                </c:pt>
                <c:pt idx="10">
                  <c:v>Nov</c:v>
                </c:pt>
                <c:pt idx="11">
                  <c:v>Dez</c:v>
                </c:pt>
              </c:strCache>
            </c:strRef>
          </c:cat>
          <c:val>
            <c:numRef>
              <c:f>[0]!ST_YEAR_DATA_4</c:f>
              <c:numCache>
                <c:formatCode>General</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ser>
        <c:dLbls>
          <c:showLegendKey val="0"/>
          <c:showVal val="0"/>
          <c:showCatName val="0"/>
          <c:showSerName val="0"/>
          <c:showPercent val="0"/>
          <c:showBubbleSize val="0"/>
        </c:dLbls>
        <c:gapWidth val="41"/>
        <c:axId val="387129712"/>
        <c:axId val="474931184"/>
      </c:barChart>
      <c:catAx>
        <c:axId val="387129712"/>
        <c:scaling>
          <c:orientation val="minMax"/>
        </c:scaling>
        <c:delete val="0"/>
        <c:axPos val="b"/>
        <c:majorGridlines>
          <c:spPr>
            <a:ln w="9525" cap="flat" cmpd="sng" algn="ctr">
              <a:solidFill>
                <a:schemeClr val="tx2">
                  <a:lumMod val="20000"/>
                  <a:lumOff val="80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474931184"/>
        <c:crosses val="autoZero"/>
        <c:auto val="1"/>
        <c:lblAlgn val="ctr"/>
        <c:lblOffset val="100"/>
        <c:noMultiLvlLbl val="0"/>
      </c:catAx>
      <c:valAx>
        <c:axId val="474931184"/>
        <c:scaling>
          <c:orientation val="minMax"/>
        </c:scaling>
        <c:delete val="0"/>
        <c:axPos val="l"/>
        <c:majorGridlines>
          <c:spPr>
            <a:ln w="3175" cap="flat" cmpd="sng" algn="ctr">
              <a:solidFill>
                <a:srgbClr val="7030A0"/>
              </a:solidFill>
              <a:prstDash val="dash"/>
              <a:round/>
            </a:ln>
            <a:effectLst/>
          </c:spPr>
        </c:majorGridlines>
        <c:minorGridlines>
          <c:spPr>
            <a:ln w="3175">
              <a:solidFill>
                <a:schemeClr val="tx2">
                  <a:lumMod val="20000"/>
                  <a:lumOff val="80000"/>
                </a:schemeClr>
              </a:solidFill>
              <a:prstDash val="sysDash"/>
            </a:ln>
            <a:effectLst/>
          </c:spPr>
        </c:minorGridlines>
        <c:numFmt formatCode="[Blue]\+0;[Red]\-0;[Black]\ 0" sourceLinked="0"/>
        <c:majorTickMark val="out"/>
        <c:minorTickMark val="none"/>
        <c:tickLblPos val="nextTo"/>
        <c:spPr>
          <a:noFill/>
          <a:ln>
            <a:solidFill>
              <a:schemeClr val="tx2">
                <a:lumMod val="20000"/>
                <a:lumOff val="80000"/>
              </a:schemeClr>
            </a:solid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387129712"/>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Month'!$A$54</c:f>
              <c:strCache>
                <c:ptCount val="1"/>
                <c:pt idx="0">
                  <c:v>Wood</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val>
            <c:numRef>
              <c:f>[0]!ST_MONTH_Woods_HCP_AVG</c:f>
              <c:numCache>
                <c:formatCode>0.0</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ser>
        <c:dLbls>
          <c:showLegendKey val="0"/>
          <c:showVal val="0"/>
          <c:showCatName val="0"/>
          <c:showSerName val="0"/>
          <c:showPercent val="0"/>
          <c:showBubbleSize val="0"/>
        </c:dLbls>
        <c:gapWidth val="41"/>
        <c:axId val="474931968"/>
        <c:axId val="474932360"/>
      </c:barChart>
      <c:catAx>
        <c:axId val="474931968"/>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474932360"/>
        <c:crosses val="autoZero"/>
        <c:auto val="1"/>
        <c:lblAlgn val="ctr"/>
        <c:lblOffset val="100"/>
        <c:noMultiLvlLbl val="0"/>
      </c:catAx>
      <c:valAx>
        <c:axId val="474932360"/>
        <c:scaling>
          <c:orientation val="minMax"/>
        </c:scaling>
        <c:delete val="0"/>
        <c:axPos val="l"/>
        <c:majorGridlines>
          <c:spPr>
            <a:ln w="3175" cap="flat" cmpd="sng" algn="ctr">
              <a:solidFill>
                <a:srgbClr val="7030A0"/>
              </a:solidFill>
              <a:prstDash val="dash"/>
              <a:round/>
            </a:ln>
            <a:effectLst/>
          </c:spPr>
        </c:majorGridlines>
        <c:minorGridlines>
          <c:spPr>
            <a:ln>
              <a:solidFill>
                <a:schemeClr val="tx2">
                  <a:lumMod val="20000"/>
                  <a:lumOff val="80000"/>
                </a:schemeClr>
              </a:solidFill>
              <a:prstDash val="sysDot"/>
            </a:ln>
            <a:effectLst/>
          </c:spPr>
        </c:minorGridlines>
        <c:numFmt formatCode="[Blue]\+0;[Red]\-0;[Black]\ 0" sourceLinked="0"/>
        <c:majorTickMark val="out"/>
        <c:minorTickMark val="in"/>
        <c:tickLblPos val="nextTo"/>
        <c:spPr>
          <a:noFill/>
          <a:ln>
            <a:no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474931968"/>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Month'!$AE$610</c:f>
              <c:strCache>
                <c:ptCount val="1"/>
                <c:pt idx="0">
                  <c:v>Wood</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cat>
            <c:strRef>
              <c:f>'_Data Status Month'!$F$611:$F$622</c:f>
              <c:strCache>
                <c:ptCount val="12"/>
                <c:pt idx="0">
                  <c:v>Jan</c:v>
                </c:pt>
                <c:pt idx="1">
                  <c:v>Feb</c:v>
                </c:pt>
                <c:pt idx="2">
                  <c:v>Mrz</c:v>
                </c:pt>
                <c:pt idx="3">
                  <c:v>Apr</c:v>
                </c:pt>
                <c:pt idx="4">
                  <c:v>Mai</c:v>
                </c:pt>
                <c:pt idx="5">
                  <c:v>Jun</c:v>
                </c:pt>
                <c:pt idx="6">
                  <c:v>Jul</c:v>
                </c:pt>
                <c:pt idx="7">
                  <c:v>Aug</c:v>
                </c:pt>
                <c:pt idx="8">
                  <c:v>Sep</c:v>
                </c:pt>
                <c:pt idx="9">
                  <c:v>Okt</c:v>
                </c:pt>
                <c:pt idx="10">
                  <c:v>Nov</c:v>
                </c:pt>
                <c:pt idx="11">
                  <c:v>Dez</c:v>
                </c:pt>
              </c:strCache>
            </c:strRef>
          </c:cat>
          <c:val>
            <c:numRef>
              <c:f>[0]!ST_YEAR_DATA_5</c:f>
              <c:numCache>
                <c:formatCode>General</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ser>
        <c:dLbls>
          <c:showLegendKey val="0"/>
          <c:showVal val="0"/>
          <c:showCatName val="0"/>
          <c:showSerName val="0"/>
          <c:showPercent val="0"/>
          <c:showBubbleSize val="0"/>
        </c:dLbls>
        <c:gapWidth val="41"/>
        <c:axId val="474933144"/>
        <c:axId val="474933536"/>
      </c:barChart>
      <c:catAx>
        <c:axId val="474933144"/>
        <c:scaling>
          <c:orientation val="minMax"/>
        </c:scaling>
        <c:delete val="0"/>
        <c:axPos val="b"/>
        <c:majorGridlines>
          <c:spPr>
            <a:ln w="9525" cap="flat" cmpd="sng" algn="ctr">
              <a:solidFill>
                <a:schemeClr val="tx2">
                  <a:lumMod val="20000"/>
                  <a:lumOff val="80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474933536"/>
        <c:crosses val="autoZero"/>
        <c:auto val="1"/>
        <c:lblAlgn val="ctr"/>
        <c:lblOffset val="100"/>
        <c:noMultiLvlLbl val="0"/>
      </c:catAx>
      <c:valAx>
        <c:axId val="474933536"/>
        <c:scaling>
          <c:orientation val="minMax"/>
        </c:scaling>
        <c:delete val="0"/>
        <c:axPos val="l"/>
        <c:majorGridlines>
          <c:spPr>
            <a:ln w="3175" cap="flat" cmpd="sng" algn="ctr">
              <a:solidFill>
                <a:srgbClr val="7030A0"/>
              </a:solidFill>
              <a:prstDash val="dash"/>
              <a:round/>
            </a:ln>
            <a:effectLst/>
          </c:spPr>
        </c:majorGridlines>
        <c:minorGridlines>
          <c:spPr>
            <a:ln w="3175">
              <a:solidFill>
                <a:schemeClr val="tx2">
                  <a:lumMod val="20000"/>
                  <a:lumOff val="80000"/>
                </a:schemeClr>
              </a:solidFill>
              <a:prstDash val="sysDash"/>
            </a:ln>
            <a:effectLst/>
          </c:spPr>
        </c:minorGridlines>
        <c:numFmt formatCode="[Blue]\+0;[Red]\-0;[Black]\ 0" sourceLinked="0"/>
        <c:majorTickMark val="out"/>
        <c:minorTickMark val="none"/>
        <c:tickLblPos val="nextTo"/>
        <c:spPr>
          <a:noFill/>
          <a:ln>
            <a:solidFill>
              <a:schemeClr val="tx2">
                <a:lumMod val="20000"/>
                <a:lumOff val="80000"/>
              </a:schemeClr>
            </a:solid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474933144"/>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Month'!$A$14</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val>
            <c:numRef>
              <c:f>[0]!ST_MONTH_Driver_HCP_AVG</c:f>
              <c:numCache>
                <c:formatCode>0.0</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ser>
        <c:dLbls>
          <c:showLegendKey val="0"/>
          <c:showVal val="0"/>
          <c:showCatName val="0"/>
          <c:showSerName val="0"/>
          <c:showPercent val="0"/>
          <c:showBubbleSize val="0"/>
        </c:dLbls>
        <c:gapWidth val="41"/>
        <c:axId val="474934320"/>
        <c:axId val="474934712"/>
      </c:barChart>
      <c:catAx>
        <c:axId val="474934320"/>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474934712"/>
        <c:crosses val="autoZero"/>
        <c:auto val="1"/>
        <c:lblAlgn val="ctr"/>
        <c:lblOffset val="100"/>
        <c:noMultiLvlLbl val="0"/>
      </c:catAx>
      <c:valAx>
        <c:axId val="474934712"/>
        <c:scaling>
          <c:orientation val="minMax"/>
        </c:scaling>
        <c:delete val="0"/>
        <c:axPos val="l"/>
        <c:majorGridlines>
          <c:spPr>
            <a:ln w="3175" cap="flat" cmpd="sng" algn="ctr">
              <a:solidFill>
                <a:srgbClr val="7030A0"/>
              </a:solidFill>
              <a:prstDash val="dash"/>
              <a:round/>
            </a:ln>
            <a:effectLst/>
          </c:spPr>
        </c:majorGridlines>
        <c:minorGridlines>
          <c:spPr>
            <a:ln>
              <a:solidFill>
                <a:schemeClr val="tx2">
                  <a:lumMod val="20000"/>
                  <a:lumOff val="80000"/>
                </a:schemeClr>
              </a:solidFill>
              <a:prstDash val="sysDot"/>
            </a:ln>
            <a:effectLst/>
          </c:spPr>
        </c:minorGridlines>
        <c:numFmt formatCode="[Blue]\+0;[Red]\-0;[Black]\ 0" sourceLinked="0"/>
        <c:majorTickMark val="out"/>
        <c:minorTickMark val="in"/>
        <c:tickLblPos val="nextTo"/>
        <c:spPr>
          <a:noFill/>
          <a:ln>
            <a:no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474934320"/>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Month'!$AA$610</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cat>
            <c:strRef>
              <c:f>'_Data Status Month'!$F$611:$F$622</c:f>
              <c:strCache>
                <c:ptCount val="12"/>
                <c:pt idx="0">
                  <c:v>Jan</c:v>
                </c:pt>
                <c:pt idx="1">
                  <c:v>Feb</c:v>
                </c:pt>
                <c:pt idx="2">
                  <c:v>Mrz</c:v>
                </c:pt>
                <c:pt idx="3">
                  <c:v>Apr</c:v>
                </c:pt>
                <c:pt idx="4">
                  <c:v>Mai</c:v>
                </c:pt>
                <c:pt idx="5">
                  <c:v>Jun</c:v>
                </c:pt>
                <c:pt idx="6">
                  <c:v>Jul</c:v>
                </c:pt>
                <c:pt idx="7">
                  <c:v>Aug</c:v>
                </c:pt>
                <c:pt idx="8">
                  <c:v>Sep</c:v>
                </c:pt>
                <c:pt idx="9">
                  <c:v>Okt</c:v>
                </c:pt>
                <c:pt idx="10">
                  <c:v>Nov</c:v>
                </c:pt>
                <c:pt idx="11">
                  <c:v>Dez</c:v>
                </c:pt>
              </c:strCache>
            </c:strRef>
          </c:cat>
          <c:val>
            <c:numRef>
              <c:f>[0]!ST_YEAR_DATA_6</c:f>
              <c:numCache>
                <c:formatCode>General</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ser>
        <c:dLbls>
          <c:showLegendKey val="0"/>
          <c:showVal val="0"/>
          <c:showCatName val="0"/>
          <c:showSerName val="0"/>
          <c:showPercent val="0"/>
          <c:showBubbleSize val="0"/>
        </c:dLbls>
        <c:gapWidth val="41"/>
        <c:axId val="474935496"/>
        <c:axId val="474935888"/>
      </c:barChart>
      <c:catAx>
        <c:axId val="474935496"/>
        <c:scaling>
          <c:orientation val="minMax"/>
        </c:scaling>
        <c:delete val="0"/>
        <c:axPos val="b"/>
        <c:majorGridlines>
          <c:spPr>
            <a:ln w="9525" cap="flat" cmpd="sng" algn="ctr">
              <a:solidFill>
                <a:schemeClr val="tx2">
                  <a:lumMod val="20000"/>
                  <a:lumOff val="80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474935888"/>
        <c:crosses val="autoZero"/>
        <c:auto val="1"/>
        <c:lblAlgn val="ctr"/>
        <c:lblOffset val="100"/>
        <c:noMultiLvlLbl val="0"/>
      </c:catAx>
      <c:valAx>
        <c:axId val="474935888"/>
        <c:scaling>
          <c:orientation val="minMax"/>
        </c:scaling>
        <c:delete val="0"/>
        <c:axPos val="l"/>
        <c:majorGridlines>
          <c:spPr>
            <a:ln w="3175" cap="flat" cmpd="sng" algn="ctr">
              <a:solidFill>
                <a:srgbClr val="7030A0"/>
              </a:solidFill>
              <a:prstDash val="dash"/>
              <a:round/>
            </a:ln>
            <a:effectLst/>
          </c:spPr>
        </c:majorGridlines>
        <c:minorGridlines>
          <c:spPr>
            <a:ln w="3175">
              <a:solidFill>
                <a:schemeClr val="tx2">
                  <a:lumMod val="20000"/>
                  <a:lumOff val="80000"/>
                </a:schemeClr>
              </a:solidFill>
              <a:prstDash val="sysDash"/>
            </a:ln>
            <a:effectLst/>
          </c:spPr>
        </c:minorGridlines>
        <c:numFmt formatCode="[Blue]\+0;[Red]\-0;[Black]\ 0" sourceLinked="0"/>
        <c:majorTickMark val="out"/>
        <c:minorTickMark val="none"/>
        <c:tickLblPos val="nextTo"/>
        <c:spPr>
          <a:noFill/>
          <a:ln>
            <a:solidFill>
              <a:schemeClr val="tx2">
                <a:lumMod val="20000"/>
                <a:lumOff val="80000"/>
              </a:schemeClr>
            </a:solid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474935496"/>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Month'!$A$14</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val>
            <c:numRef>
              <c:f>[0]!ST_Month_Bunker_HCP_AVG</c:f>
              <c:numCache>
                <c:formatCode>0.0</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ext xmlns:c15="http://schemas.microsoft.com/office/drawing/2012/chart" uri="{02D57815-91ED-43cb-92C2-25804820EDAC}">
              <c15:filteredCategoryTitle>
                <c15:cat>
                  <c:multiLvlStrRef>
                    <c:extLst>
                      <c:ext uri="{02D57815-91ED-43cb-92C2-25804820EDAC}">
                        <c15:formulaRef>
                          <c15:sqref>[0]!ST_MONTH_SEL_MONTH_DAYS</c15:sqref>
                        </c15:formulaRef>
                      </c:ext>
                    </c:extLst>
                  </c:multiLvlStrRef>
                </c15:cat>
              </c15:filteredCategoryTitle>
            </c:ext>
          </c:extLst>
        </c:ser>
        <c:dLbls>
          <c:showLegendKey val="0"/>
          <c:showVal val="0"/>
          <c:showCatName val="0"/>
          <c:showSerName val="0"/>
          <c:showPercent val="0"/>
          <c:showBubbleSize val="0"/>
        </c:dLbls>
        <c:gapWidth val="41"/>
        <c:axId val="474936672"/>
        <c:axId val="474937064"/>
      </c:barChart>
      <c:catAx>
        <c:axId val="474936672"/>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474937064"/>
        <c:crosses val="autoZero"/>
        <c:auto val="1"/>
        <c:lblAlgn val="ctr"/>
        <c:lblOffset val="100"/>
        <c:noMultiLvlLbl val="0"/>
      </c:catAx>
      <c:valAx>
        <c:axId val="474937064"/>
        <c:scaling>
          <c:orientation val="minMax"/>
        </c:scaling>
        <c:delete val="0"/>
        <c:axPos val="l"/>
        <c:majorGridlines>
          <c:spPr>
            <a:ln w="3175" cap="flat" cmpd="sng" algn="ctr">
              <a:solidFill>
                <a:srgbClr val="7030A0"/>
              </a:solidFill>
              <a:prstDash val="dash"/>
              <a:round/>
            </a:ln>
            <a:effectLst/>
          </c:spPr>
        </c:majorGridlines>
        <c:minorGridlines>
          <c:spPr>
            <a:ln>
              <a:solidFill>
                <a:schemeClr val="tx2">
                  <a:lumMod val="20000"/>
                  <a:lumOff val="80000"/>
                </a:schemeClr>
              </a:solidFill>
              <a:prstDash val="sysDot"/>
            </a:ln>
            <a:effectLst/>
          </c:spPr>
        </c:minorGridlines>
        <c:numFmt formatCode="[Blue]\+0.0;[Red]\-0.0;[Black]\ 0" sourceLinked="0"/>
        <c:majorTickMark val="out"/>
        <c:minorTickMark val="in"/>
        <c:tickLblPos val="nextTo"/>
        <c:spPr>
          <a:noFill/>
          <a:ln>
            <a:no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474936672"/>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Month'!$AA$610</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cat>
            <c:strRef>
              <c:f>'_Data Status Month'!$F$611:$F$622</c:f>
              <c:strCache>
                <c:ptCount val="12"/>
                <c:pt idx="0">
                  <c:v>Jan</c:v>
                </c:pt>
                <c:pt idx="1">
                  <c:v>Feb</c:v>
                </c:pt>
                <c:pt idx="2">
                  <c:v>Mrz</c:v>
                </c:pt>
                <c:pt idx="3">
                  <c:v>Apr</c:v>
                </c:pt>
                <c:pt idx="4">
                  <c:v>Mai</c:v>
                </c:pt>
                <c:pt idx="5">
                  <c:v>Jun</c:v>
                </c:pt>
                <c:pt idx="6">
                  <c:v>Jul</c:v>
                </c:pt>
                <c:pt idx="7">
                  <c:v>Aug</c:v>
                </c:pt>
                <c:pt idx="8">
                  <c:v>Sep</c:v>
                </c:pt>
                <c:pt idx="9">
                  <c:v>Okt</c:v>
                </c:pt>
                <c:pt idx="10">
                  <c:v>Nov</c:v>
                </c:pt>
                <c:pt idx="11">
                  <c:v>Dez</c:v>
                </c:pt>
              </c:strCache>
            </c:strRef>
          </c:cat>
          <c:val>
            <c:numRef>
              <c:f>[0]!ST_YEAR_DATA_7</c:f>
              <c:numCache>
                <c:formatCode>General</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ser>
        <c:dLbls>
          <c:showLegendKey val="0"/>
          <c:showVal val="0"/>
          <c:showCatName val="0"/>
          <c:showSerName val="0"/>
          <c:showPercent val="0"/>
          <c:showBubbleSize val="0"/>
        </c:dLbls>
        <c:gapWidth val="41"/>
        <c:axId val="474937848"/>
        <c:axId val="474938240"/>
      </c:barChart>
      <c:catAx>
        <c:axId val="474937848"/>
        <c:scaling>
          <c:orientation val="minMax"/>
        </c:scaling>
        <c:delete val="0"/>
        <c:axPos val="b"/>
        <c:majorGridlines>
          <c:spPr>
            <a:ln w="9525" cap="flat" cmpd="sng" algn="ctr">
              <a:solidFill>
                <a:schemeClr val="tx2">
                  <a:lumMod val="20000"/>
                  <a:lumOff val="80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474938240"/>
        <c:crosses val="autoZero"/>
        <c:auto val="1"/>
        <c:lblAlgn val="ctr"/>
        <c:lblOffset val="100"/>
        <c:noMultiLvlLbl val="0"/>
      </c:catAx>
      <c:valAx>
        <c:axId val="474938240"/>
        <c:scaling>
          <c:orientation val="minMax"/>
        </c:scaling>
        <c:delete val="0"/>
        <c:axPos val="l"/>
        <c:majorGridlines>
          <c:spPr>
            <a:ln w="3175" cap="flat" cmpd="sng" algn="ctr">
              <a:solidFill>
                <a:srgbClr val="7030A0"/>
              </a:solidFill>
              <a:prstDash val="dash"/>
              <a:round/>
            </a:ln>
            <a:effectLst/>
          </c:spPr>
        </c:majorGridlines>
        <c:minorGridlines>
          <c:spPr>
            <a:ln w="3175">
              <a:solidFill>
                <a:schemeClr val="tx2">
                  <a:lumMod val="20000"/>
                  <a:lumOff val="80000"/>
                </a:schemeClr>
              </a:solidFill>
              <a:prstDash val="sysDash"/>
            </a:ln>
            <a:effectLst/>
          </c:spPr>
        </c:minorGridlines>
        <c:numFmt formatCode="[Blue]\+0;[Red]\-0;[Black]\ 0" sourceLinked="0"/>
        <c:majorTickMark val="out"/>
        <c:minorTickMark val="none"/>
        <c:tickLblPos val="nextTo"/>
        <c:spPr>
          <a:noFill/>
          <a:ln>
            <a:solidFill>
              <a:schemeClr val="tx2">
                <a:lumMod val="20000"/>
                <a:lumOff val="80000"/>
              </a:schemeClr>
            </a:solid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474937848"/>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Month'!$A$14</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val>
            <c:numRef>
              <c:f>[0]!ST_MONTH_Mental_HCP_AVG</c:f>
              <c:numCache>
                <c:formatCode>0.0</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extLst/>
        </c:ser>
        <c:dLbls>
          <c:showLegendKey val="0"/>
          <c:showVal val="0"/>
          <c:showCatName val="0"/>
          <c:showSerName val="0"/>
          <c:showPercent val="0"/>
          <c:showBubbleSize val="0"/>
        </c:dLbls>
        <c:gapWidth val="41"/>
        <c:axId val="475193344"/>
        <c:axId val="475193736"/>
      </c:barChart>
      <c:catAx>
        <c:axId val="475193344"/>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475193736"/>
        <c:crosses val="autoZero"/>
        <c:auto val="1"/>
        <c:lblAlgn val="ctr"/>
        <c:lblOffset val="100"/>
        <c:noMultiLvlLbl val="0"/>
      </c:catAx>
      <c:valAx>
        <c:axId val="475193736"/>
        <c:scaling>
          <c:orientation val="minMax"/>
        </c:scaling>
        <c:delete val="0"/>
        <c:axPos val="l"/>
        <c:majorGridlines>
          <c:spPr>
            <a:ln w="3175" cap="flat" cmpd="sng" algn="ctr">
              <a:solidFill>
                <a:srgbClr val="7030A0"/>
              </a:solidFill>
              <a:prstDash val="dash"/>
              <a:round/>
            </a:ln>
            <a:effectLst/>
          </c:spPr>
        </c:majorGridlines>
        <c:minorGridlines>
          <c:spPr>
            <a:ln>
              <a:solidFill>
                <a:schemeClr val="tx2">
                  <a:lumMod val="20000"/>
                  <a:lumOff val="80000"/>
                </a:schemeClr>
              </a:solidFill>
              <a:prstDash val="sysDot"/>
            </a:ln>
            <a:effectLst/>
          </c:spPr>
        </c:minorGridlines>
        <c:numFmt formatCode="[Blue]\+0;[Red]\-0;[Black]\ 0" sourceLinked="0"/>
        <c:majorTickMark val="out"/>
        <c:minorTickMark val="in"/>
        <c:tickLblPos val="nextTo"/>
        <c:spPr>
          <a:noFill/>
          <a:ln>
            <a:no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475193344"/>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Month'!$AA$610</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cat>
            <c:strRef>
              <c:f>'_Data Status Month'!$F$611:$F$622</c:f>
              <c:strCache>
                <c:ptCount val="12"/>
                <c:pt idx="0">
                  <c:v>Jan</c:v>
                </c:pt>
                <c:pt idx="1">
                  <c:v>Feb</c:v>
                </c:pt>
                <c:pt idx="2">
                  <c:v>Mrz</c:v>
                </c:pt>
                <c:pt idx="3">
                  <c:v>Apr</c:v>
                </c:pt>
                <c:pt idx="4">
                  <c:v>Mai</c:v>
                </c:pt>
                <c:pt idx="5">
                  <c:v>Jun</c:v>
                </c:pt>
                <c:pt idx="6">
                  <c:v>Jul</c:v>
                </c:pt>
                <c:pt idx="7">
                  <c:v>Aug</c:v>
                </c:pt>
                <c:pt idx="8">
                  <c:v>Sep</c:v>
                </c:pt>
                <c:pt idx="9">
                  <c:v>Okt</c:v>
                </c:pt>
                <c:pt idx="10">
                  <c:v>Nov</c:v>
                </c:pt>
                <c:pt idx="11">
                  <c:v>Dez</c:v>
                </c:pt>
              </c:strCache>
            </c:strRef>
          </c:cat>
          <c:val>
            <c:numRef>
              <c:f>[0]!ST_YEAR_DATA_8</c:f>
              <c:numCache>
                <c:formatCode>General</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ser>
        <c:dLbls>
          <c:showLegendKey val="0"/>
          <c:showVal val="0"/>
          <c:showCatName val="0"/>
          <c:showSerName val="0"/>
          <c:showPercent val="0"/>
          <c:showBubbleSize val="0"/>
        </c:dLbls>
        <c:gapWidth val="41"/>
        <c:axId val="475194520"/>
        <c:axId val="475194912"/>
      </c:barChart>
      <c:catAx>
        <c:axId val="475194520"/>
        <c:scaling>
          <c:orientation val="minMax"/>
        </c:scaling>
        <c:delete val="0"/>
        <c:axPos val="b"/>
        <c:majorGridlines>
          <c:spPr>
            <a:ln w="9525" cap="flat" cmpd="sng" algn="ctr">
              <a:solidFill>
                <a:schemeClr val="tx2">
                  <a:lumMod val="20000"/>
                  <a:lumOff val="80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475194912"/>
        <c:crosses val="autoZero"/>
        <c:auto val="1"/>
        <c:lblAlgn val="ctr"/>
        <c:lblOffset val="100"/>
        <c:noMultiLvlLbl val="0"/>
      </c:catAx>
      <c:valAx>
        <c:axId val="475194912"/>
        <c:scaling>
          <c:orientation val="minMax"/>
        </c:scaling>
        <c:delete val="0"/>
        <c:axPos val="l"/>
        <c:majorGridlines>
          <c:spPr>
            <a:ln w="3175" cap="flat" cmpd="sng" algn="ctr">
              <a:solidFill>
                <a:srgbClr val="7030A0"/>
              </a:solidFill>
              <a:prstDash val="dash"/>
              <a:round/>
            </a:ln>
            <a:effectLst/>
          </c:spPr>
        </c:majorGridlines>
        <c:minorGridlines>
          <c:spPr>
            <a:ln w="3175">
              <a:solidFill>
                <a:schemeClr val="tx2">
                  <a:lumMod val="20000"/>
                  <a:lumOff val="80000"/>
                </a:schemeClr>
              </a:solidFill>
              <a:prstDash val="sysDash"/>
            </a:ln>
            <a:effectLst/>
          </c:spPr>
        </c:minorGridlines>
        <c:numFmt formatCode="[Blue]\+0;[Red]\-0;[Black]\ 0" sourceLinked="0"/>
        <c:majorTickMark val="out"/>
        <c:minorTickMark val="none"/>
        <c:tickLblPos val="nextTo"/>
        <c:spPr>
          <a:noFill/>
          <a:ln>
            <a:solidFill>
              <a:schemeClr val="tx2">
                <a:lumMod val="20000"/>
                <a:lumOff val="80000"/>
              </a:schemeClr>
            </a:solid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475194520"/>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Month'!$A$14</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val>
            <c:numRef>
              <c:f>[0]!ST_MONTH_RoG_HCP_AVG</c:f>
              <c:numCache>
                <c:formatCode>0.0</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9">
                  <c:v>0</c:v>
                </c:pt>
              </c:numCache>
            </c:numRef>
          </c:val>
          <c:extLst/>
        </c:ser>
        <c:dLbls>
          <c:showLegendKey val="0"/>
          <c:showVal val="0"/>
          <c:showCatName val="0"/>
          <c:showSerName val="0"/>
          <c:showPercent val="0"/>
          <c:showBubbleSize val="0"/>
        </c:dLbls>
        <c:gapWidth val="41"/>
        <c:axId val="475195696"/>
        <c:axId val="475196088"/>
      </c:barChart>
      <c:catAx>
        <c:axId val="475195696"/>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475196088"/>
        <c:crosses val="autoZero"/>
        <c:auto val="1"/>
        <c:lblAlgn val="ctr"/>
        <c:lblOffset val="100"/>
        <c:noMultiLvlLbl val="0"/>
      </c:catAx>
      <c:valAx>
        <c:axId val="475196088"/>
        <c:scaling>
          <c:orientation val="minMax"/>
        </c:scaling>
        <c:delete val="0"/>
        <c:axPos val="l"/>
        <c:majorGridlines>
          <c:spPr>
            <a:ln w="3175" cap="flat" cmpd="sng" algn="ctr">
              <a:solidFill>
                <a:srgbClr val="7030A0"/>
              </a:solidFill>
              <a:prstDash val="dash"/>
              <a:round/>
            </a:ln>
            <a:effectLst/>
          </c:spPr>
        </c:majorGridlines>
        <c:minorGridlines>
          <c:spPr>
            <a:ln>
              <a:solidFill>
                <a:schemeClr val="tx2">
                  <a:lumMod val="20000"/>
                  <a:lumOff val="80000"/>
                </a:schemeClr>
              </a:solidFill>
              <a:prstDash val="sysDot"/>
            </a:ln>
            <a:effectLst/>
          </c:spPr>
        </c:minorGridlines>
        <c:numFmt formatCode="[Blue]\+0;[Red]\-0;[Black]\ 0" sourceLinked="0"/>
        <c:majorTickMark val="out"/>
        <c:minorTickMark val="in"/>
        <c:tickLblPos val="nextTo"/>
        <c:spPr>
          <a:noFill/>
          <a:ln>
            <a:noFill/>
          </a:ln>
          <a:effectLst/>
        </c:spPr>
        <c:txPr>
          <a:bodyPr rot="-60000000" spcFirstLastPara="1" vertOverflow="ellipsis" vert="horz" wrap="square" anchor="ctr" anchorCtr="1"/>
          <a:lstStyle/>
          <a:p>
            <a:pPr>
              <a:defRPr sz="1000" b="0" i="0" u="none" strike="noStrike" kern="1200" baseline="0">
                <a:solidFill>
                  <a:srgbClr val="FF0000"/>
                </a:solidFill>
                <a:latin typeface="+mn-lt"/>
                <a:ea typeface="+mn-ea"/>
                <a:cs typeface="+mn-cs"/>
              </a:defRPr>
            </a:pPr>
            <a:endParaRPr lang="de-DE"/>
          </a:p>
        </c:txPr>
        <c:crossAx val="475195696"/>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'_Data Status Month'!$AA$610</c:f>
              <c:strCache>
                <c:ptCount val="1"/>
                <c:pt idx="0">
                  <c:v>Putting</c:v>
                </c:pt>
              </c:strCache>
            </c:strRef>
          </c:tx>
          <c:spPr>
            <a:gradFill>
              <a:gsLst>
                <a:gs pos="0">
                  <a:schemeClr val="accent1">
                    <a:lumMod val="40000"/>
                    <a:lumOff val="60000"/>
                  </a:schemeClr>
                </a:gs>
                <a:gs pos="46000">
                  <a:schemeClr val="accent1">
                    <a:lumMod val="95000"/>
                    <a:lumOff val="5000"/>
                  </a:schemeClr>
                </a:gs>
                <a:gs pos="100000">
                  <a:schemeClr val="accent1">
                    <a:lumMod val="60000"/>
                  </a:schemeClr>
                </a:gs>
              </a:gsLst>
              <a:path path="circle">
                <a:fillToRect l="50000" t="130000" r="50000" b="-30000"/>
              </a:path>
            </a:gradFill>
            <a:ln>
              <a:noFill/>
            </a:ln>
            <a:effectLst>
              <a:outerShdw blurRad="76200" dir="18900000" sy="23000" kx="-1200000" algn="bl" rotWithShape="0">
                <a:prstClr val="black">
                  <a:alpha val="20000"/>
                </a:prstClr>
              </a:outerShdw>
            </a:effectLst>
            <a:scene3d>
              <a:camera prst="orthographicFront"/>
              <a:lightRig rig="threePt" dir="t"/>
            </a:scene3d>
            <a:sp3d>
              <a:bevelT/>
            </a:sp3d>
          </c:spPr>
          <c:invertIfNegative val="0"/>
          <c:trendline>
            <c:spPr>
              <a:ln w="19050" cap="rnd">
                <a:solidFill>
                  <a:schemeClr val="accent1"/>
                </a:solidFill>
                <a:prstDash val="sysDash"/>
              </a:ln>
              <a:effectLst/>
            </c:spPr>
            <c:trendlineType val="linear"/>
            <c:dispRSqr val="0"/>
            <c:dispEq val="0"/>
          </c:trendline>
          <c:cat>
            <c:strRef>
              <c:f>'_Data Status Month'!$F$611:$F$622</c:f>
              <c:strCache>
                <c:ptCount val="12"/>
                <c:pt idx="0">
                  <c:v>Jan</c:v>
                </c:pt>
                <c:pt idx="1">
                  <c:v>Feb</c:v>
                </c:pt>
                <c:pt idx="2">
                  <c:v>Mrz</c:v>
                </c:pt>
                <c:pt idx="3">
                  <c:v>Apr</c:v>
                </c:pt>
                <c:pt idx="4">
                  <c:v>Mai</c:v>
                </c:pt>
                <c:pt idx="5">
                  <c:v>Jun</c:v>
                </c:pt>
                <c:pt idx="6">
                  <c:v>Jul</c:v>
                </c:pt>
                <c:pt idx="7">
                  <c:v>Aug</c:v>
                </c:pt>
                <c:pt idx="8">
                  <c:v>Sep</c:v>
                </c:pt>
                <c:pt idx="9">
                  <c:v>Okt</c:v>
                </c:pt>
                <c:pt idx="10">
                  <c:v>Nov</c:v>
                </c:pt>
                <c:pt idx="11">
                  <c:v>Dez</c:v>
                </c:pt>
              </c:strCache>
            </c:strRef>
          </c:cat>
          <c:val>
            <c:numRef>
              <c:f>[0]!ST_YEAR_DATA_9</c:f>
              <c:numCache>
                <c:formatCode>General</c:formatCode>
                <c:ptCount val="12"/>
                <c:pt idx="0">
                  <c:v>#N/A</c:v>
                </c:pt>
                <c:pt idx="1">
                  <c:v>#N/A</c:v>
                </c:pt>
                <c:pt idx="2">
                  <c:v>#N/A</c:v>
                </c:pt>
                <c:pt idx="3">
                  <c:v>#N/A</c:v>
                </c:pt>
                <c:pt idx="4">
                  <c:v>#N/A</c:v>
                </c:pt>
                <c:pt idx="5">
                  <c:v>#N/A</c:v>
                </c:pt>
                <c:pt idx="6">
                  <c:v>#N/A</c:v>
                </c:pt>
                <c:pt idx="7">
                  <c:v>#N/A</c:v>
                </c:pt>
                <c:pt idx="8">
                  <c:v>#N/A</c:v>
                </c:pt>
                <c:pt idx="9">
                  <c:v>#N/A</c:v>
                </c:pt>
                <c:pt idx="10">
                  <c:v>#N/A</c:v>
                </c:pt>
                <c:pt idx="11">
                  <c:v>#N/A</c:v>
                </c:pt>
              </c:numCache>
            </c:numRef>
          </c:val>
        </c:ser>
        <c:dLbls>
          <c:showLegendKey val="0"/>
          <c:showVal val="0"/>
          <c:showCatName val="0"/>
          <c:showSerName val="0"/>
          <c:showPercent val="0"/>
          <c:showBubbleSize val="0"/>
        </c:dLbls>
        <c:gapWidth val="41"/>
        <c:axId val="475196872"/>
        <c:axId val="475197264"/>
      </c:barChart>
      <c:catAx>
        <c:axId val="475196872"/>
        <c:scaling>
          <c:orientation val="minMax"/>
        </c:scaling>
        <c:delete val="0"/>
        <c:axPos val="b"/>
        <c:majorGridlines>
          <c:spPr>
            <a:ln w="9525" cap="flat" cmpd="sng" algn="ctr">
              <a:solidFill>
                <a:schemeClr val="tx2">
                  <a:lumMod val="20000"/>
                  <a:lumOff val="80000"/>
                </a:schemeClr>
              </a:solidFill>
              <a:round/>
            </a:ln>
            <a:effectLst/>
          </c:spPr>
        </c:majorGridlines>
        <c:numFmt formatCode="General" sourceLinked="1"/>
        <c:majorTickMark val="none"/>
        <c:minorTickMark val="none"/>
        <c:tickLblPos val="low"/>
        <c:spPr>
          <a:noFill/>
          <a:ln>
            <a:noFill/>
          </a:ln>
          <a:effectLst/>
        </c:spPr>
        <c:txPr>
          <a:bodyPr rot="-60000000" spcFirstLastPara="1" vertOverflow="ellipsis" vert="horz" wrap="square" anchor="ctr" anchorCtr="1"/>
          <a:lstStyle/>
          <a:p>
            <a:pPr>
              <a:defRPr sz="1000" b="1" i="0" u="none" strike="noStrike" kern="1200" baseline="0">
                <a:solidFill>
                  <a:srgbClr val="0070C0"/>
                </a:solidFill>
                <a:effectLst/>
                <a:latin typeface="+mn-lt"/>
                <a:ea typeface="+mn-ea"/>
                <a:cs typeface="+mn-cs"/>
              </a:defRPr>
            </a:pPr>
            <a:endParaRPr lang="de-DE"/>
          </a:p>
        </c:txPr>
        <c:crossAx val="475197264"/>
        <c:crosses val="autoZero"/>
        <c:auto val="1"/>
        <c:lblAlgn val="ctr"/>
        <c:lblOffset val="100"/>
        <c:noMultiLvlLbl val="0"/>
      </c:catAx>
      <c:valAx>
        <c:axId val="475197264"/>
        <c:scaling>
          <c:orientation val="minMax"/>
        </c:scaling>
        <c:delete val="0"/>
        <c:axPos val="l"/>
        <c:majorGridlines>
          <c:spPr>
            <a:ln w="3175" cap="flat" cmpd="sng" algn="ctr">
              <a:solidFill>
                <a:srgbClr val="7030A0"/>
              </a:solidFill>
              <a:prstDash val="dash"/>
              <a:round/>
            </a:ln>
            <a:effectLst/>
          </c:spPr>
        </c:majorGridlines>
        <c:minorGridlines>
          <c:spPr>
            <a:ln w="3175">
              <a:solidFill>
                <a:schemeClr val="tx2">
                  <a:lumMod val="20000"/>
                  <a:lumOff val="80000"/>
                </a:schemeClr>
              </a:solidFill>
              <a:prstDash val="sysDash"/>
            </a:ln>
            <a:effectLst/>
          </c:spPr>
        </c:minorGridlines>
        <c:numFmt formatCode="[Blue]\+0;[Red]\-0;[Black]\ 0" sourceLinked="0"/>
        <c:majorTickMark val="out"/>
        <c:minorTickMark val="none"/>
        <c:tickLblPos val="nextTo"/>
        <c:spPr>
          <a:noFill/>
          <a:ln>
            <a:solidFill>
              <a:schemeClr val="tx2">
                <a:lumMod val="20000"/>
                <a:lumOff val="80000"/>
              </a:schemeClr>
            </a:solidFill>
          </a:ln>
          <a:effectLst/>
        </c:spPr>
        <c:txPr>
          <a:bodyPr rot="-60000000" spcFirstLastPara="1" vertOverflow="ellipsis" vert="horz" wrap="square" anchor="ctr" anchorCtr="1"/>
          <a:lstStyle/>
          <a:p>
            <a:pPr>
              <a:defRPr sz="1000" b="0" i="0" u="none" strike="noStrike" kern="1200" baseline="0">
                <a:solidFill>
                  <a:srgbClr val="002060"/>
                </a:solidFill>
                <a:latin typeface="+mn-lt"/>
                <a:ea typeface="+mn-ea"/>
                <a:cs typeface="+mn-cs"/>
              </a:defRPr>
            </a:pPr>
            <a:endParaRPr lang="de-DE"/>
          </a:p>
        </c:txPr>
        <c:crossAx val="475196872"/>
        <c:crosses val="autoZero"/>
        <c:crossBetween val="between"/>
      </c:valAx>
      <c:spPr>
        <a:noFill/>
        <a:ln>
          <a:noFill/>
        </a:ln>
        <a:effectLst/>
      </c:spPr>
    </c:plotArea>
    <c:plotVisOnly val="1"/>
    <c:dispBlanksAs val="gap"/>
    <c:showDLblsOverMax val="0"/>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0000000000000062" r="0.70000000000000062" t="0.78740157499999996" header="0.30000000000000032" footer="0.3000000000000003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10.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11.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12.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13.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14.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15.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16.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17.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18.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19.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20.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2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28.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29.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30.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31.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32.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33.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34.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35.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36.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37.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38.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39.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40.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41.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42.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43.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44.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8" Type="http://schemas.openxmlformats.org/officeDocument/2006/relationships/image" Target="../media/image15.png"/><Relationship Id="rId3" Type="http://schemas.openxmlformats.org/officeDocument/2006/relationships/image" Target="../media/image10.png"/><Relationship Id="rId7" Type="http://schemas.openxmlformats.org/officeDocument/2006/relationships/image" Target="../media/image14.png"/><Relationship Id="rId2" Type="http://schemas.openxmlformats.org/officeDocument/2006/relationships/image" Target="../media/image9.png"/><Relationship Id="rId1" Type="http://schemas.openxmlformats.org/officeDocument/2006/relationships/image" Target="../media/image8.png"/><Relationship Id="rId6" Type="http://schemas.openxmlformats.org/officeDocument/2006/relationships/image" Target="../media/image13.png"/><Relationship Id="rId5" Type="http://schemas.openxmlformats.org/officeDocument/2006/relationships/image" Target="../media/image12.png"/><Relationship Id="rId10" Type="http://schemas.openxmlformats.org/officeDocument/2006/relationships/image" Target="../media/image17.png"/><Relationship Id="rId4" Type="http://schemas.openxmlformats.org/officeDocument/2006/relationships/image" Target="../media/image11.png"/><Relationship Id="rId9" Type="http://schemas.openxmlformats.org/officeDocument/2006/relationships/image" Target="../media/image16.png"/></Relationships>
</file>

<file path=xl/drawings/_rels/drawing3.xml.rels><?xml version="1.0" encoding="UTF-8" standalone="yes"?>
<Relationships xmlns="http://schemas.openxmlformats.org/package/2006/relationships"><Relationship Id="rId8" Type="http://schemas.openxmlformats.org/officeDocument/2006/relationships/chart" Target="../charts/chart6.xml"/><Relationship Id="rId13" Type="http://schemas.openxmlformats.org/officeDocument/2006/relationships/chart" Target="../charts/chart11.xml"/><Relationship Id="rId18" Type="http://schemas.openxmlformats.org/officeDocument/2006/relationships/chart" Target="../charts/chart16.xml"/><Relationship Id="rId26" Type="http://schemas.openxmlformats.org/officeDocument/2006/relationships/image" Target="../media/image11.png"/><Relationship Id="rId3" Type="http://schemas.openxmlformats.org/officeDocument/2006/relationships/chart" Target="../charts/chart1.xml"/><Relationship Id="rId21" Type="http://schemas.openxmlformats.org/officeDocument/2006/relationships/chart" Target="../charts/chart19.xml"/><Relationship Id="rId7" Type="http://schemas.openxmlformats.org/officeDocument/2006/relationships/chart" Target="../charts/chart5.xml"/><Relationship Id="rId12" Type="http://schemas.openxmlformats.org/officeDocument/2006/relationships/chart" Target="../charts/chart10.xml"/><Relationship Id="rId17" Type="http://schemas.openxmlformats.org/officeDocument/2006/relationships/chart" Target="../charts/chart15.xml"/><Relationship Id="rId25" Type="http://schemas.openxmlformats.org/officeDocument/2006/relationships/image" Target="../media/image21.png"/><Relationship Id="rId2" Type="http://schemas.openxmlformats.org/officeDocument/2006/relationships/image" Target="../media/image19.png"/><Relationship Id="rId16" Type="http://schemas.openxmlformats.org/officeDocument/2006/relationships/chart" Target="../charts/chart14.xml"/><Relationship Id="rId20" Type="http://schemas.openxmlformats.org/officeDocument/2006/relationships/chart" Target="../charts/chart18.xml"/><Relationship Id="rId1" Type="http://schemas.openxmlformats.org/officeDocument/2006/relationships/image" Target="../media/image18.png"/><Relationship Id="rId6" Type="http://schemas.openxmlformats.org/officeDocument/2006/relationships/chart" Target="../charts/chart4.xml"/><Relationship Id="rId11" Type="http://schemas.openxmlformats.org/officeDocument/2006/relationships/chart" Target="../charts/chart9.xml"/><Relationship Id="rId24" Type="http://schemas.openxmlformats.org/officeDocument/2006/relationships/image" Target="../media/image20.png"/><Relationship Id="rId5" Type="http://schemas.openxmlformats.org/officeDocument/2006/relationships/chart" Target="../charts/chart3.xml"/><Relationship Id="rId15" Type="http://schemas.openxmlformats.org/officeDocument/2006/relationships/chart" Target="../charts/chart13.xml"/><Relationship Id="rId23" Type="http://schemas.openxmlformats.org/officeDocument/2006/relationships/image" Target="../media/image8.png"/><Relationship Id="rId10" Type="http://schemas.openxmlformats.org/officeDocument/2006/relationships/chart" Target="../charts/chart8.xml"/><Relationship Id="rId19" Type="http://schemas.openxmlformats.org/officeDocument/2006/relationships/chart" Target="../charts/chart17.xml"/><Relationship Id="rId4" Type="http://schemas.openxmlformats.org/officeDocument/2006/relationships/chart" Target="../charts/chart2.xml"/><Relationship Id="rId9" Type="http://schemas.openxmlformats.org/officeDocument/2006/relationships/chart" Target="../charts/chart7.xml"/><Relationship Id="rId14" Type="http://schemas.openxmlformats.org/officeDocument/2006/relationships/chart" Target="../charts/chart12.xml"/><Relationship Id="rId22" Type="http://schemas.openxmlformats.org/officeDocument/2006/relationships/chart" Target="../charts/chart20.xml"/></Relationships>
</file>

<file path=xl/drawings/_rels/drawing4.xml.rels><?xml version="1.0" encoding="UTF-8" standalone="yes"?>
<Relationships xmlns="http://schemas.openxmlformats.org/package/2006/relationships"><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1" Type="http://schemas.openxmlformats.org/officeDocument/2006/relationships/image" Target="../media/image20.png"/></Relationships>
</file>

<file path=xl/drawings/_rels/drawing6.xml.rels><?xml version="1.0" encoding="UTF-8" standalone="yes"?>
<Relationships xmlns="http://schemas.openxmlformats.org/package/2006/relationships"><Relationship Id="rId3" Type="http://schemas.openxmlformats.org/officeDocument/2006/relationships/chart" Target="../charts/chart23.xml"/><Relationship Id="rId2" Type="http://schemas.openxmlformats.org/officeDocument/2006/relationships/chart" Target="../charts/chart22.xml"/><Relationship Id="rId1" Type="http://schemas.openxmlformats.org/officeDocument/2006/relationships/chart" Target="../charts/chart21.xml"/><Relationship Id="rId4" Type="http://schemas.openxmlformats.org/officeDocument/2006/relationships/chart" Target="../charts/chart24.xml"/></Relationships>
</file>

<file path=xl/drawings/_rels/drawing8.xml.rels><?xml version="1.0" encoding="UTF-8" standalone="yes"?>
<Relationships xmlns="http://schemas.openxmlformats.org/package/2006/relationships"><Relationship Id="rId8" Type="http://schemas.openxmlformats.org/officeDocument/2006/relationships/chart" Target="../charts/chart31.xml"/><Relationship Id="rId13" Type="http://schemas.openxmlformats.org/officeDocument/2006/relationships/chart" Target="../charts/chart36.xml"/><Relationship Id="rId18" Type="http://schemas.openxmlformats.org/officeDocument/2006/relationships/chart" Target="../charts/chart41.xml"/><Relationship Id="rId3" Type="http://schemas.openxmlformats.org/officeDocument/2006/relationships/chart" Target="../charts/chart26.xml"/><Relationship Id="rId21" Type="http://schemas.openxmlformats.org/officeDocument/2006/relationships/chart" Target="../charts/chart44.xml"/><Relationship Id="rId7" Type="http://schemas.openxmlformats.org/officeDocument/2006/relationships/chart" Target="../charts/chart30.xml"/><Relationship Id="rId12" Type="http://schemas.openxmlformats.org/officeDocument/2006/relationships/chart" Target="../charts/chart35.xml"/><Relationship Id="rId17" Type="http://schemas.openxmlformats.org/officeDocument/2006/relationships/chart" Target="../charts/chart40.xml"/><Relationship Id="rId2" Type="http://schemas.openxmlformats.org/officeDocument/2006/relationships/chart" Target="../charts/chart25.xml"/><Relationship Id="rId16" Type="http://schemas.openxmlformats.org/officeDocument/2006/relationships/chart" Target="../charts/chart39.xml"/><Relationship Id="rId20" Type="http://schemas.openxmlformats.org/officeDocument/2006/relationships/chart" Target="../charts/chart43.xml"/><Relationship Id="rId1" Type="http://schemas.openxmlformats.org/officeDocument/2006/relationships/image" Target="../media/image8.png"/><Relationship Id="rId6" Type="http://schemas.openxmlformats.org/officeDocument/2006/relationships/chart" Target="../charts/chart29.xml"/><Relationship Id="rId11" Type="http://schemas.openxmlformats.org/officeDocument/2006/relationships/chart" Target="../charts/chart34.xml"/><Relationship Id="rId5" Type="http://schemas.openxmlformats.org/officeDocument/2006/relationships/chart" Target="../charts/chart28.xml"/><Relationship Id="rId15" Type="http://schemas.openxmlformats.org/officeDocument/2006/relationships/chart" Target="../charts/chart38.xml"/><Relationship Id="rId10" Type="http://schemas.openxmlformats.org/officeDocument/2006/relationships/chart" Target="../charts/chart33.xml"/><Relationship Id="rId19" Type="http://schemas.openxmlformats.org/officeDocument/2006/relationships/chart" Target="../charts/chart42.xml"/><Relationship Id="rId4" Type="http://schemas.openxmlformats.org/officeDocument/2006/relationships/chart" Target="../charts/chart27.xml"/><Relationship Id="rId9" Type="http://schemas.openxmlformats.org/officeDocument/2006/relationships/chart" Target="../charts/chart32.xml"/><Relationship Id="rId14" Type="http://schemas.openxmlformats.org/officeDocument/2006/relationships/chart" Target="../charts/chart37.xml"/></Relationships>
</file>

<file path=xl/drawings/_rels/drawing9.xml.rels><?xml version="1.0" encoding="UTF-8" standalone="yes"?>
<Relationships xmlns="http://schemas.openxmlformats.org/package/2006/relationships"><Relationship Id="rId26" Type="http://schemas.openxmlformats.org/officeDocument/2006/relationships/image" Target="../media/image47.png"/><Relationship Id="rId117" Type="http://schemas.openxmlformats.org/officeDocument/2006/relationships/image" Target="../media/image136.png"/><Relationship Id="rId21" Type="http://schemas.openxmlformats.org/officeDocument/2006/relationships/image" Target="../media/image42.png"/><Relationship Id="rId42" Type="http://schemas.openxmlformats.org/officeDocument/2006/relationships/image" Target="../media/image63.png"/><Relationship Id="rId47" Type="http://schemas.openxmlformats.org/officeDocument/2006/relationships/image" Target="../media/image17.png"/><Relationship Id="rId63" Type="http://schemas.openxmlformats.org/officeDocument/2006/relationships/image" Target="../media/image82.png"/><Relationship Id="rId68" Type="http://schemas.openxmlformats.org/officeDocument/2006/relationships/image" Target="../media/image87.png"/><Relationship Id="rId84" Type="http://schemas.openxmlformats.org/officeDocument/2006/relationships/image" Target="../media/image103.png"/><Relationship Id="rId89" Type="http://schemas.openxmlformats.org/officeDocument/2006/relationships/image" Target="../media/image108.png"/><Relationship Id="rId112" Type="http://schemas.openxmlformats.org/officeDocument/2006/relationships/image" Target="../media/image131.png"/><Relationship Id="rId133" Type="http://schemas.openxmlformats.org/officeDocument/2006/relationships/image" Target="../media/image152.png"/><Relationship Id="rId138" Type="http://schemas.openxmlformats.org/officeDocument/2006/relationships/image" Target="../media/image157.png"/><Relationship Id="rId154" Type="http://schemas.openxmlformats.org/officeDocument/2006/relationships/image" Target="../media/image173.png"/><Relationship Id="rId159" Type="http://schemas.openxmlformats.org/officeDocument/2006/relationships/image" Target="../media/image178.png"/><Relationship Id="rId175" Type="http://schemas.openxmlformats.org/officeDocument/2006/relationships/image" Target="../media/image194.png"/><Relationship Id="rId170" Type="http://schemas.openxmlformats.org/officeDocument/2006/relationships/image" Target="../media/image189.png"/><Relationship Id="rId16" Type="http://schemas.openxmlformats.org/officeDocument/2006/relationships/image" Target="../media/image37.png"/><Relationship Id="rId107" Type="http://schemas.openxmlformats.org/officeDocument/2006/relationships/image" Target="../media/image126.png"/><Relationship Id="rId11" Type="http://schemas.openxmlformats.org/officeDocument/2006/relationships/image" Target="../media/image32.png"/><Relationship Id="rId32" Type="http://schemas.openxmlformats.org/officeDocument/2006/relationships/image" Target="../media/image53.png"/><Relationship Id="rId37" Type="http://schemas.openxmlformats.org/officeDocument/2006/relationships/image" Target="../media/image58.png"/><Relationship Id="rId53" Type="http://schemas.openxmlformats.org/officeDocument/2006/relationships/image" Target="../media/image72.png"/><Relationship Id="rId58" Type="http://schemas.openxmlformats.org/officeDocument/2006/relationships/image" Target="../media/image77.png"/><Relationship Id="rId74" Type="http://schemas.openxmlformats.org/officeDocument/2006/relationships/image" Target="../media/image93.png"/><Relationship Id="rId79" Type="http://schemas.openxmlformats.org/officeDocument/2006/relationships/image" Target="../media/image98.png"/><Relationship Id="rId102" Type="http://schemas.openxmlformats.org/officeDocument/2006/relationships/image" Target="../media/image121.png"/><Relationship Id="rId123" Type="http://schemas.openxmlformats.org/officeDocument/2006/relationships/image" Target="../media/image142.png"/><Relationship Id="rId128" Type="http://schemas.openxmlformats.org/officeDocument/2006/relationships/image" Target="../media/image147.png"/><Relationship Id="rId144" Type="http://schemas.openxmlformats.org/officeDocument/2006/relationships/image" Target="../media/image163.png"/><Relationship Id="rId149" Type="http://schemas.openxmlformats.org/officeDocument/2006/relationships/image" Target="../media/image168.png"/><Relationship Id="rId5" Type="http://schemas.openxmlformats.org/officeDocument/2006/relationships/image" Target="../media/image26.png"/><Relationship Id="rId90" Type="http://schemas.openxmlformats.org/officeDocument/2006/relationships/image" Target="../media/image109.png"/><Relationship Id="rId95" Type="http://schemas.openxmlformats.org/officeDocument/2006/relationships/image" Target="../media/image114.png"/><Relationship Id="rId160" Type="http://schemas.openxmlformats.org/officeDocument/2006/relationships/image" Target="../media/image179.png"/><Relationship Id="rId165" Type="http://schemas.openxmlformats.org/officeDocument/2006/relationships/image" Target="../media/image184.png"/><Relationship Id="rId22" Type="http://schemas.openxmlformats.org/officeDocument/2006/relationships/image" Target="../media/image43.png"/><Relationship Id="rId27" Type="http://schemas.openxmlformats.org/officeDocument/2006/relationships/image" Target="../media/image48.png"/><Relationship Id="rId43" Type="http://schemas.openxmlformats.org/officeDocument/2006/relationships/image" Target="../media/image64.png"/><Relationship Id="rId48" Type="http://schemas.openxmlformats.org/officeDocument/2006/relationships/image" Target="../media/image68.png"/><Relationship Id="rId64" Type="http://schemas.openxmlformats.org/officeDocument/2006/relationships/image" Target="../media/image83.png"/><Relationship Id="rId69" Type="http://schemas.openxmlformats.org/officeDocument/2006/relationships/image" Target="../media/image88.png"/><Relationship Id="rId113" Type="http://schemas.openxmlformats.org/officeDocument/2006/relationships/image" Target="../media/image132.png"/><Relationship Id="rId118" Type="http://schemas.openxmlformats.org/officeDocument/2006/relationships/image" Target="../media/image137.png"/><Relationship Id="rId134" Type="http://schemas.openxmlformats.org/officeDocument/2006/relationships/image" Target="../media/image153.png"/><Relationship Id="rId139" Type="http://schemas.openxmlformats.org/officeDocument/2006/relationships/image" Target="../media/image158.png"/><Relationship Id="rId80" Type="http://schemas.openxmlformats.org/officeDocument/2006/relationships/image" Target="../media/image99.png"/><Relationship Id="rId85" Type="http://schemas.openxmlformats.org/officeDocument/2006/relationships/image" Target="../media/image104.png"/><Relationship Id="rId150" Type="http://schemas.openxmlformats.org/officeDocument/2006/relationships/image" Target="../media/image169.png"/><Relationship Id="rId155" Type="http://schemas.openxmlformats.org/officeDocument/2006/relationships/image" Target="../media/image174.png"/><Relationship Id="rId171" Type="http://schemas.openxmlformats.org/officeDocument/2006/relationships/image" Target="../media/image190.png"/><Relationship Id="rId176" Type="http://schemas.openxmlformats.org/officeDocument/2006/relationships/image" Target="../media/image195.png"/><Relationship Id="rId12" Type="http://schemas.openxmlformats.org/officeDocument/2006/relationships/image" Target="../media/image33.png"/><Relationship Id="rId17" Type="http://schemas.openxmlformats.org/officeDocument/2006/relationships/image" Target="../media/image38.png"/><Relationship Id="rId33" Type="http://schemas.openxmlformats.org/officeDocument/2006/relationships/image" Target="../media/image54.png"/><Relationship Id="rId38" Type="http://schemas.openxmlformats.org/officeDocument/2006/relationships/image" Target="../media/image59.png"/><Relationship Id="rId59" Type="http://schemas.openxmlformats.org/officeDocument/2006/relationships/image" Target="../media/image78.png"/><Relationship Id="rId103" Type="http://schemas.openxmlformats.org/officeDocument/2006/relationships/image" Target="../media/image122.png"/><Relationship Id="rId108" Type="http://schemas.openxmlformats.org/officeDocument/2006/relationships/image" Target="../media/image127.png"/><Relationship Id="rId124" Type="http://schemas.openxmlformats.org/officeDocument/2006/relationships/image" Target="../media/image143.png"/><Relationship Id="rId129" Type="http://schemas.openxmlformats.org/officeDocument/2006/relationships/image" Target="../media/image148.png"/><Relationship Id="rId54" Type="http://schemas.openxmlformats.org/officeDocument/2006/relationships/image" Target="../media/image73.png"/><Relationship Id="rId70" Type="http://schemas.openxmlformats.org/officeDocument/2006/relationships/image" Target="../media/image89.png"/><Relationship Id="rId75" Type="http://schemas.openxmlformats.org/officeDocument/2006/relationships/image" Target="../media/image94.png"/><Relationship Id="rId91" Type="http://schemas.openxmlformats.org/officeDocument/2006/relationships/image" Target="../media/image110.png"/><Relationship Id="rId96" Type="http://schemas.openxmlformats.org/officeDocument/2006/relationships/image" Target="../media/image115.png"/><Relationship Id="rId140" Type="http://schemas.openxmlformats.org/officeDocument/2006/relationships/image" Target="../media/image159.png"/><Relationship Id="rId145" Type="http://schemas.openxmlformats.org/officeDocument/2006/relationships/image" Target="../media/image164.png"/><Relationship Id="rId161" Type="http://schemas.openxmlformats.org/officeDocument/2006/relationships/image" Target="../media/image180.png"/><Relationship Id="rId166" Type="http://schemas.openxmlformats.org/officeDocument/2006/relationships/image" Target="../media/image185.png"/><Relationship Id="rId1" Type="http://schemas.openxmlformats.org/officeDocument/2006/relationships/image" Target="../media/image22.png"/><Relationship Id="rId6" Type="http://schemas.openxmlformats.org/officeDocument/2006/relationships/image" Target="../media/image27.png"/><Relationship Id="rId23" Type="http://schemas.openxmlformats.org/officeDocument/2006/relationships/image" Target="../media/image44.png"/><Relationship Id="rId28" Type="http://schemas.openxmlformats.org/officeDocument/2006/relationships/image" Target="../media/image49.png"/><Relationship Id="rId49" Type="http://schemas.openxmlformats.org/officeDocument/2006/relationships/image" Target="../media/image69.png"/><Relationship Id="rId114" Type="http://schemas.openxmlformats.org/officeDocument/2006/relationships/image" Target="../media/image133.png"/><Relationship Id="rId119" Type="http://schemas.openxmlformats.org/officeDocument/2006/relationships/image" Target="../media/image138.png"/><Relationship Id="rId10" Type="http://schemas.openxmlformats.org/officeDocument/2006/relationships/image" Target="../media/image31.png"/><Relationship Id="rId31" Type="http://schemas.openxmlformats.org/officeDocument/2006/relationships/image" Target="../media/image52.png"/><Relationship Id="rId44" Type="http://schemas.openxmlformats.org/officeDocument/2006/relationships/image" Target="../media/image65.png"/><Relationship Id="rId52" Type="http://schemas.openxmlformats.org/officeDocument/2006/relationships/image" Target="../media/image71.png"/><Relationship Id="rId60" Type="http://schemas.openxmlformats.org/officeDocument/2006/relationships/image" Target="../media/image79.png"/><Relationship Id="rId65" Type="http://schemas.openxmlformats.org/officeDocument/2006/relationships/image" Target="../media/image84.png"/><Relationship Id="rId73" Type="http://schemas.openxmlformats.org/officeDocument/2006/relationships/image" Target="../media/image92.png"/><Relationship Id="rId78" Type="http://schemas.openxmlformats.org/officeDocument/2006/relationships/image" Target="../media/image97.png"/><Relationship Id="rId81" Type="http://schemas.openxmlformats.org/officeDocument/2006/relationships/image" Target="../media/image100.png"/><Relationship Id="rId86" Type="http://schemas.openxmlformats.org/officeDocument/2006/relationships/image" Target="../media/image105.png"/><Relationship Id="rId94" Type="http://schemas.openxmlformats.org/officeDocument/2006/relationships/image" Target="../media/image113.png"/><Relationship Id="rId99" Type="http://schemas.openxmlformats.org/officeDocument/2006/relationships/image" Target="../media/image118.png"/><Relationship Id="rId101" Type="http://schemas.openxmlformats.org/officeDocument/2006/relationships/image" Target="../media/image120.png"/><Relationship Id="rId122" Type="http://schemas.openxmlformats.org/officeDocument/2006/relationships/image" Target="../media/image141.png"/><Relationship Id="rId130" Type="http://schemas.openxmlformats.org/officeDocument/2006/relationships/image" Target="../media/image149.png"/><Relationship Id="rId135" Type="http://schemas.openxmlformats.org/officeDocument/2006/relationships/image" Target="../media/image154.png"/><Relationship Id="rId143" Type="http://schemas.openxmlformats.org/officeDocument/2006/relationships/image" Target="../media/image162.png"/><Relationship Id="rId148" Type="http://schemas.openxmlformats.org/officeDocument/2006/relationships/image" Target="../media/image167.png"/><Relationship Id="rId151" Type="http://schemas.openxmlformats.org/officeDocument/2006/relationships/image" Target="../media/image170.png"/><Relationship Id="rId156" Type="http://schemas.openxmlformats.org/officeDocument/2006/relationships/image" Target="../media/image175.png"/><Relationship Id="rId164" Type="http://schemas.openxmlformats.org/officeDocument/2006/relationships/image" Target="../media/image183.png"/><Relationship Id="rId169" Type="http://schemas.openxmlformats.org/officeDocument/2006/relationships/image" Target="../media/image188.png"/><Relationship Id="rId177" Type="http://schemas.openxmlformats.org/officeDocument/2006/relationships/image" Target="../media/image196.png"/><Relationship Id="rId4" Type="http://schemas.openxmlformats.org/officeDocument/2006/relationships/image" Target="../media/image25.png"/><Relationship Id="rId9" Type="http://schemas.openxmlformats.org/officeDocument/2006/relationships/image" Target="../media/image30.png"/><Relationship Id="rId172" Type="http://schemas.openxmlformats.org/officeDocument/2006/relationships/image" Target="../media/image191.png"/><Relationship Id="rId13" Type="http://schemas.openxmlformats.org/officeDocument/2006/relationships/image" Target="../media/image34.png"/><Relationship Id="rId18" Type="http://schemas.openxmlformats.org/officeDocument/2006/relationships/image" Target="../media/image39.png"/><Relationship Id="rId39" Type="http://schemas.openxmlformats.org/officeDocument/2006/relationships/image" Target="../media/image60.png"/><Relationship Id="rId109" Type="http://schemas.openxmlformats.org/officeDocument/2006/relationships/image" Target="../media/image128.png"/><Relationship Id="rId34" Type="http://schemas.openxmlformats.org/officeDocument/2006/relationships/image" Target="../media/image55.png"/><Relationship Id="rId50" Type="http://schemas.openxmlformats.org/officeDocument/2006/relationships/image" Target="../media/image16.png"/><Relationship Id="rId55" Type="http://schemas.openxmlformats.org/officeDocument/2006/relationships/image" Target="../media/image74.png"/><Relationship Id="rId76" Type="http://schemas.openxmlformats.org/officeDocument/2006/relationships/image" Target="../media/image95.png"/><Relationship Id="rId97" Type="http://schemas.openxmlformats.org/officeDocument/2006/relationships/image" Target="../media/image116.png"/><Relationship Id="rId104" Type="http://schemas.openxmlformats.org/officeDocument/2006/relationships/image" Target="../media/image123.png"/><Relationship Id="rId120" Type="http://schemas.openxmlformats.org/officeDocument/2006/relationships/image" Target="../media/image139.png"/><Relationship Id="rId125" Type="http://schemas.openxmlformats.org/officeDocument/2006/relationships/image" Target="../media/image144.png"/><Relationship Id="rId141" Type="http://schemas.openxmlformats.org/officeDocument/2006/relationships/image" Target="../media/image160.png"/><Relationship Id="rId146" Type="http://schemas.openxmlformats.org/officeDocument/2006/relationships/image" Target="../media/image165.png"/><Relationship Id="rId167" Type="http://schemas.openxmlformats.org/officeDocument/2006/relationships/image" Target="../media/image186.png"/><Relationship Id="rId7" Type="http://schemas.openxmlformats.org/officeDocument/2006/relationships/image" Target="../media/image28.png"/><Relationship Id="rId71" Type="http://schemas.openxmlformats.org/officeDocument/2006/relationships/image" Target="../media/image90.png"/><Relationship Id="rId92" Type="http://schemas.openxmlformats.org/officeDocument/2006/relationships/image" Target="../media/image111.png"/><Relationship Id="rId162" Type="http://schemas.openxmlformats.org/officeDocument/2006/relationships/image" Target="../media/image181.png"/><Relationship Id="rId2" Type="http://schemas.openxmlformats.org/officeDocument/2006/relationships/image" Target="../media/image23.png"/><Relationship Id="rId29" Type="http://schemas.openxmlformats.org/officeDocument/2006/relationships/image" Target="../media/image50.png"/><Relationship Id="rId24" Type="http://schemas.openxmlformats.org/officeDocument/2006/relationships/image" Target="../media/image45.png"/><Relationship Id="rId40" Type="http://schemas.openxmlformats.org/officeDocument/2006/relationships/image" Target="../media/image61.png"/><Relationship Id="rId45" Type="http://schemas.openxmlformats.org/officeDocument/2006/relationships/image" Target="../media/image66.png"/><Relationship Id="rId66" Type="http://schemas.openxmlformats.org/officeDocument/2006/relationships/image" Target="../media/image85.png"/><Relationship Id="rId87" Type="http://schemas.openxmlformats.org/officeDocument/2006/relationships/image" Target="../media/image106.png"/><Relationship Id="rId110" Type="http://schemas.openxmlformats.org/officeDocument/2006/relationships/image" Target="../media/image129.png"/><Relationship Id="rId115" Type="http://schemas.openxmlformats.org/officeDocument/2006/relationships/image" Target="../media/image134.png"/><Relationship Id="rId131" Type="http://schemas.openxmlformats.org/officeDocument/2006/relationships/image" Target="../media/image150.png"/><Relationship Id="rId136" Type="http://schemas.openxmlformats.org/officeDocument/2006/relationships/image" Target="../media/image155.png"/><Relationship Id="rId157" Type="http://schemas.openxmlformats.org/officeDocument/2006/relationships/image" Target="../media/image176.png"/><Relationship Id="rId61" Type="http://schemas.openxmlformats.org/officeDocument/2006/relationships/image" Target="../media/image80.png"/><Relationship Id="rId82" Type="http://schemas.openxmlformats.org/officeDocument/2006/relationships/image" Target="../media/image101.png"/><Relationship Id="rId152" Type="http://schemas.openxmlformats.org/officeDocument/2006/relationships/image" Target="../media/image171.png"/><Relationship Id="rId173" Type="http://schemas.openxmlformats.org/officeDocument/2006/relationships/image" Target="../media/image192.png"/><Relationship Id="rId19" Type="http://schemas.openxmlformats.org/officeDocument/2006/relationships/image" Target="../media/image40.png"/><Relationship Id="rId14" Type="http://schemas.openxmlformats.org/officeDocument/2006/relationships/image" Target="../media/image35.png"/><Relationship Id="rId30" Type="http://schemas.openxmlformats.org/officeDocument/2006/relationships/image" Target="../media/image51.png"/><Relationship Id="rId35" Type="http://schemas.openxmlformats.org/officeDocument/2006/relationships/image" Target="../media/image56.png"/><Relationship Id="rId56" Type="http://schemas.openxmlformats.org/officeDocument/2006/relationships/image" Target="../media/image75.png"/><Relationship Id="rId77" Type="http://schemas.openxmlformats.org/officeDocument/2006/relationships/image" Target="../media/image96.png"/><Relationship Id="rId100" Type="http://schemas.openxmlformats.org/officeDocument/2006/relationships/image" Target="../media/image119.png"/><Relationship Id="rId105" Type="http://schemas.openxmlformats.org/officeDocument/2006/relationships/image" Target="../media/image124.png"/><Relationship Id="rId126" Type="http://schemas.openxmlformats.org/officeDocument/2006/relationships/image" Target="../media/image145.png"/><Relationship Id="rId147" Type="http://schemas.openxmlformats.org/officeDocument/2006/relationships/image" Target="../media/image166.png"/><Relationship Id="rId168" Type="http://schemas.openxmlformats.org/officeDocument/2006/relationships/image" Target="../media/image187.png"/><Relationship Id="rId8" Type="http://schemas.openxmlformats.org/officeDocument/2006/relationships/image" Target="../media/image29.png"/><Relationship Id="rId51" Type="http://schemas.openxmlformats.org/officeDocument/2006/relationships/image" Target="../media/image70.png"/><Relationship Id="rId72" Type="http://schemas.openxmlformats.org/officeDocument/2006/relationships/image" Target="../media/image91.png"/><Relationship Id="rId93" Type="http://schemas.openxmlformats.org/officeDocument/2006/relationships/image" Target="../media/image112.png"/><Relationship Id="rId98" Type="http://schemas.openxmlformats.org/officeDocument/2006/relationships/image" Target="../media/image117.png"/><Relationship Id="rId121" Type="http://schemas.openxmlformats.org/officeDocument/2006/relationships/image" Target="../media/image140.png"/><Relationship Id="rId142" Type="http://schemas.openxmlformats.org/officeDocument/2006/relationships/image" Target="../media/image161.png"/><Relationship Id="rId163" Type="http://schemas.openxmlformats.org/officeDocument/2006/relationships/image" Target="../media/image182.png"/><Relationship Id="rId3" Type="http://schemas.openxmlformats.org/officeDocument/2006/relationships/image" Target="../media/image24.png"/><Relationship Id="rId25" Type="http://schemas.openxmlformats.org/officeDocument/2006/relationships/image" Target="../media/image46.png"/><Relationship Id="rId46" Type="http://schemas.openxmlformats.org/officeDocument/2006/relationships/image" Target="../media/image67.png"/><Relationship Id="rId67" Type="http://schemas.openxmlformats.org/officeDocument/2006/relationships/image" Target="../media/image86.png"/><Relationship Id="rId116" Type="http://schemas.openxmlformats.org/officeDocument/2006/relationships/image" Target="../media/image135.png"/><Relationship Id="rId137" Type="http://schemas.openxmlformats.org/officeDocument/2006/relationships/image" Target="../media/image156.png"/><Relationship Id="rId158" Type="http://schemas.openxmlformats.org/officeDocument/2006/relationships/image" Target="../media/image177.png"/><Relationship Id="rId20" Type="http://schemas.openxmlformats.org/officeDocument/2006/relationships/image" Target="../media/image41.png"/><Relationship Id="rId41" Type="http://schemas.openxmlformats.org/officeDocument/2006/relationships/image" Target="../media/image62.png"/><Relationship Id="rId62" Type="http://schemas.openxmlformats.org/officeDocument/2006/relationships/image" Target="../media/image81.png"/><Relationship Id="rId83" Type="http://schemas.openxmlformats.org/officeDocument/2006/relationships/image" Target="../media/image102.png"/><Relationship Id="rId88" Type="http://schemas.openxmlformats.org/officeDocument/2006/relationships/image" Target="../media/image107.png"/><Relationship Id="rId111" Type="http://schemas.openxmlformats.org/officeDocument/2006/relationships/image" Target="../media/image130.png"/><Relationship Id="rId132" Type="http://schemas.openxmlformats.org/officeDocument/2006/relationships/image" Target="../media/image151.png"/><Relationship Id="rId153" Type="http://schemas.openxmlformats.org/officeDocument/2006/relationships/image" Target="../media/image172.png"/><Relationship Id="rId174" Type="http://schemas.openxmlformats.org/officeDocument/2006/relationships/image" Target="../media/image193.png"/><Relationship Id="rId15" Type="http://schemas.openxmlformats.org/officeDocument/2006/relationships/image" Target="../media/image36.png"/><Relationship Id="rId36" Type="http://schemas.openxmlformats.org/officeDocument/2006/relationships/image" Target="../media/image57.png"/><Relationship Id="rId57" Type="http://schemas.openxmlformats.org/officeDocument/2006/relationships/image" Target="../media/image76.png"/><Relationship Id="rId106" Type="http://schemas.openxmlformats.org/officeDocument/2006/relationships/image" Target="../media/image125.png"/><Relationship Id="rId127" Type="http://schemas.openxmlformats.org/officeDocument/2006/relationships/image" Target="../media/image146.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97.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98.jpeg"/></Relationships>
</file>

<file path=xl/drawings/drawing1.xml><?xml version="1.0" encoding="utf-8"?>
<xdr:wsDr xmlns:xdr="http://schemas.openxmlformats.org/drawingml/2006/spreadsheetDrawing" xmlns:a="http://schemas.openxmlformats.org/drawingml/2006/main">
  <xdr:twoCellAnchor editAs="oneCell">
    <xdr:from>
      <xdr:col>0</xdr:col>
      <xdr:colOff>5773</xdr:colOff>
      <xdr:row>0</xdr:row>
      <xdr:rowOff>0</xdr:rowOff>
    </xdr:from>
    <xdr:to>
      <xdr:col>14</xdr:col>
      <xdr:colOff>5773</xdr:colOff>
      <xdr:row>31</xdr:row>
      <xdr:rowOff>0</xdr:rowOff>
    </xdr:to>
    <xdr:pic>
      <xdr:nvPicPr>
        <xdr:cNvPr id="15" name="Grafik 1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73" y="0"/>
          <a:ext cx="10668000" cy="5905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161193</xdr:colOff>
      <xdr:row>0</xdr:row>
      <xdr:rowOff>56783</xdr:rowOff>
    </xdr:from>
    <xdr:to>
      <xdr:col>4</xdr:col>
      <xdr:colOff>494567</xdr:colOff>
      <xdr:row>7</xdr:row>
      <xdr:rowOff>102577</xdr:rowOff>
    </xdr:to>
    <xdr:sp macro="" textlink="">
      <xdr:nvSpPr>
        <xdr:cNvPr id="8" name="Textfeld 7"/>
        <xdr:cNvSpPr txBox="1"/>
      </xdr:nvSpPr>
      <xdr:spPr>
        <a:xfrm>
          <a:off x="161193" y="56783"/>
          <a:ext cx="3381374" cy="13792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4000">
              <a:solidFill>
                <a:schemeClr val="bg1"/>
              </a:solidFill>
            </a:rPr>
            <a:t>Golf</a:t>
          </a:r>
          <a:r>
            <a:rPr lang="en-GB" sz="4000" baseline="0">
              <a:solidFill>
                <a:schemeClr val="bg1"/>
              </a:solidFill>
            </a:rPr>
            <a:t> W</a:t>
          </a:r>
          <a:r>
            <a:rPr lang="en-GB" sz="4000">
              <a:solidFill>
                <a:schemeClr val="bg1"/>
              </a:solidFill>
            </a:rPr>
            <a:t>orkplan</a:t>
          </a:r>
          <a:r>
            <a:rPr lang="en-GB" sz="4000" baseline="0">
              <a:solidFill>
                <a:schemeClr val="bg1"/>
              </a:solidFill>
            </a:rPr>
            <a:t> Manager</a:t>
          </a:r>
          <a:endParaRPr lang="en-GB" sz="4000">
            <a:solidFill>
              <a:schemeClr val="bg1"/>
            </a:solidFill>
          </a:endParaRPr>
        </a:p>
      </xdr:txBody>
    </xdr:sp>
    <xdr:clientData/>
  </xdr:twoCellAnchor>
  <xdr:twoCellAnchor>
    <xdr:from>
      <xdr:col>0</xdr:col>
      <xdr:colOff>55562</xdr:colOff>
      <xdr:row>27</xdr:row>
      <xdr:rowOff>111125</xdr:rowOff>
    </xdr:from>
    <xdr:to>
      <xdr:col>4</xdr:col>
      <xdr:colOff>666749</xdr:colOff>
      <xdr:row>29</xdr:row>
      <xdr:rowOff>21981</xdr:rowOff>
    </xdr:to>
    <xdr:sp macro="" textlink="">
      <xdr:nvSpPr>
        <xdr:cNvPr id="9" name="Textfeld 8"/>
        <xdr:cNvSpPr txBox="1"/>
      </xdr:nvSpPr>
      <xdr:spPr>
        <a:xfrm>
          <a:off x="55562" y="5254625"/>
          <a:ext cx="3659187" cy="291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solidFill>
                <a:schemeClr val="bg1"/>
              </a:solidFill>
            </a:rPr>
            <a:t>©Copyright 2015 Michael Dürr, Erlangen,</a:t>
          </a:r>
          <a:r>
            <a:rPr lang="en-GB" sz="1200" baseline="0">
              <a:solidFill>
                <a:schemeClr val="bg1"/>
              </a:solidFill>
            </a:rPr>
            <a:t> Germany</a:t>
          </a:r>
          <a:endParaRPr lang="en-GB" sz="1200">
            <a:solidFill>
              <a:schemeClr val="bg1"/>
            </a:solidFill>
          </a:endParaRPr>
        </a:p>
      </xdr:txBody>
    </xdr:sp>
    <xdr:clientData/>
  </xdr:twoCellAnchor>
  <xdr:twoCellAnchor>
    <xdr:from>
      <xdr:col>5</xdr:col>
      <xdr:colOff>190500</xdr:colOff>
      <xdr:row>0</xdr:row>
      <xdr:rowOff>117231</xdr:rowOff>
    </xdr:from>
    <xdr:to>
      <xdr:col>7</xdr:col>
      <xdr:colOff>446721</xdr:colOff>
      <xdr:row>4</xdr:row>
      <xdr:rowOff>65378</xdr:rowOff>
    </xdr:to>
    <xdr:sp macro="[0]!Menu.start_WorkplanGenerator" textlink="">
      <xdr:nvSpPr>
        <xdr:cNvPr id="23" name="Richtungspfeil 22"/>
        <xdr:cNvSpPr/>
      </xdr:nvSpPr>
      <xdr:spPr>
        <a:xfrm>
          <a:off x="4000500" y="117231"/>
          <a:ext cx="1780221" cy="710147"/>
        </a:xfrm>
        <a:prstGeom prst="homePlate">
          <a:avLst/>
        </a:prstGeom>
        <a:solidFill>
          <a:srgbClr val="002060"/>
        </a:solidFill>
        <a:effectLst>
          <a:outerShdw blurRad="101600" dist="76200" dir="5400000" algn="ctr" rotWithShape="0">
            <a:schemeClr val="tx1"/>
          </a:outerShdw>
        </a:effectLst>
        <a:scene3d>
          <a:camera prst="orthographicFront"/>
          <a:lightRig rig="threePt" dir="t"/>
        </a:scene3d>
        <a:sp3d extrusionH="120650" contourW="12700" prstMaterial="plastic">
          <a:bevelT w="114300" prst="hardEdge"/>
          <a:extrusionClr>
            <a:schemeClr val="accent4">
              <a:lumMod val="40000"/>
              <a:lumOff val="60000"/>
            </a:schemeClr>
          </a:extrusionClr>
          <a:contourClr>
            <a:schemeClr val="bg1"/>
          </a:contourClr>
        </a:sp3d>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182563"/>
          <a:r>
            <a:rPr lang="de-DE"/>
            <a:t>Workplan</a:t>
          </a:r>
        </a:p>
        <a:p>
          <a:pPr marL="182563"/>
          <a:r>
            <a:rPr lang="de-DE"/>
            <a:t>Generator</a:t>
          </a:r>
          <a:endParaRPr lang="en-US"/>
        </a:p>
      </xdr:txBody>
    </xdr:sp>
    <xdr:clientData/>
  </xdr:twoCellAnchor>
  <xdr:twoCellAnchor>
    <xdr:from>
      <xdr:col>7</xdr:col>
      <xdr:colOff>435171</xdr:colOff>
      <xdr:row>0</xdr:row>
      <xdr:rowOff>117231</xdr:rowOff>
    </xdr:from>
    <xdr:to>
      <xdr:col>10</xdr:col>
      <xdr:colOff>180659</xdr:colOff>
      <xdr:row>4</xdr:row>
      <xdr:rowOff>65378</xdr:rowOff>
    </xdr:to>
    <xdr:sp macro="[0]!Menu.start_WorkplanViewer" textlink="">
      <xdr:nvSpPr>
        <xdr:cNvPr id="24" name="Eingekerbter Richtungspfeil 23"/>
        <xdr:cNvSpPr/>
      </xdr:nvSpPr>
      <xdr:spPr>
        <a:xfrm>
          <a:off x="5769171" y="117231"/>
          <a:ext cx="2031488" cy="710147"/>
        </a:xfrm>
        <a:prstGeom prst="chevron">
          <a:avLst/>
        </a:prstGeom>
        <a:solidFill>
          <a:srgbClr val="002060"/>
        </a:solidFill>
        <a:effectLst>
          <a:outerShdw blurRad="101600" dist="76200" dir="5400000" algn="ctr" rotWithShape="0">
            <a:schemeClr val="tx1"/>
          </a:outerShdw>
        </a:effectLst>
        <a:scene3d>
          <a:camera prst="orthographicFront"/>
          <a:lightRig rig="threePt" dir="t"/>
        </a:scene3d>
        <a:sp3d extrusionH="120650" contourW="12700" prstMaterial="plastic">
          <a:bevelT w="114300" prst="hardEdge"/>
          <a:extrusionClr>
            <a:schemeClr val="accent4">
              <a:lumMod val="40000"/>
              <a:lumOff val="60000"/>
            </a:schemeClr>
          </a:extrusionClr>
          <a:contourClr>
            <a:schemeClr val="bg1"/>
          </a:contourClr>
        </a:sp3d>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182563"/>
          <a:r>
            <a:rPr lang="de-DE"/>
            <a:t>Workplan</a:t>
          </a:r>
        </a:p>
        <a:p>
          <a:pPr marL="182563"/>
          <a:r>
            <a:rPr lang="de-DE"/>
            <a:t>Viewer</a:t>
          </a:r>
          <a:endParaRPr lang="en-US"/>
        </a:p>
      </xdr:txBody>
    </xdr:sp>
    <xdr:clientData/>
  </xdr:twoCellAnchor>
  <xdr:twoCellAnchor>
    <xdr:from>
      <xdr:col>10</xdr:col>
      <xdr:colOff>169108</xdr:colOff>
      <xdr:row>0</xdr:row>
      <xdr:rowOff>117231</xdr:rowOff>
    </xdr:from>
    <xdr:to>
      <xdr:col>12</xdr:col>
      <xdr:colOff>616724</xdr:colOff>
      <xdr:row>4</xdr:row>
      <xdr:rowOff>65378</xdr:rowOff>
    </xdr:to>
    <xdr:sp macro="[0]!Menu.start_StatisticViewer" textlink="">
      <xdr:nvSpPr>
        <xdr:cNvPr id="25" name="Eingekerbter Richtungspfeil 24"/>
        <xdr:cNvSpPr/>
      </xdr:nvSpPr>
      <xdr:spPr>
        <a:xfrm>
          <a:off x="7789108" y="117231"/>
          <a:ext cx="1971616" cy="710147"/>
        </a:xfrm>
        <a:prstGeom prst="chevron">
          <a:avLst/>
        </a:prstGeom>
        <a:solidFill>
          <a:srgbClr val="002060"/>
        </a:solidFill>
        <a:effectLst>
          <a:outerShdw blurRad="101600" dist="76200" dir="5400000" algn="ctr" rotWithShape="0">
            <a:schemeClr val="tx1"/>
          </a:outerShdw>
        </a:effectLst>
        <a:scene3d>
          <a:camera prst="orthographicFront"/>
          <a:lightRig rig="threePt" dir="t"/>
        </a:scene3d>
        <a:sp3d extrusionH="120650" contourW="12700" prstMaterial="plastic">
          <a:bevelT w="114300" prst="hardEdge"/>
          <a:extrusionClr>
            <a:schemeClr val="accent4">
              <a:lumMod val="40000"/>
              <a:lumOff val="60000"/>
            </a:schemeClr>
          </a:extrusionClr>
          <a:contourClr>
            <a:schemeClr val="bg1"/>
          </a:contourClr>
        </a:sp3d>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indent="182563" algn="ctr"/>
          <a:r>
            <a:rPr lang="de-DE">
              <a:solidFill>
                <a:schemeClr val="bg1"/>
              </a:solidFill>
            </a:rPr>
            <a:t>Statistic</a:t>
          </a:r>
          <a:endParaRPr lang="en-US">
            <a:solidFill>
              <a:schemeClr val="bg1"/>
            </a:solidFill>
          </a:endParaRPr>
        </a:p>
      </xdr:txBody>
    </xdr:sp>
    <xdr:clientData/>
  </xdr:twoCellAnchor>
  <xdr:twoCellAnchor editAs="oneCell">
    <xdr:from>
      <xdr:col>0</xdr:col>
      <xdr:colOff>202046</xdr:colOff>
      <xdr:row>19</xdr:row>
      <xdr:rowOff>180397</xdr:rowOff>
    </xdr:from>
    <xdr:to>
      <xdr:col>0</xdr:col>
      <xdr:colOff>562046</xdr:colOff>
      <xdr:row>21</xdr:row>
      <xdr:rowOff>158803</xdr:rowOff>
    </xdr:to>
    <xdr:pic macro="[0]!Menu.exit_GolfWorkplanManager">
      <xdr:nvPicPr>
        <xdr:cNvPr id="22" name="Grafik 21"/>
        <xdr:cNvPicPr>
          <a:picLocks noChangeAspect="1"/>
        </xdr:cNvPicPr>
      </xdr:nvPicPr>
      <xdr:blipFill>
        <a:blip xmlns:r="http://schemas.openxmlformats.org/officeDocument/2006/relationships" r:embed="rId2"/>
        <a:stretch>
          <a:fillRect/>
        </a:stretch>
      </xdr:blipFill>
      <xdr:spPr>
        <a:xfrm>
          <a:off x="202046" y="3799897"/>
          <a:ext cx="360000" cy="359406"/>
        </a:xfrm>
        <a:prstGeom prst="rect">
          <a:avLst/>
        </a:prstGeom>
      </xdr:spPr>
    </xdr:pic>
    <xdr:clientData/>
  </xdr:twoCellAnchor>
  <xdr:twoCellAnchor editAs="oneCell">
    <xdr:from>
      <xdr:col>0</xdr:col>
      <xdr:colOff>202046</xdr:colOff>
      <xdr:row>17</xdr:row>
      <xdr:rowOff>109558</xdr:rowOff>
    </xdr:from>
    <xdr:to>
      <xdr:col>0</xdr:col>
      <xdr:colOff>562046</xdr:colOff>
      <xdr:row>19</xdr:row>
      <xdr:rowOff>86236</xdr:rowOff>
    </xdr:to>
    <xdr:pic macro="[0]!Menu.start_UsageDescription">
      <xdr:nvPicPr>
        <xdr:cNvPr id="14" name="Grafik 13"/>
        <xdr:cNvPicPr>
          <a:picLocks noChangeAspect="1"/>
        </xdr:cNvPicPr>
      </xdr:nvPicPr>
      <xdr:blipFill>
        <a:blip xmlns:r="http://schemas.openxmlformats.org/officeDocument/2006/relationships" r:embed="rId3"/>
        <a:stretch>
          <a:fillRect/>
        </a:stretch>
      </xdr:blipFill>
      <xdr:spPr>
        <a:xfrm>
          <a:off x="202046" y="3348058"/>
          <a:ext cx="360000" cy="357678"/>
        </a:xfrm>
        <a:prstGeom prst="rect">
          <a:avLst/>
        </a:prstGeom>
      </xdr:spPr>
    </xdr:pic>
    <xdr:clientData/>
  </xdr:twoCellAnchor>
  <xdr:twoCellAnchor editAs="oneCell">
    <xdr:from>
      <xdr:col>0</xdr:col>
      <xdr:colOff>207819</xdr:colOff>
      <xdr:row>10</xdr:row>
      <xdr:rowOff>84117</xdr:rowOff>
    </xdr:from>
    <xdr:to>
      <xdr:col>0</xdr:col>
      <xdr:colOff>567819</xdr:colOff>
      <xdr:row>12</xdr:row>
      <xdr:rowOff>61934</xdr:rowOff>
    </xdr:to>
    <xdr:pic macro="[0]!Menu.start_Export">
      <xdr:nvPicPr>
        <xdr:cNvPr id="19" name="Grafik 18"/>
        <xdr:cNvPicPr>
          <a:picLocks noChangeAspect="1"/>
        </xdr:cNvPicPr>
      </xdr:nvPicPr>
      <xdr:blipFill>
        <a:blip xmlns:r="http://schemas.openxmlformats.org/officeDocument/2006/relationships" r:embed="rId4"/>
        <a:stretch>
          <a:fillRect/>
        </a:stretch>
      </xdr:blipFill>
      <xdr:spPr>
        <a:xfrm>
          <a:off x="207819" y="1989117"/>
          <a:ext cx="360000" cy="358817"/>
        </a:xfrm>
        <a:prstGeom prst="rect">
          <a:avLst/>
        </a:prstGeom>
      </xdr:spPr>
    </xdr:pic>
    <xdr:clientData/>
  </xdr:twoCellAnchor>
  <xdr:twoCellAnchor editAs="oneCell">
    <xdr:from>
      <xdr:col>0</xdr:col>
      <xdr:colOff>207818</xdr:colOff>
      <xdr:row>12</xdr:row>
      <xdr:rowOff>156097</xdr:rowOff>
    </xdr:from>
    <xdr:to>
      <xdr:col>0</xdr:col>
      <xdr:colOff>567818</xdr:colOff>
      <xdr:row>14</xdr:row>
      <xdr:rowOff>133915</xdr:rowOff>
    </xdr:to>
    <xdr:pic macro="[0]!Menu.start_Import">
      <xdr:nvPicPr>
        <xdr:cNvPr id="21" name="Grafik 20"/>
        <xdr:cNvPicPr>
          <a:picLocks noChangeAspect="1"/>
        </xdr:cNvPicPr>
      </xdr:nvPicPr>
      <xdr:blipFill>
        <a:blip xmlns:r="http://schemas.openxmlformats.org/officeDocument/2006/relationships" r:embed="rId5"/>
        <a:stretch>
          <a:fillRect/>
        </a:stretch>
      </xdr:blipFill>
      <xdr:spPr>
        <a:xfrm>
          <a:off x="207818" y="2442097"/>
          <a:ext cx="360000" cy="358818"/>
        </a:xfrm>
        <a:prstGeom prst="rect">
          <a:avLst/>
        </a:prstGeom>
      </xdr:spPr>
    </xdr:pic>
    <xdr:clientData/>
  </xdr:twoCellAnchor>
  <xdr:twoCellAnchor editAs="oneCell">
    <xdr:from>
      <xdr:col>0</xdr:col>
      <xdr:colOff>207818</xdr:colOff>
      <xdr:row>8</xdr:row>
      <xdr:rowOff>11546</xdr:rowOff>
    </xdr:from>
    <xdr:to>
      <xdr:col>0</xdr:col>
      <xdr:colOff>567818</xdr:colOff>
      <xdr:row>9</xdr:row>
      <xdr:rowOff>180454</xdr:rowOff>
    </xdr:to>
    <xdr:pic macro="[0]!Menu.save_GolfWorkplanManager">
      <xdr:nvPicPr>
        <xdr:cNvPr id="28" name="Grafik 27"/>
        <xdr:cNvPicPr>
          <a:picLocks noChangeAspect="1"/>
        </xdr:cNvPicPr>
      </xdr:nvPicPr>
      <xdr:blipFill>
        <a:blip xmlns:r="http://schemas.openxmlformats.org/officeDocument/2006/relationships" r:embed="rId6"/>
        <a:stretch>
          <a:fillRect/>
        </a:stretch>
      </xdr:blipFill>
      <xdr:spPr>
        <a:xfrm>
          <a:off x="207818" y="1535546"/>
          <a:ext cx="360000" cy="359408"/>
        </a:xfrm>
        <a:prstGeom prst="rect">
          <a:avLst/>
        </a:prstGeom>
      </xdr:spPr>
    </xdr:pic>
    <xdr:clientData/>
  </xdr:twoCellAnchor>
  <xdr:twoCellAnchor editAs="oneCell">
    <xdr:from>
      <xdr:col>0</xdr:col>
      <xdr:colOff>207819</xdr:colOff>
      <xdr:row>15</xdr:row>
      <xdr:rowOff>37578</xdr:rowOff>
    </xdr:from>
    <xdr:to>
      <xdr:col>0</xdr:col>
      <xdr:colOff>567819</xdr:colOff>
      <xdr:row>17</xdr:row>
      <xdr:rowOff>15395</xdr:rowOff>
    </xdr:to>
    <xdr:pic macro="[0]!Menu.start_ConfigurationManager">
      <xdr:nvPicPr>
        <xdr:cNvPr id="29" name="Grafik 28"/>
        <xdr:cNvPicPr>
          <a:picLocks noChangeAspect="1"/>
        </xdr:cNvPicPr>
      </xdr:nvPicPr>
      <xdr:blipFill>
        <a:blip xmlns:r="http://schemas.openxmlformats.org/officeDocument/2006/relationships" r:embed="rId7"/>
        <a:stretch>
          <a:fillRect/>
        </a:stretch>
      </xdr:blipFill>
      <xdr:spPr>
        <a:xfrm>
          <a:off x="207819" y="2895078"/>
          <a:ext cx="360000" cy="3588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56</xdr:col>
      <xdr:colOff>0</xdr:colOff>
      <xdr:row>0</xdr:row>
      <xdr:rowOff>0</xdr:rowOff>
    </xdr:from>
    <xdr:to>
      <xdr:col>61</xdr:col>
      <xdr:colOff>0</xdr:colOff>
      <xdr:row>2</xdr:row>
      <xdr:rowOff>3399</xdr:rowOff>
    </xdr:to>
    <xdr:pic>
      <xdr:nvPicPr>
        <xdr:cNvPr id="7" name="Grafik 6"/>
        <xdr:cNvPicPr>
          <a:picLocks noChangeAspect="1"/>
        </xdr:cNvPicPr>
      </xdr:nvPicPr>
      <xdr:blipFill>
        <a:blip xmlns:r="http://schemas.openxmlformats.org/officeDocument/2006/relationships" r:embed="rId1"/>
        <a:stretch>
          <a:fillRect/>
        </a:stretch>
      </xdr:blipFill>
      <xdr:spPr>
        <a:xfrm>
          <a:off x="20478750" y="0"/>
          <a:ext cx="1428750" cy="1265462"/>
        </a:xfrm>
        <a:prstGeom prst="rect">
          <a:avLst/>
        </a:prstGeom>
      </xdr:spPr>
    </xdr:pic>
    <xdr:clientData/>
  </xdr:twoCellAnchor>
  <xdr:twoCellAnchor editAs="oneCell">
    <xdr:from>
      <xdr:col>21</xdr:col>
      <xdr:colOff>299358</xdr:colOff>
      <xdr:row>0</xdr:row>
      <xdr:rowOff>103909</xdr:rowOff>
    </xdr:from>
    <xdr:to>
      <xdr:col>23</xdr:col>
      <xdr:colOff>291302</xdr:colOff>
      <xdr:row>0</xdr:row>
      <xdr:rowOff>875542</xdr:rowOff>
    </xdr:to>
    <xdr:pic macro="[0]!Menu.start_WorkplanViewer">
      <xdr:nvPicPr>
        <xdr:cNvPr id="4" name="Menu_WPV_0_LoadWPFromDBR"/>
        <xdr:cNvPicPr>
          <a:picLocks noChangeAspect="1"/>
        </xdr:cNvPicPr>
      </xdr:nvPicPr>
      <xdr:blipFill>
        <a:blip xmlns:r="http://schemas.openxmlformats.org/officeDocument/2006/relationships" r:embed="rId2"/>
        <a:stretch>
          <a:fillRect/>
        </a:stretch>
      </xdr:blipFill>
      <xdr:spPr>
        <a:xfrm>
          <a:off x="7347858" y="103909"/>
          <a:ext cx="788580" cy="771633"/>
        </a:xfrm>
        <a:prstGeom prst="rect">
          <a:avLst/>
        </a:prstGeom>
      </xdr:spPr>
    </xdr:pic>
    <xdr:clientData fPrintsWithSheet="0"/>
  </xdr:twoCellAnchor>
  <xdr:twoCellAnchor editAs="oneCell">
    <xdr:from>
      <xdr:col>23</xdr:col>
      <xdr:colOff>326571</xdr:colOff>
      <xdr:row>0</xdr:row>
      <xdr:rowOff>103909</xdr:rowOff>
    </xdr:from>
    <xdr:to>
      <xdr:col>25</xdr:col>
      <xdr:colOff>318516</xdr:colOff>
      <xdr:row>0</xdr:row>
      <xdr:rowOff>885068</xdr:rowOff>
    </xdr:to>
    <xdr:pic macro="[0]!DBR_saveCurrentWorkplan">
      <xdr:nvPicPr>
        <xdr:cNvPr id="5" name="Menu_WPV_0_SaveWPToDBR"/>
        <xdr:cNvPicPr>
          <a:picLocks noChangeAspect="1"/>
        </xdr:cNvPicPr>
      </xdr:nvPicPr>
      <xdr:blipFill>
        <a:blip xmlns:r="http://schemas.openxmlformats.org/officeDocument/2006/relationships" r:embed="rId3"/>
        <a:stretch>
          <a:fillRect/>
        </a:stretch>
      </xdr:blipFill>
      <xdr:spPr>
        <a:xfrm>
          <a:off x="8171707" y="103909"/>
          <a:ext cx="788582" cy="781159"/>
        </a:xfrm>
        <a:prstGeom prst="rect">
          <a:avLst/>
        </a:prstGeom>
      </xdr:spPr>
    </xdr:pic>
    <xdr:clientData fPrintsWithSheet="0"/>
  </xdr:twoCellAnchor>
  <xdr:twoCellAnchor editAs="oneCell">
    <xdr:from>
      <xdr:col>27</xdr:col>
      <xdr:colOff>281755</xdr:colOff>
      <xdr:row>0</xdr:row>
      <xdr:rowOff>103909</xdr:rowOff>
    </xdr:from>
    <xdr:to>
      <xdr:col>29</xdr:col>
      <xdr:colOff>273700</xdr:colOff>
      <xdr:row>0</xdr:row>
      <xdr:rowOff>875542</xdr:rowOff>
    </xdr:to>
    <xdr:pic macro="[0]!Menu.WorkplanPrinter">
      <xdr:nvPicPr>
        <xdr:cNvPr id="28" name="Menu_WPV_0_PrintWorkplan"/>
        <xdr:cNvPicPr>
          <a:picLocks noChangeAspect="1"/>
        </xdr:cNvPicPr>
      </xdr:nvPicPr>
      <xdr:blipFill>
        <a:blip xmlns:r="http://schemas.openxmlformats.org/officeDocument/2006/relationships" r:embed="rId4"/>
        <a:stretch>
          <a:fillRect/>
        </a:stretch>
      </xdr:blipFill>
      <xdr:spPr>
        <a:xfrm>
          <a:off x="9694187" y="103909"/>
          <a:ext cx="788581" cy="771633"/>
        </a:xfrm>
        <a:prstGeom prst="rect">
          <a:avLst/>
        </a:prstGeom>
      </xdr:spPr>
    </xdr:pic>
    <xdr:clientData fPrintsWithSheet="0"/>
  </xdr:twoCellAnchor>
  <xdr:twoCellAnchor editAs="oneCell">
    <xdr:from>
      <xdr:col>19</xdr:col>
      <xdr:colOff>285750</xdr:colOff>
      <xdr:row>0</xdr:row>
      <xdr:rowOff>103909</xdr:rowOff>
    </xdr:from>
    <xdr:to>
      <xdr:col>21</xdr:col>
      <xdr:colOff>287221</xdr:colOff>
      <xdr:row>0</xdr:row>
      <xdr:rowOff>885068</xdr:rowOff>
    </xdr:to>
    <xdr:pic macro="[0]!Menu.start_SelectPlayer_WPM">
      <xdr:nvPicPr>
        <xdr:cNvPr id="29" name="Menu_WPV_0_SelectPlayer" hidden="1"/>
        <xdr:cNvPicPr>
          <a:picLocks noChangeAspect="1"/>
        </xdr:cNvPicPr>
      </xdr:nvPicPr>
      <xdr:blipFill>
        <a:blip xmlns:r="http://schemas.openxmlformats.org/officeDocument/2006/relationships" r:embed="rId5"/>
        <a:stretch>
          <a:fillRect/>
        </a:stretch>
      </xdr:blipFill>
      <xdr:spPr>
        <a:xfrm>
          <a:off x="6537614" y="103909"/>
          <a:ext cx="798107" cy="781159"/>
        </a:xfrm>
        <a:prstGeom prst="rect">
          <a:avLst/>
        </a:prstGeom>
      </xdr:spPr>
    </xdr:pic>
    <xdr:clientData fPrintsWithSheet="0"/>
  </xdr:twoCellAnchor>
  <xdr:twoCellAnchor editAs="oneCell">
    <xdr:from>
      <xdr:col>33</xdr:col>
      <xdr:colOff>231323</xdr:colOff>
      <xdr:row>0</xdr:row>
      <xdr:rowOff>103909</xdr:rowOff>
    </xdr:from>
    <xdr:to>
      <xdr:col>35</xdr:col>
      <xdr:colOff>223268</xdr:colOff>
      <xdr:row>0</xdr:row>
      <xdr:rowOff>885068</xdr:rowOff>
    </xdr:to>
    <xdr:pic macro="[0]!Menu.setHomeWorksheet">
      <xdr:nvPicPr>
        <xdr:cNvPr id="30" name="Menu_WPV_0_Home"/>
        <xdr:cNvPicPr>
          <a:picLocks noChangeAspect="1"/>
        </xdr:cNvPicPr>
      </xdr:nvPicPr>
      <xdr:blipFill>
        <a:blip xmlns:r="http://schemas.openxmlformats.org/officeDocument/2006/relationships" r:embed="rId6"/>
        <a:stretch>
          <a:fillRect/>
        </a:stretch>
      </xdr:blipFill>
      <xdr:spPr>
        <a:xfrm>
          <a:off x="12033664" y="103909"/>
          <a:ext cx="788581" cy="781159"/>
        </a:xfrm>
        <a:prstGeom prst="rect">
          <a:avLst/>
        </a:prstGeom>
      </xdr:spPr>
    </xdr:pic>
    <xdr:clientData fPrintsWithSheet="0"/>
  </xdr:twoCellAnchor>
  <xdr:twoCellAnchor editAs="oneCell">
    <xdr:from>
      <xdr:col>35</xdr:col>
      <xdr:colOff>149679</xdr:colOff>
      <xdr:row>0</xdr:row>
      <xdr:rowOff>103909</xdr:rowOff>
    </xdr:from>
    <xdr:to>
      <xdr:col>37</xdr:col>
      <xdr:colOff>141624</xdr:colOff>
      <xdr:row>0</xdr:row>
      <xdr:rowOff>885068</xdr:rowOff>
    </xdr:to>
    <xdr:pic macro="[0]!Menu.start_UsageDescription">
      <xdr:nvPicPr>
        <xdr:cNvPr id="31" name="Menu_WPV_0_HELP"/>
        <xdr:cNvPicPr>
          <a:picLocks noChangeAspect="1"/>
        </xdr:cNvPicPr>
      </xdr:nvPicPr>
      <xdr:blipFill>
        <a:blip xmlns:r="http://schemas.openxmlformats.org/officeDocument/2006/relationships" r:embed="rId7"/>
        <a:stretch>
          <a:fillRect/>
        </a:stretch>
      </xdr:blipFill>
      <xdr:spPr>
        <a:xfrm>
          <a:off x="12748656" y="103909"/>
          <a:ext cx="788582" cy="781159"/>
        </a:xfrm>
        <a:prstGeom prst="rect">
          <a:avLst/>
        </a:prstGeom>
      </xdr:spPr>
    </xdr:pic>
    <xdr:clientData fPrintsWithSheet="0"/>
  </xdr:twoCellAnchor>
  <xdr:twoCellAnchor editAs="oneCell">
    <xdr:from>
      <xdr:col>29</xdr:col>
      <xdr:colOff>300903</xdr:colOff>
      <xdr:row>0</xdr:row>
      <xdr:rowOff>103909</xdr:rowOff>
    </xdr:from>
    <xdr:to>
      <xdr:col>31</xdr:col>
      <xdr:colOff>272437</xdr:colOff>
      <xdr:row>0</xdr:row>
      <xdr:rowOff>885068</xdr:rowOff>
    </xdr:to>
    <xdr:pic macro="[0]!Menu.createPDFFileForWorkplan">
      <xdr:nvPicPr>
        <xdr:cNvPr id="21" name="Menu_WPV_0_SaveToPDF" hidden="1"/>
        <xdr:cNvPicPr>
          <a:picLocks noChangeAspect="1"/>
        </xdr:cNvPicPr>
      </xdr:nvPicPr>
      <xdr:blipFill>
        <a:blip xmlns:r="http://schemas.openxmlformats.org/officeDocument/2006/relationships" r:embed="rId8"/>
        <a:stretch>
          <a:fillRect/>
        </a:stretch>
      </xdr:blipFill>
      <xdr:spPr>
        <a:xfrm>
          <a:off x="10509971" y="103909"/>
          <a:ext cx="768171" cy="781159"/>
        </a:xfrm>
        <a:prstGeom prst="rect">
          <a:avLst/>
        </a:prstGeom>
      </xdr:spPr>
    </xdr:pic>
    <xdr:clientData fPrintsWithSheet="0"/>
  </xdr:twoCellAnchor>
  <xdr:twoCellAnchor>
    <xdr:from>
      <xdr:col>10</xdr:col>
      <xdr:colOff>50800</xdr:colOff>
      <xdr:row>9</xdr:row>
      <xdr:rowOff>201034</xdr:rowOff>
    </xdr:from>
    <xdr:to>
      <xdr:col>27</xdr:col>
      <xdr:colOff>349250</xdr:colOff>
      <xdr:row>21</xdr:row>
      <xdr:rowOff>122815</xdr:rowOff>
    </xdr:to>
    <xdr:pic>
      <xdr:nvPicPr>
        <xdr:cNvPr id="12" name="WP_ExIMG_1"/>
        <xdr:cNvPicPr>
          <a:picLocks noChangeAspect="1"/>
        </xdr:cNvPicPr>
      </xdr:nvPicPr>
      <xdr:blipFill>
        <a:blip xmlns:r="http://schemas.openxmlformats.org/officeDocument/2006/relationships" r:embed="rId9" cstate="print"/>
        <a:stretch>
          <a:fillRect/>
        </a:stretch>
      </xdr:blipFill>
      <xdr:spPr>
        <a:xfrm>
          <a:off x="2689225" y="3306184"/>
          <a:ext cx="7070725" cy="3807981"/>
        </a:xfrm>
        <a:prstGeom prst="rect">
          <a:avLst/>
        </a:prstGeom>
      </xdr:spPr>
    </xdr:pic>
    <xdr:clientData/>
  </xdr:twoCellAnchor>
  <xdr:twoCellAnchor>
    <xdr:from>
      <xdr:col>10</xdr:col>
      <xdr:colOff>50800</xdr:colOff>
      <xdr:row>25</xdr:row>
      <xdr:rowOff>201034</xdr:rowOff>
    </xdr:from>
    <xdr:to>
      <xdr:col>27</xdr:col>
      <xdr:colOff>349250</xdr:colOff>
      <xdr:row>37</xdr:row>
      <xdr:rowOff>122815</xdr:rowOff>
    </xdr:to>
    <xdr:pic>
      <xdr:nvPicPr>
        <xdr:cNvPr id="13" name="WP_ExIMG_2"/>
        <xdr:cNvPicPr>
          <a:picLocks noChangeAspect="1"/>
        </xdr:cNvPicPr>
      </xdr:nvPicPr>
      <xdr:blipFill>
        <a:blip xmlns:r="http://schemas.openxmlformats.org/officeDocument/2006/relationships" r:embed="rId10" cstate="print"/>
        <a:stretch>
          <a:fillRect/>
        </a:stretch>
      </xdr:blipFill>
      <xdr:spPr>
        <a:xfrm>
          <a:off x="2689225" y="8487784"/>
          <a:ext cx="7070725" cy="38079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1</xdr:colOff>
      <xdr:row>4</xdr:row>
      <xdr:rowOff>0</xdr:rowOff>
    </xdr:from>
    <xdr:to>
      <xdr:col>12</xdr:col>
      <xdr:colOff>333375</xdr:colOff>
      <xdr:row>6</xdr:row>
      <xdr:rowOff>10992</xdr:rowOff>
    </xdr:to>
    <xdr:pic macro="[0]!Menu.start_SelectPlayer_STM">
      <xdr:nvPicPr>
        <xdr:cNvPr id="10" name="STAT_SELECT_BUTTON_PLAYER" hidden="1"/>
        <xdr:cNvPicPr>
          <a:picLocks noChangeAspect="1"/>
        </xdr:cNvPicPr>
      </xdr:nvPicPr>
      <xdr:blipFill>
        <a:blip xmlns:r="http://schemas.openxmlformats.org/officeDocument/2006/relationships" r:embed="rId1"/>
        <a:stretch>
          <a:fillRect/>
        </a:stretch>
      </xdr:blipFill>
      <xdr:spPr>
        <a:xfrm>
          <a:off x="4931834" y="455083"/>
          <a:ext cx="338666" cy="339075"/>
        </a:xfrm>
        <a:prstGeom prst="rect">
          <a:avLst/>
        </a:prstGeom>
      </xdr:spPr>
    </xdr:pic>
    <xdr:clientData fPrintsWithSheet="0"/>
  </xdr:twoCellAnchor>
  <xdr:twoCellAnchor editAs="oneCell">
    <xdr:from>
      <xdr:col>21</xdr:col>
      <xdr:colOff>0</xdr:colOff>
      <xdr:row>4</xdr:row>
      <xdr:rowOff>0</xdr:rowOff>
    </xdr:from>
    <xdr:to>
      <xdr:col>22</xdr:col>
      <xdr:colOff>0</xdr:colOff>
      <xdr:row>6</xdr:row>
      <xdr:rowOff>10584</xdr:rowOff>
    </xdr:to>
    <xdr:pic macro="[0]!Menu.start_SelectMonthYear">
      <xdr:nvPicPr>
        <xdr:cNvPr id="11" name="STAT_SELECT_BUTTON_MONTH" hidden="1"/>
        <xdr:cNvPicPr>
          <a:picLocks noChangeAspect="1"/>
        </xdr:cNvPicPr>
      </xdr:nvPicPr>
      <xdr:blipFill>
        <a:blip xmlns:r="http://schemas.openxmlformats.org/officeDocument/2006/relationships" r:embed="rId2"/>
        <a:stretch>
          <a:fillRect/>
        </a:stretch>
      </xdr:blipFill>
      <xdr:spPr>
        <a:xfrm>
          <a:off x="7979833" y="1418167"/>
          <a:ext cx="338667" cy="338667"/>
        </a:xfrm>
        <a:prstGeom prst="rect">
          <a:avLst/>
        </a:prstGeom>
      </xdr:spPr>
    </xdr:pic>
    <xdr:clientData fPrintsWithSheet="0"/>
  </xdr:twoCellAnchor>
  <xdr:twoCellAnchor>
    <xdr:from>
      <xdr:col>0</xdr:col>
      <xdr:colOff>21164</xdr:colOff>
      <xdr:row>11</xdr:row>
      <xdr:rowOff>122163</xdr:rowOff>
    </xdr:from>
    <xdr:to>
      <xdr:col>25</xdr:col>
      <xdr:colOff>105833</xdr:colOff>
      <xdr:row>20</xdr:row>
      <xdr:rowOff>0</xdr:rowOff>
    </xdr:to>
    <xdr:graphicFrame macro="">
      <xdr:nvGraphicFramePr>
        <xdr:cNvPr id="7" name="Diagramm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47625</xdr:colOff>
      <xdr:row>24</xdr:row>
      <xdr:rowOff>31750</xdr:rowOff>
    </xdr:from>
    <xdr:to>
      <xdr:col>25</xdr:col>
      <xdr:colOff>95251</xdr:colOff>
      <xdr:row>24</xdr:row>
      <xdr:rowOff>3312583</xdr:rowOff>
    </xdr:to>
    <xdr:graphicFrame macro="">
      <xdr:nvGraphicFramePr>
        <xdr:cNvPr id="9" name="Diagramm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2380</xdr:colOff>
      <xdr:row>102</xdr:row>
      <xdr:rowOff>0</xdr:rowOff>
    </xdr:from>
    <xdr:to>
      <xdr:col>18</xdr:col>
      <xdr:colOff>333374</xdr:colOff>
      <xdr:row>104</xdr:row>
      <xdr:rowOff>555624</xdr:rowOff>
    </xdr:to>
    <xdr:graphicFrame macro="">
      <xdr:nvGraphicFramePr>
        <xdr:cNvPr id="14" name="DIA_HCP_MONTH_Putting"/>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0</xdr:colOff>
      <xdr:row>109</xdr:row>
      <xdr:rowOff>0</xdr:rowOff>
    </xdr:from>
    <xdr:to>
      <xdr:col>18</xdr:col>
      <xdr:colOff>332580</xdr:colOff>
      <xdr:row>112</xdr:row>
      <xdr:rowOff>0</xdr:rowOff>
    </xdr:to>
    <xdr:graphicFrame macro="">
      <xdr:nvGraphicFramePr>
        <xdr:cNvPr id="38" name="DIA_HCP_MONTH_Chipping"/>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0</xdr:colOff>
      <xdr:row>116</xdr:row>
      <xdr:rowOff>0</xdr:rowOff>
    </xdr:from>
    <xdr:to>
      <xdr:col>18</xdr:col>
      <xdr:colOff>332580</xdr:colOff>
      <xdr:row>119</xdr:row>
      <xdr:rowOff>0</xdr:rowOff>
    </xdr:to>
    <xdr:graphicFrame macro="">
      <xdr:nvGraphicFramePr>
        <xdr:cNvPr id="44" name="DIA_HCP_MONTH_Bunke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xdr:col>
      <xdr:colOff>0</xdr:colOff>
      <xdr:row>123</xdr:row>
      <xdr:rowOff>0</xdr:rowOff>
    </xdr:from>
    <xdr:to>
      <xdr:col>18</xdr:col>
      <xdr:colOff>332580</xdr:colOff>
      <xdr:row>126</xdr:row>
      <xdr:rowOff>0</xdr:rowOff>
    </xdr:to>
    <xdr:graphicFrame macro="">
      <xdr:nvGraphicFramePr>
        <xdr:cNvPr id="47" name="DIA_HCP_MONTH_ApproachShots"/>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xdr:col>
      <xdr:colOff>0</xdr:colOff>
      <xdr:row>130</xdr:row>
      <xdr:rowOff>0</xdr:rowOff>
    </xdr:from>
    <xdr:to>
      <xdr:col>18</xdr:col>
      <xdr:colOff>332580</xdr:colOff>
      <xdr:row>133</xdr:row>
      <xdr:rowOff>0</xdr:rowOff>
    </xdr:to>
    <xdr:graphicFrame macro="">
      <xdr:nvGraphicFramePr>
        <xdr:cNvPr id="50" name="DIA_HCP_MONTH_Woods"/>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xdr:col>
      <xdr:colOff>0</xdr:colOff>
      <xdr:row>137</xdr:row>
      <xdr:rowOff>0</xdr:rowOff>
    </xdr:from>
    <xdr:to>
      <xdr:col>18</xdr:col>
      <xdr:colOff>332580</xdr:colOff>
      <xdr:row>140</xdr:row>
      <xdr:rowOff>0</xdr:rowOff>
    </xdr:to>
    <xdr:graphicFrame macro="">
      <xdr:nvGraphicFramePr>
        <xdr:cNvPr id="53" name="DIA_HCP_MONTH_Drive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3</xdr:col>
      <xdr:colOff>0</xdr:colOff>
      <xdr:row>144</xdr:row>
      <xdr:rowOff>0</xdr:rowOff>
    </xdr:from>
    <xdr:to>
      <xdr:col>18</xdr:col>
      <xdr:colOff>332580</xdr:colOff>
      <xdr:row>147</xdr:row>
      <xdr:rowOff>0</xdr:rowOff>
    </xdr:to>
    <xdr:graphicFrame macro="">
      <xdr:nvGraphicFramePr>
        <xdr:cNvPr id="56" name="DIA_HCP_MONTH_Bunke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3</xdr:col>
      <xdr:colOff>0</xdr:colOff>
      <xdr:row>151</xdr:row>
      <xdr:rowOff>0</xdr:rowOff>
    </xdr:from>
    <xdr:to>
      <xdr:col>18</xdr:col>
      <xdr:colOff>332580</xdr:colOff>
      <xdr:row>154</xdr:row>
      <xdr:rowOff>0</xdr:rowOff>
    </xdr:to>
    <xdr:graphicFrame macro="">
      <xdr:nvGraphicFramePr>
        <xdr:cNvPr id="59" name="DIA_HCP_MONTH_Mental"/>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3</xdr:col>
      <xdr:colOff>0</xdr:colOff>
      <xdr:row>158</xdr:row>
      <xdr:rowOff>0</xdr:rowOff>
    </xdr:from>
    <xdr:to>
      <xdr:col>18</xdr:col>
      <xdr:colOff>332580</xdr:colOff>
      <xdr:row>161</xdr:row>
      <xdr:rowOff>0</xdr:rowOff>
    </xdr:to>
    <xdr:graphicFrame macro="">
      <xdr:nvGraphicFramePr>
        <xdr:cNvPr id="62" name="DIA_HCP_MONTH_RoG"/>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xdr:col>
      <xdr:colOff>0</xdr:colOff>
      <xdr:row>105</xdr:row>
      <xdr:rowOff>0</xdr:rowOff>
    </xdr:from>
    <xdr:to>
      <xdr:col>18</xdr:col>
      <xdr:colOff>333374</xdr:colOff>
      <xdr:row>108</xdr:row>
      <xdr:rowOff>0</xdr:rowOff>
    </xdr:to>
    <xdr:graphicFrame macro="">
      <xdr:nvGraphicFramePr>
        <xdr:cNvPr id="24" name="Diagramm 2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xdr:col>
      <xdr:colOff>103187</xdr:colOff>
      <xdr:row>112</xdr:row>
      <xdr:rowOff>0</xdr:rowOff>
    </xdr:from>
    <xdr:to>
      <xdr:col>18</xdr:col>
      <xdr:colOff>333374</xdr:colOff>
      <xdr:row>114</xdr:row>
      <xdr:rowOff>555624</xdr:rowOff>
    </xdr:to>
    <xdr:graphicFrame macro="">
      <xdr:nvGraphicFramePr>
        <xdr:cNvPr id="27" name="Diagramm 2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2</xdr:col>
      <xdr:colOff>103187</xdr:colOff>
      <xdr:row>119</xdr:row>
      <xdr:rowOff>0</xdr:rowOff>
    </xdr:from>
    <xdr:to>
      <xdr:col>18</xdr:col>
      <xdr:colOff>333374</xdr:colOff>
      <xdr:row>121</xdr:row>
      <xdr:rowOff>555624</xdr:rowOff>
    </xdr:to>
    <xdr:graphicFrame macro="">
      <xdr:nvGraphicFramePr>
        <xdr:cNvPr id="29" name="Diagramm 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2</xdr:col>
      <xdr:colOff>103187</xdr:colOff>
      <xdr:row>126</xdr:row>
      <xdr:rowOff>0</xdr:rowOff>
    </xdr:from>
    <xdr:to>
      <xdr:col>18</xdr:col>
      <xdr:colOff>333374</xdr:colOff>
      <xdr:row>128</xdr:row>
      <xdr:rowOff>555624</xdr:rowOff>
    </xdr:to>
    <xdr:graphicFrame macro="">
      <xdr:nvGraphicFramePr>
        <xdr:cNvPr id="31" name="Diagramm 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2</xdr:col>
      <xdr:colOff>103187</xdr:colOff>
      <xdr:row>133</xdr:row>
      <xdr:rowOff>0</xdr:rowOff>
    </xdr:from>
    <xdr:to>
      <xdr:col>18</xdr:col>
      <xdr:colOff>333374</xdr:colOff>
      <xdr:row>135</xdr:row>
      <xdr:rowOff>555624</xdr:rowOff>
    </xdr:to>
    <xdr:graphicFrame macro="">
      <xdr:nvGraphicFramePr>
        <xdr:cNvPr id="33" name="Diagramm 3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2</xdr:col>
      <xdr:colOff>103187</xdr:colOff>
      <xdr:row>140</xdr:row>
      <xdr:rowOff>1</xdr:rowOff>
    </xdr:from>
    <xdr:to>
      <xdr:col>18</xdr:col>
      <xdr:colOff>333374</xdr:colOff>
      <xdr:row>143</xdr:row>
      <xdr:rowOff>0</xdr:rowOff>
    </xdr:to>
    <xdr:graphicFrame macro="">
      <xdr:nvGraphicFramePr>
        <xdr:cNvPr id="35" name="Diagramm 3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2</xdr:col>
      <xdr:colOff>103187</xdr:colOff>
      <xdr:row>147</xdr:row>
      <xdr:rowOff>0</xdr:rowOff>
    </xdr:from>
    <xdr:to>
      <xdr:col>18</xdr:col>
      <xdr:colOff>333374</xdr:colOff>
      <xdr:row>149</xdr:row>
      <xdr:rowOff>555624</xdr:rowOff>
    </xdr:to>
    <xdr:graphicFrame macro="">
      <xdr:nvGraphicFramePr>
        <xdr:cNvPr id="37" name="Diagramm 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2</xdr:col>
      <xdr:colOff>103187</xdr:colOff>
      <xdr:row>154</xdr:row>
      <xdr:rowOff>0</xdr:rowOff>
    </xdr:from>
    <xdr:to>
      <xdr:col>18</xdr:col>
      <xdr:colOff>333374</xdr:colOff>
      <xdr:row>156</xdr:row>
      <xdr:rowOff>555624</xdr:rowOff>
    </xdr:to>
    <xdr:graphicFrame macro="">
      <xdr:nvGraphicFramePr>
        <xdr:cNvPr id="40" name="Diagramm 3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2</xdr:col>
      <xdr:colOff>103187</xdr:colOff>
      <xdr:row>161</xdr:row>
      <xdr:rowOff>0</xdr:rowOff>
    </xdr:from>
    <xdr:to>
      <xdr:col>18</xdr:col>
      <xdr:colOff>333374</xdr:colOff>
      <xdr:row>163</xdr:row>
      <xdr:rowOff>555624</xdr:rowOff>
    </xdr:to>
    <xdr:graphicFrame macro="">
      <xdr:nvGraphicFramePr>
        <xdr:cNvPr id="42" name="Diagramm 4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0</xdr:col>
      <xdr:colOff>12700</xdr:colOff>
      <xdr:row>7</xdr:row>
      <xdr:rowOff>28575</xdr:rowOff>
    </xdr:from>
    <xdr:to>
      <xdr:col>5</xdr:col>
      <xdr:colOff>155575</xdr:colOff>
      <xdr:row>7</xdr:row>
      <xdr:rowOff>244475</xdr:rowOff>
    </xdr:to>
    <xdr:sp macro="[0]!ST_show_Month_HCP" textlink="">
      <xdr:nvSpPr>
        <xdr:cNvPr id="138" name="Menu_11_HCPperTopic"/>
        <xdr:cNvSpPr/>
      </xdr:nvSpPr>
      <xdr:spPr>
        <a:xfrm>
          <a:off x="12700" y="914400"/>
          <a:ext cx="2705100" cy="215900"/>
        </a:xfrm>
        <a:prstGeom prst="rect">
          <a:avLst/>
        </a:prstGeom>
        <a:ln w="6350" cap="flat" cmpd="sng" algn="ctr">
          <a:solidFill>
            <a:srgbClr val="002060"/>
          </a:solidFill>
          <a:prstDash val="solid"/>
          <a:round/>
          <a:headEnd type="none" w="med" len="med"/>
          <a:tailEnd type="none" w="med" len="med"/>
        </a:ln>
        <a:scene3d>
          <a:camera prst="orthographicFront"/>
          <a:lightRig rig="threePt" dir="t"/>
        </a:scene3d>
        <a:sp3d>
          <a:bevelT/>
        </a:sp3d>
      </xdr:spPr>
      <xdr:style>
        <a:lnRef idx="2">
          <a:schemeClr val="accent1">
            <a:shade val="50000"/>
          </a:schemeClr>
        </a:lnRef>
        <a:fillRef idx="1002">
          <a:schemeClr val="dk2"/>
        </a:fillRef>
        <a:effectRef idx="0">
          <a:schemeClr val="accent1"/>
        </a:effectRef>
        <a:fontRef idx="minor">
          <a:schemeClr val="lt1"/>
        </a:fontRef>
      </xdr:style>
      <xdr:txBody>
        <a:bodyPr vertOverflow="clip" horzOverflow="clip" rtlCol="0" anchor="ctr"/>
        <a:lstStyle/>
        <a:p>
          <a:pPr algn="ctr"/>
          <a:r>
            <a:rPr lang="de-DE" sz="1100" b="1">
              <a:solidFill>
                <a:srgbClr val="002060"/>
              </a:solidFill>
            </a:rPr>
            <a:t>Monthly HCP per Topic</a:t>
          </a:r>
        </a:p>
      </xdr:txBody>
    </xdr:sp>
    <xdr:clientData/>
  </xdr:twoCellAnchor>
  <xdr:twoCellAnchor>
    <xdr:from>
      <xdr:col>5</xdr:col>
      <xdr:colOff>180975</xdr:colOff>
      <xdr:row>7</xdr:row>
      <xdr:rowOff>28575</xdr:rowOff>
    </xdr:from>
    <xdr:to>
      <xdr:col>13</xdr:col>
      <xdr:colOff>219075</xdr:colOff>
      <xdr:row>7</xdr:row>
      <xdr:rowOff>244475</xdr:rowOff>
    </xdr:to>
    <xdr:sp macro="[0]!ST_show_RelativeEfforts" textlink="">
      <xdr:nvSpPr>
        <xdr:cNvPr id="139" name="Menu_12_RelativeEffortPerTopic"/>
        <xdr:cNvSpPr/>
      </xdr:nvSpPr>
      <xdr:spPr>
        <a:xfrm>
          <a:off x="2743200" y="914400"/>
          <a:ext cx="2705100" cy="215900"/>
        </a:xfrm>
        <a:prstGeom prst="rect">
          <a:avLst/>
        </a:prstGeom>
        <a:ln w="6350" cap="flat" cmpd="sng" algn="ctr">
          <a:solidFill>
            <a:srgbClr val="002060"/>
          </a:solidFill>
          <a:prstDash val="solid"/>
          <a:round/>
          <a:headEnd type="none" w="med" len="med"/>
          <a:tailEnd type="none" w="med" len="med"/>
        </a:ln>
        <a:scene3d>
          <a:camera prst="orthographicFront"/>
          <a:lightRig rig="threePt" dir="t"/>
        </a:scene3d>
        <a:sp3d>
          <a:bevelT/>
        </a:sp3d>
      </xdr:spPr>
      <xdr:style>
        <a:lnRef idx="2">
          <a:schemeClr val="accent1">
            <a:shade val="50000"/>
          </a:schemeClr>
        </a:lnRef>
        <a:fillRef idx="1001">
          <a:schemeClr val="lt1"/>
        </a:fillRef>
        <a:effectRef idx="0">
          <a:schemeClr val="accent1"/>
        </a:effectRef>
        <a:fontRef idx="minor">
          <a:schemeClr val="lt1"/>
        </a:fontRef>
      </xdr:style>
      <xdr:txBody>
        <a:bodyPr vertOverflow="clip" horzOverflow="clip" rtlCol="0" anchor="ctr"/>
        <a:lstStyle/>
        <a:p>
          <a:pPr algn="ctr"/>
          <a:r>
            <a:rPr lang="de-DE" sz="1100" b="1">
              <a:solidFill>
                <a:srgbClr val="002060"/>
              </a:solidFill>
            </a:rPr>
            <a:t>Rel. Effort per Topic</a:t>
          </a:r>
        </a:p>
      </xdr:txBody>
    </xdr:sp>
    <xdr:clientData/>
  </xdr:twoCellAnchor>
  <xdr:twoCellAnchor>
    <xdr:from>
      <xdr:col>13</xdr:col>
      <xdr:colOff>244475</xdr:colOff>
      <xdr:row>7</xdr:row>
      <xdr:rowOff>28575</xdr:rowOff>
    </xdr:from>
    <xdr:to>
      <xdr:col>21</xdr:col>
      <xdr:colOff>28575</xdr:colOff>
      <xdr:row>7</xdr:row>
      <xdr:rowOff>244475</xdr:rowOff>
    </xdr:to>
    <xdr:sp macro="[0]!ST_show_HCP_Overview" textlink="">
      <xdr:nvSpPr>
        <xdr:cNvPr id="140" name="Menu_13_HCPTrendPerTopic"/>
        <xdr:cNvSpPr/>
      </xdr:nvSpPr>
      <xdr:spPr>
        <a:xfrm>
          <a:off x="5473700" y="914400"/>
          <a:ext cx="2451100" cy="215900"/>
        </a:xfrm>
        <a:prstGeom prst="rect">
          <a:avLst/>
        </a:prstGeom>
        <a:ln w="6350" cap="flat" cmpd="sng" algn="ctr">
          <a:solidFill>
            <a:srgbClr val="002060"/>
          </a:solidFill>
          <a:prstDash val="solid"/>
          <a:round/>
          <a:headEnd type="none" w="med" len="med"/>
          <a:tailEnd type="none" w="med" len="med"/>
        </a:ln>
        <a:scene3d>
          <a:camera prst="orthographicFront"/>
          <a:lightRig rig="threePt" dir="t"/>
        </a:scene3d>
        <a:sp3d>
          <a:bevelT/>
        </a:sp3d>
      </xdr:spPr>
      <xdr:style>
        <a:lnRef idx="2">
          <a:schemeClr val="accent1">
            <a:shade val="50000"/>
          </a:schemeClr>
        </a:lnRef>
        <a:fillRef idx="1001">
          <a:schemeClr val="lt1"/>
        </a:fillRef>
        <a:effectRef idx="0">
          <a:schemeClr val="accent1"/>
        </a:effectRef>
        <a:fontRef idx="minor">
          <a:schemeClr val="lt1"/>
        </a:fontRef>
      </xdr:style>
      <xdr:txBody>
        <a:bodyPr vertOverflow="clip" horzOverflow="clip" rtlCol="0" anchor="ctr"/>
        <a:lstStyle/>
        <a:p>
          <a:pPr algn="ctr"/>
          <a:r>
            <a:rPr lang="de-DE" sz="1100" b="1">
              <a:solidFill>
                <a:srgbClr val="002060"/>
              </a:solidFill>
            </a:rPr>
            <a:t>HCP Trend per Topic</a:t>
          </a:r>
        </a:p>
      </xdr:txBody>
    </xdr:sp>
    <xdr:clientData/>
  </xdr:twoCellAnchor>
  <xdr:twoCellAnchor>
    <xdr:from>
      <xdr:col>21</xdr:col>
      <xdr:colOff>53975</xdr:colOff>
      <xdr:row>7</xdr:row>
      <xdr:rowOff>28575</xdr:rowOff>
    </xdr:from>
    <xdr:to>
      <xdr:col>27</xdr:col>
      <xdr:colOff>250825</xdr:colOff>
      <xdr:row>7</xdr:row>
      <xdr:rowOff>244475</xdr:rowOff>
    </xdr:to>
    <xdr:sp macro="[0]!ST_show_StatisticDetails" textlink="">
      <xdr:nvSpPr>
        <xdr:cNvPr id="141" name="Menu_14_StatisticDetails"/>
        <xdr:cNvSpPr/>
      </xdr:nvSpPr>
      <xdr:spPr>
        <a:xfrm>
          <a:off x="7950200" y="914400"/>
          <a:ext cx="2197100" cy="215900"/>
        </a:xfrm>
        <a:prstGeom prst="rect">
          <a:avLst/>
        </a:prstGeom>
        <a:ln w="6350" cap="flat" cmpd="sng" algn="ctr">
          <a:solidFill>
            <a:srgbClr val="002060"/>
          </a:solidFill>
          <a:prstDash val="solid"/>
          <a:round/>
          <a:headEnd type="none" w="med" len="med"/>
          <a:tailEnd type="none" w="med" len="med"/>
        </a:ln>
        <a:scene3d>
          <a:camera prst="orthographicFront"/>
          <a:lightRig rig="threePt" dir="t"/>
        </a:scene3d>
        <a:sp3d>
          <a:bevelT/>
        </a:sp3d>
      </xdr:spPr>
      <xdr:style>
        <a:lnRef idx="2">
          <a:schemeClr val="accent1">
            <a:shade val="50000"/>
          </a:schemeClr>
        </a:lnRef>
        <a:fillRef idx="1001">
          <a:schemeClr val="lt1"/>
        </a:fillRef>
        <a:effectRef idx="0">
          <a:schemeClr val="accent1"/>
        </a:effectRef>
        <a:fontRef idx="minor">
          <a:schemeClr val="lt1"/>
        </a:fontRef>
      </xdr:style>
      <xdr:txBody>
        <a:bodyPr vertOverflow="clip" horzOverflow="clip" rtlCol="0" anchor="ctr"/>
        <a:lstStyle/>
        <a:p>
          <a:pPr algn="ctr"/>
          <a:r>
            <a:rPr lang="de-DE" sz="1100" b="1">
              <a:solidFill>
                <a:srgbClr val="002060"/>
              </a:solidFill>
            </a:rPr>
            <a:t>Statistic Details</a:t>
          </a:r>
        </a:p>
      </xdr:txBody>
    </xdr:sp>
    <xdr:clientData/>
  </xdr:twoCellAnchor>
  <xdr:twoCellAnchor>
    <xdr:from>
      <xdr:col>0</xdr:col>
      <xdr:colOff>12700</xdr:colOff>
      <xdr:row>7</xdr:row>
      <xdr:rowOff>269875</xdr:rowOff>
    </xdr:from>
    <xdr:to>
      <xdr:col>1</xdr:col>
      <xdr:colOff>777875</xdr:colOff>
      <xdr:row>8</xdr:row>
      <xdr:rowOff>190500</xdr:rowOff>
    </xdr:to>
    <xdr:sp macro="[0]!ST_show_Month_HCP_Putting" textlink="">
      <xdr:nvSpPr>
        <xdr:cNvPr id="142" name="Menu_21_HCP_Putting"/>
        <xdr:cNvSpPr/>
      </xdr:nvSpPr>
      <xdr:spPr>
        <a:xfrm>
          <a:off x="12700" y="1155700"/>
          <a:ext cx="927100" cy="215900"/>
        </a:xfrm>
        <a:prstGeom prst="rect">
          <a:avLst/>
        </a:prstGeom>
        <a:ln w="6350" cap="flat" cmpd="sng" algn="ctr">
          <a:solidFill>
            <a:srgbClr val="002060"/>
          </a:solidFill>
          <a:prstDash val="solid"/>
          <a:round/>
          <a:headEnd type="none" w="med" len="med"/>
          <a:tailEnd type="none" w="med" len="med"/>
        </a:ln>
        <a:scene3d>
          <a:camera prst="orthographicFront"/>
          <a:lightRig rig="threePt" dir="t"/>
        </a:scene3d>
        <a:sp3d>
          <a:bevelT/>
        </a:sp3d>
      </xdr:spPr>
      <xdr:style>
        <a:lnRef idx="2">
          <a:schemeClr val="accent1">
            <a:shade val="50000"/>
          </a:schemeClr>
        </a:lnRef>
        <a:fillRef idx="1001">
          <a:schemeClr val="lt1"/>
        </a:fillRef>
        <a:effectRef idx="0">
          <a:schemeClr val="accent1"/>
        </a:effectRef>
        <a:fontRef idx="minor">
          <a:schemeClr val="lt1"/>
        </a:fontRef>
      </xdr:style>
      <xdr:txBody>
        <a:bodyPr vertOverflow="clip" horzOverflow="clip" rtlCol="0" anchor="ctr"/>
        <a:lstStyle/>
        <a:p>
          <a:pPr algn="ctr"/>
          <a:r>
            <a:rPr lang="de-DE" sz="1100" b="1">
              <a:solidFill>
                <a:srgbClr val="002060"/>
              </a:solidFill>
            </a:rPr>
            <a:t>Putting</a:t>
          </a:r>
        </a:p>
      </xdr:txBody>
    </xdr:sp>
    <xdr:clientData/>
  </xdr:twoCellAnchor>
  <xdr:twoCellAnchor>
    <xdr:from>
      <xdr:col>1</xdr:col>
      <xdr:colOff>803275</xdr:colOff>
      <xdr:row>7</xdr:row>
      <xdr:rowOff>269875</xdr:rowOff>
    </xdr:from>
    <xdr:to>
      <xdr:col>3</xdr:col>
      <xdr:colOff>447675</xdr:colOff>
      <xdr:row>8</xdr:row>
      <xdr:rowOff>190500</xdr:rowOff>
    </xdr:to>
    <xdr:sp macro="[0]!ST_show_Month_HCP_Chipping" textlink="">
      <xdr:nvSpPr>
        <xdr:cNvPr id="143" name="Menu_22_HCP_Chipping"/>
        <xdr:cNvSpPr/>
      </xdr:nvSpPr>
      <xdr:spPr>
        <a:xfrm>
          <a:off x="965200" y="1155700"/>
          <a:ext cx="1054100" cy="215900"/>
        </a:xfrm>
        <a:prstGeom prst="rect">
          <a:avLst/>
        </a:prstGeom>
        <a:ln w="6350" cap="flat" cmpd="sng" algn="ctr">
          <a:solidFill>
            <a:srgbClr val="002060"/>
          </a:solidFill>
          <a:prstDash val="solid"/>
          <a:round/>
          <a:headEnd type="none" w="med" len="med"/>
          <a:tailEnd type="none" w="med" len="med"/>
        </a:ln>
        <a:scene3d>
          <a:camera prst="orthographicFront"/>
          <a:lightRig rig="threePt" dir="t"/>
        </a:scene3d>
        <a:sp3d>
          <a:bevelT/>
        </a:sp3d>
      </xdr:spPr>
      <xdr:style>
        <a:lnRef idx="2">
          <a:schemeClr val="accent1">
            <a:shade val="50000"/>
          </a:schemeClr>
        </a:lnRef>
        <a:fillRef idx="1001">
          <a:schemeClr val="lt1"/>
        </a:fillRef>
        <a:effectRef idx="0">
          <a:schemeClr val="accent1"/>
        </a:effectRef>
        <a:fontRef idx="minor">
          <a:schemeClr val="lt1"/>
        </a:fontRef>
      </xdr:style>
      <xdr:txBody>
        <a:bodyPr vertOverflow="clip" horzOverflow="clip" rtlCol="0" anchor="ctr"/>
        <a:lstStyle/>
        <a:p>
          <a:pPr algn="ctr"/>
          <a:r>
            <a:rPr lang="de-DE" sz="1100" b="1">
              <a:solidFill>
                <a:srgbClr val="002060"/>
              </a:solidFill>
            </a:rPr>
            <a:t>Chipping</a:t>
          </a:r>
        </a:p>
      </xdr:txBody>
    </xdr:sp>
    <xdr:clientData/>
  </xdr:twoCellAnchor>
  <xdr:twoCellAnchor>
    <xdr:from>
      <xdr:col>3</xdr:col>
      <xdr:colOff>473075</xdr:colOff>
      <xdr:row>7</xdr:row>
      <xdr:rowOff>269875</xdr:rowOff>
    </xdr:from>
    <xdr:to>
      <xdr:col>6</xdr:col>
      <xdr:colOff>203200</xdr:colOff>
      <xdr:row>8</xdr:row>
      <xdr:rowOff>190500</xdr:rowOff>
    </xdr:to>
    <xdr:sp macro="[0]!ST_show_Month_HCP_Pitching" textlink="">
      <xdr:nvSpPr>
        <xdr:cNvPr id="144" name="Menu_23_HCP_Pitching"/>
        <xdr:cNvSpPr/>
      </xdr:nvSpPr>
      <xdr:spPr>
        <a:xfrm>
          <a:off x="2044700" y="1155700"/>
          <a:ext cx="1054100" cy="215900"/>
        </a:xfrm>
        <a:prstGeom prst="rect">
          <a:avLst/>
        </a:prstGeom>
        <a:ln w="6350" cap="flat" cmpd="sng" algn="ctr">
          <a:solidFill>
            <a:srgbClr val="002060"/>
          </a:solidFill>
          <a:prstDash val="solid"/>
          <a:round/>
          <a:headEnd type="none" w="med" len="med"/>
          <a:tailEnd type="none" w="med" len="med"/>
        </a:ln>
        <a:scene3d>
          <a:camera prst="orthographicFront"/>
          <a:lightRig rig="threePt" dir="t"/>
        </a:scene3d>
        <a:sp3d>
          <a:bevelT/>
        </a:sp3d>
      </xdr:spPr>
      <xdr:style>
        <a:lnRef idx="2">
          <a:schemeClr val="accent1">
            <a:shade val="50000"/>
          </a:schemeClr>
        </a:lnRef>
        <a:fillRef idx="1001">
          <a:schemeClr val="lt1"/>
        </a:fillRef>
        <a:effectRef idx="0">
          <a:schemeClr val="accent1"/>
        </a:effectRef>
        <a:fontRef idx="minor">
          <a:schemeClr val="lt1"/>
        </a:fontRef>
      </xdr:style>
      <xdr:txBody>
        <a:bodyPr vertOverflow="clip" horzOverflow="clip" rtlCol="0" anchor="ctr"/>
        <a:lstStyle/>
        <a:p>
          <a:pPr algn="ctr"/>
          <a:r>
            <a:rPr lang="de-DE" sz="1100" b="1">
              <a:solidFill>
                <a:srgbClr val="002060"/>
              </a:solidFill>
            </a:rPr>
            <a:t>Pitching</a:t>
          </a:r>
        </a:p>
      </xdr:txBody>
    </xdr:sp>
    <xdr:clientData/>
  </xdr:twoCellAnchor>
  <xdr:twoCellAnchor>
    <xdr:from>
      <xdr:col>6</xdr:col>
      <xdr:colOff>228600</xdr:colOff>
      <xdr:row>7</xdr:row>
      <xdr:rowOff>269875</xdr:rowOff>
    </xdr:from>
    <xdr:to>
      <xdr:col>11</xdr:col>
      <xdr:colOff>123825</xdr:colOff>
      <xdr:row>8</xdr:row>
      <xdr:rowOff>190500</xdr:rowOff>
    </xdr:to>
    <xdr:sp macro="[0]!ST_show_Month_HCP_ApproachShot" textlink="">
      <xdr:nvSpPr>
        <xdr:cNvPr id="145" name="Menu_24_HCP_ApproachShot"/>
        <xdr:cNvSpPr/>
      </xdr:nvSpPr>
      <xdr:spPr>
        <a:xfrm>
          <a:off x="3124200" y="1155700"/>
          <a:ext cx="1562100" cy="215900"/>
        </a:xfrm>
        <a:prstGeom prst="rect">
          <a:avLst/>
        </a:prstGeom>
        <a:ln w="6350" cap="flat" cmpd="sng" algn="ctr">
          <a:solidFill>
            <a:srgbClr val="002060"/>
          </a:solidFill>
          <a:prstDash val="solid"/>
          <a:round/>
          <a:headEnd type="none" w="med" len="med"/>
          <a:tailEnd type="none" w="med" len="med"/>
        </a:ln>
        <a:scene3d>
          <a:camera prst="orthographicFront"/>
          <a:lightRig rig="threePt" dir="t"/>
        </a:scene3d>
        <a:sp3d>
          <a:bevelT/>
        </a:sp3d>
      </xdr:spPr>
      <xdr:style>
        <a:lnRef idx="2">
          <a:schemeClr val="accent1">
            <a:shade val="50000"/>
          </a:schemeClr>
        </a:lnRef>
        <a:fillRef idx="1002">
          <a:schemeClr val="dk2"/>
        </a:fillRef>
        <a:effectRef idx="0">
          <a:schemeClr val="accent1"/>
        </a:effectRef>
        <a:fontRef idx="minor">
          <a:schemeClr val="lt1"/>
        </a:fontRef>
      </xdr:style>
      <xdr:txBody>
        <a:bodyPr vertOverflow="clip" horzOverflow="clip" rtlCol="0" anchor="ctr"/>
        <a:lstStyle/>
        <a:p>
          <a:pPr algn="ctr"/>
          <a:r>
            <a:rPr lang="de-DE" sz="1100" b="1">
              <a:solidFill>
                <a:srgbClr val="002060"/>
              </a:solidFill>
            </a:rPr>
            <a:t>ApproachShot</a:t>
          </a:r>
        </a:p>
      </xdr:txBody>
    </xdr:sp>
    <xdr:clientData/>
  </xdr:twoCellAnchor>
  <xdr:twoCellAnchor>
    <xdr:from>
      <xdr:col>11</xdr:col>
      <xdr:colOff>149225</xdr:colOff>
      <xdr:row>7</xdr:row>
      <xdr:rowOff>269875</xdr:rowOff>
    </xdr:from>
    <xdr:to>
      <xdr:col>13</xdr:col>
      <xdr:colOff>28575</xdr:colOff>
      <xdr:row>8</xdr:row>
      <xdr:rowOff>190500</xdr:rowOff>
    </xdr:to>
    <xdr:sp macro="[0]!ST_show_Month_HCP_Wood" textlink="">
      <xdr:nvSpPr>
        <xdr:cNvPr id="146" name="Menu_25_HCP_Wood"/>
        <xdr:cNvSpPr/>
      </xdr:nvSpPr>
      <xdr:spPr>
        <a:xfrm>
          <a:off x="4711700" y="1155700"/>
          <a:ext cx="546100" cy="215900"/>
        </a:xfrm>
        <a:prstGeom prst="rect">
          <a:avLst/>
        </a:prstGeom>
        <a:ln w="6350" cap="flat" cmpd="sng" algn="ctr">
          <a:solidFill>
            <a:srgbClr val="002060"/>
          </a:solidFill>
          <a:prstDash val="solid"/>
          <a:round/>
          <a:headEnd type="none" w="med" len="med"/>
          <a:tailEnd type="none" w="med" len="med"/>
        </a:ln>
        <a:scene3d>
          <a:camera prst="orthographicFront"/>
          <a:lightRig rig="threePt" dir="t"/>
        </a:scene3d>
        <a:sp3d>
          <a:bevelT/>
        </a:sp3d>
      </xdr:spPr>
      <xdr:style>
        <a:lnRef idx="2">
          <a:schemeClr val="accent1">
            <a:shade val="50000"/>
          </a:schemeClr>
        </a:lnRef>
        <a:fillRef idx="1001">
          <a:schemeClr val="lt1"/>
        </a:fillRef>
        <a:effectRef idx="0">
          <a:schemeClr val="accent1"/>
        </a:effectRef>
        <a:fontRef idx="minor">
          <a:schemeClr val="lt1"/>
        </a:fontRef>
      </xdr:style>
      <xdr:txBody>
        <a:bodyPr vertOverflow="clip" horzOverflow="clip" rtlCol="0" anchor="ctr"/>
        <a:lstStyle/>
        <a:p>
          <a:pPr algn="ctr"/>
          <a:r>
            <a:rPr lang="de-DE" sz="1100" b="1">
              <a:solidFill>
                <a:srgbClr val="002060"/>
              </a:solidFill>
            </a:rPr>
            <a:t>Wood</a:t>
          </a:r>
        </a:p>
      </xdr:txBody>
    </xdr:sp>
    <xdr:clientData/>
  </xdr:twoCellAnchor>
  <xdr:twoCellAnchor>
    <xdr:from>
      <xdr:col>13</xdr:col>
      <xdr:colOff>53975</xdr:colOff>
      <xdr:row>7</xdr:row>
      <xdr:rowOff>269875</xdr:rowOff>
    </xdr:from>
    <xdr:to>
      <xdr:col>15</xdr:col>
      <xdr:colOff>187325</xdr:colOff>
      <xdr:row>8</xdr:row>
      <xdr:rowOff>190500</xdr:rowOff>
    </xdr:to>
    <xdr:sp macro="[0]!ST_show_Month_HCP_Driver" textlink="">
      <xdr:nvSpPr>
        <xdr:cNvPr id="147" name="Menu_26_HCP_Driver"/>
        <xdr:cNvSpPr/>
      </xdr:nvSpPr>
      <xdr:spPr>
        <a:xfrm>
          <a:off x="5283200" y="1155700"/>
          <a:ext cx="800100" cy="215900"/>
        </a:xfrm>
        <a:prstGeom prst="rect">
          <a:avLst/>
        </a:prstGeom>
        <a:ln w="6350" cap="flat" cmpd="sng" algn="ctr">
          <a:solidFill>
            <a:srgbClr val="002060"/>
          </a:solidFill>
          <a:prstDash val="solid"/>
          <a:round/>
          <a:headEnd type="none" w="med" len="med"/>
          <a:tailEnd type="none" w="med" len="med"/>
        </a:ln>
        <a:scene3d>
          <a:camera prst="orthographicFront"/>
          <a:lightRig rig="threePt" dir="t"/>
        </a:scene3d>
        <a:sp3d>
          <a:bevelT/>
        </a:sp3d>
      </xdr:spPr>
      <xdr:style>
        <a:lnRef idx="2">
          <a:schemeClr val="accent1">
            <a:shade val="50000"/>
          </a:schemeClr>
        </a:lnRef>
        <a:fillRef idx="1001">
          <a:schemeClr val="lt1"/>
        </a:fillRef>
        <a:effectRef idx="0">
          <a:schemeClr val="accent1"/>
        </a:effectRef>
        <a:fontRef idx="minor">
          <a:schemeClr val="lt1"/>
        </a:fontRef>
      </xdr:style>
      <xdr:txBody>
        <a:bodyPr vertOverflow="clip" horzOverflow="clip" rtlCol="0" anchor="ctr"/>
        <a:lstStyle/>
        <a:p>
          <a:pPr algn="ctr"/>
          <a:r>
            <a:rPr lang="de-DE" sz="1100" b="1">
              <a:solidFill>
                <a:srgbClr val="002060"/>
              </a:solidFill>
            </a:rPr>
            <a:t>Driver</a:t>
          </a:r>
        </a:p>
      </xdr:txBody>
    </xdr:sp>
    <xdr:clientData/>
  </xdr:twoCellAnchor>
  <xdr:twoCellAnchor>
    <xdr:from>
      <xdr:col>15</xdr:col>
      <xdr:colOff>212725</xdr:colOff>
      <xdr:row>7</xdr:row>
      <xdr:rowOff>269875</xdr:rowOff>
    </xdr:from>
    <xdr:to>
      <xdr:col>18</xdr:col>
      <xdr:colOff>12700</xdr:colOff>
      <xdr:row>8</xdr:row>
      <xdr:rowOff>190500</xdr:rowOff>
    </xdr:to>
    <xdr:sp macro="[0]!ST_show_Month_HCP_Bunker" textlink="">
      <xdr:nvSpPr>
        <xdr:cNvPr id="148" name="Menu_27_HCP_Bunker"/>
        <xdr:cNvSpPr/>
      </xdr:nvSpPr>
      <xdr:spPr>
        <a:xfrm>
          <a:off x="6108700" y="1155700"/>
          <a:ext cx="800100" cy="215900"/>
        </a:xfrm>
        <a:prstGeom prst="rect">
          <a:avLst/>
        </a:prstGeom>
        <a:ln w="6350" cap="flat" cmpd="sng" algn="ctr">
          <a:solidFill>
            <a:srgbClr val="002060"/>
          </a:solidFill>
          <a:prstDash val="solid"/>
          <a:round/>
          <a:headEnd type="none" w="med" len="med"/>
          <a:tailEnd type="none" w="med" len="med"/>
        </a:ln>
        <a:scene3d>
          <a:camera prst="orthographicFront"/>
          <a:lightRig rig="threePt" dir="t"/>
        </a:scene3d>
        <a:sp3d>
          <a:bevelT/>
        </a:sp3d>
      </xdr:spPr>
      <xdr:style>
        <a:lnRef idx="2">
          <a:schemeClr val="accent1">
            <a:shade val="50000"/>
          </a:schemeClr>
        </a:lnRef>
        <a:fillRef idx="1001">
          <a:schemeClr val="lt1"/>
        </a:fillRef>
        <a:effectRef idx="0">
          <a:schemeClr val="accent1"/>
        </a:effectRef>
        <a:fontRef idx="minor">
          <a:schemeClr val="lt1"/>
        </a:fontRef>
      </xdr:style>
      <xdr:txBody>
        <a:bodyPr vertOverflow="clip" horzOverflow="clip" rtlCol="0" anchor="ctr"/>
        <a:lstStyle/>
        <a:p>
          <a:pPr algn="ctr"/>
          <a:r>
            <a:rPr lang="de-DE" sz="1100" b="1">
              <a:solidFill>
                <a:srgbClr val="002060"/>
              </a:solidFill>
            </a:rPr>
            <a:t>Bunker</a:t>
          </a:r>
        </a:p>
      </xdr:txBody>
    </xdr:sp>
    <xdr:clientData/>
  </xdr:twoCellAnchor>
  <xdr:twoCellAnchor>
    <xdr:from>
      <xdr:col>18</xdr:col>
      <xdr:colOff>38100</xdr:colOff>
      <xdr:row>7</xdr:row>
      <xdr:rowOff>269875</xdr:rowOff>
    </xdr:from>
    <xdr:to>
      <xdr:col>20</xdr:col>
      <xdr:colOff>171450</xdr:colOff>
      <xdr:row>8</xdr:row>
      <xdr:rowOff>190500</xdr:rowOff>
    </xdr:to>
    <xdr:sp macro="[0]!ST_show_Month_HCP_Mental" textlink="">
      <xdr:nvSpPr>
        <xdr:cNvPr id="149" name="Menu_28_HCP_Mental"/>
        <xdr:cNvSpPr/>
      </xdr:nvSpPr>
      <xdr:spPr>
        <a:xfrm>
          <a:off x="6934200" y="1155700"/>
          <a:ext cx="800100" cy="215900"/>
        </a:xfrm>
        <a:prstGeom prst="rect">
          <a:avLst/>
        </a:prstGeom>
        <a:ln w="6350" cap="flat" cmpd="sng" algn="ctr">
          <a:solidFill>
            <a:srgbClr val="002060"/>
          </a:solidFill>
          <a:prstDash val="solid"/>
          <a:round/>
          <a:headEnd type="none" w="med" len="med"/>
          <a:tailEnd type="none" w="med" len="med"/>
        </a:ln>
        <a:scene3d>
          <a:camera prst="orthographicFront"/>
          <a:lightRig rig="threePt" dir="t"/>
        </a:scene3d>
        <a:sp3d>
          <a:bevelT/>
        </a:sp3d>
      </xdr:spPr>
      <xdr:style>
        <a:lnRef idx="2">
          <a:schemeClr val="accent1">
            <a:shade val="50000"/>
          </a:schemeClr>
        </a:lnRef>
        <a:fillRef idx="1001">
          <a:schemeClr val="lt1"/>
        </a:fillRef>
        <a:effectRef idx="0">
          <a:schemeClr val="accent1"/>
        </a:effectRef>
        <a:fontRef idx="minor">
          <a:schemeClr val="lt1"/>
        </a:fontRef>
      </xdr:style>
      <xdr:txBody>
        <a:bodyPr vertOverflow="clip" horzOverflow="clip" rtlCol="0" anchor="ctr"/>
        <a:lstStyle/>
        <a:p>
          <a:pPr algn="ctr"/>
          <a:r>
            <a:rPr lang="de-DE" sz="1100" b="1">
              <a:solidFill>
                <a:srgbClr val="002060"/>
              </a:solidFill>
            </a:rPr>
            <a:t>Mental</a:t>
          </a:r>
        </a:p>
      </xdr:txBody>
    </xdr:sp>
    <xdr:clientData/>
  </xdr:twoCellAnchor>
  <xdr:twoCellAnchor>
    <xdr:from>
      <xdr:col>20</xdr:col>
      <xdr:colOff>196850</xdr:colOff>
      <xdr:row>7</xdr:row>
      <xdr:rowOff>269875</xdr:rowOff>
    </xdr:from>
    <xdr:to>
      <xdr:col>24</xdr:col>
      <xdr:colOff>298450</xdr:colOff>
      <xdr:row>8</xdr:row>
      <xdr:rowOff>190500</xdr:rowOff>
    </xdr:to>
    <xdr:sp macro="[0]!ST_show_Month_HCP_RoundofGolf" textlink="">
      <xdr:nvSpPr>
        <xdr:cNvPr id="150" name="Menu_29_HCP_RoundofGolf"/>
        <xdr:cNvSpPr/>
      </xdr:nvSpPr>
      <xdr:spPr>
        <a:xfrm>
          <a:off x="7759700" y="1155700"/>
          <a:ext cx="1435100" cy="215900"/>
        </a:xfrm>
        <a:prstGeom prst="rect">
          <a:avLst/>
        </a:prstGeom>
        <a:ln w="6350" cap="flat" cmpd="sng" algn="ctr">
          <a:solidFill>
            <a:srgbClr val="002060"/>
          </a:solidFill>
          <a:prstDash val="solid"/>
          <a:round/>
          <a:headEnd type="none" w="med" len="med"/>
          <a:tailEnd type="none" w="med" len="med"/>
        </a:ln>
        <a:scene3d>
          <a:camera prst="orthographicFront"/>
          <a:lightRig rig="threePt" dir="t"/>
        </a:scene3d>
        <a:sp3d>
          <a:bevelT/>
        </a:sp3d>
      </xdr:spPr>
      <xdr:style>
        <a:lnRef idx="2">
          <a:schemeClr val="accent1">
            <a:shade val="50000"/>
          </a:schemeClr>
        </a:lnRef>
        <a:fillRef idx="1001">
          <a:schemeClr val="lt1"/>
        </a:fillRef>
        <a:effectRef idx="0">
          <a:schemeClr val="accent1"/>
        </a:effectRef>
        <a:fontRef idx="minor">
          <a:schemeClr val="lt1"/>
        </a:fontRef>
      </xdr:style>
      <xdr:txBody>
        <a:bodyPr vertOverflow="clip" horzOverflow="clip" rtlCol="0" anchor="ctr"/>
        <a:lstStyle/>
        <a:p>
          <a:pPr algn="ctr"/>
          <a:r>
            <a:rPr lang="de-DE" sz="1100" b="1">
              <a:solidFill>
                <a:srgbClr val="002060"/>
              </a:solidFill>
            </a:rPr>
            <a:t>RoundofGolf</a:t>
          </a:r>
        </a:p>
      </xdr:txBody>
    </xdr:sp>
    <xdr:clientData/>
  </xdr:twoCellAnchor>
  <xdr:oneCellAnchor>
    <xdr:from>
      <xdr:col>20</xdr:col>
      <xdr:colOff>329140</xdr:colOff>
      <xdr:row>3</xdr:row>
      <xdr:rowOff>941915</xdr:rowOff>
    </xdr:from>
    <xdr:ext cx="338667" cy="338667"/>
    <xdr:pic macro="[0]!Menu.start_SelectMonthYear">
      <xdr:nvPicPr>
        <xdr:cNvPr id="39" name="STAT_SELECT_BUTTON_MONTH" hidden="1"/>
        <xdr:cNvPicPr>
          <a:picLocks noChangeAspect="1"/>
        </xdr:cNvPicPr>
      </xdr:nvPicPr>
      <xdr:blipFill>
        <a:blip xmlns:r="http://schemas.openxmlformats.org/officeDocument/2006/relationships" r:embed="rId2"/>
        <a:stretch>
          <a:fillRect/>
        </a:stretch>
      </xdr:blipFill>
      <xdr:spPr>
        <a:xfrm>
          <a:off x="7970307" y="1534582"/>
          <a:ext cx="338667" cy="338667"/>
        </a:xfrm>
        <a:prstGeom prst="rect">
          <a:avLst/>
        </a:prstGeom>
      </xdr:spPr>
    </xdr:pic>
    <xdr:clientData fPrintsWithSheet="0"/>
  </xdr:oneCellAnchor>
  <xdr:twoCellAnchor editAs="oneCell">
    <xdr:from>
      <xdr:col>43</xdr:col>
      <xdr:colOff>1</xdr:colOff>
      <xdr:row>0</xdr:row>
      <xdr:rowOff>1</xdr:rowOff>
    </xdr:from>
    <xdr:to>
      <xdr:col>45</xdr:col>
      <xdr:colOff>1</xdr:colOff>
      <xdr:row>2</xdr:row>
      <xdr:rowOff>0</xdr:rowOff>
    </xdr:to>
    <xdr:pic>
      <xdr:nvPicPr>
        <xdr:cNvPr id="48" name="Grafik 47"/>
        <xdr:cNvPicPr>
          <a:picLocks noChangeAspect="1"/>
        </xdr:cNvPicPr>
      </xdr:nvPicPr>
      <xdr:blipFill>
        <a:blip xmlns:r="http://schemas.openxmlformats.org/officeDocument/2006/relationships" r:embed="rId23"/>
        <a:stretch>
          <a:fillRect/>
        </a:stretch>
      </xdr:blipFill>
      <xdr:spPr>
        <a:xfrm>
          <a:off x="17504834" y="1"/>
          <a:ext cx="1375834" cy="1185332"/>
        </a:xfrm>
        <a:prstGeom prst="rect">
          <a:avLst/>
        </a:prstGeom>
      </xdr:spPr>
    </xdr:pic>
    <xdr:clientData/>
  </xdr:twoCellAnchor>
  <xdr:twoCellAnchor editAs="oneCell">
    <xdr:from>
      <xdr:col>35</xdr:col>
      <xdr:colOff>0</xdr:colOff>
      <xdr:row>0</xdr:row>
      <xdr:rowOff>733</xdr:rowOff>
    </xdr:from>
    <xdr:to>
      <xdr:col>37</xdr:col>
      <xdr:colOff>251178</xdr:colOff>
      <xdr:row>1</xdr:row>
      <xdr:rowOff>189225</xdr:rowOff>
    </xdr:to>
    <xdr:pic macro="[0]!Menu.setHomeWorksheet">
      <xdr:nvPicPr>
        <xdr:cNvPr id="41" name="Menu_ST_0_Home"/>
        <xdr:cNvPicPr>
          <a:picLocks noChangeAspect="1"/>
        </xdr:cNvPicPr>
      </xdr:nvPicPr>
      <xdr:blipFill>
        <a:blip xmlns:r="http://schemas.openxmlformats.org/officeDocument/2006/relationships" r:embed="rId24"/>
        <a:stretch>
          <a:fillRect/>
        </a:stretch>
      </xdr:blipFill>
      <xdr:spPr>
        <a:xfrm>
          <a:off x="12721167" y="733"/>
          <a:ext cx="759178" cy="781159"/>
        </a:xfrm>
        <a:prstGeom prst="rect">
          <a:avLst/>
        </a:prstGeom>
      </xdr:spPr>
    </xdr:pic>
    <xdr:clientData/>
  </xdr:twoCellAnchor>
  <xdr:twoCellAnchor editAs="oneCell">
    <xdr:from>
      <xdr:col>37</xdr:col>
      <xdr:colOff>273783</xdr:colOff>
      <xdr:row>0</xdr:row>
      <xdr:rowOff>0</xdr:rowOff>
    </xdr:from>
    <xdr:to>
      <xdr:col>37</xdr:col>
      <xdr:colOff>1063735</xdr:colOff>
      <xdr:row>1</xdr:row>
      <xdr:rowOff>188492</xdr:rowOff>
    </xdr:to>
    <xdr:pic macro="[0]!Menu.start_UsageDescription">
      <xdr:nvPicPr>
        <xdr:cNvPr id="46" name="Menu_ST_0_Help"/>
        <xdr:cNvPicPr>
          <a:picLocks noChangeAspect="1"/>
        </xdr:cNvPicPr>
      </xdr:nvPicPr>
      <xdr:blipFill>
        <a:blip xmlns:r="http://schemas.openxmlformats.org/officeDocument/2006/relationships" r:embed="rId25"/>
        <a:stretch>
          <a:fillRect/>
        </a:stretch>
      </xdr:blipFill>
      <xdr:spPr>
        <a:xfrm>
          <a:off x="13502950" y="0"/>
          <a:ext cx="789952" cy="781159"/>
        </a:xfrm>
        <a:prstGeom prst="rect">
          <a:avLst/>
        </a:prstGeom>
      </xdr:spPr>
    </xdr:pic>
    <xdr:clientData/>
  </xdr:twoCellAnchor>
  <xdr:twoCellAnchor editAs="oneCell">
    <xdr:from>
      <xdr:col>18</xdr:col>
      <xdr:colOff>0</xdr:colOff>
      <xdr:row>0</xdr:row>
      <xdr:rowOff>0</xdr:rowOff>
    </xdr:from>
    <xdr:to>
      <xdr:col>20</xdr:col>
      <xdr:colOff>103825</xdr:colOff>
      <xdr:row>1</xdr:row>
      <xdr:rowOff>178966</xdr:rowOff>
    </xdr:to>
    <xdr:pic macro="[0]!Menu.StatisticPrinter">
      <xdr:nvPicPr>
        <xdr:cNvPr id="43" name="Menu_WPV_0_PrintWorkplan"/>
        <xdr:cNvPicPr>
          <a:picLocks noChangeAspect="1"/>
        </xdr:cNvPicPr>
      </xdr:nvPicPr>
      <xdr:blipFill>
        <a:blip xmlns:r="http://schemas.openxmlformats.org/officeDocument/2006/relationships" r:embed="rId26"/>
        <a:stretch>
          <a:fillRect/>
        </a:stretch>
      </xdr:blipFill>
      <xdr:spPr>
        <a:xfrm>
          <a:off x="6963833" y="0"/>
          <a:ext cx="781159" cy="771633"/>
        </a:xfrm>
        <a:prstGeom prst="rect">
          <a:avLst/>
        </a:prstGeom>
      </xdr:spPr>
    </xdr:pic>
    <xdr:clientData fPrintsWithSheet="0"/>
  </xdr:twoCellAnchor>
</xdr:wsDr>
</file>

<file path=xl/drawings/drawing4.xml><?xml version="1.0" encoding="utf-8"?>
<xdr:wsDr xmlns:xdr="http://schemas.openxmlformats.org/drawingml/2006/spreadsheetDrawing" xmlns:a="http://schemas.openxmlformats.org/drawingml/2006/main">
  <xdr:twoCellAnchor editAs="oneCell">
    <xdr:from>
      <xdr:col>5</xdr:col>
      <xdr:colOff>0</xdr:colOff>
      <xdr:row>0</xdr:row>
      <xdr:rowOff>0</xdr:rowOff>
    </xdr:from>
    <xdr:to>
      <xdr:col>6</xdr:col>
      <xdr:colOff>0</xdr:colOff>
      <xdr:row>1</xdr:row>
      <xdr:rowOff>581442</xdr:rowOff>
    </xdr:to>
    <xdr:pic>
      <xdr:nvPicPr>
        <xdr:cNvPr id="2" name="Grafik 1"/>
        <xdr:cNvPicPr>
          <a:picLocks noChangeAspect="1"/>
        </xdr:cNvPicPr>
      </xdr:nvPicPr>
      <xdr:blipFill>
        <a:blip xmlns:r="http://schemas.openxmlformats.org/officeDocument/2006/relationships" r:embed="rId1"/>
        <a:stretch>
          <a:fillRect/>
        </a:stretch>
      </xdr:blipFill>
      <xdr:spPr>
        <a:xfrm>
          <a:off x="9731375" y="0"/>
          <a:ext cx="1079500" cy="104181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60</xdr:col>
      <xdr:colOff>64401</xdr:colOff>
      <xdr:row>0</xdr:row>
      <xdr:rowOff>52148</xdr:rowOff>
    </xdr:from>
    <xdr:to>
      <xdr:col>61</xdr:col>
      <xdr:colOff>195973</xdr:colOff>
      <xdr:row>1</xdr:row>
      <xdr:rowOff>95252</xdr:rowOff>
    </xdr:to>
    <xdr:pic macro="[0]!Menu.setHomeWorksheet">
      <xdr:nvPicPr>
        <xdr:cNvPr id="2" name="Grafik 1"/>
        <xdr:cNvPicPr>
          <a:picLocks noChangeAspect="1"/>
        </xdr:cNvPicPr>
      </xdr:nvPicPr>
      <xdr:blipFill>
        <a:blip xmlns:r="http://schemas.openxmlformats.org/officeDocument/2006/relationships" r:embed="rId1"/>
        <a:stretch>
          <a:fillRect/>
        </a:stretch>
      </xdr:blipFill>
      <xdr:spPr>
        <a:xfrm>
          <a:off x="9041714" y="52148"/>
          <a:ext cx="381603" cy="39433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186</xdr:row>
      <xdr:rowOff>0</xdr:rowOff>
    </xdr:from>
    <xdr:to>
      <xdr:col>18</xdr:col>
      <xdr:colOff>0</xdr:colOff>
      <xdr:row>200</xdr:row>
      <xdr:rowOff>0</xdr:rowOff>
    </xdr:to>
    <xdr:graphicFrame macro="">
      <xdr:nvGraphicFramePr>
        <xdr:cNvPr id="4" name="Diagramm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41</xdr:col>
      <xdr:colOff>28575</xdr:colOff>
      <xdr:row>30</xdr:row>
      <xdr:rowOff>184150</xdr:rowOff>
    </xdr:from>
    <xdr:to>
      <xdr:col>45</xdr:col>
      <xdr:colOff>635000</xdr:colOff>
      <xdr:row>63</xdr:row>
      <xdr:rowOff>25400</xdr:rowOff>
    </xdr:to>
    <xdr:sp macro="" textlink="">
      <xdr:nvSpPr>
        <xdr:cNvPr id="3" name="Textfeld 2"/>
        <xdr:cNvSpPr txBox="1"/>
      </xdr:nvSpPr>
      <xdr:spPr>
        <a:xfrm>
          <a:off x="30584775" y="5784850"/>
          <a:ext cx="4092575" cy="612775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2000"/>
            <a:t>Kalkuliere</a:t>
          </a:r>
          <a:r>
            <a:rPr lang="en-US" sz="2000" baseline="0"/>
            <a:t> den Tag, wo als letztes geübt wurde.</a:t>
          </a:r>
        </a:p>
        <a:p>
          <a:r>
            <a:rPr lang="en-US" sz="2000" baseline="0"/>
            <a:t>Dort nehme das Handicap aus dem DBR Rekord</a:t>
          </a:r>
        </a:p>
        <a:p>
          <a:r>
            <a:rPr lang="en-US" sz="2000" baseline="0"/>
            <a:t>DIes wird nun immer vom Handicap abgezogen.</a:t>
          </a:r>
        </a:p>
        <a:p>
          <a:endParaRPr lang="en-US" sz="2000" baseline="0"/>
        </a:p>
        <a:p>
          <a:r>
            <a:rPr lang="en-US" sz="2000" baseline="0"/>
            <a:t>Darauf erkennt man releativ, wo man </a:t>
          </a:r>
        </a:p>
        <a:p>
          <a:r>
            <a:rPr lang="en-US" sz="2000" baseline="0"/>
            <a:t>am schwächsten agiert.</a:t>
          </a:r>
        </a:p>
        <a:p>
          <a:r>
            <a:rPr lang="en-US" sz="2000" baseline="0"/>
            <a:t>Frage ist: relativer oder absoluter Unterschied?</a:t>
          </a:r>
          <a:endParaRPr lang="en-US" sz="2000"/>
        </a:p>
      </xdr:txBody>
    </xdr:sp>
    <xdr:clientData/>
  </xdr:twoCellAnchor>
  <xdr:twoCellAnchor>
    <xdr:from>
      <xdr:col>12</xdr:col>
      <xdr:colOff>755197</xdr:colOff>
      <xdr:row>140</xdr:row>
      <xdr:rowOff>0</xdr:rowOff>
    </xdr:from>
    <xdr:to>
      <xdr:col>26</xdr:col>
      <xdr:colOff>81643</xdr:colOff>
      <xdr:row>158</xdr:row>
      <xdr:rowOff>24492</xdr:rowOff>
    </xdr:to>
    <xdr:graphicFrame macro="">
      <xdr:nvGraphicFramePr>
        <xdr:cNvPr id="5" name="Diagramm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0</xdr:colOff>
      <xdr:row>163</xdr:row>
      <xdr:rowOff>0</xdr:rowOff>
    </xdr:from>
    <xdr:to>
      <xdr:col>29</xdr:col>
      <xdr:colOff>54428</xdr:colOff>
      <xdr:row>181</xdr:row>
      <xdr:rowOff>24492</xdr:rowOff>
    </xdr:to>
    <xdr:graphicFrame macro="">
      <xdr:nvGraphicFramePr>
        <xdr:cNvPr id="6" name="Diagramm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12</xdr:col>
      <xdr:colOff>755197</xdr:colOff>
      <xdr:row>119</xdr:row>
      <xdr:rowOff>0</xdr:rowOff>
    </xdr:from>
    <xdr:to>
      <xdr:col>26</xdr:col>
      <xdr:colOff>81643</xdr:colOff>
      <xdr:row>137</xdr:row>
      <xdr:rowOff>24492</xdr:rowOff>
    </xdr:to>
    <xdr:graphicFrame macro="">
      <xdr:nvGraphicFramePr>
        <xdr:cNvPr id="7" name="Diagramm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7.xml><?xml version="1.0" encoding="utf-8"?>
<c:userShapes xmlns:c="http://schemas.openxmlformats.org/drawingml/2006/chart">
  <cdr:relSizeAnchor xmlns:cdr="http://schemas.openxmlformats.org/drawingml/2006/chartDrawing">
    <cdr:from>
      <cdr:x>0.78662</cdr:x>
      <cdr:y>0.13714</cdr:y>
    </cdr:from>
    <cdr:to>
      <cdr:x>0.96843</cdr:x>
      <cdr:y>0.31429</cdr:y>
    </cdr:to>
    <cdr:sp macro="" textlink="'_Data Status Month'!$S$187:$U$189">
      <cdr:nvSpPr>
        <cdr:cNvPr id="2" name="Rechteck 1"/>
        <cdr:cNvSpPr/>
      </cdr:nvSpPr>
      <cdr:spPr>
        <a:xfrm xmlns:a="http://schemas.openxmlformats.org/drawingml/2006/main">
          <a:off x="9890125" y="381000"/>
          <a:ext cx="2286000" cy="492125"/>
        </a:xfrm>
        <a:prstGeom xmlns:a="http://schemas.openxmlformats.org/drawingml/2006/main" prst="rect">
          <a:avLst/>
        </a:prstGeom>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nchor="ctr" anchorCtr="1"/>
        <a:lstStyle xmlns:a="http://schemas.openxmlformats.org/drawingml/2006/main"/>
        <a:p xmlns:a="http://schemas.openxmlformats.org/drawingml/2006/main">
          <a:fld id="{E1902F39-7906-4E2F-903D-95D45E417276}" type="TxLink">
            <a:rPr lang="en-US" sz="3600" b="0" i="0" u="none" strike="noStrike">
              <a:solidFill>
                <a:srgbClr val="000000"/>
              </a:solidFill>
              <a:latin typeface="Calibri"/>
            </a:rPr>
            <a:pPr/>
            <a:t>9,5</a:t>
          </a:fld>
          <a:endParaRPr lang="en-US"/>
        </a:p>
      </cdr:txBody>
    </cdr:sp>
  </cdr:relSizeAnchor>
  <cdr:relSizeAnchor xmlns:cdr="http://schemas.openxmlformats.org/drawingml/2006/chartDrawing">
    <cdr:from>
      <cdr:x>0.78662</cdr:x>
      <cdr:y>0.05714</cdr:y>
    </cdr:from>
    <cdr:to>
      <cdr:x>0.96843</cdr:x>
      <cdr:y>0.14857</cdr:y>
    </cdr:to>
    <cdr:sp macro="" textlink="'_Data Status Month'!$S$190:$U$190">
      <cdr:nvSpPr>
        <cdr:cNvPr id="3" name="Rechteck 2"/>
        <cdr:cNvSpPr/>
      </cdr:nvSpPr>
      <cdr:spPr>
        <a:xfrm xmlns:a="http://schemas.openxmlformats.org/drawingml/2006/main">
          <a:off x="9890125" y="158751"/>
          <a:ext cx="2286000" cy="254000"/>
        </a:xfrm>
        <a:prstGeom xmlns:a="http://schemas.openxmlformats.org/drawingml/2006/main" prst="rect">
          <a:avLst/>
        </a:prstGeom>
        <a:solidFill xmlns:a="http://schemas.openxmlformats.org/drawingml/2006/main">
          <a:schemeClr val="bg1"/>
        </a:solidFill>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nchor="ctr" anchorCtr="1"/>
        <a:lstStyle xmlns:a="http://schemas.openxmlformats.org/drawingml/2006/main"/>
        <a:p xmlns:a="http://schemas.openxmlformats.org/drawingml/2006/main">
          <a:fld id="{4CFD5DBA-A92B-476C-8599-9CB780E37BC6}" type="TxLink">
            <a:rPr lang="en-US" sz="1200" b="1" i="0" u="none" strike="noStrike">
              <a:solidFill>
                <a:srgbClr val="000000"/>
              </a:solidFill>
              <a:latin typeface="Calibri"/>
            </a:rPr>
            <a:pPr/>
            <a:t>HCP</a:t>
          </a:fld>
          <a:endParaRPr lang="en-US"/>
        </a:p>
      </cdr:txBody>
    </cdr:sp>
  </cdr:relSizeAnchor>
</c:userShapes>
</file>

<file path=xl/drawings/drawing8.xml><?xml version="1.0" encoding="utf-8"?>
<xdr:wsDr xmlns:xdr="http://schemas.openxmlformats.org/drawingml/2006/spreadsheetDrawing" xmlns:a="http://schemas.openxmlformats.org/drawingml/2006/main">
  <xdr:twoCellAnchor editAs="oneCell">
    <xdr:from>
      <xdr:col>63</xdr:col>
      <xdr:colOff>0</xdr:colOff>
      <xdr:row>0</xdr:row>
      <xdr:rowOff>0</xdr:rowOff>
    </xdr:from>
    <xdr:to>
      <xdr:col>67</xdr:col>
      <xdr:colOff>0</xdr:colOff>
      <xdr:row>2</xdr:row>
      <xdr:rowOff>0</xdr:rowOff>
    </xdr:to>
    <xdr:pic>
      <xdr:nvPicPr>
        <xdr:cNvPr id="19" name="Grafik 18"/>
        <xdr:cNvPicPr>
          <a:picLocks noChangeAspect="1"/>
        </xdr:cNvPicPr>
      </xdr:nvPicPr>
      <xdr:blipFill>
        <a:blip xmlns:r="http://schemas.openxmlformats.org/officeDocument/2006/relationships" r:embed="rId1"/>
        <a:stretch>
          <a:fillRect/>
        </a:stretch>
      </xdr:blipFill>
      <xdr:spPr>
        <a:xfrm>
          <a:off x="21172714" y="0"/>
          <a:ext cx="1360715" cy="1265464"/>
        </a:xfrm>
        <a:prstGeom prst="rect">
          <a:avLst/>
        </a:prstGeom>
      </xdr:spPr>
    </xdr:pic>
    <xdr:clientData/>
  </xdr:twoCellAnchor>
  <xdr:twoCellAnchor>
    <xdr:from>
      <xdr:col>6</xdr:col>
      <xdr:colOff>1</xdr:colOff>
      <xdr:row>6</xdr:row>
      <xdr:rowOff>446767</xdr:rowOff>
    </xdr:from>
    <xdr:to>
      <xdr:col>36</xdr:col>
      <xdr:colOff>1</xdr:colOff>
      <xdr:row>14</xdr:row>
      <xdr:rowOff>460374</xdr:rowOff>
    </xdr:to>
    <xdr:graphicFrame macro="">
      <xdr:nvGraphicFramePr>
        <xdr:cNvPr id="20" name="Diagramm 1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37</xdr:col>
      <xdr:colOff>0</xdr:colOff>
      <xdr:row>7</xdr:row>
      <xdr:rowOff>0</xdr:rowOff>
    </xdr:from>
    <xdr:to>
      <xdr:col>67</xdr:col>
      <xdr:colOff>0</xdr:colOff>
      <xdr:row>15</xdr:row>
      <xdr:rowOff>0</xdr:rowOff>
    </xdr:to>
    <xdr:graphicFrame macro="">
      <xdr:nvGraphicFramePr>
        <xdr:cNvPr id="21" name="Diagramm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0</xdr:colOff>
      <xdr:row>16</xdr:row>
      <xdr:rowOff>0</xdr:rowOff>
    </xdr:from>
    <xdr:to>
      <xdr:col>36</xdr:col>
      <xdr:colOff>0</xdr:colOff>
      <xdr:row>20</xdr:row>
      <xdr:rowOff>0</xdr:rowOff>
    </xdr:to>
    <xdr:graphicFrame macro="">
      <xdr:nvGraphicFramePr>
        <xdr:cNvPr id="22" name="DIA_HCP_MONTH_Putting"/>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37</xdr:col>
      <xdr:colOff>0</xdr:colOff>
      <xdr:row>16</xdr:row>
      <xdr:rowOff>0</xdr:rowOff>
    </xdr:from>
    <xdr:to>
      <xdr:col>67</xdr:col>
      <xdr:colOff>0</xdr:colOff>
      <xdr:row>20</xdr:row>
      <xdr:rowOff>0</xdr:rowOff>
    </xdr:to>
    <xdr:graphicFrame macro="">
      <xdr:nvGraphicFramePr>
        <xdr:cNvPr id="23" name="Diagramm 2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6</xdr:col>
      <xdr:colOff>-1</xdr:colOff>
      <xdr:row>20</xdr:row>
      <xdr:rowOff>122463</xdr:rowOff>
    </xdr:from>
    <xdr:to>
      <xdr:col>35</xdr:col>
      <xdr:colOff>340178</xdr:colOff>
      <xdr:row>24</xdr:row>
      <xdr:rowOff>693963</xdr:rowOff>
    </xdr:to>
    <xdr:graphicFrame macro="">
      <xdr:nvGraphicFramePr>
        <xdr:cNvPr id="40" name="DIA_HCP_MONTH_Chipping"/>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37</xdr:col>
      <xdr:colOff>0</xdr:colOff>
      <xdr:row>21</xdr:row>
      <xdr:rowOff>0</xdr:rowOff>
    </xdr:from>
    <xdr:to>
      <xdr:col>67</xdr:col>
      <xdr:colOff>0</xdr:colOff>
      <xdr:row>25</xdr:row>
      <xdr:rowOff>0</xdr:rowOff>
    </xdr:to>
    <xdr:graphicFrame macro="">
      <xdr:nvGraphicFramePr>
        <xdr:cNvPr id="41" name="Diagramm 4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6</xdr:col>
      <xdr:colOff>-1</xdr:colOff>
      <xdr:row>25</xdr:row>
      <xdr:rowOff>122463</xdr:rowOff>
    </xdr:from>
    <xdr:to>
      <xdr:col>35</xdr:col>
      <xdr:colOff>340178</xdr:colOff>
      <xdr:row>29</xdr:row>
      <xdr:rowOff>693963</xdr:rowOff>
    </xdr:to>
    <xdr:graphicFrame macro="">
      <xdr:nvGraphicFramePr>
        <xdr:cNvPr id="42" name="DIA_HCP_MONTH_Bunke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37</xdr:col>
      <xdr:colOff>49516</xdr:colOff>
      <xdr:row>25</xdr:row>
      <xdr:rowOff>122463</xdr:rowOff>
    </xdr:from>
    <xdr:to>
      <xdr:col>67</xdr:col>
      <xdr:colOff>0</xdr:colOff>
      <xdr:row>29</xdr:row>
      <xdr:rowOff>693963</xdr:rowOff>
    </xdr:to>
    <xdr:graphicFrame macro="">
      <xdr:nvGraphicFramePr>
        <xdr:cNvPr id="43" name="Diagramm 4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6</xdr:col>
      <xdr:colOff>-1</xdr:colOff>
      <xdr:row>31</xdr:row>
      <xdr:rowOff>-1</xdr:rowOff>
    </xdr:from>
    <xdr:to>
      <xdr:col>35</xdr:col>
      <xdr:colOff>340178</xdr:colOff>
      <xdr:row>34</xdr:row>
      <xdr:rowOff>693963</xdr:rowOff>
    </xdr:to>
    <xdr:graphicFrame macro="">
      <xdr:nvGraphicFramePr>
        <xdr:cNvPr id="44" name="DIA_HCP_MONTH_ApproachShots"/>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37</xdr:col>
      <xdr:colOff>49516</xdr:colOff>
      <xdr:row>31</xdr:row>
      <xdr:rowOff>0</xdr:rowOff>
    </xdr:from>
    <xdr:to>
      <xdr:col>67</xdr:col>
      <xdr:colOff>0</xdr:colOff>
      <xdr:row>35</xdr:row>
      <xdr:rowOff>0</xdr:rowOff>
    </xdr:to>
    <xdr:graphicFrame macro="">
      <xdr:nvGraphicFramePr>
        <xdr:cNvPr id="45" name="Diagramm 4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6</xdr:col>
      <xdr:colOff>-1</xdr:colOff>
      <xdr:row>35</xdr:row>
      <xdr:rowOff>122463</xdr:rowOff>
    </xdr:from>
    <xdr:to>
      <xdr:col>35</xdr:col>
      <xdr:colOff>340178</xdr:colOff>
      <xdr:row>39</xdr:row>
      <xdr:rowOff>693963</xdr:rowOff>
    </xdr:to>
    <xdr:graphicFrame macro="">
      <xdr:nvGraphicFramePr>
        <xdr:cNvPr id="46" name="DIA_HCP_MONTH_Woods"/>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37</xdr:col>
      <xdr:colOff>63122</xdr:colOff>
      <xdr:row>36</xdr:row>
      <xdr:rowOff>0</xdr:rowOff>
    </xdr:from>
    <xdr:to>
      <xdr:col>67</xdr:col>
      <xdr:colOff>-1</xdr:colOff>
      <xdr:row>40</xdr:row>
      <xdr:rowOff>0</xdr:rowOff>
    </xdr:to>
    <xdr:graphicFrame macro="">
      <xdr:nvGraphicFramePr>
        <xdr:cNvPr id="47" name="Diagramm 4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6</xdr:col>
      <xdr:colOff>52955</xdr:colOff>
      <xdr:row>41</xdr:row>
      <xdr:rowOff>-1</xdr:rowOff>
    </xdr:from>
    <xdr:to>
      <xdr:col>36</xdr:col>
      <xdr:colOff>0</xdr:colOff>
      <xdr:row>45</xdr:row>
      <xdr:rowOff>-1</xdr:rowOff>
    </xdr:to>
    <xdr:graphicFrame macro="">
      <xdr:nvGraphicFramePr>
        <xdr:cNvPr id="48" name="DIA_HCP_MONTH_Drive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37</xdr:col>
      <xdr:colOff>49516</xdr:colOff>
      <xdr:row>41</xdr:row>
      <xdr:rowOff>0</xdr:rowOff>
    </xdr:from>
    <xdr:to>
      <xdr:col>67</xdr:col>
      <xdr:colOff>0</xdr:colOff>
      <xdr:row>45</xdr:row>
      <xdr:rowOff>0</xdr:rowOff>
    </xdr:to>
    <xdr:graphicFrame macro="">
      <xdr:nvGraphicFramePr>
        <xdr:cNvPr id="49" name="Diagramm 4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6</xdr:col>
      <xdr:colOff>52955</xdr:colOff>
      <xdr:row>45</xdr:row>
      <xdr:rowOff>122463</xdr:rowOff>
    </xdr:from>
    <xdr:to>
      <xdr:col>36</xdr:col>
      <xdr:colOff>0</xdr:colOff>
      <xdr:row>49</xdr:row>
      <xdr:rowOff>693963</xdr:rowOff>
    </xdr:to>
    <xdr:graphicFrame macro="">
      <xdr:nvGraphicFramePr>
        <xdr:cNvPr id="50" name="DIA_HCP_MONTH_Bunke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37</xdr:col>
      <xdr:colOff>49516</xdr:colOff>
      <xdr:row>46</xdr:row>
      <xdr:rowOff>0</xdr:rowOff>
    </xdr:from>
    <xdr:to>
      <xdr:col>67</xdr:col>
      <xdr:colOff>0</xdr:colOff>
      <xdr:row>50</xdr:row>
      <xdr:rowOff>0</xdr:rowOff>
    </xdr:to>
    <xdr:graphicFrame macro="">
      <xdr:nvGraphicFramePr>
        <xdr:cNvPr id="51" name="Diagramm 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6</xdr:col>
      <xdr:colOff>52955</xdr:colOff>
      <xdr:row>51</xdr:row>
      <xdr:rowOff>0</xdr:rowOff>
    </xdr:from>
    <xdr:to>
      <xdr:col>36</xdr:col>
      <xdr:colOff>0</xdr:colOff>
      <xdr:row>55</xdr:row>
      <xdr:rowOff>0</xdr:rowOff>
    </xdr:to>
    <xdr:graphicFrame macro="">
      <xdr:nvGraphicFramePr>
        <xdr:cNvPr id="52" name="DIA_HCP_MONTH_Mental"/>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37</xdr:col>
      <xdr:colOff>49516</xdr:colOff>
      <xdr:row>51</xdr:row>
      <xdr:rowOff>0</xdr:rowOff>
    </xdr:from>
    <xdr:to>
      <xdr:col>67</xdr:col>
      <xdr:colOff>0</xdr:colOff>
      <xdr:row>55</xdr:row>
      <xdr:rowOff>0</xdr:rowOff>
    </xdr:to>
    <xdr:graphicFrame macro="">
      <xdr:nvGraphicFramePr>
        <xdr:cNvPr id="53" name="Diagramm 5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6</xdr:col>
      <xdr:colOff>66561</xdr:colOff>
      <xdr:row>55</xdr:row>
      <xdr:rowOff>122463</xdr:rowOff>
    </xdr:from>
    <xdr:to>
      <xdr:col>35</xdr:col>
      <xdr:colOff>340178</xdr:colOff>
      <xdr:row>59</xdr:row>
      <xdr:rowOff>693963</xdr:rowOff>
    </xdr:to>
    <xdr:graphicFrame macro="">
      <xdr:nvGraphicFramePr>
        <xdr:cNvPr id="54" name="DIA_HCP_MONTH_RoG"/>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37</xdr:col>
      <xdr:colOff>49516</xdr:colOff>
      <xdr:row>55</xdr:row>
      <xdr:rowOff>122463</xdr:rowOff>
    </xdr:from>
    <xdr:to>
      <xdr:col>67</xdr:col>
      <xdr:colOff>0</xdr:colOff>
      <xdr:row>60</xdr:row>
      <xdr:rowOff>0</xdr:rowOff>
    </xdr:to>
    <xdr:graphicFrame macro="">
      <xdr:nvGraphicFramePr>
        <xdr:cNvPr id="55" name="Diagramm 5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12</xdr:col>
      <xdr:colOff>50800</xdr:colOff>
      <xdr:row>143</xdr:row>
      <xdr:rowOff>50800</xdr:rowOff>
    </xdr:from>
    <xdr:to>
      <xdr:col>12</xdr:col>
      <xdr:colOff>3330575</xdr:colOff>
      <xdr:row>143</xdr:row>
      <xdr:rowOff>1854200</xdr:rowOff>
    </xdr:to>
    <xdr:pic>
      <xdr:nvPicPr>
        <xdr:cNvPr id="8" name="DBE_Img_ExID_3000"/>
        <xdr:cNvPicPr>
          <a:picLocks noChangeAspect="1"/>
        </xdr:cNvPicPr>
      </xdr:nvPicPr>
      <xdr:blipFill>
        <a:blip xmlns:r="http://schemas.openxmlformats.org/officeDocument/2006/relationships" r:embed="rId1" cstate="print"/>
        <a:stretch>
          <a:fillRect/>
        </a:stretch>
      </xdr:blipFill>
      <xdr:spPr>
        <a:xfrm>
          <a:off x="19119850" y="264598150"/>
          <a:ext cx="3279775" cy="1803400"/>
        </a:xfrm>
        <a:prstGeom prst="rect">
          <a:avLst/>
        </a:prstGeom>
      </xdr:spPr>
    </xdr:pic>
    <xdr:clientData/>
  </xdr:twoCellAnchor>
  <xdr:twoCellAnchor>
    <xdr:from>
      <xdr:col>12</xdr:col>
      <xdr:colOff>50800</xdr:colOff>
      <xdr:row>28</xdr:row>
      <xdr:rowOff>50800</xdr:rowOff>
    </xdr:from>
    <xdr:to>
      <xdr:col>12</xdr:col>
      <xdr:colOff>3330575</xdr:colOff>
      <xdr:row>28</xdr:row>
      <xdr:rowOff>1854200</xdr:rowOff>
    </xdr:to>
    <xdr:pic>
      <xdr:nvPicPr>
        <xdr:cNvPr id="3" name="DBE_Img_ExID_2015"/>
        <xdr:cNvPicPr>
          <a:picLocks noChangeAspect="1"/>
        </xdr:cNvPicPr>
      </xdr:nvPicPr>
      <xdr:blipFill>
        <a:blip xmlns:r="http://schemas.openxmlformats.org/officeDocument/2006/relationships" r:embed="rId2" cstate="print"/>
        <a:stretch>
          <a:fillRect/>
        </a:stretch>
      </xdr:blipFill>
      <xdr:spPr>
        <a:xfrm>
          <a:off x="19119850" y="45523150"/>
          <a:ext cx="3279775" cy="1803400"/>
        </a:xfrm>
        <a:prstGeom prst="rect">
          <a:avLst/>
        </a:prstGeom>
      </xdr:spPr>
    </xdr:pic>
    <xdr:clientData/>
  </xdr:twoCellAnchor>
  <xdr:twoCellAnchor>
    <xdr:from>
      <xdr:col>12</xdr:col>
      <xdr:colOff>50800</xdr:colOff>
      <xdr:row>41</xdr:row>
      <xdr:rowOff>50800</xdr:rowOff>
    </xdr:from>
    <xdr:to>
      <xdr:col>12</xdr:col>
      <xdr:colOff>3330575</xdr:colOff>
      <xdr:row>41</xdr:row>
      <xdr:rowOff>1854200</xdr:rowOff>
    </xdr:to>
    <xdr:pic>
      <xdr:nvPicPr>
        <xdr:cNvPr id="14" name="DBE_Img_ExID_2028"/>
        <xdr:cNvPicPr>
          <a:picLocks noChangeAspect="1"/>
        </xdr:cNvPicPr>
      </xdr:nvPicPr>
      <xdr:blipFill>
        <a:blip xmlns:r="http://schemas.openxmlformats.org/officeDocument/2006/relationships" r:embed="rId3" cstate="print"/>
        <a:stretch>
          <a:fillRect/>
        </a:stretch>
      </xdr:blipFill>
      <xdr:spPr>
        <a:xfrm>
          <a:off x="19119850" y="70288150"/>
          <a:ext cx="3279775" cy="1803400"/>
        </a:xfrm>
        <a:prstGeom prst="rect">
          <a:avLst/>
        </a:prstGeom>
      </xdr:spPr>
    </xdr:pic>
    <xdr:clientData/>
  </xdr:twoCellAnchor>
  <xdr:twoCellAnchor>
    <xdr:from>
      <xdr:col>12</xdr:col>
      <xdr:colOff>50800</xdr:colOff>
      <xdr:row>42</xdr:row>
      <xdr:rowOff>50800</xdr:rowOff>
    </xdr:from>
    <xdr:to>
      <xdr:col>12</xdr:col>
      <xdr:colOff>3330575</xdr:colOff>
      <xdr:row>42</xdr:row>
      <xdr:rowOff>1854200</xdr:rowOff>
    </xdr:to>
    <xdr:pic>
      <xdr:nvPicPr>
        <xdr:cNvPr id="15" name="DBE_Img_ExID_2029"/>
        <xdr:cNvPicPr>
          <a:picLocks noChangeAspect="1"/>
        </xdr:cNvPicPr>
      </xdr:nvPicPr>
      <xdr:blipFill>
        <a:blip xmlns:r="http://schemas.openxmlformats.org/officeDocument/2006/relationships" r:embed="rId4" cstate="print"/>
        <a:stretch>
          <a:fillRect/>
        </a:stretch>
      </xdr:blipFill>
      <xdr:spPr>
        <a:xfrm>
          <a:off x="19119850" y="72193150"/>
          <a:ext cx="3279775" cy="1803400"/>
        </a:xfrm>
        <a:prstGeom prst="rect">
          <a:avLst/>
        </a:prstGeom>
      </xdr:spPr>
    </xdr:pic>
    <xdr:clientData/>
  </xdr:twoCellAnchor>
  <xdr:twoCellAnchor>
    <xdr:from>
      <xdr:col>12</xdr:col>
      <xdr:colOff>50800</xdr:colOff>
      <xdr:row>43</xdr:row>
      <xdr:rowOff>50800</xdr:rowOff>
    </xdr:from>
    <xdr:to>
      <xdr:col>12</xdr:col>
      <xdr:colOff>3330575</xdr:colOff>
      <xdr:row>43</xdr:row>
      <xdr:rowOff>1854200</xdr:rowOff>
    </xdr:to>
    <xdr:pic>
      <xdr:nvPicPr>
        <xdr:cNvPr id="16" name="DBE_Img_ExID_2030"/>
        <xdr:cNvPicPr>
          <a:picLocks noChangeAspect="1"/>
        </xdr:cNvPicPr>
      </xdr:nvPicPr>
      <xdr:blipFill>
        <a:blip xmlns:r="http://schemas.openxmlformats.org/officeDocument/2006/relationships" r:embed="rId5" cstate="print"/>
        <a:stretch>
          <a:fillRect/>
        </a:stretch>
      </xdr:blipFill>
      <xdr:spPr>
        <a:xfrm>
          <a:off x="19119850" y="74098150"/>
          <a:ext cx="3279775" cy="1803400"/>
        </a:xfrm>
        <a:prstGeom prst="rect">
          <a:avLst/>
        </a:prstGeom>
      </xdr:spPr>
    </xdr:pic>
    <xdr:clientData/>
  </xdr:twoCellAnchor>
  <xdr:twoCellAnchor>
    <xdr:from>
      <xdr:col>12</xdr:col>
      <xdr:colOff>50800</xdr:colOff>
      <xdr:row>44</xdr:row>
      <xdr:rowOff>50800</xdr:rowOff>
    </xdr:from>
    <xdr:to>
      <xdr:col>12</xdr:col>
      <xdr:colOff>3330575</xdr:colOff>
      <xdr:row>44</xdr:row>
      <xdr:rowOff>1854200</xdr:rowOff>
    </xdr:to>
    <xdr:pic>
      <xdr:nvPicPr>
        <xdr:cNvPr id="17" name="DBE_Img_ExID_2031"/>
        <xdr:cNvPicPr>
          <a:picLocks noChangeAspect="1"/>
        </xdr:cNvPicPr>
      </xdr:nvPicPr>
      <xdr:blipFill>
        <a:blip xmlns:r="http://schemas.openxmlformats.org/officeDocument/2006/relationships" r:embed="rId6" cstate="print"/>
        <a:stretch>
          <a:fillRect/>
        </a:stretch>
      </xdr:blipFill>
      <xdr:spPr>
        <a:xfrm>
          <a:off x="19119850" y="76003150"/>
          <a:ext cx="3279775" cy="1803400"/>
        </a:xfrm>
        <a:prstGeom prst="rect">
          <a:avLst/>
        </a:prstGeom>
      </xdr:spPr>
    </xdr:pic>
    <xdr:clientData/>
  </xdr:twoCellAnchor>
  <xdr:twoCellAnchor>
    <xdr:from>
      <xdr:col>12</xdr:col>
      <xdr:colOff>50800</xdr:colOff>
      <xdr:row>14</xdr:row>
      <xdr:rowOff>50800</xdr:rowOff>
    </xdr:from>
    <xdr:to>
      <xdr:col>12</xdr:col>
      <xdr:colOff>3330575</xdr:colOff>
      <xdr:row>14</xdr:row>
      <xdr:rowOff>1854200</xdr:rowOff>
    </xdr:to>
    <xdr:pic>
      <xdr:nvPicPr>
        <xdr:cNvPr id="19" name="DBE_Img_ExID_2001"/>
        <xdr:cNvPicPr>
          <a:picLocks noChangeAspect="1"/>
        </xdr:cNvPicPr>
      </xdr:nvPicPr>
      <xdr:blipFill>
        <a:blip xmlns:r="http://schemas.openxmlformats.org/officeDocument/2006/relationships" r:embed="rId7" cstate="print"/>
        <a:stretch>
          <a:fillRect/>
        </a:stretch>
      </xdr:blipFill>
      <xdr:spPr>
        <a:xfrm>
          <a:off x="19119850" y="18853150"/>
          <a:ext cx="3279775" cy="1803400"/>
        </a:xfrm>
        <a:prstGeom prst="rect">
          <a:avLst/>
        </a:prstGeom>
      </xdr:spPr>
    </xdr:pic>
    <xdr:clientData/>
  </xdr:twoCellAnchor>
  <xdr:twoCellAnchor>
    <xdr:from>
      <xdr:col>12</xdr:col>
      <xdr:colOff>50800</xdr:colOff>
      <xdr:row>15</xdr:row>
      <xdr:rowOff>50800</xdr:rowOff>
    </xdr:from>
    <xdr:to>
      <xdr:col>12</xdr:col>
      <xdr:colOff>3330575</xdr:colOff>
      <xdr:row>15</xdr:row>
      <xdr:rowOff>1854200</xdr:rowOff>
    </xdr:to>
    <xdr:pic>
      <xdr:nvPicPr>
        <xdr:cNvPr id="20" name="DBE_Img_ExID_2002"/>
        <xdr:cNvPicPr>
          <a:picLocks noChangeAspect="1"/>
        </xdr:cNvPicPr>
      </xdr:nvPicPr>
      <xdr:blipFill>
        <a:blip xmlns:r="http://schemas.openxmlformats.org/officeDocument/2006/relationships" r:embed="rId8" cstate="print"/>
        <a:stretch>
          <a:fillRect/>
        </a:stretch>
      </xdr:blipFill>
      <xdr:spPr>
        <a:xfrm>
          <a:off x="19119850" y="20758150"/>
          <a:ext cx="3279775" cy="1803400"/>
        </a:xfrm>
        <a:prstGeom prst="rect">
          <a:avLst/>
        </a:prstGeom>
      </xdr:spPr>
    </xdr:pic>
    <xdr:clientData/>
  </xdr:twoCellAnchor>
  <xdr:twoCellAnchor>
    <xdr:from>
      <xdr:col>12</xdr:col>
      <xdr:colOff>50800</xdr:colOff>
      <xdr:row>16</xdr:row>
      <xdr:rowOff>50800</xdr:rowOff>
    </xdr:from>
    <xdr:to>
      <xdr:col>12</xdr:col>
      <xdr:colOff>3330575</xdr:colOff>
      <xdr:row>16</xdr:row>
      <xdr:rowOff>1854200</xdr:rowOff>
    </xdr:to>
    <xdr:pic>
      <xdr:nvPicPr>
        <xdr:cNvPr id="21" name="DBE_Img_ExID_2003"/>
        <xdr:cNvPicPr>
          <a:picLocks noChangeAspect="1"/>
        </xdr:cNvPicPr>
      </xdr:nvPicPr>
      <xdr:blipFill>
        <a:blip xmlns:r="http://schemas.openxmlformats.org/officeDocument/2006/relationships" r:embed="rId9" cstate="print"/>
        <a:stretch>
          <a:fillRect/>
        </a:stretch>
      </xdr:blipFill>
      <xdr:spPr>
        <a:xfrm>
          <a:off x="19119850" y="22663150"/>
          <a:ext cx="3279775" cy="1803400"/>
        </a:xfrm>
        <a:prstGeom prst="rect">
          <a:avLst/>
        </a:prstGeom>
      </xdr:spPr>
    </xdr:pic>
    <xdr:clientData/>
  </xdr:twoCellAnchor>
  <xdr:twoCellAnchor>
    <xdr:from>
      <xdr:col>12</xdr:col>
      <xdr:colOff>50800</xdr:colOff>
      <xdr:row>17</xdr:row>
      <xdr:rowOff>50800</xdr:rowOff>
    </xdr:from>
    <xdr:to>
      <xdr:col>12</xdr:col>
      <xdr:colOff>3330575</xdr:colOff>
      <xdr:row>17</xdr:row>
      <xdr:rowOff>1854200</xdr:rowOff>
    </xdr:to>
    <xdr:pic>
      <xdr:nvPicPr>
        <xdr:cNvPr id="22" name="DBE_Img_ExID_2004"/>
        <xdr:cNvPicPr>
          <a:picLocks noChangeAspect="1"/>
        </xdr:cNvPicPr>
      </xdr:nvPicPr>
      <xdr:blipFill>
        <a:blip xmlns:r="http://schemas.openxmlformats.org/officeDocument/2006/relationships" r:embed="rId10" cstate="print"/>
        <a:stretch>
          <a:fillRect/>
        </a:stretch>
      </xdr:blipFill>
      <xdr:spPr>
        <a:xfrm>
          <a:off x="19119850" y="24568150"/>
          <a:ext cx="3279775" cy="1803400"/>
        </a:xfrm>
        <a:prstGeom prst="rect">
          <a:avLst/>
        </a:prstGeom>
      </xdr:spPr>
    </xdr:pic>
    <xdr:clientData/>
  </xdr:twoCellAnchor>
  <xdr:twoCellAnchor>
    <xdr:from>
      <xdr:col>12</xdr:col>
      <xdr:colOff>50800</xdr:colOff>
      <xdr:row>18</xdr:row>
      <xdr:rowOff>50800</xdr:rowOff>
    </xdr:from>
    <xdr:to>
      <xdr:col>12</xdr:col>
      <xdr:colOff>3330575</xdr:colOff>
      <xdr:row>18</xdr:row>
      <xdr:rowOff>1854200</xdr:rowOff>
    </xdr:to>
    <xdr:pic>
      <xdr:nvPicPr>
        <xdr:cNvPr id="23" name="DBE_Img_ExID_2005"/>
        <xdr:cNvPicPr>
          <a:picLocks noChangeAspect="1"/>
        </xdr:cNvPicPr>
      </xdr:nvPicPr>
      <xdr:blipFill>
        <a:blip xmlns:r="http://schemas.openxmlformats.org/officeDocument/2006/relationships" r:embed="rId11" cstate="print"/>
        <a:stretch>
          <a:fillRect/>
        </a:stretch>
      </xdr:blipFill>
      <xdr:spPr>
        <a:xfrm>
          <a:off x="19119850" y="26473150"/>
          <a:ext cx="3279775" cy="1803400"/>
        </a:xfrm>
        <a:prstGeom prst="rect">
          <a:avLst/>
        </a:prstGeom>
      </xdr:spPr>
    </xdr:pic>
    <xdr:clientData/>
  </xdr:twoCellAnchor>
  <xdr:twoCellAnchor>
    <xdr:from>
      <xdr:col>12</xdr:col>
      <xdr:colOff>50800</xdr:colOff>
      <xdr:row>145</xdr:row>
      <xdr:rowOff>50800</xdr:rowOff>
    </xdr:from>
    <xdr:to>
      <xdr:col>12</xdr:col>
      <xdr:colOff>3330575</xdr:colOff>
      <xdr:row>145</xdr:row>
      <xdr:rowOff>1854200</xdr:rowOff>
    </xdr:to>
    <xdr:pic>
      <xdr:nvPicPr>
        <xdr:cNvPr id="24" name="DBE_Img_ExID_3002"/>
        <xdr:cNvPicPr>
          <a:picLocks noChangeAspect="1"/>
        </xdr:cNvPicPr>
      </xdr:nvPicPr>
      <xdr:blipFill>
        <a:blip xmlns:r="http://schemas.openxmlformats.org/officeDocument/2006/relationships" r:embed="rId12" cstate="print"/>
        <a:stretch>
          <a:fillRect/>
        </a:stretch>
      </xdr:blipFill>
      <xdr:spPr>
        <a:xfrm>
          <a:off x="19119850" y="268408150"/>
          <a:ext cx="3279775" cy="1803400"/>
        </a:xfrm>
        <a:prstGeom prst="rect">
          <a:avLst/>
        </a:prstGeom>
      </xdr:spPr>
    </xdr:pic>
    <xdr:clientData/>
  </xdr:twoCellAnchor>
  <xdr:twoCellAnchor>
    <xdr:from>
      <xdr:col>12</xdr:col>
      <xdr:colOff>50800</xdr:colOff>
      <xdr:row>13</xdr:row>
      <xdr:rowOff>50800</xdr:rowOff>
    </xdr:from>
    <xdr:to>
      <xdr:col>12</xdr:col>
      <xdr:colOff>3330575</xdr:colOff>
      <xdr:row>13</xdr:row>
      <xdr:rowOff>1854200</xdr:rowOff>
    </xdr:to>
    <xdr:pic>
      <xdr:nvPicPr>
        <xdr:cNvPr id="18" name="DBE_Img_ExID_2000"/>
        <xdr:cNvPicPr>
          <a:picLocks noChangeAspect="1"/>
        </xdr:cNvPicPr>
      </xdr:nvPicPr>
      <xdr:blipFill>
        <a:blip xmlns:r="http://schemas.openxmlformats.org/officeDocument/2006/relationships" r:embed="rId13" cstate="print"/>
        <a:stretch>
          <a:fillRect/>
        </a:stretch>
      </xdr:blipFill>
      <xdr:spPr>
        <a:xfrm>
          <a:off x="19119850" y="16948150"/>
          <a:ext cx="3279775" cy="1803400"/>
        </a:xfrm>
        <a:prstGeom prst="rect">
          <a:avLst/>
        </a:prstGeom>
      </xdr:spPr>
    </xdr:pic>
    <xdr:clientData/>
  </xdr:twoCellAnchor>
  <xdr:twoCellAnchor>
    <xdr:from>
      <xdr:col>12</xdr:col>
      <xdr:colOff>50800</xdr:colOff>
      <xdr:row>144</xdr:row>
      <xdr:rowOff>50800</xdr:rowOff>
    </xdr:from>
    <xdr:to>
      <xdr:col>12</xdr:col>
      <xdr:colOff>3330575</xdr:colOff>
      <xdr:row>144</xdr:row>
      <xdr:rowOff>1854200</xdr:rowOff>
    </xdr:to>
    <xdr:pic>
      <xdr:nvPicPr>
        <xdr:cNvPr id="25" name="DBE_Img_ExID_3001"/>
        <xdr:cNvPicPr>
          <a:picLocks noChangeAspect="1"/>
        </xdr:cNvPicPr>
      </xdr:nvPicPr>
      <xdr:blipFill>
        <a:blip xmlns:r="http://schemas.openxmlformats.org/officeDocument/2006/relationships" r:embed="rId14" cstate="print"/>
        <a:stretch>
          <a:fillRect/>
        </a:stretch>
      </xdr:blipFill>
      <xdr:spPr>
        <a:xfrm>
          <a:off x="19119850" y="266503150"/>
          <a:ext cx="3279775" cy="1803400"/>
        </a:xfrm>
        <a:prstGeom prst="rect">
          <a:avLst/>
        </a:prstGeom>
      </xdr:spPr>
    </xdr:pic>
    <xdr:clientData/>
  </xdr:twoCellAnchor>
  <xdr:twoCellAnchor>
    <xdr:from>
      <xdr:col>12</xdr:col>
      <xdr:colOff>50800</xdr:colOff>
      <xdr:row>146</xdr:row>
      <xdr:rowOff>50800</xdr:rowOff>
    </xdr:from>
    <xdr:to>
      <xdr:col>12</xdr:col>
      <xdr:colOff>3330575</xdr:colOff>
      <xdr:row>146</xdr:row>
      <xdr:rowOff>1854200</xdr:rowOff>
    </xdr:to>
    <xdr:pic>
      <xdr:nvPicPr>
        <xdr:cNvPr id="61" name="DBE_Img_ExID_3003"/>
        <xdr:cNvPicPr>
          <a:picLocks noChangeAspect="1"/>
        </xdr:cNvPicPr>
      </xdr:nvPicPr>
      <xdr:blipFill>
        <a:blip xmlns:r="http://schemas.openxmlformats.org/officeDocument/2006/relationships" r:embed="rId15" cstate="print"/>
        <a:stretch>
          <a:fillRect/>
        </a:stretch>
      </xdr:blipFill>
      <xdr:spPr>
        <a:xfrm>
          <a:off x="19119850" y="270313150"/>
          <a:ext cx="3279775" cy="1803400"/>
        </a:xfrm>
        <a:prstGeom prst="rect">
          <a:avLst/>
        </a:prstGeom>
      </xdr:spPr>
    </xdr:pic>
    <xdr:clientData/>
  </xdr:twoCellAnchor>
  <xdr:twoCellAnchor>
    <xdr:from>
      <xdr:col>12</xdr:col>
      <xdr:colOff>50800</xdr:colOff>
      <xdr:row>45</xdr:row>
      <xdr:rowOff>50800</xdr:rowOff>
    </xdr:from>
    <xdr:to>
      <xdr:col>12</xdr:col>
      <xdr:colOff>3330575</xdr:colOff>
      <xdr:row>45</xdr:row>
      <xdr:rowOff>1854200</xdr:rowOff>
    </xdr:to>
    <xdr:pic>
      <xdr:nvPicPr>
        <xdr:cNvPr id="5" name="DBE_Img_ExID_2032"/>
        <xdr:cNvPicPr>
          <a:picLocks noChangeAspect="1"/>
        </xdr:cNvPicPr>
      </xdr:nvPicPr>
      <xdr:blipFill>
        <a:blip xmlns:r="http://schemas.openxmlformats.org/officeDocument/2006/relationships" r:embed="rId16" cstate="print"/>
        <a:stretch>
          <a:fillRect/>
        </a:stretch>
      </xdr:blipFill>
      <xdr:spPr>
        <a:xfrm>
          <a:off x="19119850" y="77908150"/>
          <a:ext cx="3279775" cy="1803400"/>
        </a:xfrm>
        <a:prstGeom prst="rect">
          <a:avLst/>
        </a:prstGeom>
      </xdr:spPr>
    </xdr:pic>
    <xdr:clientData/>
  </xdr:twoCellAnchor>
  <xdr:twoCellAnchor>
    <xdr:from>
      <xdr:col>25</xdr:col>
      <xdr:colOff>50800</xdr:colOff>
      <xdr:row>0</xdr:row>
      <xdr:rowOff>50800</xdr:rowOff>
    </xdr:from>
    <xdr:to>
      <xdr:col>25</xdr:col>
      <xdr:colOff>254000</xdr:colOff>
      <xdr:row>4</xdr:row>
      <xdr:rowOff>368300</xdr:rowOff>
    </xdr:to>
    <xdr:sp macro="[0]!fillMissingHandicaps" textlink="">
      <xdr:nvSpPr>
        <xdr:cNvPr id="32" name="DBE_Img_ExID_-4"/>
        <xdr:cNvSpPr txBox="1">
          <a:spLocks/>
        </xdr:cNvSpPr>
      </xdr:nvSpPr>
      <xdr:spPr>
        <a:xfrm>
          <a:off x="33302575" y="50800"/>
          <a:ext cx="203200" cy="1270000"/>
        </a:xfrm>
        <a:prstGeom prst="rect">
          <a:avLst/>
        </a:prstGeom>
        <a:gradFill flip="none" rotWithShape="1">
          <a:gsLst>
            <a:gs pos="0">
              <a:schemeClr val="accent1">
                <a:lumMod val="0"/>
                <a:lumOff val="100000"/>
              </a:schemeClr>
            </a:gs>
            <a:gs pos="35000">
              <a:schemeClr val="accent1">
                <a:lumMod val="0"/>
                <a:lumOff val="100000"/>
              </a:schemeClr>
            </a:gs>
            <a:gs pos="100000">
              <a:schemeClr val="accent1">
                <a:lumMod val="100000"/>
              </a:schemeClr>
            </a:gs>
          </a:gsLst>
          <a:path path="circle">
            <a:fillToRect l="50000" t="-80000" r="50000" b="180000"/>
          </a:path>
          <a:tileRect/>
        </a:gradFill>
        <a:scene3d>
          <a:camera prst="orthographicFront"/>
          <a:lightRig rig="threePt" dir="t"/>
        </a:scene3d>
        <a:sp3d>
          <a:bevelT/>
        </a:sp3d>
      </xdr:spPr>
      <xdr:txBody>
        <a:bodyPr wrap="square" rtlCol="0">
          <a:sp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de-DE" sz="1200">
              <a:solidFill>
                <a:srgbClr val="002060"/>
              </a:solidFill>
            </a:rPr>
            <a:t>CALC HCP</a:t>
          </a:r>
        </a:p>
      </xdr:txBody>
    </xdr:sp>
    <xdr:clientData fPrintsWithSheet="0"/>
  </xdr:twoCellAnchor>
  <xdr:twoCellAnchor>
    <xdr:from>
      <xdr:col>12</xdr:col>
      <xdr:colOff>50800</xdr:colOff>
      <xdr:row>216</xdr:row>
      <xdr:rowOff>50800</xdr:rowOff>
    </xdr:from>
    <xdr:to>
      <xdr:col>12</xdr:col>
      <xdr:colOff>3330575</xdr:colOff>
      <xdr:row>216</xdr:row>
      <xdr:rowOff>1854200</xdr:rowOff>
    </xdr:to>
    <xdr:pic>
      <xdr:nvPicPr>
        <xdr:cNvPr id="71" name="DBE_Img_ExID_4017" descr="14_Ballmarker links neben Ball.png"/>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9119850" y="403663150"/>
          <a:ext cx="3279775" cy="1803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12</xdr:col>
      <xdr:colOff>50800</xdr:colOff>
      <xdr:row>89</xdr:row>
      <xdr:rowOff>50800</xdr:rowOff>
    </xdr:from>
    <xdr:to>
      <xdr:col>12</xdr:col>
      <xdr:colOff>3330575</xdr:colOff>
      <xdr:row>89</xdr:row>
      <xdr:rowOff>1854200</xdr:rowOff>
    </xdr:to>
    <xdr:pic>
      <xdr:nvPicPr>
        <xdr:cNvPr id="72" name="DBE_Img_ExID_2078" descr="img1.png"/>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19119850" y="161728150"/>
          <a:ext cx="3279775" cy="1803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400050</xdr:colOff>
      <xdr:row>0</xdr:row>
      <xdr:rowOff>0</xdr:rowOff>
    </xdr:from>
    <xdr:to>
      <xdr:col>6</xdr:col>
      <xdr:colOff>575469</xdr:colOff>
      <xdr:row>4</xdr:row>
      <xdr:rowOff>317500</xdr:rowOff>
    </xdr:to>
    <xdr:pic>
      <xdr:nvPicPr>
        <xdr:cNvPr id="66" name="Legend_ExerciseType"/>
        <xdr:cNvPicPr>
          <a:picLocks/>
        </xdr:cNvPicPr>
      </xdr:nvPicPr>
      <xdr:blipFill>
        <a:blip xmlns:r="http://schemas.openxmlformats.org/officeDocument/2006/relationships" r:embed="rId19" cstate="print"/>
        <a:stretch>
          <a:fillRect/>
        </a:stretch>
      </xdr:blipFill>
      <xdr:spPr>
        <a:xfrm>
          <a:off x="1876425" y="0"/>
          <a:ext cx="3663950" cy="1270000"/>
        </a:xfrm>
        <a:prstGeom prst="rect">
          <a:avLst/>
        </a:prstGeom>
      </xdr:spPr>
    </xdr:pic>
    <xdr:clientData/>
  </xdr:twoCellAnchor>
  <xdr:twoCellAnchor>
    <xdr:from>
      <xdr:col>12</xdr:col>
      <xdr:colOff>50800</xdr:colOff>
      <xdr:row>91</xdr:row>
      <xdr:rowOff>50800</xdr:rowOff>
    </xdr:from>
    <xdr:to>
      <xdr:col>12</xdr:col>
      <xdr:colOff>3330575</xdr:colOff>
      <xdr:row>91</xdr:row>
      <xdr:rowOff>1854200</xdr:rowOff>
    </xdr:to>
    <xdr:pic>
      <xdr:nvPicPr>
        <xdr:cNvPr id="81" name="DBE_Img_ExID_2080" descr="91_Puttbiathlon.png"/>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19119850" y="165538150"/>
          <a:ext cx="3279775" cy="1803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12</xdr:col>
      <xdr:colOff>50800</xdr:colOff>
      <xdr:row>220</xdr:row>
      <xdr:rowOff>50800</xdr:rowOff>
    </xdr:from>
    <xdr:to>
      <xdr:col>12</xdr:col>
      <xdr:colOff>3330575</xdr:colOff>
      <xdr:row>220</xdr:row>
      <xdr:rowOff>1854200</xdr:rowOff>
    </xdr:to>
    <xdr:pic>
      <xdr:nvPicPr>
        <xdr:cNvPr id="67" name="DBE_Img_ExID_4021"/>
        <xdr:cNvPicPr>
          <a:picLocks noChangeAspect="1"/>
        </xdr:cNvPicPr>
      </xdr:nvPicPr>
      <xdr:blipFill>
        <a:blip xmlns:r="http://schemas.openxmlformats.org/officeDocument/2006/relationships" r:embed="rId21" cstate="print"/>
        <a:stretch>
          <a:fillRect/>
        </a:stretch>
      </xdr:blipFill>
      <xdr:spPr>
        <a:xfrm>
          <a:off x="19119850" y="411283150"/>
          <a:ext cx="3279775" cy="1803400"/>
        </a:xfrm>
        <a:prstGeom prst="rect">
          <a:avLst/>
        </a:prstGeom>
      </xdr:spPr>
    </xdr:pic>
    <xdr:clientData/>
  </xdr:twoCellAnchor>
  <xdr:twoCellAnchor>
    <xdr:from>
      <xdr:col>12</xdr:col>
      <xdr:colOff>50800</xdr:colOff>
      <xdr:row>290</xdr:row>
      <xdr:rowOff>50800</xdr:rowOff>
    </xdr:from>
    <xdr:to>
      <xdr:col>12</xdr:col>
      <xdr:colOff>3330575</xdr:colOff>
      <xdr:row>290</xdr:row>
      <xdr:rowOff>1854200</xdr:rowOff>
    </xdr:to>
    <xdr:pic>
      <xdr:nvPicPr>
        <xdr:cNvPr id="92" name="DBE_Img_ExID_8013" descr="137_Drei ist Trumpf im Grünbunker (Anschluss).png"/>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19119850" y="544633150"/>
          <a:ext cx="3279775" cy="1803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12</xdr:col>
      <xdr:colOff>50800</xdr:colOff>
      <xdr:row>289</xdr:row>
      <xdr:rowOff>50800</xdr:rowOff>
    </xdr:from>
    <xdr:to>
      <xdr:col>12</xdr:col>
      <xdr:colOff>3330575</xdr:colOff>
      <xdr:row>289</xdr:row>
      <xdr:rowOff>1854200</xdr:rowOff>
    </xdr:to>
    <xdr:pic>
      <xdr:nvPicPr>
        <xdr:cNvPr id="93" name="DBE_Img_ExID_8012" descr="137_Drei ist Trumpf im Grünbunker (Anschluss).png"/>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19119850" y="542728150"/>
          <a:ext cx="3279775" cy="1803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12</xdr:col>
      <xdr:colOff>50800</xdr:colOff>
      <xdr:row>275</xdr:row>
      <xdr:rowOff>50800</xdr:rowOff>
    </xdr:from>
    <xdr:to>
      <xdr:col>12</xdr:col>
      <xdr:colOff>3330575</xdr:colOff>
      <xdr:row>275</xdr:row>
      <xdr:rowOff>1854200</xdr:rowOff>
    </xdr:to>
    <xdr:pic>
      <xdr:nvPicPr>
        <xdr:cNvPr id="94" name="DBE_Img_ExID_5020" descr="106_Einbeinschlag.png"/>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19119850" y="516058150"/>
          <a:ext cx="3279775" cy="1803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12</xdr:col>
      <xdr:colOff>50800</xdr:colOff>
      <xdr:row>221</xdr:row>
      <xdr:rowOff>50800</xdr:rowOff>
    </xdr:from>
    <xdr:to>
      <xdr:col>12</xdr:col>
      <xdr:colOff>3330575</xdr:colOff>
      <xdr:row>221</xdr:row>
      <xdr:rowOff>1854200</xdr:rowOff>
    </xdr:to>
    <xdr:pic>
      <xdr:nvPicPr>
        <xdr:cNvPr id="69" name="DBE_Img_ExID_4022"/>
        <xdr:cNvPicPr>
          <a:picLocks noChangeAspect="1"/>
        </xdr:cNvPicPr>
      </xdr:nvPicPr>
      <xdr:blipFill>
        <a:blip xmlns:r="http://schemas.openxmlformats.org/officeDocument/2006/relationships" r:embed="rId24" cstate="print"/>
        <a:stretch>
          <a:fillRect/>
        </a:stretch>
      </xdr:blipFill>
      <xdr:spPr>
        <a:xfrm>
          <a:off x="19119850" y="413188150"/>
          <a:ext cx="3279775" cy="1803400"/>
        </a:xfrm>
        <a:prstGeom prst="rect">
          <a:avLst/>
        </a:prstGeom>
      </xdr:spPr>
    </xdr:pic>
    <xdr:clientData/>
  </xdr:twoCellAnchor>
  <xdr:twoCellAnchor>
    <xdr:from>
      <xdr:col>12</xdr:col>
      <xdr:colOff>50800</xdr:colOff>
      <xdr:row>121</xdr:row>
      <xdr:rowOff>50800</xdr:rowOff>
    </xdr:from>
    <xdr:to>
      <xdr:col>12</xdr:col>
      <xdr:colOff>3330575</xdr:colOff>
      <xdr:row>121</xdr:row>
      <xdr:rowOff>1854200</xdr:rowOff>
    </xdr:to>
    <xdr:pic>
      <xdr:nvPicPr>
        <xdr:cNvPr id="96" name="DBE_Img_ExID_2110"/>
        <xdr:cNvPicPr>
          <a:picLocks noChangeAspect="1"/>
        </xdr:cNvPicPr>
      </xdr:nvPicPr>
      <xdr:blipFill>
        <a:blip xmlns:r="http://schemas.openxmlformats.org/officeDocument/2006/relationships" r:embed="rId25" cstate="print"/>
        <a:stretch>
          <a:fillRect/>
        </a:stretch>
      </xdr:blipFill>
      <xdr:spPr>
        <a:xfrm>
          <a:off x="19119850" y="222688150"/>
          <a:ext cx="3279775" cy="1803400"/>
        </a:xfrm>
        <a:prstGeom prst="rect">
          <a:avLst/>
        </a:prstGeom>
      </xdr:spPr>
    </xdr:pic>
    <xdr:clientData/>
  </xdr:twoCellAnchor>
  <xdr:twoCellAnchor>
    <xdr:from>
      <xdr:col>12</xdr:col>
      <xdr:colOff>50800</xdr:colOff>
      <xdr:row>265</xdr:row>
      <xdr:rowOff>50800</xdr:rowOff>
    </xdr:from>
    <xdr:to>
      <xdr:col>12</xdr:col>
      <xdr:colOff>3330575</xdr:colOff>
      <xdr:row>265</xdr:row>
      <xdr:rowOff>1854200</xdr:rowOff>
    </xdr:to>
    <xdr:pic>
      <xdr:nvPicPr>
        <xdr:cNvPr id="88" name="DBE_Img_ExID_5010"/>
        <xdr:cNvPicPr>
          <a:picLocks noChangeAspect="1"/>
        </xdr:cNvPicPr>
      </xdr:nvPicPr>
      <xdr:blipFill>
        <a:blip xmlns:r="http://schemas.openxmlformats.org/officeDocument/2006/relationships" r:embed="rId26" cstate="print"/>
        <a:stretch>
          <a:fillRect/>
        </a:stretch>
      </xdr:blipFill>
      <xdr:spPr>
        <a:xfrm>
          <a:off x="19119850" y="497008150"/>
          <a:ext cx="3279775" cy="1803400"/>
        </a:xfrm>
        <a:prstGeom prst="rect">
          <a:avLst/>
        </a:prstGeom>
      </xdr:spPr>
    </xdr:pic>
    <xdr:clientData/>
  </xdr:twoCellAnchor>
  <xdr:twoCellAnchor>
    <xdr:from>
      <xdr:col>12</xdr:col>
      <xdr:colOff>50800</xdr:colOff>
      <xdr:row>266</xdr:row>
      <xdr:rowOff>50800</xdr:rowOff>
    </xdr:from>
    <xdr:to>
      <xdr:col>12</xdr:col>
      <xdr:colOff>3330575</xdr:colOff>
      <xdr:row>266</xdr:row>
      <xdr:rowOff>1854200</xdr:rowOff>
    </xdr:to>
    <xdr:pic>
      <xdr:nvPicPr>
        <xdr:cNvPr id="89" name="DBE_Img_ExID_5011"/>
        <xdr:cNvPicPr>
          <a:picLocks noChangeAspect="1"/>
        </xdr:cNvPicPr>
      </xdr:nvPicPr>
      <xdr:blipFill>
        <a:blip xmlns:r="http://schemas.openxmlformats.org/officeDocument/2006/relationships" r:embed="rId27" cstate="print"/>
        <a:stretch>
          <a:fillRect/>
        </a:stretch>
      </xdr:blipFill>
      <xdr:spPr>
        <a:xfrm>
          <a:off x="19119850" y="498913150"/>
          <a:ext cx="3279775" cy="1803400"/>
        </a:xfrm>
        <a:prstGeom prst="rect">
          <a:avLst/>
        </a:prstGeom>
      </xdr:spPr>
    </xdr:pic>
    <xdr:clientData/>
  </xdr:twoCellAnchor>
  <xdr:twoCellAnchor>
    <xdr:from>
      <xdr:col>12</xdr:col>
      <xdr:colOff>50800</xdr:colOff>
      <xdr:row>267</xdr:row>
      <xdr:rowOff>50800</xdr:rowOff>
    </xdr:from>
    <xdr:to>
      <xdr:col>12</xdr:col>
      <xdr:colOff>3330575</xdr:colOff>
      <xdr:row>267</xdr:row>
      <xdr:rowOff>1854200</xdr:rowOff>
    </xdr:to>
    <xdr:pic>
      <xdr:nvPicPr>
        <xdr:cNvPr id="90" name="DBE_Img_ExID_5012"/>
        <xdr:cNvPicPr>
          <a:picLocks noChangeAspect="1"/>
        </xdr:cNvPicPr>
      </xdr:nvPicPr>
      <xdr:blipFill>
        <a:blip xmlns:r="http://schemas.openxmlformats.org/officeDocument/2006/relationships" r:embed="rId28" cstate="print"/>
        <a:stretch>
          <a:fillRect/>
        </a:stretch>
      </xdr:blipFill>
      <xdr:spPr>
        <a:xfrm>
          <a:off x="19119850" y="500818150"/>
          <a:ext cx="3279775" cy="1803400"/>
        </a:xfrm>
        <a:prstGeom prst="rect">
          <a:avLst/>
        </a:prstGeom>
      </xdr:spPr>
    </xdr:pic>
    <xdr:clientData/>
  </xdr:twoCellAnchor>
  <xdr:twoCellAnchor>
    <xdr:from>
      <xdr:col>12</xdr:col>
      <xdr:colOff>50800</xdr:colOff>
      <xdr:row>268</xdr:row>
      <xdr:rowOff>50800</xdr:rowOff>
    </xdr:from>
    <xdr:to>
      <xdr:col>12</xdr:col>
      <xdr:colOff>3330575</xdr:colOff>
      <xdr:row>268</xdr:row>
      <xdr:rowOff>1854200</xdr:rowOff>
    </xdr:to>
    <xdr:pic>
      <xdr:nvPicPr>
        <xdr:cNvPr id="95" name="DBE_Img_ExID_5013"/>
        <xdr:cNvPicPr>
          <a:picLocks noChangeAspect="1"/>
        </xdr:cNvPicPr>
      </xdr:nvPicPr>
      <xdr:blipFill>
        <a:blip xmlns:r="http://schemas.openxmlformats.org/officeDocument/2006/relationships" r:embed="rId29" cstate="print"/>
        <a:stretch>
          <a:fillRect/>
        </a:stretch>
      </xdr:blipFill>
      <xdr:spPr>
        <a:xfrm>
          <a:off x="19119850" y="502723150"/>
          <a:ext cx="3279775" cy="1803400"/>
        </a:xfrm>
        <a:prstGeom prst="rect">
          <a:avLst/>
        </a:prstGeom>
      </xdr:spPr>
    </xdr:pic>
    <xdr:clientData/>
  </xdr:twoCellAnchor>
  <xdr:twoCellAnchor>
    <xdr:from>
      <xdr:col>12</xdr:col>
      <xdr:colOff>50800</xdr:colOff>
      <xdr:row>269</xdr:row>
      <xdr:rowOff>50800</xdr:rowOff>
    </xdr:from>
    <xdr:to>
      <xdr:col>12</xdr:col>
      <xdr:colOff>3330575</xdr:colOff>
      <xdr:row>269</xdr:row>
      <xdr:rowOff>1854200</xdr:rowOff>
    </xdr:to>
    <xdr:pic>
      <xdr:nvPicPr>
        <xdr:cNvPr id="97" name="DBE_Img_ExID_5014"/>
        <xdr:cNvPicPr>
          <a:picLocks noChangeAspect="1"/>
        </xdr:cNvPicPr>
      </xdr:nvPicPr>
      <xdr:blipFill>
        <a:blip xmlns:r="http://schemas.openxmlformats.org/officeDocument/2006/relationships" r:embed="rId30" cstate="print"/>
        <a:stretch>
          <a:fillRect/>
        </a:stretch>
      </xdr:blipFill>
      <xdr:spPr>
        <a:xfrm>
          <a:off x="19119850" y="504628150"/>
          <a:ext cx="3279775" cy="1803400"/>
        </a:xfrm>
        <a:prstGeom prst="rect">
          <a:avLst/>
        </a:prstGeom>
      </xdr:spPr>
    </xdr:pic>
    <xdr:clientData/>
  </xdr:twoCellAnchor>
  <xdr:twoCellAnchor>
    <xdr:from>
      <xdr:col>12</xdr:col>
      <xdr:colOff>50800</xdr:colOff>
      <xdr:row>166</xdr:row>
      <xdr:rowOff>50800</xdr:rowOff>
    </xdr:from>
    <xdr:to>
      <xdr:col>12</xdr:col>
      <xdr:colOff>3330575</xdr:colOff>
      <xdr:row>166</xdr:row>
      <xdr:rowOff>1854200</xdr:rowOff>
    </xdr:to>
    <xdr:pic>
      <xdr:nvPicPr>
        <xdr:cNvPr id="2" name="DBE_Img_ExID_3024"/>
        <xdr:cNvPicPr>
          <a:picLocks noChangeAspect="1"/>
        </xdr:cNvPicPr>
      </xdr:nvPicPr>
      <xdr:blipFill>
        <a:blip xmlns:r="http://schemas.openxmlformats.org/officeDocument/2006/relationships" r:embed="rId31" cstate="print"/>
        <a:stretch>
          <a:fillRect/>
        </a:stretch>
      </xdr:blipFill>
      <xdr:spPr>
        <a:xfrm>
          <a:off x="19119850" y="308413150"/>
          <a:ext cx="3279775" cy="1803400"/>
        </a:xfrm>
        <a:prstGeom prst="rect">
          <a:avLst/>
        </a:prstGeom>
      </xdr:spPr>
    </xdr:pic>
    <xdr:clientData/>
  </xdr:twoCellAnchor>
  <xdr:twoCellAnchor>
    <xdr:from>
      <xdr:col>12</xdr:col>
      <xdr:colOff>50800</xdr:colOff>
      <xdr:row>167</xdr:row>
      <xdr:rowOff>50800</xdr:rowOff>
    </xdr:from>
    <xdr:to>
      <xdr:col>12</xdr:col>
      <xdr:colOff>3330575</xdr:colOff>
      <xdr:row>167</xdr:row>
      <xdr:rowOff>1854200</xdr:rowOff>
    </xdr:to>
    <xdr:pic>
      <xdr:nvPicPr>
        <xdr:cNvPr id="70" name="DBE_Img_ExID_3025"/>
        <xdr:cNvPicPr>
          <a:picLocks noChangeAspect="1"/>
        </xdr:cNvPicPr>
      </xdr:nvPicPr>
      <xdr:blipFill>
        <a:blip xmlns:r="http://schemas.openxmlformats.org/officeDocument/2006/relationships" r:embed="rId32" cstate="print"/>
        <a:stretch>
          <a:fillRect/>
        </a:stretch>
      </xdr:blipFill>
      <xdr:spPr>
        <a:xfrm>
          <a:off x="19119850" y="310318150"/>
          <a:ext cx="3279775" cy="1803400"/>
        </a:xfrm>
        <a:prstGeom prst="rect">
          <a:avLst/>
        </a:prstGeom>
      </xdr:spPr>
    </xdr:pic>
    <xdr:clientData/>
  </xdr:twoCellAnchor>
  <xdr:twoCellAnchor>
    <xdr:from>
      <xdr:col>12</xdr:col>
      <xdr:colOff>50800</xdr:colOff>
      <xdr:row>168</xdr:row>
      <xdr:rowOff>50800</xdr:rowOff>
    </xdr:from>
    <xdr:to>
      <xdr:col>12</xdr:col>
      <xdr:colOff>3330575</xdr:colOff>
      <xdr:row>168</xdr:row>
      <xdr:rowOff>1854200</xdr:rowOff>
    </xdr:to>
    <xdr:pic>
      <xdr:nvPicPr>
        <xdr:cNvPr id="73" name="DBE_Img_ExID_3026"/>
        <xdr:cNvPicPr>
          <a:picLocks noChangeAspect="1"/>
        </xdr:cNvPicPr>
      </xdr:nvPicPr>
      <xdr:blipFill>
        <a:blip xmlns:r="http://schemas.openxmlformats.org/officeDocument/2006/relationships" r:embed="rId33" cstate="print"/>
        <a:stretch>
          <a:fillRect/>
        </a:stretch>
      </xdr:blipFill>
      <xdr:spPr>
        <a:xfrm>
          <a:off x="19119850" y="312223150"/>
          <a:ext cx="3279775" cy="1803400"/>
        </a:xfrm>
        <a:prstGeom prst="rect">
          <a:avLst/>
        </a:prstGeom>
      </xdr:spPr>
    </xdr:pic>
    <xdr:clientData/>
  </xdr:twoCellAnchor>
  <xdr:twoCellAnchor>
    <xdr:from>
      <xdr:col>12</xdr:col>
      <xdr:colOff>50800</xdr:colOff>
      <xdr:row>169</xdr:row>
      <xdr:rowOff>50800</xdr:rowOff>
    </xdr:from>
    <xdr:to>
      <xdr:col>12</xdr:col>
      <xdr:colOff>3330575</xdr:colOff>
      <xdr:row>169</xdr:row>
      <xdr:rowOff>1854200</xdr:rowOff>
    </xdr:to>
    <xdr:pic>
      <xdr:nvPicPr>
        <xdr:cNvPr id="83" name="DBE_Img_ExID_3027"/>
        <xdr:cNvPicPr>
          <a:picLocks noChangeAspect="1"/>
        </xdr:cNvPicPr>
      </xdr:nvPicPr>
      <xdr:blipFill>
        <a:blip xmlns:r="http://schemas.openxmlformats.org/officeDocument/2006/relationships" r:embed="rId34" cstate="print"/>
        <a:stretch>
          <a:fillRect/>
        </a:stretch>
      </xdr:blipFill>
      <xdr:spPr>
        <a:xfrm>
          <a:off x="19119850" y="314128150"/>
          <a:ext cx="3279775" cy="1803400"/>
        </a:xfrm>
        <a:prstGeom prst="rect">
          <a:avLst/>
        </a:prstGeom>
      </xdr:spPr>
    </xdr:pic>
    <xdr:clientData/>
  </xdr:twoCellAnchor>
  <xdr:twoCellAnchor>
    <xdr:from>
      <xdr:col>12</xdr:col>
      <xdr:colOff>50800</xdr:colOff>
      <xdr:row>182</xdr:row>
      <xdr:rowOff>50800</xdr:rowOff>
    </xdr:from>
    <xdr:to>
      <xdr:col>12</xdr:col>
      <xdr:colOff>3330575</xdr:colOff>
      <xdr:row>182</xdr:row>
      <xdr:rowOff>1854200</xdr:rowOff>
    </xdr:to>
    <xdr:pic>
      <xdr:nvPicPr>
        <xdr:cNvPr id="87" name="DBE_Img_ExID_3040"/>
        <xdr:cNvPicPr>
          <a:picLocks noChangeAspect="1"/>
        </xdr:cNvPicPr>
      </xdr:nvPicPr>
      <xdr:blipFill>
        <a:blip xmlns:r="http://schemas.openxmlformats.org/officeDocument/2006/relationships" r:embed="rId35" cstate="print"/>
        <a:stretch>
          <a:fillRect/>
        </a:stretch>
      </xdr:blipFill>
      <xdr:spPr>
        <a:xfrm>
          <a:off x="19119850" y="338893150"/>
          <a:ext cx="3279775" cy="1803400"/>
        </a:xfrm>
        <a:prstGeom prst="rect">
          <a:avLst/>
        </a:prstGeom>
      </xdr:spPr>
    </xdr:pic>
    <xdr:clientData/>
  </xdr:twoCellAnchor>
  <xdr:twoCellAnchor>
    <xdr:from>
      <xdr:col>12</xdr:col>
      <xdr:colOff>50800</xdr:colOff>
      <xdr:row>183</xdr:row>
      <xdr:rowOff>50800</xdr:rowOff>
    </xdr:from>
    <xdr:to>
      <xdr:col>12</xdr:col>
      <xdr:colOff>3330575</xdr:colOff>
      <xdr:row>183</xdr:row>
      <xdr:rowOff>1854200</xdr:rowOff>
    </xdr:to>
    <xdr:pic>
      <xdr:nvPicPr>
        <xdr:cNvPr id="98" name="DBE_Img_ExID_3041"/>
        <xdr:cNvPicPr>
          <a:picLocks noChangeAspect="1"/>
        </xdr:cNvPicPr>
      </xdr:nvPicPr>
      <xdr:blipFill>
        <a:blip xmlns:r="http://schemas.openxmlformats.org/officeDocument/2006/relationships" r:embed="rId36" cstate="print"/>
        <a:stretch>
          <a:fillRect/>
        </a:stretch>
      </xdr:blipFill>
      <xdr:spPr>
        <a:xfrm>
          <a:off x="19119850" y="340798150"/>
          <a:ext cx="3279775" cy="1803400"/>
        </a:xfrm>
        <a:prstGeom prst="rect">
          <a:avLst/>
        </a:prstGeom>
      </xdr:spPr>
    </xdr:pic>
    <xdr:clientData/>
  </xdr:twoCellAnchor>
  <xdr:twoCellAnchor>
    <xdr:from>
      <xdr:col>12</xdr:col>
      <xdr:colOff>50800</xdr:colOff>
      <xdr:row>184</xdr:row>
      <xdr:rowOff>50800</xdr:rowOff>
    </xdr:from>
    <xdr:to>
      <xdr:col>12</xdr:col>
      <xdr:colOff>3330575</xdr:colOff>
      <xdr:row>184</xdr:row>
      <xdr:rowOff>1854200</xdr:rowOff>
    </xdr:to>
    <xdr:pic>
      <xdr:nvPicPr>
        <xdr:cNvPr id="99" name="DBE_Img_ExID_3042"/>
        <xdr:cNvPicPr>
          <a:picLocks noChangeAspect="1"/>
        </xdr:cNvPicPr>
      </xdr:nvPicPr>
      <xdr:blipFill>
        <a:blip xmlns:r="http://schemas.openxmlformats.org/officeDocument/2006/relationships" r:embed="rId37" cstate="print"/>
        <a:stretch>
          <a:fillRect/>
        </a:stretch>
      </xdr:blipFill>
      <xdr:spPr>
        <a:xfrm>
          <a:off x="19119850" y="342703150"/>
          <a:ext cx="3279775" cy="1803400"/>
        </a:xfrm>
        <a:prstGeom prst="rect">
          <a:avLst/>
        </a:prstGeom>
      </xdr:spPr>
    </xdr:pic>
    <xdr:clientData/>
  </xdr:twoCellAnchor>
  <xdr:twoCellAnchor>
    <xdr:from>
      <xdr:col>12</xdr:col>
      <xdr:colOff>50800</xdr:colOff>
      <xdr:row>185</xdr:row>
      <xdr:rowOff>50800</xdr:rowOff>
    </xdr:from>
    <xdr:to>
      <xdr:col>12</xdr:col>
      <xdr:colOff>3330575</xdr:colOff>
      <xdr:row>185</xdr:row>
      <xdr:rowOff>1854200</xdr:rowOff>
    </xdr:to>
    <xdr:pic>
      <xdr:nvPicPr>
        <xdr:cNvPr id="100" name="DBE_Img_ExID_3043"/>
        <xdr:cNvPicPr>
          <a:picLocks noChangeAspect="1"/>
        </xdr:cNvPicPr>
      </xdr:nvPicPr>
      <xdr:blipFill>
        <a:blip xmlns:r="http://schemas.openxmlformats.org/officeDocument/2006/relationships" r:embed="rId38" cstate="print"/>
        <a:stretch>
          <a:fillRect/>
        </a:stretch>
      </xdr:blipFill>
      <xdr:spPr>
        <a:xfrm>
          <a:off x="19119850" y="344608150"/>
          <a:ext cx="3279775" cy="1803400"/>
        </a:xfrm>
        <a:prstGeom prst="rect">
          <a:avLst/>
        </a:prstGeom>
      </xdr:spPr>
    </xdr:pic>
    <xdr:clientData/>
  </xdr:twoCellAnchor>
  <xdr:twoCellAnchor>
    <xdr:from>
      <xdr:col>12</xdr:col>
      <xdr:colOff>50800</xdr:colOff>
      <xdr:row>186</xdr:row>
      <xdr:rowOff>50800</xdr:rowOff>
    </xdr:from>
    <xdr:to>
      <xdr:col>12</xdr:col>
      <xdr:colOff>3330575</xdr:colOff>
      <xdr:row>186</xdr:row>
      <xdr:rowOff>1854200</xdr:rowOff>
    </xdr:to>
    <xdr:pic>
      <xdr:nvPicPr>
        <xdr:cNvPr id="110" name="DBE_Img_ExID_3044"/>
        <xdr:cNvPicPr>
          <a:picLocks noChangeAspect="1"/>
        </xdr:cNvPicPr>
      </xdr:nvPicPr>
      <xdr:blipFill>
        <a:blip xmlns:r="http://schemas.openxmlformats.org/officeDocument/2006/relationships" r:embed="rId39" cstate="print"/>
        <a:stretch>
          <a:fillRect/>
        </a:stretch>
      </xdr:blipFill>
      <xdr:spPr>
        <a:xfrm>
          <a:off x="19119850" y="346513150"/>
          <a:ext cx="3279775" cy="1803400"/>
        </a:xfrm>
        <a:prstGeom prst="rect">
          <a:avLst/>
        </a:prstGeom>
      </xdr:spPr>
    </xdr:pic>
    <xdr:clientData/>
  </xdr:twoCellAnchor>
  <xdr:twoCellAnchor>
    <xdr:from>
      <xdr:col>12</xdr:col>
      <xdr:colOff>50800</xdr:colOff>
      <xdr:row>187</xdr:row>
      <xdr:rowOff>50800</xdr:rowOff>
    </xdr:from>
    <xdr:to>
      <xdr:col>12</xdr:col>
      <xdr:colOff>3330575</xdr:colOff>
      <xdr:row>187</xdr:row>
      <xdr:rowOff>1854200</xdr:rowOff>
    </xdr:to>
    <xdr:pic>
      <xdr:nvPicPr>
        <xdr:cNvPr id="111" name="DBE_Img_ExID_3045"/>
        <xdr:cNvPicPr>
          <a:picLocks noChangeAspect="1"/>
        </xdr:cNvPicPr>
      </xdr:nvPicPr>
      <xdr:blipFill>
        <a:blip xmlns:r="http://schemas.openxmlformats.org/officeDocument/2006/relationships" r:embed="rId40" cstate="print"/>
        <a:stretch>
          <a:fillRect/>
        </a:stretch>
      </xdr:blipFill>
      <xdr:spPr>
        <a:xfrm>
          <a:off x="19119850" y="348418150"/>
          <a:ext cx="3279775" cy="1803400"/>
        </a:xfrm>
        <a:prstGeom prst="rect">
          <a:avLst/>
        </a:prstGeom>
      </xdr:spPr>
    </xdr:pic>
    <xdr:clientData/>
  </xdr:twoCellAnchor>
  <xdr:twoCellAnchor>
    <xdr:from>
      <xdr:col>12</xdr:col>
      <xdr:colOff>50800</xdr:colOff>
      <xdr:row>188</xdr:row>
      <xdr:rowOff>50800</xdr:rowOff>
    </xdr:from>
    <xdr:to>
      <xdr:col>12</xdr:col>
      <xdr:colOff>3330575</xdr:colOff>
      <xdr:row>188</xdr:row>
      <xdr:rowOff>1854200</xdr:rowOff>
    </xdr:to>
    <xdr:pic>
      <xdr:nvPicPr>
        <xdr:cNvPr id="112" name="DBE_Img_ExID_3046"/>
        <xdr:cNvPicPr>
          <a:picLocks noChangeAspect="1"/>
        </xdr:cNvPicPr>
      </xdr:nvPicPr>
      <xdr:blipFill>
        <a:blip xmlns:r="http://schemas.openxmlformats.org/officeDocument/2006/relationships" r:embed="rId41" cstate="print"/>
        <a:stretch>
          <a:fillRect/>
        </a:stretch>
      </xdr:blipFill>
      <xdr:spPr>
        <a:xfrm>
          <a:off x="19119850" y="350323150"/>
          <a:ext cx="3279775" cy="1803400"/>
        </a:xfrm>
        <a:prstGeom prst="rect">
          <a:avLst/>
        </a:prstGeom>
      </xdr:spPr>
    </xdr:pic>
    <xdr:clientData/>
  </xdr:twoCellAnchor>
  <xdr:twoCellAnchor>
    <xdr:from>
      <xdr:col>12</xdr:col>
      <xdr:colOff>50800</xdr:colOff>
      <xdr:row>189</xdr:row>
      <xdr:rowOff>50800</xdr:rowOff>
    </xdr:from>
    <xdr:to>
      <xdr:col>12</xdr:col>
      <xdr:colOff>3330575</xdr:colOff>
      <xdr:row>189</xdr:row>
      <xdr:rowOff>1854200</xdr:rowOff>
    </xdr:to>
    <xdr:pic>
      <xdr:nvPicPr>
        <xdr:cNvPr id="113" name="DBE_Img_ExID_3047"/>
        <xdr:cNvPicPr>
          <a:picLocks noChangeAspect="1"/>
        </xdr:cNvPicPr>
      </xdr:nvPicPr>
      <xdr:blipFill>
        <a:blip xmlns:r="http://schemas.openxmlformats.org/officeDocument/2006/relationships" r:embed="rId42" cstate="print"/>
        <a:stretch>
          <a:fillRect/>
        </a:stretch>
      </xdr:blipFill>
      <xdr:spPr>
        <a:xfrm>
          <a:off x="19119850" y="352228150"/>
          <a:ext cx="3279775" cy="1803400"/>
        </a:xfrm>
        <a:prstGeom prst="rect">
          <a:avLst/>
        </a:prstGeom>
      </xdr:spPr>
    </xdr:pic>
    <xdr:clientData/>
  </xdr:twoCellAnchor>
  <xdr:twoCellAnchor>
    <xdr:from>
      <xdr:col>12</xdr:col>
      <xdr:colOff>50800</xdr:colOff>
      <xdr:row>123</xdr:row>
      <xdr:rowOff>50800</xdr:rowOff>
    </xdr:from>
    <xdr:to>
      <xdr:col>12</xdr:col>
      <xdr:colOff>3330575</xdr:colOff>
      <xdr:row>123</xdr:row>
      <xdr:rowOff>1854200</xdr:rowOff>
    </xdr:to>
    <xdr:pic>
      <xdr:nvPicPr>
        <xdr:cNvPr id="104" name="DBE_Img_ExID_2112"/>
        <xdr:cNvPicPr>
          <a:picLocks noChangeAspect="1"/>
        </xdr:cNvPicPr>
      </xdr:nvPicPr>
      <xdr:blipFill>
        <a:blip xmlns:r="http://schemas.openxmlformats.org/officeDocument/2006/relationships" r:embed="rId43" cstate="print"/>
        <a:stretch>
          <a:fillRect/>
        </a:stretch>
      </xdr:blipFill>
      <xdr:spPr>
        <a:xfrm>
          <a:off x="19119850" y="226498150"/>
          <a:ext cx="3279775" cy="1803400"/>
        </a:xfrm>
        <a:prstGeom prst="rect">
          <a:avLst/>
        </a:prstGeom>
      </xdr:spPr>
    </xdr:pic>
    <xdr:clientData/>
  </xdr:twoCellAnchor>
  <xdr:twoCellAnchor>
    <xdr:from>
      <xdr:col>12</xdr:col>
      <xdr:colOff>50800</xdr:colOff>
      <xdr:row>122</xdr:row>
      <xdr:rowOff>50800</xdr:rowOff>
    </xdr:from>
    <xdr:to>
      <xdr:col>12</xdr:col>
      <xdr:colOff>3330575</xdr:colOff>
      <xdr:row>122</xdr:row>
      <xdr:rowOff>1854200</xdr:rowOff>
    </xdr:to>
    <xdr:pic>
      <xdr:nvPicPr>
        <xdr:cNvPr id="105" name="DBE_Img_ExID_2111"/>
        <xdr:cNvPicPr>
          <a:picLocks noChangeAspect="1"/>
        </xdr:cNvPicPr>
      </xdr:nvPicPr>
      <xdr:blipFill>
        <a:blip xmlns:r="http://schemas.openxmlformats.org/officeDocument/2006/relationships" r:embed="rId44" cstate="print"/>
        <a:stretch>
          <a:fillRect/>
        </a:stretch>
      </xdr:blipFill>
      <xdr:spPr>
        <a:xfrm>
          <a:off x="19119850" y="224593150"/>
          <a:ext cx="3279775" cy="1803400"/>
        </a:xfrm>
        <a:prstGeom prst="rect">
          <a:avLst/>
        </a:prstGeom>
      </xdr:spPr>
    </xdr:pic>
    <xdr:clientData/>
  </xdr:twoCellAnchor>
  <xdr:twoCellAnchor>
    <xdr:from>
      <xdr:col>12</xdr:col>
      <xdr:colOff>50800</xdr:colOff>
      <xdr:row>124</xdr:row>
      <xdr:rowOff>50800</xdr:rowOff>
    </xdr:from>
    <xdr:to>
      <xdr:col>12</xdr:col>
      <xdr:colOff>3330575</xdr:colOff>
      <xdr:row>124</xdr:row>
      <xdr:rowOff>1854200</xdr:rowOff>
    </xdr:to>
    <xdr:pic>
      <xdr:nvPicPr>
        <xdr:cNvPr id="106" name="DBE_Img_ExID_2113"/>
        <xdr:cNvPicPr>
          <a:picLocks noChangeAspect="1"/>
        </xdr:cNvPicPr>
      </xdr:nvPicPr>
      <xdr:blipFill>
        <a:blip xmlns:r="http://schemas.openxmlformats.org/officeDocument/2006/relationships" r:embed="rId45" cstate="print"/>
        <a:stretch>
          <a:fillRect/>
        </a:stretch>
      </xdr:blipFill>
      <xdr:spPr>
        <a:xfrm>
          <a:off x="19119850" y="228403150"/>
          <a:ext cx="3279775" cy="1803400"/>
        </a:xfrm>
        <a:prstGeom prst="rect">
          <a:avLst/>
        </a:prstGeom>
      </xdr:spPr>
    </xdr:pic>
    <xdr:clientData/>
  </xdr:twoCellAnchor>
  <xdr:twoCellAnchor>
    <xdr:from>
      <xdr:col>12</xdr:col>
      <xdr:colOff>50800</xdr:colOff>
      <xdr:row>34</xdr:row>
      <xdr:rowOff>50800</xdr:rowOff>
    </xdr:from>
    <xdr:to>
      <xdr:col>12</xdr:col>
      <xdr:colOff>3330575</xdr:colOff>
      <xdr:row>34</xdr:row>
      <xdr:rowOff>1854200</xdr:rowOff>
    </xdr:to>
    <xdr:pic>
      <xdr:nvPicPr>
        <xdr:cNvPr id="82" name="DBE_Img_ExID_2021"/>
        <xdr:cNvPicPr>
          <a:picLocks noChangeAspect="1"/>
        </xdr:cNvPicPr>
      </xdr:nvPicPr>
      <xdr:blipFill>
        <a:blip xmlns:r="http://schemas.openxmlformats.org/officeDocument/2006/relationships" r:embed="rId46" cstate="print"/>
        <a:stretch>
          <a:fillRect/>
        </a:stretch>
      </xdr:blipFill>
      <xdr:spPr>
        <a:xfrm>
          <a:off x="19119850" y="56953150"/>
          <a:ext cx="3279775" cy="1803400"/>
        </a:xfrm>
        <a:prstGeom prst="rect">
          <a:avLst/>
        </a:prstGeom>
      </xdr:spPr>
    </xdr:pic>
    <xdr:clientData/>
  </xdr:twoCellAnchor>
  <xdr:twoCellAnchor>
    <xdr:from>
      <xdr:col>12</xdr:col>
      <xdr:colOff>50800</xdr:colOff>
      <xdr:row>32</xdr:row>
      <xdr:rowOff>50800</xdr:rowOff>
    </xdr:from>
    <xdr:to>
      <xdr:col>12</xdr:col>
      <xdr:colOff>3330575</xdr:colOff>
      <xdr:row>32</xdr:row>
      <xdr:rowOff>1854200</xdr:rowOff>
    </xdr:to>
    <xdr:pic>
      <xdr:nvPicPr>
        <xdr:cNvPr id="115" name="DBE_Img_ExID_2019"/>
        <xdr:cNvPicPr>
          <a:picLocks noChangeAspect="1"/>
        </xdr:cNvPicPr>
      </xdr:nvPicPr>
      <xdr:blipFill>
        <a:blip xmlns:r="http://schemas.openxmlformats.org/officeDocument/2006/relationships" r:embed="rId47" cstate="print"/>
        <a:stretch>
          <a:fillRect/>
        </a:stretch>
      </xdr:blipFill>
      <xdr:spPr>
        <a:xfrm>
          <a:off x="19119850" y="53143150"/>
          <a:ext cx="3279775" cy="1803400"/>
        </a:xfrm>
        <a:prstGeom prst="rect">
          <a:avLst/>
        </a:prstGeom>
      </xdr:spPr>
    </xdr:pic>
    <xdr:clientData/>
  </xdr:twoCellAnchor>
  <xdr:twoCellAnchor>
    <xdr:from>
      <xdr:col>12</xdr:col>
      <xdr:colOff>50800</xdr:colOff>
      <xdr:row>33</xdr:row>
      <xdr:rowOff>50800</xdr:rowOff>
    </xdr:from>
    <xdr:to>
      <xdr:col>12</xdr:col>
      <xdr:colOff>3330575</xdr:colOff>
      <xdr:row>33</xdr:row>
      <xdr:rowOff>1854200</xdr:rowOff>
    </xdr:to>
    <xdr:pic>
      <xdr:nvPicPr>
        <xdr:cNvPr id="116" name="DBE_Img_ExID_2020"/>
        <xdr:cNvPicPr>
          <a:picLocks noChangeAspect="1"/>
        </xdr:cNvPicPr>
      </xdr:nvPicPr>
      <xdr:blipFill>
        <a:blip xmlns:r="http://schemas.openxmlformats.org/officeDocument/2006/relationships" r:embed="rId48" cstate="print"/>
        <a:stretch>
          <a:fillRect/>
        </a:stretch>
      </xdr:blipFill>
      <xdr:spPr>
        <a:xfrm>
          <a:off x="19119850" y="55048150"/>
          <a:ext cx="3279775" cy="1803400"/>
        </a:xfrm>
        <a:prstGeom prst="rect">
          <a:avLst/>
        </a:prstGeom>
      </xdr:spPr>
    </xdr:pic>
    <xdr:clientData/>
  </xdr:twoCellAnchor>
  <xdr:twoCellAnchor>
    <xdr:from>
      <xdr:col>12</xdr:col>
      <xdr:colOff>50800</xdr:colOff>
      <xdr:row>35</xdr:row>
      <xdr:rowOff>50800</xdr:rowOff>
    </xdr:from>
    <xdr:to>
      <xdr:col>12</xdr:col>
      <xdr:colOff>3330575</xdr:colOff>
      <xdr:row>35</xdr:row>
      <xdr:rowOff>1854200</xdr:rowOff>
    </xdr:to>
    <xdr:pic>
      <xdr:nvPicPr>
        <xdr:cNvPr id="117" name="DBE_Img_ExID_2022"/>
        <xdr:cNvPicPr>
          <a:picLocks noChangeAspect="1"/>
        </xdr:cNvPicPr>
      </xdr:nvPicPr>
      <xdr:blipFill>
        <a:blip xmlns:r="http://schemas.openxmlformats.org/officeDocument/2006/relationships" r:embed="rId49" cstate="print"/>
        <a:stretch>
          <a:fillRect/>
        </a:stretch>
      </xdr:blipFill>
      <xdr:spPr>
        <a:xfrm>
          <a:off x="19119850" y="58858150"/>
          <a:ext cx="3279775" cy="1803400"/>
        </a:xfrm>
        <a:prstGeom prst="rect">
          <a:avLst/>
        </a:prstGeom>
      </xdr:spPr>
    </xdr:pic>
    <xdr:clientData/>
  </xdr:twoCellAnchor>
  <xdr:twoCellAnchor>
    <xdr:from>
      <xdr:col>12</xdr:col>
      <xdr:colOff>50800</xdr:colOff>
      <xdr:row>37</xdr:row>
      <xdr:rowOff>50800</xdr:rowOff>
    </xdr:from>
    <xdr:to>
      <xdr:col>12</xdr:col>
      <xdr:colOff>3330575</xdr:colOff>
      <xdr:row>37</xdr:row>
      <xdr:rowOff>1854200</xdr:rowOff>
    </xdr:to>
    <xdr:pic>
      <xdr:nvPicPr>
        <xdr:cNvPr id="118" name="DBE_Img_ExID_2024"/>
        <xdr:cNvPicPr>
          <a:picLocks noChangeAspect="1"/>
        </xdr:cNvPicPr>
      </xdr:nvPicPr>
      <xdr:blipFill>
        <a:blip xmlns:r="http://schemas.openxmlformats.org/officeDocument/2006/relationships" r:embed="rId50" cstate="print"/>
        <a:stretch>
          <a:fillRect/>
        </a:stretch>
      </xdr:blipFill>
      <xdr:spPr>
        <a:xfrm>
          <a:off x="19119850" y="62668150"/>
          <a:ext cx="3279775" cy="1803400"/>
        </a:xfrm>
        <a:prstGeom prst="rect">
          <a:avLst/>
        </a:prstGeom>
      </xdr:spPr>
    </xdr:pic>
    <xdr:clientData/>
  </xdr:twoCellAnchor>
  <xdr:twoCellAnchor>
    <xdr:from>
      <xdr:col>12</xdr:col>
      <xdr:colOff>50800</xdr:colOff>
      <xdr:row>19</xdr:row>
      <xdr:rowOff>50800</xdr:rowOff>
    </xdr:from>
    <xdr:to>
      <xdr:col>12</xdr:col>
      <xdr:colOff>3330575</xdr:colOff>
      <xdr:row>19</xdr:row>
      <xdr:rowOff>1854200</xdr:rowOff>
    </xdr:to>
    <xdr:pic>
      <xdr:nvPicPr>
        <xdr:cNvPr id="120" name="DBE_Img_ExID_2006"/>
        <xdr:cNvPicPr>
          <a:picLocks noChangeAspect="1"/>
        </xdr:cNvPicPr>
      </xdr:nvPicPr>
      <xdr:blipFill>
        <a:blip xmlns:r="http://schemas.openxmlformats.org/officeDocument/2006/relationships" r:embed="rId51" cstate="print"/>
        <a:stretch>
          <a:fillRect/>
        </a:stretch>
      </xdr:blipFill>
      <xdr:spPr>
        <a:xfrm>
          <a:off x="19119850" y="28378150"/>
          <a:ext cx="3279775" cy="1803400"/>
        </a:xfrm>
        <a:prstGeom prst="rect">
          <a:avLst/>
        </a:prstGeom>
      </xdr:spPr>
    </xdr:pic>
    <xdr:clientData/>
  </xdr:twoCellAnchor>
  <xdr:twoCellAnchor>
    <xdr:from>
      <xdr:col>12</xdr:col>
      <xdr:colOff>50800</xdr:colOff>
      <xdr:row>20</xdr:row>
      <xdr:rowOff>50800</xdr:rowOff>
    </xdr:from>
    <xdr:to>
      <xdr:col>12</xdr:col>
      <xdr:colOff>3330575</xdr:colOff>
      <xdr:row>20</xdr:row>
      <xdr:rowOff>1854200</xdr:rowOff>
    </xdr:to>
    <xdr:pic>
      <xdr:nvPicPr>
        <xdr:cNvPr id="121" name="DBE_Img_ExID_2007"/>
        <xdr:cNvPicPr>
          <a:picLocks noChangeAspect="1"/>
        </xdr:cNvPicPr>
      </xdr:nvPicPr>
      <xdr:blipFill>
        <a:blip xmlns:r="http://schemas.openxmlformats.org/officeDocument/2006/relationships" r:embed="rId52" cstate="print"/>
        <a:stretch>
          <a:fillRect/>
        </a:stretch>
      </xdr:blipFill>
      <xdr:spPr>
        <a:xfrm>
          <a:off x="19119850" y="30283150"/>
          <a:ext cx="3279775" cy="1803400"/>
        </a:xfrm>
        <a:prstGeom prst="rect">
          <a:avLst/>
        </a:prstGeom>
      </xdr:spPr>
    </xdr:pic>
    <xdr:clientData/>
  </xdr:twoCellAnchor>
  <xdr:twoCellAnchor>
    <xdr:from>
      <xdr:col>12</xdr:col>
      <xdr:colOff>50800</xdr:colOff>
      <xdr:row>21</xdr:row>
      <xdr:rowOff>50800</xdr:rowOff>
    </xdr:from>
    <xdr:to>
      <xdr:col>12</xdr:col>
      <xdr:colOff>3330575</xdr:colOff>
      <xdr:row>21</xdr:row>
      <xdr:rowOff>1854200</xdr:rowOff>
    </xdr:to>
    <xdr:pic>
      <xdr:nvPicPr>
        <xdr:cNvPr id="144" name="DBE_Img_ExID_2008"/>
        <xdr:cNvPicPr>
          <a:picLocks noChangeAspect="1"/>
        </xdr:cNvPicPr>
      </xdr:nvPicPr>
      <xdr:blipFill>
        <a:blip xmlns:r="http://schemas.openxmlformats.org/officeDocument/2006/relationships" r:embed="rId53" cstate="print"/>
        <a:stretch>
          <a:fillRect/>
        </a:stretch>
      </xdr:blipFill>
      <xdr:spPr>
        <a:xfrm>
          <a:off x="19119850" y="32188150"/>
          <a:ext cx="3279775" cy="1803400"/>
        </a:xfrm>
        <a:prstGeom prst="rect">
          <a:avLst/>
        </a:prstGeom>
      </xdr:spPr>
    </xdr:pic>
    <xdr:clientData/>
  </xdr:twoCellAnchor>
  <xdr:twoCellAnchor>
    <xdr:from>
      <xdr:col>12</xdr:col>
      <xdr:colOff>50800</xdr:colOff>
      <xdr:row>22</xdr:row>
      <xdr:rowOff>50800</xdr:rowOff>
    </xdr:from>
    <xdr:to>
      <xdr:col>12</xdr:col>
      <xdr:colOff>3330575</xdr:colOff>
      <xdr:row>22</xdr:row>
      <xdr:rowOff>1854200</xdr:rowOff>
    </xdr:to>
    <xdr:pic>
      <xdr:nvPicPr>
        <xdr:cNvPr id="145" name="DBE_Img_ExID_2009"/>
        <xdr:cNvPicPr>
          <a:picLocks noChangeAspect="1"/>
        </xdr:cNvPicPr>
      </xdr:nvPicPr>
      <xdr:blipFill>
        <a:blip xmlns:r="http://schemas.openxmlformats.org/officeDocument/2006/relationships" r:embed="rId54" cstate="print"/>
        <a:stretch>
          <a:fillRect/>
        </a:stretch>
      </xdr:blipFill>
      <xdr:spPr>
        <a:xfrm>
          <a:off x="19119850" y="34093150"/>
          <a:ext cx="3279775" cy="1803400"/>
        </a:xfrm>
        <a:prstGeom prst="rect">
          <a:avLst/>
        </a:prstGeom>
      </xdr:spPr>
    </xdr:pic>
    <xdr:clientData/>
  </xdr:twoCellAnchor>
  <xdr:twoCellAnchor>
    <xdr:from>
      <xdr:col>12</xdr:col>
      <xdr:colOff>50800</xdr:colOff>
      <xdr:row>10</xdr:row>
      <xdr:rowOff>50800</xdr:rowOff>
    </xdr:from>
    <xdr:to>
      <xdr:col>12</xdr:col>
      <xdr:colOff>3330575</xdr:colOff>
      <xdr:row>10</xdr:row>
      <xdr:rowOff>1854200</xdr:rowOff>
    </xdr:to>
    <xdr:pic>
      <xdr:nvPicPr>
        <xdr:cNvPr id="62" name="DBE_Img_ExID_1006"/>
        <xdr:cNvPicPr>
          <a:picLocks noChangeAspect="1"/>
        </xdr:cNvPicPr>
      </xdr:nvPicPr>
      <xdr:blipFill>
        <a:blip xmlns:r="http://schemas.openxmlformats.org/officeDocument/2006/relationships" r:embed="rId55"/>
        <a:stretch>
          <a:fillRect/>
        </a:stretch>
      </xdr:blipFill>
      <xdr:spPr>
        <a:xfrm>
          <a:off x="19119850" y="11233150"/>
          <a:ext cx="3279775" cy="1803400"/>
        </a:xfrm>
        <a:prstGeom prst="rect">
          <a:avLst/>
        </a:prstGeom>
      </xdr:spPr>
    </xdr:pic>
    <xdr:clientData/>
  </xdr:twoCellAnchor>
  <xdr:twoCellAnchor>
    <xdr:from>
      <xdr:col>12</xdr:col>
      <xdr:colOff>50800</xdr:colOff>
      <xdr:row>11</xdr:row>
      <xdr:rowOff>50800</xdr:rowOff>
    </xdr:from>
    <xdr:to>
      <xdr:col>12</xdr:col>
      <xdr:colOff>3330575</xdr:colOff>
      <xdr:row>11</xdr:row>
      <xdr:rowOff>1854200</xdr:rowOff>
    </xdr:to>
    <xdr:pic>
      <xdr:nvPicPr>
        <xdr:cNvPr id="63" name="DBE_Img_ExID_1007"/>
        <xdr:cNvPicPr>
          <a:picLocks noChangeAspect="1"/>
        </xdr:cNvPicPr>
      </xdr:nvPicPr>
      <xdr:blipFill>
        <a:blip xmlns:r="http://schemas.openxmlformats.org/officeDocument/2006/relationships" r:embed="rId56"/>
        <a:stretch>
          <a:fillRect/>
        </a:stretch>
      </xdr:blipFill>
      <xdr:spPr>
        <a:xfrm>
          <a:off x="19119850" y="13138150"/>
          <a:ext cx="3279775" cy="1803400"/>
        </a:xfrm>
        <a:prstGeom prst="rect">
          <a:avLst/>
        </a:prstGeom>
      </xdr:spPr>
    </xdr:pic>
    <xdr:clientData/>
  </xdr:twoCellAnchor>
  <xdr:twoCellAnchor>
    <xdr:from>
      <xdr:col>12</xdr:col>
      <xdr:colOff>50800</xdr:colOff>
      <xdr:row>6</xdr:row>
      <xdr:rowOff>50800</xdr:rowOff>
    </xdr:from>
    <xdr:to>
      <xdr:col>12</xdr:col>
      <xdr:colOff>3330575</xdr:colOff>
      <xdr:row>6</xdr:row>
      <xdr:rowOff>1854200</xdr:rowOff>
    </xdr:to>
    <xdr:pic>
      <xdr:nvPicPr>
        <xdr:cNvPr id="64" name="DBE_Img_ExID_1002"/>
        <xdr:cNvPicPr>
          <a:picLocks noChangeAspect="1"/>
        </xdr:cNvPicPr>
      </xdr:nvPicPr>
      <xdr:blipFill>
        <a:blip xmlns:r="http://schemas.openxmlformats.org/officeDocument/2006/relationships" r:embed="rId57"/>
        <a:stretch>
          <a:fillRect/>
        </a:stretch>
      </xdr:blipFill>
      <xdr:spPr>
        <a:xfrm>
          <a:off x="19119850" y="3613150"/>
          <a:ext cx="3279775" cy="1803400"/>
        </a:xfrm>
        <a:prstGeom prst="rect">
          <a:avLst/>
        </a:prstGeom>
      </xdr:spPr>
    </xdr:pic>
    <xdr:clientData/>
  </xdr:twoCellAnchor>
  <xdr:twoCellAnchor>
    <xdr:from>
      <xdr:col>12</xdr:col>
      <xdr:colOff>50800</xdr:colOff>
      <xdr:row>8</xdr:row>
      <xdr:rowOff>50800</xdr:rowOff>
    </xdr:from>
    <xdr:to>
      <xdr:col>12</xdr:col>
      <xdr:colOff>3330575</xdr:colOff>
      <xdr:row>8</xdr:row>
      <xdr:rowOff>1854200</xdr:rowOff>
    </xdr:to>
    <xdr:pic>
      <xdr:nvPicPr>
        <xdr:cNvPr id="84" name="DBE_Img_ExID_1004"/>
        <xdr:cNvPicPr>
          <a:picLocks noChangeAspect="1"/>
        </xdr:cNvPicPr>
      </xdr:nvPicPr>
      <xdr:blipFill>
        <a:blip xmlns:r="http://schemas.openxmlformats.org/officeDocument/2006/relationships" r:embed="rId58"/>
        <a:stretch>
          <a:fillRect/>
        </a:stretch>
      </xdr:blipFill>
      <xdr:spPr>
        <a:xfrm>
          <a:off x="19119850" y="7423150"/>
          <a:ext cx="3279775" cy="1803400"/>
        </a:xfrm>
        <a:prstGeom prst="rect">
          <a:avLst/>
        </a:prstGeom>
      </xdr:spPr>
    </xdr:pic>
    <xdr:clientData/>
  </xdr:twoCellAnchor>
  <xdr:twoCellAnchor>
    <xdr:from>
      <xdr:col>12</xdr:col>
      <xdr:colOff>50800</xdr:colOff>
      <xdr:row>9</xdr:row>
      <xdr:rowOff>50800</xdr:rowOff>
    </xdr:from>
    <xdr:to>
      <xdr:col>12</xdr:col>
      <xdr:colOff>3330575</xdr:colOff>
      <xdr:row>9</xdr:row>
      <xdr:rowOff>1854200</xdr:rowOff>
    </xdr:to>
    <xdr:pic>
      <xdr:nvPicPr>
        <xdr:cNvPr id="85" name="DBE_Img_ExID_1005"/>
        <xdr:cNvPicPr>
          <a:picLocks noChangeAspect="1"/>
        </xdr:cNvPicPr>
      </xdr:nvPicPr>
      <xdr:blipFill>
        <a:blip xmlns:r="http://schemas.openxmlformats.org/officeDocument/2006/relationships" r:embed="rId59"/>
        <a:stretch>
          <a:fillRect/>
        </a:stretch>
      </xdr:blipFill>
      <xdr:spPr>
        <a:xfrm>
          <a:off x="19119850" y="9328150"/>
          <a:ext cx="3279775" cy="1803400"/>
        </a:xfrm>
        <a:prstGeom prst="rect">
          <a:avLst/>
        </a:prstGeom>
      </xdr:spPr>
    </xdr:pic>
    <xdr:clientData/>
  </xdr:twoCellAnchor>
  <xdr:twoCellAnchor>
    <xdr:from>
      <xdr:col>12</xdr:col>
      <xdr:colOff>50800</xdr:colOff>
      <xdr:row>7</xdr:row>
      <xdr:rowOff>50800</xdr:rowOff>
    </xdr:from>
    <xdr:to>
      <xdr:col>12</xdr:col>
      <xdr:colOff>3330575</xdr:colOff>
      <xdr:row>7</xdr:row>
      <xdr:rowOff>1854200</xdr:rowOff>
    </xdr:to>
    <xdr:pic>
      <xdr:nvPicPr>
        <xdr:cNvPr id="86" name="DBE_Img_ExID_1003"/>
        <xdr:cNvPicPr>
          <a:picLocks noChangeAspect="1"/>
        </xdr:cNvPicPr>
      </xdr:nvPicPr>
      <xdr:blipFill>
        <a:blip xmlns:r="http://schemas.openxmlformats.org/officeDocument/2006/relationships" r:embed="rId60"/>
        <a:stretch>
          <a:fillRect/>
        </a:stretch>
      </xdr:blipFill>
      <xdr:spPr>
        <a:xfrm>
          <a:off x="19119850" y="5518150"/>
          <a:ext cx="3279775" cy="1803400"/>
        </a:xfrm>
        <a:prstGeom prst="rect">
          <a:avLst/>
        </a:prstGeom>
      </xdr:spPr>
    </xdr:pic>
    <xdr:clientData/>
  </xdr:twoCellAnchor>
  <xdr:twoCellAnchor>
    <xdr:from>
      <xdr:col>12</xdr:col>
      <xdr:colOff>50800</xdr:colOff>
      <xdr:row>88</xdr:row>
      <xdr:rowOff>50800</xdr:rowOff>
    </xdr:from>
    <xdr:to>
      <xdr:col>12</xdr:col>
      <xdr:colOff>3330575</xdr:colOff>
      <xdr:row>88</xdr:row>
      <xdr:rowOff>1854200</xdr:rowOff>
    </xdr:to>
    <xdr:pic>
      <xdr:nvPicPr>
        <xdr:cNvPr id="10" name="DBE_Img_ExID_2077"/>
        <xdr:cNvPicPr>
          <a:picLocks noChangeAspect="1"/>
        </xdr:cNvPicPr>
      </xdr:nvPicPr>
      <xdr:blipFill>
        <a:blip xmlns:r="http://schemas.openxmlformats.org/officeDocument/2006/relationships" r:embed="rId61"/>
        <a:stretch>
          <a:fillRect/>
        </a:stretch>
      </xdr:blipFill>
      <xdr:spPr>
        <a:xfrm>
          <a:off x="19119850" y="159823150"/>
          <a:ext cx="3279775" cy="1803400"/>
        </a:xfrm>
        <a:prstGeom prst="rect">
          <a:avLst/>
        </a:prstGeom>
      </xdr:spPr>
    </xdr:pic>
    <xdr:clientData/>
  </xdr:twoCellAnchor>
  <xdr:twoCellAnchor>
    <xdr:from>
      <xdr:col>12</xdr:col>
      <xdr:colOff>50800</xdr:colOff>
      <xdr:row>75</xdr:row>
      <xdr:rowOff>50800</xdr:rowOff>
    </xdr:from>
    <xdr:to>
      <xdr:col>12</xdr:col>
      <xdr:colOff>3330575</xdr:colOff>
      <xdr:row>75</xdr:row>
      <xdr:rowOff>1854200</xdr:rowOff>
    </xdr:to>
    <xdr:pic>
      <xdr:nvPicPr>
        <xdr:cNvPr id="13" name="DBE_Img_ExID_2064"/>
        <xdr:cNvPicPr>
          <a:picLocks noChangeAspect="1"/>
        </xdr:cNvPicPr>
      </xdr:nvPicPr>
      <xdr:blipFill>
        <a:blip xmlns:r="http://schemas.openxmlformats.org/officeDocument/2006/relationships" r:embed="rId62"/>
        <a:stretch>
          <a:fillRect/>
        </a:stretch>
      </xdr:blipFill>
      <xdr:spPr>
        <a:xfrm>
          <a:off x="19119850" y="135058150"/>
          <a:ext cx="3279775" cy="1803400"/>
        </a:xfrm>
        <a:prstGeom prst="rect">
          <a:avLst/>
        </a:prstGeom>
      </xdr:spPr>
    </xdr:pic>
    <xdr:clientData/>
  </xdr:twoCellAnchor>
  <xdr:twoCellAnchor>
    <xdr:from>
      <xdr:col>12</xdr:col>
      <xdr:colOff>50800</xdr:colOff>
      <xdr:row>74</xdr:row>
      <xdr:rowOff>50800</xdr:rowOff>
    </xdr:from>
    <xdr:to>
      <xdr:col>12</xdr:col>
      <xdr:colOff>3330575</xdr:colOff>
      <xdr:row>74</xdr:row>
      <xdr:rowOff>1854200</xdr:rowOff>
    </xdr:to>
    <xdr:pic>
      <xdr:nvPicPr>
        <xdr:cNvPr id="101" name="DBE_Img_ExID_2063"/>
        <xdr:cNvPicPr>
          <a:picLocks noChangeAspect="1"/>
        </xdr:cNvPicPr>
      </xdr:nvPicPr>
      <xdr:blipFill>
        <a:blip xmlns:r="http://schemas.openxmlformats.org/officeDocument/2006/relationships" r:embed="rId63"/>
        <a:stretch>
          <a:fillRect/>
        </a:stretch>
      </xdr:blipFill>
      <xdr:spPr>
        <a:xfrm>
          <a:off x="19119850" y="133153150"/>
          <a:ext cx="3279775" cy="1803400"/>
        </a:xfrm>
        <a:prstGeom prst="rect">
          <a:avLst/>
        </a:prstGeom>
      </xdr:spPr>
    </xdr:pic>
    <xdr:clientData/>
  </xdr:twoCellAnchor>
  <xdr:twoCellAnchor>
    <xdr:from>
      <xdr:col>12</xdr:col>
      <xdr:colOff>50800</xdr:colOff>
      <xdr:row>73</xdr:row>
      <xdr:rowOff>50800</xdr:rowOff>
    </xdr:from>
    <xdr:to>
      <xdr:col>12</xdr:col>
      <xdr:colOff>3330575</xdr:colOff>
      <xdr:row>73</xdr:row>
      <xdr:rowOff>1854200</xdr:rowOff>
    </xdr:to>
    <xdr:pic>
      <xdr:nvPicPr>
        <xdr:cNvPr id="102" name="DBE_Img_ExID_2062"/>
        <xdr:cNvPicPr>
          <a:picLocks noChangeAspect="1"/>
        </xdr:cNvPicPr>
      </xdr:nvPicPr>
      <xdr:blipFill>
        <a:blip xmlns:r="http://schemas.openxmlformats.org/officeDocument/2006/relationships" r:embed="rId64"/>
        <a:stretch>
          <a:fillRect/>
        </a:stretch>
      </xdr:blipFill>
      <xdr:spPr>
        <a:xfrm>
          <a:off x="19119850" y="131248150"/>
          <a:ext cx="3279775" cy="1803400"/>
        </a:xfrm>
        <a:prstGeom prst="rect">
          <a:avLst/>
        </a:prstGeom>
      </xdr:spPr>
    </xdr:pic>
    <xdr:clientData/>
  </xdr:twoCellAnchor>
  <xdr:twoCellAnchor>
    <xdr:from>
      <xdr:col>12</xdr:col>
      <xdr:colOff>50800</xdr:colOff>
      <xdr:row>72</xdr:row>
      <xdr:rowOff>50800</xdr:rowOff>
    </xdr:from>
    <xdr:to>
      <xdr:col>12</xdr:col>
      <xdr:colOff>3330575</xdr:colOff>
      <xdr:row>72</xdr:row>
      <xdr:rowOff>1854200</xdr:rowOff>
    </xdr:to>
    <xdr:pic>
      <xdr:nvPicPr>
        <xdr:cNvPr id="103" name="DBE_Img_ExID_2061"/>
        <xdr:cNvPicPr>
          <a:picLocks noChangeAspect="1"/>
        </xdr:cNvPicPr>
      </xdr:nvPicPr>
      <xdr:blipFill>
        <a:blip xmlns:r="http://schemas.openxmlformats.org/officeDocument/2006/relationships" r:embed="rId65"/>
        <a:stretch>
          <a:fillRect/>
        </a:stretch>
      </xdr:blipFill>
      <xdr:spPr>
        <a:xfrm>
          <a:off x="19119850" y="129343150"/>
          <a:ext cx="3279775" cy="1803400"/>
        </a:xfrm>
        <a:prstGeom prst="rect">
          <a:avLst/>
        </a:prstGeom>
      </xdr:spPr>
    </xdr:pic>
    <xdr:clientData/>
  </xdr:twoCellAnchor>
  <xdr:twoCellAnchor>
    <xdr:from>
      <xdr:col>12</xdr:col>
      <xdr:colOff>50800</xdr:colOff>
      <xdr:row>125</xdr:row>
      <xdr:rowOff>50800</xdr:rowOff>
    </xdr:from>
    <xdr:to>
      <xdr:col>12</xdr:col>
      <xdr:colOff>3330575</xdr:colOff>
      <xdr:row>125</xdr:row>
      <xdr:rowOff>1854200</xdr:rowOff>
    </xdr:to>
    <xdr:pic>
      <xdr:nvPicPr>
        <xdr:cNvPr id="7" name="DBE_Img_ExID_2114"/>
        <xdr:cNvPicPr>
          <a:picLocks noChangeAspect="1"/>
        </xdr:cNvPicPr>
      </xdr:nvPicPr>
      <xdr:blipFill>
        <a:blip xmlns:r="http://schemas.openxmlformats.org/officeDocument/2006/relationships" r:embed="rId66"/>
        <a:stretch>
          <a:fillRect/>
        </a:stretch>
      </xdr:blipFill>
      <xdr:spPr>
        <a:xfrm>
          <a:off x="19119850" y="230308150"/>
          <a:ext cx="3279775" cy="1803400"/>
        </a:xfrm>
        <a:prstGeom prst="rect">
          <a:avLst/>
        </a:prstGeom>
      </xdr:spPr>
    </xdr:pic>
    <xdr:clientData/>
  </xdr:twoCellAnchor>
  <xdr:twoCellAnchor>
    <xdr:from>
      <xdr:col>12</xdr:col>
      <xdr:colOff>50800</xdr:colOff>
      <xdr:row>126</xdr:row>
      <xdr:rowOff>50800</xdr:rowOff>
    </xdr:from>
    <xdr:to>
      <xdr:col>12</xdr:col>
      <xdr:colOff>3330575</xdr:colOff>
      <xdr:row>126</xdr:row>
      <xdr:rowOff>1854200</xdr:rowOff>
    </xdr:to>
    <xdr:pic>
      <xdr:nvPicPr>
        <xdr:cNvPr id="26" name="DBE_Img_ExID_2115"/>
        <xdr:cNvPicPr>
          <a:picLocks noChangeAspect="1"/>
        </xdr:cNvPicPr>
      </xdr:nvPicPr>
      <xdr:blipFill>
        <a:blip xmlns:r="http://schemas.openxmlformats.org/officeDocument/2006/relationships" r:embed="rId67"/>
        <a:stretch>
          <a:fillRect/>
        </a:stretch>
      </xdr:blipFill>
      <xdr:spPr>
        <a:xfrm>
          <a:off x="19119850" y="232213150"/>
          <a:ext cx="3279775" cy="1803400"/>
        </a:xfrm>
        <a:prstGeom prst="rect">
          <a:avLst/>
        </a:prstGeom>
      </xdr:spPr>
    </xdr:pic>
    <xdr:clientData/>
  </xdr:twoCellAnchor>
  <xdr:twoCellAnchor>
    <xdr:from>
      <xdr:col>12</xdr:col>
      <xdr:colOff>50800</xdr:colOff>
      <xdr:row>127</xdr:row>
      <xdr:rowOff>50800</xdr:rowOff>
    </xdr:from>
    <xdr:to>
      <xdr:col>12</xdr:col>
      <xdr:colOff>3330575</xdr:colOff>
      <xdr:row>127</xdr:row>
      <xdr:rowOff>1854200</xdr:rowOff>
    </xdr:to>
    <xdr:pic>
      <xdr:nvPicPr>
        <xdr:cNvPr id="4096" name="DBE_Img_ExID_2116"/>
        <xdr:cNvPicPr>
          <a:picLocks noChangeAspect="1"/>
        </xdr:cNvPicPr>
      </xdr:nvPicPr>
      <xdr:blipFill>
        <a:blip xmlns:r="http://schemas.openxmlformats.org/officeDocument/2006/relationships" r:embed="rId68"/>
        <a:stretch>
          <a:fillRect/>
        </a:stretch>
      </xdr:blipFill>
      <xdr:spPr>
        <a:xfrm>
          <a:off x="19119850" y="234118150"/>
          <a:ext cx="3279775" cy="1803400"/>
        </a:xfrm>
        <a:prstGeom prst="rect">
          <a:avLst/>
        </a:prstGeom>
      </xdr:spPr>
    </xdr:pic>
    <xdr:clientData/>
  </xdr:twoCellAnchor>
  <xdr:twoCellAnchor>
    <xdr:from>
      <xdr:col>12</xdr:col>
      <xdr:colOff>50800</xdr:colOff>
      <xdr:row>170</xdr:row>
      <xdr:rowOff>50800</xdr:rowOff>
    </xdr:from>
    <xdr:to>
      <xdr:col>12</xdr:col>
      <xdr:colOff>3330575</xdr:colOff>
      <xdr:row>170</xdr:row>
      <xdr:rowOff>1854200</xdr:rowOff>
    </xdr:to>
    <xdr:pic>
      <xdr:nvPicPr>
        <xdr:cNvPr id="6" name="DBE_Img_ExID_3028"/>
        <xdr:cNvPicPr>
          <a:picLocks noChangeAspect="1"/>
        </xdr:cNvPicPr>
      </xdr:nvPicPr>
      <xdr:blipFill>
        <a:blip xmlns:r="http://schemas.openxmlformats.org/officeDocument/2006/relationships" r:embed="rId69"/>
        <a:stretch>
          <a:fillRect/>
        </a:stretch>
      </xdr:blipFill>
      <xdr:spPr>
        <a:xfrm>
          <a:off x="19119850" y="316033150"/>
          <a:ext cx="3279775" cy="1803400"/>
        </a:xfrm>
        <a:prstGeom prst="rect">
          <a:avLst/>
        </a:prstGeom>
      </xdr:spPr>
    </xdr:pic>
    <xdr:clientData/>
  </xdr:twoCellAnchor>
  <xdr:twoCellAnchor>
    <xdr:from>
      <xdr:col>12</xdr:col>
      <xdr:colOff>50800</xdr:colOff>
      <xdr:row>171</xdr:row>
      <xdr:rowOff>50800</xdr:rowOff>
    </xdr:from>
    <xdr:to>
      <xdr:col>12</xdr:col>
      <xdr:colOff>3330575</xdr:colOff>
      <xdr:row>171</xdr:row>
      <xdr:rowOff>1854200</xdr:rowOff>
    </xdr:to>
    <xdr:pic>
      <xdr:nvPicPr>
        <xdr:cNvPr id="27" name="DBE_Img_ExID_3029"/>
        <xdr:cNvPicPr>
          <a:picLocks noChangeAspect="1"/>
        </xdr:cNvPicPr>
      </xdr:nvPicPr>
      <xdr:blipFill>
        <a:blip xmlns:r="http://schemas.openxmlformats.org/officeDocument/2006/relationships" r:embed="rId70"/>
        <a:stretch>
          <a:fillRect/>
        </a:stretch>
      </xdr:blipFill>
      <xdr:spPr>
        <a:xfrm>
          <a:off x="19119850" y="317938150"/>
          <a:ext cx="3279775" cy="1803400"/>
        </a:xfrm>
        <a:prstGeom prst="rect">
          <a:avLst/>
        </a:prstGeom>
      </xdr:spPr>
    </xdr:pic>
    <xdr:clientData/>
  </xdr:twoCellAnchor>
  <xdr:twoCellAnchor>
    <xdr:from>
      <xdr:col>12</xdr:col>
      <xdr:colOff>50800</xdr:colOff>
      <xdr:row>172</xdr:row>
      <xdr:rowOff>50800</xdr:rowOff>
    </xdr:from>
    <xdr:to>
      <xdr:col>12</xdr:col>
      <xdr:colOff>3330575</xdr:colOff>
      <xdr:row>172</xdr:row>
      <xdr:rowOff>1854200</xdr:rowOff>
    </xdr:to>
    <xdr:pic>
      <xdr:nvPicPr>
        <xdr:cNvPr id="28" name="DBE_Img_ExID_3030"/>
        <xdr:cNvPicPr>
          <a:picLocks noChangeAspect="1"/>
        </xdr:cNvPicPr>
      </xdr:nvPicPr>
      <xdr:blipFill>
        <a:blip xmlns:r="http://schemas.openxmlformats.org/officeDocument/2006/relationships" r:embed="rId71"/>
        <a:stretch>
          <a:fillRect/>
        </a:stretch>
      </xdr:blipFill>
      <xdr:spPr>
        <a:xfrm>
          <a:off x="19119850" y="319843150"/>
          <a:ext cx="3279775" cy="1803400"/>
        </a:xfrm>
        <a:prstGeom prst="rect">
          <a:avLst/>
        </a:prstGeom>
      </xdr:spPr>
    </xdr:pic>
    <xdr:clientData/>
  </xdr:twoCellAnchor>
  <xdr:twoCellAnchor>
    <xdr:from>
      <xdr:col>12</xdr:col>
      <xdr:colOff>50800</xdr:colOff>
      <xdr:row>173</xdr:row>
      <xdr:rowOff>50800</xdr:rowOff>
    </xdr:from>
    <xdr:to>
      <xdr:col>12</xdr:col>
      <xdr:colOff>3330575</xdr:colOff>
      <xdr:row>173</xdr:row>
      <xdr:rowOff>1854200</xdr:rowOff>
    </xdr:to>
    <xdr:pic>
      <xdr:nvPicPr>
        <xdr:cNvPr id="30" name="DBE_Img_ExID_3031"/>
        <xdr:cNvPicPr>
          <a:picLocks noChangeAspect="1"/>
        </xdr:cNvPicPr>
      </xdr:nvPicPr>
      <xdr:blipFill>
        <a:blip xmlns:r="http://schemas.openxmlformats.org/officeDocument/2006/relationships" r:embed="rId72"/>
        <a:stretch>
          <a:fillRect/>
        </a:stretch>
      </xdr:blipFill>
      <xdr:spPr>
        <a:xfrm>
          <a:off x="19119850" y="321748150"/>
          <a:ext cx="3279775" cy="1803400"/>
        </a:xfrm>
        <a:prstGeom prst="rect">
          <a:avLst/>
        </a:prstGeom>
      </xdr:spPr>
    </xdr:pic>
    <xdr:clientData/>
  </xdr:twoCellAnchor>
  <xdr:twoCellAnchor>
    <xdr:from>
      <xdr:col>12</xdr:col>
      <xdr:colOff>50800</xdr:colOff>
      <xdr:row>128</xdr:row>
      <xdr:rowOff>50800</xdr:rowOff>
    </xdr:from>
    <xdr:to>
      <xdr:col>12</xdr:col>
      <xdr:colOff>3330575</xdr:colOff>
      <xdr:row>128</xdr:row>
      <xdr:rowOff>1854200</xdr:rowOff>
    </xdr:to>
    <xdr:pic>
      <xdr:nvPicPr>
        <xdr:cNvPr id="9" name="DBE_Img_ExID_2117"/>
        <xdr:cNvPicPr>
          <a:picLocks noChangeAspect="1"/>
        </xdr:cNvPicPr>
      </xdr:nvPicPr>
      <xdr:blipFill>
        <a:blip xmlns:r="http://schemas.openxmlformats.org/officeDocument/2006/relationships" r:embed="rId73"/>
        <a:stretch>
          <a:fillRect/>
        </a:stretch>
      </xdr:blipFill>
      <xdr:spPr>
        <a:xfrm>
          <a:off x="19119850" y="236023150"/>
          <a:ext cx="3279775" cy="1803400"/>
        </a:xfrm>
        <a:prstGeom prst="rect">
          <a:avLst/>
        </a:prstGeom>
      </xdr:spPr>
    </xdr:pic>
    <xdr:clientData/>
  </xdr:twoCellAnchor>
  <xdr:twoCellAnchor>
    <xdr:from>
      <xdr:col>12</xdr:col>
      <xdr:colOff>50800</xdr:colOff>
      <xdr:row>129</xdr:row>
      <xdr:rowOff>50800</xdr:rowOff>
    </xdr:from>
    <xdr:to>
      <xdr:col>12</xdr:col>
      <xdr:colOff>3330575</xdr:colOff>
      <xdr:row>129</xdr:row>
      <xdr:rowOff>1854200</xdr:rowOff>
    </xdr:to>
    <xdr:pic>
      <xdr:nvPicPr>
        <xdr:cNvPr id="12" name="DBE_Img_ExID_2118"/>
        <xdr:cNvPicPr>
          <a:picLocks noChangeAspect="1"/>
        </xdr:cNvPicPr>
      </xdr:nvPicPr>
      <xdr:blipFill>
        <a:blip xmlns:r="http://schemas.openxmlformats.org/officeDocument/2006/relationships" r:embed="rId74"/>
        <a:stretch>
          <a:fillRect/>
        </a:stretch>
      </xdr:blipFill>
      <xdr:spPr>
        <a:xfrm>
          <a:off x="19119850" y="237928150"/>
          <a:ext cx="3279775" cy="1803400"/>
        </a:xfrm>
        <a:prstGeom prst="rect">
          <a:avLst/>
        </a:prstGeom>
      </xdr:spPr>
    </xdr:pic>
    <xdr:clientData/>
  </xdr:twoCellAnchor>
  <xdr:twoCellAnchor>
    <xdr:from>
      <xdr:col>12</xdr:col>
      <xdr:colOff>50800</xdr:colOff>
      <xdr:row>130</xdr:row>
      <xdr:rowOff>50800</xdr:rowOff>
    </xdr:from>
    <xdr:to>
      <xdr:col>12</xdr:col>
      <xdr:colOff>3330575</xdr:colOff>
      <xdr:row>130</xdr:row>
      <xdr:rowOff>1854200</xdr:rowOff>
    </xdr:to>
    <xdr:pic>
      <xdr:nvPicPr>
        <xdr:cNvPr id="35" name="DBE_Img_ExID_2119"/>
        <xdr:cNvPicPr>
          <a:picLocks noChangeAspect="1"/>
        </xdr:cNvPicPr>
      </xdr:nvPicPr>
      <xdr:blipFill>
        <a:blip xmlns:r="http://schemas.openxmlformats.org/officeDocument/2006/relationships" r:embed="rId75"/>
        <a:stretch>
          <a:fillRect/>
        </a:stretch>
      </xdr:blipFill>
      <xdr:spPr>
        <a:xfrm>
          <a:off x="19119850" y="239833150"/>
          <a:ext cx="3279775" cy="1803400"/>
        </a:xfrm>
        <a:prstGeom prst="rect">
          <a:avLst/>
        </a:prstGeom>
      </xdr:spPr>
    </xdr:pic>
    <xdr:clientData/>
  </xdr:twoCellAnchor>
  <xdr:twoCellAnchor>
    <xdr:from>
      <xdr:col>12</xdr:col>
      <xdr:colOff>50800</xdr:colOff>
      <xdr:row>131</xdr:row>
      <xdr:rowOff>50800</xdr:rowOff>
    </xdr:from>
    <xdr:to>
      <xdr:col>12</xdr:col>
      <xdr:colOff>3330575</xdr:colOff>
      <xdr:row>131</xdr:row>
      <xdr:rowOff>1854200</xdr:rowOff>
    </xdr:to>
    <xdr:pic>
      <xdr:nvPicPr>
        <xdr:cNvPr id="36" name="DBE_Img_ExID_2120"/>
        <xdr:cNvPicPr>
          <a:picLocks noChangeAspect="1"/>
        </xdr:cNvPicPr>
      </xdr:nvPicPr>
      <xdr:blipFill>
        <a:blip xmlns:r="http://schemas.openxmlformats.org/officeDocument/2006/relationships" r:embed="rId76"/>
        <a:stretch>
          <a:fillRect/>
        </a:stretch>
      </xdr:blipFill>
      <xdr:spPr>
        <a:xfrm>
          <a:off x="19119850" y="241738150"/>
          <a:ext cx="3279775" cy="1803400"/>
        </a:xfrm>
        <a:prstGeom prst="rect">
          <a:avLst/>
        </a:prstGeom>
      </xdr:spPr>
    </xdr:pic>
    <xdr:clientData/>
  </xdr:twoCellAnchor>
  <xdr:twoCellAnchor>
    <xdr:from>
      <xdr:col>12</xdr:col>
      <xdr:colOff>50800</xdr:colOff>
      <xdr:row>132</xdr:row>
      <xdr:rowOff>50800</xdr:rowOff>
    </xdr:from>
    <xdr:to>
      <xdr:col>12</xdr:col>
      <xdr:colOff>3330575</xdr:colOff>
      <xdr:row>132</xdr:row>
      <xdr:rowOff>1854200</xdr:rowOff>
    </xdr:to>
    <xdr:pic>
      <xdr:nvPicPr>
        <xdr:cNvPr id="38" name="DBE_Img_ExID_2121"/>
        <xdr:cNvPicPr>
          <a:picLocks noChangeAspect="1"/>
        </xdr:cNvPicPr>
      </xdr:nvPicPr>
      <xdr:blipFill>
        <a:blip xmlns:r="http://schemas.openxmlformats.org/officeDocument/2006/relationships" r:embed="rId77"/>
        <a:stretch>
          <a:fillRect/>
        </a:stretch>
      </xdr:blipFill>
      <xdr:spPr>
        <a:xfrm>
          <a:off x="19119850" y="243643150"/>
          <a:ext cx="3279775" cy="1803400"/>
        </a:xfrm>
        <a:prstGeom prst="rect">
          <a:avLst/>
        </a:prstGeom>
      </xdr:spPr>
    </xdr:pic>
    <xdr:clientData/>
  </xdr:twoCellAnchor>
  <xdr:twoCellAnchor>
    <xdr:from>
      <xdr:col>12</xdr:col>
      <xdr:colOff>50800</xdr:colOff>
      <xdr:row>133</xdr:row>
      <xdr:rowOff>50800</xdr:rowOff>
    </xdr:from>
    <xdr:to>
      <xdr:col>12</xdr:col>
      <xdr:colOff>3330575</xdr:colOff>
      <xdr:row>133</xdr:row>
      <xdr:rowOff>1854200</xdr:rowOff>
    </xdr:to>
    <xdr:pic>
      <xdr:nvPicPr>
        <xdr:cNvPr id="52" name="DBE_Img_ExID_2122"/>
        <xdr:cNvPicPr>
          <a:picLocks noChangeAspect="1"/>
        </xdr:cNvPicPr>
      </xdr:nvPicPr>
      <xdr:blipFill>
        <a:blip xmlns:r="http://schemas.openxmlformats.org/officeDocument/2006/relationships" r:embed="rId78"/>
        <a:stretch>
          <a:fillRect/>
        </a:stretch>
      </xdr:blipFill>
      <xdr:spPr>
        <a:xfrm>
          <a:off x="19119850" y="245548150"/>
          <a:ext cx="3279775" cy="1803400"/>
        </a:xfrm>
        <a:prstGeom prst="rect">
          <a:avLst/>
        </a:prstGeom>
      </xdr:spPr>
    </xdr:pic>
    <xdr:clientData/>
  </xdr:twoCellAnchor>
  <xdr:twoCellAnchor>
    <xdr:from>
      <xdr:col>12</xdr:col>
      <xdr:colOff>50800</xdr:colOff>
      <xdr:row>134</xdr:row>
      <xdr:rowOff>50800</xdr:rowOff>
    </xdr:from>
    <xdr:to>
      <xdr:col>12</xdr:col>
      <xdr:colOff>3330575</xdr:colOff>
      <xdr:row>134</xdr:row>
      <xdr:rowOff>1854200</xdr:rowOff>
    </xdr:to>
    <xdr:pic>
      <xdr:nvPicPr>
        <xdr:cNvPr id="68" name="DBE_Img_ExID_2123"/>
        <xdr:cNvPicPr>
          <a:picLocks noChangeAspect="1"/>
        </xdr:cNvPicPr>
      </xdr:nvPicPr>
      <xdr:blipFill>
        <a:blip xmlns:r="http://schemas.openxmlformats.org/officeDocument/2006/relationships" r:embed="rId79"/>
        <a:stretch>
          <a:fillRect/>
        </a:stretch>
      </xdr:blipFill>
      <xdr:spPr>
        <a:xfrm>
          <a:off x="19119850" y="247453150"/>
          <a:ext cx="3279775" cy="1803400"/>
        </a:xfrm>
        <a:prstGeom prst="rect">
          <a:avLst/>
        </a:prstGeom>
      </xdr:spPr>
    </xdr:pic>
    <xdr:clientData/>
  </xdr:twoCellAnchor>
  <xdr:twoCellAnchor>
    <xdr:from>
      <xdr:col>12</xdr:col>
      <xdr:colOff>50800</xdr:colOff>
      <xdr:row>135</xdr:row>
      <xdr:rowOff>50800</xdr:rowOff>
    </xdr:from>
    <xdr:to>
      <xdr:col>12</xdr:col>
      <xdr:colOff>3330575</xdr:colOff>
      <xdr:row>135</xdr:row>
      <xdr:rowOff>1854200</xdr:rowOff>
    </xdr:to>
    <xdr:pic>
      <xdr:nvPicPr>
        <xdr:cNvPr id="91" name="DBE_Img_ExID_2124"/>
        <xdr:cNvPicPr>
          <a:picLocks noChangeAspect="1"/>
        </xdr:cNvPicPr>
      </xdr:nvPicPr>
      <xdr:blipFill>
        <a:blip xmlns:r="http://schemas.openxmlformats.org/officeDocument/2006/relationships" r:embed="rId80"/>
        <a:stretch>
          <a:fillRect/>
        </a:stretch>
      </xdr:blipFill>
      <xdr:spPr>
        <a:xfrm>
          <a:off x="19119850" y="249358150"/>
          <a:ext cx="3279775" cy="1803400"/>
        </a:xfrm>
        <a:prstGeom prst="rect">
          <a:avLst/>
        </a:prstGeom>
      </xdr:spPr>
    </xdr:pic>
    <xdr:clientData/>
  </xdr:twoCellAnchor>
  <xdr:twoCellAnchor>
    <xdr:from>
      <xdr:col>12</xdr:col>
      <xdr:colOff>50800</xdr:colOff>
      <xdr:row>136</xdr:row>
      <xdr:rowOff>50800</xdr:rowOff>
    </xdr:from>
    <xdr:to>
      <xdr:col>12</xdr:col>
      <xdr:colOff>3330575</xdr:colOff>
      <xdr:row>136</xdr:row>
      <xdr:rowOff>1854200</xdr:rowOff>
    </xdr:to>
    <xdr:pic>
      <xdr:nvPicPr>
        <xdr:cNvPr id="4098" name="DBE_Img_ExID_2125"/>
        <xdr:cNvPicPr>
          <a:picLocks noChangeAspect="1"/>
        </xdr:cNvPicPr>
      </xdr:nvPicPr>
      <xdr:blipFill>
        <a:blip xmlns:r="http://schemas.openxmlformats.org/officeDocument/2006/relationships" r:embed="rId81"/>
        <a:stretch>
          <a:fillRect/>
        </a:stretch>
      </xdr:blipFill>
      <xdr:spPr>
        <a:xfrm>
          <a:off x="19119850" y="251263150"/>
          <a:ext cx="3279775" cy="1803400"/>
        </a:xfrm>
        <a:prstGeom prst="rect">
          <a:avLst/>
        </a:prstGeom>
      </xdr:spPr>
    </xdr:pic>
    <xdr:clientData/>
  </xdr:twoCellAnchor>
  <xdr:twoCellAnchor>
    <xdr:from>
      <xdr:col>12</xdr:col>
      <xdr:colOff>50800</xdr:colOff>
      <xdr:row>137</xdr:row>
      <xdr:rowOff>50800</xdr:rowOff>
    </xdr:from>
    <xdr:to>
      <xdr:col>12</xdr:col>
      <xdr:colOff>3330575</xdr:colOff>
      <xdr:row>137</xdr:row>
      <xdr:rowOff>1854200</xdr:rowOff>
    </xdr:to>
    <xdr:pic>
      <xdr:nvPicPr>
        <xdr:cNvPr id="4100" name="DBE_Img_ExID_2126"/>
        <xdr:cNvPicPr>
          <a:picLocks noChangeAspect="1"/>
        </xdr:cNvPicPr>
      </xdr:nvPicPr>
      <xdr:blipFill>
        <a:blip xmlns:r="http://schemas.openxmlformats.org/officeDocument/2006/relationships" r:embed="rId82"/>
        <a:stretch>
          <a:fillRect/>
        </a:stretch>
      </xdr:blipFill>
      <xdr:spPr>
        <a:xfrm>
          <a:off x="19119850" y="253168150"/>
          <a:ext cx="3279775" cy="1803400"/>
        </a:xfrm>
        <a:prstGeom prst="rect">
          <a:avLst/>
        </a:prstGeom>
      </xdr:spPr>
    </xdr:pic>
    <xdr:clientData/>
  </xdr:twoCellAnchor>
  <xdr:twoCellAnchor>
    <xdr:from>
      <xdr:col>12</xdr:col>
      <xdr:colOff>50800</xdr:colOff>
      <xdr:row>138</xdr:row>
      <xdr:rowOff>50800</xdr:rowOff>
    </xdr:from>
    <xdr:to>
      <xdr:col>12</xdr:col>
      <xdr:colOff>3330575</xdr:colOff>
      <xdr:row>138</xdr:row>
      <xdr:rowOff>1854200</xdr:rowOff>
    </xdr:to>
    <xdr:pic>
      <xdr:nvPicPr>
        <xdr:cNvPr id="4101" name="DBE_Img_ExID_2127"/>
        <xdr:cNvPicPr>
          <a:picLocks noChangeAspect="1"/>
        </xdr:cNvPicPr>
      </xdr:nvPicPr>
      <xdr:blipFill>
        <a:blip xmlns:r="http://schemas.openxmlformats.org/officeDocument/2006/relationships" r:embed="rId83"/>
        <a:stretch>
          <a:fillRect/>
        </a:stretch>
      </xdr:blipFill>
      <xdr:spPr>
        <a:xfrm>
          <a:off x="19119850" y="255073150"/>
          <a:ext cx="3279775" cy="1803400"/>
        </a:xfrm>
        <a:prstGeom prst="rect">
          <a:avLst/>
        </a:prstGeom>
      </xdr:spPr>
    </xdr:pic>
    <xdr:clientData/>
  </xdr:twoCellAnchor>
  <xdr:twoCellAnchor>
    <xdr:from>
      <xdr:col>12</xdr:col>
      <xdr:colOff>50800</xdr:colOff>
      <xdr:row>139</xdr:row>
      <xdr:rowOff>50800</xdr:rowOff>
    </xdr:from>
    <xdr:to>
      <xdr:col>12</xdr:col>
      <xdr:colOff>3330575</xdr:colOff>
      <xdr:row>139</xdr:row>
      <xdr:rowOff>1854200</xdr:rowOff>
    </xdr:to>
    <xdr:pic>
      <xdr:nvPicPr>
        <xdr:cNvPr id="4102" name="DBE_Img_ExID_2128"/>
        <xdr:cNvPicPr>
          <a:picLocks noChangeAspect="1"/>
        </xdr:cNvPicPr>
      </xdr:nvPicPr>
      <xdr:blipFill>
        <a:blip xmlns:r="http://schemas.openxmlformats.org/officeDocument/2006/relationships" r:embed="rId84"/>
        <a:stretch>
          <a:fillRect/>
        </a:stretch>
      </xdr:blipFill>
      <xdr:spPr>
        <a:xfrm>
          <a:off x="19119850" y="256978150"/>
          <a:ext cx="3279775" cy="1803400"/>
        </a:xfrm>
        <a:prstGeom prst="rect">
          <a:avLst/>
        </a:prstGeom>
      </xdr:spPr>
    </xdr:pic>
    <xdr:clientData/>
  </xdr:twoCellAnchor>
  <xdr:twoCellAnchor>
    <xdr:from>
      <xdr:col>12</xdr:col>
      <xdr:colOff>50800</xdr:colOff>
      <xdr:row>255</xdr:row>
      <xdr:rowOff>50800</xdr:rowOff>
    </xdr:from>
    <xdr:to>
      <xdr:col>12</xdr:col>
      <xdr:colOff>3330575</xdr:colOff>
      <xdr:row>255</xdr:row>
      <xdr:rowOff>1854200</xdr:rowOff>
    </xdr:to>
    <xdr:pic>
      <xdr:nvPicPr>
        <xdr:cNvPr id="34" name="DBE_Img_ExID_5000"/>
        <xdr:cNvPicPr>
          <a:picLocks noChangeAspect="1"/>
        </xdr:cNvPicPr>
      </xdr:nvPicPr>
      <xdr:blipFill>
        <a:blip xmlns:r="http://schemas.openxmlformats.org/officeDocument/2006/relationships" r:embed="rId85"/>
        <a:stretch>
          <a:fillRect/>
        </a:stretch>
      </xdr:blipFill>
      <xdr:spPr>
        <a:xfrm>
          <a:off x="19119850" y="477958150"/>
          <a:ext cx="3279775" cy="1803400"/>
        </a:xfrm>
        <a:prstGeom prst="rect">
          <a:avLst/>
        </a:prstGeom>
      </xdr:spPr>
    </xdr:pic>
    <xdr:clientData/>
  </xdr:twoCellAnchor>
  <xdr:twoCellAnchor>
    <xdr:from>
      <xdr:col>12</xdr:col>
      <xdr:colOff>50800</xdr:colOff>
      <xdr:row>256</xdr:row>
      <xdr:rowOff>50800</xdr:rowOff>
    </xdr:from>
    <xdr:to>
      <xdr:col>12</xdr:col>
      <xdr:colOff>3330575</xdr:colOff>
      <xdr:row>256</xdr:row>
      <xdr:rowOff>1854200</xdr:rowOff>
    </xdr:to>
    <xdr:pic>
      <xdr:nvPicPr>
        <xdr:cNvPr id="65" name="DBE_Img_ExID_5001"/>
        <xdr:cNvPicPr>
          <a:picLocks noChangeAspect="1"/>
        </xdr:cNvPicPr>
      </xdr:nvPicPr>
      <xdr:blipFill>
        <a:blip xmlns:r="http://schemas.openxmlformats.org/officeDocument/2006/relationships" r:embed="rId86"/>
        <a:stretch>
          <a:fillRect/>
        </a:stretch>
      </xdr:blipFill>
      <xdr:spPr>
        <a:xfrm>
          <a:off x="19119850" y="479863150"/>
          <a:ext cx="3279775" cy="1803400"/>
        </a:xfrm>
        <a:prstGeom prst="rect">
          <a:avLst/>
        </a:prstGeom>
      </xdr:spPr>
    </xdr:pic>
    <xdr:clientData/>
  </xdr:twoCellAnchor>
  <xdr:twoCellAnchor>
    <xdr:from>
      <xdr:col>12</xdr:col>
      <xdr:colOff>50800</xdr:colOff>
      <xdr:row>257</xdr:row>
      <xdr:rowOff>50800</xdr:rowOff>
    </xdr:from>
    <xdr:to>
      <xdr:col>12</xdr:col>
      <xdr:colOff>3330575</xdr:colOff>
      <xdr:row>257</xdr:row>
      <xdr:rowOff>1854200</xdr:rowOff>
    </xdr:to>
    <xdr:pic>
      <xdr:nvPicPr>
        <xdr:cNvPr id="4097" name="DBE_Img_ExID_5002"/>
        <xdr:cNvPicPr>
          <a:picLocks noChangeAspect="1"/>
        </xdr:cNvPicPr>
      </xdr:nvPicPr>
      <xdr:blipFill>
        <a:blip xmlns:r="http://schemas.openxmlformats.org/officeDocument/2006/relationships" r:embed="rId87"/>
        <a:stretch>
          <a:fillRect/>
        </a:stretch>
      </xdr:blipFill>
      <xdr:spPr>
        <a:xfrm>
          <a:off x="19119850" y="481768150"/>
          <a:ext cx="3279775" cy="1803400"/>
        </a:xfrm>
        <a:prstGeom prst="rect">
          <a:avLst/>
        </a:prstGeom>
      </xdr:spPr>
    </xdr:pic>
    <xdr:clientData/>
  </xdr:twoCellAnchor>
  <xdr:twoCellAnchor>
    <xdr:from>
      <xdr:col>12</xdr:col>
      <xdr:colOff>50800</xdr:colOff>
      <xdr:row>258</xdr:row>
      <xdr:rowOff>50800</xdr:rowOff>
    </xdr:from>
    <xdr:to>
      <xdr:col>12</xdr:col>
      <xdr:colOff>3330575</xdr:colOff>
      <xdr:row>258</xdr:row>
      <xdr:rowOff>1854200</xdr:rowOff>
    </xdr:to>
    <xdr:pic>
      <xdr:nvPicPr>
        <xdr:cNvPr id="4099" name="DBE_Img_ExID_5003"/>
        <xdr:cNvPicPr>
          <a:picLocks noChangeAspect="1"/>
        </xdr:cNvPicPr>
      </xdr:nvPicPr>
      <xdr:blipFill>
        <a:blip xmlns:r="http://schemas.openxmlformats.org/officeDocument/2006/relationships" r:embed="rId88"/>
        <a:stretch>
          <a:fillRect/>
        </a:stretch>
      </xdr:blipFill>
      <xdr:spPr>
        <a:xfrm>
          <a:off x="19119850" y="483673150"/>
          <a:ext cx="3279775" cy="1803400"/>
        </a:xfrm>
        <a:prstGeom prst="rect">
          <a:avLst/>
        </a:prstGeom>
      </xdr:spPr>
    </xdr:pic>
    <xdr:clientData/>
  </xdr:twoCellAnchor>
  <xdr:twoCellAnchor>
    <xdr:from>
      <xdr:col>12</xdr:col>
      <xdr:colOff>50800</xdr:colOff>
      <xdr:row>259</xdr:row>
      <xdr:rowOff>50800</xdr:rowOff>
    </xdr:from>
    <xdr:to>
      <xdr:col>12</xdr:col>
      <xdr:colOff>3330575</xdr:colOff>
      <xdr:row>259</xdr:row>
      <xdr:rowOff>1854200</xdr:rowOff>
    </xdr:to>
    <xdr:pic>
      <xdr:nvPicPr>
        <xdr:cNvPr id="4103" name="DBE_Img_ExID_5004"/>
        <xdr:cNvPicPr>
          <a:picLocks noChangeAspect="1"/>
        </xdr:cNvPicPr>
      </xdr:nvPicPr>
      <xdr:blipFill>
        <a:blip xmlns:r="http://schemas.openxmlformats.org/officeDocument/2006/relationships" r:embed="rId89"/>
        <a:stretch>
          <a:fillRect/>
        </a:stretch>
      </xdr:blipFill>
      <xdr:spPr>
        <a:xfrm>
          <a:off x="19119850" y="485578150"/>
          <a:ext cx="3279775" cy="1803400"/>
        </a:xfrm>
        <a:prstGeom prst="rect">
          <a:avLst/>
        </a:prstGeom>
      </xdr:spPr>
    </xdr:pic>
    <xdr:clientData/>
  </xdr:twoCellAnchor>
  <xdr:twoCellAnchor>
    <xdr:from>
      <xdr:col>12</xdr:col>
      <xdr:colOff>50800</xdr:colOff>
      <xdr:row>260</xdr:row>
      <xdr:rowOff>50800</xdr:rowOff>
    </xdr:from>
    <xdr:to>
      <xdr:col>12</xdr:col>
      <xdr:colOff>3330575</xdr:colOff>
      <xdr:row>260</xdr:row>
      <xdr:rowOff>1854200</xdr:rowOff>
    </xdr:to>
    <xdr:pic>
      <xdr:nvPicPr>
        <xdr:cNvPr id="4104" name="DBE_Img_ExID_5005"/>
        <xdr:cNvPicPr>
          <a:picLocks noChangeAspect="1"/>
        </xdr:cNvPicPr>
      </xdr:nvPicPr>
      <xdr:blipFill>
        <a:blip xmlns:r="http://schemas.openxmlformats.org/officeDocument/2006/relationships" r:embed="rId90"/>
        <a:stretch>
          <a:fillRect/>
        </a:stretch>
      </xdr:blipFill>
      <xdr:spPr>
        <a:xfrm>
          <a:off x="19119850" y="487483150"/>
          <a:ext cx="3279775" cy="1803400"/>
        </a:xfrm>
        <a:prstGeom prst="rect">
          <a:avLst/>
        </a:prstGeom>
      </xdr:spPr>
    </xdr:pic>
    <xdr:clientData/>
  </xdr:twoCellAnchor>
  <xdr:twoCellAnchor>
    <xdr:from>
      <xdr:col>12</xdr:col>
      <xdr:colOff>50800</xdr:colOff>
      <xdr:row>36</xdr:row>
      <xdr:rowOff>50800</xdr:rowOff>
    </xdr:from>
    <xdr:to>
      <xdr:col>12</xdr:col>
      <xdr:colOff>3330575</xdr:colOff>
      <xdr:row>36</xdr:row>
      <xdr:rowOff>1854200</xdr:rowOff>
    </xdr:to>
    <xdr:pic>
      <xdr:nvPicPr>
        <xdr:cNvPr id="133" name="DBE_Img_ExID_2023"/>
        <xdr:cNvPicPr>
          <a:picLocks noChangeAspect="1"/>
        </xdr:cNvPicPr>
      </xdr:nvPicPr>
      <xdr:blipFill>
        <a:blip xmlns:r="http://schemas.openxmlformats.org/officeDocument/2006/relationships" r:embed="rId91" cstate="print"/>
        <a:stretch>
          <a:fillRect/>
        </a:stretch>
      </xdr:blipFill>
      <xdr:spPr>
        <a:xfrm>
          <a:off x="19119850" y="60763150"/>
          <a:ext cx="3279775" cy="1803400"/>
        </a:xfrm>
        <a:prstGeom prst="rect">
          <a:avLst/>
        </a:prstGeom>
      </xdr:spPr>
    </xdr:pic>
    <xdr:clientData/>
  </xdr:twoCellAnchor>
  <xdr:twoCellAnchor>
    <xdr:from>
      <xdr:col>12</xdr:col>
      <xdr:colOff>50800</xdr:colOff>
      <xdr:row>55</xdr:row>
      <xdr:rowOff>50800</xdr:rowOff>
    </xdr:from>
    <xdr:to>
      <xdr:col>12</xdr:col>
      <xdr:colOff>3330575</xdr:colOff>
      <xdr:row>55</xdr:row>
      <xdr:rowOff>1854200</xdr:rowOff>
    </xdr:to>
    <xdr:pic>
      <xdr:nvPicPr>
        <xdr:cNvPr id="58" name="DBE_Img_ExID_2044"/>
        <xdr:cNvPicPr>
          <a:picLocks noChangeAspect="1"/>
        </xdr:cNvPicPr>
      </xdr:nvPicPr>
      <xdr:blipFill>
        <a:blip xmlns:r="http://schemas.openxmlformats.org/officeDocument/2006/relationships" r:embed="rId92"/>
        <a:stretch>
          <a:fillRect/>
        </a:stretch>
      </xdr:blipFill>
      <xdr:spPr>
        <a:xfrm>
          <a:off x="19119850" y="96958150"/>
          <a:ext cx="3279775" cy="1803400"/>
        </a:xfrm>
        <a:prstGeom prst="rect">
          <a:avLst/>
        </a:prstGeom>
      </xdr:spPr>
    </xdr:pic>
    <xdr:clientData/>
  </xdr:twoCellAnchor>
  <xdr:twoCellAnchor>
    <xdr:from>
      <xdr:col>12</xdr:col>
      <xdr:colOff>50800</xdr:colOff>
      <xdr:row>56</xdr:row>
      <xdr:rowOff>50800</xdr:rowOff>
    </xdr:from>
    <xdr:to>
      <xdr:col>12</xdr:col>
      <xdr:colOff>3330575</xdr:colOff>
      <xdr:row>56</xdr:row>
      <xdr:rowOff>1854200</xdr:rowOff>
    </xdr:to>
    <xdr:pic>
      <xdr:nvPicPr>
        <xdr:cNvPr id="59" name="DBE_Img_ExID_2045"/>
        <xdr:cNvPicPr>
          <a:picLocks noChangeAspect="1"/>
        </xdr:cNvPicPr>
      </xdr:nvPicPr>
      <xdr:blipFill>
        <a:blip xmlns:r="http://schemas.openxmlformats.org/officeDocument/2006/relationships" r:embed="rId93"/>
        <a:stretch>
          <a:fillRect/>
        </a:stretch>
      </xdr:blipFill>
      <xdr:spPr>
        <a:xfrm>
          <a:off x="19119850" y="98863150"/>
          <a:ext cx="3279775" cy="1803400"/>
        </a:xfrm>
        <a:prstGeom prst="rect">
          <a:avLst/>
        </a:prstGeom>
      </xdr:spPr>
    </xdr:pic>
    <xdr:clientData/>
  </xdr:twoCellAnchor>
  <xdr:twoCellAnchor>
    <xdr:from>
      <xdr:col>12</xdr:col>
      <xdr:colOff>50800</xdr:colOff>
      <xdr:row>57</xdr:row>
      <xdr:rowOff>50800</xdr:rowOff>
    </xdr:from>
    <xdr:to>
      <xdr:col>12</xdr:col>
      <xdr:colOff>3330575</xdr:colOff>
      <xdr:row>57</xdr:row>
      <xdr:rowOff>1854200</xdr:rowOff>
    </xdr:to>
    <xdr:pic>
      <xdr:nvPicPr>
        <xdr:cNvPr id="60" name="DBE_Img_ExID_2046"/>
        <xdr:cNvPicPr>
          <a:picLocks noChangeAspect="1"/>
        </xdr:cNvPicPr>
      </xdr:nvPicPr>
      <xdr:blipFill>
        <a:blip xmlns:r="http://schemas.openxmlformats.org/officeDocument/2006/relationships" r:embed="rId94"/>
        <a:stretch>
          <a:fillRect/>
        </a:stretch>
      </xdr:blipFill>
      <xdr:spPr>
        <a:xfrm>
          <a:off x="19119850" y="100768150"/>
          <a:ext cx="3279775" cy="1803400"/>
        </a:xfrm>
        <a:prstGeom prst="rect">
          <a:avLst/>
        </a:prstGeom>
      </xdr:spPr>
    </xdr:pic>
    <xdr:clientData/>
  </xdr:twoCellAnchor>
  <xdr:twoCellAnchor>
    <xdr:from>
      <xdr:col>12</xdr:col>
      <xdr:colOff>50800</xdr:colOff>
      <xdr:row>64</xdr:row>
      <xdr:rowOff>50800</xdr:rowOff>
    </xdr:from>
    <xdr:to>
      <xdr:col>12</xdr:col>
      <xdr:colOff>3330575</xdr:colOff>
      <xdr:row>64</xdr:row>
      <xdr:rowOff>1854200</xdr:rowOff>
    </xdr:to>
    <xdr:pic>
      <xdr:nvPicPr>
        <xdr:cNvPr id="4106" name="DBE_Img_ExID_2053"/>
        <xdr:cNvPicPr>
          <a:picLocks noChangeAspect="1"/>
        </xdr:cNvPicPr>
      </xdr:nvPicPr>
      <xdr:blipFill>
        <a:blip xmlns:r="http://schemas.openxmlformats.org/officeDocument/2006/relationships" r:embed="rId95"/>
        <a:stretch>
          <a:fillRect/>
        </a:stretch>
      </xdr:blipFill>
      <xdr:spPr>
        <a:xfrm>
          <a:off x="19119850" y="114103150"/>
          <a:ext cx="3279775" cy="1803400"/>
        </a:xfrm>
        <a:prstGeom prst="rect">
          <a:avLst/>
        </a:prstGeom>
      </xdr:spPr>
    </xdr:pic>
    <xdr:clientData/>
  </xdr:twoCellAnchor>
  <xdr:twoCellAnchor>
    <xdr:from>
      <xdr:col>12</xdr:col>
      <xdr:colOff>50800</xdr:colOff>
      <xdr:row>65</xdr:row>
      <xdr:rowOff>50800</xdr:rowOff>
    </xdr:from>
    <xdr:to>
      <xdr:col>12</xdr:col>
      <xdr:colOff>3330575</xdr:colOff>
      <xdr:row>65</xdr:row>
      <xdr:rowOff>1854200</xdr:rowOff>
    </xdr:to>
    <xdr:pic>
      <xdr:nvPicPr>
        <xdr:cNvPr id="4111" name="DBE_Img_ExID_2054"/>
        <xdr:cNvPicPr>
          <a:picLocks noChangeAspect="1"/>
        </xdr:cNvPicPr>
      </xdr:nvPicPr>
      <xdr:blipFill>
        <a:blip xmlns:r="http://schemas.openxmlformats.org/officeDocument/2006/relationships" r:embed="rId96"/>
        <a:stretch>
          <a:fillRect/>
        </a:stretch>
      </xdr:blipFill>
      <xdr:spPr>
        <a:xfrm>
          <a:off x="19119850" y="116008150"/>
          <a:ext cx="3279775" cy="1803400"/>
        </a:xfrm>
        <a:prstGeom prst="rect">
          <a:avLst/>
        </a:prstGeom>
      </xdr:spPr>
    </xdr:pic>
    <xdr:clientData/>
  </xdr:twoCellAnchor>
  <xdr:twoCellAnchor>
    <xdr:from>
      <xdr:col>12</xdr:col>
      <xdr:colOff>50800</xdr:colOff>
      <xdr:row>66</xdr:row>
      <xdr:rowOff>50800</xdr:rowOff>
    </xdr:from>
    <xdr:to>
      <xdr:col>12</xdr:col>
      <xdr:colOff>3330575</xdr:colOff>
      <xdr:row>66</xdr:row>
      <xdr:rowOff>1854200</xdr:rowOff>
    </xdr:to>
    <xdr:pic>
      <xdr:nvPicPr>
        <xdr:cNvPr id="4112" name="DBE_Img_ExID_2055"/>
        <xdr:cNvPicPr>
          <a:picLocks noChangeAspect="1"/>
        </xdr:cNvPicPr>
      </xdr:nvPicPr>
      <xdr:blipFill>
        <a:blip xmlns:r="http://schemas.openxmlformats.org/officeDocument/2006/relationships" r:embed="rId97"/>
        <a:stretch>
          <a:fillRect/>
        </a:stretch>
      </xdr:blipFill>
      <xdr:spPr>
        <a:xfrm>
          <a:off x="19119850" y="117913150"/>
          <a:ext cx="3279775" cy="1803400"/>
        </a:xfrm>
        <a:prstGeom prst="rect">
          <a:avLst/>
        </a:prstGeom>
      </xdr:spPr>
    </xdr:pic>
    <xdr:clientData/>
  </xdr:twoCellAnchor>
  <xdr:twoCellAnchor>
    <xdr:from>
      <xdr:col>12</xdr:col>
      <xdr:colOff>50800</xdr:colOff>
      <xdr:row>61</xdr:row>
      <xdr:rowOff>50800</xdr:rowOff>
    </xdr:from>
    <xdr:to>
      <xdr:col>12</xdr:col>
      <xdr:colOff>3330575</xdr:colOff>
      <xdr:row>61</xdr:row>
      <xdr:rowOff>1854200</xdr:rowOff>
    </xdr:to>
    <xdr:pic>
      <xdr:nvPicPr>
        <xdr:cNvPr id="4116" name="DBE_Img_ExID_2050"/>
        <xdr:cNvPicPr>
          <a:picLocks noChangeAspect="1"/>
        </xdr:cNvPicPr>
      </xdr:nvPicPr>
      <xdr:blipFill>
        <a:blip xmlns:r="http://schemas.openxmlformats.org/officeDocument/2006/relationships" r:embed="rId98"/>
        <a:stretch>
          <a:fillRect/>
        </a:stretch>
      </xdr:blipFill>
      <xdr:spPr>
        <a:xfrm>
          <a:off x="19119850" y="108388150"/>
          <a:ext cx="3279775" cy="1803400"/>
        </a:xfrm>
        <a:prstGeom prst="rect">
          <a:avLst/>
        </a:prstGeom>
      </xdr:spPr>
    </xdr:pic>
    <xdr:clientData/>
  </xdr:twoCellAnchor>
  <xdr:twoCellAnchor>
    <xdr:from>
      <xdr:col>12</xdr:col>
      <xdr:colOff>50800</xdr:colOff>
      <xdr:row>58</xdr:row>
      <xdr:rowOff>50800</xdr:rowOff>
    </xdr:from>
    <xdr:to>
      <xdr:col>12</xdr:col>
      <xdr:colOff>3330575</xdr:colOff>
      <xdr:row>58</xdr:row>
      <xdr:rowOff>1854200</xdr:rowOff>
    </xdr:to>
    <xdr:pic>
      <xdr:nvPicPr>
        <xdr:cNvPr id="4117" name="DBE_Img_ExID_2047"/>
        <xdr:cNvPicPr>
          <a:picLocks noChangeAspect="1"/>
        </xdr:cNvPicPr>
      </xdr:nvPicPr>
      <xdr:blipFill>
        <a:blip xmlns:r="http://schemas.openxmlformats.org/officeDocument/2006/relationships" r:embed="rId99"/>
        <a:stretch>
          <a:fillRect/>
        </a:stretch>
      </xdr:blipFill>
      <xdr:spPr>
        <a:xfrm>
          <a:off x="19119850" y="102673150"/>
          <a:ext cx="3279775" cy="1803400"/>
        </a:xfrm>
        <a:prstGeom prst="rect">
          <a:avLst/>
        </a:prstGeom>
      </xdr:spPr>
    </xdr:pic>
    <xdr:clientData/>
  </xdr:twoCellAnchor>
  <xdr:twoCellAnchor>
    <xdr:from>
      <xdr:col>12</xdr:col>
      <xdr:colOff>50800</xdr:colOff>
      <xdr:row>59</xdr:row>
      <xdr:rowOff>50800</xdr:rowOff>
    </xdr:from>
    <xdr:to>
      <xdr:col>12</xdr:col>
      <xdr:colOff>3330575</xdr:colOff>
      <xdr:row>59</xdr:row>
      <xdr:rowOff>1854200</xdr:rowOff>
    </xdr:to>
    <xdr:pic>
      <xdr:nvPicPr>
        <xdr:cNvPr id="4121" name="DBE_Img_ExID_2048"/>
        <xdr:cNvPicPr>
          <a:picLocks noChangeAspect="1"/>
        </xdr:cNvPicPr>
      </xdr:nvPicPr>
      <xdr:blipFill>
        <a:blip xmlns:r="http://schemas.openxmlformats.org/officeDocument/2006/relationships" r:embed="rId100"/>
        <a:stretch>
          <a:fillRect/>
        </a:stretch>
      </xdr:blipFill>
      <xdr:spPr>
        <a:xfrm>
          <a:off x="19119850" y="104578150"/>
          <a:ext cx="3279775" cy="1803400"/>
        </a:xfrm>
        <a:prstGeom prst="rect">
          <a:avLst/>
        </a:prstGeom>
      </xdr:spPr>
    </xdr:pic>
    <xdr:clientData/>
  </xdr:twoCellAnchor>
  <xdr:twoCellAnchor>
    <xdr:from>
      <xdr:col>12</xdr:col>
      <xdr:colOff>50800</xdr:colOff>
      <xdr:row>60</xdr:row>
      <xdr:rowOff>50800</xdr:rowOff>
    </xdr:from>
    <xdr:to>
      <xdr:col>12</xdr:col>
      <xdr:colOff>3330575</xdr:colOff>
      <xdr:row>60</xdr:row>
      <xdr:rowOff>1854200</xdr:rowOff>
    </xdr:to>
    <xdr:pic>
      <xdr:nvPicPr>
        <xdr:cNvPr id="4122" name="DBE_Img_ExID_2049"/>
        <xdr:cNvPicPr>
          <a:picLocks noChangeAspect="1"/>
        </xdr:cNvPicPr>
      </xdr:nvPicPr>
      <xdr:blipFill>
        <a:blip xmlns:r="http://schemas.openxmlformats.org/officeDocument/2006/relationships" r:embed="rId101"/>
        <a:stretch>
          <a:fillRect/>
        </a:stretch>
      </xdr:blipFill>
      <xdr:spPr>
        <a:xfrm>
          <a:off x="19119850" y="106483150"/>
          <a:ext cx="3279775" cy="1803400"/>
        </a:xfrm>
        <a:prstGeom prst="rect">
          <a:avLst/>
        </a:prstGeom>
      </xdr:spPr>
    </xdr:pic>
    <xdr:clientData/>
  </xdr:twoCellAnchor>
  <xdr:twoCellAnchor>
    <xdr:from>
      <xdr:col>12</xdr:col>
      <xdr:colOff>50800</xdr:colOff>
      <xdr:row>62</xdr:row>
      <xdr:rowOff>50800</xdr:rowOff>
    </xdr:from>
    <xdr:to>
      <xdr:col>12</xdr:col>
      <xdr:colOff>3330575</xdr:colOff>
      <xdr:row>62</xdr:row>
      <xdr:rowOff>1854200</xdr:rowOff>
    </xdr:to>
    <xdr:pic>
      <xdr:nvPicPr>
        <xdr:cNvPr id="4123" name="DBE_Img_ExID_2051"/>
        <xdr:cNvPicPr>
          <a:picLocks noChangeAspect="1"/>
        </xdr:cNvPicPr>
      </xdr:nvPicPr>
      <xdr:blipFill>
        <a:blip xmlns:r="http://schemas.openxmlformats.org/officeDocument/2006/relationships" r:embed="rId102"/>
        <a:stretch>
          <a:fillRect/>
        </a:stretch>
      </xdr:blipFill>
      <xdr:spPr>
        <a:xfrm>
          <a:off x="19119850" y="110293150"/>
          <a:ext cx="3279775" cy="1803400"/>
        </a:xfrm>
        <a:prstGeom prst="rect">
          <a:avLst/>
        </a:prstGeom>
      </xdr:spPr>
    </xdr:pic>
    <xdr:clientData/>
  </xdr:twoCellAnchor>
  <xdr:twoCellAnchor>
    <xdr:from>
      <xdr:col>12</xdr:col>
      <xdr:colOff>50800</xdr:colOff>
      <xdr:row>63</xdr:row>
      <xdr:rowOff>50800</xdr:rowOff>
    </xdr:from>
    <xdr:to>
      <xdr:col>12</xdr:col>
      <xdr:colOff>3330575</xdr:colOff>
      <xdr:row>63</xdr:row>
      <xdr:rowOff>1854200</xdr:rowOff>
    </xdr:to>
    <xdr:pic>
      <xdr:nvPicPr>
        <xdr:cNvPr id="4124" name="DBE_Img_ExID_2052"/>
        <xdr:cNvPicPr>
          <a:picLocks noChangeAspect="1"/>
        </xdr:cNvPicPr>
      </xdr:nvPicPr>
      <xdr:blipFill>
        <a:blip xmlns:r="http://schemas.openxmlformats.org/officeDocument/2006/relationships" r:embed="rId103"/>
        <a:stretch>
          <a:fillRect/>
        </a:stretch>
      </xdr:blipFill>
      <xdr:spPr>
        <a:xfrm>
          <a:off x="19119850" y="112198150"/>
          <a:ext cx="3279775" cy="1803400"/>
        </a:xfrm>
        <a:prstGeom prst="rect">
          <a:avLst/>
        </a:prstGeom>
      </xdr:spPr>
    </xdr:pic>
    <xdr:clientData/>
  </xdr:twoCellAnchor>
  <xdr:twoCellAnchor>
    <xdr:from>
      <xdr:col>12</xdr:col>
      <xdr:colOff>50800</xdr:colOff>
      <xdr:row>67</xdr:row>
      <xdr:rowOff>50800</xdr:rowOff>
    </xdr:from>
    <xdr:to>
      <xdr:col>12</xdr:col>
      <xdr:colOff>3330575</xdr:colOff>
      <xdr:row>67</xdr:row>
      <xdr:rowOff>1854200</xdr:rowOff>
    </xdr:to>
    <xdr:pic>
      <xdr:nvPicPr>
        <xdr:cNvPr id="4125" name="DBE_Img_ExID_2056"/>
        <xdr:cNvPicPr>
          <a:picLocks noChangeAspect="1"/>
        </xdr:cNvPicPr>
      </xdr:nvPicPr>
      <xdr:blipFill>
        <a:blip xmlns:r="http://schemas.openxmlformats.org/officeDocument/2006/relationships" r:embed="rId104"/>
        <a:stretch>
          <a:fillRect/>
        </a:stretch>
      </xdr:blipFill>
      <xdr:spPr>
        <a:xfrm>
          <a:off x="19119850" y="119818150"/>
          <a:ext cx="3279775" cy="1803400"/>
        </a:xfrm>
        <a:prstGeom prst="rect">
          <a:avLst/>
        </a:prstGeom>
      </xdr:spPr>
    </xdr:pic>
    <xdr:clientData/>
  </xdr:twoCellAnchor>
  <xdr:twoCellAnchor>
    <xdr:from>
      <xdr:col>12</xdr:col>
      <xdr:colOff>50800</xdr:colOff>
      <xdr:row>68</xdr:row>
      <xdr:rowOff>50800</xdr:rowOff>
    </xdr:from>
    <xdr:to>
      <xdr:col>12</xdr:col>
      <xdr:colOff>3330575</xdr:colOff>
      <xdr:row>68</xdr:row>
      <xdr:rowOff>1854200</xdr:rowOff>
    </xdr:to>
    <xdr:pic>
      <xdr:nvPicPr>
        <xdr:cNvPr id="4126" name="DBE_Img_ExID_2057"/>
        <xdr:cNvPicPr>
          <a:picLocks noChangeAspect="1"/>
        </xdr:cNvPicPr>
      </xdr:nvPicPr>
      <xdr:blipFill>
        <a:blip xmlns:r="http://schemas.openxmlformats.org/officeDocument/2006/relationships" r:embed="rId105"/>
        <a:stretch>
          <a:fillRect/>
        </a:stretch>
      </xdr:blipFill>
      <xdr:spPr>
        <a:xfrm>
          <a:off x="19119850" y="121723150"/>
          <a:ext cx="3279775" cy="1803400"/>
        </a:xfrm>
        <a:prstGeom prst="rect">
          <a:avLst/>
        </a:prstGeom>
      </xdr:spPr>
    </xdr:pic>
    <xdr:clientData/>
  </xdr:twoCellAnchor>
  <xdr:twoCellAnchor>
    <xdr:from>
      <xdr:col>12</xdr:col>
      <xdr:colOff>50800</xdr:colOff>
      <xdr:row>69</xdr:row>
      <xdr:rowOff>50800</xdr:rowOff>
    </xdr:from>
    <xdr:to>
      <xdr:col>12</xdr:col>
      <xdr:colOff>3330575</xdr:colOff>
      <xdr:row>69</xdr:row>
      <xdr:rowOff>1854200</xdr:rowOff>
    </xdr:to>
    <xdr:pic>
      <xdr:nvPicPr>
        <xdr:cNvPr id="4127" name="DBE_Img_ExID_2058"/>
        <xdr:cNvPicPr>
          <a:picLocks noChangeAspect="1"/>
        </xdr:cNvPicPr>
      </xdr:nvPicPr>
      <xdr:blipFill>
        <a:blip xmlns:r="http://schemas.openxmlformats.org/officeDocument/2006/relationships" r:embed="rId106"/>
        <a:stretch>
          <a:fillRect/>
        </a:stretch>
      </xdr:blipFill>
      <xdr:spPr>
        <a:xfrm>
          <a:off x="19119850" y="123628150"/>
          <a:ext cx="3279775" cy="1803400"/>
        </a:xfrm>
        <a:prstGeom prst="rect">
          <a:avLst/>
        </a:prstGeom>
      </xdr:spPr>
    </xdr:pic>
    <xdr:clientData/>
  </xdr:twoCellAnchor>
  <xdr:twoCellAnchor>
    <xdr:from>
      <xdr:col>12</xdr:col>
      <xdr:colOff>50800</xdr:colOff>
      <xdr:row>70</xdr:row>
      <xdr:rowOff>50800</xdr:rowOff>
    </xdr:from>
    <xdr:to>
      <xdr:col>12</xdr:col>
      <xdr:colOff>3330575</xdr:colOff>
      <xdr:row>70</xdr:row>
      <xdr:rowOff>1854200</xdr:rowOff>
    </xdr:to>
    <xdr:pic>
      <xdr:nvPicPr>
        <xdr:cNvPr id="107" name="DBE_Img_ExID_2059"/>
        <xdr:cNvPicPr>
          <a:picLocks noChangeAspect="1"/>
        </xdr:cNvPicPr>
      </xdr:nvPicPr>
      <xdr:blipFill>
        <a:blip xmlns:r="http://schemas.openxmlformats.org/officeDocument/2006/relationships" r:embed="rId107"/>
        <a:stretch>
          <a:fillRect/>
        </a:stretch>
      </xdr:blipFill>
      <xdr:spPr>
        <a:xfrm>
          <a:off x="19119850" y="125533150"/>
          <a:ext cx="3279775" cy="1803400"/>
        </a:xfrm>
        <a:prstGeom prst="rect">
          <a:avLst/>
        </a:prstGeom>
      </xdr:spPr>
    </xdr:pic>
    <xdr:clientData/>
  </xdr:twoCellAnchor>
  <xdr:twoCellAnchor>
    <xdr:from>
      <xdr:col>12</xdr:col>
      <xdr:colOff>50800</xdr:colOff>
      <xdr:row>71</xdr:row>
      <xdr:rowOff>50800</xdr:rowOff>
    </xdr:from>
    <xdr:to>
      <xdr:col>12</xdr:col>
      <xdr:colOff>3330575</xdr:colOff>
      <xdr:row>71</xdr:row>
      <xdr:rowOff>1854200</xdr:rowOff>
    </xdr:to>
    <xdr:pic>
      <xdr:nvPicPr>
        <xdr:cNvPr id="108" name="DBE_Img_ExID_2060"/>
        <xdr:cNvPicPr>
          <a:picLocks noChangeAspect="1"/>
        </xdr:cNvPicPr>
      </xdr:nvPicPr>
      <xdr:blipFill>
        <a:blip xmlns:r="http://schemas.openxmlformats.org/officeDocument/2006/relationships" r:embed="rId108"/>
        <a:stretch>
          <a:fillRect/>
        </a:stretch>
      </xdr:blipFill>
      <xdr:spPr>
        <a:xfrm>
          <a:off x="19119850" y="127438150"/>
          <a:ext cx="3279775" cy="1803400"/>
        </a:xfrm>
        <a:prstGeom prst="rect">
          <a:avLst/>
        </a:prstGeom>
      </xdr:spPr>
    </xdr:pic>
    <xdr:clientData/>
  </xdr:twoCellAnchor>
  <xdr:twoCellAnchor>
    <xdr:from>
      <xdr:col>12</xdr:col>
      <xdr:colOff>50800</xdr:colOff>
      <xdr:row>76</xdr:row>
      <xdr:rowOff>50800</xdr:rowOff>
    </xdr:from>
    <xdr:to>
      <xdr:col>12</xdr:col>
      <xdr:colOff>3330575</xdr:colOff>
      <xdr:row>76</xdr:row>
      <xdr:rowOff>1854200</xdr:rowOff>
    </xdr:to>
    <xdr:pic>
      <xdr:nvPicPr>
        <xdr:cNvPr id="109" name="DBE_Img_ExID_2065"/>
        <xdr:cNvPicPr>
          <a:picLocks noChangeAspect="1"/>
        </xdr:cNvPicPr>
      </xdr:nvPicPr>
      <xdr:blipFill>
        <a:blip xmlns:r="http://schemas.openxmlformats.org/officeDocument/2006/relationships" r:embed="rId109"/>
        <a:stretch>
          <a:fillRect/>
        </a:stretch>
      </xdr:blipFill>
      <xdr:spPr>
        <a:xfrm>
          <a:off x="19119850" y="136963150"/>
          <a:ext cx="3279775" cy="1803400"/>
        </a:xfrm>
        <a:prstGeom prst="rect">
          <a:avLst/>
        </a:prstGeom>
      </xdr:spPr>
    </xdr:pic>
    <xdr:clientData/>
  </xdr:twoCellAnchor>
  <xdr:twoCellAnchor>
    <xdr:from>
      <xdr:col>12</xdr:col>
      <xdr:colOff>50800</xdr:colOff>
      <xdr:row>77</xdr:row>
      <xdr:rowOff>50800</xdr:rowOff>
    </xdr:from>
    <xdr:to>
      <xdr:col>12</xdr:col>
      <xdr:colOff>3330575</xdr:colOff>
      <xdr:row>77</xdr:row>
      <xdr:rowOff>1854200</xdr:rowOff>
    </xdr:to>
    <xdr:pic>
      <xdr:nvPicPr>
        <xdr:cNvPr id="114" name="DBE_Img_ExID_2066"/>
        <xdr:cNvPicPr>
          <a:picLocks noChangeAspect="1"/>
        </xdr:cNvPicPr>
      </xdr:nvPicPr>
      <xdr:blipFill>
        <a:blip xmlns:r="http://schemas.openxmlformats.org/officeDocument/2006/relationships" r:embed="rId110"/>
        <a:stretch>
          <a:fillRect/>
        </a:stretch>
      </xdr:blipFill>
      <xdr:spPr>
        <a:xfrm>
          <a:off x="19119850" y="138868150"/>
          <a:ext cx="3279775" cy="1803400"/>
        </a:xfrm>
        <a:prstGeom prst="rect">
          <a:avLst/>
        </a:prstGeom>
      </xdr:spPr>
    </xdr:pic>
    <xdr:clientData/>
  </xdr:twoCellAnchor>
  <xdr:twoCellAnchor>
    <xdr:from>
      <xdr:col>12</xdr:col>
      <xdr:colOff>50800</xdr:colOff>
      <xdr:row>78</xdr:row>
      <xdr:rowOff>50800</xdr:rowOff>
    </xdr:from>
    <xdr:to>
      <xdr:col>12</xdr:col>
      <xdr:colOff>3330575</xdr:colOff>
      <xdr:row>78</xdr:row>
      <xdr:rowOff>1854200</xdr:rowOff>
    </xdr:to>
    <xdr:pic>
      <xdr:nvPicPr>
        <xdr:cNvPr id="119" name="DBE_Img_ExID_2067"/>
        <xdr:cNvPicPr>
          <a:picLocks noChangeAspect="1"/>
        </xdr:cNvPicPr>
      </xdr:nvPicPr>
      <xdr:blipFill>
        <a:blip xmlns:r="http://schemas.openxmlformats.org/officeDocument/2006/relationships" r:embed="rId111"/>
        <a:stretch>
          <a:fillRect/>
        </a:stretch>
      </xdr:blipFill>
      <xdr:spPr>
        <a:xfrm>
          <a:off x="19119850" y="140773150"/>
          <a:ext cx="3279775" cy="1803400"/>
        </a:xfrm>
        <a:prstGeom prst="rect">
          <a:avLst/>
        </a:prstGeom>
      </xdr:spPr>
    </xdr:pic>
    <xdr:clientData/>
  </xdr:twoCellAnchor>
  <xdr:twoCellAnchor>
    <xdr:from>
      <xdr:col>12</xdr:col>
      <xdr:colOff>50800</xdr:colOff>
      <xdr:row>79</xdr:row>
      <xdr:rowOff>50800</xdr:rowOff>
    </xdr:from>
    <xdr:to>
      <xdr:col>12</xdr:col>
      <xdr:colOff>3330575</xdr:colOff>
      <xdr:row>79</xdr:row>
      <xdr:rowOff>1854200</xdr:rowOff>
    </xdr:to>
    <xdr:pic>
      <xdr:nvPicPr>
        <xdr:cNvPr id="122" name="DBE_Img_ExID_2068"/>
        <xdr:cNvPicPr>
          <a:picLocks noChangeAspect="1"/>
        </xdr:cNvPicPr>
      </xdr:nvPicPr>
      <xdr:blipFill>
        <a:blip xmlns:r="http://schemas.openxmlformats.org/officeDocument/2006/relationships" r:embed="rId112"/>
        <a:stretch>
          <a:fillRect/>
        </a:stretch>
      </xdr:blipFill>
      <xdr:spPr>
        <a:xfrm>
          <a:off x="19119850" y="142678150"/>
          <a:ext cx="3279775" cy="1803400"/>
        </a:xfrm>
        <a:prstGeom prst="rect">
          <a:avLst/>
        </a:prstGeom>
      </xdr:spPr>
    </xdr:pic>
    <xdr:clientData/>
  </xdr:twoCellAnchor>
  <xdr:twoCellAnchor>
    <xdr:from>
      <xdr:col>12</xdr:col>
      <xdr:colOff>50800</xdr:colOff>
      <xdr:row>80</xdr:row>
      <xdr:rowOff>50800</xdr:rowOff>
    </xdr:from>
    <xdr:to>
      <xdr:col>12</xdr:col>
      <xdr:colOff>3330575</xdr:colOff>
      <xdr:row>80</xdr:row>
      <xdr:rowOff>1854200</xdr:rowOff>
    </xdr:to>
    <xdr:pic>
      <xdr:nvPicPr>
        <xdr:cNvPr id="123" name="DBE_Img_ExID_2069"/>
        <xdr:cNvPicPr>
          <a:picLocks noChangeAspect="1"/>
        </xdr:cNvPicPr>
      </xdr:nvPicPr>
      <xdr:blipFill>
        <a:blip xmlns:r="http://schemas.openxmlformats.org/officeDocument/2006/relationships" r:embed="rId113"/>
        <a:stretch>
          <a:fillRect/>
        </a:stretch>
      </xdr:blipFill>
      <xdr:spPr>
        <a:xfrm>
          <a:off x="19119850" y="144583150"/>
          <a:ext cx="3279775" cy="1803400"/>
        </a:xfrm>
        <a:prstGeom prst="rect">
          <a:avLst/>
        </a:prstGeom>
      </xdr:spPr>
    </xdr:pic>
    <xdr:clientData/>
  </xdr:twoCellAnchor>
  <xdr:twoCellAnchor>
    <xdr:from>
      <xdr:col>12</xdr:col>
      <xdr:colOff>50800</xdr:colOff>
      <xdr:row>81</xdr:row>
      <xdr:rowOff>50800</xdr:rowOff>
    </xdr:from>
    <xdr:to>
      <xdr:col>12</xdr:col>
      <xdr:colOff>3330575</xdr:colOff>
      <xdr:row>81</xdr:row>
      <xdr:rowOff>1854200</xdr:rowOff>
    </xdr:to>
    <xdr:pic>
      <xdr:nvPicPr>
        <xdr:cNvPr id="124" name="DBE_Img_ExID_2070"/>
        <xdr:cNvPicPr>
          <a:picLocks noChangeAspect="1"/>
        </xdr:cNvPicPr>
      </xdr:nvPicPr>
      <xdr:blipFill>
        <a:blip xmlns:r="http://schemas.openxmlformats.org/officeDocument/2006/relationships" r:embed="rId114"/>
        <a:stretch>
          <a:fillRect/>
        </a:stretch>
      </xdr:blipFill>
      <xdr:spPr>
        <a:xfrm>
          <a:off x="19119850" y="146488150"/>
          <a:ext cx="3279775" cy="1803400"/>
        </a:xfrm>
        <a:prstGeom prst="rect">
          <a:avLst/>
        </a:prstGeom>
      </xdr:spPr>
    </xdr:pic>
    <xdr:clientData/>
  </xdr:twoCellAnchor>
  <xdr:twoCellAnchor>
    <xdr:from>
      <xdr:col>12</xdr:col>
      <xdr:colOff>50800</xdr:colOff>
      <xdr:row>82</xdr:row>
      <xdr:rowOff>50800</xdr:rowOff>
    </xdr:from>
    <xdr:to>
      <xdr:col>12</xdr:col>
      <xdr:colOff>3330575</xdr:colOff>
      <xdr:row>82</xdr:row>
      <xdr:rowOff>1854200</xdr:rowOff>
    </xdr:to>
    <xdr:pic>
      <xdr:nvPicPr>
        <xdr:cNvPr id="125" name="DBE_Img_ExID_2071"/>
        <xdr:cNvPicPr>
          <a:picLocks noChangeAspect="1"/>
        </xdr:cNvPicPr>
      </xdr:nvPicPr>
      <xdr:blipFill>
        <a:blip xmlns:r="http://schemas.openxmlformats.org/officeDocument/2006/relationships" r:embed="rId115"/>
        <a:stretch>
          <a:fillRect/>
        </a:stretch>
      </xdr:blipFill>
      <xdr:spPr>
        <a:xfrm>
          <a:off x="19119850" y="148393150"/>
          <a:ext cx="3279775" cy="1803400"/>
        </a:xfrm>
        <a:prstGeom prst="rect">
          <a:avLst/>
        </a:prstGeom>
      </xdr:spPr>
    </xdr:pic>
    <xdr:clientData/>
  </xdr:twoCellAnchor>
  <xdr:twoCellAnchor>
    <xdr:from>
      <xdr:col>12</xdr:col>
      <xdr:colOff>50800</xdr:colOff>
      <xdr:row>83</xdr:row>
      <xdr:rowOff>50800</xdr:rowOff>
    </xdr:from>
    <xdr:to>
      <xdr:col>12</xdr:col>
      <xdr:colOff>3330575</xdr:colOff>
      <xdr:row>83</xdr:row>
      <xdr:rowOff>1854200</xdr:rowOff>
    </xdr:to>
    <xdr:pic>
      <xdr:nvPicPr>
        <xdr:cNvPr id="126" name="DBE_Img_ExID_2072"/>
        <xdr:cNvPicPr>
          <a:picLocks noChangeAspect="1"/>
        </xdr:cNvPicPr>
      </xdr:nvPicPr>
      <xdr:blipFill>
        <a:blip xmlns:r="http://schemas.openxmlformats.org/officeDocument/2006/relationships" r:embed="rId116"/>
        <a:stretch>
          <a:fillRect/>
        </a:stretch>
      </xdr:blipFill>
      <xdr:spPr>
        <a:xfrm>
          <a:off x="19119850" y="150298150"/>
          <a:ext cx="3279775" cy="1803400"/>
        </a:xfrm>
        <a:prstGeom prst="rect">
          <a:avLst/>
        </a:prstGeom>
      </xdr:spPr>
    </xdr:pic>
    <xdr:clientData/>
  </xdr:twoCellAnchor>
  <xdr:twoCellAnchor>
    <xdr:from>
      <xdr:col>12</xdr:col>
      <xdr:colOff>50800</xdr:colOff>
      <xdr:row>84</xdr:row>
      <xdr:rowOff>50800</xdr:rowOff>
    </xdr:from>
    <xdr:to>
      <xdr:col>12</xdr:col>
      <xdr:colOff>3330575</xdr:colOff>
      <xdr:row>84</xdr:row>
      <xdr:rowOff>1854200</xdr:rowOff>
    </xdr:to>
    <xdr:pic>
      <xdr:nvPicPr>
        <xdr:cNvPr id="127" name="DBE_Img_ExID_2073"/>
        <xdr:cNvPicPr>
          <a:picLocks noChangeAspect="1"/>
        </xdr:cNvPicPr>
      </xdr:nvPicPr>
      <xdr:blipFill>
        <a:blip xmlns:r="http://schemas.openxmlformats.org/officeDocument/2006/relationships" r:embed="rId117"/>
        <a:stretch>
          <a:fillRect/>
        </a:stretch>
      </xdr:blipFill>
      <xdr:spPr>
        <a:xfrm>
          <a:off x="19119850" y="152203150"/>
          <a:ext cx="3279775" cy="1803400"/>
        </a:xfrm>
        <a:prstGeom prst="rect">
          <a:avLst/>
        </a:prstGeom>
      </xdr:spPr>
    </xdr:pic>
    <xdr:clientData/>
  </xdr:twoCellAnchor>
  <xdr:twoCellAnchor>
    <xdr:from>
      <xdr:col>12</xdr:col>
      <xdr:colOff>50800</xdr:colOff>
      <xdr:row>85</xdr:row>
      <xdr:rowOff>50800</xdr:rowOff>
    </xdr:from>
    <xdr:to>
      <xdr:col>12</xdr:col>
      <xdr:colOff>3330575</xdr:colOff>
      <xdr:row>85</xdr:row>
      <xdr:rowOff>1854200</xdr:rowOff>
    </xdr:to>
    <xdr:pic>
      <xdr:nvPicPr>
        <xdr:cNvPr id="233" name="DBE_Img_ExID_2074"/>
        <xdr:cNvPicPr>
          <a:picLocks noChangeAspect="1"/>
        </xdr:cNvPicPr>
      </xdr:nvPicPr>
      <xdr:blipFill>
        <a:blip xmlns:r="http://schemas.openxmlformats.org/officeDocument/2006/relationships" r:embed="rId118"/>
        <a:stretch>
          <a:fillRect/>
        </a:stretch>
      </xdr:blipFill>
      <xdr:spPr>
        <a:xfrm>
          <a:off x="19119850" y="154108150"/>
          <a:ext cx="3279775" cy="1803400"/>
        </a:xfrm>
        <a:prstGeom prst="rect">
          <a:avLst/>
        </a:prstGeom>
      </xdr:spPr>
    </xdr:pic>
    <xdr:clientData/>
  </xdr:twoCellAnchor>
  <xdr:twoCellAnchor>
    <xdr:from>
      <xdr:col>12</xdr:col>
      <xdr:colOff>50800</xdr:colOff>
      <xdr:row>86</xdr:row>
      <xdr:rowOff>50800</xdr:rowOff>
    </xdr:from>
    <xdr:to>
      <xdr:col>12</xdr:col>
      <xdr:colOff>3330575</xdr:colOff>
      <xdr:row>86</xdr:row>
      <xdr:rowOff>1854200</xdr:rowOff>
    </xdr:to>
    <xdr:pic>
      <xdr:nvPicPr>
        <xdr:cNvPr id="234" name="DBE_Img_ExID_2075"/>
        <xdr:cNvPicPr>
          <a:picLocks noChangeAspect="1"/>
        </xdr:cNvPicPr>
      </xdr:nvPicPr>
      <xdr:blipFill>
        <a:blip xmlns:r="http://schemas.openxmlformats.org/officeDocument/2006/relationships" r:embed="rId119"/>
        <a:stretch>
          <a:fillRect/>
        </a:stretch>
      </xdr:blipFill>
      <xdr:spPr>
        <a:xfrm>
          <a:off x="19119850" y="156013150"/>
          <a:ext cx="3279775" cy="1803400"/>
        </a:xfrm>
        <a:prstGeom prst="rect">
          <a:avLst/>
        </a:prstGeom>
      </xdr:spPr>
    </xdr:pic>
    <xdr:clientData/>
  </xdr:twoCellAnchor>
  <xdr:twoCellAnchor>
    <xdr:from>
      <xdr:col>12</xdr:col>
      <xdr:colOff>50800</xdr:colOff>
      <xdr:row>87</xdr:row>
      <xdr:rowOff>50800</xdr:rowOff>
    </xdr:from>
    <xdr:to>
      <xdr:col>12</xdr:col>
      <xdr:colOff>3330575</xdr:colOff>
      <xdr:row>87</xdr:row>
      <xdr:rowOff>1854200</xdr:rowOff>
    </xdr:to>
    <xdr:pic>
      <xdr:nvPicPr>
        <xdr:cNvPr id="235" name="DBE_Img_ExID_2076"/>
        <xdr:cNvPicPr>
          <a:picLocks noChangeAspect="1"/>
        </xdr:cNvPicPr>
      </xdr:nvPicPr>
      <xdr:blipFill>
        <a:blip xmlns:r="http://schemas.openxmlformats.org/officeDocument/2006/relationships" r:embed="rId120"/>
        <a:stretch>
          <a:fillRect/>
        </a:stretch>
      </xdr:blipFill>
      <xdr:spPr>
        <a:xfrm>
          <a:off x="19119850" y="157918150"/>
          <a:ext cx="3279775" cy="1803400"/>
        </a:xfrm>
        <a:prstGeom prst="rect">
          <a:avLst/>
        </a:prstGeom>
      </xdr:spPr>
    </xdr:pic>
    <xdr:clientData/>
  </xdr:twoCellAnchor>
  <xdr:twoCellAnchor>
    <xdr:from>
      <xdr:col>12</xdr:col>
      <xdr:colOff>50800</xdr:colOff>
      <xdr:row>174</xdr:row>
      <xdr:rowOff>50800</xdr:rowOff>
    </xdr:from>
    <xdr:to>
      <xdr:col>12</xdr:col>
      <xdr:colOff>3330575</xdr:colOff>
      <xdr:row>174</xdr:row>
      <xdr:rowOff>1854200</xdr:rowOff>
    </xdr:to>
    <xdr:pic>
      <xdr:nvPicPr>
        <xdr:cNvPr id="224" name="DBE_Img_ExID_3032"/>
        <xdr:cNvPicPr>
          <a:picLocks noChangeAspect="1"/>
        </xdr:cNvPicPr>
      </xdr:nvPicPr>
      <xdr:blipFill>
        <a:blip xmlns:r="http://schemas.openxmlformats.org/officeDocument/2006/relationships" r:embed="rId121"/>
        <a:stretch>
          <a:fillRect/>
        </a:stretch>
      </xdr:blipFill>
      <xdr:spPr>
        <a:xfrm>
          <a:off x="19119850" y="323653150"/>
          <a:ext cx="3279775" cy="1803400"/>
        </a:xfrm>
        <a:prstGeom prst="rect">
          <a:avLst/>
        </a:prstGeom>
      </xdr:spPr>
    </xdr:pic>
    <xdr:clientData/>
  </xdr:twoCellAnchor>
  <xdr:twoCellAnchor>
    <xdr:from>
      <xdr:col>12</xdr:col>
      <xdr:colOff>50800</xdr:colOff>
      <xdr:row>175</xdr:row>
      <xdr:rowOff>50800</xdr:rowOff>
    </xdr:from>
    <xdr:to>
      <xdr:col>12</xdr:col>
      <xdr:colOff>3330575</xdr:colOff>
      <xdr:row>175</xdr:row>
      <xdr:rowOff>1854200</xdr:rowOff>
    </xdr:to>
    <xdr:pic>
      <xdr:nvPicPr>
        <xdr:cNvPr id="225" name="DBE_Img_ExID_3033"/>
        <xdr:cNvPicPr>
          <a:picLocks noChangeAspect="1"/>
        </xdr:cNvPicPr>
      </xdr:nvPicPr>
      <xdr:blipFill>
        <a:blip xmlns:r="http://schemas.openxmlformats.org/officeDocument/2006/relationships" r:embed="rId122"/>
        <a:stretch>
          <a:fillRect/>
        </a:stretch>
      </xdr:blipFill>
      <xdr:spPr>
        <a:xfrm>
          <a:off x="19119850" y="325558150"/>
          <a:ext cx="3279775" cy="1803400"/>
        </a:xfrm>
        <a:prstGeom prst="rect">
          <a:avLst/>
        </a:prstGeom>
      </xdr:spPr>
    </xdr:pic>
    <xdr:clientData/>
  </xdr:twoCellAnchor>
  <xdr:twoCellAnchor>
    <xdr:from>
      <xdr:col>12</xdr:col>
      <xdr:colOff>50800</xdr:colOff>
      <xdr:row>176</xdr:row>
      <xdr:rowOff>50800</xdr:rowOff>
    </xdr:from>
    <xdr:to>
      <xdr:col>12</xdr:col>
      <xdr:colOff>3330575</xdr:colOff>
      <xdr:row>176</xdr:row>
      <xdr:rowOff>1854200</xdr:rowOff>
    </xdr:to>
    <xdr:pic>
      <xdr:nvPicPr>
        <xdr:cNvPr id="226" name="DBE_Img_ExID_3034"/>
        <xdr:cNvPicPr>
          <a:picLocks noChangeAspect="1"/>
        </xdr:cNvPicPr>
      </xdr:nvPicPr>
      <xdr:blipFill>
        <a:blip xmlns:r="http://schemas.openxmlformats.org/officeDocument/2006/relationships" r:embed="rId123"/>
        <a:stretch>
          <a:fillRect/>
        </a:stretch>
      </xdr:blipFill>
      <xdr:spPr>
        <a:xfrm>
          <a:off x="19119850" y="327463150"/>
          <a:ext cx="3279775" cy="1803400"/>
        </a:xfrm>
        <a:prstGeom prst="rect">
          <a:avLst/>
        </a:prstGeom>
      </xdr:spPr>
    </xdr:pic>
    <xdr:clientData/>
  </xdr:twoCellAnchor>
  <xdr:twoCellAnchor>
    <xdr:from>
      <xdr:col>12</xdr:col>
      <xdr:colOff>50800</xdr:colOff>
      <xdr:row>177</xdr:row>
      <xdr:rowOff>50800</xdr:rowOff>
    </xdr:from>
    <xdr:to>
      <xdr:col>12</xdr:col>
      <xdr:colOff>3330575</xdr:colOff>
      <xdr:row>177</xdr:row>
      <xdr:rowOff>1854200</xdr:rowOff>
    </xdr:to>
    <xdr:pic>
      <xdr:nvPicPr>
        <xdr:cNvPr id="227" name="DBE_Img_ExID_3035"/>
        <xdr:cNvPicPr>
          <a:picLocks noChangeAspect="1"/>
        </xdr:cNvPicPr>
      </xdr:nvPicPr>
      <xdr:blipFill>
        <a:blip xmlns:r="http://schemas.openxmlformats.org/officeDocument/2006/relationships" r:embed="rId124"/>
        <a:stretch>
          <a:fillRect/>
        </a:stretch>
      </xdr:blipFill>
      <xdr:spPr>
        <a:xfrm>
          <a:off x="19119850" y="329368150"/>
          <a:ext cx="3279775" cy="1803400"/>
        </a:xfrm>
        <a:prstGeom prst="rect">
          <a:avLst/>
        </a:prstGeom>
      </xdr:spPr>
    </xdr:pic>
    <xdr:clientData/>
  </xdr:twoCellAnchor>
  <xdr:twoCellAnchor>
    <xdr:from>
      <xdr:col>12</xdr:col>
      <xdr:colOff>50800</xdr:colOff>
      <xdr:row>285</xdr:row>
      <xdr:rowOff>50800</xdr:rowOff>
    </xdr:from>
    <xdr:to>
      <xdr:col>12</xdr:col>
      <xdr:colOff>3080196</xdr:colOff>
      <xdr:row>285</xdr:row>
      <xdr:rowOff>1854200</xdr:rowOff>
    </xdr:to>
    <xdr:pic>
      <xdr:nvPicPr>
        <xdr:cNvPr id="4" name="DBE_Img_ExID_8008"/>
        <xdr:cNvPicPr>
          <a:picLocks noChangeAspect="1"/>
        </xdr:cNvPicPr>
      </xdr:nvPicPr>
      <xdr:blipFill>
        <a:blip xmlns:r="http://schemas.openxmlformats.org/officeDocument/2006/relationships" r:embed="rId125"/>
        <a:stretch>
          <a:fillRect/>
        </a:stretch>
      </xdr:blipFill>
      <xdr:spPr>
        <a:xfrm>
          <a:off x="19119850" y="535108150"/>
          <a:ext cx="3029396" cy="1803400"/>
        </a:xfrm>
        <a:prstGeom prst="rect">
          <a:avLst/>
        </a:prstGeom>
      </xdr:spPr>
    </xdr:pic>
    <xdr:clientData/>
  </xdr:twoCellAnchor>
  <xdr:twoCellAnchor>
    <xdr:from>
      <xdr:col>12</xdr:col>
      <xdr:colOff>50800</xdr:colOff>
      <xdr:row>286</xdr:row>
      <xdr:rowOff>50800</xdr:rowOff>
    </xdr:from>
    <xdr:to>
      <xdr:col>12</xdr:col>
      <xdr:colOff>3066967</xdr:colOff>
      <xdr:row>286</xdr:row>
      <xdr:rowOff>1854200</xdr:rowOff>
    </xdr:to>
    <xdr:pic>
      <xdr:nvPicPr>
        <xdr:cNvPr id="11" name="DBE_Img_ExID_8009"/>
        <xdr:cNvPicPr>
          <a:picLocks noChangeAspect="1"/>
        </xdr:cNvPicPr>
      </xdr:nvPicPr>
      <xdr:blipFill>
        <a:blip xmlns:r="http://schemas.openxmlformats.org/officeDocument/2006/relationships" r:embed="rId126"/>
        <a:stretch>
          <a:fillRect/>
        </a:stretch>
      </xdr:blipFill>
      <xdr:spPr>
        <a:xfrm>
          <a:off x="19119850" y="537013150"/>
          <a:ext cx="3016167" cy="1803400"/>
        </a:xfrm>
        <a:prstGeom prst="rect">
          <a:avLst/>
        </a:prstGeom>
      </xdr:spPr>
    </xdr:pic>
    <xdr:clientData/>
  </xdr:twoCellAnchor>
  <xdr:twoCellAnchor>
    <xdr:from>
      <xdr:col>12</xdr:col>
      <xdr:colOff>50800</xdr:colOff>
      <xdr:row>287</xdr:row>
      <xdr:rowOff>50800</xdr:rowOff>
    </xdr:from>
    <xdr:to>
      <xdr:col>12</xdr:col>
      <xdr:colOff>3066967</xdr:colOff>
      <xdr:row>287</xdr:row>
      <xdr:rowOff>1854200</xdr:rowOff>
    </xdr:to>
    <xdr:pic>
      <xdr:nvPicPr>
        <xdr:cNvPr id="29" name="DBE_Img_ExID_8010"/>
        <xdr:cNvPicPr>
          <a:picLocks noChangeAspect="1"/>
        </xdr:cNvPicPr>
      </xdr:nvPicPr>
      <xdr:blipFill>
        <a:blip xmlns:r="http://schemas.openxmlformats.org/officeDocument/2006/relationships" r:embed="rId127"/>
        <a:stretch>
          <a:fillRect/>
        </a:stretch>
      </xdr:blipFill>
      <xdr:spPr>
        <a:xfrm>
          <a:off x="19119850" y="538918150"/>
          <a:ext cx="3016167" cy="1803400"/>
        </a:xfrm>
        <a:prstGeom prst="rect">
          <a:avLst/>
        </a:prstGeom>
      </xdr:spPr>
    </xdr:pic>
    <xdr:clientData/>
  </xdr:twoCellAnchor>
  <xdr:twoCellAnchor>
    <xdr:from>
      <xdr:col>12</xdr:col>
      <xdr:colOff>50800</xdr:colOff>
      <xdr:row>288</xdr:row>
      <xdr:rowOff>50800</xdr:rowOff>
    </xdr:from>
    <xdr:to>
      <xdr:col>12</xdr:col>
      <xdr:colOff>3080196</xdr:colOff>
      <xdr:row>288</xdr:row>
      <xdr:rowOff>1854200</xdr:rowOff>
    </xdr:to>
    <xdr:pic>
      <xdr:nvPicPr>
        <xdr:cNvPr id="31" name="DBE_Img_ExID_8011"/>
        <xdr:cNvPicPr>
          <a:picLocks noChangeAspect="1"/>
        </xdr:cNvPicPr>
      </xdr:nvPicPr>
      <xdr:blipFill>
        <a:blip xmlns:r="http://schemas.openxmlformats.org/officeDocument/2006/relationships" r:embed="rId128"/>
        <a:stretch>
          <a:fillRect/>
        </a:stretch>
      </xdr:blipFill>
      <xdr:spPr>
        <a:xfrm>
          <a:off x="19119850" y="540823150"/>
          <a:ext cx="3029396" cy="1803400"/>
        </a:xfrm>
        <a:prstGeom prst="rect">
          <a:avLst/>
        </a:prstGeom>
      </xdr:spPr>
    </xdr:pic>
    <xdr:clientData/>
  </xdr:twoCellAnchor>
  <xdr:twoCellAnchor>
    <xdr:from>
      <xdr:col>12</xdr:col>
      <xdr:colOff>50800</xdr:colOff>
      <xdr:row>292</xdr:row>
      <xdr:rowOff>50800</xdr:rowOff>
    </xdr:from>
    <xdr:to>
      <xdr:col>12</xdr:col>
      <xdr:colOff>3074843</xdr:colOff>
      <xdr:row>292</xdr:row>
      <xdr:rowOff>1854200</xdr:rowOff>
    </xdr:to>
    <xdr:pic>
      <xdr:nvPicPr>
        <xdr:cNvPr id="229" name="DBE_Img_ExID_8015"/>
        <xdr:cNvPicPr>
          <a:picLocks noChangeAspect="1"/>
        </xdr:cNvPicPr>
      </xdr:nvPicPr>
      <xdr:blipFill>
        <a:blip xmlns:r="http://schemas.openxmlformats.org/officeDocument/2006/relationships" r:embed="rId129"/>
        <a:stretch>
          <a:fillRect/>
        </a:stretch>
      </xdr:blipFill>
      <xdr:spPr>
        <a:xfrm>
          <a:off x="19119850" y="548443150"/>
          <a:ext cx="3024043" cy="1803400"/>
        </a:xfrm>
        <a:prstGeom prst="rect">
          <a:avLst/>
        </a:prstGeom>
      </xdr:spPr>
    </xdr:pic>
    <xdr:clientData/>
  </xdr:twoCellAnchor>
  <xdr:twoCellAnchor>
    <xdr:from>
      <xdr:col>12</xdr:col>
      <xdr:colOff>50800</xdr:colOff>
      <xdr:row>293</xdr:row>
      <xdr:rowOff>50800</xdr:rowOff>
    </xdr:from>
    <xdr:to>
      <xdr:col>12</xdr:col>
      <xdr:colOff>3074843</xdr:colOff>
      <xdr:row>293</xdr:row>
      <xdr:rowOff>1854200</xdr:rowOff>
    </xdr:to>
    <xdr:pic>
      <xdr:nvPicPr>
        <xdr:cNvPr id="230" name="DBE_Img_ExID_8016"/>
        <xdr:cNvPicPr>
          <a:picLocks noChangeAspect="1"/>
        </xdr:cNvPicPr>
      </xdr:nvPicPr>
      <xdr:blipFill>
        <a:blip xmlns:r="http://schemas.openxmlformats.org/officeDocument/2006/relationships" r:embed="rId130"/>
        <a:stretch>
          <a:fillRect/>
        </a:stretch>
      </xdr:blipFill>
      <xdr:spPr>
        <a:xfrm>
          <a:off x="19119850" y="550348150"/>
          <a:ext cx="3024043" cy="1803400"/>
        </a:xfrm>
        <a:prstGeom prst="rect">
          <a:avLst/>
        </a:prstGeom>
      </xdr:spPr>
    </xdr:pic>
    <xdr:clientData/>
  </xdr:twoCellAnchor>
  <xdr:twoCellAnchor>
    <xdr:from>
      <xdr:col>12</xdr:col>
      <xdr:colOff>50800</xdr:colOff>
      <xdr:row>294</xdr:row>
      <xdr:rowOff>50800</xdr:rowOff>
    </xdr:from>
    <xdr:to>
      <xdr:col>12</xdr:col>
      <xdr:colOff>3088106</xdr:colOff>
      <xdr:row>294</xdr:row>
      <xdr:rowOff>1854200</xdr:rowOff>
    </xdr:to>
    <xdr:pic>
      <xdr:nvPicPr>
        <xdr:cNvPr id="231" name="DBE_Img_ExID_8017"/>
        <xdr:cNvPicPr>
          <a:picLocks noChangeAspect="1"/>
        </xdr:cNvPicPr>
      </xdr:nvPicPr>
      <xdr:blipFill>
        <a:blip xmlns:r="http://schemas.openxmlformats.org/officeDocument/2006/relationships" r:embed="rId131"/>
        <a:stretch>
          <a:fillRect/>
        </a:stretch>
      </xdr:blipFill>
      <xdr:spPr>
        <a:xfrm>
          <a:off x="19119850" y="552253150"/>
          <a:ext cx="3037306" cy="1803400"/>
        </a:xfrm>
        <a:prstGeom prst="rect">
          <a:avLst/>
        </a:prstGeom>
      </xdr:spPr>
    </xdr:pic>
    <xdr:clientData/>
  </xdr:twoCellAnchor>
  <xdr:twoCellAnchor>
    <xdr:from>
      <xdr:col>12</xdr:col>
      <xdr:colOff>50800</xdr:colOff>
      <xdr:row>208</xdr:row>
      <xdr:rowOff>50800</xdr:rowOff>
    </xdr:from>
    <xdr:to>
      <xdr:col>12</xdr:col>
      <xdr:colOff>3080195</xdr:colOff>
      <xdr:row>208</xdr:row>
      <xdr:rowOff>1854200</xdr:rowOff>
    </xdr:to>
    <xdr:pic>
      <xdr:nvPicPr>
        <xdr:cNvPr id="236" name="DBE_Img_ExID_4009"/>
        <xdr:cNvPicPr>
          <a:picLocks noChangeAspect="1"/>
        </xdr:cNvPicPr>
      </xdr:nvPicPr>
      <xdr:blipFill>
        <a:blip xmlns:r="http://schemas.openxmlformats.org/officeDocument/2006/relationships" r:embed="rId132"/>
        <a:stretch>
          <a:fillRect/>
        </a:stretch>
      </xdr:blipFill>
      <xdr:spPr>
        <a:xfrm>
          <a:off x="19119850" y="388423150"/>
          <a:ext cx="3029395" cy="1803400"/>
        </a:xfrm>
        <a:prstGeom prst="rect">
          <a:avLst/>
        </a:prstGeom>
      </xdr:spPr>
    </xdr:pic>
    <xdr:clientData/>
  </xdr:twoCellAnchor>
  <xdr:twoCellAnchor>
    <xdr:from>
      <xdr:col>12</xdr:col>
      <xdr:colOff>50800</xdr:colOff>
      <xdr:row>209</xdr:row>
      <xdr:rowOff>50800</xdr:rowOff>
    </xdr:from>
    <xdr:to>
      <xdr:col>12</xdr:col>
      <xdr:colOff>3051219</xdr:colOff>
      <xdr:row>209</xdr:row>
      <xdr:rowOff>1854200</xdr:rowOff>
    </xdr:to>
    <xdr:pic>
      <xdr:nvPicPr>
        <xdr:cNvPr id="237" name="DBE_Img_ExID_4010"/>
        <xdr:cNvPicPr>
          <a:picLocks noChangeAspect="1"/>
        </xdr:cNvPicPr>
      </xdr:nvPicPr>
      <xdr:blipFill>
        <a:blip xmlns:r="http://schemas.openxmlformats.org/officeDocument/2006/relationships" r:embed="rId133"/>
        <a:stretch>
          <a:fillRect/>
        </a:stretch>
      </xdr:blipFill>
      <xdr:spPr>
        <a:xfrm>
          <a:off x="19119850" y="390328150"/>
          <a:ext cx="3000419" cy="1803400"/>
        </a:xfrm>
        <a:prstGeom prst="rect">
          <a:avLst/>
        </a:prstGeom>
      </xdr:spPr>
    </xdr:pic>
    <xdr:clientData/>
  </xdr:twoCellAnchor>
  <xdr:twoCellAnchor>
    <xdr:from>
      <xdr:col>12</xdr:col>
      <xdr:colOff>50800</xdr:colOff>
      <xdr:row>210</xdr:row>
      <xdr:rowOff>50800</xdr:rowOff>
    </xdr:from>
    <xdr:to>
      <xdr:col>12</xdr:col>
      <xdr:colOff>3059092</xdr:colOff>
      <xdr:row>210</xdr:row>
      <xdr:rowOff>1854200</xdr:rowOff>
    </xdr:to>
    <xdr:pic>
      <xdr:nvPicPr>
        <xdr:cNvPr id="238" name="DBE_Img_ExID_4011"/>
        <xdr:cNvPicPr>
          <a:picLocks noChangeAspect="1"/>
        </xdr:cNvPicPr>
      </xdr:nvPicPr>
      <xdr:blipFill>
        <a:blip xmlns:r="http://schemas.openxmlformats.org/officeDocument/2006/relationships" r:embed="rId134"/>
        <a:stretch>
          <a:fillRect/>
        </a:stretch>
      </xdr:blipFill>
      <xdr:spPr>
        <a:xfrm>
          <a:off x="19119850" y="392233150"/>
          <a:ext cx="3008292" cy="1803400"/>
        </a:xfrm>
        <a:prstGeom prst="rect">
          <a:avLst/>
        </a:prstGeom>
      </xdr:spPr>
    </xdr:pic>
    <xdr:clientData/>
  </xdr:twoCellAnchor>
  <xdr:twoCellAnchor>
    <xdr:from>
      <xdr:col>12</xdr:col>
      <xdr:colOff>50800</xdr:colOff>
      <xdr:row>211</xdr:row>
      <xdr:rowOff>50800</xdr:rowOff>
    </xdr:from>
    <xdr:to>
      <xdr:col>12</xdr:col>
      <xdr:colOff>3072287</xdr:colOff>
      <xdr:row>211</xdr:row>
      <xdr:rowOff>1854200</xdr:rowOff>
    </xdr:to>
    <xdr:pic>
      <xdr:nvPicPr>
        <xdr:cNvPr id="239" name="DBE_Img_ExID_4012"/>
        <xdr:cNvPicPr>
          <a:picLocks noChangeAspect="1"/>
        </xdr:cNvPicPr>
      </xdr:nvPicPr>
      <xdr:blipFill>
        <a:blip xmlns:r="http://schemas.openxmlformats.org/officeDocument/2006/relationships" r:embed="rId135"/>
        <a:stretch>
          <a:fillRect/>
        </a:stretch>
      </xdr:blipFill>
      <xdr:spPr>
        <a:xfrm>
          <a:off x="19119850" y="394138150"/>
          <a:ext cx="3021487" cy="1803400"/>
        </a:xfrm>
        <a:prstGeom prst="rect">
          <a:avLst/>
        </a:prstGeom>
      </xdr:spPr>
    </xdr:pic>
    <xdr:clientData/>
  </xdr:twoCellAnchor>
  <xdr:twoCellAnchor>
    <xdr:from>
      <xdr:col>12</xdr:col>
      <xdr:colOff>50800</xdr:colOff>
      <xdr:row>200</xdr:row>
      <xdr:rowOff>50800</xdr:rowOff>
    </xdr:from>
    <xdr:to>
      <xdr:col>12</xdr:col>
      <xdr:colOff>3080195</xdr:colOff>
      <xdr:row>200</xdr:row>
      <xdr:rowOff>1854200</xdr:rowOff>
    </xdr:to>
    <xdr:pic>
      <xdr:nvPicPr>
        <xdr:cNvPr id="240" name="DBE_Img_ExID_4001"/>
        <xdr:cNvPicPr>
          <a:picLocks noChangeAspect="1"/>
        </xdr:cNvPicPr>
      </xdr:nvPicPr>
      <xdr:blipFill>
        <a:blip xmlns:r="http://schemas.openxmlformats.org/officeDocument/2006/relationships" r:embed="rId136"/>
        <a:stretch>
          <a:fillRect/>
        </a:stretch>
      </xdr:blipFill>
      <xdr:spPr>
        <a:xfrm>
          <a:off x="19119850" y="373183150"/>
          <a:ext cx="3029395" cy="1803400"/>
        </a:xfrm>
        <a:prstGeom prst="rect">
          <a:avLst/>
        </a:prstGeom>
      </xdr:spPr>
    </xdr:pic>
    <xdr:clientData/>
  </xdr:twoCellAnchor>
  <xdr:twoCellAnchor>
    <xdr:from>
      <xdr:col>12</xdr:col>
      <xdr:colOff>50800</xdr:colOff>
      <xdr:row>201</xdr:row>
      <xdr:rowOff>50800</xdr:rowOff>
    </xdr:from>
    <xdr:to>
      <xdr:col>12</xdr:col>
      <xdr:colOff>3051217</xdr:colOff>
      <xdr:row>201</xdr:row>
      <xdr:rowOff>1854200</xdr:rowOff>
    </xdr:to>
    <xdr:pic>
      <xdr:nvPicPr>
        <xdr:cNvPr id="241" name="DBE_Img_ExID_4002"/>
        <xdr:cNvPicPr>
          <a:picLocks noChangeAspect="1"/>
        </xdr:cNvPicPr>
      </xdr:nvPicPr>
      <xdr:blipFill>
        <a:blip xmlns:r="http://schemas.openxmlformats.org/officeDocument/2006/relationships" r:embed="rId137"/>
        <a:stretch>
          <a:fillRect/>
        </a:stretch>
      </xdr:blipFill>
      <xdr:spPr>
        <a:xfrm>
          <a:off x="19119850" y="375088150"/>
          <a:ext cx="3000417" cy="1803400"/>
        </a:xfrm>
        <a:prstGeom prst="rect">
          <a:avLst/>
        </a:prstGeom>
      </xdr:spPr>
    </xdr:pic>
    <xdr:clientData/>
  </xdr:twoCellAnchor>
  <xdr:twoCellAnchor>
    <xdr:from>
      <xdr:col>12</xdr:col>
      <xdr:colOff>50800</xdr:colOff>
      <xdr:row>202</xdr:row>
      <xdr:rowOff>50800</xdr:rowOff>
    </xdr:from>
    <xdr:to>
      <xdr:col>12</xdr:col>
      <xdr:colOff>3059093</xdr:colOff>
      <xdr:row>202</xdr:row>
      <xdr:rowOff>1854200</xdr:rowOff>
    </xdr:to>
    <xdr:pic>
      <xdr:nvPicPr>
        <xdr:cNvPr id="242" name="DBE_Img_ExID_4003"/>
        <xdr:cNvPicPr>
          <a:picLocks noChangeAspect="1"/>
        </xdr:cNvPicPr>
      </xdr:nvPicPr>
      <xdr:blipFill>
        <a:blip xmlns:r="http://schemas.openxmlformats.org/officeDocument/2006/relationships" r:embed="rId138"/>
        <a:stretch>
          <a:fillRect/>
        </a:stretch>
      </xdr:blipFill>
      <xdr:spPr>
        <a:xfrm>
          <a:off x="19119850" y="376993150"/>
          <a:ext cx="3008293" cy="1803400"/>
        </a:xfrm>
        <a:prstGeom prst="rect">
          <a:avLst/>
        </a:prstGeom>
      </xdr:spPr>
    </xdr:pic>
    <xdr:clientData/>
  </xdr:twoCellAnchor>
  <xdr:twoCellAnchor>
    <xdr:from>
      <xdr:col>12</xdr:col>
      <xdr:colOff>50800</xdr:colOff>
      <xdr:row>203</xdr:row>
      <xdr:rowOff>50800</xdr:rowOff>
    </xdr:from>
    <xdr:to>
      <xdr:col>12</xdr:col>
      <xdr:colOff>3072287</xdr:colOff>
      <xdr:row>203</xdr:row>
      <xdr:rowOff>1854200</xdr:rowOff>
    </xdr:to>
    <xdr:pic>
      <xdr:nvPicPr>
        <xdr:cNvPr id="243" name="DBE_Img_ExID_4004"/>
        <xdr:cNvPicPr>
          <a:picLocks noChangeAspect="1"/>
        </xdr:cNvPicPr>
      </xdr:nvPicPr>
      <xdr:blipFill>
        <a:blip xmlns:r="http://schemas.openxmlformats.org/officeDocument/2006/relationships" r:embed="rId139"/>
        <a:stretch>
          <a:fillRect/>
        </a:stretch>
      </xdr:blipFill>
      <xdr:spPr>
        <a:xfrm>
          <a:off x="19119850" y="378898150"/>
          <a:ext cx="3021487" cy="1803400"/>
        </a:xfrm>
        <a:prstGeom prst="rect">
          <a:avLst/>
        </a:prstGeom>
      </xdr:spPr>
    </xdr:pic>
    <xdr:clientData/>
  </xdr:twoCellAnchor>
  <xdr:twoCellAnchor>
    <xdr:from>
      <xdr:col>12</xdr:col>
      <xdr:colOff>50800</xdr:colOff>
      <xdr:row>204</xdr:row>
      <xdr:rowOff>50800</xdr:rowOff>
    </xdr:from>
    <xdr:to>
      <xdr:col>12</xdr:col>
      <xdr:colOff>3080196</xdr:colOff>
      <xdr:row>204</xdr:row>
      <xdr:rowOff>1854200</xdr:rowOff>
    </xdr:to>
    <xdr:pic>
      <xdr:nvPicPr>
        <xdr:cNvPr id="244" name="DBE_Img_ExID_4005"/>
        <xdr:cNvPicPr>
          <a:picLocks noChangeAspect="1"/>
        </xdr:cNvPicPr>
      </xdr:nvPicPr>
      <xdr:blipFill>
        <a:blip xmlns:r="http://schemas.openxmlformats.org/officeDocument/2006/relationships" r:embed="rId140"/>
        <a:stretch>
          <a:fillRect/>
        </a:stretch>
      </xdr:blipFill>
      <xdr:spPr>
        <a:xfrm>
          <a:off x="19119850" y="380803150"/>
          <a:ext cx="3029396" cy="1803400"/>
        </a:xfrm>
        <a:prstGeom prst="rect">
          <a:avLst/>
        </a:prstGeom>
      </xdr:spPr>
    </xdr:pic>
    <xdr:clientData/>
  </xdr:twoCellAnchor>
  <xdr:twoCellAnchor>
    <xdr:from>
      <xdr:col>12</xdr:col>
      <xdr:colOff>50800</xdr:colOff>
      <xdr:row>205</xdr:row>
      <xdr:rowOff>50800</xdr:rowOff>
    </xdr:from>
    <xdr:to>
      <xdr:col>12</xdr:col>
      <xdr:colOff>3051217</xdr:colOff>
      <xdr:row>205</xdr:row>
      <xdr:rowOff>1854200</xdr:rowOff>
    </xdr:to>
    <xdr:pic>
      <xdr:nvPicPr>
        <xdr:cNvPr id="245" name="DBE_Img_ExID_4006"/>
        <xdr:cNvPicPr>
          <a:picLocks noChangeAspect="1"/>
        </xdr:cNvPicPr>
      </xdr:nvPicPr>
      <xdr:blipFill>
        <a:blip xmlns:r="http://schemas.openxmlformats.org/officeDocument/2006/relationships" r:embed="rId141"/>
        <a:stretch>
          <a:fillRect/>
        </a:stretch>
      </xdr:blipFill>
      <xdr:spPr>
        <a:xfrm>
          <a:off x="19119850" y="382708150"/>
          <a:ext cx="3000417" cy="1803400"/>
        </a:xfrm>
        <a:prstGeom prst="rect">
          <a:avLst/>
        </a:prstGeom>
      </xdr:spPr>
    </xdr:pic>
    <xdr:clientData/>
  </xdr:twoCellAnchor>
  <xdr:twoCellAnchor>
    <xdr:from>
      <xdr:col>12</xdr:col>
      <xdr:colOff>50800</xdr:colOff>
      <xdr:row>206</xdr:row>
      <xdr:rowOff>50800</xdr:rowOff>
    </xdr:from>
    <xdr:to>
      <xdr:col>12</xdr:col>
      <xdr:colOff>3059092</xdr:colOff>
      <xdr:row>206</xdr:row>
      <xdr:rowOff>1854200</xdr:rowOff>
    </xdr:to>
    <xdr:pic>
      <xdr:nvPicPr>
        <xdr:cNvPr id="246" name="DBE_Img_ExID_4007"/>
        <xdr:cNvPicPr>
          <a:picLocks noChangeAspect="1"/>
        </xdr:cNvPicPr>
      </xdr:nvPicPr>
      <xdr:blipFill>
        <a:blip xmlns:r="http://schemas.openxmlformats.org/officeDocument/2006/relationships" r:embed="rId142"/>
        <a:stretch>
          <a:fillRect/>
        </a:stretch>
      </xdr:blipFill>
      <xdr:spPr>
        <a:xfrm>
          <a:off x="19119850" y="384613150"/>
          <a:ext cx="3008292" cy="1803400"/>
        </a:xfrm>
        <a:prstGeom prst="rect">
          <a:avLst/>
        </a:prstGeom>
      </xdr:spPr>
    </xdr:pic>
    <xdr:clientData/>
  </xdr:twoCellAnchor>
  <xdr:twoCellAnchor>
    <xdr:from>
      <xdr:col>12</xdr:col>
      <xdr:colOff>50800</xdr:colOff>
      <xdr:row>207</xdr:row>
      <xdr:rowOff>50800</xdr:rowOff>
    </xdr:from>
    <xdr:to>
      <xdr:col>12</xdr:col>
      <xdr:colOff>3072286</xdr:colOff>
      <xdr:row>207</xdr:row>
      <xdr:rowOff>1854200</xdr:rowOff>
    </xdr:to>
    <xdr:pic>
      <xdr:nvPicPr>
        <xdr:cNvPr id="247" name="DBE_Img_ExID_4008"/>
        <xdr:cNvPicPr>
          <a:picLocks noChangeAspect="1"/>
        </xdr:cNvPicPr>
      </xdr:nvPicPr>
      <xdr:blipFill>
        <a:blip xmlns:r="http://schemas.openxmlformats.org/officeDocument/2006/relationships" r:embed="rId143"/>
        <a:stretch>
          <a:fillRect/>
        </a:stretch>
      </xdr:blipFill>
      <xdr:spPr>
        <a:xfrm>
          <a:off x="19119850" y="386518150"/>
          <a:ext cx="3021486" cy="1803400"/>
        </a:xfrm>
        <a:prstGeom prst="rect">
          <a:avLst/>
        </a:prstGeom>
      </xdr:spPr>
    </xdr:pic>
    <xdr:clientData/>
  </xdr:twoCellAnchor>
  <xdr:twoCellAnchor>
    <xdr:from>
      <xdr:col>12</xdr:col>
      <xdr:colOff>50800</xdr:colOff>
      <xdr:row>212</xdr:row>
      <xdr:rowOff>50800</xdr:rowOff>
    </xdr:from>
    <xdr:to>
      <xdr:col>12</xdr:col>
      <xdr:colOff>3080196</xdr:colOff>
      <xdr:row>212</xdr:row>
      <xdr:rowOff>1854200</xdr:rowOff>
    </xdr:to>
    <xdr:pic>
      <xdr:nvPicPr>
        <xdr:cNvPr id="248" name="DBE_Img_ExID_4013"/>
        <xdr:cNvPicPr>
          <a:picLocks noChangeAspect="1"/>
        </xdr:cNvPicPr>
      </xdr:nvPicPr>
      <xdr:blipFill>
        <a:blip xmlns:r="http://schemas.openxmlformats.org/officeDocument/2006/relationships" r:embed="rId144"/>
        <a:stretch>
          <a:fillRect/>
        </a:stretch>
      </xdr:blipFill>
      <xdr:spPr>
        <a:xfrm>
          <a:off x="19119850" y="396043150"/>
          <a:ext cx="3029396" cy="1803400"/>
        </a:xfrm>
        <a:prstGeom prst="rect">
          <a:avLst/>
        </a:prstGeom>
      </xdr:spPr>
    </xdr:pic>
    <xdr:clientData/>
  </xdr:twoCellAnchor>
  <xdr:twoCellAnchor>
    <xdr:from>
      <xdr:col>12</xdr:col>
      <xdr:colOff>50800</xdr:colOff>
      <xdr:row>213</xdr:row>
      <xdr:rowOff>50800</xdr:rowOff>
    </xdr:from>
    <xdr:to>
      <xdr:col>12</xdr:col>
      <xdr:colOff>3051219</xdr:colOff>
      <xdr:row>213</xdr:row>
      <xdr:rowOff>1854200</xdr:rowOff>
    </xdr:to>
    <xdr:pic>
      <xdr:nvPicPr>
        <xdr:cNvPr id="249" name="DBE_Img_ExID_4014"/>
        <xdr:cNvPicPr>
          <a:picLocks noChangeAspect="1"/>
        </xdr:cNvPicPr>
      </xdr:nvPicPr>
      <xdr:blipFill>
        <a:blip xmlns:r="http://schemas.openxmlformats.org/officeDocument/2006/relationships" r:embed="rId145"/>
        <a:stretch>
          <a:fillRect/>
        </a:stretch>
      </xdr:blipFill>
      <xdr:spPr>
        <a:xfrm>
          <a:off x="19119850" y="397948150"/>
          <a:ext cx="3000419" cy="1803400"/>
        </a:xfrm>
        <a:prstGeom prst="rect">
          <a:avLst/>
        </a:prstGeom>
      </xdr:spPr>
    </xdr:pic>
    <xdr:clientData/>
  </xdr:twoCellAnchor>
  <xdr:twoCellAnchor>
    <xdr:from>
      <xdr:col>12</xdr:col>
      <xdr:colOff>50800</xdr:colOff>
      <xdr:row>214</xdr:row>
      <xdr:rowOff>50800</xdr:rowOff>
    </xdr:from>
    <xdr:to>
      <xdr:col>12</xdr:col>
      <xdr:colOff>3059092</xdr:colOff>
      <xdr:row>214</xdr:row>
      <xdr:rowOff>1854200</xdr:rowOff>
    </xdr:to>
    <xdr:pic>
      <xdr:nvPicPr>
        <xdr:cNvPr id="250" name="DBE_Img_ExID_4015"/>
        <xdr:cNvPicPr>
          <a:picLocks noChangeAspect="1"/>
        </xdr:cNvPicPr>
      </xdr:nvPicPr>
      <xdr:blipFill>
        <a:blip xmlns:r="http://schemas.openxmlformats.org/officeDocument/2006/relationships" r:embed="rId146"/>
        <a:stretch>
          <a:fillRect/>
        </a:stretch>
      </xdr:blipFill>
      <xdr:spPr>
        <a:xfrm>
          <a:off x="19119850" y="399853150"/>
          <a:ext cx="3008292" cy="1803400"/>
        </a:xfrm>
        <a:prstGeom prst="rect">
          <a:avLst/>
        </a:prstGeom>
      </xdr:spPr>
    </xdr:pic>
    <xdr:clientData/>
  </xdr:twoCellAnchor>
  <xdr:twoCellAnchor>
    <xdr:from>
      <xdr:col>12</xdr:col>
      <xdr:colOff>50800</xdr:colOff>
      <xdr:row>215</xdr:row>
      <xdr:rowOff>50800</xdr:rowOff>
    </xdr:from>
    <xdr:to>
      <xdr:col>12</xdr:col>
      <xdr:colOff>3072287</xdr:colOff>
      <xdr:row>215</xdr:row>
      <xdr:rowOff>1854200</xdr:rowOff>
    </xdr:to>
    <xdr:pic>
      <xdr:nvPicPr>
        <xdr:cNvPr id="251" name="DBE_Img_ExID_4016"/>
        <xdr:cNvPicPr>
          <a:picLocks noChangeAspect="1"/>
        </xdr:cNvPicPr>
      </xdr:nvPicPr>
      <xdr:blipFill>
        <a:blip xmlns:r="http://schemas.openxmlformats.org/officeDocument/2006/relationships" r:embed="rId147"/>
        <a:stretch>
          <a:fillRect/>
        </a:stretch>
      </xdr:blipFill>
      <xdr:spPr>
        <a:xfrm>
          <a:off x="19119850" y="401758150"/>
          <a:ext cx="3021487" cy="1803400"/>
        </a:xfrm>
        <a:prstGeom prst="rect">
          <a:avLst/>
        </a:prstGeom>
      </xdr:spPr>
    </xdr:pic>
    <xdr:clientData/>
  </xdr:twoCellAnchor>
  <xdr:twoCellAnchor>
    <xdr:from>
      <xdr:col>12</xdr:col>
      <xdr:colOff>50800</xdr:colOff>
      <xdr:row>238</xdr:row>
      <xdr:rowOff>50800</xdr:rowOff>
    </xdr:from>
    <xdr:to>
      <xdr:col>12</xdr:col>
      <xdr:colOff>3088106</xdr:colOff>
      <xdr:row>238</xdr:row>
      <xdr:rowOff>1854200</xdr:rowOff>
    </xdr:to>
    <xdr:pic>
      <xdr:nvPicPr>
        <xdr:cNvPr id="252" name="DBE_Img_ExID_4039"/>
        <xdr:cNvPicPr>
          <a:picLocks noChangeAspect="1"/>
        </xdr:cNvPicPr>
      </xdr:nvPicPr>
      <xdr:blipFill>
        <a:blip xmlns:r="http://schemas.openxmlformats.org/officeDocument/2006/relationships" r:embed="rId148"/>
        <a:stretch>
          <a:fillRect/>
        </a:stretch>
      </xdr:blipFill>
      <xdr:spPr>
        <a:xfrm>
          <a:off x="19119850" y="445573150"/>
          <a:ext cx="3037306" cy="1803400"/>
        </a:xfrm>
        <a:prstGeom prst="rect">
          <a:avLst/>
        </a:prstGeom>
      </xdr:spPr>
    </xdr:pic>
    <xdr:clientData/>
  </xdr:twoCellAnchor>
  <xdr:twoCellAnchor>
    <xdr:from>
      <xdr:col>12</xdr:col>
      <xdr:colOff>50800</xdr:colOff>
      <xdr:row>239</xdr:row>
      <xdr:rowOff>50800</xdr:rowOff>
    </xdr:from>
    <xdr:to>
      <xdr:col>12</xdr:col>
      <xdr:colOff>3074843</xdr:colOff>
      <xdr:row>239</xdr:row>
      <xdr:rowOff>1854200</xdr:rowOff>
    </xdr:to>
    <xdr:pic>
      <xdr:nvPicPr>
        <xdr:cNvPr id="253" name="DBE_Img_ExID_4040"/>
        <xdr:cNvPicPr>
          <a:picLocks noChangeAspect="1"/>
        </xdr:cNvPicPr>
      </xdr:nvPicPr>
      <xdr:blipFill>
        <a:blip xmlns:r="http://schemas.openxmlformats.org/officeDocument/2006/relationships" r:embed="rId149"/>
        <a:stretch>
          <a:fillRect/>
        </a:stretch>
      </xdr:blipFill>
      <xdr:spPr>
        <a:xfrm>
          <a:off x="19119850" y="447478150"/>
          <a:ext cx="3024043" cy="1803400"/>
        </a:xfrm>
        <a:prstGeom prst="rect">
          <a:avLst/>
        </a:prstGeom>
      </xdr:spPr>
    </xdr:pic>
    <xdr:clientData/>
  </xdr:twoCellAnchor>
  <xdr:twoCellAnchor>
    <xdr:from>
      <xdr:col>12</xdr:col>
      <xdr:colOff>50800</xdr:colOff>
      <xdr:row>240</xdr:row>
      <xdr:rowOff>50800</xdr:rowOff>
    </xdr:from>
    <xdr:to>
      <xdr:col>12</xdr:col>
      <xdr:colOff>3074843</xdr:colOff>
      <xdr:row>240</xdr:row>
      <xdr:rowOff>1854200</xdr:rowOff>
    </xdr:to>
    <xdr:pic>
      <xdr:nvPicPr>
        <xdr:cNvPr id="254" name="DBE_Img_ExID_4041"/>
        <xdr:cNvPicPr>
          <a:picLocks noChangeAspect="1"/>
        </xdr:cNvPicPr>
      </xdr:nvPicPr>
      <xdr:blipFill>
        <a:blip xmlns:r="http://schemas.openxmlformats.org/officeDocument/2006/relationships" r:embed="rId150"/>
        <a:stretch>
          <a:fillRect/>
        </a:stretch>
      </xdr:blipFill>
      <xdr:spPr>
        <a:xfrm>
          <a:off x="19119850" y="449383150"/>
          <a:ext cx="3024043" cy="1803400"/>
        </a:xfrm>
        <a:prstGeom prst="rect">
          <a:avLst/>
        </a:prstGeom>
      </xdr:spPr>
    </xdr:pic>
    <xdr:clientData/>
  </xdr:twoCellAnchor>
  <xdr:twoCellAnchor>
    <xdr:from>
      <xdr:col>12</xdr:col>
      <xdr:colOff>50800</xdr:colOff>
      <xdr:row>241</xdr:row>
      <xdr:rowOff>50800</xdr:rowOff>
    </xdr:from>
    <xdr:to>
      <xdr:col>12</xdr:col>
      <xdr:colOff>3096015</xdr:colOff>
      <xdr:row>241</xdr:row>
      <xdr:rowOff>1854200</xdr:rowOff>
    </xdr:to>
    <xdr:pic>
      <xdr:nvPicPr>
        <xdr:cNvPr id="255" name="DBE_Img_ExID_4042"/>
        <xdr:cNvPicPr>
          <a:picLocks noChangeAspect="1"/>
        </xdr:cNvPicPr>
      </xdr:nvPicPr>
      <xdr:blipFill>
        <a:blip xmlns:r="http://schemas.openxmlformats.org/officeDocument/2006/relationships" r:embed="rId151"/>
        <a:stretch>
          <a:fillRect/>
        </a:stretch>
      </xdr:blipFill>
      <xdr:spPr>
        <a:xfrm>
          <a:off x="19119850" y="451288150"/>
          <a:ext cx="3045215" cy="1803400"/>
        </a:xfrm>
        <a:prstGeom prst="rect">
          <a:avLst/>
        </a:prstGeom>
      </xdr:spPr>
    </xdr:pic>
    <xdr:clientData/>
  </xdr:twoCellAnchor>
  <xdr:twoCellAnchor>
    <xdr:from>
      <xdr:col>12</xdr:col>
      <xdr:colOff>50800</xdr:colOff>
      <xdr:row>242</xdr:row>
      <xdr:rowOff>50800</xdr:rowOff>
    </xdr:from>
    <xdr:to>
      <xdr:col>12</xdr:col>
      <xdr:colOff>3074844</xdr:colOff>
      <xdr:row>242</xdr:row>
      <xdr:rowOff>1854200</xdr:rowOff>
    </xdr:to>
    <xdr:pic>
      <xdr:nvPicPr>
        <xdr:cNvPr id="33" name="DBE_Img_ExID_4043"/>
        <xdr:cNvPicPr>
          <a:picLocks noChangeAspect="1"/>
        </xdr:cNvPicPr>
      </xdr:nvPicPr>
      <xdr:blipFill>
        <a:blip xmlns:r="http://schemas.openxmlformats.org/officeDocument/2006/relationships" r:embed="rId152"/>
        <a:stretch>
          <a:fillRect/>
        </a:stretch>
      </xdr:blipFill>
      <xdr:spPr>
        <a:xfrm>
          <a:off x="19119850" y="453193150"/>
          <a:ext cx="3024044" cy="1803400"/>
        </a:xfrm>
        <a:prstGeom prst="rect">
          <a:avLst/>
        </a:prstGeom>
      </xdr:spPr>
    </xdr:pic>
    <xdr:clientData/>
  </xdr:twoCellAnchor>
  <xdr:twoCellAnchor>
    <xdr:from>
      <xdr:col>12</xdr:col>
      <xdr:colOff>50800</xdr:colOff>
      <xdr:row>243</xdr:row>
      <xdr:rowOff>50800</xdr:rowOff>
    </xdr:from>
    <xdr:to>
      <xdr:col>12</xdr:col>
      <xdr:colOff>3074842</xdr:colOff>
      <xdr:row>243</xdr:row>
      <xdr:rowOff>1854200</xdr:rowOff>
    </xdr:to>
    <xdr:pic>
      <xdr:nvPicPr>
        <xdr:cNvPr id="39" name="DBE_Img_ExID_4044"/>
        <xdr:cNvPicPr>
          <a:picLocks noChangeAspect="1"/>
        </xdr:cNvPicPr>
      </xdr:nvPicPr>
      <xdr:blipFill>
        <a:blip xmlns:r="http://schemas.openxmlformats.org/officeDocument/2006/relationships" r:embed="rId153"/>
        <a:stretch>
          <a:fillRect/>
        </a:stretch>
      </xdr:blipFill>
      <xdr:spPr>
        <a:xfrm>
          <a:off x="19119850" y="455098150"/>
          <a:ext cx="3024042" cy="1803400"/>
        </a:xfrm>
        <a:prstGeom prst="rect">
          <a:avLst/>
        </a:prstGeom>
      </xdr:spPr>
    </xdr:pic>
    <xdr:clientData/>
  </xdr:twoCellAnchor>
  <xdr:twoCellAnchor>
    <xdr:from>
      <xdr:col>12</xdr:col>
      <xdr:colOff>50800</xdr:colOff>
      <xdr:row>222</xdr:row>
      <xdr:rowOff>50800</xdr:rowOff>
    </xdr:from>
    <xdr:to>
      <xdr:col>12</xdr:col>
      <xdr:colOff>3151383</xdr:colOff>
      <xdr:row>222</xdr:row>
      <xdr:rowOff>1854200</xdr:rowOff>
    </xdr:to>
    <xdr:pic>
      <xdr:nvPicPr>
        <xdr:cNvPr id="40" name="DBE_Img_ExID_4023"/>
        <xdr:cNvPicPr>
          <a:picLocks noChangeAspect="1"/>
        </xdr:cNvPicPr>
      </xdr:nvPicPr>
      <xdr:blipFill>
        <a:blip xmlns:r="http://schemas.openxmlformats.org/officeDocument/2006/relationships" r:embed="rId154"/>
        <a:stretch>
          <a:fillRect/>
        </a:stretch>
      </xdr:blipFill>
      <xdr:spPr>
        <a:xfrm>
          <a:off x="19119850" y="415093150"/>
          <a:ext cx="3100583" cy="1803400"/>
        </a:xfrm>
        <a:prstGeom prst="rect">
          <a:avLst/>
        </a:prstGeom>
      </xdr:spPr>
    </xdr:pic>
    <xdr:clientData/>
  </xdr:twoCellAnchor>
  <xdr:twoCellAnchor>
    <xdr:from>
      <xdr:col>12</xdr:col>
      <xdr:colOff>50800</xdr:colOff>
      <xdr:row>223</xdr:row>
      <xdr:rowOff>50800</xdr:rowOff>
    </xdr:from>
    <xdr:to>
      <xdr:col>12</xdr:col>
      <xdr:colOff>3145719</xdr:colOff>
      <xdr:row>223</xdr:row>
      <xdr:rowOff>1854200</xdr:rowOff>
    </xdr:to>
    <xdr:pic>
      <xdr:nvPicPr>
        <xdr:cNvPr id="41" name="DBE_Img_ExID_4024"/>
        <xdr:cNvPicPr>
          <a:picLocks noChangeAspect="1"/>
        </xdr:cNvPicPr>
      </xdr:nvPicPr>
      <xdr:blipFill>
        <a:blip xmlns:r="http://schemas.openxmlformats.org/officeDocument/2006/relationships" r:embed="rId155"/>
        <a:stretch>
          <a:fillRect/>
        </a:stretch>
      </xdr:blipFill>
      <xdr:spPr>
        <a:xfrm>
          <a:off x="19119850" y="416998150"/>
          <a:ext cx="3094919" cy="1803400"/>
        </a:xfrm>
        <a:prstGeom prst="rect">
          <a:avLst/>
        </a:prstGeom>
      </xdr:spPr>
    </xdr:pic>
    <xdr:clientData/>
  </xdr:twoCellAnchor>
  <xdr:twoCellAnchor>
    <xdr:from>
      <xdr:col>12</xdr:col>
      <xdr:colOff>50800</xdr:colOff>
      <xdr:row>224</xdr:row>
      <xdr:rowOff>50800</xdr:rowOff>
    </xdr:from>
    <xdr:to>
      <xdr:col>12</xdr:col>
      <xdr:colOff>3145718</xdr:colOff>
      <xdr:row>224</xdr:row>
      <xdr:rowOff>1854200</xdr:rowOff>
    </xdr:to>
    <xdr:pic>
      <xdr:nvPicPr>
        <xdr:cNvPr id="42" name="DBE_Img_ExID_4025"/>
        <xdr:cNvPicPr>
          <a:picLocks noChangeAspect="1"/>
        </xdr:cNvPicPr>
      </xdr:nvPicPr>
      <xdr:blipFill>
        <a:blip xmlns:r="http://schemas.openxmlformats.org/officeDocument/2006/relationships" r:embed="rId156"/>
        <a:stretch>
          <a:fillRect/>
        </a:stretch>
      </xdr:blipFill>
      <xdr:spPr>
        <a:xfrm>
          <a:off x="19119850" y="418903150"/>
          <a:ext cx="3094918" cy="1803400"/>
        </a:xfrm>
        <a:prstGeom prst="rect">
          <a:avLst/>
        </a:prstGeom>
      </xdr:spPr>
    </xdr:pic>
    <xdr:clientData/>
  </xdr:twoCellAnchor>
  <xdr:twoCellAnchor>
    <xdr:from>
      <xdr:col>12</xdr:col>
      <xdr:colOff>50800</xdr:colOff>
      <xdr:row>225</xdr:row>
      <xdr:rowOff>50800</xdr:rowOff>
    </xdr:from>
    <xdr:to>
      <xdr:col>12</xdr:col>
      <xdr:colOff>3151384</xdr:colOff>
      <xdr:row>225</xdr:row>
      <xdr:rowOff>1854200</xdr:rowOff>
    </xdr:to>
    <xdr:pic>
      <xdr:nvPicPr>
        <xdr:cNvPr id="44" name="DBE_Img_ExID_4026"/>
        <xdr:cNvPicPr>
          <a:picLocks noChangeAspect="1"/>
        </xdr:cNvPicPr>
      </xdr:nvPicPr>
      <xdr:blipFill>
        <a:blip xmlns:r="http://schemas.openxmlformats.org/officeDocument/2006/relationships" r:embed="rId157"/>
        <a:stretch>
          <a:fillRect/>
        </a:stretch>
      </xdr:blipFill>
      <xdr:spPr>
        <a:xfrm>
          <a:off x="19119850" y="420808150"/>
          <a:ext cx="3100584" cy="1803400"/>
        </a:xfrm>
        <a:prstGeom prst="rect">
          <a:avLst/>
        </a:prstGeom>
      </xdr:spPr>
    </xdr:pic>
    <xdr:clientData/>
  </xdr:twoCellAnchor>
  <xdr:twoCellAnchor>
    <xdr:from>
      <xdr:col>12</xdr:col>
      <xdr:colOff>50800</xdr:colOff>
      <xdr:row>229</xdr:row>
      <xdr:rowOff>50800</xdr:rowOff>
    </xdr:from>
    <xdr:to>
      <xdr:col>12</xdr:col>
      <xdr:colOff>3151381</xdr:colOff>
      <xdr:row>229</xdr:row>
      <xdr:rowOff>1854200</xdr:rowOff>
    </xdr:to>
    <xdr:pic>
      <xdr:nvPicPr>
        <xdr:cNvPr id="45" name="DBE_Img_ExID_4030"/>
        <xdr:cNvPicPr>
          <a:picLocks noChangeAspect="1"/>
        </xdr:cNvPicPr>
      </xdr:nvPicPr>
      <xdr:blipFill>
        <a:blip xmlns:r="http://schemas.openxmlformats.org/officeDocument/2006/relationships" r:embed="rId158"/>
        <a:stretch>
          <a:fillRect/>
        </a:stretch>
      </xdr:blipFill>
      <xdr:spPr>
        <a:xfrm>
          <a:off x="19119850" y="428428150"/>
          <a:ext cx="3100581" cy="1803400"/>
        </a:xfrm>
        <a:prstGeom prst="rect">
          <a:avLst/>
        </a:prstGeom>
      </xdr:spPr>
    </xdr:pic>
    <xdr:clientData/>
  </xdr:twoCellAnchor>
  <xdr:twoCellAnchor>
    <xdr:from>
      <xdr:col>12</xdr:col>
      <xdr:colOff>50800</xdr:colOff>
      <xdr:row>228</xdr:row>
      <xdr:rowOff>50800</xdr:rowOff>
    </xdr:from>
    <xdr:to>
      <xdr:col>12</xdr:col>
      <xdr:colOff>3145719</xdr:colOff>
      <xdr:row>228</xdr:row>
      <xdr:rowOff>1854200</xdr:rowOff>
    </xdr:to>
    <xdr:pic>
      <xdr:nvPicPr>
        <xdr:cNvPr id="46" name="DBE_Img_ExID_4029"/>
        <xdr:cNvPicPr>
          <a:picLocks noChangeAspect="1"/>
        </xdr:cNvPicPr>
      </xdr:nvPicPr>
      <xdr:blipFill>
        <a:blip xmlns:r="http://schemas.openxmlformats.org/officeDocument/2006/relationships" r:embed="rId159"/>
        <a:stretch>
          <a:fillRect/>
        </a:stretch>
      </xdr:blipFill>
      <xdr:spPr>
        <a:xfrm>
          <a:off x="19119850" y="426523150"/>
          <a:ext cx="3094919" cy="1803400"/>
        </a:xfrm>
        <a:prstGeom prst="rect">
          <a:avLst/>
        </a:prstGeom>
      </xdr:spPr>
    </xdr:pic>
    <xdr:clientData/>
  </xdr:twoCellAnchor>
  <xdr:twoCellAnchor>
    <xdr:from>
      <xdr:col>12</xdr:col>
      <xdr:colOff>50800</xdr:colOff>
      <xdr:row>227</xdr:row>
      <xdr:rowOff>50800</xdr:rowOff>
    </xdr:from>
    <xdr:to>
      <xdr:col>12</xdr:col>
      <xdr:colOff>3145717</xdr:colOff>
      <xdr:row>227</xdr:row>
      <xdr:rowOff>1854200</xdr:rowOff>
    </xdr:to>
    <xdr:pic>
      <xdr:nvPicPr>
        <xdr:cNvPr id="47" name="DBE_Img_ExID_4028"/>
        <xdr:cNvPicPr>
          <a:picLocks noChangeAspect="1"/>
        </xdr:cNvPicPr>
      </xdr:nvPicPr>
      <xdr:blipFill>
        <a:blip xmlns:r="http://schemas.openxmlformats.org/officeDocument/2006/relationships" r:embed="rId160"/>
        <a:stretch>
          <a:fillRect/>
        </a:stretch>
      </xdr:blipFill>
      <xdr:spPr>
        <a:xfrm>
          <a:off x="19119850" y="424618150"/>
          <a:ext cx="3094917" cy="1803400"/>
        </a:xfrm>
        <a:prstGeom prst="rect">
          <a:avLst/>
        </a:prstGeom>
      </xdr:spPr>
    </xdr:pic>
    <xdr:clientData/>
  </xdr:twoCellAnchor>
  <xdr:twoCellAnchor>
    <xdr:from>
      <xdr:col>12</xdr:col>
      <xdr:colOff>50800</xdr:colOff>
      <xdr:row>226</xdr:row>
      <xdr:rowOff>50800</xdr:rowOff>
    </xdr:from>
    <xdr:to>
      <xdr:col>12</xdr:col>
      <xdr:colOff>3151383</xdr:colOff>
      <xdr:row>226</xdr:row>
      <xdr:rowOff>1854200</xdr:rowOff>
    </xdr:to>
    <xdr:pic>
      <xdr:nvPicPr>
        <xdr:cNvPr id="48" name="DBE_Img_ExID_4027"/>
        <xdr:cNvPicPr>
          <a:picLocks noChangeAspect="1"/>
        </xdr:cNvPicPr>
      </xdr:nvPicPr>
      <xdr:blipFill>
        <a:blip xmlns:r="http://schemas.openxmlformats.org/officeDocument/2006/relationships" r:embed="rId161"/>
        <a:stretch>
          <a:fillRect/>
        </a:stretch>
      </xdr:blipFill>
      <xdr:spPr>
        <a:xfrm>
          <a:off x="19119850" y="422713150"/>
          <a:ext cx="3100583" cy="1803400"/>
        </a:xfrm>
        <a:prstGeom prst="rect">
          <a:avLst/>
        </a:prstGeom>
      </xdr:spPr>
    </xdr:pic>
    <xdr:clientData/>
  </xdr:twoCellAnchor>
  <xdr:twoCellAnchor>
    <xdr:from>
      <xdr:col>12</xdr:col>
      <xdr:colOff>50800</xdr:colOff>
      <xdr:row>244</xdr:row>
      <xdr:rowOff>50800</xdr:rowOff>
    </xdr:from>
    <xdr:to>
      <xdr:col>12</xdr:col>
      <xdr:colOff>3088106</xdr:colOff>
      <xdr:row>244</xdr:row>
      <xdr:rowOff>1854200</xdr:rowOff>
    </xdr:to>
    <xdr:pic>
      <xdr:nvPicPr>
        <xdr:cNvPr id="232" name="DBE_Img_ExID_4045"/>
        <xdr:cNvPicPr>
          <a:picLocks noChangeAspect="1"/>
        </xdr:cNvPicPr>
      </xdr:nvPicPr>
      <xdr:blipFill>
        <a:blip xmlns:r="http://schemas.openxmlformats.org/officeDocument/2006/relationships" r:embed="rId162"/>
        <a:stretch>
          <a:fillRect/>
        </a:stretch>
      </xdr:blipFill>
      <xdr:spPr>
        <a:xfrm>
          <a:off x="19119850" y="457003150"/>
          <a:ext cx="3037306" cy="1803400"/>
        </a:xfrm>
        <a:prstGeom prst="rect">
          <a:avLst/>
        </a:prstGeom>
      </xdr:spPr>
    </xdr:pic>
    <xdr:clientData/>
  </xdr:twoCellAnchor>
  <xdr:twoCellAnchor>
    <xdr:from>
      <xdr:col>12</xdr:col>
      <xdr:colOff>50800</xdr:colOff>
      <xdr:row>245</xdr:row>
      <xdr:rowOff>50800</xdr:rowOff>
    </xdr:from>
    <xdr:to>
      <xdr:col>12</xdr:col>
      <xdr:colOff>3061694</xdr:colOff>
      <xdr:row>245</xdr:row>
      <xdr:rowOff>1854200</xdr:rowOff>
    </xdr:to>
    <xdr:pic>
      <xdr:nvPicPr>
        <xdr:cNvPr id="37" name="DBE_Img_ExID_4046"/>
        <xdr:cNvPicPr>
          <a:picLocks noChangeAspect="1"/>
        </xdr:cNvPicPr>
      </xdr:nvPicPr>
      <xdr:blipFill>
        <a:blip xmlns:r="http://schemas.openxmlformats.org/officeDocument/2006/relationships" r:embed="rId163"/>
        <a:stretch>
          <a:fillRect/>
        </a:stretch>
      </xdr:blipFill>
      <xdr:spPr>
        <a:xfrm>
          <a:off x="19119850" y="458908150"/>
          <a:ext cx="3010894" cy="1803400"/>
        </a:xfrm>
        <a:prstGeom prst="rect">
          <a:avLst/>
        </a:prstGeom>
      </xdr:spPr>
    </xdr:pic>
    <xdr:clientData/>
  </xdr:twoCellAnchor>
  <xdr:twoCellAnchor>
    <xdr:from>
      <xdr:col>12</xdr:col>
      <xdr:colOff>50800</xdr:colOff>
      <xdr:row>246</xdr:row>
      <xdr:rowOff>50800</xdr:rowOff>
    </xdr:from>
    <xdr:to>
      <xdr:col>12</xdr:col>
      <xdr:colOff>3061693</xdr:colOff>
      <xdr:row>246</xdr:row>
      <xdr:rowOff>1854200</xdr:rowOff>
    </xdr:to>
    <xdr:pic>
      <xdr:nvPicPr>
        <xdr:cNvPr id="43" name="DBE_Img_ExID_4047"/>
        <xdr:cNvPicPr>
          <a:picLocks noChangeAspect="1"/>
        </xdr:cNvPicPr>
      </xdr:nvPicPr>
      <xdr:blipFill>
        <a:blip xmlns:r="http://schemas.openxmlformats.org/officeDocument/2006/relationships" r:embed="rId164"/>
        <a:stretch>
          <a:fillRect/>
        </a:stretch>
      </xdr:blipFill>
      <xdr:spPr>
        <a:xfrm>
          <a:off x="19119850" y="460813150"/>
          <a:ext cx="3010893" cy="1803400"/>
        </a:xfrm>
        <a:prstGeom prst="rect">
          <a:avLst/>
        </a:prstGeom>
      </xdr:spPr>
    </xdr:pic>
    <xdr:clientData/>
  </xdr:twoCellAnchor>
  <xdr:twoCellAnchor>
    <xdr:from>
      <xdr:col>12</xdr:col>
      <xdr:colOff>50800</xdr:colOff>
      <xdr:row>247</xdr:row>
      <xdr:rowOff>50800</xdr:rowOff>
    </xdr:from>
    <xdr:to>
      <xdr:col>12</xdr:col>
      <xdr:colOff>3101485</xdr:colOff>
      <xdr:row>247</xdr:row>
      <xdr:rowOff>1854200</xdr:rowOff>
    </xdr:to>
    <xdr:pic>
      <xdr:nvPicPr>
        <xdr:cNvPr id="49" name="DBE_Img_ExID_4048"/>
        <xdr:cNvPicPr>
          <a:picLocks noChangeAspect="1"/>
        </xdr:cNvPicPr>
      </xdr:nvPicPr>
      <xdr:blipFill>
        <a:blip xmlns:r="http://schemas.openxmlformats.org/officeDocument/2006/relationships" r:embed="rId165"/>
        <a:stretch>
          <a:fillRect/>
        </a:stretch>
      </xdr:blipFill>
      <xdr:spPr>
        <a:xfrm>
          <a:off x="19119850" y="462718150"/>
          <a:ext cx="3050685" cy="1803400"/>
        </a:xfrm>
        <a:prstGeom prst="rect">
          <a:avLst/>
        </a:prstGeom>
      </xdr:spPr>
    </xdr:pic>
    <xdr:clientData/>
  </xdr:twoCellAnchor>
  <xdr:twoCellAnchor>
    <xdr:from>
      <xdr:col>12</xdr:col>
      <xdr:colOff>50800</xdr:colOff>
      <xdr:row>248</xdr:row>
      <xdr:rowOff>50800</xdr:rowOff>
    </xdr:from>
    <xdr:to>
      <xdr:col>12</xdr:col>
      <xdr:colOff>3074842</xdr:colOff>
      <xdr:row>248</xdr:row>
      <xdr:rowOff>1854200</xdr:rowOff>
    </xdr:to>
    <xdr:pic>
      <xdr:nvPicPr>
        <xdr:cNvPr id="50" name="DBE_Img_ExID_4049"/>
        <xdr:cNvPicPr>
          <a:picLocks noChangeAspect="1"/>
        </xdr:cNvPicPr>
      </xdr:nvPicPr>
      <xdr:blipFill>
        <a:blip xmlns:r="http://schemas.openxmlformats.org/officeDocument/2006/relationships" r:embed="rId166"/>
        <a:stretch>
          <a:fillRect/>
        </a:stretch>
      </xdr:blipFill>
      <xdr:spPr>
        <a:xfrm>
          <a:off x="19119850" y="464623150"/>
          <a:ext cx="3024042" cy="1803400"/>
        </a:xfrm>
        <a:prstGeom prst="rect">
          <a:avLst/>
        </a:prstGeom>
      </xdr:spPr>
    </xdr:pic>
    <xdr:clientData/>
  </xdr:twoCellAnchor>
  <xdr:twoCellAnchor>
    <xdr:from>
      <xdr:col>12</xdr:col>
      <xdr:colOff>50800</xdr:colOff>
      <xdr:row>249</xdr:row>
      <xdr:rowOff>50800</xdr:rowOff>
    </xdr:from>
    <xdr:to>
      <xdr:col>12</xdr:col>
      <xdr:colOff>3074843</xdr:colOff>
      <xdr:row>249</xdr:row>
      <xdr:rowOff>1854200</xdr:rowOff>
    </xdr:to>
    <xdr:pic>
      <xdr:nvPicPr>
        <xdr:cNvPr id="51" name="DBE_Img_ExID_4050"/>
        <xdr:cNvPicPr>
          <a:picLocks noChangeAspect="1"/>
        </xdr:cNvPicPr>
      </xdr:nvPicPr>
      <xdr:blipFill>
        <a:blip xmlns:r="http://schemas.openxmlformats.org/officeDocument/2006/relationships" r:embed="rId167"/>
        <a:stretch>
          <a:fillRect/>
        </a:stretch>
      </xdr:blipFill>
      <xdr:spPr>
        <a:xfrm>
          <a:off x="19119850" y="466528150"/>
          <a:ext cx="3024043" cy="1803400"/>
        </a:xfrm>
        <a:prstGeom prst="rect">
          <a:avLst/>
        </a:prstGeom>
      </xdr:spPr>
    </xdr:pic>
    <xdr:clientData/>
  </xdr:twoCellAnchor>
  <xdr:twoCellAnchor>
    <xdr:from>
      <xdr:col>12</xdr:col>
      <xdr:colOff>50800</xdr:colOff>
      <xdr:row>250</xdr:row>
      <xdr:rowOff>50800</xdr:rowOff>
    </xdr:from>
    <xdr:to>
      <xdr:col>12</xdr:col>
      <xdr:colOff>3088106</xdr:colOff>
      <xdr:row>250</xdr:row>
      <xdr:rowOff>1854200</xdr:rowOff>
    </xdr:to>
    <xdr:pic>
      <xdr:nvPicPr>
        <xdr:cNvPr id="53" name="DBE_Img_ExID_4051"/>
        <xdr:cNvPicPr>
          <a:picLocks noChangeAspect="1"/>
        </xdr:cNvPicPr>
      </xdr:nvPicPr>
      <xdr:blipFill>
        <a:blip xmlns:r="http://schemas.openxmlformats.org/officeDocument/2006/relationships" r:embed="rId168"/>
        <a:stretch>
          <a:fillRect/>
        </a:stretch>
      </xdr:blipFill>
      <xdr:spPr>
        <a:xfrm>
          <a:off x="19119850" y="468433150"/>
          <a:ext cx="3037306" cy="1803400"/>
        </a:xfrm>
        <a:prstGeom prst="rect">
          <a:avLst/>
        </a:prstGeom>
      </xdr:spPr>
    </xdr:pic>
    <xdr:clientData/>
  </xdr:twoCellAnchor>
  <xdr:twoCellAnchor>
    <xdr:from>
      <xdr:col>12</xdr:col>
      <xdr:colOff>50800</xdr:colOff>
      <xdr:row>252</xdr:row>
      <xdr:rowOff>50800</xdr:rowOff>
    </xdr:from>
    <xdr:to>
      <xdr:col>12</xdr:col>
      <xdr:colOff>3061693</xdr:colOff>
      <xdr:row>252</xdr:row>
      <xdr:rowOff>1854200</xdr:rowOff>
    </xdr:to>
    <xdr:pic>
      <xdr:nvPicPr>
        <xdr:cNvPr id="54" name="DBE_Img_ExID_4053"/>
        <xdr:cNvPicPr>
          <a:picLocks noChangeAspect="1"/>
        </xdr:cNvPicPr>
      </xdr:nvPicPr>
      <xdr:blipFill>
        <a:blip xmlns:r="http://schemas.openxmlformats.org/officeDocument/2006/relationships" r:embed="rId169"/>
        <a:stretch>
          <a:fillRect/>
        </a:stretch>
      </xdr:blipFill>
      <xdr:spPr>
        <a:xfrm>
          <a:off x="19119850" y="472243150"/>
          <a:ext cx="3010893" cy="1803400"/>
        </a:xfrm>
        <a:prstGeom prst="rect">
          <a:avLst/>
        </a:prstGeom>
      </xdr:spPr>
    </xdr:pic>
    <xdr:clientData/>
  </xdr:twoCellAnchor>
  <xdr:twoCellAnchor>
    <xdr:from>
      <xdr:col>12</xdr:col>
      <xdr:colOff>50800</xdr:colOff>
      <xdr:row>253</xdr:row>
      <xdr:rowOff>50800</xdr:rowOff>
    </xdr:from>
    <xdr:to>
      <xdr:col>12</xdr:col>
      <xdr:colOff>3061694</xdr:colOff>
      <xdr:row>253</xdr:row>
      <xdr:rowOff>1854200</xdr:rowOff>
    </xdr:to>
    <xdr:pic>
      <xdr:nvPicPr>
        <xdr:cNvPr id="55" name="DBE_Img_ExID_4054"/>
        <xdr:cNvPicPr>
          <a:picLocks noChangeAspect="1"/>
        </xdr:cNvPicPr>
      </xdr:nvPicPr>
      <xdr:blipFill>
        <a:blip xmlns:r="http://schemas.openxmlformats.org/officeDocument/2006/relationships" r:embed="rId170"/>
        <a:stretch>
          <a:fillRect/>
        </a:stretch>
      </xdr:blipFill>
      <xdr:spPr>
        <a:xfrm>
          <a:off x="19119850" y="474148150"/>
          <a:ext cx="3010894" cy="1803400"/>
        </a:xfrm>
        <a:prstGeom prst="rect">
          <a:avLst/>
        </a:prstGeom>
      </xdr:spPr>
    </xdr:pic>
    <xdr:clientData/>
  </xdr:twoCellAnchor>
  <xdr:twoCellAnchor>
    <xdr:from>
      <xdr:col>12</xdr:col>
      <xdr:colOff>50800</xdr:colOff>
      <xdr:row>291</xdr:row>
      <xdr:rowOff>50800</xdr:rowOff>
    </xdr:from>
    <xdr:to>
      <xdr:col>12</xdr:col>
      <xdr:colOff>3074843</xdr:colOff>
      <xdr:row>291</xdr:row>
      <xdr:rowOff>1854200</xdr:rowOff>
    </xdr:to>
    <xdr:pic>
      <xdr:nvPicPr>
        <xdr:cNvPr id="56" name="DBE_Img_ExID_8014"/>
        <xdr:cNvPicPr>
          <a:picLocks noChangeAspect="1"/>
        </xdr:cNvPicPr>
      </xdr:nvPicPr>
      <xdr:blipFill>
        <a:blip xmlns:r="http://schemas.openxmlformats.org/officeDocument/2006/relationships" r:embed="rId171"/>
        <a:stretch>
          <a:fillRect/>
        </a:stretch>
      </xdr:blipFill>
      <xdr:spPr>
        <a:xfrm>
          <a:off x="19119850" y="546538150"/>
          <a:ext cx="3024043" cy="1803400"/>
        </a:xfrm>
        <a:prstGeom prst="rect">
          <a:avLst/>
        </a:prstGeom>
      </xdr:spPr>
    </xdr:pic>
    <xdr:clientData/>
  </xdr:twoCellAnchor>
  <xdr:twoCellAnchor>
    <xdr:from>
      <xdr:col>12</xdr:col>
      <xdr:colOff>50800</xdr:colOff>
      <xdr:row>178</xdr:row>
      <xdr:rowOff>50800</xdr:rowOff>
    </xdr:from>
    <xdr:to>
      <xdr:col>12</xdr:col>
      <xdr:colOff>3088107</xdr:colOff>
      <xdr:row>178</xdr:row>
      <xdr:rowOff>1854200</xdr:rowOff>
    </xdr:to>
    <xdr:pic>
      <xdr:nvPicPr>
        <xdr:cNvPr id="57" name="DBE_Img_ExID_3036"/>
        <xdr:cNvPicPr>
          <a:picLocks noChangeAspect="1"/>
        </xdr:cNvPicPr>
      </xdr:nvPicPr>
      <xdr:blipFill>
        <a:blip xmlns:r="http://schemas.openxmlformats.org/officeDocument/2006/relationships" r:embed="rId172"/>
        <a:stretch>
          <a:fillRect/>
        </a:stretch>
      </xdr:blipFill>
      <xdr:spPr>
        <a:xfrm>
          <a:off x="19119850" y="331273150"/>
          <a:ext cx="3037307" cy="1803400"/>
        </a:xfrm>
        <a:prstGeom prst="rect">
          <a:avLst/>
        </a:prstGeom>
      </xdr:spPr>
    </xdr:pic>
    <xdr:clientData/>
  </xdr:twoCellAnchor>
  <xdr:twoCellAnchor>
    <xdr:from>
      <xdr:col>12</xdr:col>
      <xdr:colOff>50800</xdr:colOff>
      <xdr:row>179</xdr:row>
      <xdr:rowOff>50800</xdr:rowOff>
    </xdr:from>
    <xdr:to>
      <xdr:col>12</xdr:col>
      <xdr:colOff>3088106</xdr:colOff>
      <xdr:row>179</xdr:row>
      <xdr:rowOff>1854200</xdr:rowOff>
    </xdr:to>
    <xdr:pic>
      <xdr:nvPicPr>
        <xdr:cNvPr id="74" name="DBE_Img_ExID_3037"/>
        <xdr:cNvPicPr>
          <a:picLocks noChangeAspect="1"/>
        </xdr:cNvPicPr>
      </xdr:nvPicPr>
      <xdr:blipFill>
        <a:blip xmlns:r="http://schemas.openxmlformats.org/officeDocument/2006/relationships" r:embed="rId173"/>
        <a:stretch>
          <a:fillRect/>
        </a:stretch>
      </xdr:blipFill>
      <xdr:spPr>
        <a:xfrm>
          <a:off x="19119850" y="333178150"/>
          <a:ext cx="3037306" cy="1803400"/>
        </a:xfrm>
        <a:prstGeom prst="rect">
          <a:avLst/>
        </a:prstGeom>
      </xdr:spPr>
    </xdr:pic>
    <xdr:clientData/>
  </xdr:twoCellAnchor>
  <xdr:twoCellAnchor>
    <xdr:from>
      <xdr:col>12</xdr:col>
      <xdr:colOff>50800</xdr:colOff>
      <xdr:row>180</xdr:row>
      <xdr:rowOff>50800</xdr:rowOff>
    </xdr:from>
    <xdr:to>
      <xdr:col>12</xdr:col>
      <xdr:colOff>3074842</xdr:colOff>
      <xdr:row>180</xdr:row>
      <xdr:rowOff>1854200</xdr:rowOff>
    </xdr:to>
    <xdr:pic>
      <xdr:nvPicPr>
        <xdr:cNvPr id="75" name="DBE_Img_ExID_3038"/>
        <xdr:cNvPicPr>
          <a:picLocks noChangeAspect="1"/>
        </xdr:cNvPicPr>
      </xdr:nvPicPr>
      <xdr:blipFill>
        <a:blip xmlns:r="http://schemas.openxmlformats.org/officeDocument/2006/relationships" r:embed="rId174"/>
        <a:stretch>
          <a:fillRect/>
        </a:stretch>
      </xdr:blipFill>
      <xdr:spPr>
        <a:xfrm>
          <a:off x="19119850" y="335083150"/>
          <a:ext cx="3024042" cy="1803400"/>
        </a:xfrm>
        <a:prstGeom prst="rect">
          <a:avLst/>
        </a:prstGeom>
      </xdr:spPr>
    </xdr:pic>
    <xdr:clientData/>
  </xdr:twoCellAnchor>
  <xdr:twoCellAnchor>
    <xdr:from>
      <xdr:col>12</xdr:col>
      <xdr:colOff>50800</xdr:colOff>
      <xdr:row>198</xdr:row>
      <xdr:rowOff>50800</xdr:rowOff>
    </xdr:from>
    <xdr:to>
      <xdr:col>12</xdr:col>
      <xdr:colOff>3077652</xdr:colOff>
      <xdr:row>198</xdr:row>
      <xdr:rowOff>1854200</xdr:rowOff>
    </xdr:to>
    <xdr:pic>
      <xdr:nvPicPr>
        <xdr:cNvPr id="76" name="DBE_Img_ExID_3056"/>
        <xdr:cNvPicPr>
          <a:picLocks noChangeAspect="1"/>
        </xdr:cNvPicPr>
      </xdr:nvPicPr>
      <xdr:blipFill>
        <a:blip xmlns:r="http://schemas.openxmlformats.org/officeDocument/2006/relationships" r:embed="rId175"/>
        <a:stretch>
          <a:fillRect/>
        </a:stretch>
      </xdr:blipFill>
      <xdr:spPr>
        <a:xfrm>
          <a:off x="19119850" y="369373150"/>
          <a:ext cx="3026852" cy="1803400"/>
        </a:xfrm>
        <a:prstGeom prst="rect">
          <a:avLst/>
        </a:prstGeom>
      </xdr:spPr>
    </xdr:pic>
    <xdr:clientData/>
  </xdr:twoCellAnchor>
  <xdr:twoCellAnchor>
    <xdr:from>
      <xdr:col>12</xdr:col>
      <xdr:colOff>50800</xdr:colOff>
      <xdr:row>254</xdr:row>
      <xdr:rowOff>50800</xdr:rowOff>
    </xdr:from>
    <xdr:to>
      <xdr:col>12</xdr:col>
      <xdr:colOff>3104557</xdr:colOff>
      <xdr:row>254</xdr:row>
      <xdr:rowOff>1854200</xdr:rowOff>
    </xdr:to>
    <xdr:pic>
      <xdr:nvPicPr>
        <xdr:cNvPr id="77" name="DBE_Img_ExID_4055"/>
        <xdr:cNvPicPr>
          <a:picLocks noChangeAspect="1"/>
        </xdr:cNvPicPr>
      </xdr:nvPicPr>
      <xdr:blipFill>
        <a:blip xmlns:r="http://schemas.openxmlformats.org/officeDocument/2006/relationships" r:embed="rId176"/>
        <a:stretch>
          <a:fillRect/>
        </a:stretch>
      </xdr:blipFill>
      <xdr:spPr>
        <a:xfrm>
          <a:off x="19119850" y="476053150"/>
          <a:ext cx="3053757" cy="1803400"/>
        </a:xfrm>
        <a:prstGeom prst="rect">
          <a:avLst/>
        </a:prstGeom>
      </xdr:spPr>
    </xdr:pic>
    <xdr:clientData/>
  </xdr:twoCellAnchor>
  <xdr:twoCellAnchor>
    <xdr:from>
      <xdr:col>12</xdr:col>
      <xdr:colOff>50800</xdr:colOff>
      <xdr:row>251</xdr:row>
      <xdr:rowOff>50800</xdr:rowOff>
    </xdr:from>
    <xdr:to>
      <xdr:col>12</xdr:col>
      <xdr:colOff>3088107</xdr:colOff>
      <xdr:row>251</xdr:row>
      <xdr:rowOff>1854200</xdr:rowOff>
    </xdr:to>
    <xdr:pic>
      <xdr:nvPicPr>
        <xdr:cNvPr id="228" name="DBE_Img_ExID_4052"/>
        <xdr:cNvPicPr>
          <a:picLocks noChangeAspect="1"/>
        </xdr:cNvPicPr>
      </xdr:nvPicPr>
      <xdr:blipFill>
        <a:blip xmlns:r="http://schemas.openxmlformats.org/officeDocument/2006/relationships" r:embed="rId177"/>
        <a:stretch>
          <a:fillRect/>
        </a:stretch>
      </xdr:blipFill>
      <xdr:spPr>
        <a:xfrm>
          <a:off x="19119850" y="470338150"/>
          <a:ext cx="3037307" cy="18034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108857</xdr:colOff>
      <xdr:row>38</xdr:row>
      <xdr:rowOff>217714</xdr:rowOff>
    </xdr:from>
    <xdr:to>
      <xdr:col>1</xdr:col>
      <xdr:colOff>1577616</xdr:colOff>
      <xdr:row>38</xdr:row>
      <xdr:rowOff>1306285</xdr:rowOff>
    </xdr:to>
    <xdr:pic>
      <xdr:nvPicPr>
        <xdr:cNvPr id="2" name="COPIED_$B$3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60714" y="5170714"/>
          <a:ext cx="1468759" cy="108857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50800</xdr:colOff>
      <xdr:row>0</xdr:row>
      <xdr:rowOff>50800</xdr:rowOff>
    </xdr:from>
    <xdr:to>
      <xdr:col>1</xdr:col>
      <xdr:colOff>930275</xdr:colOff>
      <xdr:row>0</xdr:row>
      <xdr:rowOff>330200</xdr:rowOff>
    </xdr:to>
    <xdr:pic>
      <xdr:nvPicPr>
        <xdr:cNvPr id="2" name="DBE_Img_ExID_-4"/>
        <xdr:cNvPicPr>
          <a:picLocks/>
        </xdr:cNvPicPr>
      </xdr:nvPicPr>
      <xdr:blipFill>
        <a:blip xmlns:r="http://schemas.openxmlformats.org/officeDocument/2006/relationships" r:embed="rId1" cstate="print"/>
        <a:stretch>
          <a:fillRect/>
        </a:stretch>
      </xdr:blipFill>
      <xdr:spPr>
        <a:xfrm>
          <a:off x="793750" y="50800"/>
          <a:ext cx="879475" cy="279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bodyPr/>
      <a:lstStyle/>
      <a:style>
        <a:lnRef idx="1">
          <a:schemeClr val="accent1"/>
        </a:lnRef>
        <a:fillRef idx="0">
          <a:schemeClr val="accent1"/>
        </a:fillRef>
        <a:effectRef idx="0">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www.tomtuckergolf.com/drillswish.html" TargetMode="Externa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enu"/>
  <dimension ref="A1:BD92"/>
  <sheetViews>
    <sheetView zoomScale="141" zoomScaleNormal="141" zoomScalePageLayoutView="75" workbookViewId="0"/>
  </sheetViews>
  <sheetFormatPr baseColWidth="10" defaultRowHeight="15" x14ac:dyDescent="0.25"/>
  <cols>
    <col min="1" max="22" width="11.42578125" style="113"/>
  </cols>
  <sheetData>
    <row r="1" spans="1:43" x14ac:dyDescent="0.25">
      <c r="A1"/>
    </row>
    <row r="4" spans="1:43" x14ac:dyDescent="0.25">
      <c r="AF4" s="200"/>
      <c r="AG4" s="200"/>
      <c r="AN4" s="118"/>
      <c r="AQ4" s="118"/>
    </row>
    <row r="5" spans="1:43" x14ac:dyDescent="0.25">
      <c r="AF5" s="327">
        <v>-9.3000000000000007</v>
      </c>
      <c r="AG5" s="327"/>
    </row>
    <row r="22" spans="29:55" x14ac:dyDescent="0.25">
      <c r="AC22" s="212"/>
      <c r="AD22" s="212"/>
      <c r="AE22" s="212"/>
      <c r="AF22" s="212"/>
      <c r="AG22" s="212"/>
      <c r="AH22" s="212"/>
      <c r="AI22" s="212"/>
      <c r="AJ22" s="212"/>
      <c r="AK22" s="212"/>
      <c r="AL22" s="212"/>
      <c r="AM22" s="212"/>
      <c r="AN22" s="212"/>
      <c r="AO22" s="212"/>
      <c r="AP22" s="212"/>
      <c r="AQ22" s="212"/>
      <c r="AR22" s="212"/>
      <c r="AS22" s="212"/>
      <c r="AT22" s="212"/>
      <c r="AU22" s="212"/>
      <c r="AV22" s="212"/>
      <c r="AW22" s="212"/>
      <c r="AX22" s="212"/>
      <c r="AY22" s="212"/>
      <c r="AZ22" s="212"/>
      <c r="BA22" s="212"/>
      <c r="BB22" s="212"/>
      <c r="BC22" s="212"/>
    </row>
    <row r="23" spans="29:55" x14ac:dyDescent="0.25">
      <c r="AC23" s="212"/>
      <c r="AD23" s="212"/>
      <c r="AE23" s="212"/>
      <c r="AF23" s="212"/>
      <c r="AG23" s="212"/>
      <c r="AH23" s="212"/>
      <c r="AI23" s="212"/>
      <c r="AJ23" s="212"/>
      <c r="AK23" s="212"/>
      <c r="AL23" s="212"/>
      <c r="AM23" s="212"/>
      <c r="AN23" s="212"/>
      <c r="AO23" s="212"/>
      <c r="AP23" s="212"/>
      <c r="AQ23" s="212"/>
      <c r="AR23" s="212"/>
      <c r="AS23" s="212"/>
      <c r="AT23" s="212"/>
      <c r="AU23" s="212"/>
      <c r="AV23" s="212"/>
      <c r="AW23" s="212"/>
      <c r="AX23" s="212"/>
      <c r="AY23" s="212"/>
      <c r="AZ23" s="212"/>
      <c r="BA23" s="212"/>
      <c r="BB23" s="212"/>
      <c r="BC23" s="212"/>
    </row>
    <row r="24" spans="29:55" x14ac:dyDescent="0.25">
      <c r="AC24" s="212"/>
      <c r="AD24" s="212"/>
      <c r="AE24" s="212"/>
      <c r="AF24" s="212"/>
      <c r="AG24" s="212"/>
      <c r="AH24" s="212"/>
      <c r="AI24" s="212"/>
      <c r="AJ24" s="212"/>
      <c r="AK24" s="212"/>
      <c r="AL24" s="212"/>
      <c r="AM24" s="212"/>
      <c r="AN24" s="212"/>
      <c r="AO24" s="212"/>
      <c r="AP24" s="212"/>
      <c r="AQ24" s="212"/>
      <c r="AR24" s="212"/>
      <c r="AS24" s="212"/>
      <c r="AT24" s="212"/>
      <c r="AU24" s="212"/>
      <c r="AV24" s="212"/>
      <c r="AW24" s="212"/>
      <c r="AX24" s="212"/>
      <c r="AY24" s="212"/>
      <c r="AZ24" s="212"/>
      <c r="BA24" s="212"/>
      <c r="BB24" s="212"/>
      <c r="BC24" s="212"/>
    </row>
    <row r="25" spans="29:55" x14ac:dyDescent="0.25">
      <c r="AC25" s="212"/>
      <c r="AD25" s="212"/>
      <c r="AE25" s="212"/>
      <c r="AF25" s="212"/>
      <c r="AG25" s="212"/>
      <c r="AH25" s="212"/>
      <c r="AI25" s="212"/>
      <c r="AJ25" s="212"/>
      <c r="AK25" s="212"/>
      <c r="AL25" s="212"/>
      <c r="AM25" s="212"/>
      <c r="AN25" s="212"/>
      <c r="AO25" s="212"/>
      <c r="AP25" s="212"/>
      <c r="AQ25" s="212"/>
      <c r="AR25" s="212"/>
      <c r="AS25" s="212"/>
      <c r="AT25" s="212"/>
      <c r="AU25" s="212"/>
      <c r="AV25" s="212"/>
      <c r="AW25" s="212"/>
      <c r="AX25" s="212"/>
      <c r="AY25" s="212"/>
      <c r="AZ25" s="212"/>
      <c r="BA25" s="212"/>
      <c r="BB25" s="212"/>
      <c r="BC25" s="212"/>
    </row>
    <row r="26" spans="29:55" x14ac:dyDescent="0.25">
      <c r="AC26" s="212"/>
      <c r="AD26" s="212"/>
      <c r="AE26" s="212"/>
      <c r="AF26" s="212"/>
      <c r="AG26" s="212"/>
      <c r="AH26" s="212"/>
      <c r="AI26" s="212"/>
      <c r="AJ26" s="212"/>
      <c r="AK26" s="212"/>
      <c r="AL26" s="212"/>
      <c r="AM26" s="212"/>
      <c r="AN26" s="212"/>
      <c r="AO26" s="212"/>
      <c r="AP26" s="212"/>
      <c r="AQ26" s="212"/>
      <c r="AR26" s="212"/>
      <c r="AS26" s="212"/>
      <c r="AT26" s="212"/>
      <c r="AU26" s="212"/>
      <c r="AV26" s="212"/>
      <c r="AW26" s="212"/>
      <c r="AX26" s="212"/>
      <c r="AY26" s="212"/>
      <c r="AZ26" s="212"/>
      <c r="BA26" s="212"/>
      <c r="BB26" s="212"/>
      <c r="BC26" s="212"/>
    </row>
    <row r="27" spans="29:55" x14ac:dyDescent="0.25">
      <c r="AC27" s="212"/>
      <c r="AD27" s="212"/>
      <c r="AE27" s="212"/>
      <c r="AF27" s="212"/>
      <c r="AG27" s="212"/>
      <c r="AH27" s="212"/>
      <c r="AI27" s="212"/>
      <c r="AJ27" s="212"/>
      <c r="AK27" s="212"/>
      <c r="AL27" s="212"/>
      <c r="AM27" s="212"/>
      <c r="AN27" s="212"/>
      <c r="AO27" s="212"/>
      <c r="AP27" s="212"/>
      <c r="AQ27" s="212"/>
      <c r="AR27" s="212"/>
      <c r="AS27" s="212"/>
      <c r="AT27" s="212"/>
      <c r="AU27" s="212"/>
      <c r="AV27" s="212"/>
      <c r="AW27" s="212"/>
      <c r="AX27" s="212"/>
      <c r="AY27" s="212"/>
      <c r="AZ27" s="212"/>
      <c r="BA27" s="212"/>
      <c r="BB27" s="212"/>
      <c r="BC27" s="212"/>
    </row>
    <row r="28" spans="29:55" x14ac:dyDescent="0.25">
      <c r="AC28" s="212"/>
      <c r="AD28" s="212"/>
      <c r="AE28" s="212"/>
      <c r="AF28" s="212"/>
      <c r="AG28" s="212"/>
      <c r="AH28" s="212"/>
      <c r="AI28" s="212"/>
      <c r="AJ28" s="212"/>
      <c r="AK28" s="212"/>
      <c r="AL28" s="212"/>
      <c r="AM28" s="212"/>
      <c r="AN28" s="212"/>
      <c r="AO28" s="212"/>
      <c r="AP28" s="212"/>
      <c r="AQ28" s="212"/>
      <c r="AR28" s="212"/>
      <c r="AS28" s="212"/>
      <c r="AT28" s="212"/>
      <c r="AU28" s="212"/>
      <c r="AV28" s="212"/>
      <c r="AW28" s="212"/>
      <c r="AX28" s="212"/>
      <c r="AY28" s="212"/>
      <c r="AZ28" s="212"/>
      <c r="BA28" s="212"/>
      <c r="BB28" s="212"/>
      <c r="BC28" s="212"/>
    </row>
    <row r="29" spans="29:55" x14ac:dyDescent="0.25">
      <c r="AC29" s="212"/>
      <c r="AD29" s="212"/>
      <c r="AE29" s="212"/>
      <c r="AF29" s="212"/>
      <c r="AG29" s="212"/>
      <c r="AH29" s="212"/>
      <c r="AI29" s="212"/>
      <c r="AJ29" s="212"/>
      <c r="AK29" s="212"/>
      <c r="AL29" s="212"/>
      <c r="AM29" s="212"/>
      <c r="AN29" s="212"/>
      <c r="AO29" s="212"/>
      <c r="AP29" s="212"/>
      <c r="AQ29" s="212"/>
      <c r="AR29" s="212"/>
      <c r="AS29" s="212"/>
      <c r="AT29" s="212"/>
      <c r="AU29" s="212"/>
      <c r="AV29" s="212"/>
      <c r="AW29" s="212"/>
      <c r="AX29" s="212"/>
      <c r="AY29" s="212"/>
      <c r="AZ29" s="212"/>
      <c r="BA29" s="212"/>
      <c r="BB29" s="212"/>
      <c r="BC29" s="212"/>
    </row>
    <row r="30" spans="29:55" x14ac:dyDescent="0.25">
      <c r="AC30" s="212"/>
      <c r="AD30" s="212"/>
      <c r="AE30" s="212"/>
      <c r="AF30" s="212"/>
      <c r="AG30" s="212"/>
      <c r="AH30" s="212"/>
      <c r="AI30" s="212"/>
      <c r="AJ30" s="212"/>
      <c r="AK30" s="212"/>
      <c r="AL30" s="212"/>
      <c r="AM30" s="212"/>
      <c r="AN30" s="212"/>
      <c r="AO30" s="212"/>
      <c r="AP30" s="212"/>
      <c r="AQ30" s="212"/>
      <c r="AR30" s="212"/>
      <c r="AS30" s="212"/>
      <c r="AT30" s="212"/>
      <c r="AU30" s="212"/>
      <c r="AV30" s="212"/>
      <c r="AW30" s="212"/>
      <c r="AX30" s="212"/>
      <c r="AY30" s="212"/>
      <c r="AZ30" s="212"/>
      <c r="BA30" s="212"/>
      <c r="BB30" s="212"/>
      <c r="BC30" s="212"/>
    </row>
    <row r="31" spans="29:55" x14ac:dyDescent="0.25">
      <c r="AC31" s="212"/>
      <c r="AD31" s="212"/>
      <c r="AE31" s="212"/>
      <c r="AF31" s="212"/>
      <c r="AG31" s="212"/>
      <c r="AH31" s="212"/>
      <c r="AI31" s="212"/>
      <c r="AJ31" s="212"/>
      <c r="AK31" s="212"/>
      <c r="AL31" s="212"/>
      <c r="AM31" s="212"/>
      <c r="AN31" s="212"/>
      <c r="AO31" s="212"/>
      <c r="AP31" s="212"/>
      <c r="AQ31" s="212"/>
      <c r="AR31" s="212"/>
      <c r="AS31" s="212"/>
      <c r="AT31" s="212"/>
      <c r="AU31" s="212"/>
      <c r="AV31" s="212"/>
      <c r="AW31" s="212"/>
      <c r="AX31" s="212"/>
      <c r="AY31" s="212"/>
      <c r="AZ31" s="212"/>
      <c r="BA31" s="212"/>
      <c r="BB31" s="212"/>
      <c r="BC31" s="212"/>
    </row>
    <row r="32" spans="29:55" x14ac:dyDescent="0.25">
      <c r="AC32" s="212"/>
      <c r="AD32" s="212"/>
      <c r="AE32" s="212"/>
      <c r="AF32" s="212"/>
      <c r="AG32" s="212"/>
      <c r="AH32" s="212"/>
      <c r="AI32" s="212"/>
      <c r="AJ32" s="212"/>
      <c r="AK32" s="212"/>
      <c r="AL32" s="212"/>
      <c r="AM32" s="212"/>
      <c r="AN32" s="212"/>
      <c r="AO32" s="212"/>
      <c r="AP32" s="212"/>
      <c r="AQ32" s="212"/>
      <c r="AR32" s="212"/>
      <c r="AS32" s="212"/>
      <c r="AT32" s="212"/>
      <c r="AU32" s="212"/>
      <c r="AV32" s="212"/>
      <c r="AW32" s="212"/>
      <c r="AX32" s="212"/>
      <c r="AY32" s="212"/>
      <c r="AZ32" s="212"/>
      <c r="BA32" s="212"/>
      <c r="BB32" s="212"/>
      <c r="BC32" s="212"/>
    </row>
    <row r="33" spans="29:55" x14ac:dyDescent="0.25">
      <c r="AC33" s="212"/>
      <c r="AD33" s="212"/>
      <c r="AE33" s="212"/>
      <c r="AF33" s="212"/>
      <c r="AG33" s="212"/>
      <c r="AH33" s="212"/>
      <c r="AI33" s="212"/>
      <c r="AJ33" s="212"/>
      <c r="AK33" s="212"/>
      <c r="AL33" s="212"/>
      <c r="AM33" s="212"/>
      <c r="AN33" s="212"/>
      <c r="AO33" s="212"/>
      <c r="AP33" s="212"/>
      <c r="AQ33" s="212"/>
      <c r="AR33" s="212"/>
      <c r="AS33" s="212"/>
      <c r="AT33" s="212"/>
      <c r="AU33" s="212"/>
      <c r="AV33" s="212"/>
      <c r="AW33" s="212"/>
      <c r="AX33" s="212"/>
      <c r="AY33" s="212"/>
      <c r="AZ33" s="212"/>
      <c r="BA33" s="212"/>
      <c r="BB33" s="212"/>
      <c r="BC33" s="212"/>
    </row>
    <row r="34" spans="29:55" x14ac:dyDescent="0.25">
      <c r="AC34" s="212"/>
      <c r="AD34" s="212"/>
      <c r="AE34" s="212"/>
      <c r="AF34" s="212"/>
      <c r="AG34" s="212"/>
      <c r="AH34" s="212"/>
      <c r="AI34" s="212"/>
      <c r="AJ34" s="212"/>
      <c r="AK34" s="212"/>
      <c r="AL34" s="212"/>
      <c r="AM34" s="212"/>
      <c r="AN34" s="212"/>
      <c r="AO34" s="212"/>
      <c r="AP34" s="212"/>
      <c r="AQ34" s="212"/>
      <c r="AR34" s="212"/>
      <c r="AS34" s="212"/>
      <c r="AT34" s="212"/>
      <c r="AU34" s="212"/>
      <c r="AV34" s="212"/>
      <c r="AW34" s="212"/>
      <c r="AX34" s="212"/>
      <c r="AY34" s="212"/>
      <c r="AZ34" s="212"/>
      <c r="BA34" s="212"/>
      <c r="BB34" s="212"/>
      <c r="BC34" s="212"/>
    </row>
    <row r="35" spans="29:55" x14ac:dyDescent="0.25">
      <c r="AC35" s="212"/>
      <c r="AD35" s="212"/>
      <c r="AE35" s="212"/>
      <c r="AF35" s="212"/>
      <c r="AG35" s="212"/>
      <c r="AH35" s="212"/>
      <c r="AI35" s="212"/>
      <c r="AJ35" s="212"/>
      <c r="AK35" s="212"/>
      <c r="AL35" s="212"/>
      <c r="AM35" s="212"/>
      <c r="AN35" s="212"/>
      <c r="AO35" s="212"/>
      <c r="AP35" s="212"/>
      <c r="AQ35" s="212"/>
      <c r="AR35" s="212"/>
      <c r="AS35" s="212"/>
      <c r="AT35" s="212"/>
      <c r="AU35" s="212"/>
      <c r="AV35" s="212"/>
      <c r="AW35" s="212"/>
      <c r="AX35" s="212"/>
      <c r="AY35" s="212"/>
      <c r="AZ35" s="212"/>
      <c r="BA35" s="212"/>
      <c r="BB35" s="212"/>
      <c r="BC35" s="212"/>
    </row>
    <row r="36" spans="29:55" x14ac:dyDescent="0.25">
      <c r="AC36" s="212"/>
      <c r="AD36" s="212"/>
      <c r="AE36" s="212"/>
      <c r="AF36" s="212"/>
      <c r="AG36" s="212"/>
      <c r="AH36" s="212"/>
      <c r="AI36" s="212"/>
      <c r="AJ36" s="212"/>
      <c r="AK36" s="212"/>
      <c r="AL36" s="212"/>
      <c r="AM36" s="212"/>
      <c r="AN36" s="212"/>
      <c r="AO36" s="212"/>
      <c r="AP36" s="212"/>
      <c r="AQ36" s="212"/>
      <c r="AR36" s="212"/>
      <c r="AS36" s="212"/>
      <c r="AT36" s="212"/>
      <c r="AU36" s="212"/>
      <c r="AV36" s="212"/>
      <c r="AW36" s="212"/>
      <c r="AX36" s="212"/>
      <c r="AY36" s="212"/>
      <c r="AZ36" s="212"/>
      <c r="BA36" s="212"/>
      <c r="BB36" s="212"/>
      <c r="BC36" s="212"/>
    </row>
    <row r="37" spans="29:55" x14ac:dyDescent="0.25">
      <c r="AC37" s="212"/>
      <c r="AD37" s="212"/>
      <c r="AE37" s="212"/>
      <c r="AF37" s="212"/>
      <c r="AG37" s="212"/>
      <c r="AH37" s="212"/>
      <c r="AI37" s="212"/>
      <c r="AJ37" s="212"/>
      <c r="AK37" s="212"/>
      <c r="AL37" s="212"/>
      <c r="AM37" s="212"/>
      <c r="AN37" s="212"/>
      <c r="AO37" s="212"/>
      <c r="AP37" s="212"/>
      <c r="AQ37" s="212"/>
      <c r="AR37" s="212"/>
      <c r="AS37" s="212"/>
      <c r="AT37" s="212"/>
      <c r="AU37" s="212"/>
      <c r="AV37" s="212"/>
      <c r="AW37" s="212"/>
      <c r="AX37" s="212"/>
      <c r="AY37" s="212"/>
      <c r="AZ37" s="212"/>
      <c r="BA37" s="212"/>
      <c r="BB37" s="212"/>
      <c r="BC37" s="212"/>
    </row>
    <row r="92" spans="56:56" x14ac:dyDescent="0.25">
      <c r="BD92">
        <v>9</v>
      </c>
    </row>
  </sheetData>
  <sheetProtection selectLockedCells="1" selectUnlockedCells="1"/>
  <pageMargins left="0.23622047244094491" right="0.23622047244094491" top="0.39370078740157483" bottom="0.39370078740157483" header="0" footer="0.3937007874015748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6"/>
  <dimension ref="A1:CL199"/>
  <sheetViews>
    <sheetView showRuler="0" view="pageBreakPreview" zoomScale="70" zoomScaleNormal="50" zoomScaleSheetLayoutView="70" zoomScalePageLayoutView="20" workbookViewId="0">
      <pane ySplit="6" topLeftCell="A13" activePane="bottomLeft" state="frozen"/>
      <selection pane="bottomLeft" activeCell="AC23" sqref="AC23:BC38"/>
    </sheetView>
  </sheetViews>
  <sheetFormatPr baseColWidth="10" defaultRowHeight="15" x14ac:dyDescent="0.25"/>
  <cols>
    <col min="1" max="1" width="1" customWidth="1"/>
    <col min="2" max="4" width="5.42578125" customWidth="1"/>
    <col min="5" max="10" width="3.7109375" customWidth="1"/>
    <col min="11" max="26" width="6" customWidth="1"/>
    <col min="27" max="27" width="5.5703125" customWidth="1"/>
    <col min="28" max="31" width="6" customWidth="1"/>
    <col min="32" max="33" width="7.42578125" customWidth="1"/>
    <col min="34" max="53" width="6" customWidth="1"/>
    <col min="54" max="54" width="5.5703125" customWidth="1"/>
    <col min="55" max="55" width="3.7109375" customWidth="1"/>
    <col min="56" max="61" width="4.28515625" customWidth="1"/>
    <col min="62" max="62" width="0.42578125" customWidth="1"/>
    <col min="63" max="63" width="0.42578125" style="145" customWidth="1"/>
  </cols>
  <sheetData>
    <row r="1" spans="1:90" s="110" customFormat="1" ht="75" customHeight="1" x14ac:dyDescent="0.7">
      <c r="A1" s="220" t="str">
        <f>MUI_Title</f>
        <v>Golf Workplan Manager</v>
      </c>
      <c r="B1" s="109"/>
      <c r="C1" s="109"/>
      <c r="D1" s="109"/>
      <c r="E1" s="109"/>
      <c r="F1" s="109"/>
      <c r="G1" s="109"/>
      <c r="H1" s="109"/>
      <c r="I1" s="109"/>
      <c r="J1" s="109"/>
      <c r="K1" s="109"/>
      <c r="L1" s="109"/>
      <c r="M1" s="109"/>
      <c r="N1" s="109"/>
      <c r="O1" s="109"/>
      <c r="P1" s="109"/>
      <c r="Q1" s="109"/>
      <c r="R1" s="109"/>
      <c r="S1" s="109"/>
      <c r="T1" s="109"/>
      <c r="U1" s="109"/>
      <c r="V1" s="109"/>
      <c r="W1" s="109"/>
      <c r="X1" s="109"/>
      <c r="Y1" s="334"/>
      <c r="Z1" s="334"/>
      <c r="AA1" s="334"/>
      <c r="AB1" s="334"/>
      <c r="AC1" s="334"/>
      <c r="AD1" s="334"/>
      <c r="AE1" s="334"/>
      <c r="AF1" s="334"/>
      <c r="AG1" s="334"/>
      <c r="AH1" s="334"/>
      <c r="AI1" s="334"/>
      <c r="AJ1" s="334"/>
      <c r="AK1" s="334"/>
      <c r="AL1" s="334"/>
      <c r="AM1" s="334"/>
      <c r="AN1" s="334"/>
      <c r="AO1" s="334"/>
      <c r="AP1" s="334"/>
      <c r="AQ1" s="109"/>
      <c r="AR1" s="109"/>
      <c r="AS1" s="109"/>
      <c r="AT1" s="109"/>
      <c r="AU1" s="109"/>
      <c r="AV1" s="109"/>
      <c r="AW1" s="109"/>
      <c r="AX1" s="109"/>
      <c r="AY1" s="109"/>
      <c r="AZ1" s="109"/>
      <c r="BA1" s="109"/>
      <c r="BB1" s="109"/>
      <c r="BC1" s="109"/>
      <c r="BD1" s="109"/>
      <c r="BE1" s="333"/>
      <c r="BF1" s="333"/>
      <c r="BG1" s="333"/>
      <c r="BH1" s="333"/>
      <c r="BI1" s="333"/>
      <c r="BJ1" s="333"/>
      <c r="BK1" s="333"/>
    </row>
    <row r="2" spans="1:90" ht="24.95" customHeight="1" x14ac:dyDescent="0.4">
      <c r="A2" s="117"/>
      <c r="B2" s="380" t="str">
        <f>MUI_Title_Viewer</f>
        <v>Workplan Viewer</v>
      </c>
      <c r="C2" s="380"/>
      <c r="D2" s="380"/>
      <c r="E2" s="380"/>
      <c r="F2" s="380"/>
      <c r="G2" s="380"/>
      <c r="H2" s="380"/>
      <c r="I2" s="380"/>
      <c r="J2" s="380"/>
      <c r="K2" s="380"/>
      <c r="L2" s="380"/>
      <c r="M2" s="380"/>
      <c r="N2" s="380"/>
      <c r="O2" s="380"/>
      <c r="P2" s="380"/>
      <c r="Q2" s="117"/>
      <c r="R2" s="117"/>
      <c r="S2" s="117"/>
      <c r="T2" s="117"/>
      <c r="U2" s="117"/>
      <c r="V2" s="117"/>
      <c r="W2" s="117"/>
      <c r="X2" s="117"/>
      <c r="Y2" s="117"/>
      <c r="Z2" s="117"/>
      <c r="AA2" s="117"/>
      <c r="AB2" s="117"/>
      <c r="AC2" s="117"/>
      <c r="AD2" s="117"/>
      <c r="AE2" s="117"/>
      <c r="AF2" s="117"/>
      <c r="AG2" s="117"/>
      <c r="AH2" s="117"/>
      <c r="AI2" s="117"/>
      <c r="AJ2" s="117"/>
      <c r="AK2" s="117"/>
      <c r="AL2" s="117"/>
      <c r="AM2" s="117"/>
      <c r="AN2" s="117"/>
      <c r="AO2" s="117"/>
      <c r="AP2" s="117"/>
      <c r="AQ2" s="117"/>
      <c r="AR2" s="117"/>
      <c r="AS2" s="117"/>
      <c r="AT2" s="117"/>
      <c r="AU2" s="117"/>
      <c r="AV2" s="117"/>
      <c r="AW2" s="117"/>
      <c r="AX2" s="117"/>
      <c r="AY2" s="117"/>
      <c r="AZ2" s="117"/>
      <c r="BA2" s="117"/>
      <c r="BB2" s="117"/>
      <c r="BC2" s="117"/>
      <c r="BD2" s="117"/>
      <c r="BE2" s="333"/>
      <c r="BF2" s="333"/>
      <c r="BG2" s="333"/>
      <c r="BH2" s="333"/>
      <c r="BI2" s="333"/>
      <c r="BJ2" s="333"/>
      <c r="BK2" s="333"/>
    </row>
    <row r="3" spans="1:90" ht="2.25" customHeight="1" x14ac:dyDescent="0.25">
      <c r="A3" s="203"/>
      <c r="B3" s="203"/>
      <c r="C3" s="203"/>
      <c r="D3" s="203"/>
      <c r="E3" s="203"/>
      <c r="F3" s="203"/>
      <c r="G3" s="203"/>
      <c r="H3" s="203"/>
      <c r="I3" s="203"/>
      <c r="J3" s="203"/>
      <c r="K3" s="203"/>
      <c r="L3" s="203"/>
      <c r="M3" s="203"/>
      <c r="N3" s="203"/>
      <c r="O3" s="203"/>
      <c r="P3" s="203"/>
      <c r="Q3" s="203"/>
      <c r="R3" s="203"/>
      <c r="S3" s="203"/>
      <c r="T3" s="203"/>
      <c r="U3" s="203"/>
      <c r="V3" s="203"/>
      <c r="W3" s="203"/>
      <c r="X3" s="203"/>
      <c r="Y3" s="203"/>
      <c r="Z3" s="203"/>
      <c r="AA3" s="203"/>
      <c r="AB3" s="203"/>
      <c r="AC3" s="203"/>
      <c r="AD3" s="203"/>
      <c r="AE3" s="203"/>
      <c r="AF3" s="203"/>
      <c r="AG3" s="203"/>
      <c r="AH3" s="203"/>
      <c r="AI3" s="203"/>
      <c r="AJ3" s="203"/>
      <c r="AK3" s="203"/>
      <c r="AL3" s="203"/>
      <c r="AM3" s="203"/>
      <c r="AN3" s="203"/>
      <c r="AO3" s="203"/>
      <c r="AP3" s="203"/>
      <c r="AQ3" s="203"/>
      <c r="AR3" s="203"/>
      <c r="AS3" s="203"/>
      <c r="AT3" s="203"/>
      <c r="AU3" s="203"/>
      <c r="AV3" s="203"/>
      <c r="AW3" s="203"/>
      <c r="AX3" s="203"/>
      <c r="AY3" s="203"/>
      <c r="AZ3" s="203"/>
      <c r="BA3" s="203"/>
      <c r="BB3" s="203"/>
      <c r="BC3" s="203"/>
      <c r="BD3" s="203"/>
      <c r="BE3" s="203"/>
      <c r="BF3" s="203"/>
      <c r="BG3" s="203"/>
      <c r="BH3" s="203"/>
      <c r="BI3" s="203"/>
      <c r="BJ3" s="202"/>
      <c r="BK3" s="203"/>
    </row>
    <row r="4" spans="1:90" s="206" customFormat="1" ht="23.25" customHeight="1" x14ac:dyDescent="0.4">
      <c r="A4" s="117"/>
      <c r="B4" s="378" t="str">
        <f>MUI_DBR_T_PlayerTeam</f>
        <v>PlayerTeam</v>
      </c>
      <c r="C4" s="378"/>
      <c r="D4" s="378"/>
      <c r="E4" s="378"/>
      <c r="F4" s="378"/>
      <c r="G4" s="378"/>
      <c r="H4" s="378"/>
      <c r="I4" s="378"/>
      <c r="J4" s="378"/>
      <c r="K4" s="378"/>
      <c r="L4" s="117"/>
      <c r="M4" s="384" t="str">
        <f>MUI_DBR_T_PlayerName</f>
        <v>PlayerName</v>
      </c>
      <c r="N4" s="384"/>
      <c r="O4" s="384"/>
      <c r="P4" s="384"/>
      <c r="Q4" s="384"/>
      <c r="R4" s="384"/>
      <c r="S4" s="384"/>
      <c r="T4" s="384"/>
      <c r="U4" s="384"/>
      <c r="V4" s="384"/>
      <c r="W4" s="115"/>
      <c r="X4" s="115"/>
      <c r="Y4" s="378" t="str">
        <f>MUI_DBR_T_PlayerID</f>
        <v>PlayerID</v>
      </c>
      <c r="Z4" s="378"/>
      <c r="AA4" s="378"/>
      <c r="AB4" s="378"/>
      <c r="AC4" s="378"/>
      <c r="AD4" s="378"/>
      <c r="AE4" s="117"/>
      <c r="AF4" s="378" t="str">
        <f>MUI_DBR_T_PlayerHCP</f>
        <v>HCP</v>
      </c>
      <c r="AG4" s="378"/>
      <c r="AH4" s="117"/>
      <c r="AI4" s="378" t="s">
        <v>259</v>
      </c>
      <c r="AJ4" s="378"/>
      <c r="AK4" s="378"/>
      <c r="AL4" s="378"/>
      <c r="AM4" s="117"/>
      <c r="AN4" s="378" t="str">
        <f>MUI_DBR_T_WorkplanDate</f>
        <v>WorkplanDate</v>
      </c>
      <c r="AO4" s="378"/>
      <c r="AP4" s="378"/>
      <c r="AQ4" s="378"/>
      <c r="AR4" s="378"/>
      <c r="AS4" s="117"/>
      <c r="AT4" s="201"/>
      <c r="AU4" s="378" t="str">
        <f>MUI_DBR_T_WorkplanID</f>
        <v>WPID</v>
      </c>
      <c r="AV4" s="378"/>
      <c r="AW4" s="378"/>
      <c r="AX4" s="117"/>
      <c r="AY4" s="378" t="str">
        <f>MUI_DBR_T_TotalPlannedDuration</f>
        <v>Planned Duration</v>
      </c>
      <c r="AZ4" s="378"/>
      <c r="BA4" s="378"/>
      <c r="BB4" s="378"/>
      <c r="BC4" s="378"/>
      <c r="BD4" s="201"/>
      <c r="BE4" s="378" t="str">
        <f>MUI_DBR_T_TotalRealDuration</f>
        <v>TotalReal Duration</v>
      </c>
      <c r="BF4" s="378"/>
      <c r="BG4" s="378"/>
      <c r="BH4" s="378"/>
      <c r="BI4" s="378"/>
      <c r="BJ4" s="204"/>
      <c r="BK4" s="205"/>
    </row>
    <row r="5" spans="1:90" ht="36.75" customHeight="1" x14ac:dyDescent="0.4">
      <c r="A5" s="114"/>
      <c r="B5" s="382"/>
      <c r="C5" s="382"/>
      <c r="D5" s="382"/>
      <c r="E5" s="382"/>
      <c r="F5" s="382"/>
      <c r="G5" s="382"/>
      <c r="H5" s="382"/>
      <c r="I5" s="382"/>
      <c r="J5" s="382"/>
      <c r="K5" s="382"/>
      <c r="L5" s="114"/>
      <c r="M5" s="382" t="s">
        <v>1232</v>
      </c>
      <c r="N5" s="382"/>
      <c r="O5" s="382"/>
      <c r="P5" s="382"/>
      <c r="Q5" s="382"/>
      <c r="R5" s="382"/>
      <c r="S5" s="382"/>
      <c r="T5" s="382"/>
      <c r="U5" s="382"/>
      <c r="V5" s="382"/>
      <c r="W5" s="115"/>
      <c r="X5" s="383" t="s">
        <v>1238</v>
      </c>
      <c r="Y5" s="383"/>
      <c r="Z5" s="383"/>
      <c r="AA5" s="383"/>
      <c r="AB5" s="383"/>
      <c r="AC5" s="383"/>
      <c r="AD5" s="383"/>
      <c r="AE5" s="117"/>
      <c r="AF5" s="379">
        <v>-34</v>
      </c>
      <c r="AG5" s="379"/>
      <c r="AH5" s="117"/>
      <c r="AI5" s="391">
        <f>IF(LEN(Workplan!$AF$5)&gt;0,ROUND(Workplan!$AF$5,0),"")</f>
        <v>-34</v>
      </c>
      <c r="AJ5" s="391"/>
      <c r="AK5" s="391"/>
      <c r="AL5" s="391"/>
      <c r="AM5" s="117"/>
      <c r="AN5" s="383" t="s">
        <v>1554</v>
      </c>
      <c r="AO5" s="383"/>
      <c r="AP5" s="383"/>
      <c r="AQ5" s="383"/>
      <c r="AR5" s="383"/>
      <c r="AS5" s="383"/>
      <c r="AT5" s="109"/>
      <c r="AU5" s="391">
        <v>12</v>
      </c>
      <c r="AV5" s="391"/>
      <c r="AW5" s="391"/>
      <c r="AX5" s="117"/>
      <c r="AY5" s="381">
        <f>B20+B36+B52+B68+B84+B100+B116+B132+B148+B164+B180+B196</f>
        <v>10</v>
      </c>
      <c r="AZ5" s="381"/>
      <c r="BA5" s="381"/>
      <c r="BB5" s="381"/>
      <c r="BC5" s="381"/>
      <c r="BD5" s="109"/>
      <c r="BE5" s="381">
        <f>BD20+BD36+BD52+BD68+BD84+BD100+BD116+BD132+BD148+BD164+BD180+BD196</f>
        <v>0</v>
      </c>
      <c r="BF5" s="381"/>
      <c r="BG5" s="381"/>
      <c r="BH5" s="381"/>
      <c r="BI5" s="381"/>
      <c r="BJ5" s="114"/>
      <c r="BU5" s="111"/>
      <c r="BV5" s="111"/>
      <c r="BW5" s="111"/>
      <c r="BX5" s="111"/>
      <c r="BY5" s="111"/>
      <c r="BZ5" s="111"/>
      <c r="CA5" s="111"/>
      <c r="CB5" s="111"/>
      <c r="CC5" s="111"/>
      <c r="CD5" s="111"/>
      <c r="CE5" s="111"/>
      <c r="CF5" s="111"/>
      <c r="CG5" s="111"/>
      <c r="CH5" s="111"/>
      <c r="CI5" s="111"/>
      <c r="CJ5" s="111"/>
      <c r="CK5" s="111"/>
      <c r="CL5" s="111"/>
    </row>
    <row r="6" spans="1:90" ht="6" customHeight="1" thickBot="1" x14ac:dyDescent="0.4">
      <c r="A6" s="114"/>
      <c r="B6" s="114"/>
      <c r="C6" s="114"/>
      <c r="D6" s="114"/>
      <c r="E6" s="114"/>
      <c r="F6" s="114"/>
      <c r="G6" s="114"/>
      <c r="H6" s="114"/>
      <c r="I6" s="114"/>
      <c r="J6" s="114"/>
      <c r="K6" s="114"/>
      <c r="L6" s="114"/>
      <c r="M6" s="114"/>
      <c r="N6" s="114"/>
      <c r="O6" s="114"/>
      <c r="P6" s="114"/>
      <c r="Q6" s="114"/>
      <c r="R6" s="114"/>
      <c r="S6" s="114"/>
      <c r="T6" s="114"/>
      <c r="U6" s="114"/>
      <c r="V6" s="114"/>
      <c r="W6" s="114"/>
      <c r="X6" s="114"/>
      <c r="Y6" s="114"/>
      <c r="Z6" s="114"/>
      <c r="AA6" s="114"/>
      <c r="AB6" s="114"/>
      <c r="AC6" s="114"/>
      <c r="AD6" s="114"/>
      <c r="AE6" s="114"/>
      <c r="AF6" s="114"/>
      <c r="AG6" s="114"/>
      <c r="AH6" s="114"/>
      <c r="AI6" s="114"/>
      <c r="AJ6" s="114"/>
      <c r="AK6" s="114"/>
      <c r="AL6" s="114"/>
      <c r="AM6" s="114"/>
      <c r="AN6" s="114"/>
      <c r="AO6" s="114"/>
      <c r="AP6" s="114"/>
      <c r="AQ6" s="114"/>
      <c r="AR6" s="114"/>
      <c r="AS6" s="114"/>
      <c r="AT6" s="114"/>
      <c r="AU6" s="114"/>
      <c r="AV6" s="114"/>
      <c r="AW6" s="114"/>
      <c r="AX6" s="114"/>
      <c r="AY6" s="114"/>
      <c r="AZ6" s="114"/>
      <c r="BA6" s="114"/>
      <c r="BB6" s="114"/>
      <c r="BC6" s="114"/>
      <c r="BD6" s="114"/>
      <c r="BE6" s="114"/>
      <c r="BF6" s="114"/>
      <c r="BG6" s="114"/>
      <c r="BH6" s="114"/>
      <c r="BI6" s="114"/>
      <c r="BJ6" s="114"/>
      <c r="BU6" s="111"/>
      <c r="BV6" s="111"/>
      <c r="BW6" s="111"/>
      <c r="BX6" s="111"/>
      <c r="BY6" s="111"/>
      <c r="BZ6" s="111"/>
      <c r="CA6" s="111"/>
      <c r="CB6" s="111"/>
      <c r="CC6" s="111"/>
      <c r="CD6" s="111"/>
      <c r="CE6" s="111"/>
      <c r="CF6" s="111"/>
      <c r="CG6" s="111"/>
      <c r="CH6" s="111"/>
      <c r="CI6" s="111"/>
      <c r="CJ6" s="111"/>
      <c r="CK6" s="111"/>
      <c r="CL6" s="111"/>
    </row>
    <row r="7" spans="1:90" s="107" customFormat="1" ht="26.1" customHeight="1" x14ac:dyDescent="0.35">
      <c r="A7" s="108"/>
      <c r="B7" s="353">
        <v>1</v>
      </c>
      <c r="C7" s="354"/>
      <c r="D7" s="354"/>
      <c r="E7" s="377" t="s">
        <v>621</v>
      </c>
      <c r="F7" s="377"/>
      <c r="G7" s="377"/>
      <c r="H7" s="377"/>
      <c r="I7" s="377"/>
      <c r="J7" s="377"/>
      <c r="K7" s="364" t="s">
        <v>849</v>
      </c>
      <c r="L7" s="365"/>
      <c r="M7" s="365"/>
      <c r="N7" s="365"/>
      <c r="O7" s="365"/>
      <c r="P7" s="365"/>
      <c r="Q7" s="365"/>
      <c r="R7" s="365"/>
      <c r="S7" s="365"/>
      <c r="T7" s="365"/>
      <c r="U7" s="365"/>
      <c r="V7" s="365"/>
      <c r="W7" s="365"/>
      <c r="X7" s="365"/>
      <c r="Y7" s="365"/>
      <c r="Z7" s="365"/>
      <c r="AA7" s="365"/>
      <c r="AB7" s="366"/>
      <c r="AC7" s="361" t="s">
        <v>850</v>
      </c>
      <c r="AD7" s="361"/>
      <c r="AE7" s="361"/>
      <c r="AF7" s="361"/>
      <c r="AG7" s="361"/>
      <c r="AH7" s="361"/>
      <c r="AI7" s="361"/>
      <c r="AJ7" s="361"/>
      <c r="AK7" s="361"/>
      <c r="AL7" s="361"/>
      <c r="AM7" s="361"/>
      <c r="AN7" s="361"/>
      <c r="AO7" s="361"/>
      <c r="AP7" s="361"/>
      <c r="AQ7" s="361"/>
      <c r="AR7" s="361"/>
      <c r="AS7" s="361"/>
      <c r="AT7" s="361"/>
      <c r="AU7" s="361"/>
      <c r="AV7" s="361"/>
      <c r="AW7" s="361"/>
      <c r="AX7" s="361"/>
      <c r="AY7" s="361"/>
      <c r="AZ7" s="361"/>
      <c r="BA7" s="361"/>
      <c r="BB7" s="361"/>
      <c r="BC7" s="361"/>
      <c r="BD7" s="385" t="s">
        <v>246</v>
      </c>
      <c r="BE7" s="385"/>
      <c r="BF7" s="385"/>
      <c r="BG7" s="385"/>
      <c r="BH7" s="385"/>
      <c r="BI7" s="386"/>
      <c r="BJ7" s="106"/>
      <c r="BK7" s="146"/>
      <c r="BU7" s="111"/>
      <c r="BV7" s="111"/>
      <c r="BW7" s="111"/>
      <c r="BX7" s="111"/>
      <c r="BY7" s="111"/>
      <c r="BZ7" s="111"/>
      <c r="CA7" s="111"/>
      <c r="CB7" s="111"/>
      <c r="CC7" s="111"/>
      <c r="CD7" s="111"/>
      <c r="CE7" s="111"/>
      <c r="CF7" s="111"/>
      <c r="CG7" s="111"/>
      <c r="CH7" s="111"/>
      <c r="CI7" s="111"/>
      <c r="CJ7" s="111"/>
      <c r="CK7" s="111"/>
      <c r="CL7" s="111"/>
    </row>
    <row r="8" spans="1:90" s="107" customFormat="1" ht="26.1" customHeight="1" x14ac:dyDescent="0.35">
      <c r="A8" s="108"/>
      <c r="B8" s="355"/>
      <c r="C8" s="338"/>
      <c r="D8" s="338"/>
      <c r="E8" s="376" t="s">
        <v>7</v>
      </c>
      <c r="F8" s="376"/>
      <c r="G8" s="376"/>
      <c r="H8" s="376"/>
      <c r="I8" s="376"/>
      <c r="J8" s="376"/>
      <c r="K8" s="343"/>
      <c r="L8" s="344"/>
      <c r="M8" s="344"/>
      <c r="N8" s="344"/>
      <c r="O8" s="344"/>
      <c r="P8" s="344"/>
      <c r="Q8" s="344"/>
      <c r="R8" s="344"/>
      <c r="S8" s="344"/>
      <c r="T8" s="344"/>
      <c r="U8" s="344"/>
      <c r="V8" s="344"/>
      <c r="W8" s="344"/>
      <c r="X8" s="344"/>
      <c r="Y8" s="344"/>
      <c r="Z8" s="344"/>
      <c r="AA8" s="344"/>
      <c r="AB8" s="345"/>
      <c r="AC8" s="362"/>
      <c r="AD8" s="362"/>
      <c r="AE8" s="362"/>
      <c r="AF8" s="362"/>
      <c r="AG8" s="362"/>
      <c r="AH8" s="362"/>
      <c r="AI8" s="362"/>
      <c r="AJ8" s="362"/>
      <c r="AK8" s="362"/>
      <c r="AL8" s="362"/>
      <c r="AM8" s="362"/>
      <c r="AN8" s="362"/>
      <c r="AO8" s="362"/>
      <c r="AP8" s="362"/>
      <c r="AQ8" s="362"/>
      <c r="AR8" s="362"/>
      <c r="AS8" s="362"/>
      <c r="AT8" s="362"/>
      <c r="AU8" s="362"/>
      <c r="AV8" s="362"/>
      <c r="AW8" s="362"/>
      <c r="AX8" s="362"/>
      <c r="AY8" s="362"/>
      <c r="AZ8" s="362"/>
      <c r="BA8" s="362"/>
      <c r="BB8" s="362"/>
      <c r="BC8" s="362"/>
      <c r="BD8" s="387">
        <f>_DB_Exercises!$U$38</f>
        <v>6</v>
      </c>
      <c r="BE8" s="387"/>
      <c r="BF8" s="387"/>
      <c r="BG8" s="387"/>
      <c r="BH8" s="387"/>
      <c r="BI8" s="388"/>
      <c r="BJ8" s="106"/>
      <c r="BK8" s="146"/>
      <c r="BU8" s="111"/>
      <c r="BV8" s="111"/>
      <c r="BW8" s="111"/>
      <c r="BX8" s="111"/>
      <c r="BY8" s="111"/>
      <c r="BZ8" s="111"/>
      <c r="CA8" s="111"/>
      <c r="CB8" s="111"/>
      <c r="CC8" s="111"/>
      <c r="CD8" s="111"/>
      <c r="CE8" s="111"/>
      <c r="CF8" s="111"/>
      <c r="CG8" s="111"/>
      <c r="CH8" s="111"/>
      <c r="CI8" s="111"/>
      <c r="CJ8" s="111"/>
      <c r="CK8" s="111"/>
      <c r="CL8" s="111"/>
    </row>
    <row r="9" spans="1:90" s="107" customFormat="1" ht="26.1" customHeight="1" x14ac:dyDescent="0.3">
      <c r="A9" s="108"/>
      <c r="B9" s="355"/>
      <c r="C9" s="338"/>
      <c r="D9" s="338"/>
      <c r="E9" s="376"/>
      <c r="F9" s="376"/>
      <c r="G9" s="376"/>
      <c r="H9" s="376"/>
      <c r="I9" s="376"/>
      <c r="J9" s="376"/>
      <c r="K9" s="346"/>
      <c r="L9" s="347"/>
      <c r="M9" s="347"/>
      <c r="N9" s="347"/>
      <c r="O9" s="347"/>
      <c r="P9" s="347"/>
      <c r="Q9" s="347"/>
      <c r="R9" s="347"/>
      <c r="S9" s="347"/>
      <c r="T9" s="347"/>
      <c r="U9" s="347"/>
      <c r="V9" s="347"/>
      <c r="W9" s="347"/>
      <c r="X9" s="347"/>
      <c r="Y9" s="347"/>
      <c r="Z9" s="347"/>
      <c r="AA9" s="347"/>
      <c r="AB9" s="348"/>
      <c r="AC9" s="362"/>
      <c r="AD9" s="362"/>
      <c r="AE9" s="362"/>
      <c r="AF9" s="362"/>
      <c r="AG9" s="362"/>
      <c r="AH9" s="362"/>
      <c r="AI9" s="362"/>
      <c r="AJ9" s="362"/>
      <c r="AK9" s="362"/>
      <c r="AL9" s="362"/>
      <c r="AM9" s="362"/>
      <c r="AN9" s="362"/>
      <c r="AO9" s="362"/>
      <c r="AP9" s="362"/>
      <c r="AQ9" s="362"/>
      <c r="AR9" s="362"/>
      <c r="AS9" s="362"/>
      <c r="AT9" s="362"/>
      <c r="AU9" s="362"/>
      <c r="AV9" s="362"/>
      <c r="AW9" s="362"/>
      <c r="AX9" s="362"/>
      <c r="AY9" s="362"/>
      <c r="AZ9" s="362"/>
      <c r="BA9" s="362"/>
      <c r="BB9" s="362"/>
      <c r="BC9" s="362"/>
      <c r="BD9" s="387"/>
      <c r="BE9" s="387"/>
      <c r="BF9" s="387"/>
      <c r="BG9" s="387"/>
      <c r="BH9" s="387"/>
      <c r="BI9" s="388"/>
      <c r="BJ9" s="106"/>
      <c r="BK9" s="146"/>
    </row>
    <row r="10" spans="1:90" s="107" customFormat="1" ht="26.1" customHeight="1" x14ac:dyDescent="0.3">
      <c r="A10" s="108"/>
      <c r="B10" s="355"/>
      <c r="C10" s="338"/>
      <c r="D10" s="338"/>
      <c r="E10" s="376"/>
      <c r="F10" s="376"/>
      <c r="G10" s="376"/>
      <c r="H10" s="376"/>
      <c r="I10" s="376"/>
      <c r="J10" s="376"/>
      <c r="K10" s="367"/>
      <c r="L10" s="368"/>
      <c r="M10" s="368"/>
      <c r="N10" s="368"/>
      <c r="O10" s="368"/>
      <c r="P10" s="368"/>
      <c r="Q10" s="368"/>
      <c r="R10" s="368"/>
      <c r="S10" s="368"/>
      <c r="T10" s="368"/>
      <c r="U10" s="368"/>
      <c r="V10" s="368"/>
      <c r="W10" s="368"/>
      <c r="X10" s="368"/>
      <c r="Y10" s="368"/>
      <c r="Z10" s="368"/>
      <c r="AA10" s="368"/>
      <c r="AB10" s="369"/>
      <c r="AC10" s="362"/>
      <c r="AD10" s="362"/>
      <c r="AE10" s="362"/>
      <c r="AF10" s="362"/>
      <c r="AG10" s="362"/>
      <c r="AH10" s="362"/>
      <c r="AI10" s="362"/>
      <c r="AJ10" s="362"/>
      <c r="AK10" s="362"/>
      <c r="AL10" s="362"/>
      <c r="AM10" s="362"/>
      <c r="AN10" s="362"/>
      <c r="AO10" s="362"/>
      <c r="AP10" s="362"/>
      <c r="AQ10" s="362"/>
      <c r="AR10" s="362"/>
      <c r="AS10" s="362"/>
      <c r="AT10" s="362"/>
      <c r="AU10" s="362"/>
      <c r="AV10" s="362"/>
      <c r="AW10" s="362"/>
      <c r="AX10" s="362"/>
      <c r="AY10" s="362"/>
      <c r="AZ10" s="362"/>
      <c r="BA10" s="362"/>
      <c r="BB10" s="362"/>
      <c r="BC10" s="362"/>
      <c r="BD10" s="387"/>
      <c r="BE10" s="387"/>
      <c r="BF10" s="387"/>
      <c r="BG10" s="387"/>
      <c r="BH10" s="387"/>
      <c r="BI10" s="388"/>
      <c r="BJ10" s="106"/>
      <c r="BK10" s="146"/>
    </row>
    <row r="11" spans="1:90" s="107" customFormat="1" ht="26.1" customHeight="1" x14ac:dyDescent="0.3">
      <c r="A11" s="108"/>
      <c r="B11" s="355"/>
      <c r="C11" s="338"/>
      <c r="D11" s="338"/>
      <c r="E11" s="350" t="s">
        <v>457</v>
      </c>
      <c r="F11" s="350"/>
      <c r="G11" s="350"/>
      <c r="H11" s="350"/>
      <c r="I11" s="350"/>
      <c r="J11" s="350"/>
      <c r="K11" s="370"/>
      <c r="L11" s="371"/>
      <c r="M11" s="371"/>
      <c r="N11" s="371"/>
      <c r="O11" s="371"/>
      <c r="P11" s="371"/>
      <c r="Q11" s="371"/>
      <c r="R11" s="371"/>
      <c r="S11" s="371"/>
      <c r="T11" s="371"/>
      <c r="U11" s="371"/>
      <c r="V11" s="371"/>
      <c r="W11" s="371"/>
      <c r="X11" s="371"/>
      <c r="Y11" s="371"/>
      <c r="Z11" s="371"/>
      <c r="AA11" s="371"/>
      <c r="AB11" s="372"/>
      <c r="AC11" s="362"/>
      <c r="AD11" s="362"/>
      <c r="AE11" s="362"/>
      <c r="AF11" s="362"/>
      <c r="AG11" s="362"/>
      <c r="AH11" s="362"/>
      <c r="AI11" s="362"/>
      <c r="AJ11" s="362"/>
      <c r="AK11" s="362"/>
      <c r="AL11" s="362"/>
      <c r="AM11" s="362"/>
      <c r="AN11" s="362"/>
      <c r="AO11" s="362"/>
      <c r="AP11" s="362"/>
      <c r="AQ11" s="362"/>
      <c r="AR11" s="362"/>
      <c r="AS11" s="362"/>
      <c r="AT11" s="362"/>
      <c r="AU11" s="362"/>
      <c r="AV11" s="362"/>
      <c r="AW11" s="362"/>
      <c r="AX11" s="362"/>
      <c r="AY11" s="362"/>
      <c r="AZ11" s="362"/>
      <c r="BA11" s="362"/>
      <c r="BB11" s="362"/>
      <c r="BC11" s="362"/>
      <c r="BD11" s="389" t="s">
        <v>88</v>
      </c>
      <c r="BE11" s="389"/>
      <c r="BF11" s="389"/>
      <c r="BG11" s="389"/>
      <c r="BH11" s="389"/>
      <c r="BI11" s="390"/>
      <c r="BJ11" s="106"/>
      <c r="BK11" s="146"/>
    </row>
    <row r="12" spans="1:90" s="107" customFormat="1" ht="26.1" customHeight="1" x14ac:dyDescent="0.3">
      <c r="A12" s="108"/>
      <c r="B12" s="355"/>
      <c r="C12" s="338"/>
      <c r="D12" s="338"/>
      <c r="E12" s="376" t="s">
        <v>98</v>
      </c>
      <c r="F12" s="376"/>
      <c r="G12" s="376"/>
      <c r="H12" s="376"/>
      <c r="I12" s="376"/>
      <c r="J12" s="376"/>
      <c r="K12" s="370"/>
      <c r="L12" s="371"/>
      <c r="M12" s="371"/>
      <c r="N12" s="371"/>
      <c r="O12" s="371"/>
      <c r="P12" s="371"/>
      <c r="Q12" s="371"/>
      <c r="R12" s="371"/>
      <c r="S12" s="371"/>
      <c r="T12" s="371"/>
      <c r="U12" s="371"/>
      <c r="V12" s="371"/>
      <c r="W12" s="371"/>
      <c r="X12" s="371"/>
      <c r="Y12" s="371"/>
      <c r="Z12" s="371"/>
      <c r="AA12" s="371"/>
      <c r="AB12" s="372"/>
      <c r="AC12" s="362"/>
      <c r="AD12" s="362"/>
      <c r="AE12" s="362"/>
      <c r="AF12" s="362"/>
      <c r="AG12" s="362"/>
      <c r="AH12" s="362"/>
      <c r="AI12" s="362"/>
      <c r="AJ12" s="362"/>
      <c r="AK12" s="362"/>
      <c r="AL12" s="362"/>
      <c r="AM12" s="362"/>
      <c r="AN12" s="362"/>
      <c r="AO12" s="362"/>
      <c r="AP12" s="362"/>
      <c r="AQ12" s="362"/>
      <c r="AR12" s="362"/>
      <c r="AS12" s="362"/>
      <c r="AT12" s="362"/>
      <c r="AU12" s="362"/>
      <c r="AV12" s="362"/>
      <c r="AW12" s="362"/>
      <c r="AX12" s="362"/>
      <c r="AY12" s="362"/>
      <c r="AZ12" s="362"/>
      <c r="BA12" s="362"/>
      <c r="BB12" s="362"/>
      <c r="BC12" s="362"/>
      <c r="BD12" s="393"/>
      <c r="BE12" s="393"/>
      <c r="BF12" s="393"/>
      <c r="BG12" s="393"/>
      <c r="BH12" s="393"/>
      <c r="BI12" s="397"/>
      <c r="BJ12" s="106"/>
      <c r="BK12" s="146"/>
    </row>
    <row r="13" spans="1:90" s="107" customFormat="1" ht="26.1" customHeight="1" x14ac:dyDescent="0.3">
      <c r="A13" s="108"/>
      <c r="B13" s="355"/>
      <c r="C13" s="338"/>
      <c r="D13" s="338"/>
      <c r="E13" s="376"/>
      <c r="F13" s="376"/>
      <c r="G13" s="376"/>
      <c r="H13" s="376"/>
      <c r="I13" s="376"/>
      <c r="J13" s="376"/>
      <c r="K13" s="370"/>
      <c r="L13" s="371"/>
      <c r="M13" s="371"/>
      <c r="N13" s="371"/>
      <c r="O13" s="371"/>
      <c r="P13" s="371"/>
      <c r="Q13" s="371"/>
      <c r="R13" s="371"/>
      <c r="S13" s="371"/>
      <c r="T13" s="371"/>
      <c r="U13" s="371"/>
      <c r="V13" s="371"/>
      <c r="W13" s="371"/>
      <c r="X13" s="371"/>
      <c r="Y13" s="371"/>
      <c r="Z13" s="371"/>
      <c r="AA13" s="371"/>
      <c r="AB13" s="372"/>
      <c r="AC13" s="362"/>
      <c r="AD13" s="362"/>
      <c r="AE13" s="362"/>
      <c r="AF13" s="362"/>
      <c r="AG13" s="362"/>
      <c r="AH13" s="362"/>
      <c r="AI13" s="362"/>
      <c r="AJ13" s="362"/>
      <c r="AK13" s="362"/>
      <c r="AL13" s="362"/>
      <c r="AM13" s="362"/>
      <c r="AN13" s="362"/>
      <c r="AO13" s="362"/>
      <c r="AP13" s="362"/>
      <c r="AQ13" s="362"/>
      <c r="AR13" s="362"/>
      <c r="AS13" s="362"/>
      <c r="AT13" s="362"/>
      <c r="AU13" s="362"/>
      <c r="AV13" s="362"/>
      <c r="AW13" s="362"/>
      <c r="AX13" s="362"/>
      <c r="AY13" s="362"/>
      <c r="AZ13" s="362"/>
      <c r="BA13" s="362"/>
      <c r="BB13" s="362"/>
      <c r="BC13" s="362"/>
      <c r="BD13" s="393"/>
      <c r="BE13" s="393"/>
      <c r="BF13" s="393"/>
      <c r="BG13" s="393"/>
      <c r="BH13" s="393"/>
      <c r="BI13" s="397"/>
      <c r="BJ13" s="106"/>
      <c r="BK13" s="146"/>
    </row>
    <row r="14" spans="1:90" s="107" customFormat="1" ht="26.1" customHeight="1" x14ac:dyDescent="0.3">
      <c r="A14" s="108"/>
      <c r="B14" s="355"/>
      <c r="C14" s="338"/>
      <c r="D14" s="338"/>
      <c r="E14" s="376"/>
      <c r="F14" s="376"/>
      <c r="G14" s="376"/>
      <c r="H14" s="376"/>
      <c r="I14" s="376"/>
      <c r="J14" s="376"/>
      <c r="K14" s="370"/>
      <c r="L14" s="371"/>
      <c r="M14" s="371"/>
      <c r="N14" s="371"/>
      <c r="O14" s="371"/>
      <c r="P14" s="371"/>
      <c r="Q14" s="371"/>
      <c r="R14" s="371"/>
      <c r="S14" s="371"/>
      <c r="T14" s="371"/>
      <c r="U14" s="371"/>
      <c r="V14" s="371"/>
      <c r="W14" s="371"/>
      <c r="X14" s="371"/>
      <c r="Y14" s="371"/>
      <c r="Z14" s="371"/>
      <c r="AA14" s="371"/>
      <c r="AB14" s="372"/>
      <c r="AC14" s="362"/>
      <c r="AD14" s="362"/>
      <c r="AE14" s="362"/>
      <c r="AF14" s="362"/>
      <c r="AG14" s="362"/>
      <c r="AH14" s="362"/>
      <c r="AI14" s="362"/>
      <c r="AJ14" s="362"/>
      <c r="AK14" s="362"/>
      <c r="AL14" s="362"/>
      <c r="AM14" s="362"/>
      <c r="AN14" s="362"/>
      <c r="AO14" s="362"/>
      <c r="AP14" s="362"/>
      <c r="AQ14" s="362"/>
      <c r="AR14" s="362"/>
      <c r="AS14" s="362"/>
      <c r="AT14" s="362"/>
      <c r="AU14" s="362"/>
      <c r="AV14" s="362"/>
      <c r="AW14" s="362"/>
      <c r="AX14" s="362"/>
      <c r="AY14" s="362"/>
      <c r="AZ14" s="362"/>
      <c r="BA14" s="362"/>
      <c r="BB14" s="362"/>
      <c r="BC14" s="362"/>
      <c r="BD14" s="393"/>
      <c r="BE14" s="393"/>
      <c r="BF14" s="393"/>
      <c r="BG14" s="393"/>
      <c r="BH14" s="393"/>
      <c r="BI14" s="397"/>
      <c r="BJ14" s="106"/>
      <c r="BK14" s="146"/>
    </row>
    <row r="15" spans="1:90" s="107" customFormat="1" ht="26.1" customHeight="1" x14ac:dyDescent="0.3">
      <c r="A15" s="108"/>
      <c r="B15" s="349" t="s">
        <v>637</v>
      </c>
      <c r="C15" s="350"/>
      <c r="D15" s="350"/>
      <c r="E15" s="350" t="s">
        <v>622</v>
      </c>
      <c r="F15" s="350"/>
      <c r="G15" s="350"/>
      <c r="H15" s="350"/>
      <c r="I15" s="350"/>
      <c r="J15" s="350"/>
      <c r="K15" s="370"/>
      <c r="L15" s="371"/>
      <c r="M15" s="371"/>
      <c r="N15" s="371"/>
      <c r="O15" s="371"/>
      <c r="P15" s="371"/>
      <c r="Q15" s="371"/>
      <c r="R15" s="371"/>
      <c r="S15" s="371"/>
      <c r="T15" s="371"/>
      <c r="U15" s="371"/>
      <c r="V15" s="371"/>
      <c r="W15" s="371"/>
      <c r="X15" s="371"/>
      <c r="Y15" s="371"/>
      <c r="Z15" s="371"/>
      <c r="AA15" s="371"/>
      <c r="AB15" s="372"/>
      <c r="AC15" s="362"/>
      <c r="AD15" s="362"/>
      <c r="AE15" s="362"/>
      <c r="AF15" s="362"/>
      <c r="AG15" s="362"/>
      <c r="AH15" s="362"/>
      <c r="AI15" s="362"/>
      <c r="AJ15" s="362"/>
      <c r="AK15" s="362"/>
      <c r="AL15" s="362"/>
      <c r="AM15" s="362"/>
      <c r="AN15" s="362"/>
      <c r="AO15" s="362"/>
      <c r="AP15" s="362"/>
      <c r="AQ15" s="362"/>
      <c r="AR15" s="362"/>
      <c r="AS15" s="362"/>
      <c r="AT15" s="362"/>
      <c r="AU15" s="362"/>
      <c r="AV15" s="362"/>
      <c r="AW15" s="362"/>
      <c r="AX15" s="362"/>
      <c r="AY15" s="362"/>
      <c r="AZ15" s="362"/>
      <c r="BA15" s="362"/>
      <c r="BB15" s="362"/>
      <c r="BC15" s="362"/>
      <c r="BD15" s="389" t="s">
        <v>46</v>
      </c>
      <c r="BE15" s="389"/>
      <c r="BF15" s="389"/>
      <c r="BG15" s="389"/>
      <c r="BH15" s="389"/>
      <c r="BI15" s="390"/>
      <c r="BJ15" s="106"/>
      <c r="BK15" s="146"/>
    </row>
    <row r="16" spans="1:90" s="107" customFormat="1" ht="26.1" customHeight="1" x14ac:dyDescent="0.3">
      <c r="A16" s="108"/>
      <c r="B16" s="351">
        <v>2024</v>
      </c>
      <c r="C16" s="352"/>
      <c r="D16" s="352"/>
      <c r="E16" s="376" t="s">
        <v>480</v>
      </c>
      <c r="F16" s="376"/>
      <c r="G16" s="376"/>
      <c r="H16" s="376"/>
      <c r="I16" s="376"/>
      <c r="J16" s="376"/>
      <c r="K16" s="370"/>
      <c r="L16" s="371"/>
      <c r="M16" s="371"/>
      <c r="N16" s="371"/>
      <c r="O16" s="371"/>
      <c r="P16" s="371"/>
      <c r="Q16" s="371"/>
      <c r="R16" s="371"/>
      <c r="S16" s="371"/>
      <c r="T16" s="371"/>
      <c r="U16" s="371"/>
      <c r="V16" s="371"/>
      <c r="W16" s="371"/>
      <c r="X16" s="371"/>
      <c r="Y16" s="371"/>
      <c r="Z16" s="371"/>
      <c r="AA16" s="371"/>
      <c r="AB16" s="372"/>
      <c r="AC16" s="362"/>
      <c r="AD16" s="362"/>
      <c r="AE16" s="362"/>
      <c r="AF16" s="362"/>
      <c r="AG16" s="362"/>
      <c r="AH16" s="362"/>
      <c r="AI16" s="362"/>
      <c r="AJ16" s="362"/>
      <c r="AK16" s="362"/>
      <c r="AL16" s="362"/>
      <c r="AM16" s="362"/>
      <c r="AN16" s="362"/>
      <c r="AO16" s="362"/>
      <c r="AP16" s="362"/>
      <c r="AQ16" s="362"/>
      <c r="AR16" s="362"/>
      <c r="AS16" s="362"/>
      <c r="AT16" s="362"/>
      <c r="AU16" s="362"/>
      <c r="AV16" s="362"/>
      <c r="AW16" s="362"/>
      <c r="AX16" s="362"/>
      <c r="AY16" s="362"/>
      <c r="AZ16" s="362"/>
      <c r="BA16" s="362"/>
      <c r="BB16" s="362"/>
      <c r="BC16" s="362"/>
      <c r="BD16" s="398" t="str">
        <f>IFERROR(getResultHCPByExID(2024, $BD$12, $AI$5),"MISSING HCP")</f>
        <v/>
      </c>
      <c r="BE16" s="398"/>
      <c r="BF16" s="398"/>
      <c r="BG16" s="398"/>
      <c r="BH16" s="398"/>
      <c r="BI16" s="399"/>
      <c r="BJ16" s="106"/>
      <c r="BK16" s="146"/>
    </row>
    <row r="17" spans="1:63" s="107" customFormat="1" ht="26.1" customHeight="1" x14ac:dyDescent="0.3">
      <c r="A17" s="108"/>
      <c r="B17" s="351"/>
      <c r="C17" s="352"/>
      <c r="D17" s="352"/>
      <c r="E17" s="376"/>
      <c r="F17" s="376"/>
      <c r="G17" s="376"/>
      <c r="H17" s="376"/>
      <c r="I17" s="376"/>
      <c r="J17" s="376"/>
      <c r="K17" s="370"/>
      <c r="L17" s="371"/>
      <c r="M17" s="371"/>
      <c r="N17" s="371"/>
      <c r="O17" s="371"/>
      <c r="P17" s="371"/>
      <c r="Q17" s="371"/>
      <c r="R17" s="371"/>
      <c r="S17" s="371"/>
      <c r="T17" s="371"/>
      <c r="U17" s="371"/>
      <c r="V17" s="371"/>
      <c r="W17" s="371"/>
      <c r="X17" s="371"/>
      <c r="Y17" s="371"/>
      <c r="Z17" s="371"/>
      <c r="AA17" s="371"/>
      <c r="AB17" s="372"/>
      <c r="AC17" s="362"/>
      <c r="AD17" s="362"/>
      <c r="AE17" s="362"/>
      <c r="AF17" s="362"/>
      <c r="AG17" s="362"/>
      <c r="AH17" s="362"/>
      <c r="AI17" s="362"/>
      <c r="AJ17" s="362"/>
      <c r="AK17" s="362"/>
      <c r="AL17" s="362"/>
      <c r="AM17" s="362"/>
      <c r="AN17" s="362"/>
      <c r="AO17" s="362"/>
      <c r="AP17" s="362"/>
      <c r="AQ17" s="362"/>
      <c r="AR17" s="362"/>
      <c r="AS17" s="362"/>
      <c r="AT17" s="362"/>
      <c r="AU17" s="362"/>
      <c r="AV17" s="362"/>
      <c r="AW17" s="362"/>
      <c r="AX17" s="362"/>
      <c r="AY17" s="362"/>
      <c r="AZ17" s="362"/>
      <c r="BA17" s="362"/>
      <c r="BB17" s="362"/>
      <c r="BC17" s="362"/>
      <c r="BD17" s="398"/>
      <c r="BE17" s="398"/>
      <c r="BF17" s="398"/>
      <c r="BG17" s="398"/>
      <c r="BH17" s="398"/>
      <c r="BI17" s="399"/>
      <c r="BJ17" s="106"/>
      <c r="BK17" s="146"/>
    </row>
    <row r="18" spans="1:63" s="107" customFormat="1" ht="26.1" customHeight="1" x14ac:dyDescent="0.3">
      <c r="A18" s="108"/>
      <c r="B18" s="351"/>
      <c r="C18" s="352"/>
      <c r="D18" s="352"/>
      <c r="E18" s="376"/>
      <c r="F18" s="376"/>
      <c r="G18" s="376"/>
      <c r="H18" s="376"/>
      <c r="I18" s="376"/>
      <c r="J18" s="376"/>
      <c r="K18" s="370"/>
      <c r="L18" s="371"/>
      <c r="M18" s="371"/>
      <c r="N18" s="371"/>
      <c r="O18" s="371"/>
      <c r="P18" s="371"/>
      <c r="Q18" s="371"/>
      <c r="R18" s="371"/>
      <c r="S18" s="371"/>
      <c r="T18" s="371"/>
      <c r="U18" s="371"/>
      <c r="V18" s="371"/>
      <c r="W18" s="371"/>
      <c r="X18" s="371"/>
      <c r="Y18" s="371"/>
      <c r="Z18" s="371"/>
      <c r="AA18" s="371"/>
      <c r="AB18" s="372"/>
      <c r="AC18" s="362"/>
      <c r="AD18" s="362"/>
      <c r="AE18" s="362"/>
      <c r="AF18" s="362"/>
      <c r="AG18" s="362"/>
      <c r="AH18" s="362"/>
      <c r="AI18" s="362"/>
      <c r="AJ18" s="362"/>
      <c r="AK18" s="362"/>
      <c r="AL18" s="362"/>
      <c r="AM18" s="362"/>
      <c r="AN18" s="362"/>
      <c r="AO18" s="362"/>
      <c r="AP18" s="362"/>
      <c r="AQ18" s="362"/>
      <c r="AR18" s="362"/>
      <c r="AS18" s="362"/>
      <c r="AT18" s="362"/>
      <c r="AU18" s="362"/>
      <c r="AV18" s="362"/>
      <c r="AW18" s="362"/>
      <c r="AX18" s="362"/>
      <c r="AY18" s="362"/>
      <c r="AZ18" s="362"/>
      <c r="BA18" s="362"/>
      <c r="BB18" s="362"/>
      <c r="BC18" s="362"/>
      <c r="BD18" s="398"/>
      <c r="BE18" s="398"/>
      <c r="BF18" s="398"/>
      <c r="BG18" s="398"/>
      <c r="BH18" s="398"/>
      <c r="BI18" s="399"/>
      <c r="BJ18" s="106"/>
      <c r="BK18" s="146"/>
    </row>
    <row r="19" spans="1:63" s="107" customFormat="1" ht="26.1" customHeight="1" x14ac:dyDescent="0.3">
      <c r="A19" s="108"/>
      <c r="B19" s="356" t="s">
        <v>459</v>
      </c>
      <c r="C19" s="357"/>
      <c r="D19" s="357"/>
      <c r="E19" s="350" t="s">
        <v>623</v>
      </c>
      <c r="F19" s="350"/>
      <c r="G19" s="350"/>
      <c r="H19" s="350"/>
      <c r="I19" s="350"/>
      <c r="J19" s="350"/>
      <c r="K19" s="370"/>
      <c r="L19" s="371"/>
      <c r="M19" s="371"/>
      <c r="N19" s="371"/>
      <c r="O19" s="371"/>
      <c r="P19" s="371"/>
      <c r="Q19" s="371"/>
      <c r="R19" s="371"/>
      <c r="S19" s="371"/>
      <c r="T19" s="371"/>
      <c r="U19" s="371"/>
      <c r="V19" s="371"/>
      <c r="W19" s="371"/>
      <c r="X19" s="371"/>
      <c r="Y19" s="371"/>
      <c r="Z19" s="371"/>
      <c r="AA19" s="371"/>
      <c r="AB19" s="372"/>
      <c r="AC19" s="362"/>
      <c r="AD19" s="362"/>
      <c r="AE19" s="362"/>
      <c r="AF19" s="362"/>
      <c r="AG19" s="362"/>
      <c r="AH19" s="362"/>
      <c r="AI19" s="362"/>
      <c r="AJ19" s="362"/>
      <c r="AK19" s="362"/>
      <c r="AL19" s="362"/>
      <c r="AM19" s="362"/>
      <c r="AN19" s="362"/>
      <c r="AO19" s="362"/>
      <c r="AP19" s="362"/>
      <c r="AQ19" s="362"/>
      <c r="AR19" s="362"/>
      <c r="AS19" s="362"/>
      <c r="AT19" s="362"/>
      <c r="AU19" s="362"/>
      <c r="AV19" s="362"/>
      <c r="AW19" s="362"/>
      <c r="AX19" s="362"/>
      <c r="AY19" s="362"/>
      <c r="AZ19" s="362"/>
      <c r="BA19" s="362"/>
      <c r="BB19" s="362"/>
      <c r="BC19" s="362"/>
      <c r="BD19" s="389" t="s">
        <v>638</v>
      </c>
      <c r="BE19" s="389"/>
      <c r="BF19" s="389"/>
      <c r="BG19" s="389"/>
      <c r="BH19" s="389"/>
      <c r="BI19" s="390"/>
      <c r="BJ19" s="106"/>
      <c r="BK19" s="146"/>
    </row>
    <row r="20" spans="1:63" s="107" customFormat="1" ht="26.1" customHeight="1" x14ac:dyDescent="0.3">
      <c r="A20" s="108"/>
      <c r="B20" s="358">
        <v>5</v>
      </c>
      <c r="C20" s="352"/>
      <c r="D20" s="352"/>
      <c r="E20" s="376">
        <v>1</v>
      </c>
      <c r="F20" s="376"/>
      <c r="G20" s="376"/>
      <c r="H20" s="376"/>
      <c r="I20" s="376"/>
      <c r="J20" s="376"/>
      <c r="K20" s="370"/>
      <c r="L20" s="371"/>
      <c r="M20" s="371"/>
      <c r="N20" s="371"/>
      <c r="O20" s="371"/>
      <c r="P20" s="371"/>
      <c r="Q20" s="371"/>
      <c r="R20" s="371"/>
      <c r="S20" s="371"/>
      <c r="T20" s="371"/>
      <c r="U20" s="371"/>
      <c r="V20" s="371"/>
      <c r="W20" s="371"/>
      <c r="X20" s="371"/>
      <c r="Y20" s="371"/>
      <c r="Z20" s="371"/>
      <c r="AA20" s="371"/>
      <c r="AB20" s="372"/>
      <c r="AC20" s="362"/>
      <c r="AD20" s="362"/>
      <c r="AE20" s="362"/>
      <c r="AF20" s="362"/>
      <c r="AG20" s="362"/>
      <c r="AH20" s="362"/>
      <c r="AI20" s="362"/>
      <c r="AJ20" s="362"/>
      <c r="AK20" s="362"/>
      <c r="AL20" s="362"/>
      <c r="AM20" s="362"/>
      <c r="AN20" s="362"/>
      <c r="AO20" s="362"/>
      <c r="AP20" s="362"/>
      <c r="AQ20" s="362"/>
      <c r="AR20" s="362"/>
      <c r="AS20" s="362"/>
      <c r="AT20" s="362"/>
      <c r="AU20" s="362"/>
      <c r="AV20" s="362"/>
      <c r="AW20" s="362"/>
      <c r="AX20" s="362"/>
      <c r="AY20" s="362"/>
      <c r="AZ20" s="362"/>
      <c r="BA20" s="362"/>
      <c r="BB20" s="362"/>
      <c r="BC20" s="362"/>
      <c r="BD20" s="393"/>
      <c r="BE20" s="393"/>
      <c r="BF20" s="393"/>
      <c r="BG20" s="393"/>
      <c r="BH20" s="393"/>
      <c r="BI20" s="397"/>
      <c r="BJ20" s="106"/>
      <c r="BK20" s="146"/>
    </row>
    <row r="21" spans="1:63" s="107" customFormat="1" ht="26.1" customHeight="1" x14ac:dyDescent="0.3">
      <c r="A21" s="108"/>
      <c r="B21" s="358"/>
      <c r="C21" s="352"/>
      <c r="D21" s="352"/>
      <c r="E21" s="376"/>
      <c r="F21" s="376"/>
      <c r="G21" s="376"/>
      <c r="H21" s="376"/>
      <c r="I21" s="376"/>
      <c r="J21" s="376"/>
      <c r="K21" s="370"/>
      <c r="L21" s="371"/>
      <c r="M21" s="371"/>
      <c r="N21" s="371"/>
      <c r="O21" s="371"/>
      <c r="P21" s="371"/>
      <c r="Q21" s="371"/>
      <c r="R21" s="371"/>
      <c r="S21" s="371"/>
      <c r="T21" s="371"/>
      <c r="U21" s="371"/>
      <c r="V21" s="371"/>
      <c r="W21" s="371"/>
      <c r="X21" s="371"/>
      <c r="Y21" s="371"/>
      <c r="Z21" s="371"/>
      <c r="AA21" s="371"/>
      <c r="AB21" s="372"/>
      <c r="AC21" s="362"/>
      <c r="AD21" s="362"/>
      <c r="AE21" s="362"/>
      <c r="AF21" s="362"/>
      <c r="AG21" s="362"/>
      <c r="AH21" s="362"/>
      <c r="AI21" s="362"/>
      <c r="AJ21" s="362"/>
      <c r="AK21" s="362"/>
      <c r="AL21" s="362"/>
      <c r="AM21" s="362"/>
      <c r="AN21" s="362"/>
      <c r="AO21" s="362"/>
      <c r="AP21" s="362"/>
      <c r="AQ21" s="362"/>
      <c r="AR21" s="362"/>
      <c r="AS21" s="362"/>
      <c r="AT21" s="362"/>
      <c r="AU21" s="362"/>
      <c r="AV21" s="362"/>
      <c r="AW21" s="362"/>
      <c r="AX21" s="362"/>
      <c r="AY21" s="362"/>
      <c r="AZ21" s="362"/>
      <c r="BA21" s="362"/>
      <c r="BB21" s="362"/>
      <c r="BC21" s="362"/>
      <c r="BD21" s="393"/>
      <c r="BE21" s="393"/>
      <c r="BF21" s="393"/>
      <c r="BG21" s="393"/>
      <c r="BH21" s="393"/>
      <c r="BI21" s="397"/>
      <c r="BJ21" s="106"/>
      <c r="BK21" s="146"/>
    </row>
    <row r="22" spans="1:63" s="107" customFormat="1" ht="26.1" customHeight="1" thickBot="1" x14ac:dyDescent="0.35">
      <c r="A22" s="108"/>
      <c r="B22" s="359"/>
      <c r="C22" s="360"/>
      <c r="D22" s="360"/>
      <c r="E22" s="400"/>
      <c r="F22" s="400"/>
      <c r="G22" s="400"/>
      <c r="H22" s="400"/>
      <c r="I22" s="400"/>
      <c r="J22" s="400"/>
      <c r="K22" s="373"/>
      <c r="L22" s="374"/>
      <c r="M22" s="374"/>
      <c r="N22" s="374"/>
      <c r="O22" s="374"/>
      <c r="P22" s="374"/>
      <c r="Q22" s="374"/>
      <c r="R22" s="374"/>
      <c r="S22" s="374"/>
      <c r="T22" s="374"/>
      <c r="U22" s="374"/>
      <c r="V22" s="374"/>
      <c r="W22" s="374"/>
      <c r="X22" s="374"/>
      <c r="Y22" s="374"/>
      <c r="Z22" s="374"/>
      <c r="AA22" s="374"/>
      <c r="AB22" s="375"/>
      <c r="AC22" s="363"/>
      <c r="AD22" s="363"/>
      <c r="AE22" s="363"/>
      <c r="AF22" s="363"/>
      <c r="AG22" s="363"/>
      <c r="AH22" s="363"/>
      <c r="AI22" s="363"/>
      <c r="AJ22" s="363"/>
      <c r="AK22" s="363"/>
      <c r="AL22" s="363"/>
      <c r="AM22" s="363"/>
      <c r="AN22" s="363"/>
      <c r="AO22" s="363"/>
      <c r="AP22" s="363"/>
      <c r="AQ22" s="363"/>
      <c r="AR22" s="363"/>
      <c r="AS22" s="363"/>
      <c r="AT22" s="363"/>
      <c r="AU22" s="363"/>
      <c r="AV22" s="363"/>
      <c r="AW22" s="363"/>
      <c r="AX22" s="363"/>
      <c r="AY22" s="363"/>
      <c r="AZ22" s="363"/>
      <c r="BA22" s="363"/>
      <c r="BB22" s="363"/>
      <c r="BC22" s="363"/>
      <c r="BD22" s="401"/>
      <c r="BE22" s="401"/>
      <c r="BF22" s="401"/>
      <c r="BG22" s="401"/>
      <c r="BH22" s="401"/>
      <c r="BI22" s="402"/>
      <c r="BJ22" s="106"/>
      <c r="BK22" s="146"/>
    </row>
    <row r="23" spans="1:63" s="107" customFormat="1" ht="26.1" customHeight="1" thickTop="1" x14ac:dyDescent="0.3">
      <c r="A23" s="108"/>
      <c r="B23" s="335">
        <v>2</v>
      </c>
      <c r="C23" s="336"/>
      <c r="D23" s="336"/>
      <c r="E23" s="339" t="s">
        <v>621</v>
      </c>
      <c r="F23" s="339"/>
      <c r="G23" s="339"/>
      <c r="H23" s="339"/>
      <c r="I23" s="339"/>
      <c r="J23" s="339"/>
      <c r="K23" s="340" t="s">
        <v>192</v>
      </c>
      <c r="L23" s="341"/>
      <c r="M23" s="341"/>
      <c r="N23" s="341"/>
      <c r="O23" s="341"/>
      <c r="P23" s="341"/>
      <c r="Q23" s="341"/>
      <c r="R23" s="341"/>
      <c r="S23" s="341"/>
      <c r="T23" s="341"/>
      <c r="U23" s="341"/>
      <c r="V23" s="341"/>
      <c r="W23" s="341"/>
      <c r="X23" s="341"/>
      <c r="Y23" s="341"/>
      <c r="Z23" s="341"/>
      <c r="AA23" s="341"/>
      <c r="AB23" s="342"/>
      <c r="AC23" s="408" t="s">
        <v>195</v>
      </c>
      <c r="AD23" s="408"/>
      <c r="AE23" s="408"/>
      <c r="AF23" s="408"/>
      <c r="AG23" s="408"/>
      <c r="AH23" s="408"/>
      <c r="AI23" s="408"/>
      <c r="AJ23" s="408"/>
      <c r="AK23" s="408"/>
      <c r="AL23" s="408"/>
      <c r="AM23" s="408"/>
      <c r="AN23" s="408"/>
      <c r="AO23" s="408"/>
      <c r="AP23" s="408"/>
      <c r="AQ23" s="408"/>
      <c r="AR23" s="408"/>
      <c r="AS23" s="408"/>
      <c r="AT23" s="408"/>
      <c r="AU23" s="408"/>
      <c r="AV23" s="408"/>
      <c r="AW23" s="408"/>
      <c r="AX23" s="408"/>
      <c r="AY23" s="408"/>
      <c r="AZ23" s="408"/>
      <c r="BA23" s="408"/>
      <c r="BB23" s="408"/>
      <c r="BC23" s="408"/>
      <c r="BD23" s="410" t="s">
        <v>246</v>
      </c>
      <c r="BE23" s="410"/>
      <c r="BF23" s="410"/>
      <c r="BG23" s="410"/>
      <c r="BH23" s="410"/>
      <c r="BI23" s="411"/>
      <c r="BJ23" s="106"/>
      <c r="BK23" s="146"/>
    </row>
    <row r="24" spans="1:63" s="107" customFormat="1" ht="26.1" customHeight="1" x14ac:dyDescent="0.3">
      <c r="A24" s="108"/>
      <c r="B24" s="337"/>
      <c r="C24" s="338"/>
      <c r="D24" s="338"/>
      <c r="E24" s="376" t="s">
        <v>7</v>
      </c>
      <c r="F24" s="376"/>
      <c r="G24" s="376"/>
      <c r="H24" s="376"/>
      <c r="I24" s="376"/>
      <c r="J24" s="376"/>
      <c r="K24" s="343"/>
      <c r="L24" s="344"/>
      <c r="M24" s="344"/>
      <c r="N24" s="344"/>
      <c r="O24" s="344"/>
      <c r="P24" s="344"/>
      <c r="Q24" s="344"/>
      <c r="R24" s="344"/>
      <c r="S24" s="344"/>
      <c r="T24" s="344"/>
      <c r="U24" s="344"/>
      <c r="V24" s="344"/>
      <c r="W24" s="344"/>
      <c r="X24" s="344"/>
      <c r="Y24" s="344"/>
      <c r="Z24" s="344"/>
      <c r="AA24" s="344"/>
      <c r="AB24" s="345"/>
      <c r="AC24" s="362"/>
      <c r="AD24" s="362"/>
      <c r="AE24" s="362"/>
      <c r="AF24" s="362"/>
      <c r="AG24" s="362"/>
      <c r="AH24" s="362"/>
      <c r="AI24" s="362"/>
      <c r="AJ24" s="362"/>
      <c r="AK24" s="362"/>
      <c r="AL24" s="362"/>
      <c r="AM24" s="362"/>
      <c r="AN24" s="362"/>
      <c r="AO24" s="362"/>
      <c r="AP24" s="362"/>
      <c r="AQ24" s="362"/>
      <c r="AR24" s="362"/>
      <c r="AS24" s="362"/>
      <c r="AT24" s="362"/>
      <c r="AU24" s="362"/>
      <c r="AV24" s="362"/>
      <c r="AW24" s="362"/>
      <c r="AX24" s="362"/>
      <c r="AY24" s="362"/>
      <c r="AZ24" s="362"/>
      <c r="BA24" s="362"/>
      <c r="BB24" s="362"/>
      <c r="BC24" s="362"/>
      <c r="BD24" s="412">
        <f>_DB_Exercises!$U$33</f>
        <v>1</v>
      </c>
      <c r="BE24" s="412"/>
      <c r="BF24" s="412"/>
      <c r="BG24" s="412"/>
      <c r="BH24" s="412"/>
      <c r="BI24" s="413"/>
      <c r="BJ24" s="106"/>
      <c r="BK24" s="146"/>
    </row>
    <row r="25" spans="1:63" s="107" customFormat="1" ht="26.1" customHeight="1" x14ac:dyDescent="0.3">
      <c r="A25" s="108"/>
      <c r="B25" s="337"/>
      <c r="C25" s="338"/>
      <c r="D25" s="338"/>
      <c r="E25" s="376"/>
      <c r="F25" s="376"/>
      <c r="G25" s="376"/>
      <c r="H25" s="376"/>
      <c r="I25" s="376"/>
      <c r="J25" s="376"/>
      <c r="K25" s="346"/>
      <c r="L25" s="347"/>
      <c r="M25" s="347"/>
      <c r="N25" s="347"/>
      <c r="O25" s="347"/>
      <c r="P25" s="347"/>
      <c r="Q25" s="347"/>
      <c r="R25" s="347"/>
      <c r="S25" s="347"/>
      <c r="T25" s="347"/>
      <c r="U25" s="347"/>
      <c r="V25" s="347"/>
      <c r="W25" s="347"/>
      <c r="X25" s="347"/>
      <c r="Y25" s="347"/>
      <c r="Z25" s="347"/>
      <c r="AA25" s="347"/>
      <c r="AB25" s="348"/>
      <c r="AC25" s="362"/>
      <c r="AD25" s="362"/>
      <c r="AE25" s="362"/>
      <c r="AF25" s="362"/>
      <c r="AG25" s="362"/>
      <c r="AH25" s="362"/>
      <c r="AI25" s="362"/>
      <c r="AJ25" s="362"/>
      <c r="AK25" s="362"/>
      <c r="AL25" s="362"/>
      <c r="AM25" s="362"/>
      <c r="AN25" s="362"/>
      <c r="AO25" s="362"/>
      <c r="AP25" s="362"/>
      <c r="AQ25" s="362"/>
      <c r="AR25" s="362"/>
      <c r="AS25" s="362"/>
      <c r="AT25" s="362"/>
      <c r="AU25" s="362"/>
      <c r="AV25" s="362"/>
      <c r="AW25" s="362"/>
      <c r="AX25" s="362"/>
      <c r="AY25" s="362"/>
      <c r="AZ25" s="362"/>
      <c r="BA25" s="362"/>
      <c r="BB25" s="362"/>
      <c r="BC25" s="362"/>
      <c r="BD25" s="412"/>
      <c r="BE25" s="412"/>
      <c r="BF25" s="412"/>
      <c r="BG25" s="412"/>
      <c r="BH25" s="412"/>
      <c r="BI25" s="413"/>
      <c r="BJ25" s="106"/>
      <c r="BK25" s="146"/>
    </row>
    <row r="26" spans="1:63" s="107" customFormat="1" ht="26.1" customHeight="1" x14ac:dyDescent="0.3">
      <c r="A26" s="108"/>
      <c r="B26" s="337"/>
      <c r="C26" s="338"/>
      <c r="D26" s="338"/>
      <c r="E26" s="376"/>
      <c r="F26" s="376"/>
      <c r="G26" s="376"/>
      <c r="H26" s="376"/>
      <c r="I26" s="376"/>
      <c r="J26" s="376"/>
      <c r="K26" s="367"/>
      <c r="L26" s="368"/>
      <c r="M26" s="368"/>
      <c r="N26" s="368"/>
      <c r="O26" s="368"/>
      <c r="P26" s="368"/>
      <c r="Q26" s="368"/>
      <c r="R26" s="368"/>
      <c r="S26" s="368"/>
      <c r="T26" s="368"/>
      <c r="U26" s="368"/>
      <c r="V26" s="368"/>
      <c r="W26" s="368"/>
      <c r="X26" s="368"/>
      <c r="Y26" s="368"/>
      <c r="Z26" s="368"/>
      <c r="AA26" s="368"/>
      <c r="AB26" s="369"/>
      <c r="AC26" s="362"/>
      <c r="AD26" s="362"/>
      <c r="AE26" s="362"/>
      <c r="AF26" s="362"/>
      <c r="AG26" s="362"/>
      <c r="AH26" s="362"/>
      <c r="AI26" s="362"/>
      <c r="AJ26" s="362"/>
      <c r="AK26" s="362"/>
      <c r="AL26" s="362"/>
      <c r="AM26" s="362"/>
      <c r="AN26" s="362"/>
      <c r="AO26" s="362"/>
      <c r="AP26" s="362"/>
      <c r="AQ26" s="362"/>
      <c r="AR26" s="362"/>
      <c r="AS26" s="362"/>
      <c r="AT26" s="362"/>
      <c r="AU26" s="362"/>
      <c r="AV26" s="362"/>
      <c r="AW26" s="362"/>
      <c r="AX26" s="362"/>
      <c r="AY26" s="362"/>
      <c r="AZ26" s="362"/>
      <c r="BA26" s="362"/>
      <c r="BB26" s="362"/>
      <c r="BC26" s="362"/>
      <c r="BD26" s="412"/>
      <c r="BE26" s="412"/>
      <c r="BF26" s="412"/>
      <c r="BG26" s="412"/>
      <c r="BH26" s="412"/>
      <c r="BI26" s="413"/>
      <c r="BJ26" s="106"/>
      <c r="BK26" s="146"/>
    </row>
    <row r="27" spans="1:63" s="107" customFormat="1" ht="26.1" customHeight="1" x14ac:dyDescent="0.3">
      <c r="A27" s="108"/>
      <c r="B27" s="337"/>
      <c r="C27" s="338"/>
      <c r="D27" s="338"/>
      <c r="E27" s="350" t="s">
        <v>457</v>
      </c>
      <c r="F27" s="350"/>
      <c r="G27" s="350"/>
      <c r="H27" s="350"/>
      <c r="I27" s="350"/>
      <c r="J27" s="350"/>
      <c r="K27" s="370"/>
      <c r="L27" s="371"/>
      <c r="M27" s="371"/>
      <c r="N27" s="371"/>
      <c r="O27" s="371"/>
      <c r="P27" s="371"/>
      <c r="Q27" s="371"/>
      <c r="R27" s="371"/>
      <c r="S27" s="371"/>
      <c r="T27" s="371"/>
      <c r="U27" s="371"/>
      <c r="V27" s="371"/>
      <c r="W27" s="371"/>
      <c r="X27" s="371"/>
      <c r="Y27" s="371"/>
      <c r="Z27" s="371"/>
      <c r="AA27" s="371"/>
      <c r="AB27" s="372"/>
      <c r="AC27" s="362"/>
      <c r="AD27" s="362"/>
      <c r="AE27" s="362"/>
      <c r="AF27" s="362"/>
      <c r="AG27" s="362"/>
      <c r="AH27" s="362"/>
      <c r="AI27" s="362"/>
      <c r="AJ27" s="362"/>
      <c r="AK27" s="362"/>
      <c r="AL27" s="362"/>
      <c r="AM27" s="362"/>
      <c r="AN27" s="362"/>
      <c r="AO27" s="362"/>
      <c r="AP27" s="362"/>
      <c r="AQ27" s="362"/>
      <c r="AR27" s="362"/>
      <c r="AS27" s="362"/>
      <c r="AT27" s="362"/>
      <c r="AU27" s="362"/>
      <c r="AV27" s="362"/>
      <c r="AW27" s="362"/>
      <c r="AX27" s="362"/>
      <c r="AY27" s="362"/>
      <c r="AZ27" s="362"/>
      <c r="BA27" s="362"/>
      <c r="BB27" s="362"/>
      <c r="BC27" s="362"/>
      <c r="BD27" s="389" t="s">
        <v>88</v>
      </c>
      <c r="BE27" s="389"/>
      <c r="BF27" s="389"/>
      <c r="BG27" s="389"/>
      <c r="BH27" s="389"/>
      <c r="BI27" s="403"/>
      <c r="BJ27" s="106"/>
      <c r="BK27" s="146"/>
    </row>
    <row r="28" spans="1:63" s="107" customFormat="1" ht="26.1" customHeight="1" x14ac:dyDescent="0.3">
      <c r="A28" s="108"/>
      <c r="B28" s="337"/>
      <c r="C28" s="338"/>
      <c r="D28" s="338"/>
      <c r="E28" s="376" t="s">
        <v>181</v>
      </c>
      <c r="F28" s="376"/>
      <c r="G28" s="376"/>
      <c r="H28" s="376"/>
      <c r="I28" s="376"/>
      <c r="J28" s="376"/>
      <c r="K28" s="370"/>
      <c r="L28" s="371"/>
      <c r="M28" s="371"/>
      <c r="N28" s="371"/>
      <c r="O28" s="371"/>
      <c r="P28" s="371"/>
      <c r="Q28" s="371"/>
      <c r="R28" s="371"/>
      <c r="S28" s="371"/>
      <c r="T28" s="371"/>
      <c r="U28" s="371"/>
      <c r="V28" s="371"/>
      <c r="W28" s="371"/>
      <c r="X28" s="371"/>
      <c r="Y28" s="371"/>
      <c r="Z28" s="371"/>
      <c r="AA28" s="371"/>
      <c r="AB28" s="372"/>
      <c r="AC28" s="362"/>
      <c r="AD28" s="362"/>
      <c r="AE28" s="362"/>
      <c r="AF28" s="362"/>
      <c r="AG28" s="362"/>
      <c r="AH28" s="362"/>
      <c r="AI28" s="362"/>
      <c r="AJ28" s="362"/>
      <c r="AK28" s="362"/>
      <c r="AL28" s="362"/>
      <c r="AM28" s="362"/>
      <c r="AN28" s="362"/>
      <c r="AO28" s="362"/>
      <c r="AP28" s="362"/>
      <c r="AQ28" s="362"/>
      <c r="AR28" s="362"/>
      <c r="AS28" s="362"/>
      <c r="AT28" s="362"/>
      <c r="AU28" s="362"/>
      <c r="AV28" s="362"/>
      <c r="AW28" s="362"/>
      <c r="AX28" s="362"/>
      <c r="AY28" s="362"/>
      <c r="AZ28" s="362"/>
      <c r="BA28" s="362"/>
      <c r="BB28" s="362"/>
      <c r="BC28" s="362"/>
      <c r="BD28" s="393"/>
      <c r="BE28" s="393"/>
      <c r="BF28" s="393"/>
      <c r="BG28" s="393"/>
      <c r="BH28" s="393"/>
      <c r="BI28" s="394"/>
      <c r="BJ28" s="106"/>
      <c r="BK28" s="146"/>
    </row>
    <row r="29" spans="1:63" s="107" customFormat="1" ht="26.1" customHeight="1" x14ac:dyDescent="0.3">
      <c r="A29" s="108"/>
      <c r="B29" s="337"/>
      <c r="C29" s="338"/>
      <c r="D29" s="338"/>
      <c r="E29" s="376"/>
      <c r="F29" s="376"/>
      <c r="G29" s="376"/>
      <c r="H29" s="376"/>
      <c r="I29" s="376"/>
      <c r="J29" s="376"/>
      <c r="K29" s="370"/>
      <c r="L29" s="371"/>
      <c r="M29" s="371"/>
      <c r="N29" s="371"/>
      <c r="O29" s="371"/>
      <c r="P29" s="371"/>
      <c r="Q29" s="371"/>
      <c r="R29" s="371"/>
      <c r="S29" s="371"/>
      <c r="T29" s="371"/>
      <c r="U29" s="371"/>
      <c r="V29" s="371"/>
      <c r="W29" s="371"/>
      <c r="X29" s="371"/>
      <c r="Y29" s="371"/>
      <c r="Z29" s="371"/>
      <c r="AA29" s="371"/>
      <c r="AB29" s="372"/>
      <c r="AC29" s="362"/>
      <c r="AD29" s="362"/>
      <c r="AE29" s="362"/>
      <c r="AF29" s="362"/>
      <c r="AG29" s="362"/>
      <c r="AH29" s="362"/>
      <c r="AI29" s="362"/>
      <c r="AJ29" s="362"/>
      <c r="AK29" s="362"/>
      <c r="AL29" s="362"/>
      <c r="AM29" s="362"/>
      <c r="AN29" s="362"/>
      <c r="AO29" s="362"/>
      <c r="AP29" s="362"/>
      <c r="AQ29" s="362"/>
      <c r="AR29" s="362"/>
      <c r="AS29" s="362"/>
      <c r="AT29" s="362"/>
      <c r="AU29" s="362"/>
      <c r="AV29" s="362"/>
      <c r="AW29" s="362"/>
      <c r="AX29" s="362"/>
      <c r="AY29" s="362"/>
      <c r="AZ29" s="362"/>
      <c r="BA29" s="362"/>
      <c r="BB29" s="362"/>
      <c r="BC29" s="362"/>
      <c r="BD29" s="393"/>
      <c r="BE29" s="393"/>
      <c r="BF29" s="393"/>
      <c r="BG29" s="393"/>
      <c r="BH29" s="393"/>
      <c r="BI29" s="394"/>
      <c r="BJ29" s="106"/>
      <c r="BK29" s="146"/>
    </row>
    <row r="30" spans="1:63" s="107" customFormat="1" ht="26.1" customHeight="1" x14ac:dyDescent="0.3">
      <c r="A30" s="108"/>
      <c r="B30" s="337"/>
      <c r="C30" s="338"/>
      <c r="D30" s="338"/>
      <c r="E30" s="376"/>
      <c r="F30" s="376"/>
      <c r="G30" s="376"/>
      <c r="H30" s="376"/>
      <c r="I30" s="376"/>
      <c r="J30" s="376"/>
      <c r="K30" s="370"/>
      <c r="L30" s="371"/>
      <c r="M30" s="371"/>
      <c r="N30" s="371"/>
      <c r="O30" s="371"/>
      <c r="P30" s="371"/>
      <c r="Q30" s="371"/>
      <c r="R30" s="371"/>
      <c r="S30" s="371"/>
      <c r="T30" s="371"/>
      <c r="U30" s="371"/>
      <c r="V30" s="371"/>
      <c r="W30" s="371"/>
      <c r="X30" s="371"/>
      <c r="Y30" s="371"/>
      <c r="Z30" s="371"/>
      <c r="AA30" s="371"/>
      <c r="AB30" s="372"/>
      <c r="AC30" s="362"/>
      <c r="AD30" s="362"/>
      <c r="AE30" s="362"/>
      <c r="AF30" s="362"/>
      <c r="AG30" s="362"/>
      <c r="AH30" s="362"/>
      <c r="AI30" s="362"/>
      <c r="AJ30" s="362"/>
      <c r="AK30" s="362"/>
      <c r="AL30" s="362"/>
      <c r="AM30" s="362"/>
      <c r="AN30" s="362"/>
      <c r="AO30" s="362"/>
      <c r="AP30" s="362"/>
      <c r="AQ30" s="362"/>
      <c r="AR30" s="362"/>
      <c r="AS30" s="362"/>
      <c r="AT30" s="362"/>
      <c r="AU30" s="362"/>
      <c r="AV30" s="362"/>
      <c r="AW30" s="362"/>
      <c r="AX30" s="362"/>
      <c r="AY30" s="362"/>
      <c r="AZ30" s="362"/>
      <c r="BA30" s="362"/>
      <c r="BB30" s="362"/>
      <c r="BC30" s="362"/>
      <c r="BD30" s="393"/>
      <c r="BE30" s="393"/>
      <c r="BF30" s="393"/>
      <c r="BG30" s="393"/>
      <c r="BH30" s="393"/>
      <c r="BI30" s="394"/>
      <c r="BJ30" s="106"/>
      <c r="BK30" s="146"/>
    </row>
    <row r="31" spans="1:63" s="107" customFormat="1" ht="26.1" customHeight="1" x14ac:dyDescent="0.3">
      <c r="A31" s="108"/>
      <c r="B31" s="349" t="s">
        <v>637</v>
      </c>
      <c r="C31" s="350"/>
      <c r="D31" s="350"/>
      <c r="E31" s="350" t="s">
        <v>622</v>
      </c>
      <c r="F31" s="350"/>
      <c r="G31" s="350"/>
      <c r="H31" s="350"/>
      <c r="I31" s="350"/>
      <c r="J31" s="350"/>
      <c r="K31" s="370"/>
      <c r="L31" s="371"/>
      <c r="M31" s="371"/>
      <c r="N31" s="371"/>
      <c r="O31" s="371"/>
      <c r="P31" s="371"/>
      <c r="Q31" s="371"/>
      <c r="R31" s="371"/>
      <c r="S31" s="371"/>
      <c r="T31" s="371"/>
      <c r="U31" s="371"/>
      <c r="V31" s="371"/>
      <c r="W31" s="371"/>
      <c r="X31" s="371"/>
      <c r="Y31" s="371"/>
      <c r="Z31" s="371"/>
      <c r="AA31" s="371"/>
      <c r="AB31" s="372"/>
      <c r="AC31" s="362"/>
      <c r="AD31" s="362"/>
      <c r="AE31" s="362"/>
      <c r="AF31" s="362"/>
      <c r="AG31" s="362"/>
      <c r="AH31" s="362"/>
      <c r="AI31" s="362"/>
      <c r="AJ31" s="362"/>
      <c r="AK31" s="362"/>
      <c r="AL31" s="362"/>
      <c r="AM31" s="362"/>
      <c r="AN31" s="362"/>
      <c r="AO31" s="362"/>
      <c r="AP31" s="362"/>
      <c r="AQ31" s="362"/>
      <c r="AR31" s="362"/>
      <c r="AS31" s="362"/>
      <c r="AT31" s="362"/>
      <c r="AU31" s="362"/>
      <c r="AV31" s="362"/>
      <c r="AW31" s="362"/>
      <c r="AX31" s="362"/>
      <c r="AY31" s="362"/>
      <c r="AZ31" s="362"/>
      <c r="BA31" s="362"/>
      <c r="BB31" s="362"/>
      <c r="BC31" s="362"/>
      <c r="BD31" s="389" t="s">
        <v>46</v>
      </c>
      <c r="BE31" s="389"/>
      <c r="BF31" s="389"/>
      <c r="BG31" s="389"/>
      <c r="BH31" s="389"/>
      <c r="BI31" s="403"/>
      <c r="BJ31" s="106"/>
      <c r="BK31" s="146"/>
    </row>
    <row r="32" spans="1:63" s="107" customFormat="1" ht="26.1" customHeight="1" x14ac:dyDescent="0.3">
      <c r="A32" s="108"/>
      <c r="B32" s="351">
        <v>2019</v>
      </c>
      <c r="C32" s="352"/>
      <c r="D32" s="352"/>
      <c r="E32" s="376" t="s">
        <v>861</v>
      </c>
      <c r="F32" s="376"/>
      <c r="G32" s="376"/>
      <c r="H32" s="376"/>
      <c r="I32" s="376"/>
      <c r="J32" s="376"/>
      <c r="K32" s="370"/>
      <c r="L32" s="371"/>
      <c r="M32" s="371"/>
      <c r="N32" s="371"/>
      <c r="O32" s="371"/>
      <c r="P32" s="371"/>
      <c r="Q32" s="371"/>
      <c r="R32" s="371"/>
      <c r="S32" s="371"/>
      <c r="T32" s="371"/>
      <c r="U32" s="371"/>
      <c r="V32" s="371"/>
      <c r="W32" s="371"/>
      <c r="X32" s="371"/>
      <c r="Y32" s="371"/>
      <c r="Z32" s="371"/>
      <c r="AA32" s="371"/>
      <c r="AB32" s="372"/>
      <c r="AC32" s="362"/>
      <c r="AD32" s="362"/>
      <c r="AE32" s="362"/>
      <c r="AF32" s="362"/>
      <c r="AG32" s="362"/>
      <c r="AH32" s="362"/>
      <c r="AI32" s="362"/>
      <c r="AJ32" s="362"/>
      <c r="AK32" s="362"/>
      <c r="AL32" s="362"/>
      <c r="AM32" s="362"/>
      <c r="AN32" s="362"/>
      <c r="AO32" s="362"/>
      <c r="AP32" s="362"/>
      <c r="AQ32" s="362"/>
      <c r="AR32" s="362"/>
      <c r="AS32" s="362"/>
      <c r="AT32" s="362"/>
      <c r="AU32" s="362"/>
      <c r="AV32" s="362"/>
      <c r="AW32" s="362"/>
      <c r="AX32" s="362"/>
      <c r="AY32" s="362"/>
      <c r="AZ32" s="362"/>
      <c r="BA32" s="362"/>
      <c r="BB32" s="362"/>
      <c r="BC32" s="362"/>
      <c r="BD32" s="406" t="str">
        <f>IFERROR(getResultHCPByExID(2019, $BD$28, $AI$5),"MISSING HCP")</f>
        <v/>
      </c>
      <c r="BE32" s="406"/>
      <c r="BF32" s="406"/>
      <c r="BG32" s="406"/>
      <c r="BH32" s="406"/>
      <c r="BI32" s="407"/>
      <c r="BJ32" s="106"/>
      <c r="BK32" s="146"/>
    </row>
    <row r="33" spans="1:63" s="107" customFormat="1" ht="26.1" customHeight="1" x14ac:dyDescent="0.3">
      <c r="A33" s="108"/>
      <c r="B33" s="351"/>
      <c r="C33" s="352"/>
      <c r="D33" s="352"/>
      <c r="E33" s="376"/>
      <c r="F33" s="376"/>
      <c r="G33" s="376"/>
      <c r="H33" s="376"/>
      <c r="I33" s="376"/>
      <c r="J33" s="376"/>
      <c r="K33" s="370"/>
      <c r="L33" s="371"/>
      <c r="M33" s="371"/>
      <c r="N33" s="371"/>
      <c r="O33" s="371"/>
      <c r="P33" s="371"/>
      <c r="Q33" s="371"/>
      <c r="R33" s="371"/>
      <c r="S33" s="371"/>
      <c r="T33" s="371"/>
      <c r="U33" s="371"/>
      <c r="V33" s="371"/>
      <c r="W33" s="371"/>
      <c r="X33" s="371"/>
      <c r="Y33" s="371"/>
      <c r="Z33" s="371"/>
      <c r="AA33" s="371"/>
      <c r="AB33" s="372"/>
      <c r="AC33" s="362"/>
      <c r="AD33" s="362"/>
      <c r="AE33" s="362"/>
      <c r="AF33" s="362"/>
      <c r="AG33" s="362"/>
      <c r="AH33" s="362"/>
      <c r="AI33" s="362"/>
      <c r="AJ33" s="362"/>
      <c r="AK33" s="362"/>
      <c r="AL33" s="362"/>
      <c r="AM33" s="362"/>
      <c r="AN33" s="362"/>
      <c r="AO33" s="362"/>
      <c r="AP33" s="362"/>
      <c r="AQ33" s="362"/>
      <c r="AR33" s="362"/>
      <c r="AS33" s="362"/>
      <c r="AT33" s="362"/>
      <c r="AU33" s="362"/>
      <c r="AV33" s="362"/>
      <c r="AW33" s="362"/>
      <c r="AX33" s="362"/>
      <c r="AY33" s="362"/>
      <c r="AZ33" s="362"/>
      <c r="BA33" s="362"/>
      <c r="BB33" s="362"/>
      <c r="BC33" s="362"/>
      <c r="BD33" s="406"/>
      <c r="BE33" s="406"/>
      <c r="BF33" s="406"/>
      <c r="BG33" s="406"/>
      <c r="BH33" s="406"/>
      <c r="BI33" s="407"/>
      <c r="BJ33" s="106"/>
      <c r="BK33" s="146"/>
    </row>
    <row r="34" spans="1:63" s="107" customFormat="1" ht="26.1" customHeight="1" x14ac:dyDescent="0.3">
      <c r="A34" s="108"/>
      <c r="B34" s="351"/>
      <c r="C34" s="352"/>
      <c r="D34" s="352"/>
      <c r="E34" s="376"/>
      <c r="F34" s="376"/>
      <c r="G34" s="376"/>
      <c r="H34" s="376"/>
      <c r="I34" s="376"/>
      <c r="J34" s="376"/>
      <c r="K34" s="370"/>
      <c r="L34" s="371"/>
      <c r="M34" s="371"/>
      <c r="N34" s="371"/>
      <c r="O34" s="371"/>
      <c r="P34" s="371"/>
      <c r="Q34" s="371"/>
      <c r="R34" s="371"/>
      <c r="S34" s="371"/>
      <c r="T34" s="371"/>
      <c r="U34" s="371"/>
      <c r="V34" s="371"/>
      <c r="W34" s="371"/>
      <c r="X34" s="371"/>
      <c r="Y34" s="371"/>
      <c r="Z34" s="371"/>
      <c r="AA34" s="371"/>
      <c r="AB34" s="372"/>
      <c r="AC34" s="362"/>
      <c r="AD34" s="362"/>
      <c r="AE34" s="362"/>
      <c r="AF34" s="362"/>
      <c r="AG34" s="362"/>
      <c r="AH34" s="362"/>
      <c r="AI34" s="362"/>
      <c r="AJ34" s="362"/>
      <c r="AK34" s="362"/>
      <c r="AL34" s="362"/>
      <c r="AM34" s="362"/>
      <c r="AN34" s="362"/>
      <c r="AO34" s="362"/>
      <c r="AP34" s="362"/>
      <c r="AQ34" s="362"/>
      <c r="AR34" s="362"/>
      <c r="AS34" s="362"/>
      <c r="AT34" s="362"/>
      <c r="AU34" s="362"/>
      <c r="AV34" s="362"/>
      <c r="AW34" s="362"/>
      <c r="AX34" s="362"/>
      <c r="AY34" s="362"/>
      <c r="AZ34" s="362"/>
      <c r="BA34" s="362"/>
      <c r="BB34" s="362"/>
      <c r="BC34" s="362"/>
      <c r="BD34" s="406"/>
      <c r="BE34" s="406"/>
      <c r="BF34" s="406"/>
      <c r="BG34" s="406"/>
      <c r="BH34" s="406"/>
      <c r="BI34" s="407"/>
      <c r="BJ34" s="106"/>
      <c r="BK34" s="146"/>
    </row>
    <row r="35" spans="1:63" s="107" customFormat="1" ht="26.1" customHeight="1" x14ac:dyDescent="0.3">
      <c r="A35" s="108"/>
      <c r="B35" s="356" t="s">
        <v>459</v>
      </c>
      <c r="C35" s="357"/>
      <c r="D35" s="357"/>
      <c r="E35" s="350" t="s">
        <v>623</v>
      </c>
      <c r="F35" s="350"/>
      <c r="G35" s="350"/>
      <c r="H35" s="350"/>
      <c r="I35" s="350"/>
      <c r="J35" s="350"/>
      <c r="K35" s="370"/>
      <c r="L35" s="371"/>
      <c r="M35" s="371"/>
      <c r="N35" s="371"/>
      <c r="O35" s="371"/>
      <c r="P35" s="371"/>
      <c r="Q35" s="371"/>
      <c r="R35" s="371"/>
      <c r="S35" s="371"/>
      <c r="T35" s="371"/>
      <c r="U35" s="371"/>
      <c r="V35" s="371"/>
      <c r="W35" s="371"/>
      <c r="X35" s="371"/>
      <c r="Y35" s="371"/>
      <c r="Z35" s="371"/>
      <c r="AA35" s="371"/>
      <c r="AB35" s="372"/>
      <c r="AC35" s="362"/>
      <c r="AD35" s="362"/>
      <c r="AE35" s="362"/>
      <c r="AF35" s="362"/>
      <c r="AG35" s="362"/>
      <c r="AH35" s="362"/>
      <c r="AI35" s="362"/>
      <c r="AJ35" s="362"/>
      <c r="AK35" s="362"/>
      <c r="AL35" s="362"/>
      <c r="AM35" s="362"/>
      <c r="AN35" s="362"/>
      <c r="AO35" s="362"/>
      <c r="AP35" s="362"/>
      <c r="AQ35" s="362"/>
      <c r="AR35" s="362"/>
      <c r="AS35" s="362"/>
      <c r="AT35" s="362"/>
      <c r="AU35" s="362"/>
      <c r="AV35" s="362"/>
      <c r="AW35" s="362"/>
      <c r="AX35" s="362"/>
      <c r="AY35" s="362"/>
      <c r="AZ35" s="362"/>
      <c r="BA35" s="362"/>
      <c r="BB35" s="362"/>
      <c r="BC35" s="362"/>
      <c r="BD35" s="389" t="s">
        <v>638</v>
      </c>
      <c r="BE35" s="389"/>
      <c r="BF35" s="389"/>
      <c r="BG35" s="389"/>
      <c r="BH35" s="389"/>
      <c r="BI35" s="403"/>
      <c r="BJ35" s="106"/>
      <c r="BK35" s="146"/>
    </row>
    <row r="36" spans="1:63" s="107" customFormat="1" ht="26.1" customHeight="1" x14ac:dyDescent="0.3">
      <c r="A36" s="108"/>
      <c r="B36" s="351">
        <v>5</v>
      </c>
      <c r="C36" s="352"/>
      <c r="D36" s="352"/>
      <c r="E36" s="376">
        <v>1</v>
      </c>
      <c r="F36" s="376"/>
      <c r="G36" s="376"/>
      <c r="H36" s="376"/>
      <c r="I36" s="376"/>
      <c r="J36" s="376"/>
      <c r="K36" s="370"/>
      <c r="L36" s="371"/>
      <c r="M36" s="371"/>
      <c r="N36" s="371"/>
      <c r="O36" s="371"/>
      <c r="P36" s="371"/>
      <c r="Q36" s="371"/>
      <c r="R36" s="371"/>
      <c r="S36" s="371"/>
      <c r="T36" s="371"/>
      <c r="U36" s="371"/>
      <c r="V36" s="371"/>
      <c r="W36" s="371"/>
      <c r="X36" s="371"/>
      <c r="Y36" s="371"/>
      <c r="Z36" s="371"/>
      <c r="AA36" s="371"/>
      <c r="AB36" s="372"/>
      <c r="AC36" s="362"/>
      <c r="AD36" s="362"/>
      <c r="AE36" s="362"/>
      <c r="AF36" s="362"/>
      <c r="AG36" s="362"/>
      <c r="AH36" s="362"/>
      <c r="AI36" s="362"/>
      <c r="AJ36" s="362"/>
      <c r="AK36" s="362"/>
      <c r="AL36" s="362"/>
      <c r="AM36" s="362"/>
      <c r="AN36" s="362"/>
      <c r="AO36" s="362"/>
      <c r="AP36" s="362"/>
      <c r="AQ36" s="362"/>
      <c r="AR36" s="362"/>
      <c r="AS36" s="362"/>
      <c r="AT36" s="362"/>
      <c r="AU36" s="362"/>
      <c r="AV36" s="362"/>
      <c r="AW36" s="362"/>
      <c r="AX36" s="362"/>
      <c r="AY36" s="362"/>
      <c r="AZ36" s="362"/>
      <c r="BA36" s="362"/>
      <c r="BB36" s="362"/>
      <c r="BC36" s="362"/>
      <c r="BD36" s="393"/>
      <c r="BE36" s="393"/>
      <c r="BF36" s="393"/>
      <c r="BG36" s="393"/>
      <c r="BH36" s="393"/>
      <c r="BI36" s="394"/>
      <c r="BJ36" s="106"/>
      <c r="BK36" s="146"/>
    </row>
    <row r="37" spans="1:63" s="107" customFormat="1" ht="26.1" customHeight="1" x14ac:dyDescent="0.3">
      <c r="A37" s="108"/>
      <c r="B37" s="351"/>
      <c r="C37" s="352"/>
      <c r="D37" s="352"/>
      <c r="E37" s="376"/>
      <c r="F37" s="376"/>
      <c r="G37" s="376"/>
      <c r="H37" s="376"/>
      <c r="I37" s="376"/>
      <c r="J37" s="376"/>
      <c r="K37" s="370"/>
      <c r="L37" s="371"/>
      <c r="M37" s="371"/>
      <c r="N37" s="371"/>
      <c r="O37" s="371"/>
      <c r="P37" s="371"/>
      <c r="Q37" s="371"/>
      <c r="R37" s="371"/>
      <c r="S37" s="371"/>
      <c r="T37" s="371"/>
      <c r="U37" s="371"/>
      <c r="V37" s="371"/>
      <c r="W37" s="371"/>
      <c r="X37" s="371"/>
      <c r="Y37" s="371"/>
      <c r="Z37" s="371"/>
      <c r="AA37" s="371"/>
      <c r="AB37" s="372"/>
      <c r="AC37" s="362"/>
      <c r="AD37" s="362"/>
      <c r="AE37" s="362"/>
      <c r="AF37" s="362"/>
      <c r="AG37" s="362"/>
      <c r="AH37" s="362"/>
      <c r="AI37" s="362"/>
      <c r="AJ37" s="362"/>
      <c r="AK37" s="362"/>
      <c r="AL37" s="362"/>
      <c r="AM37" s="362"/>
      <c r="AN37" s="362"/>
      <c r="AO37" s="362"/>
      <c r="AP37" s="362"/>
      <c r="AQ37" s="362"/>
      <c r="AR37" s="362"/>
      <c r="AS37" s="362"/>
      <c r="AT37" s="362"/>
      <c r="AU37" s="362"/>
      <c r="AV37" s="362"/>
      <c r="AW37" s="362"/>
      <c r="AX37" s="362"/>
      <c r="AY37" s="362"/>
      <c r="AZ37" s="362"/>
      <c r="BA37" s="362"/>
      <c r="BB37" s="362"/>
      <c r="BC37" s="362"/>
      <c r="BD37" s="393"/>
      <c r="BE37" s="393"/>
      <c r="BF37" s="393"/>
      <c r="BG37" s="393"/>
      <c r="BH37" s="393"/>
      <c r="BI37" s="394"/>
      <c r="BJ37" s="106"/>
      <c r="BK37" s="146"/>
    </row>
    <row r="38" spans="1:63" s="107" customFormat="1" ht="26.1" customHeight="1" thickBot="1" x14ac:dyDescent="0.35">
      <c r="A38" s="108"/>
      <c r="B38" s="404"/>
      <c r="C38" s="405"/>
      <c r="D38" s="405"/>
      <c r="E38" s="392"/>
      <c r="F38" s="392"/>
      <c r="G38" s="392"/>
      <c r="H38" s="392"/>
      <c r="I38" s="392"/>
      <c r="J38" s="392"/>
      <c r="K38" s="373"/>
      <c r="L38" s="374"/>
      <c r="M38" s="374"/>
      <c r="N38" s="374"/>
      <c r="O38" s="374"/>
      <c r="P38" s="374"/>
      <c r="Q38" s="374"/>
      <c r="R38" s="374"/>
      <c r="S38" s="374"/>
      <c r="T38" s="374"/>
      <c r="U38" s="374"/>
      <c r="V38" s="374"/>
      <c r="W38" s="374"/>
      <c r="X38" s="374"/>
      <c r="Y38" s="374"/>
      <c r="Z38" s="374"/>
      <c r="AA38" s="374"/>
      <c r="AB38" s="375"/>
      <c r="AC38" s="409"/>
      <c r="AD38" s="409"/>
      <c r="AE38" s="409"/>
      <c r="AF38" s="409"/>
      <c r="AG38" s="409"/>
      <c r="AH38" s="409"/>
      <c r="AI38" s="409"/>
      <c r="AJ38" s="409"/>
      <c r="AK38" s="409"/>
      <c r="AL38" s="409"/>
      <c r="AM38" s="409"/>
      <c r="AN38" s="409"/>
      <c r="AO38" s="409"/>
      <c r="AP38" s="409"/>
      <c r="AQ38" s="409"/>
      <c r="AR38" s="409"/>
      <c r="AS38" s="409"/>
      <c r="AT38" s="409"/>
      <c r="AU38" s="409"/>
      <c r="AV38" s="409"/>
      <c r="AW38" s="409"/>
      <c r="AX38" s="409"/>
      <c r="AY38" s="409"/>
      <c r="AZ38" s="409"/>
      <c r="BA38" s="409"/>
      <c r="BB38" s="409"/>
      <c r="BC38" s="409"/>
      <c r="BD38" s="395"/>
      <c r="BE38" s="395"/>
      <c r="BF38" s="395"/>
      <c r="BG38" s="395"/>
      <c r="BH38" s="395"/>
      <c r="BI38" s="396"/>
      <c r="BJ38" s="106"/>
      <c r="BK38" s="146"/>
    </row>
    <row r="39" spans="1:63" s="107" customFormat="1" ht="26.1" hidden="1" customHeight="1" thickTop="1" x14ac:dyDescent="0.3">
      <c r="A39" s="108"/>
      <c r="B39" s="335">
        <v>3</v>
      </c>
      <c r="C39" s="336"/>
      <c r="D39" s="336"/>
      <c r="E39" s="339" t="s">
        <v>621</v>
      </c>
      <c r="F39" s="339"/>
      <c r="G39" s="339"/>
      <c r="H39" s="339"/>
      <c r="I39" s="339"/>
      <c r="J39" s="339"/>
      <c r="K39" s="340"/>
      <c r="L39" s="341"/>
      <c r="M39" s="341"/>
      <c r="N39" s="341"/>
      <c r="O39" s="341"/>
      <c r="P39" s="341"/>
      <c r="Q39" s="341"/>
      <c r="R39" s="341"/>
      <c r="S39" s="341"/>
      <c r="T39" s="341"/>
      <c r="U39" s="341"/>
      <c r="V39" s="341"/>
      <c r="W39" s="341"/>
      <c r="X39" s="341"/>
      <c r="Y39" s="341"/>
      <c r="Z39" s="341"/>
      <c r="AA39" s="341"/>
      <c r="AB39" s="342"/>
      <c r="AC39" s="408"/>
      <c r="AD39" s="408"/>
      <c r="AE39" s="408"/>
      <c r="AF39" s="408"/>
      <c r="AG39" s="408"/>
      <c r="AH39" s="408"/>
      <c r="AI39" s="408"/>
      <c r="AJ39" s="408"/>
      <c r="AK39" s="408"/>
      <c r="AL39" s="408"/>
      <c r="AM39" s="408"/>
      <c r="AN39" s="408"/>
      <c r="AO39" s="408"/>
      <c r="AP39" s="408"/>
      <c r="AQ39" s="408"/>
      <c r="AR39" s="408"/>
      <c r="AS39" s="408"/>
      <c r="AT39" s="408"/>
      <c r="AU39" s="408"/>
      <c r="AV39" s="408"/>
      <c r="AW39" s="408"/>
      <c r="AX39" s="408"/>
      <c r="AY39" s="408"/>
      <c r="AZ39" s="408"/>
      <c r="BA39" s="408"/>
      <c r="BB39" s="408"/>
      <c r="BC39" s="408"/>
      <c r="BD39" s="410" t="s">
        <v>246</v>
      </c>
      <c r="BE39" s="410"/>
      <c r="BF39" s="410"/>
      <c r="BG39" s="410"/>
      <c r="BH39" s="410"/>
      <c r="BI39" s="411"/>
      <c r="BJ39" s="106"/>
      <c r="BK39" s="146"/>
    </row>
    <row r="40" spans="1:63" s="107" customFormat="1" ht="26.1" hidden="1" customHeight="1" x14ac:dyDescent="0.3">
      <c r="A40" s="108"/>
      <c r="B40" s="337"/>
      <c r="C40" s="338"/>
      <c r="D40" s="338"/>
      <c r="E40" s="376"/>
      <c r="F40" s="376"/>
      <c r="G40" s="376"/>
      <c r="H40" s="376"/>
      <c r="I40" s="376"/>
      <c r="J40" s="376"/>
      <c r="K40" s="343"/>
      <c r="L40" s="344"/>
      <c r="M40" s="344"/>
      <c r="N40" s="344"/>
      <c r="O40" s="344"/>
      <c r="P40" s="344"/>
      <c r="Q40" s="344"/>
      <c r="R40" s="344"/>
      <c r="S40" s="344"/>
      <c r="T40" s="344"/>
      <c r="U40" s="344"/>
      <c r="V40" s="344"/>
      <c r="W40" s="344"/>
      <c r="X40" s="344"/>
      <c r="Y40" s="344"/>
      <c r="Z40" s="344"/>
      <c r="AA40" s="344"/>
      <c r="AB40" s="345"/>
      <c r="AC40" s="362"/>
      <c r="AD40" s="362"/>
      <c r="AE40" s="362"/>
      <c r="AF40" s="362"/>
      <c r="AG40" s="362"/>
      <c r="AH40" s="362"/>
      <c r="AI40" s="362"/>
      <c r="AJ40" s="362"/>
      <c r="AK40" s="362"/>
      <c r="AL40" s="362"/>
      <c r="AM40" s="362"/>
      <c r="AN40" s="362"/>
      <c r="AO40" s="362"/>
      <c r="AP40" s="362"/>
      <c r="AQ40" s="362"/>
      <c r="AR40" s="362"/>
      <c r="AS40" s="362"/>
      <c r="AT40" s="362"/>
      <c r="AU40" s="362"/>
      <c r="AV40" s="362"/>
      <c r="AW40" s="362"/>
      <c r="AX40" s="362"/>
      <c r="AY40" s="362"/>
      <c r="AZ40" s="362"/>
      <c r="BA40" s="362"/>
      <c r="BB40" s="362"/>
      <c r="BC40" s="362"/>
      <c r="BD40" s="412"/>
      <c r="BE40" s="412"/>
      <c r="BF40" s="412"/>
      <c r="BG40" s="412"/>
      <c r="BH40" s="412"/>
      <c r="BI40" s="413"/>
      <c r="BJ40" s="106"/>
      <c r="BK40" s="146"/>
    </row>
    <row r="41" spans="1:63" s="107" customFormat="1" ht="26.1" hidden="1" customHeight="1" x14ac:dyDescent="0.3">
      <c r="A41" s="108"/>
      <c r="B41" s="337"/>
      <c r="C41" s="338"/>
      <c r="D41" s="338"/>
      <c r="E41" s="376"/>
      <c r="F41" s="376"/>
      <c r="G41" s="376"/>
      <c r="H41" s="376"/>
      <c r="I41" s="376"/>
      <c r="J41" s="376"/>
      <c r="K41" s="346"/>
      <c r="L41" s="347"/>
      <c r="M41" s="347"/>
      <c r="N41" s="347"/>
      <c r="O41" s="347"/>
      <c r="P41" s="347"/>
      <c r="Q41" s="347"/>
      <c r="R41" s="347"/>
      <c r="S41" s="347"/>
      <c r="T41" s="347"/>
      <c r="U41" s="347"/>
      <c r="V41" s="347"/>
      <c r="W41" s="347"/>
      <c r="X41" s="347"/>
      <c r="Y41" s="347"/>
      <c r="Z41" s="347"/>
      <c r="AA41" s="347"/>
      <c r="AB41" s="348"/>
      <c r="AC41" s="362"/>
      <c r="AD41" s="362"/>
      <c r="AE41" s="362"/>
      <c r="AF41" s="362"/>
      <c r="AG41" s="362"/>
      <c r="AH41" s="362"/>
      <c r="AI41" s="362"/>
      <c r="AJ41" s="362"/>
      <c r="AK41" s="362"/>
      <c r="AL41" s="362"/>
      <c r="AM41" s="362"/>
      <c r="AN41" s="362"/>
      <c r="AO41" s="362"/>
      <c r="AP41" s="362"/>
      <c r="AQ41" s="362"/>
      <c r="AR41" s="362"/>
      <c r="AS41" s="362"/>
      <c r="AT41" s="362"/>
      <c r="AU41" s="362"/>
      <c r="AV41" s="362"/>
      <c r="AW41" s="362"/>
      <c r="AX41" s="362"/>
      <c r="AY41" s="362"/>
      <c r="AZ41" s="362"/>
      <c r="BA41" s="362"/>
      <c r="BB41" s="362"/>
      <c r="BC41" s="362"/>
      <c r="BD41" s="412"/>
      <c r="BE41" s="412"/>
      <c r="BF41" s="412"/>
      <c r="BG41" s="412"/>
      <c r="BH41" s="412"/>
      <c r="BI41" s="413"/>
      <c r="BJ41" s="106"/>
      <c r="BK41" s="146"/>
    </row>
    <row r="42" spans="1:63" s="107" customFormat="1" ht="26.1" hidden="1" customHeight="1" x14ac:dyDescent="0.3">
      <c r="A42" s="108"/>
      <c r="B42" s="337"/>
      <c r="C42" s="338"/>
      <c r="D42" s="338"/>
      <c r="E42" s="376"/>
      <c r="F42" s="376"/>
      <c r="G42" s="376"/>
      <c r="H42" s="376"/>
      <c r="I42" s="376"/>
      <c r="J42" s="376"/>
      <c r="K42" s="367"/>
      <c r="L42" s="368"/>
      <c r="M42" s="368"/>
      <c r="N42" s="368"/>
      <c r="O42" s="368"/>
      <c r="P42" s="368"/>
      <c r="Q42" s="368"/>
      <c r="R42" s="368"/>
      <c r="S42" s="368"/>
      <c r="T42" s="368"/>
      <c r="U42" s="368"/>
      <c r="V42" s="368"/>
      <c r="W42" s="368"/>
      <c r="X42" s="368"/>
      <c r="Y42" s="368"/>
      <c r="Z42" s="368"/>
      <c r="AA42" s="368"/>
      <c r="AB42" s="369"/>
      <c r="AC42" s="362"/>
      <c r="AD42" s="362"/>
      <c r="AE42" s="362"/>
      <c r="AF42" s="362"/>
      <c r="AG42" s="362"/>
      <c r="AH42" s="362"/>
      <c r="AI42" s="362"/>
      <c r="AJ42" s="362"/>
      <c r="AK42" s="362"/>
      <c r="AL42" s="362"/>
      <c r="AM42" s="362"/>
      <c r="AN42" s="362"/>
      <c r="AO42" s="362"/>
      <c r="AP42" s="362"/>
      <c r="AQ42" s="362"/>
      <c r="AR42" s="362"/>
      <c r="AS42" s="362"/>
      <c r="AT42" s="362"/>
      <c r="AU42" s="362"/>
      <c r="AV42" s="362"/>
      <c r="AW42" s="362"/>
      <c r="AX42" s="362"/>
      <c r="AY42" s="362"/>
      <c r="AZ42" s="362"/>
      <c r="BA42" s="362"/>
      <c r="BB42" s="362"/>
      <c r="BC42" s="362"/>
      <c r="BD42" s="412"/>
      <c r="BE42" s="412"/>
      <c r="BF42" s="412"/>
      <c r="BG42" s="412"/>
      <c r="BH42" s="412"/>
      <c r="BI42" s="413"/>
      <c r="BJ42" s="106"/>
      <c r="BK42" s="146"/>
    </row>
    <row r="43" spans="1:63" s="107" customFormat="1" ht="26.1" hidden="1" customHeight="1" x14ac:dyDescent="0.3">
      <c r="A43" s="108"/>
      <c r="B43" s="337"/>
      <c r="C43" s="338"/>
      <c r="D43" s="338"/>
      <c r="E43" s="350" t="s">
        <v>457</v>
      </c>
      <c r="F43" s="350"/>
      <c r="G43" s="350"/>
      <c r="H43" s="350"/>
      <c r="I43" s="350"/>
      <c r="J43" s="350"/>
      <c r="K43" s="370"/>
      <c r="L43" s="371"/>
      <c r="M43" s="371"/>
      <c r="N43" s="371"/>
      <c r="O43" s="371"/>
      <c r="P43" s="371"/>
      <c r="Q43" s="371"/>
      <c r="R43" s="371"/>
      <c r="S43" s="371"/>
      <c r="T43" s="371"/>
      <c r="U43" s="371"/>
      <c r="V43" s="371"/>
      <c r="W43" s="371"/>
      <c r="X43" s="371"/>
      <c r="Y43" s="371"/>
      <c r="Z43" s="371"/>
      <c r="AA43" s="371"/>
      <c r="AB43" s="372"/>
      <c r="AC43" s="362"/>
      <c r="AD43" s="362"/>
      <c r="AE43" s="362"/>
      <c r="AF43" s="362"/>
      <c r="AG43" s="362"/>
      <c r="AH43" s="362"/>
      <c r="AI43" s="362"/>
      <c r="AJ43" s="362"/>
      <c r="AK43" s="362"/>
      <c r="AL43" s="362"/>
      <c r="AM43" s="362"/>
      <c r="AN43" s="362"/>
      <c r="AO43" s="362"/>
      <c r="AP43" s="362"/>
      <c r="AQ43" s="362"/>
      <c r="AR43" s="362"/>
      <c r="AS43" s="362"/>
      <c r="AT43" s="362"/>
      <c r="AU43" s="362"/>
      <c r="AV43" s="362"/>
      <c r="AW43" s="362"/>
      <c r="AX43" s="362"/>
      <c r="AY43" s="362"/>
      <c r="AZ43" s="362"/>
      <c r="BA43" s="362"/>
      <c r="BB43" s="362"/>
      <c r="BC43" s="362"/>
      <c r="BD43" s="389" t="s">
        <v>88</v>
      </c>
      <c r="BE43" s="389"/>
      <c r="BF43" s="389"/>
      <c r="BG43" s="389"/>
      <c r="BH43" s="389"/>
      <c r="BI43" s="403"/>
      <c r="BJ43" s="106"/>
      <c r="BK43" s="146"/>
    </row>
    <row r="44" spans="1:63" s="107" customFormat="1" ht="26.1" hidden="1" customHeight="1" x14ac:dyDescent="0.3">
      <c r="A44" s="108"/>
      <c r="B44" s="337"/>
      <c r="C44" s="338"/>
      <c r="D44" s="338"/>
      <c r="E44" s="376"/>
      <c r="F44" s="376"/>
      <c r="G44" s="376"/>
      <c r="H44" s="376"/>
      <c r="I44" s="376"/>
      <c r="J44" s="376"/>
      <c r="K44" s="370"/>
      <c r="L44" s="371"/>
      <c r="M44" s="371"/>
      <c r="N44" s="371"/>
      <c r="O44" s="371"/>
      <c r="P44" s="371"/>
      <c r="Q44" s="371"/>
      <c r="R44" s="371"/>
      <c r="S44" s="371"/>
      <c r="T44" s="371"/>
      <c r="U44" s="371"/>
      <c r="V44" s="371"/>
      <c r="W44" s="371"/>
      <c r="X44" s="371"/>
      <c r="Y44" s="371"/>
      <c r="Z44" s="371"/>
      <c r="AA44" s="371"/>
      <c r="AB44" s="372"/>
      <c r="AC44" s="362"/>
      <c r="AD44" s="362"/>
      <c r="AE44" s="362"/>
      <c r="AF44" s="362"/>
      <c r="AG44" s="362"/>
      <c r="AH44" s="362"/>
      <c r="AI44" s="362"/>
      <c r="AJ44" s="362"/>
      <c r="AK44" s="362"/>
      <c r="AL44" s="362"/>
      <c r="AM44" s="362"/>
      <c r="AN44" s="362"/>
      <c r="AO44" s="362"/>
      <c r="AP44" s="362"/>
      <c r="AQ44" s="362"/>
      <c r="AR44" s="362"/>
      <c r="AS44" s="362"/>
      <c r="AT44" s="362"/>
      <c r="AU44" s="362"/>
      <c r="AV44" s="362"/>
      <c r="AW44" s="362"/>
      <c r="AX44" s="362"/>
      <c r="AY44" s="362"/>
      <c r="AZ44" s="362"/>
      <c r="BA44" s="362"/>
      <c r="BB44" s="362"/>
      <c r="BC44" s="362"/>
      <c r="BD44" s="393"/>
      <c r="BE44" s="393"/>
      <c r="BF44" s="393"/>
      <c r="BG44" s="393"/>
      <c r="BH44" s="393"/>
      <c r="BI44" s="394"/>
      <c r="BJ44" s="106"/>
      <c r="BK44" s="146"/>
    </row>
    <row r="45" spans="1:63" s="107" customFormat="1" ht="26.1" hidden="1" customHeight="1" x14ac:dyDescent="0.3">
      <c r="A45" s="108"/>
      <c r="B45" s="337"/>
      <c r="C45" s="338"/>
      <c r="D45" s="338"/>
      <c r="E45" s="376"/>
      <c r="F45" s="376"/>
      <c r="G45" s="376"/>
      <c r="H45" s="376"/>
      <c r="I45" s="376"/>
      <c r="J45" s="376"/>
      <c r="K45" s="370"/>
      <c r="L45" s="371"/>
      <c r="M45" s="371"/>
      <c r="N45" s="371"/>
      <c r="O45" s="371"/>
      <c r="P45" s="371"/>
      <c r="Q45" s="371"/>
      <c r="R45" s="371"/>
      <c r="S45" s="371"/>
      <c r="T45" s="371"/>
      <c r="U45" s="371"/>
      <c r="V45" s="371"/>
      <c r="W45" s="371"/>
      <c r="X45" s="371"/>
      <c r="Y45" s="371"/>
      <c r="Z45" s="371"/>
      <c r="AA45" s="371"/>
      <c r="AB45" s="372"/>
      <c r="AC45" s="362"/>
      <c r="AD45" s="362"/>
      <c r="AE45" s="362"/>
      <c r="AF45" s="362"/>
      <c r="AG45" s="362"/>
      <c r="AH45" s="362"/>
      <c r="AI45" s="362"/>
      <c r="AJ45" s="362"/>
      <c r="AK45" s="362"/>
      <c r="AL45" s="362"/>
      <c r="AM45" s="362"/>
      <c r="AN45" s="362"/>
      <c r="AO45" s="362"/>
      <c r="AP45" s="362"/>
      <c r="AQ45" s="362"/>
      <c r="AR45" s="362"/>
      <c r="AS45" s="362"/>
      <c r="AT45" s="362"/>
      <c r="AU45" s="362"/>
      <c r="AV45" s="362"/>
      <c r="AW45" s="362"/>
      <c r="AX45" s="362"/>
      <c r="AY45" s="362"/>
      <c r="AZ45" s="362"/>
      <c r="BA45" s="362"/>
      <c r="BB45" s="362"/>
      <c r="BC45" s="362"/>
      <c r="BD45" s="393"/>
      <c r="BE45" s="393"/>
      <c r="BF45" s="393"/>
      <c r="BG45" s="393"/>
      <c r="BH45" s="393"/>
      <c r="BI45" s="394"/>
      <c r="BJ45" s="106"/>
      <c r="BK45" s="146"/>
    </row>
    <row r="46" spans="1:63" s="107" customFormat="1" ht="26.1" hidden="1" customHeight="1" x14ac:dyDescent="0.3">
      <c r="A46" s="108"/>
      <c r="B46" s="337"/>
      <c r="C46" s="338"/>
      <c r="D46" s="338"/>
      <c r="E46" s="376"/>
      <c r="F46" s="376"/>
      <c r="G46" s="376"/>
      <c r="H46" s="376"/>
      <c r="I46" s="376"/>
      <c r="J46" s="376"/>
      <c r="K46" s="370"/>
      <c r="L46" s="371"/>
      <c r="M46" s="371"/>
      <c r="N46" s="371"/>
      <c r="O46" s="371"/>
      <c r="P46" s="371"/>
      <c r="Q46" s="371"/>
      <c r="R46" s="371"/>
      <c r="S46" s="371"/>
      <c r="T46" s="371"/>
      <c r="U46" s="371"/>
      <c r="V46" s="371"/>
      <c r="W46" s="371"/>
      <c r="X46" s="371"/>
      <c r="Y46" s="371"/>
      <c r="Z46" s="371"/>
      <c r="AA46" s="371"/>
      <c r="AB46" s="372"/>
      <c r="AC46" s="362"/>
      <c r="AD46" s="362"/>
      <c r="AE46" s="362"/>
      <c r="AF46" s="362"/>
      <c r="AG46" s="362"/>
      <c r="AH46" s="362"/>
      <c r="AI46" s="362"/>
      <c r="AJ46" s="362"/>
      <c r="AK46" s="362"/>
      <c r="AL46" s="362"/>
      <c r="AM46" s="362"/>
      <c r="AN46" s="362"/>
      <c r="AO46" s="362"/>
      <c r="AP46" s="362"/>
      <c r="AQ46" s="362"/>
      <c r="AR46" s="362"/>
      <c r="AS46" s="362"/>
      <c r="AT46" s="362"/>
      <c r="AU46" s="362"/>
      <c r="AV46" s="362"/>
      <c r="AW46" s="362"/>
      <c r="AX46" s="362"/>
      <c r="AY46" s="362"/>
      <c r="AZ46" s="362"/>
      <c r="BA46" s="362"/>
      <c r="BB46" s="362"/>
      <c r="BC46" s="362"/>
      <c r="BD46" s="393"/>
      <c r="BE46" s="393"/>
      <c r="BF46" s="393"/>
      <c r="BG46" s="393"/>
      <c r="BH46" s="393"/>
      <c r="BI46" s="394"/>
      <c r="BJ46" s="106"/>
      <c r="BK46" s="146"/>
    </row>
    <row r="47" spans="1:63" s="107" customFormat="1" ht="26.1" hidden="1" customHeight="1" x14ac:dyDescent="0.3">
      <c r="A47" s="108"/>
      <c r="B47" s="349" t="s">
        <v>637</v>
      </c>
      <c r="C47" s="350"/>
      <c r="D47" s="350"/>
      <c r="E47" s="350" t="s">
        <v>622</v>
      </c>
      <c r="F47" s="350"/>
      <c r="G47" s="350"/>
      <c r="H47" s="350"/>
      <c r="I47" s="350"/>
      <c r="J47" s="350"/>
      <c r="K47" s="370"/>
      <c r="L47" s="371"/>
      <c r="M47" s="371"/>
      <c r="N47" s="371"/>
      <c r="O47" s="371"/>
      <c r="P47" s="371"/>
      <c r="Q47" s="371"/>
      <c r="R47" s="371"/>
      <c r="S47" s="371"/>
      <c r="T47" s="371"/>
      <c r="U47" s="371"/>
      <c r="V47" s="371"/>
      <c r="W47" s="371"/>
      <c r="X47" s="371"/>
      <c r="Y47" s="371"/>
      <c r="Z47" s="371"/>
      <c r="AA47" s="371"/>
      <c r="AB47" s="372"/>
      <c r="AC47" s="362"/>
      <c r="AD47" s="362"/>
      <c r="AE47" s="362"/>
      <c r="AF47" s="362"/>
      <c r="AG47" s="362"/>
      <c r="AH47" s="362"/>
      <c r="AI47" s="362"/>
      <c r="AJ47" s="362"/>
      <c r="AK47" s="362"/>
      <c r="AL47" s="362"/>
      <c r="AM47" s="362"/>
      <c r="AN47" s="362"/>
      <c r="AO47" s="362"/>
      <c r="AP47" s="362"/>
      <c r="AQ47" s="362"/>
      <c r="AR47" s="362"/>
      <c r="AS47" s="362"/>
      <c r="AT47" s="362"/>
      <c r="AU47" s="362"/>
      <c r="AV47" s="362"/>
      <c r="AW47" s="362"/>
      <c r="AX47" s="362"/>
      <c r="AY47" s="362"/>
      <c r="AZ47" s="362"/>
      <c r="BA47" s="362"/>
      <c r="BB47" s="362"/>
      <c r="BC47" s="362"/>
      <c r="BD47" s="389" t="s">
        <v>46</v>
      </c>
      <c r="BE47" s="389"/>
      <c r="BF47" s="389"/>
      <c r="BG47" s="389"/>
      <c r="BH47" s="389"/>
      <c r="BI47" s="403"/>
      <c r="BJ47" s="106"/>
      <c r="BK47" s="146"/>
    </row>
    <row r="48" spans="1:63" s="107" customFormat="1" ht="26.1" hidden="1" customHeight="1" x14ac:dyDescent="0.3">
      <c r="A48" s="108"/>
      <c r="B48" s="351"/>
      <c r="C48" s="352"/>
      <c r="D48" s="352"/>
      <c r="E48" s="376"/>
      <c r="F48" s="376"/>
      <c r="G48" s="376"/>
      <c r="H48" s="376"/>
      <c r="I48" s="376"/>
      <c r="J48" s="376"/>
      <c r="K48" s="370"/>
      <c r="L48" s="371"/>
      <c r="M48" s="371"/>
      <c r="N48" s="371"/>
      <c r="O48" s="371"/>
      <c r="P48" s="371"/>
      <c r="Q48" s="371"/>
      <c r="R48" s="371"/>
      <c r="S48" s="371"/>
      <c r="T48" s="371"/>
      <c r="U48" s="371"/>
      <c r="V48" s="371"/>
      <c r="W48" s="371"/>
      <c r="X48" s="371"/>
      <c r="Y48" s="371"/>
      <c r="Z48" s="371"/>
      <c r="AA48" s="371"/>
      <c r="AB48" s="372"/>
      <c r="AC48" s="362"/>
      <c r="AD48" s="362"/>
      <c r="AE48" s="362"/>
      <c r="AF48" s="362"/>
      <c r="AG48" s="362"/>
      <c r="AH48" s="362"/>
      <c r="AI48" s="362"/>
      <c r="AJ48" s="362"/>
      <c r="AK48" s="362"/>
      <c r="AL48" s="362"/>
      <c r="AM48" s="362"/>
      <c r="AN48" s="362"/>
      <c r="AO48" s="362"/>
      <c r="AP48" s="362"/>
      <c r="AQ48" s="362"/>
      <c r="AR48" s="362"/>
      <c r="AS48" s="362"/>
      <c r="AT48" s="362"/>
      <c r="AU48" s="362"/>
      <c r="AV48" s="362"/>
      <c r="AW48" s="362"/>
      <c r="AX48" s="362"/>
      <c r="AY48" s="362"/>
      <c r="AZ48" s="362"/>
      <c r="BA48" s="362"/>
      <c r="BB48" s="362"/>
      <c r="BC48" s="362"/>
      <c r="BD48" s="406"/>
      <c r="BE48" s="406"/>
      <c r="BF48" s="406"/>
      <c r="BG48" s="406"/>
      <c r="BH48" s="406"/>
      <c r="BI48" s="407"/>
      <c r="BJ48" s="106"/>
      <c r="BK48" s="146"/>
    </row>
    <row r="49" spans="1:63" s="107" customFormat="1" ht="26.1" hidden="1" customHeight="1" x14ac:dyDescent="0.3">
      <c r="A49" s="108"/>
      <c r="B49" s="351"/>
      <c r="C49" s="352"/>
      <c r="D49" s="352"/>
      <c r="E49" s="376"/>
      <c r="F49" s="376"/>
      <c r="G49" s="376"/>
      <c r="H49" s="376"/>
      <c r="I49" s="376"/>
      <c r="J49" s="376"/>
      <c r="K49" s="370"/>
      <c r="L49" s="371"/>
      <c r="M49" s="371"/>
      <c r="N49" s="371"/>
      <c r="O49" s="371"/>
      <c r="P49" s="371"/>
      <c r="Q49" s="371"/>
      <c r="R49" s="371"/>
      <c r="S49" s="371"/>
      <c r="T49" s="371"/>
      <c r="U49" s="371"/>
      <c r="V49" s="371"/>
      <c r="W49" s="371"/>
      <c r="X49" s="371"/>
      <c r="Y49" s="371"/>
      <c r="Z49" s="371"/>
      <c r="AA49" s="371"/>
      <c r="AB49" s="372"/>
      <c r="AC49" s="362"/>
      <c r="AD49" s="362"/>
      <c r="AE49" s="362"/>
      <c r="AF49" s="362"/>
      <c r="AG49" s="362"/>
      <c r="AH49" s="362"/>
      <c r="AI49" s="362"/>
      <c r="AJ49" s="362"/>
      <c r="AK49" s="362"/>
      <c r="AL49" s="362"/>
      <c r="AM49" s="362"/>
      <c r="AN49" s="362"/>
      <c r="AO49" s="362"/>
      <c r="AP49" s="362"/>
      <c r="AQ49" s="362"/>
      <c r="AR49" s="362"/>
      <c r="AS49" s="362"/>
      <c r="AT49" s="362"/>
      <c r="AU49" s="362"/>
      <c r="AV49" s="362"/>
      <c r="AW49" s="362"/>
      <c r="AX49" s="362"/>
      <c r="AY49" s="362"/>
      <c r="AZ49" s="362"/>
      <c r="BA49" s="362"/>
      <c r="BB49" s="362"/>
      <c r="BC49" s="362"/>
      <c r="BD49" s="406"/>
      <c r="BE49" s="406"/>
      <c r="BF49" s="406"/>
      <c r="BG49" s="406"/>
      <c r="BH49" s="406"/>
      <c r="BI49" s="407"/>
      <c r="BJ49" s="106"/>
      <c r="BK49" s="146"/>
    </row>
    <row r="50" spans="1:63" s="107" customFormat="1" ht="26.1" hidden="1" customHeight="1" x14ac:dyDescent="0.3">
      <c r="A50" s="108"/>
      <c r="B50" s="351"/>
      <c r="C50" s="352"/>
      <c r="D50" s="352"/>
      <c r="E50" s="376"/>
      <c r="F50" s="376"/>
      <c r="G50" s="376"/>
      <c r="H50" s="376"/>
      <c r="I50" s="376"/>
      <c r="J50" s="376"/>
      <c r="K50" s="370"/>
      <c r="L50" s="371"/>
      <c r="M50" s="371"/>
      <c r="N50" s="371"/>
      <c r="O50" s="371"/>
      <c r="P50" s="371"/>
      <c r="Q50" s="371"/>
      <c r="R50" s="371"/>
      <c r="S50" s="371"/>
      <c r="T50" s="371"/>
      <c r="U50" s="371"/>
      <c r="V50" s="371"/>
      <c r="W50" s="371"/>
      <c r="X50" s="371"/>
      <c r="Y50" s="371"/>
      <c r="Z50" s="371"/>
      <c r="AA50" s="371"/>
      <c r="AB50" s="372"/>
      <c r="AC50" s="362"/>
      <c r="AD50" s="362"/>
      <c r="AE50" s="362"/>
      <c r="AF50" s="362"/>
      <c r="AG50" s="362"/>
      <c r="AH50" s="362"/>
      <c r="AI50" s="362"/>
      <c r="AJ50" s="362"/>
      <c r="AK50" s="362"/>
      <c r="AL50" s="362"/>
      <c r="AM50" s="362"/>
      <c r="AN50" s="362"/>
      <c r="AO50" s="362"/>
      <c r="AP50" s="362"/>
      <c r="AQ50" s="362"/>
      <c r="AR50" s="362"/>
      <c r="AS50" s="362"/>
      <c r="AT50" s="362"/>
      <c r="AU50" s="362"/>
      <c r="AV50" s="362"/>
      <c r="AW50" s="362"/>
      <c r="AX50" s="362"/>
      <c r="AY50" s="362"/>
      <c r="AZ50" s="362"/>
      <c r="BA50" s="362"/>
      <c r="BB50" s="362"/>
      <c r="BC50" s="362"/>
      <c r="BD50" s="406"/>
      <c r="BE50" s="406"/>
      <c r="BF50" s="406"/>
      <c r="BG50" s="406"/>
      <c r="BH50" s="406"/>
      <c r="BI50" s="407"/>
      <c r="BJ50" s="106"/>
      <c r="BK50" s="146"/>
    </row>
    <row r="51" spans="1:63" s="107" customFormat="1" ht="26.1" hidden="1" customHeight="1" x14ac:dyDescent="0.3">
      <c r="A51" s="108"/>
      <c r="B51" s="356" t="s">
        <v>459</v>
      </c>
      <c r="C51" s="357"/>
      <c r="D51" s="357"/>
      <c r="E51" s="350" t="s">
        <v>623</v>
      </c>
      <c r="F51" s="350"/>
      <c r="G51" s="350"/>
      <c r="H51" s="350"/>
      <c r="I51" s="350"/>
      <c r="J51" s="350"/>
      <c r="K51" s="370"/>
      <c r="L51" s="371"/>
      <c r="M51" s="371"/>
      <c r="N51" s="371"/>
      <c r="O51" s="371"/>
      <c r="P51" s="371"/>
      <c r="Q51" s="371"/>
      <c r="R51" s="371"/>
      <c r="S51" s="371"/>
      <c r="T51" s="371"/>
      <c r="U51" s="371"/>
      <c r="V51" s="371"/>
      <c r="W51" s="371"/>
      <c r="X51" s="371"/>
      <c r="Y51" s="371"/>
      <c r="Z51" s="371"/>
      <c r="AA51" s="371"/>
      <c r="AB51" s="372"/>
      <c r="AC51" s="362"/>
      <c r="AD51" s="362"/>
      <c r="AE51" s="362"/>
      <c r="AF51" s="362"/>
      <c r="AG51" s="362"/>
      <c r="AH51" s="362"/>
      <c r="AI51" s="362"/>
      <c r="AJ51" s="362"/>
      <c r="AK51" s="362"/>
      <c r="AL51" s="362"/>
      <c r="AM51" s="362"/>
      <c r="AN51" s="362"/>
      <c r="AO51" s="362"/>
      <c r="AP51" s="362"/>
      <c r="AQ51" s="362"/>
      <c r="AR51" s="362"/>
      <c r="AS51" s="362"/>
      <c r="AT51" s="362"/>
      <c r="AU51" s="362"/>
      <c r="AV51" s="362"/>
      <c r="AW51" s="362"/>
      <c r="AX51" s="362"/>
      <c r="AY51" s="362"/>
      <c r="AZ51" s="362"/>
      <c r="BA51" s="362"/>
      <c r="BB51" s="362"/>
      <c r="BC51" s="362"/>
      <c r="BD51" s="389" t="s">
        <v>638</v>
      </c>
      <c r="BE51" s="389"/>
      <c r="BF51" s="389"/>
      <c r="BG51" s="389"/>
      <c r="BH51" s="389"/>
      <c r="BI51" s="403"/>
      <c r="BJ51" s="106"/>
      <c r="BK51" s="146"/>
    </row>
    <row r="52" spans="1:63" s="107" customFormat="1" ht="26.1" hidden="1" customHeight="1" x14ac:dyDescent="0.3">
      <c r="A52" s="108"/>
      <c r="B52" s="351"/>
      <c r="C52" s="352"/>
      <c r="D52" s="352"/>
      <c r="E52" s="376"/>
      <c r="F52" s="376"/>
      <c r="G52" s="376"/>
      <c r="H52" s="376"/>
      <c r="I52" s="376"/>
      <c r="J52" s="376"/>
      <c r="K52" s="370"/>
      <c r="L52" s="371"/>
      <c r="M52" s="371"/>
      <c r="N52" s="371"/>
      <c r="O52" s="371"/>
      <c r="P52" s="371"/>
      <c r="Q52" s="371"/>
      <c r="R52" s="371"/>
      <c r="S52" s="371"/>
      <c r="T52" s="371"/>
      <c r="U52" s="371"/>
      <c r="V52" s="371"/>
      <c r="W52" s="371"/>
      <c r="X52" s="371"/>
      <c r="Y52" s="371"/>
      <c r="Z52" s="371"/>
      <c r="AA52" s="371"/>
      <c r="AB52" s="372"/>
      <c r="AC52" s="362"/>
      <c r="AD52" s="362"/>
      <c r="AE52" s="362"/>
      <c r="AF52" s="362"/>
      <c r="AG52" s="362"/>
      <c r="AH52" s="362"/>
      <c r="AI52" s="362"/>
      <c r="AJ52" s="362"/>
      <c r="AK52" s="362"/>
      <c r="AL52" s="362"/>
      <c r="AM52" s="362"/>
      <c r="AN52" s="362"/>
      <c r="AO52" s="362"/>
      <c r="AP52" s="362"/>
      <c r="AQ52" s="362"/>
      <c r="AR52" s="362"/>
      <c r="AS52" s="362"/>
      <c r="AT52" s="362"/>
      <c r="AU52" s="362"/>
      <c r="AV52" s="362"/>
      <c r="AW52" s="362"/>
      <c r="AX52" s="362"/>
      <c r="AY52" s="362"/>
      <c r="AZ52" s="362"/>
      <c r="BA52" s="362"/>
      <c r="BB52" s="362"/>
      <c r="BC52" s="362"/>
      <c r="BD52" s="393"/>
      <c r="BE52" s="393"/>
      <c r="BF52" s="393"/>
      <c r="BG52" s="393"/>
      <c r="BH52" s="393"/>
      <c r="BI52" s="394"/>
      <c r="BJ52" s="106"/>
      <c r="BK52" s="146"/>
    </row>
    <row r="53" spans="1:63" s="107" customFormat="1" ht="26.1" hidden="1" customHeight="1" x14ac:dyDescent="0.3">
      <c r="A53" s="108"/>
      <c r="B53" s="351"/>
      <c r="C53" s="352"/>
      <c r="D53" s="352"/>
      <c r="E53" s="376"/>
      <c r="F53" s="376"/>
      <c r="G53" s="376"/>
      <c r="H53" s="376"/>
      <c r="I53" s="376"/>
      <c r="J53" s="376"/>
      <c r="K53" s="370"/>
      <c r="L53" s="371"/>
      <c r="M53" s="371"/>
      <c r="N53" s="371"/>
      <c r="O53" s="371"/>
      <c r="P53" s="371"/>
      <c r="Q53" s="371"/>
      <c r="R53" s="371"/>
      <c r="S53" s="371"/>
      <c r="T53" s="371"/>
      <c r="U53" s="371"/>
      <c r="V53" s="371"/>
      <c r="W53" s="371"/>
      <c r="X53" s="371"/>
      <c r="Y53" s="371"/>
      <c r="Z53" s="371"/>
      <c r="AA53" s="371"/>
      <c r="AB53" s="372"/>
      <c r="AC53" s="362"/>
      <c r="AD53" s="362"/>
      <c r="AE53" s="362"/>
      <c r="AF53" s="362"/>
      <c r="AG53" s="362"/>
      <c r="AH53" s="362"/>
      <c r="AI53" s="362"/>
      <c r="AJ53" s="362"/>
      <c r="AK53" s="362"/>
      <c r="AL53" s="362"/>
      <c r="AM53" s="362"/>
      <c r="AN53" s="362"/>
      <c r="AO53" s="362"/>
      <c r="AP53" s="362"/>
      <c r="AQ53" s="362"/>
      <c r="AR53" s="362"/>
      <c r="AS53" s="362"/>
      <c r="AT53" s="362"/>
      <c r="AU53" s="362"/>
      <c r="AV53" s="362"/>
      <c r="AW53" s="362"/>
      <c r="AX53" s="362"/>
      <c r="AY53" s="362"/>
      <c r="AZ53" s="362"/>
      <c r="BA53" s="362"/>
      <c r="BB53" s="362"/>
      <c r="BC53" s="362"/>
      <c r="BD53" s="393"/>
      <c r="BE53" s="393"/>
      <c r="BF53" s="393"/>
      <c r="BG53" s="393"/>
      <c r="BH53" s="393"/>
      <c r="BI53" s="394"/>
      <c r="BJ53" s="106"/>
      <c r="BK53" s="146"/>
    </row>
    <row r="54" spans="1:63" s="107" customFormat="1" ht="26.1" hidden="1" customHeight="1" thickBot="1" x14ac:dyDescent="0.35">
      <c r="A54" s="108"/>
      <c r="B54" s="404"/>
      <c r="C54" s="405"/>
      <c r="D54" s="405"/>
      <c r="E54" s="392"/>
      <c r="F54" s="392"/>
      <c r="G54" s="392"/>
      <c r="H54" s="392"/>
      <c r="I54" s="392"/>
      <c r="J54" s="392"/>
      <c r="K54" s="373"/>
      <c r="L54" s="374"/>
      <c r="M54" s="374"/>
      <c r="N54" s="374"/>
      <c r="O54" s="374"/>
      <c r="P54" s="374"/>
      <c r="Q54" s="374"/>
      <c r="R54" s="374"/>
      <c r="S54" s="374"/>
      <c r="T54" s="374"/>
      <c r="U54" s="374"/>
      <c r="V54" s="374"/>
      <c r="W54" s="374"/>
      <c r="X54" s="374"/>
      <c r="Y54" s="374"/>
      <c r="Z54" s="374"/>
      <c r="AA54" s="374"/>
      <c r="AB54" s="375"/>
      <c r="AC54" s="409"/>
      <c r="AD54" s="409"/>
      <c r="AE54" s="409"/>
      <c r="AF54" s="409"/>
      <c r="AG54" s="409"/>
      <c r="AH54" s="409"/>
      <c r="AI54" s="409"/>
      <c r="AJ54" s="409"/>
      <c r="AK54" s="409"/>
      <c r="AL54" s="409"/>
      <c r="AM54" s="409"/>
      <c r="AN54" s="409"/>
      <c r="AO54" s="409"/>
      <c r="AP54" s="409"/>
      <c r="AQ54" s="409"/>
      <c r="AR54" s="409"/>
      <c r="AS54" s="409"/>
      <c r="AT54" s="409"/>
      <c r="AU54" s="409"/>
      <c r="AV54" s="409"/>
      <c r="AW54" s="409"/>
      <c r="AX54" s="409"/>
      <c r="AY54" s="409"/>
      <c r="AZ54" s="409"/>
      <c r="BA54" s="409"/>
      <c r="BB54" s="409"/>
      <c r="BC54" s="409"/>
      <c r="BD54" s="395"/>
      <c r="BE54" s="395"/>
      <c r="BF54" s="395"/>
      <c r="BG54" s="395"/>
      <c r="BH54" s="395"/>
      <c r="BI54" s="396"/>
      <c r="BJ54" s="106"/>
      <c r="BK54" s="146"/>
    </row>
    <row r="55" spans="1:63" s="107" customFormat="1" ht="26.1" hidden="1" customHeight="1" thickTop="1" x14ac:dyDescent="0.3">
      <c r="A55" s="108"/>
      <c r="B55" s="335">
        <v>4</v>
      </c>
      <c r="C55" s="336"/>
      <c r="D55" s="336"/>
      <c r="E55" s="339" t="s">
        <v>621</v>
      </c>
      <c r="F55" s="339"/>
      <c r="G55" s="339"/>
      <c r="H55" s="339"/>
      <c r="I55" s="339"/>
      <c r="J55" s="339"/>
      <c r="K55" s="340"/>
      <c r="L55" s="341"/>
      <c r="M55" s="341"/>
      <c r="N55" s="341"/>
      <c r="O55" s="341"/>
      <c r="P55" s="341"/>
      <c r="Q55" s="341"/>
      <c r="R55" s="341"/>
      <c r="S55" s="341"/>
      <c r="T55" s="341"/>
      <c r="U55" s="341"/>
      <c r="V55" s="341"/>
      <c r="W55" s="341"/>
      <c r="X55" s="341"/>
      <c r="Y55" s="341"/>
      <c r="Z55" s="341"/>
      <c r="AA55" s="341"/>
      <c r="AB55" s="342"/>
      <c r="AC55" s="408"/>
      <c r="AD55" s="408"/>
      <c r="AE55" s="408"/>
      <c r="AF55" s="408"/>
      <c r="AG55" s="408"/>
      <c r="AH55" s="408"/>
      <c r="AI55" s="408"/>
      <c r="AJ55" s="408"/>
      <c r="AK55" s="408"/>
      <c r="AL55" s="408"/>
      <c r="AM55" s="408"/>
      <c r="AN55" s="408"/>
      <c r="AO55" s="408"/>
      <c r="AP55" s="408"/>
      <c r="AQ55" s="408"/>
      <c r="AR55" s="408"/>
      <c r="AS55" s="408"/>
      <c r="AT55" s="408"/>
      <c r="AU55" s="408"/>
      <c r="AV55" s="408"/>
      <c r="AW55" s="408"/>
      <c r="AX55" s="408"/>
      <c r="AY55" s="408"/>
      <c r="AZ55" s="408"/>
      <c r="BA55" s="408"/>
      <c r="BB55" s="408"/>
      <c r="BC55" s="408"/>
      <c r="BD55" s="410" t="s">
        <v>246</v>
      </c>
      <c r="BE55" s="410"/>
      <c r="BF55" s="410"/>
      <c r="BG55" s="410"/>
      <c r="BH55" s="410"/>
      <c r="BI55" s="411"/>
      <c r="BJ55" s="106"/>
      <c r="BK55" s="146"/>
    </row>
    <row r="56" spans="1:63" s="107" customFormat="1" ht="26.1" hidden="1" customHeight="1" x14ac:dyDescent="0.3">
      <c r="A56" s="108"/>
      <c r="B56" s="337"/>
      <c r="C56" s="338"/>
      <c r="D56" s="338"/>
      <c r="E56" s="376"/>
      <c r="F56" s="376"/>
      <c r="G56" s="376"/>
      <c r="H56" s="376"/>
      <c r="I56" s="376"/>
      <c r="J56" s="376"/>
      <c r="K56" s="343"/>
      <c r="L56" s="344"/>
      <c r="M56" s="344"/>
      <c r="N56" s="344"/>
      <c r="O56" s="344"/>
      <c r="P56" s="344"/>
      <c r="Q56" s="344"/>
      <c r="R56" s="344"/>
      <c r="S56" s="344"/>
      <c r="T56" s="344"/>
      <c r="U56" s="344"/>
      <c r="V56" s="344"/>
      <c r="W56" s="344"/>
      <c r="X56" s="344"/>
      <c r="Y56" s="344"/>
      <c r="Z56" s="344"/>
      <c r="AA56" s="344"/>
      <c r="AB56" s="345"/>
      <c r="AC56" s="362"/>
      <c r="AD56" s="362"/>
      <c r="AE56" s="362"/>
      <c r="AF56" s="362"/>
      <c r="AG56" s="362"/>
      <c r="AH56" s="362"/>
      <c r="AI56" s="362"/>
      <c r="AJ56" s="362"/>
      <c r="AK56" s="362"/>
      <c r="AL56" s="362"/>
      <c r="AM56" s="362"/>
      <c r="AN56" s="362"/>
      <c r="AO56" s="362"/>
      <c r="AP56" s="362"/>
      <c r="AQ56" s="362"/>
      <c r="AR56" s="362"/>
      <c r="AS56" s="362"/>
      <c r="AT56" s="362"/>
      <c r="AU56" s="362"/>
      <c r="AV56" s="362"/>
      <c r="AW56" s="362"/>
      <c r="AX56" s="362"/>
      <c r="AY56" s="362"/>
      <c r="AZ56" s="362"/>
      <c r="BA56" s="362"/>
      <c r="BB56" s="362"/>
      <c r="BC56" s="362"/>
      <c r="BD56" s="412"/>
      <c r="BE56" s="412"/>
      <c r="BF56" s="412"/>
      <c r="BG56" s="412"/>
      <c r="BH56" s="412"/>
      <c r="BI56" s="413"/>
      <c r="BJ56" s="106"/>
      <c r="BK56" s="146"/>
    </row>
    <row r="57" spans="1:63" s="107" customFormat="1" ht="26.1" hidden="1" customHeight="1" x14ac:dyDescent="0.3">
      <c r="A57" s="108"/>
      <c r="B57" s="337"/>
      <c r="C57" s="338"/>
      <c r="D57" s="338"/>
      <c r="E57" s="376"/>
      <c r="F57" s="376"/>
      <c r="G57" s="376"/>
      <c r="H57" s="376"/>
      <c r="I57" s="376"/>
      <c r="J57" s="376"/>
      <c r="K57" s="346"/>
      <c r="L57" s="347"/>
      <c r="M57" s="347"/>
      <c r="N57" s="347"/>
      <c r="O57" s="347"/>
      <c r="P57" s="347"/>
      <c r="Q57" s="347"/>
      <c r="R57" s="347"/>
      <c r="S57" s="347"/>
      <c r="T57" s="347"/>
      <c r="U57" s="347"/>
      <c r="V57" s="347"/>
      <c r="W57" s="347"/>
      <c r="X57" s="347"/>
      <c r="Y57" s="347"/>
      <c r="Z57" s="347"/>
      <c r="AA57" s="347"/>
      <c r="AB57" s="348"/>
      <c r="AC57" s="362"/>
      <c r="AD57" s="362"/>
      <c r="AE57" s="362"/>
      <c r="AF57" s="362"/>
      <c r="AG57" s="362"/>
      <c r="AH57" s="362"/>
      <c r="AI57" s="362"/>
      <c r="AJ57" s="362"/>
      <c r="AK57" s="362"/>
      <c r="AL57" s="362"/>
      <c r="AM57" s="362"/>
      <c r="AN57" s="362"/>
      <c r="AO57" s="362"/>
      <c r="AP57" s="362"/>
      <c r="AQ57" s="362"/>
      <c r="AR57" s="362"/>
      <c r="AS57" s="362"/>
      <c r="AT57" s="362"/>
      <c r="AU57" s="362"/>
      <c r="AV57" s="362"/>
      <c r="AW57" s="362"/>
      <c r="AX57" s="362"/>
      <c r="AY57" s="362"/>
      <c r="AZ57" s="362"/>
      <c r="BA57" s="362"/>
      <c r="BB57" s="362"/>
      <c r="BC57" s="362"/>
      <c r="BD57" s="412"/>
      <c r="BE57" s="412"/>
      <c r="BF57" s="412"/>
      <c r="BG57" s="412"/>
      <c r="BH57" s="412"/>
      <c r="BI57" s="413"/>
      <c r="BJ57" s="106"/>
      <c r="BK57" s="146"/>
    </row>
    <row r="58" spans="1:63" s="107" customFormat="1" ht="26.1" hidden="1" customHeight="1" x14ac:dyDescent="0.3">
      <c r="A58" s="108"/>
      <c r="B58" s="337"/>
      <c r="C58" s="338"/>
      <c r="D58" s="338"/>
      <c r="E58" s="376"/>
      <c r="F58" s="376"/>
      <c r="G58" s="376"/>
      <c r="H58" s="376"/>
      <c r="I58" s="376"/>
      <c r="J58" s="376"/>
      <c r="K58" s="367"/>
      <c r="L58" s="368"/>
      <c r="M58" s="368"/>
      <c r="N58" s="368"/>
      <c r="O58" s="368"/>
      <c r="P58" s="368"/>
      <c r="Q58" s="368"/>
      <c r="R58" s="368"/>
      <c r="S58" s="368"/>
      <c r="T58" s="368"/>
      <c r="U58" s="368"/>
      <c r="V58" s="368"/>
      <c r="W58" s="368"/>
      <c r="X58" s="368"/>
      <c r="Y58" s="368"/>
      <c r="Z58" s="368"/>
      <c r="AA58" s="368"/>
      <c r="AB58" s="369"/>
      <c r="AC58" s="362"/>
      <c r="AD58" s="362"/>
      <c r="AE58" s="362"/>
      <c r="AF58" s="362"/>
      <c r="AG58" s="362"/>
      <c r="AH58" s="362"/>
      <c r="AI58" s="362"/>
      <c r="AJ58" s="362"/>
      <c r="AK58" s="362"/>
      <c r="AL58" s="362"/>
      <c r="AM58" s="362"/>
      <c r="AN58" s="362"/>
      <c r="AO58" s="362"/>
      <c r="AP58" s="362"/>
      <c r="AQ58" s="362"/>
      <c r="AR58" s="362"/>
      <c r="AS58" s="362"/>
      <c r="AT58" s="362"/>
      <c r="AU58" s="362"/>
      <c r="AV58" s="362"/>
      <c r="AW58" s="362"/>
      <c r="AX58" s="362"/>
      <c r="AY58" s="362"/>
      <c r="AZ58" s="362"/>
      <c r="BA58" s="362"/>
      <c r="BB58" s="362"/>
      <c r="BC58" s="362"/>
      <c r="BD58" s="412"/>
      <c r="BE58" s="412"/>
      <c r="BF58" s="412"/>
      <c r="BG58" s="412"/>
      <c r="BH58" s="412"/>
      <c r="BI58" s="413"/>
      <c r="BJ58" s="106"/>
      <c r="BK58" s="146"/>
    </row>
    <row r="59" spans="1:63" s="107" customFormat="1" ht="26.1" hidden="1" customHeight="1" x14ac:dyDescent="0.3">
      <c r="A59" s="108"/>
      <c r="B59" s="337"/>
      <c r="C59" s="338"/>
      <c r="D59" s="338"/>
      <c r="E59" s="350" t="s">
        <v>457</v>
      </c>
      <c r="F59" s="350"/>
      <c r="G59" s="350"/>
      <c r="H59" s="350"/>
      <c r="I59" s="350"/>
      <c r="J59" s="350"/>
      <c r="K59" s="370"/>
      <c r="L59" s="371"/>
      <c r="M59" s="371"/>
      <c r="N59" s="371"/>
      <c r="O59" s="371"/>
      <c r="P59" s="371"/>
      <c r="Q59" s="371"/>
      <c r="R59" s="371"/>
      <c r="S59" s="371"/>
      <c r="T59" s="371"/>
      <c r="U59" s="371"/>
      <c r="V59" s="371"/>
      <c r="W59" s="371"/>
      <c r="X59" s="371"/>
      <c r="Y59" s="371"/>
      <c r="Z59" s="371"/>
      <c r="AA59" s="371"/>
      <c r="AB59" s="372"/>
      <c r="AC59" s="362"/>
      <c r="AD59" s="362"/>
      <c r="AE59" s="362"/>
      <c r="AF59" s="362"/>
      <c r="AG59" s="362"/>
      <c r="AH59" s="362"/>
      <c r="AI59" s="362"/>
      <c r="AJ59" s="362"/>
      <c r="AK59" s="362"/>
      <c r="AL59" s="362"/>
      <c r="AM59" s="362"/>
      <c r="AN59" s="362"/>
      <c r="AO59" s="362"/>
      <c r="AP59" s="362"/>
      <c r="AQ59" s="362"/>
      <c r="AR59" s="362"/>
      <c r="AS59" s="362"/>
      <c r="AT59" s="362"/>
      <c r="AU59" s="362"/>
      <c r="AV59" s="362"/>
      <c r="AW59" s="362"/>
      <c r="AX59" s="362"/>
      <c r="AY59" s="362"/>
      <c r="AZ59" s="362"/>
      <c r="BA59" s="362"/>
      <c r="BB59" s="362"/>
      <c r="BC59" s="362"/>
      <c r="BD59" s="389" t="s">
        <v>88</v>
      </c>
      <c r="BE59" s="389"/>
      <c r="BF59" s="389"/>
      <c r="BG59" s="389"/>
      <c r="BH59" s="389"/>
      <c r="BI59" s="403"/>
      <c r="BJ59" s="106"/>
      <c r="BK59" s="146"/>
    </row>
    <row r="60" spans="1:63" s="107" customFormat="1" ht="26.1" hidden="1" customHeight="1" x14ac:dyDescent="0.3">
      <c r="A60" s="108"/>
      <c r="B60" s="337"/>
      <c r="C60" s="338"/>
      <c r="D60" s="338"/>
      <c r="E60" s="376"/>
      <c r="F60" s="376"/>
      <c r="G60" s="376"/>
      <c r="H60" s="376"/>
      <c r="I60" s="376"/>
      <c r="J60" s="376"/>
      <c r="K60" s="370"/>
      <c r="L60" s="371"/>
      <c r="M60" s="371"/>
      <c r="N60" s="371"/>
      <c r="O60" s="371"/>
      <c r="P60" s="371"/>
      <c r="Q60" s="371"/>
      <c r="R60" s="371"/>
      <c r="S60" s="371"/>
      <c r="T60" s="371"/>
      <c r="U60" s="371"/>
      <c r="V60" s="371"/>
      <c r="W60" s="371"/>
      <c r="X60" s="371"/>
      <c r="Y60" s="371"/>
      <c r="Z60" s="371"/>
      <c r="AA60" s="371"/>
      <c r="AB60" s="372"/>
      <c r="AC60" s="362"/>
      <c r="AD60" s="362"/>
      <c r="AE60" s="362"/>
      <c r="AF60" s="362"/>
      <c r="AG60" s="362"/>
      <c r="AH60" s="362"/>
      <c r="AI60" s="362"/>
      <c r="AJ60" s="362"/>
      <c r="AK60" s="362"/>
      <c r="AL60" s="362"/>
      <c r="AM60" s="362"/>
      <c r="AN60" s="362"/>
      <c r="AO60" s="362"/>
      <c r="AP60" s="362"/>
      <c r="AQ60" s="362"/>
      <c r="AR60" s="362"/>
      <c r="AS60" s="362"/>
      <c r="AT60" s="362"/>
      <c r="AU60" s="362"/>
      <c r="AV60" s="362"/>
      <c r="AW60" s="362"/>
      <c r="AX60" s="362"/>
      <c r="AY60" s="362"/>
      <c r="AZ60" s="362"/>
      <c r="BA60" s="362"/>
      <c r="BB60" s="362"/>
      <c r="BC60" s="362"/>
      <c r="BD60" s="393"/>
      <c r="BE60" s="393"/>
      <c r="BF60" s="393"/>
      <c r="BG60" s="393"/>
      <c r="BH60" s="393"/>
      <c r="BI60" s="394"/>
      <c r="BJ60" s="106"/>
      <c r="BK60" s="146"/>
    </row>
    <row r="61" spans="1:63" s="107" customFormat="1" ht="26.1" hidden="1" customHeight="1" x14ac:dyDescent="0.3">
      <c r="A61" s="108"/>
      <c r="B61" s="337"/>
      <c r="C61" s="338"/>
      <c r="D61" s="338"/>
      <c r="E61" s="376"/>
      <c r="F61" s="376"/>
      <c r="G61" s="376"/>
      <c r="H61" s="376"/>
      <c r="I61" s="376"/>
      <c r="J61" s="376"/>
      <c r="K61" s="370"/>
      <c r="L61" s="371"/>
      <c r="M61" s="371"/>
      <c r="N61" s="371"/>
      <c r="O61" s="371"/>
      <c r="P61" s="371"/>
      <c r="Q61" s="371"/>
      <c r="R61" s="371"/>
      <c r="S61" s="371"/>
      <c r="T61" s="371"/>
      <c r="U61" s="371"/>
      <c r="V61" s="371"/>
      <c r="W61" s="371"/>
      <c r="X61" s="371"/>
      <c r="Y61" s="371"/>
      <c r="Z61" s="371"/>
      <c r="AA61" s="371"/>
      <c r="AB61" s="372"/>
      <c r="AC61" s="362"/>
      <c r="AD61" s="362"/>
      <c r="AE61" s="362"/>
      <c r="AF61" s="362"/>
      <c r="AG61" s="362"/>
      <c r="AH61" s="362"/>
      <c r="AI61" s="362"/>
      <c r="AJ61" s="362"/>
      <c r="AK61" s="362"/>
      <c r="AL61" s="362"/>
      <c r="AM61" s="362"/>
      <c r="AN61" s="362"/>
      <c r="AO61" s="362"/>
      <c r="AP61" s="362"/>
      <c r="AQ61" s="362"/>
      <c r="AR61" s="362"/>
      <c r="AS61" s="362"/>
      <c r="AT61" s="362"/>
      <c r="AU61" s="362"/>
      <c r="AV61" s="362"/>
      <c r="AW61" s="362"/>
      <c r="AX61" s="362"/>
      <c r="AY61" s="362"/>
      <c r="AZ61" s="362"/>
      <c r="BA61" s="362"/>
      <c r="BB61" s="362"/>
      <c r="BC61" s="362"/>
      <c r="BD61" s="393"/>
      <c r="BE61" s="393"/>
      <c r="BF61" s="393"/>
      <c r="BG61" s="393"/>
      <c r="BH61" s="393"/>
      <c r="BI61" s="394"/>
      <c r="BJ61" s="106"/>
      <c r="BK61" s="146"/>
    </row>
    <row r="62" spans="1:63" s="107" customFormat="1" ht="26.1" hidden="1" customHeight="1" x14ac:dyDescent="0.3">
      <c r="A62" s="108"/>
      <c r="B62" s="337"/>
      <c r="C62" s="338"/>
      <c r="D62" s="338"/>
      <c r="E62" s="376"/>
      <c r="F62" s="376"/>
      <c r="G62" s="376"/>
      <c r="H62" s="376"/>
      <c r="I62" s="376"/>
      <c r="J62" s="376"/>
      <c r="K62" s="370"/>
      <c r="L62" s="371"/>
      <c r="M62" s="371"/>
      <c r="N62" s="371"/>
      <c r="O62" s="371"/>
      <c r="P62" s="371"/>
      <c r="Q62" s="371"/>
      <c r="R62" s="371"/>
      <c r="S62" s="371"/>
      <c r="T62" s="371"/>
      <c r="U62" s="371"/>
      <c r="V62" s="371"/>
      <c r="W62" s="371"/>
      <c r="X62" s="371"/>
      <c r="Y62" s="371"/>
      <c r="Z62" s="371"/>
      <c r="AA62" s="371"/>
      <c r="AB62" s="372"/>
      <c r="AC62" s="362"/>
      <c r="AD62" s="362"/>
      <c r="AE62" s="362"/>
      <c r="AF62" s="362"/>
      <c r="AG62" s="362"/>
      <c r="AH62" s="362"/>
      <c r="AI62" s="362"/>
      <c r="AJ62" s="362"/>
      <c r="AK62" s="362"/>
      <c r="AL62" s="362"/>
      <c r="AM62" s="362"/>
      <c r="AN62" s="362"/>
      <c r="AO62" s="362"/>
      <c r="AP62" s="362"/>
      <c r="AQ62" s="362"/>
      <c r="AR62" s="362"/>
      <c r="AS62" s="362"/>
      <c r="AT62" s="362"/>
      <c r="AU62" s="362"/>
      <c r="AV62" s="362"/>
      <c r="AW62" s="362"/>
      <c r="AX62" s="362"/>
      <c r="AY62" s="362"/>
      <c r="AZ62" s="362"/>
      <c r="BA62" s="362"/>
      <c r="BB62" s="362"/>
      <c r="BC62" s="362"/>
      <c r="BD62" s="393"/>
      <c r="BE62" s="393"/>
      <c r="BF62" s="393"/>
      <c r="BG62" s="393"/>
      <c r="BH62" s="393"/>
      <c r="BI62" s="394"/>
      <c r="BJ62" s="106"/>
      <c r="BK62" s="146"/>
    </row>
    <row r="63" spans="1:63" s="107" customFormat="1" ht="26.1" hidden="1" customHeight="1" x14ac:dyDescent="0.3">
      <c r="A63" s="108"/>
      <c r="B63" s="349" t="s">
        <v>637</v>
      </c>
      <c r="C63" s="350"/>
      <c r="D63" s="350"/>
      <c r="E63" s="350" t="s">
        <v>622</v>
      </c>
      <c r="F63" s="350"/>
      <c r="G63" s="350"/>
      <c r="H63" s="350"/>
      <c r="I63" s="350"/>
      <c r="J63" s="350"/>
      <c r="K63" s="370"/>
      <c r="L63" s="371"/>
      <c r="M63" s="371"/>
      <c r="N63" s="371"/>
      <c r="O63" s="371"/>
      <c r="P63" s="371"/>
      <c r="Q63" s="371"/>
      <c r="R63" s="371"/>
      <c r="S63" s="371"/>
      <c r="T63" s="371"/>
      <c r="U63" s="371"/>
      <c r="V63" s="371"/>
      <c r="W63" s="371"/>
      <c r="X63" s="371"/>
      <c r="Y63" s="371"/>
      <c r="Z63" s="371"/>
      <c r="AA63" s="371"/>
      <c r="AB63" s="372"/>
      <c r="AC63" s="362"/>
      <c r="AD63" s="362"/>
      <c r="AE63" s="362"/>
      <c r="AF63" s="362"/>
      <c r="AG63" s="362"/>
      <c r="AH63" s="362"/>
      <c r="AI63" s="362"/>
      <c r="AJ63" s="362"/>
      <c r="AK63" s="362"/>
      <c r="AL63" s="362"/>
      <c r="AM63" s="362"/>
      <c r="AN63" s="362"/>
      <c r="AO63" s="362"/>
      <c r="AP63" s="362"/>
      <c r="AQ63" s="362"/>
      <c r="AR63" s="362"/>
      <c r="AS63" s="362"/>
      <c r="AT63" s="362"/>
      <c r="AU63" s="362"/>
      <c r="AV63" s="362"/>
      <c r="AW63" s="362"/>
      <c r="AX63" s="362"/>
      <c r="AY63" s="362"/>
      <c r="AZ63" s="362"/>
      <c r="BA63" s="362"/>
      <c r="BB63" s="362"/>
      <c r="BC63" s="362"/>
      <c r="BD63" s="389" t="s">
        <v>46</v>
      </c>
      <c r="BE63" s="389"/>
      <c r="BF63" s="389"/>
      <c r="BG63" s="389"/>
      <c r="BH63" s="389"/>
      <c r="BI63" s="403"/>
      <c r="BJ63" s="106"/>
      <c r="BK63" s="146"/>
    </row>
    <row r="64" spans="1:63" s="107" customFormat="1" ht="26.1" hidden="1" customHeight="1" x14ac:dyDescent="0.3">
      <c r="A64" s="108"/>
      <c r="B64" s="351"/>
      <c r="C64" s="352"/>
      <c r="D64" s="352"/>
      <c r="E64" s="376"/>
      <c r="F64" s="376"/>
      <c r="G64" s="376"/>
      <c r="H64" s="376"/>
      <c r="I64" s="376"/>
      <c r="J64" s="376"/>
      <c r="K64" s="370"/>
      <c r="L64" s="371"/>
      <c r="M64" s="371"/>
      <c r="N64" s="371"/>
      <c r="O64" s="371"/>
      <c r="P64" s="371"/>
      <c r="Q64" s="371"/>
      <c r="R64" s="371"/>
      <c r="S64" s="371"/>
      <c r="T64" s="371"/>
      <c r="U64" s="371"/>
      <c r="V64" s="371"/>
      <c r="W64" s="371"/>
      <c r="X64" s="371"/>
      <c r="Y64" s="371"/>
      <c r="Z64" s="371"/>
      <c r="AA64" s="371"/>
      <c r="AB64" s="372"/>
      <c r="AC64" s="362"/>
      <c r="AD64" s="362"/>
      <c r="AE64" s="362"/>
      <c r="AF64" s="362"/>
      <c r="AG64" s="362"/>
      <c r="AH64" s="362"/>
      <c r="AI64" s="362"/>
      <c r="AJ64" s="362"/>
      <c r="AK64" s="362"/>
      <c r="AL64" s="362"/>
      <c r="AM64" s="362"/>
      <c r="AN64" s="362"/>
      <c r="AO64" s="362"/>
      <c r="AP64" s="362"/>
      <c r="AQ64" s="362"/>
      <c r="AR64" s="362"/>
      <c r="AS64" s="362"/>
      <c r="AT64" s="362"/>
      <c r="AU64" s="362"/>
      <c r="AV64" s="362"/>
      <c r="AW64" s="362"/>
      <c r="AX64" s="362"/>
      <c r="AY64" s="362"/>
      <c r="AZ64" s="362"/>
      <c r="BA64" s="362"/>
      <c r="BB64" s="362"/>
      <c r="BC64" s="362"/>
      <c r="BD64" s="406"/>
      <c r="BE64" s="406"/>
      <c r="BF64" s="406"/>
      <c r="BG64" s="406"/>
      <c r="BH64" s="406"/>
      <c r="BI64" s="407"/>
      <c r="BJ64" s="106"/>
      <c r="BK64" s="146"/>
    </row>
    <row r="65" spans="1:63" s="107" customFormat="1" ht="26.1" hidden="1" customHeight="1" x14ac:dyDescent="0.3">
      <c r="A65" s="108"/>
      <c r="B65" s="351"/>
      <c r="C65" s="352"/>
      <c r="D65" s="352"/>
      <c r="E65" s="376"/>
      <c r="F65" s="376"/>
      <c r="G65" s="376"/>
      <c r="H65" s="376"/>
      <c r="I65" s="376"/>
      <c r="J65" s="376"/>
      <c r="K65" s="370"/>
      <c r="L65" s="371"/>
      <c r="M65" s="371"/>
      <c r="N65" s="371"/>
      <c r="O65" s="371"/>
      <c r="P65" s="371"/>
      <c r="Q65" s="371"/>
      <c r="R65" s="371"/>
      <c r="S65" s="371"/>
      <c r="T65" s="371"/>
      <c r="U65" s="371"/>
      <c r="V65" s="371"/>
      <c r="W65" s="371"/>
      <c r="X65" s="371"/>
      <c r="Y65" s="371"/>
      <c r="Z65" s="371"/>
      <c r="AA65" s="371"/>
      <c r="AB65" s="372"/>
      <c r="AC65" s="362"/>
      <c r="AD65" s="362"/>
      <c r="AE65" s="362"/>
      <c r="AF65" s="362"/>
      <c r="AG65" s="362"/>
      <c r="AH65" s="362"/>
      <c r="AI65" s="362"/>
      <c r="AJ65" s="362"/>
      <c r="AK65" s="362"/>
      <c r="AL65" s="362"/>
      <c r="AM65" s="362"/>
      <c r="AN65" s="362"/>
      <c r="AO65" s="362"/>
      <c r="AP65" s="362"/>
      <c r="AQ65" s="362"/>
      <c r="AR65" s="362"/>
      <c r="AS65" s="362"/>
      <c r="AT65" s="362"/>
      <c r="AU65" s="362"/>
      <c r="AV65" s="362"/>
      <c r="AW65" s="362"/>
      <c r="AX65" s="362"/>
      <c r="AY65" s="362"/>
      <c r="AZ65" s="362"/>
      <c r="BA65" s="362"/>
      <c r="BB65" s="362"/>
      <c r="BC65" s="362"/>
      <c r="BD65" s="406"/>
      <c r="BE65" s="406"/>
      <c r="BF65" s="406"/>
      <c r="BG65" s="406"/>
      <c r="BH65" s="406"/>
      <c r="BI65" s="407"/>
      <c r="BJ65" s="106"/>
      <c r="BK65" s="146"/>
    </row>
    <row r="66" spans="1:63" s="107" customFormat="1" ht="26.1" hidden="1" customHeight="1" x14ac:dyDescent="0.3">
      <c r="A66" s="108"/>
      <c r="B66" s="351"/>
      <c r="C66" s="352"/>
      <c r="D66" s="352"/>
      <c r="E66" s="376"/>
      <c r="F66" s="376"/>
      <c r="G66" s="376"/>
      <c r="H66" s="376"/>
      <c r="I66" s="376"/>
      <c r="J66" s="376"/>
      <c r="K66" s="370"/>
      <c r="L66" s="371"/>
      <c r="M66" s="371"/>
      <c r="N66" s="371"/>
      <c r="O66" s="371"/>
      <c r="P66" s="371"/>
      <c r="Q66" s="371"/>
      <c r="R66" s="371"/>
      <c r="S66" s="371"/>
      <c r="T66" s="371"/>
      <c r="U66" s="371"/>
      <c r="V66" s="371"/>
      <c r="W66" s="371"/>
      <c r="X66" s="371"/>
      <c r="Y66" s="371"/>
      <c r="Z66" s="371"/>
      <c r="AA66" s="371"/>
      <c r="AB66" s="372"/>
      <c r="AC66" s="362"/>
      <c r="AD66" s="362"/>
      <c r="AE66" s="362"/>
      <c r="AF66" s="362"/>
      <c r="AG66" s="362"/>
      <c r="AH66" s="362"/>
      <c r="AI66" s="362"/>
      <c r="AJ66" s="362"/>
      <c r="AK66" s="362"/>
      <c r="AL66" s="362"/>
      <c r="AM66" s="362"/>
      <c r="AN66" s="362"/>
      <c r="AO66" s="362"/>
      <c r="AP66" s="362"/>
      <c r="AQ66" s="362"/>
      <c r="AR66" s="362"/>
      <c r="AS66" s="362"/>
      <c r="AT66" s="362"/>
      <c r="AU66" s="362"/>
      <c r="AV66" s="362"/>
      <c r="AW66" s="362"/>
      <c r="AX66" s="362"/>
      <c r="AY66" s="362"/>
      <c r="AZ66" s="362"/>
      <c r="BA66" s="362"/>
      <c r="BB66" s="362"/>
      <c r="BC66" s="362"/>
      <c r="BD66" s="406"/>
      <c r="BE66" s="406"/>
      <c r="BF66" s="406"/>
      <c r="BG66" s="406"/>
      <c r="BH66" s="406"/>
      <c r="BI66" s="407"/>
      <c r="BJ66" s="106"/>
      <c r="BK66" s="146"/>
    </row>
    <row r="67" spans="1:63" s="107" customFormat="1" ht="26.1" hidden="1" customHeight="1" x14ac:dyDescent="0.3">
      <c r="A67" s="108"/>
      <c r="B67" s="356" t="s">
        <v>459</v>
      </c>
      <c r="C67" s="357"/>
      <c r="D67" s="357"/>
      <c r="E67" s="350" t="s">
        <v>623</v>
      </c>
      <c r="F67" s="350"/>
      <c r="G67" s="350"/>
      <c r="H67" s="350"/>
      <c r="I67" s="350"/>
      <c r="J67" s="350"/>
      <c r="K67" s="370"/>
      <c r="L67" s="371"/>
      <c r="M67" s="371"/>
      <c r="N67" s="371"/>
      <c r="O67" s="371"/>
      <c r="P67" s="371"/>
      <c r="Q67" s="371"/>
      <c r="R67" s="371"/>
      <c r="S67" s="371"/>
      <c r="T67" s="371"/>
      <c r="U67" s="371"/>
      <c r="V67" s="371"/>
      <c r="W67" s="371"/>
      <c r="X67" s="371"/>
      <c r="Y67" s="371"/>
      <c r="Z67" s="371"/>
      <c r="AA67" s="371"/>
      <c r="AB67" s="372"/>
      <c r="AC67" s="362"/>
      <c r="AD67" s="362"/>
      <c r="AE67" s="362"/>
      <c r="AF67" s="362"/>
      <c r="AG67" s="362"/>
      <c r="AH67" s="362"/>
      <c r="AI67" s="362"/>
      <c r="AJ67" s="362"/>
      <c r="AK67" s="362"/>
      <c r="AL67" s="362"/>
      <c r="AM67" s="362"/>
      <c r="AN67" s="362"/>
      <c r="AO67" s="362"/>
      <c r="AP67" s="362"/>
      <c r="AQ67" s="362"/>
      <c r="AR67" s="362"/>
      <c r="AS67" s="362"/>
      <c r="AT67" s="362"/>
      <c r="AU67" s="362"/>
      <c r="AV67" s="362"/>
      <c r="AW67" s="362"/>
      <c r="AX67" s="362"/>
      <c r="AY67" s="362"/>
      <c r="AZ67" s="362"/>
      <c r="BA67" s="362"/>
      <c r="BB67" s="362"/>
      <c r="BC67" s="362"/>
      <c r="BD67" s="389" t="s">
        <v>638</v>
      </c>
      <c r="BE67" s="389"/>
      <c r="BF67" s="389"/>
      <c r="BG67" s="389"/>
      <c r="BH67" s="389"/>
      <c r="BI67" s="403"/>
      <c r="BJ67" s="106"/>
      <c r="BK67" s="146"/>
    </row>
    <row r="68" spans="1:63" s="107" customFormat="1" ht="26.1" hidden="1" customHeight="1" x14ac:dyDescent="0.3">
      <c r="A68" s="108"/>
      <c r="B68" s="351"/>
      <c r="C68" s="352"/>
      <c r="D68" s="352"/>
      <c r="E68" s="376"/>
      <c r="F68" s="376"/>
      <c r="G68" s="376"/>
      <c r="H68" s="376"/>
      <c r="I68" s="376"/>
      <c r="J68" s="376"/>
      <c r="K68" s="370"/>
      <c r="L68" s="371"/>
      <c r="M68" s="371"/>
      <c r="N68" s="371"/>
      <c r="O68" s="371"/>
      <c r="P68" s="371"/>
      <c r="Q68" s="371"/>
      <c r="R68" s="371"/>
      <c r="S68" s="371"/>
      <c r="T68" s="371"/>
      <c r="U68" s="371"/>
      <c r="V68" s="371"/>
      <c r="W68" s="371"/>
      <c r="X68" s="371"/>
      <c r="Y68" s="371"/>
      <c r="Z68" s="371"/>
      <c r="AA68" s="371"/>
      <c r="AB68" s="372"/>
      <c r="AC68" s="362"/>
      <c r="AD68" s="362"/>
      <c r="AE68" s="362"/>
      <c r="AF68" s="362"/>
      <c r="AG68" s="362"/>
      <c r="AH68" s="362"/>
      <c r="AI68" s="362"/>
      <c r="AJ68" s="362"/>
      <c r="AK68" s="362"/>
      <c r="AL68" s="362"/>
      <c r="AM68" s="362"/>
      <c r="AN68" s="362"/>
      <c r="AO68" s="362"/>
      <c r="AP68" s="362"/>
      <c r="AQ68" s="362"/>
      <c r="AR68" s="362"/>
      <c r="AS68" s="362"/>
      <c r="AT68" s="362"/>
      <c r="AU68" s="362"/>
      <c r="AV68" s="362"/>
      <c r="AW68" s="362"/>
      <c r="AX68" s="362"/>
      <c r="AY68" s="362"/>
      <c r="AZ68" s="362"/>
      <c r="BA68" s="362"/>
      <c r="BB68" s="362"/>
      <c r="BC68" s="362"/>
      <c r="BD68" s="393"/>
      <c r="BE68" s="393"/>
      <c r="BF68" s="393"/>
      <c r="BG68" s="393"/>
      <c r="BH68" s="393"/>
      <c r="BI68" s="394"/>
      <c r="BJ68" s="106"/>
      <c r="BK68" s="146"/>
    </row>
    <row r="69" spans="1:63" s="107" customFormat="1" ht="26.1" hidden="1" customHeight="1" x14ac:dyDescent="0.3">
      <c r="A69" s="108"/>
      <c r="B69" s="351"/>
      <c r="C69" s="352"/>
      <c r="D69" s="352"/>
      <c r="E69" s="376"/>
      <c r="F69" s="376"/>
      <c r="G69" s="376"/>
      <c r="H69" s="376"/>
      <c r="I69" s="376"/>
      <c r="J69" s="376"/>
      <c r="K69" s="370"/>
      <c r="L69" s="371"/>
      <c r="M69" s="371"/>
      <c r="N69" s="371"/>
      <c r="O69" s="371"/>
      <c r="P69" s="371"/>
      <c r="Q69" s="371"/>
      <c r="R69" s="371"/>
      <c r="S69" s="371"/>
      <c r="T69" s="371"/>
      <c r="U69" s="371"/>
      <c r="V69" s="371"/>
      <c r="W69" s="371"/>
      <c r="X69" s="371"/>
      <c r="Y69" s="371"/>
      <c r="Z69" s="371"/>
      <c r="AA69" s="371"/>
      <c r="AB69" s="372"/>
      <c r="AC69" s="362"/>
      <c r="AD69" s="362"/>
      <c r="AE69" s="362"/>
      <c r="AF69" s="362"/>
      <c r="AG69" s="362"/>
      <c r="AH69" s="362"/>
      <c r="AI69" s="362"/>
      <c r="AJ69" s="362"/>
      <c r="AK69" s="362"/>
      <c r="AL69" s="362"/>
      <c r="AM69" s="362"/>
      <c r="AN69" s="362"/>
      <c r="AO69" s="362"/>
      <c r="AP69" s="362"/>
      <c r="AQ69" s="362"/>
      <c r="AR69" s="362"/>
      <c r="AS69" s="362"/>
      <c r="AT69" s="362"/>
      <c r="AU69" s="362"/>
      <c r="AV69" s="362"/>
      <c r="AW69" s="362"/>
      <c r="AX69" s="362"/>
      <c r="AY69" s="362"/>
      <c r="AZ69" s="362"/>
      <c r="BA69" s="362"/>
      <c r="BB69" s="362"/>
      <c r="BC69" s="362"/>
      <c r="BD69" s="393"/>
      <c r="BE69" s="393"/>
      <c r="BF69" s="393"/>
      <c r="BG69" s="393"/>
      <c r="BH69" s="393"/>
      <c r="BI69" s="394"/>
      <c r="BJ69" s="106"/>
      <c r="BK69" s="146"/>
    </row>
    <row r="70" spans="1:63" s="107" customFormat="1" ht="26.1" hidden="1" customHeight="1" thickBot="1" x14ac:dyDescent="0.35">
      <c r="A70" s="108"/>
      <c r="B70" s="404"/>
      <c r="C70" s="405"/>
      <c r="D70" s="405"/>
      <c r="E70" s="376"/>
      <c r="F70" s="376"/>
      <c r="G70" s="376"/>
      <c r="H70" s="376"/>
      <c r="I70" s="376"/>
      <c r="J70" s="376"/>
      <c r="K70" s="373"/>
      <c r="L70" s="374"/>
      <c r="M70" s="374"/>
      <c r="N70" s="374"/>
      <c r="O70" s="374"/>
      <c r="P70" s="374"/>
      <c r="Q70" s="374"/>
      <c r="R70" s="374"/>
      <c r="S70" s="374"/>
      <c r="T70" s="374"/>
      <c r="U70" s="374"/>
      <c r="V70" s="374"/>
      <c r="W70" s="374"/>
      <c r="X70" s="374"/>
      <c r="Y70" s="374"/>
      <c r="Z70" s="374"/>
      <c r="AA70" s="374"/>
      <c r="AB70" s="375"/>
      <c r="AC70" s="409"/>
      <c r="AD70" s="409"/>
      <c r="AE70" s="409"/>
      <c r="AF70" s="409"/>
      <c r="AG70" s="409"/>
      <c r="AH70" s="409"/>
      <c r="AI70" s="409"/>
      <c r="AJ70" s="409"/>
      <c r="AK70" s="409"/>
      <c r="AL70" s="409"/>
      <c r="AM70" s="409"/>
      <c r="AN70" s="409"/>
      <c r="AO70" s="409"/>
      <c r="AP70" s="409"/>
      <c r="AQ70" s="409"/>
      <c r="AR70" s="409"/>
      <c r="AS70" s="409"/>
      <c r="AT70" s="409"/>
      <c r="AU70" s="409"/>
      <c r="AV70" s="409"/>
      <c r="AW70" s="409"/>
      <c r="AX70" s="409"/>
      <c r="AY70" s="409"/>
      <c r="AZ70" s="409"/>
      <c r="BA70" s="409"/>
      <c r="BB70" s="409"/>
      <c r="BC70" s="409"/>
      <c r="BD70" s="395"/>
      <c r="BE70" s="395"/>
      <c r="BF70" s="395"/>
      <c r="BG70" s="395"/>
      <c r="BH70" s="395"/>
      <c r="BI70" s="396"/>
      <c r="BJ70" s="106"/>
      <c r="BK70" s="146"/>
    </row>
    <row r="71" spans="1:63" s="107" customFormat="1" ht="26.1" hidden="1" customHeight="1" thickTop="1" x14ac:dyDescent="0.3">
      <c r="A71" s="108"/>
      <c r="B71" s="335">
        <v>5</v>
      </c>
      <c r="C71" s="336"/>
      <c r="D71" s="336"/>
      <c r="E71" s="339" t="s">
        <v>621</v>
      </c>
      <c r="F71" s="339"/>
      <c r="G71" s="339"/>
      <c r="H71" s="339"/>
      <c r="I71" s="339"/>
      <c r="J71" s="339"/>
      <c r="K71" s="340"/>
      <c r="L71" s="341"/>
      <c r="M71" s="341"/>
      <c r="N71" s="341"/>
      <c r="O71" s="341"/>
      <c r="P71" s="341"/>
      <c r="Q71" s="341"/>
      <c r="R71" s="341"/>
      <c r="S71" s="341"/>
      <c r="T71" s="341"/>
      <c r="U71" s="341"/>
      <c r="V71" s="341"/>
      <c r="W71" s="341"/>
      <c r="X71" s="341"/>
      <c r="Y71" s="341"/>
      <c r="Z71" s="341"/>
      <c r="AA71" s="341"/>
      <c r="AB71" s="342"/>
      <c r="AC71" s="408"/>
      <c r="AD71" s="408"/>
      <c r="AE71" s="408"/>
      <c r="AF71" s="408"/>
      <c r="AG71" s="408"/>
      <c r="AH71" s="408"/>
      <c r="AI71" s="408"/>
      <c r="AJ71" s="408"/>
      <c r="AK71" s="408"/>
      <c r="AL71" s="408"/>
      <c r="AM71" s="408"/>
      <c r="AN71" s="408"/>
      <c r="AO71" s="408"/>
      <c r="AP71" s="408"/>
      <c r="AQ71" s="408"/>
      <c r="AR71" s="408"/>
      <c r="AS71" s="408"/>
      <c r="AT71" s="408"/>
      <c r="AU71" s="408"/>
      <c r="AV71" s="408"/>
      <c r="AW71" s="408"/>
      <c r="AX71" s="408"/>
      <c r="AY71" s="408"/>
      <c r="AZ71" s="408"/>
      <c r="BA71" s="408"/>
      <c r="BB71" s="408"/>
      <c r="BC71" s="408"/>
      <c r="BD71" s="410" t="s">
        <v>246</v>
      </c>
      <c r="BE71" s="410"/>
      <c r="BF71" s="410"/>
      <c r="BG71" s="410"/>
      <c r="BH71" s="410"/>
      <c r="BI71" s="411"/>
      <c r="BJ71" s="106"/>
      <c r="BK71" s="146"/>
    </row>
    <row r="72" spans="1:63" s="107" customFormat="1" ht="26.1" hidden="1" customHeight="1" x14ac:dyDescent="0.3">
      <c r="A72" s="108"/>
      <c r="B72" s="337"/>
      <c r="C72" s="338"/>
      <c r="D72" s="338"/>
      <c r="E72" s="376"/>
      <c r="F72" s="376"/>
      <c r="G72" s="376"/>
      <c r="H72" s="376"/>
      <c r="I72" s="376"/>
      <c r="J72" s="376"/>
      <c r="K72" s="343"/>
      <c r="L72" s="344"/>
      <c r="M72" s="344"/>
      <c r="N72" s="344"/>
      <c r="O72" s="344"/>
      <c r="P72" s="344"/>
      <c r="Q72" s="344"/>
      <c r="R72" s="344"/>
      <c r="S72" s="344"/>
      <c r="T72" s="344"/>
      <c r="U72" s="344"/>
      <c r="V72" s="344"/>
      <c r="W72" s="344"/>
      <c r="X72" s="344"/>
      <c r="Y72" s="344"/>
      <c r="Z72" s="344"/>
      <c r="AA72" s="344"/>
      <c r="AB72" s="345"/>
      <c r="AC72" s="362"/>
      <c r="AD72" s="362"/>
      <c r="AE72" s="362"/>
      <c r="AF72" s="362"/>
      <c r="AG72" s="362"/>
      <c r="AH72" s="362"/>
      <c r="AI72" s="362"/>
      <c r="AJ72" s="362"/>
      <c r="AK72" s="362"/>
      <c r="AL72" s="362"/>
      <c r="AM72" s="362"/>
      <c r="AN72" s="362"/>
      <c r="AO72" s="362"/>
      <c r="AP72" s="362"/>
      <c r="AQ72" s="362"/>
      <c r="AR72" s="362"/>
      <c r="AS72" s="362"/>
      <c r="AT72" s="362"/>
      <c r="AU72" s="362"/>
      <c r="AV72" s="362"/>
      <c r="AW72" s="362"/>
      <c r="AX72" s="362"/>
      <c r="AY72" s="362"/>
      <c r="AZ72" s="362"/>
      <c r="BA72" s="362"/>
      <c r="BB72" s="362"/>
      <c r="BC72" s="362"/>
      <c r="BD72" s="412"/>
      <c r="BE72" s="412"/>
      <c r="BF72" s="412"/>
      <c r="BG72" s="412"/>
      <c r="BH72" s="412"/>
      <c r="BI72" s="413"/>
      <c r="BJ72" s="106"/>
      <c r="BK72" s="146"/>
    </row>
    <row r="73" spans="1:63" s="107" customFormat="1" ht="26.1" hidden="1" customHeight="1" x14ac:dyDescent="0.3">
      <c r="A73" s="108"/>
      <c r="B73" s="337"/>
      <c r="C73" s="338"/>
      <c r="D73" s="338"/>
      <c r="E73" s="376"/>
      <c r="F73" s="376"/>
      <c r="G73" s="376"/>
      <c r="H73" s="376"/>
      <c r="I73" s="376"/>
      <c r="J73" s="376"/>
      <c r="K73" s="346"/>
      <c r="L73" s="347"/>
      <c r="M73" s="347"/>
      <c r="N73" s="347"/>
      <c r="O73" s="347"/>
      <c r="P73" s="347"/>
      <c r="Q73" s="347"/>
      <c r="R73" s="347"/>
      <c r="S73" s="347"/>
      <c r="T73" s="347"/>
      <c r="U73" s="347"/>
      <c r="V73" s="347"/>
      <c r="W73" s="347"/>
      <c r="X73" s="347"/>
      <c r="Y73" s="347"/>
      <c r="Z73" s="347"/>
      <c r="AA73" s="347"/>
      <c r="AB73" s="348"/>
      <c r="AC73" s="362"/>
      <c r="AD73" s="362"/>
      <c r="AE73" s="362"/>
      <c r="AF73" s="362"/>
      <c r="AG73" s="362"/>
      <c r="AH73" s="362"/>
      <c r="AI73" s="362"/>
      <c r="AJ73" s="362"/>
      <c r="AK73" s="362"/>
      <c r="AL73" s="362"/>
      <c r="AM73" s="362"/>
      <c r="AN73" s="362"/>
      <c r="AO73" s="362"/>
      <c r="AP73" s="362"/>
      <c r="AQ73" s="362"/>
      <c r="AR73" s="362"/>
      <c r="AS73" s="362"/>
      <c r="AT73" s="362"/>
      <c r="AU73" s="362"/>
      <c r="AV73" s="362"/>
      <c r="AW73" s="362"/>
      <c r="AX73" s="362"/>
      <c r="AY73" s="362"/>
      <c r="AZ73" s="362"/>
      <c r="BA73" s="362"/>
      <c r="BB73" s="362"/>
      <c r="BC73" s="362"/>
      <c r="BD73" s="412"/>
      <c r="BE73" s="412"/>
      <c r="BF73" s="412"/>
      <c r="BG73" s="412"/>
      <c r="BH73" s="412"/>
      <c r="BI73" s="413"/>
      <c r="BJ73" s="106"/>
      <c r="BK73" s="146"/>
    </row>
    <row r="74" spans="1:63" s="107" customFormat="1" ht="26.1" hidden="1" customHeight="1" x14ac:dyDescent="0.3">
      <c r="A74" s="108"/>
      <c r="B74" s="337"/>
      <c r="C74" s="338"/>
      <c r="D74" s="338"/>
      <c r="E74" s="376"/>
      <c r="F74" s="376"/>
      <c r="G74" s="376"/>
      <c r="H74" s="376"/>
      <c r="I74" s="376"/>
      <c r="J74" s="376"/>
      <c r="K74" s="367"/>
      <c r="L74" s="368"/>
      <c r="M74" s="368"/>
      <c r="N74" s="368"/>
      <c r="O74" s="368"/>
      <c r="P74" s="368"/>
      <c r="Q74" s="368"/>
      <c r="R74" s="368"/>
      <c r="S74" s="368"/>
      <c r="T74" s="368"/>
      <c r="U74" s="368"/>
      <c r="V74" s="368"/>
      <c r="W74" s="368"/>
      <c r="X74" s="368"/>
      <c r="Y74" s="368"/>
      <c r="Z74" s="368"/>
      <c r="AA74" s="368"/>
      <c r="AB74" s="369"/>
      <c r="AC74" s="362"/>
      <c r="AD74" s="362"/>
      <c r="AE74" s="362"/>
      <c r="AF74" s="362"/>
      <c r="AG74" s="362"/>
      <c r="AH74" s="362"/>
      <c r="AI74" s="362"/>
      <c r="AJ74" s="362"/>
      <c r="AK74" s="362"/>
      <c r="AL74" s="362"/>
      <c r="AM74" s="362"/>
      <c r="AN74" s="362"/>
      <c r="AO74" s="362"/>
      <c r="AP74" s="362"/>
      <c r="AQ74" s="362"/>
      <c r="AR74" s="362"/>
      <c r="AS74" s="362"/>
      <c r="AT74" s="362"/>
      <c r="AU74" s="362"/>
      <c r="AV74" s="362"/>
      <c r="AW74" s="362"/>
      <c r="AX74" s="362"/>
      <c r="AY74" s="362"/>
      <c r="AZ74" s="362"/>
      <c r="BA74" s="362"/>
      <c r="BB74" s="362"/>
      <c r="BC74" s="362"/>
      <c r="BD74" s="412"/>
      <c r="BE74" s="412"/>
      <c r="BF74" s="412"/>
      <c r="BG74" s="412"/>
      <c r="BH74" s="412"/>
      <c r="BI74" s="413"/>
      <c r="BJ74" s="106"/>
      <c r="BK74" s="146"/>
    </row>
    <row r="75" spans="1:63" s="107" customFormat="1" ht="26.1" hidden="1" customHeight="1" x14ac:dyDescent="0.3">
      <c r="A75" s="108"/>
      <c r="B75" s="337"/>
      <c r="C75" s="338"/>
      <c r="D75" s="338"/>
      <c r="E75" s="350" t="s">
        <v>457</v>
      </c>
      <c r="F75" s="350"/>
      <c r="G75" s="350"/>
      <c r="H75" s="350"/>
      <c r="I75" s="350"/>
      <c r="J75" s="350"/>
      <c r="K75" s="370"/>
      <c r="L75" s="371"/>
      <c r="M75" s="371"/>
      <c r="N75" s="371"/>
      <c r="O75" s="371"/>
      <c r="P75" s="371"/>
      <c r="Q75" s="371"/>
      <c r="R75" s="371"/>
      <c r="S75" s="371"/>
      <c r="T75" s="371"/>
      <c r="U75" s="371"/>
      <c r="V75" s="371"/>
      <c r="W75" s="371"/>
      <c r="X75" s="371"/>
      <c r="Y75" s="371"/>
      <c r="Z75" s="371"/>
      <c r="AA75" s="371"/>
      <c r="AB75" s="372"/>
      <c r="AC75" s="362"/>
      <c r="AD75" s="362"/>
      <c r="AE75" s="362"/>
      <c r="AF75" s="362"/>
      <c r="AG75" s="362"/>
      <c r="AH75" s="362"/>
      <c r="AI75" s="362"/>
      <c r="AJ75" s="362"/>
      <c r="AK75" s="362"/>
      <c r="AL75" s="362"/>
      <c r="AM75" s="362"/>
      <c r="AN75" s="362"/>
      <c r="AO75" s="362"/>
      <c r="AP75" s="362"/>
      <c r="AQ75" s="362"/>
      <c r="AR75" s="362"/>
      <c r="AS75" s="362"/>
      <c r="AT75" s="362"/>
      <c r="AU75" s="362"/>
      <c r="AV75" s="362"/>
      <c r="AW75" s="362"/>
      <c r="AX75" s="362"/>
      <c r="AY75" s="362"/>
      <c r="AZ75" s="362"/>
      <c r="BA75" s="362"/>
      <c r="BB75" s="362"/>
      <c r="BC75" s="362"/>
      <c r="BD75" s="389" t="s">
        <v>88</v>
      </c>
      <c r="BE75" s="389"/>
      <c r="BF75" s="389"/>
      <c r="BG75" s="389"/>
      <c r="BH75" s="389"/>
      <c r="BI75" s="403"/>
      <c r="BJ75" s="106"/>
      <c r="BK75" s="146"/>
    </row>
    <row r="76" spans="1:63" s="107" customFormat="1" ht="26.1" hidden="1" customHeight="1" x14ac:dyDescent="0.3">
      <c r="A76" s="108"/>
      <c r="B76" s="337"/>
      <c r="C76" s="338"/>
      <c r="D76" s="338"/>
      <c r="E76" s="376"/>
      <c r="F76" s="376"/>
      <c r="G76" s="376"/>
      <c r="H76" s="376"/>
      <c r="I76" s="376"/>
      <c r="J76" s="376"/>
      <c r="K76" s="370"/>
      <c r="L76" s="371"/>
      <c r="M76" s="371"/>
      <c r="N76" s="371"/>
      <c r="O76" s="371"/>
      <c r="P76" s="371"/>
      <c r="Q76" s="371"/>
      <c r="R76" s="371"/>
      <c r="S76" s="371"/>
      <c r="T76" s="371"/>
      <c r="U76" s="371"/>
      <c r="V76" s="371"/>
      <c r="W76" s="371"/>
      <c r="X76" s="371"/>
      <c r="Y76" s="371"/>
      <c r="Z76" s="371"/>
      <c r="AA76" s="371"/>
      <c r="AB76" s="372"/>
      <c r="AC76" s="362"/>
      <c r="AD76" s="362"/>
      <c r="AE76" s="362"/>
      <c r="AF76" s="362"/>
      <c r="AG76" s="362"/>
      <c r="AH76" s="362"/>
      <c r="AI76" s="362"/>
      <c r="AJ76" s="362"/>
      <c r="AK76" s="362"/>
      <c r="AL76" s="362"/>
      <c r="AM76" s="362"/>
      <c r="AN76" s="362"/>
      <c r="AO76" s="362"/>
      <c r="AP76" s="362"/>
      <c r="AQ76" s="362"/>
      <c r="AR76" s="362"/>
      <c r="AS76" s="362"/>
      <c r="AT76" s="362"/>
      <c r="AU76" s="362"/>
      <c r="AV76" s="362"/>
      <c r="AW76" s="362"/>
      <c r="AX76" s="362"/>
      <c r="AY76" s="362"/>
      <c r="AZ76" s="362"/>
      <c r="BA76" s="362"/>
      <c r="BB76" s="362"/>
      <c r="BC76" s="362"/>
      <c r="BD76" s="414"/>
      <c r="BE76" s="415"/>
      <c r="BF76" s="415"/>
      <c r="BG76" s="415"/>
      <c r="BH76" s="415"/>
      <c r="BI76" s="416"/>
      <c r="BJ76" s="106"/>
      <c r="BK76" s="146"/>
    </row>
    <row r="77" spans="1:63" s="107" customFormat="1" ht="26.1" hidden="1" customHeight="1" x14ac:dyDescent="0.3">
      <c r="A77" s="108"/>
      <c r="B77" s="337"/>
      <c r="C77" s="338"/>
      <c r="D77" s="338"/>
      <c r="E77" s="376"/>
      <c r="F77" s="376"/>
      <c r="G77" s="376"/>
      <c r="H77" s="376"/>
      <c r="I77" s="376"/>
      <c r="J77" s="376"/>
      <c r="K77" s="370"/>
      <c r="L77" s="371"/>
      <c r="M77" s="371"/>
      <c r="N77" s="371"/>
      <c r="O77" s="371"/>
      <c r="P77" s="371"/>
      <c r="Q77" s="371"/>
      <c r="R77" s="371"/>
      <c r="S77" s="371"/>
      <c r="T77" s="371"/>
      <c r="U77" s="371"/>
      <c r="V77" s="371"/>
      <c r="W77" s="371"/>
      <c r="X77" s="371"/>
      <c r="Y77" s="371"/>
      <c r="Z77" s="371"/>
      <c r="AA77" s="371"/>
      <c r="AB77" s="372"/>
      <c r="AC77" s="362"/>
      <c r="AD77" s="362"/>
      <c r="AE77" s="362"/>
      <c r="AF77" s="362"/>
      <c r="AG77" s="362"/>
      <c r="AH77" s="362"/>
      <c r="AI77" s="362"/>
      <c r="AJ77" s="362"/>
      <c r="AK77" s="362"/>
      <c r="AL77" s="362"/>
      <c r="AM77" s="362"/>
      <c r="AN77" s="362"/>
      <c r="AO77" s="362"/>
      <c r="AP77" s="362"/>
      <c r="AQ77" s="362"/>
      <c r="AR77" s="362"/>
      <c r="AS77" s="362"/>
      <c r="AT77" s="362"/>
      <c r="AU77" s="362"/>
      <c r="AV77" s="362"/>
      <c r="AW77" s="362"/>
      <c r="AX77" s="362"/>
      <c r="AY77" s="362"/>
      <c r="AZ77" s="362"/>
      <c r="BA77" s="362"/>
      <c r="BB77" s="362"/>
      <c r="BC77" s="362"/>
      <c r="BD77" s="417"/>
      <c r="BE77" s="418"/>
      <c r="BF77" s="418"/>
      <c r="BG77" s="418"/>
      <c r="BH77" s="418"/>
      <c r="BI77" s="419"/>
      <c r="BJ77" s="106"/>
      <c r="BK77" s="146"/>
    </row>
    <row r="78" spans="1:63" s="107" customFormat="1" ht="26.1" hidden="1" customHeight="1" x14ac:dyDescent="0.3">
      <c r="A78" s="108"/>
      <c r="B78" s="337"/>
      <c r="C78" s="338"/>
      <c r="D78" s="338"/>
      <c r="E78" s="376"/>
      <c r="F78" s="376"/>
      <c r="G78" s="376"/>
      <c r="H78" s="376"/>
      <c r="I78" s="376"/>
      <c r="J78" s="376"/>
      <c r="K78" s="370"/>
      <c r="L78" s="371"/>
      <c r="M78" s="371"/>
      <c r="N78" s="371"/>
      <c r="O78" s="371"/>
      <c r="P78" s="371"/>
      <c r="Q78" s="371"/>
      <c r="R78" s="371"/>
      <c r="S78" s="371"/>
      <c r="T78" s="371"/>
      <c r="U78" s="371"/>
      <c r="V78" s="371"/>
      <c r="W78" s="371"/>
      <c r="X78" s="371"/>
      <c r="Y78" s="371"/>
      <c r="Z78" s="371"/>
      <c r="AA78" s="371"/>
      <c r="AB78" s="372"/>
      <c r="AC78" s="362"/>
      <c r="AD78" s="362"/>
      <c r="AE78" s="362"/>
      <c r="AF78" s="362"/>
      <c r="AG78" s="362"/>
      <c r="AH78" s="362"/>
      <c r="AI78" s="362"/>
      <c r="AJ78" s="362"/>
      <c r="AK78" s="362"/>
      <c r="AL78" s="362"/>
      <c r="AM78" s="362"/>
      <c r="AN78" s="362"/>
      <c r="AO78" s="362"/>
      <c r="AP78" s="362"/>
      <c r="AQ78" s="362"/>
      <c r="AR78" s="362"/>
      <c r="AS78" s="362"/>
      <c r="AT78" s="362"/>
      <c r="AU78" s="362"/>
      <c r="AV78" s="362"/>
      <c r="AW78" s="362"/>
      <c r="AX78" s="362"/>
      <c r="AY78" s="362"/>
      <c r="AZ78" s="362"/>
      <c r="BA78" s="362"/>
      <c r="BB78" s="362"/>
      <c r="BC78" s="362"/>
      <c r="BD78" s="420"/>
      <c r="BE78" s="421"/>
      <c r="BF78" s="421"/>
      <c r="BG78" s="421"/>
      <c r="BH78" s="421"/>
      <c r="BI78" s="422"/>
      <c r="BJ78" s="106"/>
      <c r="BK78" s="146"/>
    </row>
    <row r="79" spans="1:63" s="107" customFormat="1" ht="26.1" hidden="1" customHeight="1" x14ac:dyDescent="0.3">
      <c r="A79" s="108"/>
      <c r="B79" s="349" t="s">
        <v>637</v>
      </c>
      <c r="C79" s="350"/>
      <c r="D79" s="350"/>
      <c r="E79" s="350" t="s">
        <v>622</v>
      </c>
      <c r="F79" s="350"/>
      <c r="G79" s="350"/>
      <c r="H79" s="350"/>
      <c r="I79" s="350"/>
      <c r="J79" s="350"/>
      <c r="K79" s="370"/>
      <c r="L79" s="371"/>
      <c r="M79" s="371"/>
      <c r="N79" s="371"/>
      <c r="O79" s="371"/>
      <c r="P79" s="371"/>
      <c r="Q79" s="371"/>
      <c r="R79" s="371"/>
      <c r="S79" s="371"/>
      <c r="T79" s="371"/>
      <c r="U79" s="371"/>
      <c r="V79" s="371"/>
      <c r="W79" s="371"/>
      <c r="X79" s="371"/>
      <c r="Y79" s="371"/>
      <c r="Z79" s="371"/>
      <c r="AA79" s="371"/>
      <c r="AB79" s="372"/>
      <c r="AC79" s="362"/>
      <c r="AD79" s="362"/>
      <c r="AE79" s="362"/>
      <c r="AF79" s="362"/>
      <c r="AG79" s="362"/>
      <c r="AH79" s="362"/>
      <c r="AI79" s="362"/>
      <c r="AJ79" s="362"/>
      <c r="AK79" s="362"/>
      <c r="AL79" s="362"/>
      <c r="AM79" s="362"/>
      <c r="AN79" s="362"/>
      <c r="AO79" s="362"/>
      <c r="AP79" s="362"/>
      <c r="AQ79" s="362"/>
      <c r="AR79" s="362"/>
      <c r="AS79" s="362"/>
      <c r="AT79" s="362"/>
      <c r="AU79" s="362"/>
      <c r="AV79" s="362"/>
      <c r="AW79" s="362"/>
      <c r="AX79" s="362"/>
      <c r="AY79" s="362"/>
      <c r="AZ79" s="362"/>
      <c r="BA79" s="362"/>
      <c r="BB79" s="362"/>
      <c r="BC79" s="362"/>
      <c r="BD79" s="389" t="s">
        <v>46</v>
      </c>
      <c r="BE79" s="389"/>
      <c r="BF79" s="389"/>
      <c r="BG79" s="389"/>
      <c r="BH79" s="389"/>
      <c r="BI79" s="403"/>
      <c r="BJ79" s="106"/>
      <c r="BK79" s="146"/>
    </row>
    <row r="80" spans="1:63" s="107" customFormat="1" ht="26.1" hidden="1" customHeight="1" x14ac:dyDescent="0.3">
      <c r="A80" s="108"/>
      <c r="B80" s="351"/>
      <c r="C80" s="352"/>
      <c r="D80" s="352"/>
      <c r="E80" s="376"/>
      <c r="F80" s="376"/>
      <c r="G80" s="376"/>
      <c r="H80" s="376"/>
      <c r="I80" s="376"/>
      <c r="J80" s="376"/>
      <c r="K80" s="370"/>
      <c r="L80" s="371"/>
      <c r="M80" s="371"/>
      <c r="N80" s="371"/>
      <c r="O80" s="371"/>
      <c r="P80" s="371"/>
      <c r="Q80" s="371"/>
      <c r="R80" s="371"/>
      <c r="S80" s="371"/>
      <c r="T80" s="371"/>
      <c r="U80" s="371"/>
      <c r="V80" s="371"/>
      <c r="W80" s="371"/>
      <c r="X80" s="371"/>
      <c r="Y80" s="371"/>
      <c r="Z80" s="371"/>
      <c r="AA80" s="371"/>
      <c r="AB80" s="372"/>
      <c r="AC80" s="362"/>
      <c r="AD80" s="362"/>
      <c r="AE80" s="362"/>
      <c r="AF80" s="362"/>
      <c r="AG80" s="362"/>
      <c r="AH80" s="362"/>
      <c r="AI80" s="362"/>
      <c r="AJ80" s="362"/>
      <c r="AK80" s="362"/>
      <c r="AL80" s="362"/>
      <c r="AM80" s="362"/>
      <c r="AN80" s="362"/>
      <c r="AO80" s="362"/>
      <c r="AP80" s="362"/>
      <c r="AQ80" s="362"/>
      <c r="AR80" s="362"/>
      <c r="AS80" s="362"/>
      <c r="AT80" s="362"/>
      <c r="AU80" s="362"/>
      <c r="AV80" s="362"/>
      <c r="AW80" s="362"/>
      <c r="AX80" s="362"/>
      <c r="AY80" s="362"/>
      <c r="AZ80" s="362"/>
      <c r="BA80" s="362"/>
      <c r="BB80" s="362"/>
      <c r="BC80" s="362"/>
      <c r="BD80" s="406"/>
      <c r="BE80" s="406"/>
      <c r="BF80" s="406"/>
      <c r="BG80" s="406"/>
      <c r="BH80" s="406"/>
      <c r="BI80" s="407"/>
      <c r="BJ80" s="106"/>
      <c r="BK80" s="146"/>
    </row>
    <row r="81" spans="1:63" s="107" customFormat="1" ht="26.1" hidden="1" customHeight="1" x14ac:dyDescent="0.3">
      <c r="A81" s="108"/>
      <c r="B81" s="351"/>
      <c r="C81" s="352"/>
      <c r="D81" s="352"/>
      <c r="E81" s="376"/>
      <c r="F81" s="376"/>
      <c r="G81" s="376"/>
      <c r="H81" s="376"/>
      <c r="I81" s="376"/>
      <c r="J81" s="376"/>
      <c r="K81" s="370"/>
      <c r="L81" s="371"/>
      <c r="M81" s="371"/>
      <c r="N81" s="371"/>
      <c r="O81" s="371"/>
      <c r="P81" s="371"/>
      <c r="Q81" s="371"/>
      <c r="R81" s="371"/>
      <c r="S81" s="371"/>
      <c r="T81" s="371"/>
      <c r="U81" s="371"/>
      <c r="V81" s="371"/>
      <c r="W81" s="371"/>
      <c r="X81" s="371"/>
      <c r="Y81" s="371"/>
      <c r="Z81" s="371"/>
      <c r="AA81" s="371"/>
      <c r="AB81" s="372"/>
      <c r="AC81" s="362"/>
      <c r="AD81" s="362"/>
      <c r="AE81" s="362"/>
      <c r="AF81" s="362"/>
      <c r="AG81" s="362"/>
      <c r="AH81" s="362"/>
      <c r="AI81" s="362"/>
      <c r="AJ81" s="362"/>
      <c r="AK81" s="362"/>
      <c r="AL81" s="362"/>
      <c r="AM81" s="362"/>
      <c r="AN81" s="362"/>
      <c r="AO81" s="362"/>
      <c r="AP81" s="362"/>
      <c r="AQ81" s="362"/>
      <c r="AR81" s="362"/>
      <c r="AS81" s="362"/>
      <c r="AT81" s="362"/>
      <c r="AU81" s="362"/>
      <c r="AV81" s="362"/>
      <c r="AW81" s="362"/>
      <c r="AX81" s="362"/>
      <c r="AY81" s="362"/>
      <c r="AZ81" s="362"/>
      <c r="BA81" s="362"/>
      <c r="BB81" s="362"/>
      <c r="BC81" s="362"/>
      <c r="BD81" s="406"/>
      <c r="BE81" s="406"/>
      <c r="BF81" s="406"/>
      <c r="BG81" s="406"/>
      <c r="BH81" s="406"/>
      <c r="BI81" s="407"/>
      <c r="BJ81" s="106"/>
      <c r="BK81" s="146"/>
    </row>
    <row r="82" spans="1:63" s="107" customFormat="1" ht="26.1" hidden="1" customHeight="1" x14ac:dyDescent="0.3">
      <c r="A82" s="108"/>
      <c r="B82" s="351"/>
      <c r="C82" s="352"/>
      <c r="D82" s="352"/>
      <c r="E82" s="376"/>
      <c r="F82" s="376"/>
      <c r="G82" s="376"/>
      <c r="H82" s="376"/>
      <c r="I82" s="376"/>
      <c r="J82" s="376"/>
      <c r="K82" s="370"/>
      <c r="L82" s="371"/>
      <c r="M82" s="371"/>
      <c r="N82" s="371"/>
      <c r="O82" s="371"/>
      <c r="P82" s="371"/>
      <c r="Q82" s="371"/>
      <c r="R82" s="371"/>
      <c r="S82" s="371"/>
      <c r="T82" s="371"/>
      <c r="U82" s="371"/>
      <c r="V82" s="371"/>
      <c r="W82" s="371"/>
      <c r="X82" s="371"/>
      <c r="Y82" s="371"/>
      <c r="Z82" s="371"/>
      <c r="AA82" s="371"/>
      <c r="AB82" s="372"/>
      <c r="AC82" s="362"/>
      <c r="AD82" s="362"/>
      <c r="AE82" s="362"/>
      <c r="AF82" s="362"/>
      <c r="AG82" s="362"/>
      <c r="AH82" s="362"/>
      <c r="AI82" s="362"/>
      <c r="AJ82" s="362"/>
      <c r="AK82" s="362"/>
      <c r="AL82" s="362"/>
      <c r="AM82" s="362"/>
      <c r="AN82" s="362"/>
      <c r="AO82" s="362"/>
      <c r="AP82" s="362"/>
      <c r="AQ82" s="362"/>
      <c r="AR82" s="362"/>
      <c r="AS82" s="362"/>
      <c r="AT82" s="362"/>
      <c r="AU82" s="362"/>
      <c r="AV82" s="362"/>
      <c r="AW82" s="362"/>
      <c r="AX82" s="362"/>
      <c r="AY82" s="362"/>
      <c r="AZ82" s="362"/>
      <c r="BA82" s="362"/>
      <c r="BB82" s="362"/>
      <c r="BC82" s="362"/>
      <c r="BD82" s="406"/>
      <c r="BE82" s="406"/>
      <c r="BF82" s="406"/>
      <c r="BG82" s="406"/>
      <c r="BH82" s="406"/>
      <c r="BI82" s="407"/>
      <c r="BJ82" s="106"/>
      <c r="BK82" s="146"/>
    </row>
    <row r="83" spans="1:63" s="107" customFormat="1" ht="26.1" hidden="1" customHeight="1" x14ac:dyDescent="0.3">
      <c r="A83" s="108"/>
      <c r="B83" s="356" t="s">
        <v>459</v>
      </c>
      <c r="C83" s="357"/>
      <c r="D83" s="357"/>
      <c r="E83" s="350" t="s">
        <v>623</v>
      </c>
      <c r="F83" s="350"/>
      <c r="G83" s="350"/>
      <c r="H83" s="350"/>
      <c r="I83" s="350"/>
      <c r="J83" s="350"/>
      <c r="K83" s="370"/>
      <c r="L83" s="371"/>
      <c r="M83" s="371"/>
      <c r="N83" s="371"/>
      <c r="O83" s="371"/>
      <c r="P83" s="371"/>
      <c r="Q83" s="371"/>
      <c r="R83" s="371"/>
      <c r="S83" s="371"/>
      <c r="T83" s="371"/>
      <c r="U83" s="371"/>
      <c r="V83" s="371"/>
      <c r="W83" s="371"/>
      <c r="X83" s="371"/>
      <c r="Y83" s="371"/>
      <c r="Z83" s="371"/>
      <c r="AA83" s="371"/>
      <c r="AB83" s="372"/>
      <c r="AC83" s="362"/>
      <c r="AD83" s="362"/>
      <c r="AE83" s="362"/>
      <c r="AF83" s="362"/>
      <c r="AG83" s="362"/>
      <c r="AH83" s="362"/>
      <c r="AI83" s="362"/>
      <c r="AJ83" s="362"/>
      <c r="AK83" s="362"/>
      <c r="AL83" s="362"/>
      <c r="AM83" s="362"/>
      <c r="AN83" s="362"/>
      <c r="AO83" s="362"/>
      <c r="AP83" s="362"/>
      <c r="AQ83" s="362"/>
      <c r="AR83" s="362"/>
      <c r="AS83" s="362"/>
      <c r="AT83" s="362"/>
      <c r="AU83" s="362"/>
      <c r="AV83" s="362"/>
      <c r="AW83" s="362"/>
      <c r="AX83" s="362"/>
      <c r="AY83" s="362"/>
      <c r="AZ83" s="362"/>
      <c r="BA83" s="362"/>
      <c r="BB83" s="362"/>
      <c r="BC83" s="362"/>
      <c r="BD83" s="389" t="s">
        <v>638</v>
      </c>
      <c r="BE83" s="389"/>
      <c r="BF83" s="389"/>
      <c r="BG83" s="389"/>
      <c r="BH83" s="389"/>
      <c r="BI83" s="403"/>
      <c r="BJ83" s="106"/>
      <c r="BK83" s="146"/>
    </row>
    <row r="84" spans="1:63" s="107" customFormat="1" ht="26.1" hidden="1" customHeight="1" x14ac:dyDescent="0.3">
      <c r="A84" s="108"/>
      <c r="B84" s="351"/>
      <c r="C84" s="352"/>
      <c r="D84" s="352"/>
      <c r="E84" s="376"/>
      <c r="F84" s="376"/>
      <c r="G84" s="376"/>
      <c r="H84" s="376"/>
      <c r="I84" s="376"/>
      <c r="J84" s="376"/>
      <c r="K84" s="370"/>
      <c r="L84" s="371"/>
      <c r="M84" s="371"/>
      <c r="N84" s="371"/>
      <c r="O84" s="371"/>
      <c r="P84" s="371"/>
      <c r="Q84" s="371"/>
      <c r="R84" s="371"/>
      <c r="S84" s="371"/>
      <c r="T84" s="371"/>
      <c r="U84" s="371"/>
      <c r="V84" s="371"/>
      <c r="W84" s="371"/>
      <c r="X84" s="371"/>
      <c r="Y84" s="371"/>
      <c r="Z84" s="371"/>
      <c r="AA84" s="371"/>
      <c r="AB84" s="372"/>
      <c r="AC84" s="362"/>
      <c r="AD84" s="362"/>
      <c r="AE84" s="362"/>
      <c r="AF84" s="362"/>
      <c r="AG84" s="362"/>
      <c r="AH84" s="362"/>
      <c r="AI84" s="362"/>
      <c r="AJ84" s="362"/>
      <c r="AK84" s="362"/>
      <c r="AL84" s="362"/>
      <c r="AM84" s="362"/>
      <c r="AN84" s="362"/>
      <c r="AO84" s="362"/>
      <c r="AP84" s="362"/>
      <c r="AQ84" s="362"/>
      <c r="AR84" s="362"/>
      <c r="AS84" s="362"/>
      <c r="AT84" s="362"/>
      <c r="AU84" s="362"/>
      <c r="AV84" s="362"/>
      <c r="AW84" s="362"/>
      <c r="AX84" s="362"/>
      <c r="AY84" s="362"/>
      <c r="AZ84" s="362"/>
      <c r="BA84" s="362"/>
      <c r="BB84" s="362"/>
      <c r="BC84" s="362"/>
      <c r="BD84" s="393"/>
      <c r="BE84" s="393"/>
      <c r="BF84" s="393"/>
      <c r="BG84" s="393"/>
      <c r="BH84" s="393"/>
      <c r="BI84" s="394"/>
      <c r="BJ84" s="106"/>
      <c r="BK84" s="146"/>
    </row>
    <row r="85" spans="1:63" s="107" customFormat="1" ht="26.1" hidden="1" customHeight="1" x14ac:dyDescent="0.3">
      <c r="A85" s="108"/>
      <c r="B85" s="351"/>
      <c r="C85" s="352"/>
      <c r="D85" s="352"/>
      <c r="E85" s="376"/>
      <c r="F85" s="376"/>
      <c r="G85" s="376"/>
      <c r="H85" s="376"/>
      <c r="I85" s="376"/>
      <c r="J85" s="376"/>
      <c r="K85" s="370"/>
      <c r="L85" s="371"/>
      <c r="M85" s="371"/>
      <c r="N85" s="371"/>
      <c r="O85" s="371"/>
      <c r="P85" s="371"/>
      <c r="Q85" s="371"/>
      <c r="R85" s="371"/>
      <c r="S85" s="371"/>
      <c r="T85" s="371"/>
      <c r="U85" s="371"/>
      <c r="V85" s="371"/>
      <c r="W85" s="371"/>
      <c r="X85" s="371"/>
      <c r="Y85" s="371"/>
      <c r="Z85" s="371"/>
      <c r="AA85" s="371"/>
      <c r="AB85" s="372"/>
      <c r="AC85" s="362"/>
      <c r="AD85" s="362"/>
      <c r="AE85" s="362"/>
      <c r="AF85" s="362"/>
      <c r="AG85" s="362"/>
      <c r="AH85" s="362"/>
      <c r="AI85" s="362"/>
      <c r="AJ85" s="362"/>
      <c r="AK85" s="362"/>
      <c r="AL85" s="362"/>
      <c r="AM85" s="362"/>
      <c r="AN85" s="362"/>
      <c r="AO85" s="362"/>
      <c r="AP85" s="362"/>
      <c r="AQ85" s="362"/>
      <c r="AR85" s="362"/>
      <c r="AS85" s="362"/>
      <c r="AT85" s="362"/>
      <c r="AU85" s="362"/>
      <c r="AV85" s="362"/>
      <c r="AW85" s="362"/>
      <c r="AX85" s="362"/>
      <c r="AY85" s="362"/>
      <c r="AZ85" s="362"/>
      <c r="BA85" s="362"/>
      <c r="BB85" s="362"/>
      <c r="BC85" s="362"/>
      <c r="BD85" s="393"/>
      <c r="BE85" s="393"/>
      <c r="BF85" s="393"/>
      <c r="BG85" s="393"/>
      <c r="BH85" s="393"/>
      <c r="BI85" s="394"/>
      <c r="BJ85" s="106"/>
      <c r="BK85" s="146"/>
    </row>
    <row r="86" spans="1:63" s="107" customFormat="1" ht="26.1" hidden="1" customHeight="1" thickBot="1" x14ac:dyDescent="0.35">
      <c r="A86" s="108"/>
      <c r="B86" s="404"/>
      <c r="C86" s="405"/>
      <c r="D86" s="405"/>
      <c r="E86" s="392"/>
      <c r="F86" s="392"/>
      <c r="G86" s="392"/>
      <c r="H86" s="392"/>
      <c r="I86" s="392"/>
      <c r="J86" s="392"/>
      <c r="K86" s="373"/>
      <c r="L86" s="374"/>
      <c r="M86" s="374"/>
      <c r="N86" s="374"/>
      <c r="O86" s="374"/>
      <c r="P86" s="374"/>
      <c r="Q86" s="374"/>
      <c r="R86" s="374"/>
      <c r="S86" s="374"/>
      <c r="T86" s="374"/>
      <c r="U86" s="374"/>
      <c r="V86" s="374"/>
      <c r="W86" s="374"/>
      <c r="X86" s="374"/>
      <c r="Y86" s="374"/>
      <c r="Z86" s="374"/>
      <c r="AA86" s="374"/>
      <c r="AB86" s="375"/>
      <c r="AC86" s="409"/>
      <c r="AD86" s="409"/>
      <c r="AE86" s="409"/>
      <c r="AF86" s="409"/>
      <c r="AG86" s="409"/>
      <c r="AH86" s="409"/>
      <c r="AI86" s="409"/>
      <c r="AJ86" s="409"/>
      <c r="AK86" s="409"/>
      <c r="AL86" s="409"/>
      <c r="AM86" s="409"/>
      <c r="AN86" s="409"/>
      <c r="AO86" s="409"/>
      <c r="AP86" s="409"/>
      <c r="AQ86" s="409"/>
      <c r="AR86" s="409"/>
      <c r="AS86" s="409"/>
      <c r="AT86" s="409"/>
      <c r="AU86" s="409"/>
      <c r="AV86" s="409"/>
      <c r="AW86" s="409"/>
      <c r="AX86" s="409"/>
      <c r="AY86" s="409"/>
      <c r="AZ86" s="409"/>
      <c r="BA86" s="409"/>
      <c r="BB86" s="409"/>
      <c r="BC86" s="409"/>
      <c r="BD86" s="395"/>
      <c r="BE86" s="395"/>
      <c r="BF86" s="395"/>
      <c r="BG86" s="395"/>
      <c r="BH86" s="395"/>
      <c r="BI86" s="396"/>
      <c r="BJ86" s="106"/>
      <c r="BK86" s="146"/>
    </row>
    <row r="87" spans="1:63" s="107" customFormat="1" ht="26.1" hidden="1" customHeight="1" thickTop="1" x14ac:dyDescent="0.3">
      <c r="A87" s="108"/>
      <c r="B87" s="335">
        <v>6</v>
      </c>
      <c r="C87" s="336"/>
      <c r="D87" s="336"/>
      <c r="E87" s="339" t="s">
        <v>621</v>
      </c>
      <c r="F87" s="339"/>
      <c r="G87" s="339"/>
      <c r="H87" s="339"/>
      <c r="I87" s="339"/>
      <c r="J87" s="339"/>
      <c r="K87" s="340"/>
      <c r="L87" s="341"/>
      <c r="M87" s="341"/>
      <c r="N87" s="341"/>
      <c r="O87" s="341"/>
      <c r="P87" s="341"/>
      <c r="Q87" s="341"/>
      <c r="R87" s="341"/>
      <c r="S87" s="341"/>
      <c r="T87" s="341"/>
      <c r="U87" s="341"/>
      <c r="V87" s="341"/>
      <c r="W87" s="341"/>
      <c r="X87" s="341"/>
      <c r="Y87" s="341"/>
      <c r="Z87" s="341"/>
      <c r="AA87" s="341"/>
      <c r="AB87" s="342"/>
      <c r="AC87" s="408"/>
      <c r="AD87" s="408"/>
      <c r="AE87" s="408"/>
      <c r="AF87" s="408"/>
      <c r="AG87" s="408"/>
      <c r="AH87" s="408"/>
      <c r="AI87" s="408"/>
      <c r="AJ87" s="408"/>
      <c r="AK87" s="408"/>
      <c r="AL87" s="408"/>
      <c r="AM87" s="408"/>
      <c r="AN87" s="408"/>
      <c r="AO87" s="408"/>
      <c r="AP87" s="408"/>
      <c r="AQ87" s="408"/>
      <c r="AR87" s="408"/>
      <c r="AS87" s="408"/>
      <c r="AT87" s="408"/>
      <c r="AU87" s="408"/>
      <c r="AV87" s="408"/>
      <c r="AW87" s="408"/>
      <c r="AX87" s="408"/>
      <c r="AY87" s="408"/>
      <c r="AZ87" s="408"/>
      <c r="BA87" s="408"/>
      <c r="BB87" s="408"/>
      <c r="BC87" s="408"/>
      <c r="BD87" s="410" t="s">
        <v>246</v>
      </c>
      <c r="BE87" s="410"/>
      <c r="BF87" s="410"/>
      <c r="BG87" s="410"/>
      <c r="BH87" s="410"/>
      <c r="BI87" s="411"/>
      <c r="BJ87" s="106"/>
      <c r="BK87" s="146"/>
    </row>
    <row r="88" spans="1:63" s="107" customFormat="1" ht="26.1" hidden="1" customHeight="1" x14ac:dyDescent="0.3">
      <c r="A88" s="108"/>
      <c r="B88" s="337"/>
      <c r="C88" s="338"/>
      <c r="D88" s="338"/>
      <c r="E88" s="376"/>
      <c r="F88" s="376"/>
      <c r="G88" s="376"/>
      <c r="H88" s="376"/>
      <c r="I88" s="376"/>
      <c r="J88" s="376"/>
      <c r="K88" s="343"/>
      <c r="L88" s="344"/>
      <c r="M88" s="344"/>
      <c r="N88" s="344"/>
      <c r="O88" s="344"/>
      <c r="P88" s="344"/>
      <c r="Q88" s="344"/>
      <c r="R88" s="344"/>
      <c r="S88" s="344"/>
      <c r="T88" s="344"/>
      <c r="U88" s="344"/>
      <c r="V88" s="344"/>
      <c r="W88" s="344"/>
      <c r="X88" s="344"/>
      <c r="Y88" s="344"/>
      <c r="Z88" s="344"/>
      <c r="AA88" s="344"/>
      <c r="AB88" s="345"/>
      <c r="AC88" s="362"/>
      <c r="AD88" s="362"/>
      <c r="AE88" s="362"/>
      <c r="AF88" s="362"/>
      <c r="AG88" s="362"/>
      <c r="AH88" s="362"/>
      <c r="AI88" s="362"/>
      <c r="AJ88" s="362"/>
      <c r="AK88" s="362"/>
      <c r="AL88" s="362"/>
      <c r="AM88" s="362"/>
      <c r="AN88" s="362"/>
      <c r="AO88" s="362"/>
      <c r="AP88" s="362"/>
      <c r="AQ88" s="362"/>
      <c r="AR88" s="362"/>
      <c r="AS88" s="362"/>
      <c r="AT88" s="362"/>
      <c r="AU88" s="362"/>
      <c r="AV88" s="362"/>
      <c r="AW88" s="362"/>
      <c r="AX88" s="362"/>
      <c r="AY88" s="362"/>
      <c r="AZ88" s="362"/>
      <c r="BA88" s="362"/>
      <c r="BB88" s="362"/>
      <c r="BC88" s="362"/>
      <c r="BD88" s="412"/>
      <c r="BE88" s="412"/>
      <c r="BF88" s="412"/>
      <c r="BG88" s="412"/>
      <c r="BH88" s="412"/>
      <c r="BI88" s="413"/>
      <c r="BJ88" s="106"/>
      <c r="BK88" s="146"/>
    </row>
    <row r="89" spans="1:63" s="107" customFormat="1" ht="26.1" hidden="1" customHeight="1" x14ac:dyDescent="0.3">
      <c r="A89" s="108"/>
      <c r="B89" s="337"/>
      <c r="C89" s="338"/>
      <c r="D89" s="338"/>
      <c r="E89" s="376"/>
      <c r="F89" s="376"/>
      <c r="G89" s="376"/>
      <c r="H89" s="376"/>
      <c r="I89" s="376"/>
      <c r="J89" s="376"/>
      <c r="K89" s="346"/>
      <c r="L89" s="347"/>
      <c r="M89" s="347"/>
      <c r="N89" s="347"/>
      <c r="O89" s="347"/>
      <c r="P89" s="347"/>
      <c r="Q89" s="347"/>
      <c r="R89" s="347"/>
      <c r="S89" s="347"/>
      <c r="T89" s="347"/>
      <c r="U89" s="347"/>
      <c r="V89" s="347"/>
      <c r="W89" s="347"/>
      <c r="X89" s="347"/>
      <c r="Y89" s="347"/>
      <c r="Z89" s="347"/>
      <c r="AA89" s="347"/>
      <c r="AB89" s="348"/>
      <c r="AC89" s="362"/>
      <c r="AD89" s="362"/>
      <c r="AE89" s="362"/>
      <c r="AF89" s="362"/>
      <c r="AG89" s="362"/>
      <c r="AH89" s="362"/>
      <c r="AI89" s="362"/>
      <c r="AJ89" s="362"/>
      <c r="AK89" s="362"/>
      <c r="AL89" s="362"/>
      <c r="AM89" s="362"/>
      <c r="AN89" s="362"/>
      <c r="AO89" s="362"/>
      <c r="AP89" s="362"/>
      <c r="AQ89" s="362"/>
      <c r="AR89" s="362"/>
      <c r="AS89" s="362"/>
      <c r="AT89" s="362"/>
      <c r="AU89" s="362"/>
      <c r="AV89" s="362"/>
      <c r="AW89" s="362"/>
      <c r="AX89" s="362"/>
      <c r="AY89" s="362"/>
      <c r="AZ89" s="362"/>
      <c r="BA89" s="362"/>
      <c r="BB89" s="362"/>
      <c r="BC89" s="362"/>
      <c r="BD89" s="412"/>
      <c r="BE89" s="412"/>
      <c r="BF89" s="412"/>
      <c r="BG89" s="412"/>
      <c r="BH89" s="412"/>
      <c r="BI89" s="413"/>
      <c r="BJ89" s="106"/>
      <c r="BK89" s="146"/>
    </row>
    <row r="90" spans="1:63" s="107" customFormat="1" ht="26.1" hidden="1" customHeight="1" x14ac:dyDescent="0.3">
      <c r="A90" s="108"/>
      <c r="B90" s="337"/>
      <c r="C90" s="338"/>
      <c r="D90" s="338"/>
      <c r="E90" s="376"/>
      <c r="F90" s="376"/>
      <c r="G90" s="376"/>
      <c r="H90" s="376"/>
      <c r="I90" s="376"/>
      <c r="J90" s="376"/>
      <c r="K90" s="367"/>
      <c r="L90" s="368"/>
      <c r="M90" s="368"/>
      <c r="N90" s="368"/>
      <c r="O90" s="368"/>
      <c r="P90" s="368"/>
      <c r="Q90" s="368"/>
      <c r="R90" s="368"/>
      <c r="S90" s="368"/>
      <c r="T90" s="368"/>
      <c r="U90" s="368"/>
      <c r="V90" s="368"/>
      <c r="W90" s="368"/>
      <c r="X90" s="368"/>
      <c r="Y90" s="368"/>
      <c r="Z90" s="368"/>
      <c r="AA90" s="368"/>
      <c r="AB90" s="369"/>
      <c r="AC90" s="362"/>
      <c r="AD90" s="362"/>
      <c r="AE90" s="362"/>
      <c r="AF90" s="362"/>
      <c r="AG90" s="362"/>
      <c r="AH90" s="362"/>
      <c r="AI90" s="362"/>
      <c r="AJ90" s="362"/>
      <c r="AK90" s="362"/>
      <c r="AL90" s="362"/>
      <c r="AM90" s="362"/>
      <c r="AN90" s="362"/>
      <c r="AO90" s="362"/>
      <c r="AP90" s="362"/>
      <c r="AQ90" s="362"/>
      <c r="AR90" s="362"/>
      <c r="AS90" s="362"/>
      <c r="AT90" s="362"/>
      <c r="AU90" s="362"/>
      <c r="AV90" s="362"/>
      <c r="AW90" s="362"/>
      <c r="AX90" s="362"/>
      <c r="AY90" s="362"/>
      <c r="AZ90" s="362"/>
      <c r="BA90" s="362"/>
      <c r="BB90" s="362"/>
      <c r="BC90" s="362"/>
      <c r="BD90" s="412"/>
      <c r="BE90" s="412"/>
      <c r="BF90" s="412"/>
      <c r="BG90" s="412"/>
      <c r="BH90" s="412"/>
      <c r="BI90" s="413"/>
      <c r="BJ90" s="106"/>
      <c r="BK90" s="146"/>
    </row>
    <row r="91" spans="1:63" s="107" customFormat="1" ht="26.1" hidden="1" customHeight="1" x14ac:dyDescent="0.3">
      <c r="A91" s="108"/>
      <c r="B91" s="337"/>
      <c r="C91" s="338"/>
      <c r="D91" s="338"/>
      <c r="E91" s="350" t="s">
        <v>457</v>
      </c>
      <c r="F91" s="350"/>
      <c r="G91" s="350"/>
      <c r="H91" s="350"/>
      <c r="I91" s="350"/>
      <c r="J91" s="350"/>
      <c r="K91" s="370"/>
      <c r="L91" s="371"/>
      <c r="M91" s="371"/>
      <c r="N91" s="371"/>
      <c r="O91" s="371"/>
      <c r="P91" s="371"/>
      <c r="Q91" s="371"/>
      <c r="R91" s="371"/>
      <c r="S91" s="371"/>
      <c r="T91" s="371"/>
      <c r="U91" s="371"/>
      <c r="V91" s="371"/>
      <c r="W91" s="371"/>
      <c r="X91" s="371"/>
      <c r="Y91" s="371"/>
      <c r="Z91" s="371"/>
      <c r="AA91" s="371"/>
      <c r="AB91" s="372"/>
      <c r="AC91" s="362"/>
      <c r="AD91" s="362"/>
      <c r="AE91" s="362"/>
      <c r="AF91" s="362"/>
      <c r="AG91" s="362"/>
      <c r="AH91" s="362"/>
      <c r="AI91" s="362"/>
      <c r="AJ91" s="362"/>
      <c r="AK91" s="362"/>
      <c r="AL91" s="362"/>
      <c r="AM91" s="362"/>
      <c r="AN91" s="362"/>
      <c r="AO91" s="362"/>
      <c r="AP91" s="362"/>
      <c r="AQ91" s="362"/>
      <c r="AR91" s="362"/>
      <c r="AS91" s="362"/>
      <c r="AT91" s="362"/>
      <c r="AU91" s="362"/>
      <c r="AV91" s="362"/>
      <c r="AW91" s="362"/>
      <c r="AX91" s="362"/>
      <c r="AY91" s="362"/>
      <c r="AZ91" s="362"/>
      <c r="BA91" s="362"/>
      <c r="BB91" s="362"/>
      <c r="BC91" s="362"/>
      <c r="BD91" s="389" t="s">
        <v>88</v>
      </c>
      <c r="BE91" s="389"/>
      <c r="BF91" s="389"/>
      <c r="BG91" s="389"/>
      <c r="BH91" s="389"/>
      <c r="BI91" s="403"/>
      <c r="BJ91" s="106"/>
      <c r="BK91" s="146"/>
    </row>
    <row r="92" spans="1:63" s="107" customFormat="1" ht="26.1" hidden="1" customHeight="1" x14ac:dyDescent="0.3">
      <c r="A92" s="108"/>
      <c r="B92" s="337"/>
      <c r="C92" s="338"/>
      <c r="D92" s="338"/>
      <c r="E92" s="376"/>
      <c r="F92" s="376"/>
      <c r="G92" s="376"/>
      <c r="H92" s="376"/>
      <c r="I92" s="376"/>
      <c r="J92" s="376"/>
      <c r="K92" s="370"/>
      <c r="L92" s="371"/>
      <c r="M92" s="371"/>
      <c r="N92" s="371"/>
      <c r="O92" s="371"/>
      <c r="P92" s="371"/>
      <c r="Q92" s="371"/>
      <c r="R92" s="371"/>
      <c r="S92" s="371"/>
      <c r="T92" s="371"/>
      <c r="U92" s="371"/>
      <c r="V92" s="371"/>
      <c r="W92" s="371"/>
      <c r="X92" s="371"/>
      <c r="Y92" s="371"/>
      <c r="Z92" s="371"/>
      <c r="AA92" s="371"/>
      <c r="AB92" s="372"/>
      <c r="AC92" s="362"/>
      <c r="AD92" s="362"/>
      <c r="AE92" s="362"/>
      <c r="AF92" s="362"/>
      <c r="AG92" s="362"/>
      <c r="AH92" s="362"/>
      <c r="AI92" s="362"/>
      <c r="AJ92" s="362"/>
      <c r="AK92" s="362"/>
      <c r="AL92" s="362"/>
      <c r="AM92" s="362"/>
      <c r="AN92" s="362"/>
      <c r="AO92" s="362"/>
      <c r="AP92" s="362"/>
      <c r="AQ92" s="362"/>
      <c r="AR92" s="362"/>
      <c r="AS92" s="362"/>
      <c r="AT92" s="362"/>
      <c r="AU92" s="362"/>
      <c r="AV92" s="362"/>
      <c r="AW92" s="362"/>
      <c r="AX92" s="362"/>
      <c r="AY92" s="362"/>
      <c r="AZ92" s="362"/>
      <c r="BA92" s="362"/>
      <c r="BB92" s="362"/>
      <c r="BC92" s="362"/>
      <c r="BD92" s="393"/>
      <c r="BE92" s="393"/>
      <c r="BF92" s="393"/>
      <c r="BG92" s="393"/>
      <c r="BH92" s="393"/>
      <c r="BI92" s="394"/>
      <c r="BJ92" s="106"/>
      <c r="BK92" s="146"/>
    </row>
    <row r="93" spans="1:63" s="107" customFormat="1" ht="26.1" hidden="1" customHeight="1" x14ac:dyDescent="0.3">
      <c r="A93" s="108"/>
      <c r="B93" s="337"/>
      <c r="C93" s="338"/>
      <c r="D93" s="338"/>
      <c r="E93" s="376"/>
      <c r="F93" s="376"/>
      <c r="G93" s="376"/>
      <c r="H93" s="376"/>
      <c r="I93" s="376"/>
      <c r="J93" s="376"/>
      <c r="K93" s="370"/>
      <c r="L93" s="371"/>
      <c r="M93" s="371"/>
      <c r="N93" s="371"/>
      <c r="O93" s="371"/>
      <c r="P93" s="371"/>
      <c r="Q93" s="371"/>
      <c r="R93" s="371"/>
      <c r="S93" s="371"/>
      <c r="T93" s="371"/>
      <c r="U93" s="371"/>
      <c r="V93" s="371"/>
      <c r="W93" s="371"/>
      <c r="X93" s="371"/>
      <c r="Y93" s="371"/>
      <c r="Z93" s="371"/>
      <c r="AA93" s="371"/>
      <c r="AB93" s="372"/>
      <c r="AC93" s="362"/>
      <c r="AD93" s="362"/>
      <c r="AE93" s="362"/>
      <c r="AF93" s="362"/>
      <c r="AG93" s="362"/>
      <c r="AH93" s="362"/>
      <c r="AI93" s="362"/>
      <c r="AJ93" s="362"/>
      <c r="AK93" s="362"/>
      <c r="AL93" s="362"/>
      <c r="AM93" s="362"/>
      <c r="AN93" s="362"/>
      <c r="AO93" s="362"/>
      <c r="AP93" s="362"/>
      <c r="AQ93" s="362"/>
      <c r="AR93" s="362"/>
      <c r="AS93" s="362"/>
      <c r="AT93" s="362"/>
      <c r="AU93" s="362"/>
      <c r="AV93" s="362"/>
      <c r="AW93" s="362"/>
      <c r="AX93" s="362"/>
      <c r="AY93" s="362"/>
      <c r="AZ93" s="362"/>
      <c r="BA93" s="362"/>
      <c r="BB93" s="362"/>
      <c r="BC93" s="362"/>
      <c r="BD93" s="393"/>
      <c r="BE93" s="393"/>
      <c r="BF93" s="393"/>
      <c r="BG93" s="393"/>
      <c r="BH93" s="393"/>
      <c r="BI93" s="394"/>
      <c r="BJ93" s="106"/>
      <c r="BK93" s="146"/>
    </row>
    <row r="94" spans="1:63" s="107" customFormat="1" ht="26.1" hidden="1" customHeight="1" x14ac:dyDescent="0.3">
      <c r="A94" s="108"/>
      <c r="B94" s="337"/>
      <c r="C94" s="338"/>
      <c r="D94" s="338"/>
      <c r="E94" s="376"/>
      <c r="F94" s="376"/>
      <c r="G94" s="376"/>
      <c r="H94" s="376"/>
      <c r="I94" s="376"/>
      <c r="J94" s="376"/>
      <c r="K94" s="370"/>
      <c r="L94" s="371"/>
      <c r="M94" s="371"/>
      <c r="N94" s="371"/>
      <c r="O94" s="371"/>
      <c r="P94" s="371"/>
      <c r="Q94" s="371"/>
      <c r="R94" s="371"/>
      <c r="S94" s="371"/>
      <c r="T94" s="371"/>
      <c r="U94" s="371"/>
      <c r="V94" s="371"/>
      <c r="W94" s="371"/>
      <c r="X94" s="371"/>
      <c r="Y94" s="371"/>
      <c r="Z94" s="371"/>
      <c r="AA94" s="371"/>
      <c r="AB94" s="372"/>
      <c r="AC94" s="362"/>
      <c r="AD94" s="362"/>
      <c r="AE94" s="362"/>
      <c r="AF94" s="362"/>
      <c r="AG94" s="362"/>
      <c r="AH94" s="362"/>
      <c r="AI94" s="362"/>
      <c r="AJ94" s="362"/>
      <c r="AK94" s="362"/>
      <c r="AL94" s="362"/>
      <c r="AM94" s="362"/>
      <c r="AN94" s="362"/>
      <c r="AO94" s="362"/>
      <c r="AP94" s="362"/>
      <c r="AQ94" s="362"/>
      <c r="AR94" s="362"/>
      <c r="AS94" s="362"/>
      <c r="AT94" s="362"/>
      <c r="AU94" s="362"/>
      <c r="AV94" s="362"/>
      <c r="AW94" s="362"/>
      <c r="AX94" s="362"/>
      <c r="AY94" s="362"/>
      <c r="AZ94" s="362"/>
      <c r="BA94" s="362"/>
      <c r="BB94" s="362"/>
      <c r="BC94" s="362"/>
      <c r="BD94" s="393"/>
      <c r="BE94" s="393"/>
      <c r="BF94" s="393"/>
      <c r="BG94" s="393"/>
      <c r="BH94" s="393"/>
      <c r="BI94" s="394"/>
      <c r="BJ94" s="106"/>
      <c r="BK94" s="146"/>
    </row>
    <row r="95" spans="1:63" s="107" customFormat="1" ht="26.1" hidden="1" customHeight="1" x14ac:dyDescent="0.3">
      <c r="A95" s="108"/>
      <c r="B95" s="349" t="s">
        <v>637</v>
      </c>
      <c r="C95" s="350"/>
      <c r="D95" s="350"/>
      <c r="E95" s="350" t="s">
        <v>622</v>
      </c>
      <c r="F95" s="350"/>
      <c r="G95" s="350"/>
      <c r="H95" s="350"/>
      <c r="I95" s="350"/>
      <c r="J95" s="350"/>
      <c r="K95" s="370"/>
      <c r="L95" s="371"/>
      <c r="M95" s="371"/>
      <c r="N95" s="371"/>
      <c r="O95" s="371"/>
      <c r="P95" s="371"/>
      <c r="Q95" s="371"/>
      <c r="R95" s="371"/>
      <c r="S95" s="371"/>
      <c r="T95" s="371"/>
      <c r="U95" s="371"/>
      <c r="V95" s="371"/>
      <c r="W95" s="371"/>
      <c r="X95" s="371"/>
      <c r="Y95" s="371"/>
      <c r="Z95" s="371"/>
      <c r="AA95" s="371"/>
      <c r="AB95" s="372"/>
      <c r="AC95" s="362"/>
      <c r="AD95" s="362"/>
      <c r="AE95" s="362"/>
      <c r="AF95" s="362"/>
      <c r="AG95" s="362"/>
      <c r="AH95" s="362"/>
      <c r="AI95" s="362"/>
      <c r="AJ95" s="362"/>
      <c r="AK95" s="362"/>
      <c r="AL95" s="362"/>
      <c r="AM95" s="362"/>
      <c r="AN95" s="362"/>
      <c r="AO95" s="362"/>
      <c r="AP95" s="362"/>
      <c r="AQ95" s="362"/>
      <c r="AR95" s="362"/>
      <c r="AS95" s="362"/>
      <c r="AT95" s="362"/>
      <c r="AU95" s="362"/>
      <c r="AV95" s="362"/>
      <c r="AW95" s="362"/>
      <c r="AX95" s="362"/>
      <c r="AY95" s="362"/>
      <c r="AZ95" s="362"/>
      <c r="BA95" s="362"/>
      <c r="BB95" s="362"/>
      <c r="BC95" s="362"/>
      <c r="BD95" s="389" t="s">
        <v>46</v>
      </c>
      <c r="BE95" s="389"/>
      <c r="BF95" s="389"/>
      <c r="BG95" s="389"/>
      <c r="BH95" s="389"/>
      <c r="BI95" s="403"/>
      <c r="BJ95" s="106"/>
      <c r="BK95" s="146"/>
    </row>
    <row r="96" spans="1:63" s="107" customFormat="1" ht="26.1" hidden="1" customHeight="1" x14ac:dyDescent="0.3">
      <c r="A96" s="108"/>
      <c r="B96" s="351"/>
      <c r="C96" s="352"/>
      <c r="D96" s="352"/>
      <c r="E96" s="376"/>
      <c r="F96" s="376"/>
      <c r="G96" s="376"/>
      <c r="H96" s="376"/>
      <c r="I96" s="376"/>
      <c r="J96" s="376"/>
      <c r="K96" s="370"/>
      <c r="L96" s="371"/>
      <c r="M96" s="371"/>
      <c r="N96" s="371"/>
      <c r="O96" s="371"/>
      <c r="P96" s="371"/>
      <c r="Q96" s="371"/>
      <c r="R96" s="371"/>
      <c r="S96" s="371"/>
      <c r="T96" s="371"/>
      <c r="U96" s="371"/>
      <c r="V96" s="371"/>
      <c r="W96" s="371"/>
      <c r="X96" s="371"/>
      <c r="Y96" s="371"/>
      <c r="Z96" s="371"/>
      <c r="AA96" s="371"/>
      <c r="AB96" s="372"/>
      <c r="AC96" s="362"/>
      <c r="AD96" s="362"/>
      <c r="AE96" s="362"/>
      <c r="AF96" s="362"/>
      <c r="AG96" s="362"/>
      <c r="AH96" s="362"/>
      <c r="AI96" s="362"/>
      <c r="AJ96" s="362"/>
      <c r="AK96" s="362"/>
      <c r="AL96" s="362"/>
      <c r="AM96" s="362"/>
      <c r="AN96" s="362"/>
      <c r="AO96" s="362"/>
      <c r="AP96" s="362"/>
      <c r="AQ96" s="362"/>
      <c r="AR96" s="362"/>
      <c r="AS96" s="362"/>
      <c r="AT96" s="362"/>
      <c r="AU96" s="362"/>
      <c r="AV96" s="362"/>
      <c r="AW96" s="362"/>
      <c r="AX96" s="362"/>
      <c r="AY96" s="362"/>
      <c r="AZ96" s="362"/>
      <c r="BA96" s="362"/>
      <c r="BB96" s="362"/>
      <c r="BC96" s="362"/>
      <c r="BD96" s="406"/>
      <c r="BE96" s="406"/>
      <c r="BF96" s="406"/>
      <c r="BG96" s="406"/>
      <c r="BH96" s="406"/>
      <c r="BI96" s="407"/>
      <c r="BJ96" s="106"/>
      <c r="BK96" s="146"/>
    </row>
    <row r="97" spans="1:90" s="107" customFormat="1" ht="26.1" hidden="1" customHeight="1" x14ac:dyDescent="0.3">
      <c r="A97" s="108"/>
      <c r="B97" s="351"/>
      <c r="C97" s="352"/>
      <c r="D97" s="352"/>
      <c r="E97" s="376"/>
      <c r="F97" s="376"/>
      <c r="G97" s="376"/>
      <c r="H97" s="376"/>
      <c r="I97" s="376"/>
      <c r="J97" s="376"/>
      <c r="K97" s="370"/>
      <c r="L97" s="371"/>
      <c r="M97" s="371"/>
      <c r="N97" s="371"/>
      <c r="O97" s="371"/>
      <c r="P97" s="371"/>
      <c r="Q97" s="371"/>
      <c r="R97" s="371"/>
      <c r="S97" s="371"/>
      <c r="T97" s="371"/>
      <c r="U97" s="371"/>
      <c r="V97" s="371"/>
      <c r="W97" s="371"/>
      <c r="X97" s="371"/>
      <c r="Y97" s="371"/>
      <c r="Z97" s="371"/>
      <c r="AA97" s="371"/>
      <c r="AB97" s="372"/>
      <c r="AC97" s="362"/>
      <c r="AD97" s="362"/>
      <c r="AE97" s="362"/>
      <c r="AF97" s="362"/>
      <c r="AG97" s="362"/>
      <c r="AH97" s="362"/>
      <c r="AI97" s="362"/>
      <c r="AJ97" s="362"/>
      <c r="AK97" s="362"/>
      <c r="AL97" s="362"/>
      <c r="AM97" s="362"/>
      <c r="AN97" s="362"/>
      <c r="AO97" s="362"/>
      <c r="AP97" s="362"/>
      <c r="AQ97" s="362"/>
      <c r="AR97" s="362"/>
      <c r="AS97" s="362"/>
      <c r="AT97" s="362"/>
      <c r="AU97" s="362"/>
      <c r="AV97" s="362"/>
      <c r="AW97" s="362"/>
      <c r="AX97" s="362"/>
      <c r="AY97" s="362"/>
      <c r="AZ97" s="362"/>
      <c r="BA97" s="362"/>
      <c r="BB97" s="362"/>
      <c r="BC97" s="362"/>
      <c r="BD97" s="406"/>
      <c r="BE97" s="406"/>
      <c r="BF97" s="406"/>
      <c r="BG97" s="406"/>
      <c r="BH97" s="406"/>
      <c r="BI97" s="407"/>
      <c r="BJ97" s="106"/>
      <c r="BK97" s="146"/>
    </row>
    <row r="98" spans="1:90" s="107" customFormat="1" ht="26.1" hidden="1" customHeight="1" x14ac:dyDescent="0.3">
      <c r="A98" s="108"/>
      <c r="B98" s="351"/>
      <c r="C98" s="352"/>
      <c r="D98" s="352"/>
      <c r="E98" s="376"/>
      <c r="F98" s="376"/>
      <c r="G98" s="376"/>
      <c r="H98" s="376"/>
      <c r="I98" s="376"/>
      <c r="J98" s="376"/>
      <c r="K98" s="370"/>
      <c r="L98" s="371"/>
      <c r="M98" s="371"/>
      <c r="N98" s="371"/>
      <c r="O98" s="371"/>
      <c r="P98" s="371"/>
      <c r="Q98" s="371"/>
      <c r="R98" s="371"/>
      <c r="S98" s="371"/>
      <c r="T98" s="371"/>
      <c r="U98" s="371"/>
      <c r="V98" s="371"/>
      <c r="W98" s="371"/>
      <c r="X98" s="371"/>
      <c r="Y98" s="371"/>
      <c r="Z98" s="371"/>
      <c r="AA98" s="371"/>
      <c r="AB98" s="372"/>
      <c r="AC98" s="362"/>
      <c r="AD98" s="362"/>
      <c r="AE98" s="362"/>
      <c r="AF98" s="362"/>
      <c r="AG98" s="362"/>
      <c r="AH98" s="362"/>
      <c r="AI98" s="362"/>
      <c r="AJ98" s="362"/>
      <c r="AK98" s="362"/>
      <c r="AL98" s="362"/>
      <c r="AM98" s="362"/>
      <c r="AN98" s="362"/>
      <c r="AO98" s="362"/>
      <c r="AP98" s="362"/>
      <c r="AQ98" s="362"/>
      <c r="AR98" s="362"/>
      <c r="AS98" s="362"/>
      <c r="AT98" s="362"/>
      <c r="AU98" s="362"/>
      <c r="AV98" s="362"/>
      <c r="AW98" s="362"/>
      <c r="AX98" s="362"/>
      <c r="AY98" s="362"/>
      <c r="AZ98" s="362"/>
      <c r="BA98" s="362"/>
      <c r="BB98" s="362"/>
      <c r="BC98" s="362"/>
      <c r="BD98" s="406"/>
      <c r="BE98" s="406"/>
      <c r="BF98" s="406"/>
      <c r="BG98" s="406"/>
      <c r="BH98" s="406"/>
      <c r="BI98" s="407"/>
      <c r="BJ98" s="106"/>
      <c r="BK98" s="146"/>
    </row>
    <row r="99" spans="1:90" s="107" customFormat="1" ht="26.1" hidden="1" customHeight="1" x14ac:dyDescent="0.3">
      <c r="A99" s="108"/>
      <c r="B99" s="356" t="s">
        <v>459</v>
      </c>
      <c r="C99" s="357"/>
      <c r="D99" s="357"/>
      <c r="E99" s="424" t="s">
        <v>623</v>
      </c>
      <c r="F99" s="425"/>
      <c r="G99" s="425"/>
      <c r="H99" s="425"/>
      <c r="I99" s="425"/>
      <c r="J99" s="426"/>
      <c r="K99" s="370"/>
      <c r="L99" s="371"/>
      <c r="M99" s="371"/>
      <c r="N99" s="371"/>
      <c r="O99" s="371"/>
      <c r="P99" s="371"/>
      <c r="Q99" s="371"/>
      <c r="R99" s="371"/>
      <c r="S99" s="371"/>
      <c r="T99" s="371"/>
      <c r="U99" s="371"/>
      <c r="V99" s="371"/>
      <c r="W99" s="371"/>
      <c r="X99" s="371"/>
      <c r="Y99" s="371"/>
      <c r="Z99" s="371"/>
      <c r="AA99" s="371"/>
      <c r="AB99" s="372"/>
      <c r="AC99" s="362"/>
      <c r="AD99" s="362"/>
      <c r="AE99" s="362"/>
      <c r="AF99" s="362"/>
      <c r="AG99" s="362"/>
      <c r="AH99" s="362"/>
      <c r="AI99" s="362"/>
      <c r="AJ99" s="362"/>
      <c r="AK99" s="362"/>
      <c r="AL99" s="362"/>
      <c r="AM99" s="362"/>
      <c r="AN99" s="362"/>
      <c r="AO99" s="362"/>
      <c r="AP99" s="362"/>
      <c r="AQ99" s="362"/>
      <c r="AR99" s="362"/>
      <c r="AS99" s="362"/>
      <c r="AT99" s="362"/>
      <c r="AU99" s="362"/>
      <c r="AV99" s="362"/>
      <c r="AW99" s="362"/>
      <c r="AX99" s="362"/>
      <c r="AY99" s="362"/>
      <c r="AZ99" s="362"/>
      <c r="BA99" s="362"/>
      <c r="BB99" s="362"/>
      <c r="BC99" s="362"/>
      <c r="BD99" s="389" t="s">
        <v>638</v>
      </c>
      <c r="BE99" s="389"/>
      <c r="BF99" s="389"/>
      <c r="BG99" s="389"/>
      <c r="BH99" s="389"/>
      <c r="BI99" s="403"/>
      <c r="BJ99" s="106"/>
      <c r="BK99" s="146"/>
    </row>
    <row r="100" spans="1:90" s="107" customFormat="1" ht="26.1" hidden="1" customHeight="1" x14ac:dyDescent="0.3">
      <c r="A100" s="108"/>
      <c r="B100" s="351"/>
      <c r="C100" s="352"/>
      <c r="D100" s="352"/>
      <c r="E100" s="376"/>
      <c r="F100" s="376"/>
      <c r="G100" s="376"/>
      <c r="H100" s="376"/>
      <c r="I100" s="376"/>
      <c r="J100" s="376"/>
      <c r="K100" s="370"/>
      <c r="L100" s="371"/>
      <c r="M100" s="371"/>
      <c r="N100" s="371"/>
      <c r="O100" s="371"/>
      <c r="P100" s="371"/>
      <c r="Q100" s="371"/>
      <c r="R100" s="371"/>
      <c r="S100" s="371"/>
      <c r="T100" s="371"/>
      <c r="U100" s="371"/>
      <c r="V100" s="371"/>
      <c r="W100" s="371"/>
      <c r="X100" s="371"/>
      <c r="Y100" s="371"/>
      <c r="Z100" s="371"/>
      <c r="AA100" s="371"/>
      <c r="AB100" s="372"/>
      <c r="AC100" s="362"/>
      <c r="AD100" s="362"/>
      <c r="AE100" s="362"/>
      <c r="AF100" s="362"/>
      <c r="AG100" s="362"/>
      <c r="AH100" s="362"/>
      <c r="AI100" s="362"/>
      <c r="AJ100" s="362"/>
      <c r="AK100" s="362"/>
      <c r="AL100" s="362"/>
      <c r="AM100" s="362"/>
      <c r="AN100" s="362"/>
      <c r="AO100" s="362"/>
      <c r="AP100" s="362"/>
      <c r="AQ100" s="362"/>
      <c r="AR100" s="362"/>
      <c r="AS100" s="362"/>
      <c r="AT100" s="362"/>
      <c r="AU100" s="362"/>
      <c r="AV100" s="362"/>
      <c r="AW100" s="362"/>
      <c r="AX100" s="362"/>
      <c r="AY100" s="362"/>
      <c r="AZ100" s="362"/>
      <c r="BA100" s="362"/>
      <c r="BB100" s="362"/>
      <c r="BC100" s="362"/>
      <c r="BD100" s="393"/>
      <c r="BE100" s="393"/>
      <c r="BF100" s="393"/>
      <c r="BG100" s="393"/>
      <c r="BH100" s="393"/>
      <c r="BI100" s="394"/>
      <c r="BJ100" s="106"/>
      <c r="BK100" s="146"/>
    </row>
    <row r="101" spans="1:90" s="107" customFormat="1" ht="26.1" hidden="1" customHeight="1" x14ac:dyDescent="0.3">
      <c r="A101" s="108"/>
      <c r="B101" s="351"/>
      <c r="C101" s="352"/>
      <c r="D101" s="352"/>
      <c r="E101" s="376"/>
      <c r="F101" s="376"/>
      <c r="G101" s="376"/>
      <c r="H101" s="376"/>
      <c r="I101" s="376"/>
      <c r="J101" s="376"/>
      <c r="K101" s="370"/>
      <c r="L101" s="371"/>
      <c r="M101" s="371"/>
      <c r="N101" s="371"/>
      <c r="O101" s="371"/>
      <c r="P101" s="371"/>
      <c r="Q101" s="371"/>
      <c r="R101" s="371"/>
      <c r="S101" s="371"/>
      <c r="T101" s="371"/>
      <c r="U101" s="371"/>
      <c r="V101" s="371"/>
      <c r="W101" s="371"/>
      <c r="X101" s="371"/>
      <c r="Y101" s="371"/>
      <c r="Z101" s="371"/>
      <c r="AA101" s="371"/>
      <c r="AB101" s="372"/>
      <c r="AC101" s="362"/>
      <c r="AD101" s="362"/>
      <c r="AE101" s="362"/>
      <c r="AF101" s="362"/>
      <c r="AG101" s="362"/>
      <c r="AH101" s="362"/>
      <c r="AI101" s="362"/>
      <c r="AJ101" s="362"/>
      <c r="AK101" s="362"/>
      <c r="AL101" s="362"/>
      <c r="AM101" s="362"/>
      <c r="AN101" s="362"/>
      <c r="AO101" s="362"/>
      <c r="AP101" s="362"/>
      <c r="AQ101" s="362"/>
      <c r="AR101" s="362"/>
      <c r="AS101" s="362"/>
      <c r="AT101" s="362"/>
      <c r="AU101" s="362"/>
      <c r="AV101" s="362"/>
      <c r="AW101" s="362"/>
      <c r="AX101" s="362"/>
      <c r="AY101" s="362"/>
      <c r="AZ101" s="362"/>
      <c r="BA101" s="362"/>
      <c r="BB101" s="362"/>
      <c r="BC101" s="362"/>
      <c r="BD101" s="393"/>
      <c r="BE101" s="393"/>
      <c r="BF101" s="393"/>
      <c r="BG101" s="393"/>
      <c r="BH101" s="393"/>
      <c r="BI101" s="394"/>
      <c r="BJ101" s="106"/>
      <c r="BK101" s="146"/>
    </row>
    <row r="102" spans="1:90" s="107" customFormat="1" ht="26.1" hidden="1" customHeight="1" thickBot="1" x14ac:dyDescent="0.35">
      <c r="A102" s="108"/>
      <c r="B102" s="404"/>
      <c r="C102" s="405"/>
      <c r="D102" s="405"/>
      <c r="E102" s="392"/>
      <c r="F102" s="392"/>
      <c r="G102" s="392"/>
      <c r="H102" s="392"/>
      <c r="I102" s="392"/>
      <c r="J102" s="392"/>
      <c r="K102" s="373"/>
      <c r="L102" s="374"/>
      <c r="M102" s="374"/>
      <c r="N102" s="374"/>
      <c r="O102" s="374"/>
      <c r="P102" s="374"/>
      <c r="Q102" s="374"/>
      <c r="R102" s="374"/>
      <c r="S102" s="374"/>
      <c r="T102" s="374"/>
      <c r="U102" s="374"/>
      <c r="V102" s="374"/>
      <c r="W102" s="374"/>
      <c r="X102" s="374"/>
      <c r="Y102" s="374"/>
      <c r="Z102" s="374"/>
      <c r="AA102" s="374"/>
      <c r="AB102" s="375"/>
      <c r="AC102" s="409"/>
      <c r="AD102" s="409"/>
      <c r="AE102" s="409"/>
      <c r="AF102" s="409"/>
      <c r="AG102" s="409"/>
      <c r="AH102" s="409"/>
      <c r="AI102" s="409"/>
      <c r="AJ102" s="409"/>
      <c r="AK102" s="409"/>
      <c r="AL102" s="409"/>
      <c r="AM102" s="409"/>
      <c r="AN102" s="409"/>
      <c r="AO102" s="409"/>
      <c r="AP102" s="409"/>
      <c r="AQ102" s="409"/>
      <c r="AR102" s="409"/>
      <c r="AS102" s="409"/>
      <c r="AT102" s="409"/>
      <c r="AU102" s="409"/>
      <c r="AV102" s="409"/>
      <c r="AW102" s="409"/>
      <c r="AX102" s="409"/>
      <c r="AY102" s="409"/>
      <c r="AZ102" s="409"/>
      <c r="BA102" s="409"/>
      <c r="BB102" s="409"/>
      <c r="BC102" s="409"/>
      <c r="BD102" s="395"/>
      <c r="BE102" s="395"/>
      <c r="BF102" s="395"/>
      <c r="BG102" s="395"/>
      <c r="BH102" s="395"/>
      <c r="BI102" s="396"/>
      <c r="BJ102" s="106"/>
      <c r="BK102" s="146"/>
    </row>
    <row r="103" spans="1:90" s="107" customFormat="1" ht="26.1" hidden="1" customHeight="1" thickTop="1" x14ac:dyDescent="0.35">
      <c r="A103" s="108"/>
      <c r="B103" s="353">
        <v>7</v>
      </c>
      <c r="C103" s="354"/>
      <c r="D103" s="354"/>
      <c r="E103" s="377" t="s">
        <v>621</v>
      </c>
      <c r="F103" s="377"/>
      <c r="G103" s="377"/>
      <c r="H103" s="377"/>
      <c r="I103" s="377"/>
      <c r="J103" s="377"/>
      <c r="K103" s="340"/>
      <c r="L103" s="341"/>
      <c r="M103" s="341"/>
      <c r="N103" s="341"/>
      <c r="O103" s="341"/>
      <c r="P103" s="341"/>
      <c r="Q103" s="341"/>
      <c r="R103" s="341"/>
      <c r="S103" s="341"/>
      <c r="T103" s="341"/>
      <c r="U103" s="341"/>
      <c r="V103" s="341"/>
      <c r="W103" s="341"/>
      <c r="X103" s="341"/>
      <c r="Y103" s="341"/>
      <c r="Z103" s="341"/>
      <c r="AA103" s="341"/>
      <c r="AB103" s="342"/>
      <c r="AC103" s="361"/>
      <c r="AD103" s="361"/>
      <c r="AE103" s="361"/>
      <c r="AF103" s="361"/>
      <c r="AG103" s="361"/>
      <c r="AH103" s="361"/>
      <c r="AI103" s="361"/>
      <c r="AJ103" s="361"/>
      <c r="AK103" s="361"/>
      <c r="AL103" s="361"/>
      <c r="AM103" s="361"/>
      <c r="AN103" s="361"/>
      <c r="AO103" s="361"/>
      <c r="AP103" s="361"/>
      <c r="AQ103" s="361"/>
      <c r="AR103" s="361"/>
      <c r="AS103" s="361"/>
      <c r="AT103" s="361"/>
      <c r="AU103" s="361"/>
      <c r="AV103" s="361"/>
      <c r="AW103" s="361"/>
      <c r="AX103" s="361"/>
      <c r="AY103" s="361"/>
      <c r="AZ103" s="361"/>
      <c r="BA103" s="361"/>
      <c r="BB103" s="361"/>
      <c r="BC103" s="361"/>
      <c r="BD103" s="385" t="s">
        <v>246</v>
      </c>
      <c r="BE103" s="385"/>
      <c r="BF103" s="385"/>
      <c r="BG103" s="385"/>
      <c r="BH103" s="385"/>
      <c r="BI103" s="386"/>
      <c r="BJ103" s="106"/>
      <c r="BK103" s="146"/>
      <c r="BU103" s="111"/>
      <c r="BV103" s="111"/>
      <c r="BW103" s="111"/>
      <c r="BX103" s="111"/>
      <c r="BY103" s="111"/>
      <c r="BZ103" s="111"/>
      <c r="CA103" s="111"/>
      <c r="CB103" s="111"/>
      <c r="CC103" s="111"/>
      <c r="CD103" s="111"/>
      <c r="CE103" s="111"/>
      <c r="CF103" s="111"/>
      <c r="CG103" s="111"/>
      <c r="CH103" s="111"/>
      <c r="CI103" s="111"/>
      <c r="CJ103" s="111"/>
      <c r="CK103" s="111"/>
      <c r="CL103" s="111"/>
    </row>
    <row r="104" spans="1:90" s="107" customFormat="1" ht="26.1" hidden="1" customHeight="1" x14ac:dyDescent="0.35">
      <c r="A104" s="108"/>
      <c r="B104" s="355"/>
      <c r="C104" s="338"/>
      <c r="D104" s="338"/>
      <c r="E104" s="429"/>
      <c r="F104" s="429"/>
      <c r="G104" s="429"/>
      <c r="H104" s="429"/>
      <c r="I104" s="429"/>
      <c r="J104" s="429"/>
      <c r="K104" s="343"/>
      <c r="L104" s="344"/>
      <c r="M104" s="344"/>
      <c r="N104" s="344"/>
      <c r="O104" s="344"/>
      <c r="P104" s="344"/>
      <c r="Q104" s="344"/>
      <c r="R104" s="344"/>
      <c r="S104" s="344"/>
      <c r="T104" s="344"/>
      <c r="U104" s="344"/>
      <c r="V104" s="344"/>
      <c r="W104" s="344"/>
      <c r="X104" s="344"/>
      <c r="Y104" s="344"/>
      <c r="Z104" s="344"/>
      <c r="AA104" s="344"/>
      <c r="AB104" s="345"/>
      <c r="AC104" s="362"/>
      <c r="AD104" s="362"/>
      <c r="AE104" s="362"/>
      <c r="AF104" s="362"/>
      <c r="AG104" s="362"/>
      <c r="AH104" s="362"/>
      <c r="AI104" s="362"/>
      <c r="AJ104" s="362"/>
      <c r="AK104" s="362"/>
      <c r="AL104" s="362"/>
      <c r="AM104" s="362"/>
      <c r="AN104" s="362"/>
      <c r="AO104" s="362"/>
      <c r="AP104" s="362"/>
      <c r="AQ104" s="362"/>
      <c r="AR104" s="362"/>
      <c r="AS104" s="362"/>
      <c r="AT104" s="362"/>
      <c r="AU104" s="362"/>
      <c r="AV104" s="362"/>
      <c r="AW104" s="362"/>
      <c r="AX104" s="362"/>
      <c r="AY104" s="362"/>
      <c r="AZ104" s="362"/>
      <c r="BA104" s="362"/>
      <c r="BB104" s="362"/>
      <c r="BC104" s="362"/>
      <c r="BD104" s="387"/>
      <c r="BE104" s="387"/>
      <c r="BF104" s="387"/>
      <c r="BG104" s="387"/>
      <c r="BH104" s="387"/>
      <c r="BI104" s="388"/>
      <c r="BJ104" s="106"/>
      <c r="BK104" s="146"/>
      <c r="BU104" s="111"/>
      <c r="BV104" s="111"/>
      <c r="BW104" s="111"/>
      <c r="BX104" s="111"/>
      <c r="BY104" s="111"/>
      <c r="BZ104" s="111"/>
      <c r="CA104" s="111"/>
      <c r="CB104" s="111"/>
      <c r="CC104" s="111"/>
      <c r="CD104" s="111"/>
      <c r="CE104" s="111"/>
      <c r="CF104" s="111"/>
      <c r="CG104" s="111"/>
      <c r="CH104" s="111"/>
      <c r="CI104" s="111"/>
      <c r="CJ104" s="111"/>
      <c r="CK104" s="111"/>
      <c r="CL104" s="111"/>
    </row>
    <row r="105" spans="1:90" s="107" customFormat="1" ht="26.1" hidden="1" customHeight="1" x14ac:dyDescent="0.3">
      <c r="A105" s="108"/>
      <c r="B105" s="355"/>
      <c r="C105" s="338"/>
      <c r="D105" s="338"/>
      <c r="E105" s="429"/>
      <c r="F105" s="429"/>
      <c r="G105" s="429"/>
      <c r="H105" s="429"/>
      <c r="I105" s="429"/>
      <c r="J105" s="429"/>
      <c r="K105" s="346"/>
      <c r="L105" s="347"/>
      <c r="M105" s="347"/>
      <c r="N105" s="347"/>
      <c r="O105" s="347"/>
      <c r="P105" s="347"/>
      <c r="Q105" s="347"/>
      <c r="R105" s="347"/>
      <c r="S105" s="347"/>
      <c r="T105" s="347"/>
      <c r="U105" s="347"/>
      <c r="V105" s="347"/>
      <c r="W105" s="347"/>
      <c r="X105" s="347"/>
      <c r="Y105" s="347"/>
      <c r="Z105" s="347"/>
      <c r="AA105" s="347"/>
      <c r="AB105" s="348"/>
      <c r="AC105" s="362"/>
      <c r="AD105" s="362"/>
      <c r="AE105" s="362"/>
      <c r="AF105" s="362"/>
      <c r="AG105" s="362"/>
      <c r="AH105" s="362"/>
      <c r="AI105" s="362"/>
      <c r="AJ105" s="362"/>
      <c r="AK105" s="362"/>
      <c r="AL105" s="362"/>
      <c r="AM105" s="362"/>
      <c r="AN105" s="362"/>
      <c r="AO105" s="362"/>
      <c r="AP105" s="362"/>
      <c r="AQ105" s="362"/>
      <c r="AR105" s="362"/>
      <c r="AS105" s="362"/>
      <c r="AT105" s="362"/>
      <c r="AU105" s="362"/>
      <c r="AV105" s="362"/>
      <c r="AW105" s="362"/>
      <c r="AX105" s="362"/>
      <c r="AY105" s="362"/>
      <c r="AZ105" s="362"/>
      <c r="BA105" s="362"/>
      <c r="BB105" s="362"/>
      <c r="BC105" s="362"/>
      <c r="BD105" s="387"/>
      <c r="BE105" s="387"/>
      <c r="BF105" s="387"/>
      <c r="BG105" s="387"/>
      <c r="BH105" s="387"/>
      <c r="BI105" s="388"/>
      <c r="BJ105" s="106"/>
      <c r="BK105" s="146"/>
    </row>
    <row r="106" spans="1:90" s="107" customFormat="1" ht="26.1" hidden="1" customHeight="1" x14ac:dyDescent="0.3">
      <c r="A106" s="108"/>
      <c r="B106" s="355"/>
      <c r="C106" s="338"/>
      <c r="D106" s="338"/>
      <c r="E106" s="429"/>
      <c r="F106" s="429"/>
      <c r="G106" s="429"/>
      <c r="H106" s="429"/>
      <c r="I106" s="429"/>
      <c r="J106" s="429"/>
      <c r="K106" s="367"/>
      <c r="L106" s="368"/>
      <c r="M106" s="368"/>
      <c r="N106" s="368"/>
      <c r="O106" s="368"/>
      <c r="P106" s="368"/>
      <c r="Q106" s="368"/>
      <c r="R106" s="368"/>
      <c r="S106" s="368"/>
      <c r="T106" s="368"/>
      <c r="U106" s="368"/>
      <c r="V106" s="368"/>
      <c r="W106" s="368"/>
      <c r="X106" s="368"/>
      <c r="Y106" s="368"/>
      <c r="Z106" s="368"/>
      <c r="AA106" s="368"/>
      <c r="AB106" s="369"/>
      <c r="AC106" s="362"/>
      <c r="AD106" s="362"/>
      <c r="AE106" s="362"/>
      <c r="AF106" s="362"/>
      <c r="AG106" s="362"/>
      <c r="AH106" s="362"/>
      <c r="AI106" s="362"/>
      <c r="AJ106" s="362"/>
      <c r="AK106" s="362"/>
      <c r="AL106" s="362"/>
      <c r="AM106" s="362"/>
      <c r="AN106" s="362"/>
      <c r="AO106" s="362"/>
      <c r="AP106" s="362"/>
      <c r="AQ106" s="362"/>
      <c r="AR106" s="362"/>
      <c r="AS106" s="362"/>
      <c r="AT106" s="362"/>
      <c r="AU106" s="362"/>
      <c r="AV106" s="362"/>
      <c r="AW106" s="362"/>
      <c r="AX106" s="362"/>
      <c r="AY106" s="362"/>
      <c r="AZ106" s="362"/>
      <c r="BA106" s="362"/>
      <c r="BB106" s="362"/>
      <c r="BC106" s="362"/>
      <c r="BD106" s="387"/>
      <c r="BE106" s="387"/>
      <c r="BF106" s="387"/>
      <c r="BG106" s="387"/>
      <c r="BH106" s="387"/>
      <c r="BI106" s="388"/>
      <c r="BJ106" s="106"/>
      <c r="BK106" s="146"/>
    </row>
    <row r="107" spans="1:90" s="107" customFormat="1" ht="26.1" hidden="1" customHeight="1" x14ac:dyDescent="0.3">
      <c r="A107" s="108"/>
      <c r="B107" s="355"/>
      <c r="C107" s="338"/>
      <c r="D107" s="338"/>
      <c r="E107" s="350" t="s">
        <v>457</v>
      </c>
      <c r="F107" s="350"/>
      <c r="G107" s="350"/>
      <c r="H107" s="350"/>
      <c r="I107" s="350"/>
      <c r="J107" s="350"/>
      <c r="K107" s="370"/>
      <c r="L107" s="371"/>
      <c r="M107" s="371"/>
      <c r="N107" s="371"/>
      <c r="O107" s="371"/>
      <c r="P107" s="371"/>
      <c r="Q107" s="371"/>
      <c r="R107" s="371"/>
      <c r="S107" s="371"/>
      <c r="T107" s="371"/>
      <c r="U107" s="371"/>
      <c r="V107" s="371"/>
      <c r="W107" s="371"/>
      <c r="X107" s="371"/>
      <c r="Y107" s="371"/>
      <c r="Z107" s="371"/>
      <c r="AA107" s="371"/>
      <c r="AB107" s="372"/>
      <c r="AC107" s="362"/>
      <c r="AD107" s="362"/>
      <c r="AE107" s="362"/>
      <c r="AF107" s="362"/>
      <c r="AG107" s="362"/>
      <c r="AH107" s="362"/>
      <c r="AI107" s="362"/>
      <c r="AJ107" s="362"/>
      <c r="AK107" s="362"/>
      <c r="AL107" s="362"/>
      <c r="AM107" s="362"/>
      <c r="AN107" s="362"/>
      <c r="AO107" s="362"/>
      <c r="AP107" s="362"/>
      <c r="AQ107" s="362"/>
      <c r="AR107" s="362"/>
      <c r="AS107" s="362"/>
      <c r="AT107" s="362"/>
      <c r="AU107" s="362"/>
      <c r="AV107" s="362"/>
      <c r="AW107" s="362"/>
      <c r="AX107" s="362"/>
      <c r="AY107" s="362"/>
      <c r="AZ107" s="362"/>
      <c r="BA107" s="362"/>
      <c r="BB107" s="362"/>
      <c r="BC107" s="362"/>
      <c r="BD107" s="389" t="s">
        <v>88</v>
      </c>
      <c r="BE107" s="389"/>
      <c r="BF107" s="389"/>
      <c r="BG107" s="389"/>
      <c r="BH107" s="389"/>
      <c r="BI107" s="390"/>
      <c r="BJ107" s="106"/>
      <c r="BK107" s="146"/>
    </row>
    <row r="108" spans="1:90" s="107" customFormat="1" ht="26.1" hidden="1" customHeight="1" x14ac:dyDescent="0.3">
      <c r="A108" s="108"/>
      <c r="B108" s="355"/>
      <c r="C108" s="338"/>
      <c r="D108" s="338"/>
      <c r="E108" s="429"/>
      <c r="F108" s="429"/>
      <c r="G108" s="429"/>
      <c r="H108" s="429"/>
      <c r="I108" s="429"/>
      <c r="J108" s="429"/>
      <c r="K108" s="370"/>
      <c r="L108" s="371"/>
      <c r="M108" s="371"/>
      <c r="N108" s="371"/>
      <c r="O108" s="371"/>
      <c r="P108" s="371"/>
      <c r="Q108" s="371"/>
      <c r="R108" s="371"/>
      <c r="S108" s="371"/>
      <c r="T108" s="371"/>
      <c r="U108" s="371"/>
      <c r="V108" s="371"/>
      <c r="W108" s="371"/>
      <c r="X108" s="371"/>
      <c r="Y108" s="371"/>
      <c r="Z108" s="371"/>
      <c r="AA108" s="371"/>
      <c r="AB108" s="372"/>
      <c r="AC108" s="362"/>
      <c r="AD108" s="362"/>
      <c r="AE108" s="362"/>
      <c r="AF108" s="362"/>
      <c r="AG108" s="362"/>
      <c r="AH108" s="362"/>
      <c r="AI108" s="362"/>
      <c r="AJ108" s="362"/>
      <c r="AK108" s="362"/>
      <c r="AL108" s="362"/>
      <c r="AM108" s="362"/>
      <c r="AN108" s="362"/>
      <c r="AO108" s="362"/>
      <c r="AP108" s="362"/>
      <c r="AQ108" s="362"/>
      <c r="AR108" s="362"/>
      <c r="AS108" s="362"/>
      <c r="AT108" s="362"/>
      <c r="AU108" s="362"/>
      <c r="AV108" s="362"/>
      <c r="AW108" s="362"/>
      <c r="AX108" s="362"/>
      <c r="AY108" s="362"/>
      <c r="AZ108" s="362"/>
      <c r="BA108" s="362"/>
      <c r="BB108" s="362"/>
      <c r="BC108" s="362"/>
      <c r="BD108" s="393"/>
      <c r="BE108" s="393"/>
      <c r="BF108" s="393"/>
      <c r="BG108" s="393"/>
      <c r="BH108" s="393"/>
      <c r="BI108" s="397"/>
      <c r="BJ108" s="106"/>
      <c r="BK108" s="146"/>
    </row>
    <row r="109" spans="1:90" s="107" customFormat="1" ht="26.1" hidden="1" customHeight="1" x14ac:dyDescent="0.3">
      <c r="A109" s="108"/>
      <c r="B109" s="355"/>
      <c r="C109" s="338"/>
      <c r="D109" s="338"/>
      <c r="E109" s="429"/>
      <c r="F109" s="429"/>
      <c r="G109" s="429"/>
      <c r="H109" s="429"/>
      <c r="I109" s="429"/>
      <c r="J109" s="429"/>
      <c r="K109" s="370"/>
      <c r="L109" s="371"/>
      <c r="M109" s="371"/>
      <c r="N109" s="371"/>
      <c r="O109" s="371"/>
      <c r="P109" s="371"/>
      <c r="Q109" s="371"/>
      <c r="R109" s="371"/>
      <c r="S109" s="371"/>
      <c r="T109" s="371"/>
      <c r="U109" s="371"/>
      <c r="V109" s="371"/>
      <c r="W109" s="371"/>
      <c r="X109" s="371"/>
      <c r="Y109" s="371"/>
      <c r="Z109" s="371"/>
      <c r="AA109" s="371"/>
      <c r="AB109" s="372"/>
      <c r="AC109" s="362"/>
      <c r="AD109" s="362"/>
      <c r="AE109" s="362"/>
      <c r="AF109" s="362"/>
      <c r="AG109" s="362"/>
      <c r="AH109" s="362"/>
      <c r="AI109" s="362"/>
      <c r="AJ109" s="362"/>
      <c r="AK109" s="362"/>
      <c r="AL109" s="362"/>
      <c r="AM109" s="362"/>
      <c r="AN109" s="362"/>
      <c r="AO109" s="362"/>
      <c r="AP109" s="362"/>
      <c r="AQ109" s="362"/>
      <c r="AR109" s="362"/>
      <c r="AS109" s="362"/>
      <c r="AT109" s="362"/>
      <c r="AU109" s="362"/>
      <c r="AV109" s="362"/>
      <c r="AW109" s="362"/>
      <c r="AX109" s="362"/>
      <c r="AY109" s="362"/>
      <c r="AZ109" s="362"/>
      <c r="BA109" s="362"/>
      <c r="BB109" s="362"/>
      <c r="BC109" s="362"/>
      <c r="BD109" s="393"/>
      <c r="BE109" s="393"/>
      <c r="BF109" s="393"/>
      <c r="BG109" s="393"/>
      <c r="BH109" s="393"/>
      <c r="BI109" s="397"/>
      <c r="BJ109" s="106"/>
      <c r="BK109" s="146"/>
    </row>
    <row r="110" spans="1:90" s="107" customFormat="1" ht="26.1" hidden="1" customHeight="1" x14ac:dyDescent="0.3">
      <c r="A110" s="108"/>
      <c r="B110" s="355"/>
      <c r="C110" s="338"/>
      <c r="D110" s="338"/>
      <c r="E110" s="429"/>
      <c r="F110" s="429"/>
      <c r="G110" s="429"/>
      <c r="H110" s="429"/>
      <c r="I110" s="429"/>
      <c r="J110" s="429"/>
      <c r="K110" s="370"/>
      <c r="L110" s="371"/>
      <c r="M110" s="371"/>
      <c r="N110" s="371"/>
      <c r="O110" s="371"/>
      <c r="P110" s="371"/>
      <c r="Q110" s="371"/>
      <c r="R110" s="371"/>
      <c r="S110" s="371"/>
      <c r="T110" s="371"/>
      <c r="U110" s="371"/>
      <c r="V110" s="371"/>
      <c r="W110" s="371"/>
      <c r="X110" s="371"/>
      <c r="Y110" s="371"/>
      <c r="Z110" s="371"/>
      <c r="AA110" s="371"/>
      <c r="AB110" s="372"/>
      <c r="AC110" s="362"/>
      <c r="AD110" s="362"/>
      <c r="AE110" s="362"/>
      <c r="AF110" s="362"/>
      <c r="AG110" s="362"/>
      <c r="AH110" s="362"/>
      <c r="AI110" s="362"/>
      <c r="AJ110" s="362"/>
      <c r="AK110" s="362"/>
      <c r="AL110" s="362"/>
      <c r="AM110" s="362"/>
      <c r="AN110" s="362"/>
      <c r="AO110" s="362"/>
      <c r="AP110" s="362"/>
      <c r="AQ110" s="362"/>
      <c r="AR110" s="362"/>
      <c r="AS110" s="362"/>
      <c r="AT110" s="362"/>
      <c r="AU110" s="362"/>
      <c r="AV110" s="362"/>
      <c r="AW110" s="362"/>
      <c r="AX110" s="362"/>
      <c r="AY110" s="362"/>
      <c r="AZ110" s="362"/>
      <c r="BA110" s="362"/>
      <c r="BB110" s="362"/>
      <c r="BC110" s="362"/>
      <c r="BD110" s="393"/>
      <c r="BE110" s="393"/>
      <c r="BF110" s="393"/>
      <c r="BG110" s="393"/>
      <c r="BH110" s="393"/>
      <c r="BI110" s="397"/>
      <c r="BJ110" s="106"/>
      <c r="BK110" s="146"/>
    </row>
    <row r="111" spans="1:90" s="107" customFormat="1" ht="26.1" hidden="1" customHeight="1" x14ac:dyDescent="0.3">
      <c r="A111" s="108"/>
      <c r="B111" s="349" t="s">
        <v>637</v>
      </c>
      <c r="C111" s="350"/>
      <c r="D111" s="350"/>
      <c r="E111" s="350" t="s">
        <v>622</v>
      </c>
      <c r="F111" s="350"/>
      <c r="G111" s="350"/>
      <c r="H111" s="350"/>
      <c r="I111" s="350"/>
      <c r="J111" s="350"/>
      <c r="K111" s="370"/>
      <c r="L111" s="371"/>
      <c r="M111" s="371"/>
      <c r="N111" s="371"/>
      <c r="O111" s="371"/>
      <c r="P111" s="371"/>
      <c r="Q111" s="371"/>
      <c r="R111" s="371"/>
      <c r="S111" s="371"/>
      <c r="T111" s="371"/>
      <c r="U111" s="371"/>
      <c r="V111" s="371"/>
      <c r="W111" s="371"/>
      <c r="X111" s="371"/>
      <c r="Y111" s="371"/>
      <c r="Z111" s="371"/>
      <c r="AA111" s="371"/>
      <c r="AB111" s="372"/>
      <c r="AC111" s="362"/>
      <c r="AD111" s="362"/>
      <c r="AE111" s="362"/>
      <c r="AF111" s="362"/>
      <c r="AG111" s="362"/>
      <c r="AH111" s="362"/>
      <c r="AI111" s="362"/>
      <c r="AJ111" s="362"/>
      <c r="AK111" s="362"/>
      <c r="AL111" s="362"/>
      <c r="AM111" s="362"/>
      <c r="AN111" s="362"/>
      <c r="AO111" s="362"/>
      <c r="AP111" s="362"/>
      <c r="AQ111" s="362"/>
      <c r="AR111" s="362"/>
      <c r="AS111" s="362"/>
      <c r="AT111" s="362"/>
      <c r="AU111" s="362"/>
      <c r="AV111" s="362"/>
      <c r="AW111" s="362"/>
      <c r="AX111" s="362"/>
      <c r="AY111" s="362"/>
      <c r="AZ111" s="362"/>
      <c r="BA111" s="362"/>
      <c r="BB111" s="362"/>
      <c r="BC111" s="362"/>
      <c r="BD111" s="389" t="s">
        <v>46</v>
      </c>
      <c r="BE111" s="389"/>
      <c r="BF111" s="389"/>
      <c r="BG111" s="389"/>
      <c r="BH111" s="389"/>
      <c r="BI111" s="390"/>
      <c r="BJ111" s="106"/>
      <c r="BK111" s="146"/>
    </row>
    <row r="112" spans="1:90" s="107" customFormat="1" ht="26.1" hidden="1" customHeight="1" x14ac:dyDescent="0.3">
      <c r="A112" s="108"/>
      <c r="B112" s="351"/>
      <c r="C112" s="352"/>
      <c r="D112" s="352"/>
      <c r="E112" s="376"/>
      <c r="F112" s="376"/>
      <c r="G112" s="376"/>
      <c r="H112" s="376"/>
      <c r="I112" s="376"/>
      <c r="J112" s="376"/>
      <c r="K112" s="370"/>
      <c r="L112" s="371"/>
      <c r="M112" s="371"/>
      <c r="N112" s="371"/>
      <c r="O112" s="371"/>
      <c r="P112" s="371"/>
      <c r="Q112" s="371"/>
      <c r="R112" s="371"/>
      <c r="S112" s="371"/>
      <c r="T112" s="371"/>
      <c r="U112" s="371"/>
      <c r="V112" s="371"/>
      <c r="W112" s="371"/>
      <c r="X112" s="371"/>
      <c r="Y112" s="371"/>
      <c r="Z112" s="371"/>
      <c r="AA112" s="371"/>
      <c r="AB112" s="372"/>
      <c r="AC112" s="362"/>
      <c r="AD112" s="362"/>
      <c r="AE112" s="362"/>
      <c r="AF112" s="362"/>
      <c r="AG112" s="362"/>
      <c r="AH112" s="362"/>
      <c r="AI112" s="362"/>
      <c r="AJ112" s="362"/>
      <c r="AK112" s="362"/>
      <c r="AL112" s="362"/>
      <c r="AM112" s="362"/>
      <c r="AN112" s="362"/>
      <c r="AO112" s="362"/>
      <c r="AP112" s="362"/>
      <c r="AQ112" s="362"/>
      <c r="AR112" s="362"/>
      <c r="AS112" s="362"/>
      <c r="AT112" s="362"/>
      <c r="AU112" s="362"/>
      <c r="AV112" s="362"/>
      <c r="AW112" s="362"/>
      <c r="AX112" s="362"/>
      <c r="AY112" s="362"/>
      <c r="AZ112" s="362"/>
      <c r="BA112" s="362"/>
      <c r="BB112" s="362"/>
      <c r="BC112" s="362"/>
      <c r="BD112" s="412"/>
      <c r="BE112" s="412"/>
      <c r="BF112" s="412"/>
      <c r="BG112" s="412"/>
      <c r="BH112" s="412"/>
      <c r="BI112" s="423"/>
      <c r="BJ112" s="106"/>
      <c r="BK112" s="146"/>
    </row>
    <row r="113" spans="1:63" s="107" customFormat="1" ht="26.1" hidden="1" customHeight="1" x14ac:dyDescent="0.3">
      <c r="A113" s="108"/>
      <c r="B113" s="351"/>
      <c r="C113" s="352"/>
      <c r="D113" s="352"/>
      <c r="E113" s="376"/>
      <c r="F113" s="376"/>
      <c r="G113" s="376"/>
      <c r="H113" s="376"/>
      <c r="I113" s="376"/>
      <c r="J113" s="376"/>
      <c r="K113" s="370"/>
      <c r="L113" s="371"/>
      <c r="M113" s="371"/>
      <c r="N113" s="371"/>
      <c r="O113" s="371"/>
      <c r="P113" s="371"/>
      <c r="Q113" s="371"/>
      <c r="R113" s="371"/>
      <c r="S113" s="371"/>
      <c r="T113" s="371"/>
      <c r="U113" s="371"/>
      <c r="V113" s="371"/>
      <c r="W113" s="371"/>
      <c r="X113" s="371"/>
      <c r="Y113" s="371"/>
      <c r="Z113" s="371"/>
      <c r="AA113" s="371"/>
      <c r="AB113" s="372"/>
      <c r="AC113" s="362"/>
      <c r="AD113" s="362"/>
      <c r="AE113" s="362"/>
      <c r="AF113" s="362"/>
      <c r="AG113" s="362"/>
      <c r="AH113" s="362"/>
      <c r="AI113" s="362"/>
      <c r="AJ113" s="362"/>
      <c r="AK113" s="362"/>
      <c r="AL113" s="362"/>
      <c r="AM113" s="362"/>
      <c r="AN113" s="362"/>
      <c r="AO113" s="362"/>
      <c r="AP113" s="362"/>
      <c r="AQ113" s="362"/>
      <c r="AR113" s="362"/>
      <c r="AS113" s="362"/>
      <c r="AT113" s="362"/>
      <c r="AU113" s="362"/>
      <c r="AV113" s="362"/>
      <c r="AW113" s="362"/>
      <c r="AX113" s="362"/>
      <c r="AY113" s="362"/>
      <c r="AZ113" s="362"/>
      <c r="BA113" s="362"/>
      <c r="BB113" s="362"/>
      <c r="BC113" s="362"/>
      <c r="BD113" s="412"/>
      <c r="BE113" s="412"/>
      <c r="BF113" s="412"/>
      <c r="BG113" s="412"/>
      <c r="BH113" s="412"/>
      <c r="BI113" s="423"/>
      <c r="BJ113" s="106"/>
      <c r="BK113" s="146"/>
    </row>
    <row r="114" spans="1:63" s="107" customFormat="1" ht="26.1" hidden="1" customHeight="1" x14ac:dyDescent="0.3">
      <c r="A114" s="108"/>
      <c r="B114" s="351"/>
      <c r="C114" s="352"/>
      <c r="D114" s="352"/>
      <c r="E114" s="376"/>
      <c r="F114" s="376"/>
      <c r="G114" s="376"/>
      <c r="H114" s="376"/>
      <c r="I114" s="376"/>
      <c r="J114" s="376"/>
      <c r="K114" s="370"/>
      <c r="L114" s="371"/>
      <c r="M114" s="371"/>
      <c r="N114" s="371"/>
      <c r="O114" s="371"/>
      <c r="P114" s="371"/>
      <c r="Q114" s="371"/>
      <c r="R114" s="371"/>
      <c r="S114" s="371"/>
      <c r="T114" s="371"/>
      <c r="U114" s="371"/>
      <c r="V114" s="371"/>
      <c r="W114" s="371"/>
      <c r="X114" s="371"/>
      <c r="Y114" s="371"/>
      <c r="Z114" s="371"/>
      <c r="AA114" s="371"/>
      <c r="AB114" s="372"/>
      <c r="AC114" s="362"/>
      <c r="AD114" s="362"/>
      <c r="AE114" s="362"/>
      <c r="AF114" s="362"/>
      <c r="AG114" s="362"/>
      <c r="AH114" s="362"/>
      <c r="AI114" s="362"/>
      <c r="AJ114" s="362"/>
      <c r="AK114" s="362"/>
      <c r="AL114" s="362"/>
      <c r="AM114" s="362"/>
      <c r="AN114" s="362"/>
      <c r="AO114" s="362"/>
      <c r="AP114" s="362"/>
      <c r="AQ114" s="362"/>
      <c r="AR114" s="362"/>
      <c r="AS114" s="362"/>
      <c r="AT114" s="362"/>
      <c r="AU114" s="362"/>
      <c r="AV114" s="362"/>
      <c r="AW114" s="362"/>
      <c r="AX114" s="362"/>
      <c r="AY114" s="362"/>
      <c r="AZ114" s="362"/>
      <c r="BA114" s="362"/>
      <c r="BB114" s="362"/>
      <c r="BC114" s="362"/>
      <c r="BD114" s="412"/>
      <c r="BE114" s="412"/>
      <c r="BF114" s="412"/>
      <c r="BG114" s="412"/>
      <c r="BH114" s="412"/>
      <c r="BI114" s="423"/>
      <c r="BJ114" s="106"/>
      <c r="BK114" s="146"/>
    </row>
    <row r="115" spans="1:63" s="107" customFormat="1" ht="26.1" hidden="1" customHeight="1" x14ac:dyDescent="0.3">
      <c r="A115" s="108"/>
      <c r="B115" s="356" t="s">
        <v>459</v>
      </c>
      <c r="C115" s="357"/>
      <c r="D115" s="357"/>
      <c r="E115" s="350" t="s">
        <v>623</v>
      </c>
      <c r="F115" s="350"/>
      <c r="G115" s="350"/>
      <c r="H115" s="350"/>
      <c r="I115" s="350"/>
      <c r="J115" s="350"/>
      <c r="K115" s="370"/>
      <c r="L115" s="371"/>
      <c r="M115" s="371"/>
      <c r="N115" s="371"/>
      <c r="O115" s="371"/>
      <c r="P115" s="371"/>
      <c r="Q115" s="371"/>
      <c r="R115" s="371"/>
      <c r="S115" s="371"/>
      <c r="T115" s="371"/>
      <c r="U115" s="371"/>
      <c r="V115" s="371"/>
      <c r="W115" s="371"/>
      <c r="X115" s="371"/>
      <c r="Y115" s="371"/>
      <c r="Z115" s="371"/>
      <c r="AA115" s="371"/>
      <c r="AB115" s="372"/>
      <c r="AC115" s="362"/>
      <c r="AD115" s="362"/>
      <c r="AE115" s="362"/>
      <c r="AF115" s="362"/>
      <c r="AG115" s="362"/>
      <c r="AH115" s="362"/>
      <c r="AI115" s="362"/>
      <c r="AJ115" s="362"/>
      <c r="AK115" s="362"/>
      <c r="AL115" s="362"/>
      <c r="AM115" s="362"/>
      <c r="AN115" s="362"/>
      <c r="AO115" s="362"/>
      <c r="AP115" s="362"/>
      <c r="AQ115" s="362"/>
      <c r="AR115" s="362"/>
      <c r="AS115" s="362"/>
      <c r="AT115" s="362"/>
      <c r="AU115" s="362"/>
      <c r="AV115" s="362"/>
      <c r="AW115" s="362"/>
      <c r="AX115" s="362"/>
      <c r="AY115" s="362"/>
      <c r="AZ115" s="362"/>
      <c r="BA115" s="362"/>
      <c r="BB115" s="362"/>
      <c r="BC115" s="362"/>
      <c r="BD115" s="389" t="s">
        <v>638</v>
      </c>
      <c r="BE115" s="389"/>
      <c r="BF115" s="389"/>
      <c r="BG115" s="389"/>
      <c r="BH115" s="389"/>
      <c r="BI115" s="390"/>
      <c r="BJ115" s="106"/>
      <c r="BK115" s="146"/>
    </row>
    <row r="116" spans="1:63" s="107" customFormat="1" ht="26.1" hidden="1" customHeight="1" x14ac:dyDescent="0.3">
      <c r="A116" s="108"/>
      <c r="B116" s="358"/>
      <c r="C116" s="352"/>
      <c r="D116" s="352"/>
      <c r="E116" s="376"/>
      <c r="F116" s="376"/>
      <c r="G116" s="376"/>
      <c r="H116" s="376"/>
      <c r="I116" s="376"/>
      <c r="J116" s="376"/>
      <c r="K116" s="370"/>
      <c r="L116" s="371"/>
      <c r="M116" s="371"/>
      <c r="N116" s="371"/>
      <c r="O116" s="371"/>
      <c r="P116" s="371"/>
      <c r="Q116" s="371"/>
      <c r="R116" s="371"/>
      <c r="S116" s="371"/>
      <c r="T116" s="371"/>
      <c r="U116" s="371"/>
      <c r="V116" s="371"/>
      <c r="W116" s="371"/>
      <c r="X116" s="371"/>
      <c r="Y116" s="371"/>
      <c r="Z116" s="371"/>
      <c r="AA116" s="371"/>
      <c r="AB116" s="372"/>
      <c r="AC116" s="362"/>
      <c r="AD116" s="362"/>
      <c r="AE116" s="362"/>
      <c r="AF116" s="362"/>
      <c r="AG116" s="362"/>
      <c r="AH116" s="362"/>
      <c r="AI116" s="362"/>
      <c r="AJ116" s="362"/>
      <c r="AK116" s="362"/>
      <c r="AL116" s="362"/>
      <c r="AM116" s="362"/>
      <c r="AN116" s="362"/>
      <c r="AO116" s="362"/>
      <c r="AP116" s="362"/>
      <c r="AQ116" s="362"/>
      <c r="AR116" s="362"/>
      <c r="AS116" s="362"/>
      <c r="AT116" s="362"/>
      <c r="AU116" s="362"/>
      <c r="AV116" s="362"/>
      <c r="AW116" s="362"/>
      <c r="AX116" s="362"/>
      <c r="AY116" s="362"/>
      <c r="AZ116" s="362"/>
      <c r="BA116" s="362"/>
      <c r="BB116" s="362"/>
      <c r="BC116" s="362"/>
      <c r="BD116" s="393"/>
      <c r="BE116" s="393"/>
      <c r="BF116" s="393"/>
      <c r="BG116" s="393"/>
      <c r="BH116" s="393"/>
      <c r="BI116" s="397"/>
      <c r="BJ116" s="106"/>
      <c r="BK116" s="146"/>
    </row>
    <row r="117" spans="1:63" s="107" customFormat="1" ht="26.1" hidden="1" customHeight="1" x14ac:dyDescent="0.3">
      <c r="A117" s="108"/>
      <c r="B117" s="358"/>
      <c r="C117" s="352"/>
      <c r="D117" s="352"/>
      <c r="E117" s="376"/>
      <c r="F117" s="376"/>
      <c r="G117" s="376"/>
      <c r="H117" s="376"/>
      <c r="I117" s="376"/>
      <c r="J117" s="376"/>
      <c r="K117" s="370"/>
      <c r="L117" s="371"/>
      <c r="M117" s="371"/>
      <c r="N117" s="371"/>
      <c r="O117" s="371"/>
      <c r="P117" s="371"/>
      <c r="Q117" s="371"/>
      <c r="R117" s="371"/>
      <c r="S117" s="371"/>
      <c r="T117" s="371"/>
      <c r="U117" s="371"/>
      <c r="V117" s="371"/>
      <c r="W117" s="371"/>
      <c r="X117" s="371"/>
      <c r="Y117" s="371"/>
      <c r="Z117" s="371"/>
      <c r="AA117" s="371"/>
      <c r="AB117" s="372"/>
      <c r="AC117" s="362"/>
      <c r="AD117" s="362"/>
      <c r="AE117" s="362"/>
      <c r="AF117" s="362"/>
      <c r="AG117" s="362"/>
      <c r="AH117" s="362"/>
      <c r="AI117" s="362"/>
      <c r="AJ117" s="362"/>
      <c r="AK117" s="362"/>
      <c r="AL117" s="362"/>
      <c r="AM117" s="362"/>
      <c r="AN117" s="362"/>
      <c r="AO117" s="362"/>
      <c r="AP117" s="362"/>
      <c r="AQ117" s="362"/>
      <c r="AR117" s="362"/>
      <c r="AS117" s="362"/>
      <c r="AT117" s="362"/>
      <c r="AU117" s="362"/>
      <c r="AV117" s="362"/>
      <c r="AW117" s="362"/>
      <c r="AX117" s="362"/>
      <c r="AY117" s="362"/>
      <c r="AZ117" s="362"/>
      <c r="BA117" s="362"/>
      <c r="BB117" s="362"/>
      <c r="BC117" s="362"/>
      <c r="BD117" s="393"/>
      <c r="BE117" s="393"/>
      <c r="BF117" s="393"/>
      <c r="BG117" s="393"/>
      <c r="BH117" s="393"/>
      <c r="BI117" s="397"/>
      <c r="BJ117" s="106"/>
      <c r="BK117" s="146"/>
    </row>
    <row r="118" spans="1:63" s="107" customFormat="1" ht="26.1" hidden="1" customHeight="1" thickBot="1" x14ac:dyDescent="0.35">
      <c r="A118" s="108"/>
      <c r="B118" s="433"/>
      <c r="C118" s="434"/>
      <c r="D118" s="434"/>
      <c r="E118" s="392"/>
      <c r="F118" s="392"/>
      <c r="G118" s="392"/>
      <c r="H118" s="392"/>
      <c r="I118" s="392"/>
      <c r="J118" s="392"/>
      <c r="K118" s="430"/>
      <c r="L118" s="431"/>
      <c r="M118" s="431"/>
      <c r="N118" s="431"/>
      <c r="O118" s="431"/>
      <c r="P118" s="431"/>
      <c r="Q118" s="431"/>
      <c r="R118" s="431"/>
      <c r="S118" s="431"/>
      <c r="T118" s="431"/>
      <c r="U118" s="431"/>
      <c r="V118" s="431"/>
      <c r="W118" s="431"/>
      <c r="X118" s="431"/>
      <c r="Y118" s="431"/>
      <c r="Z118" s="431"/>
      <c r="AA118" s="431"/>
      <c r="AB118" s="432"/>
      <c r="AC118" s="428"/>
      <c r="AD118" s="428"/>
      <c r="AE118" s="428"/>
      <c r="AF118" s="428"/>
      <c r="AG118" s="428"/>
      <c r="AH118" s="428"/>
      <c r="AI118" s="428"/>
      <c r="AJ118" s="428"/>
      <c r="AK118" s="428"/>
      <c r="AL118" s="428"/>
      <c r="AM118" s="428"/>
      <c r="AN118" s="428"/>
      <c r="AO118" s="428"/>
      <c r="AP118" s="428"/>
      <c r="AQ118" s="428"/>
      <c r="AR118" s="428"/>
      <c r="AS118" s="428"/>
      <c r="AT118" s="428"/>
      <c r="AU118" s="428"/>
      <c r="AV118" s="428"/>
      <c r="AW118" s="428"/>
      <c r="AX118" s="428"/>
      <c r="AY118" s="428"/>
      <c r="AZ118" s="428"/>
      <c r="BA118" s="428"/>
      <c r="BB118" s="428"/>
      <c r="BC118" s="428"/>
      <c r="BD118" s="435"/>
      <c r="BE118" s="435"/>
      <c r="BF118" s="435"/>
      <c r="BG118" s="435"/>
      <c r="BH118" s="435"/>
      <c r="BI118" s="436"/>
      <c r="BJ118" s="106"/>
      <c r="BK118" s="146"/>
    </row>
    <row r="119" spans="1:63" s="107" customFormat="1" ht="26.1" hidden="1" customHeight="1" thickTop="1" x14ac:dyDescent="0.3">
      <c r="A119" s="108"/>
      <c r="B119" s="437">
        <v>8</v>
      </c>
      <c r="C119" s="438"/>
      <c r="D119" s="438"/>
      <c r="E119" s="439" t="s">
        <v>621</v>
      </c>
      <c r="F119" s="439"/>
      <c r="G119" s="439"/>
      <c r="H119" s="439"/>
      <c r="I119" s="439"/>
      <c r="J119" s="439"/>
      <c r="K119" s="364"/>
      <c r="L119" s="365"/>
      <c r="M119" s="365"/>
      <c r="N119" s="365"/>
      <c r="O119" s="365"/>
      <c r="P119" s="365"/>
      <c r="Q119" s="365"/>
      <c r="R119" s="365"/>
      <c r="S119" s="365"/>
      <c r="T119" s="365"/>
      <c r="U119" s="365"/>
      <c r="V119" s="365"/>
      <c r="W119" s="365"/>
      <c r="X119" s="365"/>
      <c r="Y119" s="365"/>
      <c r="Z119" s="365"/>
      <c r="AA119" s="365"/>
      <c r="AB119" s="366"/>
      <c r="AC119" s="440"/>
      <c r="AD119" s="440"/>
      <c r="AE119" s="440"/>
      <c r="AF119" s="440"/>
      <c r="AG119" s="440"/>
      <c r="AH119" s="440"/>
      <c r="AI119" s="440"/>
      <c r="AJ119" s="440"/>
      <c r="AK119" s="440"/>
      <c r="AL119" s="440"/>
      <c r="AM119" s="440"/>
      <c r="AN119" s="440"/>
      <c r="AO119" s="440"/>
      <c r="AP119" s="440"/>
      <c r="AQ119" s="440"/>
      <c r="AR119" s="440"/>
      <c r="AS119" s="440"/>
      <c r="AT119" s="440"/>
      <c r="AU119" s="440"/>
      <c r="AV119" s="440"/>
      <c r="AW119" s="440"/>
      <c r="AX119" s="440"/>
      <c r="AY119" s="440"/>
      <c r="AZ119" s="440"/>
      <c r="BA119" s="440"/>
      <c r="BB119" s="440"/>
      <c r="BC119" s="440"/>
      <c r="BD119" s="441" t="s">
        <v>246</v>
      </c>
      <c r="BE119" s="441"/>
      <c r="BF119" s="441"/>
      <c r="BG119" s="441"/>
      <c r="BH119" s="441"/>
      <c r="BI119" s="442"/>
      <c r="BJ119" s="106"/>
      <c r="BK119" s="146"/>
    </row>
    <row r="120" spans="1:63" s="107" customFormat="1" ht="26.1" hidden="1" customHeight="1" x14ac:dyDescent="0.3">
      <c r="A120" s="108"/>
      <c r="B120" s="337"/>
      <c r="C120" s="338"/>
      <c r="D120" s="338"/>
      <c r="E120" s="376"/>
      <c r="F120" s="376"/>
      <c r="G120" s="376"/>
      <c r="H120" s="376"/>
      <c r="I120" s="376"/>
      <c r="J120" s="376"/>
      <c r="K120" s="343"/>
      <c r="L120" s="344"/>
      <c r="M120" s="344"/>
      <c r="N120" s="344"/>
      <c r="O120" s="344"/>
      <c r="P120" s="344"/>
      <c r="Q120" s="344"/>
      <c r="R120" s="344"/>
      <c r="S120" s="344"/>
      <c r="T120" s="344"/>
      <c r="U120" s="344"/>
      <c r="V120" s="344"/>
      <c r="W120" s="344"/>
      <c r="X120" s="344"/>
      <c r="Y120" s="344"/>
      <c r="Z120" s="344"/>
      <c r="AA120" s="344"/>
      <c r="AB120" s="345"/>
      <c r="AC120" s="362"/>
      <c r="AD120" s="362"/>
      <c r="AE120" s="362"/>
      <c r="AF120" s="362"/>
      <c r="AG120" s="362"/>
      <c r="AH120" s="362"/>
      <c r="AI120" s="362"/>
      <c r="AJ120" s="362"/>
      <c r="AK120" s="362"/>
      <c r="AL120" s="362"/>
      <c r="AM120" s="362"/>
      <c r="AN120" s="362"/>
      <c r="AO120" s="362"/>
      <c r="AP120" s="362"/>
      <c r="AQ120" s="362"/>
      <c r="AR120" s="362"/>
      <c r="AS120" s="362"/>
      <c r="AT120" s="362"/>
      <c r="AU120" s="362"/>
      <c r="AV120" s="362"/>
      <c r="AW120" s="362"/>
      <c r="AX120" s="362"/>
      <c r="AY120" s="362"/>
      <c r="AZ120" s="362"/>
      <c r="BA120" s="362"/>
      <c r="BB120" s="362"/>
      <c r="BC120" s="362"/>
      <c r="BD120" s="412"/>
      <c r="BE120" s="412"/>
      <c r="BF120" s="412"/>
      <c r="BG120" s="412"/>
      <c r="BH120" s="412"/>
      <c r="BI120" s="413"/>
      <c r="BJ120" s="106"/>
      <c r="BK120" s="146"/>
    </row>
    <row r="121" spans="1:63" s="107" customFormat="1" ht="26.1" hidden="1" customHeight="1" x14ac:dyDescent="0.3">
      <c r="A121" s="108"/>
      <c r="B121" s="337"/>
      <c r="C121" s="338"/>
      <c r="D121" s="338"/>
      <c r="E121" s="376"/>
      <c r="F121" s="376"/>
      <c r="G121" s="376"/>
      <c r="H121" s="376"/>
      <c r="I121" s="376"/>
      <c r="J121" s="376"/>
      <c r="K121" s="346"/>
      <c r="L121" s="347"/>
      <c r="M121" s="347"/>
      <c r="N121" s="347"/>
      <c r="O121" s="347"/>
      <c r="P121" s="347"/>
      <c r="Q121" s="347"/>
      <c r="R121" s="347"/>
      <c r="S121" s="347"/>
      <c r="T121" s="347"/>
      <c r="U121" s="347"/>
      <c r="V121" s="347"/>
      <c r="W121" s="347"/>
      <c r="X121" s="347"/>
      <c r="Y121" s="347"/>
      <c r="Z121" s="347"/>
      <c r="AA121" s="347"/>
      <c r="AB121" s="348"/>
      <c r="AC121" s="362"/>
      <c r="AD121" s="362"/>
      <c r="AE121" s="362"/>
      <c r="AF121" s="362"/>
      <c r="AG121" s="362"/>
      <c r="AH121" s="362"/>
      <c r="AI121" s="362"/>
      <c r="AJ121" s="362"/>
      <c r="AK121" s="362"/>
      <c r="AL121" s="362"/>
      <c r="AM121" s="362"/>
      <c r="AN121" s="362"/>
      <c r="AO121" s="362"/>
      <c r="AP121" s="362"/>
      <c r="AQ121" s="362"/>
      <c r="AR121" s="362"/>
      <c r="AS121" s="362"/>
      <c r="AT121" s="362"/>
      <c r="AU121" s="362"/>
      <c r="AV121" s="362"/>
      <c r="AW121" s="362"/>
      <c r="AX121" s="362"/>
      <c r="AY121" s="362"/>
      <c r="AZ121" s="362"/>
      <c r="BA121" s="362"/>
      <c r="BB121" s="362"/>
      <c r="BC121" s="362"/>
      <c r="BD121" s="412"/>
      <c r="BE121" s="412"/>
      <c r="BF121" s="412"/>
      <c r="BG121" s="412"/>
      <c r="BH121" s="412"/>
      <c r="BI121" s="413"/>
      <c r="BJ121" s="106"/>
      <c r="BK121" s="146"/>
    </row>
    <row r="122" spans="1:63" s="107" customFormat="1" ht="26.1" hidden="1" customHeight="1" x14ac:dyDescent="0.3">
      <c r="A122" s="108"/>
      <c r="B122" s="337"/>
      <c r="C122" s="338"/>
      <c r="D122" s="338"/>
      <c r="E122" s="376"/>
      <c r="F122" s="376"/>
      <c r="G122" s="376"/>
      <c r="H122" s="376"/>
      <c r="I122" s="376"/>
      <c r="J122" s="376"/>
      <c r="K122" s="367"/>
      <c r="L122" s="368"/>
      <c r="M122" s="368"/>
      <c r="N122" s="368"/>
      <c r="O122" s="368"/>
      <c r="P122" s="368"/>
      <c r="Q122" s="368"/>
      <c r="R122" s="368"/>
      <c r="S122" s="368"/>
      <c r="T122" s="368"/>
      <c r="U122" s="368"/>
      <c r="V122" s="368"/>
      <c r="W122" s="368"/>
      <c r="X122" s="368"/>
      <c r="Y122" s="368"/>
      <c r="Z122" s="368"/>
      <c r="AA122" s="368"/>
      <c r="AB122" s="369"/>
      <c r="AC122" s="362"/>
      <c r="AD122" s="362"/>
      <c r="AE122" s="362"/>
      <c r="AF122" s="362"/>
      <c r="AG122" s="362"/>
      <c r="AH122" s="362"/>
      <c r="AI122" s="362"/>
      <c r="AJ122" s="362"/>
      <c r="AK122" s="362"/>
      <c r="AL122" s="362"/>
      <c r="AM122" s="362"/>
      <c r="AN122" s="362"/>
      <c r="AO122" s="362"/>
      <c r="AP122" s="362"/>
      <c r="AQ122" s="362"/>
      <c r="AR122" s="362"/>
      <c r="AS122" s="362"/>
      <c r="AT122" s="362"/>
      <c r="AU122" s="362"/>
      <c r="AV122" s="362"/>
      <c r="AW122" s="362"/>
      <c r="AX122" s="362"/>
      <c r="AY122" s="362"/>
      <c r="AZ122" s="362"/>
      <c r="BA122" s="362"/>
      <c r="BB122" s="362"/>
      <c r="BC122" s="362"/>
      <c r="BD122" s="412"/>
      <c r="BE122" s="412"/>
      <c r="BF122" s="412"/>
      <c r="BG122" s="412"/>
      <c r="BH122" s="412"/>
      <c r="BI122" s="413"/>
      <c r="BJ122" s="106"/>
      <c r="BK122" s="146"/>
    </row>
    <row r="123" spans="1:63" s="107" customFormat="1" ht="26.1" hidden="1" customHeight="1" x14ac:dyDescent="0.3">
      <c r="A123" s="108"/>
      <c r="B123" s="337"/>
      <c r="C123" s="338"/>
      <c r="D123" s="338"/>
      <c r="E123" s="350" t="s">
        <v>457</v>
      </c>
      <c r="F123" s="350"/>
      <c r="G123" s="350"/>
      <c r="H123" s="350"/>
      <c r="I123" s="350"/>
      <c r="J123" s="350"/>
      <c r="K123" s="370"/>
      <c r="L123" s="371"/>
      <c r="M123" s="371"/>
      <c r="N123" s="371"/>
      <c r="O123" s="371"/>
      <c r="P123" s="371"/>
      <c r="Q123" s="371"/>
      <c r="R123" s="371"/>
      <c r="S123" s="371"/>
      <c r="T123" s="371"/>
      <c r="U123" s="371"/>
      <c r="V123" s="371"/>
      <c r="W123" s="371"/>
      <c r="X123" s="371"/>
      <c r="Y123" s="371"/>
      <c r="Z123" s="371"/>
      <c r="AA123" s="371"/>
      <c r="AB123" s="372"/>
      <c r="AC123" s="362"/>
      <c r="AD123" s="362"/>
      <c r="AE123" s="362"/>
      <c r="AF123" s="362"/>
      <c r="AG123" s="362"/>
      <c r="AH123" s="362"/>
      <c r="AI123" s="362"/>
      <c r="AJ123" s="362"/>
      <c r="AK123" s="362"/>
      <c r="AL123" s="362"/>
      <c r="AM123" s="362"/>
      <c r="AN123" s="362"/>
      <c r="AO123" s="362"/>
      <c r="AP123" s="362"/>
      <c r="AQ123" s="362"/>
      <c r="AR123" s="362"/>
      <c r="AS123" s="362"/>
      <c r="AT123" s="362"/>
      <c r="AU123" s="362"/>
      <c r="AV123" s="362"/>
      <c r="AW123" s="362"/>
      <c r="AX123" s="362"/>
      <c r="AY123" s="362"/>
      <c r="AZ123" s="362"/>
      <c r="BA123" s="362"/>
      <c r="BB123" s="362"/>
      <c r="BC123" s="362"/>
      <c r="BD123" s="389" t="s">
        <v>88</v>
      </c>
      <c r="BE123" s="389"/>
      <c r="BF123" s="389"/>
      <c r="BG123" s="389"/>
      <c r="BH123" s="389"/>
      <c r="BI123" s="403"/>
      <c r="BJ123" s="106"/>
      <c r="BK123" s="146"/>
    </row>
    <row r="124" spans="1:63" s="107" customFormat="1" ht="26.1" hidden="1" customHeight="1" x14ac:dyDescent="0.3">
      <c r="A124" s="108"/>
      <c r="B124" s="337"/>
      <c r="C124" s="338"/>
      <c r="D124" s="338"/>
      <c r="E124" s="376"/>
      <c r="F124" s="376"/>
      <c r="G124" s="376"/>
      <c r="H124" s="376"/>
      <c r="I124" s="376"/>
      <c r="J124" s="376"/>
      <c r="K124" s="370"/>
      <c r="L124" s="371"/>
      <c r="M124" s="371"/>
      <c r="N124" s="371"/>
      <c r="O124" s="371"/>
      <c r="P124" s="371"/>
      <c r="Q124" s="371"/>
      <c r="R124" s="371"/>
      <c r="S124" s="371"/>
      <c r="T124" s="371"/>
      <c r="U124" s="371"/>
      <c r="V124" s="371"/>
      <c r="W124" s="371"/>
      <c r="X124" s="371"/>
      <c r="Y124" s="371"/>
      <c r="Z124" s="371"/>
      <c r="AA124" s="371"/>
      <c r="AB124" s="372"/>
      <c r="AC124" s="362"/>
      <c r="AD124" s="362"/>
      <c r="AE124" s="362"/>
      <c r="AF124" s="362"/>
      <c r="AG124" s="362"/>
      <c r="AH124" s="362"/>
      <c r="AI124" s="362"/>
      <c r="AJ124" s="362"/>
      <c r="AK124" s="362"/>
      <c r="AL124" s="362"/>
      <c r="AM124" s="362"/>
      <c r="AN124" s="362"/>
      <c r="AO124" s="362"/>
      <c r="AP124" s="362"/>
      <c r="AQ124" s="362"/>
      <c r="AR124" s="362"/>
      <c r="AS124" s="362"/>
      <c r="AT124" s="362"/>
      <c r="AU124" s="362"/>
      <c r="AV124" s="362"/>
      <c r="AW124" s="362"/>
      <c r="AX124" s="362"/>
      <c r="AY124" s="362"/>
      <c r="AZ124" s="362"/>
      <c r="BA124" s="362"/>
      <c r="BB124" s="362"/>
      <c r="BC124" s="362"/>
      <c r="BD124" s="393"/>
      <c r="BE124" s="393"/>
      <c r="BF124" s="393"/>
      <c r="BG124" s="393"/>
      <c r="BH124" s="393"/>
      <c r="BI124" s="394"/>
      <c r="BJ124" s="106"/>
      <c r="BK124" s="146"/>
    </row>
    <row r="125" spans="1:63" s="107" customFormat="1" ht="26.1" hidden="1" customHeight="1" x14ac:dyDescent="0.3">
      <c r="A125" s="108"/>
      <c r="B125" s="337"/>
      <c r="C125" s="338"/>
      <c r="D125" s="338"/>
      <c r="E125" s="376"/>
      <c r="F125" s="376"/>
      <c r="G125" s="376"/>
      <c r="H125" s="376"/>
      <c r="I125" s="376"/>
      <c r="J125" s="376"/>
      <c r="K125" s="370"/>
      <c r="L125" s="371"/>
      <c r="M125" s="371"/>
      <c r="N125" s="371"/>
      <c r="O125" s="371"/>
      <c r="P125" s="371"/>
      <c r="Q125" s="371"/>
      <c r="R125" s="371"/>
      <c r="S125" s="371"/>
      <c r="T125" s="371"/>
      <c r="U125" s="371"/>
      <c r="V125" s="371"/>
      <c r="W125" s="371"/>
      <c r="X125" s="371"/>
      <c r="Y125" s="371"/>
      <c r="Z125" s="371"/>
      <c r="AA125" s="371"/>
      <c r="AB125" s="372"/>
      <c r="AC125" s="362"/>
      <c r="AD125" s="362"/>
      <c r="AE125" s="362"/>
      <c r="AF125" s="362"/>
      <c r="AG125" s="362"/>
      <c r="AH125" s="362"/>
      <c r="AI125" s="362"/>
      <c r="AJ125" s="362"/>
      <c r="AK125" s="362"/>
      <c r="AL125" s="362"/>
      <c r="AM125" s="362"/>
      <c r="AN125" s="362"/>
      <c r="AO125" s="362"/>
      <c r="AP125" s="362"/>
      <c r="AQ125" s="362"/>
      <c r="AR125" s="362"/>
      <c r="AS125" s="362"/>
      <c r="AT125" s="362"/>
      <c r="AU125" s="362"/>
      <c r="AV125" s="362"/>
      <c r="AW125" s="362"/>
      <c r="AX125" s="362"/>
      <c r="AY125" s="362"/>
      <c r="AZ125" s="362"/>
      <c r="BA125" s="362"/>
      <c r="BB125" s="362"/>
      <c r="BC125" s="362"/>
      <c r="BD125" s="393"/>
      <c r="BE125" s="393"/>
      <c r="BF125" s="393"/>
      <c r="BG125" s="393"/>
      <c r="BH125" s="393"/>
      <c r="BI125" s="394"/>
      <c r="BJ125" s="106"/>
      <c r="BK125" s="146"/>
    </row>
    <row r="126" spans="1:63" s="107" customFormat="1" ht="26.1" hidden="1" customHeight="1" x14ac:dyDescent="0.3">
      <c r="A126" s="108"/>
      <c r="B126" s="337"/>
      <c r="C126" s="338"/>
      <c r="D126" s="338"/>
      <c r="E126" s="376"/>
      <c r="F126" s="376"/>
      <c r="G126" s="376"/>
      <c r="H126" s="376"/>
      <c r="I126" s="376"/>
      <c r="J126" s="376"/>
      <c r="K126" s="370"/>
      <c r="L126" s="371"/>
      <c r="M126" s="371"/>
      <c r="N126" s="371"/>
      <c r="O126" s="371"/>
      <c r="P126" s="371"/>
      <c r="Q126" s="371"/>
      <c r="R126" s="371"/>
      <c r="S126" s="371"/>
      <c r="T126" s="371"/>
      <c r="U126" s="371"/>
      <c r="V126" s="371"/>
      <c r="W126" s="371"/>
      <c r="X126" s="371"/>
      <c r="Y126" s="371"/>
      <c r="Z126" s="371"/>
      <c r="AA126" s="371"/>
      <c r="AB126" s="372"/>
      <c r="AC126" s="362"/>
      <c r="AD126" s="362"/>
      <c r="AE126" s="362"/>
      <c r="AF126" s="362"/>
      <c r="AG126" s="362"/>
      <c r="AH126" s="362"/>
      <c r="AI126" s="362"/>
      <c r="AJ126" s="362"/>
      <c r="AK126" s="362"/>
      <c r="AL126" s="362"/>
      <c r="AM126" s="362"/>
      <c r="AN126" s="362"/>
      <c r="AO126" s="362"/>
      <c r="AP126" s="362"/>
      <c r="AQ126" s="362"/>
      <c r="AR126" s="362"/>
      <c r="AS126" s="362"/>
      <c r="AT126" s="362"/>
      <c r="AU126" s="362"/>
      <c r="AV126" s="362"/>
      <c r="AW126" s="362"/>
      <c r="AX126" s="362"/>
      <c r="AY126" s="362"/>
      <c r="AZ126" s="362"/>
      <c r="BA126" s="362"/>
      <c r="BB126" s="362"/>
      <c r="BC126" s="362"/>
      <c r="BD126" s="393"/>
      <c r="BE126" s="393"/>
      <c r="BF126" s="393"/>
      <c r="BG126" s="393"/>
      <c r="BH126" s="393"/>
      <c r="BI126" s="394"/>
      <c r="BJ126" s="106"/>
      <c r="BK126" s="146"/>
    </row>
    <row r="127" spans="1:63" s="107" customFormat="1" ht="26.1" hidden="1" customHeight="1" x14ac:dyDescent="0.3">
      <c r="A127" s="108"/>
      <c r="B127" s="349" t="s">
        <v>637</v>
      </c>
      <c r="C127" s="350"/>
      <c r="D127" s="350"/>
      <c r="E127" s="350" t="s">
        <v>622</v>
      </c>
      <c r="F127" s="350"/>
      <c r="G127" s="350"/>
      <c r="H127" s="350"/>
      <c r="I127" s="350"/>
      <c r="J127" s="350"/>
      <c r="K127" s="370"/>
      <c r="L127" s="371"/>
      <c r="M127" s="371"/>
      <c r="N127" s="371"/>
      <c r="O127" s="371"/>
      <c r="P127" s="371"/>
      <c r="Q127" s="371"/>
      <c r="R127" s="371"/>
      <c r="S127" s="371"/>
      <c r="T127" s="371"/>
      <c r="U127" s="371"/>
      <c r="V127" s="371"/>
      <c r="W127" s="371"/>
      <c r="X127" s="371"/>
      <c r="Y127" s="371"/>
      <c r="Z127" s="371"/>
      <c r="AA127" s="371"/>
      <c r="AB127" s="372"/>
      <c r="AC127" s="362"/>
      <c r="AD127" s="362"/>
      <c r="AE127" s="362"/>
      <c r="AF127" s="362"/>
      <c r="AG127" s="362"/>
      <c r="AH127" s="362"/>
      <c r="AI127" s="362"/>
      <c r="AJ127" s="362"/>
      <c r="AK127" s="362"/>
      <c r="AL127" s="362"/>
      <c r="AM127" s="362"/>
      <c r="AN127" s="362"/>
      <c r="AO127" s="362"/>
      <c r="AP127" s="362"/>
      <c r="AQ127" s="362"/>
      <c r="AR127" s="362"/>
      <c r="AS127" s="362"/>
      <c r="AT127" s="362"/>
      <c r="AU127" s="362"/>
      <c r="AV127" s="362"/>
      <c r="AW127" s="362"/>
      <c r="AX127" s="362"/>
      <c r="AY127" s="362"/>
      <c r="AZ127" s="362"/>
      <c r="BA127" s="362"/>
      <c r="BB127" s="362"/>
      <c r="BC127" s="362"/>
      <c r="BD127" s="389" t="s">
        <v>46</v>
      </c>
      <c r="BE127" s="389"/>
      <c r="BF127" s="389"/>
      <c r="BG127" s="389"/>
      <c r="BH127" s="389"/>
      <c r="BI127" s="403"/>
      <c r="BJ127" s="106"/>
      <c r="BK127" s="146"/>
    </row>
    <row r="128" spans="1:63" s="107" customFormat="1" ht="26.1" hidden="1" customHeight="1" x14ac:dyDescent="0.3">
      <c r="A128" s="108"/>
      <c r="B128" s="351"/>
      <c r="C128" s="352"/>
      <c r="D128" s="352"/>
      <c r="E128" s="376"/>
      <c r="F128" s="376"/>
      <c r="G128" s="376"/>
      <c r="H128" s="376"/>
      <c r="I128" s="376"/>
      <c r="J128" s="376"/>
      <c r="K128" s="370"/>
      <c r="L128" s="371"/>
      <c r="M128" s="371"/>
      <c r="N128" s="371"/>
      <c r="O128" s="371"/>
      <c r="P128" s="371"/>
      <c r="Q128" s="371"/>
      <c r="R128" s="371"/>
      <c r="S128" s="371"/>
      <c r="T128" s="371"/>
      <c r="U128" s="371"/>
      <c r="V128" s="371"/>
      <c r="W128" s="371"/>
      <c r="X128" s="371"/>
      <c r="Y128" s="371"/>
      <c r="Z128" s="371"/>
      <c r="AA128" s="371"/>
      <c r="AB128" s="372"/>
      <c r="AC128" s="362"/>
      <c r="AD128" s="362"/>
      <c r="AE128" s="362"/>
      <c r="AF128" s="362"/>
      <c r="AG128" s="362"/>
      <c r="AH128" s="362"/>
      <c r="AI128" s="362"/>
      <c r="AJ128" s="362"/>
      <c r="AK128" s="362"/>
      <c r="AL128" s="362"/>
      <c r="AM128" s="362"/>
      <c r="AN128" s="362"/>
      <c r="AO128" s="362"/>
      <c r="AP128" s="362"/>
      <c r="AQ128" s="362"/>
      <c r="AR128" s="362"/>
      <c r="AS128" s="362"/>
      <c r="AT128" s="362"/>
      <c r="AU128" s="362"/>
      <c r="AV128" s="362"/>
      <c r="AW128" s="362"/>
      <c r="AX128" s="362"/>
      <c r="AY128" s="362"/>
      <c r="AZ128" s="362"/>
      <c r="BA128" s="362"/>
      <c r="BB128" s="362"/>
      <c r="BC128" s="362"/>
      <c r="BD128" s="427"/>
      <c r="BE128" s="412"/>
      <c r="BF128" s="412"/>
      <c r="BG128" s="412"/>
      <c r="BH128" s="412"/>
      <c r="BI128" s="413"/>
      <c r="BJ128" s="106"/>
      <c r="BK128" s="146"/>
    </row>
    <row r="129" spans="1:63" s="107" customFormat="1" ht="26.1" hidden="1" customHeight="1" x14ac:dyDescent="0.3">
      <c r="A129" s="108"/>
      <c r="B129" s="351"/>
      <c r="C129" s="352"/>
      <c r="D129" s="352"/>
      <c r="E129" s="376"/>
      <c r="F129" s="376"/>
      <c r="G129" s="376"/>
      <c r="H129" s="376"/>
      <c r="I129" s="376"/>
      <c r="J129" s="376"/>
      <c r="K129" s="370"/>
      <c r="L129" s="371"/>
      <c r="M129" s="371"/>
      <c r="N129" s="371"/>
      <c r="O129" s="371"/>
      <c r="P129" s="371"/>
      <c r="Q129" s="371"/>
      <c r="R129" s="371"/>
      <c r="S129" s="371"/>
      <c r="T129" s="371"/>
      <c r="U129" s="371"/>
      <c r="V129" s="371"/>
      <c r="W129" s="371"/>
      <c r="X129" s="371"/>
      <c r="Y129" s="371"/>
      <c r="Z129" s="371"/>
      <c r="AA129" s="371"/>
      <c r="AB129" s="372"/>
      <c r="AC129" s="362"/>
      <c r="AD129" s="362"/>
      <c r="AE129" s="362"/>
      <c r="AF129" s="362"/>
      <c r="AG129" s="362"/>
      <c r="AH129" s="362"/>
      <c r="AI129" s="362"/>
      <c r="AJ129" s="362"/>
      <c r="AK129" s="362"/>
      <c r="AL129" s="362"/>
      <c r="AM129" s="362"/>
      <c r="AN129" s="362"/>
      <c r="AO129" s="362"/>
      <c r="AP129" s="362"/>
      <c r="AQ129" s="362"/>
      <c r="AR129" s="362"/>
      <c r="AS129" s="362"/>
      <c r="AT129" s="362"/>
      <c r="AU129" s="362"/>
      <c r="AV129" s="362"/>
      <c r="AW129" s="362"/>
      <c r="AX129" s="362"/>
      <c r="AY129" s="362"/>
      <c r="AZ129" s="362"/>
      <c r="BA129" s="362"/>
      <c r="BB129" s="362"/>
      <c r="BC129" s="362"/>
      <c r="BD129" s="412"/>
      <c r="BE129" s="412"/>
      <c r="BF129" s="412"/>
      <c r="BG129" s="412"/>
      <c r="BH129" s="412"/>
      <c r="BI129" s="413"/>
      <c r="BJ129" s="106"/>
      <c r="BK129" s="146"/>
    </row>
    <row r="130" spans="1:63" s="107" customFormat="1" ht="26.1" hidden="1" customHeight="1" x14ac:dyDescent="0.3">
      <c r="A130" s="108"/>
      <c r="B130" s="351"/>
      <c r="C130" s="352"/>
      <c r="D130" s="352"/>
      <c r="E130" s="376"/>
      <c r="F130" s="376"/>
      <c r="G130" s="376"/>
      <c r="H130" s="376"/>
      <c r="I130" s="376"/>
      <c r="J130" s="376"/>
      <c r="K130" s="370"/>
      <c r="L130" s="371"/>
      <c r="M130" s="371"/>
      <c r="N130" s="371"/>
      <c r="O130" s="371"/>
      <c r="P130" s="371"/>
      <c r="Q130" s="371"/>
      <c r="R130" s="371"/>
      <c r="S130" s="371"/>
      <c r="T130" s="371"/>
      <c r="U130" s="371"/>
      <c r="V130" s="371"/>
      <c r="W130" s="371"/>
      <c r="X130" s="371"/>
      <c r="Y130" s="371"/>
      <c r="Z130" s="371"/>
      <c r="AA130" s="371"/>
      <c r="AB130" s="372"/>
      <c r="AC130" s="362"/>
      <c r="AD130" s="362"/>
      <c r="AE130" s="362"/>
      <c r="AF130" s="362"/>
      <c r="AG130" s="362"/>
      <c r="AH130" s="362"/>
      <c r="AI130" s="362"/>
      <c r="AJ130" s="362"/>
      <c r="AK130" s="362"/>
      <c r="AL130" s="362"/>
      <c r="AM130" s="362"/>
      <c r="AN130" s="362"/>
      <c r="AO130" s="362"/>
      <c r="AP130" s="362"/>
      <c r="AQ130" s="362"/>
      <c r="AR130" s="362"/>
      <c r="AS130" s="362"/>
      <c r="AT130" s="362"/>
      <c r="AU130" s="362"/>
      <c r="AV130" s="362"/>
      <c r="AW130" s="362"/>
      <c r="AX130" s="362"/>
      <c r="AY130" s="362"/>
      <c r="AZ130" s="362"/>
      <c r="BA130" s="362"/>
      <c r="BB130" s="362"/>
      <c r="BC130" s="362"/>
      <c r="BD130" s="412"/>
      <c r="BE130" s="412"/>
      <c r="BF130" s="412"/>
      <c r="BG130" s="412"/>
      <c r="BH130" s="412"/>
      <c r="BI130" s="413"/>
      <c r="BJ130" s="106"/>
      <c r="BK130" s="146"/>
    </row>
    <row r="131" spans="1:63" s="107" customFormat="1" ht="26.1" hidden="1" customHeight="1" x14ac:dyDescent="0.3">
      <c r="A131" s="108"/>
      <c r="B131" s="356" t="s">
        <v>459</v>
      </c>
      <c r="C131" s="357"/>
      <c r="D131" s="357"/>
      <c r="E131" s="350" t="s">
        <v>623</v>
      </c>
      <c r="F131" s="350"/>
      <c r="G131" s="350"/>
      <c r="H131" s="350"/>
      <c r="I131" s="350"/>
      <c r="J131" s="350"/>
      <c r="K131" s="370"/>
      <c r="L131" s="371"/>
      <c r="M131" s="371"/>
      <c r="N131" s="371"/>
      <c r="O131" s="371"/>
      <c r="P131" s="371"/>
      <c r="Q131" s="371"/>
      <c r="R131" s="371"/>
      <c r="S131" s="371"/>
      <c r="T131" s="371"/>
      <c r="U131" s="371"/>
      <c r="V131" s="371"/>
      <c r="W131" s="371"/>
      <c r="X131" s="371"/>
      <c r="Y131" s="371"/>
      <c r="Z131" s="371"/>
      <c r="AA131" s="371"/>
      <c r="AB131" s="372"/>
      <c r="AC131" s="362"/>
      <c r="AD131" s="362"/>
      <c r="AE131" s="362"/>
      <c r="AF131" s="362"/>
      <c r="AG131" s="362"/>
      <c r="AH131" s="362"/>
      <c r="AI131" s="362"/>
      <c r="AJ131" s="362"/>
      <c r="AK131" s="362"/>
      <c r="AL131" s="362"/>
      <c r="AM131" s="362"/>
      <c r="AN131" s="362"/>
      <c r="AO131" s="362"/>
      <c r="AP131" s="362"/>
      <c r="AQ131" s="362"/>
      <c r="AR131" s="362"/>
      <c r="AS131" s="362"/>
      <c r="AT131" s="362"/>
      <c r="AU131" s="362"/>
      <c r="AV131" s="362"/>
      <c r="AW131" s="362"/>
      <c r="AX131" s="362"/>
      <c r="AY131" s="362"/>
      <c r="AZ131" s="362"/>
      <c r="BA131" s="362"/>
      <c r="BB131" s="362"/>
      <c r="BC131" s="362"/>
      <c r="BD131" s="389" t="s">
        <v>638</v>
      </c>
      <c r="BE131" s="389"/>
      <c r="BF131" s="389"/>
      <c r="BG131" s="389"/>
      <c r="BH131" s="389"/>
      <c r="BI131" s="403"/>
      <c r="BJ131" s="106"/>
      <c r="BK131" s="146"/>
    </row>
    <row r="132" spans="1:63" s="107" customFormat="1" ht="26.1" hidden="1" customHeight="1" x14ac:dyDescent="0.3">
      <c r="A132" s="108"/>
      <c r="B132" s="351"/>
      <c r="C132" s="352"/>
      <c r="D132" s="352"/>
      <c r="E132" s="376"/>
      <c r="F132" s="376"/>
      <c r="G132" s="376"/>
      <c r="H132" s="376"/>
      <c r="I132" s="376"/>
      <c r="J132" s="376"/>
      <c r="K132" s="370"/>
      <c r="L132" s="371"/>
      <c r="M132" s="371"/>
      <c r="N132" s="371"/>
      <c r="O132" s="371"/>
      <c r="P132" s="371"/>
      <c r="Q132" s="371"/>
      <c r="R132" s="371"/>
      <c r="S132" s="371"/>
      <c r="T132" s="371"/>
      <c r="U132" s="371"/>
      <c r="V132" s="371"/>
      <c r="W132" s="371"/>
      <c r="X132" s="371"/>
      <c r="Y132" s="371"/>
      <c r="Z132" s="371"/>
      <c r="AA132" s="371"/>
      <c r="AB132" s="372"/>
      <c r="AC132" s="362"/>
      <c r="AD132" s="362"/>
      <c r="AE132" s="362"/>
      <c r="AF132" s="362"/>
      <c r="AG132" s="362"/>
      <c r="AH132" s="362"/>
      <c r="AI132" s="362"/>
      <c r="AJ132" s="362"/>
      <c r="AK132" s="362"/>
      <c r="AL132" s="362"/>
      <c r="AM132" s="362"/>
      <c r="AN132" s="362"/>
      <c r="AO132" s="362"/>
      <c r="AP132" s="362"/>
      <c r="AQ132" s="362"/>
      <c r="AR132" s="362"/>
      <c r="AS132" s="362"/>
      <c r="AT132" s="362"/>
      <c r="AU132" s="362"/>
      <c r="AV132" s="362"/>
      <c r="AW132" s="362"/>
      <c r="AX132" s="362"/>
      <c r="AY132" s="362"/>
      <c r="AZ132" s="362"/>
      <c r="BA132" s="362"/>
      <c r="BB132" s="362"/>
      <c r="BC132" s="362"/>
      <c r="BD132" s="393"/>
      <c r="BE132" s="393"/>
      <c r="BF132" s="393"/>
      <c r="BG132" s="393"/>
      <c r="BH132" s="393"/>
      <c r="BI132" s="394"/>
      <c r="BJ132" s="106"/>
      <c r="BK132" s="146"/>
    </row>
    <row r="133" spans="1:63" s="107" customFormat="1" ht="26.1" hidden="1" customHeight="1" x14ac:dyDescent="0.3">
      <c r="A133" s="108"/>
      <c r="B133" s="351"/>
      <c r="C133" s="352"/>
      <c r="D133" s="352"/>
      <c r="E133" s="376"/>
      <c r="F133" s="376"/>
      <c r="G133" s="376"/>
      <c r="H133" s="376"/>
      <c r="I133" s="376"/>
      <c r="J133" s="376"/>
      <c r="K133" s="370"/>
      <c r="L133" s="371"/>
      <c r="M133" s="371"/>
      <c r="N133" s="371"/>
      <c r="O133" s="371"/>
      <c r="P133" s="371"/>
      <c r="Q133" s="371"/>
      <c r="R133" s="371"/>
      <c r="S133" s="371"/>
      <c r="T133" s="371"/>
      <c r="U133" s="371"/>
      <c r="V133" s="371"/>
      <c r="W133" s="371"/>
      <c r="X133" s="371"/>
      <c r="Y133" s="371"/>
      <c r="Z133" s="371"/>
      <c r="AA133" s="371"/>
      <c r="AB133" s="372"/>
      <c r="AC133" s="362"/>
      <c r="AD133" s="362"/>
      <c r="AE133" s="362"/>
      <c r="AF133" s="362"/>
      <c r="AG133" s="362"/>
      <c r="AH133" s="362"/>
      <c r="AI133" s="362"/>
      <c r="AJ133" s="362"/>
      <c r="AK133" s="362"/>
      <c r="AL133" s="362"/>
      <c r="AM133" s="362"/>
      <c r="AN133" s="362"/>
      <c r="AO133" s="362"/>
      <c r="AP133" s="362"/>
      <c r="AQ133" s="362"/>
      <c r="AR133" s="362"/>
      <c r="AS133" s="362"/>
      <c r="AT133" s="362"/>
      <c r="AU133" s="362"/>
      <c r="AV133" s="362"/>
      <c r="AW133" s="362"/>
      <c r="AX133" s="362"/>
      <c r="AY133" s="362"/>
      <c r="AZ133" s="362"/>
      <c r="BA133" s="362"/>
      <c r="BB133" s="362"/>
      <c r="BC133" s="362"/>
      <c r="BD133" s="393"/>
      <c r="BE133" s="393"/>
      <c r="BF133" s="393"/>
      <c r="BG133" s="393"/>
      <c r="BH133" s="393"/>
      <c r="BI133" s="394"/>
      <c r="BJ133" s="106"/>
      <c r="BK133" s="146"/>
    </row>
    <row r="134" spans="1:63" s="107" customFormat="1" ht="26.1" hidden="1" customHeight="1" thickBot="1" x14ac:dyDescent="0.35">
      <c r="A134" s="108"/>
      <c r="B134" s="404"/>
      <c r="C134" s="405"/>
      <c r="D134" s="405"/>
      <c r="E134" s="392"/>
      <c r="F134" s="392"/>
      <c r="G134" s="392"/>
      <c r="H134" s="392"/>
      <c r="I134" s="392"/>
      <c r="J134" s="392"/>
      <c r="K134" s="373"/>
      <c r="L134" s="374"/>
      <c r="M134" s="374"/>
      <c r="N134" s="374"/>
      <c r="O134" s="374"/>
      <c r="P134" s="374"/>
      <c r="Q134" s="374"/>
      <c r="R134" s="374"/>
      <c r="S134" s="374"/>
      <c r="T134" s="374"/>
      <c r="U134" s="374"/>
      <c r="V134" s="374"/>
      <c r="W134" s="374"/>
      <c r="X134" s="374"/>
      <c r="Y134" s="374"/>
      <c r="Z134" s="374"/>
      <c r="AA134" s="374"/>
      <c r="AB134" s="375"/>
      <c r="AC134" s="409"/>
      <c r="AD134" s="409"/>
      <c r="AE134" s="409"/>
      <c r="AF134" s="409"/>
      <c r="AG134" s="409"/>
      <c r="AH134" s="409"/>
      <c r="AI134" s="409"/>
      <c r="AJ134" s="409"/>
      <c r="AK134" s="409"/>
      <c r="AL134" s="409"/>
      <c r="AM134" s="409"/>
      <c r="AN134" s="409"/>
      <c r="AO134" s="409"/>
      <c r="AP134" s="409"/>
      <c r="AQ134" s="409"/>
      <c r="AR134" s="409"/>
      <c r="AS134" s="409"/>
      <c r="AT134" s="409"/>
      <c r="AU134" s="409"/>
      <c r="AV134" s="409"/>
      <c r="AW134" s="409"/>
      <c r="AX134" s="409"/>
      <c r="AY134" s="409"/>
      <c r="AZ134" s="409"/>
      <c r="BA134" s="409"/>
      <c r="BB134" s="409"/>
      <c r="BC134" s="409"/>
      <c r="BD134" s="395"/>
      <c r="BE134" s="395"/>
      <c r="BF134" s="395"/>
      <c r="BG134" s="395"/>
      <c r="BH134" s="395"/>
      <c r="BI134" s="396"/>
      <c r="BJ134" s="106"/>
      <c r="BK134" s="146"/>
    </row>
    <row r="135" spans="1:63" s="107" customFormat="1" ht="26.1" hidden="1" customHeight="1" thickTop="1" x14ac:dyDescent="0.3">
      <c r="A135" s="108"/>
      <c r="B135" s="335">
        <v>9</v>
      </c>
      <c r="C135" s="336"/>
      <c r="D135" s="336"/>
      <c r="E135" s="339" t="s">
        <v>621</v>
      </c>
      <c r="F135" s="339"/>
      <c r="G135" s="339"/>
      <c r="H135" s="339"/>
      <c r="I135" s="339"/>
      <c r="J135" s="339"/>
      <c r="K135" s="340"/>
      <c r="L135" s="341"/>
      <c r="M135" s="341"/>
      <c r="N135" s="341"/>
      <c r="O135" s="341"/>
      <c r="P135" s="341"/>
      <c r="Q135" s="341"/>
      <c r="R135" s="341"/>
      <c r="S135" s="341"/>
      <c r="T135" s="341"/>
      <c r="U135" s="341"/>
      <c r="V135" s="341"/>
      <c r="W135" s="341"/>
      <c r="X135" s="341"/>
      <c r="Y135" s="341"/>
      <c r="Z135" s="341"/>
      <c r="AA135" s="341"/>
      <c r="AB135" s="342"/>
      <c r="AC135" s="408"/>
      <c r="AD135" s="408"/>
      <c r="AE135" s="408"/>
      <c r="AF135" s="408"/>
      <c r="AG135" s="408"/>
      <c r="AH135" s="408"/>
      <c r="AI135" s="408"/>
      <c r="AJ135" s="408"/>
      <c r="AK135" s="408"/>
      <c r="AL135" s="408"/>
      <c r="AM135" s="408"/>
      <c r="AN135" s="408"/>
      <c r="AO135" s="408"/>
      <c r="AP135" s="408"/>
      <c r="AQ135" s="408"/>
      <c r="AR135" s="408"/>
      <c r="AS135" s="408"/>
      <c r="AT135" s="408"/>
      <c r="AU135" s="408"/>
      <c r="AV135" s="408"/>
      <c r="AW135" s="408"/>
      <c r="AX135" s="408"/>
      <c r="AY135" s="408"/>
      <c r="AZ135" s="408"/>
      <c r="BA135" s="408"/>
      <c r="BB135" s="408"/>
      <c r="BC135" s="408"/>
      <c r="BD135" s="410" t="s">
        <v>246</v>
      </c>
      <c r="BE135" s="410"/>
      <c r="BF135" s="410"/>
      <c r="BG135" s="410"/>
      <c r="BH135" s="410"/>
      <c r="BI135" s="411"/>
      <c r="BJ135" s="106"/>
      <c r="BK135" s="146"/>
    </row>
    <row r="136" spans="1:63" s="107" customFormat="1" ht="26.1" hidden="1" customHeight="1" x14ac:dyDescent="0.3">
      <c r="A136" s="108"/>
      <c r="B136" s="337"/>
      <c r="C136" s="338"/>
      <c r="D136" s="338"/>
      <c r="E136" s="376"/>
      <c r="F136" s="376"/>
      <c r="G136" s="376"/>
      <c r="H136" s="376"/>
      <c r="I136" s="376"/>
      <c r="J136" s="376"/>
      <c r="K136" s="343"/>
      <c r="L136" s="344"/>
      <c r="M136" s="344"/>
      <c r="N136" s="344"/>
      <c r="O136" s="344"/>
      <c r="P136" s="344"/>
      <c r="Q136" s="344"/>
      <c r="R136" s="344"/>
      <c r="S136" s="344"/>
      <c r="T136" s="344"/>
      <c r="U136" s="344"/>
      <c r="V136" s="344"/>
      <c r="W136" s="344"/>
      <c r="X136" s="344"/>
      <c r="Y136" s="344"/>
      <c r="Z136" s="344"/>
      <c r="AA136" s="344"/>
      <c r="AB136" s="345"/>
      <c r="AC136" s="362"/>
      <c r="AD136" s="362"/>
      <c r="AE136" s="362"/>
      <c r="AF136" s="362"/>
      <c r="AG136" s="362"/>
      <c r="AH136" s="362"/>
      <c r="AI136" s="362"/>
      <c r="AJ136" s="362"/>
      <c r="AK136" s="362"/>
      <c r="AL136" s="362"/>
      <c r="AM136" s="362"/>
      <c r="AN136" s="362"/>
      <c r="AO136" s="362"/>
      <c r="AP136" s="362"/>
      <c r="AQ136" s="362"/>
      <c r="AR136" s="362"/>
      <c r="AS136" s="362"/>
      <c r="AT136" s="362"/>
      <c r="AU136" s="362"/>
      <c r="AV136" s="362"/>
      <c r="AW136" s="362"/>
      <c r="AX136" s="362"/>
      <c r="AY136" s="362"/>
      <c r="AZ136" s="362"/>
      <c r="BA136" s="362"/>
      <c r="BB136" s="362"/>
      <c r="BC136" s="362"/>
      <c r="BD136" s="412"/>
      <c r="BE136" s="412"/>
      <c r="BF136" s="412"/>
      <c r="BG136" s="412"/>
      <c r="BH136" s="412"/>
      <c r="BI136" s="413"/>
      <c r="BJ136" s="106"/>
      <c r="BK136" s="146"/>
    </row>
    <row r="137" spans="1:63" s="107" customFormat="1" ht="26.1" hidden="1" customHeight="1" x14ac:dyDescent="0.3">
      <c r="A137" s="108"/>
      <c r="B137" s="337"/>
      <c r="C137" s="338"/>
      <c r="D137" s="338"/>
      <c r="E137" s="376"/>
      <c r="F137" s="376"/>
      <c r="G137" s="376"/>
      <c r="H137" s="376"/>
      <c r="I137" s="376"/>
      <c r="J137" s="376"/>
      <c r="K137" s="346"/>
      <c r="L137" s="347"/>
      <c r="M137" s="347"/>
      <c r="N137" s="347"/>
      <c r="O137" s="347"/>
      <c r="P137" s="347"/>
      <c r="Q137" s="347"/>
      <c r="R137" s="347"/>
      <c r="S137" s="347"/>
      <c r="T137" s="347"/>
      <c r="U137" s="347"/>
      <c r="V137" s="347"/>
      <c r="W137" s="347"/>
      <c r="X137" s="347"/>
      <c r="Y137" s="347"/>
      <c r="Z137" s="347"/>
      <c r="AA137" s="347"/>
      <c r="AB137" s="348"/>
      <c r="AC137" s="362"/>
      <c r="AD137" s="362"/>
      <c r="AE137" s="362"/>
      <c r="AF137" s="362"/>
      <c r="AG137" s="362"/>
      <c r="AH137" s="362"/>
      <c r="AI137" s="362"/>
      <c r="AJ137" s="362"/>
      <c r="AK137" s="362"/>
      <c r="AL137" s="362"/>
      <c r="AM137" s="362"/>
      <c r="AN137" s="362"/>
      <c r="AO137" s="362"/>
      <c r="AP137" s="362"/>
      <c r="AQ137" s="362"/>
      <c r="AR137" s="362"/>
      <c r="AS137" s="362"/>
      <c r="AT137" s="362"/>
      <c r="AU137" s="362"/>
      <c r="AV137" s="362"/>
      <c r="AW137" s="362"/>
      <c r="AX137" s="362"/>
      <c r="AY137" s="362"/>
      <c r="AZ137" s="362"/>
      <c r="BA137" s="362"/>
      <c r="BB137" s="362"/>
      <c r="BC137" s="362"/>
      <c r="BD137" s="412"/>
      <c r="BE137" s="412"/>
      <c r="BF137" s="412"/>
      <c r="BG137" s="412"/>
      <c r="BH137" s="412"/>
      <c r="BI137" s="413"/>
      <c r="BJ137" s="106"/>
      <c r="BK137" s="146"/>
    </row>
    <row r="138" spans="1:63" s="107" customFormat="1" ht="26.1" hidden="1" customHeight="1" x14ac:dyDescent="0.3">
      <c r="A138" s="108"/>
      <c r="B138" s="337"/>
      <c r="C138" s="338"/>
      <c r="D138" s="338"/>
      <c r="E138" s="376"/>
      <c r="F138" s="376"/>
      <c r="G138" s="376"/>
      <c r="H138" s="376"/>
      <c r="I138" s="376"/>
      <c r="J138" s="376"/>
      <c r="K138" s="367"/>
      <c r="L138" s="368"/>
      <c r="M138" s="368"/>
      <c r="N138" s="368"/>
      <c r="O138" s="368"/>
      <c r="P138" s="368"/>
      <c r="Q138" s="368"/>
      <c r="R138" s="368"/>
      <c r="S138" s="368"/>
      <c r="T138" s="368"/>
      <c r="U138" s="368"/>
      <c r="V138" s="368"/>
      <c r="W138" s="368"/>
      <c r="X138" s="368"/>
      <c r="Y138" s="368"/>
      <c r="Z138" s="368"/>
      <c r="AA138" s="368"/>
      <c r="AB138" s="369"/>
      <c r="AC138" s="362"/>
      <c r="AD138" s="362"/>
      <c r="AE138" s="362"/>
      <c r="AF138" s="362"/>
      <c r="AG138" s="362"/>
      <c r="AH138" s="362"/>
      <c r="AI138" s="362"/>
      <c r="AJ138" s="362"/>
      <c r="AK138" s="362"/>
      <c r="AL138" s="362"/>
      <c r="AM138" s="362"/>
      <c r="AN138" s="362"/>
      <c r="AO138" s="362"/>
      <c r="AP138" s="362"/>
      <c r="AQ138" s="362"/>
      <c r="AR138" s="362"/>
      <c r="AS138" s="362"/>
      <c r="AT138" s="362"/>
      <c r="AU138" s="362"/>
      <c r="AV138" s="362"/>
      <c r="AW138" s="362"/>
      <c r="AX138" s="362"/>
      <c r="AY138" s="362"/>
      <c r="AZ138" s="362"/>
      <c r="BA138" s="362"/>
      <c r="BB138" s="362"/>
      <c r="BC138" s="362"/>
      <c r="BD138" s="412"/>
      <c r="BE138" s="412"/>
      <c r="BF138" s="412"/>
      <c r="BG138" s="412"/>
      <c r="BH138" s="412"/>
      <c r="BI138" s="413"/>
      <c r="BJ138" s="106"/>
      <c r="BK138" s="146"/>
    </row>
    <row r="139" spans="1:63" s="107" customFormat="1" ht="26.1" hidden="1" customHeight="1" x14ac:dyDescent="0.3">
      <c r="A139" s="108"/>
      <c r="B139" s="337"/>
      <c r="C139" s="338"/>
      <c r="D139" s="338"/>
      <c r="E139" s="350" t="s">
        <v>457</v>
      </c>
      <c r="F139" s="350"/>
      <c r="G139" s="350"/>
      <c r="H139" s="350"/>
      <c r="I139" s="350"/>
      <c r="J139" s="350"/>
      <c r="K139" s="370"/>
      <c r="L139" s="371"/>
      <c r="M139" s="371"/>
      <c r="N139" s="371"/>
      <c r="O139" s="371"/>
      <c r="P139" s="371"/>
      <c r="Q139" s="371"/>
      <c r="R139" s="371"/>
      <c r="S139" s="371"/>
      <c r="T139" s="371"/>
      <c r="U139" s="371"/>
      <c r="V139" s="371"/>
      <c r="W139" s="371"/>
      <c r="X139" s="371"/>
      <c r="Y139" s="371"/>
      <c r="Z139" s="371"/>
      <c r="AA139" s="371"/>
      <c r="AB139" s="372"/>
      <c r="AC139" s="362"/>
      <c r="AD139" s="362"/>
      <c r="AE139" s="362"/>
      <c r="AF139" s="362"/>
      <c r="AG139" s="362"/>
      <c r="AH139" s="362"/>
      <c r="AI139" s="362"/>
      <c r="AJ139" s="362"/>
      <c r="AK139" s="362"/>
      <c r="AL139" s="362"/>
      <c r="AM139" s="362"/>
      <c r="AN139" s="362"/>
      <c r="AO139" s="362"/>
      <c r="AP139" s="362"/>
      <c r="AQ139" s="362"/>
      <c r="AR139" s="362"/>
      <c r="AS139" s="362"/>
      <c r="AT139" s="362"/>
      <c r="AU139" s="362"/>
      <c r="AV139" s="362"/>
      <c r="AW139" s="362"/>
      <c r="AX139" s="362"/>
      <c r="AY139" s="362"/>
      <c r="AZ139" s="362"/>
      <c r="BA139" s="362"/>
      <c r="BB139" s="362"/>
      <c r="BC139" s="362"/>
      <c r="BD139" s="389" t="s">
        <v>88</v>
      </c>
      <c r="BE139" s="389"/>
      <c r="BF139" s="389"/>
      <c r="BG139" s="389"/>
      <c r="BH139" s="389"/>
      <c r="BI139" s="403"/>
      <c r="BJ139" s="106"/>
      <c r="BK139" s="146"/>
    </row>
    <row r="140" spans="1:63" s="107" customFormat="1" ht="26.1" hidden="1" customHeight="1" x14ac:dyDescent="0.3">
      <c r="A140" s="108"/>
      <c r="B140" s="337"/>
      <c r="C140" s="338"/>
      <c r="D140" s="338"/>
      <c r="E140" s="376"/>
      <c r="F140" s="376"/>
      <c r="G140" s="376"/>
      <c r="H140" s="376"/>
      <c r="I140" s="376"/>
      <c r="J140" s="376"/>
      <c r="K140" s="370"/>
      <c r="L140" s="371"/>
      <c r="M140" s="371"/>
      <c r="N140" s="371"/>
      <c r="O140" s="371"/>
      <c r="P140" s="371"/>
      <c r="Q140" s="371"/>
      <c r="R140" s="371"/>
      <c r="S140" s="371"/>
      <c r="T140" s="371"/>
      <c r="U140" s="371"/>
      <c r="V140" s="371"/>
      <c r="W140" s="371"/>
      <c r="X140" s="371"/>
      <c r="Y140" s="371"/>
      <c r="Z140" s="371"/>
      <c r="AA140" s="371"/>
      <c r="AB140" s="372"/>
      <c r="AC140" s="362"/>
      <c r="AD140" s="362"/>
      <c r="AE140" s="362"/>
      <c r="AF140" s="362"/>
      <c r="AG140" s="362"/>
      <c r="AH140" s="362"/>
      <c r="AI140" s="362"/>
      <c r="AJ140" s="362"/>
      <c r="AK140" s="362"/>
      <c r="AL140" s="362"/>
      <c r="AM140" s="362"/>
      <c r="AN140" s="362"/>
      <c r="AO140" s="362"/>
      <c r="AP140" s="362"/>
      <c r="AQ140" s="362"/>
      <c r="AR140" s="362"/>
      <c r="AS140" s="362"/>
      <c r="AT140" s="362"/>
      <c r="AU140" s="362"/>
      <c r="AV140" s="362"/>
      <c r="AW140" s="362"/>
      <c r="AX140" s="362"/>
      <c r="AY140" s="362"/>
      <c r="AZ140" s="362"/>
      <c r="BA140" s="362"/>
      <c r="BB140" s="362"/>
      <c r="BC140" s="362"/>
      <c r="BD140" s="393"/>
      <c r="BE140" s="393"/>
      <c r="BF140" s="393"/>
      <c r="BG140" s="393"/>
      <c r="BH140" s="393"/>
      <c r="BI140" s="394"/>
      <c r="BJ140" s="106"/>
      <c r="BK140" s="146"/>
    </row>
    <row r="141" spans="1:63" s="107" customFormat="1" ht="26.1" hidden="1" customHeight="1" x14ac:dyDescent="0.3">
      <c r="A141" s="108"/>
      <c r="B141" s="337"/>
      <c r="C141" s="338"/>
      <c r="D141" s="338"/>
      <c r="E141" s="376"/>
      <c r="F141" s="376"/>
      <c r="G141" s="376"/>
      <c r="H141" s="376"/>
      <c r="I141" s="376"/>
      <c r="J141" s="376"/>
      <c r="K141" s="370"/>
      <c r="L141" s="371"/>
      <c r="M141" s="371"/>
      <c r="N141" s="371"/>
      <c r="O141" s="371"/>
      <c r="P141" s="371"/>
      <c r="Q141" s="371"/>
      <c r="R141" s="371"/>
      <c r="S141" s="371"/>
      <c r="T141" s="371"/>
      <c r="U141" s="371"/>
      <c r="V141" s="371"/>
      <c r="W141" s="371"/>
      <c r="X141" s="371"/>
      <c r="Y141" s="371"/>
      <c r="Z141" s="371"/>
      <c r="AA141" s="371"/>
      <c r="AB141" s="372"/>
      <c r="AC141" s="362"/>
      <c r="AD141" s="362"/>
      <c r="AE141" s="362"/>
      <c r="AF141" s="362"/>
      <c r="AG141" s="362"/>
      <c r="AH141" s="362"/>
      <c r="AI141" s="362"/>
      <c r="AJ141" s="362"/>
      <c r="AK141" s="362"/>
      <c r="AL141" s="362"/>
      <c r="AM141" s="362"/>
      <c r="AN141" s="362"/>
      <c r="AO141" s="362"/>
      <c r="AP141" s="362"/>
      <c r="AQ141" s="362"/>
      <c r="AR141" s="362"/>
      <c r="AS141" s="362"/>
      <c r="AT141" s="362"/>
      <c r="AU141" s="362"/>
      <c r="AV141" s="362"/>
      <c r="AW141" s="362"/>
      <c r="AX141" s="362"/>
      <c r="AY141" s="362"/>
      <c r="AZ141" s="362"/>
      <c r="BA141" s="362"/>
      <c r="BB141" s="362"/>
      <c r="BC141" s="362"/>
      <c r="BD141" s="393"/>
      <c r="BE141" s="393"/>
      <c r="BF141" s="393"/>
      <c r="BG141" s="393"/>
      <c r="BH141" s="393"/>
      <c r="BI141" s="394"/>
      <c r="BJ141" s="106"/>
      <c r="BK141" s="146"/>
    </row>
    <row r="142" spans="1:63" s="107" customFormat="1" ht="26.1" hidden="1" customHeight="1" x14ac:dyDescent="0.3">
      <c r="A142" s="108"/>
      <c r="B142" s="337"/>
      <c r="C142" s="338"/>
      <c r="D142" s="338"/>
      <c r="E142" s="376"/>
      <c r="F142" s="376"/>
      <c r="G142" s="376"/>
      <c r="H142" s="376"/>
      <c r="I142" s="376"/>
      <c r="J142" s="376"/>
      <c r="K142" s="370"/>
      <c r="L142" s="371"/>
      <c r="M142" s="371"/>
      <c r="N142" s="371"/>
      <c r="O142" s="371"/>
      <c r="P142" s="371"/>
      <c r="Q142" s="371"/>
      <c r="R142" s="371"/>
      <c r="S142" s="371"/>
      <c r="T142" s="371"/>
      <c r="U142" s="371"/>
      <c r="V142" s="371"/>
      <c r="W142" s="371"/>
      <c r="X142" s="371"/>
      <c r="Y142" s="371"/>
      <c r="Z142" s="371"/>
      <c r="AA142" s="371"/>
      <c r="AB142" s="372"/>
      <c r="AC142" s="362"/>
      <c r="AD142" s="362"/>
      <c r="AE142" s="362"/>
      <c r="AF142" s="362"/>
      <c r="AG142" s="362"/>
      <c r="AH142" s="362"/>
      <c r="AI142" s="362"/>
      <c r="AJ142" s="362"/>
      <c r="AK142" s="362"/>
      <c r="AL142" s="362"/>
      <c r="AM142" s="362"/>
      <c r="AN142" s="362"/>
      <c r="AO142" s="362"/>
      <c r="AP142" s="362"/>
      <c r="AQ142" s="362"/>
      <c r="AR142" s="362"/>
      <c r="AS142" s="362"/>
      <c r="AT142" s="362"/>
      <c r="AU142" s="362"/>
      <c r="AV142" s="362"/>
      <c r="AW142" s="362"/>
      <c r="AX142" s="362"/>
      <c r="AY142" s="362"/>
      <c r="AZ142" s="362"/>
      <c r="BA142" s="362"/>
      <c r="BB142" s="362"/>
      <c r="BC142" s="362"/>
      <c r="BD142" s="393"/>
      <c r="BE142" s="393"/>
      <c r="BF142" s="393"/>
      <c r="BG142" s="393"/>
      <c r="BH142" s="393"/>
      <c r="BI142" s="394"/>
      <c r="BJ142" s="106"/>
      <c r="BK142" s="146"/>
    </row>
    <row r="143" spans="1:63" s="107" customFormat="1" ht="26.1" hidden="1" customHeight="1" x14ac:dyDescent="0.3">
      <c r="A143" s="108"/>
      <c r="B143" s="349" t="s">
        <v>637</v>
      </c>
      <c r="C143" s="350"/>
      <c r="D143" s="350"/>
      <c r="E143" s="350" t="s">
        <v>622</v>
      </c>
      <c r="F143" s="350"/>
      <c r="G143" s="350"/>
      <c r="H143" s="350"/>
      <c r="I143" s="350"/>
      <c r="J143" s="350"/>
      <c r="K143" s="370"/>
      <c r="L143" s="371"/>
      <c r="M143" s="371"/>
      <c r="N143" s="371"/>
      <c r="O143" s="371"/>
      <c r="P143" s="371"/>
      <c r="Q143" s="371"/>
      <c r="R143" s="371"/>
      <c r="S143" s="371"/>
      <c r="T143" s="371"/>
      <c r="U143" s="371"/>
      <c r="V143" s="371"/>
      <c r="W143" s="371"/>
      <c r="X143" s="371"/>
      <c r="Y143" s="371"/>
      <c r="Z143" s="371"/>
      <c r="AA143" s="371"/>
      <c r="AB143" s="372"/>
      <c r="AC143" s="362"/>
      <c r="AD143" s="362"/>
      <c r="AE143" s="362"/>
      <c r="AF143" s="362"/>
      <c r="AG143" s="362"/>
      <c r="AH143" s="362"/>
      <c r="AI143" s="362"/>
      <c r="AJ143" s="362"/>
      <c r="AK143" s="362"/>
      <c r="AL143" s="362"/>
      <c r="AM143" s="362"/>
      <c r="AN143" s="362"/>
      <c r="AO143" s="362"/>
      <c r="AP143" s="362"/>
      <c r="AQ143" s="362"/>
      <c r="AR143" s="362"/>
      <c r="AS143" s="362"/>
      <c r="AT143" s="362"/>
      <c r="AU143" s="362"/>
      <c r="AV143" s="362"/>
      <c r="AW143" s="362"/>
      <c r="AX143" s="362"/>
      <c r="AY143" s="362"/>
      <c r="AZ143" s="362"/>
      <c r="BA143" s="362"/>
      <c r="BB143" s="362"/>
      <c r="BC143" s="362"/>
      <c r="BD143" s="389" t="s">
        <v>46</v>
      </c>
      <c r="BE143" s="389"/>
      <c r="BF143" s="389"/>
      <c r="BG143" s="389"/>
      <c r="BH143" s="389"/>
      <c r="BI143" s="403"/>
      <c r="BJ143" s="106"/>
      <c r="BK143" s="146"/>
    </row>
    <row r="144" spans="1:63" s="107" customFormat="1" ht="26.1" hidden="1" customHeight="1" x14ac:dyDescent="0.3">
      <c r="A144" s="108"/>
      <c r="B144" s="351"/>
      <c r="C144" s="352"/>
      <c r="D144" s="352"/>
      <c r="E144" s="376"/>
      <c r="F144" s="376"/>
      <c r="G144" s="376"/>
      <c r="H144" s="376"/>
      <c r="I144" s="376"/>
      <c r="J144" s="376"/>
      <c r="K144" s="370"/>
      <c r="L144" s="371"/>
      <c r="M144" s="371"/>
      <c r="N144" s="371"/>
      <c r="O144" s="371"/>
      <c r="P144" s="371"/>
      <c r="Q144" s="371"/>
      <c r="R144" s="371"/>
      <c r="S144" s="371"/>
      <c r="T144" s="371"/>
      <c r="U144" s="371"/>
      <c r="V144" s="371"/>
      <c r="W144" s="371"/>
      <c r="X144" s="371"/>
      <c r="Y144" s="371"/>
      <c r="Z144" s="371"/>
      <c r="AA144" s="371"/>
      <c r="AB144" s="372"/>
      <c r="AC144" s="362"/>
      <c r="AD144" s="362"/>
      <c r="AE144" s="362"/>
      <c r="AF144" s="362"/>
      <c r="AG144" s="362"/>
      <c r="AH144" s="362"/>
      <c r="AI144" s="362"/>
      <c r="AJ144" s="362"/>
      <c r="AK144" s="362"/>
      <c r="AL144" s="362"/>
      <c r="AM144" s="362"/>
      <c r="AN144" s="362"/>
      <c r="AO144" s="362"/>
      <c r="AP144" s="362"/>
      <c r="AQ144" s="362"/>
      <c r="AR144" s="362"/>
      <c r="AS144" s="362"/>
      <c r="AT144" s="362"/>
      <c r="AU144" s="362"/>
      <c r="AV144" s="362"/>
      <c r="AW144" s="362"/>
      <c r="AX144" s="362"/>
      <c r="AY144" s="362"/>
      <c r="AZ144" s="362"/>
      <c r="BA144" s="362"/>
      <c r="BB144" s="362"/>
      <c r="BC144" s="362"/>
      <c r="BD144" s="427"/>
      <c r="BE144" s="412"/>
      <c r="BF144" s="412"/>
      <c r="BG144" s="412"/>
      <c r="BH144" s="412"/>
      <c r="BI144" s="413"/>
      <c r="BJ144" s="106"/>
      <c r="BK144" s="146"/>
    </row>
    <row r="145" spans="1:63" s="107" customFormat="1" ht="26.1" hidden="1" customHeight="1" x14ac:dyDescent="0.3">
      <c r="A145" s="108"/>
      <c r="B145" s="351"/>
      <c r="C145" s="352"/>
      <c r="D145" s="352"/>
      <c r="E145" s="376"/>
      <c r="F145" s="376"/>
      <c r="G145" s="376"/>
      <c r="H145" s="376"/>
      <c r="I145" s="376"/>
      <c r="J145" s="376"/>
      <c r="K145" s="370"/>
      <c r="L145" s="371"/>
      <c r="M145" s="371"/>
      <c r="N145" s="371"/>
      <c r="O145" s="371"/>
      <c r="P145" s="371"/>
      <c r="Q145" s="371"/>
      <c r="R145" s="371"/>
      <c r="S145" s="371"/>
      <c r="T145" s="371"/>
      <c r="U145" s="371"/>
      <c r="V145" s="371"/>
      <c r="W145" s="371"/>
      <c r="X145" s="371"/>
      <c r="Y145" s="371"/>
      <c r="Z145" s="371"/>
      <c r="AA145" s="371"/>
      <c r="AB145" s="372"/>
      <c r="AC145" s="362"/>
      <c r="AD145" s="362"/>
      <c r="AE145" s="362"/>
      <c r="AF145" s="362"/>
      <c r="AG145" s="362"/>
      <c r="AH145" s="362"/>
      <c r="AI145" s="362"/>
      <c r="AJ145" s="362"/>
      <c r="AK145" s="362"/>
      <c r="AL145" s="362"/>
      <c r="AM145" s="362"/>
      <c r="AN145" s="362"/>
      <c r="AO145" s="362"/>
      <c r="AP145" s="362"/>
      <c r="AQ145" s="362"/>
      <c r="AR145" s="362"/>
      <c r="AS145" s="362"/>
      <c r="AT145" s="362"/>
      <c r="AU145" s="362"/>
      <c r="AV145" s="362"/>
      <c r="AW145" s="362"/>
      <c r="AX145" s="362"/>
      <c r="AY145" s="362"/>
      <c r="AZ145" s="362"/>
      <c r="BA145" s="362"/>
      <c r="BB145" s="362"/>
      <c r="BC145" s="362"/>
      <c r="BD145" s="412"/>
      <c r="BE145" s="412"/>
      <c r="BF145" s="412"/>
      <c r="BG145" s="412"/>
      <c r="BH145" s="412"/>
      <c r="BI145" s="413"/>
      <c r="BJ145" s="106"/>
      <c r="BK145" s="146"/>
    </row>
    <row r="146" spans="1:63" s="107" customFormat="1" ht="26.1" hidden="1" customHeight="1" x14ac:dyDescent="0.3">
      <c r="A146" s="108"/>
      <c r="B146" s="351"/>
      <c r="C146" s="352"/>
      <c r="D146" s="352"/>
      <c r="E146" s="376"/>
      <c r="F146" s="376"/>
      <c r="G146" s="376"/>
      <c r="H146" s="376"/>
      <c r="I146" s="376"/>
      <c r="J146" s="376"/>
      <c r="K146" s="370"/>
      <c r="L146" s="371"/>
      <c r="M146" s="371"/>
      <c r="N146" s="371"/>
      <c r="O146" s="371"/>
      <c r="P146" s="371"/>
      <c r="Q146" s="371"/>
      <c r="R146" s="371"/>
      <c r="S146" s="371"/>
      <c r="T146" s="371"/>
      <c r="U146" s="371"/>
      <c r="V146" s="371"/>
      <c r="W146" s="371"/>
      <c r="X146" s="371"/>
      <c r="Y146" s="371"/>
      <c r="Z146" s="371"/>
      <c r="AA146" s="371"/>
      <c r="AB146" s="372"/>
      <c r="AC146" s="362"/>
      <c r="AD146" s="362"/>
      <c r="AE146" s="362"/>
      <c r="AF146" s="362"/>
      <c r="AG146" s="362"/>
      <c r="AH146" s="362"/>
      <c r="AI146" s="362"/>
      <c r="AJ146" s="362"/>
      <c r="AK146" s="362"/>
      <c r="AL146" s="362"/>
      <c r="AM146" s="362"/>
      <c r="AN146" s="362"/>
      <c r="AO146" s="362"/>
      <c r="AP146" s="362"/>
      <c r="AQ146" s="362"/>
      <c r="AR146" s="362"/>
      <c r="AS146" s="362"/>
      <c r="AT146" s="362"/>
      <c r="AU146" s="362"/>
      <c r="AV146" s="362"/>
      <c r="AW146" s="362"/>
      <c r="AX146" s="362"/>
      <c r="AY146" s="362"/>
      <c r="AZ146" s="362"/>
      <c r="BA146" s="362"/>
      <c r="BB146" s="362"/>
      <c r="BC146" s="362"/>
      <c r="BD146" s="412"/>
      <c r="BE146" s="412"/>
      <c r="BF146" s="412"/>
      <c r="BG146" s="412"/>
      <c r="BH146" s="412"/>
      <c r="BI146" s="413"/>
      <c r="BJ146" s="106"/>
      <c r="BK146" s="146"/>
    </row>
    <row r="147" spans="1:63" s="107" customFormat="1" ht="26.1" hidden="1" customHeight="1" x14ac:dyDescent="0.3">
      <c r="A147" s="108"/>
      <c r="B147" s="356" t="s">
        <v>459</v>
      </c>
      <c r="C147" s="357"/>
      <c r="D147" s="357"/>
      <c r="E147" s="350" t="s">
        <v>623</v>
      </c>
      <c r="F147" s="350"/>
      <c r="G147" s="350"/>
      <c r="H147" s="350"/>
      <c r="I147" s="350"/>
      <c r="J147" s="350"/>
      <c r="K147" s="370"/>
      <c r="L147" s="371"/>
      <c r="M147" s="371"/>
      <c r="N147" s="371"/>
      <c r="O147" s="371"/>
      <c r="P147" s="371"/>
      <c r="Q147" s="371"/>
      <c r="R147" s="371"/>
      <c r="S147" s="371"/>
      <c r="T147" s="371"/>
      <c r="U147" s="371"/>
      <c r="V147" s="371"/>
      <c r="W147" s="371"/>
      <c r="X147" s="371"/>
      <c r="Y147" s="371"/>
      <c r="Z147" s="371"/>
      <c r="AA147" s="371"/>
      <c r="AB147" s="372"/>
      <c r="AC147" s="362"/>
      <c r="AD147" s="362"/>
      <c r="AE147" s="362"/>
      <c r="AF147" s="362"/>
      <c r="AG147" s="362"/>
      <c r="AH147" s="362"/>
      <c r="AI147" s="362"/>
      <c r="AJ147" s="362"/>
      <c r="AK147" s="362"/>
      <c r="AL147" s="362"/>
      <c r="AM147" s="362"/>
      <c r="AN147" s="362"/>
      <c r="AO147" s="362"/>
      <c r="AP147" s="362"/>
      <c r="AQ147" s="362"/>
      <c r="AR147" s="362"/>
      <c r="AS147" s="362"/>
      <c r="AT147" s="362"/>
      <c r="AU147" s="362"/>
      <c r="AV147" s="362"/>
      <c r="AW147" s="362"/>
      <c r="AX147" s="362"/>
      <c r="AY147" s="362"/>
      <c r="AZ147" s="362"/>
      <c r="BA147" s="362"/>
      <c r="BB147" s="362"/>
      <c r="BC147" s="362"/>
      <c r="BD147" s="389" t="s">
        <v>638</v>
      </c>
      <c r="BE147" s="389"/>
      <c r="BF147" s="389"/>
      <c r="BG147" s="389"/>
      <c r="BH147" s="389"/>
      <c r="BI147" s="403"/>
      <c r="BJ147" s="106"/>
      <c r="BK147" s="146"/>
    </row>
    <row r="148" spans="1:63" s="107" customFormat="1" ht="26.1" hidden="1" customHeight="1" x14ac:dyDescent="0.3">
      <c r="A148" s="108"/>
      <c r="B148" s="351"/>
      <c r="C148" s="352"/>
      <c r="D148" s="352"/>
      <c r="E148" s="376"/>
      <c r="F148" s="376"/>
      <c r="G148" s="376"/>
      <c r="H148" s="376"/>
      <c r="I148" s="376"/>
      <c r="J148" s="376"/>
      <c r="K148" s="370"/>
      <c r="L148" s="371"/>
      <c r="M148" s="371"/>
      <c r="N148" s="371"/>
      <c r="O148" s="371"/>
      <c r="P148" s="371"/>
      <c r="Q148" s="371"/>
      <c r="R148" s="371"/>
      <c r="S148" s="371"/>
      <c r="T148" s="371"/>
      <c r="U148" s="371"/>
      <c r="V148" s="371"/>
      <c r="W148" s="371"/>
      <c r="X148" s="371"/>
      <c r="Y148" s="371"/>
      <c r="Z148" s="371"/>
      <c r="AA148" s="371"/>
      <c r="AB148" s="372"/>
      <c r="AC148" s="362"/>
      <c r="AD148" s="362"/>
      <c r="AE148" s="362"/>
      <c r="AF148" s="362"/>
      <c r="AG148" s="362"/>
      <c r="AH148" s="362"/>
      <c r="AI148" s="362"/>
      <c r="AJ148" s="362"/>
      <c r="AK148" s="362"/>
      <c r="AL148" s="362"/>
      <c r="AM148" s="362"/>
      <c r="AN148" s="362"/>
      <c r="AO148" s="362"/>
      <c r="AP148" s="362"/>
      <c r="AQ148" s="362"/>
      <c r="AR148" s="362"/>
      <c r="AS148" s="362"/>
      <c r="AT148" s="362"/>
      <c r="AU148" s="362"/>
      <c r="AV148" s="362"/>
      <c r="AW148" s="362"/>
      <c r="AX148" s="362"/>
      <c r="AY148" s="362"/>
      <c r="AZ148" s="362"/>
      <c r="BA148" s="362"/>
      <c r="BB148" s="362"/>
      <c r="BC148" s="362"/>
      <c r="BD148" s="393"/>
      <c r="BE148" s="393"/>
      <c r="BF148" s="393"/>
      <c r="BG148" s="393"/>
      <c r="BH148" s="393"/>
      <c r="BI148" s="394"/>
      <c r="BJ148" s="106"/>
      <c r="BK148" s="146"/>
    </row>
    <row r="149" spans="1:63" s="107" customFormat="1" ht="26.1" hidden="1" customHeight="1" x14ac:dyDescent="0.3">
      <c r="A149" s="108"/>
      <c r="B149" s="351"/>
      <c r="C149" s="352"/>
      <c r="D149" s="352"/>
      <c r="E149" s="376"/>
      <c r="F149" s="376"/>
      <c r="G149" s="376"/>
      <c r="H149" s="376"/>
      <c r="I149" s="376"/>
      <c r="J149" s="376"/>
      <c r="K149" s="370"/>
      <c r="L149" s="371"/>
      <c r="M149" s="371"/>
      <c r="N149" s="371"/>
      <c r="O149" s="371"/>
      <c r="P149" s="371"/>
      <c r="Q149" s="371"/>
      <c r="R149" s="371"/>
      <c r="S149" s="371"/>
      <c r="T149" s="371"/>
      <c r="U149" s="371"/>
      <c r="V149" s="371"/>
      <c r="W149" s="371"/>
      <c r="X149" s="371"/>
      <c r="Y149" s="371"/>
      <c r="Z149" s="371"/>
      <c r="AA149" s="371"/>
      <c r="AB149" s="372"/>
      <c r="AC149" s="362"/>
      <c r="AD149" s="362"/>
      <c r="AE149" s="362"/>
      <c r="AF149" s="362"/>
      <c r="AG149" s="362"/>
      <c r="AH149" s="362"/>
      <c r="AI149" s="362"/>
      <c r="AJ149" s="362"/>
      <c r="AK149" s="362"/>
      <c r="AL149" s="362"/>
      <c r="AM149" s="362"/>
      <c r="AN149" s="362"/>
      <c r="AO149" s="362"/>
      <c r="AP149" s="362"/>
      <c r="AQ149" s="362"/>
      <c r="AR149" s="362"/>
      <c r="AS149" s="362"/>
      <c r="AT149" s="362"/>
      <c r="AU149" s="362"/>
      <c r="AV149" s="362"/>
      <c r="AW149" s="362"/>
      <c r="AX149" s="362"/>
      <c r="AY149" s="362"/>
      <c r="AZ149" s="362"/>
      <c r="BA149" s="362"/>
      <c r="BB149" s="362"/>
      <c r="BC149" s="362"/>
      <c r="BD149" s="393"/>
      <c r="BE149" s="393"/>
      <c r="BF149" s="393"/>
      <c r="BG149" s="393"/>
      <c r="BH149" s="393"/>
      <c r="BI149" s="394"/>
      <c r="BJ149" s="106"/>
      <c r="BK149" s="146"/>
    </row>
    <row r="150" spans="1:63" s="107" customFormat="1" ht="26.1" hidden="1" customHeight="1" thickBot="1" x14ac:dyDescent="0.35">
      <c r="A150" s="108"/>
      <c r="B150" s="404"/>
      <c r="C150" s="405"/>
      <c r="D150" s="405"/>
      <c r="E150" s="392"/>
      <c r="F150" s="392"/>
      <c r="G150" s="392"/>
      <c r="H150" s="392"/>
      <c r="I150" s="392"/>
      <c r="J150" s="392"/>
      <c r="K150" s="373"/>
      <c r="L150" s="374"/>
      <c r="M150" s="374"/>
      <c r="N150" s="374"/>
      <c r="O150" s="374"/>
      <c r="P150" s="374"/>
      <c r="Q150" s="374"/>
      <c r="R150" s="374"/>
      <c r="S150" s="374"/>
      <c r="T150" s="374"/>
      <c r="U150" s="374"/>
      <c r="V150" s="374"/>
      <c r="W150" s="374"/>
      <c r="X150" s="374"/>
      <c r="Y150" s="374"/>
      <c r="Z150" s="374"/>
      <c r="AA150" s="374"/>
      <c r="AB150" s="375"/>
      <c r="AC150" s="409"/>
      <c r="AD150" s="409"/>
      <c r="AE150" s="409"/>
      <c r="AF150" s="409"/>
      <c r="AG150" s="409"/>
      <c r="AH150" s="409"/>
      <c r="AI150" s="409"/>
      <c r="AJ150" s="409"/>
      <c r="AK150" s="409"/>
      <c r="AL150" s="409"/>
      <c r="AM150" s="409"/>
      <c r="AN150" s="409"/>
      <c r="AO150" s="409"/>
      <c r="AP150" s="409"/>
      <c r="AQ150" s="409"/>
      <c r="AR150" s="409"/>
      <c r="AS150" s="409"/>
      <c r="AT150" s="409"/>
      <c r="AU150" s="409"/>
      <c r="AV150" s="409"/>
      <c r="AW150" s="409"/>
      <c r="AX150" s="409"/>
      <c r="AY150" s="409"/>
      <c r="AZ150" s="409"/>
      <c r="BA150" s="409"/>
      <c r="BB150" s="409"/>
      <c r="BC150" s="409"/>
      <c r="BD150" s="395"/>
      <c r="BE150" s="395"/>
      <c r="BF150" s="395"/>
      <c r="BG150" s="395"/>
      <c r="BH150" s="395"/>
      <c r="BI150" s="396"/>
      <c r="BJ150" s="106"/>
      <c r="BK150" s="146"/>
    </row>
    <row r="151" spans="1:63" s="107" customFormat="1" ht="26.1" hidden="1" customHeight="1" thickTop="1" x14ac:dyDescent="0.3">
      <c r="A151" s="108"/>
      <c r="B151" s="335">
        <v>10</v>
      </c>
      <c r="C151" s="336"/>
      <c r="D151" s="336"/>
      <c r="E151" s="339" t="s">
        <v>621</v>
      </c>
      <c r="F151" s="339"/>
      <c r="G151" s="339"/>
      <c r="H151" s="339"/>
      <c r="I151" s="339"/>
      <c r="J151" s="339"/>
      <c r="K151" s="340"/>
      <c r="L151" s="341"/>
      <c r="M151" s="341"/>
      <c r="N151" s="341"/>
      <c r="O151" s="341"/>
      <c r="P151" s="341"/>
      <c r="Q151" s="341"/>
      <c r="R151" s="341"/>
      <c r="S151" s="341"/>
      <c r="T151" s="341"/>
      <c r="U151" s="341"/>
      <c r="V151" s="341"/>
      <c r="W151" s="341"/>
      <c r="X151" s="341"/>
      <c r="Y151" s="341"/>
      <c r="Z151" s="341"/>
      <c r="AA151" s="341"/>
      <c r="AB151" s="342"/>
      <c r="AC151" s="408"/>
      <c r="AD151" s="408"/>
      <c r="AE151" s="408"/>
      <c r="AF151" s="408"/>
      <c r="AG151" s="408"/>
      <c r="AH151" s="408"/>
      <c r="AI151" s="408"/>
      <c r="AJ151" s="408"/>
      <c r="AK151" s="408"/>
      <c r="AL151" s="408"/>
      <c r="AM151" s="408"/>
      <c r="AN151" s="408"/>
      <c r="AO151" s="408"/>
      <c r="AP151" s="408"/>
      <c r="AQ151" s="408"/>
      <c r="AR151" s="408"/>
      <c r="AS151" s="408"/>
      <c r="AT151" s="408"/>
      <c r="AU151" s="408"/>
      <c r="AV151" s="408"/>
      <c r="AW151" s="408"/>
      <c r="AX151" s="408"/>
      <c r="AY151" s="408"/>
      <c r="AZ151" s="408"/>
      <c r="BA151" s="408"/>
      <c r="BB151" s="408"/>
      <c r="BC151" s="408"/>
      <c r="BD151" s="410" t="s">
        <v>246</v>
      </c>
      <c r="BE151" s="410"/>
      <c r="BF151" s="410"/>
      <c r="BG151" s="410"/>
      <c r="BH151" s="410"/>
      <c r="BI151" s="411"/>
      <c r="BJ151" s="106"/>
      <c r="BK151" s="146"/>
    </row>
    <row r="152" spans="1:63" s="107" customFormat="1" ht="26.1" hidden="1" customHeight="1" x14ac:dyDescent="0.3">
      <c r="A152" s="108"/>
      <c r="B152" s="337"/>
      <c r="C152" s="338"/>
      <c r="D152" s="338"/>
      <c r="E152" s="376"/>
      <c r="F152" s="376"/>
      <c r="G152" s="376"/>
      <c r="H152" s="376"/>
      <c r="I152" s="376"/>
      <c r="J152" s="376"/>
      <c r="K152" s="343"/>
      <c r="L152" s="344"/>
      <c r="M152" s="344"/>
      <c r="N152" s="344"/>
      <c r="O152" s="344"/>
      <c r="P152" s="344"/>
      <c r="Q152" s="344"/>
      <c r="R152" s="344"/>
      <c r="S152" s="344"/>
      <c r="T152" s="344"/>
      <c r="U152" s="344"/>
      <c r="V152" s="344"/>
      <c r="W152" s="344"/>
      <c r="X152" s="344"/>
      <c r="Y152" s="344"/>
      <c r="Z152" s="344"/>
      <c r="AA152" s="344"/>
      <c r="AB152" s="345"/>
      <c r="AC152" s="362"/>
      <c r="AD152" s="362"/>
      <c r="AE152" s="362"/>
      <c r="AF152" s="362"/>
      <c r="AG152" s="362"/>
      <c r="AH152" s="362"/>
      <c r="AI152" s="362"/>
      <c r="AJ152" s="362"/>
      <c r="AK152" s="362"/>
      <c r="AL152" s="362"/>
      <c r="AM152" s="362"/>
      <c r="AN152" s="362"/>
      <c r="AO152" s="362"/>
      <c r="AP152" s="362"/>
      <c r="AQ152" s="362"/>
      <c r="AR152" s="362"/>
      <c r="AS152" s="362"/>
      <c r="AT152" s="362"/>
      <c r="AU152" s="362"/>
      <c r="AV152" s="362"/>
      <c r="AW152" s="362"/>
      <c r="AX152" s="362"/>
      <c r="AY152" s="362"/>
      <c r="AZ152" s="362"/>
      <c r="BA152" s="362"/>
      <c r="BB152" s="362"/>
      <c r="BC152" s="362"/>
      <c r="BD152" s="412"/>
      <c r="BE152" s="412"/>
      <c r="BF152" s="412"/>
      <c r="BG152" s="412"/>
      <c r="BH152" s="412"/>
      <c r="BI152" s="413"/>
      <c r="BJ152" s="106"/>
      <c r="BK152" s="146"/>
    </row>
    <row r="153" spans="1:63" s="107" customFormat="1" ht="26.1" hidden="1" customHeight="1" x14ac:dyDescent="0.3">
      <c r="A153" s="108"/>
      <c r="B153" s="337"/>
      <c r="C153" s="338"/>
      <c r="D153" s="338"/>
      <c r="E153" s="376"/>
      <c r="F153" s="376"/>
      <c r="G153" s="376"/>
      <c r="H153" s="376"/>
      <c r="I153" s="376"/>
      <c r="J153" s="376"/>
      <c r="K153" s="346"/>
      <c r="L153" s="347"/>
      <c r="M153" s="347"/>
      <c r="N153" s="347"/>
      <c r="O153" s="347"/>
      <c r="P153" s="347"/>
      <c r="Q153" s="347"/>
      <c r="R153" s="347"/>
      <c r="S153" s="347"/>
      <c r="T153" s="347"/>
      <c r="U153" s="347"/>
      <c r="V153" s="347"/>
      <c r="W153" s="347"/>
      <c r="X153" s="347"/>
      <c r="Y153" s="347"/>
      <c r="Z153" s="347"/>
      <c r="AA153" s="347"/>
      <c r="AB153" s="348"/>
      <c r="AC153" s="362"/>
      <c r="AD153" s="362"/>
      <c r="AE153" s="362"/>
      <c r="AF153" s="362"/>
      <c r="AG153" s="362"/>
      <c r="AH153" s="362"/>
      <c r="AI153" s="362"/>
      <c r="AJ153" s="362"/>
      <c r="AK153" s="362"/>
      <c r="AL153" s="362"/>
      <c r="AM153" s="362"/>
      <c r="AN153" s="362"/>
      <c r="AO153" s="362"/>
      <c r="AP153" s="362"/>
      <c r="AQ153" s="362"/>
      <c r="AR153" s="362"/>
      <c r="AS153" s="362"/>
      <c r="AT153" s="362"/>
      <c r="AU153" s="362"/>
      <c r="AV153" s="362"/>
      <c r="AW153" s="362"/>
      <c r="AX153" s="362"/>
      <c r="AY153" s="362"/>
      <c r="AZ153" s="362"/>
      <c r="BA153" s="362"/>
      <c r="BB153" s="362"/>
      <c r="BC153" s="362"/>
      <c r="BD153" s="412"/>
      <c r="BE153" s="412"/>
      <c r="BF153" s="412"/>
      <c r="BG153" s="412"/>
      <c r="BH153" s="412"/>
      <c r="BI153" s="413"/>
      <c r="BJ153" s="106"/>
      <c r="BK153" s="146"/>
    </row>
    <row r="154" spans="1:63" s="107" customFormat="1" ht="26.1" hidden="1" customHeight="1" x14ac:dyDescent="0.3">
      <c r="A154" s="108"/>
      <c r="B154" s="337"/>
      <c r="C154" s="338"/>
      <c r="D154" s="338"/>
      <c r="E154" s="376"/>
      <c r="F154" s="376"/>
      <c r="G154" s="376"/>
      <c r="H154" s="376"/>
      <c r="I154" s="376"/>
      <c r="J154" s="376"/>
      <c r="K154" s="367"/>
      <c r="L154" s="368"/>
      <c r="M154" s="368"/>
      <c r="N154" s="368"/>
      <c r="O154" s="368"/>
      <c r="P154" s="368"/>
      <c r="Q154" s="368"/>
      <c r="R154" s="368"/>
      <c r="S154" s="368"/>
      <c r="T154" s="368"/>
      <c r="U154" s="368"/>
      <c r="V154" s="368"/>
      <c r="W154" s="368"/>
      <c r="X154" s="368"/>
      <c r="Y154" s="368"/>
      <c r="Z154" s="368"/>
      <c r="AA154" s="368"/>
      <c r="AB154" s="369"/>
      <c r="AC154" s="362"/>
      <c r="AD154" s="362"/>
      <c r="AE154" s="362"/>
      <c r="AF154" s="362"/>
      <c r="AG154" s="362"/>
      <c r="AH154" s="362"/>
      <c r="AI154" s="362"/>
      <c r="AJ154" s="362"/>
      <c r="AK154" s="362"/>
      <c r="AL154" s="362"/>
      <c r="AM154" s="362"/>
      <c r="AN154" s="362"/>
      <c r="AO154" s="362"/>
      <c r="AP154" s="362"/>
      <c r="AQ154" s="362"/>
      <c r="AR154" s="362"/>
      <c r="AS154" s="362"/>
      <c r="AT154" s="362"/>
      <c r="AU154" s="362"/>
      <c r="AV154" s="362"/>
      <c r="AW154" s="362"/>
      <c r="AX154" s="362"/>
      <c r="AY154" s="362"/>
      <c r="AZ154" s="362"/>
      <c r="BA154" s="362"/>
      <c r="BB154" s="362"/>
      <c r="BC154" s="362"/>
      <c r="BD154" s="412"/>
      <c r="BE154" s="412"/>
      <c r="BF154" s="412"/>
      <c r="BG154" s="412"/>
      <c r="BH154" s="412"/>
      <c r="BI154" s="413"/>
      <c r="BJ154" s="106"/>
      <c r="BK154" s="146"/>
    </row>
    <row r="155" spans="1:63" s="107" customFormat="1" ht="26.1" hidden="1" customHeight="1" x14ac:dyDescent="0.3">
      <c r="A155" s="108"/>
      <c r="B155" s="337"/>
      <c r="C155" s="338"/>
      <c r="D155" s="338"/>
      <c r="E155" s="350" t="s">
        <v>457</v>
      </c>
      <c r="F155" s="350"/>
      <c r="G155" s="350"/>
      <c r="H155" s="350"/>
      <c r="I155" s="350"/>
      <c r="J155" s="350"/>
      <c r="K155" s="370"/>
      <c r="L155" s="371"/>
      <c r="M155" s="371"/>
      <c r="N155" s="371"/>
      <c r="O155" s="371"/>
      <c r="P155" s="371"/>
      <c r="Q155" s="371"/>
      <c r="R155" s="371"/>
      <c r="S155" s="371"/>
      <c r="T155" s="371"/>
      <c r="U155" s="371"/>
      <c r="V155" s="371"/>
      <c r="W155" s="371"/>
      <c r="X155" s="371"/>
      <c r="Y155" s="371"/>
      <c r="Z155" s="371"/>
      <c r="AA155" s="371"/>
      <c r="AB155" s="372"/>
      <c r="AC155" s="362"/>
      <c r="AD155" s="362"/>
      <c r="AE155" s="362"/>
      <c r="AF155" s="362"/>
      <c r="AG155" s="362"/>
      <c r="AH155" s="362"/>
      <c r="AI155" s="362"/>
      <c r="AJ155" s="362"/>
      <c r="AK155" s="362"/>
      <c r="AL155" s="362"/>
      <c r="AM155" s="362"/>
      <c r="AN155" s="362"/>
      <c r="AO155" s="362"/>
      <c r="AP155" s="362"/>
      <c r="AQ155" s="362"/>
      <c r="AR155" s="362"/>
      <c r="AS155" s="362"/>
      <c r="AT155" s="362"/>
      <c r="AU155" s="362"/>
      <c r="AV155" s="362"/>
      <c r="AW155" s="362"/>
      <c r="AX155" s="362"/>
      <c r="AY155" s="362"/>
      <c r="AZ155" s="362"/>
      <c r="BA155" s="362"/>
      <c r="BB155" s="362"/>
      <c r="BC155" s="362"/>
      <c r="BD155" s="389" t="s">
        <v>88</v>
      </c>
      <c r="BE155" s="389"/>
      <c r="BF155" s="389"/>
      <c r="BG155" s="389"/>
      <c r="BH155" s="389"/>
      <c r="BI155" s="403"/>
      <c r="BJ155" s="106"/>
      <c r="BK155" s="146"/>
    </row>
    <row r="156" spans="1:63" s="107" customFormat="1" ht="26.1" hidden="1" customHeight="1" x14ac:dyDescent="0.3">
      <c r="A156" s="108"/>
      <c r="B156" s="337"/>
      <c r="C156" s="338"/>
      <c r="D156" s="338"/>
      <c r="E156" s="376"/>
      <c r="F156" s="376"/>
      <c r="G156" s="376"/>
      <c r="H156" s="376"/>
      <c r="I156" s="376"/>
      <c r="J156" s="376"/>
      <c r="K156" s="370"/>
      <c r="L156" s="371"/>
      <c r="M156" s="371"/>
      <c r="N156" s="371"/>
      <c r="O156" s="371"/>
      <c r="P156" s="371"/>
      <c r="Q156" s="371"/>
      <c r="R156" s="371"/>
      <c r="S156" s="371"/>
      <c r="T156" s="371"/>
      <c r="U156" s="371"/>
      <c r="V156" s="371"/>
      <c r="W156" s="371"/>
      <c r="X156" s="371"/>
      <c r="Y156" s="371"/>
      <c r="Z156" s="371"/>
      <c r="AA156" s="371"/>
      <c r="AB156" s="372"/>
      <c r="AC156" s="362"/>
      <c r="AD156" s="362"/>
      <c r="AE156" s="362"/>
      <c r="AF156" s="362"/>
      <c r="AG156" s="362"/>
      <c r="AH156" s="362"/>
      <c r="AI156" s="362"/>
      <c r="AJ156" s="362"/>
      <c r="AK156" s="362"/>
      <c r="AL156" s="362"/>
      <c r="AM156" s="362"/>
      <c r="AN156" s="362"/>
      <c r="AO156" s="362"/>
      <c r="AP156" s="362"/>
      <c r="AQ156" s="362"/>
      <c r="AR156" s="362"/>
      <c r="AS156" s="362"/>
      <c r="AT156" s="362"/>
      <c r="AU156" s="362"/>
      <c r="AV156" s="362"/>
      <c r="AW156" s="362"/>
      <c r="AX156" s="362"/>
      <c r="AY156" s="362"/>
      <c r="AZ156" s="362"/>
      <c r="BA156" s="362"/>
      <c r="BB156" s="362"/>
      <c r="BC156" s="362"/>
      <c r="BD156" s="393"/>
      <c r="BE156" s="393"/>
      <c r="BF156" s="393"/>
      <c r="BG156" s="393"/>
      <c r="BH156" s="393"/>
      <c r="BI156" s="394"/>
      <c r="BJ156" s="106"/>
      <c r="BK156" s="146"/>
    </row>
    <row r="157" spans="1:63" s="107" customFormat="1" ht="26.1" hidden="1" customHeight="1" x14ac:dyDescent="0.3">
      <c r="A157" s="108"/>
      <c r="B157" s="337"/>
      <c r="C157" s="338"/>
      <c r="D157" s="338"/>
      <c r="E157" s="376"/>
      <c r="F157" s="376"/>
      <c r="G157" s="376"/>
      <c r="H157" s="376"/>
      <c r="I157" s="376"/>
      <c r="J157" s="376"/>
      <c r="K157" s="370"/>
      <c r="L157" s="371"/>
      <c r="M157" s="371"/>
      <c r="N157" s="371"/>
      <c r="O157" s="371"/>
      <c r="P157" s="371"/>
      <c r="Q157" s="371"/>
      <c r="R157" s="371"/>
      <c r="S157" s="371"/>
      <c r="T157" s="371"/>
      <c r="U157" s="371"/>
      <c r="V157" s="371"/>
      <c r="W157" s="371"/>
      <c r="X157" s="371"/>
      <c r="Y157" s="371"/>
      <c r="Z157" s="371"/>
      <c r="AA157" s="371"/>
      <c r="AB157" s="372"/>
      <c r="AC157" s="362"/>
      <c r="AD157" s="362"/>
      <c r="AE157" s="362"/>
      <c r="AF157" s="362"/>
      <c r="AG157" s="362"/>
      <c r="AH157" s="362"/>
      <c r="AI157" s="362"/>
      <c r="AJ157" s="362"/>
      <c r="AK157" s="362"/>
      <c r="AL157" s="362"/>
      <c r="AM157" s="362"/>
      <c r="AN157" s="362"/>
      <c r="AO157" s="362"/>
      <c r="AP157" s="362"/>
      <c r="AQ157" s="362"/>
      <c r="AR157" s="362"/>
      <c r="AS157" s="362"/>
      <c r="AT157" s="362"/>
      <c r="AU157" s="362"/>
      <c r="AV157" s="362"/>
      <c r="AW157" s="362"/>
      <c r="AX157" s="362"/>
      <c r="AY157" s="362"/>
      <c r="AZ157" s="362"/>
      <c r="BA157" s="362"/>
      <c r="BB157" s="362"/>
      <c r="BC157" s="362"/>
      <c r="BD157" s="393"/>
      <c r="BE157" s="393"/>
      <c r="BF157" s="393"/>
      <c r="BG157" s="393"/>
      <c r="BH157" s="393"/>
      <c r="BI157" s="394"/>
      <c r="BJ157" s="106"/>
      <c r="BK157" s="146"/>
    </row>
    <row r="158" spans="1:63" s="107" customFormat="1" ht="26.1" hidden="1" customHeight="1" x14ac:dyDescent="0.3">
      <c r="A158" s="108"/>
      <c r="B158" s="337"/>
      <c r="C158" s="338"/>
      <c r="D158" s="338"/>
      <c r="E158" s="376"/>
      <c r="F158" s="376"/>
      <c r="G158" s="376"/>
      <c r="H158" s="376"/>
      <c r="I158" s="376"/>
      <c r="J158" s="376"/>
      <c r="K158" s="370"/>
      <c r="L158" s="371"/>
      <c r="M158" s="371"/>
      <c r="N158" s="371"/>
      <c r="O158" s="371"/>
      <c r="P158" s="371"/>
      <c r="Q158" s="371"/>
      <c r="R158" s="371"/>
      <c r="S158" s="371"/>
      <c r="T158" s="371"/>
      <c r="U158" s="371"/>
      <c r="V158" s="371"/>
      <c r="W158" s="371"/>
      <c r="X158" s="371"/>
      <c r="Y158" s="371"/>
      <c r="Z158" s="371"/>
      <c r="AA158" s="371"/>
      <c r="AB158" s="372"/>
      <c r="AC158" s="362"/>
      <c r="AD158" s="362"/>
      <c r="AE158" s="362"/>
      <c r="AF158" s="362"/>
      <c r="AG158" s="362"/>
      <c r="AH158" s="362"/>
      <c r="AI158" s="362"/>
      <c r="AJ158" s="362"/>
      <c r="AK158" s="362"/>
      <c r="AL158" s="362"/>
      <c r="AM158" s="362"/>
      <c r="AN158" s="362"/>
      <c r="AO158" s="362"/>
      <c r="AP158" s="362"/>
      <c r="AQ158" s="362"/>
      <c r="AR158" s="362"/>
      <c r="AS158" s="362"/>
      <c r="AT158" s="362"/>
      <c r="AU158" s="362"/>
      <c r="AV158" s="362"/>
      <c r="AW158" s="362"/>
      <c r="AX158" s="362"/>
      <c r="AY158" s="362"/>
      <c r="AZ158" s="362"/>
      <c r="BA158" s="362"/>
      <c r="BB158" s="362"/>
      <c r="BC158" s="362"/>
      <c r="BD158" s="393"/>
      <c r="BE158" s="393"/>
      <c r="BF158" s="393"/>
      <c r="BG158" s="393"/>
      <c r="BH158" s="393"/>
      <c r="BI158" s="394"/>
      <c r="BJ158" s="106"/>
      <c r="BK158" s="146"/>
    </row>
    <row r="159" spans="1:63" s="107" customFormat="1" ht="26.1" hidden="1" customHeight="1" x14ac:dyDescent="0.3">
      <c r="A159" s="108"/>
      <c r="B159" s="349" t="s">
        <v>637</v>
      </c>
      <c r="C159" s="350"/>
      <c r="D159" s="350"/>
      <c r="E159" s="350" t="s">
        <v>622</v>
      </c>
      <c r="F159" s="350"/>
      <c r="G159" s="350"/>
      <c r="H159" s="350"/>
      <c r="I159" s="350"/>
      <c r="J159" s="350"/>
      <c r="K159" s="370"/>
      <c r="L159" s="371"/>
      <c r="M159" s="371"/>
      <c r="N159" s="371"/>
      <c r="O159" s="371"/>
      <c r="P159" s="371"/>
      <c r="Q159" s="371"/>
      <c r="R159" s="371"/>
      <c r="S159" s="371"/>
      <c r="T159" s="371"/>
      <c r="U159" s="371"/>
      <c r="V159" s="371"/>
      <c r="W159" s="371"/>
      <c r="X159" s="371"/>
      <c r="Y159" s="371"/>
      <c r="Z159" s="371"/>
      <c r="AA159" s="371"/>
      <c r="AB159" s="372"/>
      <c r="AC159" s="362"/>
      <c r="AD159" s="362"/>
      <c r="AE159" s="362"/>
      <c r="AF159" s="362"/>
      <c r="AG159" s="362"/>
      <c r="AH159" s="362"/>
      <c r="AI159" s="362"/>
      <c r="AJ159" s="362"/>
      <c r="AK159" s="362"/>
      <c r="AL159" s="362"/>
      <c r="AM159" s="362"/>
      <c r="AN159" s="362"/>
      <c r="AO159" s="362"/>
      <c r="AP159" s="362"/>
      <c r="AQ159" s="362"/>
      <c r="AR159" s="362"/>
      <c r="AS159" s="362"/>
      <c r="AT159" s="362"/>
      <c r="AU159" s="362"/>
      <c r="AV159" s="362"/>
      <c r="AW159" s="362"/>
      <c r="AX159" s="362"/>
      <c r="AY159" s="362"/>
      <c r="AZ159" s="362"/>
      <c r="BA159" s="362"/>
      <c r="BB159" s="362"/>
      <c r="BC159" s="362"/>
      <c r="BD159" s="389" t="s">
        <v>46</v>
      </c>
      <c r="BE159" s="389"/>
      <c r="BF159" s="389"/>
      <c r="BG159" s="389"/>
      <c r="BH159" s="389"/>
      <c r="BI159" s="403"/>
      <c r="BJ159" s="106"/>
      <c r="BK159" s="146"/>
    </row>
    <row r="160" spans="1:63" s="107" customFormat="1" ht="26.1" hidden="1" customHeight="1" x14ac:dyDescent="0.3">
      <c r="A160" s="108"/>
      <c r="B160" s="351"/>
      <c r="C160" s="352"/>
      <c r="D160" s="352"/>
      <c r="E160" s="376"/>
      <c r="F160" s="376"/>
      <c r="G160" s="376"/>
      <c r="H160" s="376"/>
      <c r="I160" s="376"/>
      <c r="J160" s="376"/>
      <c r="K160" s="370"/>
      <c r="L160" s="371"/>
      <c r="M160" s="371"/>
      <c r="N160" s="371"/>
      <c r="O160" s="371"/>
      <c r="P160" s="371"/>
      <c r="Q160" s="371"/>
      <c r="R160" s="371"/>
      <c r="S160" s="371"/>
      <c r="T160" s="371"/>
      <c r="U160" s="371"/>
      <c r="V160" s="371"/>
      <c r="W160" s="371"/>
      <c r="X160" s="371"/>
      <c r="Y160" s="371"/>
      <c r="Z160" s="371"/>
      <c r="AA160" s="371"/>
      <c r="AB160" s="372"/>
      <c r="AC160" s="362"/>
      <c r="AD160" s="362"/>
      <c r="AE160" s="362"/>
      <c r="AF160" s="362"/>
      <c r="AG160" s="362"/>
      <c r="AH160" s="362"/>
      <c r="AI160" s="362"/>
      <c r="AJ160" s="362"/>
      <c r="AK160" s="362"/>
      <c r="AL160" s="362"/>
      <c r="AM160" s="362"/>
      <c r="AN160" s="362"/>
      <c r="AO160" s="362"/>
      <c r="AP160" s="362"/>
      <c r="AQ160" s="362"/>
      <c r="AR160" s="362"/>
      <c r="AS160" s="362"/>
      <c r="AT160" s="362"/>
      <c r="AU160" s="362"/>
      <c r="AV160" s="362"/>
      <c r="AW160" s="362"/>
      <c r="AX160" s="362"/>
      <c r="AY160" s="362"/>
      <c r="AZ160" s="362"/>
      <c r="BA160" s="362"/>
      <c r="BB160" s="362"/>
      <c r="BC160" s="362"/>
      <c r="BD160" s="427"/>
      <c r="BE160" s="412"/>
      <c r="BF160" s="412"/>
      <c r="BG160" s="412"/>
      <c r="BH160" s="412"/>
      <c r="BI160" s="413"/>
      <c r="BJ160" s="106"/>
      <c r="BK160" s="146"/>
    </row>
    <row r="161" spans="1:63" s="107" customFormat="1" ht="26.1" hidden="1" customHeight="1" x14ac:dyDescent="0.3">
      <c r="A161" s="108"/>
      <c r="B161" s="351"/>
      <c r="C161" s="352"/>
      <c r="D161" s="352"/>
      <c r="E161" s="376"/>
      <c r="F161" s="376"/>
      <c r="G161" s="376"/>
      <c r="H161" s="376"/>
      <c r="I161" s="376"/>
      <c r="J161" s="376"/>
      <c r="K161" s="370"/>
      <c r="L161" s="371"/>
      <c r="M161" s="371"/>
      <c r="N161" s="371"/>
      <c r="O161" s="371"/>
      <c r="P161" s="371"/>
      <c r="Q161" s="371"/>
      <c r="R161" s="371"/>
      <c r="S161" s="371"/>
      <c r="T161" s="371"/>
      <c r="U161" s="371"/>
      <c r="V161" s="371"/>
      <c r="W161" s="371"/>
      <c r="X161" s="371"/>
      <c r="Y161" s="371"/>
      <c r="Z161" s="371"/>
      <c r="AA161" s="371"/>
      <c r="AB161" s="372"/>
      <c r="AC161" s="362"/>
      <c r="AD161" s="362"/>
      <c r="AE161" s="362"/>
      <c r="AF161" s="362"/>
      <c r="AG161" s="362"/>
      <c r="AH161" s="362"/>
      <c r="AI161" s="362"/>
      <c r="AJ161" s="362"/>
      <c r="AK161" s="362"/>
      <c r="AL161" s="362"/>
      <c r="AM161" s="362"/>
      <c r="AN161" s="362"/>
      <c r="AO161" s="362"/>
      <c r="AP161" s="362"/>
      <c r="AQ161" s="362"/>
      <c r="AR161" s="362"/>
      <c r="AS161" s="362"/>
      <c r="AT161" s="362"/>
      <c r="AU161" s="362"/>
      <c r="AV161" s="362"/>
      <c r="AW161" s="362"/>
      <c r="AX161" s="362"/>
      <c r="AY161" s="362"/>
      <c r="AZ161" s="362"/>
      <c r="BA161" s="362"/>
      <c r="BB161" s="362"/>
      <c r="BC161" s="362"/>
      <c r="BD161" s="412"/>
      <c r="BE161" s="412"/>
      <c r="BF161" s="412"/>
      <c r="BG161" s="412"/>
      <c r="BH161" s="412"/>
      <c r="BI161" s="413"/>
      <c r="BJ161" s="106"/>
      <c r="BK161" s="146"/>
    </row>
    <row r="162" spans="1:63" s="107" customFormat="1" ht="26.1" hidden="1" customHeight="1" x14ac:dyDescent="0.3">
      <c r="A162" s="108"/>
      <c r="B162" s="351"/>
      <c r="C162" s="352"/>
      <c r="D162" s="352"/>
      <c r="E162" s="376"/>
      <c r="F162" s="376"/>
      <c r="G162" s="376"/>
      <c r="H162" s="376"/>
      <c r="I162" s="376"/>
      <c r="J162" s="376"/>
      <c r="K162" s="370"/>
      <c r="L162" s="371"/>
      <c r="M162" s="371"/>
      <c r="N162" s="371"/>
      <c r="O162" s="371"/>
      <c r="P162" s="371"/>
      <c r="Q162" s="371"/>
      <c r="R162" s="371"/>
      <c r="S162" s="371"/>
      <c r="T162" s="371"/>
      <c r="U162" s="371"/>
      <c r="V162" s="371"/>
      <c r="W162" s="371"/>
      <c r="X162" s="371"/>
      <c r="Y162" s="371"/>
      <c r="Z162" s="371"/>
      <c r="AA162" s="371"/>
      <c r="AB162" s="372"/>
      <c r="AC162" s="362"/>
      <c r="AD162" s="362"/>
      <c r="AE162" s="362"/>
      <c r="AF162" s="362"/>
      <c r="AG162" s="362"/>
      <c r="AH162" s="362"/>
      <c r="AI162" s="362"/>
      <c r="AJ162" s="362"/>
      <c r="AK162" s="362"/>
      <c r="AL162" s="362"/>
      <c r="AM162" s="362"/>
      <c r="AN162" s="362"/>
      <c r="AO162" s="362"/>
      <c r="AP162" s="362"/>
      <c r="AQ162" s="362"/>
      <c r="AR162" s="362"/>
      <c r="AS162" s="362"/>
      <c r="AT162" s="362"/>
      <c r="AU162" s="362"/>
      <c r="AV162" s="362"/>
      <c r="AW162" s="362"/>
      <c r="AX162" s="362"/>
      <c r="AY162" s="362"/>
      <c r="AZ162" s="362"/>
      <c r="BA162" s="362"/>
      <c r="BB162" s="362"/>
      <c r="BC162" s="362"/>
      <c r="BD162" s="412"/>
      <c r="BE162" s="412"/>
      <c r="BF162" s="412"/>
      <c r="BG162" s="412"/>
      <c r="BH162" s="412"/>
      <c r="BI162" s="413"/>
      <c r="BJ162" s="106"/>
      <c r="BK162" s="146"/>
    </row>
    <row r="163" spans="1:63" s="107" customFormat="1" ht="26.1" hidden="1" customHeight="1" x14ac:dyDescent="0.3">
      <c r="A163" s="108"/>
      <c r="B163" s="356" t="s">
        <v>459</v>
      </c>
      <c r="C163" s="357"/>
      <c r="D163" s="357"/>
      <c r="E163" s="350" t="s">
        <v>623</v>
      </c>
      <c r="F163" s="350"/>
      <c r="G163" s="350"/>
      <c r="H163" s="350"/>
      <c r="I163" s="350"/>
      <c r="J163" s="350"/>
      <c r="K163" s="370"/>
      <c r="L163" s="371"/>
      <c r="M163" s="371"/>
      <c r="N163" s="371"/>
      <c r="O163" s="371"/>
      <c r="P163" s="371"/>
      <c r="Q163" s="371"/>
      <c r="R163" s="371"/>
      <c r="S163" s="371"/>
      <c r="T163" s="371"/>
      <c r="U163" s="371"/>
      <c r="V163" s="371"/>
      <c r="W163" s="371"/>
      <c r="X163" s="371"/>
      <c r="Y163" s="371"/>
      <c r="Z163" s="371"/>
      <c r="AA163" s="371"/>
      <c r="AB163" s="372"/>
      <c r="AC163" s="362"/>
      <c r="AD163" s="362"/>
      <c r="AE163" s="362"/>
      <c r="AF163" s="362"/>
      <c r="AG163" s="362"/>
      <c r="AH163" s="362"/>
      <c r="AI163" s="362"/>
      <c r="AJ163" s="362"/>
      <c r="AK163" s="362"/>
      <c r="AL163" s="362"/>
      <c r="AM163" s="362"/>
      <c r="AN163" s="362"/>
      <c r="AO163" s="362"/>
      <c r="AP163" s="362"/>
      <c r="AQ163" s="362"/>
      <c r="AR163" s="362"/>
      <c r="AS163" s="362"/>
      <c r="AT163" s="362"/>
      <c r="AU163" s="362"/>
      <c r="AV163" s="362"/>
      <c r="AW163" s="362"/>
      <c r="AX163" s="362"/>
      <c r="AY163" s="362"/>
      <c r="AZ163" s="362"/>
      <c r="BA163" s="362"/>
      <c r="BB163" s="362"/>
      <c r="BC163" s="362"/>
      <c r="BD163" s="389" t="s">
        <v>638</v>
      </c>
      <c r="BE163" s="389"/>
      <c r="BF163" s="389"/>
      <c r="BG163" s="389"/>
      <c r="BH163" s="389"/>
      <c r="BI163" s="403"/>
      <c r="BJ163" s="106"/>
      <c r="BK163" s="146"/>
    </row>
    <row r="164" spans="1:63" s="107" customFormat="1" ht="26.1" hidden="1" customHeight="1" x14ac:dyDescent="0.3">
      <c r="A164" s="108"/>
      <c r="B164" s="351"/>
      <c r="C164" s="352"/>
      <c r="D164" s="352"/>
      <c r="E164" s="376"/>
      <c r="F164" s="376"/>
      <c r="G164" s="376"/>
      <c r="H164" s="376"/>
      <c r="I164" s="376"/>
      <c r="J164" s="376"/>
      <c r="K164" s="370"/>
      <c r="L164" s="371"/>
      <c r="M164" s="371"/>
      <c r="N164" s="371"/>
      <c r="O164" s="371"/>
      <c r="P164" s="371"/>
      <c r="Q164" s="371"/>
      <c r="R164" s="371"/>
      <c r="S164" s="371"/>
      <c r="T164" s="371"/>
      <c r="U164" s="371"/>
      <c r="V164" s="371"/>
      <c r="W164" s="371"/>
      <c r="X164" s="371"/>
      <c r="Y164" s="371"/>
      <c r="Z164" s="371"/>
      <c r="AA164" s="371"/>
      <c r="AB164" s="372"/>
      <c r="AC164" s="362"/>
      <c r="AD164" s="362"/>
      <c r="AE164" s="362"/>
      <c r="AF164" s="362"/>
      <c r="AG164" s="362"/>
      <c r="AH164" s="362"/>
      <c r="AI164" s="362"/>
      <c r="AJ164" s="362"/>
      <c r="AK164" s="362"/>
      <c r="AL164" s="362"/>
      <c r="AM164" s="362"/>
      <c r="AN164" s="362"/>
      <c r="AO164" s="362"/>
      <c r="AP164" s="362"/>
      <c r="AQ164" s="362"/>
      <c r="AR164" s="362"/>
      <c r="AS164" s="362"/>
      <c r="AT164" s="362"/>
      <c r="AU164" s="362"/>
      <c r="AV164" s="362"/>
      <c r="AW164" s="362"/>
      <c r="AX164" s="362"/>
      <c r="AY164" s="362"/>
      <c r="AZ164" s="362"/>
      <c r="BA164" s="362"/>
      <c r="BB164" s="362"/>
      <c r="BC164" s="362"/>
      <c r="BD164" s="393"/>
      <c r="BE164" s="393"/>
      <c r="BF164" s="393"/>
      <c r="BG164" s="393"/>
      <c r="BH164" s="393"/>
      <c r="BI164" s="394"/>
      <c r="BJ164" s="106"/>
      <c r="BK164" s="146"/>
    </row>
    <row r="165" spans="1:63" s="107" customFormat="1" ht="26.1" hidden="1" customHeight="1" x14ac:dyDescent="0.3">
      <c r="A165" s="108"/>
      <c r="B165" s="351"/>
      <c r="C165" s="352"/>
      <c r="D165" s="352"/>
      <c r="E165" s="376"/>
      <c r="F165" s="376"/>
      <c r="G165" s="376"/>
      <c r="H165" s="376"/>
      <c r="I165" s="376"/>
      <c r="J165" s="376"/>
      <c r="K165" s="370"/>
      <c r="L165" s="371"/>
      <c r="M165" s="371"/>
      <c r="N165" s="371"/>
      <c r="O165" s="371"/>
      <c r="P165" s="371"/>
      <c r="Q165" s="371"/>
      <c r="R165" s="371"/>
      <c r="S165" s="371"/>
      <c r="T165" s="371"/>
      <c r="U165" s="371"/>
      <c r="V165" s="371"/>
      <c r="W165" s="371"/>
      <c r="X165" s="371"/>
      <c r="Y165" s="371"/>
      <c r="Z165" s="371"/>
      <c r="AA165" s="371"/>
      <c r="AB165" s="372"/>
      <c r="AC165" s="362"/>
      <c r="AD165" s="362"/>
      <c r="AE165" s="362"/>
      <c r="AF165" s="362"/>
      <c r="AG165" s="362"/>
      <c r="AH165" s="362"/>
      <c r="AI165" s="362"/>
      <c r="AJ165" s="362"/>
      <c r="AK165" s="362"/>
      <c r="AL165" s="362"/>
      <c r="AM165" s="362"/>
      <c r="AN165" s="362"/>
      <c r="AO165" s="362"/>
      <c r="AP165" s="362"/>
      <c r="AQ165" s="362"/>
      <c r="AR165" s="362"/>
      <c r="AS165" s="362"/>
      <c r="AT165" s="362"/>
      <c r="AU165" s="362"/>
      <c r="AV165" s="362"/>
      <c r="AW165" s="362"/>
      <c r="AX165" s="362"/>
      <c r="AY165" s="362"/>
      <c r="AZ165" s="362"/>
      <c r="BA165" s="362"/>
      <c r="BB165" s="362"/>
      <c r="BC165" s="362"/>
      <c r="BD165" s="393"/>
      <c r="BE165" s="393"/>
      <c r="BF165" s="393"/>
      <c r="BG165" s="393"/>
      <c r="BH165" s="393"/>
      <c r="BI165" s="394"/>
      <c r="BJ165" s="106"/>
      <c r="BK165" s="146"/>
    </row>
    <row r="166" spans="1:63" s="107" customFormat="1" ht="26.1" hidden="1" customHeight="1" thickBot="1" x14ac:dyDescent="0.35">
      <c r="A166" s="108"/>
      <c r="B166" s="404"/>
      <c r="C166" s="405"/>
      <c r="D166" s="405"/>
      <c r="E166" s="392"/>
      <c r="F166" s="392"/>
      <c r="G166" s="392"/>
      <c r="H166" s="392"/>
      <c r="I166" s="392"/>
      <c r="J166" s="392"/>
      <c r="K166" s="373"/>
      <c r="L166" s="374"/>
      <c r="M166" s="374"/>
      <c r="N166" s="374"/>
      <c r="O166" s="374"/>
      <c r="P166" s="374"/>
      <c r="Q166" s="374"/>
      <c r="R166" s="374"/>
      <c r="S166" s="374"/>
      <c r="T166" s="374"/>
      <c r="U166" s="374"/>
      <c r="V166" s="374"/>
      <c r="W166" s="374"/>
      <c r="X166" s="374"/>
      <c r="Y166" s="374"/>
      <c r="Z166" s="374"/>
      <c r="AA166" s="374"/>
      <c r="AB166" s="375"/>
      <c r="AC166" s="409"/>
      <c r="AD166" s="409"/>
      <c r="AE166" s="409"/>
      <c r="AF166" s="409"/>
      <c r="AG166" s="409"/>
      <c r="AH166" s="409"/>
      <c r="AI166" s="409"/>
      <c r="AJ166" s="409"/>
      <c r="AK166" s="409"/>
      <c r="AL166" s="409"/>
      <c r="AM166" s="409"/>
      <c r="AN166" s="409"/>
      <c r="AO166" s="409"/>
      <c r="AP166" s="409"/>
      <c r="AQ166" s="409"/>
      <c r="AR166" s="409"/>
      <c r="AS166" s="409"/>
      <c r="AT166" s="409"/>
      <c r="AU166" s="409"/>
      <c r="AV166" s="409"/>
      <c r="AW166" s="409"/>
      <c r="AX166" s="409"/>
      <c r="AY166" s="409"/>
      <c r="AZ166" s="409"/>
      <c r="BA166" s="409"/>
      <c r="BB166" s="409"/>
      <c r="BC166" s="409"/>
      <c r="BD166" s="395"/>
      <c r="BE166" s="395"/>
      <c r="BF166" s="395"/>
      <c r="BG166" s="395"/>
      <c r="BH166" s="395"/>
      <c r="BI166" s="396"/>
      <c r="BJ166" s="106"/>
      <c r="BK166" s="146"/>
    </row>
    <row r="167" spans="1:63" s="107" customFormat="1" ht="26.1" hidden="1" customHeight="1" thickTop="1" x14ac:dyDescent="0.3">
      <c r="A167" s="108"/>
      <c r="B167" s="335">
        <v>11</v>
      </c>
      <c r="C167" s="336"/>
      <c r="D167" s="336"/>
      <c r="E167" s="339" t="s">
        <v>621</v>
      </c>
      <c r="F167" s="339"/>
      <c r="G167" s="339"/>
      <c r="H167" s="339"/>
      <c r="I167" s="339"/>
      <c r="J167" s="339"/>
      <c r="K167" s="340"/>
      <c r="L167" s="341"/>
      <c r="M167" s="341"/>
      <c r="N167" s="341"/>
      <c r="O167" s="341"/>
      <c r="P167" s="341"/>
      <c r="Q167" s="341"/>
      <c r="R167" s="341"/>
      <c r="S167" s="341"/>
      <c r="T167" s="341"/>
      <c r="U167" s="341"/>
      <c r="V167" s="341"/>
      <c r="W167" s="341"/>
      <c r="X167" s="341"/>
      <c r="Y167" s="341"/>
      <c r="Z167" s="341"/>
      <c r="AA167" s="341"/>
      <c r="AB167" s="342"/>
      <c r="AC167" s="408"/>
      <c r="AD167" s="408"/>
      <c r="AE167" s="408"/>
      <c r="AF167" s="408"/>
      <c r="AG167" s="408"/>
      <c r="AH167" s="408"/>
      <c r="AI167" s="408"/>
      <c r="AJ167" s="408"/>
      <c r="AK167" s="408"/>
      <c r="AL167" s="408"/>
      <c r="AM167" s="408"/>
      <c r="AN167" s="408"/>
      <c r="AO167" s="408"/>
      <c r="AP167" s="408"/>
      <c r="AQ167" s="408"/>
      <c r="AR167" s="408"/>
      <c r="AS167" s="408"/>
      <c r="AT167" s="408"/>
      <c r="AU167" s="408"/>
      <c r="AV167" s="408"/>
      <c r="AW167" s="408"/>
      <c r="AX167" s="408"/>
      <c r="AY167" s="408"/>
      <c r="AZ167" s="408"/>
      <c r="BA167" s="408"/>
      <c r="BB167" s="408"/>
      <c r="BC167" s="408"/>
      <c r="BD167" s="410" t="s">
        <v>246</v>
      </c>
      <c r="BE167" s="410"/>
      <c r="BF167" s="410"/>
      <c r="BG167" s="410"/>
      <c r="BH167" s="410"/>
      <c r="BI167" s="411"/>
      <c r="BJ167" s="106"/>
      <c r="BK167" s="146"/>
    </row>
    <row r="168" spans="1:63" s="107" customFormat="1" ht="26.1" hidden="1" customHeight="1" x14ac:dyDescent="0.3">
      <c r="A168" s="108"/>
      <c r="B168" s="337"/>
      <c r="C168" s="338"/>
      <c r="D168" s="338"/>
      <c r="E168" s="376"/>
      <c r="F168" s="376"/>
      <c r="G168" s="376"/>
      <c r="H168" s="376"/>
      <c r="I168" s="376"/>
      <c r="J168" s="376"/>
      <c r="K168" s="343"/>
      <c r="L168" s="344"/>
      <c r="M168" s="344"/>
      <c r="N168" s="344"/>
      <c r="O168" s="344"/>
      <c r="P168" s="344"/>
      <c r="Q168" s="344"/>
      <c r="R168" s="344"/>
      <c r="S168" s="344"/>
      <c r="T168" s="344"/>
      <c r="U168" s="344"/>
      <c r="V168" s="344"/>
      <c r="W168" s="344"/>
      <c r="X168" s="344"/>
      <c r="Y168" s="344"/>
      <c r="Z168" s="344"/>
      <c r="AA168" s="344"/>
      <c r="AB168" s="345"/>
      <c r="AC168" s="362"/>
      <c r="AD168" s="362"/>
      <c r="AE168" s="362"/>
      <c r="AF168" s="362"/>
      <c r="AG168" s="362"/>
      <c r="AH168" s="362"/>
      <c r="AI168" s="362"/>
      <c r="AJ168" s="362"/>
      <c r="AK168" s="362"/>
      <c r="AL168" s="362"/>
      <c r="AM168" s="362"/>
      <c r="AN168" s="362"/>
      <c r="AO168" s="362"/>
      <c r="AP168" s="362"/>
      <c r="AQ168" s="362"/>
      <c r="AR168" s="362"/>
      <c r="AS168" s="362"/>
      <c r="AT168" s="362"/>
      <c r="AU168" s="362"/>
      <c r="AV168" s="362"/>
      <c r="AW168" s="362"/>
      <c r="AX168" s="362"/>
      <c r="AY168" s="362"/>
      <c r="AZ168" s="362"/>
      <c r="BA168" s="362"/>
      <c r="BB168" s="362"/>
      <c r="BC168" s="362"/>
      <c r="BD168" s="412"/>
      <c r="BE168" s="412"/>
      <c r="BF168" s="412"/>
      <c r="BG168" s="412"/>
      <c r="BH168" s="412"/>
      <c r="BI168" s="413"/>
      <c r="BJ168" s="106"/>
      <c r="BK168" s="146"/>
    </row>
    <row r="169" spans="1:63" s="107" customFormat="1" ht="26.1" hidden="1" customHeight="1" x14ac:dyDescent="0.3">
      <c r="A169" s="108"/>
      <c r="B169" s="337"/>
      <c r="C169" s="338"/>
      <c r="D169" s="338"/>
      <c r="E169" s="376"/>
      <c r="F169" s="376"/>
      <c r="G169" s="376"/>
      <c r="H169" s="376"/>
      <c r="I169" s="376"/>
      <c r="J169" s="376"/>
      <c r="K169" s="346"/>
      <c r="L169" s="347"/>
      <c r="M169" s="347"/>
      <c r="N169" s="347"/>
      <c r="O169" s="347"/>
      <c r="P169" s="347"/>
      <c r="Q169" s="347"/>
      <c r="R169" s="347"/>
      <c r="S169" s="347"/>
      <c r="T169" s="347"/>
      <c r="U169" s="347"/>
      <c r="V169" s="347"/>
      <c r="W169" s="347"/>
      <c r="X169" s="347"/>
      <c r="Y169" s="347"/>
      <c r="Z169" s="347"/>
      <c r="AA169" s="347"/>
      <c r="AB169" s="348"/>
      <c r="AC169" s="362"/>
      <c r="AD169" s="362"/>
      <c r="AE169" s="362"/>
      <c r="AF169" s="362"/>
      <c r="AG169" s="362"/>
      <c r="AH169" s="362"/>
      <c r="AI169" s="362"/>
      <c r="AJ169" s="362"/>
      <c r="AK169" s="362"/>
      <c r="AL169" s="362"/>
      <c r="AM169" s="362"/>
      <c r="AN169" s="362"/>
      <c r="AO169" s="362"/>
      <c r="AP169" s="362"/>
      <c r="AQ169" s="362"/>
      <c r="AR169" s="362"/>
      <c r="AS169" s="362"/>
      <c r="AT169" s="362"/>
      <c r="AU169" s="362"/>
      <c r="AV169" s="362"/>
      <c r="AW169" s="362"/>
      <c r="AX169" s="362"/>
      <c r="AY169" s="362"/>
      <c r="AZ169" s="362"/>
      <c r="BA169" s="362"/>
      <c r="BB169" s="362"/>
      <c r="BC169" s="362"/>
      <c r="BD169" s="412"/>
      <c r="BE169" s="412"/>
      <c r="BF169" s="412"/>
      <c r="BG169" s="412"/>
      <c r="BH169" s="412"/>
      <c r="BI169" s="413"/>
      <c r="BJ169" s="106"/>
      <c r="BK169" s="146"/>
    </row>
    <row r="170" spans="1:63" s="107" customFormat="1" ht="26.1" hidden="1" customHeight="1" x14ac:dyDescent="0.3">
      <c r="A170" s="108"/>
      <c r="B170" s="337"/>
      <c r="C170" s="338"/>
      <c r="D170" s="338"/>
      <c r="E170" s="376"/>
      <c r="F170" s="376"/>
      <c r="G170" s="376"/>
      <c r="H170" s="376"/>
      <c r="I170" s="376"/>
      <c r="J170" s="376"/>
      <c r="K170" s="367"/>
      <c r="L170" s="368"/>
      <c r="M170" s="368"/>
      <c r="N170" s="368"/>
      <c r="O170" s="368"/>
      <c r="P170" s="368"/>
      <c r="Q170" s="368"/>
      <c r="R170" s="368"/>
      <c r="S170" s="368"/>
      <c r="T170" s="368"/>
      <c r="U170" s="368"/>
      <c r="V170" s="368"/>
      <c r="W170" s="368"/>
      <c r="X170" s="368"/>
      <c r="Y170" s="368"/>
      <c r="Z170" s="368"/>
      <c r="AA170" s="368"/>
      <c r="AB170" s="369"/>
      <c r="AC170" s="362"/>
      <c r="AD170" s="362"/>
      <c r="AE170" s="362"/>
      <c r="AF170" s="362"/>
      <c r="AG170" s="362"/>
      <c r="AH170" s="362"/>
      <c r="AI170" s="362"/>
      <c r="AJ170" s="362"/>
      <c r="AK170" s="362"/>
      <c r="AL170" s="362"/>
      <c r="AM170" s="362"/>
      <c r="AN170" s="362"/>
      <c r="AO170" s="362"/>
      <c r="AP170" s="362"/>
      <c r="AQ170" s="362"/>
      <c r="AR170" s="362"/>
      <c r="AS170" s="362"/>
      <c r="AT170" s="362"/>
      <c r="AU170" s="362"/>
      <c r="AV170" s="362"/>
      <c r="AW170" s="362"/>
      <c r="AX170" s="362"/>
      <c r="AY170" s="362"/>
      <c r="AZ170" s="362"/>
      <c r="BA170" s="362"/>
      <c r="BB170" s="362"/>
      <c r="BC170" s="362"/>
      <c r="BD170" s="412"/>
      <c r="BE170" s="412"/>
      <c r="BF170" s="412"/>
      <c r="BG170" s="412"/>
      <c r="BH170" s="412"/>
      <c r="BI170" s="413"/>
      <c r="BJ170" s="106"/>
      <c r="BK170" s="146"/>
    </row>
    <row r="171" spans="1:63" s="107" customFormat="1" ht="26.1" hidden="1" customHeight="1" x14ac:dyDescent="0.3">
      <c r="A171" s="108"/>
      <c r="B171" s="337"/>
      <c r="C171" s="338"/>
      <c r="D171" s="338"/>
      <c r="E171" s="350" t="s">
        <v>457</v>
      </c>
      <c r="F171" s="350"/>
      <c r="G171" s="350"/>
      <c r="H171" s="350"/>
      <c r="I171" s="350"/>
      <c r="J171" s="350"/>
      <c r="K171" s="370"/>
      <c r="L171" s="371"/>
      <c r="M171" s="371"/>
      <c r="N171" s="371"/>
      <c r="O171" s="371"/>
      <c r="P171" s="371"/>
      <c r="Q171" s="371"/>
      <c r="R171" s="371"/>
      <c r="S171" s="371"/>
      <c r="T171" s="371"/>
      <c r="U171" s="371"/>
      <c r="V171" s="371"/>
      <c r="W171" s="371"/>
      <c r="X171" s="371"/>
      <c r="Y171" s="371"/>
      <c r="Z171" s="371"/>
      <c r="AA171" s="371"/>
      <c r="AB171" s="372"/>
      <c r="AC171" s="362"/>
      <c r="AD171" s="362"/>
      <c r="AE171" s="362"/>
      <c r="AF171" s="362"/>
      <c r="AG171" s="362"/>
      <c r="AH171" s="362"/>
      <c r="AI171" s="362"/>
      <c r="AJ171" s="362"/>
      <c r="AK171" s="362"/>
      <c r="AL171" s="362"/>
      <c r="AM171" s="362"/>
      <c r="AN171" s="362"/>
      <c r="AO171" s="362"/>
      <c r="AP171" s="362"/>
      <c r="AQ171" s="362"/>
      <c r="AR171" s="362"/>
      <c r="AS171" s="362"/>
      <c r="AT171" s="362"/>
      <c r="AU171" s="362"/>
      <c r="AV171" s="362"/>
      <c r="AW171" s="362"/>
      <c r="AX171" s="362"/>
      <c r="AY171" s="362"/>
      <c r="AZ171" s="362"/>
      <c r="BA171" s="362"/>
      <c r="BB171" s="362"/>
      <c r="BC171" s="362"/>
      <c r="BD171" s="389" t="s">
        <v>88</v>
      </c>
      <c r="BE171" s="389"/>
      <c r="BF171" s="389"/>
      <c r="BG171" s="389"/>
      <c r="BH171" s="389"/>
      <c r="BI171" s="403"/>
      <c r="BJ171" s="106"/>
      <c r="BK171" s="146"/>
    </row>
    <row r="172" spans="1:63" s="107" customFormat="1" ht="26.1" hidden="1" customHeight="1" x14ac:dyDescent="0.3">
      <c r="A172" s="108"/>
      <c r="B172" s="337"/>
      <c r="C172" s="338"/>
      <c r="D172" s="338"/>
      <c r="E172" s="376"/>
      <c r="F172" s="376"/>
      <c r="G172" s="376"/>
      <c r="H172" s="376"/>
      <c r="I172" s="376"/>
      <c r="J172" s="376"/>
      <c r="K172" s="370"/>
      <c r="L172" s="371"/>
      <c r="M172" s="371"/>
      <c r="N172" s="371"/>
      <c r="O172" s="371"/>
      <c r="P172" s="371"/>
      <c r="Q172" s="371"/>
      <c r="R172" s="371"/>
      <c r="S172" s="371"/>
      <c r="T172" s="371"/>
      <c r="U172" s="371"/>
      <c r="V172" s="371"/>
      <c r="W172" s="371"/>
      <c r="X172" s="371"/>
      <c r="Y172" s="371"/>
      <c r="Z172" s="371"/>
      <c r="AA172" s="371"/>
      <c r="AB172" s="372"/>
      <c r="AC172" s="362"/>
      <c r="AD172" s="362"/>
      <c r="AE172" s="362"/>
      <c r="AF172" s="362"/>
      <c r="AG172" s="362"/>
      <c r="AH172" s="362"/>
      <c r="AI172" s="362"/>
      <c r="AJ172" s="362"/>
      <c r="AK172" s="362"/>
      <c r="AL172" s="362"/>
      <c r="AM172" s="362"/>
      <c r="AN172" s="362"/>
      <c r="AO172" s="362"/>
      <c r="AP172" s="362"/>
      <c r="AQ172" s="362"/>
      <c r="AR172" s="362"/>
      <c r="AS172" s="362"/>
      <c r="AT172" s="362"/>
      <c r="AU172" s="362"/>
      <c r="AV172" s="362"/>
      <c r="AW172" s="362"/>
      <c r="AX172" s="362"/>
      <c r="AY172" s="362"/>
      <c r="AZ172" s="362"/>
      <c r="BA172" s="362"/>
      <c r="BB172" s="362"/>
      <c r="BC172" s="362"/>
      <c r="BD172" s="393"/>
      <c r="BE172" s="393"/>
      <c r="BF172" s="393"/>
      <c r="BG172" s="393"/>
      <c r="BH172" s="393"/>
      <c r="BI172" s="394"/>
      <c r="BJ172" s="106"/>
      <c r="BK172" s="146"/>
    </row>
    <row r="173" spans="1:63" s="107" customFormat="1" ht="26.1" hidden="1" customHeight="1" x14ac:dyDescent="0.3">
      <c r="A173" s="108"/>
      <c r="B173" s="337"/>
      <c r="C173" s="338"/>
      <c r="D173" s="338"/>
      <c r="E173" s="376"/>
      <c r="F173" s="376"/>
      <c r="G173" s="376"/>
      <c r="H173" s="376"/>
      <c r="I173" s="376"/>
      <c r="J173" s="376"/>
      <c r="K173" s="370"/>
      <c r="L173" s="371"/>
      <c r="M173" s="371"/>
      <c r="N173" s="371"/>
      <c r="O173" s="371"/>
      <c r="P173" s="371"/>
      <c r="Q173" s="371"/>
      <c r="R173" s="371"/>
      <c r="S173" s="371"/>
      <c r="T173" s="371"/>
      <c r="U173" s="371"/>
      <c r="V173" s="371"/>
      <c r="W173" s="371"/>
      <c r="X173" s="371"/>
      <c r="Y173" s="371"/>
      <c r="Z173" s="371"/>
      <c r="AA173" s="371"/>
      <c r="AB173" s="372"/>
      <c r="AC173" s="362"/>
      <c r="AD173" s="362"/>
      <c r="AE173" s="362"/>
      <c r="AF173" s="362"/>
      <c r="AG173" s="362"/>
      <c r="AH173" s="362"/>
      <c r="AI173" s="362"/>
      <c r="AJ173" s="362"/>
      <c r="AK173" s="362"/>
      <c r="AL173" s="362"/>
      <c r="AM173" s="362"/>
      <c r="AN173" s="362"/>
      <c r="AO173" s="362"/>
      <c r="AP173" s="362"/>
      <c r="AQ173" s="362"/>
      <c r="AR173" s="362"/>
      <c r="AS173" s="362"/>
      <c r="AT173" s="362"/>
      <c r="AU173" s="362"/>
      <c r="AV173" s="362"/>
      <c r="AW173" s="362"/>
      <c r="AX173" s="362"/>
      <c r="AY173" s="362"/>
      <c r="AZ173" s="362"/>
      <c r="BA173" s="362"/>
      <c r="BB173" s="362"/>
      <c r="BC173" s="362"/>
      <c r="BD173" s="393"/>
      <c r="BE173" s="393"/>
      <c r="BF173" s="393"/>
      <c r="BG173" s="393"/>
      <c r="BH173" s="393"/>
      <c r="BI173" s="394"/>
      <c r="BJ173" s="106"/>
      <c r="BK173" s="146"/>
    </row>
    <row r="174" spans="1:63" s="107" customFormat="1" ht="26.1" hidden="1" customHeight="1" x14ac:dyDescent="0.3">
      <c r="A174" s="108"/>
      <c r="B174" s="337"/>
      <c r="C174" s="338"/>
      <c r="D174" s="338"/>
      <c r="E174" s="376"/>
      <c r="F174" s="376"/>
      <c r="G174" s="376"/>
      <c r="H174" s="376"/>
      <c r="I174" s="376"/>
      <c r="J174" s="376"/>
      <c r="K174" s="370"/>
      <c r="L174" s="371"/>
      <c r="M174" s="371"/>
      <c r="N174" s="371"/>
      <c r="O174" s="371"/>
      <c r="P174" s="371"/>
      <c r="Q174" s="371"/>
      <c r="R174" s="371"/>
      <c r="S174" s="371"/>
      <c r="T174" s="371"/>
      <c r="U174" s="371"/>
      <c r="V174" s="371"/>
      <c r="W174" s="371"/>
      <c r="X174" s="371"/>
      <c r="Y174" s="371"/>
      <c r="Z174" s="371"/>
      <c r="AA174" s="371"/>
      <c r="AB174" s="372"/>
      <c r="AC174" s="362"/>
      <c r="AD174" s="362"/>
      <c r="AE174" s="362"/>
      <c r="AF174" s="362"/>
      <c r="AG174" s="362"/>
      <c r="AH174" s="362"/>
      <c r="AI174" s="362"/>
      <c r="AJ174" s="362"/>
      <c r="AK174" s="362"/>
      <c r="AL174" s="362"/>
      <c r="AM174" s="362"/>
      <c r="AN174" s="362"/>
      <c r="AO174" s="362"/>
      <c r="AP174" s="362"/>
      <c r="AQ174" s="362"/>
      <c r="AR174" s="362"/>
      <c r="AS174" s="362"/>
      <c r="AT174" s="362"/>
      <c r="AU174" s="362"/>
      <c r="AV174" s="362"/>
      <c r="AW174" s="362"/>
      <c r="AX174" s="362"/>
      <c r="AY174" s="362"/>
      <c r="AZ174" s="362"/>
      <c r="BA174" s="362"/>
      <c r="BB174" s="362"/>
      <c r="BC174" s="362"/>
      <c r="BD174" s="393"/>
      <c r="BE174" s="393"/>
      <c r="BF174" s="393"/>
      <c r="BG174" s="393"/>
      <c r="BH174" s="393"/>
      <c r="BI174" s="394"/>
      <c r="BJ174" s="106"/>
      <c r="BK174" s="146"/>
    </row>
    <row r="175" spans="1:63" s="107" customFormat="1" ht="26.1" hidden="1" customHeight="1" x14ac:dyDescent="0.3">
      <c r="A175" s="108"/>
      <c r="B175" s="349" t="s">
        <v>637</v>
      </c>
      <c r="C175" s="350"/>
      <c r="D175" s="350"/>
      <c r="E175" s="350" t="s">
        <v>622</v>
      </c>
      <c r="F175" s="350"/>
      <c r="G175" s="350"/>
      <c r="H175" s="350"/>
      <c r="I175" s="350"/>
      <c r="J175" s="350"/>
      <c r="K175" s="370"/>
      <c r="L175" s="371"/>
      <c r="M175" s="371"/>
      <c r="N175" s="371"/>
      <c r="O175" s="371"/>
      <c r="P175" s="371"/>
      <c r="Q175" s="371"/>
      <c r="R175" s="371"/>
      <c r="S175" s="371"/>
      <c r="T175" s="371"/>
      <c r="U175" s="371"/>
      <c r="V175" s="371"/>
      <c r="W175" s="371"/>
      <c r="X175" s="371"/>
      <c r="Y175" s="371"/>
      <c r="Z175" s="371"/>
      <c r="AA175" s="371"/>
      <c r="AB175" s="372"/>
      <c r="AC175" s="362"/>
      <c r="AD175" s="362"/>
      <c r="AE175" s="362"/>
      <c r="AF175" s="362"/>
      <c r="AG175" s="362"/>
      <c r="AH175" s="362"/>
      <c r="AI175" s="362"/>
      <c r="AJ175" s="362"/>
      <c r="AK175" s="362"/>
      <c r="AL175" s="362"/>
      <c r="AM175" s="362"/>
      <c r="AN175" s="362"/>
      <c r="AO175" s="362"/>
      <c r="AP175" s="362"/>
      <c r="AQ175" s="362"/>
      <c r="AR175" s="362"/>
      <c r="AS175" s="362"/>
      <c r="AT175" s="362"/>
      <c r="AU175" s="362"/>
      <c r="AV175" s="362"/>
      <c r="AW175" s="362"/>
      <c r="AX175" s="362"/>
      <c r="AY175" s="362"/>
      <c r="AZ175" s="362"/>
      <c r="BA175" s="362"/>
      <c r="BB175" s="362"/>
      <c r="BC175" s="362"/>
      <c r="BD175" s="389" t="s">
        <v>46</v>
      </c>
      <c r="BE175" s="389"/>
      <c r="BF175" s="389"/>
      <c r="BG175" s="389"/>
      <c r="BH175" s="389"/>
      <c r="BI175" s="403"/>
      <c r="BJ175" s="106"/>
      <c r="BK175" s="146"/>
    </row>
    <row r="176" spans="1:63" s="107" customFormat="1" ht="26.1" hidden="1" customHeight="1" x14ac:dyDescent="0.3">
      <c r="A176" s="108"/>
      <c r="B176" s="351"/>
      <c r="C176" s="352"/>
      <c r="D176" s="352"/>
      <c r="E176" s="376"/>
      <c r="F176" s="376"/>
      <c r="G176" s="376"/>
      <c r="H176" s="376"/>
      <c r="I176" s="376"/>
      <c r="J176" s="376"/>
      <c r="K176" s="370"/>
      <c r="L176" s="371"/>
      <c r="M176" s="371"/>
      <c r="N176" s="371"/>
      <c r="O176" s="371"/>
      <c r="P176" s="371"/>
      <c r="Q176" s="371"/>
      <c r="R176" s="371"/>
      <c r="S176" s="371"/>
      <c r="T176" s="371"/>
      <c r="U176" s="371"/>
      <c r="V176" s="371"/>
      <c r="W176" s="371"/>
      <c r="X176" s="371"/>
      <c r="Y176" s="371"/>
      <c r="Z176" s="371"/>
      <c r="AA176" s="371"/>
      <c r="AB176" s="372"/>
      <c r="AC176" s="362"/>
      <c r="AD176" s="362"/>
      <c r="AE176" s="362"/>
      <c r="AF176" s="362"/>
      <c r="AG176" s="362"/>
      <c r="AH176" s="362"/>
      <c r="AI176" s="362"/>
      <c r="AJ176" s="362"/>
      <c r="AK176" s="362"/>
      <c r="AL176" s="362"/>
      <c r="AM176" s="362"/>
      <c r="AN176" s="362"/>
      <c r="AO176" s="362"/>
      <c r="AP176" s="362"/>
      <c r="AQ176" s="362"/>
      <c r="AR176" s="362"/>
      <c r="AS176" s="362"/>
      <c r="AT176" s="362"/>
      <c r="AU176" s="362"/>
      <c r="AV176" s="362"/>
      <c r="AW176" s="362"/>
      <c r="AX176" s="362"/>
      <c r="AY176" s="362"/>
      <c r="AZ176" s="362"/>
      <c r="BA176" s="362"/>
      <c r="BB176" s="362"/>
      <c r="BC176" s="362"/>
      <c r="BD176" s="412"/>
      <c r="BE176" s="412"/>
      <c r="BF176" s="412"/>
      <c r="BG176" s="412"/>
      <c r="BH176" s="412"/>
      <c r="BI176" s="413"/>
      <c r="BJ176" s="106"/>
      <c r="BK176" s="146"/>
    </row>
    <row r="177" spans="1:63" s="107" customFormat="1" ht="26.1" hidden="1" customHeight="1" x14ac:dyDescent="0.3">
      <c r="A177" s="108"/>
      <c r="B177" s="351"/>
      <c r="C177" s="352"/>
      <c r="D177" s="352"/>
      <c r="E177" s="376"/>
      <c r="F177" s="376"/>
      <c r="G177" s="376"/>
      <c r="H177" s="376"/>
      <c r="I177" s="376"/>
      <c r="J177" s="376"/>
      <c r="K177" s="370"/>
      <c r="L177" s="371"/>
      <c r="M177" s="371"/>
      <c r="N177" s="371"/>
      <c r="O177" s="371"/>
      <c r="P177" s="371"/>
      <c r="Q177" s="371"/>
      <c r="R177" s="371"/>
      <c r="S177" s="371"/>
      <c r="T177" s="371"/>
      <c r="U177" s="371"/>
      <c r="V177" s="371"/>
      <c r="W177" s="371"/>
      <c r="X177" s="371"/>
      <c r="Y177" s="371"/>
      <c r="Z177" s="371"/>
      <c r="AA177" s="371"/>
      <c r="AB177" s="372"/>
      <c r="AC177" s="362"/>
      <c r="AD177" s="362"/>
      <c r="AE177" s="362"/>
      <c r="AF177" s="362"/>
      <c r="AG177" s="362"/>
      <c r="AH177" s="362"/>
      <c r="AI177" s="362"/>
      <c r="AJ177" s="362"/>
      <c r="AK177" s="362"/>
      <c r="AL177" s="362"/>
      <c r="AM177" s="362"/>
      <c r="AN177" s="362"/>
      <c r="AO177" s="362"/>
      <c r="AP177" s="362"/>
      <c r="AQ177" s="362"/>
      <c r="AR177" s="362"/>
      <c r="AS177" s="362"/>
      <c r="AT177" s="362"/>
      <c r="AU177" s="362"/>
      <c r="AV177" s="362"/>
      <c r="AW177" s="362"/>
      <c r="AX177" s="362"/>
      <c r="AY177" s="362"/>
      <c r="AZ177" s="362"/>
      <c r="BA177" s="362"/>
      <c r="BB177" s="362"/>
      <c r="BC177" s="362"/>
      <c r="BD177" s="412"/>
      <c r="BE177" s="412"/>
      <c r="BF177" s="412"/>
      <c r="BG177" s="412"/>
      <c r="BH177" s="412"/>
      <c r="BI177" s="413"/>
      <c r="BJ177" s="106"/>
      <c r="BK177" s="146"/>
    </row>
    <row r="178" spans="1:63" s="107" customFormat="1" ht="26.1" hidden="1" customHeight="1" x14ac:dyDescent="0.3">
      <c r="A178" s="108"/>
      <c r="B178" s="351"/>
      <c r="C178" s="352"/>
      <c r="D178" s="352"/>
      <c r="E178" s="376"/>
      <c r="F178" s="376"/>
      <c r="G178" s="376"/>
      <c r="H178" s="376"/>
      <c r="I178" s="376"/>
      <c r="J178" s="376"/>
      <c r="K178" s="370"/>
      <c r="L178" s="371"/>
      <c r="M178" s="371"/>
      <c r="N178" s="371"/>
      <c r="O178" s="371"/>
      <c r="P178" s="371"/>
      <c r="Q178" s="371"/>
      <c r="R178" s="371"/>
      <c r="S178" s="371"/>
      <c r="T178" s="371"/>
      <c r="U178" s="371"/>
      <c r="V178" s="371"/>
      <c r="W178" s="371"/>
      <c r="X178" s="371"/>
      <c r="Y178" s="371"/>
      <c r="Z178" s="371"/>
      <c r="AA178" s="371"/>
      <c r="AB178" s="372"/>
      <c r="AC178" s="362"/>
      <c r="AD178" s="362"/>
      <c r="AE178" s="362"/>
      <c r="AF178" s="362"/>
      <c r="AG178" s="362"/>
      <c r="AH178" s="362"/>
      <c r="AI178" s="362"/>
      <c r="AJ178" s="362"/>
      <c r="AK178" s="362"/>
      <c r="AL178" s="362"/>
      <c r="AM178" s="362"/>
      <c r="AN178" s="362"/>
      <c r="AO178" s="362"/>
      <c r="AP178" s="362"/>
      <c r="AQ178" s="362"/>
      <c r="AR178" s="362"/>
      <c r="AS178" s="362"/>
      <c r="AT178" s="362"/>
      <c r="AU178" s="362"/>
      <c r="AV178" s="362"/>
      <c r="AW178" s="362"/>
      <c r="AX178" s="362"/>
      <c r="AY178" s="362"/>
      <c r="AZ178" s="362"/>
      <c r="BA178" s="362"/>
      <c r="BB178" s="362"/>
      <c r="BC178" s="362"/>
      <c r="BD178" s="412"/>
      <c r="BE178" s="412"/>
      <c r="BF178" s="412"/>
      <c r="BG178" s="412"/>
      <c r="BH178" s="412"/>
      <c r="BI178" s="413"/>
      <c r="BJ178" s="106"/>
      <c r="BK178" s="146"/>
    </row>
    <row r="179" spans="1:63" s="107" customFormat="1" ht="26.1" hidden="1" customHeight="1" x14ac:dyDescent="0.3">
      <c r="A179" s="108"/>
      <c r="B179" s="356" t="s">
        <v>459</v>
      </c>
      <c r="C179" s="357"/>
      <c r="D179" s="357"/>
      <c r="E179" s="350" t="s">
        <v>623</v>
      </c>
      <c r="F179" s="350"/>
      <c r="G179" s="350"/>
      <c r="H179" s="350"/>
      <c r="I179" s="350"/>
      <c r="J179" s="350"/>
      <c r="K179" s="370"/>
      <c r="L179" s="371"/>
      <c r="M179" s="371"/>
      <c r="N179" s="371"/>
      <c r="O179" s="371"/>
      <c r="P179" s="371"/>
      <c r="Q179" s="371"/>
      <c r="R179" s="371"/>
      <c r="S179" s="371"/>
      <c r="T179" s="371"/>
      <c r="U179" s="371"/>
      <c r="V179" s="371"/>
      <c r="W179" s="371"/>
      <c r="X179" s="371"/>
      <c r="Y179" s="371"/>
      <c r="Z179" s="371"/>
      <c r="AA179" s="371"/>
      <c r="AB179" s="372"/>
      <c r="AC179" s="362"/>
      <c r="AD179" s="362"/>
      <c r="AE179" s="362"/>
      <c r="AF179" s="362"/>
      <c r="AG179" s="362"/>
      <c r="AH179" s="362"/>
      <c r="AI179" s="362"/>
      <c r="AJ179" s="362"/>
      <c r="AK179" s="362"/>
      <c r="AL179" s="362"/>
      <c r="AM179" s="362"/>
      <c r="AN179" s="362"/>
      <c r="AO179" s="362"/>
      <c r="AP179" s="362"/>
      <c r="AQ179" s="362"/>
      <c r="AR179" s="362"/>
      <c r="AS179" s="362"/>
      <c r="AT179" s="362"/>
      <c r="AU179" s="362"/>
      <c r="AV179" s="362"/>
      <c r="AW179" s="362"/>
      <c r="AX179" s="362"/>
      <c r="AY179" s="362"/>
      <c r="AZ179" s="362"/>
      <c r="BA179" s="362"/>
      <c r="BB179" s="362"/>
      <c r="BC179" s="362"/>
      <c r="BD179" s="389" t="s">
        <v>638</v>
      </c>
      <c r="BE179" s="389"/>
      <c r="BF179" s="389"/>
      <c r="BG179" s="389"/>
      <c r="BH179" s="389"/>
      <c r="BI179" s="403"/>
      <c r="BJ179" s="106"/>
      <c r="BK179" s="146"/>
    </row>
    <row r="180" spans="1:63" s="107" customFormat="1" ht="26.1" hidden="1" customHeight="1" x14ac:dyDescent="0.3">
      <c r="A180" s="108"/>
      <c r="B180" s="351"/>
      <c r="C180" s="352"/>
      <c r="D180" s="352"/>
      <c r="E180" s="376"/>
      <c r="F180" s="376"/>
      <c r="G180" s="376"/>
      <c r="H180" s="376"/>
      <c r="I180" s="376"/>
      <c r="J180" s="376"/>
      <c r="K180" s="370"/>
      <c r="L180" s="371"/>
      <c r="M180" s="371"/>
      <c r="N180" s="371"/>
      <c r="O180" s="371"/>
      <c r="P180" s="371"/>
      <c r="Q180" s="371"/>
      <c r="R180" s="371"/>
      <c r="S180" s="371"/>
      <c r="T180" s="371"/>
      <c r="U180" s="371"/>
      <c r="V180" s="371"/>
      <c r="W180" s="371"/>
      <c r="X180" s="371"/>
      <c r="Y180" s="371"/>
      <c r="Z180" s="371"/>
      <c r="AA180" s="371"/>
      <c r="AB180" s="372"/>
      <c r="AC180" s="362"/>
      <c r="AD180" s="362"/>
      <c r="AE180" s="362"/>
      <c r="AF180" s="362"/>
      <c r="AG180" s="362"/>
      <c r="AH180" s="362"/>
      <c r="AI180" s="362"/>
      <c r="AJ180" s="362"/>
      <c r="AK180" s="362"/>
      <c r="AL180" s="362"/>
      <c r="AM180" s="362"/>
      <c r="AN180" s="362"/>
      <c r="AO180" s="362"/>
      <c r="AP180" s="362"/>
      <c r="AQ180" s="362"/>
      <c r="AR180" s="362"/>
      <c r="AS180" s="362"/>
      <c r="AT180" s="362"/>
      <c r="AU180" s="362"/>
      <c r="AV180" s="362"/>
      <c r="AW180" s="362"/>
      <c r="AX180" s="362"/>
      <c r="AY180" s="362"/>
      <c r="AZ180" s="362"/>
      <c r="BA180" s="362"/>
      <c r="BB180" s="362"/>
      <c r="BC180" s="362"/>
      <c r="BD180" s="393"/>
      <c r="BE180" s="393"/>
      <c r="BF180" s="393"/>
      <c r="BG180" s="393"/>
      <c r="BH180" s="393"/>
      <c r="BI180" s="394"/>
      <c r="BJ180" s="106"/>
      <c r="BK180" s="146"/>
    </row>
    <row r="181" spans="1:63" s="107" customFormat="1" ht="26.1" hidden="1" customHeight="1" x14ac:dyDescent="0.3">
      <c r="A181" s="108"/>
      <c r="B181" s="351"/>
      <c r="C181" s="352"/>
      <c r="D181" s="352"/>
      <c r="E181" s="376"/>
      <c r="F181" s="376"/>
      <c r="G181" s="376"/>
      <c r="H181" s="376"/>
      <c r="I181" s="376"/>
      <c r="J181" s="376"/>
      <c r="K181" s="370"/>
      <c r="L181" s="371"/>
      <c r="M181" s="371"/>
      <c r="N181" s="371"/>
      <c r="O181" s="371"/>
      <c r="P181" s="371"/>
      <c r="Q181" s="371"/>
      <c r="R181" s="371"/>
      <c r="S181" s="371"/>
      <c r="T181" s="371"/>
      <c r="U181" s="371"/>
      <c r="V181" s="371"/>
      <c r="W181" s="371"/>
      <c r="X181" s="371"/>
      <c r="Y181" s="371"/>
      <c r="Z181" s="371"/>
      <c r="AA181" s="371"/>
      <c r="AB181" s="372"/>
      <c r="AC181" s="362"/>
      <c r="AD181" s="362"/>
      <c r="AE181" s="362"/>
      <c r="AF181" s="362"/>
      <c r="AG181" s="362"/>
      <c r="AH181" s="362"/>
      <c r="AI181" s="362"/>
      <c r="AJ181" s="362"/>
      <c r="AK181" s="362"/>
      <c r="AL181" s="362"/>
      <c r="AM181" s="362"/>
      <c r="AN181" s="362"/>
      <c r="AO181" s="362"/>
      <c r="AP181" s="362"/>
      <c r="AQ181" s="362"/>
      <c r="AR181" s="362"/>
      <c r="AS181" s="362"/>
      <c r="AT181" s="362"/>
      <c r="AU181" s="362"/>
      <c r="AV181" s="362"/>
      <c r="AW181" s="362"/>
      <c r="AX181" s="362"/>
      <c r="AY181" s="362"/>
      <c r="AZ181" s="362"/>
      <c r="BA181" s="362"/>
      <c r="BB181" s="362"/>
      <c r="BC181" s="362"/>
      <c r="BD181" s="393"/>
      <c r="BE181" s="393"/>
      <c r="BF181" s="393"/>
      <c r="BG181" s="393"/>
      <c r="BH181" s="393"/>
      <c r="BI181" s="394"/>
      <c r="BJ181" s="106"/>
      <c r="BK181" s="146"/>
    </row>
    <row r="182" spans="1:63" s="107" customFormat="1" ht="26.1" hidden="1" customHeight="1" thickBot="1" x14ac:dyDescent="0.35">
      <c r="A182" s="108"/>
      <c r="B182" s="404"/>
      <c r="C182" s="405"/>
      <c r="D182" s="405"/>
      <c r="E182" s="392"/>
      <c r="F182" s="392"/>
      <c r="G182" s="392"/>
      <c r="H182" s="392"/>
      <c r="I182" s="392"/>
      <c r="J182" s="392"/>
      <c r="K182" s="373"/>
      <c r="L182" s="374"/>
      <c r="M182" s="374"/>
      <c r="N182" s="374"/>
      <c r="O182" s="374"/>
      <c r="P182" s="374"/>
      <c r="Q182" s="374"/>
      <c r="R182" s="374"/>
      <c r="S182" s="374"/>
      <c r="T182" s="374"/>
      <c r="U182" s="374"/>
      <c r="V182" s="374"/>
      <c r="W182" s="374"/>
      <c r="X182" s="374"/>
      <c r="Y182" s="374"/>
      <c r="Z182" s="374"/>
      <c r="AA182" s="374"/>
      <c r="AB182" s="375"/>
      <c r="AC182" s="409"/>
      <c r="AD182" s="409"/>
      <c r="AE182" s="409"/>
      <c r="AF182" s="409"/>
      <c r="AG182" s="409"/>
      <c r="AH182" s="409"/>
      <c r="AI182" s="409"/>
      <c r="AJ182" s="409"/>
      <c r="AK182" s="409"/>
      <c r="AL182" s="409"/>
      <c r="AM182" s="409"/>
      <c r="AN182" s="409"/>
      <c r="AO182" s="409"/>
      <c r="AP182" s="409"/>
      <c r="AQ182" s="409"/>
      <c r="AR182" s="409"/>
      <c r="AS182" s="409"/>
      <c r="AT182" s="409"/>
      <c r="AU182" s="409"/>
      <c r="AV182" s="409"/>
      <c r="AW182" s="409"/>
      <c r="AX182" s="409"/>
      <c r="AY182" s="409"/>
      <c r="AZ182" s="409"/>
      <c r="BA182" s="409"/>
      <c r="BB182" s="409"/>
      <c r="BC182" s="409"/>
      <c r="BD182" s="395"/>
      <c r="BE182" s="395"/>
      <c r="BF182" s="395"/>
      <c r="BG182" s="395"/>
      <c r="BH182" s="395"/>
      <c r="BI182" s="396"/>
      <c r="BJ182" s="106"/>
      <c r="BK182" s="146"/>
    </row>
    <row r="183" spans="1:63" s="107" customFormat="1" ht="26.1" hidden="1" customHeight="1" thickTop="1" x14ac:dyDescent="0.3">
      <c r="A183" s="108"/>
      <c r="B183" s="335">
        <v>12</v>
      </c>
      <c r="C183" s="336"/>
      <c r="D183" s="336"/>
      <c r="E183" s="339" t="s">
        <v>621</v>
      </c>
      <c r="F183" s="339"/>
      <c r="G183" s="339"/>
      <c r="H183" s="339"/>
      <c r="I183" s="339"/>
      <c r="J183" s="339"/>
      <c r="K183" s="340"/>
      <c r="L183" s="341"/>
      <c r="M183" s="341"/>
      <c r="N183" s="341"/>
      <c r="O183" s="341"/>
      <c r="P183" s="341"/>
      <c r="Q183" s="341"/>
      <c r="R183" s="341"/>
      <c r="S183" s="341"/>
      <c r="T183" s="341"/>
      <c r="U183" s="341"/>
      <c r="V183" s="341"/>
      <c r="W183" s="341"/>
      <c r="X183" s="341"/>
      <c r="Y183" s="341"/>
      <c r="Z183" s="341"/>
      <c r="AA183" s="341"/>
      <c r="AB183" s="342"/>
      <c r="AC183" s="408"/>
      <c r="AD183" s="408"/>
      <c r="AE183" s="408"/>
      <c r="AF183" s="408"/>
      <c r="AG183" s="408"/>
      <c r="AH183" s="408"/>
      <c r="AI183" s="408"/>
      <c r="AJ183" s="408"/>
      <c r="AK183" s="408"/>
      <c r="AL183" s="408"/>
      <c r="AM183" s="408"/>
      <c r="AN183" s="408"/>
      <c r="AO183" s="408"/>
      <c r="AP183" s="408"/>
      <c r="AQ183" s="408"/>
      <c r="AR183" s="408"/>
      <c r="AS183" s="408"/>
      <c r="AT183" s="408"/>
      <c r="AU183" s="408"/>
      <c r="AV183" s="408"/>
      <c r="AW183" s="408"/>
      <c r="AX183" s="408"/>
      <c r="AY183" s="408"/>
      <c r="AZ183" s="408"/>
      <c r="BA183" s="408"/>
      <c r="BB183" s="408"/>
      <c r="BC183" s="408"/>
      <c r="BD183" s="410" t="s">
        <v>246</v>
      </c>
      <c r="BE183" s="410"/>
      <c r="BF183" s="410"/>
      <c r="BG183" s="410"/>
      <c r="BH183" s="410"/>
      <c r="BI183" s="411"/>
      <c r="BJ183" s="106"/>
      <c r="BK183" s="146"/>
    </row>
    <row r="184" spans="1:63" s="107" customFormat="1" ht="26.1" hidden="1" customHeight="1" x14ac:dyDescent="0.3">
      <c r="A184" s="108"/>
      <c r="B184" s="337"/>
      <c r="C184" s="338"/>
      <c r="D184" s="338"/>
      <c r="E184" s="376"/>
      <c r="F184" s="376"/>
      <c r="G184" s="376"/>
      <c r="H184" s="376"/>
      <c r="I184" s="376"/>
      <c r="J184" s="376"/>
      <c r="K184" s="343"/>
      <c r="L184" s="344"/>
      <c r="M184" s="344"/>
      <c r="N184" s="344"/>
      <c r="O184" s="344"/>
      <c r="P184" s="344"/>
      <c r="Q184" s="344"/>
      <c r="R184" s="344"/>
      <c r="S184" s="344"/>
      <c r="T184" s="344"/>
      <c r="U184" s="344"/>
      <c r="V184" s="344"/>
      <c r="W184" s="344"/>
      <c r="X184" s="344"/>
      <c r="Y184" s="344"/>
      <c r="Z184" s="344"/>
      <c r="AA184" s="344"/>
      <c r="AB184" s="345"/>
      <c r="AC184" s="362"/>
      <c r="AD184" s="362"/>
      <c r="AE184" s="362"/>
      <c r="AF184" s="362"/>
      <c r="AG184" s="362"/>
      <c r="AH184" s="362"/>
      <c r="AI184" s="362"/>
      <c r="AJ184" s="362"/>
      <c r="AK184" s="362"/>
      <c r="AL184" s="362"/>
      <c r="AM184" s="362"/>
      <c r="AN184" s="362"/>
      <c r="AO184" s="362"/>
      <c r="AP184" s="362"/>
      <c r="AQ184" s="362"/>
      <c r="AR184" s="362"/>
      <c r="AS184" s="362"/>
      <c r="AT184" s="362"/>
      <c r="AU184" s="362"/>
      <c r="AV184" s="362"/>
      <c r="AW184" s="362"/>
      <c r="AX184" s="362"/>
      <c r="AY184" s="362"/>
      <c r="AZ184" s="362"/>
      <c r="BA184" s="362"/>
      <c r="BB184" s="362"/>
      <c r="BC184" s="362"/>
      <c r="BD184" s="412"/>
      <c r="BE184" s="412"/>
      <c r="BF184" s="412"/>
      <c r="BG184" s="412"/>
      <c r="BH184" s="412"/>
      <c r="BI184" s="413"/>
      <c r="BJ184" s="106"/>
      <c r="BK184" s="146"/>
    </row>
    <row r="185" spans="1:63" s="107" customFormat="1" ht="26.1" hidden="1" customHeight="1" x14ac:dyDescent="0.3">
      <c r="A185" s="108"/>
      <c r="B185" s="337"/>
      <c r="C185" s="338"/>
      <c r="D185" s="338"/>
      <c r="E185" s="376"/>
      <c r="F185" s="376"/>
      <c r="G185" s="376"/>
      <c r="H185" s="376"/>
      <c r="I185" s="376"/>
      <c r="J185" s="376"/>
      <c r="K185" s="346"/>
      <c r="L185" s="347"/>
      <c r="M185" s="347"/>
      <c r="N185" s="347"/>
      <c r="O185" s="347"/>
      <c r="P185" s="347"/>
      <c r="Q185" s="347"/>
      <c r="R185" s="347"/>
      <c r="S185" s="347"/>
      <c r="T185" s="347"/>
      <c r="U185" s="347"/>
      <c r="V185" s="347"/>
      <c r="W185" s="347"/>
      <c r="X185" s="347"/>
      <c r="Y185" s="347"/>
      <c r="Z185" s="347"/>
      <c r="AA185" s="347"/>
      <c r="AB185" s="348"/>
      <c r="AC185" s="362"/>
      <c r="AD185" s="362"/>
      <c r="AE185" s="362"/>
      <c r="AF185" s="362"/>
      <c r="AG185" s="362"/>
      <c r="AH185" s="362"/>
      <c r="AI185" s="362"/>
      <c r="AJ185" s="362"/>
      <c r="AK185" s="362"/>
      <c r="AL185" s="362"/>
      <c r="AM185" s="362"/>
      <c r="AN185" s="362"/>
      <c r="AO185" s="362"/>
      <c r="AP185" s="362"/>
      <c r="AQ185" s="362"/>
      <c r="AR185" s="362"/>
      <c r="AS185" s="362"/>
      <c r="AT185" s="362"/>
      <c r="AU185" s="362"/>
      <c r="AV185" s="362"/>
      <c r="AW185" s="362"/>
      <c r="AX185" s="362"/>
      <c r="AY185" s="362"/>
      <c r="AZ185" s="362"/>
      <c r="BA185" s="362"/>
      <c r="BB185" s="362"/>
      <c r="BC185" s="362"/>
      <c r="BD185" s="412"/>
      <c r="BE185" s="412"/>
      <c r="BF185" s="412"/>
      <c r="BG185" s="412"/>
      <c r="BH185" s="412"/>
      <c r="BI185" s="413"/>
      <c r="BJ185" s="106"/>
      <c r="BK185" s="146"/>
    </row>
    <row r="186" spans="1:63" s="107" customFormat="1" ht="26.1" hidden="1" customHeight="1" x14ac:dyDescent="0.3">
      <c r="A186" s="108"/>
      <c r="B186" s="337"/>
      <c r="C186" s="338"/>
      <c r="D186" s="338"/>
      <c r="E186" s="376"/>
      <c r="F186" s="376"/>
      <c r="G186" s="376"/>
      <c r="H186" s="376"/>
      <c r="I186" s="376"/>
      <c r="J186" s="376"/>
      <c r="K186" s="367"/>
      <c r="L186" s="368"/>
      <c r="M186" s="368"/>
      <c r="N186" s="368"/>
      <c r="O186" s="368"/>
      <c r="P186" s="368"/>
      <c r="Q186" s="368"/>
      <c r="R186" s="368"/>
      <c r="S186" s="368"/>
      <c r="T186" s="368"/>
      <c r="U186" s="368"/>
      <c r="V186" s="368"/>
      <c r="W186" s="368"/>
      <c r="X186" s="368"/>
      <c r="Y186" s="368"/>
      <c r="Z186" s="368"/>
      <c r="AA186" s="368"/>
      <c r="AB186" s="369"/>
      <c r="AC186" s="362"/>
      <c r="AD186" s="362"/>
      <c r="AE186" s="362"/>
      <c r="AF186" s="362"/>
      <c r="AG186" s="362"/>
      <c r="AH186" s="362"/>
      <c r="AI186" s="362"/>
      <c r="AJ186" s="362"/>
      <c r="AK186" s="362"/>
      <c r="AL186" s="362"/>
      <c r="AM186" s="362"/>
      <c r="AN186" s="362"/>
      <c r="AO186" s="362"/>
      <c r="AP186" s="362"/>
      <c r="AQ186" s="362"/>
      <c r="AR186" s="362"/>
      <c r="AS186" s="362"/>
      <c r="AT186" s="362"/>
      <c r="AU186" s="362"/>
      <c r="AV186" s="362"/>
      <c r="AW186" s="362"/>
      <c r="AX186" s="362"/>
      <c r="AY186" s="362"/>
      <c r="AZ186" s="362"/>
      <c r="BA186" s="362"/>
      <c r="BB186" s="362"/>
      <c r="BC186" s="362"/>
      <c r="BD186" s="412"/>
      <c r="BE186" s="412"/>
      <c r="BF186" s="412"/>
      <c r="BG186" s="412"/>
      <c r="BH186" s="412"/>
      <c r="BI186" s="413"/>
      <c r="BJ186" s="106"/>
      <c r="BK186" s="146"/>
    </row>
    <row r="187" spans="1:63" s="107" customFormat="1" ht="26.1" hidden="1" customHeight="1" x14ac:dyDescent="0.3">
      <c r="A187" s="108"/>
      <c r="B187" s="337"/>
      <c r="C187" s="338"/>
      <c r="D187" s="338"/>
      <c r="E187" s="350" t="s">
        <v>457</v>
      </c>
      <c r="F187" s="350"/>
      <c r="G187" s="350"/>
      <c r="H187" s="350"/>
      <c r="I187" s="350"/>
      <c r="J187" s="350"/>
      <c r="K187" s="370"/>
      <c r="L187" s="371"/>
      <c r="M187" s="371"/>
      <c r="N187" s="371"/>
      <c r="O187" s="371"/>
      <c r="P187" s="371"/>
      <c r="Q187" s="371"/>
      <c r="R187" s="371"/>
      <c r="S187" s="371"/>
      <c r="T187" s="371"/>
      <c r="U187" s="371"/>
      <c r="V187" s="371"/>
      <c r="W187" s="371"/>
      <c r="X187" s="371"/>
      <c r="Y187" s="371"/>
      <c r="Z187" s="371"/>
      <c r="AA187" s="371"/>
      <c r="AB187" s="372"/>
      <c r="AC187" s="362"/>
      <c r="AD187" s="362"/>
      <c r="AE187" s="362"/>
      <c r="AF187" s="362"/>
      <c r="AG187" s="362"/>
      <c r="AH187" s="362"/>
      <c r="AI187" s="362"/>
      <c r="AJ187" s="362"/>
      <c r="AK187" s="362"/>
      <c r="AL187" s="362"/>
      <c r="AM187" s="362"/>
      <c r="AN187" s="362"/>
      <c r="AO187" s="362"/>
      <c r="AP187" s="362"/>
      <c r="AQ187" s="362"/>
      <c r="AR187" s="362"/>
      <c r="AS187" s="362"/>
      <c r="AT187" s="362"/>
      <c r="AU187" s="362"/>
      <c r="AV187" s="362"/>
      <c r="AW187" s="362"/>
      <c r="AX187" s="362"/>
      <c r="AY187" s="362"/>
      <c r="AZ187" s="362"/>
      <c r="BA187" s="362"/>
      <c r="BB187" s="362"/>
      <c r="BC187" s="362"/>
      <c r="BD187" s="389" t="s">
        <v>88</v>
      </c>
      <c r="BE187" s="389"/>
      <c r="BF187" s="389"/>
      <c r="BG187" s="389"/>
      <c r="BH187" s="389"/>
      <c r="BI187" s="403"/>
      <c r="BJ187" s="106"/>
      <c r="BK187" s="146"/>
    </row>
    <row r="188" spans="1:63" s="107" customFormat="1" ht="26.1" hidden="1" customHeight="1" x14ac:dyDescent="0.3">
      <c r="A188" s="108"/>
      <c r="B188" s="337"/>
      <c r="C188" s="338"/>
      <c r="D188" s="338"/>
      <c r="E188" s="376"/>
      <c r="F188" s="376"/>
      <c r="G188" s="376"/>
      <c r="H188" s="376"/>
      <c r="I188" s="376"/>
      <c r="J188" s="376"/>
      <c r="K188" s="370"/>
      <c r="L188" s="371"/>
      <c r="M188" s="371"/>
      <c r="N188" s="371"/>
      <c r="O188" s="371"/>
      <c r="P188" s="371"/>
      <c r="Q188" s="371"/>
      <c r="R188" s="371"/>
      <c r="S188" s="371"/>
      <c r="T188" s="371"/>
      <c r="U188" s="371"/>
      <c r="V188" s="371"/>
      <c r="W188" s="371"/>
      <c r="X188" s="371"/>
      <c r="Y188" s="371"/>
      <c r="Z188" s="371"/>
      <c r="AA188" s="371"/>
      <c r="AB188" s="372"/>
      <c r="AC188" s="362"/>
      <c r="AD188" s="362"/>
      <c r="AE188" s="362"/>
      <c r="AF188" s="362"/>
      <c r="AG188" s="362"/>
      <c r="AH188" s="362"/>
      <c r="AI188" s="362"/>
      <c r="AJ188" s="362"/>
      <c r="AK188" s="362"/>
      <c r="AL188" s="362"/>
      <c r="AM188" s="362"/>
      <c r="AN188" s="362"/>
      <c r="AO188" s="362"/>
      <c r="AP188" s="362"/>
      <c r="AQ188" s="362"/>
      <c r="AR188" s="362"/>
      <c r="AS188" s="362"/>
      <c r="AT188" s="362"/>
      <c r="AU188" s="362"/>
      <c r="AV188" s="362"/>
      <c r="AW188" s="362"/>
      <c r="AX188" s="362"/>
      <c r="AY188" s="362"/>
      <c r="AZ188" s="362"/>
      <c r="BA188" s="362"/>
      <c r="BB188" s="362"/>
      <c r="BC188" s="362"/>
      <c r="BD188" s="393"/>
      <c r="BE188" s="393"/>
      <c r="BF188" s="393"/>
      <c r="BG188" s="393"/>
      <c r="BH188" s="393"/>
      <c r="BI188" s="394"/>
      <c r="BJ188" s="106"/>
      <c r="BK188" s="146"/>
    </row>
    <row r="189" spans="1:63" s="107" customFormat="1" ht="26.1" hidden="1" customHeight="1" x14ac:dyDescent="0.3">
      <c r="A189" s="108"/>
      <c r="B189" s="337"/>
      <c r="C189" s="338"/>
      <c r="D189" s="338"/>
      <c r="E189" s="376"/>
      <c r="F189" s="376"/>
      <c r="G189" s="376"/>
      <c r="H189" s="376"/>
      <c r="I189" s="376"/>
      <c r="J189" s="376"/>
      <c r="K189" s="370"/>
      <c r="L189" s="371"/>
      <c r="M189" s="371"/>
      <c r="N189" s="371"/>
      <c r="O189" s="371"/>
      <c r="P189" s="371"/>
      <c r="Q189" s="371"/>
      <c r="R189" s="371"/>
      <c r="S189" s="371"/>
      <c r="T189" s="371"/>
      <c r="U189" s="371"/>
      <c r="V189" s="371"/>
      <c r="W189" s="371"/>
      <c r="X189" s="371"/>
      <c r="Y189" s="371"/>
      <c r="Z189" s="371"/>
      <c r="AA189" s="371"/>
      <c r="AB189" s="372"/>
      <c r="AC189" s="362"/>
      <c r="AD189" s="362"/>
      <c r="AE189" s="362"/>
      <c r="AF189" s="362"/>
      <c r="AG189" s="362"/>
      <c r="AH189" s="362"/>
      <c r="AI189" s="362"/>
      <c r="AJ189" s="362"/>
      <c r="AK189" s="362"/>
      <c r="AL189" s="362"/>
      <c r="AM189" s="362"/>
      <c r="AN189" s="362"/>
      <c r="AO189" s="362"/>
      <c r="AP189" s="362"/>
      <c r="AQ189" s="362"/>
      <c r="AR189" s="362"/>
      <c r="AS189" s="362"/>
      <c r="AT189" s="362"/>
      <c r="AU189" s="362"/>
      <c r="AV189" s="362"/>
      <c r="AW189" s="362"/>
      <c r="AX189" s="362"/>
      <c r="AY189" s="362"/>
      <c r="AZ189" s="362"/>
      <c r="BA189" s="362"/>
      <c r="BB189" s="362"/>
      <c r="BC189" s="362"/>
      <c r="BD189" s="393"/>
      <c r="BE189" s="393"/>
      <c r="BF189" s="393"/>
      <c r="BG189" s="393"/>
      <c r="BH189" s="393"/>
      <c r="BI189" s="394"/>
      <c r="BJ189" s="106"/>
      <c r="BK189" s="146"/>
    </row>
    <row r="190" spans="1:63" s="107" customFormat="1" ht="26.1" hidden="1" customHeight="1" x14ac:dyDescent="0.3">
      <c r="A190" s="108"/>
      <c r="B190" s="337"/>
      <c r="C190" s="338"/>
      <c r="D190" s="338"/>
      <c r="E190" s="376"/>
      <c r="F190" s="376"/>
      <c r="G190" s="376"/>
      <c r="H190" s="376"/>
      <c r="I190" s="376"/>
      <c r="J190" s="376"/>
      <c r="K190" s="370"/>
      <c r="L190" s="371"/>
      <c r="M190" s="371"/>
      <c r="N190" s="371"/>
      <c r="O190" s="371"/>
      <c r="P190" s="371"/>
      <c r="Q190" s="371"/>
      <c r="R190" s="371"/>
      <c r="S190" s="371"/>
      <c r="T190" s="371"/>
      <c r="U190" s="371"/>
      <c r="V190" s="371"/>
      <c r="W190" s="371"/>
      <c r="X190" s="371"/>
      <c r="Y190" s="371"/>
      <c r="Z190" s="371"/>
      <c r="AA190" s="371"/>
      <c r="AB190" s="372"/>
      <c r="AC190" s="362"/>
      <c r="AD190" s="362"/>
      <c r="AE190" s="362"/>
      <c r="AF190" s="362"/>
      <c r="AG190" s="362"/>
      <c r="AH190" s="362"/>
      <c r="AI190" s="362"/>
      <c r="AJ190" s="362"/>
      <c r="AK190" s="362"/>
      <c r="AL190" s="362"/>
      <c r="AM190" s="362"/>
      <c r="AN190" s="362"/>
      <c r="AO190" s="362"/>
      <c r="AP190" s="362"/>
      <c r="AQ190" s="362"/>
      <c r="AR190" s="362"/>
      <c r="AS190" s="362"/>
      <c r="AT190" s="362"/>
      <c r="AU190" s="362"/>
      <c r="AV190" s="362"/>
      <c r="AW190" s="362"/>
      <c r="AX190" s="362"/>
      <c r="AY190" s="362"/>
      <c r="AZ190" s="362"/>
      <c r="BA190" s="362"/>
      <c r="BB190" s="362"/>
      <c r="BC190" s="362"/>
      <c r="BD190" s="393"/>
      <c r="BE190" s="393"/>
      <c r="BF190" s="393"/>
      <c r="BG190" s="393"/>
      <c r="BH190" s="393"/>
      <c r="BI190" s="394"/>
      <c r="BJ190" s="106"/>
      <c r="BK190" s="146"/>
    </row>
    <row r="191" spans="1:63" s="107" customFormat="1" ht="26.1" hidden="1" customHeight="1" x14ac:dyDescent="0.3">
      <c r="A191" s="108"/>
      <c r="B191" s="349" t="s">
        <v>637</v>
      </c>
      <c r="C191" s="350"/>
      <c r="D191" s="350"/>
      <c r="E191" s="350" t="s">
        <v>622</v>
      </c>
      <c r="F191" s="350"/>
      <c r="G191" s="350"/>
      <c r="H191" s="350"/>
      <c r="I191" s="350"/>
      <c r="J191" s="350"/>
      <c r="K191" s="370"/>
      <c r="L191" s="371"/>
      <c r="M191" s="371"/>
      <c r="N191" s="371"/>
      <c r="O191" s="371"/>
      <c r="P191" s="371"/>
      <c r="Q191" s="371"/>
      <c r="R191" s="371"/>
      <c r="S191" s="371"/>
      <c r="T191" s="371"/>
      <c r="U191" s="371"/>
      <c r="V191" s="371"/>
      <c r="W191" s="371"/>
      <c r="X191" s="371"/>
      <c r="Y191" s="371"/>
      <c r="Z191" s="371"/>
      <c r="AA191" s="371"/>
      <c r="AB191" s="372"/>
      <c r="AC191" s="362"/>
      <c r="AD191" s="362"/>
      <c r="AE191" s="362"/>
      <c r="AF191" s="362"/>
      <c r="AG191" s="362"/>
      <c r="AH191" s="362"/>
      <c r="AI191" s="362"/>
      <c r="AJ191" s="362"/>
      <c r="AK191" s="362"/>
      <c r="AL191" s="362"/>
      <c r="AM191" s="362"/>
      <c r="AN191" s="362"/>
      <c r="AO191" s="362"/>
      <c r="AP191" s="362"/>
      <c r="AQ191" s="362"/>
      <c r="AR191" s="362"/>
      <c r="AS191" s="362"/>
      <c r="AT191" s="362"/>
      <c r="AU191" s="362"/>
      <c r="AV191" s="362"/>
      <c r="AW191" s="362"/>
      <c r="AX191" s="362"/>
      <c r="AY191" s="362"/>
      <c r="AZ191" s="362"/>
      <c r="BA191" s="362"/>
      <c r="BB191" s="362"/>
      <c r="BC191" s="362"/>
      <c r="BD191" s="389" t="s">
        <v>46</v>
      </c>
      <c r="BE191" s="389"/>
      <c r="BF191" s="389"/>
      <c r="BG191" s="389"/>
      <c r="BH191" s="389"/>
      <c r="BI191" s="403"/>
      <c r="BJ191" s="106"/>
      <c r="BK191" s="146"/>
    </row>
    <row r="192" spans="1:63" s="107" customFormat="1" ht="26.1" hidden="1" customHeight="1" x14ac:dyDescent="0.3">
      <c r="A192" s="108"/>
      <c r="B192" s="351"/>
      <c r="C192" s="352"/>
      <c r="D192" s="352"/>
      <c r="E192" s="376"/>
      <c r="F192" s="376"/>
      <c r="G192" s="376"/>
      <c r="H192" s="376"/>
      <c r="I192" s="376"/>
      <c r="J192" s="376"/>
      <c r="K192" s="370"/>
      <c r="L192" s="371"/>
      <c r="M192" s="371"/>
      <c r="N192" s="371"/>
      <c r="O192" s="371"/>
      <c r="P192" s="371"/>
      <c r="Q192" s="371"/>
      <c r="R192" s="371"/>
      <c r="S192" s="371"/>
      <c r="T192" s="371"/>
      <c r="U192" s="371"/>
      <c r="V192" s="371"/>
      <c r="W192" s="371"/>
      <c r="X192" s="371"/>
      <c r="Y192" s="371"/>
      <c r="Z192" s="371"/>
      <c r="AA192" s="371"/>
      <c r="AB192" s="372"/>
      <c r="AC192" s="362"/>
      <c r="AD192" s="362"/>
      <c r="AE192" s="362"/>
      <c r="AF192" s="362"/>
      <c r="AG192" s="362"/>
      <c r="AH192" s="362"/>
      <c r="AI192" s="362"/>
      <c r="AJ192" s="362"/>
      <c r="AK192" s="362"/>
      <c r="AL192" s="362"/>
      <c r="AM192" s="362"/>
      <c r="AN192" s="362"/>
      <c r="AO192" s="362"/>
      <c r="AP192" s="362"/>
      <c r="AQ192" s="362"/>
      <c r="AR192" s="362"/>
      <c r="AS192" s="362"/>
      <c r="AT192" s="362"/>
      <c r="AU192" s="362"/>
      <c r="AV192" s="362"/>
      <c r="AW192" s="362"/>
      <c r="AX192" s="362"/>
      <c r="AY192" s="362"/>
      <c r="AZ192" s="362"/>
      <c r="BA192" s="362"/>
      <c r="BB192" s="362"/>
      <c r="BC192" s="362"/>
      <c r="BD192" s="412"/>
      <c r="BE192" s="412"/>
      <c r="BF192" s="412"/>
      <c r="BG192" s="412"/>
      <c r="BH192" s="412"/>
      <c r="BI192" s="413"/>
      <c r="BJ192" s="106"/>
      <c r="BK192" s="146"/>
    </row>
    <row r="193" spans="1:63" s="107" customFormat="1" ht="26.1" hidden="1" customHeight="1" x14ac:dyDescent="0.3">
      <c r="A193" s="108"/>
      <c r="B193" s="351"/>
      <c r="C193" s="352"/>
      <c r="D193" s="352"/>
      <c r="E193" s="376"/>
      <c r="F193" s="376"/>
      <c r="G193" s="376"/>
      <c r="H193" s="376"/>
      <c r="I193" s="376"/>
      <c r="J193" s="376"/>
      <c r="K193" s="370"/>
      <c r="L193" s="371"/>
      <c r="M193" s="371"/>
      <c r="N193" s="371"/>
      <c r="O193" s="371"/>
      <c r="P193" s="371"/>
      <c r="Q193" s="371"/>
      <c r="R193" s="371"/>
      <c r="S193" s="371"/>
      <c r="T193" s="371"/>
      <c r="U193" s="371"/>
      <c r="V193" s="371"/>
      <c r="W193" s="371"/>
      <c r="X193" s="371"/>
      <c r="Y193" s="371"/>
      <c r="Z193" s="371"/>
      <c r="AA193" s="371"/>
      <c r="AB193" s="372"/>
      <c r="AC193" s="362"/>
      <c r="AD193" s="362"/>
      <c r="AE193" s="362"/>
      <c r="AF193" s="362"/>
      <c r="AG193" s="362"/>
      <c r="AH193" s="362"/>
      <c r="AI193" s="362"/>
      <c r="AJ193" s="362"/>
      <c r="AK193" s="362"/>
      <c r="AL193" s="362"/>
      <c r="AM193" s="362"/>
      <c r="AN193" s="362"/>
      <c r="AO193" s="362"/>
      <c r="AP193" s="362"/>
      <c r="AQ193" s="362"/>
      <c r="AR193" s="362"/>
      <c r="AS193" s="362"/>
      <c r="AT193" s="362"/>
      <c r="AU193" s="362"/>
      <c r="AV193" s="362"/>
      <c r="AW193" s="362"/>
      <c r="AX193" s="362"/>
      <c r="AY193" s="362"/>
      <c r="AZ193" s="362"/>
      <c r="BA193" s="362"/>
      <c r="BB193" s="362"/>
      <c r="BC193" s="362"/>
      <c r="BD193" s="412"/>
      <c r="BE193" s="412"/>
      <c r="BF193" s="412"/>
      <c r="BG193" s="412"/>
      <c r="BH193" s="412"/>
      <c r="BI193" s="413"/>
      <c r="BJ193" s="106"/>
      <c r="BK193" s="146"/>
    </row>
    <row r="194" spans="1:63" s="107" customFormat="1" ht="26.1" hidden="1" customHeight="1" x14ac:dyDescent="0.3">
      <c r="A194" s="108"/>
      <c r="B194" s="351"/>
      <c r="C194" s="352"/>
      <c r="D194" s="352"/>
      <c r="E194" s="376"/>
      <c r="F194" s="376"/>
      <c r="G194" s="376"/>
      <c r="H194" s="376"/>
      <c r="I194" s="376"/>
      <c r="J194" s="376"/>
      <c r="K194" s="370"/>
      <c r="L194" s="371"/>
      <c r="M194" s="371"/>
      <c r="N194" s="371"/>
      <c r="O194" s="371"/>
      <c r="P194" s="371"/>
      <c r="Q194" s="371"/>
      <c r="R194" s="371"/>
      <c r="S194" s="371"/>
      <c r="T194" s="371"/>
      <c r="U194" s="371"/>
      <c r="V194" s="371"/>
      <c r="W194" s="371"/>
      <c r="X194" s="371"/>
      <c r="Y194" s="371"/>
      <c r="Z194" s="371"/>
      <c r="AA194" s="371"/>
      <c r="AB194" s="372"/>
      <c r="AC194" s="362"/>
      <c r="AD194" s="362"/>
      <c r="AE194" s="362"/>
      <c r="AF194" s="362"/>
      <c r="AG194" s="362"/>
      <c r="AH194" s="362"/>
      <c r="AI194" s="362"/>
      <c r="AJ194" s="362"/>
      <c r="AK194" s="362"/>
      <c r="AL194" s="362"/>
      <c r="AM194" s="362"/>
      <c r="AN194" s="362"/>
      <c r="AO194" s="362"/>
      <c r="AP194" s="362"/>
      <c r="AQ194" s="362"/>
      <c r="AR194" s="362"/>
      <c r="AS194" s="362"/>
      <c r="AT194" s="362"/>
      <c r="AU194" s="362"/>
      <c r="AV194" s="362"/>
      <c r="AW194" s="362"/>
      <c r="AX194" s="362"/>
      <c r="AY194" s="362"/>
      <c r="AZ194" s="362"/>
      <c r="BA194" s="362"/>
      <c r="BB194" s="362"/>
      <c r="BC194" s="362"/>
      <c r="BD194" s="412"/>
      <c r="BE194" s="412"/>
      <c r="BF194" s="412"/>
      <c r="BG194" s="412"/>
      <c r="BH194" s="412"/>
      <c r="BI194" s="413"/>
      <c r="BJ194" s="106"/>
      <c r="BK194" s="146"/>
    </row>
    <row r="195" spans="1:63" s="107" customFormat="1" ht="24" hidden="1" customHeight="1" x14ac:dyDescent="0.3">
      <c r="A195" s="108"/>
      <c r="B195" s="356" t="s">
        <v>459</v>
      </c>
      <c r="C195" s="357"/>
      <c r="D195" s="357"/>
      <c r="E195" s="350" t="s">
        <v>623</v>
      </c>
      <c r="F195" s="350"/>
      <c r="G195" s="350"/>
      <c r="H195" s="350"/>
      <c r="I195" s="350"/>
      <c r="J195" s="350"/>
      <c r="K195" s="370"/>
      <c r="L195" s="371"/>
      <c r="M195" s="371"/>
      <c r="N195" s="371"/>
      <c r="O195" s="371"/>
      <c r="P195" s="371"/>
      <c r="Q195" s="371"/>
      <c r="R195" s="371"/>
      <c r="S195" s="371"/>
      <c r="T195" s="371"/>
      <c r="U195" s="371"/>
      <c r="V195" s="371"/>
      <c r="W195" s="371"/>
      <c r="X195" s="371"/>
      <c r="Y195" s="371"/>
      <c r="Z195" s="371"/>
      <c r="AA195" s="371"/>
      <c r="AB195" s="372"/>
      <c r="AC195" s="362"/>
      <c r="AD195" s="362"/>
      <c r="AE195" s="362"/>
      <c r="AF195" s="362"/>
      <c r="AG195" s="362"/>
      <c r="AH195" s="362"/>
      <c r="AI195" s="362"/>
      <c r="AJ195" s="362"/>
      <c r="AK195" s="362"/>
      <c r="AL195" s="362"/>
      <c r="AM195" s="362"/>
      <c r="AN195" s="362"/>
      <c r="AO195" s="362"/>
      <c r="AP195" s="362"/>
      <c r="AQ195" s="362"/>
      <c r="AR195" s="362"/>
      <c r="AS195" s="362"/>
      <c r="AT195" s="362"/>
      <c r="AU195" s="362"/>
      <c r="AV195" s="362"/>
      <c r="AW195" s="362"/>
      <c r="AX195" s="362"/>
      <c r="AY195" s="362"/>
      <c r="AZ195" s="362"/>
      <c r="BA195" s="362"/>
      <c r="BB195" s="362"/>
      <c r="BC195" s="362"/>
      <c r="BD195" s="389" t="s">
        <v>638</v>
      </c>
      <c r="BE195" s="389"/>
      <c r="BF195" s="389"/>
      <c r="BG195" s="389"/>
      <c r="BH195" s="389"/>
      <c r="BI195" s="403"/>
      <c r="BJ195" s="106"/>
      <c r="BK195" s="146"/>
    </row>
    <row r="196" spans="1:63" s="107" customFormat="1" ht="24" hidden="1" customHeight="1" x14ac:dyDescent="0.3">
      <c r="A196" s="108"/>
      <c r="B196" s="351"/>
      <c r="C196" s="352"/>
      <c r="D196" s="352"/>
      <c r="E196" s="376"/>
      <c r="F196" s="376"/>
      <c r="G196" s="376"/>
      <c r="H196" s="376"/>
      <c r="I196" s="376"/>
      <c r="J196" s="376"/>
      <c r="K196" s="370"/>
      <c r="L196" s="371"/>
      <c r="M196" s="371"/>
      <c r="N196" s="371"/>
      <c r="O196" s="371"/>
      <c r="P196" s="371"/>
      <c r="Q196" s="371"/>
      <c r="R196" s="371"/>
      <c r="S196" s="371"/>
      <c r="T196" s="371"/>
      <c r="U196" s="371"/>
      <c r="V196" s="371"/>
      <c r="W196" s="371"/>
      <c r="X196" s="371"/>
      <c r="Y196" s="371"/>
      <c r="Z196" s="371"/>
      <c r="AA196" s="371"/>
      <c r="AB196" s="372"/>
      <c r="AC196" s="362"/>
      <c r="AD196" s="362"/>
      <c r="AE196" s="362"/>
      <c r="AF196" s="362"/>
      <c r="AG196" s="362"/>
      <c r="AH196" s="362"/>
      <c r="AI196" s="362"/>
      <c r="AJ196" s="362"/>
      <c r="AK196" s="362"/>
      <c r="AL196" s="362"/>
      <c r="AM196" s="362"/>
      <c r="AN196" s="362"/>
      <c r="AO196" s="362"/>
      <c r="AP196" s="362"/>
      <c r="AQ196" s="362"/>
      <c r="AR196" s="362"/>
      <c r="AS196" s="362"/>
      <c r="AT196" s="362"/>
      <c r="AU196" s="362"/>
      <c r="AV196" s="362"/>
      <c r="AW196" s="362"/>
      <c r="AX196" s="362"/>
      <c r="AY196" s="362"/>
      <c r="AZ196" s="362"/>
      <c r="BA196" s="362"/>
      <c r="BB196" s="362"/>
      <c r="BC196" s="362"/>
      <c r="BD196" s="393"/>
      <c r="BE196" s="393"/>
      <c r="BF196" s="393"/>
      <c r="BG196" s="393"/>
      <c r="BH196" s="393"/>
      <c r="BI196" s="394"/>
      <c r="BJ196" s="106"/>
      <c r="BK196" s="146"/>
    </row>
    <row r="197" spans="1:63" s="107" customFormat="1" ht="24" hidden="1" customHeight="1" x14ac:dyDescent="0.3">
      <c r="A197" s="108"/>
      <c r="B197" s="351"/>
      <c r="C197" s="352"/>
      <c r="D197" s="352"/>
      <c r="E197" s="376"/>
      <c r="F197" s="376"/>
      <c r="G197" s="376"/>
      <c r="H197" s="376"/>
      <c r="I197" s="376"/>
      <c r="J197" s="376"/>
      <c r="K197" s="370"/>
      <c r="L197" s="371"/>
      <c r="M197" s="371"/>
      <c r="N197" s="371"/>
      <c r="O197" s="371"/>
      <c r="P197" s="371"/>
      <c r="Q197" s="371"/>
      <c r="R197" s="371"/>
      <c r="S197" s="371"/>
      <c r="T197" s="371"/>
      <c r="U197" s="371"/>
      <c r="V197" s="371"/>
      <c r="W197" s="371"/>
      <c r="X197" s="371"/>
      <c r="Y197" s="371"/>
      <c r="Z197" s="371"/>
      <c r="AA197" s="371"/>
      <c r="AB197" s="372"/>
      <c r="AC197" s="362"/>
      <c r="AD197" s="362"/>
      <c r="AE197" s="362"/>
      <c r="AF197" s="362"/>
      <c r="AG197" s="362"/>
      <c r="AH197" s="362"/>
      <c r="AI197" s="362"/>
      <c r="AJ197" s="362"/>
      <c r="AK197" s="362"/>
      <c r="AL197" s="362"/>
      <c r="AM197" s="362"/>
      <c r="AN197" s="362"/>
      <c r="AO197" s="362"/>
      <c r="AP197" s="362"/>
      <c r="AQ197" s="362"/>
      <c r="AR197" s="362"/>
      <c r="AS197" s="362"/>
      <c r="AT197" s="362"/>
      <c r="AU197" s="362"/>
      <c r="AV197" s="362"/>
      <c r="AW197" s="362"/>
      <c r="AX197" s="362"/>
      <c r="AY197" s="362"/>
      <c r="AZ197" s="362"/>
      <c r="BA197" s="362"/>
      <c r="BB197" s="362"/>
      <c r="BC197" s="362"/>
      <c r="BD197" s="393"/>
      <c r="BE197" s="393"/>
      <c r="BF197" s="393"/>
      <c r="BG197" s="393"/>
      <c r="BH197" s="393"/>
      <c r="BI197" s="394"/>
      <c r="BJ197" s="106"/>
      <c r="BK197" s="146"/>
    </row>
    <row r="198" spans="1:63" s="107" customFormat="1" ht="24" hidden="1" customHeight="1" thickBot="1" x14ac:dyDescent="0.35">
      <c r="A198" s="108"/>
      <c r="B198" s="404"/>
      <c r="C198" s="405"/>
      <c r="D198" s="405"/>
      <c r="E198" s="392"/>
      <c r="F198" s="392"/>
      <c r="G198" s="392"/>
      <c r="H198" s="392"/>
      <c r="I198" s="392"/>
      <c r="J198" s="392"/>
      <c r="K198" s="373"/>
      <c r="L198" s="374"/>
      <c r="M198" s="374"/>
      <c r="N198" s="374"/>
      <c r="O198" s="374"/>
      <c r="P198" s="374"/>
      <c r="Q198" s="374"/>
      <c r="R198" s="374"/>
      <c r="S198" s="374"/>
      <c r="T198" s="374"/>
      <c r="U198" s="374"/>
      <c r="V198" s="374"/>
      <c r="W198" s="374"/>
      <c r="X198" s="374"/>
      <c r="Y198" s="374"/>
      <c r="Z198" s="374"/>
      <c r="AA198" s="374"/>
      <c r="AB198" s="375"/>
      <c r="AC198" s="409"/>
      <c r="AD198" s="409"/>
      <c r="AE198" s="409"/>
      <c r="AF198" s="409"/>
      <c r="AG198" s="409"/>
      <c r="AH198" s="409"/>
      <c r="AI198" s="409"/>
      <c r="AJ198" s="409"/>
      <c r="AK198" s="409"/>
      <c r="AL198" s="409"/>
      <c r="AM198" s="409"/>
      <c r="AN198" s="409"/>
      <c r="AO198" s="409"/>
      <c r="AP198" s="409"/>
      <c r="AQ198" s="409"/>
      <c r="AR198" s="409"/>
      <c r="AS198" s="409"/>
      <c r="AT198" s="409"/>
      <c r="AU198" s="409"/>
      <c r="AV198" s="409"/>
      <c r="AW198" s="409"/>
      <c r="AX198" s="409"/>
      <c r="AY198" s="409"/>
      <c r="AZ198" s="409"/>
      <c r="BA198" s="409"/>
      <c r="BB198" s="409"/>
      <c r="BC198" s="409"/>
      <c r="BD198" s="395"/>
      <c r="BE198" s="395"/>
      <c r="BF198" s="395"/>
      <c r="BG198" s="395"/>
      <c r="BH198" s="395"/>
      <c r="BI198" s="396"/>
      <c r="BJ198" s="106"/>
      <c r="BK198" s="146"/>
    </row>
    <row r="199" spans="1:63" ht="4.5" customHeight="1" thickTop="1" x14ac:dyDescent="0.3">
      <c r="A199" s="146"/>
      <c r="B199" s="146"/>
      <c r="C199" s="146"/>
      <c r="D199" s="146"/>
      <c r="E199" s="146"/>
      <c r="F199" s="146"/>
      <c r="G199" s="146"/>
      <c r="H199" s="146"/>
      <c r="I199" s="146"/>
      <c r="J199" s="146"/>
      <c r="K199" s="146"/>
      <c r="L199" s="146"/>
      <c r="M199" s="146"/>
      <c r="N199" s="146"/>
      <c r="O199" s="146"/>
      <c r="P199" s="146"/>
      <c r="Q199" s="146"/>
      <c r="R199" s="146"/>
      <c r="S199" s="146"/>
      <c r="T199" s="146"/>
      <c r="U199" s="146"/>
      <c r="V199" s="146"/>
      <c r="W199" s="146"/>
      <c r="X199" s="146"/>
      <c r="Y199" s="146"/>
      <c r="Z199" s="146"/>
      <c r="AA199" s="146"/>
      <c r="AB199" s="146"/>
      <c r="AC199" s="146"/>
      <c r="AD199" s="146"/>
      <c r="AE199" s="146"/>
      <c r="AF199" s="146"/>
      <c r="AG199" s="146"/>
      <c r="AH199" s="146"/>
      <c r="AI199" s="146"/>
      <c r="AJ199" s="146"/>
      <c r="AK199" s="146"/>
      <c r="AL199" s="146"/>
      <c r="AM199" s="146"/>
      <c r="AN199" s="146"/>
      <c r="AO199" s="146"/>
      <c r="AP199" s="146"/>
      <c r="AQ199" s="146"/>
      <c r="AR199" s="146"/>
      <c r="AS199" s="146"/>
      <c r="AT199" s="146"/>
      <c r="AU199" s="146"/>
      <c r="AV199" s="146"/>
      <c r="AW199" s="146"/>
      <c r="AX199" s="146"/>
      <c r="AY199" s="146"/>
      <c r="AZ199" s="146"/>
      <c r="BA199" s="146"/>
      <c r="BB199" s="146"/>
      <c r="BC199" s="146"/>
      <c r="BD199" s="146"/>
      <c r="BE199" s="146"/>
      <c r="BF199" s="146"/>
      <c r="BG199" s="146"/>
      <c r="BH199" s="146"/>
      <c r="BI199" s="146"/>
      <c r="BJ199" s="146"/>
      <c r="BK199" s="146"/>
    </row>
  </sheetData>
  <mergeCells count="309">
    <mergeCell ref="E195:J195"/>
    <mergeCell ref="BD195:BI195"/>
    <mergeCell ref="B196:D198"/>
    <mergeCell ref="E196:J198"/>
    <mergeCell ref="BD196:BI198"/>
    <mergeCell ref="E179:J179"/>
    <mergeCell ref="BD179:BI179"/>
    <mergeCell ref="B180:D182"/>
    <mergeCell ref="E180:J182"/>
    <mergeCell ref="BD180:BI182"/>
    <mergeCell ref="B183:D190"/>
    <mergeCell ref="E183:J183"/>
    <mergeCell ref="K183:AB185"/>
    <mergeCell ref="AC183:BC198"/>
    <mergeCell ref="BD183:BI183"/>
    <mergeCell ref="E184:J186"/>
    <mergeCell ref="BD184:BI186"/>
    <mergeCell ref="K186:AB198"/>
    <mergeCell ref="E187:J187"/>
    <mergeCell ref="BD187:BI187"/>
    <mergeCell ref="E188:J190"/>
    <mergeCell ref="BD188:BI190"/>
    <mergeCell ref="B191:D191"/>
    <mergeCell ref="E191:J191"/>
    <mergeCell ref="BD191:BI191"/>
    <mergeCell ref="B192:D194"/>
    <mergeCell ref="E192:J194"/>
    <mergeCell ref="BD192:BI194"/>
    <mergeCell ref="B195:D195"/>
    <mergeCell ref="E163:J163"/>
    <mergeCell ref="BD163:BI163"/>
    <mergeCell ref="B164:D166"/>
    <mergeCell ref="E164:J166"/>
    <mergeCell ref="BD164:BI166"/>
    <mergeCell ref="B167:D174"/>
    <mergeCell ref="E167:J167"/>
    <mergeCell ref="K167:AB169"/>
    <mergeCell ref="AC167:BC182"/>
    <mergeCell ref="BD167:BI167"/>
    <mergeCell ref="E168:J170"/>
    <mergeCell ref="BD168:BI170"/>
    <mergeCell ref="K170:AB182"/>
    <mergeCell ref="E171:J171"/>
    <mergeCell ref="BD171:BI171"/>
    <mergeCell ref="E172:J174"/>
    <mergeCell ref="BD172:BI174"/>
    <mergeCell ref="B175:D175"/>
    <mergeCell ref="E175:J175"/>
    <mergeCell ref="BD175:BI175"/>
    <mergeCell ref="B176:D178"/>
    <mergeCell ref="E176:J178"/>
    <mergeCell ref="BD176:BI178"/>
    <mergeCell ref="B179:D179"/>
    <mergeCell ref="E147:J147"/>
    <mergeCell ref="BD147:BI147"/>
    <mergeCell ref="B148:D150"/>
    <mergeCell ref="E148:J150"/>
    <mergeCell ref="BD148:BI150"/>
    <mergeCell ref="B151:D158"/>
    <mergeCell ref="E151:J151"/>
    <mergeCell ref="K151:AB153"/>
    <mergeCell ref="AC151:BC166"/>
    <mergeCell ref="BD151:BI151"/>
    <mergeCell ref="E152:J154"/>
    <mergeCell ref="BD152:BI154"/>
    <mergeCell ref="K154:AB166"/>
    <mergeCell ref="E155:J155"/>
    <mergeCell ref="BD155:BI155"/>
    <mergeCell ref="E156:J158"/>
    <mergeCell ref="BD156:BI158"/>
    <mergeCell ref="B159:D159"/>
    <mergeCell ref="E159:J159"/>
    <mergeCell ref="BD159:BI159"/>
    <mergeCell ref="B160:D162"/>
    <mergeCell ref="E160:J162"/>
    <mergeCell ref="BD160:BI162"/>
    <mergeCell ref="B163:D163"/>
    <mergeCell ref="E131:J131"/>
    <mergeCell ref="BD131:BI131"/>
    <mergeCell ref="B132:D134"/>
    <mergeCell ref="E132:J134"/>
    <mergeCell ref="BD132:BI134"/>
    <mergeCell ref="B135:D142"/>
    <mergeCell ref="E135:J135"/>
    <mergeCell ref="K135:AB137"/>
    <mergeCell ref="AC135:BC150"/>
    <mergeCell ref="BD135:BI135"/>
    <mergeCell ref="E136:J138"/>
    <mergeCell ref="BD136:BI138"/>
    <mergeCell ref="K138:AB150"/>
    <mergeCell ref="E139:J139"/>
    <mergeCell ref="BD139:BI139"/>
    <mergeCell ref="E140:J142"/>
    <mergeCell ref="BD140:BI142"/>
    <mergeCell ref="B143:D143"/>
    <mergeCell ref="E143:J143"/>
    <mergeCell ref="BD143:BI143"/>
    <mergeCell ref="B144:D146"/>
    <mergeCell ref="E144:J146"/>
    <mergeCell ref="BD144:BI146"/>
    <mergeCell ref="B147:D147"/>
    <mergeCell ref="E115:J115"/>
    <mergeCell ref="BD115:BI115"/>
    <mergeCell ref="B116:D118"/>
    <mergeCell ref="E116:J118"/>
    <mergeCell ref="BD116:BI118"/>
    <mergeCell ref="B119:D126"/>
    <mergeCell ref="E119:J119"/>
    <mergeCell ref="K119:AB121"/>
    <mergeCell ref="AC119:BC134"/>
    <mergeCell ref="BD119:BI119"/>
    <mergeCell ref="E120:J122"/>
    <mergeCell ref="BD120:BI122"/>
    <mergeCell ref="K122:AB134"/>
    <mergeCell ref="E123:J123"/>
    <mergeCell ref="BD123:BI123"/>
    <mergeCell ref="E124:J126"/>
    <mergeCell ref="BD124:BI126"/>
    <mergeCell ref="B127:D127"/>
    <mergeCell ref="E127:J127"/>
    <mergeCell ref="BD127:BI127"/>
    <mergeCell ref="B128:D130"/>
    <mergeCell ref="E128:J130"/>
    <mergeCell ref="BD128:BI130"/>
    <mergeCell ref="B131:D131"/>
    <mergeCell ref="AI5:AL5"/>
    <mergeCell ref="AN4:AR4"/>
    <mergeCell ref="E88:J90"/>
    <mergeCell ref="BD88:BI90"/>
    <mergeCell ref="BD100:BI102"/>
    <mergeCell ref="B103:D110"/>
    <mergeCell ref="E103:J103"/>
    <mergeCell ref="K103:AB105"/>
    <mergeCell ref="AC103:BC118"/>
    <mergeCell ref="BD103:BI103"/>
    <mergeCell ref="E104:J106"/>
    <mergeCell ref="BD104:BI106"/>
    <mergeCell ref="K106:AB118"/>
    <mergeCell ref="E107:J107"/>
    <mergeCell ref="BD107:BI107"/>
    <mergeCell ref="E108:J110"/>
    <mergeCell ref="BD108:BI110"/>
    <mergeCell ref="B111:D111"/>
    <mergeCell ref="E111:J111"/>
    <mergeCell ref="BD111:BI111"/>
    <mergeCell ref="B112:D114"/>
    <mergeCell ref="E112:J114"/>
    <mergeCell ref="BD112:BI114"/>
    <mergeCell ref="B115:D115"/>
    <mergeCell ref="K90:AB102"/>
    <mergeCell ref="E91:J91"/>
    <mergeCell ref="BD91:BI91"/>
    <mergeCell ref="E92:J94"/>
    <mergeCell ref="BD92:BI94"/>
    <mergeCell ref="B99:D99"/>
    <mergeCell ref="E99:J99"/>
    <mergeCell ref="BD99:BI99"/>
    <mergeCell ref="B100:D102"/>
    <mergeCell ref="E100:J102"/>
    <mergeCell ref="B95:D95"/>
    <mergeCell ref="E95:J95"/>
    <mergeCell ref="BD95:BI95"/>
    <mergeCell ref="B96:D98"/>
    <mergeCell ref="E96:J98"/>
    <mergeCell ref="BD96:BI98"/>
    <mergeCell ref="B87:D94"/>
    <mergeCell ref="E87:J87"/>
    <mergeCell ref="K87:AB89"/>
    <mergeCell ref="AC87:BC102"/>
    <mergeCell ref="BD87:BI87"/>
    <mergeCell ref="B79:D79"/>
    <mergeCell ref="E79:J79"/>
    <mergeCell ref="BD79:BI79"/>
    <mergeCell ref="B80:D82"/>
    <mergeCell ref="E80:J82"/>
    <mergeCell ref="B83:D83"/>
    <mergeCell ref="E83:J83"/>
    <mergeCell ref="BD83:BI83"/>
    <mergeCell ref="AC71:BC86"/>
    <mergeCell ref="BD71:BI71"/>
    <mergeCell ref="E72:J74"/>
    <mergeCell ref="BD72:BI74"/>
    <mergeCell ref="K74:AB86"/>
    <mergeCell ref="E75:J75"/>
    <mergeCell ref="BD75:BI75"/>
    <mergeCell ref="E76:J78"/>
    <mergeCell ref="BD76:BI78"/>
    <mergeCell ref="BD80:BI82"/>
    <mergeCell ref="B71:D78"/>
    <mergeCell ref="E71:J71"/>
    <mergeCell ref="K71:AB73"/>
    <mergeCell ref="B84:D86"/>
    <mergeCell ref="E84:J86"/>
    <mergeCell ref="BD84:BI86"/>
    <mergeCell ref="B55:D62"/>
    <mergeCell ref="E55:J55"/>
    <mergeCell ref="K55:AB57"/>
    <mergeCell ref="AC55:BC70"/>
    <mergeCell ref="BD55:BI55"/>
    <mergeCell ref="E56:J58"/>
    <mergeCell ref="BD56:BI58"/>
    <mergeCell ref="K58:AB70"/>
    <mergeCell ref="E59:J59"/>
    <mergeCell ref="BD59:BI59"/>
    <mergeCell ref="BD60:BI62"/>
    <mergeCell ref="E60:J62"/>
    <mergeCell ref="B67:D67"/>
    <mergeCell ref="E67:J67"/>
    <mergeCell ref="BD67:BI67"/>
    <mergeCell ref="B68:D70"/>
    <mergeCell ref="E68:J70"/>
    <mergeCell ref="BD68:BI70"/>
    <mergeCell ref="B63:D63"/>
    <mergeCell ref="E63:J63"/>
    <mergeCell ref="BD63:BI63"/>
    <mergeCell ref="B64:D66"/>
    <mergeCell ref="E64:J66"/>
    <mergeCell ref="BD64:BI66"/>
    <mergeCell ref="BD44:BI46"/>
    <mergeCell ref="B47:D47"/>
    <mergeCell ref="E47:J47"/>
    <mergeCell ref="BD47:BI47"/>
    <mergeCell ref="B48:D50"/>
    <mergeCell ref="E48:J50"/>
    <mergeCell ref="BD48:BI50"/>
    <mergeCell ref="B39:D46"/>
    <mergeCell ref="E39:J39"/>
    <mergeCell ref="K39:AB41"/>
    <mergeCell ref="AC39:BC54"/>
    <mergeCell ref="BD39:BI39"/>
    <mergeCell ref="E40:J42"/>
    <mergeCell ref="K42:AB54"/>
    <mergeCell ref="E43:J43"/>
    <mergeCell ref="BD43:BI43"/>
    <mergeCell ref="E44:J46"/>
    <mergeCell ref="B51:D51"/>
    <mergeCell ref="E51:J51"/>
    <mergeCell ref="BD51:BI51"/>
    <mergeCell ref="BD40:BI42"/>
    <mergeCell ref="B52:D54"/>
    <mergeCell ref="B35:D35"/>
    <mergeCell ref="E35:J35"/>
    <mergeCell ref="BD35:BI35"/>
    <mergeCell ref="B36:D38"/>
    <mergeCell ref="E36:J38"/>
    <mergeCell ref="BD36:BI38"/>
    <mergeCell ref="B31:D31"/>
    <mergeCell ref="E31:J31"/>
    <mergeCell ref="BD31:BI31"/>
    <mergeCell ref="B32:D34"/>
    <mergeCell ref="E32:J34"/>
    <mergeCell ref="BD32:BI34"/>
    <mergeCell ref="K26:AB38"/>
    <mergeCell ref="E27:J27"/>
    <mergeCell ref="BD27:BI27"/>
    <mergeCell ref="E28:J30"/>
    <mergeCell ref="BD28:BI30"/>
    <mergeCell ref="AC23:BC38"/>
    <mergeCell ref="BD23:BI23"/>
    <mergeCell ref="E24:J26"/>
    <mergeCell ref="BD24:BI26"/>
    <mergeCell ref="BD7:BI7"/>
    <mergeCell ref="BD8:BI10"/>
    <mergeCell ref="BD11:BI11"/>
    <mergeCell ref="E8:J10"/>
    <mergeCell ref="AU5:AW5"/>
    <mergeCell ref="AN5:AS5"/>
    <mergeCell ref="E52:J54"/>
    <mergeCell ref="BD52:BI54"/>
    <mergeCell ref="BD12:BI14"/>
    <mergeCell ref="BD15:BI15"/>
    <mergeCell ref="BD16:BI18"/>
    <mergeCell ref="E20:J22"/>
    <mergeCell ref="BD19:BI19"/>
    <mergeCell ref="BD20:BI22"/>
    <mergeCell ref="E12:J14"/>
    <mergeCell ref="AY4:BC4"/>
    <mergeCell ref="AY5:BC5"/>
    <mergeCell ref="AI4:AL4"/>
    <mergeCell ref="B5:K5"/>
    <mergeCell ref="M5:V5"/>
    <mergeCell ref="X5:AD5"/>
    <mergeCell ref="M4:V4"/>
    <mergeCell ref="AF4:AG4"/>
    <mergeCell ref="Y4:AD4"/>
    <mergeCell ref="BE1:BK2"/>
    <mergeCell ref="Y1:AP1"/>
    <mergeCell ref="B23:D30"/>
    <mergeCell ref="E23:J23"/>
    <mergeCell ref="K23:AB25"/>
    <mergeCell ref="B15:D15"/>
    <mergeCell ref="B16:D18"/>
    <mergeCell ref="B7:D14"/>
    <mergeCell ref="B19:D19"/>
    <mergeCell ref="B20:D22"/>
    <mergeCell ref="AC7:BC22"/>
    <mergeCell ref="K7:AB9"/>
    <mergeCell ref="K10:AB22"/>
    <mergeCell ref="E19:J19"/>
    <mergeCell ref="E15:J15"/>
    <mergeCell ref="E16:J18"/>
    <mergeCell ref="E11:J11"/>
    <mergeCell ref="E7:J7"/>
    <mergeCell ref="AU4:AW4"/>
    <mergeCell ref="AF5:AG5"/>
    <mergeCell ref="B4:K4"/>
    <mergeCell ref="B2:P2"/>
    <mergeCell ref="BE4:BI4"/>
    <mergeCell ref="BE5:BI5"/>
  </mergeCells>
  <conditionalFormatting sqref="AF5">
    <cfRule type="expression" dxfId="149" priority="3">
      <formula>LEN($AF$5)=0</formula>
    </cfRule>
  </conditionalFormatting>
  <conditionalFormatting sqref="X5:AD5">
    <cfRule type="expression" dxfId="148" priority="2">
      <formula>LEN($X$5)=0</formula>
    </cfRule>
  </conditionalFormatting>
  <conditionalFormatting sqref="M5:V5">
    <cfRule type="expression" dxfId="147" priority="1">
      <formula>LEN($M$5)=0</formula>
    </cfRule>
  </conditionalFormatting>
  <dataValidations count="1">
    <dataValidation type="decimal" allowBlank="1" showInputMessage="1" showErrorMessage="1" errorTitle="Handicap Range is +5 up to -36" error="Please use a proper Handicap of the range between +5 and -36._x000a_" promptTitle="Handicap Range is +5 up to -36" sqref="AF5:AG5">
      <formula1>-36</formula1>
      <formula2>5</formula2>
    </dataValidation>
  </dataValidations>
  <printOptions horizontalCentered="1" verticalCentered="1"/>
  <pageMargins left="0.05" right="0.05" top="0.39" bottom="0.39" header="0.31" footer="0.31"/>
  <pageSetup paperSize="9" scale="29" orientation="portrait" r:id="rId1"/>
  <headerFooter>
    <oddFooter>&amp;LGolf Workplan Manager V0.1&amp;CMichael Dürr&amp;RCopyright (C) 2015</oddFooter>
  </headerFooter>
  <rowBreaks count="1" manualBreakCount="1">
    <brk id="102" max="16383" man="1"/>
  </rowBreaks>
  <colBreaks count="2" manualBreakCount="2">
    <brk id="62" max="101" man="1"/>
    <brk id="63" max="60"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
    <pageSetUpPr fitToPage="1"/>
  </sheetPr>
  <dimension ref="A1:BZ225"/>
  <sheetViews>
    <sheetView zoomScale="90" zoomScaleNormal="90" zoomScaleSheetLayoutView="90" zoomScalePageLayoutView="50" workbookViewId="0">
      <pane ySplit="9" topLeftCell="A10" activePane="bottomLeft" state="frozen"/>
      <selection pane="bottomLeft" activeCell="A5" sqref="A5:G6"/>
    </sheetView>
  </sheetViews>
  <sheetFormatPr baseColWidth="10" defaultRowHeight="15" x14ac:dyDescent="0.25"/>
  <cols>
    <col min="1" max="1" width="2.42578125" customWidth="1"/>
    <col min="2" max="2" width="19.5703125" customWidth="1"/>
    <col min="3" max="3" width="1.5703125" customWidth="1"/>
    <col min="4" max="4" width="13.42578125" customWidth="1"/>
    <col min="5" max="5" width="1.42578125" customWidth="1"/>
    <col min="6" max="36" width="5" style="99" customWidth="1"/>
    <col min="37" max="37" width="2.5703125" customWidth="1"/>
    <col min="38" max="38" width="22.7109375" customWidth="1"/>
    <col min="39" max="39" width="7.7109375" customWidth="1"/>
    <col min="40" max="40" width="9.140625" bestFit="1" customWidth="1"/>
    <col min="41" max="41" width="11.7109375" bestFit="1" customWidth="1"/>
    <col min="42" max="42" width="2.85546875" customWidth="1"/>
    <col min="43" max="44" width="9.85546875" customWidth="1"/>
    <col min="45" max="45" width="10.85546875" bestFit="1" customWidth="1"/>
    <col min="46" max="78" width="2.5703125" customWidth="1"/>
  </cols>
  <sheetData>
    <row r="1" spans="1:78" ht="46.5" x14ac:dyDescent="0.25">
      <c r="A1" s="221" t="str">
        <f>Version</f>
        <v>Golf Workout Manager V0.1</v>
      </c>
      <c r="B1" s="56"/>
      <c r="C1" s="210"/>
      <c r="D1" s="56"/>
      <c r="E1" s="56"/>
      <c r="F1" s="258"/>
      <c r="G1" s="211"/>
      <c r="H1" s="209"/>
      <c r="I1" s="209"/>
      <c r="J1" s="209"/>
      <c r="K1" s="209"/>
      <c r="L1" s="211"/>
      <c r="M1" s="209"/>
      <c r="N1" s="209"/>
      <c r="O1" s="210"/>
      <c r="P1" s="210"/>
      <c r="Q1" s="210"/>
      <c r="R1" s="210"/>
      <c r="S1" s="265"/>
      <c r="T1" s="248"/>
      <c r="U1" s="248"/>
      <c r="V1" s="258"/>
      <c r="W1" s="258"/>
      <c r="X1" s="258"/>
      <c r="Y1" s="258"/>
      <c r="Z1" s="258"/>
      <c r="AA1" s="258"/>
      <c r="AB1" s="258"/>
      <c r="AC1" s="263">
        <v>74.25</v>
      </c>
      <c r="AD1" s="258"/>
      <c r="AE1" s="258"/>
      <c r="AF1" s="258"/>
      <c r="AG1" s="247"/>
      <c r="AH1" s="247"/>
      <c r="AI1" s="247"/>
      <c r="AJ1" s="249"/>
      <c r="AK1" s="104"/>
      <c r="AL1" s="104"/>
      <c r="AM1" s="104"/>
      <c r="AN1" s="104"/>
      <c r="AO1" s="104"/>
      <c r="AP1" s="104"/>
      <c r="AQ1" s="104"/>
      <c r="AR1" s="456"/>
      <c r="AS1" s="456"/>
    </row>
    <row r="2" spans="1:78" ht="46.5" customHeight="1" x14ac:dyDescent="0.35">
      <c r="A2" s="281" t="str">
        <f>MUI_STAT_MAIN_HEADER</f>
        <v>Status Report</v>
      </c>
      <c r="B2" s="221"/>
      <c r="C2" s="221"/>
      <c r="D2" s="221"/>
      <c r="E2" s="221"/>
      <c r="F2" s="221"/>
      <c r="G2" s="221"/>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1"/>
      <c r="AG2" s="221"/>
      <c r="AH2" s="221"/>
      <c r="AI2" s="221"/>
      <c r="AJ2" s="221"/>
      <c r="AK2" s="221"/>
      <c r="AL2" s="221"/>
      <c r="AM2" s="221"/>
      <c r="AN2" s="221"/>
      <c r="AO2" s="221"/>
      <c r="AP2" s="221"/>
      <c r="AQ2" s="221"/>
      <c r="AR2" s="456"/>
      <c r="AS2" s="456"/>
      <c r="AT2" s="242"/>
      <c r="AU2" s="242"/>
      <c r="AV2" s="242"/>
      <c r="AW2" s="242"/>
      <c r="AX2" s="242"/>
      <c r="AY2" s="239"/>
      <c r="AZ2" s="239"/>
      <c r="BA2" s="239"/>
      <c r="BB2" s="239"/>
      <c r="BC2" s="239"/>
      <c r="BD2" s="239"/>
      <c r="BE2" s="239"/>
      <c r="BF2" s="239"/>
      <c r="BG2" s="239"/>
      <c r="BH2" s="239"/>
      <c r="BI2" s="239"/>
      <c r="BJ2" s="239"/>
      <c r="BK2" s="239"/>
      <c r="BL2" s="239"/>
      <c r="BM2" s="239"/>
      <c r="BN2" s="239"/>
      <c r="BO2" s="239"/>
      <c r="BP2" s="239"/>
      <c r="BQ2" s="239"/>
      <c r="BR2" s="239"/>
      <c r="BS2" s="239"/>
      <c r="BT2" s="239"/>
      <c r="BU2" s="239"/>
      <c r="BV2" s="239"/>
      <c r="BW2" s="239"/>
      <c r="BX2" s="239"/>
      <c r="BY2" s="239"/>
      <c r="BZ2" s="239"/>
    </row>
    <row r="3" spans="1:78" ht="4.5" customHeight="1" x14ac:dyDescent="0.25">
      <c r="A3" s="275"/>
      <c r="B3" s="275"/>
      <c r="C3" s="275"/>
      <c r="D3" s="276"/>
      <c r="E3" s="276"/>
      <c r="F3" s="277"/>
      <c r="G3" s="278"/>
      <c r="H3" s="279"/>
      <c r="I3" s="279"/>
      <c r="J3" s="279"/>
      <c r="K3" s="279"/>
      <c r="L3" s="278"/>
      <c r="M3" s="279"/>
      <c r="N3" s="279"/>
      <c r="O3" s="280"/>
      <c r="P3" s="280"/>
      <c r="Q3" s="280"/>
      <c r="R3" s="275"/>
      <c r="S3" s="275"/>
      <c r="T3" s="275"/>
      <c r="U3" s="275"/>
      <c r="V3" s="275"/>
      <c r="W3" s="275"/>
      <c r="X3" s="275"/>
      <c r="Y3" s="275"/>
      <c r="Z3" s="275"/>
      <c r="AA3" s="275"/>
      <c r="AB3" s="275"/>
      <c r="AC3" s="275"/>
      <c r="AD3" s="275"/>
      <c r="AE3" s="275"/>
      <c r="AF3" s="275"/>
      <c r="AG3" s="275"/>
      <c r="AH3" s="275"/>
      <c r="AI3" s="275"/>
      <c r="AJ3" s="275"/>
      <c r="AK3" s="275"/>
      <c r="AL3" s="275"/>
      <c r="AM3" s="275"/>
      <c r="AN3" s="275"/>
      <c r="AO3" s="275"/>
      <c r="AP3" s="275"/>
      <c r="AQ3" s="275"/>
      <c r="AR3" s="275"/>
      <c r="AS3" s="275"/>
      <c r="AT3" s="242"/>
      <c r="AU3" s="242"/>
      <c r="AV3" s="242"/>
      <c r="AW3" s="242"/>
      <c r="AX3" s="242"/>
      <c r="AY3" s="239"/>
      <c r="AZ3" s="239"/>
      <c r="BA3" s="239"/>
      <c r="BB3" s="239"/>
      <c r="BC3" s="239"/>
      <c r="BD3" s="239"/>
      <c r="BE3" s="239"/>
      <c r="BF3" s="239"/>
      <c r="BG3" s="239"/>
      <c r="BH3" s="239"/>
      <c r="BI3" s="239"/>
      <c r="BJ3" s="239"/>
      <c r="BK3" s="239"/>
      <c r="BL3" s="239"/>
      <c r="BM3" s="239"/>
      <c r="BN3" s="239"/>
      <c r="BO3" s="239"/>
      <c r="BP3" s="239"/>
      <c r="BQ3" s="239"/>
      <c r="BR3" s="239"/>
      <c r="BS3" s="239"/>
      <c r="BT3" s="239"/>
      <c r="BU3" s="239"/>
      <c r="BV3" s="239"/>
      <c r="BW3" s="239"/>
      <c r="BX3" s="239"/>
      <c r="BY3" s="239"/>
      <c r="BZ3" s="239"/>
    </row>
    <row r="4" spans="1:78" ht="14.25" customHeight="1" x14ac:dyDescent="0.25">
      <c r="A4" s="457" t="str">
        <f>MUI_DBP_T_PlayerName</f>
        <v>PlayerName</v>
      </c>
      <c r="B4" s="457"/>
      <c r="C4" s="457"/>
      <c r="D4" s="457"/>
      <c r="E4" s="457"/>
      <c r="F4" s="457"/>
      <c r="G4" s="457"/>
      <c r="H4" s="209"/>
      <c r="I4" s="209"/>
      <c r="J4" s="209"/>
      <c r="K4" s="209"/>
      <c r="L4" s="211" t="str">
        <f>MUI_DBP_T_PlayerID</f>
        <v>PlayerID</v>
      </c>
      <c r="M4" s="209"/>
      <c r="N4" s="209"/>
      <c r="O4" s="282" t="str">
        <f>MUI_STAT_SelectionMonth</f>
        <v>Selected Month</v>
      </c>
      <c r="P4" s="210"/>
      <c r="Q4" s="210"/>
      <c r="R4" s="221"/>
      <c r="S4" s="221"/>
      <c r="T4" s="221"/>
      <c r="U4" s="221"/>
      <c r="V4" s="221"/>
      <c r="W4" s="221"/>
      <c r="X4" s="221"/>
      <c r="Y4" s="221"/>
      <c r="Z4" s="221"/>
      <c r="AA4" s="221"/>
      <c r="AB4" s="221"/>
      <c r="AC4" s="221"/>
      <c r="AD4" s="221"/>
      <c r="AE4" s="221"/>
      <c r="AF4" s="221"/>
      <c r="AG4" s="221"/>
      <c r="AH4" s="221"/>
      <c r="AI4" s="221"/>
      <c r="AJ4" s="221"/>
      <c r="AK4" s="221"/>
      <c r="AL4" s="221"/>
      <c r="AM4" s="221"/>
      <c r="AN4" s="221"/>
      <c r="AO4" s="221"/>
      <c r="AP4" s="221"/>
      <c r="AQ4" s="221"/>
      <c r="AR4" s="221"/>
      <c r="AS4" s="221"/>
      <c r="AT4" s="242"/>
      <c r="AU4" s="242"/>
      <c r="AV4" s="242"/>
      <c r="AW4" s="242"/>
      <c r="AX4" s="242"/>
      <c r="AY4" s="239"/>
      <c r="AZ4" s="239"/>
      <c r="BA4" s="239"/>
      <c r="BB4" s="239"/>
      <c r="BC4" s="239"/>
      <c r="BD4" s="239"/>
      <c r="BE4" s="239"/>
      <c r="BF4" s="239"/>
      <c r="BG4" s="239"/>
      <c r="BH4" s="239"/>
      <c r="BI4" s="239"/>
      <c r="BJ4" s="239"/>
      <c r="BK4" s="239"/>
      <c r="BL4" s="239"/>
      <c r="BM4" s="239"/>
      <c r="BN4" s="239"/>
      <c r="BO4" s="239"/>
      <c r="BP4" s="239"/>
      <c r="BQ4" s="239"/>
      <c r="BR4" s="239"/>
      <c r="BS4" s="239"/>
      <c r="BT4" s="239"/>
      <c r="BU4" s="239"/>
      <c r="BV4" s="239"/>
      <c r="BW4" s="239"/>
      <c r="BX4" s="239"/>
      <c r="BY4" s="239"/>
      <c r="BZ4" s="239"/>
    </row>
    <row r="5" spans="1:78" ht="10.5" customHeight="1" x14ac:dyDescent="0.25">
      <c r="A5" s="467" t="s">
        <v>405</v>
      </c>
      <c r="B5" s="468"/>
      <c r="C5" s="468"/>
      <c r="D5" s="468"/>
      <c r="E5" s="468"/>
      <c r="F5" s="468"/>
      <c r="G5" s="473"/>
      <c r="H5" s="467" t="s">
        <v>1672</v>
      </c>
      <c r="I5" s="468"/>
      <c r="J5" s="468"/>
      <c r="K5" s="468"/>
      <c r="L5" s="469"/>
      <c r="M5" s="209"/>
      <c r="N5" s="209"/>
      <c r="O5" s="458" t="s">
        <v>1237</v>
      </c>
      <c r="P5" s="459"/>
      <c r="Q5" s="459"/>
      <c r="R5" s="459"/>
      <c r="S5" s="459"/>
      <c r="T5" s="459"/>
      <c r="U5" s="460"/>
      <c r="V5" s="258"/>
      <c r="W5" s="258"/>
      <c r="X5" s="274"/>
      <c r="Y5" s="274"/>
      <c r="Z5" s="274"/>
      <c r="AA5" s="274"/>
      <c r="AB5" s="274"/>
      <c r="AC5" s="274"/>
      <c r="AD5" s="274"/>
      <c r="AE5" s="274"/>
      <c r="AF5" s="258"/>
      <c r="AG5" s="465"/>
      <c r="AH5" s="258"/>
      <c r="AI5" s="258"/>
      <c r="AJ5" s="258"/>
      <c r="AK5" s="258"/>
      <c r="AL5" s="258"/>
      <c r="AM5" s="258"/>
      <c r="AN5" s="258"/>
      <c r="AO5" s="258"/>
      <c r="AP5" s="258"/>
      <c r="AQ5" s="258"/>
      <c r="AR5" s="258"/>
      <c r="AS5" s="258"/>
      <c r="AT5" s="256"/>
      <c r="AU5" s="256"/>
      <c r="AV5" s="256"/>
      <c r="AW5" s="256"/>
      <c r="AX5" s="256"/>
      <c r="AY5" s="256"/>
      <c r="AZ5" s="256"/>
      <c r="BA5" s="256"/>
      <c r="BB5" s="256"/>
      <c r="BC5" s="256"/>
      <c r="BD5" s="256"/>
      <c r="BE5" s="256"/>
      <c r="BF5" s="256"/>
      <c r="BG5" s="256"/>
      <c r="BH5" s="256"/>
      <c r="BI5" s="256"/>
      <c r="BJ5" s="256"/>
      <c r="BK5" s="256"/>
      <c r="BL5" s="256"/>
      <c r="BM5" s="256"/>
      <c r="BN5" s="256"/>
      <c r="BO5" s="256"/>
      <c r="BP5" s="256"/>
      <c r="BQ5" s="256"/>
      <c r="BR5" s="256"/>
      <c r="BS5" s="256"/>
      <c r="BT5" s="256"/>
      <c r="BU5" s="256"/>
      <c r="BV5" s="256"/>
      <c r="BW5" s="256"/>
      <c r="BX5" s="256"/>
      <c r="BY5" s="256"/>
      <c r="BZ5" s="256"/>
    </row>
    <row r="6" spans="1:78" ht="15" customHeight="1" x14ac:dyDescent="0.25">
      <c r="A6" s="470"/>
      <c r="B6" s="471"/>
      <c r="C6" s="471"/>
      <c r="D6" s="471"/>
      <c r="E6" s="471"/>
      <c r="F6" s="471"/>
      <c r="G6" s="474"/>
      <c r="H6" s="470"/>
      <c r="I6" s="471"/>
      <c r="J6" s="471"/>
      <c r="K6" s="471"/>
      <c r="L6" s="472"/>
      <c r="M6" s="209"/>
      <c r="N6" s="209"/>
      <c r="O6" s="461"/>
      <c r="P6" s="462"/>
      <c r="Q6" s="462"/>
      <c r="R6" s="462"/>
      <c r="S6" s="462"/>
      <c r="T6" s="462"/>
      <c r="U6" s="463"/>
      <c r="V6" s="258"/>
      <c r="W6" s="258"/>
      <c r="X6" s="274"/>
      <c r="Y6" s="274"/>
      <c r="Z6" s="274"/>
      <c r="AA6" s="274"/>
      <c r="AB6" s="274"/>
      <c r="AC6" s="274"/>
      <c r="AD6" s="274"/>
      <c r="AE6" s="258"/>
      <c r="AF6" s="258"/>
      <c r="AG6" s="465"/>
      <c r="AH6" s="258"/>
      <c r="AI6" s="258"/>
      <c r="AJ6" s="258"/>
      <c r="AK6" s="258"/>
      <c r="AL6" s="258"/>
      <c r="AM6" s="258"/>
      <c r="AN6" s="258"/>
      <c r="AO6" s="258"/>
      <c r="AP6" s="258"/>
      <c r="AQ6" s="258"/>
      <c r="AR6" s="258"/>
      <c r="AS6" s="258"/>
      <c r="AT6" s="256"/>
      <c r="AU6" s="256"/>
      <c r="AV6" s="256"/>
      <c r="AW6" s="256"/>
      <c r="AX6" s="256"/>
      <c r="AY6" s="256"/>
      <c r="AZ6" s="256"/>
      <c r="BA6" s="256"/>
      <c r="BB6" s="256"/>
      <c r="BC6" s="256"/>
      <c r="BD6" s="256"/>
      <c r="BE6" s="256"/>
      <c r="BF6" s="256"/>
      <c r="BG6" s="256"/>
      <c r="BH6" s="256"/>
      <c r="BI6" s="256"/>
      <c r="BJ6" s="256"/>
      <c r="BK6" s="256"/>
      <c r="BL6" s="256"/>
      <c r="BM6" s="256"/>
      <c r="BN6" s="256"/>
      <c r="BO6" s="256"/>
      <c r="BP6" s="256"/>
      <c r="BQ6" s="256"/>
      <c r="BR6" s="256"/>
      <c r="BS6" s="256"/>
      <c r="BT6" s="256"/>
      <c r="BU6" s="256"/>
      <c r="BV6" s="256"/>
      <c r="BW6" s="256"/>
      <c r="BX6" s="256"/>
      <c r="BY6" s="256"/>
      <c r="BZ6" s="256"/>
    </row>
    <row r="7" spans="1:78" ht="8.25" customHeight="1" x14ac:dyDescent="0.25">
      <c r="A7" s="56"/>
      <c r="B7" s="258"/>
      <c r="C7" s="247"/>
      <c r="D7" s="247"/>
      <c r="E7" s="247"/>
      <c r="F7" s="258"/>
      <c r="G7" s="258"/>
      <c r="H7" s="258"/>
      <c r="I7" s="258"/>
      <c r="J7" s="258"/>
      <c r="K7" s="258"/>
      <c r="L7" s="258"/>
      <c r="M7" s="258"/>
      <c r="N7" s="258"/>
      <c r="O7" s="258"/>
      <c r="P7" s="258"/>
      <c r="Q7" s="258"/>
      <c r="R7" s="258"/>
      <c r="S7" s="258"/>
      <c r="T7" s="258"/>
      <c r="U7" s="258"/>
      <c r="V7" s="258"/>
      <c r="W7" s="258"/>
      <c r="X7" s="258"/>
      <c r="Y7" s="258"/>
      <c r="Z7" s="258"/>
      <c r="AA7" s="258"/>
      <c r="AB7" s="258"/>
      <c r="AC7" s="258"/>
      <c r="AD7" s="258"/>
      <c r="AE7" s="258"/>
      <c r="AF7" s="258"/>
      <c r="AG7" s="258"/>
      <c r="AH7" s="258"/>
      <c r="AI7" s="258"/>
      <c r="AJ7" s="258"/>
      <c r="AK7" s="258"/>
      <c r="AL7" s="258"/>
      <c r="AM7" s="258"/>
      <c r="AN7" s="258"/>
      <c r="AO7" s="258"/>
      <c r="AP7" s="258"/>
      <c r="AQ7" s="258"/>
      <c r="AR7" s="258"/>
      <c r="AS7" s="258"/>
      <c r="AT7" s="256"/>
      <c r="AU7" s="256"/>
      <c r="AV7" s="256"/>
      <c r="AW7" s="256"/>
      <c r="AX7" s="256"/>
      <c r="AY7" s="256"/>
      <c r="AZ7" s="256"/>
      <c r="BA7" s="256"/>
      <c r="BB7" s="256"/>
      <c r="BC7" s="256"/>
      <c r="BD7" s="256"/>
      <c r="BE7" s="256"/>
      <c r="BF7" s="256"/>
      <c r="BG7" s="256"/>
      <c r="BH7" s="256"/>
      <c r="BI7" s="256"/>
      <c r="BJ7" s="256"/>
      <c r="BK7" s="256"/>
      <c r="BL7" s="256"/>
      <c r="BM7" s="256"/>
      <c r="BN7" s="256"/>
      <c r="BO7" s="256"/>
      <c r="BP7" s="256"/>
      <c r="BQ7" s="256"/>
      <c r="BR7" s="256"/>
      <c r="BS7" s="256"/>
      <c r="BT7" s="256"/>
      <c r="BU7" s="256"/>
      <c r="BV7" s="256"/>
      <c r="BW7" s="256"/>
      <c r="BX7" s="256"/>
      <c r="BY7" s="256"/>
      <c r="BZ7" s="256"/>
    </row>
    <row r="8" spans="1:78" ht="23.25" customHeight="1" x14ac:dyDescent="0.25">
      <c r="A8" s="239"/>
      <c r="B8" s="256"/>
      <c r="C8" s="261"/>
      <c r="D8" s="261"/>
      <c r="E8" s="261"/>
      <c r="F8" s="256"/>
      <c r="G8" s="256"/>
      <c r="H8" s="256"/>
      <c r="I8" s="256"/>
      <c r="J8" s="256"/>
      <c r="K8" s="256"/>
      <c r="L8" s="256"/>
      <c r="M8" s="256"/>
      <c r="N8" s="256"/>
      <c r="O8" s="256"/>
      <c r="P8" s="256"/>
      <c r="Q8" s="256"/>
      <c r="R8" s="256"/>
      <c r="S8" s="256"/>
      <c r="T8" s="256"/>
      <c r="U8" s="256"/>
      <c r="V8" s="256"/>
      <c r="W8" s="256"/>
      <c r="X8" s="256"/>
      <c r="Y8" s="256"/>
      <c r="Z8" s="256"/>
      <c r="AA8" s="256"/>
      <c r="AB8" s="256"/>
      <c r="AC8" s="256"/>
      <c r="AD8" s="256"/>
      <c r="AE8" s="256"/>
      <c r="AF8" s="256"/>
      <c r="AG8" s="256"/>
      <c r="AH8" s="256"/>
      <c r="AI8" s="256"/>
      <c r="AJ8" s="256"/>
      <c r="AK8" s="256"/>
      <c r="AL8" s="256"/>
      <c r="AM8" s="256"/>
      <c r="AN8" s="256"/>
      <c r="AO8" s="256"/>
      <c r="AP8" s="256"/>
      <c r="AQ8" s="256"/>
      <c r="AR8" s="256"/>
      <c r="AS8" s="256"/>
      <c r="AT8" s="256"/>
      <c r="AU8" s="256"/>
      <c r="AV8" s="256"/>
      <c r="AW8" s="256"/>
      <c r="AX8" s="256"/>
      <c r="AY8" s="256"/>
      <c r="AZ8" s="256"/>
      <c r="BA8" s="256"/>
      <c r="BB8" s="256"/>
      <c r="BC8" s="256"/>
      <c r="BD8" s="256"/>
      <c r="BE8" s="256"/>
      <c r="BF8" s="256"/>
      <c r="BG8" s="256"/>
      <c r="BH8" s="256"/>
      <c r="BI8" s="256"/>
      <c r="BJ8" s="256"/>
      <c r="BK8" s="256"/>
      <c r="BL8" s="256"/>
      <c r="BM8" s="256"/>
      <c r="BN8" s="256"/>
      <c r="BO8" s="256"/>
      <c r="BP8" s="256"/>
      <c r="BQ8" s="256"/>
      <c r="BR8" s="256"/>
      <c r="BS8" s="256"/>
      <c r="BT8" s="256"/>
      <c r="BU8" s="256"/>
      <c r="BV8" s="256"/>
      <c r="BW8" s="256"/>
      <c r="BX8" s="256"/>
      <c r="BY8" s="256"/>
      <c r="BZ8" s="256"/>
    </row>
    <row r="9" spans="1:78" ht="21.75" customHeight="1" x14ac:dyDescent="0.25">
      <c r="A9" s="239"/>
      <c r="B9" s="256"/>
      <c r="C9" s="261"/>
      <c r="D9" s="261"/>
      <c r="E9" s="261"/>
      <c r="F9" s="256"/>
      <c r="G9" s="256"/>
      <c r="H9" s="256"/>
      <c r="I9" s="256"/>
      <c r="J9" s="256"/>
      <c r="K9" s="256"/>
      <c r="L9" s="256"/>
      <c r="M9" s="256"/>
      <c r="N9" s="256"/>
      <c r="O9" s="256"/>
      <c r="P9" s="256"/>
      <c r="Q9" s="256"/>
      <c r="R9" s="256"/>
      <c r="S9" s="256"/>
      <c r="T9" s="256"/>
      <c r="U9" s="256"/>
      <c r="V9" s="256"/>
      <c r="W9" s="256"/>
      <c r="X9" s="256"/>
      <c r="Y9" s="256"/>
      <c r="Z9" s="256"/>
      <c r="AA9" s="256"/>
      <c r="AB9" s="256"/>
      <c r="AC9" s="256"/>
      <c r="AD9" s="256"/>
      <c r="AE9" s="256"/>
      <c r="AF9" s="256"/>
      <c r="AG9" s="256"/>
      <c r="AH9" s="256"/>
      <c r="AI9" s="256"/>
      <c r="AJ9" s="256"/>
      <c r="AK9" s="256"/>
      <c r="AL9" s="256"/>
      <c r="AM9" s="256"/>
      <c r="AN9" s="256"/>
      <c r="AO9" s="256"/>
      <c r="AP9" s="256"/>
      <c r="AQ9" s="256"/>
      <c r="AR9" s="256"/>
      <c r="AS9" s="256"/>
      <c r="AT9" s="256"/>
      <c r="AU9" s="256"/>
      <c r="AV9" s="256"/>
      <c r="AW9" s="256"/>
      <c r="AX9" s="256"/>
      <c r="AY9" s="256"/>
      <c r="AZ9" s="256"/>
      <c r="BA9" s="256"/>
      <c r="BB9" s="256"/>
      <c r="BC9" s="256"/>
      <c r="BD9" s="256"/>
      <c r="BE9" s="256"/>
      <c r="BF9" s="256"/>
      <c r="BG9" s="256"/>
      <c r="BH9" s="256"/>
      <c r="BI9" s="256"/>
      <c r="BJ9" s="256"/>
      <c r="BK9" s="256"/>
      <c r="BL9" s="256"/>
      <c r="BM9" s="256"/>
      <c r="BN9" s="256"/>
      <c r="BO9" s="256"/>
      <c r="BP9" s="256"/>
      <c r="BQ9" s="256"/>
      <c r="BR9" s="256"/>
      <c r="BS9" s="256"/>
      <c r="BT9" s="256"/>
      <c r="BU9" s="256"/>
      <c r="BV9" s="256"/>
      <c r="BW9" s="256"/>
      <c r="BX9" s="256"/>
      <c r="BY9" s="256"/>
      <c r="BZ9" s="256"/>
    </row>
    <row r="10" spans="1:78" ht="15" customHeight="1" x14ac:dyDescent="0.25">
      <c r="A10" s="239"/>
      <c r="B10" s="256"/>
      <c r="C10" s="261"/>
      <c r="D10" s="261"/>
      <c r="E10" s="261"/>
      <c r="F10" s="256"/>
      <c r="G10" s="256"/>
      <c r="H10" s="256"/>
      <c r="I10" s="256"/>
      <c r="J10" s="256"/>
      <c r="K10" s="256"/>
      <c r="L10" s="256"/>
      <c r="M10" s="256"/>
      <c r="N10" s="256"/>
      <c r="O10" s="256"/>
      <c r="P10" s="256"/>
      <c r="Q10" s="256"/>
      <c r="R10" s="256"/>
      <c r="S10" s="256"/>
      <c r="T10" s="256"/>
      <c r="U10" s="256"/>
      <c r="V10" s="256"/>
      <c r="W10" s="256"/>
      <c r="X10" s="256"/>
      <c r="Y10" s="256"/>
      <c r="Z10" s="256"/>
      <c r="AA10" s="256"/>
      <c r="AB10" s="256"/>
      <c r="AC10" s="256"/>
      <c r="AD10" s="256"/>
      <c r="AE10" s="256"/>
      <c r="AF10" s="256"/>
      <c r="AG10" s="256"/>
      <c r="AH10" s="256"/>
      <c r="AI10" s="256"/>
      <c r="AJ10" s="256"/>
      <c r="AK10" s="256"/>
      <c r="AL10" s="256"/>
      <c r="AM10" s="256"/>
      <c r="AN10" s="256"/>
      <c r="AO10" s="256"/>
      <c r="AP10" s="256"/>
      <c r="AQ10" s="256"/>
      <c r="AR10" s="256"/>
      <c r="AS10" s="256"/>
      <c r="AT10" s="256"/>
      <c r="AU10" s="256"/>
      <c r="AV10" s="256"/>
      <c r="AW10" s="256"/>
      <c r="AX10" s="256"/>
      <c r="AY10" s="256"/>
      <c r="AZ10" s="256"/>
      <c r="BA10" s="256"/>
      <c r="BB10" s="256"/>
      <c r="BC10" s="256"/>
      <c r="BD10" s="256"/>
      <c r="BE10" s="256"/>
      <c r="BF10" s="256"/>
      <c r="BG10" s="256"/>
      <c r="BH10" s="256"/>
      <c r="BI10" s="256"/>
      <c r="BJ10" s="256"/>
      <c r="BK10" s="256"/>
      <c r="BL10" s="256"/>
      <c r="BM10" s="256"/>
      <c r="BN10" s="256"/>
      <c r="BO10" s="256"/>
      <c r="BP10" s="256"/>
      <c r="BQ10" s="256"/>
      <c r="BR10" s="256"/>
      <c r="BS10" s="256"/>
      <c r="BT10" s="256"/>
      <c r="BU10" s="256"/>
      <c r="BV10" s="256"/>
      <c r="BW10" s="256"/>
      <c r="BX10" s="256"/>
      <c r="BY10" s="256"/>
      <c r="BZ10" s="256"/>
    </row>
    <row r="11" spans="1:78" ht="28.5" hidden="1" customHeight="1" x14ac:dyDescent="0.25">
      <c r="A11" s="254" t="s">
        <v>1123</v>
      </c>
      <c r="B11" s="256"/>
      <c r="C11" s="261"/>
      <c r="D11" s="261"/>
      <c r="E11" s="261"/>
      <c r="G11" s="254"/>
      <c r="H11" s="254"/>
      <c r="I11" s="254"/>
      <c r="J11" s="254"/>
      <c r="K11" s="254"/>
      <c r="L11" s="254"/>
      <c r="M11" s="254"/>
      <c r="N11" s="254"/>
      <c r="O11" s="254"/>
      <c r="P11" s="254"/>
      <c r="Q11" s="254"/>
      <c r="R11" s="254"/>
      <c r="S11" s="254"/>
      <c r="T11" s="254"/>
      <c r="U11" s="254"/>
      <c r="V11" s="254"/>
      <c r="W11" s="254"/>
      <c r="X11" s="254"/>
      <c r="Y11" s="254"/>
      <c r="Z11" s="254"/>
      <c r="AA11" s="254"/>
      <c r="AB11" s="254"/>
      <c r="AC11" s="254"/>
      <c r="AD11" s="254"/>
      <c r="AE11" s="254"/>
      <c r="AF11" s="254"/>
      <c r="AG11" s="254"/>
      <c r="AH11" s="254"/>
      <c r="AI11" s="254"/>
      <c r="AJ11" s="254"/>
      <c r="AK11" s="254"/>
      <c r="AL11" s="256"/>
      <c r="AM11" s="256"/>
      <c r="AN11" s="256"/>
      <c r="AO11" s="256"/>
      <c r="AP11" s="256"/>
      <c r="AQ11" s="256"/>
      <c r="AR11" s="256"/>
      <c r="AS11" s="256"/>
      <c r="AT11" s="256"/>
      <c r="AU11" s="256"/>
      <c r="AV11" s="256"/>
      <c r="AW11" s="256"/>
      <c r="AX11" s="256"/>
      <c r="AY11" s="256"/>
      <c r="AZ11" s="256"/>
      <c r="BA11" s="256"/>
      <c r="BB11" s="256"/>
      <c r="BC11" s="256"/>
      <c r="BD11" s="256"/>
      <c r="BE11" s="256"/>
      <c r="BF11" s="256"/>
      <c r="BG11" s="256"/>
      <c r="BH11" s="256"/>
      <c r="BI11" s="256"/>
      <c r="BJ11" s="256"/>
      <c r="BK11" s="256"/>
      <c r="BL11" s="256"/>
      <c r="BM11" s="256"/>
      <c r="BN11" s="256"/>
      <c r="BO11" s="256"/>
      <c r="BP11" s="256"/>
      <c r="BQ11" s="256"/>
      <c r="BR11" s="256"/>
      <c r="BS11" s="256"/>
      <c r="BT11" s="256"/>
      <c r="BU11" s="256"/>
      <c r="BV11" s="256"/>
      <c r="BW11" s="256"/>
      <c r="BX11" s="256"/>
      <c r="BY11" s="256"/>
      <c r="BZ11" s="256"/>
    </row>
    <row r="12" spans="1:78" ht="54" hidden="1" customHeight="1" x14ac:dyDescent="0.25">
      <c r="A12" s="239"/>
      <c r="B12" s="256"/>
      <c r="C12" s="261"/>
      <c r="D12" s="261"/>
      <c r="E12" s="261"/>
      <c r="F12" s="256"/>
      <c r="G12" s="256"/>
      <c r="H12" s="256"/>
      <c r="I12" s="256"/>
      <c r="J12" s="256"/>
      <c r="K12" s="256"/>
      <c r="L12" s="256"/>
      <c r="M12" s="256"/>
      <c r="N12" s="256"/>
      <c r="O12" s="256"/>
      <c r="P12" s="256"/>
      <c r="Q12" s="256"/>
      <c r="R12" s="256"/>
      <c r="S12" s="256"/>
      <c r="T12" s="256"/>
      <c r="U12" s="256"/>
      <c r="V12" s="256"/>
      <c r="W12" s="256"/>
      <c r="X12" s="256"/>
      <c r="Y12" s="256"/>
      <c r="Z12" s="256"/>
      <c r="AA12" s="256"/>
      <c r="AB12" s="256"/>
      <c r="AC12" s="256"/>
      <c r="AD12" s="256"/>
      <c r="AE12" s="256"/>
      <c r="AF12" s="256"/>
      <c r="AG12" s="256"/>
      <c r="AH12" s="256"/>
      <c r="AI12" s="256"/>
      <c r="AJ12" s="256"/>
      <c r="AK12" s="256"/>
      <c r="AL12" s="256"/>
      <c r="AM12" s="256"/>
      <c r="AN12" s="256"/>
      <c r="AO12" s="256"/>
      <c r="AP12" s="256"/>
      <c r="AQ12" s="256"/>
      <c r="AR12" s="256"/>
      <c r="AS12" s="256"/>
      <c r="AT12" s="256"/>
      <c r="AU12" s="256"/>
      <c r="AV12" s="256"/>
      <c r="AW12" s="256"/>
      <c r="AX12" s="256"/>
      <c r="AY12" s="256"/>
      <c r="AZ12" s="256"/>
      <c r="BA12" s="256"/>
      <c r="BB12" s="256"/>
      <c r="BC12" s="256"/>
      <c r="BD12" s="256"/>
      <c r="BE12" s="256"/>
      <c r="BF12" s="256"/>
      <c r="BG12" s="256"/>
      <c r="BH12" s="256"/>
      <c r="BI12" s="256"/>
      <c r="BJ12" s="256"/>
      <c r="BK12" s="256"/>
      <c r="BL12" s="256"/>
      <c r="BM12" s="256"/>
      <c r="BN12" s="256"/>
      <c r="BO12" s="256"/>
      <c r="BP12" s="256"/>
      <c r="BQ12" s="256"/>
      <c r="BR12" s="256"/>
      <c r="BS12" s="256"/>
      <c r="BT12" s="256"/>
      <c r="BU12" s="256"/>
      <c r="BV12" s="256"/>
      <c r="BW12" s="256"/>
      <c r="BX12" s="256"/>
      <c r="BY12" s="256"/>
      <c r="BZ12" s="256"/>
    </row>
    <row r="13" spans="1:78" ht="54" hidden="1" customHeight="1" x14ac:dyDescent="0.25">
      <c r="A13" s="239"/>
      <c r="B13" s="256"/>
      <c r="C13" s="261"/>
      <c r="D13" s="261"/>
      <c r="E13" s="261"/>
      <c r="F13" s="256"/>
      <c r="G13" s="256"/>
      <c r="H13" s="256"/>
      <c r="I13" s="256"/>
      <c r="J13" s="256"/>
      <c r="K13" s="256"/>
      <c r="L13" s="256"/>
      <c r="M13" s="256"/>
      <c r="N13" s="256"/>
      <c r="O13" s="256"/>
      <c r="P13" s="256"/>
      <c r="Q13" s="256"/>
      <c r="R13" s="256"/>
      <c r="S13" s="256"/>
      <c r="T13" s="256"/>
      <c r="U13" s="256"/>
      <c r="V13" s="256"/>
      <c r="W13" s="256"/>
      <c r="X13" s="256"/>
      <c r="Y13" s="256"/>
      <c r="Z13" s="256"/>
      <c r="AA13" s="256"/>
      <c r="AB13" s="256"/>
      <c r="AC13" s="256"/>
      <c r="AD13" s="256"/>
      <c r="AE13" s="256"/>
      <c r="AF13" s="256"/>
      <c r="AG13" s="256"/>
      <c r="AH13" s="256"/>
      <c r="AI13" s="256"/>
      <c r="AJ13" s="256"/>
      <c r="AK13" s="256"/>
      <c r="AL13" s="256"/>
      <c r="AM13" s="256"/>
      <c r="AN13" s="256"/>
      <c r="AO13" s="256"/>
      <c r="AP13" s="256"/>
      <c r="AQ13" s="256"/>
      <c r="AR13" s="256"/>
      <c r="AS13" s="256"/>
      <c r="AT13" s="256"/>
      <c r="AU13" s="256"/>
      <c r="AV13" s="256"/>
      <c r="AW13" s="256"/>
      <c r="AX13" s="256"/>
      <c r="AY13" s="256"/>
      <c r="AZ13" s="256"/>
      <c r="BA13" s="256"/>
      <c r="BB13" s="256"/>
      <c r="BC13" s="256"/>
      <c r="BD13" s="256"/>
      <c r="BE13" s="256"/>
      <c r="BF13" s="256"/>
      <c r="BG13" s="256"/>
      <c r="BH13" s="256"/>
      <c r="BI13" s="256"/>
      <c r="BJ13" s="256"/>
      <c r="BK13" s="256"/>
      <c r="BL13" s="256"/>
      <c r="BM13" s="256"/>
      <c r="BN13" s="256"/>
      <c r="BO13" s="256"/>
      <c r="BP13" s="256"/>
      <c r="BQ13" s="256"/>
      <c r="BR13" s="256"/>
      <c r="BS13" s="256"/>
      <c r="BT13" s="256"/>
      <c r="BU13" s="256"/>
      <c r="BV13" s="256"/>
      <c r="BW13" s="256"/>
      <c r="BX13" s="256"/>
      <c r="BY13" s="256"/>
      <c r="BZ13" s="256"/>
    </row>
    <row r="14" spans="1:78" ht="54" hidden="1" customHeight="1" x14ac:dyDescent="0.25">
      <c r="A14" s="239"/>
      <c r="B14" s="256"/>
      <c r="C14" s="261"/>
      <c r="D14" s="261"/>
      <c r="E14" s="261"/>
      <c r="F14" s="256"/>
      <c r="G14" s="256"/>
      <c r="H14" s="256"/>
      <c r="I14" s="256"/>
      <c r="J14" s="256"/>
      <c r="K14" s="256"/>
      <c r="L14" s="256"/>
      <c r="M14" s="256"/>
      <c r="N14" s="256"/>
      <c r="O14" s="256"/>
      <c r="P14" s="256"/>
      <c r="Q14" s="256"/>
      <c r="R14" s="256"/>
      <c r="S14" s="256"/>
      <c r="T14" s="256"/>
      <c r="U14" s="256"/>
      <c r="V14" s="256"/>
      <c r="W14" s="256"/>
      <c r="X14" s="256"/>
      <c r="Y14" s="256"/>
      <c r="Z14" s="256"/>
      <c r="AA14" s="256"/>
      <c r="AB14" s="256"/>
      <c r="AC14" s="256"/>
      <c r="AD14" s="256"/>
      <c r="AE14" s="256"/>
      <c r="AF14" s="256"/>
      <c r="AG14" s="256"/>
      <c r="AH14" s="256"/>
      <c r="AI14" s="256"/>
      <c r="AJ14" s="256"/>
      <c r="AK14" s="256"/>
      <c r="AL14" s="256"/>
      <c r="AM14" s="256"/>
      <c r="AN14" s="256"/>
      <c r="AO14" s="256"/>
      <c r="AP14" s="256"/>
      <c r="AQ14" s="256"/>
      <c r="AR14" s="256"/>
      <c r="AS14" s="256"/>
      <c r="AT14" s="256"/>
      <c r="AU14" s="256"/>
      <c r="AV14" s="256"/>
      <c r="AW14" s="256"/>
      <c r="AX14" s="256"/>
      <c r="AY14" s="256"/>
      <c r="AZ14" s="256"/>
      <c r="BA14" s="256"/>
      <c r="BB14" s="256"/>
      <c r="BC14" s="256"/>
      <c r="BD14" s="256"/>
      <c r="BE14" s="256"/>
      <c r="BF14" s="256"/>
      <c r="BG14" s="256"/>
      <c r="BH14" s="256"/>
      <c r="BI14" s="256"/>
      <c r="BJ14" s="256"/>
      <c r="BK14" s="256"/>
      <c r="BL14" s="256"/>
      <c r="BM14" s="256"/>
      <c r="BN14" s="256"/>
      <c r="BO14" s="256"/>
      <c r="BP14" s="256"/>
      <c r="BQ14" s="256"/>
      <c r="BR14" s="256"/>
      <c r="BS14" s="256"/>
      <c r="BT14" s="256"/>
      <c r="BU14" s="256"/>
      <c r="BV14" s="256"/>
      <c r="BW14" s="256"/>
      <c r="BX14" s="256"/>
      <c r="BY14" s="256"/>
      <c r="BZ14" s="256"/>
    </row>
    <row r="15" spans="1:78" ht="54" hidden="1" customHeight="1" x14ac:dyDescent="0.25">
      <c r="A15" s="239"/>
      <c r="B15" s="256"/>
      <c r="C15" s="261"/>
      <c r="D15" s="261"/>
      <c r="E15" s="261"/>
      <c r="F15" s="256"/>
      <c r="G15" s="256"/>
      <c r="H15" s="256"/>
      <c r="I15" s="256"/>
      <c r="J15" s="256"/>
      <c r="K15" s="256"/>
      <c r="L15" s="256"/>
      <c r="M15" s="256"/>
      <c r="N15" s="256"/>
      <c r="O15" s="256"/>
      <c r="P15" s="256"/>
      <c r="Q15" s="256"/>
      <c r="R15" s="256"/>
      <c r="S15" s="256"/>
      <c r="T15" s="256"/>
      <c r="U15" s="256"/>
      <c r="V15" s="256"/>
      <c r="W15" s="256"/>
      <c r="X15" s="256"/>
      <c r="Y15" s="256"/>
      <c r="Z15" s="256"/>
      <c r="AA15" s="256"/>
      <c r="AB15" s="256"/>
      <c r="AC15" s="256"/>
      <c r="AD15" s="256"/>
      <c r="AE15" s="256"/>
      <c r="AF15" s="256"/>
      <c r="AG15" s="256"/>
      <c r="AH15" s="256"/>
      <c r="AI15" s="256"/>
      <c r="AJ15" s="256"/>
      <c r="AK15" s="256"/>
      <c r="AL15" s="256"/>
      <c r="AM15" s="256"/>
      <c r="AN15" s="256"/>
      <c r="AO15" s="256"/>
      <c r="AP15" s="256"/>
      <c r="AQ15" s="256"/>
      <c r="AR15" s="256"/>
      <c r="AS15" s="256"/>
      <c r="AT15" s="256"/>
      <c r="AU15" s="256"/>
      <c r="AV15" s="256"/>
      <c r="AW15" s="256"/>
      <c r="AX15" s="256"/>
      <c r="AY15" s="256"/>
      <c r="AZ15" s="256"/>
      <c r="BA15" s="256"/>
      <c r="BB15" s="256"/>
      <c r="BC15" s="256"/>
      <c r="BD15" s="256"/>
      <c r="BE15" s="256"/>
      <c r="BF15" s="256"/>
      <c r="BG15" s="256"/>
      <c r="BH15" s="256"/>
      <c r="BI15" s="256"/>
      <c r="BJ15" s="256"/>
      <c r="BK15" s="256"/>
      <c r="BL15" s="256"/>
      <c r="BM15" s="256"/>
      <c r="BN15" s="256"/>
      <c r="BO15" s="256"/>
      <c r="BP15" s="256"/>
      <c r="BQ15" s="256"/>
      <c r="BR15" s="256"/>
      <c r="BS15" s="256"/>
      <c r="BT15" s="256"/>
      <c r="BU15" s="256"/>
      <c r="BV15" s="256"/>
      <c r="BW15" s="256"/>
      <c r="BX15" s="256"/>
      <c r="BY15" s="256"/>
      <c r="BZ15" s="256"/>
    </row>
    <row r="16" spans="1:78" ht="8.25" hidden="1" customHeight="1" x14ac:dyDescent="0.25">
      <c r="A16" s="239"/>
      <c r="B16" s="256"/>
      <c r="C16" s="261"/>
      <c r="D16" s="261"/>
      <c r="E16" s="261"/>
      <c r="F16" s="256"/>
      <c r="G16" s="256"/>
      <c r="H16" s="256"/>
      <c r="I16" s="256"/>
      <c r="J16" s="256"/>
      <c r="K16" s="256"/>
      <c r="L16" s="256"/>
      <c r="M16" s="256"/>
      <c r="N16" s="256"/>
      <c r="O16" s="256"/>
      <c r="P16" s="256"/>
      <c r="Q16" s="256"/>
      <c r="R16" s="256"/>
      <c r="S16" s="256"/>
      <c r="T16" s="256"/>
      <c r="U16" s="256"/>
      <c r="V16" s="256"/>
      <c r="W16" s="256"/>
      <c r="X16" s="256"/>
      <c r="Y16" s="256"/>
      <c r="Z16" s="256"/>
      <c r="AA16" s="256"/>
      <c r="AB16" s="256"/>
      <c r="AC16" s="256"/>
      <c r="AD16" s="256"/>
      <c r="AE16" s="256"/>
      <c r="AF16" s="256"/>
      <c r="AG16" s="256"/>
      <c r="AH16" s="256"/>
      <c r="AI16" s="256"/>
      <c r="AJ16" s="256"/>
      <c r="AK16" s="256"/>
      <c r="AL16" s="256"/>
      <c r="AM16" s="256"/>
      <c r="AN16" s="256"/>
      <c r="AO16" s="256"/>
      <c r="AP16" s="256"/>
      <c r="AQ16" s="256"/>
      <c r="AR16" s="256"/>
      <c r="AS16" s="256"/>
      <c r="AT16" s="256"/>
      <c r="AU16" s="256"/>
      <c r="AV16" s="256"/>
      <c r="AW16" s="256"/>
      <c r="AX16" s="256"/>
      <c r="AY16" s="256"/>
      <c r="AZ16" s="256"/>
      <c r="BA16" s="256"/>
      <c r="BB16" s="256"/>
      <c r="BC16" s="256"/>
      <c r="BD16" s="256"/>
      <c r="BE16" s="256"/>
      <c r="BF16" s="256"/>
      <c r="BG16" s="256"/>
      <c r="BH16" s="256"/>
      <c r="BI16" s="256"/>
      <c r="BJ16" s="256"/>
      <c r="BK16" s="256"/>
      <c r="BL16" s="256"/>
      <c r="BM16" s="256"/>
      <c r="BN16" s="256"/>
      <c r="BO16" s="256"/>
      <c r="BP16" s="256"/>
      <c r="BQ16" s="256"/>
      <c r="BR16" s="256"/>
      <c r="BS16" s="256"/>
      <c r="BT16" s="256"/>
      <c r="BU16" s="256"/>
      <c r="BV16" s="256"/>
      <c r="BW16" s="256"/>
      <c r="BX16" s="256"/>
      <c r="BY16" s="256"/>
      <c r="BZ16" s="256"/>
    </row>
    <row r="17" spans="1:78" ht="8.25" hidden="1" customHeight="1" x14ac:dyDescent="0.25">
      <c r="A17" s="239"/>
      <c r="B17" s="256"/>
      <c r="C17" s="261"/>
      <c r="D17" s="261"/>
      <c r="E17" s="261"/>
      <c r="F17" s="256"/>
      <c r="G17" s="256"/>
      <c r="H17" s="256"/>
      <c r="I17" s="256"/>
      <c r="J17" s="256"/>
      <c r="K17" s="256"/>
      <c r="L17" s="256"/>
      <c r="M17" s="256"/>
      <c r="N17" s="256"/>
      <c r="O17" s="256"/>
      <c r="P17" s="256"/>
      <c r="Q17" s="256"/>
      <c r="R17" s="256"/>
      <c r="S17" s="256"/>
      <c r="T17" s="256"/>
      <c r="U17" s="256"/>
      <c r="V17" s="256"/>
      <c r="W17" s="256"/>
      <c r="X17" s="256"/>
      <c r="Y17" s="256"/>
      <c r="Z17" s="256"/>
      <c r="AA17" s="256"/>
      <c r="AB17" s="256"/>
      <c r="AC17" s="256"/>
      <c r="AD17" s="256"/>
      <c r="AE17" s="256"/>
      <c r="AF17" s="256"/>
      <c r="AG17" s="256"/>
      <c r="AH17" s="256"/>
      <c r="AI17" s="256"/>
      <c r="AJ17" s="256"/>
      <c r="AK17" s="256"/>
      <c r="AL17" s="256"/>
      <c r="AM17" s="256"/>
      <c r="AN17" s="256"/>
      <c r="AO17" s="256"/>
      <c r="AP17" s="256"/>
      <c r="AQ17" s="256"/>
      <c r="AR17" s="256"/>
      <c r="AS17" s="256"/>
      <c r="AT17" s="256"/>
      <c r="AU17" s="256"/>
      <c r="AV17" s="256"/>
      <c r="AW17" s="256"/>
      <c r="AX17" s="256"/>
      <c r="AY17" s="256"/>
      <c r="AZ17" s="256"/>
      <c r="BA17" s="256"/>
      <c r="BB17" s="256"/>
      <c r="BC17" s="256"/>
      <c r="BD17" s="256"/>
      <c r="BE17" s="256"/>
      <c r="BF17" s="256"/>
      <c r="BG17" s="256"/>
      <c r="BH17" s="256"/>
      <c r="BI17" s="256"/>
      <c r="BJ17" s="256"/>
      <c r="BK17" s="256"/>
      <c r="BL17" s="256"/>
      <c r="BM17" s="256"/>
      <c r="BN17" s="256"/>
      <c r="BO17" s="256"/>
      <c r="BP17" s="256"/>
      <c r="BQ17" s="256"/>
      <c r="BR17" s="256"/>
      <c r="BS17" s="256"/>
      <c r="BT17" s="256"/>
      <c r="BU17" s="256"/>
      <c r="BV17" s="256"/>
      <c r="BW17" s="256"/>
      <c r="BX17" s="256"/>
      <c r="BY17" s="256"/>
      <c r="BZ17" s="256"/>
    </row>
    <row r="18" spans="1:78" ht="8.25" hidden="1" customHeight="1" x14ac:dyDescent="0.25">
      <c r="A18" s="239"/>
      <c r="B18" s="256"/>
      <c r="C18" s="261"/>
      <c r="D18" s="261"/>
      <c r="E18" s="261"/>
      <c r="F18" s="256"/>
      <c r="G18" s="256"/>
      <c r="H18" s="256"/>
      <c r="I18" s="256"/>
      <c r="J18" s="256"/>
      <c r="K18" s="256"/>
      <c r="L18" s="256"/>
      <c r="M18" s="256"/>
      <c r="N18" s="256"/>
      <c r="O18" s="256"/>
      <c r="P18" s="256"/>
      <c r="Q18" s="256"/>
      <c r="R18" s="256"/>
      <c r="S18" s="256"/>
      <c r="T18" s="256"/>
      <c r="U18" s="256"/>
      <c r="V18" s="256"/>
      <c r="W18" s="256"/>
      <c r="X18" s="256"/>
      <c r="Y18" s="256"/>
      <c r="Z18" s="256"/>
      <c r="AA18" s="256"/>
      <c r="AB18" s="256"/>
      <c r="AC18" s="256"/>
      <c r="AD18" s="256"/>
      <c r="AE18" s="256"/>
      <c r="AF18" s="256"/>
      <c r="AG18" s="256"/>
      <c r="AH18" s="256"/>
      <c r="AI18" s="256"/>
      <c r="AJ18" s="256"/>
      <c r="AK18" s="256"/>
      <c r="AL18" s="256"/>
      <c r="AM18" s="256"/>
      <c r="AN18" s="256"/>
      <c r="AO18" s="256"/>
      <c r="AP18" s="256"/>
      <c r="AQ18" s="256"/>
      <c r="AR18" s="256"/>
      <c r="AS18" s="256"/>
      <c r="AT18" s="256"/>
      <c r="AU18" s="256"/>
      <c r="AV18" s="256"/>
      <c r="AW18" s="256"/>
      <c r="AX18" s="256"/>
      <c r="AY18" s="256"/>
      <c r="AZ18" s="256"/>
      <c r="BA18" s="256"/>
      <c r="BB18" s="256"/>
      <c r="BC18" s="256"/>
      <c r="BD18" s="256"/>
      <c r="BE18" s="256"/>
      <c r="BF18" s="256"/>
      <c r="BG18" s="256"/>
      <c r="BH18" s="256"/>
      <c r="BI18" s="256"/>
      <c r="BJ18" s="256"/>
      <c r="BK18" s="256"/>
      <c r="BL18" s="256"/>
      <c r="BM18" s="256"/>
      <c r="BN18" s="256"/>
      <c r="BO18" s="256"/>
      <c r="BP18" s="256"/>
      <c r="BQ18" s="256"/>
      <c r="BR18" s="256"/>
      <c r="BS18" s="256"/>
      <c r="BT18" s="256"/>
      <c r="BU18" s="256"/>
      <c r="BV18" s="256"/>
      <c r="BW18" s="256"/>
      <c r="BX18" s="256"/>
      <c r="BY18" s="256"/>
      <c r="BZ18" s="256"/>
    </row>
    <row r="19" spans="1:78" ht="8.25" hidden="1" customHeight="1" x14ac:dyDescent="0.25">
      <c r="A19" s="239"/>
      <c r="B19" s="256"/>
      <c r="C19" s="261"/>
      <c r="D19" s="261"/>
      <c r="E19" s="261"/>
      <c r="F19" s="256"/>
      <c r="G19" s="256"/>
      <c r="H19" s="256"/>
      <c r="I19" s="256"/>
      <c r="J19" s="256"/>
      <c r="K19" s="256"/>
      <c r="L19" s="256"/>
      <c r="M19" s="256"/>
      <c r="N19" s="256"/>
      <c r="O19" s="256"/>
      <c r="P19" s="256"/>
      <c r="Q19" s="256"/>
      <c r="R19" s="256"/>
      <c r="S19" s="256"/>
      <c r="T19" s="256"/>
      <c r="U19" s="256"/>
      <c r="V19" s="256"/>
      <c r="W19" s="256"/>
      <c r="X19" s="256"/>
      <c r="Y19" s="256"/>
      <c r="Z19" s="256"/>
      <c r="AA19" s="256"/>
      <c r="AB19" s="256"/>
      <c r="AC19" s="256"/>
      <c r="AD19" s="256"/>
      <c r="AE19" s="256"/>
      <c r="AF19" s="256"/>
      <c r="AG19" s="256"/>
      <c r="AH19" s="256"/>
      <c r="AI19" s="256"/>
      <c r="AJ19" s="256"/>
      <c r="AK19" s="256"/>
      <c r="AL19" s="256"/>
      <c r="AM19" s="256"/>
      <c r="AN19" s="256"/>
      <c r="AO19" s="256"/>
      <c r="AP19" s="256"/>
      <c r="AQ19" s="256"/>
      <c r="AR19" s="256"/>
      <c r="AS19" s="256"/>
      <c r="AT19" s="256"/>
      <c r="AU19" s="256"/>
      <c r="AV19" s="256"/>
      <c r="AW19" s="256"/>
      <c r="AX19" s="256"/>
      <c r="AY19" s="256"/>
      <c r="AZ19" s="256"/>
      <c r="BA19" s="256"/>
      <c r="BB19" s="256"/>
      <c r="BC19" s="256"/>
      <c r="BD19" s="256"/>
      <c r="BE19" s="256"/>
      <c r="BF19" s="256"/>
      <c r="BG19" s="256"/>
      <c r="BH19" s="256"/>
      <c r="BI19" s="256"/>
      <c r="BJ19" s="256"/>
      <c r="BK19" s="256"/>
      <c r="BL19" s="256"/>
      <c r="BM19" s="256"/>
      <c r="BN19" s="256"/>
      <c r="BO19" s="256"/>
      <c r="BP19" s="256"/>
      <c r="BQ19" s="256"/>
      <c r="BR19" s="256"/>
      <c r="BS19" s="256"/>
      <c r="BT19" s="256"/>
      <c r="BU19" s="256"/>
      <c r="BV19" s="256"/>
      <c r="BW19" s="256"/>
      <c r="BX19" s="256"/>
      <c r="BY19" s="256"/>
      <c r="BZ19" s="256"/>
    </row>
    <row r="20" spans="1:78" ht="8.25" hidden="1" customHeight="1" x14ac:dyDescent="0.25">
      <c r="A20" s="239"/>
      <c r="B20" s="256"/>
      <c r="C20" s="261"/>
      <c r="D20" s="261"/>
      <c r="E20" s="261"/>
      <c r="F20" s="256"/>
      <c r="G20" s="256"/>
      <c r="H20" s="256"/>
      <c r="I20" s="256"/>
      <c r="J20" s="256"/>
      <c r="K20" s="256"/>
      <c r="L20" s="256"/>
      <c r="M20" s="256"/>
      <c r="N20" s="256"/>
      <c r="O20" s="256"/>
      <c r="P20" s="256"/>
      <c r="Q20" s="256"/>
      <c r="R20" s="256"/>
      <c r="S20" s="256"/>
      <c r="T20" s="256"/>
      <c r="U20" s="256"/>
      <c r="V20" s="256"/>
      <c r="W20" s="256"/>
      <c r="X20" s="256"/>
      <c r="Y20" s="256"/>
      <c r="Z20" s="256"/>
      <c r="AA20" s="256"/>
      <c r="AB20" s="256"/>
      <c r="AC20" s="256"/>
      <c r="AD20" s="256"/>
      <c r="AE20" s="256"/>
      <c r="AF20" s="256"/>
      <c r="AG20" s="256"/>
      <c r="AH20" s="256"/>
      <c r="AI20" s="256"/>
      <c r="AJ20" s="256"/>
      <c r="AK20" s="256"/>
      <c r="AL20" s="256"/>
      <c r="AM20" s="256"/>
      <c r="AN20" s="256"/>
      <c r="AO20" s="256"/>
      <c r="AP20" s="256"/>
      <c r="AQ20" s="256"/>
      <c r="AR20" s="256"/>
      <c r="AS20" s="256"/>
      <c r="AT20" s="256"/>
      <c r="AU20" s="256"/>
      <c r="AV20" s="256"/>
      <c r="AW20" s="256"/>
      <c r="AX20" s="256"/>
      <c r="AY20" s="256"/>
      <c r="AZ20" s="256"/>
      <c r="BA20" s="256"/>
      <c r="BB20" s="256"/>
      <c r="BC20" s="256"/>
      <c r="BD20" s="256"/>
      <c r="BE20" s="256"/>
      <c r="BF20" s="256"/>
      <c r="BG20" s="256"/>
      <c r="BH20" s="256"/>
      <c r="BI20" s="256"/>
      <c r="BJ20" s="256"/>
      <c r="BK20" s="256"/>
      <c r="BL20" s="256"/>
      <c r="BM20" s="256"/>
      <c r="BN20" s="256"/>
      <c r="BO20" s="256"/>
      <c r="BP20" s="256"/>
      <c r="BQ20" s="256"/>
      <c r="BR20" s="256"/>
      <c r="BS20" s="256"/>
      <c r="BT20" s="256"/>
      <c r="BU20" s="256"/>
      <c r="BV20" s="256"/>
      <c r="BW20" s="256"/>
      <c r="BX20" s="256"/>
      <c r="BY20" s="256"/>
      <c r="BZ20" s="256"/>
    </row>
    <row r="21" spans="1:78" ht="8.25" hidden="1" customHeight="1" x14ac:dyDescent="0.25">
      <c r="A21" s="239"/>
      <c r="B21" s="256"/>
      <c r="C21" s="261"/>
      <c r="D21" s="261"/>
      <c r="E21" s="261"/>
      <c r="F21" s="256"/>
      <c r="G21" s="256"/>
      <c r="H21" s="256"/>
      <c r="I21" s="256"/>
      <c r="J21" s="256"/>
      <c r="K21" s="256"/>
      <c r="L21" s="256"/>
      <c r="M21" s="256"/>
      <c r="N21" s="256"/>
      <c r="O21" s="256"/>
      <c r="P21" s="256"/>
      <c r="Q21" s="256"/>
      <c r="R21" s="256"/>
      <c r="S21" s="256"/>
      <c r="T21" s="256"/>
      <c r="U21" s="256"/>
      <c r="V21" s="256"/>
      <c r="W21" s="256"/>
      <c r="X21" s="256"/>
      <c r="Y21" s="256"/>
      <c r="Z21" s="256"/>
      <c r="AA21" s="256"/>
      <c r="AB21" s="256"/>
      <c r="AC21" s="256"/>
      <c r="AD21" s="256"/>
      <c r="AE21" s="256"/>
      <c r="AF21" s="256"/>
      <c r="AG21" s="256"/>
      <c r="AH21" s="256"/>
      <c r="AI21" s="256"/>
      <c r="AJ21" s="256"/>
      <c r="AK21" s="256"/>
      <c r="AL21" s="256"/>
      <c r="AM21" s="256"/>
      <c r="AN21" s="256"/>
      <c r="AO21" s="256"/>
      <c r="AP21" s="256"/>
      <c r="AQ21" s="256"/>
      <c r="AR21" s="256"/>
      <c r="AS21" s="256"/>
      <c r="AT21" s="256"/>
      <c r="AU21" s="256"/>
      <c r="AV21" s="256"/>
      <c r="AW21" s="256"/>
      <c r="AX21" s="256"/>
      <c r="AY21" s="256"/>
      <c r="AZ21" s="256"/>
      <c r="BA21" s="256"/>
      <c r="BB21" s="256"/>
      <c r="BC21" s="256"/>
      <c r="BD21" s="256"/>
      <c r="BE21" s="256"/>
      <c r="BF21" s="256"/>
      <c r="BG21" s="256"/>
      <c r="BH21" s="256"/>
      <c r="BI21" s="256"/>
      <c r="BJ21" s="256"/>
      <c r="BK21" s="256"/>
      <c r="BL21" s="256"/>
      <c r="BM21" s="256"/>
      <c r="BN21" s="256"/>
      <c r="BO21" s="256"/>
      <c r="BP21" s="256"/>
      <c r="BQ21" s="256"/>
      <c r="BR21" s="256"/>
      <c r="BS21" s="256"/>
      <c r="BT21" s="256"/>
      <c r="BU21" s="256"/>
      <c r="BV21" s="256"/>
      <c r="BW21" s="256"/>
      <c r="BX21" s="256"/>
      <c r="BY21" s="256"/>
      <c r="BZ21" s="256"/>
    </row>
    <row r="22" spans="1:78" ht="8.25" hidden="1" customHeight="1" x14ac:dyDescent="0.25">
      <c r="A22" s="239"/>
      <c r="B22" s="256"/>
      <c r="C22" s="261"/>
      <c r="D22" s="261"/>
      <c r="E22" s="261"/>
      <c r="F22" s="256"/>
      <c r="G22" s="256"/>
      <c r="H22" s="256"/>
      <c r="I22" s="256"/>
      <c r="J22" s="256"/>
      <c r="K22" s="256"/>
      <c r="L22" s="256"/>
      <c r="M22" s="256"/>
      <c r="N22" s="256"/>
      <c r="O22" s="256"/>
      <c r="P22" s="256"/>
      <c r="Q22" s="256"/>
      <c r="R22" s="256"/>
      <c r="S22" s="256"/>
      <c r="T22" s="256"/>
      <c r="U22" s="256"/>
      <c r="V22" s="256"/>
      <c r="W22" s="256"/>
      <c r="X22" s="256"/>
      <c r="Y22" s="256"/>
      <c r="Z22" s="256"/>
      <c r="AA22" s="256"/>
      <c r="AB22" s="256"/>
      <c r="AC22" s="256"/>
      <c r="AD22" s="256"/>
      <c r="AE22" s="256"/>
      <c r="AF22" s="256"/>
      <c r="AG22" s="256"/>
      <c r="AH22" s="256"/>
      <c r="AI22" s="256"/>
      <c r="AJ22" s="256"/>
      <c r="AK22" s="256"/>
      <c r="AL22" s="256"/>
      <c r="AM22" s="256"/>
      <c r="AN22" s="256"/>
      <c r="AO22" s="256"/>
      <c r="AP22" s="256"/>
      <c r="AQ22" s="256"/>
      <c r="AR22" s="256"/>
      <c r="AS22" s="256"/>
      <c r="AT22" s="256"/>
      <c r="AU22" s="256"/>
      <c r="AV22" s="256"/>
      <c r="AW22" s="256"/>
      <c r="AX22" s="256"/>
      <c r="AY22" s="256"/>
      <c r="AZ22" s="256"/>
      <c r="BA22" s="256"/>
      <c r="BB22" s="256"/>
      <c r="BC22" s="256"/>
      <c r="BD22" s="256"/>
      <c r="BE22" s="256"/>
      <c r="BF22" s="256"/>
      <c r="BG22" s="256"/>
      <c r="BH22" s="256"/>
      <c r="BI22" s="256"/>
      <c r="BJ22" s="256"/>
      <c r="BK22" s="256"/>
      <c r="BL22" s="256"/>
      <c r="BM22" s="256"/>
      <c r="BN22" s="256"/>
      <c r="BO22" s="256"/>
      <c r="BP22" s="256"/>
      <c r="BQ22" s="256"/>
      <c r="BR22" s="256"/>
      <c r="BS22" s="256"/>
      <c r="BT22" s="256"/>
      <c r="BU22" s="256"/>
      <c r="BV22" s="256"/>
      <c r="BW22" s="256"/>
      <c r="BX22" s="256"/>
      <c r="BY22" s="256"/>
      <c r="BZ22" s="256"/>
    </row>
    <row r="23" spans="1:78" ht="21.75" hidden="1" customHeight="1" x14ac:dyDescent="0.25">
      <c r="A23" s="254" t="s">
        <v>1164</v>
      </c>
      <c r="B23" s="256"/>
      <c r="C23" s="261"/>
      <c r="D23" s="261"/>
      <c r="E23" s="261"/>
      <c r="G23" s="254"/>
      <c r="H23" s="254"/>
      <c r="I23" s="254"/>
      <c r="J23" s="254"/>
      <c r="K23" s="254"/>
      <c r="L23" s="254"/>
      <c r="M23" s="254"/>
      <c r="N23" s="254"/>
      <c r="O23" s="254"/>
      <c r="P23" s="254"/>
      <c r="Q23" s="254"/>
      <c r="R23" s="254"/>
      <c r="S23" s="254"/>
      <c r="T23" s="254"/>
      <c r="U23" s="254"/>
      <c r="V23" s="254"/>
      <c r="W23" s="254"/>
      <c r="X23" s="254"/>
      <c r="Y23" s="254"/>
      <c r="Z23" s="254"/>
      <c r="AA23" s="254"/>
      <c r="AB23" s="254"/>
      <c r="AC23" s="254"/>
      <c r="AD23" s="254"/>
      <c r="AE23" s="254"/>
      <c r="AF23" s="254"/>
      <c r="AG23" s="254"/>
      <c r="AH23" s="254"/>
      <c r="AI23" s="254"/>
      <c r="AJ23" s="254"/>
      <c r="AK23" s="254"/>
      <c r="AL23" s="256"/>
      <c r="AM23" s="256"/>
      <c r="AN23" s="256"/>
      <c r="AO23" s="256"/>
      <c r="AP23" s="256"/>
      <c r="AQ23" s="256"/>
      <c r="AR23" s="256"/>
      <c r="AS23" s="256"/>
      <c r="AT23" s="256"/>
      <c r="AU23" s="256"/>
      <c r="AV23" s="256"/>
      <c r="AW23" s="256"/>
      <c r="AX23" s="256"/>
      <c r="AY23" s="256"/>
      <c r="AZ23" s="256"/>
      <c r="BA23" s="256"/>
      <c r="BB23" s="256"/>
      <c r="BC23" s="256"/>
      <c r="BD23" s="256"/>
      <c r="BE23" s="256"/>
      <c r="BF23" s="256"/>
      <c r="BG23" s="256"/>
      <c r="BH23" s="256"/>
      <c r="BI23" s="256"/>
      <c r="BJ23" s="256"/>
      <c r="BK23" s="256"/>
      <c r="BL23" s="256"/>
      <c r="BM23" s="256"/>
      <c r="BN23" s="256"/>
      <c r="BO23" s="256"/>
      <c r="BP23" s="256"/>
      <c r="BQ23" s="256"/>
      <c r="BR23" s="256"/>
      <c r="BS23" s="256"/>
      <c r="BT23" s="256"/>
      <c r="BU23" s="256"/>
      <c r="BV23" s="256"/>
      <c r="BW23" s="256"/>
      <c r="BX23" s="256"/>
      <c r="BY23" s="256"/>
      <c r="BZ23" s="256"/>
    </row>
    <row r="24" spans="1:78" ht="3" hidden="1" customHeight="1" x14ac:dyDescent="0.25">
      <c r="A24" s="239"/>
      <c r="B24" s="256"/>
      <c r="C24" s="261"/>
      <c r="D24" s="261"/>
      <c r="E24" s="261"/>
      <c r="F24" s="256"/>
      <c r="G24" s="256"/>
      <c r="H24" s="256"/>
      <c r="I24" s="256"/>
      <c r="J24" s="256"/>
      <c r="K24" s="256"/>
      <c r="L24" s="256"/>
      <c r="M24" s="256"/>
      <c r="N24" s="256"/>
      <c r="O24" s="256"/>
      <c r="P24" s="256"/>
      <c r="Q24" s="256"/>
      <c r="R24" s="256"/>
      <c r="S24" s="256"/>
      <c r="T24" s="256"/>
      <c r="U24" s="256"/>
      <c r="V24" s="256"/>
      <c r="W24" s="256"/>
      <c r="X24" s="256"/>
      <c r="Y24" s="256"/>
      <c r="Z24" s="256"/>
      <c r="AA24" s="256"/>
      <c r="AB24" s="256"/>
      <c r="AC24" s="256"/>
      <c r="AD24" s="256"/>
      <c r="AE24" s="256"/>
      <c r="AF24" s="256"/>
      <c r="AG24" s="256"/>
      <c r="AH24" s="256"/>
      <c r="AI24" s="256"/>
      <c r="AJ24" s="256"/>
      <c r="AK24" s="256"/>
      <c r="AL24" s="256"/>
      <c r="AM24" s="256"/>
      <c r="AN24" s="256"/>
      <c r="AO24" s="256"/>
      <c r="AP24" s="256"/>
      <c r="AQ24" s="256"/>
      <c r="AR24" s="256"/>
      <c r="AS24" s="256"/>
      <c r="AT24" s="256"/>
      <c r="AU24" s="256"/>
      <c r="AV24" s="256"/>
      <c r="AW24" s="256"/>
      <c r="AX24" s="256"/>
      <c r="AY24" s="256"/>
      <c r="AZ24" s="256"/>
      <c r="BA24" s="256"/>
      <c r="BB24" s="256"/>
      <c r="BC24" s="256"/>
      <c r="BD24" s="256"/>
      <c r="BE24" s="256"/>
      <c r="BF24" s="256"/>
      <c r="BG24" s="256"/>
      <c r="BH24" s="256"/>
      <c r="BI24" s="256"/>
      <c r="BJ24" s="256"/>
      <c r="BK24" s="256"/>
      <c r="BL24" s="256"/>
      <c r="BM24" s="256"/>
      <c r="BN24" s="256"/>
      <c r="BO24" s="256"/>
      <c r="BP24" s="256"/>
      <c r="BQ24" s="256"/>
      <c r="BR24" s="256"/>
      <c r="BS24" s="256"/>
      <c r="BT24" s="256"/>
      <c r="BU24" s="256"/>
      <c r="BV24" s="256"/>
      <c r="BW24" s="256"/>
      <c r="BX24" s="256"/>
      <c r="BY24" s="256"/>
      <c r="BZ24" s="256"/>
    </row>
    <row r="25" spans="1:78" ht="358.5" hidden="1" customHeight="1" x14ac:dyDescent="0.25">
      <c r="A25" s="256"/>
      <c r="B25" s="256"/>
      <c r="C25" s="261"/>
      <c r="D25" s="261"/>
      <c r="E25" s="261"/>
      <c r="F25" s="466"/>
      <c r="G25" s="466"/>
      <c r="H25" s="466"/>
      <c r="I25" s="466"/>
      <c r="J25" s="466"/>
      <c r="K25" s="466"/>
      <c r="L25" s="466"/>
      <c r="M25" s="466"/>
      <c r="N25" s="466"/>
      <c r="O25" s="466"/>
      <c r="P25" s="466"/>
      <c r="Q25" s="466"/>
      <c r="R25" s="466"/>
      <c r="S25" s="466"/>
      <c r="T25" s="466"/>
      <c r="U25" s="466"/>
      <c r="V25" s="466"/>
      <c r="W25" s="466"/>
      <c r="X25" s="466"/>
      <c r="Y25" s="466"/>
      <c r="Z25" s="466"/>
      <c r="AA25" s="466"/>
      <c r="AB25" s="466"/>
      <c r="AC25" s="466"/>
      <c r="AD25" s="466"/>
      <c r="AE25" s="466"/>
      <c r="AF25" s="466"/>
      <c r="AG25" s="466"/>
      <c r="AH25" s="466"/>
      <c r="AI25" s="466"/>
      <c r="AJ25" s="466"/>
      <c r="AK25" s="466"/>
      <c r="AL25" s="256"/>
      <c r="AM25" s="256"/>
      <c r="AN25" s="256"/>
      <c r="AO25" s="256"/>
      <c r="AP25" s="256"/>
      <c r="AQ25" s="256"/>
      <c r="AR25" s="256"/>
      <c r="AS25" s="256"/>
      <c r="AT25" s="256"/>
      <c r="AU25" s="256"/>
      <c r="AV25" s="256"/>
      <c r="AW25" s="256"/>
      <c r="AX25" s="256"/>
      <c r="AY25" s="256"/>
      <c r="AZ25" s="256"/>
      <c r="BA25" s="256"/>
      <c r="BB25" s="256"/>
      <c r="BC25" s="256"/>
      <c r="BD25" s="256"/>
      <c r="BE25" s="256"/>
      <c r="BF25" s="256"/>
      <c r="BG25" s="256"/>
      <c r="BH25" s="256"/>
      <c r="BI25" s="256"/>
      <c r="BJ25" s="256"/>
      <c r="BK25" s="256"/>
      <c r="BL25" s="256"/>
      <c r="BM25" s="256"/>
      <c r="BN25" s="256"/>
      <c r="BO25" s="256"/>
      <c r="BP25" s="256"/>
      <c r="BQ25" s="256"/>
      <c r="BR25" s="256"/>
      <c r="BS25" s="256"/>
      <c r="BT25" s="256"/>
      <c r="BU25" s="256"/>
      <c r="BV25" s="256"/>
      <c r="BW25" s="256"/>
      <c r="BX25" s="256"/>
      <c r="BY25" s="256"/>
      <c r="BZ25" s="256"/>
    </row>
    <row r="26" spans="1:78" ht="8.25" hidden="1" customHeight="1" x14ac:dyDescent="0.25">
      <c r="A26" s="256"/>
      <c r="B26" s="256"/>
      <c r="C26" s="261"/>
      <c r="D26" s="261"/>
      <c r="E26" s="261"/>
      <c r="F26" s="256"/>
      <c r="G26" s="256"/>
      <c r="H26" s="256"/>
      <c r="I26" s="256"/>
      <c r="J26" s="256"/>
      <c r="K26" s="256"/>
      <c r="L26" s="256"/>
      <c r="M26" s="256"/>
      <c r="N26" s="256"/>
      <c r="O26" s="256"/>
      <c r="P26" s="256"/>
      <c r="Q26" s="256"/>
      <c r="R26" s="256"/>
      <c r="S26" s="256"/>
      <c r="T26" s="256"/>
      <c r="U26" s="256"/>
      <c r="V26" s="256"/>
      <c r="W26" s="256"/>
      <c r="X26" s="256"/>
      <c r="Y26" s="256"/>
      <c r="Z26" s="256"/>
      <c r="AA26" s="256"/>
      <c r="AB26" s="256"/>
      <c r="AC26" s="256"/>
      <c r="AD26" s="256"/>
      <c r="AE26" s="256"/>
      <c r="AF26" s="256"/>
      <c r="AG26" s="256"/>
      <c r="AH26" s="256"/>
      <c r="AI26" s="256"/>
      <c r="AJ26" s="256"/>
      <c r="AK26" s="256"/>
      <c r="AL26" s="256"/>
      <c r="AM26" s="256"/>
      <c r="AN26" s="256"/>
      <c r="AO26" s="256"/>
      <c r="AP26" s="256"/>
      <c r="AQ26" s="256"/>
      <c r="AR26" s="256"/>
      <c r="AS26" s="256"/>
      <c r="AT26" s="256"/>
      <c r="AU26" s="256"/>
      <c r="AV26" s="256"/>
      <c r="AW26" s="256"/>
      <c r="AX26" s="256"/>
      <c r="AY26" s="256"/>
      <c r="AZ26" s="256"/>
      <c r="BA26" s="256"/>
      <c r="BB26" s="256"/>
      <c r="BC26" s="256"/>
      <c r="BD26" s="256"/>
      <c r="BE26" s="256"/>
      <c r="BF26" s="256"/>
      <c r="BG26" s="256"/>
      <c r="BH26" s="256"/>
      <c r="BI26" s="256"/>
      <c r="BJ26" s="256"/>
      <c r="BK26" s="256"/>
      <c r="BL26" s="256"/>
      <c r="BM26" s="256"/>
      <c r="BN26" s="256"/>
      <c r="BO26" s="256"/>
      <c r="BP26" s="256"/>
      <c r="BQ26" s="256"/>
      <c r="BR26" s="256"/>
      <c r="BS26" s="256"/>
      <c r="BT26" s="256"/>
      <c r="BU26" s="256"/>
      <c r="BV26" s="256"/>
      <c r="BW26" s="256"/>
      <c r="BX26" s="256"/>
      <c r="BY26" s="256"/>
      <c r="BZ26" s="256"/>
    </row>
    <row r="27" spans="1:78" ht="8.25" hidden="1" customHeight="1" x14ac:dyDescent="0.25">
      <c r="A27" s="256"/>
      <c r="B27" s="256"/>
      <c r="C27" s="261"/>
      <c r="D27" s="261"/>
      <c r="E27" s="261"/>
      <c r="F27" s="256"/>
      <c r="G27" s="256"/>
      <c r="H27" s="256"/>
      <c r="I27" s="256"/>
      <c r="J27" s="256"/>
      <c r="K27" s="256"/>
      <c r="L27" s="256"/>
      <c r="M27" s="256"/>
      <c r="N27" s="256"/>
      <c r="O27" s="256"/>
      <c r="P27" s="256"/>
      <c r="Q27" s="256"/>
      <c r="R27" s="256"/>
      <c r="S27" s="256"/>
      <c r="T27" s="256"/>
      <c r="U27" s="256"/>
      <c r="V27" s="256"/>
      <c r="W27" s="256"/>
      <c r="X27" s="256"/>
      <c r="Y27" s="256"/>
      <c r="Z27" s="256"/>
      <c r="AA27" s="256"/>
      <c r="AB27" s="256"/>
      <c r="AC27" s="256"/>
      <c r="AD27" s="256"/>
      <c r="AE27" s="256"/>
      <c r="AF27" s="256"/>
      <c r="AG27" s="256"/>
      <c r="AH27" s="256"/>
      <c r="AI27" s="256"/>
      <c r="AJ27" s="256"/>
      <c r="AK27" s="256"/>
      <c r="AL27" s="256"/>
      <c r="AM27" s="256"/>
      <c r="AN27" s="256"/>
      <c r="AO27" s="256"/>
      <c r="AP27" s="256"/>
      <c r="AQ27" s="256"/>
      <c r="AR27" s="256"/>
      <c r="AS27" s="256"/>
      <c r="AT27" s="256"/>
      <c r="AU27" s="256"/>
      <c r="AV27" s="256"/>
      <c r="AW27" s="256"/>
      <c r="AX27" s="256"/>
      <c r="AY27" s="256"/>
      <c r="AZ27" s="256"/>
      <c r="BA27" s="256"/>
      <c r="BB27" s="256"/>
      <c r="BC27" s="256"/>
      <c r="BD27" s="256"/>
      <c r="BE27" s="256"/>
      <c r="BF27" s="256"/>
      <c r="BG27" s="256"/>
      <c r="BH27" s="256"/>
      <c r="BI27" s="256"/>
      <c r="BJ27" s="256"/>
      <c r="BK27" s="256"/>
      <c r="BL27" s="256"/>
      <c r="BM27" s="256"/>
      <c r="BN27" s="256"/>
      <c r="BO27" s="256"/>
      <c r="BP27" s="256"/>
      <c r="BQ27" s="256"/>
      <c r="BR27" s="256"/>
      <c r="BS27" s="256"/>
      <c r="BT27" s="256"/>
      <c r="BU27" s="256"/>
      <c r="BV27" s="256"/>
      <c r="BW27" s="256"/>
      <c r="BX27" s="256"/>
      <c r="BY27" s="256"/>
      <c r="BZ27" s="256"/>
    </row>
    <row r="28" spans="1:78" ht="8.25" hidden="1" customHeight="1" x14ac:dyDescent="0.25">
      <c r="A28" s="256"/>
      <c r="B28" s="256"/>
      <c r="C28" s="261"/>
      <c r="D28" s="261"/>
      <c r="E28" s="261"/>
      <c r="F28" s="256"/>
      <c r="G28" s="256"/>
      <c r="H28" s="256"/>
      <c r="I28" s="256"/>
      <c r="J28" s="256"/>
      <c r="K28" s="256"/>
      <c r="L28" s="256"/>
      <c r="M28" s="256"/>
      <c r="N28" s="256"/>
      <c r="O28" s="256"/>
      <c r="P28" s="256"/>
      <c r="Q28" s="256"/>
      <c r="R28" s="256"/>
      <c r="S28" s="256"/>
      <c r="T28" s="256"/>
      <c r="U28" s="256"/>
      <c r="V28" s="256"/>
      <c r="W28" s="256"/>
      <c r="X28" s="256"/>
      <c r="Y28" s="256"/>
      <c r="Z28" s="256"/>
      <c r="AA28" s="256"/>
      <c r="AB28" s="256"/>
      <c r="AC28" s="256"/>
      <c r="AD28" s="256"/>
      <c r="AE28" s="256"/>
      <c r="AF28" s="256"/>
      <c r="AG28" s="256"/>
      <c r="AH28" s="256"/>
      <c r="AI28" s="256"/>
      <c r="AJ28" s="256"/>
      <c r="AK28" s="256"/>
      <c r="AL28" s="256"/>
      <c r="AM28" s="256"/>
      <c r="AN28" s="256"/>
      <c r="AO28" s="256"/>
      <c r="AP28" s="256"/>
      <c r="AQ28" s="256"/>
      <c r="AR28" s="256"/>
      <c r="AS28" s="256"/>
      <c r="AT28" s="256"/>
      <c r="AU28" s="256"/>
      <c r="AV28" s="256"/>
      <c r="AW28" s="256"/>
      <c r="AX28" s="256"/>
      <c r="AY28" s="256"/>
      <c r="AZ28" s="256"/>
      <c r="BA28" s="256"/>
      <c r="BB28" s="256"/>
      <c r="BC28" s="256"/>
      <c r="BD28" s="256"/>
      <c r="BE28" s="256"/>
      <c r="BF28" s="256"/>
      <c r="BG28" s="256"/>
      <c r="BH28" s="256"/>
      <c r="BI28" s="256"/>
      <c r="BJ28" s="256"/>
      <c r="BK28" s="256"/>
      <c r="BL28" s="256"/>
      <c r="BM28" s="256"/>
      <c r="BN28" s="256"/>
      <c r="BO28" s="256"/>
      <c r="BP28" s="256"/>
      <c r="BQ28" s="256"/>
      <c r="BR28" s="256"/>
      <c r="BS28" s="256"/>
      <c r="BT28" s="256"/>
      <c r="BU28" s="256"/>
      <c r="BV28" s="256"/>
      <c r="BW28" s="256"/>
      <c r="BX28" s="256"/>
      <c r="BY28" s="256"/>
      <c r="BZ28" s="256"/>
    </row>
    <row r="29" spans="1:78" ht="8.25" hidden="1" customHeight="1" x14ac:dyDescent="0.25">
      <c r="A29" s="256"/>
      <c r="B29" s="256"/>
      <c r="C29" s="261"/>
      <c r="D29" s="261"/>
      <c r="E29" s="261"/>
      <c r="F29" s="256"/>
      <c r="G29" s="256"/>
      <c r="H29" s="256"/>
      <c r="I29" s="256"/>
      <c r="J29" s="256"/>
      <c r="K29" s="256"/>
      <c r="L29" s="256"/>
      <c r="M29" s="256"/>
      <c r="N29" s="256"/>
      <c r="O29" s="256"/>
      <c r="P29" s="256"/>
      <c r="Q29" s="256"/>
      <c r="R29" s="256"/>
      <c r="S29" s="256"/>
      <c r="T29" s="256"/>
      <c r="U29" s="256"/>
      <c r="V29" s="256"/>
      <c r="W29" s="256"/>
      <c r="X29" s="256"/>
      <c r="Y29" s="256"/>
      <c r="Z29" s="256"/>
      <c r="AA29" s="256"/>
      <c r="AB29" s="256"/>
      <c r="AC29" s="256"/>
      <c r="AD29" s="256"/>
      <c r="AE29" s="256"/>
      <c r="AF29" s="256"/>
      <c r="AG29" s="256"/>
      <c r="AH29" s="256"/>
      <c r="AI29" s="256"/>
      <c r="AJ29" s="256"/>
      <c r="AK29" s="256"/>
      <c r="AL29" s="256"/>
      <c r="AM29" s="256"/>
      <c r="AN29" s="256"/>
      <c r="AO29" s="256"/>
      <c r="AP29" s="256"/>
      <c r="AQ29" s="256"/>
      <c r="AR29" s="256"/>
      <c r="AS29" s="256"/>
      <c r="AT29" s="256"/>
      <c r="AU29" s="256"/>
      <c r="AV29" s="256"/>
      <c r="AW29" s="256"/>
      <c r="AX29" s="256"/>
      <c r="AY29" s="256"/>
      <c r="AZ29" s="256"/>
      <c r="BA29" s="256"/>
      <c r="BB29" s="256"/>
      <c r="BC29" s="256"/>
      <c r="BD29" s="256"/>
      <c r="BE29" s="256"/>
      <c r="BF29" s="256"/>
      <c r="BG29" s="256"/>
      <c r="BH29" s="256"/>
      <c r="BI29" s="256"/>
      <c r="BJ29" s="256"/>
      <c r="BK29" s="256"/>
      <c r="BL29" s="256"/>
      <c r="BM29" s="256"/>
      <c r="BN29" s="256"/>
      <c r="BO29" s="256"/>
      <c r="BP29" s="256"/>
      <c r="BQ29" s="256"/>
      <c r="BR29" s="256"/>
      <c r="BS29" s="256"/>
      <c r="BT29" s="256"/>
      <c r="BU29" s="256"/>
      <c r="BV29" s="256"/>
      <c r="BW29" s="256"/>
      <c r="BX29" s="256"/>
      <c r="BY29" s="256"/>
      <c r="BZ29" s="256"/>
    </row>
    <row r="30" spans="1:78" ht="8.25" hidden="1" customHeight="1" x14ac:dyDescent="0.25">
      <c r="A30" s="256"/>
      <c r="B30" s="256"/>
      <c r="C30" s="261"/>
      <c r="D30" s="261"/>
      <c r="E30" s="261"/>
      <c r="F30" s="256"/>
      <c r="G30" s="256"/>
      <c r="H30" s="256"/>
      <c r="I30" s="256"/>
      <c r="J30" s="256"/>
      <c r="K30" s="256"/>
      <c r="L30" s="256"/>
      <c r="M30" s="256"/>
      <c r="N30" s="256"/>
      <c r="O30" s="256"/>
      <c r="P30" s="256"/>
      <c r="Q30" s="256"/>
      <c r="R30" s="256"/>
      <c r="S30" s="256"/>
      <c r="T30" s="256"/>
      <c r="U30" s="256"/>
      <c r="V30" s="256"/>
      <c r="W30" s="256"/>
      <c r="X30" s="256"/>
      <c r="Y30" s="256"/>
      <c r="Z30" s="256"/>
      <c r="AA30" s="256"/>
      <c r="AB30" s="256"/>
      <c r="AC30" s="256"/>
      <c r="AD30" s="256"/>
      <c r="AE30" s="256"/>
      <c r="AF30" s="256"/>
      <c r="AG30" s="256"/>
      <c r="AH30" s="256"/>
      <c r="AI30" s="256"/>
      <c r="AJ30" s="256"/>
      <c r="AK30" s="256"/>
      <c r="AL30" s="256"/>
      <c r="AM30" s="256"/>
      <c r="AN30" s="256"/>
      <c r="AO30" s="256"/>
      <c r="AP30" s="256"/>
      <c r="AQ30" s="256"/>
      <c r="AR30" s="256"/>
      <c r="AS30" s="256"/>
      <c r="AT30" s="256"/>
      <c r="AU30" s="256"/>
      <c r="AV30" s="256"/>
      <c r="AW30" s="256"/>
      <c r="AX30" s="256"/>
      <c r="AY30" s="256"/>
      <c r="AZ30" s="256"/>
      <c r="BA30" s="256"/>
      <c r="BB30" s="256"/>
      <c r="BC30" s="256"/>
      <c r="BD30" s="256"/>
      <c r="BE30" s="256"/>
      <c r="BF30" s="256"/>
      <c r="BG30" s="256"/>
      <c r="BH30" s="256"/>
      <c r="BI30" s="256"/>
      <c r="BJ30" s="256"/>
      <c r="BK30" s="256"/>
      <c r="BL30" s="256"/>
      <c r="BM30" s="256"/>
      <c r="BN30" s="256"/>
      <c r="BO30" s="256"/>
      <c r="BP30" s="256"/>
      <c r="BQ30" s="256"/>
      <c r="BR30" s="256"/>
      <c r="BS30" s="256"/>
      <c r="BT30" s="256"/>
      <c r="BU30" s="256"/>
      <c r="BV30" s="256"/>
      <c r="BW30" s="256"/>
      <c r="BX30" s="256"/>
      <c r="BY30" s="256"/>
      <c r="BZ30" s="256"/>
    </row>
    <row r="31" spans="1:78" ht="8.25" hidden="1" customHeight="1" x14ac:dyDescent="0.25">
      <c r="A31" s="256"/>
      <c r="B31" s="256"/>
      <c r="C31" s="261"/>
      <c r="D31" s="261"/>
      <c r="E31" s="261"/>
      <c r="F31" s="256"/>
      <c r="G31" s="256"/>
      <c r="H31" s="256"/>
      <c r="I31" s="256"/>
      <c r="J31" s="256"/>
      <c r="K31" s="256"/>
      <c r="L31" s="256"/>
      <c r="M31" s="256"/>
      <c r="N31" s="256"/>
      <c r="O31" s="256"/>
      <c r="P31" s="256"/>
      <c r="Q31" s="256"/>
      <c r="R31" s="256"/>
      <c r="S31" s="256"/>
      <c r="T31" s="256"/>
      <c r="U31" s="256"/>
      <c r="V31" s="256"/>
      <c r="W31" s="256"/>
      <c r="X31" s="256"/>
      <c r="Y31" s="256"/>
      <c r="Z31" s="256"/>
      <c r="AA31" s="256"/>
      <c r="AB31" s="256"/>
      <c r="AC31" s="256"/>
      <c r="AD31" s="256"/>
      <c r="AE31" s="256"/>
      <c r="AF31" s="256"/>
      <c r="AG31" s="256"/>
      <c r="AH31" s="256"/>
      <c r="AI31" s="256"/>
      <c r="AJ31" s="256"/>
      <c r="AK31" s="256"/>
      <c r="AL31" s="256"/>
      <c r="AM31" s="256"/>
      <c r="AN31" s="256"/>
      <c r="AO31" s="256"/>
      <c r="AP31" s="256"/>
      <c r="AQ31" s="256"/>
      <c r="AR31" s="256"/>
      <c r="AS31" s="256"/>
      <c r="AT31" s="256"/>
      <c r="AU31" s="256"/>
      <c r="AV31" s="256"/>
      <c r="AW31" s="256"/>
      <c r="AX31" s="256"/>
      <c r="AY31" s="256"/>
      <c r="AZ31" s="256"/>
      <c r="BA31" s="256"/>
      <c r="BB31" s="256"/>
      <c r="BC31" s="256"/>
      <c r="BD31" s="256"/>
      <c r="BE31" s="256"/>
      <c r="BF31" s="256"/>
      <c r="BG31" s="256"/>
      <c r="BH31" s="256"/>
      <c r="BI31" s="256"/>
      <c r="BJ31" s="256"/>
      <c r="BK31" s="256"/>
      <c r="BL31" s="256"/>
      <c r="BM31" s="256"/>
      <c r="BN31" s="256"/>
      <c r="BO31" s="256"/>
      <c r="BP31" s="256"/>
      <c r="BQ31" s="256"/>
      <c r="BR31" s="256"/>
      <c r="BS31" s="256"/>
      <c r="BT31" s="256"/>
      <c r="BU31" s="256"/>
      <c r="BV31" s="256"/>
      <c r="BW31" s="256"/>
      <c r="BX31" s="256"/>
      <c r="BY31" s="256"/>
      <c r="BZ31" s="256"/>
    </row>
    <row r="32" spans="1:78" ht="8.25" hidden="1" customHeight="1" x14ac:dyDescent="0.25">
      <c r="A32" s="256"/>
      <c r="B32" s="256"/>
      <c r="C32" s="261"/>
      <c r="D32" s="261"/>
      <c r="E32" s="261"/>
      <c r="F32" s="256"/>
      <c r="G32" s="256"/>
      <c r="H32" s="256"/>
      <c r="I32" s="256"/>
      <c r="J32" s="256"/>
      <c r="K32" s="256"/>
      <c r="L32" s="256"/>
      <c r="M32" s="256"/>
      <c r="N32" s="256"/>
      <c r="O32" s="256"/>
      <c r="P32" s="256"/>
      <c r="Q32" s="256"/>
      <c r="R32" s="256"/>
      <c r="S32" s="256"/>
      <c r="T32" s="256"/>
      <c r="U32" s="256"/>
      <c r="V32" s="256"/>
      <c r="W32" s="256"/>
      <c r="X32" s="256"/>
      <c r="Y32" s="256"/>
      <c r="Z32" s="256"/>
      <c r="AA32" s="256"/>
      <c r="AB32" s="256"/>
      <c r="AC32" s="256"/>
      <c r="AD32" s="256"/>
      <c r="AE32" s="256"/>
      <c r="AF32" s="256"/>
      <c r="AG32" s="256"/>
      <c r="AH32" s="256"/>
      <c r="AI32" s="256"/>
      <c r="AJ32" s="256"/>
      <c r="AK32" s="256"/>
      <c r="AL32" s="256"/>
      <c r="AM32" s="256"/>
      <c r="AN32" s="256"/>
      <c r="AO32" s="256"/>
      <c r="AP32" s="256"/>
      <c r="AQ32" s="256"/>
      <c r="AR32" s="256"/>
      <c r="AS32" s="256"/>
      <c r="AT32" s="256"/>
      <c r="AU32" s="256"/>
      <c r="AV32" s="256"/>
      <c r="AW32" s="256"/>
      <c r="AX32" s="256"/>
      <c r="AY32" s="256"/>
      <c r="AZ32" s="256"/>
      <c r="BA32" s="256"/>
      <c r="BB32" s="256"/>
      <c r="BC32" s="256"/>
      <c r="BD32" s="256"/>
      <c r="BE32" s="256"/>
      <c r="BF32" s="256"/>
      <c r="BG32" s="256"/>
      <c r="BH32" s="256"/>
      <c r="BI32" s="256"/>
      <c r="BJ32" s="256"/>
      <c r="BK32" s="256"/>
      <c r="BL32" s="256"/>
      <c r="BM32" s="256"/>
      <c r="BN32" s="256"/>
      <c r="BO32" s="256"/>
      <c r="BP32" s="256"/>
      <c r="BQ32" s="256"/>
      <c r="BR32" s="256"/>
      <c r="BS32" s="256"/>
      <c r="BT32" s="256"/>
      <c r="BU32" s="256"/>
      <c r="BV32" s="256"/>
      <c r="BW32" s="256"/>
      <c r="BX32" s="256"/>
      <c r="BY32" s="256"/>
      <c r="BZ32" s="256"/>
    </row>
    <row r="33" spans="1:78" ht="8.25" hidden="1" customHeight="1" x14ac:dyDescent="0.25">
      <c r="A33" s="256"/>
      <c r="B33" s="256"/>
      <c r="C33" s="261"/>
      <c r="D33" s="261"/>
      <c r="E33" s="261"/>
      <c r="F33" s="256"/>
      <c r="G33" s="256"/>
      <c r="H33" s="256"/>
      <c r="I33" s="256"/>
      <c r="J33" s="256"/>
      <c r="K33" s="256"/>
      <c r="L33" s="256"/>
      <c r="M33" s="256"/>
      <c r="N33" s="256"/>
      <c r="O33" s="256"/>
      <c r="P33" s="256"/>
      <c r="Q33" s="256"/>
      <c r="R33" s="256"/>
      <c r="S33" s="256"/>
      <c r="T33" s="256"/>
      <c r="U33" s="256"/>
      <c r="V33" s="256"/>
      <c r="W33" s="256"/>
      <c r="X33" s="256"/>
      <c r="Y33" s="256"/>
      <c r="Z33" s="256"/>
      <c r="AA33" s="256"/>
      <c r="AB33" s="256"/>
      <c r="AC33" s="256"/>
      <c r="AD33" s="256"/>
      <c r="AE33" s="256"/>
      <c r="AF33" s="256"/>
      <c r="AG33" s="256"/>
      <c r="AH33" s="256"/>
      <c r="AI33" s="256"/>
      <c r="AJ33" s="256"/>
      <c r="AK33" s="256"/>
      <c r="AL33" s="256"/>
      <c r="AM33" s="256"/>
      <c r="AN33" s="256"/>
      <c r="AO33" s="256"/>
      <c r="AP33" s="256"/>
      <c r="AQ33" s="256"/>
      <c r="AR33" s="256"/>
      <c r="AS33" s="256"/>
      <c r="AT33" s="256"/>
      <c r="AU33" s="256"/>
      <c r="AV33" s="256"/>
      <c r="AW33" s="256"/>
      <c r="AX33" s="256"/>
      <c r="AY33" s="256"/>
      <c r="AZ33" s="256"/>
      <c r="BA33" s="256"/>
      <c r="BB33" s="256"/>
      <c r="BC33" s="256"/>
      <c r="BD33" s="256"/>
      <c r="BE33" s="256"/>
      <c r="BF33" s="256"/>
      <c r="BG33" s="256"/>
      <c r="BH33" s="256"/>
      <c r="BI33" s="256"/>
      <c r="BJ33" s="256"/>
      <c r="BK33" s="256"/>
      <c r="BL33" s="256"/>
      <c r="BM33" s="256"/>
      <c r="BN33" s="256"/>
      <c r="BO33" s="256"/>
      <c r="BP33" s="256"/>
      <c r="BQ33" s="256"/>
      <c r="BR33" s="256"/>
      <c r="BS33" s="256"/>
      <c r="BT33" s="256"/>
      <c r="BU33" s="256"/>
      <c r="BV33" s="256"/>
      <c r="BW33" s="256"/>
      <c r="BX33" s="256"/>
      <c r="BY33" s="256"/>
      <c r="BZ33" s="256"/>
    </row>
    <row r="34" spans="1:78" ht="8.25" hidden="1" customHeight="1" x14ac:dyDescent="0.25">
      <c r="A34" s="256"/>
      <c r="B34" s="256"/>
      <c r="C34" s="261"/>
      <c r="D34" s="261"/>
      <c r="E34" s="261"/>
      <c r="F34" s="256"/>
      <c r="G34" s="256"/>
      <c r="H34" s="256"/>
      <c r="I34" s="256"/>
      <c r="J34" s="256"/>
      <c r="K34" s="256"/>
      <c r="L34" s="256"/>
      <c r="M34" s="256"/>
      <c r="N34" s="256"/>
      <c r="O34" s="256"/>
      <c r="P34" s="256"/>
      <c r="Q34" s="256"/>
      <c r="R34" s="256"/>
      <c r="S34" s="256"/>
      <c r="T34" s="256"/>
      <c r="U34" s="256"/>
      <c r="V34" s="256"/>
      <c r="W34" s="256"/>
      <c r="X34" s="256"/>
      <c r="Y34" s="256"/>
      <c r="Z34" s="256"/>
      <c r="AA34" s="256"/>
      <c r="AB34" s="256"/>
      <c r="AC34" s="256"/>
      <c r="AD34" s="256"/>
      <c r="AE34" s="256"/>
      <c r="AF34" s="256"/>
      <c r="AG34" s="256"/>
      <c r="AH34" s="256"/>
      <c r="AI34" s="256"/>
      <c r="AJ34" s="256"/>
      <c r="AK34" s="256"/>
      <c r="AL34" s="256"/>
      <c r="AM34" s="256"/>
      <c r="AN34" s="256"/>
      <c r="AO34" s="256"/>
      <c r="AP34" s="256"/>
      <c r="AQ34" s="256"/>
      <c r="AR34" s="256"/>
      <c r="AS34" s="256"/>
      <c r="AT34" s="256"/>
      <c r="AU34" s="256"/>
      <c r="AV34" s="256"/>
      <c r="AW34" s="256"/>
      <c r="AX34" s="256"/>
      <c r="AY34" s="256"/>
      <c r="AZ34" s="256"/>
      <c r="BA34" s="256"/>
      <c r="BB34" s="256"/>
      <c r="BC34" s="256"/>
      <c r="BD34" s="256"/>
      <c r="BE34" s="256"/>
      <c r="BF34" s="256"/>
      <c r="BG34" s="256"/>
      <c r="BH34" s="256"/>
      <c r="BI34" s="256"/>
      <c r="BJ34" s="256"/>
      <c r="BK34" s="256"/>
      <c r="BL34" s="256"/>
      <c r="BM34" s="256"/>
      <c r="BN34" s="256"/>
      <c r="BO34" s="256"/>
      <c r="BP34" s="256"/>
      <c r="BQ34" s="256"/>
      <c r="BR34" s="256"/>
      <c r="BS34" s="256"/>
      <c r="BT34" s="256"/>
      <c r="BU34" s="256"/>
      <c r="BV34" s="256"/>
      <c r="BW34" s="256"/>
      <c r="BX34" s="256"/>
      <c r="BY34" s="256"/>
      <c r="BZ34" s="256"/>
    </row>
    <row r="35" spans="1:78" ht="8.25" hidden="1" customHeight="1" x14ac:dyDescent="0.25">
      <c r="A35" s="256"/>
      <c r="B35" s="256"/>
      <c r="C35" s="261"/>
      <c r="D35" s="261"/>
      <c r="E35" s="261"/>
      <c r="F35" s="256"/>
      <c r="G35" s="256"/>
      <c r="H35" s="256"/>
      <c r="I35" s="256"/>
      <c r="J35" s="256"/>
      <c r="K35" s="256"/>
      <c r="L35" s="256"/>
      <c r="M35" s="256"/>
      <c r="N35" s="256"/>
      <c r="O35" s="256"/>
      <c r="P35" s="256"/>
      <c r="Q35" s="256"/>
      <c r="R35" s="256"/>
      <c r="S35" s="256"/>
      <c r="T35" s="256"/>
      <c r="U35" s="256"/>
      <c r="V35" s="256"/>
      <c r="W35" s="256"/>
      <c r="X35" s="256"/>
      <c r="Y35" s="256"/>
      <c r="Z35" s="256"/>
      <c r="AA35" s="256"/>
      <c r="AB35" s="256"/>
      <c r="AC35" s="256"/>
      <c r="AD35" s="256"/>
      <c r="AE35" s="256"/>
      <c r="AF35" s="256"/>
      <c r="AG35" s="256"/>
      <c r="AH35" s="256"/>
      <c r="AI35" s="256"/>
      <c r="AJ35" s="256"/>
      <c r="AK35" s="256"/>
      <c r="AL35" s="256"/>
      <c r="AM35" s="256"/>
      <c r="AN35" s="256"/>
      <c r="AO35" s="256"/>
      <c r="AP35" s="256"/>
      <c r="AQ35" s="256"/>
      <c r="AR35" s="256"/>
      <c r="AS35" s="256"/>
      <c r="AT35" s="256"/>
      <c r="AU35" s="256"/>
      <c r="AV35" s="256"/>
      <c r="AW35" s="256"/>
      <c r="AX35" s="256"/>
      <c r="AY35" s="256"/>
      <c r="AZ35" s="256"/>
      <c r="BA35" s="256"/>
      <c r="BB35" s="256"/>
      <c r="BC35" s="256"/>
      <c r="BD35" s="256"/>
      <c r="BE35" s="256"/>
      <c r="BF35" s="256"/>
      <c r="BG35" s="256"/>
      <c r="BH35" s="256"/>
      <c r="BI35" s="256"/>
      <c r="BJ35" s="256"/>
      <c r="BK35" s="256"/>
      <c r="BL35" s="256"/>
      <c r="BM35" s="256"/>
      <c r="BN35" s="256"/>
      <c r="BO35" s="256"/>
      <c r="BP35" s="256"/>
      <c r="BQ35" s="256"/>
      <c r="BR35" s="256"/>
      <c r="BS35" s="256"/>
      <c r="BT35" s="256"/>
      <c r="BU35" s="256"/>
      <c r="BV35" s="256"/>
      <c r="BW35" s="256"/>
      <c r="BX35" s="256"/>
      <c r="BY35" s="256"/>
      <c r="BZ35" s="256"/>
    </row>
    <row r="36" spans="1:78" ht="8.25" hidden="1" customHeight="1" x14ac:dyDescent="0.25">
      <c r="A36" s="256"/>
      <c r="B36" s="256"/>
      <c r="C36" s="261"/>
      <c r="D36" s="261"/>
      <c r="E36" s="261"/>
      <c r="F36" s="256"/>
      <c r="G36" s="256"/>
      <c r="H36" s="256"/>
      <c r="I36" s="256"/>
      <c r="J36" s="256"/>
      <c r="K36" s="256"/>
      <c r="L36" s="256"/>
      <c r="M36" s="256"/>
      <c r="N36" s="256"/>
      <c r="O36" s="256"/>
      <c r="P36" s="256"/>
      <c r="Q36" s="256"/>
      <c r="R36" s="256"/>
      <c r="S36" s="256"/>
      <c r="T36" s="256"/>
      <c r="U36" s="256"/>
      <c r="V36" s="256"/>
      <c r="W36" s="256"/>
      <c r="X36" s="256"/>
      <c r="Y36" s="256"/>
      <c r="Z36" s="256"/>
      <c r="AA36" s="256"/>
      <c r="AB36" s="256"/>
      <c r="AC36" s="256"/>
      <c r="AD36" s="256"/>
      <c r="AE36" s="256"/>
      <c r="AF36" s="256"/>
      <c r="AG36" s="256"/>
      <c r="AH36" s="256"/>
      <c r="AI36" s="256"/>
      <c r="AJ36" s="256"/>
      <c r="AK36" s="256"/>
      <c r="AL36" s="256"/>
      <c r="AM36" s="256"/>
      <c r="AN36" s="256"/>
      <c r="AO36" s="256"/>
      <c r="AP36" s="256"/>
      <c r="AQ36" s="256"/>
      <c r="AR36" s="256"/>
      <c r="AS36" s="256"/>
      <c r="AT36" s="256"/>
      <c r="AU36" s="256"/>
      <c r="AV36" s="256"/>
      <c r="AW36" s="256"/>
      <c r="AX36" s="256"/>
      <c r="AY36" s="256"/>
      <c r="AZ36" s="256"/>
      <c r="BA36" s="256"/>
      <c r="BB36" s="256"/>
      <c r="BC36" s="256"/>
      <c r="BD36" s="256"/>
      <c r="BE36" s="256"/>
      <c r="BF36" s="256"/>
      <c r="BG36" s="256"/>
      <c r="BH36" s="256"/>
      <c r="BI36" s="256"/>
      <c r="BJ36" s="256"/>
      <c r="BK36" s="256"/>
      <c r="BL36" s="256"/>
      <c r="BM36" s="256"/>
      <c r="BN36" s="256"/>
      <c r="BO36" s="256"/>
      <c r="BP36" s="256"/>
      <c r="BQ36" s="256"/>
      <c r="BR36" s="256"/>
      <c r="BS36" s="256"/>
      <c r="BT36" s="256"/>
      <c r="BU36" s="256"/>
      <c r="BV36" s="256"/>
      <c r="BW36" s="256"/>
      <c r="BX36" s="256"/>
      <c r="BY36" s="256"/>
      <c r="BZ36" s="256"/>
    </row>
    <row r="37" spans="1:78" ht="8.25" hidden="1" customHeight="1" x14ac:dyDescent="0.25">
      <c r="A37" s="256"/>
      <c r="B37" s="256"/>
      <c r="C37" s="261"/>
      <c r="D37" s="261"/>
      <c r="E37" s="261"/>
      <c r="F37" s="256"/>
      <c r="G37" s="256"/>
      <c r="H37" s="256"/>
      <c r="I37" s="256"/>
      <c r="J37" s="256"/>
      <c r="K37" s="256"/>
      <c r="L37" s="256"/>
      <c r="M37" s="256"/>
      <c r="N37" s="256"/>
      <c r="O37" s="256"/>
      <c r="P37" s="256"/>
      <c r="Q37" s="256"/>
      <c r="R37" s="256"/>
      <c r="S37" s="256"/>
      <c r="T37" s="256"/>
      <c r="U37" s="256"/>
      <c r="V37" s="256"/>
      <c r="W37" s="256"/>
      <c r="X37" s="256"/>
      <c r="Y37" s="256"/>
      <c r="Z37" s="256"/>
      <c r="AA37" s="256"/>
      <c r="AB37" s="256"/>
      <c r="AC37" s="256"/>
      <c r="AD37" s="256"/>
      <c r="AE37" s="256"/>
      <c r="AF37" s="256"/>
      <c r="AG37" s="256"/>
      <c r="AH37" s="256"/>
      <c r="AI37" s="256"/>
      <c r="AJ37" s="256"/>
      <c r="AK37" s="256"/>
      <c r="AL37" s="256"/>
      <c r="AM37" s="256"/>
      <c r="AN37" s="256"/>
      <c r="AO37" s="256"/>
      <c r="AP37" s="256"/>
      <c r="AQ37" s="256"/>
      <c r="AR37" s="256"/>
      <c r="AS37" s="256"/>
      <c r="AT37" s="256"/>
      <c r="AU37" s="256"/>
      <c r="AV37" s="256"/>
      <c r="AW37" s="256"/>
      <c r="AX37" s="256"/>
      <c r="AY37" s="256"/>
      <c r="AZ37" s="256"/>
      <c r="BA37" s="256"/>
      <c r="BB37" s="256"/>
      <c r="BC37" s="256"/>
      <c r="BD37" s="256"/>
      <c r="BE37" s="256"/>
      <c r="BF37" s="256"/>
      <c r="BG37" s="256"/>
      <c r="BH37" s="256"/>
      <c r="BI37" s="256"/>
      <c r="BJ37" s="256"/>
      <c r="BK37" s="256"/>
      <c r="BL37" s="256"/>
      <c r="BM37" s="256"/>
      <c r="BN37" s="256"/>
      <c r="BO37" s="256"/>
      <c r="BP37" s="256"/>
      <c r="BQ37" s="256"/>
      <c r="BR37" s="256"/>
      <c r="BS37" s="256"/>
      <c r="BT37" s="256"/>
      <c r="BU37" s="256"/>
      <c r="BV37" s="256"/>
      <c r="BW37" s="256"/>
      <c r="BX37" s="256"/>
      <c r="BY37" s="256"/>
      <c r="BZ37" s="256"/>
    </row>
    <row r="38" spans="1:78" ht="8.25" hidden="1" customHeight="1" x14ac:dyDescent="0.25">
      <c r="A38" s="256"/>
      <c r="B38" s="256"/>
      <c r="C38" s="261"/>
      <c r="D38" s="261"/>
      <c r="E38" s="261"/>
      <c r="F38" s="256"/>
      <c r="G38" s="256"/>
      <c r="H38" s="256"/>
      <c r="I38" s="256"/>
      <c r="J38" s="256"/>
      <c r="K38" s="256"/>
      <c r="L38" s="256"/>
      <c r="M38" s="256"/>
      <c r="N38" s="256"/>
      <c r="O38" s="256"/>
      <c r="P38" s="256"/>
      <c r="Q38" s="256"/>
      <c r="R38" s="256"/>
      <c r="S38" s="256"/>
      <c r="T38" s="256"/>
      <c r="U38" s="256"/>
      <c r="V38" s="256"/>
      <c r="W38" s="256"/>
      <c r="X38" s="256"/>
      <c r="Y38" s="256"/>
      <c r="Z38" s="256"/>
      <c r="AA38" s="256"/>
      <c r="AB38" s="256"/>
      <c r="AC38" s="256"/>
      <c r="AD38" s="256"/>
      <c r="AE38" s="256"/>
      <c r="AF38" s="256"/>
      <c r="AG38" s="256"/>
      <c r="AH38" s="256"/>
      <c r="AI38" s="256"/>
      <c r="AJ38" s="256"/>
      <c r="AK38" s="256"/>
      <c r="AL38" s="256"/>
      <c r="AM38" s="256"/>
      <c r="AN38" s="256"/>
      <c r="AO38" s="256"/>
      <c r="AP38" s="256"/>
      <c r="AQ38" s="256"/>
      <c r="AR38" s="256"/>
      <c r="AS38" s="256"/>
      <c r="AT38" s="256"/>
      <c r="AU38" s="256"/>
      <c r="AV38" s="256"/>
      <c r="AW38" s="256"/>
      <c r="AX38" s="256"/>
      <c r="AY38" s="256"/>
      <c r="AZ38" s="256"/>
      <c r="BA38" s="256"/>
      <c r="BB38" s="256"/>
      <c r="BC38" s="256"/>
      <c r="BD38" s="256"/>
      <c r="BE38" s="256"/>
      <c r="BF38" s="256"/>
      <c r="BG38" s="256"/>
      <c r="BH38" s="256"/>
      <c r="BI38" s="256"/>
      <c r="BJ38" s="256"/>
      <c r="BK38" s="256"/>
      <c r="BL38" s="256"/>
      <c r="BM38" s="256"/>
      <c r="BN38" s="256"/>
      <c r="BO38" s="256"/>
      <c r="BP38" s="256"/>
      <c r="BQ38" s="256"/>
      <c r="BR38" s="256"/>
      <c r="BS38" s="256"/>
      <c r="BT38" s="256"/>
      <c r="BU38" s="256"/>
      <c r="BV38" s="256"/>
      <c r="BW38" s="256"/>
      <c r="BX38" s="256"/>
      <c r="BY38" s="256"/>
      <c r="BZ38" s="256"/>
    </row>
    <row r="39" spans="1:78" ht="8.25" hidden="1" customHeight="1" x14ac:dyDescent="0.25">
      <c r="A39" s="256"/>
      <c r="B39" s="256"/>
      <c r="C39" s="261"/>
      <c r="D39" s="261"/>
      <c r="E39" s="261"/>
      <c r="F39" s="256"/>
      <c r="G39" s="256"/>
      <c r="H39" s="256"/>
      <c r="I39" s="256"/>
      <c r="J39" s="256"/>
      <c r="K39" s="256"/>
      <c r="L39" s="256"/>
      <c r="M39" s="256"/>
      <c r="N39" s="256"/>
      <c r="O39" s="256"/>
      <c r="P39" s="256"/>
      <c r="Q39" s="256"/>
      <c r="R39" s="256"/>
      <c r="S39" s="256"/>
      <c r="T39" s="256"/>
      <c r="U39" s="256"/>
      <c r="V39" s="256"/>
      <c r="W39" s="256"/>
      <c r="X39" s="256"/>
      <c r="Y39" s="256"/>
      <c r="Z39" s="256"/>
      <c r="AA39" s="256"/>
      <c r="AB39" s="256"/>
      <c r="AC39" s="256"/>
      <c r="AD39" s="256"/>
      <c r="AE39" s="256"/>
      <c r="AF39" s="256"/>
      <c r="AG39" s="256"/>
      <c r="AH39" s="256"/>
      <c r="AI39" s="256"/>
      <c r="AJ39" s="256"/>
      <c r="AK39" s="256"/>
      <c r="AL39" s="256"/>
      <c r="AM39" s="256"/>
      <c r="AN39" s="256"/>
      <c r="AO39" s="256"/>
      <c r="AP39" s="256"/>
      <c r="AQ39" s="256"/>
      <c r="AR39" s="256"/>
      <c r="AS39" s="256"/>
      <c r="AT39" s="256"/>
      <c r="AU39" s="256"/>
      <c r="AV39" s="256"/>
      <c r="AW39" s="256"/>
      <c r="AX39" s="256"/>
      <c r="AY39" s="256"/>
      <c r="AZ39" s="256"/>
      <c r="BA39" s="256"/>
      <c r="BB39" s="256"/>
      <c r="BC39" s="256"/>
      <c r="BD39" s="256"/>
      <c r="BE39" s="256"/>
      <c r="BF39" s="256"/>
      <c r="BG39" s="256"/>
      <c r="BH39" s="256"/>
      <c r="BI39" s="256"/>
      <c r="BJ39" s="256"/>
      <c r="BK39" s="256"/>
      <c r="BL39" s="256"/>
      <c r="BM39" s="256"/>
      <c r="BN39" s="256"/>
      <c r="BO39" s="256"/>
      <c r="BP39" s="256"/>
      <c r="BQ39" s="256"/>
      <c r="BR39" s="256"/>
      <c r="BS39" s="256"/>
      <c r="BT39" s="256"/>
      <c r="BU39" s="256"/>
      <c r="BV39" s="256"/>
      <c r="BW39" s="256"/>
      <c r="BX39" s="256"/>
      <c r="BY39" s="256"/>
      <c r="BZ39" s="256"/>
    </row>
    <row r="40" spans="1:78" ht="8.25" hidden="1" customHeight="1" x14ac:dyDescent="0.25">
      <c r="A40" s="256"/>
      <c r="B40" s="256"/>
      <c r="C40" s="261"/>
      <c r="D40" s="261"/>
      <c r="E40" s="261"/>
      <c r="F40" s="256"/>
      <c r="G40" s="256"/>
      <c r="H40" s="256"/>
      <c r="I40" s="256"/>
      <c r="J40" s="256"/>
      <c r="K40" s="256"/>
      <c r="L40" s="256"/>
      <c r="M40" s="256"/>
      <c r="N40" s="256"/>
      <c r="O40" s="256"/>
      <c r="P40" s="256"/>
      <c r="Q40" s="256"/>
      <c r="R40" s="256"/>
      <c r="S40" s="256"/>
      <c r="T40" s="256"/>
      <c r="U40" s="256"/>
      <c r="V40" s="256"/>
      <c r="W40" s="256"/>
      <c r="X40" s="256"/>
      <c r="Y40" s="256"/>
      <c r="Z40" s="256"/>
      <c r="AA40" s="256"/>
      <c r="AB40" s="256"/>
      <c r="AC40" s="256"/>
      <c r="AD40" s="256"/>
      <c r="AE40" s="256"/>
      <c r="AF40" s="256"/>
      <c r="AG40" s="256"/>
      <c r="AH40" s="256"/>
      <c r="AI40" s="256"/>
      <c r="AJ40" s="256"/>
      <c r="AK40" s="256"/>
      <c r="AL40" s="256"/>
      <c r="AM40" s="256"/>
      <c r="AN40" s="256"/>
      <c r="AO40" s="256"/>
      <c r="AP40" s="256"/>
      <c r="AQ40" s="256"/>
      <c r="AR40" s="256"/>
      <c r="AS40" s="256"/>
      <c r="AT40" s="256"/>
      <c r="AU40" s="256"/>
      <c r="AV40" s="256"/>
      <c r="AW40" s="256"/>
      <c r="AX40" s="256"/>
      <c r="AY40" s="256"/>
      <c r="AZ40" s="256"/>
      <c r="BA40" s="256"/>
      <c r="BB40" s="256"/>
      <c r="BC40" s="256"/>
      <c r="BD40" s="256"/>
      <c r="BE40" s="256"/>
      <c r="BF40" s="256"/>
      <c r="BG40" s="256"/>
      <c r="BH40" s="256"/>
      <c r="BI40" s="256"/>
      <c r="BJ40" s="256"/>
      <c r="BK40" s="256"/>
      <c r="BL40" s="256"/>
      <c r="BM40" s="256"/>
      <c r="BN40" s="256"/>
      <c r="BO40" s="256"/>
      <c r="BP40" s="256"/>
      <c r="BQ40" s="256"/>
      <c r="BR40" s="256"/>
      <c r="BS40" s="256"/>
      <c r="BT40" s="256"/>
      <c r="BU40" s="256"/>
      <c r="BV40" s="256"/>
      <c r="BW40" s="256"/>
      <c r="BX40" s="256"/>
      <c r="BY40" s="256"/>
      <c r="BZ40" s="256"/>
    </row>
    <row r="41" spans="1:78" ht="8.25" hidden="1" customHeight="1" x14ac:dyDescent="0.25">
      <c r="A41" s="256"/>
      <c r="B41" s="256"/>
      <c r="C41" s="261"/>
      <c r="D41" s="261"/>
      <c r="E41" s="261"/>
      <c r="F41" s="256"/>
      <c r="G41" s="256"/>
      <c r="H41" s="256"/>
      <c r="I41" s="256"/>
      <c r="J41" s="256"/>
      <c r="K41" s="256"/>
      <c r="L41" s="256"/>
      <c r="M41" s="256"/>
      <c r="N41" s="256"/>
      <c r="O41" s="256"/>
      <c r="P41" s="256"/>
      <c r="Q41" s="256"/>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N41" s="256"/>
      <c r="AO41" s="256"/>
      <c r="AP41" s="256"/>
      <c r="AQ41" s="256"/>
      <c r="AR41" s="256"/>
      <c r="AS41" s="256"/>
      <c r="AT41" s="256"/>
      <c r="AU41" s="256"/>
      <c r="AV41" s="256"/>
      <c r="AW41" s="256"/>
      <c r="AX41" s="256"/>
      <c r="AY41" s="256"/>
      <c r="AZ41" s="256"/>
      <c r="BA41" s="256"/>
      <c r="BB41" s="256"/>
      <c r="BC41" s="256"/>
      <c r="BD41" s="256"/>
      <c r="BE41" s="256"/>
      <c r="BF41" s="256"/>
      <c r="BG41" s="256"/>
      <c r="BH41" s="256"/>
      <c r="BI41" s="256"/>
      <c r="BJ41" s="256"/>
      <c r="BK41" s="256"/>
      <c r="BL41" s="256"/>
      <c r="BM41" s="256"/>
      <c r="BN41" s="256"/>
      <c r="BO41" s="256"/>
      <c r="BP41" s="256"/>
      <c r="BQ41" s="256"/>
      <c r="BR41" s="256"/>
      <c r="BS41" s="256"/>
      <c r="BT41" s="256"/>
      <c r="BU41" s="256"/>
      <c r="BV41" s="256"/>
      <c r="BW41" s="256"/>
      <c r="BX41" s="256"/>
      <c r="BY41" s="256"/>
      <c r="BZ41" s="256"/>
    </row>
    <row r="42" spans="1:78" ht="8.25" hidden="1" customHeight="1" x14ac:dyDescent="0.25">
      <c r="A42" s="256"/>
      <c r="B42" s="256"/>
      <c r="C42" s="261"/>
      <c r="D42" s="261"/>
      <c r="E42" s="261"/>
      <c r="F42" s="256"/>
      <c r="G42" s="256"/>
      <c r="H42" s="256"/>
      <c r="I42" s="256"/>
      <c r="J42" s="256"/>
      <c r="K42" s="256"/>
      <c r="L42" s="256"/>
      <c r="M42" s="256"/>
      <c r="N42" s="256"/>
      <c r="O42" s="256"/>
      <c r="P42" s="256"/>
      <c r="Q42" s="256"/>
      <c r="R42" s="256"/>
      <c r="S42" s="256"/>
      <c r="T42" s="256"/>
      <c r="U42" s="256"/>
      <c r="V42" s="256"/>
      <c r="W42" s="256"/>
      <c r="X42" s="256"/>
      <c r="Y42" s="256"/>
      <c r="Z42" s="256"/>
      <c r="AA42" s="256"/>
      <c r="AB42" s="256"/>
      <c r="AC42" s="256"/>
      <c r="AD42" s="256"/>
      <c r="AE42" s="256"/>
      <c r="AF42" s="256"/>
      <c r="AG42" s="256"/>
      <c r="AH42" s="256"/>
      <c r="AI42" s="256"/>
      <c r="AJ42" s="256"/>
      <c r="AK42" s="256"/>
      <c r="AL42" s="256"/>
      <c r="AM42" s="256"/>
      <c r="AN42" s="256"/>
      <c r="AO42" s="256"/>
      <c r="AP42" s="256"/>
      <c r="AQ42" s="256"/>
      <c r="AR42" s="256"/>
      <c r="AS42" s="256"/>
      <c r="AT42" s="256"/>
      <c r="AU42" s="256"/>
      <c r="AV42" s="256"/>
      <c r="AW42" s="256"/>
      <c r="AX42" s="256"/>
      <c r="AY42" s="256"/>
      <c r="AZ42" s="256"/>
      <c r="BA42" s="256"/>
      <c r="BB42" s="256"/>
      <c r="BC42" s="256"/>
      <c r="BD42" s="256"/>
      <c r="BE42" s="256"/>
      <c r="BF42" s="256"/>
      <c r="BG42" s="256"/>
      <c r="BH42" s="256"/>
      <c r="BI42" s="256"/>
      <c r="BJ42" s="256"/>
      <c r="BK42" s="256"/>
      <c r="BL42" s="256"/>
      <c r="BM42" s="256"/>
      <c r="BN42" s="256"/>
      <c r="BO42" s="256"/>
      <c r="BP42" s="256"/>
      <c r="BQ42" s="256"/>
      <c r="BR42" s="256"/>
      <c r="BS42" s="256"/>
      <c r="BT42" s="256"/>
      <c r="BU42" s="256"/>
      <c r="BV42" s="256"/>
      <c r="BW42" s="256"/>
      <c r="BX42" s="256"/>
      <c r="BY42" s="256"/>
      <c r="BZ42" s="256"/>
    </row>
    <row r="43" spans="1:78" ht="8.25" hidden="1" customHeight="1" x14ac:dyDescent="0.25">
      <c r="A43" s="256"/>
      <c r="B43" s="256"/>
      <c r="C43" s="261"/>
      <c r="D43" s="261"/>
      <c r="E43" s="261"/>
      <c r="F43" s="256"/>
      <c r="G43" s="256"/>
      <c r="H43" s="256"/>
      <c r="I43" s="256"/>
      <c r="J43" s="256"/>
      <c r="K43" s="256"/>
      <c r="L43" s="256"/>
      <c r="M43" s="256"/>
      <c r="N43" s="256"/>
      <c r="O43" s="256"/>
      <c r="P43" s="256"/>
      <c r="Q43" s="256"/>
      <c r="R43" s="256"/>
      <c r="S43" s="256"/>
      <c r="T43" s="256"/>
      <c r="U43" s="256"/>
      <c r="V43" s="256"/>
      <c r="W43" s="256"/>
      <c r="X43" s="256"/>
      <c r="Y43" s="256"/>
      <c r="Z43" s="256"/>
      <c r="AA43" s="256"/>
      <c r="AB43" s="256"/>
      <c r="AC43" s="256"/>
      <c r="AD43" s="256"/>
      <c r="AE43" s="256"/>
      <c r="AF43" s="256"/>
      <c r="AG43" s="256"/>
      <c r="AH43" s="256"/>
      <c r="AI43" s="256"/>
      <c r="AJ43" s="256"/>
      <c r="AK43" s="256"/>
      <c r="AL43" s="256"/>
      <c r="AM43" s="256"/>
      <c r="AN43" s="256"/>
      <c r="AO43" s="256"/>
      <c r="AP43" s="256"/>
      <c r="AQ43" s="256"/>
      <c r="AR43" s="256"/>
      <c r="AS43" s="256"/>
      <c r="AT43" s="256"/>
      <c r="AU43" s="256"/>
      <c r="AV43" s="256"/>
      <c r="AW43" s="256"/>
      <c r="AX43" s="256"/>
      <c r="AY43" s="256"/>
      <c r="AZ43" s="256"/>
      <c r="BA43" s="256"/>
      <c r="BB43" s="256"/>
      <c r="BC43" s="256"/>
      <c r="BD43" s="256"/>
      <c r="BE43" s="256"/>
      <c r="BF43" s="256"/>
      <c r="BG43" s="256"/>
      <c r="BH43" s="256"/>
      <c r="BI43" s="256"/>
      <c r="BJ43" s="256"/>
      <c r="BK43" s="256"/>
      <c r="BL43" s="256"/>
      <c r="BM43" s="256"/>
      <c r="BN43" s="256"/>
      <c r="BO43" s="256"/>
      <c r="BP43" s="256"/>
      <c r="BQ43" s="256"/>
      <c r="BR43" s="256"/>
      <c r="BS43" s="256"/>
      <c r="BT43" s="256"/>
      <c r="BU43" s="256"/>
      <c r="BV43" s="256"/>
      <c r="BW43" s="256"/>
      <c r="BX43" s="256"/>
      <c r="BY43" s="256"/>
      <c r="BZ43" s="256"/>
    </row>
    <row r="44" spans="1:78" ht="8.25" hidden="1" customHeight="1" x14ac:dyDescent="0.25">
      <c r="A44" s="256"/>
      <c r="B44" s="256"/>
      <c r="C44" s="261"/>
      <c r="D44" s="261"/>
      <c r="E44" s="261"/>
      <c r="F44" s="256"/>
      <c r="G44" s="256"/>
      <c r="H44" s="256"/>
      <c r="I44" s="256"/>
      <c r="J44" s="256"/>
      <c r="K44" s="256"/>
      <c r="L44" s="256"/>
      <c r="M44" s="256"/>
      <c r="N44" s="256"/>
      <c r="O44" s="256"/>
      <c r="P44" s="256"/>
      <c r="Q44" s="256"/>
      <c r="R44" s="256"/>
      <c r="S44" s="256"/>
      <c r="T44" s="256"/>
      <c r="U44" s="256"/>
      <c r="V44" s="256"/>
      <c r="W44" s="256"/>
      <c r="X44" s="256"/>
      <c r="Y44" s="256"/>
      <c r="Z44" s="256"/>
      <c r="AA44" s="256"/>
      <c r="AB44" s="256"/>
      <c r="AC44" s="256"/>
      <c r="AD44" s="256"/>
      <c r="AE44" s="256"/>
      <c r="AF44" s="256"/>
      <c r="AG44" s="256"/>
      <c r="AH44" s="256"/>
      <c r="AI44" s="256"/>
      <c r="AJ44" s="256"/>
      <c r="AK44" s="256"/>
      <c r="AL44" s="256"/>
      <c r="AM44" s="256"/>
      <c r="AN44" s="256"/>
      <c r="AO44" s="256"/>
      <c r="AP44" s="256"/>
      <c r="AQ44" s="256"/>
      <c r="AR44" s="256"/>
      <c r="AS44" s="256"/>
      <c r="AT44" s="256"/>
      <c r="AU44" s="256"/>
      <c r="AV44" s="256"/>
      <c r="AW44" s="256"/>
      <c r="AX44" s="256"/>
      <c r="AY44" s="256"/>
      <c r="AZ44" s="256"/>
      <c r="BA44" s="256"/>
      <c r="BB44" s="256"/>
      <c r="BC44" s="256"/>
      <c r="BD44" s="256"/>
      <c r="BE44" s="256"/>
      <c r="BF44" s="256"/>
      <c r="BG44" s="256"/>
      <c r="BH44" s="256"/>
      <c r="BI44" s="256"/>
      <c r="BJ44" s="256"/>
      <c r="BK44" s="256"/>
      <c r="BL44" s="256"/>
      <c r="BM44" s="256"/>
      <c r="BN44" s="256"/>
      <c r="BO44" s="256"/>
      <c r="BP44" s="256"/>
      <c r="BQ44" s="256"/>
      <c r="BR44" s="256"/>
      <c r="BS44" s="256"/>
      <c r="BT44" s="256"/>
      <c r="BU44" s="256"/>
      <c r="BV44" s="256"/>
      <c r="BW44" s="256"/>
      <c r="BX44" s="256"/>
      <c r="BY44" s="256"/>
      <c r="BZ44" s="256"/>
    </row>
    <row r="45" spans="1:78" ht="8.25" hidden="1" customHeight="1" x14ac:dyDescent="0.25">
      <c r="A45" s="256"/>
      <c r="B45" s="256"/>
      <c r="C45" s="261"/>
      <c r="D45" s="261"/>
      <c r="E45" s="261"/>
      <c r="F45" s="256"/>
      <c r="G45" s="256"/>
      <c r="H45" s="256"/>
      <c r="I45" s="256"/>
      <c r="J45" s="256"/>
      <c r="K45" s="256"/>
      <c r="L45" s="256"/>
      <c r="M45" s="256"/>
      <c r="N45" s="256"/>
      <c r="O45" s="256"/>
      <c r="P45" s="256"/>
      <c r="Q45" s="256"/>
      <c r="R45" s="256"/>
      <c r="S45" s="256"/>
      <c r="T45" s="256"/>
      <c r="U45" s="256"/>
      <c r="V45" s="256"/>
      <c r="W45" s="256"/>
      <c r="X45" s="256"/>
      <c r="Y45" s="256"/>
      <c r="Z45" s="256"/>
      <c r="AA45" s="256"/>
      <c r="AB45" s="256"/>
      <c r="AC45" s="256"/>
      <c r="AD45" s="256"/>
      <c r="AE45" s="256"/>
      <c r="AF45" s="256"/>
      <c r="AG45" s="256"/>
      <c r="AH45" s="256"/>
      <c r="AI45" s="256"/>
      <c r="AJ45" s="256"/>
      <c r="AK45" s="261"/>
      <c r="AL45" s="261"/>
      <c r="AM45" s="256"/>
      <c r="AN45" s="256"/>
      <c r="AO45" s="256"/>
      <c r="AP45" s="256"/>
      <c r="AQ45" s="256"/>
      <c r="AR45" s="256"/>
      <c r="AS45" s="256"/>
      <c r="AT45" s="256"/>
      <c r="AU45" s="256"/>
      <c r="AV45" s="256"/>
      <c r="AW45" s="256"/>
      <c r="AX45" s="256"/>
      <c r="AY45" s="256"/>
      <c r="AZ45" s="256"/>
      <c r="BA45" s="256"/>
      <c r="BB45" s="256"/>
      <c r="BC45" s="256"/>
      <c r="BD45" s="256"/>
      <c r="BE45" s="256"/>
      <c r="BF45" s="256"/>
      <c r="BG45" s="256"/>
      <c r="BH45" s="256"/>
      <c r="BI45" s="256"/>
      <c r="BJ45" s="256"/>
      <c r="BK45" s="256"/>
      <c r="BL45" s="256"/>
      <c r="BM45" s="256"/>
      <c r="BN45" s="256"/>
      <c r="BO45" s="256"/>
      <c r="BP45" s="256"/>
      <c r="BQ45" s="256"/>
      <c r="BR45" s="256"/>
      <c r="BS45" s="256"/>
      <c r="BT45" s="256"/>
      <c r="BU45" s="256"/>
      <c r="BV45" s="256"/>
      <c r="BW45" s="256"/>
      <c r="BX45" s="256"/>
      <c r="BY45" s="256"/>
      <c r="BZ45" s="256"/>
    </row>
    <row r="46" spans="1:78" ht="8.25" hidden="1" customHeight="1" x14ac:dyDescent="0.25">
      <c r="A46" s="256"/>
      <c r="B46" s="256"/>
      <c r="C46" s="256"/>
      <c r="D46" s="261"/>
      <c r="E46" s="245"/>
      <c r="F46" s="261"/>
      <c r="G46" s="255"/>
      <c r="H46" s="255"/>
      <c r="I46" s="255"/>
      <c r="J46" s="255"/>
      <c r="K46" s="255"/>
      <c r="L46" s="255"/>
      <c r="M46" s="255"/>
      <c r="N46" s="255"/>
      <c r="O46" s="255"/>
      <c r="P46" s="255"/>
      <c r="Q46" s="255"/>
      <c r="R46" s="255"/>
      <c r="S46" s="255"/>
      <c r="T46" s="255"/>
      <c r="U46" s="255"/>
      <c r="V46" s="255"/>
      <c r="W46" s="255"/>
      <c r="X46" s="255"/>
      <c r="Y46" s="255"/>
      <c r="Z46" s="255"/>
      <c r="AA46" s="255"/>
      <c r="AB46" s="255"/>
      <c r="AC46" s="255"/>
      <c r="AD46" s="255"/>
      <c r="AE46" s="255"/>
      <c r="AF46" s="255"/>
      <c r="AG46" s="255"/>
      <c r="AH46" s="255"/>
      <c r="AI46" s="255"/>
      <c r="AJ46" s="255"/>
      <c r="AK46" s="245"/>
      <c r="AL46" s="261"/>
      <c r="AM46" s="256"/>
      <c r="AN46" s="256"/>
      <c r="AO46" s="256"/>
      <c r="AP46" s="256"/>
      <c r="AQ46" s="256"/>
      <c r="AR46" s="256"/>
      <c r="AS46" s="256"/>
      <c r="AT46" s="256"/>
      <c r="AU46" s="256"/>
      <c r="AV46" s="256"/>
      <c r="AW46" s="256"/>
      <c r="AX46" s="256"/>
      <c r="AY46" s="256"/>
      <c r="AZ46" s="256"/>
      <c r="BA46" s="256"/>
      <c r="BB46" s="256"/>
      <c r="BC46" s="256"/>
      <c r="BD46" s="256"/>
      <c r="BE46" s="256"/>
      <c r="BF46" s="256"/>
      <c r="BG46" s="256"/>
      <c r="BH46" s="256"/>
      <c r="BI46" s="256"/>
      <c r="BJ46" s="256"/>
      <c r="BK46" s="256"/>
      <c r="BL46" s="256"/>
      <c r="BM46" s="256"/>
      <c r="BN46" s="256"/>
      <c r="BO46" s="256"/>
      <c r="BP46" s="256"/>
      <c r="BQ46" s="256"/>
      <c r="BR46" s="256"/>
      <c r="BS46" s="256"/>
      <c r="BT46" s="256"/>
      <c r="BU46" s="256"/>
      <c r="BV46" s="256"/>
      <c r="BW46" s="256"/>
      <c r="BX46" s="256"/>
      <c r="BY46" s="256"/>
      <c r="BZ46" s="256"/>
    </row>
    <row r="47" spans="1:78" ht="15" hidden="1" customHeight="1" x14ac:dyDescent="0.25">
      <c r="A47" s="256"/>
      <c r="B47" s="240"/>
      <c r="C47" s="243"/>
      <c r="D47" s="240"/>
      <c r="E47" s="240"/>
      <c r="F47" s="240">
        <f>'_Data Status Month'!D5</f>
        <v>0</v>
      </c>
      <c r="G47" s="240">
        <f>'_Data Status Month'!E5</f>
        <v>0</v>
      </c>
      <c r="H47" s="240">
        <f>'_Data Status Month'!F5</f>
        <v>0</v>
      </c>
      <c r="I47" s="240">
        <f>'_Data Status Month'!G5</f>
        <v>1</v>
      </c>
      <c r="J47" s="240">
        <f>'_Data Status Month'!H5</f>
        <v>1</v>
      </c>
      <c r="K47" s="240">
        <f>'_Data Status Month'!I5</f>
        <v>0</v>
      </c>
      <c r="L47" s="240">
        <f>'_Data Status Month'!J5</f>
        <v>0</v>
      </c>
      <c r="M47" s="240">
        <f>'_Data Status Month'!K5</f>
        <v>0</v>
      </c>
      <c r="N47" s="240">
        <f>'_Data Status Month'!L5</f>
        <v>0</v>
      </c>
      <c r="O47" s="240">
        <f>'_Data Status Month'!M5</f>
        <v>0</v>
      </c>
      <c r="P47" s="240">
        <f>'_Data Status Month'!N5</f>
        <v>1</v>
      </c>
      <c r="Q47" s="240">
        <f>'_Data Status Month'!O5</f>
        <v>1</v>
      </c>
      <c r="R47" s="240">
        <f>'_Data Status Month'!P5</f>
        <v>0</v>
      </c>
      <c r="S47" s="240">
        <f>'_Data Status Month'!Q5</f>
        <v>0</v>
      </c>
      <c r="T47" s="240">
        <f>'_Data Status Month'!R5</f>
        <v>0</v>
      </c>
      <c r="U47" s="240">
        <f>'_Data Status Month'!S5</f>
        <v>0</v>
      </c>
      <c r="V47" s="240">
        <f>'_Data Status Month'!T5</f>
        <v>0</v>
      </c>
      <c r="W47" s="240">
        <f>'_Data Status Month'!U5</f>
        <v>1</v>
      </c>
      <c r="X47" s="240">
        <f>'_Data Status Month'!V5</f>
        <v>1</v>
      </c>
      <c r="Y47" s="240">
        <f>'_Data Status Month'!W5</f>
        <v>0</v>
      </c>
      <c r="Z47" s="240">
        <f>'_Data Status Month'!X5</f>
        <v>0</v>
      </c>
      <c r="AA47" s="240">
        <f>'_Data Status Month'!Y5</f>
        <v>0</v>
      </c>
      <c r="AB47" s="240">
        <f>'_Data Status Month'!Z5</f>
        <v>0</v>
      </c>
      <c r="AC47" s="240">
        <f>'_Data Status Month'!AA5</f>
        <v>0</v>
      </c>
      <c r="AD47" s="240">
        <f>'_Data Status Month'!AB5</f>
        <v>1</v>
      </c>
      <c r="AE47" s="240">
        <f>'_Data Status Month'!AC5</f>
        <v>1</v>
      </c>
      <c r="AF47" s="240">
        <f>'_Data Status Month'!AD5</f>
        <v>0</v>
      </c>
      <c r="AG47" s="240">
        <f>'_Data Status Month'!AE5</f>
        <v>0</v>
      </c>
      <c r="AH47" s="240">
        <f>'_Data Status Month'!AF5</f>
        <v>0</v>
      </c>
      <c r="AI47" s="240">
        <f>'_Data Status Month'!AG5</f>
        <v>0</v>
      </c>
      <c r="AJ47" s="240">
        <f>'_Data Status Month'!AH5</f>
        <v>0</v>
      </c>
      <c r="AK47" s="256"/>
      <c r="AL47" s="256"/>
      <c r="AM47" s="464" t="str">
        <f>MUI_STAT_T_MonthOverview</f>
        <v>Overview of the month</v>
      </c>
      <c r="AN47" s="464"/>
      <c r="AO47" s="464"/>
      <c r="AP47" s="251"/>
      <c r="AQ47" s="454" t="str">
        <f>MUI_STAT_T_YearOverview</f>
        <v>Overview of the Year</v>
      </c>
      <c r="AR47" s="455"/>
      <c r="AS47" s="455"/>
      <c r="AT47" s="256"/>
      <c r="AU47" s="256"/>
      <c r="AV47" s="256"/>
      <c r="AW47" s="256"/>
      <c r="AX47" s="256"/>
      <c r="AY47" s="256"/>
      <c r="AZ47" s="256"/>
      <c r="BA47" s="256"/>
      <c r="BB47" s="256"/>
      <c r="BC47" s="256"/>
      <c r="BD47" s="256"/>
      <c r="BE47" s="256"/>
      <c r="BF47" s="256"/>
      <c r="BG47" s="256"/>
      <c r="BH47" s="256"/>
      <c r="BI47" s="256"/>
      <c r="BJ47" s="256"/>
      <c r="BK47" s="256"/>
      <c r="BL47" s="256"/>
      <c r="BM47" s="256"/>
      <c r="BN47" s="256"/>
      <c r="BO47" s="256"/>
      <c r="BP47" s="256"/>
      <c r="BQ47" s="256"/>
      <c r="BR47" s="256"/>
      <c r="BS47" s="256"/>
      <c r="BT47" s="256"/>
      <c r="BU47" s="256"/>
      <c r="BV47" s="256"/>
      <c r="BW47" s="256"/>
      <c r="BX47" s="256"/>
      <c r="BY47" s="256"/>
      <c r="BZ47" s="256"/>
    </row>
    <row r="48" spans="1:78" ht="16.5" hidden="1" customHeight="1" x14ac:dyDescent="0.25">
      <c r="A48" s="239"/>
      <c r="B48" s="241"/>
      <c r="C48" s="244"/>
      <c r="D48" s="244" t="str">
        <f>MUI_STAT_T_Day</f>
        <v>Day</v>
      </c>
      <c r="E48" s="243"/>
      <c r="F48" s="133">
        <v>1</v>
      </c>
      <c r="G48" s="133">
        <v>2</v>
      </c>
      <c r="H48" s="133">
        <v>3</v>
      </c>
      <c r="I48" s="133">
        <v>4</v>
      </c>
      <c r="J48" s="133">
        <v>5</v>
      </c>
      <c r="K48" s="133">
        <v>6</v>
      </c>
      <c r="L48" s="133">
        <v>7</v>
      </c>
      <c r="M48" s="133">
        <v>8</v>
      </c>
      <c r="N48" s="133">
        <v>9</v>
      </c>
      <c r="O48" s="133">
        <v>10</v>
      </c>
      <c r="P48" s="133">
        <v>11</v>
      </c>
      <c r="Q48" s="133">
        <v>12</v>
      </c>
      <c r="R48" s="133">
        <v>13</v>
      </c>
      <c r="S48" s="133">
        <v>14</v>
      </c>
      <c r="T48" s="133">
        <v>15</v>
      </c>
      <c r="U48" s="133">
        <v>16</v>
      </c>
      <c r="V48" s="133">
        <v>17</v>
      </c>
      <c r="W48" s="133">
        <v>18</v>
      </c>
      <c r="X48" s="133">
        <v>19</v>
      </c>
      <c r="Y48" s="133">
        <v>20</v>
      </c>
      <c r="Z48" s="133">
        <v>21</v>
      </c>
      <c r="AA48" s="133">
        <v>22</v>
      </c>
      <c r="AB48" s="133">
        <v>23</v>
      </c>
      <c r="AC48" s="133">
        <v>24</v>
      </c>
      <c r="AD48" s="133">
        <v>25</v>
      </c>
      <c r="AE48" s="133">
        <v>26</v>
      </c>
      <c r="AF48" s="133">
        <v>27</v>
      </c>
      <c r="AG48" s="133">
        <v>28</v>
      </c>
      <c r="AH48" s="133">
        <v>29</v>
      </c>
      <c r="AI48" s="133">
        <v>30</v>
      </c>
      <c r="AJ48" s="133">
        <v>31</v>
      </c>
      <c r="AK48" s="261"/>
      <c r="AL48" s="250" t="str">
        <f>MUI_STAT_T_TotalWorkplans</f>
        <v># of Exercises</v>
      </c>
      <c r="AM48" s="453" t="str">
        <f ca="1">IF(ST_M_TotalNumberOfWorkplans=0,"",ST_M_TotalNumberOfWorkplans)</f>
        <v/>
      </c>
      <c r="AN48" s="453"/>
      <c r="AO48" s="453"/>
      <c r="AP48" s="256"/>
      <c r="AQ48" s="453" t="str">
        <f ca="1">IF(ST_Y_TotalNumberOfWorkplans=0,"",ST_Y_TotalNumberOfWorkplans)</f>
        <v/>
      </c>
      <c r="AR48" s="453"/>
      <c r="AS48" s="453"/>
      <c r="AT48" s="256"/>
      <c r="AU48" s="256"/>
      <c r="AV48" s="256"/>
      <c r="AW48" s="256"/>
      <c r="AX48" s="256"/>
      <c r="AY48" s="256"/>
      <c r="AZ48" s="256"/>
      <c r="BA48" s="256"/>
      <c r="BB48" s="256"/>
      <c r="BC48" s="256"/>
      <c r="BD48" s="256"/>
      <c r="BE48" s="256"/>
      <c r="BF48" s="256"/>
      <c r="BG48" s="256"/>
      <c r="BH48" s="256"/>
      <c r="BI48" s="256"/>
      <c r="BJ48" s="256"/>
      <c r="BK48" s="256"/>
      <c r="BL48" s="256"/>
      <c r="BM48" s="256"/>
      <c r="BN48" s="256"/>
      <c r="BO48" s="256"/>
      <c r="BP48" s="256"/>
      <c r="BQ48" s="256"/>
      <c r="BR48" s="256"/>
      <c r="BS48" s="256"/>
      <c r="BT48" s="256"/>
      <c r="BU48" s="256"/>
      <c r="BV48" s="256"/>
      <c r="BW48" s="256"/>
      <c r="BX48" s="256"/>
      <c r="BY48" s="256"/>
      <c r="BZ48" s="256"/>
    </row>
    <row r="49" spans="1:78" ht="16.5" hidden="1" customHeight="1" x14ac:dyDescent="0.25">
      <c r="A49" s="239"/>
      <c r="B49" s="241"/>
      <c r="C49" s="244"/>
      <c r="D49" s="244" t="str">
        <f>MUI_STAT_T_TotalTime_Day</f>
        <v>Total Time/Day</v>
      </c>
      <c r="E49" s="243"/>
      <c r="F49" s="134">
        <f ca="1">'_Data Status Month'!D9</f>
        <v>0</v>
      </c>
      <c r="G49" s="134">
        <f ca="1">'_Data Status Month'!E9</f>
        <v>0</v>
      </c>
      <c r="H49" s="134">
        <f ca="1">'_Data Status Month'!F9</f>
        <v>0</v>
      </c>
      <c r="I49" s="134">
        <f ca="1">'_Data Status Month'!G9</f>
        <v>0</v>
      </c>
      <c r="J49" s="134">
        <f ca="1">'_Data Status Month'!H9</f>
        <v>0</v>
      </c>
      <c r="K49" s="134">
        <f ca="1">'_Data Status Month'!I9</f>
        <v>0</v>
      </c>
      <c r="L49" s="134">
        <f ca="1">'_Data Status Month'!J9</f>
        <v>0</v>
      </c>
      <c r="M49" s="134">
        <f ca="1">'_Data Status Month'!K9</f>
        <v>0</v>
      </c>
      <c r="N49" s="134">
        <f ca="1">'_Data Status Month'!L9</f>
        <v>0</v>
      </c>
      <c r="O49" s="134">
        <f ca="1">'_Data Status Month'!M9</f>
        <v>0</v>
      </c>
      <c r="P49" s="134">
        <f ca="1">'_Data Status Month'!N9</f>
        <v>0</v>
      </c>
      <c r="Q49" s="134">
        <f ca="1">'_Data Status Month'!O9</f>
        <v>0</v>
      </c>
      <c r="R49" s="134">
        <f ca="1">'_Data Status Month'!P9</f>
        <v>0</v>
      </c>
      <c r="S49" s="134">
        <f ca="1">'_Data Status Month'!Q9</f>
        <v>0</v>
      </c>
      <c r="T49" s="134">
        <f ca="1">'_Data Status Month'!R9</f>
        <v>0</v>
      </c>
      <c r="U49" s="134">
        <f ca="1">'_Data Status Month'!S9</f>
        <v>0</v>
      </c>
      <c r="V49" s="134">
        <f ca="1">'_Data Status Month'!T9</f>
        <v>0</v>
      </c>
      <c r="W49" s="134">
        <f ca="1">'_Data Status Month'!U9</f>
        <v>0</v>
      </c>
      <c r="X49" s="134">
        <f ca="1">'_Data Status Month'!V9</f>
        <v>0</v>
      </c>
      <c r="Y49" s="134">
        <f ca="1">'_Data Status Month'!W9</f>
        <v>0</v>
      </c>
      <c r="Z49" s="134">
        <f ca="1">'_Data Status Month'!X9</f>
        <v>0</v>
      </c>
      <c r="AA49" s="134">
        <f ca="1">'_Data Status Month'!Y9</f>
        <v>0</v>
      </c>
      <c r="AB49" s="134">
        <f ca="1">'_Data Status Month'!Z9</f>
        <v>0</v>
      </c>
      <c r="AC49" s="134">
        <f ca="1">'_Data Status Month'!AA9</f>
        <v>0</v>
      </c>
      <c r="AD49" s="134">
        <f ca="1">'_Data Status Month'!AB9</f>
        <v>0</v>
      </c>
      <c r="AE49" s="134">
        <f ca="1">'_Data Status Month'!AC9</f>
        <v>0</v>
      </c>
      <c r="AF49" s="134">
        <f ca="1">'_Data Status Month'!AD9</f>
        <v>0</v>
      </c>
      <c r="AG49" s="134">
        <f ca="1">'_Data Status Month'!AE9</f>
        <v>0</v>
      </c>
      <c r="AH49" s="134">
        <f ca="1">'_Data Status Month'!AF9</f>
        <v>0</v>
      </c>
      <c r="AI49" s="134">
        <f ca="1">'_Data Status Month'!AG9</f>
        <v>0</v>
      </c>
      <c r="AJ49" s="134">
        <f ca="1">'_Data Status Month'!AH9</f>
        <v>0</v>
      </c>
      <c r="AK49" s="261"/>
      <c r="AL49" s="250" t="str">
        <f>MUI_STAT_T_TotalDuration</f>
        <v>Total Duration (in Min)</v>
      </c>
      <c r="AM49" s="257" t="str">
        <f ca="1">'_Data Status Month'!AK9</f>
        <v/>
      </c>
      <c r="AN49" s="262" t="str">
        <f ca="1">IFERROR(AM49/AM48,"")</f>
        <v/>
      </c>
      <c r="AO49" s="102"/>
      <c r="AP49" s="256"/>
      <c r="AQ49" s="257" t="str">
        <f ca="1">'_Data Status Month'!AN9</f>
        <v/>
      </c>
      <c r="AR49" s="262" t="str">
        <f ca="1">IFERROR(AQ49/AQ48,"")</f>
        <v/>
      </c>
      <c r="AS49" s="102"/>
      <c r="AT49" s="256"/>
      <c r="AU49" s="256"/>
      <c r="AV49" s="256"/>
      <c r="AW49" s="256"/>
      <c r="AX49" s="256"/>
      <c r="AY49" s="256"/>
      <c r="AZ49" s="256"/>
      <c r="BA49" s="256"/>
      <c r="BB49" s="256"/>
      <c r="BC49" s="256"/>
      <c r="BD49" s="256"/>
      <c r="BE49" s="256"/>
      <c r="BF49" s="256"/>
      <c r="BG49" s="256"/>
      <c r="BH49" s="256"/>
      <c r="BI49" s="256"/>
      <c r="BJ49" s="256"/>
      <c r="BK49" s="256"/>
      <c r="BL49" s="256"/>
      <c r="BM49" s="256"/>
      <c r="BN49" s="256"/>
      <c r="BO49" s="256"/>
      <c r="BP49" s="256"/>
      <c r="BQ49" s="256"/>
      <c r="BR49" s="256"/>
      <c r="BS49" s="256"/>
      <c r="BT49" s="256"/>
      <c r="BU49" s="256"/>
      <c r="BV49" s="256"/>
      <c r="BW49" s="256"/>
      <c r="BX49" s="256"/>
      <c r="BY49" s="256"/>
      <c r="BZ49" s="256"/>
    </row>
    <row r="50" spans="1:78" ht="16.5" hidden="1" customHeight="1" x14ac:dyDescent="0.25">
      <c r="A50" s="239"/>
      <c r="B50" s="241"/>
      <c r="C50" s="244"/>
      <c r="D50" s="244" t="str">
        <f>MUI_STAT_T_PlayerHCP_Day</f>
        <v>Player HCP/Day</v>
      </c>
      <c r="E50" s="243"/>
      <c r="F50" s="103" t="str">
        <f ca="1">'_Data Status Month'!D10</f>
        <v/>
      </c>
      <c r="G50" s="103" t="str">
        <f ca="1">'_Data Status Month'!E10</f>
        <v/>
      </c>
      <c r="H50" s="103" t="str">
        <f ca="1">'_Data Status Month'!F10</f>
        <v/>
      </c>
      <c r="I50" s="103" t="str">
        <f ca="1">'_Data Status Month'!G10</f>
        <v/>
      </c>
      <c r="J50" s="103" t="str">
        <f ca="1">'_Data Status Month'!H10</f>
        <v/>
      </c>
      <c r="K50" s="103" t="str">
        <f ca="1">'_Data Status Month'!I10</f>
        <v/>
      </c>
      <c r="L50" s="103" t="str">
        <f ca="1">'_Data Status Month'!J10</f>
        <v/>
      </c>
      <c r="M50" s="103" t="str">
        <f ca="1">'_Data Status Month'!K10</f>
        <v/>
      </c>
      <c r="N50" s="103" t="str">
        <f ca="1">'_Data Status Month'!L10</f>
        <v/>
      </c>
      <c r="O50" s="103" t="str">
        <f ca="1">'_Data Status Month'!M10</f>
        <v/>
      </c>
      <c r="P50" s="103" t="str">
        <f ca="1">'_Data Status Month'!N10</f>
        <v/>
      </c>
      <c r="Q50" s="103" t="str">
        <f ca="1">'_Data Status Month'!O10</f>
        <v/>
      </c>
      <c r="R50" s="103" t="str">
        <f ca="1">'_Data Status Month'!P10</f>
        <v/>
      </c>
      <c r="S50" s="103" t="str">
        <f ca="1">'_Data Status Month'!Q10</f>
        <v/>
      </c>
      <c r="T50" s="103" t="str">
        <f ca="1">'_Data Status Month'!R10</f>
        <v/>
      </c>
      <c r="U50" s="103" t="str">
        <f ca="1">'_Data Status Month'!S10</f>
        <v/>
      </c>
      <c r="V50" s="103" t="str">
        <f ca="1">'_Data Status Month'!T10</f>
        <v/>
      </c>
      <c r="W50" s="103" t="str">
        <f ca="1">'_Data Status Month'!U10</f>
        <v/>
      </c>
      <c r="X50" s="103" t="str">
        <f ca="1">'_Data Status Month'!V10</f>
        <v/>
      </c>
      <c r="Y50" s="103" t="str">
        <f ca="1">'_Data Status Month'!W10</f>
        <v/>
      </c>
      <c r="Z50" s="103" t="str">
        <f ca="1">'_Data Status Month'!X10</f>
        <v/>
      </c>
      <c r="AA50" s="103" t="str">
        <f ca="1">'_Data Status Month'!Y10</f>
        <v/>
      </c>
      <c r="AB50" s="103" t="str">
        <f ca="1">'_Data Status Month'!Z10</f>
        <v/>
      </c>
      <c r="AC50" s="103" t="str">
        <f ca="1">'_Data Status Month'!AA10</f>
        <v/>
      </c>
      <c r="AD50" s="103" t="str">
        <f ca="1">'_Data Status Month'!AB10</f>
        <v/>
      </c>
      <c r="AE50" s="103" t="str">
        <f ca="1">'_Data Status Month'!AC10</f>
        <v/>
      </c>
      <c r="AF50" s="103" t="str">
        <f ca="1">'_Data Status Month'!AD10</f>
        <v/>
      </c>
      <c r="AG50" s="103" t="str">
        <f ca="1">'_Data Status Month'!AE10</f>
        <v/>
      </c>
      <c r="AH50" s="103" t="str">
        <f ca="1">'_Data Status Month'!AF10</f>
        <v/>
      </c>
      <c r="AI50" s="103" t="str">
        <f ca="1">'_Data Status Month'!AG10</f>
        <v/>
      </c>
      <c r="AJ50" s="103" t="str">
        <f ca="1">'_Data Status Month'!AH10</f>
        <v/>
      </c>
      <c r="AK50" s="261"/>
      <c r="AL50" s="250" t="str">
        <f>MUI_STAT_T_HCPChanges</f>
        <v>HCP Min, Avg, Max</v>
      </c>
      <c r="AM50" s="260" t="str">
        <f ca="1">IF(COUNT(F50:AJ50)&gt;0,SUM(F50:AJ50)/COUNT(F50:AJ50),"")</f>
        <v/>
      </c>
      <c r="AN50" s="260" t="str">
        <f ca="1">IFERROR(_xlfn.STDEV.S(F50:AG50),"")</f>
        <v/>
      </c>
      <c r="AO50" s="259" t="str">
        <f ca="1">IFERROR(AM50/AN$50-1,"")</f>
        <v/>
      </c>
      <c r="AP50" s="256"/>
      <c r="AQ50" s="260" t="str">
        <f ca="1">IF(COUNT(J50:AN50)&gt;0,SUM(J50:AN50)/COUNT(J50:AN50),"")</f>
        <v/>
      </c>
      <c r="AR50" s="260" t="str">
        <f ca="1">IFERROR(_xlfn.STDEV.S(J50:AK50),"")</f>
        <v/>
      </c>
      <c r="AS50" s="259" t="str">
        <f ca="1">IFERROR(AQ50/AR$50-1,"")</f>
        <v/>
      </c>
      <c r="AT50" s="256"/>
      <c r="AU50" s="256"/>
      <c r="AV50" s="256"/>
      <c r="AW50" s="256"/>
      <c r="AX50" s="256"/>
      <c r="AY50" s="256"/>
      <c r="AZ50" s="256"/>
      <c r="BA50" s="256"/>
      <c r="BB50" s="256"/>
      <c r="BC50" s="256"/>
      <c r="BD50" s="256"/>
      <c r="BE50" s="256"/>
      <c r="BF50" s="256"/>
      <c r="BG50" s="256"/>
      <c r="BH50" s="256"/>
      <c r="BI50" s="256"/>
      <c r="BJ50" s="256"/>
      <c r="BK50" s="256"/>
      <c r="BL50" s="256"/>
      <c r="BM50" s="256"/>
      <c r="BN50" s="256"/>
      <c r="BO50" s="256"/>
      <c r="BP50" s="256"/>
      <c r="BQ50" s="256"/>
      <c r="BR50" s="256"/>
      <c r="BS50" s="256"/>
      <c r="BT50" s="256"/>
      <c r="BU50" s="256"/>
      <c r="BV50" s="256"/>
      <c r="BW50" s="256"/>
      <c r="BX50" s="256"/>
      <c r="BY50" s="256"/>
      <c r="BZ50" s="256"/>
    </row>
    <row r="51" spans="1:78" ht="13.5" hidden="1" customHeight="1" x14ac:dyDescent="0.25">
      <c r="A51" s="256"/>
      <c r="B51" s="256"/>
      <c r="C51" s="261"/>
      <c r="D51" s="245"/>
      <c r="E51" s="261"/>
      <c r="F51" s="255"/>
      <c r="G51" s="255"/>
      <c r="H51" s="255"/>
      <c r="I51" s="255"/>
      <c r="J51" s="255"/>
      <c r="K51" s="255"/>
      <c r="L51" s="255"/>
      <c r="M51" s="255"/>
      <c r="N51" s="255"/>
      <c r="O51" s="255"/>
      <c r="P51" s="255"/>
      <c r="Q51" s="255"/>
      <c r="R51" s="255"/>
      <c r="S51" s="255"/>
      <c r="T51" s="255"/>
      <c r="U51" s="255"/>
      <c r="V51" s="255"/>
      <c r="W51" s="255"/>
      <c r="X51" s="255"/>
      <c r="Y51" s="255"/>
      <c r="Z51" s="255"/>
      <c r="AA51" s="255"/>
      <c r="AB51" s="255"/>
      <c r="AC51" s="255"/>
      <c r="AD51" s="255"/>
      <c r="AE51" s="255"/>
      <c r="AF51" s="255"/>
      <c r="AG51" s="255"/>
      <c r="AH51" s="255"/>
      <c r="AI51" s="255"/>
      <c r="AJ51" s="255"/>
      <c r="AK51" s="261"/>
      <c r="AL51" s="261"/>
      <c r="AM51" s="256"/>
      <c r="AN51" s="256"/>
      <c r="AO51" s="256"/>
      <c r="AP51" s="256"/>
      <c r="AQ51" s="256"/>
      <c r="AR51" s="256"/>
      <c r="AS51" s="256"/>
      <c r="AT51" s="256"/>
      <c r="AU51" s="256"/>
      <c r="AV51" s="256"/>
      <c r="AW51" s="256"/>
      <c r="AX51" s="256"/>
      <c r="AY51" s="256"/>
      <c r="AZ51" s="256"/>
      <c r="BA51" s="256"/>
      <c r="BB51" s="256"/>
      <c r="BC51" s="256"/>
      <c r="BD51" s="256"/>
      <c r="BE51" s="256"/>
      <c r="BF51" s="256"/>
      <c r="BG51" s="256"/>
      <c r="BH51" s="256"/>
      <c r="BI51" s="256"/>
      <c r="BJ51" s="256"/>
      <c r="BK51" s="256"/>
      <c r="BL51" s="256"/>
      <c r="BM51" s="256"/>
      <c r="BN51" s="256"/>
      <c r="BO51" s="256"/>
      <c r="BP51" s="256"/>
      <c r="BQ51" s="256"/>
      <c r="BR51" s="256"/>
      <c r="BS51" s="256"/>
      <c r="BT51" s="256"/>
      <c r="BU51" s="256"/>
      <c r="BV51" s="256"/>
      <c r="BW51" s="256"/>
      <c r="BX51" s="256"/>
      <c r="BY51" s="256"/>
      <c r="BZ51" s="256"/>
    </row>
    <row r="52" spans="1:78" ht="17.25" hidden="1" customHeight="1" x14ac:dyDescent="0.25">
      <c r="A52" s="256"/>
      <c r="B52" s="443" t="str">
        <f>IFERROR(HYPERLINK(MouseOverEvent('_Data Status Month'!$A$107),'_Data Status Month'!$A$107),'_Data Status Month'!$A$107)</f>
        <v>Putting</v>
      </c>
      <c r="C52" s="243"/>
      <c r="D52" s="246" t="str">
        <f>MUI_STAT_T_Sub_Duration</f>
        <v>Duration</v>
      </c>
      <c r="E52" s="243"/>
      <c r="F52" s="135">
        <f ca="1">'_Data Status Month'!D14</f>
        <v>0</v>
      </c>
      <c r="G52" s="135">
        <f ca="1">'_Data Status Month'!E14</f>
        <v>0</v>
      </c>
      <c r="H52" s="135">
        <f ca="1">'_Data Status Month'!F14</f>
        <v>0</v>
      </c>
      <c r="I52" s="135">
        <f ca="1">'_Data Status Month'!G14</f>
        <v>0</v>
      </c>
      <c r="J52" s="135">
        <f ca="1">'_Data Status Month'!H14</f>
        <v>0</v>
      </c>
      <c r="K52" s="135">
        <f ca="1">'_Data Status Month'!I14</f>
        <v>0</v>
      </c>
      <c r="L52" s="135">
        <f ca="1">'_Data Status Month'!J14</f>
        <v>0</v>
      </c>
      <c r="M52" s="135">
        <f ca="1">'_Data Status Month'!K14</f>
        <v>0</v>
      </c>
      <c r="N52" s="135">
        <f ca="1">'_Data Status Month'!L14</f>
        <v>0</v>
      </c>
      <c r="O52" s="135">
        <f ca="1">'_Data Status Month'!M14</f>
        <v>0</v>
      </c>
      <c r="P52" s="135">
        <f ca="1">'_Data Status Month'!N14</f>
        <v>0</v>
      </c>
      <c r="Q52" s="135">
        <f ca="1">'_Data Status Month'!O14</f>
        <v>0</v>
      </c>
      <c r="R52" s="135">
        <f ca="1">'_Data Status Month'!P14</f>
        <v>0</v>
      </c>
      <c r="S52" s="135">
        <f ca="1">'_Data Status Month'!Q14</f>
        <v>0</v>
      </c>
      <c r="T52" s="135">
        <f ca="1">'_Data Status Month'!R14</f>
        <v>0</v>
      </c>
      <c r="U52" s="135">
        <f ca="1">'_Data Status Month'!S14</f>
        <v>0</v>
      </c>
      <c r="V52" s="135">
        <f ca="1">'_Data Status Month'!T14</f>
        <v>0</v>
      </c>
      <c r="W52" s="135">
        <f ca="1">'_Data Status Month'!U14</f>
        <v>0</v>
      </c>
      <c r="X52" s="135">
        <f ca="1">'_Data Status Month'!V14</f>
        <v>0</v>
      </c>
      <c r="Y52" s="135">
        <f ca="1">'_Data Status Month'!W14</f>
        <v>0</v>
      </c>
      <c r="Z52" s="135">
        <f ca="1">'_Data Status Month'!X14</f>
        <v>0</v>
      </c>
      <c r="AA52" s="135">
        <f ca="1">'_Data Status Month'!Y14</f>
        <v>0</v>
      </c>
      <c r="AB52" s="135">
        <f ca="1">'_Data Status Month'!Z14</f>
        <v>0</v>
      </c>
      <c r="AC52" s="135">
        <f ca="1">'_Data Status Month'!AA14</f>
        <v>0</v>
      </c>
      <c r="AD52" s="135">
        <f ca="1">'_Data Status Month'!AB14</f>
        <v>0</v>
      </c>
      <c r="AE52" s="135">
        <f ca="1">'_Data Status Month'!AC14</f>
        <v>0</v>
      </c>
      <c r="AF52" s="135">
        <f ca="1">'_Data Status Month'!AD14</f>
        <v>0</v>
      </c>
      <c r="AG52" s="135">
        <f ca="1">'_Data Status Month'!AE14</f>
        <v>0</v>
      </c>
      <c r="AH52" s="135">
        <f ca="1">'_Data Status Month'!AF14</f>
        <v>0</v>
      </c>
      <c r="AI52" s="135">
        <f ca="1">'_Data Status Month'!AG14</f>
        <v>0</v>
      </c>
      <c r="AJ52" s="135">
        <f ca="1">'_Data Status Month'!AH14</f>
        <v>0</v>
      </c>
      <c r="AK52" s="261"/>
      <c r="AL52" s="250" t="str">
        <f>MUI_STAT_T_TotalDuration</f>
        <v>Total Duration (in Min)</v>
      </c>
      <c r="AM52" s="444" t="str">
        <f ca="1">'_Data Status Month'!AK14</f>
        <v/>
      </c>
      <c r="AN52" s="445"/>
      <c r="AO52" s="446"/>
      <c r="AP52" s="256"/>
      <c r="AQ52" s="444" t="str">
        <f ca="1">'_Data Status Month'!AN14</f>
        <v/>
      </c>
      <c r="AR52" s="445"/>
      <c r="AS52" s="446"/>
      <c r="AT52" s="256"/>
      <c r="AU52" s="256"/>
      <c r="AV52" s="256"/>
      <c r="AW52" s="256"/>
      <c r="AX52" s="256"/>
      <c r="AY52" s="256"/>
      <c r="AZ52" s="256"/>
      <c r="BA52" s="256"/>
      <c r="BB52" s="256"/>
      <c r="BC52" s="256"/>
      <c r="BD52" s="256"/>
      <c r="BE52" s="256"/>
      <c r="BF52" s="256"/>
      <c r="BG52" s="256"/>
      <c r="BH52" s="256"/>
      <c r="BI52" s="256"/>
      <c r="BJ52" s="256"/>
      <c r="BK52" s="256"/>
      <c r="BL52" s="256"/>
      <c r="BM52" s="256"/>
      <c r="BN52" s="256"/>
      <c r="BO52" s="256"/>
      <c r="BP52" s="256"/>
      <c r="BQ52" s="256"/>
      <c r="BR52" s="256"/>
      <c r="BS52" s="256"/>
      <c r="BT52" s="256"/>
      <c r="BU52" s="256"/>
      <c r="BV52" s="256"/>
      <c r="BW52" s="256"/>
      <c r="BX52" s="256"/>
      <c r="BY52" s="256"/>
      <c r="BZ52" s="256"/>
    </row>
    <row r="53" spans="1:78" ht="17.25" hidden="1" customHeight="1" x14ac:dyDescent="0.25">
      <c r="A53" s="256"/>
      <c r="B53" s="443"/>
      <c r="C53" s="261"/>
      <c r="D53" s="246" t="str">
        <f>MUI_STAT_T_Sub_PercTime</f>
        <v>%of Total Time</v>
      </c>
      <c r="E53" s="261"/>
      <c r="F53" s="208" t="str">
        <f ca="1">'_Data Status Month'!D15</f>
        <v/>
      </c>
      <c r="G53" s="208" t="str">
        <f ca="1">'_Data Status Month'!E15</f>
        <v/>
      </c>
      <c r="H53" s="208" t="str">
        <f ca="1">'_Data Status Month'!F15</f>
        <v/>
      </c>
      <c r="I53" s="208" t="str">
        <f ca="1">'_Data Status Month'!G15</f>
        <v/>
      </c>
      <c r="J53" s="208" t="str">
        <f ca="1">'_Data Status Month'!H15</f>
        <v/>
      </c>
      <c r="K53" s="208" t="str">
        <f ca="1">'_Data Status Month'!I15</f>
        <v/>
      </c>
      <c r="L53" s="208" t="str">
        <f ca="1">'_Data Status Month'!J15</f>
        <v/>
      </c>
      <c r="M53" s="208" t="str">
        <f ca="1">'_Data Status Month'!K15</f>
        <v/>
      </c>
      <c r="N53" s="208" t="str">
        <f ca="1">'_Data Status Month'!L15</f>
        <v/>
      </c>
      <c r="O53" s="208" t="str">
        <f ca="1">'_Data Status Month'!M15</f>
        <v/>
      </c>
      <c r="P53" s="208" t="str">
        <f ca="1">'_Data Status Month'!N15</f>
        <v/>
      </c>
      <c r="Q53" s="208" t="str">
        <f ca="1">'_Data Status Month'!O15</f>
        <v/>
      </c>
      <c r="R53" s="208" t="str">
        <f ca="1">'_Data Status Month'!P15</f>
        <v/>
      </c>
      <c r="S53" s="208" t="str">
        <f ca="1">'_Data Status Month'!Q15</f>
        <v/>
      </c>
      <c r="T53" s="208" t="str">
        <f ca="1">'_Data Status Month'!R15</f>
        <v/>
      </c>
      <c r="U53" s="208" t="str">
        <f ca="1">'_Data Status Month'!S15</f>
        <v/>
      </c>
      <c r="V53" s="208" t="str">
        <f ca="1">'_Data Status Month'!T15</f>
        <v/>
      </c>
      <c r="W53" s="208" t="str">
        <f ca="1">'_Data Status Month'!U15</f>
        <v/>
      </c>
      <c r="X53" s="208" t="str">
        <f ca="1">'_Data Status Month'!V15</f>
        <v/>
      </c>
      <c r="Y53" s="208" t="str">
        <f ca="1">'_Data Status Month'!W15</f>
        <v/>
      </c>
      <c r="Z53" s="208" t="str">
        <f ca="1">'_Data Status Month'!X15</f>
        <v/>
      </c>
      <c r="AA53" s="208" t="str">
        <f ca="1">'_Data Status Month'!Y15</f>
        <v/>
      </c>
      <c r="AB53" s="208" t="str">
        <f ca="1">'_Data Status Month'!Z15</f>
        <v/>
      </c>
      <c r="AC53" s="208" t="str">
        <f ca="1">'_Data Status Month'!AA15</f>
        <v/>
      </c>
      <c r="AD53" s="208" t="str">
        <f ca="1">'_Data Status Month'!AB15</f>
        <v/>
      </c>
      <c r="AE53" s="208" t="str">
        <f ca="1">'_Data Status Month'!AC15</f>
        <v/>
      </c>
      <c r="AF53" s="208" t="str">
        <f ca="1">'_Data Status Month'!AD15</f>
        <v/>
      </c>
      <c r="AG53" s="208" t="str">
        <f ca="1">'_Data Status Month'!AE15</f>
        <v/>
      </c>
      <c r="AH53" s="208" t="str">
        <f ca="1">'_Data Status Month'!AF15</f>
        <v/>
      </c>
      <c r="AI53" s="208" t="str">
        <f ca="1">'_Data Status Month'!AG15</f>
        <v/>
      </c>
      <c r="AJ53" s="208" t="str">
        <f ca="1">'_Data Status Month'!AH15</f>
        <v/>
      </c>
      <c r="AK53" s="261"/>
      <c r="AL53" s="250" t="str">
        <f>MUI_STAT_T_TotalPercDuration</f>
        <v>%of Total Time</v>
      </c>
      <c r="AM53" s="447" t="str">
        <f ca="1">'_Data Status Month'!AJ15</f>
        <v/>
      </c>
      <c r="AN53" s="448"/>
      <c r="AO53" s="449"/>
      <c r="AP53" s="256"/>
      <c r="AQ53" s="447" t="str">
        <f ca="1">'_Data Status Month'!AM15</f>
        <v/>
      </c>
      <c r="AR53" s="448"/>
      <c r="AS53" s="449"/>
      <c r="AT53" s="256"/>
      <c r="AU53" s="256"/>
      <c r="AV53" s="256"/>
      <c r="AW53" s="256"/>
      <c r="AX53" s="256"/>
      <c r="AY53" s="256"/>
      <c r="AZ53" s="256"/>
      <c r="BA53" s="256"/>
      <c r="BB53" s="256"/>
      <c r="BC53" s="256"/>
      <c r="BD53" s="256"/>
      <c r="BE53" s="256"/>
      <c r="BF53" s="256"/>
      <c r="BG53" s="256"/>
      <c r="BH53" s="256"/>
      <c r="BI53" s="256"/>
      <c r="BJ53" s="256"/>
      <c r="BK53" s="256"/>
      <c r="BL53" s="256"/>
      <c r="BM53" s="256"/>
      <c r="BN53" s="256"/>
      <c r="BO53" s="256"/>
      <c r="BP53" s="256"/>
      <c r="BQ53" s="256"/>
      <c r="BR53" s="256"/>
      <c r="BS53" s="256"/>
      <c r="BT53" s="256"/>
      <c r="BU53" s="256"/>
      <c r="BV53" s="256"/>
      <c r="BW53" s="256"/>
      <c r="BX53" s="256"/>
      <c r="BY53" s="256"/>
      <c r="BZ53" s="256"/>
    </row>
    <row r="54" spans="1:78" ht="17.25" hidden="1" customHeight="1" x14ac:dyDescent="0.25">
      <c r="A54" s="256"/>
      <c r="B54" s="443"/>
      <c r="C54" s="261"/>
      <c r="D54" s="246" t="str">
        <f>MUI_STAT_T_Sub_HCP</f>
        <v>HCP</v>
      </c>
      <c r="E54" s="261"/>
      <c r="F54" s="207" t="str">
        <f ca="1">IFERROR('_Data Status Month'!D18,"")</f>
        <v/>
      </c>
      <c r="G54" s="207" t="str">
        <f ca="1">IFERROR('_Data Status Month'!E18,"")</f>
        <v/>
      </c>
      <c r="H54" s="207" t="str">
        <f ca="1">IFERROR('_Data Status Month'!F18,"")</f>
        <v/>
      </c>
      <c r="I54" s="207" t="str">
        <f ca="1">IFERROR('_Data Status Month'!G18,"")</f>
        <v/>
      </c>
      <c r="J54" s="207" t="str">
        <f ca="1">IFERROR('_Data Status Month'!H18,"")</f>
        <v/>
      </c>
      <c r="K54" s="207" t="str">
        <f ca="1">IFERROR('_Data Status Month'!I18,"")</f>
        <v/>
      </c>
      <c r="L54" s="207" t="str">
        <f ca="1">IFERROR('_Data Status Month'!J18,"")</f>
        <v/>
      </c>
      <c r="M54" s="207" t="str">
        <f ca="1">IFERROR('_Data Status Month'!K18,"")</f>
        <v/>
      </c>
      <c r="N54" s="207" t="str">
        <f ca="1">IFERROR('_Data Status Month'!L18,"")</f>
        <v/>
      </c>
      <c r="O54" s="207" t="str">
        <f ca="1">IFERROR('_Data Status Month'!M18,"")</f>
        <v/>
      </c>
      <c r="P54" s="207" t="str">
        <f ca="1">IFERROR('_Data Status Month'!N18,"")</f>
        <v/>
      </c>
      <c r="Q54" s="207" t="str">
        <f ca="1">IFERROR('_Data Status Month'!O18,"")</f>
        <v/>
      </c>
      <c r="R54" s="207" t="str">
        <f ca="1">IFERROR('_Data Status Month'!P18,"")</f>
        <v/>
      </c>
      <c r="S54" s="207" t="str">
        <f ca="1">IFERROR('_Data Status Month'!Q18,"")</f>
        <v/>
      </c>
      <c r="T54" s="207" t="str">
        <f ca="1">IFERROR('_Data Status Month'!R18,"")</f>
        <v/>
      </c>
      <c r="U54" s="207" t="str">
        <f ca="1">IFERROR('_Data Status Month'!S18,"")</f>
        <v/>
      </c>
      <c r="V54" s="207" t="str">
        <f ca="1">IFERROR('_Data Status Month'!T18,"")</f>
        <v/>
      </c>
      <c r="W54" s="207" t="str">
        <f ca="1">IFERROR('_Data Status Month'!U18,"")</f>
        <v/>
      </c>
      <c r="X54" s="207" t="str">
        <f ca="1">IFERROR('_Data Status Month'!V18,"")</f>
        <v/>
      </c>
      <c r="Y54" s="207" t="str">
        <f ca="1">IFERROR('_Data Status Month'!W18,"")</f>
        <v/>
      </c>
      <c r="Z54" s="207" t="str">
        <f ca="1">IFERROR('_Data Status Month'!X18,"")</f>
        <v/>
      </c>
      <c r="AA54" s="207" t="str">
        <f ca="1">IFERROR('_Data Status Month'!Y18,"")</f>
        <v/>
      </c>
      <c r="AB54" s="207" t="str">
        <f ca="1">IFERROR('_Data Status Month'!Z18,"")</f>
        <v/>
      </c>
      <c r="AC54" s="207" t="str">
        <f ca="1">IFERROR('_Data Status Month'!AA18,"")</f>
        <v/>
      </c>
      <c r="AD54" s="207" t="str">
        <f ca="1">IFERROR('_Data Status Month'!AB18,"")</f>
        <v/>
      </c>
      <c r="AE54" s="207" t="str">
        <f ca="1">IFERROR('_Data Status Month'!AC18,"")</f>
        <v/>
      </c>
      <c r="AF54" s="207" t="str">
        <f ca="1">IFERROR('_Data Status Month'!AD18,"")</f>
        <v/>
      </c>
      <c r="AG54" s="207" t="str">
        <f ca="1">IFERROR('_Data Status Month'!AE18,"")</f>
        <v/>
      </c>
      <c r="AH54" s="207" t="str">
        <f ca="1">IFERROR('_Data Status Month'!AF18,"")</f>
        <v/>
      </c>
      <c r="AI54" s="207" t="str">
        <f ca="1">IFERROR('_Data Status Month'!AG18,"")</f>
        <v/>
      </c>
      <c r="AJ54" s="207" t="str">
        <f ca="1">IFERROR('_Data Status Month'!AH18,"")</f>
        <v/>
      </c>
      <c r="AK54" s="261"/>
      <c r="AL54" s="250" t="str">
        <f>MUI_STAT_T_TotalHCP</f>
        <v>HCP Avg , Std, Delta</v>
      </c>
      <c r="AM54" s="260" t="str">
        <f ca="1">IF(COUNT(F54:AJ54)&gt;0,SUM(F54:AJ54)/COUNT(F54:AJ54),"")</f>
        <v/>
      </c>
      <c r="AN54" s="260" t="str">
        <f ca="1">IFERROR(_xlfn.STDEV.S(F54:AG54),"")</f>
        <v/>
      </c>
      <c r="AO54" s="259" t="str">
        <f ca="1">IFERROR(AM54/AN$50-1,"")</f>
        <v/>
      </c>
      <c r="AP54" s="256"/>
      <c r="AQ54" s="260" t="str">
        <f ca="1">IF(COUNT(J54:AN54)&gt;0,SUM(J54:AN54)/COUNT(J54:AN54),"")</f>
        <v/>
      </c>
      <c r="AR54" s="260" t="str">
        <f ca="1">IFERROR(_xlfn.STDEV.S(J54:AK54),"")</f>
        <v/>
      </c>
      <c r="AS54" s="259" t="str">
        <f ca="1">IFERROR(AQ54/AR$50-1,"")</f>
        <v/>
      </c>
      <c r="AT54" s="256"/>
      <c r="AU54" s="256"/>
      <c r="AV54" s="256"/>
      <c r="AW54" s="256"/>
      <c r="AX54" s="256"/>
      <c r="AY54" s="256"/>
      <c r="AZ54" s="256"/>
      <c r="BA54" s="256"/>
      <c r="BB54" s="256"/>
      <c r="BC54" s="256"/>
      <c r="BD54" s="256"/>
      <c r="BE54" s="256"/>
      <c r="BF54" s="256"/>
      <c r="BG54" s="256"/>
      <c r="BH54" s="256"/>
      <c r="BI54" s="256"/>
      <c r="BJ54" s="256"/>
      <c r="BK54" s="256"/>
      <c r="BL54" s="256"/>
      <c r="BM54" s="256"/>
      <c r="BN54" s="256"/>
      <c r="BO54" s="256"/>
      <c r="BP54" s="256"/>
      <c r="BQ54" s="256"/>
      <c r="BR54" s="256"/>
      <c r="BS54" s="256"/>
      <c r="BT54" s="256"/>
      <c r="BU54" s="256"/>
      <c r="BV54" s="256"/>
      <c r="BW54" s="256"/>
      <c r="BX54" s="256"/>
      <c r="BY54" s="256"/>
      <c r="BZ54" s="256"/>
    </row>
    <row r="55" spans="1:78" ht="17.25" hidden="1" customHeight="1" x14ac:dyDescent="0.25">
      <c r="A55" s="256"/>
      <c r="B55" s="256"/>
      <c r="C55" s="261"/>
      <c r="D55" s="245"/>
      <c r="E55" s="261"/>
      <c r="F55" s="255"/>
      <c r="G55" s="255"/>
      <c r="H55" s="255"/>
      <c r="I55" s="255"/>
      <c r="J55" s="255"/>
      <c r="K55" s="255"/>
      <c r="L55" s="255"/>
      <c r="M55" s="255"/>
      <c r="N55" s="255"/>
      <c r="O55" s="255"/>
      <c r="P55" s="255"/>
      <c r="Q55" s="255"/>
      <c r="R55" s="255"/>
      <c r="S55" s="255"/>
      <c r="T55" s="255"/>
      <c r="U55" s="255"/>
      <c r="V55" s="255"/>
      <c r="W55" s="255"/>
      <c r="X55" s="255"/>
      <c r="Y55" s="255"/>
      <c r="Z55" s="255"/>
      <c r="AA55" s="255"/>
      <c r="AB55" s="255"/>
      <c r="AC55" s="255"/>
      <c r="AD55" s="255"/>
      <c r="AE55" s="255"/>
      <c r="AF55" s="255"/>
      <c r="AG55" s="255"/>
      <c r="AH55" s="255"/>
      <c r="AI55" s="255"/>
      <c r="AJ55" s="255"/>
      <c r="AK55" s="261"/>
      <c r="AL55" s="261"/>
      <c r="AM55" s="256"/>
      <c r="AN55" s="256"/>
      <c r="AO55" s="256"/>
      <c r="AP55" s="256"/>
      <c r="AQ55" s="256"/>
      <c r="AR55" s="256"/>
      <c r="AS55" s="256"/>
      <c r="AT55" s="256"/>
      <c r="AU55" s="256"/>
      <c r="AV55" s="256"/>
      <c r="AW55" s="256"/>
      <c r="AX55" s="256"/>
      <c r="AY55" s="256"/>
      <c r="AZ55" s="256"/>
      <c r="BA55" s="256"/>
      <c r="BB55" s="256"/>
      <c r="BC55" s="256"/>
      <c r="BD55" s="256"/>
      <c r="BE55" s="256"/>
      <c r="BF55" s="256"/>
      <c r="BG55" s="256"/>
      <c r="BH55" s="256"/>
      <c r="BI55" s="256"/>
      <c r="BJ55" s="256"/>
      <c r="BK55" s="256"/>
      <c r="BL55" s="256"/>
      <c r="BM55" s="256"/>
      <c r="BN55" s="256"/>
      <c r="BO55" s="256"/>
      <c r="BP55" s="256"/>
      <c r="BQ55" s="256"/>
      <c r="BR55" s="256"/>
      <c r="BS55" s="256"/>
      <c r="BT55" s="256"/>
      <c r="BU55" s="256"/>
      <c r="BV55" s="256"/>
      <c r="BW55" s="256"/>
      <c r="BX55" s="256"/>
      <c r="BY55" s="256"/>
      <c r="BZ55" s="256"/>
    </row>
    <row r="56" spans="1:78" ht="17.25" hidden="1" customHeight="1" x14ac:dyDescent="0.25">
      <c r="A56" s="256"/>
      <c r="B56" s="443" t="str">
        <f>IFERROR(HYPERLINK(MouseOverEvent('_Data Status Month'!$A$108),'_Data Status Month'!$A$108),'_Data Status Month'!$A$108)</f>
        <v>Chipping</v>
      </c>
      <c r="C56" s="243"/>
      <c r="D56" s="246" t="str">
        <f>MUI_STAT_T_Sub_Duration</f>
        <v>Duration</v>
      </c>
      <c r="E56" s="243"/>
      <c r="F56" s="135">
        <f ca="1">'_Data Status Month'!D24</f>
        <v>0</v>
      </c>
      <c r="G56" s="135">
        <f ca="1">'_Data Status Month'!E24</f>
        <v>0</v>
      </c>
      <c r="H56" s="135">
        <f ca="1">'_Data Status Month'!F24</f>
        <v>0</v>
      </c>
      <c r="I56" s="135">
        <f ca="1">'_Data Status Month'!G24</f>
        <v>0</v>
      </c>
      <c r="J56" s="135">
        <f ca="1">'_Data Status Month'!H24</f>
        <v>0</v>
      </c>
      <c r="K56" s="135">
        <f ca="1">'_Data Status Month'!I24</f>
        <v>0</v>
      </c>
      <c r="L56" s="135">
        <f ca="1">'_Data Status Month'!J24</f>
        <v>0</v>
      </c>
      <c r="M56" s="135">
        <f ca="1">'_Data Status Month'!K24</f>
        <v>0</v>
      </c>
      <c r="N56" s="135">
        <f ca="1">'_Data Status Month'!L24</f>
        <v>0</v>
      </c>
      <c r="O56" s="135">
        <f ca="1">'_Data Status Month'!M24</f>
        <v>0</v>
      </c>
      <c r="P56" s="135">
        <f ca="1">'_Data Status Month'!N24</f>
        <v>0</v>
      </c>
      <c r="Q56" s="135">
        <f ca="1">'_Data Status Month'!O24</f>
        <v>0</v>
      </c>
      <c r="R56" s="135">
        <f ca="1">'_Data Status Month'!P24</f>
        <v>0</v>
      </c>
      <c r="S56" s="135">
        <f ca="1">'_Data Status Month'!Q24</f>
        <v>0</v>
      </c>
      <c r="T56" s="135">
        <f ca="1">'_Data Status Month'!R24</f>
        <v>0</v>
      </c>
      <c r="U56" s="135">
        <f ca="1">'_Data Status Month'!S24</f>
        <v>0</v>
      </c>
      <c r="V56" s="135">
        <f ca="1">'_Data Status Month'!T24</f>
        <v>0</v>
      </c>
      <c r="W56" s="135">
        <f ca="1">'_Data Status Month'!U24</f>
        <v>0</v>
      </c>
      <c r="X56" s="135">
        <f ca="1">'_Data Status Month'!V24</f>
        <v>0</v>
      </c>
      <c r="Y56" s="135">
        <f ca="1">'_Data Status Month'!W24</f>
        <v>0</v>
      </c>
      <c r="Z56" s="135">
        <f ca="1">'_Data Status Month'!X24</f>
        <v>0</v>
      </c>
      <c r="AA56" s="135">
        <f ca="1">'_Data Status Month'!Y24</f>
        <v>0</v>
      </c>
      <c r="AB56" s="135">
        <f ca="1">'_Data Status Month'!Z24</f>
        <v>0</v>
      </c>
      <c r="AC56" s="135">
        <f ca="1">'_Data Status Month'!AA24</f>
        <v>0</v>
      </c>
      <c r="AD56" s="135">
        <f ca="1">'_Data Status Month'!AB24</f>
        <v>0</v>
      </c>
      <c r="AE56" s="135">
        <f ca="1">'_Data Status Month'!AC24</f>
        <v>0</v>
      </c>
      <c r="AF56" s="135">
        <f ca="1">'_Data Status Month'!AD24</f>
        <v>0</v>
      </c>
      <c r="AG56" s="135">
        <f ca="1">'_Data Status Month'!AE24</f>
        <v>0</v>
      </c>
      <c r="AH56" s="135">
        <f ca="1">'_Data Status Month'!AF24</f>
        <v>0</v>
      </c>
      <c r="AI56" s="135">
        <f ca="1">'_Data Status Month'!AG24</f>
        <v>0</v>
      </c>
      <c r="AJ56" s="135">
        <f ca="1">'_Data Status Month'!AH24</f>
        <v>0</v>
      </c>
      <c r="AK56" s="261"/>
      <c r="AL56" s="250" t="str">
        <f>MUI_STAT_T_TotalDuration</f>
        <v>Total Duration (in Min)</v>
      </c>
      <c r="AM56" s="444" t="str">
        <f ca="1">'_Data Status Month'!AK24</f>
        <v/>
      </c>
      <c r="AN56" s="445"/>
      <c r="AO56" s="446"/>
      <c r="AP56" s="256"/>
      <c r="AQ56" s="444" t="str">
        <f ca="1">'_Data Status Month'!AN24</f>
        <v/>
      </c>
      <c r="AR56" s="445"/>
      <c r="AS56" s="446"/>
      <c r="AT56" s="256"/>
      <c r="AU56" s="256"/>
      <c r="AV56" s="256"/>
      <c r="AW56" s="256"/>
      <c r="AX56" s="256"/>
      <c r="AY56" s="256"/>
      <c r="AZ56" s="256"/>
      <c r="BA56" s="256"/>
      <c r="BB56" s="256"/>
      <c r="BC56" s="256"/>
      <c r="BD56" s="256"/>
      <c r="BE56" s="256"/>
      <c r="BF56" s="256"/>
      <c r="BG56" s="256"/>
      <c r="BH56" s="256"/>
      <c r="BI56" s="256"/>
      <c r="BJ56" s="256"/>
      <c r="BK56" s="256"/>
      <c r="BL56" s="256"/>
      <c r="BM56" s="256"/>
      <c r="BN56" s="256"/>
      <c r="BO56" s="256"/>
      <c r="BP56" s="256"/>
      <c r="BQ56" s="256"/>
      <c r="BR56" s="256"/>
      <c r="BS56" s="256"/>
      <c r="BT56" s="256"/>
      <c r="BU56" s="256"/>
      <c r="BV56" s="256"/>
      <c r="BW56" s="256"/>
      <c r="BX56" s="256"/>
      <c r="BY56" s="256"/>
      <c r="BZ56" s="256"/>
    </row>
    <row r="57" spans="1:78" ht="17.25" hidden="1" customHeight="1" x14ac:dyDescent="0.25">
      <c r="A57" s="256"/>
      <c r="B57" s="443"/>
      <c r="C57" s="261"/>
      <c r="D57" s="246" t="str">
        <f>MUI_STAT_T_Sub_PercTime</f>
        <v>%of Total Time</v>
      </c>
      <c r="E57" s="261"/>
      <c r="F57" s="208" t="str">
        <f ca="1">'_Data Status Month'!D25</f>
        <v/>
      </c>
      <c r="G57" s="208" t="str">
        <f ca="1">'_Data Status Month'!E25</f>
        <v/>
      </c>
      <c r="H57" s="208" t="str">
        <f ca="1">'_Data Status Month'!F25</f>
        <v/>
      </c>
      <c r="I57" s="208" t="str">
        <f ca="1">'_Data Status Month'!G25</f>
        <v/>
      </c>
      <c r="J57" s="208" t="str">
        <f ca="1">'_Data Status Month'!H25</f>
        <v/>
      </c>
      <c r="K57" s="208" t="str">
        <f ca="1">'_Data Status Month'!I25</f>
        <v/>
      </c>
      <c r="L57" s="208" t="str">
        <f ca="1">'_Data Status Month'!J25</f>
        <v/>
      </c>
      <c r="M57" s="208" t="str">
        <f ca="1">'_Data Status Month'!K25</f>
        <v/>
      </c>
      <c r="N57" s="208" t="str">
        <f ca="1">'_Data Status Month'!L25</f>
        <v/>
      </c>
      <c r="O57" s="208" t="str">
        <f ca="1">'_Data Status Month'!M25</f>
        <v/>
      </c>
      <c r="P57" s="208" t="str">
        <f ca="1">'_Data Status Month'!N25</f>
        <v/>
      </c>
      <c r="Q57" s="208" t="str">
        <f ca="1">'_Data Status Month'!O25</f>
        <v/>
      </c>
      <c r="R57" s="208" t="str">
        <f ca="1">'_Data Status Month'!P25</f>
        <v/>
      </c>
      <c r="S57" s="208" t="str">
        <f ca="1">'_Data Status Month'!Q25</f>
        <v/>
      </c>
      <c r="T57" s="208" t="str">
        <f ca="1">'_Data Status Month'!R25</f>
        <v/>
      </c>
      <c r="U57" s="208" t="str">
        <f ca="1">'_Data Status Month'!S25</f>
        <v/>
      </c>
      <c r="V57" s="208" t="str">
        <f ca="1">'_Data Status Month'!T25</f>
        <v/>
      </c>
      <c r="W57" s="208" t="str">
        <f ca="1">'_Data Status Month'!U25</f>
        <v/>
      </c>
      <c r="X57" s="208" t="str">
        <f ca="1">'_Data Status Month'!V25</f>
        <v/>
      </c>
      <c r="Y57" s="208" t="str">
        <f ca="1">'_Data Status Month'!W25</f>
        <v/>
      </c>
      <c r="Z57" s="208" t="str">
        <f ca="1">'_Data Status Month'!X25</f>
        <v/>
      </c>
      <c r="AA57" s="208" t="str">
        <f ca="1">'_Data Status Month'!Y25</f>
        <v/>
      </c>
      <c r="AB57" s="208" t="str">
        <f ca="1">'_Data Status Month'!Z25</f>
        <v/>
      </c>
      <c r="AC57" s="208" t="str">
        <f ca="1">'_Data Status Month'!AA25</f>
        <v/>
      </c>
      <c r="AD57" s="208" t="str">
        <f ca="1">'_Data Status Month'!AB25</f>
        <v/>
      </c>
      <c r="AE57" s="208" t="str">
        <f ca="1">'_Data Status Month'!AC25</f>
        <v/>
      </c>
      <c r="AF57" s="208" t="str">
        <f ca="1">'_Data Status Month'!AD25</f>
        <v/>
      </c>
      <c r="AG57" s="208" t="str">
        <f ca="1">'_Data Status Month'!AE25</f>
        <v/>
      </c>
      <c r="AH57" s="208" t="str">
        <f ca="1">'_Data Status Month'!AF25</f>
        <v/>
      </c>
      <c r="AI57" s="208" t="str">
        <f ca="1">'_Data Status Month'!AG25</f>
        <v/>
      </c>
      <c r="AJ57" s="208" t="str">
        <f ca="1">'_Data Status Month'!AH25</f>
        <v/>
      </c>
      <c r="AK57" s="261"/>
      <c r="AL57" s="250" t="str">
        <f>MUI_STAT_T_TotalPercDuration</f>
        <v>%of Total Time</v>
      </c>
      <c r="AM57" s="447" t="str">
        <f ca="1">'_Data Status Month'!AJ25</f>
        <v/>
      </c>
      <c r="AN57" s="448"/>
      <c r="AO57" s="449"/>
      <c r="AP57" s="256"/>
      <c r="AQ57" s="447" t="str">
        <f ca="1">'_Data Status Month'!AM25</f>
        <v/>
      </c>
      <c r="AR57" s="448"/>
      <c r="AS57" s="449"/>
      <c r="AT57" s="256"/>
      <c r="AU57" s="256"/>
      <c r="AV57" s="256"/>
      <c r="AW57" s="256"/>
      <c r="AX57" s="256"/>
      <c r="AY57" s="256"/>
      <c r="AZ57" s="256"/>
      <c r="BA57" s="256"/>
      <c r="BB57" s="256"/>
      <c r="BC57" s="256"/>
      <c r="BD57" s="256"/>
      <c r="BE57" s="256"/>
      <c r="BF57" s="256"/>
      <c r="BG57" s="256"/>
      <c r="BH57" s="256"/>
      <c r="BI57" s="256"/>
      <c r="BJ57" s="256"/>
      <c r="BK57" s="256"/>
      <c r="BL57" s="256"/>
      <c r="BM57" s="256"/>
      <c r="BN57" s="256"/>
      <c r="BO57" s="256"/>
      <c r="BP57" s="256"/>
      <c r="BQ57" s="256"/>
      <c r="BR57" s="256"/>
      <c r="BS57" s="256"/>
      <c r="BT57" s="256"/>
      <c r="BU57" s="256"/>
      <c r="BV57" s="256"/>
      <c r="BW57" s="256"/>
      <c r="BX57" s="256"/>
      <c r="BY57" s="256"/>
      <c r="BZ57" s="256"/>
    </row>
    <row r="58" spans="1:78" ht="17.25" hidden="1" customHeight="1" x14ac:dyDescent="0.25">
      <c r="A58" s="256"/>
      <c r="B58" s="443"/>
      <c r="C58" s="261"/>
      <c r="D58" s="246" t="str">
        <f>MUI_STAT_T_Sub_HCP</f>
        <v>HCP</v>
      </c>
      <c r="E58" s="261"/>
      <c r="F58" s="207" t="str">
        <f ca="1">'_Data Status Month'!D28</f>
        <v/>
      </c>
      <c r="G58" s="207" t="str">
        <f ca="1">'_Data Status Month'!E28</f>
        <v/>
      </c>
      <c r="H58" s="207" t="str">
        <f ca="1">'_Data Status Month'!F28</f>
        <v/>
      </c>
      <c r="I58" s="207" t="str">
        <f ca="1">'_Data Status Month'!G28</f>
        <v/>
      </c>
      <c r="J58" s="207" t="str">
        <f ca="1">'_Data Status Month'!H28</f>
        <v/>
      </c>
      <c r="K58" s="207" t="str">
        <f ca="1">'_Data Status Month'!I28</f>
        <v/>
      </c>
      <c r="L58" s="207" t="str">
        <f ca="1">'_Data Status Month'!J28</f>
        <v/>
      </c>
      <c r="M58" s="207" t="str">
        <f ca="1">'_Data Status Month'!K28</f>
        <v/>
      </c>
      <c r="N58" s="207" t="str">
        <f ca="1">'_Data Status Month'!L28</f>
        <v/>
      </c>
      <c r="O58" s="207" t="str">
        <f ca="1">'_Data Status Month'!M28</f>
        <v/>
      </c>
      <c r="P58" s="207" t="str">
        <f ca="1">'_Data Status Month'!N28</f>
        <v/>
      </c>
      <c r="Q58" s="207" t="str">
        <f ca="1">'_Data Status Month'!O28</f>
        <v/>
      </c>
      <c r="R58" s="207" t="str">
        <f ca="1">'_Data Status Month'!P28</f>
        <v/>
      </c>
      <c r="S58" s="207" t="str">
        <f ca="1">'_Data Status Month'!Q28</f>
        <v/>
      </c>
      <c r="T58" s="207" t="str">
        <f ca="1">'_Data Status Month'!R28</f>
        <v/>
      </c>
      <c r="U58" s="207" t="str">
        <f ca="1">'_Data Status Month'!S28</f>
        <v/>
      </c>
      <c r="V58" s="207" t="str">
        <f ca="1">'_Data Status Month'!T28</f>
        <v/>
      </c>
      <c r="W58" s="207" t="str">
        <f ca="1">'_Data Status Month'!U28</f>
        <v/>
      </c>
      <c r="X58" s="207" t="str">
        <f ca="1">'_Data Status Month'!V28</f>
        <v/>
      </c>
      <c r="Y58" s="207" t="str">
        <f ca="1">'_Data Status Month'!W28</f>
        <v/>
      </c>
      <c r="Z58" s="207" t="str">
        <f ca="1">'_Data Status Month'!X28</f>
        <v/>
      </c>
      <c r="AA58" s="207" t="str">
        <f ca="1">'_Data Status Month'!Y28</f>
        <v/>
      </c>
      <c r="AB58" s="207" t="str">
        <f ca="1">'_Data Status Month'!Z28</f>
        <v/>
      </c>
      <c r="AC58" s="207" t="str">
        <f ca="1">'_Data Status Month'!AA28</f>
        <v/>
      </c>
      <c r="AD58" s="207" t="str">
        <f ca="1">'_Data Status Month'!AB28</f>
        <v/>
      </c>
      <c r="AE58" s="207" t="str">
        <f ca="1">'_Data Status Month'!AC28</f>
        <v/>
      </c>
      <c r="AF58" s="207" t="str">
        <f ca="1">'_Data Status Month'!AD28</f>
        <v/>
      </c>
      <c r="AG58" s="207" t="str">
        <f ca="1">'_Data Status Month'!AE28</f>
        <v/>
      </c>
      <c r="AH58" s="207" t="str">
        <f ca="1">'_Data Status Month'!AF28</f>
        <v/>
      </c>
      <c r="AI58" s="207" t="str">
        <f ca="1">'_Data Status Month'!AG28</f>
        <v/>
      </c>
      <c r="AJ58" s="207" t="str">
        <f ca="1">'_Data Status Month'!AH28</f>
        <v/>
      </c>
      <c r="AK58" s="261"/>
      <c r="AL58" s="250" t="str">
        <f>MUI_STAT_T_TotalHCP</f>
        <v>HCP Avg , Std, Delta</v>
      </c>
      <c r="AM58" s="260" t="str">
        <f ca="1">IF(COUNT(F58:AJ58)&gt;0,SUM(F58:AJ58)/COUNT(F58:AJ58),"")</f>
        <v/>
      </c>
      <c r="AN58" s="260" t="str">
        <f ca="1">IFERROR(_xlfn.STDEV.S(F58:AG58),"")</f>
        <v/>
      </c>
      <c r="AO58" s="259" t="str">
        <f ca="1">IFERROR(AM58/AN$50-1,"")</f>
        <v/>
      </c>
      <c r="AP58" s="256"/>
      <c r="AQ58" s="260" t="str">
        <f ca="1">IF(COUNT(J58:AN58)&gt;0,SUM(J58:AN58)/COUNT(J58:AN58),"")</f>
        <v/>
      </c>
      <c r="AR58" s="260" t="str">
        <f ca="1">IFERROR(_xlfn.STDEV.S(J58:AK58),"")</f>
        <v/>
      </c>
      <c r="AS58" s="259" t="str">
        <f ca="1">IFERROR(AQ58/AR$50-1,"")</f>
        <v/>
      </c>
      <c r="AT58" s="256"/>
      <c r="AU58" s="256"/>
      <c r="AV58" s="256"/>
      <c r="AW58" s="256"/>
      <c r="AX58" s="256"/>
      <c r="AY58" s="256"/>
      <c r="AZ58" s="256"/>
      <c r="BA58" s="256"/>
      <c r="BB58" s="256"/>
      <c r="BC58" s="256"/>
      <c r="BD58" s="256"/>
      <c r="BE58" s="256"/>
      <c r="BF58" s="256"/>
      <c r="BG58" s="256"/>
      <c r="BH58" s="256"/>
      <c r="BI58" s="256"/>
      <c r="BJ58" s="256"/>
      <c r="BK58" s="256"/>
      <c r="BL58" s="256"/>
      <c r="BM58" s="256"/>
      <c r="BN58" s="256"/>
      <c r="BO58" s="256"/>
      <c r="BP58" s="256"/>
      <c r="BQ58" s="256"/>
      <c r="BR58" s="256"/>
      <c r="BS58" s="256"/>
      <c r="BT58" s="256"/>
      <c r="BU58" s="256"/>
      <c r="BV58" s="256"/>
      <c r="BW58" s="256"/>
      <c r="BX58" s="256"/>
      <c r="BY58" s="256"/>
      <c r="BZ58" s="256"/>
    </row>
    <row r="59" spans="1:78" ht="17.25" hidden="1" customHeight="1" x14ac:dyDescent="0.25">
      <c r="A59" s="256"/>
      <c r="B59" s="256"/>
      <c r="C59" s="261"/>
      <c r="D59" s="245"/>
      <c r="E59" s="261"/>
      <c r="F59" s="255"/>
      <c r="G59" s="255"/>
      <c r="H59" s="255"/>
      <c r="I59" s="255"/>
      <c r="J59" s="255"/>
      <c r="K59" s="255"/>
      <c r="L59" s="255"/>
      <c r="M59" s="255"/>
      <c r="N59" s="255"/>
      <c r="O59" s="255"/>
      <c r="P59" s="255"/>
      <c r="Q59" s="255"/>
      <c r="R59" s="255"/>
      <c r="S59" s="255"/>
      <c r="T59" s="255"/>
      <c r="U59" s="255"/>
      <c r="V59" s="255"/>
      <c r="W59" s="255"/>
      <c r="X59" s="255"/>
      <c r="Y59" s="255"/>
      <c r="Z59" s="255"/>
      <c r="AA59" s="255"/>
      <c r="AB59" s="255"/>
      <c r="AC59" s="255"/>
      <c r="AD59" s="255"/>
      <c r="AE59" s="255"/>
      <c r="AF59" s="255"/>
      <c r="AG59" s="255"/>
      <c r="AH59" s="255"/>
      <c r="AI59" s="255"/>
      <c r="AJ59" s="255"/>
      <c r="AK59" s="261"/>
      <c r="AL59" s="261"/>
      <c r="AM59" s="256"/>
      <c r="AN59" s="256"/>
      <c r="AO59" s="256"/>
      <c r="AP59" s="256"/>
      <c r="AQ59" s="256"/>
      <c r="AR59" s="256"/>
      <c r="AS59" s="256"/>
      <c r="AT59" s="256"/>
      <c r="AU59" s="256"/>
      <c r="AV59" s="256"/>
      <c r="AW59" s="256"/>
      <c r="AX59" s="256"/>
      <c r="AY59" s="256"/>
      <c r="AZ59" s="256"/>
      <c r="BA59" s="256"/>
      <c r="BB59" s="256"/>
      <c r="BC59" s="256"/>
      <c r="BD59" s="256"/>
      <c r="BE59" s="256"/>
      <c r="BF59" s="256"/>
      <c r="BG59" s="256"/>
      <c r="BH59" s="256"/>
      <c r="BI59" s="256"/>
      <c r="BJ59" s="256"/>
      <c r="BK59" s="256"/>
      <c r="BL59" s="256"/>
      <c r="BM59" s="256"/>
      <c r="BN59" s="256"/>
      <c r="BO59" s="256"/>
      <c r="BP59" s="256"/>
      <c r="BQ59" s="256"/>
      <c r="BR59" s="256"/>
      <c r="BS59" s="256"/>
      <c r="BT59" s="256"/>
      <c r="BU59" s="256"/>
      <c r="BV59" s="256"/>
      <c r="BW59" s="256"/>
      <c r="BX59" s="256"/>
      <c r="BY59" s="256"/>
      <c r="BZ59" s="256"/>
    </row>
    <row r="60" spans="1:78" ht="17.25" hidden="1" customHeight="1" x14ac:dyDescent="0.25">
      <c r="A60" s="256"/>
      <c r="B60" s="443" t="str">
        <f>IFERROR(HYPERLINK(MouseOverEvent('_Data Status Month'!$A$109),'_Data Status Month'!$A$109),'_Data Status Month'!$A$109)</f>
        <v>Pitching</v>
      </c>
      <c r="C60" s="243"/>
      <c r="D60" s="246" t="str">
        <f>MUI_STAT_T_Sub_Duration</f>
        <v>Duration</v>
      </c>
      <c r="E60" s="243"/>
      <c r="F60" s="135">
        <f ca="1">'_Data Status Month'!D34</f>
        <v>0</v>
      </c>
      <c r="G60" s="135">
        <f ca="1">'_Data Status Month'!E34</f>
        <v>0</v>
      </c>
      <c r="H60" s="135">
        <f ca="1">'_Data Status Month'!F34</f>
        <v>0</v>
      </c>
      <c r="I60" s="135">
        <f ca="1">'_Data Status Month'!G34</f>
        <v>0</v>
      </c>
      <c r="J60" s="135">
        <f ca="1">'_Data Status Month'!H34</f>
        <v>0</v>
      </c>
      <c r="K60" s="135">
        <f ca="1">'_Data Status Month'!I34</f>
        <v>0</v>
      </c>
      <c r="L60" s="135">
        <f ca="1">'_Data Status Month'!J34</f>
        <v>0</v>
      </c>
      <c r="M60" s="135">
        <f ca="1">'_Data Status Month'!K34</f>
        <v>0</v>
      </c>
      <c r="N60" s="135">
        <f ca="1">'_Data Status Month'!L34</f>
        <v>0</v>
      </c>
      <c r="O60" s="135">
        <f ca="1">'_Data Status Month'!M34</f>
        <v>0</v>
      </c>
      <c r="P60" s="135">
        <f ca="1">'_Data Status Month'!N34</f>
        <v>0</v>
      </c>
      <c r="Q60" s="135">
        <f ca="1">'_Data Status Month'!O34</f>
        <v>0</v>
      </c>
      <c r="R60" s="135">
        <f ca="1">'_Data Status Month'!P34</f>
        <v>0</v>
      </c>
      <c r="S60" s="135">
        <f ca="1">'_Data Status Month'!Q34</f>
        <v>0</v>
      </c>
      <c r="T60" s="135">
        <f ca="1">'_Data Status Month'!R34</f>
        <v>0</v>
      </c>
      <c r="U60" s="135">
        <f ca="1">'_Data Status Month'!S34</f>
        <v>0</v>
      </c>
      <c r="V60" s="135">
        <f ca="1">'_Data Status Month'!T34</f>
        <v>0</v>
      </c>
      <c r="W60" s="135">
        <f ca="1">'_Data Status Month'!U34</f>
        <v>0</v>
      </c>
      <c r="X60" s="135">
        <f ca="1">'_Data Status Month'!V34</f>
        <v>0</v>
      </c>
      <c r="Y60" s="135">
        <f ca="1">'_Data Status Month'!W34</f>
        <v>0</v>
      </c>
      <c r="Z60" s="135">
        <f ca="1">'_Data Status Month'!X34</f>
        <v>0</v>
      </c>
      <c r="AA60" s="135">
        <f ca="1">'_Data Status Month'!Y34</f>
        <v>0</v>
      </c>
      <c r="AB60" s="135">
        <f ca="1">'_Data Status Month'!Z34</f>
        <v>0</v>
      </c>
      <c r="AC60" s="135">
        <f ca="1">'_Data Status Month'!AA34</f>
        <v>0</v>
      </c>
      <c r="AD60" s="135">
        <f ca="1">'_Data Status Month'!AB34</f>
        <v>0</v>
      </c>
      <c r="AE60" s="135">
        <f ca="1">'_Data Status Month'!AC34</f>
        <v>0</v>
      </c>
      <c r="AF60" s="135">
        <f ca="1">'_Data Status Month'!AD34</f>
        <v>0</v>
      </c>
      <c r="AG60" s="135">
        <f ca="1">'_Data Status Month'!AE34</f>
        <v>0</v>
      </c>
      <c r="AH60" s="135">
        <f ca="1">'_Data Status Month'!AF34</f>
        <v>0</v>
      </c>
      <c r="AI60" s="135">
        <f ca="1">'_Data Status Month'!AG34</f>
        <v>0</v>
      </c>
      <c r="AJ60" s="135">
        <f ca="1">'_Data Status Month'!AH34</f>
        <v>0</v>
      </c>
      <c r="AK60" s="261"/>
      <c r="AL60" s="250" t="str">
        <f>MUI_STAT_T_TotalDuration</f>
        <v>Total Duration (in Min)</v>
      </c>
      <c r="AM60" s="444" t="str">
        <f ca="1">'_Data Status Month'!AK34</f>
        <v/>
      </c>
      <c r="AN60" s="445"/>
      <c r="AO60" s="446"/>
      <c r="AP60" s="256"/>
      <c r="AQ60" s="444" t="str">
        <f ca="1">'_Data Status Month'!AN34</f>
        <v/>
      </c>
      <c r="AR60" s="445"/>
      <c r="AS60" s="446"/>
      <c r="AT60" s="256"/>
      <c r="AU60" s="256"/>
      <c r="AV60" s="256"/>
      <c r="AW60" s="256"/>
      <c r="AX60" s="256"/>
      <c r="AY60" s="256"/>
      <c r="AZ60" s="256"/>
      <c r="BA60" s="256"/>
      <c r="BB60" s="256"/>
      <c r="BC60" s="256"/>
      <c r="BD60" s="256"/>
      <c r="BE60" s="256"/>
      <c r="BF60" s="256"/>
      <c r="BG60" s="256"/>
      <c r="BH60" s="256"/>
      <c r="BI60" s="256"/>
      <c r="BJ60" s="256"/>
      <c r="BK60" s="256"/>
      <c r="BL60" s="256"/>
      <c r="BM60" s="256"/>
      <c r="BN60" s="256"/>
      <c r="BO60" s="256"/>
      <c r="BP60" s="256"/>
      <c r="BQ60" s="256"/>
      <c r="BR60" s="256"/>
      <c r="BS60" s="256"/>
      <c r="BT60" s="256"/>
      <c r="BU60" s="256"/>
      <c r="BV60" s="256"/>
      <c r="BW60" s="256"/>
      <c r="BX60" s="256"/>
      <c r="BY60" s="256"/>
      <c r="BZ60" s="256"/>
    </row>
    <row r="61" spans="1:78" ht="17.25" hidden="1" customHeight="1" x14ac:dyDescent="0.25">
      <c r="A61" s="256"/>
      <c r="B61" s="443"/>
      <c r="C61" s="261"/>
      <c r="D61" s="246" t="str">
        <f>MUI_STAT_T_Sub_PercTime</f>
        <v>%of Total Time</v>
      </c>
      <c r="E61" s="261"/>
      <c r="F61" s="208" t="str">
        <f ca="1">'_Data Status Month'!D35</f>
        <v/>
      </c>
      <c r="G61" s="208" t="str">
        <f ca="1">'_Data Status Month'!E35</f>
        <v/>
      </c>
      <c r="H61" s="208" t="str">
        <f ca="1">'_Data Status Month'!F35</f>
        <v/>
      </c>
      <c r="I61" s="208" t="str">
        <f ca="1">'_Data Status Month'!G35</f>
        <v/>
      </c>
      <c r="J61" s="208" t="str">
        <f ca="1">'_Data Status Month'!H35</f>
        <v/>
      </c>
      <c r="K61" s="208" t="str">
        <f ca="1">'_Data Status Month'!I35</f>
        <v/>
      </c>
      <c r="L61" s="208" t="str">
        <f ca="1">'_Data Status Month'!J35</f>
        <v/>
      </c>
      <c r="M61" s="208" t="str">
        <f ca="1">'_Data Status Month'!K35</f>
        <v/>
      </c>
      <c r="N61" s="208" t="str">
        <f ca="1">'_Data Status Month'!L35</f>
        <v/>
      </c>
      <c r="O61" s="208" t="str">
        <f ca="1">'_Data Status Month'!M35</f>
        <v/>
      </c>
      <c r="P61" s="208" t="str">
        <f ca="1">'_Data Status Month'!N35</f>
        <v/>
      </c>
      <c r="Q61" s="208" t="str">
        <f ca="1">'_Data Status Month'!O35</f>
        <v/>
      </c>
      <c r="R61" s="208" t="str">
        <f ca="1">'_Data Status Month'!P35</f>
        <v/>
      </c>
      <c r="S61" s="208" t="str">
        <f ca="1">'_Data Status Month'!Q35</f>
        <v/>
      </c>
      <c r="T61" s="208" t="str">
        <f ca="1">'_Data Status Month'!R35</f>
        <v/>
      </c>
      <c r="U61" s="208" t="str">
        <f ca="1">'_Data Status Month'!S35</f>
        <v/>
      </c>
      <c r="V61" s="208" t="str">
        <f ca="1">'_Data Status Month'!T35</f>
        <v/>
      </c>
      <c r="W61" s="208" t="str">
        <f ca="1">'_Data Status Month'!U35</f>
        <v/>
      </c>
      <c r="X61" s="208" t="str">
        <f ca="1">'_Data Status Month'!V35</f>
        <v/>
      </c>
      <c r="Y61" s="208" t="str">
        <f ca="1">'_Data Status Month'!W35</f>
        <v/>
      </c>
      <c r="Z61" s="208" t="str">
        <f ca="1">'_Data Status Month'!X35</f>
        <v/>
      </c>
      <c r="AA61" s="208" t="str">
        <f ca="1">'_Data Status Month'!Y35</f>
        <v/>
      </c>
      <c r="AB61" s="208" t="str">
        <f ca="1">'_Data Status Month'!Z35</f>
        <v/>
      </c>
      <c r="AC61" s="208" t="str">
        <f ca="1">'_Data Status Month'!AA35</f>
        <v/>
      </c>
      <c r="AD61" s="208" t="str">
        <f ca="1">'_Data Status Month'!AB35</f>
        <v/>
      </c>
      <c r="AE61" s="208" t="str">
        <f ca="1">'_Data Status Month'!AC35</f>
        <v/>
      </c>
      <c r="AF61" s="208" t="str">
        <f ca="1">'_Data Status Month'!AD35</f>
        <v/>
      </c>
      <c r="AG61" s="208" t="str">
        <f ca="1">'_Data Status Month'!AE35</f>
        <v/>
      </c>
      <c r="AH61" s="208" t="str">
        <f ca="1">'_Data Status Month'!AF35</f>
        <v/>
      </c>
      <c r="AI61" s="208" t="str">
        <f ca="1">'_Data Status Month'!AG35</f>
        <v/>
      </c>
      <c r="AJ61" s="208" t="str">
        <f ca="1">'_Data Status Month'!AH35</f>
        <v/>
      </c>
      <c r="AK61" s="261"/>
      <c r="AL61" s="250" t="str">
        <f>MUI_STAT_T_TotalPercDuration</f>
        <v>%of Total Time</v>
      </c>
      <c r="AM61" s="447" t="str">
        <f ca="1">'_Data Status Month'!AJ35</f>
        <v/>
      </c>
      <c r="AN61" s="448"/>
      <c r="AO61" s="449"/>
      <c r="AP61" s="256"/>
      <c r="AQ61" s="447" t="str">
        <f ca="1">'_Data Status Month'!AM35</f>
        <v/>
      </c>
      <c r="AR61" s="448"/>
      <c r="AS61" s="449"/>
      <c r="AT61" s="256"/>
      <c r="AU61" s="256"/>
      <c r="AV61" s="256"/>
      <c r="AW61" s="256"/>
      <c r="AX61" s="256"/>
      <c r="AY61" s="256"/>
      <c r="AZ61" s="256"/>
      <c r="BA61" s="256"/>
      <c r="BB61" s="256"/>
      <c r="BC61" s="256"/>
      <c r="BD61" s="256"/>
      <c r="BE61" s="256"/>
      <c r="BF61" s="256"/>
      <c r="BG61" s="256"/>
      <c r="BH61" s="256"/>
      <c r="BI61" s="256"/>
      <c r="BJ61" s="256"/>
      <c r="BK61" s="256"/>
      <c r="BL61" s="256"/>
      <c r="BM61" s="256"/>
      <c r="BN61" s="256"/>
      <c r="BO61" s="256"/>
      <c r="BP61" s="256"/>
      <c r="BQ61" s="256"/>
      <c r="BR61" s="256"/>
      <c r="BS61" s="256"/>
      <c r="BT61" s="256"/>
      <c r="BU61" s="256"/>
      <c r="BV61" s="256"/>
      <c r="BW61" s="256"/>
      <c r="BX61" s="256"/>
      <c r="BY61" s="256"/>
      <c r="BZ61" s="256"/>
    </row>
    <row r="62" spans="1:78" ht="17.25" hidden="1" customHeight="1" x14ac:dyDescent="0.25">
      <c r="A62" s="256"/>
      <c r="B62" s="443"/>
      <c r="C62" s="261"/>
      <c r="D62" s="246" t="str">
        <f>MUI_STAT_T_Sub_HCP</f>
        <v>HCP</v>
      </c>
      <c r="E62" s="261"/>
      <c r="F62" s="207" t="str">
        <f ca="1">'_Data Status Month'!D38</f>
        <v/>
      </c>
      <c r="G62" s="207" t="str">
        <f ca="1">'_Data Status Month'!E38</f>
        <v/>
      </c>
      <c r="H62" s="207" t="str">
        <f ca="1">'_Data Status Month'!F38</f>
        <v/>
      </c>
      <c r="I62" s="207" t="str">
        <f ca="1">'_Data Status Month'!G38</f>
        <v/>
      </c>
      <c r="J62" s="207" t="str">
        <f ca="1">'_Data Status Month'!H38</f>
        <v/>
      </c>
      <c r="K62" s="207" t="str">
        <f ca="1">'_Data Status Month'!I38</f>
        <v/>
      </c>
      <c r="L62" s="207" t="str">
        <f ca="1">'_Data Status Month'!J38</f>
        <v/>
      </c>
      <c r="M62" s="207" t="str">
        <f ca="1">'_Data Status Month'!K38</f>
        <v/>
      </c>
      <c r="N62" s="207" t="str">
        <f ca="1">'_Data Status Month'!L38</f>
        <v/>
      </c>
      <c r="O62" s="207" t="str">
        <f ca="1">'_Data Status Month'!M38</f>
        <v/>
      </c>
      <c r="P62" s="207" t="str">
        <f ca="1">'_Data Status Month'!N38</f>
        <v/>
      </c>
      <c r="Q62" s="207" t="str">
        <f ca="1">'_Data Status Month'!O38</f>
        <v/>
      </c>
      <c r="R62" s="207" t="str">
        <f ca="1">'_Data Status Month'!P38</f>
        <v/>
      </c>
      <c r="S62" s="207" t="str">
        <f ca="1">'_Data Status Month'!Q38</f>
        <v/>
      </c>
      <c r="T62" s="207" t="str">
        <f ca="1">'_Data Status Month'!R38</f>
        <v/>
      </c>
      <c r="U62" s="207" t="str">
        <f ca="1">'_Data Status Month'!S38</f>
        <v/>
      </c>
      <c r="V62" s="207" t="str">
        <f ca="1">'_Data Status Month'!T38</f>
        <v/>
      </c>
      <c r="W62" s="207" t="str">
        <f ca="1">'_Data Status Month'!U38</f>
        <v/>
      </c>
      <c r="X62" s="207" t="str">
        <f ca="1">'_Data Status Month'!V38</f>
        <v/>
      </c>
      <c r="Y62" s="207" t="str">
        <f ca="1">'_Data Status Month'!W38</f>
        <v/>
      </c>
      <c r="Z62" s="207" t="str">
        <f ca="1">'_Data Status Month'!X38</f>
        <v/>
      </c>
      <c r="AA62" s="207" t="str">
        <f ca="1">'_Data Status Month'!Y38</f>
        <v/>
      </c>
      <c r="AB62" s="207" t="str">
        <f ca="1">'_Data Status Month'!Z38</f>
        <v/>
      </c>
      <c r="AC62" s="207" t="str">
        <f ca="1">'_Data Status Month'!AA38</f>
        <v/>
      </c>
      <c r="AD62" s="207" t="str">
        <f ca="1">'_Data Status Month'!AB38</f>
        <v/>
      </c>
      <c r="AE62" s="207" t="str">
        <f ca="1">'_Data Status Month'!AC38</f>
        <v/>
      </c>
      <c r="AF62" s="207" t="str">
        <f ca="1">'_Data Status Month'!AD38</f>
        <v/>
      </c>
      <c r="AG62" s="207" t="str">
        <f ca="1">'_Data Status Month'!AE38</f>
        <v/>
      </c>
      <c r="AH62" s="207" t="str">
        <f ca="1">'_Data Status Month'!AF38</f>
        <v/>
      </c>
      <c r="AI62" s="207" t="str">
        <f ca="1">'_Data Status Month'!AG38</f>
        <v/>
      </c>
      <c r="AJ62" s="207" t="str">
        <f ca="1">'_Data Status Month'!AH38</f>
        <v/>
      </c>
      <c r="AK62" s="261"/>
      <c r="AL62" s="250" t="str">
        <f>MUI_STAT_T_TotalHCP</f>
        <v>HCP Avg , Std, Delta</v>
      </c>
      <c r="AM62" s="260" t="str">
        <f ca="1">IF(COUNT(F62:AJ62)&gt;0,SUM(F62:AJ62)/COUNT(F62:AJ62),"")</f>
        <v/>
      </c>
      <c r="AN62" s="260" t="str">
        <f ca="1">IFERROR(_xlfn.STDEV.S(F62:AG62),"")</f>
        <v/>
      </c>
      <c r="AO62" s="259" t="str">
        <f ca="1">IFERROR(AM62/AN$50-1,"")</f>
        <v/>
      </c>
      <c r="AP62" s="256"/>
      <c r="AQ62" s="260" t="str">
        <f ca="1">IF(COUNT(J62:AN62)&gt;0,SUM(J62:AN62)/COUNT(J62:AN62),"")</f>
        <v/>
      </c>
      <c r="AR62" s="260" t="str">
        <f ca="1">IFERROR(_xlfn.STDEV.S(J62:AK62),"")</f>
        <v/>
      </c>
      <c r="AS62" s="259" t="str">
        <f ca="1">IFERROR(AQ62/AR$50-1,"")</f>
        <v/>
      </c>
      <c r="AT62" s="256"/>
      <c r="AU62" s="256"/>
      <c r="AV62" s="256"/>
      <c r="AW62" s="256"/>
      <c r="AX62" s="256"/>
      <c r="AY62" s="256"/>
      <c r="AZ62" s="256"/>
      <c r="BA62" s="256"/>
      <c r="BB62" s="256"/>
      <c r="BC62" s="256"/>
      <c r="BD62" s="256"/>
      <c r="BE62" s="256"/>
      <c r="BF62" s="256"/>
      <c r="BG62" s="256"/>
      <c r="BH62" s="256"/>
      <c r="BI62" s="256"/>
      <c r="BJ62" s="256"/>
      <c r="BK62" s="256"/>
      <c r="BL62" s="256"/>
      <c r="BM62" s="256"/>
      <c r="BN62" s="256"/>
      <c r="BO62" s="256"/>
      <c r="BP62" s="256"/>
      <c r="BQ62" s="256"/>
      <c r="BR62" s="256"/>
      <c r="BS62" s="256"/>
      <c r="BT62" s="256"/>
      <c r="BU62" s="256"/>
      <c r="BV62" s="256"/>
      <c r="BW62" s="256"/>
      <c r="BX62" s="256"/>
      <c r="BY62" s="256"/>
      <c r="BZ62" s="256"/>
    </row>
    <row r="63" spans="1:78" ht="17.25" hidden="1" customHeight="1" x14ac:dyDescent="0.25">
      <c r="A63" s="256"/>
      <c r="B63" s="256"/>
      <c r="C63" s="261"/>
      <c r="D63" s="245"/>
      <c r="E63" s="261"/>
      <c r="F63" s="255"/>
      <c r="G63" s="255"/>
      <c r="H63" s="255"/>
      <c r="I63" s="255"/>
      <c r="J63" s="255"/>
      <c r="K63" s="255"/>
      <c r="L63" s="255"/>
      <c r="M63" s="255"/>
      <c r="N63" s="255"/>
      <c r="O63" s="255"/>
      <c r="P63" s="255"/>
      <c r="Q63" s="255"/>
      <c r="R63" s="255"/>
      <c r="S63" s="255"/>
      <c r="T63" s="255"/>
      <c r="U63" s="255"/>
      <c r="V63" s="255"/>
      <c r="W63" s="255"/>
      <c r="X63" s="255"/>
      <c r="Y63" s="255"/>
      <c r="Z63" s="255"/>
      <c r="AA63" s="255"/>
      <c r="AB63" s="255"/>
      <c r="AC63" s="255"/>
      <c r="AD63" s="255"/>
      <c r="AE63" s="255"/>
      <c r="AF63" s="255"/>
      <c r="AG63" s="255"/>
      <c r="AH63" s="255"/>
      <c r="AI63" s="255"/>
      <c r="AJ63" s="255"/>
      <c r="AK63" s="261"/>
      <c r="AL63" s="261"/>
      <c r="AM63" s="256"/>
      <c r="AN63" s="256"/>
      <c r="AO63" s="256"/>
      <c r="AP63" s="256"/>
      <c r="AQ63" s="256"/>
      <c r="AR63" s="256"/>
      <c r="AS63" s="256"/>
      <c r="AT63" s="256"/>
      <c r="AU63" s="256"/>
      <c r="AV63" s="256"/>
      <c r="AW63" s="256"/>
      <c r="AX63" s="256"/>
      <c r="AY63" s="256"/>
      <c r="AZ63" s="256"/>
      <c r="BA63" s="256"/>
      <c r="BB63" s="256"/>
      <c r="BC63" s="256"/>
      <c r="BD63" s="256"/>
      <c r="BE63" s="256"/>
      <c r="BF63" s="256"/>
      <c r="BG63" s="256"/>
      <c r="BH63" s="256"/>
      <c r="BI63" s="256"/>
      <c r="BJ63" s="256"/>
      <c r="BK63" s="256"/>
      <c r="BL63" s="256"/>
      <c r="BM63" s="256"/>
      <c r="BN63" s="256"/>
      <c r="BO63" s="256"/>
      <c r="BP63" s="256"/>
      <c r="BQ63" s="256"/>
      <c r="BR63" s="256"/>
      <c r="BS63" s="256"/>
      <c r="BT63" s="256"/>
      <c r="BU63" s="256"/>
      <c r="BV63" s="256"/>
      <c r="BW63" s="256"/>
      <c r="BX63" s="256"/>
      <c r="BY63" s="256"/>
      <c r="BZ63" s="256"/>
    </row>
    <row r="64" spans="1:78" ht="17.25" hidden="1" customHeight="1" x14ac:dyDescent="0.25">
      <c r="A64" s="256"/>
      <c r="B64" s="443" t="str">
        <f>IFERROR(HYPERLINK(MouseOverEvent('_Data Status Month'!$A$110),'_Data Status Month'!$A$110),'_Data Status Month'!$A$110)</f>
        <v>Approach Shot</v>
      </c>
      <c r="C64" s="243"/>
      <c r="D64" s="246" t="str">
        <f>MUI_STAT_T_Sub_Duration</f>
        <v>Duration</v>
      </c>
      <c r="E64" s="243"/>
      <c r="F64" s="135">
        <f ca="1">'_Data Status Month'!D44</f>
        <v>0</v>
      </c>
      <c r="G64" s="135">
        <f ca="1">'_Data Status Month'!E44</f>
        <v>0</v>
      </c>
      <c r="H64" s="135">
        <f ca="1">'_Data Status Month'!F44</f>
        <v>0</v>
      </c>
      <c r="I64" s="135">
        <f ca="1">'_Data Status Month'!G44</f>
        <v>0</v>
      </c>
      <c r="J64" s="135">
        <f ca="1">'_Data Status Month'!H44</f>
        <v>0</v>
      </c>
      <c r="K64" s="135">
        <f ca="1">'_Data Status Month'!I44</f>
        <v>0</v>
      </c>
      <c r="L64" s="135">
        <f ca="1">'_Data Status Month'!J44</f>
        <v>0</v>
      </c>
      <c r="M64" s="135">
        <f ca="1">'_Data Status Month'!K44</f>
        <v>0</v>
      </c>
      <c r="N64" s="135">
        <f ca="1">'_Data Status Month'!L44</f>
        <v>0</v>
      </c>
      <c r="O64" s="135">
        <f ca="1">'_Data Status Month'!M44</f>
        <v>0</v>
      </c>
      <c r="P64" s="135">
        <f ca="1">'_Data Status Month'!N44</f>
        <v>0</v>
      </c>
      <c r="Q64" s="135">
        <f ca="1">'_Data Status Month'!O44</f>
        <v>0</v>
      </c>
      <c r="R64" s="135">
        <f ca="1">'_Data Status Month'!P44</f>
        <v>0</v>
      </c>
      <c r="S64" s="135">
        <f ca="1">'_Data Status Month'!Q44</f>
        <v>0</v>
      </c>
      <c r="T64" s="135">
        <f ca="1">'_Data Status Month'!R44</f>
        <v>0</v>
      </c>
      <c r="U64" s="135">
        <f ca="1">'_Data Status Month'!S44</f>
        <v>0</v>
      </c>
      <c r="V64" s="135">
        <f ca="1">'_Data Status Month'!T44</f>
        <v>0</v>
      </c>
      <c r="W64" s="135">
        <f ca="1">'_Data Status Month'!U44</f>
        <v>0</v>
      </c>
      <c r="X64" s="135">
        <f ca="1">'_Data Status Month'!V44</f>
        <v>0</v>
      </c>
      <c r="Y64" s="135">
        <f ca="1">'_Data Status Month'!W44</f>
        <v>0</v>
      </c>
      <c r="Z64" s="135">
        <f ca="1">'_Data Status Month'!X44</f>
        <v>0</v>
      </c>
      <c r="AA64" s="135">
        <f ca="1">'_Data Status Month'!Y44</f>
        <v>0</v>
      </c>
      <c r="AB64" s="135">
        <f ca="1">'_Data Status Month'!Z44</f>
        <v>0</v>
      </c>
      <c r="AC64" s="135">
        <f ca="1">'_Data Status Month'!AA44</f>
        <v>0</v>
      </c>
      <c r="AD64" s="135">
        <f ca="1">'_Data Status Month'!AB44</f>
        <v>0</v>
      </c>
      <c r="AE64" s="135">
        <f ca="1">'_Data Status Month'!AC44</f>
        <v>0</v>
      </c>
      <c r="AF64" s="135">
        <f ca="1">'_Data Status Month'!AD44</f>
        <v>0</v>
      </c>
      <c r="AG64" s="135">
        <f ca="1">'_Data Status Month'!AE44</f>
        <v>0</v>
      </c>
      <c r="AH64" s="135">
        <f ca="1">'_Data Status Month'!AF44</f>
        <v>0</v>
      </c>
      <c r="AI64" s="135">
        <f ca="1">'_Data Status Month'!AG44</f>
        <v>0</v>
      </c>
      <c r="AJ64" s="135">
        <f ca="1">'_Data Status Month'!AH44</f>
        <v>0</v>
      </c>
      <c r="AK64" s="261"/>
      <c r="AL64" s="250" t="str">
        <f>MUI_STAT_T_TotalDuration</f>
        <v>Total Duration (in Min)</v>
      </c>
      <c r="AM64" s="444" t="str">
        <f ca="1">'_Data Status Month'!AK34</f>
        <v/>
      </c>
      <c r="AN64" s="445"/>
      <c r="AO64" s="446"/>
      <c r="AP64" s="256"/>
      <c r="AQ64" s="444" t="str">
        <f ca="1">'_Data Status Month'!AN44</f>
        <v/>
      </c>
      <c r="AR64" s="445"/>
      <c r="AS64" s="446"/>
      <c r="AT64" s="256"/>
      <c r="AU64" s="256"/>
      <c r="AV64" s="256"/>
      <c r="AW64" s="256"/>
      <c r="AX64" s="256"/>
      <c r="AY64" s="256"/>
      <c r="AZ64" s="256"/>
      <c r="BA64" s="256"/>
      <c r="BB64" s="256"/>
      <c r="BC64" s="256"/>
      <c r="BD64" s="256"/>
      <c r="BE64" s="256"/>
      <c r="BF64" s="256"/>
      <c r="BG64" s="256"/>
      <c r="BH64" s="256"/>
      <c r="BI64" s="256"/>
      <c r="BJ64" s="256"/>
      <c r="BK64" s="256"/>
      <c r="BL64" s="256"/>
      <c r="BM64" s="256"/>
      <c r="BN64" s="256"/>
      <c r="BO64" s="256"/>
      <c r="BP64" s="256"/>
      <c r="BQ64" s="256"/>
      <c r="BR64" s="256"/>
      <c r="BS64" s="256"/>
      <c r="BT64" s="256"/>
      <c r="BU64" s="256"/>
      <c r="BV64" s="256"/>
      <c r="BW64" s="256"/>
      <c r="BX64" s="256"/>
      <c r="BY64" s="256"/>
      <c r="BZ64" s="256"/>
    </row>
    <row r="65" spans="1:78" ht="17.25" hidden="1" customHeight="1" x14ac:dyDescent="0.25">
      <c r="A65" s="256"/>
      <c r="B65" s="443"/>
      <c r="C65" s="261"/>
      <c r="D65" s="246" t="str">
        <f>MUI_STAT_T_Sub_PercTime</f>
        <v>%of Total Time</v>
      </c>
      <c r="E65" s="261"/>
      <c r="F65" s="208" t="str">
        <f ca="1">'_Data Status Month'!D45</f>
        <v/>
      </c>
      <c r="G65" s="208" t="str">
        <f ca="1">'_Data Status Month'!E45</f>
        <v/>
      </c>
      <c r="H65" s="208" t="str">
        <f ca="1">'_Data Status Month'!F45</f>
        <v/>
      </c>
      <c r="I65" s="208" t="str">
        <f ca="1">'_Data Status Month'!G45</f>
        <v/>
      </c>
      <c r="J65" s="208" t="str">
        <f ca="1">'_Data Status Month'!H45</f>
        <v/>
      </c>
      <c r="K65" s="208" t="str">
        <f ca="1">'_Data Status Month'!I45</f>
        <v/>
      </c>
      <c r="L65" s="208" t="str">
        <f ca="1">'_Data Status Month'!J45</f>
        <v/>
      </c>
      <c r="M65" s="208" t="str">
        <f ca="1">'_Data Status Month'!K45</f>
        <v/>
      </c>
      <c r="N65" s="208" t="str">
        <f ca="1">'_Data Status Month'!L45</f>
        <v/>
      </c>
      <c r="O65" s="208" t="str">
        <f ca="1">'_Data Status Month'!M45</f>
        <v/>
      </c>
      <c r="P65" s="208" t="str">
        <f ca="1">'_Data Status Month'!N45</f>
        <v/>
      </c>
      <c r="Q65" s="208" t="str">
        <f ca="1">'_Data Status Month'!O45</f>
        <v/>
      </c>
      <c r="R65" s="208" t="str">
        <f ca="1">'_Data Status Month'!P45</f>
        <v/>
      </c>
      <c r="S65" s="208" t="str">
        <f ca="1">'_Data Status Month'!Q45</f>
        <v/>
      </c>
      <c r="T65" s="208" t="str">
        <f ca="1">'_Data Status Month'!R45</f>
        <v/>
      </c>
      <c r="U65" s="208" t="str">
        <f ca="1">'_Data Status Month'!S45</f>
        <v/>
      </c>
      <c r="V65" s="208" t="str">
        <f ca="1">'_Data Status Month'!T45</f>
        <v/>
      </c>
      <c r="W65" s="208" t="str">
        <f ca="1">'_Data Status Month'!U45</f>
        <v/>
      </c>
      <c r="X65" s="208" t="str">
        <f ca="1">'_Data Status Month'!V45</f>
        <v/>
      </c>
      <c r="Y65" s="208" t="str">
        <f ca="1">'_Data Status Month'!W45</f>
        <v/>
      </c>
      <c r="Z65" s="208" t="str">
        <f ca="1">'_Data Status Month'!X45</f>
        <v/>
      </c>
      <c r="AA65" s="208" t="str">
        <f ca="1">'_Data Status Month'!Y45</f>
        <v/>
      </c>
      <c r="AB65" s="208" t="str">
        <f ca="1">'_Data Status Month'!Z45</f>
        <v/>
      </c>
      <c r="AC65" s="208" t="str">
        <f ca="1">'_Data Status Month'!AA45</f>
        <v/>
      </c>
      <c r="AD65" s="208" t="str">
        <f ca="1">'_Data Status Month'!AB45</f>
        <v/>
      </c>
      <c r="AE65" s="208" t="str">
        <f ca="1">'_Data Status Month'!AC45</f>
        <v/>
      </c>
      <c r="AF65" s="208" t="str">
        <f ca="1">'_Data Status Month'!AD45</f>
        <v/>
      </c>
      <c r="AG65" s="208" t="str">
        <f ca="1">'_Data Status Month'!AE45</f>
        <v/>
      </c>
      <c r="AH65" s="208" t="str">
        <f ca="1">'_Data Status Month'!AF45</f>
        <v/>
      </c>
      <c r="AI65" s="208" t="str">
        <f ca="1">'_Data Status Month'!AG45</f>
        <v/>
      </c>
      <c r="AJ65" s="208" t="str">
        <f ca="1">'_Data Status Month'!AH45</f>
        <v/>
      </c>
      <c r="AK65" s="261"/>
      <c r="AL65" s="250" t="str">
        <f>MUI_STAT_T_TotalPercDuration</f>
        <v>%of Total Time</v>
      </c>
      <c r="AM65" s="447" t="str">
        <f ca="1">'_Data Status Month'!AJ45</f>
        <v/>
      </c>
      <c r="AN65" s="448"/>
      <c r="AO65" s="449"/>
      <c r="AP65" s="256"/>
      <c r="AQ65" s="447" t="str">
        <f ca="1">'_Data Status Month'!AM45</f>
        <v/>
      </c>
      <c r="AR65" s="448"/>
      <c r="AS65" s="449"/>
      <c r="AT65" s="256"/>
      <c r="AU65" s="256"/>
      <c r="AV65" s="256"/>
      <c r="AW65" s="256"/>
      <c r="AX65" s="256"/>
      <c r="AY65" s="256"/>
      <c r="AZ65" s="256"/>
      <c r="BA65" s="256"/>
      <c r="BB65" s="256"/>
      <c r="BC65" s="256"/>
      <c r="BD65" s="256"/>
      <c r="BE65" s="256"/>
      <c r="BF65" s="256"/>
      <c r="BG65" s="256"/>
      <c r="BH65" s="256"/>
      <c r="BI65" s="256"/>
      <c r="BJ65" s="256"/>
      <c r="BK65" s="256"/>
      <c r="BL65" s="256"/>
      <c r="BM65" s="256"/>
      <c r="BN65" s="256"/>
      <c r="BO65" s="256"/>
      <c r="BP65" s="256"/>
      <c r="BQ65" s="256"/>
      <c r="BR65" s="256"/>
      <c r="BS65" s="256"/>
      <c r="BT65" s="256"/>
      <c r="BU65" s="256"/>
      <c r="BV65" s="256"/>
      <c r="BW65" s="256"/>
      <c r="BX65" s="256"/>
      <c r="BY65" s="256"/>
      <c r="BZ65" s="256"/>
    </row>
    <row r="66" spans="1:78" ht="17.25" hidden="1" customHeight="1" x14ac:dyDescent="0.25">
      <c r="A66" s="256"/>
      <c r="B66" s="443"/>
      <c r="C66" s="261"/>
      <c r="D66" s="246" t="str">
        <f>MUI_STAT_T_Sub_HCP</f>
        <v>HCP</v>
      </c>
      <c r="E66" s="261"/>
      <c r="F66" s="207" t="str">
        <f ca="1">'_Data Status Month'!D48</f>
        <v/>
      </c>
      <c r="G66" s="207" t="str">
        <f ca="1">'_Data Status Month'!E48</f>
        <v/>
      </c>
      <c r="H66" s="207" t="str">
        <f ca="1">'_Data Status Month'!F48</f>
        <v/>
      </c>
      <c r="I66" s="207" t="str">
        <f ca="1">'_Data Status Month'!G48</f>
        <v/>
      </c>
      <c r="J66" s="207" t="str">
        <f ca="1">'_Data Status Month'!H48</f>
        <v/>
      </c>
      <c r="K66" s="207" t="str">
        <f ca="1">'_Data Status Month'!I48</f>
        <v/>
      </c>
      <c r="L66" s="207" t="str">
        <f ca="1">'_Data Status Month'!J48</f>
        <v/>
      </c>
      <c r="M66" s="207" t="str">
        <f ca="1">'_Data Status Month'!K48</f>
        <v/>
      </c>
      <c r="N66" s="207" t="str">
        <f ca="1">'_Data Status Month'!L48</f>
        <v/>
      </c>
      <c r="O66" s="207" t="str">
        <f ca="1">'_Data Status Month'!M48</f>
        <v/>
      </c>
      <c r="P66" s="207" t="str">
        <f ca="1">'_Data Status Month'!N48</f>
        <v/>
      </c>
      <c r="Q66" s="207" t="str">
        <f ca="1">'_Data Status Month'!O48</f>
        <v/>
      </c>
      <c r="R66" s="207" t="str">
        <f ca="1">'_Data Status Month'!P48</f>
        <v/>
      </c>
      <c r="S66" s="207" t="str">
        <f ca="1">'_Data Status Month'!Q48</f>
        <v/>
      </c>
      <c r="T66" s="207" t="str">
        <f ca="1">'_Data Status Month'!R48</f>
        <v/>
      </c>
      <c r="U66" s="207" t="str">
        <f ca="1">'_Data Status Month'!S48</f>
        <v/>
      </c>
      <c r="V66" s="207" t="str">
        <f ca="1">'_Data Status Month'!T48</f>
        <v/>
      </c>
      <c r="W66" s="207" t="str">
        <f ca="1">'_Data Status Month'!U48</f>
        <v/>
      </c>
      <c r="X66" s="207" t="str">
        <f ca="1">'_Data Status Month'!V48</f>
        <v/>
      </c>
      <c r="Y66" s="207" t="str">
        <f ca="1">'_Data Status Month'!W48</f>
        <v/>
      </c>
      <c r="Z66" s="207" t="str">
        <f ca="1">'_Data Status Month'!X48</f>
        <v/>
      </c>
      <c r="AA66" s="207" t="str">
        <f ca="1">'_Data Status Month'!Y48</f>
        <v/>
      </c>
      <c r="AB66" s="207" t="str">
        <f ca="1">'_Data Status Month'!Z48</f>
        <v/>
      </c>
      <c r="AC66" s="207" t="str">
        <f ca="1">'_Data Status Month'!AA48</f>
        <v/>
      </c>
      <c r="AD66" s="207" t="str">
        <f ca="1">'_Data Status Month'!AB48</f>
        <v/>
      </c>
      <c r="AE66" s="207" t="str">
        <f ca="1">'_Data Status Month'!AC48</f>
        <v/>
      </c>
      <c r="AF66" s="207" t="str">
        <f ca="1">'_Data Status Month'!AD48</f>
        <v/>
      </c>
      <c r="AG66" s="207" t="str">
        <f ca="1">'_Data Status Month'!AE48</f>
        <v/>
      </c>
      <c r="AH66" s="207" t="str">
        <f ca="1">'_Data Status Month'!AF48</f>
        <v/>
      </c>
      <c r="AI66" s="207" t="str">
        <f ca="1">'_Data Status Month'!AG48</f>
        <v/>
      </c>
      <c r="AJ66" s="207" t="str">
        <f ca="1">'_Data Status Month'!AH48</f>
        <v/>
      </c>
      <c r="AK66" s="261"/>
      <c r="AL66" s="250" t="str">
        <f>MUI_STAT_T_TotalHCP</f>
        <v>HCP Avg , Std, Delta</v>
      </c>
      <c r="AM66" s="260" t="str">
        <f ca="1">IF(COUNT(F66:AJ66)&gt;0,SUM(F66:AJ66)/COUNT(F66:AJ66),"")</f>
        <v/>
      </c>
      <c r="AN66" s="260" t="str">
        <f ca="1">IFERROR(_xlfn.STDEV.S(F66:AG66),"")</f>
        <v/>
      </c>
      <c r="AO66" s="259" t="str">
        <f ca="1">IFERROR(AM66/AN$50-1,"")</f>
        <v/>
      </c>
      <c r="AP66" s="256"/>
      <c r="AQ66" s="260" t="str">
        <f ca="1">IF(COUNT(J66:AN66)&gt;0,SUM(J66:AN66)/COUNT(J66:AN66),"")</f>
        <v/>
      </c>
      <c r="AR66" s="260" t="str">
        <f ca="1">IFERROR(_xlfn.STDEV.S(J66:AK66),"")</f>
        <v/>
      </c>
      <c r="AS66" s="259" t="str">
        <f ca="1">IFERROR(AQ66/AR$50-1,"")</f>
        <v/>
      </c>
      <c r="AT66" s="256"/>
      <c r="AU66" s="256"/>
      <c r="AV66" s="256"/>
      <c r="AW66" s="256"/>
      <c r="AX66" s="256"/>
      <c r="AY66" s="256"/>
      <c r="AZ66" s="256"/>
      <c r="BA66" s="256"/>
      <c r="BB66" s="256"/>
      <c r="BC66" s="256"/>
      <c r="BD66" s="256"/>
      <c r="BE66" s="256"/>
      <c r="BF66" s="256"/>
      <c r="BG66" s="256"/>
      <c r="BH66" s="256"/>
      <c r="BI66" s="256"/>
      <c r="BJ66" s="256"/>
      <c r="BK66" s="256"/>
      <c r="BL66" s="256"/>
      <c r="BM66" s="256"/>
      <c r="BN66" s="256"/>
      <c r="BO66" s="256"/>
      <c r="BP66" s="256"/>
      <c r="BQ66" s="256"/>
      <c r="BR66" s="256"/>
      <c r="BS66" s="256"/>
      <c r="BT66" s="256"/>
      <c r="BU66" s="256"/>
      <c r="BV66" s="256"/>
      <c r="BW66" s="256"/>
      <c r="BX66" s="256"/>
      <c r="BY66" s="256"/>
      <c r="BZ66" s="256"/>
    </row>
    <row r="67" spans="1:78" ht="17.25" hidden="1" customHeight="1" x14ac:dyDescent="0.25">
      <c r="A67" s="256"/>
      <c r="B67" s="256"/>
      <c r="C67" s="261"/>
      <c r="D67" s="245"/>
      <c r="E67" s="261"/>
      <c r="F67" s="255"/>
      <c r="G67" s="255"/>
      <c r="H67" s="255"/>
      <c r="I67" s="255"/>
      <c r="J67" s="255"/>
      <c r="K67" s="255"/>
      <c r="L67" s="255"/>
      <c r="M67" s="255"/>
      <c r="N67" s="255"/>
      <c r="O67" s="255"/>
      <c r="P67" s="255"/>
      <c r="Q67" s="255"/>
      <c r="R67" s="255"/>
      <c r="S67" s="255"/>
      <c r="T67" s="255"/>
      <c r="U67" s="255"/>
      <c r="V67" s="255"/>
      <c r="W67" s="255"/>
      <c r="X67" s="255"/>
      <c r="Y67" s="255"/>
      <c r="Z67" s="255"/>
      <c r="AA67" s="255"/>
      <c r="AB67" s="255"/>
      <c r="AC67" s="255"/>
      <c r="AD67" s="255"/>
      <c r="AE67" s="255"/>
      <c r="AF67" s="255"/>
      <c r="AG67" s="255"/>
      <c r="AH67" s="255"/>
      <c r="AI67" s="255"/>
      <c r="AJ67" s="255"/>
      <c r="AK67" s="261"/>
      <c r="AL67" s="261"/>
      <c r="AM67" s="256"/>
      <c r="AN67" s="256"/>
      <c r="AO67" s="256"/>
      <c r="AP67" s="256"/>
      <c r="AQ67" s="256"/>
      <c r="AR67" s="256"/>
      <c r="AS67" s="256"/>
      <c r="AT67" s="256"/>
      <c r="AU67" s="256"/>
      <c r="AV67" s="256"/>
      <c r="AW67" s="256"/>
      <c r="AX67" s="256"/>
      <c r="AY67" s="256"/>
      <c r="AZ67" s="256"/>
      <c r="BA67" s="256"/>
      <c r="BB67" s="256"/>
      <c r="BC67" s="256"/>
      <c r="BD67" s="256"/>
      <c r="BE67" s="256"/>
      <c r="BF67" s="256"/>
      <c r="BG67" s="256"/>
      <c r="BH67" s="256"/>
      <c r="BI67" s="256"/>
      <c r="BJ67" s="256"/>
      <c r="BK67" s="256"/>
      <c r="BL67" s="256"/>
      <c r="BM67" s="256"/>
      <c r="BN67" s="256"/>
      <c r="BO67" s="256"/>
      <c r="BP67" s="256"/>
      <c r="BQ67" s="256"/>
      <c r="BR67" s="256"/>
      <c r="BS67" s="256"/>
      <c r="BT67" s="256"/>
      <c r="BU67" s="256"/>
      <c r="BV67" s="256"/>
      <c r="BW67" s="256"/>
      <c r="BX67" s="256"/>
      <c r="BY67" s="256"/>
      <c r="BZ67" s="256"/>
    </row>
    <row r="68" spans="1:78" ht="17.25" hidden="1" customHeight="1" x14ac:dyDescent="0.25">
      <c r="A68" s="256"/>
      <c r="B68" s="443" t="str">
        <f>IFERROR(HYPERLINK(MouseOverEvent('_Data Status Month'!$A$111),'_Data Status Month'!$A$111),'_Data Status Month'!$A$111)</f>
        <v>Wood</v>
      </c>
      <c r="C68" s="243"/>
      <c r="D68" s="246" t="str">
        <f>MUI_STAT_T_Sub_Duration</f>
        <v>Duration</v>
      </c>
      <c r="E68" s="243"/>
      <c r="F68" s="135">
        <f ca="1">'_Data Status Month'!D54</f>
        <v>0</v>
      </c>
      <c r="G68" s="135">
        <f ca="1">'_Data Status Month'!E54</f>
        <v>0</v>
      </c>
      <c r="H68" s="135">
        <f ca="1">'_Data Status Month'!F54</f>
        <v>0</v>
      </c>
      <c r="I68" s="135">
        <f ca="1">'_Data Status Month'!G54</f>
        <v>0</v>
      </c>
      <c r="J68" s="135">
        <f ca="1">'_Data Status Month'!H54</f>
        <v>0</v>
      </c>
      <c r="K68" s="135">
        <f ca="1">'_Data Status Month'!I54</f>
        <v>0</v>
      </c>
      <c r="L68" s="135">
        <f ca="1">'_Data Status Month'!J54</f>
        <v>0</v>
      </c>
      <c r="M68" s="135">
        <f ca="1">'_Data Status Month'!K54</f>
        <v>0</v>
      </c>
      <c r="N68" s="135">
        <f ca="1">'_Data Status Month'!L54</f>
        <v>0</v>
      </c>
      <c r="O68" s="135">
        <f ca="1">'_Data Status Month'!M54</f>
        <v>0</v>
      </c>
      <c r="P68" s="135">
        <f ca="1">'_Data Status Month'!N54</f>
        <v>0</v>
      </c>
      <c r="Q68" s="135">
        <f ca="1">'_Data Status Month'!O54</f>
        <v>0</v>
      </c>
      <c r="R68" s="135">
        <f ca="1">'_Data Status Month'!P54</f>
        <v>0</v>
      </c>
      <c r="S68" s="135">
        <f ca="1">'_Data Status Month'!Q54</f>
        <v>0</v>
      </c>
      <c r="T68" s="135">
        <f ca="1">'_Data Status Month'!R54</f>
        <v>0</v>
      </c>
      <c r="U68" s="135">
        <f ca="1">'_Data Status Month'!S54</f>
        <v>0</v>
      </c>
      <c r="V68" s="135">
        <f ca="1">'_Data Status Month'!T54</f>
        <v>0</v>
      </c>
      <c r="W68" s="135">
        <f ca="1">'_Data Status Month'!U54</f>
        <v>0</v>
      </c>
      <c r="X68" s="135">
        <f ca="1">'_Data Status Month'!V54</f>
        <v>0</v>
      </c>
      <c r="Y68" s="135">
        <f ca="1">'_Data Status Month'!W54</f>
        <v>0</v>
      </c>
      <c r="Z68" s="135">
        <f ca="1">'_Data Status Month'!X54</f>
        <v>0</v>
      </c>
      <c r="AA68" s="135">
        <f ca="1">'_Data Status Month'!Y54</f>
        <v>0</v>
      </c>
      <c r="AB68" s="135">
        <f ca="1">'_Data Status Month'!Z54</f>
        <v>0</v>
      </c>
      <c r="AC68" s="135">
        <f ca="1">'_Data Status Month'!AA54</f>
        <v>0</v>
      </c>
      <c r="AD68" s="135">
        <f ca="1">'_Data Status Month'!AB54</f>
        <v>0</v>
      </c>
      <c r="AE68" s="135">
        <f ca="1">'_Data Status Month'!AC54</f>
        <v>0</v>
      </c>
      <c r="AF68" s="135">
        <f ca="1">'_Data Status Month'!AD54</f>
        <v>0</v>
      </c>
      <c r="AG68" s="135">
        <f ca="1">'_Data Status Month'!AE54</f>
        <v>0</v>
      </c>
      <c r="AH68" s="135">
        <f ca="1">'_Data Status Month'!AF54</f>
        <v>0</v>
      </c>
      <c r="AI68" s="135">
        <f ca="1">'_Data Status Month'!AG54</f>
        <v>0</v>
      </c>
      <c r="AJ68" s="135">
        <f ca="1">'_Data Status Month'!AH54</f>
        <v>0</v>
      </c>
      <c r="AK68" s="261"/>
      <c r="AL68" s="250" t="str">
        <f>MUI_STAT_T_TotalDuration</f>
        <v>Total Duration (in Min)</v>
      </c>
      <c r="AM68" s="444" t="str">
        <f ca="1">'_Data Status Month'!AK54</f>
        <v/>
      </c>
      <c r="AN68" s="445"/>
      <c r="AO68" s="446"/>
      <c r="AP68" s="256"/>
      <c r="AQ68" s="444" t="str">
        <f ca="1">'_Data Status Month'!AN54</f>
        <v/>
      </c>
      <c r="AR68" s="445"/>
      <c r="AS68" s="446"/>
      <c r="AT68" s="256"/>
      <c r="AU68" s="256"/>
      <c r="AV68" s="256"/>
      <c r="AW68" s="256"/>
      <c r="AX68" s="256"/>
      <c r="AY68" s="256"/>
      <c r="AZ68" s="256"/>
      <c r="BA68" s="256"/>
      <c r="BB68" s="256"/>
      <c r="BC68" s="256"/>
      <c r="BD68" s="256"/>
      <c r="BE68" s="256"/>
      <c r="BF68" s="256"/>
      <c r="BG68" s="256"/>
      <c r="BH68" s="256"/>
      <c r="BI68" s="256"/>
      <c r="BJ68" s="256"/>
      <c r="BK68" s="256"/>
      <c r="BL68" s="256"/>
      <c r="BM68" s="256"/>
      <c r="BN68" s="256"/>
      <c r="BO68" s="256"/>
      <c r="BP68" s="256"/>
      <c r="BQ68" s="256"/>
      <c r="BR68" s="256"/>
      <c r="BS68" s="256"/>
      <c r="BT68" s="256"/>
      <c r="BU68" s="256"/>
      <c r="BV68" s="256"/>
      <c r="BW68" s="256"/>
      <c r="BX68" s="256"/>
      <c r="BY68" s="256"/>
      <c r="BZ68" s="256"/>
    </row>
    <row r="69" spans="1:78" ht="17.25" hidden="1" customHeight="1" x14ac:dyDescent="0.25">
      <c r="A69" s="256"/>
      <c r="B69" s="443"/>
      <c r="C69" s="261"/>
      <c r="D69" s="246" t="str">
        <f>MUI_STAT_T_Sub_PercTime</f>
        <v>%of Total Time</v>
      </c>
      <c r="E69" s="261"/>
      <c r="F69" s="208" t="str">
        <f ca="1">'_Data Status Month'!D55</f>
        <v/>
      </c>
      <c r="G69" s="208" t="str">
        <f ca="1">'_Data Status Month'!E55</f>
        <v/>
      </c>
      <c r="H69" s="208" t="str">
        <f ca="1">'_Data Status Month'!F55</f>
        <v/>
      </c>
      <c r="I69" s="208" t="str">
        <f ca="1">'_Data Status Month'!G55</f>
        <v/>
      </c>
      <c r="J69" s="208" t="str">
        <f ca="1">'_Data Status Month'!H55</f>
        <v/>
      </c>
      <c r="K69" s="208" t="str">
        <f ca="1">'_Data Status Month'!I55</f>
        <v/>
      </c>
      <c r="L69" s="208" t="str">
        <f ca="1">'_Data Status Month'!J55</f>
        <v/>
      </c>
      <c r="M69" s="208" t="str">
        <f ca="1">'_Data Status Month'!K55</f>
        <v/>
      </c>
      <c r="N69" s="208" t="str">
        <f ca="1">'_Data Status Month'!L55</f>
        <v/>
      </c>
      <c r="O69" s="208" t="str">
        <f ca="1">'_Data Status Month'!M55</f>
        <v/>
      </c>
      <c r="P69" s="208" t="str">
        <f ca="1">'_Data Status Month'!N55</f>
        <v/>
      </c>
      <c r="Q69" s="208" t="str">
        <f ca="1">'_Data Status Month'!O55</f>
        <v/>
      </c>
      <c r="R69" s="208" t="str">
        <f ca="1">'_Data Status Month'!P55</f>
        <v/>
      </c>
      <c r="S69" s="208" t="str">
        <f ca="1">'_Data Status Month'!Q55</f>
        <v/>
      </c>
      <c r="T69" s="208" t="str">
        <f ca="1">'_Data Status Month'!R55</f>
        <v/>
      </c>
      <c r="U69" s="208" t="str">
        <f ca="1">'_Data Status Month'!S55</f>
        <v/>
      </c>
      <c r="V69" s="208" t="str">
        <f ca="1">'_Data Status Month'!T55</f>
        <v/>
      </c>
      <c r="W69" s="208" t="str">
        <f ca="1">'_Data Status Month'!U55</f>
        <v/>
      </c>
      <c r="X69" s="208" t="str">
        <f ca="1">'_Data Status Month'!V55</f>
        <v/>
      </c>
      <c r="Y69" s="208" t="str">
        <f ca="1">'_Data Status Month'!W55</f>
        <v/>
      </c>
      <c r="Z69" s="208" t="str">
        <f ca="1">'_Data Status Month'!X55</f>
        <v/>
      </c>
      <c r="AA69" s="208" t="str">
        <f ca="1">'_Data Status Month'!Y55</f>
        <v/>
      </c>
      <c r="AB69" s="208" t="str">
        <f ca="1">'_Data Status Month'!Z55</f>
        <v/>
      </c>
      <c r="AC69" s="208" t="str">
        <f ca="1">'_Data Status Month'!AA55</f>
        <v/>
      </c>
      <c r="AD69" s="208" t="str">
        <f ca="1">'_Data Status Month'!AB55</f>
        <v/>
      </c>
      <c r="AE69" s="208" t="str">
        <f ca="1">'_Data Status Month'!AC55</f>
        <v/>
      </c>
      <c r="AF69" s="208" t="str">
        <f ca="1">'_Data Status Month'!AD55</f>
        <v/>
      </c>
      <c r="AG69" s="208" t="str">
        <f ca="1">'_Data Status Month'!AE55</f>
        <v/>
      </c>
      <c r="AH69" s="208" t="str">
        <f ca="1">'_Data Status Month'!AF55</f>
        <v/>
      </c>
      <c r="AI69" s="208" t="str">
        <f ca="1">'_Data Status Month'!AG55</f>
        <v/>
      </c>
      <c r="AJ69" s="208" t="str">
        <f ca="1">'_Data Status Month'!AH55</f>
        <v/>
      </c>
      <c r="AK69" s="261"/>
      <c r="AL69" s="250" t="str">
        <f>MUI_STAT_T_TotalPercDuration</f>
        <v>%of Total Time</v>
      </c>
      <c r="AM69" s="447" t="str">
        <f ca="1">'_Data Status Month'!AJ55</f>
        <v/>
      </c>
      <c r="AN69" s="448"/>
      <c r="AO69" s="449"/>
      <c r="AP69" s="256"/>
      <c r="AQ69" s="447" t="str">
        <f ca="1">'_Data Status Month'!AM55</f>
        <v/>
      </c>
      <c r="AR69" s="448"/>
      <c r="AS69" s="449"/>
      <c r="AT69" s="256"/>
      <c r="AU69" s="256"/>
      <c r="AV69" s="256"/>
      <c r="AW69" s="256"/>
      <c r="AX69" s="256"/>
      <c r="AY69" s="256"/>
      <c r="AZ69" s="256"/>
      <c r="BA69" s="256"/>
      <c r="BB69" s="256"/>
      <c r="BC69" s="256"/>
      <c r="BD69" s="256"/>
      <c r="BE69" s="256"/>
      <c r="BF69" s="256"/>
      <c r="BG69" s="256"/>
      <c r="BH69" s="256"/>
      <c r="BI69" s="256"/>
      <c r="BJ69" s="256"/>
      <c r="BK69" s="256"/>
      <c r="BL69" s="256"/>
      <c r="BM69" s="256"/>
      <c r="BN69" s="256"/>
      <c r="BO69" s="256"/>
      <c r="BP69" s="256"/>
      <c r="BQ69" s="256"/>
      <c r="BR69" s="256"/>
      <c r="BS69" s="256"/>
      <c r="BT69" s="256"/>
      <c r="BU69" s="256"/>
      <c r="BV69" s="256"/>
      <c r="BW69" s="256"/>
      <c r="BX69" s="256"/>
      <c r="BY69" s="256"/>
      <c r="BZ69" s="256"/>
    </row>
    <row r="70" spans="1:78" ht="17.25" hidden="1" customHeight="1" x14ac:dyDescent="0.25">
      <c r="A70" s="256"/>
      <c r="B70" s="443"/>
      <c r="C70" s="261"/>
      <c r="D70" s="246" t="str">
        <f>MUI_STAT_T_Sub_HCP</f>
        <v>HCP</v>
      </c>
      <c r="E70" s="261"/>
      <c r="F70" s="207" t="str">
        <f ca="1">'_Data Status Month'!D58</f>
        <v/>
      </c>
      <c r="G70" s="207" t="str">
        <f ca="1">'_Data Status Month'!E58</f>
        <v/>
      </c>
      <c r="H70" s="207" t="str">
        <f ca="1">'_Data Status Month'!F58</f>
        <v/>
      </c>
      <c r="I70" s="207" t="str">
        <f ca="1">'_Data Status Month'!G58</f>
        <v/>
      </c>
      <c r="J70" s="207" t="str">
        <f ca="1">'_Data Status Month'!H58</f>
        <v/>
      </c>
      <c r="K70" s="207" t="str">
        <f ca="1">'_Data Status Month'!I58</f>
        <v/>
      </c>
      <c r="L70" s="207" t="str">
        <f ca="1">'_Data Status Month'!J58</f>
        <v/>
      </c>
      <c r="M70" s="207" t="str">
        <f ca="1">'_Data Status Month'!K58</f>
        <v/>
      </c>
      <c r="N70" s="207" t="str">
        <f ca="1">'_Data Status Month'!L58</f>
        <v/>
      </c>
      <c r="O70" s="207" t="str">
        <f ca="1">'_Data Status Month'!M58</f>
        <v/>
      </c>
      <c r="P70" s="207" t="str">
        <f ca="1">'_Data Status Month'!N58</f>
        <v/>
      </c>
      <c r="Q70" s="207" t="str">
        <f ca="1">'_Data Status Month'!O58</f>
        <v/>
      </c>
      <c r="R70" s="207" t="str">
        <f ca="1">'_Data Status Month'!P58</f>
        <v/>
      </c>
      <c r="S70" s="207" t="str">
        <f ca="1">'_Data Status Month'!Q58</f>
        <v/>
      </c>
      <c r="T70" s="207" t="str">
        <f ca="1">'_Data Status Month'!R58</f>
        <v/>
      </c>
      <c r="U70" s="207" t="str">
        <f ca="1">'_Data Status Month'!S58</f>
        <v/>
      </c>
      <c r="V70" s="207" t="str">
        <f ca="1">'_Data Status Month'!T58</f>
        <v/>
      </c>
      <c r="W70" s="207" t="str">
        <f ca="1">'_Data Status Month'!U58</f>
        <v/>
      </c>
      <c r="X70" s="207" t="str">
        <f ca="1">'_Data Status Month'!V58</f>
        <v/>
      </c>
      <c r="Y70" s="207" t="str">
        <f ca="1">'_Data Status Month'!W58</f>
        <v/>
      </c>
      <c r="Z70" s="207" t="str">
        <f ca="1">'_Data Status Month'!X58</f>
        <v/>
      </c>
      <c r="AA70" s="207" t="str">
        <f ca="1">'_Data Status Month'!Y58</f>
        <v/>
      </c>
      <c r="AB70" s="207" t="str">
        <f ca="1">'_Data Status Month'!Z58</f>
        <v/>
      </c>
      <c r="AC70" s="207" t="str">
        <f ca="1">'_Data Status Month'!AA58</f>
        <v/>
      </c>
      <c r="AD70" s="207" t="str">
        <f ca="1">'_Data Status Month'!AB58</f>
        <v/>
      </c>
      <c r="AE70" s="207" t="str">
        <f ca="1">'_Data Status Month'!AC58</f>
        <v/>
      </c>
      <c r="AF70" s="207" t="str">
        <f ca="1">'_Data Status Month'!AD58</f>
        <v/>
      </c>
      <c r="AG70" s="207" t="str">
        <f ca="1">'_Data Status Month'!AE58</f>
        <v/>
      </c>
      <c r="AH70" s="207" t="str">
        <f ca="1">'_Data Status Month'!AF58</f>
        <v/>
      </c>
      <c r="AI70" s="207" t="str">
        <f ca="1">'_Data Status Month'!AG58</f>
        <v/>
      </c>
      <c r="AJ70" s="207" t="str">
        <f ca="1">'_Data Status Month'!AH58</f>
        <v/>
      </c>
      <c r="AK70" s="261"/>
      <c r="AL70" s="250" t="str">
        <f>MUI_STAT_T_TotalHCP</f>
        <v>HCP Avg , Std, Delta</v>
      </c>
      <c r="AM70" s="260" t="str">
        <f ca="1">IF(COUNT(F70:AJ70)&gt;0,SUM(F70:AJ70)/COUNT(F70:AJ70),"")</f>
        <v/>
      </c>
      <c r="AN70" s="260" t="str">
        <f ca="1">IFERROR(_xlfn.STDEV.S(F70:AG70),"")</f>
        <v/>
      </c>
      <c r="AO70" s="259" t="str">
        <f ca="1">IFERROR(AM70/AN$50-1,"")</f>
        <v/>
      </c>
      <c r="AP70" s="256"/>
      <c r="AQ70" s="260" t="str">
        <f ca="1">IF(COUNT(J70:AN70)&gt;0,SUM(J70:AN70)/COUNT(J70:AN70),"")</f>
        <v/>
      </c>
      <c r="AR70" s="260" t="str">
        <f ca="1">IFERROR(_xlfn.STDEV.S(J70:AK70),"")</f>
        <v/>
      </c>
      <c r="AS70" s="259" t="str">
        <f ca="1">IFERROR(AQ70/AR$50-1,"")</f>
        <v/>
      </c>
      <c r="AT70" s="256"/>
      <c r="AU70" s="256"/>
      <c r="AV70" s="256"/>
      <c r="AW70" s="256"/>
      <c r="AX70" s="256"/>
      <c r="AY70" s="256"/>
      <c r="AZ70" s="256"/>
      <c r="BA70" s="256"/>
      <c r="BB70" s="256"/>
      <c r="BC70" s="256"/>
      <c r="BD70" s="256"/>
      <c r="BE70" s="256"/>
      <c r="BF70" s="256"/>
      <c r="BG70" s="256"/>
      <c r="BH70" s="256"/>
      <c r="BI70" s="256"/>
      <c r="BJ70" s="256"/>
      <c r="BK70" s="256"/>
      <c r="BL70" s="256"/>
      <c r="BM70" s="256"/>
      <c r="BN70" s="256"/>
      <c r="BO70" s="256"/>
      <c r="BP70" s="256"/>
      <c r="BQ70" s="256"/>
      <c r="BR70" s="256"/>
      <c r="BS70" s="256"/>
      <c r="BT70" s="256"/>
      <c r="BU70" s="256"/>
      <c r="BV70" s="256"/>
      <c r="BW70" s="256"/>
      <c r="BX70" s="256"/>
      <c r="BY70" s="256"/>
      <c r="BZ70" s="256"/>
    </row>
    <row r="71" spans="1:78" ht="17.25" hidden="1" customHeight="1" x14ac:dyDescent="0.25">
      <c r="A71" s="256"/>
      <c r="B71" s="256"/>
      <c r="C71" s="261"/>
      <c r="D71" s="245"/>
      <c r="E71" s="261"/>
      <c r="F71" s="255"/>
      <c r="G71" s="255"/>
      <c r="H71" s="255"/>
      <c r="I71" s="255"/>
      <c r="J71" s="255"/>
      <c r="K71" s="255"/>
      <c r="L71" s="255"/>
      <c r="M71" s="255"/>
      <c r="N71" s="255"/>
      <c r="O71" s="255"/>
      <c r="P71" s="255"/>
      <c r="Q71" s="255"/>
      <c r="R71" s="255"/>
      <c r="S71" s="255"/>
      <c r="T71" s="255"/>
      <c r="U71" s="255"/>
      <c r="V71" s="255"/>
      <c r="W71" s="255"/>
      <c r="X71" s="255"/>
      <c r="Y71" s="255"/>
      <c r="Z71" s="255"/>
      <c r="AA71" s="255"/>
      <c r="AB71" s="255"/>
      <c r="AC71" s="255"/>
      <c r="AD71" s="255"/>
      <c r="AE71" s="255"/>
      <c r="AF71" s="255"/>
      <c r="AG71" s="255"/>
      <c r="AH71" s="255"/>
      <c r="AI71" s="255"/>
      <c r="AJ71" s="255"/>
      <c r="AK71" s="261"/>
      <c r="AL71" s="261"/>
      <c r="AM71" s="256"/>
      <c r="AN71" s="256"/>
      <c r="AO71" s="256"/>
      <c r="AP71" s="256"/>
      <c r="AQ71" s="256"/>
      <c r="AR71" s="256"/>
      <c r="AS71" s="256"/>
      <c r="AT71" s="256"/>
      <c r="AU71" s="256"/>
      <c r="AV71" s="256"/>
      <c r="AW71" s="256"/>
      <c r="AX71" s="256"/>
      <c r="AY71" s="256"/>
      <c r="AZ71" s="256"/>
      <c r="BA71" s="256"/>
      <c r="BB71" s="256"/>
      <c r="BC71" s="256"/>
      <c r="BD71" s="256"/>
      <c r="BE71" s="256"/>
      <c r="BF71" s="256"/>
      <c r="BG71" s="256"/>
      <c r="BH71" s="256"/>
      <c r="BI71" s="256"/>
      <c r="BJ71" s="256"/>
      <c r="BK71" s="256"/>
      <c r="BL71" s="256"/>
      <c r="BM71" s="256"/>
      <c r="BN71" s="256"/>
      <c r="BO71" s="256"/>
      <c r="BP71" s="256"/>
      <c r="BQ71" s="256"/>
      <c r="BR71" s="256"/>
      <c r="BS71" s="256"/>
      <c r="BT71" s="256"/>
      <c r="BU71" s="256"/>
      <c r="BV71" s="256"/>
      <c r="BW71" s="256"/>
      <c r="BX71" s="256"/>
      <c r="BY71" s="256"/>
      <c r="BZ71" s="256"/>
    </row>
    <row r="72" spans="1:78" ht="17.25" hidden="1" customHeight="1" x14ac:dyDescent="0.25">
      <c r="A72" s="256"/>
      <c r="B72" s="443" t="str">
        <f>IFERROR(HYPERLINK(MouseOverEvent('_Data Status Month'!$A$112),'_Data Status Month'!$A$112),'_Data Status Month'!$A$112)</f>
        <v>Driver</v>
      </c>
      <c r="C72" s="243"/>
      <c r="D72" s="246" t="str">
        <f>MUI_STAT_T_Sub_Duration</f>
        <v>Duration</v>
      </c>
      <c r="E72" s="243"/>
      <c r="F72" s="135">
        <f ca="1">'_Data Status Month'!D64</f>
        <v>0</v>
      </c>
      <c r="G72" s="135">
        <f ca="1">'_Data Status Month'!E64</f>
        <v>0</v>
      </c>
      <c r="H72" s="135">
        <f ca="1">'_Data Status Month'!F64</f>
        <v>0</v>
      </c>
      <c r="I72" s="135">
        <f ca="1">'_Data Status Month'!G64</f>
        <v>0</v>
      </c>
      <c r="J72" s="135">
        <f ca="1">'_Data Status Month'!H64</f>
        <v>0</v>
      </c>
      <c r="K72" s="135">
        <f ca="1">'_Data Status Month'!I64</f>
        <v>0</v>
      </c>
      <c r="L72" s="135">
        <f ca="1">'_Data Status Month'!J64</f>
        <v>0</v>
      </c>
      <c r="M72" s="135">
        <f ca="1">'_Data Status Month'!K64</f>
        <v>0</v>
      </c>
      <c r="N72" s="135">
        <f ca="1">'_Data Status Month'!L64</f>
        <v>0</v>
      </c>
      <c r="O72" s="135">
        <f ca="1">'_Data Status Month'!M64</f>
        <v>0</v>
      </c>
      <c r="P72" s="135">
        <f ca="1">'_Data Status Month'!N64</f>
        <v>0</v>
      </c>
      <c r="Q72" s="135">
        <f ca="1">'_Data Status Month'!O64</f>
        <v>0</v>
      </c>
      <c r="R72" s="135">
        <f ca="1">'_Data Status Month'!P64</f>
        <v>0</v>
      </c>
      <c r="S72" s="135">
        <f ca="1">'_Data Status Month'!Q64</f>
        <v>0</v>
      </c>
      <c r="T72" s="135">
        <f ca="1">'_Data Status Month'!R64</f>
        <v>0</v>
      </c>
      <c r="U72" s="135">
        <f ca="1">'_Data Status Month'!S64</f>
        <v>0</v>
      </c>
      <c r="V72" s="135">
        <f ca="1">'_Data Status Month'!T64</f>
        <v>0</v>
      </c>
      <c r="W72" s="135">
        <f ca="1">'_Data Status Month'!U64</f>
        <v>0</v>
      </c>
      <c r="X72" s="135">
        <f ca="1">'_Data Status Month'!V64</f>
        <v>0</v>
      </c>
      <c r="Y72" s="135">
        <f ca="1">'_Data Status Month'!W64</f>
        <v>0</v>
      </c>
      <c r="Z72" s="135">
        <f ca="1">'_Data Status Month'!X64</f>
        <v>0</v>
      </c>
      <c r="AA72" s="135">
        <f ca="1">'_Data Status Month'!Y64</f>
        <v>0</v>
      </c>
      <c r="AB72" s="135">
        <f ca="1">'_Data Status Month'!Z64</f>
        <v>0</v>
      </c>
      <c r="AC72" s="135">
        <f ca="1">'_Data Status Month'!AA64</f>
        <v>0</v>
      </c>
      <c r="AD72" s="135">
        <f ca="1">'_Data Status Month'!AB64</f>
        <v>0</v>
      </c>
      <c r="AE72" s="135">
        <f ca="1">'_Data Status Month'!AC64</f>
        <v>0</v>
      </c>
      <c r="AF72" s="135">
        <f ca="1">'_Data Status Month'!AD64</f>
        <v>0</v>
      </c>
      <c r="AG72" s="135">
        <f ca="1">'_Data Status Month'!AE64</f>
        <v>0</v>
      </c>
      <c r="AH72" s="135">
        <f ca="1">'_Data Status Month'!AF64</f>
        <v>0</v>
      </c>
      <c r="AI72" s="135">
        <f ca="1">'_Data Status Month'!AG64</f>
        <v>0</v>
      </c>
      <c r="AJ72" s="135">
        <f ca="1">'_Data Status Month'!AH64</f>
        <v>0</v>
      </c>
      <c r="AK72" s="261"/>
      <c r="AL72" s="250" t="str">
        <f>MUI_STAT_T_TotalDuration</f>
        <v>Total Duration (in Min)</v>
      </c>
      <c r="AM72" s="444" t="str">
        <f ca="1">'_Data Status Month'!AK64</f>
        <v/>
      </c>
      <c r="AN72" s="445"/>
      <c r="AO72" s="446"/>
      <c r="AP72" s="256"/>
      <c r="AQ72" s="444" t="str">
        <f ca="1">'_Data Status Month'!AN64</f>
        <v/>
      </c>
      <c r="AR72" s="445"/>
      <c r="AS72" s="446"/>
      <c r="AT72" s="256"/>
      <c r="AU72" s="256"/>
      <c r="AV72" s="256"/>
      <c r="AW72" s="256"/>
      <c r="AX72" s="256"/>
      <c r="AY72" s="256"/>
      <c r="AZ72" s="256"/>
      <c r="BA72" s="256"/>
      <c r="BB72" s="256"/>
      <c r="BC72" s="256"/>
      <c r="BD72" s="256"/>
      <c r="BE72" s="256"/>
      <c r="BF72" s="256"/>
      <c r="BG72" s="256"/>
      <c r="BH72" s="256"/>
      <c r="BI72" s="256"/>
      <c r="BJ72" s="256"/>
      <c r="BK72" s="256"/>
      <c r="BL72" s="256"/>
      <c r="BM72" s="256"/>
      <c r="BN72" s="256"/>
      <c r="BO72" s="256"/>
      <c r="BP72" s="256"/>
      <c r="BQ72" s="256"/>
      <c r="BR72" s="256"/>
      <c r="BS72" s="256"/>
      <c r="BT72" s="256"/>
      <c r="BU72" s="256"/>
      <c r="BV72" s="256"/>
      <c r="BW72" s="256"/>
      <c r="BX72" s="256"/>
      <c r="BY72" s="256"/>
      <c r="BZ72" s="256"/>
    </row>
    <row r="73" spans="1:78" ht="17.25" hidden="1" customHeight="1" x14ac:dyDescent="0.25">
      <c r="A73" s="256"/>
      <c r="B73" s="443"/>
      <c r="C73" s="261"/>
      <c r="D73" s="246" t="str">
        <f>MUI_STAT_T_Sub_PercTime</f>
        <v>%of Total Time</v>
      </c>
      <c r="E73" s="261"/>
      <c r="F73" s="208" t="str">
        <f ca="1">'_Data Status Month'!D65</f>
        <v/>
      </c>
      <c r="G73" s="208" t="str">
        <f ca="1">'_Data Status Month'!E65</f>
        <v/>
      </c>
      <c r="H73" s="208" t="str">
        <f ca="1">'_Data Status Month'!F65</f>
        <v/>
      </c>
      <c r="I73" s="208" t="str">
        <f ca="1">'_Data Status Month'!G65</f>
        <v/>
      </c>
      <c r="J73" s="208" t="str">
        <f ca="1">'_Data Status Month'!H65</f>
        <v/>
      </c>
      <c r="K73" s="208" t="str">
        <f ca="1">'_Data Status Month'!I65</f>
        <v/>
      </c>
      <c r="L73" s="208" t="str">
        <f ca="1">'_Data Status Month'!J65</f>
        <v/>
      </c>
      <c r="M73" s="208" t="str">
        <f ca="1">'_Data Status Month'!K65</f>
        <v/>
      </c>
      <c r="N73" s="208" t="str">
        <f ca="1">'_Data Status Month'!L65</f>
        <v/>
      </c>
      <c r="O73" s="208" t="str">
        <f ca="1">'_Data Status Month'!M65</f>
        <v/>
      </c>
      <c r="P73" s="208" t="str">
        <f ca="1">'_Data Status Month'!N65</f>
        <v/>
      </c>
      <c r="Q73" s="208" t="str">
        <f ca="1">'_Data Status Month'!O65</f>
        <v/>
      </c>
      <c r="R73" s="208" t="str">
        <f ca="1">'_Data Status Month'!P65</f>
        <v/>
      </c>
      <c r="S73" s="208" t="str">
        <f ca="1">'_Data Status Month'!Q65</f>
        <v/>
      </c>
      <c r="T73" s="208" t="str">
        <f ca="1">'_Data Status Month'!R65</f>
        <v/>
      </c>
      <c r="U73" s="208" t="str">
        <f ca="1">'_Data Status Month'!S65</f>
        <v/>
      </c>
      <c r="V73" s="208" t="str">
        <f ca="1">'_Data Status Month'!T65</f>
        <v/>
      </c>
      <c r="W73" s="208" t="str">
        <f ca="1">'_Data Status Month'!U65</f>
        <v/>
      </c>
      <c r="X73" s="208" t="str">
        <f ca="1">'_Data Status Month'!V65</f>
        <v/>
      </c>
      <c r="Y73" s="208" t="str">
        <f ca="1">'_Data Status Month'!W65</f>
        <v/>
      </c>
      <c r="Z73" s="208" t="str">
        <f ca="1">'_Data Status Month'!X65</f>
        <v/>
      </c>
      <c r="AA73" s="208" t="str">
        <f ca="1">'_Data Status Month'!Y65</f>
        <v/>
      </c>
      <c r="AB73" s="208" t="str">
        <f ca="1">'_Data Status Month'!Z65</f>
        <v/>
      </c>
      <c r="AC73" s="208" t="str">
        <f ca="1">'_Data Status Month'!AA65</f>
        <v/>
      </c>
      <c r="AD73" s="208" t="str">
        <f ca="1">'_Data Status Month'!AB65</f>
        <v/>
      </c>
      <c r="AE73" s="208" t="str">
        <f ca="1">'_Data Status Month'!AC65</f>
        <v/>
      </c>
      <c r="AF73" s="208" t="str">
        <f ca="1">'_Data Status Month'!AD65</f>
        <v/>
      </c>
      <c r="AG73" s="208" t="str">
        <f ca="1">'_Data Status Month'!AE65</f>
        <v/>
      </c>
      <c r="AH73" s="208" t="str">
        <f ca="1">'_Data Status Month'!AF65</f>
        <v/>
      </c>
      <c r="AI73" s="208" t="str">
        <f ca="1">'_Data Status Month'!AG65</f>
        <v/>
      </c>
      <c r="AJ73" s="208" t="str">
        <f ca="1">'_Data Status Month'!AH65</f>
        <v/>
      </c>
      <c r="AK73" s="261"/>
      <c r="AL73" s="250" t="str">
        <f>MUI_STAT_T_TotalPercDuration</f>
        <v>%of Total Time</v>
      </c>
      <c r="AM73" s="447" t="str">
        <f ca="1">'_Data Status Month'!AJ65</f>
        <v/>
      </c>
      <c r="AN73" s="448"/>
      <c r="AO73" s="449"/>
      <c r="AP73" s="256"/>
      <c r="AQ73" s="447" t="str">
        <f ca="1">'_Data Status Month'!AM65</f>
        <v/>
      </c>
      <c r="AR73" s="448"/>
      <c r="AS73" s="449"/>
      <c r="AT73" s="256"/>
      <c r="AU73" s="256"/>
      <c r="AV73" s="256"/>
      <c r="AW73" s="256"/>
      <c r="AX73" s="256"/>
      <c r="AY73" s="256"/>
      <c r="AZ73" s="256"/>
      <c r="BA73" s="256"/>
      <c r="BB73" s="256"/>
      <c r="BC73" s="256"/>
      <c r="BD73" s="256"/>
      <c r="BE73" s="256"/>
      <c r="BF73" s="256"/>
      <c r="BG73" s="256"/>
      <c r="BH73" s="256"/>
      <c r="BI73" s="256"/>
      <c r="BJ73" s="256"/>
      <c r="BK73" s="256"/>
      <c r="BL73" s="256"/>
      <c r="BM73" s="256"/>
      <c r="BN73" s="256"/>
      <c r="BO73" s="256"/>
      <c r="BP73" s="256"/>
      <c r="BQ73" s="256"/>
      <c r="BR73" s="256"/>
      <c r="BS73" s="256"/>
      <c r="BT73" s="256"/>
      <c r="BU73" s="256"/>
      <c r="BV73" s="256"/>
      <c r="BW73" s="256"/>
      <c r="BX73" s="256"/>
      <c r="BY73" s="256"/>
      <c r="BZ73" s="256"/>
    </row>
    <row r="74" spans="1:78" ht="17.25" hidden="1" customHeight="1" x14ac:dyDescent="0.25">
      <c r="A74" s="256"/>
      <c r="B74" s="443"/>
      <c r="C74" s="261"/>
      <c r="D74" s="246" t="str">
        <f>MUI_STAT_T_Sub_HCP</f>
        <v>HCP</v>
      </c>
      <c r="E74" s="261"/>
      <c r="F74" s="207" t="str">
        <f ca="1">'_Data Status Month'!D68</f>
        <v/>
      </c>
      <c r="G74" s="207" t="str">
        <f ca="1">'_Data Status Month'!E68</f>
        <v/>
      </c>
      <c r="H74" s="207" t="str">
        <f ca="1">'_Data Status Month'!F68</f>
        <v/>
      </c>
      <c r="I74" s="207" t="str">
        <f ca="1">'_Data Status Month'!G68</f>
        <v/>
      </c>
      <c r="J74" s="207" t="str">
        <f ca="1">'_Data Status Month'!H68</f>
        <v/>
      </c>
      <c r="K74" s="207" t="str">
        <f ca="1">'_Data Status Month'!I68</f>
        <v/>
      </c>
      <c r="L74" s="207" t="str">
        <f ca="1">'_Data Status Month'!J68</f>
        <v/>
      </c>
      <c r="M74" s="207" t="str">
        <f ca="1">'_Data Status Month'!K68</f>
        <v/>
      </c>
      <c r="N74" s="207" t="str">
        <f ca="1">'_Data Status Month'!L68</f>
        <v/>
      </c>
      <c r="O74" s="207" t="str">
        <f ca="1">'_Data Status Month'!M68</f>
        <v/>
      </c>
      <c r="P74" s="207" t="str">
        <f ca="1">'_Data Status Month'!N68</f>
        <v/>
      </c>
      <c r="Q74" s="207" t="str">
        <f ca="1">'_Data Status Month'!O68</f>
        <v/>
      </c>
      <c r="R74" s="207" t="str">
        <f ca="1">'_Data Status Month'!P68</f>
        <v/>
      </c>
      <c r="S74" s="207" t="str">
        <f ca="1">'_Data Status Month'!Q68</f>
        <v/>
      </c>
      <c r="T74" s="207" t="str">
        <f ca="1">'_Data Status Month'!R68</f>
        <v/>
      </c>
      <c r="U74" s="207" t="str">
        <f ca="1">'_Data Status Month'!S68</f>
        <v/>
      </c>
      <c r="V74" s="207" t="str">
        <f ca="1">'_Data Status Month'!T68</f>
        <v/>
      </c>
      <c r="W74" s="207" t="str">
        <f ca="1">'_Data Status Month'!U68</f>
        <v/>
      </c>
      <c r="X74" s="207" t="str">
        <f ca="1">'_Data Status Month'!V68</f>
        <v/>
      </c>
      <c r="Y74" s="207" t="str">
        <f ca="1">'_Data Status Month'!W68</f>
        <v/>
      </c>
      <c r="Z74" s="207" t="str">
        <f ca="1">'_Data Status Month'!X68</f>
        <v/>
      </c>
      <c r="AA74" s="207" t="str">
        <f ca="1">'_Data Status Month'!Y68</f>
        <v/>
      </c>
      <c r="AB74" s="207" t="str">
        <f ca="1">'_Data Status Month'!Z68</f>
        <v/>
      </c>
      <c r="AC74" s="207" t="str">
        <f ca="1">'_Data Status Month'!AA68</f>
        <v/>
      </c>
      <c r="AD74" s="207" t="str">
        <f ca="1">'_Data Status Month'!AB68</f>
        <v/>
      </c>
      <c r="AE74" s="207" t="str">
        <f ca="1">'_Data Status Month'!AC68</f>
        <v/>
      </c>
      <c r="AF74" s="207" t="str">
        <f ca="1">'_Data Status Month'!AD68</f>
        <v/>
      </c>
      <c r="AG74" s="207" t="str">
        <f ca="1">'_Data Status Month'!AE68</f>
        <v/>
      </c>
      <c r="AH74" s="207" t="str">
        <f ca="1">'_Data Status Month'!AF68</f>
        <v/>
      </c>
      <c r="AI74" s="207" t="str">
        <f ca="1">'_Data Status Month'!AG68</f>
        <v/>
      </c>
      <c r="AJ74" s="207" t="str">
        <f ca="1">'_Data Status Month'!AH68</f>
        <v/>
      </c>
      <c r="AK74" s="261"/>
      <c r="AL74" s="250" t="str">
        <f>MUI_STAT_T_TotalHCP</f>
        <v>HCP Avg , Std, Delta</v>
      </c>
      <c r="AM74" s="260" t="str">
        <f ca="1">IF(COUNT(F74:AJ74)&gt;0,SUM(F74:AJ74)/COUNT(F74:AJ74),"")</f>
        <v/>
      </c>
      <c r="AN74" s="260" t="str">
        <f ca="1">IFERROR(_xlfn.STDEV.S(F74:AG74),"")</f>
        <v/>
      </c>
      <c r="AO74" s="259" t="str">
        <f ca="1">IFERROR(AM74/AN$50-1,"")</f>
        <v/>
      </c>
      <c r="AP74" s="256"/>
      <c r="AQ74" s="260" t="str">
        <f ca="1">IF(COUNT(J74:AN74)&gt;0,SUM(J74:AN74)/COUNT(J74:AN74),"")</f>
        <v/>
      </c>
      <c r="AR74" s="260" t="str">
        <f ca="1">IFERROR(_xlfn.STDEV.S(J74:AK74),"")</f>
        <v/>
      </c>
      <c r="AS74" s="259" t="str">
        <f ca="1">IFERROR(AQ74/AR$50-1,"")</f>
        <v/>
      </c>
      <c r="AT74" s="256"/>
      <c r="AU74" s="256"/>
      <c r="AV74" s="256"/>
      <c r="AW74" s="256"/>
      <c r="AX74" s="256"/>
      <c r="AY74" s="256"/>
      <c r="AZ74" s="256"/>
      <c r="BA74" s="256"/>
      <c r="BB74" s="256"/>
      <c r="BC74" s="256"/>
      <c r="BD74" s="256"/>
      <c r="BE74" s="256"/>
      <c r="BF74" s="256"/>
      <c r="BG74" s="256"/>
      <c r="BH74" s="256"/>
      <c r="BI74" s="256"/>
      <c r="BJ74" s="256"/>
      <c r="BK74" s="256"/>
      <c r="BL74" s="256"/>
      <c r="BM74" s="256"/>
      <c r="BN74" s="256"/>
      <c r="BO74" s="256"/>
      <c r="BP74" s="256"/>
      <c r="BQ74" s="256"/>
      <c r="BR74" s="256"/>
      <c r="BS74" s="256"/>
      <c r="BT74" s="256"/>
      <c r="BU74" s="256"/>
      <c r="BV74" s="256"/>
      <c r="BW74" s="256"/>
      <c r="BX74" s="256"/>
      <c r="BY74" s="256"/>
      <c r="BZ74" s="256"/>
    </row>
    <row r="75" spans="1:78" ht="17.25" hidden="1" customHeight="1" x14ac:dyDescent="0.25">
      <c r="A75" s="256"/>
      <c r="B75" s="256"/>
      <c r="C75" s="261"/>
      <c r="D75" s="245"/>
      <c r="E75" s="261"/>
      <c r="F75" s="255"/>
      <c r="G75" s="255"/>
      <c r="H75" s="255"/>
      <c r="I75" s="255"/>
      <c r="J75" s="255"/>
      <c r="K75" s="255"/>
      <c r="L75" s="255"/>
      <c r="M75" s="255"/>
      <c r="N75" s="255"/>
      <c r="O75" s="255"/>
      <c r="P75" s="255"/>
      <c r="Q75" s="255"/>
      <c r="R75" s="255"/>
      <c r="S75" s="255"/>
      <c r="T75" s="255"/>
      <c r="U75" s="255"/>
      <c r="V75" s="255"/>
      <c r="W75" s="255"/>
      <c r="X75" s="255"/>
      <c r="Y75" s="255"/>
      <c r="Z75" s="255"/>
      <c r="AA75" s="255"/>
      <c r="AB75" s="255"/>
      <c r="AC75" s="255"/>
      <c r="AD75" s="255"/>
      <c r="AE75" s="255"/>
      <c r="AF75" s="255"/>
      <c r="AG75" s="255"/>
      <c r="AH75" s="255"/>
      <c r="AI75" s="255"/>
      <c r="AJ75" s="255"/>
      <c r="AK75" s="261"/>
      <c r="AL75" s="261"/>
      <c r="AM75" s="256"/>
      <c r="AN75" s="256"/>
      <c r="AO75" s="256"/>
      <c r="AP75" s="256"/>
      <c r="AQ75" s="256"/>
      <c r="AR75" s="256"/>
      <c r="AS75" s="256"/>
      <c r="AT75" s="256"/>
      <c r="AU75" s="256"/>
      <c r="AV75" s="256"/>
      <c r="AW75" s="256"/>
      <c r="AX75" s="256"/>
      <c r="AY75" s="256"/>
      <c r="AZ75" s="256"/>
      <c r="BA75" s="256"/>
      <c r="BB75" s="256"/>
      <c r="BC75" s="256"/>
      <c r="BD75" s="256"/>
      <c r="BE75" s="256"/>
      <c r="BF75" s="256"/>
      <c r="BG75" s="256"/>
      <c r="BH75" s="256"/>
      <c r="BI75" s="256"/>
      <c r="BJ75" s="256"/>
      <c r="BK75" s="256"/>
      <c r="BL75" s="256"/>
      <c r="BM75" s="256"/>
      <c r="BN75" s="256"/>
      <c r="BO75" s="256"/>
      <c r="BP75" s="256"/>
      <c r="BQ75" s="256"/>
      <c r="BR75" s="256"/>
      <c r="BS75" s="256"/>
      <c r="BT75" s="256"/>
      <c r="BU75" s="256"/>
      <c r="BV75" s="256"/>
      <c r="BW75" s="256"/>
      <c r="BX75" s="256"/>
      <c r="BY75" s="256"/>
      <c r="BZ75" s="256"/>
    </row>
    <row r="76" spans="1:78" ht="17.25" hidden="1" customHeight="1" x14ac:dyDescent="0.25">
      <c r="A76" s="256"/>
      <c r="B76" s="443" t="str">
        <f>IFERROR(HYPERLINK(MouseOverEvent('_Data Status Month'!$A$113),'_Data Status Month'!$A$113),'_Data Status Month'!$A$113)</f>
        <v>Bunker</v>
      </c>
      <c r="C76" s="243"/>
      <c r="D76" s="246" t="str">
        <f>MUI_STAT_T_Sub_Duration</f>
        <v>Duration</v>
      </c>
      <c r="E76" s="243"/>
      <c r="F76" s="135">
        <f ca="1">'_Data Status Month'!D74</f>
        <v>0</v>
      </c>
      <c r="G76" s="135">
        <f ca="1">'_Data Status Month'!E74</f>
        <v>0</v>
      </c>
      <c r="H76" s="135">
        <f ca="1">'_Data Status Month'!F74</f>
        <v>0</v>
      </c>
      <c r="I76" s="135">
        <f ca="1">'_Data Status Month'!G74</f>
        <v>0</v>
      </c>
      <c r="J76" s="135">
        <f ca="1">'_Data Status Month'!H74</f>
        <v>0</v>
      </c>
      <c r="K76" s="135">
        <f ca="1">'_Data Status Month'!I74</f>
        <v>0</v>
      </c>
      <c r="L76" s="135">
        <f ca="1">'_Data Status Month'!J74</f>
        <v>0</v>
      </c>
      <c r="M76" s="135">
        <f ca="1">'_Data Status Month'!K74</f>
        <v>0</v>
      </c>
      <c r="N76" s="135">
        <f ca="1">'_Data Status Month'!L74</f>
        <v>0</v>
      </c>
      <c r="O76" s="135">
        <f ca="1">'_Data Status Month'!M74</f>
        <v>0</v>
      </c>
      <c r="P76" s="135">
        <f ca="1">'_Data Status Month'!N74</f>
        <v>0</v>
      </c>
      <c r="Q76" s="135">
        <f ca="1">'_Data Status Month'!O74</f>
        <v>0</v>
      </c>
      <c r="R76" s="135">
        <f ca="1">'_Data Status Month'!P74</f>
        <v>0</v>
      </c>
      <c r="S76" s="135">
        <f ca="1">'_Data Status Month'!Q74</f>
        <v>0</v>
      </c>
      <c r="T76" s="135">
        <f ca="1">'_Data Status Month'!R74</f>
        <v>0</v>
      </c>
      <c r="U76" s="135">
        <f ca="1">'_Data Status Month'!S74</f>
        <v>0</v>
      </c>
      <c r="V76" s="135">
        <f ca="1">'_Data Status Month'!T74</f>
        <v>0</v>
      </c>
      <c r="W76" s="135">
        <f ca="1">'_Data Status Month'!U74</f>
        <v>0</v>
      </c>
      <c r="X76" s="135">
        <f ca="1">'_Data Status Month'!V74</f>
        <v>0</v>
      </c>
      <c r="Y76" s="135">
        <f ca="1">'_Data Status Month'!W74</f>
        <v>0</v>
      </c>
      <c r="Z76" s="135">
        <f ca="1">'_Data Status Month'!X74</f>
        <v>0</v>
      </c>
      <c r="AA76" s="135">
        <f ca="1">'_Data Status Month'!Y74</f>
        <v>0</v>
      </c>
      <c r="AB76" s="135">
        <f ca="1">'_Data Status Month'!Z74</f>
        <v>0</v>
      </c>
      <c r="AC76" s="135">
        <f ca="1">'_Data Status Month'!AA74</f>
        <v>0</v>
      </c>
      <c r="AD76" s="135">
        <f ca="1">'_Data Status Month'!AB74</f>
        <v>0</v>
      </c>
      <c r="AE76" s="135">
        <f ca="1">'_Data Status Month'!AC74</f>
        <v>0</v>
      </c>
      <c r="AF76" s="135">
        <f ca="1">'_Data Status Month'!AD74</f>
        <v>0</v>
      </c>
      <c r="AG76" s="135">
        <f ca="1">'_Data Status Month'!AE74</f>
        <v>0</v>
      </c>
      <c r="AH76" s="135">
        <f ca="1">'_Data Status Month'!AF74</f>
        <v>0</v>
      </c>
      <c r="AI76" s="135">
        <f ca="1">'_Data Status Month'!AG74</f>
        <v>0</v>
      </c>
      <c r="AJ76" s="135">
        <f ca="1">'_Data Status Month'!AH74</f>
        <v>0</v>
      </c>
      <c r="AK76" s="261"/>
      <c r="AL76" s="250" t="str">
        <f>MUI_STAT_T_TotalDuration</f>
        <v>Total Duration (in Min)</v>
      </c>
      <c r="AM76" s="444" t="str">
        <f ca="1">'_Data Status Month'!AK74</f>
        <v/>
      </c>
      <c r="AN76" s="445"/>
      <c r="AO76" s="446"/>
      <c r="AP76" s="256"/>
      <c r="AQ76" s="444" t="str">
        <f ca="1">'_Data Status Month'!AN74</f>
        <v/>
      </c>
      <c r="AR76" s="445"/>
      <c r="AS76" s="446"/>
      <c r="AT76" s="256"/>
      <c r="AU76" s="256"/>
      <c r="AV76" s="256"/>
      <c r="AW76" s="256"/>
      <c r="AX76" s="256"/>
      <c r="AY76" s="256"/>
      <c r="AZ76" s="256"/>
      <c r="BA76" s="256"/>
      <c r="BB76" s="256"/>
      <c r="BC76" s="256"/>
      <c r="BD76" s="256"/>
      <c r="BE76" s="256"/>
      <c r="BF76" s="256"/>
      <c r="BG76" s="256"/>
      <c r="BH76" s="256"/>
      <c r="BI76" s="256"/>
      <c r="BJ76" s="256"/>
      <c r="BK76" s="256"/>
      <c r="BL76" s="256"/>
      <c r="BM76" s="256"/>
      <c r="BN76" s="256"/>
      <c r="BO76" s="256"/>
      <c r="BP76" s="256"/>
      <c r="BQ76" s="256"/>
      <c r="BR76" s="256"/>
      <c r="BS76" s="256"/>
      <c r="BT76" s="256"/>
      <c r="BU76" s="256"/>
      <c r="BV76" s="256"/>
      <c r="BW76" s="256"/>
      <c r="BX76" s="256"/>
      <c r="BY76" s="256"/>
      <c r="BZ76" s="256"/>
    </row>
    <row r="77" spans="1:78" ht="17.25" hidden="1" customHeight="1" x14ac:dyDescent="0.25">
      <c r="A77" s="256"/>
      <c r="B77" s="443"/>
      <c r="C77" s="261"/>
      <c r="D77" s="246" t="str">
        <f>MUI_STAT_T_Sub_PercTime</f>
        <v>%of Total Time</v>
      </c>
      <c r="E77" s="261"/>
      <c r="F77" s="208" t="str">
        <f ca="1">'_Data Status Month'!D75</f>
        <v/>
      </c>
      <c r="G77" s="208" t="str">
        <f ca="1">'_Data Status Month'!E75</f>
        <v/>
      </c>
      <c r="H77" s="208" t="str">
        <f ca="1">'_Data Status Month'!F75</f>
        <v/>
      </c>
      <c r="I77" s="208" t="str">
        <f ca="1">'_Data Status Month'!G75</f>
        <v/>
      </c>
      <c r="J77" s="208" t="str">
        <f ca="1">'_Data Status Month'!H75</f>
        <v/>
      </c>
      <c r="K77" s="208" t="str">
        <f ca="1">'_Data Status Month'!I75</f>
        <v/>
      </c>
      <c r="L77" s="208" t="str">
        <f ca="1">'_Data Status Month'!J75</f>
        <v/>
      </c>
      <c r="M77" s="208" t="str">
        <f ca="1">'_Data Status Month'!K75</f>
        <v/>
      </c>
      <c r="N77" s="208" t="str">
        <f ca="1">'_Data Status Month'!L75</f>
        <v/>
      </c>
      <c r="O77" s="208" t="str">
        <f ca="1">'_Data Status Month'!M75</f>
        <v/>
      </c>
      <c r="P77" s="208" t="str">
        <f ca="1">'_Data Status Month'!N75</f>
        <v/>
      </c>
      <c r="Q77" s="208" t="str">
        <f ca="1">'_Data Status Month'!O75</f>
        <v/>
      </c>
      <c r="R77" s="208" t="str">
        <f ca="1">'_Data Status Month'!P75</f>
        <v/>
      </c>
      <c r="S77" s="208" t="str">
        <f ca="1">'_Data Status Month'!Q75</f>
        <v/>
      </c>
      <c r="T77" s="208" t="str">
        <f ca="1">'_Data Status Month'!R75</f>
        <v/>
      </c>
      <c r="U77" s="208" t="str">
        <f ca="1">'_Data Status Month'!S75</f>
        <v/>
      </c>
      <c r="V77" s="208" t="str">
        <f ca="1">'_Data Status Month'!T75</f>
        <v/>
      </c>
      <c r="W77" s="208" t="str">
        <f ca="1">'_Data Status Month'!U75</f>
        <v/>
      </c>
      <c r="X77" s="208" t="str">
        <f ca="1">'_Data Status Month'!V75</f>
        <v/>
      </c>
      <c r="Y77" s="208" t="str">
        <f ca="1">'_Data Status Month'!W75</f>
        <v/>
      </c>
      <c r="Z77" s="208" t="str">
        <f ca="1">'_Data Status Month'!X75</f>
        <v/>
      </c>
      <c r="AA77" s="208" t="str">
        <f ca="1">'_Data Status Month'!Y75</f>
        <v/>
      </c>
      <c r="AB77" s="208" t="str">
        <f ca="1">'_Data Status Month'!Z75</f>
        <v/>
      </c>
      <c r="AC77" s="208" t="str">
        <f ca="1">'_Data Status Month'!AA75</f>
        <v/>
      </c>
      <c r="AD77" s="208" t="str">
        <f ca="1">'_Data Status Month'!AB75</f>
        <v/>
      </c>
      <c r="AE77" s="208" t="str">
        <f ca="1">'_Data Status Month'!AC75</f>
        <v/>
      </c>
      <c r="AF77" s="208" t="str">
        <f ca="1">'_Data Status Month'!AD75</f>
        <v/>
      </c>
      <c r="AG77" s="208" t="str">
        <f ca="1">'_Data Status Month'!AE75</f>
        <v/>
      </c>
      <c r="AH77" s="208" t="str">
        <f ca="1">'_Data Status Month'!AF75</f>
        <v/>
      </c>
      <c r="AI77" s="208" t="str">
        <f ca="1">'_Data Status Month'!AG75</f>
        <v/>
      </c>
      <c r="AJ77" s="208" t="str">
        <f ca="1">'_Data Status Month'!AH75</f>
        <v/>
      </c>
      <c r="AK77" s="261"/>
      <c r="AL77" s="250" t="str">
        <f>MUI_STAT_T_TotalPercDuration</f>
        <v>%of Total Time</v>
      </c>
      <c r="AM77" s="478" t="str">
        <f ca="1">'_Data Status Month'!AJ75</f>
        <v/>
      </c>
      <c r="AN77" s="451"/>
      <c r="AO77" s="452"/>
      <c r="AP77" s="256"/>
      <c r="AQ77" s="447" t="str">
        <f ca="1">'_Data Status Month'!AM75</f>
        <v/>
      </c>
      <c r="AR77" s="448"/>
      <c r="AS77" s="449"/>
      <c r="AT77" s="256"/>
      <c r="AU77" s="256"/>
      <c r="AV77" s="256"/>
      <c r="AW77" s="256"/>
      <c r="AX77" s="256"/>
      <c r="AY77" s="256"/>
      <c r="AZ77" s="256"/>
      <c r="BA77" s="256"/>
      <c r="BB77" s="256"/>
      <c r="BC77" s="256"/>
      <c r="BD77" s="256"/>
      <c r="BE77" s="256"/>
      <c r="BF77" s="256"/>
      <c r="BG77" s="256"/>
      <c r="BH77" s="256"/>
      <c r="BI77" s="256"/>
      <c r="BJ77" s="256"/>
      <c r="BK77" s="256"/>
      <c r="BL77" s="256"/>
      <c r="BM77" s="256"/>
      <c r="BN77" s="256"/>
      <c r="BO77" s="256"/>
      <c r="BP77" s="256"/>
      <c r="BQ77" s="256"/>
      <c r="BR77" s="256"/>
      <c r="BS77" s="256"/>
      <c r="BT77" s="256"/>
      <c r="BU77" s="256"/>
      <c r="BV77" s="256"/>
      <c r="BW77" s="256"/>
      <c r="BX77" s="256"/>
      <c r="BY77" s="256"/>
      <c r="BZ77" s="256"/>
    </row>
    <row r="78" spans="1:78" ht="17.25" hidden="1" customHeight="1" x14ac:dyDescent="0.25">
      <c r="A78" s="256"/>
      <c r="B78" s="443"/>
      <c r="C78" s="261"/>
      <c r="D78" s="246" t="str">
        <f>MUI_STAT_T_Sub_HCP</f>
        <v>HCP</v>
      </c>
      <c r="E78" s="261"/>
      <c r="F78" s="207" t="str">
        <f ca="1">'_Data Status Month'!D78</f>
        <v/>
      </c>
      <c r="G78" s="207" t="str">
        <f ca="1">'_Data Status Month'!E78</f>
        <v/>
      </c>
      <c r="H78" s="207" t="str">
        <f ca="1">'_Data Status Month'!F78</f>
        <v/>
      </c>
      <c r="I78" s="207" t="str">
        <f ca="1">'_Data Status Month'!G78</f>
        <v/>
      </c>
      <c r="J78" s="207" t="str">
        <f ca="1">'_Data Status Month'!H78</f>
        <v/>
      </c>
      <c r="K78" s="207" t="str">
        <f ca="1">'_Data Status Month'!I78</f>
        <v/>
      </c>
      <c r="L78" s="207" t="str">
        <f ca="1">'_Data Status Month'!J78</f>
        <v/>
      </c>
      <c r="M78" s="207" t="str">
        <f ca="1">'_Data Status Month'!K78</f>
        <v/>
      </c>
      <c r="N78" s="207" t="str">
        <f ca="1">'_Data Status Month'!L78</f>
        <v/>
      </c>
      <c r="O78" s="207" t="str">
        <f ca="1">'_Data Status Month'!M78</f>
        <v/>
      </c>
      <c r="P78" s="207" t="str">
        <f ca="1">'_Data Status Month'!N78</f>
        <v/>
      </c>
      <c r="Q78" s="207" t="str">
        <f ca="1">'_Data Status Month'!O78</f>
        <v/>
      </c>
      <c r="R78" s="207" t="str">
        <f ca="1">'_Data Status Month'!P78</f>
        <v/>
      </c>
      <c r="S78" s="207" t="str">
        <f ca="1">'_Data Status Month'!Q78</f>
        <v/>
      </c>
      <c r="T78" s="207" t="str">
        <f ca="1">'_Data Status Month'!R78</f>
        <v/>
      </c>
      <c r="U78" s="207" t="str">
        <f ca="1">'_Data Status Month'!S78</f>
        <v/>
      </c>
      <c r="V78" s="207" t="str">
        <f ca="1">'_Data Status Month'!T78</f>
        <v/>
      </c>
      <c r="W78" s="207" t="str">
        <f ca="1">'_Data Status Month'!U78</f>
        <v/>
      </c>
      <c r="X78" s="207" t="str">
        <f ca="1">'_Data Status Month'!V78</f>
        <v/>
      </c>
      <c r="Y78" s="207" t="str">
        <f ca="1">'_Data Status Month'!W78</f>
        <v/>
      </c>
      <c r="Z78" s="207" t="str">
        <f ca="1">'_Data Status Month'!X78</f>
        <v/>
      </c>
      <c r="AA78" s="207" t="str">
        <f ca="1">'_Data Status Month'!Y78</f>
        <v/>
      </c>
      <c r="AB78" s="207" t="str">
        <f ca="1">'_Data Status Month'!Z78</f>
        <v/>
      </c>
      <c r="AC78" s="207" t="str">
        <f ca="1">'_Data Status Month'!AA78</f>
        <v/>
      </c>
      <c r="AD78" s="207" t="str">
        <f ca="1">'_Data Status Month'!AB78</f>
        <v/>
      </c>
      <c r="AE78" s="207" t="str">
        <f ca="1">'_Data Status Month'!AC78</f>
        <v/>
      </c>
      <c r="AF78" s="207" t="str">
        <f ca="1">'_Data Status Month'!AD78</f>
        <v/>
      </c>
      <c r="AG78" s="207" t="str">
        <f ca="1">'_Data Status Month'!AE78</f>
        <v/>
      </c>
      <c r="AH78" s="207" t="str">
        <f ca="1">'_Data Status Month'!AF78</f>
        <v/>
      </c>
      <c r="AI78" s="207" t="str">
        <f ca="1">'_Data Status Month'!AG78</f>
        <v/>
      </c>
      <c r="AJ78" s="207" t="str">
        <f ca="1">'_Data Status Month'!AH78</f>
        <v/>
      </c>
      <c r="AK78" s="261"/>
      <c r="AL78" s="250" t="str">
        <f>MUI_STAT_T_TotalHCP</f>
        <v>HCP Avg , Std, Delta</v>
      </c>
      <c r="AM78" s="260" t="str">
        <f ca="1">IF(COUNT(F78:AJ78)&gt;0,SUM(F78:AJ78)/COUNT(F78:AJ78),"")</f>
        <v/>
      </c>
      <c r="AN78" s="260" t="str">
        <f ca="1">IFERROR(_xlfn.STDEV.S(F78:AG78),"")</f>
        <v/>
      </c>
      <c r="AO78" s="259" t="str">
        <f ca="1">IFERROR(AM78/AN$50-1,"")</f>
        <v/>
      </c>
      <c r="AP78" s="256"/>
      <c r="AQ78" s="260" t="str">
        <f ca="1">IF(COUNT(J78:AN78)&gt;0,SUM(J78:AN78)/COUNT(J78:AN78),"")</f>
        <v/>
      </c>
      <c r="AR78" s="260" t="str">
        <f ca="1">IFERROR(_xlfn.STDEV.S(J78:AK78),"")</f>
        <v/>
      </c>
      <c r="AS78" s="259" t="str">
        <f ca="1">IFERROR(AQ78/AR$50-1,"")</f>
        <v/>
      </c>
      <c r="AT78" s="256"/>
      <c r="AU78" s="256"/>
      <c r="AV78" s="256"/>
      <c r="AW78" s="256"/>
      <c r="AX78" s="256"/>
      <c r="AY78" s="256"/>
      <c r="AZ78" s="256"/>
      <c r="BA78" s="256"/>
      <c r="BB78" s="256"/>
      <c r="BC78" s="256"/>
      <c r="BD78" s="256"/>
      <c r="BE78" s="256"/>
      <c r="BF78" s="256"/>
      <c r="BG78" s="256"/>
      <c r="BH78" s="256"/>
      <c r="BI78" s="256"/>
      <c r="BJ78" s="256"/>
      <c r="BK78" s="256"/>
      <c r="BL78" s="256"/>
      <c r="BM78" s="256"/>
      <c r="BN78" s="256"/>
      <c r="BO78" s="256"/>
      <c r="BP78" s="256"/>
      <c r="BQ78" s="256"/>
      <c r="BR78" s="256"/>
      <c r="BS78" s="256"/>
      <c r="BT78" s="256"/>
      <c r="BU78" s="256"/>
      <c r="BV78" s="256"/>
      <c r="BW78" s="256"/>
      <c r="BX78" s="256"/>
      <c r="BY78" s="256"/>
      <c r="BZ78" s="256"/>
    </row>
    <row r="79" spans="1:78" ht="17.25" hidden="1" customHeight="1" x14ac:dyDescent="0.25">
      <c r="A79" s="256"/>
      <c r="B79" s="256"/>
      <c r="C79" s="261"/>
      <c r="D79" s="245"/>
      <c r="E79" s="261"/>
      <c r="F79" s="255"/>
      <c r="G79" s="255"/>
      <c r="H79" s="255"/>
      <c r="I79" s="255"/>
      <c r="J79" s="255"/>
      <c r="K79" s="255"/>
      <c r="L79" s="255"/>
      <c r="M79" s="255"/>
      <c r="N79" s="255"/>
      <c r="O79" s="255"/>
      <c r="P79" s="255"/>
      <c r="Q79" s="255"/>
      <c r="R79" s="255"/>
      <c r="S79" s="255"/>
      <c r="T79" s="255"/>
      <c r="U79" s="255"/>
      <c r="V79" s="255"/>
      <c r="W79" s="255"/>
      <c r="X79" s="255"/>
      <c r="Y79" s="255"/>
      <c r="Z79" s="255"/>
      <c r="AA79" s="255"/>
      <c r="AB79" s="255"/>
      <c r="AC79" s="255"/>
      <c r="AD79" s="255"/>
      <c r="AE79" s="255"/>
      <c r="AF79" s="255"/>
      <c r="AG79" s="255"/>
      <c r="AH79" s="255"/>
      <c r="AI79" s="255"/>
      <c r="AJ79" s="255"/>
      <c r="AK79" s="261"/>
      <c r="AL79" s="261"/>
      <c r="AM79" s="256"/>
      <c r="AN79" s="256"/>
      <c r="AO79" s="256"/>
      <c r="AP79" s="256"/>
      <c r="AQ79" s="256"/>
      <c r="AR79" s="256"/>
      <c r="AS79" s="256"/>
      <c r="AT79" s="256"/>
      <c r="AU79" s="256"/>
      <c r="AV79" s="256"/>
      <c r="AW79" s="256"/>
      <c r="AX79" s="256"/>
      <c r="AY79" s="256"/>
      <c r="AZ79" s="256"/>
      <c r="BA79" s="256"/>
      <c r="BB79" s="256"/>
      <c r="BC79" s="256"/>
      <c r="BD79" s="256"/>
      <c r="BE79" s="256"/>
      <c r="BF79" s="256"/>
      <c r="BG79" s="256"/>
      <c r="BH79" s="256"/>
      <c r="BI79" s="256"/>
      <c r="BJ79" s="256"/>
      <c r="BK79" s="256"/>
      <c r="BL79" s="256"/>
      <c r="BM79" s="256"/>
      <c r="BN79" s="256"/>
      <c r="BO79" s="256"/>
      <c r="BP79" s="256"/>
      <c r="BQ79" s="256"/>
      <c r="BR79" s="256"/>
      <c r="BS79" s="256"/>
      <c r="BT79" s="256"/>
      <c r="BU79" s="256"/>
      <c r="BV79" s="256"/>
      <c r="BW79" s="256"/>
      <c r="BX79" s="256"/>
      <c r="BY79" s="256"/>
      <c r="BZ79" s="256"/>
    </row>
    <row r="80" spans="1:78" ht="17.25" hidden="1" customHeight="1" x14ac:dyDescent="0.25">
      <c r="A80" s="256"/>
      <c r="B80" s="479" t="str">
        <f>IFERROR(HYPERLINK(MouseOverEvent('_Data Status Month'!$A$114),'_Data Status Month'!$A$114),'_Data Status Month'!$A$114)</f>
        <v>Mental</v>
      </c>
      <c r="C80" s="243"/>
      <c r="D80" s="246" t="str">
        <f>MUI_STAT_T_Sub_Duration</f>
        <v>Duration</v>
      </c>
      <c r="E80" s="243"/>
      <c r="F80" s="135">
        <f ca="1">'_Data Status Month'!D84</f>
        <v>0</v>
      </c>
      <c r="G80" s="135">
        <f ca="1">'_Data Status Month'!E84</f>
        <v>0</v>
      </c>
      <c r="H80" s="135">
        <f ca="1">'_Data Status Month'!F84</f>
        <v>0</v>
      </c>
      <c r="I80" s="135">
        <f ca="1">'_Data Status Month'!G84</f>
        <v>0</v>
      </c>
      <c r="J80" s="135">
        <f ca="1">'_Data Status Month'!H84</f>
        <v>0</v>
      </c>
      <c r="K80" s="135">
        <f ca="1">'_Data Status Month'!I84</f>
        <v>0</v>
      </c>
      <c r="L80" s="135">
        <f ca="1">'_Data Status Month'!J84</f>
        <v>0</v>
      </c>
      <c r="M80" s="135">
        <f ca="1">'_Data Status Month'!K84</f>
        <v>0</v>
      </c>
      <c r="N80" s="135">
        <f ca="1">'_Data Status Month'!L84</f>
        <v>0</v>
      </c>
      <c r="O80" s="135">
        <f ca="1">'_Data Status Month'!M84</f>
        <v>0</v>
      </c>
      <c r="P80" s="135">
        <f ca="1">'_Data Status Month'!N84</f>
        <v>0</v>
      </c>
      <c r="Q80" s="135">
        <f ca="1">'_Data Status Month'!O84</f>
        <v>0</v>
      </c>
      <c r="R80" s="135">
        <f ca="1">'_Data Status Month'!P84</f>
        <v>0</v>
      </c>
      <c r="S80" s="135">
        <f ca="1">'_Data Status Month'!Q84</f>
        <v>0</v>
      </c>
      <c r="T80" s="135">
        <f ca="1">'_Data Status Month'!R84</f>
        <v>0</v>
      </c>
      <c r="U80" s="135">
        <f ca="1">'_Data Status Month'!S84</f>
        <v>0</v>
      </c>
      <c r="V80" s="135">
        <f ca="1">'_Data Status Month'!T84</f>
        <v>0</v>
      </c>
      <c r="W80" s="135">
        <f ca="1">'_Data Status Month'!U84</f>
        <v>0</v>
      </c>
      <c r="X80" s="135">
        <f ca="1">'_Data Status Month'!V84</f>
        <v>0</v>
      </c>
      <c r="Y80" s="135">
        <f ca="1">'_Data Status Month'!W84</f>
        <v>0</v>
      </c>
      <c r="Z80" s="135">
        <f ca="1">'_Data Status Month'!X84</f>
        <v>0</v>
      </c>
      <c r="AA80" s="135">
        <f ca="1">'_Data Status Month'!Y84</f>
        <v>0</v>
      </c>
      <c r="AB80" s="135">
        <f ca="1">'_Data Status Month'!Z84</f>
        <v>0</v>
      </c>
      <c r="AC80" s="135">
        <f ca="1">'_Data Status Month'!AA84</f>
        <v>0</v>
      </c>
      <c r="AD80" s="135">
        <f ca="1">'_Data Status Month'!AB84</f>
        <v>0</v>
      </c>
      <c r="AE80" s="135">
        <f ca="1">'_Data Status Month'!AC84</f>
        <v>0</v>
      </c>
      <c r="AF80" s="135">
        <f ca="1">'_Data Status Month'!AD84</f>
        <v>0</v>
      </c>
      <c r="AG80" s="135">
        <f ca="1">'_Data Status Month'!AE84</f>
        <v>0</v>
      </c>
      <c r="AH80" s="135">
        <f ca="1">'_Data Status Month'!AF84</f>
        <v>0</v>
      </c>
      <c r="AI80" s="135">
        <f ca="1">'_Data Status Month'!AG84</f>
        <v>0</v>
      </c>
      <c r="AJ80" s="135">
        <f ca="1">'_Data Status Month'!AH84</f>
        <v>0</v>
      </c>
      <c r="AK80" s="261"/>
      <c r="AL80" s="250" t="str">
        <f>MUI_STAT_T_TotalDuration</f>
        <v>Total Duration (in Min)</v>
      </c>
      <c r="AM80" s="450" t="str">
        <f ca="1">'_Data Status Month'!AK84</f>
        <v/>
      </c>
      <c r="AN80" s="451"/>
      <c r="AO80" s="452"/>
      <c r="AP80" s="256"/>
      <c r="AQ80" s="444" t="str">
        <f ca="1">'_Data Status Month'!AN84</f>
        <v/>
      </c>
      <c r="AR80" s="445"/>
      <c r="AS80" s="446"/>
      <c r="AT80" s="256"/>
      <c r="AU80" s="256"/>
      <c r="AV80" s="256"/>
      <c r="AW80" s="256"/>
      <c r="AX80" s="256"/>
      <c r="AY80" s="256"/>
      <c r="AZ80" s="256"/>
      <c r="BA80" s="256"/>
      <c r="BB80" s="256"/>
      <c r="BC80" s="256"/>
      <c r="BD80" s="256"/>
      <c r="BE80" s="256"/>
      <c r="BF80" s="256"/>
      <c r="BG80" s="256"/>
      <c r="BH80" s="256"/>
      <c r="BI80" s="256"/>
      <c r="BJ80" s="256"/>
      <c r="BK80" s="256"/>
      <c r="BL80" s="256"/>
      <c r="BM80" s="256"/>
      <c r="BN80" s="256"/>
      <c r="BO80" s="256"/>
      <c r="BP80" s="256"/>
      <c r="BQ80" s="256"/>
      <c r="BR80" s="256"/>
      <c r="BS80" s="256"/>
      <c r="BT80" s="256"/>
      <c r="BU80" s="256"/>
      <c r="BV80" s="256"/>
      <c r="BW80" s="256"/>
      <c r="BX80" s="256"/>
      <c r="BY80" s="256"/>
      <c r="BZ80" s="256"/>
    </row>
    <row r="81" spans="1:78" ht="17.25" hidden="1" customHeight="1" x14ac:dyDescent="0.25">
      <c r="A81" s="256"/>
      <c r="B81" s="480"/>
      <c r="C81" s="261"/>
      <c r="D81" s="246" t="str">
        <f>MUI_STAT_T_Sub_PercTime</f>
        <v>%of Total Time</v>
      </c>
      <c r="E81" s="261"/>
      <c r="F81" s="208" t="str">
        <f ca="1">'_Data Status Month'!D85</f>
        <v/>
      </c>
      <c r="G81" s="208" t="str">
        <f ca="1">'_Data Status Month'!E85</f>
        <v/>
      </c>
      <c r="H81" s="208" t="str">
        <f ca="1">'_Data Status Month'!F85</f>
        <v/>
      </c>
      <c r="I81" s="208" t="str">
        <f ca="1">'_Data Status Month'!G85</f>
        <v/>
      </c>
      <c r="J81" s="208" t="str">
        <f ca="1">'_Data Status Month'!H85</f>
        <v/>
      </c>
      <c r="K81" s="208" t="str">
        <f ca="1">'_Data Status Month'!I85</f>
        <v/>
      </c>
      <c r="L81" s="208" t="str">
        <f ca="1">'_Data Status Month'!J85</f>
        <v/>
      </c>
      <c r="M81" s="208" t="str">
        <f ca="1">'_Data Status Month'!K85</f>
        <v/>
      </c>
      <c r="N81" s="208" t="str">
        <f ca="1">'_Data Status Month'!L85</f>
        <v/>
      </c>
      <c r="O81" s="208" t="str">
        <f ca="1">'_Data Status Month'!M85</f>
        <v/>
      </c>
      <c r="P81" s="208" t="str">
        <f ca="1">'_Data Status Month'!N85</f>
        <v/>
      </c>
      <c r="Q81" s="208" t="str">
        <f ca="1">'_Data Status Month'!O85</f>
        <v/>
      </c>
      <c r="R81" s="208" t="str">
        <f ca="1">'_Data Status Month'!P85</f>
        <v/>
      </c>
      <c r="S81" s="208" t="str">
        <f ca="1">'_Data Status Month'!Q85</f>
        <v/>
      </c>
      <c r="T81" s="208" t="str">
        <f ca="1">'_Data Status Month'!R85</f>
        <v/>
      </c>
      <c r="U81" s="208" t="str">
        <f ca="1">'_Data Status Month'!S85</f>
        <v/>
      </c>
      <c r="V81" s="208" t="str">
        <f ca="1">'_Data Status Month'!T85</f>
        <v/>
      </c>
      <c r="W81" s="208" t="str">
        <f ca="1">'_Data Status Month'!U85</f>
        <v/>
      </c>
      <c r="X81" s="208" t="str">
        <f ca="1">'_Data Status Month'!V85</f>
        <v/>
      </c>
      <c r="Y81" s="208" t="str">
        <f ca="1">'_Data Status Month'!W85</f>
        <v/>
      </c>
      <c r="Z81" s="208" t="str">
        <f ca="1">'_Data Status Month'!X85</f>
        <v/>
      </c>
      <c r="AA81" s="208" t="str">
        <f ca="1">'_Data Status Month'!Y85</f>
        <v/>
      </c>
      <c r="AB81" s="208" t="str">
        <f ca="1">'_Data Status Month'!Z85</f>
        <v/>
      </c>
      <c r="AC81" s="208" t="str">
        <f ca="1">'_Data Status Month'!AA85</f>
        <v/>
      </c>
      <c r="AD81" s="208" t="str">
        <f ca="1">'_Data Status Month'!AB85</f>
        <v/>
      </c>
      <c r="AE81" s="208" t="str">
        <f ca="1">'_Data Status Month'!AC85</f>
        <v/>
      </c>
      <c r="AF81" s="208" t="str">
        <f ca="1">'_Data Status Month'!AD85</f>
        <v/>
      </c>
      <c r="AG81" s="208" t="str">
        <f ca="1">'_Data Status Month'!AE85</f>
        <v/>
      </c>
      <c r="AH81" s="208" t="str">
        <f ca="1">'_Data Status Month'!AF85</f>
        <v/>
      </c>
      <c r="AI81" s="208" t="str">
        <f ca="1">'_Data Status Month'!AG85</f>
        <v/>
      </c>
      <c r="AJ81" s="208" t="str">
        <f ca="1">'_Data Status Month'!AH85</f>
        <v/>
      </c>
      <c r="AK81" s="261"/>
      <c r="AL81" s="250" t="str">
        <f>MUI_STAT_T_TotalPercDuration</f>
        <v>%of Total Time</v>
      </c>
      <c r="AM81" s="447" t="str">
        <f ca="1">'_Data Status Month'!AJ85</f>
        <v/>
      </c>
      <c r="AN81" s="448"/>
      <c r="AO81" s="449"/>
      <c r="AP81" s="256"/>
      <c r="AQ81" s="447" t="str">
        <f ca="1">'_Data Status Month'!AM85</f>
        <v/>
      </c>
      <c r="AR81" s="448"/>
      <c r="AS81" s="449"/>
      <c r="AT81" s="256"/>
      <c r="AU81" s="256"/>
      <c r="AV81" s="256"/>
      <c r="AW81" s="256"/>
      <c r="AX81" s="256"/>
      <c r="AY81" s="256"/>
      <c r="AZ81" s="256"/>
      <c r="BA81" s="256"/>
      <c r="BB81" s="256"/>
      <c r="BC81" s="256"/>
      <c r="BD81" s="256"/>
      <c r="BE81" s="256"/>
      <c r="BF81" s="256"/>
      <c r="BG81" s="256"/>
      <c r="BH81" s="256"/>
      <c r="BI81" s="256"/>
      <c r="BJ81" s="256"/>
      <c r="BK81" s="256"/>
      <c r="BL81" s="256"/>
      <c r="BM81" s="256"/>
      <c r="BN81" s="256"/>
      <c r="BO81" s="256"/>
      <c r="BP81" s="256"/>
      <c r="BQ81" s="256"/>
      <c r="BR81" s="256"/>
      <c r="BS81" s="256"/>
      <c r="BT81" s="256"/>
      <c r="BU81" s="256"/>
      <c r="BV81" s="256"/>
      <c r="BW81" s="256"/>
      <c r="BX81" s="256"/>
      <c r="BY81" s="256"/>
      <c r="BZ81" s="256"/>
    </row>
    <row r="82" spans="1:78" ht="17.25" hidden="1" customHeight="1" x14ac:dyDescent="0.25">
      <c r="A82" s="256"/>
      <c r="B82" s="256"/>
      <c r="C82" s="261"/>
      <c r="D82" s="261"/>
      <c r="E82" s="261"/>
      <c r="F82" s="255"/>
      <c r="G82" s="255"/>
      <c r="H82" s="255"/>
      <c r="I82" s="255"/>
      <c r="J82" s="255"/>
      <c r="K82" s="255"/>
      <c r="L82" s="255"/>
      <c r="M82" s="255"/>
      <c r="N82" s="255"/>
      <c r="O82" s="255"/>
      <c r="P82" s="255"/>
      <c r="Q82" s="255"/>
      <c r="R82" s="255"/>
      <c r="S82" s="255"/>
      <c r="T82" s="255"/>
      <c r="U82" s="255"/>
      <c r="V82" s="255"/>
      <c r="W82" s="255"/>
      <c r="X82" s="255"/>
      <c r="Y82" s="255"/>
      <c r="Z82" s="255"/>
      <c r="AA82" s="255"/>
      <c r="AB82" s="255"/>
      <c r="AC82" s="255"/>
      <c r="AD82" s="255"/>
      <c r="AE82" s="255"/>
      <c r="AF82" s="255"/>
      <c r="AG82" s="255"/>
      <c r="AH82" s="255"/>
      <c r="AI82" s="255"/>
      <c r="AJ82" s="255"/>
      <c r="AK82" s="261"/>
      <c r="AL82" s="261"/>
      <c r="AM82" s="256"/>
      <c r="AN82" s="256"/>
      <c r="AO82" s="256"/>
      <c r="AP82" s="256"/>
      <c r="AQ82" s="256"/>
      <c r="AR82" s="256"/>
      <c r="AS82" s="256"/>
      <c r="AT82" s="256"/>
      <c r="AU82" s="256"/>
      <c r="AV82" s="256"/>
      <c r="AW82" s="256"/>
      <c r="AX82" s="256"/>
      <c r="AY82" s="256"/>
      <c r="AZ82" s="256"/>
      <c r="BA82" s="256"/>
      <c r="BB82" s="256"/>
      <c r="BC82" s="256"/>
      <c r="BD82" s="256"/>
      <c r="BE82" s="256"/>
      <c r="BF82" s="256"/>
      <c r="BG82" s="256"/>
      <c r="BH82" s="256"/>
      <c r="BI82" s="256"/>
      <c r="BJ82" s="256"/>
      <c r="BK82" s="256"/>
      <c r="BL82" s="256"/>
      <c r="BM82" s="256"/>
      <c r="BN82" s="256"/>
      <c r="BO82" s="256"/>
      <c r="BP82" s="256"/>
      <c r="BQ82" s="256"/>
      <c r="BR82" s="256"/>
      <c r="BS82" s="256"/>
      <c r="BT82" s="256"/>
      <c r="BU82" s="256"/>
      <c r="BV82" s="256"/>
      <c r="BW82" s="256"/>
      <c r="BX82" s="256"/>
      <c r="BY82" s="256"/>
      <c r="BZ82" s="256"/>
    </row>
    <row r="83" spans="1:78" ht="17.25" hidden="1" customHeight="1" x14ac:dyDescent="0.25">
      <c r="A83" s="256"/>
      <c r="B83" s="443" t="str">
        <f>IFERROR(HYPERLINK(MouseOverEvent('_Data Status Month'!$A$115),'_Data Status Month'!$A$115),'_Data Status Month'!$A$115)</f>
        <v>Round of Golf</v>
      </c>
      <c r="C83" s="243"/>
      <c r="D83" s="246" t="str">
        <f>MUI_STAT_T_Sub_Duration</f>
        <v>Duration</v>
      </c>
      <c r="E83" s="243"/>
      <c r="F83" s="135">
        <f ca="1">'_Data Status Month'!D94</f>
        <v>0</v>
      </c>
      <c r="G83" s="135">
        <f ca="1">'_Data Status Month'!E94</f>
        <v>0</v>
      </c>
      <c r="H83" s="135">
        <f ca="1">'_Data Status Month'!F94</f>
        <v>0</v>
      </c>
      <c r="I83" s="135">
        <f ca="1">'_Data Status Month'!G94</f>
        <v>0</v>
      </c>
      <c r="J83" s="135">
        <f ca="1">'_Data Status Month'!H94</f>
        <v>0</v>
      </c>
      <c r="K83" s="135">
        <f ca="1">'_Data Status Month'!I94</f>
        <v>0</v>
      </c>
      <c r="L83" s="135">
        <f ca="1">'_Data Status Month'!J94</f>
        <v>0</v>
      </c>
      <c r="M83" s="135">
        <f ca="1">'_Data Status Month'!K94</f>
        <v>0</v>
      </c>
      <c r="N83" s="135">
        <f ca="1">'_Data Status Month'!L94</f>
        <v>0</v>
      </c>
      <c r="O83" s="135">
        <f ca="1">'_Data Status Month'!M94</f>
        <v>0</v>
      </c>
      <c r="P83" s="135">
        <f ca="1">'_Data Status Month'!N94</f>
        <v>0</v>
      </c>
      <c r="Q83" s="135">
        <f ca="1">'_Data Status Month'!O94</f>
        <v>0</v>
      </c>
      <c r="R83" s="135">
        <f ca="1">'_Data Status Month'!P94</f>
        <v>0</v>
      </c>
      <c r="S83" s="135">
        <f ca="1">'_Data Status Month'!Q94</f>
        <v>0</v>
      </c>
      <c r="T83" s="135">
        <f ca="1">'_Data Status Month'!R94</f>
        <v>0</v>
      </c>
      <c r="U83" s="135">
        <f ca="1">'_Data Status Month'!S94</f>
        <v>0</v>
      </c>
      <c r="V83" s="135">
        <f ca="1">'_Data Status Month'!T94</f>
        <v>0</v>
      </c>
      <c r="W83" s="135">
        <f ca="1">'_Data Status Month'!U94</f>
        <v>0</v>
      </c>
      <c r="X83" s="135">
        <f ca="1">'_Data Status Month'!V94</f>
        <v>0</v>
      </c>
      <c r="Y83" s="135">
        <f ca="1">'_Data Status Month'!W94</f>
        <v>0</v>
      </c>
      <c r="Z83" s="135">
        <f ca="1">'_Data Status Month'!X94</f>
        <v>0</v>
      </c>
      <c r="AA83" s="135">
        <f ca="1">'_Data Status Month'!Y94</f>
        <v>0</v>
      </c>
      <c r="AB83" s="135">
        <f ca="1">'_Data Status Month'!Z94</f>
        <v>0</v>
      </c>
      <c r="AC83" s="135">
        <f ca="1">'_Data Status Month'!AA94</f>
        <v>0</v>
      </c>
      <c r="AD83" s="135">
        <f ca="1">'_Data Status Month'!AB94</f>
        <v>0</v>
      </c>
      <c r="AE83" s="135">
        <f ca="1">'_Data Status Month'!AC94</f>
        <v>0</v>
      </c>
      <c r="AF83" s="135">
        <f ca="1">'_Data Status Month'!AD94</f>
        <v>0</v>
      </c>
      <c r="AG83" s="135">
        <f ca="1">'_Data Status Month'!AE94</f>
        <v>0</v>
      </c>
      <c r="AH83" s="135">
        <f ca="1">'_Data Status Month'!AF94</f>
        <v>0</v>
      </c>
      <c r="AI83" s="135">
        <f ca="1">'_Data Status Month'!AG94</f>
        <v>0</v>
      </c>
      <c r="AJ83" s="135">
        <f ca="1">'_Data Status Month'!AH94</f>
        <v>0</v>
      </c>
      <c r="AK83" s="261"/>
      <c r="AL83" s="250" t="str">
        <f>MUI_STAT_T_TotalDuration</f>
        <v>Total Duration (in Min)</v>
      </c>
      <c r="AM83" s="450" t="str">
        <f ca="1">'_Data Status Month'!AK94</f>
        <v/>
      </c>
      <c r="AN83" s="451"/>
      <c r="AO83" s="452"/>
      <c r="AP83" s="256"/>
      <c r="AQ83" s="444" t="str">
        <f ca="1">'_Data Status Month'!AN94</f>
        <v/>
      </c>
      <c r="AR83" s="445"/>
      <c r="AS83" s="446"/>
      <c r="AT83" s="256"/>
      <c r="AU83" s="256"/>
      <c r="AV83" s="256"/>
      <c r="AW83" s="256"/>
      <c r="AX83" s="256"/>
      <c r="AY83" s="256"/>
      <c r="AZ83" s="256"/>
      <c r="BA83" s="256"/>
      <c r="BB83" s="256"/>
      <c r="BC83" s="256"/>
      <c r="BD83" s="256"/>
      <c r="BE83" s="256"/>
      <c r="BF83" s="256"/>
      <c r="BG83" s="256"/>
      <c r="BH83" s="256"/>
      <c r="BI83" s="256"/>
      <c r="BJ83" s="256"/>
      <c r="BK83" s="256"/>
      <c r="BL83" s="256"/>
      <c r="BM83" s="256"/>
      <c r="BN83" s="256"/>
      <c r="BO83" s="256"/>
      <c r="BP83" s="256"/>
      <c r="BQ83" s="256"/>
      <c r="BR83" s="256"/>
      <c r="BS83" s="256"/>
      <c r="BT83" s="256"/>
      <c r="BU83" s="256"/>
      <c r="BV83" s="256"/>
      <c r="BW83" s="256"/>
      <c r="BX83" s="256"/>
      <c r="BY83" s="256"/>
      <c r="BZ83" s="256"/>
    </row>
    <row r="84" spans="1:78" ht="17.25" hidden="1" customHeight="1" x14ac:dyDescent="0.25">
      <c r="A84" s="256"/>
      <c r="B84" s="443"/>
      <c r="C84" s="261"/>
      <c r="D84" s="246" t="str">
        <f>MUI_STAT_T_Sub_PercTime</f>
        <v>%of Total Time</v>
      </c>
      <c r="E84" s="261"/>
      <c r="F84" s="208" t="str">
        <f ca="1">'_Data Status Month'!D95</f>
        <v/>
      </c>
      <c r="G84" s="208" t="str">
        <f ca="1">'_Data Status Month'!E95</f>
        <v/>
      </c>
      <c r="H84" s="208" t="str">
        <f ca="1">'_Data Status Month'!F95</f>
        <v/>
      </c>
      <c r="I84" s="208" t="str">
        <f ca="1">'_Data Status Month'!G95</f>
        <v/>
      </c>
      <c r="J84" s="208" t="str">
        <f ca="1">'_Data Status Month'!H95</f>
        <v/>
      </c>
      <c r="K84" s="208" t="str">
        <f ca="1">'_Data Status Month'!I95</f>
        <v/>
      </c>
      <c r="L84" s="208" t="str">
        <f ca="1">'_Data Status Month'!J95</f>
        <v/>
      </c>
      <c r="M84" s="208" t="str">
        <f ca="1">'_Data Status Month'!K95</f>
        <v/>
      </c>
      <c r="N84" s="208" t="str">
        <f ca="1">'_Data Status Month'!L95</f>
        <v/>
      </c>
      <c r="O84" s="208" t="str">
        <f ca="1">'_Data Status Month'!M95</f>
        <v/>
      </c>
      <c r="P84" s="208" t="str">
        <f ca="1">'_Data Status Month'!N95</f>
        <v/>
      </c>
      <c r="Q84" s="208" t="str">
        <f ca="1">'_Data Status Month'!O95</f>
        <v/>
      </c>
      <c r="R84" s="208" t="str">
        <f ca="1">'_Data Status Month'!P95</f>
        <v/>
      </c>
      <c r="S84" s="208" t="str">
        <f ca="1">'_Data Status Month'!Q95</f>
        <v/>
      </c>
      <c r="T84" s="208" t="str">
        <f ca="1">'_Data Status Month'!R95</f>
        <v/>
      </c>
      <c r="U84" s="208" t="str">
        <f ca="1">'_Data Status Month'!S95</f>
        <v/>
      </c>
      <c r="V84" s="208" t="str">
        <f ca="1">'_Data Status Month'!T95</f>
        <v/>
      </c>
      <c r="W84" s="208" t="str">
        <f ca="1">'_Data Status Month'!U95</f>
        <v/>
      </c>
      <c r="X84" s="208" t="str">
        <f ca="1">'_Data Status Month'!V95</f>
        <v/>
      </c>
      <c r="Y84" s="208" t="str">
        <f ca="1">'_Data Status Month'!W95</f>
        <v/>
      </c>
      <c r="Z84" s="208" t="str">
        <f ca="1">'_Data Status Month'!X95</f>
        <v/>
      </c>
      <c r="AA84" s="208" t="str">
        <f ca="1">'_Data Status Month'!Y95</f>
        <v/>
      </c>
      <c r="AB84" s="208" t="str">
        <f ca="1">'_Data Status Month'!Z95</f>
        <v/>
      </c>
      <c r="AC84" s="208" t="str">
        <f ca="1">'_Data Status Month'!AA95</f>
        <v/>
      </c>
      <c r="AD84" s="208" t="str">
        <f ca="1">'_Data Status Month'!AB95</f>
        <v/>
      </c>
      <c r="AE84" s="208" t="str">
        <f ca="1">'_Data Status Month'!AC95</f>
        <v/>
      </c>
      <c r="AF84" s="208" t="str">
        <f ca="1">'_Data Status Month'!AD95</f>
        <v/>
      </c>
      <c r="AG84" s="208" t="str">
        <f ca="1">'_Data Status Month'!AE95</f>
        <v/>
      </c>
      <c r="AH84" s="208" t="str">
        <f ca="1">'_Data Status Month'!AF95</f>
        <v/>
      </c>
      <c r="AI84" s="208" t="str">
        <f ca="1">'_Data Status Month'!AG95</f>
        <v/>
      </c>
      <c r="AJ84" s="208" t="str">
        <f ca="1">'_Data Status Month'!AH95</f>
        <v/>
      </c>
      <c r="AK84" s="261"/>
      <c r="AL84" s="250" t="str">
        <f>MUI_STAT_T_TotalPercDuration</f>
        <v>%of Total Time</v>
      </c>
      <c r="AM84" s="447" t="str">
        <f ca="1">'_Data Status Month'!AJ95</f>
        <v/>
      </c>
      <c r="AN84" s="448"/>
      <c r="AO84" s="449"/>
      <c r="AP84" s="256"/>
      <c r="AQ84" s="447" t="str">
        <f ca="1">'_Data Status Month'!AM95</f>
        <v/>
      </c>
      <c r="AR84" s="448"/>
      <c r="AS84" s="449"/>
      <c r="AT84" s="256"/>
      <c r="AU84" s="256"/>
      <c r="AV84" s="256"/>
      <c r="AW84" s="256"/>
      <c r="AX84" s="256"/>
      <c r="AY84" s="256"/>
      <c r="AZ84" s="256"/>
      <c r="BA84" s="256"/>
      <c r="BB84" s="256"/>
      <c r="BC84" s="256"/>
      <c r="BD84" s="256"/>
      <c r="BE84" s="256"/>
      <c r="BF84" s="256"/>
      <c r="BG84" s="256"/>
      <c r="BH84" s="256"/>
      <c r="BI84" s="256"/>
      <c r="BJ84" s="256"/>
      <c r="BK84" s="256"/>
      <c r="BL84" s="256"/>
      <c r="BM84" s="256"/>
      <c r="BN84" s="256"/>
      <c r="BO84" s="256"/>
      <c r="BP84" s="256"/>
      <c r="BQ84" s="256"/>
      <c r="BR84" s="256"/>
      <c r="BS84" s="256"/>
      <c r="BT84" s="256"/>
      <c r="BU84" s="256"/>
      <c r="BV84" s="256"/>
      <c r="BW84" s="256"/>
      <c r="BX84" s="256"/>
      <c r="BY84" s="256"/>
      <c r="BZ84" s="256"/>
    </row>
    <row r="85" spans="1:78" ht="17.25" hidden="1" customHeight="1" x14ac:dyDescent="0.25">
      <c r="A85" s="256"/>
      <c r="B85" s="443"/>
      <c r="C85" s="261"/>
      <c r="D85" s="246" t="str">
        <f>MUI_STAT_T_Sub_HCP</f>
        <v>HCP</v>
      </c>
      <c r="E85" s="261"/>
      <c r="F85" s="207" t="str">
        <f ca="1">'_Data Status Month'!D98</f>
        <v/>
      </c>
      <c r="G85" s="207" t="str">
        <f ca="1">'_Data Status Month'!E98</f>
        <v/>
      </c>
      <c r="H85" s="207" t="str">
        <f ca="1">'_Data Status Month'!F98</f>
        <v/>
      </c>
      <c r="I85" s="207" t="str">
        <f ca="1">'_Data Status Month'!G98</f>
        <v/>
      </c>
      <c r="J85" s="207" t="str">
        <f ca="1">'_Data Status Month'!H98</f>
        <v/>
      </c>
      <c r="K85" s="207" t="str">
        <f ca="1">'_Data Status Month'!I98</f>
        <v/>
      </c>
      <c r="L85" s="207" t="str">
        <f ca="1">'_Data Status Month'!J98</f>
        <v/>
      </c>
      <c r="M85" s="207" t="str">
        <f ca="1">'_Data Status Month'!K98</f>
        <v/>
      </c>
      <c r="N85" s="207" t="str">
        <f ca="1">'_Data Status Month'!L98</f>
        <v/>
      </c>
      <c r="O85" s="207" t="str">
        <f ca="1">'_Data Status Month'!M98</f>
        <v/>
      </c>
      <c r="P85" s="207" t="str">
        <f ca="1">'_Data Status Month'!N98</f>
        <v/>
      </c>
      <c r="Q85" s="207" t="str">
        <f ca="1">'_Data Status Month'!O98</f>
        <v/>
      </c>
      <c r="R85" s="207" t="str">
        <f ca="1">'_Data Status Month'!P98</f>
        <v/>
      </c>
      <c r="S85" s="207" t="str">
        <f ca="1">'_Data Status Month'!Q98</f>
        <v/>
      </c>
      <c r="T85" s="207" t="str">
        <f ca="1">'_Data Status Month'!R98</f>
        <v/>
      </c>
      <c r="U85" s="207" t="str">
        <f ca="1">'_Data Status Month'!S98</f>
        <v/>
      </c>
      <c r="V85" s="207" t="str">
        <f ca="1">'_Data Status Month'!T98</f>
        <v/>
      </c>
      <c r="W85" s="207" t="str">
        <f ca="1">'_Data Status Month'!U98</f>
        <v/>
      </c>
      <c r="X85" s="207" t="str">
        <f ca="1">'_Data Status Month'!V98</f>
        <v/>
      </c>
      <c r="Y85" s="207" t="str">
        <f ca="1">'_Data Status Month'!W98</f>
        <v/>
      </c>
      <c r="Z85" s="207" t="str">
        <f ca="1">'_Data Status Month'!X98</f>
        <v/>
      </c>
      <c r="AA85" s="207" t="str">
        <f ca="1">'_Data Status Month'!Y98</f>
        <v/>
      </c>
      <c r="AB85" s="207" t="str">
        <f ca="1">'_Data Status Month'!Z98</f>
        <v/>
      </c>
      <c r="AC85" s="207" t="str">
        <f ca="1">'_Data Status Month'!AA98</f>
        <v/>
      </c>
      <c r="AD85" s="207" t="str">
        <f ca="1">'_Data Status Month'!AB98</f>
        <v/>
      </c>
      <c r="AE85" s="207" t="str">
        <f ca="1">'_Data Status Month'!AC98</f>
        <v/>
      </c>
      <c r="AF85" s="207" t="str">
        <f ca="1">'_Data Status Month'!AD98</f>
        <v/>
      </c>
      <c r="AG85" s="207" t="str">
        <f ca="1">'_Data Status Month'!AE98</f>
        <v/>
      </c>
      <c r="AH85" s="207" t="str">
        <f ca="1">'_Data Status Month'!AF98</f>
        <v/>
      </c>
      <c r="AI85" s="207" t="str">
        <f ca="1">'_Data Status Month'!AG98</f>
        <v/>
      </c>
      <c r="AJ85" s="207" t="str">
        <f ca="1">'_Data Status Month'!AH98</f>
        <v/>
      </c>
      <c r="AK85" s="261"/>
      <c r="AL85" s="250" t="str">
        <f>MUI_STAT_T_TotalHCP</f>
        <v>HCP Avg , Std, Delta</v>
      </c>
      <c r="AM85" s="260" t="str">
        <f ca="1">IF(COUNT(F85:AJ85)&gt;0,SUM(F85:AJ85)/COUNT(F85:AJ85),"")</f>
        <v/>
      </c>
      <c r="AN85" s="260" t="str">
        <f ca="1">IFERROR(_xlfn.STDEV.S(F85:AG85),"")</f>
        <v/>
      </c>
      <c r="AO85" s="259" t="str">
        <f ca="1">IFERROR(AM85/AN$50-1,"")</f>
        <v/>
      </c>
      <c r="AP85" s="256"/>
      <c r="AQ85" s="260" t="str">
        <f ca="1">IF(COUNT(J85:AN85)&gt;0,SUM(J85:AN85)/COUNT(J85:AN85),"")</f>
        <v/>
      </c>
      <c r="AR85" s="260" t="str">
        <f ca="1">IFERROR(_xlfn.STDEV.S(J85:AK85),"")</f>
        <v/>
      </c>
      <c r="AS85" s="259" t="str">
        <f ca="1">IFERROR(AQ85/AR$50-1,"")</f>
        <v/>
      </c>
      <c r="AT85" s="256"/>
      <c r="AU85" s="256"/>
      <c r="AV85" s="256"/>
      <c r="AW85" s="256"/>
      <c r="AX85" s="256"/>
      <c r="AY85" s="256"/>
      <c r="AZ85" s="256"/>
      <c r="BA85" s="256"/>
      <c r="BB85" s="256"/>
      <c r="BC85" s="256"/>
      <c r="BD85" s="256"/>
      <c r="BE85" s="256"/>
      <c r="BF85" s="256"/>
      <c r="BG85" s="256"/>
      <c r="BH85" s="256"/>
      <c r="BI85" s="256"/>
      <c r="BJ85" s="256"/>
      <c r="BK85" s="256"/>
      <c r="BL85" s="256"/>
      <c r="BM85" s="256"/>
      <c r="BN85" s="256"/>
      <c r="BO85" s="256"/>
      <c r="BP85" s="256"/>
      <c r="BQ85" s="256"/>
      <c r="BR85" s="256"/>
      <c r="BS85" s="256"/>
      <c r="BT85" s="256"/>
      <c r="BU85" s="256"/>
      <c r="BV85" s="256"/>
      <c r="BW85" s="256"/>
      <c r="BX85" s="256"/>
      <c r="BY85" s="256"/>
      <c r="BZ85" s="256"/>
    </row>
    <row r="86" spans="1:78" ht="36" hidden="1" x14ac:dyDescent="0.25">
      <c r="A86" s="256"/>
      <c r="B86" s="256"/>
      <c r="C86" s="261"/>
      <c r="D86" s="261"/>
      <c r="E86" s="261"/>
      <c r="F86" s="256"/>
      <c r="G86" s="256"/>
      <c r="H86" s="256"/>
      <c r="I86" s="256"/>
      <c r="J86" s="256"/>
      <c r="K86" s="256"/>
      <c r="L86" s="256"/>
      <c r="M86" s="256"/>
      <c r="N86" s="256"/>
      <c r="O86" s="256"/>
      <c r="P86" s="256"/>
      <c r="Q86" s="256"/>
      <c r="R86" s="256"/>
      <c r="S86" s="256"/>
      <c r="T86" s="256"/>
      <c r="U86" s="256"/>
      <c r="V86" s="256"/>
      <c r="W86" s="256"/>
      <c r="X86" s="256"/>
      <c r="Y86" s="256"/>
      <c r="Z86" s="256"/>
      <c r="AA86" s="256"/>
      <c r="AB86" s="256"/>
      <c r="AC86" s="256"/>
      <c r="AD86" s="256"/>
      <c r="AE86" s="256"/>
      <c r="AF86" s="256"/>
      <c r="AG86" s="256"/>
      <c r="AH86" s="256"/>
      <c r="AI86" s="256"/>
      <c r="AJ86" s="256"/>
      <c r="AK86" s="261"/>
      <c r="AL86" s="261"/>
      <c r="AM86" s="256"/>
      <c r="AN86" s="256"/>
      <c r="AO86" s="256"/>
      <c r="AP86" s="256"/>
      <c r="AQ86" s="256"/>
      <c r="AR86" s="256"/>
      <c r="AS86" s="256"/>
      <c r="AT86" s="256"/>
      <c r="AU86" s="256"/>
      <c r="AV86" s="256"/>
      <c r="AW86" s="256"/>
      <c r="AX86" s="256"/>
      <c r="AY86" s="256"/>
      <c r="AZ86" s="256"/>
      <c r="BA86" s="256"/>
      <c r="BB86" s="256"/>
      <c r="BC86" s="256"/>
      <c r="BD86" s="256"/>
      <c r="BE86" s="256"/>
      <c r="BF86" s="256"/>
      <c r="BG86" s="256"/>
      <c r="BH86" s="256"/>
      <c r="BI86" s="256"/>
      <c r="BJ86" s="256"/>
      <c r="BK86" s="256"/>
      <c r="BL86" s="256"/>
      <c r="BM86" s="256"/>
      <c r="BN86" s="256"/>
      <c r="BO86" s="256"/>
      <c r="BP86" s="256"/>
      <c r="BQ86" s="256"/>
      <c r="BR86" s="256"/>
      <c r="BS86" s="256"/>
      <c r="BT86" s="256"/>
      <c r="BU86" s="256"/>
      <c r="BV86" s="256"/>
      <c r="BW86" s="256"/>
      <c r="BX86" s="256"/>
      <c r="BY86" s="256"/>
      <c r="BZ86" s="256"/>
    </row>
    <row r="87" spans="1:78" ht="17.25" hidden="1" customHeight="1" x14ac:dyDescent="0.25">
      <c r="A87" s="256"/>
      <c r="B87" s="256"/>
      <c r="C87" s="256"/>
      <c r="D87" s="256"/>
      <c r="E87" s="256"/>
      <c r="F87" s="256"/>
      <c r="G87" s="256"/>
      <c r="H87" s="256"/>
      <c r="I87" s="256"/>
      <c r="J87" s="256"/>
      <c r="K87" s="256"/>
      <c r="L87" s="256"/>
      <c r="M87" s="256"/>
      <c r="N87" s="256"/>
      <c r="O87" s="256"/>
      <c r="P87" s="256"/>
      <c r="Q87" s="256"/>
      <c r="R87" s="256"/>
      <c r="S87" s="256"/>
      <c r="T87" s="256"/>
      <c r="U87" s="256"/>
      <c r="V87" s="256"/>
      <c r="W87" s="256"/>
      <c r="X87" s="256"/>
      <c r="Y87" s="256"/>
      <c r="Z87" s="256"/>
      <c r="AA87" s="256"/>
      <c r="AB87" s="256"/>
      <c r="AC87" s="256"/>
      <c r="AD87" s="256"/>
      <c r="AE87" s="256"/>
      <c r="AF87" s="256"/>
      <c r="AG87" s="256"/>
      <c r="AH87" s="256"/>
      <c r="AI87" s="256"/>
      <c r="AJ87" s="256"/>
      <c r="AK87" s="261"/>
      <c r="AL87" s="261"/>
      <c r="AM87" s="256"/>
      <c r="AN87" s="256"/>
      <c r="AO87" s="256"/>
      <c r="AP87" s="256"/>
      <c r="AQ87" s="256"/>
      <c r="AR87" s="256"/>
      <c r="AS87" s="256"/>
      <c r="AT87" s="256"/>
      <c r="AU87" s="256"/>
      <c r="AV87" s="256"/>
      <c r="AW87" s="256"/>
      <c r="AX87" s="256"/>
      <c r="AY87" s="256"/>
      <c r="AZ87" s="256"/>
      <c r="BA87" s="256"/>
      <c r="BB87" s="256"/>
      <c r="BC87" s="256"/>
      <c r="BD87" s="256"/>
      <c r="BE87" s="256"/>
      <c r="BF87" s="256"/>
      <c r="BG87" s="256"/>
      <c r="BH87" s="256"/>
      <c r="BI87" s="256"/>
      <c r="BJ87" s="256"/>
      <c r="BK87" s="256"/>
      <c r="BL87" s="256"/>
      <c r="BM87" s="256"/>
      <c r="BN87" s="256"/>
      <c r="BO87" s="256"/>
      <c r="BP87" s="256"/>
      <c r="BQ87" s="256"/>
      <c r="BR87" s="256"/>
      <c r="BS87" s="256"/>
      <c r="BT87" s="256"/>
      <c r="BU87" s="256"/>
      <c r="BV87" s="256"/>
      <c r="BW87" s="256"/>
      <c r="BX87" s="256"/>
      <c r="BY87" s="256"/>
      <c r="BZ87" s="256"/>
    </row>
    <row r="88" spans="1:78" ht="17.25" hidden="1" customHeight="1" x14ac:dyDescent="0.25">
      <c r="A88" s="256"/>
      <c r="B88" s="256"/>
      <c r="C88" s="256"/>
      <c r="D88" s="256"/>
      <c r="E88" s="256"/>
      <c r="F88" s="256"/>
      <c r="G88" s="256"/>
      <c r="H88" s="256"/>
      <c r="I88" s="256"/>
      <c r="J88" s="256"/>
      <c r="K88" s="256"/>
      <c r="L88" s="256"/>
      <c r="M88" s="256"/>
      <c r="N88" s="256"/>
      <c r="O88" s="256"/>
      <c r="P88" s="256"/>
      <c r="Q88" s="256"/>
      <c r="R88" s="256"/>
      <c r="S88" s="256"/>
      <c r="T88" s="256"/>
      <c r="U88" s="256"/>
      <c r="V88" s="256"/>
      <c r="W88" s="256"/>
      <c r="X88" s="256"/>
      <c r="Y88" s="256"/>
      <c r="Z88" s="256"/>
      <c r="AA88" s="256"/>
      <c r="AB88" s="256"/>
      <c r="AC88" s="256"/>
      <c r="AD88" s="256"/>
      <c r="AE88" s="256"/>
      <c r="AF88" s="256"/>
      <c r="AG88" s="256"/>
      <c r="AH88" s="256"/>
      <c r="AI88" s="256"/>
      <c r="AJ88" s="256"/>
      <c r="AK88" s="256"/>
      <c r="AL88" s="256"/>
      <c r="AM88" s="256"/>
      <c r="AN88" s="256"/>
      <c r="AO88" s="256"/>
      <c r="AP88" s="256"/>
      <c r="AQ88" s="256"/>
      <c r="AR88" s="256"/>
      <c r="AS88" s="256"/>
      <c r="AT88" s="256"/>
      <c r="AU88" s="256"/>
      <c r="AV88" s="256"/>
      <c r="AW88" s="256"/>
      <c r="AX88" s="256"/>
      <c r="AY88" s="256"/>
      <c r="AZ88" s="256"/>
      <c r="BA88" s="256"/>
      <c r="BB88" s="256"/>
      <c r="BC88" s="256"/>
      <c r="BD88" s="256"/>
      <c r="BE88" s="256"/>
      <c r="BF88" s="256"/>
      <c r="BG88" s="256"/>
      <c r="BH88" s="256"/>
      <c r="BI88" s="256"/>
      <c r="BJ88" s="256"/>
      <c r="BK88" s="256"/>
      <c r="BL88" s="256"/>
      <c r="BM88" s="256"/>
      <c r="BN88" s="256"/>
      <c r="BO88" s="256"/>
      <c r="BP88" s="256"/>
      <c r="BQ88" s="256"/>
      <c r="BR88" s="256"/>
      <c r="BS88" s="256"/>
      <c r="BT88" s="256"/>
      <c r="BU88" s="256"/>
      <c r="BV88" s="256"/>
      <c r="BW88" s="256"/>
      <c r="BX88" s="256"/>
      <c r="BY88" s="256"/>
      <c r="BZ88" s="256"/>
    </row>
    <row r="89" spans="1:78" ht="17.25" hidden="1" customHeight="1" x14ac:dyDescent="0.25">
      <c r="A89" s="256"/>
      <c r="B89" s="256"/>
      <c r="C89" s="256"/>
      <c r="D89" s="256"/>
      <c r="E89" s="256"/>
      <c r="F89" s="256"/>
      <c r="G89" s="256"/>
      <c r="H89" s="256"/>
      <c r="I89" s="256"/>
      <c r="J89" s="256"/>
      <c r="K89" s="256"/>
      <c r="L89" s="256"/>
      <c r="M89" s="256"/>
      <c r="N89" s="256"/>
      <c r="O89" s="256"/>
      <c r="P89" s="256"/>
      <c r="Q89" s="256"/>
      <c r="R89" s="256"/>
      <c r="S89" s="256"/>
      <c r="T89" s="256"/>
      <c r="U89" s="256"/>
      <c r="V89" s="256"/>
      <c r="W89" s="256"/>
      <c r="X89" s="256"/>
      <c r="Y89" s="256"/>
      <c r="Z89" s="256"/>
      <c r="AA89" s="256"/>
      <c r="AB89" s="256"/>
      <c r="AC89" s="256"/>
      <c r="AD89" s="256"/>
      <c r="AE89" s="256"/>
      <c r="AF89" s="256"/>
      <c r="AG89" s="256"/>
      <c r="AH89" s="256"/>
      <c r="AI89" s="256"/>
      <c r="AJ89" s="256"/>
      <c r="AK89" s="256"/>
      <c r="AL89" s="256"/>
      <c r="AM89" s="256"/>
      <c r="AN89" s="256"/>
      <c r="AO89" s="256"/>
      <c r="AP89" s="256"/>
      <c r="AQ89" s="256"/>
      <c r="AR89" s="256"/>
      <c r="AS89" s="256"/>
      <c r="AT89" s="256"/>
      <c r="AU89" s="256"/>
      <c r="AV89" s="256"/>
      <c r="AW89" s="256"/>
      <c r="AX89" s="256"/>
      <c r="AY89" s="256"/>
      <c r="AZ89" s="256"/>
      <c r="BA89" s="256"/>
      <c r="BB89" s="256"/>
      <c r="BC89" s="256"/>
      <c r="BD89" s="256"/>
      <c r="BE89" s="256"/>
      <c r="BF89" s="256"/>
      <c r="BG89" s="256"/>
      <c r="BH89" s="256"/>
      <c r="BI89" s="256"/>
      <c r="BJ89" s="256"/>
      <c r="BK89" s="256"/>
      <c r="BL89" s="256"/>
      <c r="BM89" s="256"/>
      <c r="BN89" s="256"/>
      <c r="BO89" s="256"/>
      <c r="BP89" s="256"/>
      <c r="BQ89" s="256"/>
      <c r="BR89" s="256"/>
      <c r="BS89" s="256"/>
      <c r="BT89" s="256"/>
      <c r="BU89" s="256"/>
      <c r="BV89" s="256"/>
      <c r="BW89" s="256"/>
      <c r="BX89" s="256"/>
      <c r="BY89" s="256"/>
      <c r="BZ89" s="256"/>
    </row>
    <row r="90" spans="1:78" ht="17.25" hidden="1" customHeight="1" x14ac:dyDescent="0.25">
      <c r="A90" s="256"/>
      <c r="B90" s="256"/>
      <c r="C90" s="256"/>
      <c r="D90" s="256"/>
      <c r="E90" s="256"/>
      <c r="F90" s="256"/>
      <c r="G90" s="256"/>
      <c r="H90" s="256"/>
      <c r="I90" s="256"/>
      <c r="J90" s="256"/>
      <c r="K90" s="256"/>
      <c r="L90" s="256"/>
      <c r="M90" s="256"/>
      <c r="N90" s="256"/>
      <c r="O90" s="256"/>
      <c r="P90" s="256"/>
      <c r="Q90" s="256"/>
      <c r="R90" s="256"/>
      <c r="S90" s="256"/>
      <c r="T90" s="256"/>
      <c r="U90" s="256"/>
      <c r="V90" s="256"/>
      <c r="W90" s="256"/>
      <c r="X90" s="256"/>
      <c r="Y90" s="256"/>
      <c r="Z90" s="256"/>
      <c r="AA90" s="256"/>
      <c r="AB90" s="256"/>
      <c r="AC90" s="256"/>
      <c r="AD90" s="256"/>
      <c r="AE90" s="256"/>
      <c r="AF90" s="256"/>
      <c r="AG90" s="256"/>
      <c r="AH90" s="256"/>
      <c r="AI90" s="256"/>
      <c r="AJ90" s="256"/>
      <c r="AK90" s="256"/>
      <c r="AL90" s="256"/>
      <c r="AM90" s="256"/>
      <c r="AN90" s="256"/>
      <c r="AO90" s="256"/>
      <c r="AP90" s="256"/>
      <c r="AQ90" s="256"/>
      <c r="AR90" s="256"/>
      <c r="AS90" s="256"/>
      <c r="AT90" s="256"/>
      <c r="AU90" s="256"/>
      <c r="AV90" s="256"/>
      <c r="AW90" s="256"/>
      <c r="AX90" s="256"/>
      <c r="AY90" s="256"/>
      <c r="AZ90" s="256"/>
      <c r="BA90" s="256"/>
      <c r="BB90" s="256"/>
      <c r="BC90" s="256"/>
      <c r="BD90" s="256"/>
      <c r="BE90" s="256"/>
      <c r="BF90" s="256"/>
      <c r="BG90" s="256"/>
      <c r="BH90" s="256"/>
      <c r="BI90" s="256"/>
      <c r="BJ90" s="256"/>
      <c r="BK90" s="256"/>
      <c r="BL90" s="256"/>
      <c r="BM90" s="256"/>
      <c r="BN90" s="256"/>
      <c r="BO90" s="256"/>
      <c r="BP90" s="256"/>
      <c r="BQ90" s="256"/>
      <c r="BR90" s="256"/>
      <c r="BS90" s="256"/>
      <c r="BT90" s="256"/>
      <c r="BU90" s="256"/>
      <c r="BV90" s="256"/>
      <c r="BW90" s="256"/>
      <c r="BX90" s="256"/>
      <c r="BY90" s="256"/>
      <c r="BZ90" s="256"/>
    </row>
    <row r="91" spans="1:78" ht="17.25" hidden="1" customHeight="1" x14ac:dyDescent="0.25">
      <c r="A91" s="256"/>
      <c r="B91" s="256"/>
      <c r="C91" s="256"/>
      <c r="D91" s="256"/>
      <c r="E91" s="256"/>
      <c r="F91" s="256"/>
      <c r="G91" s="256"/>
      <c r="H91" s="256"/>
      <c r="I91" s="256"/>
      <c r="J91" s="256"/>
      <c r="K91" s="256"/>
      <c r="L91" s="256"/>
      <c r="M91" s="256"/>
      <c r="N91" s="256"/>
      <c r="O91" s="256"/>
      <c r="P91" s="256"/>
      <c r="Q91" s="256"/>
      <c r="R91" s="256"/>
      <c r="S91" s="256"/>
      <c r="T91" s="256"/>
      <c r="U91" s="256"/>
      <c r="V91" s="256"/>
      <c r="W91" s="256"/>
      <c r="X91" s="256"/>
      <c r="Y91" s="256"/>
      <c r="Z91" s="256"/>
      <c r="AA91" s="256"/>
      <c r="AB91" s="256"/>
      <c r="AC91" s="256"/>
      <c r="AD91" s="256"/>
      <c r="AE91" s="256"/>
      <c r="AF91" s="256"/>
      <c r="AG91" s="256"/>
      <c r="AH91" s="256"/>
      <c r="AI91" s="256"/>
      <c r="AJ91" s="256"/>
      <c r="AK91" s="256"/>
      <c r="AL91" s="256"/>
      <c r="AM91" s="256"/>
      <c r="AN91" s="256"/>
      <c r="AO91" s="256"/>
      <c r="AP91" s="256"/>
      <c r="AQ91" s="256"/>
      <c r="AR91" s="256"/>
      <c r="AS91" s="256"/>
      <c r="AT91" s="256"/>
      <c r="AU91" s="256"/>
      <c r="AV91" s="256"/>
      <c r="AW91" s="256"/>
      <c r="AX91" s="256"/>
      <c r="AY91" s="256"/>
      <c r="AZ91" s="256"/>
      <c r="BA91" s="256"/>
      <c r="BB91" s="256"/>
      <c r="BC91" s="256"/>
      <c r="BD91" s="256"/>
      <c r="BE91" s="256"/>
      <c r="BF91" s="256"/>
      <c r="BG91" s="256"/>
      <c r="BH91" s="256"/>
      <c r="BI91" s="256"/>
      <c r="BJ91" s="256"/>
      <c r="BK91" s="256"/>
      <c r="BL91" s="256"/>
      <c r="BM91" s="256"/>
      <c r="BN91" s="256"/>
      <c r="BO91" s="256"/>
      <c r="BP91" s="256"/>
      <c r="BQ91" s="256"/>
      <c r="BR91" s="256"/>
      <c r="BS91" s="256"/>
      <c r="BT91" s="256"/>
      <c r="BU91" s="256"/>
      <c r="BV91" s="256"/>
      <c r="BW91" s="256"/>
      <c r="BX91" s="256"/>
      <c r="BY91" s="256"/>
      <c r="BZ91" s="256"/>
    </row>
    <row r="92" spans="1:78" ht="17.25" hidden="1" customHeight="1" x14ac:dyDescent="0.25">
      <c r="A92" s="256"/>
      <c r="B92" s="256"/>
      <c r="C92" s="256"/>
      <c r="D92" s="256"/>
      <c r="E92" s="256"/>
      <c r="F92" s="256"/>
      <c r="G92" s="256"/>
      <c r="H92" s="256"/>
      <c r="I92" s="256"/>
      <c r="J92" s="256"/>
      <c r="K92" s="256"/>
      <c r="L92" s="256"/>
      <c r="M92" s="256"/>
      <c r="N92" s="256"/>
      <c r="O92" s="256"/>
      <c r="P92" s="256"/>
      <c r="Q92" s="256"/>
      <c r="R92" s="256"/>
      <c r="S92" s="256"/>
      <c r="T92" s="256"/>
      <c r="U92" s="256"/>
      <c r="V92" s="256"/>
      <c r="W92" s="256"/>
      <c r="X92" s="256"/>
      <c r="Y92" s="256"/>
      <c r="Z92" s="256"/>
      <c r="AA92" s="256"/>
      <c r="AB92" s="256"/>
      <c r="AC92" s="256"/>
      <c r="AD92" s="256"/>
      <c r="AE92" s="256"/>
      <c r="AF92" s="256"/>
      <c r="AG92" s="256"/>
      <c r="AH92" s="256"/>
      <c r="AI92" s="256"/>
      <c r="AJ92" s="256"/>
      <c r="AK92" s="256"/>
      <c r="AL92" s="256"/>
      <c r="AM92" s="256"/>
      <c r="AN92" s="256"/>
      <c r="AO92" s="256"/>
      <c r="AP92" s="256"/>
      <c r="AQ92" s="256"/>
      <c r="AR92" s="256"/>
      <c r="AS92" s="256"/>
      <c r="AT92" s="256"/>
      <c r="AU92" s="256"/>
      <c r="AV92" s="256"/>
      <c r="AW92" s="256"/>
      <c r="AX92" s="256"/>
      <c r="AY92" s="256"/>
      <c r="AZ92" s="256"/>
      <c r="BA92" s="256"/>
      <c r="BB92" s="256"/>
      <c r="BC92" s="256"/>
      <c r="BD92" s="256"/>
      <c r="BE92" s="256"/>
      <c r="BF92" s="256"/>
      <c r="BG92" s="256"/>
      <c r="BH92" s="256"/>
      <c r="BI92" s="256"/>
      <c r="BJ92" s="256"/>
      <c r="BK92" s="256"/>
      <c r="BL92" s="256"/>
      <c r="BM92" s="256"/>
      <c r="BN92" s="256"/>
      <c r="BO92" s="256"/>
      <c r="BP92" s="256"/>
      <c r="BQ92" s="256"/>
      <c r="BR92" s="256"/>
      <c r="BS92" s="256"/>
      <c r="BT92" s="256"/>
      <c r="BU92" s="256"/>
      <c r="BV92" s="256"/>
      <c r="BW92" s="256"/>
      <c r="BX92" s="256"/>
      <c r="BY92" s="256"/>
      <c r="BZ92" s="256"/>
    </row>
    <row r="93" spans="1:78" ht="17.25" hidden="1" customHeight="1" x14ac:dyDescent="0.25">
      <c r="A93" s="256"/>
      <c r="B93" s="256"/>
      <c r="C93" s="256"/>
      <c r="D93" s="256"/>
      <c r="E93" s="256"/>
      <c r="F93" s="256"/>
      <c r="G93" s="256"/>
      <c r="H93" s="256"/>
      <c r="I93" s="256"/>
      <c r="J93" s="256"/>
      <c r="K93" s="256"/>
      <c r="L93" s="256"/>
      <c r="M93" s="256"/>
      <c r="N93" s="256"/>
      <c r="O93" s="256"/>
      <c r="P93" s="256"/>
      <c r="Q93" s="256"/>
      <c r="R93" s="256"/>
      <c r="S93" s="256"/>
      <c r="T93" s="256"/>
      <c r="U93" s="256"/>
      <c r="V93" s="256"/>
      <c r="W93" s="256"/>
      <c r="X93" s="256"/>
      <c r="Y93" s="256"/>
      <c r="Z93" s="256"/>
      <c r="AA93" s="256"/>
      <c r="AB93" s="256"/>
      <c r="AC93" s="256"/>
      <c r="AD93" s="256"/>
      <c r="AE93" s="256"/>
      <c r="AF93" s="256"/>
      <c r="AG93" s="256"/>
      <c r="AH93" s="256"/>
      <c r="AI93" s="256"/>
      <c r="AJ93" s="256"/>
      <c r="AK93" s="256"/>
      <c r="AL93" s="256"/>
      <c r="AM93" s="256"/>
      <c r="AN93" s="256"/>
      <c r="AO93" s="256"/>
      <c r="AP93" s="256"/>
      <c r="AQ93" s="256"/>
      <c r="AR93" s="256"/>
      <c r="AS93" s="256"/>
      <c r="AT93" s="256"/>
      <c r="AU93" s="256"/>
      <c r="AV93" s="256"/>
      <c r="AW93" s="256"/>
      <c r="AX93" s="256"/>
      <c r="AY93" s="256"/>
      <c r="AZ93" s="256"/>
      <c r="BA93" s="256"/>
      <c r="BB93" s="256"/>
      <c r="BC93" s="256"/>
      <c r="BD93" s="256"/>
      <c r="BE93" s="256"/>
      <c r="BF93" s="256"/>
      <c r="BG93" s="256"/>
      <c r="BH93" s="256"/>
      <c r="BI93" s="256"/>
      <c r="BJ93" s="256"/>
      <c r="BK93" s="256"/>
      <c r="BL93" s="256"/>
      <c r="BM93" s="256"/>
      <c r="BN93" s="256"/>
      <c r="BO93" s="256"/>
      <c r="BP93" s="256"/>
      <c r="BQ93" s="256"/>
      <c r="BR93" s="256"/>
      <c r="BS93" s="256"/>
      <c r="BT93" s="256"/>
      <c r="BU93" s="256"/>
      <c r="BV93" s="256"/>
      <c r="BW93" s="256"/>
      <c r="BX93" s="256"/>
      <c r="BY93" s="256"/>
      <c r="BZ93" s="256"/>
    </row>
    <row r="94" spans="1:78" ht="17.25" hidden="1" customHeight="1" x14ac:dyDescent="0.25">
      <c r="A94" s="256"/>
      <c r="B94" s="256"/>
      <c r="C94" s="256"/>
      <c r="D94" s="256"/>
      <c r="E94" s="256"/>
      <c r="F94" s="256"/>
      <c r="G94" s="256"/>
      <c r="H94" s="256"/>
      <c r="I94" s="256"/>
      <c r="J94" s="256"/>
      <c r="K94" s="256"/>
      <c r="L94" s="256"/>
      <c r="M94" s="256"/>
      <c r="N94" s="256"/>
      <c r="O94" s="256"/>
      <c r="P94" s="256"/>
      <c r="Q94" s="256"/>
      <c r="R94" s="256"/>
      <c r="S94" s="256"/>
      <c r="T94" s="256"/>
      <c r="U94" s="256"/>
      <c r="V94" s="256"/>
      <c r="W94" s="256"/>
      <c r="X94" s="256"/>
      <c r="Y94" s="256"/>
      <c r="Z94" s="256"/>
      <c r="AA94" s="256"/>
      <c r="AB94" s="256"/>
      <c r="AC94" s="256"/>
      <c r="AD94" s="256"/>
      <c r="AE94" s="256"/>
      <c r="AF94" s="256"/>
      <c r="AG94" s="256"/>
      <c r="AH94" s="256"/>
      <c r="AI94" s="256"/>
      <c r="AJ94" s="256"/>
      <c r="AK94" s="256"/>
      <c r="AL94" s="256"/>
      <c r="AM94" s="256"/>
      <c r="AN94" s="256"/>
      <c r="AO94" s="256"/>
      <c r="AP94" s="256"/>
      <c r="AQ94" s="256"/>
      <c r="AR94" s="256"/>
      <c r="AS94" s="256"/>
      <c r="AT94" s="256"/>
      <c r="AU94" s="256"/>
      <c r="AV94" s="256"/>
      <c r="AW94" s="256"/>
      <c r="AX94" s="256"/>
      <c r="AY94" s="256"/>
      <c r="AZ94" s="256"/>
      <c r="BA94" s="256"/>
      <c r="BB94" s="256"/>
      <c r="BC94" s="256"/>
      <c r="BD94" s="256"/>
      <c r="BE94" s="256"/>
      <c r="BF94" s="256"/>
      <c r="BG94" s="256"/>
      <c r="BH94" s="256"/>
      <c r="BI94" s="256"/>
      <c r="BJ94" s="256"/>
      <c r="BK94" s="256"/>
      <c r="BL94" s="256"/>
      <c r="BM94" s="256"/>
      <c r="BN94" s="256"/>
      <c r="BO94" s="256"/>
      <c r="BP94" s="256"/>
      <c r="BQ94" s="256"/>
      <c r="BR94" s="256"/>
      <c r="BS94" s="256"/>
      <c r="BT94" s="256"/>
      <c r="BU94" s="256"/>
      <c r="BV94" s="256"/>
      <c r="BW94" s="256"/>
      <c r="BX94" s="256"/>
      <c r="BY94" s="256"/>
      <c r="BZ94" s="256"/>
    </row>
    <row r="95" spans="1:78" ht="17.25" hidden="1" customHeight="1" x14ac:dyDescent="0.25">
      <c r="A95" s="256"/>
      <c r="B95" s="256"/>
      <c r="C95" s="256"/>
      <c r="D95" s="256"/>
      <c r="E95" s="256"/>
      <c r="F95" s="256"/>
      <c r="G95" s="256"/>
      <c r="H95" s="256"/>
      <c r="I95" s="256"/>
      <c r="J95" s="256"/>
      <c r="K95" s="256"/>
      <c r="L95" s="256"/>
      <c r="M95" s="256"/>
      <c r="N95" s="256"/>
      <c r="O95" s="256"/>
      <c r="P95" s="256"/>
      <c r="Q95" s="256"/>
      <c r="R95" s="256"/>
      <c r="S95" s="256"/>
      <c r="T95" s="256"/>
      <c r="U95" s="256"/>
      <c r="V95" s="256"/>
      <c r="W95" s="256"/>
      <c r="X95" s="256"/>
      <c r="Y95" s="256"/>
      <c r="Z95" s="256"/>
      <c r="AA95" s="256"/>
      <c r="AB95" s="256"/>
      <c r="AC95" s="256"/>
      <c r="AD95" s="256"/>
      <c r="AE95" s="256"/>
      <c r="AF95" s="256"/>
      <c r="AG95" s="256"/>
      <c r="AH95" s="256"/>
      <c r="AI95" s="256"/>
      <c r="AJ95" s="256"/>
      <c r="AK95" s="256"/>
      <c r="AL95" s="256"/>
      <c r="AM95" s="256"/>
      <c r="AN95" s="256"/>
      <c r="AO95" s="256"/>
      <c r="AP95" s="256"/>
      <c r="AQ95" s="256"/>
      <c r="AR95" s="256"/>
      <c r="AS95" s="256"/>
      <c r="AT95" s="256"/>
      <c r="AU95" s="256"/>
      <c r="AV95" s="256"/>
      <c r="AW95" s="256"/>
      <c r="AX95" s="256"/>
      <c r="AY95" s="256"/>
      <c r="AZ95" s="256"/>
      <c r="BA95" s="256"/>
      <c r="BB95" s="256"/>
      <c r="BC95" s="256"/>
      <c r="BD95" s="256"/>
      <c r="BE95" s="256"/>
      <c r="BF95" s="256"/>
      <c r="BG95" s="256"/>
      <c r="BH95" s="256"/>
      <c r="BI95" s="256"/>
      <c r="BJ95" s="256"/>
      <c r="BK95" s="256"/>
      <c r="BL95" s="256"/>
      <c r="BM95" s="256"/>
      <c r="BN95" s="256"/>
      <c r="BO95" s="256"/>
      <c r="BP95" s="256"/>
      <c r="BQ95" s="256"/>
      <c r="BR95" s="256"/>
      <c r="BS95" s="256"/>
      <c r="BT95" s="256"/>
      <c r="BU95" s="256"/>
      <c r="BV95" s="256"/>
      <c r="BW95" s="256"/>
      <c r="BX95" s="256"/>
      <c r="BY95" s="256"/>
      <c r="BZ95" s="256"/>
    </row>
    <row r="96" spans="1:78" ht="17.25" hidden="1" customHeight="1" x14ac:dyDescent="0.25">
      <c r="A96" s="256"/>
      <c r="B96" s="256"/>
      <c r="C96" s="256"/>
      <c r="D96" s="256"/>
      <c r="E96" s="256"/>
      <c r="F96" s="256"/>
      <c r="G96" s="256"/>
      <c r="H96" s="256"/>
      <c r="I96" s="256"/>
      <c r="J96" s="256"/>
      <c r="K96" s="256"/>
      <c r="L96" s="256"/>
      <c r="M96" s="256"/>
      <c r="N96" s="256"/>
      <c r="O96" s="256"/>
      <c r="P96" s="256"/>
      <c r="Q96" s="256"/>
      <c r="R96" s="256"/>
      <c r="S96" s="256"/>
      <c r="T96" s="256"/>
      <c r="U96" s="256"/>
      <c r="V96" s="256"/>
      <c r="W96" s="256"/>
      <c r="X96" s="256"/>
      <c r="Y96" s="256"/>
      <c r="Z96" s="256"/>
      <c r="AA96" s="256"/>
      <c r="AB96" s="256"/>
      <c r="AC96" s="256"/>
      <c r="AD96" s="256"/>
      <c r="AE96" s="256"/>
      <c r="AF96" s="256"/>
      <c r="AG96" s="256"/>
      <c r="AH96" s="256"/>
      <c r="AI96" s="256"/>
      <c r="AJ96" s="256"/>
      <c r="AK96" s="256"/>
      <c r="AL96" s="256"/>
      <c r="AM96" s="256"/>
      <c r="AN96" s="256"/>
      <c r="AO96" s="256"/>
      <c r="AP96" s="256"/>
      <c r="AQ96" s="256"/>
      <c r="AR96" s="256"/>
      <c r="AS96" s="256"/>
      <c r="AT96" s="256"/>
      <c r="AU96" s="256"/>
      <c r="AV96" s="256"/>
      <c r="AW96" s="256"/>
      <c r="AX96" s="256"/>
      <c r="AY96" s="256"/>
      <c r="AZ96" s="256"/>
      <c r="BA96" s="256"/>
      <c r="BB96" s="256"/>
      <c r="BC96" s="256"/>
      <c r="BD96" s="256"/>
      <c r="BE96" s="256"/>
      <c r="BF96" s="256"/>
      <c r="BG96" s="256"/>
      <c r="BH96" s="256"/>
      <c r="BI96" s="256"/>
      <c r="BJ96" s="256"/>
      <c r="BK96" s="256"/>
      <c r="BL96" s="256"/>
      <c r="BM96" s="256"/>
      <c r="BN96" s="256"/>
      <c r="BO96" s="256"/>
      <c r="BP96" s="256"/>
      <c r="BQ96" s="256"/>
      <c r="BR96" s="256"/>
      <c r="BS96" s="256"/>
      <c r="BT96" s="256"/>
      <c r="BU96" s="256"/>
      <c r="BV96" s="256"/>
      <c r="BW96" s="256"/>
      <c r="BX96" s="256"/>
      <c r="BY96" s="256"/>
      <c r="BZ96" s="256"/>
    </row>
    <row r="97" spans="1:78" ht="17.25" hidden="1" customHeight="1" x14ac:dyDescent="0.25">
      <c r="A97" s="256"/>
      <c r="B97" s="256"/>
      <c r="C97" s="256"/>
      <c r="D97" s="256"/>
      <c r="E97" s="256"/>
      <c r="F97" s="256"/>
      <c r="G97" s="256"/>
      <c r="H97" s="256"/>
      <c r="I97" s="256"/>
      <c r="J97" s="256"/>
      <c r="K97" s="256"/>
      <c r="L97" s="256"/>
      <c r="M97" s="256"/>
      <c r="N97" s="256"/>
      <c r="O97" s="256"/>
      <c r="P97" s="256"/>
      <c r="Q97" s="256"/>
      <c r="R97" s="256"/>
      <c r="S97" s="256"/>
      <c r="T97" s="256"/>
      <c r="U97" s="256"/>
      <c r="V97" s="256"/>
      <c r="W97" s="256"/>
      <c r="X97" s="256"/>
      <c r="Y97" s="256"/>
      <c r="Z97" s="256"/>
      <c r="AA97" s="256"/>
      <c r="AB97" s="256"/>
      <c r="AC97" s="256"/>
      <c r="AD97" s="256"/>
      <c r="AE97" s="256"/>
      <c r="AF97" s="256"/>
      <c r="AG97" s="256"/>
      <c r="AH97" s="256"/>
      <c r="AI97" s="256"/>
      <c r="AJ97" s="256"/>
      <c r="AK97" s="256"/>
      <c r="AL97" s="256"/>
      <c r="AM97" s="256"/>
      <c r="AN97" s="256"/>
      <c r="AO97" s="256"/>
      <c r="AP97" s="256"/>
      <c r="AQ97" s="256"/>
      <c r="AR97" s="256"/>
      <c r="AS97" s="256"/>
      <c r="AT97" s="256"/>
      <c r="AU97" s="256"/>
      <c r="AV97" s="256"/>
      <c r="AW97" s="256"/>
      <c r="AX97" s="256"/>
      <c r="AY97" s="256"/>
      <c r="AZ97" s="256"/>
      <c r="BA97" s="256"/>
      <c r="BB97" s="256"/>
      <c r="BC97" s="256"/>
      <c r="BD97" s="256"/>
      <c r="BE97" s="256"/>
      <c r="BF97" s="256"/>
      <c r="BG97" s="256"/>
      <c r="BH97" s="256"/>
      <c r="BI97" s="256"/>
      <c r="BJ97" s="256"/>
      <c r="BK97" s="256"/>
      <c r="BL97" s="256"/>
      <c r="BM97" s="256"/>
      <c r="BN97" s="256"/>
      <c r="BO97" s="256"/>
      <c r="BP97" s="256"/>
      <c r="BQ97" s="256"/>
      <c r="BR97" s="256"/>
      <c r="BS97" s="256"/>
      <c r="BT97" s="256"/>
      <c r="BU97" s="256"/>
      <c r="BV97" s="256"/>
      <c r="BW97" s="256"/>
      <c r="BX97" s="256"/>
      <c r="BY97" s="256"/>
      <c r="BZ97" s="256"/>
    </row>
    <row r="98" spans="1:78" ht="17.25" hidden="1" customHeight="1" x14ac:dyDescent="0.25">
      <c r="A98" s="256"/>
      <c r="B98" s="256"/>
      <c r="C98" s="256"/>
      <c r="D98" s="256"/>
      <c r="E98" s="256"/>
      <c r="F98" s="256"/>
      <c r="G98" s="256"/>
      <c r="H98" s="256"/>
      <c r="I98" s="256"/>
      <c r="J98" s="256"/>
      <c r="K98" s="256"/>
      <c r="L98" s="256"/>
      <c r="M98" s="256"/>
      <c r="N98" s="256"/>
      <c r="O98" s="256"/>
      <c r="P98" s="256"/>
      <c r="Q98" s="256"/>
      <c r="R98" s="256"/>
      <c r="S98" s="256"/>
      <c r="T98" s="256"/>
      <c r="U98" s="256"/>
      <c r="V98" s="256"/>
      <c r="W98" s="256"/>
      <c r="X98" s="256"/>
      <c r="Y98" s="256"/>
      <c r="Z98" s="256"/>
      <c r="AA98" s="256"/>
      <c r="AB98" s="256"/>
      <c r="AC98" s="256"/>
      <c r="AD98" s="256"/>
      <c r="AE98" s="256"/>
      <c r="AF98" s="256"/>
      <c r="AG98" s="256"/>
      <c r="AH98" s="256"/>
      <c r="AI98" s="256"/>
      <c r="AJ98" s="256"/>
      <c r="AK98" s="256"/>
      <c r="AL98" s="256"/>
      <c r="AM98" s="256"/>
      <c r="AN98" s="256"/>
      <c r="AO98" s="256"/>
      <c r="AP98" s="256"/>
      <c r="AQ98" s="256"/>
      <c r="AR98" s="256"/>
      <c r="AS98" s="256"/>
      <c r="AT98" s="256"/>
      <c r="AU98" s="256"/>
      <c r="AV98" s="256"/>
      <c r="AW98" s="256"/>
      <c r="AX98" s="256"/>
      <c r="AY98" s="256"/>
      <c r="AZ98" s="256"/>
      <c r="BA98" s="256"/>
      <c r="BB98" s="256"/>
      <c r="BC98" s="256"/>
      <c r="BD98" s="256"/>
      <c r="BE98" s="256"/>
      <c r="BF98" s="256"/>
      <c r="BG98" s="256"/>
      <c r="BH98" s="256"/>
      <c r="BI98" s="256"/>
      <c r="BJ98" s="256"/>
      <c r="BK98" s="256"/>
      <c r="BL98" s="256"/>
      <c r="BM98" s="256"/>
      <c r="BN98" s="256"/>
      <c r="BO98" s="256"/>
      <c r="BP98" s="256"/>
      <c r="BQ98" s="256"/>
      <c r="BR98" s="256"/>
      <c r="BS98" s="256"/>
      <c r="BT98" s="256"/>
      <c r="BU98" s="256"/>
      <c r="BV98" s="256"/>
      <c r="BW98" s="256"/>
      <c r="BX98" s="256"/>
      <c r="BY98" s="256"/>
      <c r="BZ98" s="256"/>
    </row>
    <row r="99" spans="1:78" ht="17.25" hidden="1" customHeight="1" x14ac:dyDescent="0.25">
      <c r="A99" s="256"/>
      <c r="B99" s="256"/>
      <c r="C99" s="256"/>
      <c r="D99" s="256"/>
      <c r="E99" s="256"/>
      <c r="F99" s="256"/>
      <c r="G99" s="256"/>
      <c r="H99" s="256"/>
      <c r="I99" s="256"/>
      <c r="J99" s="256"/>
      <c r="K99" s="256"/>
      <c r="L99" s="256"/>
      <c r="M99" s="256"/>
      <c r="N99" s="256"/>
      <c r="O99" s="256"/>
      <c r="P99" s="256"/>
      <c r="Q99" s="256"/>
      <c r="R99" s="256"/>
      <c r="S99" s="256"/>
      <c r="T99" s="256"/>
      <c r="U99" s="256"/>
      <c r="V99" s="256"/>
      <c r="W99" s="256"/>
      <c r="X99" s="256"/>
      <c r="Y99" s="256"/>
      <c r="Z99" s="256"/>
      <c r="AA99" s="256"/>
      <c r="AB99" s="256"/>
      <c r="AC99" s="256"/>
      <c r="AD99" s="256"/>
      <c r="AE99" s="256"/>
      <c r="AF99" s="256"/>
      <c r="AG99" s="256"/>
      <c r="AH99" s="256"/>
      <c r="AI99" s="256"/>
      <c r="AJ99" s="256"/>
      <c r="AK99" s="256"/>
      <c r="AL99" s="256"/>
      <c r="AM99" s="256"/>
      <c r="AN99" s="256"/>
      <c r="AO99" s="256"/>
      <c r="AP99" s="256"/>
      <c r="AQ99" s="256"/>
      <c r="AR99" s="256"/>
      <c r="AS99" s="256"/>
      <c r="AT99" s="256"/>
      <c r="AU99" s="256"/>
      <c r="AV99" s="256"/>
      <c r="AW99" s="256"/>
      <c r="AX99" s="256"/>
      <c r="AY99" s="256"/>
      <c r="AZ99" s="256"/>
      <c r="BA99" s="256"/>
      <c r="BB99" s="256"/>
      <c r="BC99" s="256"/>
      <c r="BD99" s="256"/>
      <c r="BE99" s="256"/>
      <c r="BF99" s="256"/>
      <c r="BG99" s="256"/>
      <c r="BH99" s="256"/>
      <c r="BI99" s="256"/>
      <c r="BJ99" s="256"/>
      <c r="BK99" s="256"/>
      <c r="BL99" s="256"/>
      <c r="BM99" s="256"/>
      <c r="BN99" s="256"/>
      <c r="BO99" s="256"/>
      <c r="BP99" s="256"/>
      <c r="BQ99" s="256"/>
      <c r="BR99" s="256"/>
      <c r="BS99" s="256"/>
      <c r="BT99" s="256"/>
      <c r="BU99" s="256"/>
      <c r="BV99" s="256"/>
      <c r="BW99" s="256"/>
      <c r="BX99" s="256"/>
      <c r="BY99" s="256"/>
      <c r="BZ99" s="256"/>
    </row>
    <row r="100" spans="1:78" ht="17.25" hidden="1" customHeight="1" x14ac:dyDescent="0.25">
      <c r="A100" s="256"/>
      <c r="B100" s="256"/>
      <c r="C100" s="256"/>
      <c r="D100" s="256"/>
      <c r="E100" s="256"/>
      <c r="F100" s="256"/>
      <c r="G100" s="256"/>
      <c r="H100" s="256"/>
      <c r="I100" s="256"/>
      <c r="J100" s="256"/>
      <c r="K100" s="256"/>
      <c r="L100" s="256"/>
      <c r="M100" s="256"/>
      <c r="N100" s="256"/>
      <c r="O100" s="256"/>
      <c r="P100" s="256"/>
      <c r="Q100" s="256"/>
      <c r="R100" s="256"/>
      <c r="S100" s="256"/>
      <c r="T100" s="256"/>
      <c r="U100" s="256"/>
      <c r="V100" s="256"/>
      <c r="W100" s="256"/>
      <c r="X100" s="256"/>
      <c r="Y100" s="256"/>
      <c r="Z100" s="256"/>
      <c r="AA100" s="256"/>
      <c r="AB100" s="256"/>
      <c r="AC100" s="256"/>
      <c r="AD100" s="256"/>
      <c r="AE100" s="256"/>
      <c r="AF100" s="256"/>
      <c r="AG100" s="256"/>
      <c r="AH100" s="256"/>
      <c r="AI100" s="256"/>
      <c r="AJ100" s="256"/>
      <c r="AK100" s="256"/>
      <c r="AL100" s="256"/>
      <c r="AM100" s="256"/>
      <c r="AN100" s="256"/>
      <c r="AO100" s="256"/>
      <c r="AP100" s="256"/>
      <c r="AQ100" s="256"/>
      <c r="AR100" s="256"/>
      <c r="AS100" s="256"/>
      <c r="AT100" s="256"/>
      <c r="AU100" s="256"/>
      <c r="AV100" s="256"/>
      <c r="AW100" s="256"/>
      <c r="AX100" s="256"/>
      <c r="AY100" s="256"/>
      <c r="AZ100" s="256"/>
      <c r="BA100" s="256"/>
      <c r="BB100" s="256"/>
      <c r="BC100" s="256"/>
      <c r="BD100" s="256"/>
      <c r="BE100" s="256"/>
      <c r="BF100" s="256"/>
      <c r="BG100" s="256"/>
      <c r="BH100" s="256"/>
      <c r="BI100" s="256"/>
      <c r="BJ100" s="256"/>
      <c r="BK100" s="256"/>
      <c r="BL100" s="256"/>
      <c r="BM100" s="256"/>
      <c r="BN100" s="256"/>
      <c r="BO100" s="256"/>
      <c r="BP100" s="256"/>
      <c r="BQ100" s="256"/>
      <c r="BR100" s="256"/>
      <c r="BS100" s="256"/>
      <c r="BT100" s="256"/>
      <c r="BU100" s="256"/>
      <c r="BV100" s="256"/>
      <c r="BW100" s="256"/>
      <c r="BX100" s="256"/>
      <c r="BY100" s="256"/>
      <c r="BZ100" s="256"/>
    </row>
    <row r="101" spans="1:78" ht="17.25" hidden="1" customHeight="1" x14ac:dyDescent="0.25">
      <c r="A101" s="256"/>
      <c r="B101" s="256"/>
      <c r="C101" s="256"/>
      <c r="D101" s="256"/>
      <c r="E101" s="256"/>
      <c r="F101" s="256"/>
      <c r="G101" s="256"/>
      <c r="H101" s="256"/>
      <c r="I101" s="256"/>
      <c r="J101" s="256"/>
      <c r="K101" s="256"/>
      <c r="L101" s="256"/>
      <c r="M101" s="256"/>
      <c r="N101" s="256"/>
      <c r="O101" s="256"/>
      <c r="P101" s="256"/>
      <c r="Q101" s="256"/>
      <c r="R101" s="256"/>
      <c r="S101" s="256"/>
      <c r="T101" s="256"/>
      <c r="U101" s="256"/>
      <c r="V101" s="256"/>
      <c r="W101" s="256"/>
      <c r="X101" s="256"/>
      <c r="Y101" s="256"/>
      <c r="Z101" s="256"/>
      <c r="AA101" s="256"/>
      <c r="AB101" s="256"/>
      <c r="AC101" s="256"/>
      <c r="AD101" s="256"/>
      <c r="AE101" s="256"/>
      <c r="AF101" s="256"/>
      <c r="AG101" s="256"/>
      <c r="AH101" s="256"/>
      <c r="AI101" s="256"/>
      <c r="AJ101" s="256"/>
      <c r="AK101" s="256"/>
      <c r="AL101" s="256"/>
      <c r="AM101" s="256"/>
      <c r="AN101" s="256"/>
      <c r="AO101" s="256"/>
      <c r="AP101" s="256"/>
      <c r="AQ101" s="256"/>
      <c r="AR101" s="256"/>
      <c r="AS101" s="256"/>
      <c r="AT101" s="256"/>
      <c r="AU101" s="256"/>
      <c r="AV101" s="256"/>
      <c r="AW101" s="256"/>
      <c r="AX101" s="256"/>
      <c r="AY101" s="256"/>
      <c r="AZ101" s="256"/>
      <c r="BA101" s="256"/>
      <c r="BB101" s="256"/>
      <c r="BC101" s="256"/>
      <c r="BD101" s="256"/>
      <c r="BE101" s="256"/>
      <c r="BF101" s="256"/>
      <c r="BG101" s="256"/>
      <c r="BH101" s="256"/>
      <c r="BI101" s="256"/>
      <c r="BJ101" s="256"/>
      <c r="BK101" s="256"/>
      <c r="BL101" s="256"/>
      <c r="BM101" s="256"/>
      <c r="BN101" s="256"/>
      <c r="BO101" s="256"/>
      <c r="BP101" s="256"/>
      <c r="BQ101" s="256"/>
      <c r="BR101" s="256"/>
      <c r="BS101" s="256"/>
      <c r="BT101" s="256"/>
      <c r="BU101" s="256"/>
      <c r="BV101" s="256"/>
      <c r="BW101" s="256"/>
      <c r="BX101" s="256"/>
      <c r="BY101" s="256"/>
      <c r="BZ101" s="256"/>
    </row>
    <row r="102" spans="1:78" ht="17.25" hidden="1" customHeight="1" x14ac:dyDescent="0.25">
      <c r="A102" s="256"/>
      <c r="B102" s="256"/>
      <c r="C102" s="256"/>
      <c r="D102" s="256"/>
      <c r="E102" s="256"/>
      <c r="F102" s="256"/>
      <c r="G102" s="256"/>
      <c r="H102" s="256"/>
      <c r="I102" s="256"/>
      <c r="J102" s="256"/>
      <c r="K102" s="256"/>
      <c r="L102" s="256"/>
      <c r="M102" s="256"/>
      <c r="N102" s="256"/>
      <c r="O102" s="256"/>
      <c r="P102" s="256"/>
      <c r="Q102" s="256"/>
      <c r="R102" s="256"/>
      <c r="S102" s="256"/>
      <c r="T102" s="256"/>
      <c r="U102" s="256"/>
      <c r="V102" s="256"/>
      <c r="W102" s="256"/>
      <c r="X102" s="256"/>
      <c r="Y102" s="256"/>
      <c r="Z102" s="256"/>
      <c r="AA102" s="256"/>
      <c r="AB102" s="256"/>
      <c r="AC102" s="256"/>
      <c r="AD102" s="256"/>
      <c r="AE102" s="256"/>
      <c r="AF102" s="256"/>
      <c r="AG102" s="256"/>
      <c r="AH102" s="256"/>
      <c r="AI102" s="256"/>
      <c r="AJ102" s="256"/>
      <c r="AK102" s="256"/>
      <c r="AL102" s="256"/>
      <c r="AM102" s="256"/>
      <c r="AN102" s="256"/>
      <c r="AO102" s="256"/>
      <c r="AP102" s="256"/>
      <c r="AQ102" s="256"/>
      <c r="AR102" s="256"/>
      <c r="AS102" s="256"/>
      <c r="AT102" s="256"/>
      <c r="AU102" s="256"/>
      <c r="AV102" s="256"/>
      <c r="AW102" s="256"/>
      <c r="AX102" s="256"/>
      <c r="AY102" s="256"/>
      <c r="AZ102" s="256"/>
      <c r="BA102" s="256"/>
      <c r="BB102" s="256"/>
      <c r="BC102" s="256"/>
      <c r="BD102" s="256"/>
      <c r="BE102" s="256"/>
      <c r="BF102" s="256"/>
      <c r="BG102" s="256"/>
      <c r="BH102" s="256"/>
      <c r="BI102" s="256"/>
      <c r="BJ102" s="256"/>
      <c r="BK102" s="256"/>
      <c r="BL102" s="256"/>
      <c r="BM102" s="256"/>
      <c r="BN102" s="256"/>
      <c r="BO102" s="256"/>
      <c r="BP102" s="256"/>
      <c r="BQ102" s="256"/>
      <c r="BR102" s="256"/>
      <c r="BS102" s="256"/>
      <c r="BT102" s="256"/>
      <c r="BU102" s="256"/>
      <c r="BV102" s="256"/>
      <c r="BW102" s="256"/>
      <c r="BX102" s="256"/>
      <c r="BY102" s="256"/>
      <c r="BZ102" s="256"/>
    </row>
    <row r="103" spans="1:78" s="99" customFormat="1" ht="43.5" hidden="1" customHeight="1" x14ac:dyDescent="0.25">
      <c r="A103" s="256"/>
      <c r="B103" s="475" t="str">
        <f>IFERROR(HYPERLINK(MouseOverEvent('_Data Status Month'!$A$107),'_Data Status Month'!$A$107),'_Data Status Month'!$A$107)</f>
        <v>Putting</v>
      </c>
      <c r="C103" s="238"/>
      <c r="D103" s="481"/>
      <c r="E103" s="481"/>
      <c r="F103" s="481"/>
      <c r="G103" s="481"/>
      <c r="H103" s="481"/>
      <c r="I103" s="481"/>
      <c r="J103" s="481"/>
      <c r="K103" s="481"/>
      <c r="L103" s="481"/>
      <c r="M103" s="481"/>
      <c r="N103" s="481"/>
      <c r="O103" s="481"/>
      <c r="P103" s="481"/>
      <c r="Q103" s="481"/>
      <c r="R103" s="481"/>
      <c r="S103" s="481"/>
      <c r="T103" s="256"/>
      <c r="U103" s="466"/>
      <c r="V103" s="466"/>
      <c r="W103" s="466"/>
      <c r="X103" s="466"/>
      <c r="Y103" s="466"/>
      <c r="Z103" s="466"/>
      <c r="AA103" s="466"/>
      <c r="AB103" s="466"/>
      <c r="AC103" s="466"/>
      <c r="AD103" s="466"/>
      <c r="AE103" s="466"/>
      <c r="AF103" s="466"/>
      <c r="AG103" s="466"/>
      <c r="AH103" s="466"/>
      <c r="AI103" s="466"/>
      <c r="AJ103" s="466"/>
      <c r="AK103" s="256"/>
      <c r="AL103" s="256"/>
      <c r="AM103" s="256"/>
      <c r="AN103" s="256"/>
      <c r="AO103" s="256"/>
      <c r="AP103" s="256"/>
      <c r="AQ103" s="256"/>
      <c r="AR103" s="256"/>
      <c r="AS103" s="256"/>
      <c r="AT103" s="256"/>
      <c r="AU103" s="256"/>
      <c r="AV103" s="256"/>
      <c r="AW103" s="256"/>
      <c r="AX103" s="256"/>
      <c r="AY103" s="256"/>
      <c r="AZ103" s="256"/>
      <c r="BA103" s="256"/>
      <c r="BB103" s="256"/>
      <c r="BC103" s="256"/>
      <c r="BD103" s="256"/>
      <c r="BE103" s="256"/>
      <c r="BF103" s="256"/>
      <c r="BG103" s="256"/>
      <c r="BH103" s="256"/>
      <c r="BI103" s="256"/>
      <c r="BJ103" s="256"/>
      <c r="BK103" s="256"/>
      <c r="BL103" s="256"/>
      <c r="BM103" s="256"/>
      <c r="BN103" s="256"/>
      <c r="BO103" s="256"/>
      <c r="BP103" s="256"/>
      <c r="BQ103" s="256"/>
      <c r="BR103" s="256"/>
      <c r="BS103" s="256"/>
      <c r="BT103" s="256"/>
      <c r="BU103" s="256"/>
      <c r="BV103" s="256"/>
      <c r="BW103" s="256"/>
      <c r="BX103" s="256"/>
      <c r="BY103" s="256"/>
      <c r="BZ103" s="256"/>
    </row>
    <row r="104" spans="1:78" s="99" customFormat="1" ht="43.5" hidden="1" customHeight="1" x14ac:dyDescent="0.25">
      <c r="A104" s="256"/>
      <c r="B104" s="476"/>
      <c r="C104" s="256"/>
      <c r="D104" s="481"/>
      <c r="E104" s="481"/>
      <c r="F104" s="481"/>
      <c r="G104" s="481"/>
      <c r="H104" s="481"/>
      <c r="I104" s="481"/>
      <c r="J104" s="481"/>
      <c r="K104" s="481"/>
      <c r="L104" s="481"/>
      <c r="M104" s="481"/>
      <c r="N104" s="481"/>
      <c r="O104" s="481"/>
      <c r="P104" s="481"/>
      <c r="Q104" s="481"/>
      <c r="R104" s="481"/>
      <c r="S104" s="481"/>
      <c r="T104" s="256"/>
      <c r="U104" s="466"/>
      <c r="V104" s="466"/>
      <c r="W104" s="466"/>
      <c r="X104" s="466"/>
      <c r="Y104" s="466"/>
      <c r="Z104" s="466"/>
      <c r="AA104" s="466"/>
      <c r="AB104" s="466"/>
      <c r="AC104" s="466"/>
      <c r="AD104" s="466"/>
      <c r="AE104" s="466"/>
      <c r="AF104" s="466"/>
      <c r="AG104" s="466"/>
      <c r="AH104" s="466"/>
      <c r="AI104" s="466"/>
      <c r="AJ104" s="466"/>
      <c r="AK104" s="256"/>
      <c r="AL104" s="256"/>
      <c r="AM104" s="256"/>
      <c r="AN104" s="256"/>
      <c r="AO104" s="256"/>
      <c r="AP104" s="256"/>
      <c r="AQ104" s="256"/>
      <c r="AR104" s="256"/>
      <c r="AS104" s="256"/>
      <c r="AT104" s="256"/>
      <c r="AU104" s="256"/>
      <c r="AV104" s="256"/>
      <c r="AW104" s="256"/>
      <c r="AX104" s="256"/>
      <c r="AY104" s="256"/>
      <c r="AZ104" s="256"/>
      <c r="BA104" s="256"/>
      <c r="BB104" s="256"/>
      <c r="BC104" s="256"/>
      <c r="BD104" s="256"/>
      <c r="BE104" s="256"/>
      <c r="BF104" s="256"/>
      <c r="BG104" s="256"/>
      <c r="BH104" s="256"/>
      <c r="BI104" s="256"/>
      <c r="BJ104" s="256"/>
      <c r="BK104" s="256"/>
      <c r="BL104" s="256"/>
      <c r="BM104" s="256"/>
      <c r="BN104" s="256"/>
      <c r="BO104" s="256"/>
      <c r="BP104" s="256"/>
      <c r="BQ104" s="256"/>
      <c r="BR104" s="256"/>
      <c r="BS104" s="256"/>
      <c r="BT104" s="256"/>
      <c r="BU104" s="256"/>
      <c r="BV104" s="256"/>
      <c r="BW104" s="256"/>
      <c r="BX104" s="256"/>
      <c r="BY104" s="256"/>
      <c r="BZ104" s="256"/>
    </row>
    <row r="105" spans="1:78" s="99" customFormat="1" ht="43.5" hidden="1" customHeight="1" x14ac:dyDescent="0.25">
      <c r="A105" s="256"/>
      <c r="B105" s="476"/>
      <c r="C105" s="256"/>
      <c r="D105" s="481"/>
      <c r="E105" s="481"/>
      <c r="F105" s="481"/>
      <c r="G105" s="481"/>
      <c r="H105" s="481"/>
      <c r="I105" s="481"/>
      <c r="J105" s="481"/>
      <c r="K105" s="481"/>
      <c r="L105" s="481"/>
      <c r="M105" s="481"/>
      <c r="N105" s="481"/>
      <c r="O105" s="481"/>
      <c r="P105" s="481"/>
      <c r="Q105" s="481"/>
      <c r="R105" s="481"/>
      <c r="S105" s="481"/>
      <c r="T105" s="256"/>
      <c r="U105" s="466"/>
      <c r="V105" s="466"/>
      <c r="W105" s="466"/>
      <c r="X105" s="466"/>
      <c r="Y105" s="466"/>
      <c r="Z105" s="466"/>
      <c r="AA105" s="466"/>
      <c r="AB105" s="466"/>
      <c r="AC105" s="466"/>
      <c r="AD105" s="466"/>
      <c r="AE105" s="466"/>
      <c r="AF105" s="466"/>
      <c r="AG105" s="466"/>
      <c r="AH105" s="466"/>
      <c r="AI105" s="466"/>
      <c r="AJ105" s="466"/>
      <c r="AK105" s="256"/>
      <c r="AL105" s="256"/>
      <c r="AM105" s="256"/>
      <c r="AN105" s="256"/>
      <c r="AO105" s="256"/>
      <c r="AP105" s="256"/>
      <c r="AQ105" s="256"/>
      <c r="AR105" s="256"/>
      <c r="AS105" s="256"/>
      <c r="AT105" s="256"/>
      <c r="AU105" s="256"/>
      <c r="AV105" s="256"/>
      <c r="AW105" s="256"/>
      <c r="AX105" s="256"/>
      <c r="AY105" s="256"/>
      <c r="AZ105" s="256"/>
      <c r="BA105" s="256"/>
      <c r="BB105" s="256"/>
      <c r="BC105" s="256"/>
      <c r="BD105" s="256"/>
      <c r="BE105" s="256"/>
      <c r="BF105" s="256"/>
      <c r="BG105" s="256"/>
      <c r="BH105" s="256"/>
      <c r="BI105" s="256"/>
      <c r="BJ105" s="256"/>
      <c r="BK105" s="256"/>
      <c r="BL105" s="256"/>
      <c r="BM105" s="256"/>
      <c r="BN105" s="256"/>
      <c r="BO105" s="256"/>
      <c r="BP105" s="256"/>
      <c r="BQ105" s="256"/>
      <c r="BR105" s="256"/>
      <c r="BS105" s="256"/>
      <c r="BT105" s="256"/>
      <c r="BU105" s="256"/>
      <c r="BV105" s="256"/>
      <c r="BW105" s="256"/>
      <c r="BX105" s="256"/>
      <c r="BY105" s="256"/>
      <c r="BZ105" s="256"/>
    </row>
    <row r="106" spans="1:78" s="99" customFormat="1" ht="43.5" hidden="1" customHeight="1" x14ac:dyDescent="0.25">
      <c r="A106" s="256"/>
      <c r="B106" s="476"/>
      <c r="C106" s="238"/>
      <c r="D106" s="481"/>
      <c r="E106" s="481"/>
      <c r="F106" s="481"/>
      <c r="G106" s="481"/>
      <c r="H106" s="481"/>
      <c r="I106" s="481"/>
      <c r="J106" s="481"/>
      <c r="K106" s="481"/>
      <c r="L106" s="481"/>
      <c r="M106" s="481"/>
      <c r="N106" s="481"/>
      <c r="O106" s="481"/>
      <c r="P106" s="481"/>
      <c r="Q106" s="481"/>
      <c r="R106" s="481"/>
      <c r="S106" s="481"/>
      <c r="T106" s="256"/>
      <c r="U106" s="466"/>
      <c r="V106" s="466"/>
      <c r="W106" s="466"/>
      <c r="X106" s="466"/>
      <c r="Y106" s="466"/>
      <c r="Z106" s="466"/>
      <c r="AA106" s="466"/>
      <c r="AB106" s="466"/>
      <c r="AC106" s="466"/>
      <c r="AD106" s="466"/>
      <c r="AE106" s="466"/>
      <c r="AF106" s="466"/>
      <c r="AG106" s="466"/>
      <c r="AH106" s="466"/>
      <c r="AI106" s="466"/>
      <c r="AJ106" s="466"/>
      <c r="AK106" s="256"/>
      <c r="AL106" s="256"/>
      <c r="AM106" s="256"/>
      <c r="AN106" s="256"/>
      <c r="AO106" s="256"/>
      <c r="AP106" s="256"/>
      <c r="AQ106" s="256"/>
      <c r="AR106" s="256"/>
      <c r="AS106" s="256"/>
      <c r="AT106" s="256"/>
      <c r="AU106" s="256"/>
      <c r="AV106" s="256"/>
      <c r="AW106" s="256"/>
      <c r="AX106" s="256"/>
      <c r="AY106" s="256"/>
      <c r="AZ106" s="256"/>
      <c r="BA106" s="256"/>
      <c r="BB106" s="256"/>
      <c r="BC106" s="256"/>
      <c r="BD106" s="256"/>
      <c r="BE106" s="256"/>
      <c r="BF106" s="256"/>
      <c r="BG106" s="256"/>
      <c r="BH106" s="256"/>
      <c r="BI106" s="256"/>
      <c r="BJ106" s="256"/>
      <c r="BK106" s="256"/>
      <c r="BL106" s="256"/>
      <c r="BM106" s="256"/>
      <c r="BN106" s="256"/>
      <c r="BO106" s="256"/>
      <c r="BP106" s="256"/>
      <c r="BQ106" s="256"/>
      <c r="BR106" s="256"/>
      <c r="BS106" s="256"/>
      <c r="BT106" s="256"/>
      <c r="BU106" s="256"/>
      <c r="BV106" s="256"/>
      <c r="BW106" s="256"/>
      <c r="BX106" s="256"/>
      <c r="BY106" s="256"/>
      <c r="BZ106" s="256"/>
    </row>
    <row r="107" spans="1:78" s="99" customFormat="1" ht="43.5" hidden="1" customHeight="1" x14ac:dyDescent="0.25">
      <c r="A107" s="256"/>
      <c r="B107" s="476"/>
      <c r="C107" s="256"/>
      <c r="D107" s="481"/>
      <c r="E107" s="481"/>
      <c r="F107" s="481"/>
      <c r="G107" s="481"/>
      <c r="H107" s="481"/>
      <c r="I107" s="481"/>
      <c r="J107" s="481"/>
      <c r="K107" s="481"/>
      <c r="L107" s="481"/>
      <c r="M107" s="481"/>
      <c r="N107" s="481"/>
      <c r="O107" s="481"/>
      <c r="P107" s="481"/>
      <c r="Q107" s="481"/>
      <c r="R107" s="481"/>
      <c r="S107" s="481"/>
      <c r="T107" s="256"/>
      <c r="U107" s="466"/>
      <c r="V107" s="466"/>
      <c r="W107" s="466"/>
      <c r="X107" s="466"/>
      <c r="Y107" s="466"/>
      <c r="Z107" s="466"/>
      <c r="AA107" s="466"/>
      <c r="AB107" s="466"/>
      <c r="AC107" s="466"/>
      <c r="AD107" s="466"/>
      <c r="AE107" s="466"/>
      <c r="AF107" s="466"/>
      <c r="AG107" s="466"/>
      <c r="AH107" s="466"/>
      <c r="AI107" s="466"/>
      <c r="AJ107" s="466"/>
      <c r="AK107" s="256"/>
      <c r="AL107" s="256"/>
      <c r="AM107" s="256"/>
      <c r="AN107" s="256"/>
      <c r="AO107" s="256"/>
      <c r="AP107" s="256"/>
      <c r="AQ107" s="256"/>
      <c r="AR107" s="256"/>
      <c r="AS107" s="256"/>
      <c r="AT107" s="256"/>
      <c r="AU107" s="256"/>
      <c r="AV107" s="256"/>
      <c r="AW107" s="256"/>
      <c r="AX107" s="256"/>
      <c r="AY107" s="256"/>
      <c r="AZ107" s="256"/>
      <c r="BA107" s="256"/>
      <c r="BB107" s="256"/>
      <c r="BC107" s="256"/>
      <c r="BD107" s="256"/>
      <c r="BE107" s="256"/>
      <c r="BF107" s="256"/>
      <c r="BG107" s="256"/>
      <c r="BH107" s="256"/>
      <c r="BI107" s="256"/>
      <c r="BJ107" s="256"/>
      <c r="BK107" s="256"/>
      <c r="BL107" s="256"/>
      <c r="BM107" s="256"/>
      <c r="BN107" s="256"/>
      <c r="BO107" s="256"/>
      <c r="BP107" s="256"/>
      <c r="BQ107" s="256"/>
      <c r="BR107" s="256"/>
      <c r="BS107" s="256"/>
      <c r="BT107" s="256"/>
      <c r="BU107" s="256"/>
      <c r="BV107" s="256"/>
      <c r="BW107" s="256"/>
      <c r="BX107" s="256"/>
      <c r="BY107" s="256"/>
      <c r="BZ107" s="256"/>
    </row>
    <row r="108" spans="1:78" s="99" customFormat="1" ht="43.5" hidden="1" customHeight="1" x14ac:dyDescent="0.25">
      <c r="A108" s="256"/>
      <c r="B108" s="477"/>
      <c r="C108" s="256"/>
      <c r="D108" s="481"/>
      <c r="E108" s="481"/>
      <c r="F108" s="481"/>
      <c r="G108" s="481"/>
      <c r="H108" s="481"/>
      <c r="I108" s="481"/>
      <c r="J108" s="481"/>
      <c r="K108" s="481"/>
      <c r="L108" s="481"/>
      <c r="M108" s="481"/>
      <c r="N108" s="481"/>
      <c r="O108" s="481"/>
      <c r="P108" s="481"/>
      <c r="Q108" s="481"/>
      <c r="R108" s="481"/>
      <c r="S108" s="481"/>
      <c r="T108" s="256"/>
      <c r="U108" s="466"/>
      <c r="V108" s="466"/>
      <c r="W108" s="466"/>
      <c r="X108" s="466"/>
      <c r="Y108" s="466"/>
      <c r="Z108" s="466"/>
      <c r="AA108" s="466"/>
      <c r="AB108" s="466"/>
      <c r="AC108" s="466"/>
      <c r="AD108" s="466"/>
      <c r="AE108" s="466"/>
      <c r="AF108" s="466"/>
      <c r="AG108" s="466"/>
      <c r="AH108" s="466"/>
      <c r="AI108" s="466"/>
      <c r="AJ108" s="466"/>
      <c r="AK108" s="256"/>
      <c r="AL108" s="256"/>
      <c r="AM108" s="256"/>
      <c r="AN108" s="256"/>
      <c r="AO108" s="256"/>
      <c r="AP108" s="256"/>
      <c r="AQ108" s="256"/>
      <c r="AR108" s="256"/>
      <c r="AS108" s="256"/>
      <c r="AT108" s="256"/>
      <c r="AU108" s="256"/>
      <c r="AV108" s="256"/>
      <c r="AW108" s="256"/>
      <c r="AX108" s="256"/>
      <c r="AY108" s="256"/>
      <c r="AZ108" s="256"/>
      <c r="BA108" s="256"/>
      <c r="BB108" s="256"/>
      <c r="BC108" s="256"/>
      <c r="BD108" s="256"/>
      <c r="BE108" s="256"/>
      <c r="BF108" s="256"/>
      <c r="BG108" s="256"/>
      <c r="BH108" s="256"/>
      <c r="BI108" s="256"/>
      <c r="BJ108" s="256"/>
      <c r="BK108" s="256"/>
      <c r="BL108" s="256"/>
      <c r="BM108" s="256"/>
      <c r="BN108" s="256"/>
      <c r="BO108" s="256"/>
      <c r="BP108" s="256"/>
      <c r="BQ108" s="256"/>
      <c r="BR108" s="256"/>
      <c r="BS108" s="256"/>
      <c r="BT108" s="256"/>
      <c r="BU108" s="256"/>
      <c r="BV108" s="256"/>
      <c r="BW108" s="256"/>
      <c r="BX108" s="256"/>
      <c r="BY108" s="256"/>
      <c r="BZ108" s="256"/>
    </row>
    <row r="109" spans="1:78" s="99" customFormat="1" ht="3" hidden="1" customHeight="1" x14ac:dyDescent="0.25">
      <c r="A109" s="256"/>
      <c r="B109" s="256"/>
      <c r="C109" s="256"/>
      <c r="D109" s="256"/>
      <c r="E109" s="256"/>
      <c r="F109" s="256"/>
      <c r="G109" s="256"/>
      <c r="H109" s="256"/>
      <c r="I109" s="256"/>
      <c r="J109" s="256"/>
      <c r="K109" s="256"/>
      <c r="L109" s="256"/>
      <c r="M109" s="256"/>
      <c r="N109" s="256"/>
      <c r="O109" s="256"/>
      <c r="P109" s="256"/>
      <c r="Q109" s="256"/>
      <c r="R109" s="256"/>
      <c r="S109" s="256"/>
      <c r="T109" s="256"/>
      <c r="U109" s="256"/>
      <c r="V109" s="256"/>
      <c r="W109" s="256"/>
      <c r="X109" s="256"/>
      <c r="Y109" s="256"/>
      <c r="Z109" s="256"/>
      <c r="AA109" s="256"/>
      <c r="AB109" s="256"/>
      <c r="AC109" s="256"/>
      <c r="AD109" s="256"/>
      <c r="AE109" s="256"/>
      <c r="AF109" s="256"/>
      <c r="AG109" s="256"/>
      <c r="AH109" s="256"/>
      <c r="AI109" s="256"/>
      <c r="AJ109" s="256"/>
      <c r="AK109" s="256"/>
      <c r="AL109" s="256"/>
      <c r="AM109" s="256"/>
      <c r="AN109" s="256"/>
      <c r="AO109" s="256"/>
      <c r="AP109" s="256"/>
      <c r="AQ109" s="256"/>
      <c r="AR109" s="256"/>
      <c r="AS109" s="256"/>
      <c r="AT109" s="256"/>
      <c r="AU109" s="256"/>
      <c r="AV109" s="256"/>
      <c r="AW109" s="256"/>
      <c r="AX109" s="256"/>
      <c r="AY109" s="256"/>
      <c r="AZ109" s="256"/>
      <c r="BA109" s="256"/>
      <c r="BB109" s="256"/>
      <c r="BC109" s="256"/>
      <c r="BD109" s="256"/>
      <c r="BE109" s="256"/>
      <c r="BF109" s="256"/>
      <c r="BG109" s="256"/>
      <c r="BH109" s="256"/>
      <c r="BI109" s="256"/>
      <c r="BJ109" s="256"/>
      <c r="BK109" s="256"/>
      <c r="BL109" s="256"/>
      <c r="BM109" s="256"/>
      <c r="BN109" s="256"/>
      <c r="BO109" s="256"/>
      <c r="BP109" s="256"/>
      <c r="BQ109" s="256"/>
      <c r="BR109" s="256"/>
      <c r="BS109" s="256"/>
      <c r="BT109" s="256"/>
      <c r="BU109" s="256"/>
      <c r="BV109" s="256"/>
      <c r="BW109" s="256"/>
      <c r="BX109" s="256"/>
      <c r="BY109" s="256"/>
      <c r="BZ109" s="256"/>
    </row>
    <row r="110" spans="1:78" s="99" customFormat="1" ht="43.5" hidden="1" customHeight="1" x14ac:dyDescent="0.25">
      <c r="A110" s="256"/>
      <c r="B110" s="475" t="str">
        <f>IFERROR(HYPERLINK(MouseOverEvent('_Data Status Month'!$A$108),'_Data Status Month'!$A$108),'_Data Status Month'!$A$108)</f>
        <v>Chipping</v>
      </c>
      <c r="C110" s="238"/>
      <c r="D110" s="481"/>
      <c r="E110" s="481"/>
      <c r="F110" s="481"/>
      <c r="G110" s="481"/>
      <c r="H110" s="481"/>
      <c r="I110" s="481"/>
      <c r="J110" s="481"/>
      <c r="K110" s="481"/>
      <c r="L110" s="481"/>
      <c r="M110" s="481"/>
      <c r="N110" s="481"/>
      <c r="O110" s="481"/>
      <c r="P110" s="481"/>
      <c r="Q110" s="481"/>
      <c r="R110" s="481"/>
      <c r="S110" s="481"/>
      <c r="T110" s="256"/>
      <c r="U110" s="466"/>
      <c r="V110" s="466"/>
      <c r="W110" s="466"/>
      <c r="X110" s="466"/>
      <c r="Y110" s="466"/>
      <c r="Z110" s="466"/>
      <c r="AA110" s="466"/>
      <c r="AB110" s="466"/>
      <c r="AC110" s="466"/>
      <c r="AD110" s="466"/>
      <c r="AE110" s="466"/>
      <c r="AF110" s="466"/>
      <c r="AG110" s="466"/>
      <c r="AH110" s="466"/>
      <c r="AI110" s="466"/>
      <c r="AJ110" s="466"/>
      <c r="AK110" s="256"/>
      <c r="AL110" s="256"/>
      <c r="AM110" s="256"/>
      <c r="AN110" s="256"/>
      <c r="AO110" s="256"/>
      <c r="AP110" s="256"/>
      <c r="AQ110" s="256"/>
      <c r="AR110" s="256"/>
      <c r="AS110" s="256"/>
      <c r="AT110" s="256"/>
      <c r="AU110" s="256"/>
      <c r="AV110" s="256"/>
      <c r="AW110" s="256"/>
      <c r="AX110" s="256"/>
      <c r="AY110" s="256"/>
      <c r="AZ110" s="256"/>
      <c r="BA110" s="256"/>
      <c r="BB110" s="256"/>
      <c r="BC110" s="256"/>
      <c r="BD110" s="256"/>
      <c r="BE110" s="256"/>
      <c r="BF110" s="256"/>
      <c r="BG110" s="256"/>
      <c r="BH110" s="256"/>
      <c r="BI110" s="256"/>
      <c r="BJ110" s="256"/>
      <c r="BK110" s="256"/>
      <c r="BL110" s="256"/>
      <c r="BM110" s="256"/>
      <c r="BN110" s="256"/>
      <c r="BO110" s="256"/>
      <c r="BP110" s="256"/>
      <c r="BQ110" s="256"/>
      <c r="BR110" s="256"/>
      <c r="BS110" s="256"/>
      <c r="BT110" s="256"/>
      <c r="BU110" s="256"/>
      <c r="BV110" s="256"/>
      <c r="BW110" s="256"/>
      <c r="BX110" s="256"/>
      <c r="BY110" s="256"/>
      <c r="BZ110" s="256"/>
    </row>
    <row r="111" spans="1:78" s="99" customFormat="1" ht="43.5" hidden="1" customHeight="1" x14ac:dyDescent="0.25">
      <c r="A111" s="256"/>
      <c r="B111" s="476"/>
      <c r="C111" s="256"/>
      <c r="D111" s="481"/>
      <c r="E111" s="481"/>
      <c r="F111" s="481"/>
      <c r="G111" s="481"/>
      <c r="H111" s="481"/>
      <c r="I111" s="481"/>
      <c r="J111" s="481"/>
      <c r="K111" s="481"/>
      <c r="L111" s="481"/>
      <c r="M111" s="481"/>
      <c r="N111" s="481"/>
      <c r="O111" s="481"/>
      <c r="P111" s="481"/>
      <c r="Q111" s="481"/>
      <c r="R111" s="481"/>
      <c r="S111" s="481"/>
      <c r="T111" s="256"/>
      <c r="U111" s="466"/>
      <c r="V111" s="466"/>
      <c r="W111" s="466"/>
      <c r="X111" s="466"/>
      <c r="Y111" s="466"/>
      <c r="Z111" s="466"/>
      <c r="AA111" s="466"/>
      <c r="AB111" s="466"/>
      <c r="AC111" s="466"/>
      <c r="AD111" s="466"/>
      <c r="AE111" s="466"/>
      <c r="AF111" s="466"/>
      <c r="AG111" s="466"/>
      <c r="AH111" s="466"/>
      <c r="AI111" s="466"/>
      <c r="AJ111" s="466"/>
      <c r="AK111" s="256"/>
      <c r="AL111" s="256"/>
      <c r="AM111" s="256"/>
      <c r="AN111" s="256"/>
      <c r="AO111" s="256"/>
      <c r="AP111" s="256"/>
      <c r="AQ111" s="256"/>
      <c r="AR111" s="256"/>
      <c r="AS111" s="256"/>
      <c r="AT111" s="256"/>
      <c r="AU111" s="256"/>
      <c r="AV111" s="256"/>
      <c r="AW111" s="256"/>
      <c r="AX111" s="256"/>
      <c r="AY111" s="256"/>
      <c r="AZ111" s="256"/>
      <c r="BA111" s="256"/>
      <c r="BB111" s="256"/>
      <c r="BC111" s="256"/>
      <c r="BD111" s="256"/>
      <c r="BE111" s="256"/>
      <c r="BF111" s="256"/>
      <c r="BG111" s="256"/>
      <c r="BH111" s="256"/>
      <c r="BI111" s="256"/>
      <c r="BJ111" s="256"/>
      <c r="BK111" s="256"/>
      <c r="BL111" s="256"/>
      <c r="BM111" s="256"/>
      <c r="BN111" s="256"/>
      <c r="BO111" s="256"/>
      <c r="BP111" s="256"/>
      <c r="BQ111" s="256"/>
      <c r="BR111" s="256"/>
      <c r="BS111" s="256"/>
      <c r="BT111" s="256"/>
      <c r="BU111" s="256"/>
      <c r="BV111" s="256"/>
      <c r="BW111" s="256"/>
      <c r="BX111" s="256"/>
      <c r="BY111" s="256"/>
      <c r="BZ111" s="256"/>
    </row>
    <row r="112" spans="1:78" s="99" customFormat="1" ht="43.5" hidden="1" customHeight="1" x14ac:dyDescent="0.25">
      <c r="A112" s="256"/>
      <c r="B112" s="476"/>
      <c r="C112" s="256"/>
      <c r="D112" s="481"/>
      <c r="E112" s="481"/>
      <c r="F112" s="481"/>
      <c r="G112" s="481"/>
      <c r="H112" s="481"/>
      <c r="I112" s="481"/>
      <c r="J112" s="481"/>
      <c r="K112" s="481"/>
      <c r="L112" s="481"/>
      <c r="M112" s="481"/>
      <c r="N112" s="481"/>
      <c r="O112" s="481"/>
      <c r="P112" s="481"/>
      <c r="Q112" s="481"/>
      <c r="R112" s="481"/>
      <c r="S112" s="481"/>
      <c r="T112" s="256"/>
      <c r="U112" s="466"/>
      <c r="V112" s="466"/>
      <c r="W112" s="466"/>
      <c r="X112" s="466"/>
      <c r="Y112" s="466"/>
      <c r="Z112" s="466"/>
      <c r="AA112" s="466"/>
      <c r="AB112" s="466"/>
      <c r="AC112" s="466"/>
      <c r="AD112" s="466"/>
      <c r="AE112" s="466"/>
      <c r="AF112" s="466"/>
      <c r="AG112" s="466"/>
      <c r="AH112" s="466"/>
      <c r="AI112" s="466"/>
      <c r="AJ112" s="466"/>
      <c r="AK112" s="256"/>
      <c r="AL112" s="256"/>
      <c r="AM112" s="256"/>
      <c r="AN112" s="256"/>
      <c r="AO112" s="256"/>
      <c r="AP112" s="256"/>
      <c r="AQ112" s="256"/>
      <c r="AR112" s="256"/>
      <c r="AS112" s="256"/>
      <c r="AT112" s="256"/>
      <c r="AU112" s="256"/>
      <c r="AV112" s="256"/>
      <c r="AW112" s="256"/>
      <c r="AX112" s="256"/>
      <c r="AY112" s="256"/>
      <c r="AZ112" s="256"/>
      <c r="BA112" s="256"/>
      <c r="BB112" s="256"/>
      <c r="BC112" s="256"/>
      <c r="BD112" s="256"/>
      <c r="BE112" s="256"/>
      <c r="BF112" s="256"/>
      <c r="BG112" s="256"/>
      <c r="BH112" s="256"/>
      <c r="BI112" s="256"/>
      <c r="BJ112" s="256"/>
      <c r="BK112" s="256"/>
      <c r="BL112" s="256"/>
      <c r="BM112" s="256"/>
      <c r="BN112" s="256"/>
      <c r="BO112" s="256"/>
      <c r="BP112" s="256"/>
      <c r="BQ112" s="256"/>
      <c r="BR112" s="256"/>
      <c r="BS112" s="256"/>
      <c r="BT112" s="256"/>
      <c r="BU112" s="256"/>
      <c r="BV112" s="256"/>
      <c r="BW112" s="256"/>
      <c r="BX112" s="256"/>
      <c r="BY112" s="256"/>
      <c r="BZ112" s="256"/>
    </row>
    <row r="113" spans="1:78" s="99" customFormat="1" ht="43.5" hidden="1" customHeight="1" x14ac:dyDescent="0.25">
      <c r="A113" s="256"/>
      <c r="B113" s="476"/>
      <c r="C113" s="238"/>
      <c r="D113" s="481"/>
      <c r="E113" s="481"/>
      <c r="F113" s="481"/>
      <c r="G113" s="481"/>
      <c r="H113" s="481"/>
      <c r="I113" s="481"/>
      <c r="J113" s="481"/>
      <c r="K113" s="481"/>
      <c r="L113" s="481"/>
      <c r="M113" s="481"/>
      <c r="N113" s="481"/>
      <c r="O113" s="481"/>
      <c r="P113" s="481"/>
      <c r="Q113" s="481"/>
      <c r="R113" s="481"/>
      <c r="S113" s="481"/>
      <c r="T113" s="256"/>
      <c r="U113" s="466"/>
      <c r="V113" s="466"/>
      <c r="W113" s="466"/>
      <c r="X113" s="466"/>
      <c r="Y113" s="466"/>
      <c r="Z113" s="466"/>
      <c r="AA113" s="466"/>
      <c r="AB113" s="466"/>
      <c r="AC113" s="466"/>
      <c r="AD113" s="466"/>
      <c r="AE113" s="466"/>
      <c r="AF113" s="466"/>
      <c r="AG113" s="466"/>
      <c r="AH113" s="466"/>
      <c r="AI113" s="466"/>
      <c r="AJ113" s="466"/>
      <c r="AK113" s="256"/>
      <c r="AL113" s="256"/>
      <c r="AM113" s="256"/>
      <c r="AN113" s="256"/>
      <c r="AO113" s="256"/>
      <c r="AP113" s="256"/>
      <c r="AQ113" s="256"/>
      <c r="AR113" s="256"/>
      <c r="AS113" s="256"/>
      <c r="AT113" s="256"/>
      <c r="AU113" s="256"/>
      <c r="AV113" s="256"/>
      <c r="AW113" s="256"/>
      <c r="AX113" s="256"/>
      <c r="AY113" s="256"/>
      <c r="AZ113" s="256"/>
      <c r="BA113" s="256"/>
      <c r="BB113" s="256"/>
      <c r="BC113" s="256"/>
      <c r="BD113" s="256"/>
      <c r="BE113" s="256"/>
      <c r="BF113" s="256"/>
      <c r="BG113" s="256"/>
      <c r="BH113" s="256"/>
      <c r="BI113" s="256"/>
      <c r="BJ113" s="256"/>
      <c r="BK113" s="256"/>
      <c r="BL113" s="256"/>
      <c r="BM113" s="256"/>
      <c r="BN113" s="256"/>
      <c r="BO113" s="256"/>
      <c r="BP113" s="256"/>
      <c r="BQ113" s="256"/>
      <c r="BR113" s="256"/>
      <c r="BS113" s="256"/>
      <c r="BT113" s="256"/>
      <c r="BU113" s="256"/>
      <c r="BV113" s="256"/>
      <c r="BW113" s="256"/>
      <c r="BX113" s="256"/>
      <c r="BY113" s="256"/>
      <c r="BZ113" s="256"/>
    </row>
    <row r="114" spans="1:78" s="99" customFormat="1" ht="43.5" hidden="1" customHeight="1" x14ac:dyDescent="0.25">
      <c r="A114" s="256"/>
      <c r="B114" s="476"/>
      <c r="C114" s="256"/>
      <c r="D114" s="481"/>
      <c r="E114" s="481"/>
      <c r="F114" s="481"/>
      <c r="G114" s="481"/>
      <c r="H114" s="481"/>
      <c r="I114" s="481"/>
      <c r="J114" s="481"/>
      <c r="K114" s="481"/>
      <c r="L114" s="481"/>
      <c r="M114" s="481"/>
      <c r="N114" s="481"/>
      <c r="O114" s="481"/>
      <c r="P114" s="481"/>
      <c r="Q114" s="481"/>
      <c r="R114" s="481"/>
      <c r="S114" s="481"/>
      <c r="T114" s="256"/>
      <c r="U114" s="466"/>
      <c r="V114" s="466"/>
      <c r="W114" s="466"/>
      <c r="X114" s="466"/>
      <c r="Y114" s="466"/>
      <c r="Z114" s="466"/>
      <c r="AA114" s="466"/>
      <c r="AB114" s="466"/>
      <c r="AC114" s="466"/>
      <c r="AD114" s="466"/>
      <c r="AE114" s="466"/>
      <c r="AF114" s="466"/>
      <c r="AG114" s="466"/>
      <c r="AH114" s="466"/>
      <c r="AI114" s="466"/>
      <c r="AJ114" s="466"/>
      <c r="AK114" s="256"/>
      <c r="AL114" s="256"/>
      <c r="AM114" s="256"/>
      <c r="AN114" s="256"/>
      <c r="AO114" s="256"/>
      <c r="AP114" s="256"/>
      <c r="AQ114" s="256"/>
      <c r="AR114" s="256"/>
      <c r="AS114" s="256"/>
      <c r="AT114" s="256"/>
      <c r="AU114" s="256"/>
      <c r="AV114" s="256"/>
      <c r="AW114" s="256"/>
      <c r="AX114" s="256"/>
      <c r="AY114" s="256"/>
      <c r="AZ114" s="256"/>
      <c r="BA114" s="256"/>
      <c r="BB114" s="256"/>
      <c r="BC114" s="256"/>
      <c r="BD114" s="256"/>
      <c r="BE114" s="256"/>
      <c r="BF114" s="256"/>
      <c r="BG114" s="256"/>
      <c r="BH114" s="256"/>
      <c r="BI114" s="256"/>
      <c r="BJ114" s="256"/>
      <c r="BK114" s="256"/>
      <c r="BL114" s="256"/>
      <c r="BM114" s="256"/>
      <c r="BN114" s="256"/>
      <c r="BO114" s="256"/>
      <c r="BP114" s="256"/>
      <c r="BQ114" s="256"/>
      <c r="BR114" s="256"/>
      <c r="BS114" s="256"/>
      <c r="BT114" s="256"/>
      <c r="BU114" s="256"/>
      <c r="BV114" s="256"/>
      <c r="BW114" s="256"/>
      <c r="BX114" s="256"/>
      <c r="BY114" s="256"/>
      <c r="BZ114" s="256"/>
    </row>
    <row r="115" spans="1:78" s="99" customFormat="1" ht="43.5" hidden="1" customHeight="1" x14ac:dyDescent="0.25">
      <c r="A115" s="256"/>
      <c r="B115" s="477"/>
      <c r="C115" s="256"/>
      <c r="D115" s="481"/>
      <c r="E115" s="481"/>
      <c r="F115" s="481"/>
      <c r="G115" s="481"/>
      <c r="H115" s="481"/>
      <c r="I115" s="481"/>
      <c r="J115" s="481"/>
      <c r="K115" s="481"/>
      <c r="L115" s="481"/>
      <c r="M115" s="481"/>
      <c r="N115" s="481"/>
      <c r="O115" s="481"/>
      <c r="P115" s="481"/>
      <c r="Q115" s="481"/>
      <c r="R115" s="481"/>
      <c r="S115" s="481"/>
      <c r="T115" s="256"/>
      <c r="U115" s="466"/>
      <c r="V115" s="466"/>
      <c r="W115" s="466"/>
      <c r="X115" s="466"/>
      <c r="Y115" s="466"/>
      <c r="Z115" s="466"/>
      <c r="AA115" s="466"/>
      <c r="AB115" s="466"/>
      <c r="AC115" s="466"/>
      <c r="AD115" s="466"/>
      <c r="AE115" s="466"/>
      <c r="AF115" s="466"/>
      <c r="AG115" s="466"/>
      <c r="AH115" s="466"/>
      <c r="AI115" s="466"/>
      <c r="AJ115" s="466"/>
      <c r="AK115" s="256"/>
      <c r="AL115" s="256"/>
      <c r="AM115" s="256"/>
      <c r="AN115" s="256"/>
      <c r="AO115" s="256"/>
      <c r="AP115" s="256"/>
      <c r="AQ115" s="256"/>
      <c r="AR115" s="256"/>
      <c r="AS115" s="256"/>
      <c r="AT115" s="256"/>
      <c r="AU115" s="256"/>
      <c r="AV115" s="256"/>
      <c r="AW115" s="256"/>
      <c r="AX115" s="256"/>
      <c r="AY115" s="256"/>
      <c r="AZ115" s="256"/>
      <c r="BA115" s="256"/>
      <c r="BB115" s="256"/>
      <c r="BC115" s="256"/>
      <c r="BD115" s="256"/>
      <c r="BE115" s="256"/>
      <c r="BF115" s="256"/>
      <c r="BG115" s="256"/>
      <c r="BH115" s="256"/>
      <c r="BI115" s="256"/>
      <c r="BJ115" s="256"/>
      <c r="BK115" s="256"/>
      <c r="BL115" s="256"/>
      <c r="BM115" s="256"/>
      <c r="BN115" s="256"/>
      <c r="BO115" s="256"/>
      <c r="BP115" s="256"/>
      <c r="BQ115" s="256"/>
      <c r="BR115" s="256"/>
      <c r="BS115" s="256"/>
      <c r="BT115" s="256"/>
      <c r="BU115" s="256"/>
      <c r="BV115" s="256"/>
      <c r="BW115" s="256"/>
      <c r="BX115" s="256"/>
      <c r="BY115" s="256"/>
      <c r="BZ115" s="256"/>
    </row>
    <row r="116" spans="1:78" s="99" customFormat="1" ht="3" hidden="1" customHeight="1" x14ac:dyDescent="0.25">
      <c r="A116" s="256"/>
      <c r="B116" s="256"/>
      <c r="C116" s="256"/>
      <c r="D116" s="256"/>
      <c r="E116" s="256"/>
      <c r="F116" s="256"/>
      <c r="G116" s="256"/>
      <c r="H116" s="256"/>
      <c r="I116" s="256"/>
      <c r="J116" s="256"/>
      <c r="K116" s="256"/>
      <c r="L116" s="256"/>
      <c r="M116" s="256"/>
      <c r="N116" s="256"/>
      <c r="O116" s="256"/>
      <c r="P116" s="256"/>
      <c r="Q116" s="256"/>
      <c r="R116" s="256"/>
      <c r="S116" s="256"/>
      <c r="T116" s="256"/>
      <c r="U116" s="256"/>
      <c r="V116" s="256"/>
      <c r="W116" s="256"/>
      <c r="X116" s="256"/>
      <c r="Y116" s="256"/>
      <c r="Z116" s="256"/>
      <c r="AA116" s="256"/>
      <c r="AB116" s="256"/>
      <c r="AC116" s="256"/>
      <c r="AD116" s="256"/>
      <c r="AE116" s="256"/>
      <c r="AF116" s="256"/>
      <c r="AG116" s="256"/>
      <c r="AH116" s="256"/>
      <c r="AI116" s="256"/>
      <c r="AJ116" s="256"/>
      <c r="AK116" s="256"/>
      <c r="AL116" s="256"/>
      <c r="AM116" s="256"/>
      <c r="AN116" s="256"/>
      <c r="AO116" s="256"/>
      <c r="AP116" s="256"/>
      <c r="AQ116" s="256"/>
      <c r="AR116" s="256"/>
      <c r="AS116" s="256"/>
      <c r="AT116" s="256"/>
      <c r="AU116" s="256"/>
      <c r="AV116" s="256"/>
      <c r="AW116" s="256"/>
      <c r="AX116" s="256"/>
      <c r="AY116" s="256"/>
      <c r="AZ116" s="256"/>
      <c r="BA116" s="256"/>
      <c r="BB116" s="256"/>
      <c r="BC116" s="256"/>
      <c r="BD116" s="256"/>
      <c r="BE116" s="256"/>
      <c r="BF116" s="256"/>
      <c r="BG116" s="256"/>
      <c r="BH116" s="256"/>
      <c r="BI116" s="256"/>
      <c r="BJ116" s="256"/>
      <c r="BK116" s="256"/>
      <c r="BL116" s="256"/>
      <c r="BM116" s="256"/>
      <c r="BN116" s="256"/>
      <c r="BO116" s="256"/>
      <c r="BP116" s="256"/>
      <c r="BQ116" s="256"/>
      <c r="BR116" s="256"/>
      <c r="BS116" s="256"/>
      <c r="BT116" s="256"/>
      <c r="BU116" s="256"/>
      <c r="BV116" s="256"/>
      <c r="BW116" s="256"/>
      <c r="BX116" s="256"/>
      <c r="BY116" s="256"/>
      <c r="BZ116" s="256"/>
    </row>
    <row r="117" spans="1:78" s="99" customFormat="1" ht="43.5" hidden="1" customHeight="1" x14ac:dyDescent="0.25">
      <c r="A117" s="256"/>
      <c r="B117" s="475" t="str">
        <f>IFERROR(HYPERLINK(MouseOverEvent('_Data Status Month'!$A$109),'_Data Status Month'!$A$109),'_Data Status Month'!$A$109)</f>
        <v>Pitching</v>
      </c>
      <c r="C117" s="238"/>
      <c r="D117" s="481"/>
      <c r="E117" s="481"/>
      <c r="F117" s="481"/>
      <c r="G117" s="481"/>
      <c r="H117" s="481"/>
      <c r="I117" s="481"/>
      <c r="J117" s="481"/>
      <c r="K117" s="481"/>
      <c r="L117" s="481"/>
      <c r="M117" s="481"/>
      <c r="N117" s="481"/>
      <c r="O117" s="481"/>
      <c r="P117" s="481"/>
      <c r="Q117" s="481"/>
      <c r="R117" s="481"/>
      <c r="S117" s="481"/>
      <c r="T117" s="256"/>
      <c r="U117" s="466"/>
      <c r="V117" s="466"/>
      <c r="W117" s="466"/>
      <c r="X117" s="466"/>
      <c r="Y117" s="466"/>
      <c r="Z117" s="466"/>
      <c r="AA117" s="466"/>
      <c r="AB117" s="466"/>
      <c r="AC117" s="466"/>
      <c r="AD117" s="466"/>
      <c r="AE117" s="466"/>
      <c r="AF117" s="466"/>
      <c r="AG117" s="466"/>
      <c r="AH117" s="466"/>
      <c r="AI117" s="466"/>
      <c r="AJ117" s="466"/>
      <c r="AK117" s="256"/>
      <c r="AL117" s="256"/>
      <c r="AM117" s="256"/>
      <c r="AN117" s="256"/>
      <c r="AO117" s="256"/>
      <c r="AP117" s="256"/>
      <c r="AQ117" s="256"/>
      <c r="AR117" s="256"/>
      <c r="AS117" s="256"/>
      <c r="AT117" s="256"/>
      <c r="AU117" s="256"/>
      <c r="AV117" s="256"/>
      <c r="AW117" s="256"/>
      <c r="AX117" s="256"/>
      <c r="AY117" s="256"/>
      <c r="AZ117" s="256"/>
      <c r="BA117" s="256"/>
      <c r="BB117" s="256"/>
      <c r="BC117" s="256"/>
      <c r="BD117" s="256"/>
      <c r="BE117" s="256"/>
      <c r="BF117" s="256"/>
      <c r="BG117" s="256"/>
      <c r="BH117" s="256"/>
      <c r="BI117" s="256"/>
      <c r="BJ117" s="256"/>
      <c r="BK117" s="256"/>
      <c r="BL117" s="256"/>
      <c r="BM117" s="256"/>
      <c r="BN117" s="256"/>
      <c r="BO117" s="256"/>
      <c r="BP117" s="256"/>
      <c r="BQ117" s="256"/>
      <c r="BR117" s="256"/>
      <c r="BS117" s="256"/>
      <c r="BT117" s="256"/>
      <c r="BU117" s="256"/>
      <c r="BV117" s="256"/>
      <c r="BW117" s="256"/>
      <c r="BX117" s="256"/>
      <c r="BY117" s="256"/>
      <c r="BZ117" s="256"/>
    </row>
    <row r="118" spans="1:78" s="99" customFormat="1" ht="43.5" hidden="1" customHeight="1" x14ac:dyDescent="0.25">
      <c r="A118" s="256"/>
      <c r="B118" s="476"/>
      <c r="C118" s="256"/>
      <c r="D118" s="481"/>
      <c r="E118" s="481"/>
      <c r="F118" s="481"/>
      <c r="G118" s="481"/>
      <c r="H118" s="481"/>
      <c r="I118" s="481"/>
      <c r="J118" s="481"/>
      <c r="K118" s="481"/>
      <c r="L118" s="481"/>
      <c r="M118" s="481"/>
      <c r="N118" s="481"/>
      <c r="O118" s="481"/>
      <c r="P118" s="481"/>
      <c r="Q118" s="481"/>
      <c r="R118" s="481"/>
      <c r="S118" s="481"/>
      <c r="T118" s="256"/>
      <c r="U118" s="466"/>
      <c r="V118" s="466"/>
      <c r="W118" s="466"/>
      <c r="X118" s="466"/>
      <c r="Y118" s="466"/>
      <c r="Z118" s="466"/>
      <c r="AA118" s="466"/>
      <c r="AB118" s="466"/>
      <c r="AC118" s="466"/>
      <c r="AD118" s="466"/>
      <c r="AE118" s="466"/>
      <c r="AF118" s="466"/>
      <c r="AG118" s="466"/>
      <c r="AH118" s="466"/>
      <c r="AI118" s="466"/>
      <c r="AJ118" s="466"/>
      <c r="AK118" s="256"/>
      <c r="AL118" s="256"/>
      <c r="AM118" s="256"/>
      <c r="AN118" s="256"/>
      <c r="AO118" s="256"/>
      <c r="AP118" s="256"/>
      <c r="AQ118" s="256"/>
      <c r="AR118" s="256"/>
      <c r="AS118" s="256"/>
      <c r="AT118" s="256"/>
      <c r="AU118" s="256"/>
      <c r="AV118" s="256"/>
      <c r="AW118" s="256"/>
      <c r="AX118" s="256"/>
      <c r="AY118" s="256"/>
      <c r="AZ118" s="256"/>
      <c r="BA118" s="256"/>
      <c r="BB118" s="256"/>
      <c r="BC118" s="256"/>
      <c r="BD118" s="256"/>
      <c r="BE118" s="256"/>
      <c r="BF118" s="256"/>
      <c r="BG118" s="256"/>
      <c r="BH118" s="256"/>
      <c r="BI118" s="256"/>
      <c r="BJ118" s="256"/>
      <c r="BK118" s="256"/>
      <c r="BL118" s="256"/>
      <c r="BM118" s="256"/>
      <c r="BN118" s="256"/>
      <c r="BO118" s="256"/>
      <c r="BP118" s="256"/>
      <c r="BQ118" s="256"/>
      <c r="BR118" s="256"/>
      <c r="BS118" s="256"/>
      <c r="BT118" s="256"/>
      <c r="BU118" s="256"/>
      <c r="BV118" s="256"/>
      <c r="BW118" s="256"/>
      <c r="BX118" s="256"/>
      <c r="BY118" s="256"/>
      <c r="BZ118" s="256"/>
    </row>
    <row r="119" spans="1:78" s="99" customFormat="1" ht="43.5" hidden="1" customHeight="1" x14ac:dyDescent="0.25">
      <c r="A119" s="256"/>
      <c r="B119" s="476"/>
      <c r="C119" s="256"/>
      <c r="D119" s="481"/>
      <c r="E119" s="481"/>
      <c r="F119" s="481"/>
      <c r="G119" s="481"/>
      <c r="H119" s="481"/>
      <c r="I119" s="481"/>
      <c r="J119" s="481"/>
      <c r="K119" s="481"/>
      <c r="L119" s="481"/>
      <c r="M119" s="481"/>
      <c r="N119" s="481"/>
      <c r="O119" s="481"/>
      <c r="P119" s="481"/>
      <c r="Q119" s="481"/>
      <c r="R119" s="481"/>
      <c r="S119" s="481"/>
      <c r="T119" s="256"/>
      <c r="U119" s="466"/>
      <c r="V119" s="466"/>
      <c r="W119" s="466"/>
      <c r="X119" s="466"/>
      <c r="Y119" s="466"/>
      <c r="Z119" s="466"/>
      <c r="AA119" s="466"/>
      <c r="AB119" s="466"/>
      <c r="AC119" s="466"/>
      <c r="AD119" s="466"/>
      <c r="AE119" s="466"/>
      <c r="AF119" s="466"/>
      <c r="AG119" s="466"/>
      <c r="AH119" s="466"/>
      <c r="AI119" s="466"/>
      <c r="AJ119" s="466"/>
      <c r="AK119" s="256"/>
      <c r="AL119" s="256"/>
      <c r="AM119" s="256"/>
      <c r="AN119" s="256"/>
      <c r="AO119" s="256"/>
      <c r="AP119" s="256"/>
      <c r="AQ119" s="256"/>
      <c r="AR119" s="256"/>
      <c r="AS119" s="256"/>
      <c r="AT119" s="256"/>
      <c r="AU119" s="256"/>
      <c r="AV119" s="256"/>
      <c r="AW119" s="256"/>
      <c r="AX119" s="256"/>
      <c r="AY119" s="256"/>
      <c r="AZ119" s="256"/>
      <c r="BA119" s="256"/>
      <c r="BB119" s="256"/>
      <c r="BC119" s="256"/>
      <c r="BD119" s="256"/>
      <c r="BE119" s="256"/>
      <c r="BF119" s="256"/>
      <c r="BG119" s="256"/>
      <c r="BH119" s="256"/>
      <c r="BI119" s="256"/>
      <c r="BJ119" s="256"/>
      <c r="BK119" s="256"/>
      <c r="BL119" s="256"/>
      <c r="BM119" s="256"/>
      <c r="BN119" s="256"/>
      <c r="BO119" s="256"/>
      <c r="BP119" s="256"/>
      <c r="BQ119" s="256"/>
      <c r="BR119" s="256"/>
      <c r="BS119" s="256"/>
      <c r="BT119" s="256"/>
      <c r="BU119" s="256"/>
      <c r="BV119" s="256"/>
      <c r="BW119" s="256"/>
      <c r="BX119" s="256"/>
      <c r="BY119" s="256"/>
      <c r="BZ119" s="256"/>
    </row>
    <row r="120" spans="1:78" s="99" customFormat="1" ht="43.5" hidden="1" customHeight="1" x14ac:dyDescent="0.25">
      <c r="A120" s="256"/>
      <c r="B120" s="476"/>
      <c r="C120" s="238"/>
      <c r="D120" s="481"/>
      <c r="E120" s="481"/>
      <c r="F120" s="481"/>
      <c r="G120" s="481"/>
      <c r="H120" s="481"/>
      <c r="I120" s="481"/>
      <c r="J120" s="481"/>
      <c r="K120" s="481"/>
      <c r="L120" s="481"/>
      <c r="M120" s="481"/>
      <c r="N120" s="481"/>
      <c r="O120" s="481"/>
      <c r="P120" s="481"/>
      <c r="Q120" s="481"/>
      <c r="R120" s="481"/>
      <c r="S120" s="481"/>
      <c r="T120" s="256"/>
      <c r="U120" s="466"/>
      <c r="V120" s="466"/>
      <c r="W120" s="466"/>
      <c r="X120" s="466"/>
      <c r="Y120" s="466"/>
      <c r="Z120" s="466"/>
      <c r="AA120" s="466"/>
      <c r="AB120" s="466"/>
      <c r="AC120" s="466"/>
      <c r="AD120" s="466"/>
      <c r="AE120" s="466"/>
      <c r="AF120" s="466"/>
      <c r="AG120" s="466"/>
      <c r="AH120" s="466"/>
      <c r="AI120" s="466"/>
      <c r="AJ120" s="466"/>
      <c r="AK120" s="256"/>
      <c r="AL120" s="256"/>
      <c r="AM120" s="256"/>
      <c r="AN120" s="256"/>
      <c r="AO120" s="256"/>
      <c r="AP120" s="256"/>
      <c r="AQ120" s="256"/>
      <c r="AR120" s="256"/>
      <c r="AS120" s="256"/>
      <c r="AT120" s="256"/>
      <c r="AU120" s="256"/>
      <c r="AV120" s="256"/>
      <c r="AW120" s="256"/>
      <c r="AX120" s="256"/>
      <c r="AY120" s="256"/>
      <c r="AZ120" s="256"/>
      <c r="BA120" s="256"/>
      <c r="BB120" s="256"/>
      <c r="BC120" s="256"/>
      <c r="BD120" s="256"/>
      <c r="BE120" s="256"/>
      <c r="BF120" s="256"/>
      <c r="BG120" s="256"/>
      <c r="BH120" s="256"/>
      <c r="BI120" s="256"/>
      <c r="BJ120" s="256"/>
      <c r="BK120" s="256"/>
      <c r="BL120" s="256"/>
      <c r="BM120" s="256"/>
      <c r="BN120" s="256"/>
      <c r="BO120" s="256"/>
      <c r="BP120" s="256"/>
      <c r="BQ120" s="256"/>
      <c r="BR120" s="256"/>
      <c r="BS120" s="256"/>
      <c r="BT120" s="256"/>
      <c r="BU120" s="256"/>
      <c r="BV120" s="256"/>
      <c r="BW120" s="256"/>
      <c r="BX120" s="256"/>
      <c r="BY120" s="256"/>
      <c r="BZ120" s="256"/>
    </row>
    <row r="121" spans="1:78" s="99" customFormat="1" ht="43.5" hidden="1" customHeight="1" x14ac:dyDescent="0.25">
      <c r="A121" s="256"/>
      <c r="B121" s="476"/>
      <c r="C121" s="256"/>
      <c r="D121" s="481"/>
      <c r="E121" s="481"/>
      <c r="F121" s="481"/>
      <c r="G121" s="481"/>
      <c r="H121" s="481"/>
      <c r="I121" s="481"/>
      <c r="J121" s="481"/>
      <c r="K121" s="481"/>
      <c r="L121" s="481"/>
      <c r="M121" s="481"/>
      <c r="N121" s="481"/>
      <c r="O121" s="481"/>
      <c r="P121" s="481"/>
      <c r="Q121" s="481"/>
      <c r="R121" s="481"/>
      <c r="S121" s="481"/>
      <c r="T121" s="256"/>
      <c r="U121" s="466"/>
      <c r="V121" s="466"/>
      <c r="W121" s="466"/>
      <c r="X121" s="466"/>
      <c r="Y121" s="466"/>
      <c r="Z121" s="466"/>
      <c r="AA121" s="466"/>
      <c r="AB121" s="466"/>
      <c r="AC121" s="466"/>
      <c r="AD121" s="466"/>
      <c r="AE121" s="466"/>
      <c r="AF121" s="466"/>
      <c r="AG121" s="466"/>
      <c r="AH121" s="466"/>
      <c r="AI121" s="466"/>
      <c r="AJ121" s="466"/>
      <c r="AK121" s="256"/>
      <c r="AL121" s="256"/>
      <c r="AM121" s="256"/>
      <c r="AN121" s="256"/>
      <c r="AO121" s="256"/>
      <c r="AP121" s="256"/>
      <c r="AQ121" s="256"/>
      <c r="AR121" s="256"/>
      <c r="AS121" s="256"/>
      <c r="AT121" s="256"/>
      <c r="AU121" s="256"/>
      <c r="AV121" s="256"/>
      <c r="AW121" s="256"/>
      <c r="AX121" s="256"/>
      <c r="AY121" s="256"/>
      <c r="AZ121" s="256"/>
      <c r="BA121" s="256"/>
      <c r="BB121" s="256"/>
      <c r="BC121" s="256"/>
      <c r="BD121" s="256"/>
      <c r="BE121" s="256"/>
      <c r="BF121" s="256"/>
      <c r="BG121" s="256"/>
      <c r="BH121" s="256"/>
      <c r="BI121" s="256"/>
      <c r="BJ121" s="256"/>
      <c r="BK121" s="256"/>
      <c r="BL121" s="256"/>
      <c r="BM121" s="256"/>
      <c r="BN121" s="256"/>
      <c r="BO121" s="256"/>
      <c r="BP121" s="256"/>
      <c r="BQ121" s="256"/>
      <c r="BR121" s="256"/>
      <c r="BS121" s="256"/>
      <c r="BT121" s="256"/>
      <c r="BU121" s="256"/>
      <c r="BV121" s="256"/>
      <c r="BW121" s="256"/>
      <c r="BX121" s="256"/>
      <c r="BY121" s="256"/>
      <c r="BZ121" s="256"/>
    </row>
    <row r="122" spans="1:78" s="99" customFormat="1" ht="43.5" hidden="1" customHeight="1" x14ac:dyDescent="0.25">
      <c r="A122" s="256"/>
      <c r="B122" s="477"/>
      <c r="C122" s="256"/>
      <c r="D122" s="481"/>
      <c r="E122" s="481"/>
      <c r="F122" s="481"/>
      <c r="G122" s="481"/>
      <c r="H122" s="481"/>
      <c r="I122" s="481"/>
      <c r="J122" s="481"/>
      <c r="K122" s="481"/>
      <c r="L122" s="481"/>
      <c r="M122" s="481"/>
      <c r="N122" s="481"/>
      <c r="O122" s="481"/>
      <c r="P122" s="481"/>
      <c r="Q122" s="481"/>
      <c r="R122" s="481"/>
      <c r="S122" s="481"/>
      <c r="T122" s="256"/>
      <c r="U122" s="466"/>
      <c r="V122" s="466"/>
      <c r="W122" s="466"/>
      <c r="X122" s="466"/>
      <c r="Y122" s="466"/>
      <c r="Z122" s="466"/>
      <c r="AA122" s="466"/>
      <c r="AB122" s="466"/>
      <c r="AC122" s="466"/>
      <c r="AD122" s="466"/>
      <c r="AE122" s="466"/>
      <c r="AF122" s="466"/>
      <c r="AG122" s="466"/>
      <c r="AH122" s="466"/>
      <c r="AI122" s="466"/>
      <c r="AJ122" s="466"/>
      <c r="AK122" s="256"/>
      <c r="AL122" s="256"/>
      <c r="AM122" s="256"/>
      <c r="AN122" s="256"/>
      <c r="AO122" s="256"/>
      <c r="AP122" s="256"/>
      <c r="AQ122" s="256"/>
      <c r="AR122" s="256"/>
      <c r="AS122" s="256"/>
      <c r="AT122" s="256"/>
      <c r="AU122" s="256"/>
      <c r="AV122" s="256"/>
      <c r="AW122" s="256"/>
      <c r="AX122" s="256"/>
      <c r="AY122" s="256"/>
      <c r="AZ122" s="256"/>
      <c r="BA122" s="256"/>
      <c r="BB122" s="256"/>
      <c r="BC122" s="256"/>
      <c r="BD122" s="256"/>
      <c r="BE122" s="256"/>
      <c r="BF122" s="256"/>
      <c r="BG122" s="256"/>
      <c r="BH122" s="256"/>
      <c r="BI122" s="256"/>
      <c r="BJ122" s="256"/>
      <c r="BK122" s="256"/>
      <c r="BL122" s="256"/>
      <c r="BM122" s="256"/>
      <c r="BN122" s="256"/>
      <c r="BO122" s="256"/>
      <c r="BP122" s="256"/>
      <c r="BQ122" s="256"/>
      <c r="BR122" s="256"/>
      <c r="BS122" s="256"/>
      <c r="BT122" s="256"/>
      <c r="BU122" s="256"/>
      <c r="BV122" s="256"/>
      <c r="BW122" s="256"/>
      <c r="BX122" s="256"/>
      <c r="BY122" s="256"/>
      <c r="BZ122" s="256"/>
    </row>
    <row r="123" spans="1:78" s="99" customFormat="1" ht="3" hidden="1" customHeight="1" x14ac:dyDescent="0.25">
      <c r="A123" s="256"/>
      <c r="B123" s="256"/>
      <c r="C123" s="256"/>
      <c r="D123" s="256"/>
      <c r="E123" s="256"/>
      <c r="F123" s="256"/>
      <c r="G123" s="256"/>
      <c r="H123" s="256"/>
      <c r="I123" s="256"/>
      <c r="J123" s="256"/>
      <c r="K123" s="256"/>
      <c r="L123" s="256"/>
      <c r="M123" s="256"/>
      <c r="N123" s="256"/>
      <c r="O123" s="256"/>
      <c r="P123" s="256"/>
      <c r="Q123" s="256"/>
      <c r="R123" s="256"/>
      <c r="S123" s="256"/>
      <c r="T123" s="256"/>
      <c r="U123" s="256"/>
      <c r="V123" s="256"/>
      <c r="W123" s="256"/>
      <c r="X123" s="256"/>
      <c r="Y123" s="256"/>
      <c r="Z123" s="256"/>
      <c r="AA123" s="256"/>
      <c r="AB123" s="256"/>
      <c r="AC123" s="256"/>
      <c r="AD123" s="256"/>
      <c r="AE123" s="256"/>
      <c r="AF123" s="256"/>
      <c r="AG123" s="256"/>
      <c r="AH123" s="256"/>
      <c r="AI123" s="256"/>
      <c r="AJ123" s="256"/>
      <c r="AK123" s="256"/>
      <c r="AL123" s="256"/>
      <c r="AM123" s="256"/>
      <c r="AN123" s="256"/>
      <c r="AO123" s="256"/>
      <c r="AP123" s="256"/>
      <c r="AQ123" s="256"/>
      <c r="AR123" s="256"/>
      <c r="AS123" s="256"/>
      <c r="AT123" s="256"/>
      <c r="AU123" s="256"/>
      <c r="AV123" s="256"/>
      <c r="AW123" s="256"/>
      <c r="AX123" s="256"/>
      <c r="AY123" s="256"/>
      <c r="AZ123" s="256"/>
      <c r="BA123" s="256"/>
      <c r="BB123" s="256"/>
      <c r="BC123" s="256"/>
      <c r="BD123" s="256"/>
      <c r="BE123" s="256"/>
      <c r="BF123" s="256"/>
      <c r="BG123" s="256"/>
      <c r="BH123" s="256"/>
      <c r="BI123" s="256"/>
      <c r="BJ123" s="256"/>
      <c r="BK123" s="256"/>
      <c r="BL123" s="256"/>
      <c r="BM123" s="256"/>
      <c r="BN123" s="256"/>
      <c r="BO123" s="256"/>
      <c r="BP123" s="256"/>
      <c r="BQ123" s="256"/>
      <c r="BR123" s="256"/>
      <c r="BS123" s="256"/>
      <c r="BT123" s="256"/>
      <c r="BU123" s="256"/>
      <c r="BV123" s="256"/>
      <c r="BW123" s="256"/>
      <c r="BX123" s="256"/>
      <c r="BY123" s="256"/>
      <c r="BZ123" s="256"/>
    </row>
    <row r="124" spans="1:78" s="99" customFormat="1" ht="43.5" customHeight="1" x14ac:dyDescent="0.25">
      <c r="A124" s="256"/>
      <c r="B124" s="475" t="str">
        <f>IFERROR(HYPERLINK(MouseOverEvent('_Data Status Month'!$A$110),'_Data Status Month'!$A$110),'_Data Status Month'!$A$110)</f>
        <v>Approach Shot</v>
      </c>
      <c r="C124" s="238"/>
      <c r="D124" s="481"/>
      <c r="E124" s="481"/>
      <c r="F124" s="481"/>
      <c r="G124" s="481"/>
      <c r="H124" s="481"/>
      <c r="I124" s="481"/>
      <c r="J124" s="481"/>
      <c r="K124" s="481"/>
      <c r="L124" s="481"/>
      <c r="M124" s="481"/>
      <c r="N124" s="481"/>
      <c r="O124" s="481"/>
      <c r="P124" s="481"/>
      <c r="Q124" s="481"/>
      <c r="R124" s="481"/>
      <c r="S124" s="481"/>
      <c r="T124" s="256"/>
      <c r="U124" s="466"/>
      <c r="V124" s="466"/>
      <c r="W124" s="466"/>
      <c r="X124" s="466"/>
      <c r="Y124" s="466"/>
      <c r="Z124" s="466"/>
      <c r="AA124" s="466"/>
      <c r="AB124" s="466"/>
      <c r="AC124" s="466"/>
      <c r="AD124" s="466"/>
      <c r="AE124" s="466"/>
      <c r="AF124" s="466"/>
      <c r="AG124" s="466"/>
      <c r="AH124" s="466"/>
      <c r="AI124" s="466"/>
      <c r="AJ124" s="466"/>
      <c r="AK124" s="256"/>
      <c r="AL124" s="256"/>
      <c r="AM124" s="256"/>
      <c r="AN124" s="256"/>
      <c r="AO124" s="256"/>
      <c r="AP124" s="256"/>
      <c r="AQ124" s="256"/>
      <c r="AR124" s="256"/>
      <c r="AS124" s="256"/>
      <c r="AT124" s="256"/>
      <c r="AU124" s="256"/>
      <c r="AV124" s="256"/>
      <c r="AW124" s="256"/>
      <c r="AX124" s="256"/>
      <c r="AY124" s="256"/>
      <c r="AZ124" s="256"/>
      <c r="BA124" s="256"/>
      <c r="BB124" s="256"/>
      <c r="BC124" s="256"/>
      <c r="BD124" s="256"/>
      <c r="BE124" s="256"/>
      <c r="BF124" s="256"/>
      <c r="BG124" s="256"/>
      <c r="BH124" s="256"/>
      <c r="BI124" s="256"/>
      <c r="BJ124" s="256"/>
      <c r="BK124" s="256"/>
      <c r="BL124" s="256"/>
      <c r="BM124" s="256"/>
      <c r="BN124" s="256"/>
      <c r="BO124" s="256"/>
      <c r="BP124" s="256"/>
      <c r="BQ124" s="256"/>
      <c r="BR124" s="256"/>
      <c r="BS124" s="256"/>
      <c r="BT124" s="256"/>
      <c r="BU124" s="256"/>
      <c r="BV124" s="256"/>
      <c r="BW124" s="256"/>
      <c r="BX124" s="256"/>
      <c r="BY124" s="256"/>
      <c r="BZ124" s="256"/>
    </row>
    <row r="125" spans="1:78" s="99" customFormat="1" ht="43.5" customHeight="1" x14ac:dyDescent="0.25">
      <c r="A125" s="256"/>
      <c r="B125" s="476"/>
      <c r="C125" s="256"/>
      <c r="D125" s="481"/>
      <c r="E125" s="481"/>
      <c r="F125" s="481"/>
      <c r="G125" s="481"/>
      <c r="H125" s="481"/>
      <c r="I125" s="481"/>
      <c r="J125" s="481"/>
      <c r="K125" s="481"/>
      <c r="L125" s="481"/>
      <c r="M125" s="481"/>
      <c r="N125" s="481"/>
      <c r="O125" s="481"/>
      <c r="P125" s="481"/>
      <c r="Q125" s="481"/>
      <c r="R125" s="481"/>
      <c r="S125" s="481"/>
      <c r="T125" s="256"/>
      <c r="U125" s="466"/>
      <c r="V125" s="466"/>
      <c r="W125" s="466"/>
      <c r="X125" s="466"/>
      <c r="Y125" s="466"/>
      <c r="Z125" s="466"/>
      <c r="AA125" s="466"/>
      <c r="AB125" s="466"/>
      <c r="AC125" s="466"/>
      <c r="AD125" s="466"/>
      <c r="AE125" s="466"/>
      <c r="AF125" s="466"/>
      <c r="AG125" s="466"/>
      <c r="AH125" s="466"/>
      <c r="AI125" s="466"/>
      <c r="AJ125" s="466"/>
      <c r="AK125" s="256"/>
      <c r="AL125" s="256"/>
      <c r="AM125" s="256"/>
      <c r="AN125" s="256"/>
      <c r="AO125" s="256"/>
      <c r="AP125" s="256"/>
      <c r="AQ125" s="256"/>
      <c r="AR125" s="256"/>
      <c r="AS125" s="256"/>
      <c r="AT125" s="256"/>
      <c r="AU125" s="256"/>
      <c r="AV125" s="256"/>
      <c r="AW125" s="256"/>
      <c r="AX125" s="256"/>
      <c r="AY125" s="256"/>
      <c r="AZ125" s="256"/>
      <c r="BA125" s="256"/>
      <c r="BB125" s="256"/>
      <c r="BC125" s="256"/>
      <c r="BD125" s="256"/>
      <c r="BE125" s="256"/>
      <c r="BF125" s="256"/>
      <c r="BG125" s="256"/>
      <c r="BH125" s="256"/>
      <c r="BI125" s="256"/>
      <c r="BJ125" s="256"/>
      <c r="BK125" s="256"/>
      <c r="BL125" s="256"/>
      <c r="BM125" s="256"/>
      <c r="BN125" s="256"/>
      <c r="BO125" s="256"/>
      <c r="BP125" s="256"/>
      <c r="BQ125" s="256"/>
      <c r="BR125" s="256"/>
      <c r="BS125" s="256"/>
      <c r="BT125" s="256"/>
      <c r="BU125" s="256"/>
      <c r="BV125" s="256"/>
      <c r="BW125" s="256"/>
      <c r="BX125" s="256"/>
      <c r="BY125" s="256"/>
      <c r="BZ125" s="256"/>
    </row>
    <row r="126" spans="1:78" s="99" customFormat="1" ht="43.5" customHeight="1" x14ac:dyDescent="0.25">
      <c r="A126" s="256"/>
      <c r="B126" s="476"/>
      <c r="C126" s="256"/>
      <c r="D126" s="481"/>
      <c r="E126" s="481"/>
      <c r="F126" s="481"/>
      <c r="G126" s="481"/>
      <c r="H126" s="481"/>
      <c r="I126" s="481"/>
      <c r="J126" s="481"/>
      <c r="K126" s="481"/>
      <c r="L126" s="481"/>
      <c r="M126" s="481"/>
      <c r="N126" s="481"/>
      <c r="O126" s="481"/>
      <c r="P126" s="481"/>
      <c r="Q126" s="481"/>
      <c r="R126" s="481"/>
      <c r="S126" s="481"/>
      <c r="T126" s="256"/>
      <c r="U126" s="466"/>
      <c r="V126" s="466"/>
      <c r="W126" s="466"/>
      <c r="X126" s="466"/>
      <c r="Y126" s="466"/>
      <c r="Z126" s="466"/>
      <c r="AA126" s="466"/>
      <c r="AB126" s="466"/>
      <c r="AC126" s="466"/>
      <c r="AD126" s="466"/>
      <c r="AE126" s="466"/>
      <c r="AF126" s="466"/>
      <c r="AG126" s="466"/>
      <c r="AH126" s="466"/>
      <c r="AI126" s="466"/>
      <c r="AJ126" s="466"/>
      <c r="AK126" s="256"/>
      <c r="AL126" s="256"/>
      <c r="AM126" s="256"/>
      <c r="AN126" s="256"/>
      <c r="AO126" s="256"/>
      <c r="AP126" s="256"/>
      <c r="AQ126" s="256"/>
      <c r="AR126" s="256"/>
      <c r="AS126" s="256"/>
      <c r="AT126" s="256"/>
      <c r="AU126" s="256"/>
      <c r="AV126" s="256"/>
      <c r="AW126" s="256"/>
      <c r="AX126" s="256"/>
      <c r="AY126" s="256"/>
      <c r="AZ126" s="256"/>
      <c r="BA126" s="256"/>
      <c r="BB126" s="256"/>
      <c r="BC126" s="256"/>
      <c r="BD126" s="256"/>
      <c r="BE126" s="256"/>
      <c r="BF126" s="256"/>
      <c r="BG126" s="256"/>
      <c r="BH126" s="256"/>
      <c r="BI126" s="256"/>
      <c r="BJ126" s="256"/>
      <c r="BK126" s="256"/>
      <c r="BL126" s="256"/>
      <c r="BM126" s="256"/>
      <c r="BN126" s="256"/>
      <c r="BO126" s="256"/>
      <c r="BP126" s="256"/>
      <c r="BQ126" s="256"/>
      <c r="BR126" s="256"/>
      <c r="BS126" s="256"/>
      <c r="BT126" s="256"/>
      <c r="BU126" s="256"/>
      <c r="BV126" s="256"/>
      <c r="BW126" s="256"/>
      <c r="BX126" s="256"/>
      <c r="BY126" s="256"/>
      <c r="BZ126" s="256"/>
    </row>
    <row r="127" spans="1:78" s="99" customFormat="1" ht="43.5" customHeight="1" x14ac:dyDescent="0.25">
      <c r="A127" s="256"/>
      <c r="B127" s="476"/>
      <c r="C127" s="238"/>
      <c r="D127" s="481"/>
      <c r="E127" s="481"/>
      <c r="F127" s="481"/>
      <c r="G127" s="481"/>
      <c r="H127" s="481"/>
      <c r="I127" s="481"/>
      <c r="J127" s="481"/>
      <c r="K127" s="481"/>
      <c r="L127" s="481"/>
      <c r="M127" s="481"/>
      <c r="N127" s="481"/>
      <c r="O127" s="481"/>
      <c r="P127" s="481"/>
      <c r="Q127" s="481"/>
      <c r="R127" s="481"/>
      <c r="S127" s="481"/>
      <c r="T127" s="256"/>
      <c r="U127" s="466"/>
      <c r="V127" s="466"/>
      <c r="W127" s="466"/>
      <c r="X127" s="466"/>
      <c r="Y127" s="466"/>
      <c r="Z127" s="466"/>
      <c r="AA127" s="466"/>
      <c r="AB127" s="466"/>
      <c r="AC127" s="466"/>
      <c r="AD127" s="466"/>
      <c r="AE127" s="466"/>
      <c r="AF127" s="466"/>
      <c r="AG127" s="466"/>
      <c r="AH127" s="466"/>
      <c r="AI127" s="466"/>
      <c r="AJ127" s="466"/>
      <c r="AK127" s="256"/>
      <c r="AL127" s="256"/>
      <c r="AM127" s="256"/>
      <c r="AN127" s="256"/>
      <c r="AO127" s="256"/>
      <c r="AP127" s="256"/>
      <c r="AQ127" s="256"/>
      <c r="AR127" s="256"/>
      <c r="AS127" s="256"/>
      <c r="AT127" s="256"/>
      <c r="AU127" s="256"/>
      <c r="AV127" s="256"/>
      <c r="AW127" s="256"/>
      <c r="AX127" s="256"/>
      <c r="AY127" s="256"/>
      <c r="AZ127" s="256"/>
      <c r="BA127" s="256"/>
      <c r="BB127" s="256"/>
      <c r="BC127" s="256"/>
      <c r="BD127" s="256"/>
      <c r="BE127" s="256"/>
      <c r="BF127" s="256"/>
      <c r="BG127" s="256"/>
      <c r="BH127" s="256"/>
      <c r="BI127" s="256"/>
      <c r="BJ127" s="256"/>
      <c r="BK127" s="256"/>
      <c r="BL127" s="256"/>
      <c r="BM127" s="256"/>
      <c r="BN127" s="256"/>
      <c r="BO127" s="256"/>
      <c r="BP127" s="256"/>
      <c r="BQ127" s="256"/>
      <c r="BR127" s="256"/>
      <c r="BS127" s="256"/>
      <c r="BT127" s="256"/>
      <c r="BU127" s="256"/>
      <c r="BV127" s="256"/>
      <c r="BW127" s="256"/>
      <c r="BX127" s="256"/>
      <c r="BY127" s="256"/>
      <c r="BZ127" s="256"/>
    </row>
    <row r="128" spans="1:78" s="99" customFormat="1" ht="43.5" customHeight="1" x14ac:dyDescent="0.25">
      <c r="A128" s="256"/>
      <c r="B128" s="476"/>
      <c r="C128" s="256"/>
      <c r="D128" s="481"/>
      <c r="E128" s="481"/>
      <c r="F128" s="481"/>
      <c r="G128" s="481"/>
      <c r="H128" s="481"/>
      <c r="I128" s="481"/>
      <c r="J128" s="481"/>
      <c r="K128" s="481"/>
      <c r="L128" s="481"/>
      <c r="M128" s="481"/>
      <c r="N128" s="481"/>
      <c r="O128" s="481"/>
      <c r="P128" s="481"/>
      <c r="Q128" s="481"/>
      <c r="R128" s="481"/>
      <c r="S128" s="481"/>
      <c r="T128" s="256"/>
      <c r="U128" s="466"/>
      <c r="V128" s="466"/>
      <c r="W128" s="466"/>
      <c r="X128" s="466"/>
      <c r="Y128" s="466"/>
      <c r="Z128" s="466"/>
      <c r="AA128" s="466"/>
      <c r="AB128" s="466"/>
      <c r="AC128" s="466"/>
      <c r="AD128" s="466"/>
      <c r="AE128" s="466"/>
      <c r="AF128" s="466"/>
      <c r="AG128" s="466"/>
      <c r="AH128" s="466"/>
      <c r="AI128" s="466"/>
      <c r="AJ128" s="466"/>
      <c r="AK128" s="256"/>
      <c r="AL128" s="256"/>
      <c r="AM128" s="256"/>
      <c r="AN128" s="256"/>
      <c r="AO128" s="256"/>
      <c r="AP128" s="256"/>
      <c r="AQ128" s="256"/>
      <c r="AR128" s="256"/>
      <c r="AS128" s="256"/>
      <c r="AT128" s="256"/>
      <c r="AU128" s="256"/>
      <c r="AV128" s="256"/>
      <c r="AW128" s="256"/>
      <c r="AX128" s="256"/>
      <c r="AY128" s="256"/>
      <c r="AZ128" s="256"/>
      <c r="BA128" s="256"/>
      <c r="BB128" s="256"/>
      <c r="BC128" s="256"/>
      <c r="BD128" s="256"/>
      <c r="BE128" s="256"/>
      <c r="BF128" s="256"/>
      <c r="BG128" s="256"/>
      <c r="BH128" s="256"/>
      <c r="BI128" s="256"/>
      <c r="BJ128" s="256"/>
      <c r="BK128" s="256"/>
      <c r="BL128" s="256"/>
      <c r="BM128" s="256"/>
      <c r="BN128" s="256"/>
      <c r="BO128" s="256"/>
      <c r="BP128" s="256"/>
      <c r="BQ128" s="256"/>
      <c r="BR128" s="256"/>
      <c r="BS128" s="256"/>
      <c r="BT128" s="256"/>
      <c r="BU128" s="256"/>
      <c r="BV128" s="256"/>
      <c r="BW128" s="256"/>
      <c r="BX128" s="256"/>
      <c r="BY128" s="256"/>
      <c r="BZ128" s="256"/>
    </row>
    <row r="129" spans="1:78" s="99" customFormat="1" ht="43.5" customHeight="1" x14ac:dyDescent="0.25">
      <c r="A129" s="256"/>
      <c r="B129" s="477"/>
      <c r="C129" s="256"/>
      <c r="D129" s="481"/>
      <c r="E129" s="481"/>
      <c r="F129" s="481"/>
      <c r="G129" s="481"/>
      <c r="H129" s="481"/>
      <c r="I129" s="481"/>
      <c r="J129" s="481"/>
      <c r="K129" s="481"/>
      <c r="L129" s="481"/>
      <c r="M129" s="481"/>
      <c r="N129" s="481"/>
      <c r="O129" s="481"/>
      <c r="P129" s="481"/>
      <c r="Q129" s="481"/>
      <c r="R129" s="481"/>
      <c r="S129" s="481"/>
      <c r="T129" s="256"/>
      <c r="U129" s="466"/>
      <c r="V129" s="466"/>
      <c r="W129" s="466"/>
      <c r="X129" s="466"/>
      <c r="Y129" s="466"/>
      <c r="Z129" s="466"/>
      <c r="AA129" s="466"/>
      <c r="AB129" s="466"/>
      <c r="AC129" s="466"/>
      <c r="AD129" s="466"/>
      <c r="AE129" s="466"/>
      <c r="AF129" s="466"/>
      <c r="AG129" s="466"/>
      <c r="AH129" s="466"/>
      <c r="AI129" s="466"/>
      <c r="AJ129" s="466"/>
      <c r="AK129" s="256"/>
      <c r="AL129" s="256"/>
      <c r="AM129" s="256"/>
      <c r="AN129" s="256"/>
      <c r="AO129" s="256"/>
      <c r="AP129" s="256"/>
      <c r="AQ129" s="256"/>
      <c r="AR129" s="256"/>
      <c r="AS129" s="256"/>
      <c r="AT129" s="256"/>
      <c r="AU129" s="256"/>
      <c r="AV129" s="256"/>
      <c r="AW129" s="256"/>
      <c r="AX129" s="256"/>
      <c r="AY129" s="256"/>
      <c r="AZ129" s="256"/>
      <c r="BA129" s="256"/>
      <c r="BB129" s="256"/>
      <c r="BC129" s="256"/>
      <c r="BD129" s="256"/>
      <c r="BE129" s="256"/>
      <c r="BF129" s="256"/>
      <c r="BG129" s="256"/>
      <c r="BH129" s="256"/>
      <c r="BI129" s="256"/>
      <c r="BJ129" s="256"/>
      <c r="BK129" s="256"/>
      <c r="BL129" s="256"/>
      <c r="BM129" s="256"/>
      <c r="BN129" s="256"/>
      <c r="BO129" s="256"/>
      <c r="BP129" s="256"/>
      <c r="BQ129" s="256"/>
      <c r="BR129" s="256"/>
      <c r="BS129" s="256"/>
      <c r="BT129" s="256"/>
      <c r="BU129" s="256"/>
      <c r="BV129" s="256"/>
      <c r="BW129" s="256"/>
      <c r="BX129" s="256"/>
      <c r="BY129" s="256"/>
      <c r="BZ129" s="256"/>
    </row>
    <row r="130" spans="1:78" s="99" customFormat="1" ht="3" hidden="1" customHeight="1" x14ac:dyDescent="0.25">
      <c r="A130" s="256"/>
      <c r="B130" s="256"/>
      <c r="C130" s="256"/>
      <c r="D130" s="256"/>
      <c r="E130" s="256"/>
      <c r="F130" s="256"/>
      <c r="G130" s="256"/>
      <c r="H130" s="256"/>
      <c r="I130" s="256"/>
      <c r="J130" s="256"/>
      <c r="K130" s="256"/>
      <c r="L130" s="256"/>
      <c r="M130" s="256"/>
      <c r="N130" s="256"/>
      <c r="O130" s="256"/>
      <c r="P130" s="256"/>
      <c r="Q130" s="256"/>
      <c r="R130" s="256"/>
      <c r="S130" s="256"/>
      <c r="T130" s="256"/>
      <c r="U130" s="256"/>
      <c r="V130" s="256"/>
      <c r="W130" s="256"/>
      <c r="X130" s="256"/>
      <c r="Y130" s="256"/>
      <c r="Z130" s="256"/>
      <c r="AA130" s="256"/>
      <c r="AB130" s="256"/>
      <c r="AC130" s="256"/>
      <c r="AD130" s="256"/>
      <c r="AE130" s="256"/>
      <c r="AF130" s="256"/>
      <c r="AG130" s="256"/>
      <c r="AH130" s="256"/>
      <c r="AI130" s="256"/>
      <c r="AJ130" s="256"/>
      <c r="AK130" s="256"/>
      <c r="AL130" s="256"/>
      <c r="AM130" s="256"/>
      <c r="AN130" s="256"/>
      <c r="AO130" s="256"/>
      <c r="AP130" s="256"/>
      <c r="AQ130" s="256"/>
      <c r="AR130" s="256"/>
      <c r="AS130" s="256"/>
      <c r="AT130" s="256"/>
      <c r="AU130" s="256"/>
      <c r="AV130" s="256"/>
      <c r="AW130" s="256"/>
      <c r="AX130" s="256"/>
      <c r="AY130" s="256"/>
      <c r="AZ130" s="256"/>
      <c r="BA130" s="256"/>
      <c r="BB130" s="256"/>
      <c r="BC130" s="256"/>
      <c r="BD130" s="256"/>
      <c r="BE130" s="256"/>
      <c r="BF130" s="256"/>
      <c r="BG130" s="256"/>
      <c r="BH130" s="256"/>
      <c r="BI130" s="256"/>
      <c r="BJ130" s="256"/>
      <c r="BK130" s="256"/>
      <c r="BL130" s="256"/>
      <c r="BM130" s="256"/>
      <c r="BN130" s="256"/>
      <c r="BO130" s="256"/>
      <c r="BP130" s="256"/>
      <c r="BQ130" s="256"/>
      <c r="BR130" s="256"/>
      <c r="BS130" s="256"/>
      <c r="BT130" s="256"/>
      <c r="BU130" s="256"/>
      <c r="BV130" s="256"/>
      <c r="BW130" s="256"/>
      <c r="BX130" s="256"/>
      <c r="BY130" s="256"/>
      <c r="BZ130" s="256"/>
    </row>
    <row r="131" spans="1:78" s="99" customFormat="1" ht="43.5" hidden="1" customHeight="1" x14ac:dyDescent="0.25">
      <c r="A131" s="256"/>
      <c r="B131" s="475" t="str">
        <f>IFERROR(HYPERLINK(MouseOverEvent('_Data Status Month'!$A$111),'_Data Status Month'!$A$111),'_Data Status Month'!$A$111)</f>
        <v>Wood</v>
      </c>
      <c r="C131" s="238"/>
      <c r="D131" s="481"/>
      <c r="E131" s="481"/>
      <c r="F131" s="481"/>
      <c r="G131" s="481"/>
      <c r="H131" s="481"/>
      <c r="I131" s="481"/>
      <c r="J131" s="481"/>
      <c r="K131" s="481"/>
      <c r="L131" s="481"/>
      <c r="M131" s="481"/>
      <c r="N131" s="481"/>
      <c r="O131" s="481"/>
      <c r="P131" s="481"/>
      <c r="Q131" s="481"/>
      <c r="R131" s="481"/>
      <c r="S131" s="481"/>
      <c r="T131" s="256"/>
      <c r="U131" s="466"/>
      <c r="V131" s="466"/>
      <c r="W131" s="466"/>
      <c r="X131" s="466"/>
      <c r="Y131" s="466"/>
      <c r="Z131" s="466"/>
      <c r="AA131" s="466"/>
      <c r="AB131" s="466"/>
      <c r="AC131" s="466"/>
      <c r="AD131" s="466"/>
      <c r="AE131" s="466"/>
      <c r="AF131" s="466"/>
      <c r="AG131" s="466"/>
      <c r="AH131" s="466"/>
      <c r="AI131" s="466"/>
      <c r="AJ131" s="466"/>
      <c r="AK131" s="256"/>
      <c r="AL131" s="256"/>
      <c r="AM131" s="256"/>
      <c r="AN131" s="256"/>
      <c r="AO131" s="256"/>
      <c r="AP131" s="256"/>
      <c r="AQ131" s="256"/>
      <c r="AR131" s="256"/>
      <c r="AS131" s="256"/>
      <c r="AT131" s="256"/>
      <c r="AU131" s="256"/>
      <c r="AV131" s="256"/>
      <c r="AW131" s="256"/>
      <c r="AX131" s="256"/>
      <c r="AY131" s="256"/>
      <c r="AZ131" s="256"/>
      <c r="BA131" s="256"/>
      <c r="BB131" s="256"/>
      <c r="BC131" s="256"/>
      <c r="BD131" s="256"/>
      <c r="BE131" s="256"/>
      <c r="BF131" s="256"/>
      <c r="BG131" s="256"/>
      <c r="BH131" s="256"/>
      <c r="BI131" s="256"/>
      <c r="BJ131" s="256"/>
      <c r="BK131" s="256"/>
      <c r="BL131" s="256"/>
      <c r="BM131" s="256"/>
      <c r="BN131" s="256"/>
      <c r="BO131" s="256"/>
      <c r="BP131" s="256"/>
      <c r="BQ131" s="256"/>
      <c r="BR131" s="256"/>
      <c r="BS131" s="256"/>
      <c r="BT131" s="256"/>
      <c r="BU131" s="256"/>
      <c r="BV131" s="256"/>
      <c r="BW131" s="256"/>
      <c r="BX131" s="256"/>
      <c r="BY131" s="256"/>
      <c r="BZ131" s="256"/>
    </row>
    <row r="132" spans="1:78" s="99" customFormat="1" ht="43.5" hidden="1" customHeight="1" x14ac:dyDescent="0.25">
      <c r="A132" s="256"/>
      <c r="B132" s="476"/>
      <c r="C132" s="256"/>
      <c r="D132" s="481"/>
      <c r="E132" s="481"/>
      <c r="F132" s="481"/>
      <c r="G132" s="481"/>
      <c r="H132" s="481"/>
      <c r="I132" s="481"/>
      <c r="J132" s="481"/>
      <c r="K132" s="481"/>
      <c r="L132" s="481"/>
      <c r="M132" s="481"/>
      <c r="N132" s="481"/>
      <c r="O132" s="481"/>
      <c r="P132" s="481"/>
      <c r="Q132" s="481"/>
      <c r="R132" s="481"/>
      <c r="S132" s="481"/>
      <c r="T132" s="256"/>
      <c r="U132" s="466"/>
      <c r="V132" s="466"/>
      <c r="W132" s="466"/>
      <c r="X132" s="466"/>
      <c r="Y132" s="466"/>
      <c r="Z132" s="466"/>
      <c r="AA132" s="466"/>
      <c r="AB132" s="466"/>
      <c r="AC132" s="466"/>
      <c r="AD132" s="466"/>
      <c r="AE132" s="466"/>
      <c r="AF132" s="466"/>
      <c r="AG132" s="466"/>
      <c r="AH132" s="466"/>
      <c r="AI132" s="466"/>
      <c r="AJ132" s="466"/>
      <c r="AK132" s="256"/>
      <c r="AL132" s="256"/>
      <c r="AM132" s="256"/>
      <c r="AN132" s="256"/>
      <c r="AO132" s="256"/>
      <c r="AP132" s="256"/>
      <c r="AQ132" s="256"/>
      <c r="AR132" s="256"/>
      <c r="AS132" s="256"/>
      <c r="AT132" s="256"/>
      <c r="AU132" s="256"/>
      <c r="AV132" s="256"/>
      <c r="AW132" s="256"/>
      <c r="AX132" s="256"/>
      <c r="AY132" s="256"/>
      <c r="AZ132" s="256"/>
      <c r="BA132" s="256"/>
      <c r="BB132" s="256"/>
      <c r="BC132" s="256"/>
      <c r="BD132" s="256"/>
      <c r="BE132" s="256"/>
      <c r="BF132" s="256"/>
      <c r="BG132" s="256"/>
      <c r="BH132" s="256"/>
      <c r="BI132" s="256"/>
      <c r="BJ132" s="256"/>
      <c r="BK132" s="256"/>
      <c r="BL132" s="256"/>
      <c r="BM132" s="256"/>
      <c r="BN132" s="256"/>
      <c r="BO132" s="256"/>
      <c r="BP132" s="256"/>
      <c r="BQ132" s="256"/>
      <c r="BR132" s="256"/>
      <c r="BS132" s="256"/>
      <c r="BT132" s="256"/>
      <c r="BU132" s="256"/>
      <c r="BV132" s="256"/>
      <c r="BW132" s="256"/>
      <c r="BX132" s="256"/>
      <c r="BY132" s="256"/>
      <c r="BZ132" s="256"/>
    </row>
    <row r="133" spans="1:78" s="99" customFormat="1" ht="43.5" hidden="1" customHeight="1" x14ac:dyDescent="0.25">
      <c r="A133" s="256"/>
      <c r="B133" s="476"/>
      <c r="C133" s="256"/>
      <c r="D133" s="481"/>
      <c r="E133" s="481"/>
      <c r="F133" s="481"/>
      <c r="G133" s="481"/>
      <c r="H133" s="481"/>
      <c r="I133" s="481"/>
      <c r="J133" s="481"/>
      <c r="K133" s="481"/>
      <c r="L133" s="481"/>
      <c r="M133" s="481"/>
      <c r="N133" s="481"/>
      <c r="O133" s="481"/>
      <c r="P133" s="481"/>
      <c r="Q133" s="481"/>
      <c r="R133" s="481"/>
      <c r="S133" s="481"/>
      <c r="T133" s="256"/>
      <c r="U133" s="466"/>
      <c r="V133" s="466"/>
      <c r="W133" s="466"/>
      <c r="X133" s="466"/>
      <c r="Y133" s="466"/>
      <c r="Z133" s="466"/>
      <c r="AA133" s="466"/>
      <c r="AB133" s="466"/>
      <c r="AC133" s="466"/>
      <c r="AD133" s="466"/>
      <c r="AE133" s="466"/>
      <c r="AF133" s="466"/>
      <c r="AG133" s="466"/>
      <c r="AH133" s="466"/>
      <c r="AI133" s="466"/>
      <c r="AJ133" s="466"/>
      <c r="AK133" s="256"/>
      <c r="AL133" s="256"/>
      <c r="AM133" s="256"/>
      <c r="AN133" s="256"/>
      <c r="AO133" s="256"/>
      <c r="AP133" s="256"/>
      <c r="AQ133" s="256"/>
      <c r="AR133" s="256"/>
      <c r="AS133" s="256"/>
      <c r="AT133" s="256"/>
      <c r="AU133" s="256"/>
      <c r="AV133" s="256"/>
      <c r="AW133" s="256"/>
      <c r="AX133" s="256"/>
      <c r="AY133" s="256"/>
      <c r="AZ133" s="256"/>
      <c r="BA133" s="256"/>
      <c r="BB133" s="256"/>
      <c r="BC133" s="256"/>
      <c r="BD133" s="256"/>
      <c r="BE133" s="256"/>
      <c r="BF133" s="256"/>
      <c r="BG133" s="256"/>
      <c r="BH133" s="256"/>
      <c r="BI133" s="256"/>
      <c r="BJ133" s="256"/>
      <c r="BK133" s="256"/>
      <c r="BL133" s="256"/>
      <c r="BM133" s="256"/>
      <c r="BN133" s="256"/>
      <c r="BO133" s="256"/>
      <c r="BP133" s="256"/>
      <c r="BQ133" s="256"/>
      <c r="BR133" s="256"/>
      <c r="BS133" s="256"/>
      <c r="BT133" s="256"/>
      <c r="BU133" s="256"/>
      <c r="BV133" s="256"/>
      <c r="BW133" s="256"/>
      <c r="BX133" s="256"/>
      <c r="BY133" s="256"/>
      <c r="BZ133" s="256"/>
    </row>
    <row r="134" spans="1:78" s="99" customFormat="1" ht="43.5" hidden="1" customHeight="1" x14ac:dyDescent="0.25">
      <c r="A134" s="256"/>
      <c r="B134" s="476"/>
      <c r="C134" s="238"/>
      <c r="D134" s="481"/>
      <c r="E134" s="481"/>
      <c r="F134" s="481"/>
      <c r="G134" s="481"/>
      <c r="H134" s="481"/>
      <c r="I134" s="481"/>
      <c r="J134" s="481"/>
      <c r="K134" s="481"/>
      <c r="L134" s="481"/>
      <c r="M134" s="481"/>
      <c r="N134" s="481"/>
      <c r="O134" s="481"/>
      <c r="P134" s="481"/>
      <c r="Q134" s="481"/>
      <c r="R134" s="481"/>
      <c r="S134" s="481"/>
      <c r="T134" s="256"/>
      <c r="U134" s="466"/>
      <c r="V134" s="466"/>
      <c r="W134" s="466"/>
      <c r="X134" s="466"/>
      <c r="Y134" s="466"/>
      <c r="Z134" s="466"/>
      <c r="AA134" s="466"/>
      <c r="AB134" s="466"/>
      <c r="AC134" s="466"/>
      <c r="AD134" s="466"/>
      <c r="AE134" s="466"/>
      <c r="AF134" s="466"/>
      <c r="AG134" s="466"/>
      <c r="AH134" s="466"/>
      <c r="AI134" s="466"/>
      <c r="AJ134" s="466"/>
      <c r="AK134" s="256"/>
      <c r="AL134" s="256"/>
      <c r="AM134" s="256"/>
      <c r="AN134" s="256"/>
      <c r="AO134" s="256"/>
      <c r="AP134" s="256"/>
      <c r="AQ134" s="256"/>
      <c r="AR134" s="256"/>
      <c r="AS134" s="256"/>
      <c r="AT134" s="256"/>
      <c r="AU134" s="256"/>
      <c r="AV134" s="256"/>
      <c r="AW134" s="256"/>
      <c r="AX134" s="256"/>
      <c r="AY134" s="256"/>
      <c r="AZ134" s="256"/>
      <c r="BA134" s="256"/>
      <c r="BB134" s="256"/>
      <c r="BC134" s="256"/>
      <c r="BD134" s="256"/>
      <c r="BE134" s="256"/>
      <c r="BF134" s="256"/>
      <c r="BG134" s="256"/>
      <c r="BH134" s="256"/>
      <c r="BI134" s="256"/>
      <c r="BJ134" s="256"/>
      <c r="BK134" s="256"/>
      <c r="BL134" s="256"/>
      <c r="BM134" s="256"/>
      <c r="BN134" s="256"/>
      <c r="BO134" s="256"/>
      <c r="BP134" s="256"/>
      <c r="BQ134" s="256"/>
      <c r="BR134" s="256"/>
      <c r="BS134" s="256"/>
      <c r="BT134" s="256"/>
      <c r="BU134" s="256"/>
      <c r="BV134" s="256"/>
      <c r="BW134" s="256"/>
      <c r="BX134" s="256"/>
      <c r="BY134" s="256"/>
      <c r="BZ134" s="256"/>
    </row>
    <row r="135" spans="1:78" s="99" customFormat="1" ht="43.5" hidden="1" customHeight="1" x14ac:dyDescent="0.25">
      <c r="A135" s="256"/>
      <c r="B135" s="476"/>
      <c r="C135" s="256"/>
      <c r="D135" s="481"/>
      <c r="E135" s="481"/>
      <c r="F135" s="481"/>
      <c r="G135" s="481"/>
      <c r="H135" s="481"/>
      <c r="I135" s="481"/>
      <c r="J135" s="481"/>
      <c r="K135" s="481"/>
      <c r="L135" s="481"/>
      <c r="M135" s="481"/>
      <c r="N135" s="481"/>
      <c r="O135" s="481"/>
      <c r="P135" s="481"/>
      <c r="Q135" s="481"/>
      <c r="R135" s="481"/>
      <c r="S135" s="481"/>
      <c r="T135" s="256"/>
      <c r="U135" s="466"/>
      <c r="V135" s="466"/>
      <c r="W135" s="466"/>
      <c r="X135" s="466"/>
      <c r="Y135" s="466"/>
      <c r="Z135" s="466"/>
      <c r="AA135" s="466"/>
      <c r="AB135" s="466"/>
      <c r="AC135" s="466"/>
      <c r="AD135" s="466"/>
      <c r="AE135" s="466"/>
      <c r="AF135" s="466"/>
      <c r="AG135" s="466"/>
      <c r="AH135" s="466"/>
      <c r="AI135" s="466"/>
      <c r="AJ135" s="466"/>
      <c r="AK135" s="256"/>
      <c r="AL135" s="256"/>
      <c r="AM135" s="256"/>
      <c r="AN135" s="256"/>
      <c r="AO135" s="256"/>
      <c r="AP135" s="256"/>
      <c r="AQ135" s="256"/>
      <c r="AR135" s="256"/>
      <c r="AS135" s="256"/>
      <c r="AT135" s="256"/>
      <c r="AU135" s="256"/>
      <c r="AV135" s="256"/>
      <c r="AW135" s="256"/>
      <c r="AX135" s="256"/>
      <c r="AY135" s="256"/>
      <c r="AZ135" s="256"/>
      <c r="BA135" s="256"/>
      <c r="BB135" s="256"/>
      <c r="BC135" s="256"/>
      <c r="BD135" s="256"/>
      <c r="BE135" s="256"/>
      <c r="BF135" s="256"/>
      <c r="BG135" s="256"/>
      <c r="BH135" s="256"/>
      <c r="BI135" s="256"/>
      <c r="BJ135" s="256"/>
      <c r="BK135" s="256"/>
      <c r="BL135" s="256"/>
      <c r="BM135" s="256"/>
      <c r="BN135" s="256"/>
      <c r="BO135" s="256"/>
      <c r="BP135" s="256"/>
      <c r="BQ135" s="256"/>
      <c r="BR135" s="256"/>
      <c r="BS135" s="256"/>
      <c r="BT135" s="256"/>
      <c r="BU135" s="256"/>
      <c r="BV135" s="256"/>
      <c r="BW135" s="256"/>
      <c r="BX135" s="256"/>
      <c r="BY135" s="256"/>
      <c r="BZ135" s="256"/>
    </row>
    <row r="136" spans="1:78" s="99" customFormat="1" ht="43.5" hidden="1" customHeight="1" x14ac:dyDescent="0.25">
      <c r="A136" s="256"/>
      <c r="B136" s="477"/>
      <c r="C136" s="256"/>
      <c r="D136" s="481"/>
      <c r="E136" s="481"/>
      <c r="F136" s="481"/>
      <c r="G136" s="481"/>
      <c r="H136" s="481"/>
      <c r="I136" s="481"/>
      <c r="J136" s="481"/>
      <c r="K136" s="481"/>
      <c r="L136" s="481"/>
      <c r="M136" s="481"/>
      <c r="N136" s="481"/>
      <c r="O136" s="481"/>
      <c r="P136" s="481"/>
      <c r="Q136" s="481"/>
      <c r="R136" s="481"/>
      <c r="S136" s="481"/>
      <c r="T136" s="256"/>
      <c r="U136" s="466"/>
      <c r="V136" s="466"/>
      <c r="W136" s="466"/>
      <c r="X136" s="466"/>
      <c r="Y136" s="466"/>
      <c r="Z136" s="466"/>
      <c r="AA136" s="466"/>
      <c r="AB136" s="466"/>
      <c r="AC136" s="466"/>
      <c r="AD136" s="466"/>
      <c r="AE136" s="466"/>
      <c r="AF136" s="466"/>
      <c r="AG136" s="466"/>
      <c r="AH136" s="466"/>
      <c r="AI136" s="466"/>
      <c r="AJ136" s="466"/>
      <c r="AK136" s="256"/>
      <c r="AL136" s="256"/>
      <c r="AM136" s="256"/>
      <c r="AN136" s="256"/>
      <c r="AO136" s="256"/>
      <c r="AP136" s="256"/>
      <c r="AQ136" s="256"/>
      <c r="AR136" s="256"/>
      <c r="AS136" s="256"/>
      <c r="AT136" s="256"/>
      <c r="AU136" s="256"/>
      <c r="AV136" s="256"/>
      <c r="AW136" s="256"/>
      <c r="AX136" s="256"/>
      <c r="AY136" s="256"/>
      <c r="AZ136" s="256"/>
      <c r="BA136" s="256"/>
      <c r="BB136" s="256"/>
      <c r="BC136" s="256"/>
      <c r="BD136" s="256"/>
      <c r="BE136" s="256"/>
      <c r="BF136" s="256"/>
      <c r="BG136" s="256"/>
      <c r="BH136" s="256"/>
      <c r="BI136" s="256"/>
      <c r="BJ136" s="256"/>
      <c r="BK136" s="256"/>
      <c r="BL136" s="256"/>
      <c r="BM136" s="256"/>
      <c r="BN136" s="256"/>
      <c r="BO136" s="256"/>
      <c r="BP136" s="256"/>
      <c r="BQ136" s="256"/>
      <c r="BR136" s="256"/>
      <c r="BS136" s="256"/>
      <c r="BT136" s="256"/>
      <c r="BU136" s="256"/>
      <c r="BV136" s="256"/>
      <c r="BW136" s="256"/>
      <c r="BX136" s="256"/>
      <c r="BY136" s="256"/>
      <c r="BZ136" s="256"/>
    </row>
    <row r="137" spans="1:78" s="99" customFormat="1" ht="3" hidden="1" customHeight="1" x14ac:dyDescent="0.25">
      <c r="A137" s="256"/>
      <c r="B137" s="256"/>
      <c r="C137" s="256"/>
      <c r="D137" s="256"/>
      <c r="E137" s="256"/>
      <c r="F137" s="256"/>
      <c r="G137" s="256"/>
      <c r="H137" s="256"/>
      <c r="I137" s="256"/>
      <c r="J137" s="256"/>
      <c r="K137" s="256"/>
      <c r="L137" s="256"/>
      <c r="M137" s="256"/>
      <c r="N137" s="256"/>
      <c r="O137" s="256"/>
      <c r="P137" s="256"/>
      <c r="Q137" s="256"/>
      <c r="R137" s="256"/>
      <c r="S137" s="256"/>
      <c r="T137" s="256"/>
      <c r="U137" s="256"/>
      <c r="V137" s="256"/>
      <c r="W137" s="256"/>
      <c r="X137" s="256"/>
      <c r="Y137" s="256"/>
      <c r="Z137" s="256"/>
      <c r="AA137" s="256"/>
      <c r="AB137" s="256"/>
      <c r="AC137" s="256"/>
      <c r="AD137" s="256"/>
      <c r="AE137" s="256"/>
      <c r="AF137" s="256"/>
      <c r="AG137" s="256"/>
      <c r="AH137" s="256"/>
      <c r="AI137" s="256"/>
      <c r="AJ137" s="256"/>
      <c r="AK137" s="256"/>
      <c r="AL137" s="256"/>
      <c r="AM137" s="256"/>
      <c r="AN137" s="256"/>
      <c r="AO137" s="256"/>
      <c r="AP137" s="256"/>
      <c r="AQ137" s="256"/>
      <c r="AR137" s="256"/>
      <c r="AS137" s="256"/>
      <c r="AT137" s="256"/>
      <c r="AU137" s="256"/>
      <c r="AV137" s="256"/>
      <c r="AW137" s="256"/>
      <c r="AX137" s="256"/>
      <c r="AY137" s="256"/>
      <c r="AZ137" s="256"/>
      <c r="BA137" s="256"/>
      <c r="BB137" s="256"/>
      <c r="BC137" s="256"/>
      <c r="BD137" s="256"/>
      <c r="BE137" s="256"/>
      <c r="BF137" s="256"/>
      <c r="BG137" s="256"/>
      <c r="BH137" s="256"/>
      <c r="BI137" s="256"/>
      <c r="BJ137" s="256"/>
      <c r="BK137" s="256"/>
      <c r="BL137" s="256"/>
      <c r="BM137" s="256"/>
      <c r="BN137" s="256"/>
      <c r="BO137" s="256"/>
      <c r="BP137" s="256"/>
      <c r="BQ137" s="256"/>
      <c r="BR137" s="256"/>
      <c r="BS137" s="256"/>
      <c r="BT137" s="256"/>
      <c r="BU137" s="256"/>
      <c r="BV137" s="256"/>
      <c r="BW137" s="256"/>
      <c r="BX137" s="256"/>
      <c r="BY137" s="256"/>
      <c r="BZ137" s="256"/>
    </row>
    <row r="138" spans="1:78" s="99" customFormat="1" ht="43.5" hidden="1" customHeight="1" x14ac:dyDescent="0.25">
      <c r="A138" s="256"/>
      <c r="B138" s="475" t="str">
        <f>IFERROR(HYPERLINK(MouseOverEvent('_Data Status Month'!$A$112),'_Data Status Month'!$A$112),'_Data Status Month'!$A$112)</f>
        <v>Driver</v>
      </c>
      <c r="C138" s="238"/>
      <c r="D138" s="481"/>
      <c r="E138" s="481"/>
      <c r="F138" s="481"/>
      <c r="G138" s="481"/>
      <c r="H138" s="481"/>
      <c r="I138" s="481"/>
      <c r="J138" s="481"/>
      <c r="K138" s="481"/>
      <c r="L138" s="481"/>
      <c r="M138" s="481"/>
      <c r="N138" s="481"/>
      <c r="O138" s="481"/>
      <c r="P138" s="481"/>
      <c r="Q138" s="481"/>
      <c r="R138" s="481"/>
      <c r="S138" s="481"/>
      <c r="T138" s="256"/>
      <c r="U138" s="466"/>
      <c r="V138" s="466"/>
      <c r="W138" s="466"/>
      <c r="X138" s="466"/>
      <c r="Y138" s="466"/>
      <c r="Z138" s="466"/>
      <c r="AA138" s="466"/>
      <c r="AB138" s="466"/>
      <c r="AC138" s="466"/>
      <c r="AD138" s="466"/>
      <c r="AE138" s="466"/>
      <c r="AF138" s="466"/>
      <c r="AG138" s="466"/>
      <c r="AH138" s="466"/>
      <c r="AI138" s="466"/>
      <c r="AJ138" s="466"/>
      <c r="AK138" s="256"/>
      <c r="AL138" s="256"/>
      <c r="AM138" s="256"/>
      <c r="AN138" s="256"/>
      <c r="AO138" s="256"/>
      <c r="AP138" s="256"/>
      <c r="AQ138" s="256"/>
      <c r="AR138" s="256"/>
      <c r="AS138" s="256"/>
      <c r="AT138" s="256"/>
      <c r="AU138" s="256"/>
      <c r="AV138" s="256"/>
      <c r="AW138" s="256"/>
      <c r="AX138" s="256"/>
      <c r="AY138" s="256"/>
      <c r="AZ138" s="256"/>
      <c r="BA138" s="256"/>
      <c r="BB138" s="256"/>
      <c r="BC138" s="256"/>
      <c r="BD138" s="256"/>
      <c r="BE138" s="256"/>
      <c r="BF138" s="256"/>
      <c r="BG138" s="256"/>
      <c r="BH138" s="256"/>
      <c r="BI138" s="256"/>
      <c r="BJ138" s="256"/>
      <c r="BK138" s="256"/>
      <c r="BL138" s="256"/>
      <c r="BM138" s="256"/>
      <c r="BN138" s="256"/>
      <c r="BO138" s="256"/>
      <c r="BP138" s="256"/>
      <c r="BQ138" s="256"/>
      <c r="BR138" s="256"/>
      <c r="BS138" s="256"/>
      <c r="BT138" s="256"/>
      <c r="BU138" s="256"/>
      <c r="BV138" s="256"/>
      <c r="BW138" s="256"/>
      <c r="BX138" s="256"/>
      <c r="BY138" s="256"/>
      <c r="BZ138" s="256"/>
    </row>
    <row r="139" spans="1:78" s="99" customFormat="1" ht="43.5" hidden="1" customHeight="1" x14ac:dyDescent="0.25">
      <c r="A139" s="256"/>
      <c r="B139" s="476"/>
      <c r="C139" s="256"/>
      <c r="D139" s="481"/>
      <c r="E139" s="481"/>
      <c r="F139" s="481"/>
      <c r="G139" s="481"/>
      <c r="H139" s="481"/>
      <c r="I139" s="481"/>
      <c r="J139" s="481"/>
      <c r="K139" s="481"/>
      <c r="L139" s="481"/>
      <c r="M139" s="481"/>
      <c r="N139" s="481"/>
      <c r="O139" s="481"/>
      <c r="P139" s="481"/>
      <c r="Q139" s="481"/>
      <c r="R139" s="481"/>
      <c r="S139" s="481"/>
      <c r="T139" s="256"/>
      <c r="U139" s="466"/>
      <c r="V139" s="466"/>
      <c r="W139" s="466"/>
      <c r="X139" s="466"/>
      <c r="Y139" s="466"/>
      <c r="Z139" s="466"/>
      <c r="AA139" s="466"/>
      <c r="AB139" s="466"/>
      <c r="AC139" s="466"/>
      <c r="AD139" s="466"/>
      <c r="AE139" s="466"/>
      <c r="AF139" s="466"/>
      <c r="AG139" s="466"/>
      <c r="AH139" s="466"/>
      <c r="AI139" s="466"/>
      <c r="AJ139" s="466"/>
      <c r="AK139" s="256"/>
      <c r="AL139" s="256"/>
      <c r="AM139" s="256"/>
      <c r="AN139" s="256"/>
      <c r="AO139" s="256"/>
      <c r="AP139" s="256"/>
      <c r="AQ139" s="256"/>
      <c r="AR139" s="256"/>
      <c r="AS139" s="256"/>
      <c r="AT139" s="256"/>
      <c r="AU139" s="256"/>
      <c r="AV139" s="256"/>
      <c r="AW139" s="256"/>
      <c r="AX139" s="256"/>
      <c r="AY139" s="256"/>
      <c r="AZ139" s="256"/>
      <c r="BA139" s="256"/>
      <c r="BB139" s="256"/>
      <c r="BC139" s="256"/>
      <c r="BD139" s="256"/>
      <c r="BE139" s="256"/>
      <c r="BF139" s="256"/>
      <c r="BG139" s="256"/>
      <c r="BH139" s="256"/>
      <c r="BI139" s="256"/>
      <c r="BJ139" s="256"/>
      <c r="BK139" s="256"/>
      <c r="BL139" s="256"/>
      <c r="BM139" s="256"/>
      <c r="BN139" s="256"/>
      <c r="BO139" s="256"/>
      <c r="BP139" s="256"/>
      <c r="BQ139" s="256"/>
      <c r="BR139" s="256"/>
      <c r="BS139" s="256"/>
      <c r="BT139" s="256"/>
      <c r="BU139" s="256"/>
      <c r="BV139" s="256"/>
      <c r="BW139" s="256"/>
      <c r="BX139" s="256"/>
      <c r="BY139" s="256"/>
      <c r="BZ139" s="256"/>
    </row>
    <row r="140" spans="1:78" s="99" customFormat="1" ht="43.5" hidden="1" customHeight="1" x14ac:dyDescent="0.25">
      <c r="A140" s="256"/>
      <c r="B140" s="476"/>
      <c r="C140" s="256"/>
      <c r="D140" s="481"/>
      <c r="E140" s="481"/>
      <c r="F140" s="481"/>
      <c r="G140" s="481"/>
      <c r="H140" s="481"/>
      <c r="I140" s="481"/>
      <c r="J140" s="481"/>
      <c r="K140" s="481"/>
      <c r="L140" s="481"/>
      <c r="M140" s="481"/>
      <c r="N140" s="481"/>
      <c r="O140" s="481"/>
      <c r="P140" s="481"/>
      <c r="Q140" s="481"/>
      <c r="R140" s="481"/>
      <c r="S140" s="481"/>
      <c r="T140" s="256"/>
      <c r="U140" s="466"/>
      <c r="V140" s="466"/>
      <c r="W140" s="466"/>
      <c r="X140" s="466"/>
      <c r="Y140" s="466"/>
      <c r="Z140" s="466"/>
      <c r="AA140" s="466"/>
      <c r="AB140" s="466"/>
      <c r="AC140" s="466"/>
      <c r="AD140" s="466"/>
      <c r="AE140" s="466"/>
      <c r="AF140" s="466"/>
      <c r="AG140" s="466"/>
      <c r="AH140" s="466"/>
      <c r="AI140" s="466"/>
      <c r="AJ140" s="466"/>
      <c r="AK140" s="256"/>
      <c r="AL140" s="256"/>
      <c r="AM140" s="256"/>
      <c r="AN140" s="256"/>
      <c r="AO140" s="256"/>
      <c r="AP140" s="256"/>
      <c r="AQ140" s="256"/>
      <c r="AR140" s="256"/>
      <c r="AS140" s="256"/>
      <c r="AT140" s="256"/>
      <c r="AU140" s="256"/>
      <c r="AV140" s="256"/>
      <c r="AW140" s="256"/>
      <c r="AX140" s="256"/>
      <c r="AY140" s="256"/>
      <c r="AZ140" s="256"/>
      <c r="BA140" s="256"/>
      <c r="BB140" s="256"/>
      <c r="BC140" s="256"/>
      <c r="BD140" s="256"/>
      <c r="BE140" s="256"/>
      <c r="BF140" s="256"/>
      <c r="BG140" s="256"/>
      <c r="BH140" s="256"/>
      <c r="BI140" s="256"/>
      <c r="BJ140" s="256"/>
      <c r="BK140" s="256"/>
      <c r="BL140" s="256"/>
      <c r="BM140" s="256"/>
      <c r="BN140" s="256"/>
      <c r="BO140" s="256"/>
      <c r="BP140" s="256"/>
      <c r="BQ140" s="256"/>
      <c r="BR140" s="256"/>
      <c r="BS140" s="256"/>
      <c r="BT140" s="256"/>
      <c r="BU140" s="256"/>
      <c r="BV140" s="256"/>
      <c r="BW140" s="256"/>
      <c r="BX140" s="256"/>
      <c r="BY140" s="256"/>
      <c r="BZ140" s="256"/>
    </row>
    <row r="141" spans="1:78" s="99" customFormat="1" ht="43.5" hidden="1" customHeight="1" x14ac:dyDescent="0.25">
      <c r="A141" s="256"/>
      <c r="B141" s="476"/>
      <c r="C141" s="238"/>
      <c r="D141" s="481"/>
      <c r="E141" s="481"/>
      <c r="F141" s="481"/>
      <c r="G141" s="481"/>
      <c r="H141" s="481"/>
      <c r="I141" s="481"/>
      <c r="J141" s="481"/>
      <c r="K141" s="481"/>
      <c r="L141" s="481"/>
      <c r="M141" s="481"/>
      <c r="N141" s="481"/>
      <c r="O141" s="481"/>
      <c r="P141" s="481"/>
      <c r="Q141" s="481"/>
      <c r="R141" s="481"/>
      <c r="S141" s="481"/>
      <c r="T141" s="256"/>
      <c r="U141" s="466"/>
      <c r="V141" s="466"/>
      <c r="W141" s="466"/>
      <c r="X141" s="466"/>
      <c r="Y141" s="466"/>
      <c r="Z141" s="466"/>
      <c r="AA141" s="466"/>
      <c r="AB141" s="466"/>
      <c r="AC141" s="466"/>
      <c r="AD141" s="466"/>
      <c r="AE141" s="466"/>
      <c r="AF141" s="466"/>
      <c r="AG141" s="466"/>
      <c r="AH141" s="466"/>
      <c r="AI141" s="466"/>
      <c r="AJ141" s="466"/>
      <c r="AK141" s="256"/>
      <c r="AL141" s="256"/>
      <c r="AM141" s="256"/>
      <c r="AN141" s="256"/>
      <c r="AO141" s="256"/>
      <c r="AP141" s="256"/>
      <c r="AQ141" s="256"/>
      <c r="AR141" s="256"/>
      <c r="AS141" s="256"/>
      <c r="AT141" s="256"/>
      <c r="AU141" s="256"/>
      <c r="AV141" s="256"/>
      <c r="AW141" s="256"/>
      <c r="AX141" s="256"/>
      <c r="AY141" s="256"/>
      <c r="AZ141" s="256"/>
      <c r="BA141" s="256"/>
      <c r="BB141" s="256"/>
      <c r="BC141" s="256"/>
      <c r="BD141" s="256"/>
      <c r="BE141" s="256"/>
      <c r="BF141" s="256"/>
      <c r="BG141" s="256"/>
      <c r="BH141" s="256"/>
      <c r="BI141" s="256"/>
      <c r="BJ141" s="256"/>
      <c r="BK141" s="256"/>
      <c r="BL141" s="256"/>
      <c r="BM141" s="256"/>
      <c r="BN141" s="256"/>
      <c r="BO141" s="256"/>
      <c r="BP141" s="256"/>
      <c r="BQ141" s="256"/>
      <c r="BR141" s="256"/>
      <c r="BS141" s="256"/>
      <c r="BT141" s="256"/>
      <c r="BU141" s="256"/>
      <c r="BV141" s="256"/>
      <c r="BW141" s="256"/>
      <c r="BX141" s="256"/>
      <c r="BY141" s="256"/>
      <c r="BZ141" s="256"/>
    </row>
    <row r="142" spans="1:78" s="99" customFormat="1" ht="43.5" hidden="1" customHeight="1" x14ac:dyDescent="0.25">
      <c r="A142" s="256"/>
      <c r="B142" s="476"/>
      <c r="C142" s="256"/>
      <c r="D142" s="481"/>
      <c r="E142" s="481"/>
      <c r="F142" s="481"/>
      <c r="G142" s="481"/>
      <c r="H142" s="481"/>
      <c r="I142" s="481"/>
      <c r="J142" s="481"/>
      <c r="K142" s="481"/>
      <c r="L142" s="481"/>
      <c r="M142" s="481"/>
      <c r="N142" s="481"/>
      <c r="O142" s="481"/>
      <c r="P142" s="481"/>
      <c r="Q142" s="481"/>
      <c r="R142" s="481"/>
      <c r="S142" s="481"/>
      <c r="T142" s="256"/>
      <c r="U142" s="466"/>
      <c r="V142" s="466"/>
      <c r="W142" s="466"/>
      <c r="X142" s="466"/>
      <c r="Y142" s="466"/>
      <c r="Z142" s="466"/>
      <c r="AA142" s="466"/>
      <c r="AB142" s="466"/>
      <c r="AC142" s="466"/>
      <c r="AD142" s="466"/>
      <c r="AE142" s="466"/>
      <c r="AF142" s="466"/>
      <c r="AG142" s="466"/>
      <c r="AH142" s="466"/>
      <c r="AI142" s="466"/>
      <c r="AJ142" s="466"/>
      <c r="AK142" s="256"/>
      <c r="AL142" s="256"/>
      <c r="AM142" s="256"/>
      <c r="AN142" s="256"/>
      <c r="AO142" s="256"/>
      <c r="AP142" s="256"/>
      <c r="AQ142" s="256"/>
      <c r="AR142" s="256"/>
      <c r="AS142" s="256"/>
      <c r="AT142" s="256"/>
      <c r="AU142" s="256"/>
      <c r="AV142" s="256"/>
      <c r="AW142" s="256"/>
      <c r="AX142" s="256"/>
      <c r="AY142" s="256"/>
      <c r="AZ142" s="256"/>
      <c r="BA142" s="256"/>
      <c r="BB142" s="256"/>
      <c r="BC142" s="256"/>
      <c r="BD142" s="256"/>
      <c r="BE142" s="256"/>
      <c r="BF142" s="256"/>
      <c r="BG142" s="256"/>
      <c r="BH142" s="256"/>
      <c r="BI142" s="256"/>
      <c r="BJ142" s="256"/>
      <c r="BK142" s="256"/>
      <c r="BL142" s="256"/>
      <c r="BM142" s="256"/>
      <c r="BN142" s="256"/>
      <c r="BO142" s="256"/>
      <c r="BP142" s="256"/>
      <c r="BQ142" s="256"/>
      <c r="BR142" s="256"/>
      <c r="BS142" s="256"/>
      <c r="BT142" s="256"/>
      <c r="BU142" s="256"/>
      <c r="BV142" s="256"/>
      <c r="BW142" s="256"/>
      <c r="BX142" s="256"/>
      <c r="BY142" s="256"/>
      <c r="BZ142" s="256"/>
    </row>
    <row r="143" spans="1:78" s="99" customFormat="1" ht="43.5" hidden="1" customHeight="1" x14ac:dyDescent="0.25">
      <c r="A143" s="256"/>
      <c r="B143" s="477"/>
      <c r="C143" s="256"/>
      <c r="D143" s="481"/>
      <c r="E143" s="481"/>
      <c r="F143" s="481"/>
      <c r="G143" s="481"/>
      <c r="H143" s="481"/>
      <c r="I143" s="481"/>
      <c r="J143" s="481"/>
      <c r="K143" s="481"/>
      <c r="L143" s="481"/>
      <c r="M143" s="481"/>
      <c r="N143" s="481"/>
      <c r="O143" s="481"/>
      <c r="P143" s="481"/>
      <c r="Q143" s="481"/>
      <c r="R143" s="481"/>
      <c r="S143" s="481"/>
      <c r="T143" s="256"/>
      <c r="U143" s="466"/>
      <c r="V143" s="466"/>
      <c r="W143" s="466"/>
      <c r="X143" s="466"/>
      <c r="Y143" s="466"/>
      <c r="Z143" s="466"/>
      <c r="AA143" s="466"/>
      <c r="AB143" s="466"/>
      <c r="AC143" s="466"/>
      <c r="AD143" s="466"/>
      <c r="AE143" s="466"/>
      <c r="AF143" s="466"/>
      <c r="AG143" s="466"/>
      <c r="AH143" s="466"/>
      <c r="AI143" s="466"/>
      <c r="AJ143" s="466"/>
      <c r="AK143" s="256"/>
      <c r="AL143" s="256"/>
      <c r="AM143" s="256"/>
      <c r="AN143" s="256"/>
      <c r="AO143" s="256"/>
      <c r="AP143" s="256"/>
      <c r="AQ143" s="256"/>
      <c r="AR143" s="256"/>
      <c r="AS143" s="256"/>
      <c r="AT143" s="256"/>
      <c r="AU143" s="256"/>
      <c r="AV143" s="256"/>
      <c r="AW143" s="256"/>
      <c r="AX143" s="256"/>
      <c r="AY143" s="256"/>
      <c r="AZ143" s="256"/>
      <c r="BA143" s="256"/>
      <c r="BB143" s="256"/>
      <c r="BC143" s="256"/>
      <c r="BD143" s="256"/>
      <c r="BE143" s="256"/>
      <c r="BF143" s="256"/>
      <c r="BG143" s="256"/>
      <c r="BH143" s="256"/>
      <c r="BI143" s="256"/>
      <c r="BJ143" s="256"/>
      <c r="BK143" s="256"/>
      <c r="BL143" s="256"/>
      <c r="BM143" s="256"/>
      <c r="BN143" s="256"/>
      <c r="BO143" s="256"/>
      <c r="BP143" s="256"/>
      <c r="BQ143" s="256"/>
      <c r="BR143" s="256"/>
      <c r="BS143" s="256"/>
      <c r="BT143" s="256"/>
      <c r="BU143" s="256"/>
      <c r="BV143" s="256"/>
      <c r="BW143" s="256"/>
      <c r="BX143" s="256"/>
      <c r="BY143" s="256"/>
      <c r="BZ143" s="256"/>
    </row>
    <row r="144" spans="1:78" s="99" customFormat="1" ht="3" hidden="1" customHeight="1" x14ac:dyDescent="0.25">
      <c r="A144" s="256"/>
      <c r="B144" s="256"/>
      <c r="C144" s="256"/>
      <c r="D144" s="256"/>
      <c r="E144" s="256"/>
      <c r="F144" s="256"/>
      <c r="G144" s="256"/>
      <c r="H144" s="256"/>
      <c r="I144" s="256"/>
      <c r="J144" s="256"/>
      <c r="K144" s="256"/>
      <c r="L144" s="256"/>
      <c r="M144" s="256"/>
      <c r="N144" s="256"/>
      <c r="O144" s="256"/>
      <c r="P144" s="256"/>
      <c r="Q144" s="256"/>
      <c r="R144" s="256"/>
      <c r="S144" s="256"/>
      <c r="T144" s="256"/>
      <c r="U144" s="256"/>
      <c r="V144" s="256"/>
      <c r="W144" s="256"/>
      <c r="X144" s="256"/>
      <c r="Y144" s="256"/>
      <c r="Z144" s="256"/>
      <c r="AA144" s="256"/>
      <c r="AB144" s="256"/>
      <c r="AC144" s="256"/>
      <c r="AD144" s="256"/>
      <c r="AE144" s="256"/>
      <c r="AF144" s="256"/>
      <c r="AG144" s="256"/>
      <c r="AH144" s="256"/>
      <c r="AI144" s="256"/>
      <c r="AJ144" s="256"/>
      <c r="AK144" s="256"/>
      <c r="AL144" s="256"/>
      <c r="AM144" s="256"/>
      <c r="AN144" s="256"/>
      <c r="AO144" s="256"/>
      <c r="AP144" s="256"/>
      <c r="AQ144" s="256"/>
      <c r="AR144" s="256"/>
      <c r="AS144" s="256"/>
      <c r="AT144" s="256"/>
      <c r="AU144" s="256"/>
      <c r="AV144" s="256"/>
      <c r="AW144" s="256"/>
      <c r="AX144" s="256"/>
      <c r="AY144" s="256"/>
      <c r="AZ144" s="256"/>
      <c r="BA144" s="256"/>
      <c r="BB144" s="256"/>
      <c r="BC144" s="256"/>
      <c r="BD144" s="256"/>
      <c r="BE144" s="256"/>
      <c r="BF144" s="256"/>
      <c r="BG144" s="256"/>
      <c r="BH144" s="256"/>
      <c r="BI144" s="256"/>
      <c r="BJ144" s="256"/>
      <c r="BK144" s="256"/>
      <c r="BL144" s="256"/>
      <c r="BM144" s="256"/>
      <c r="BN144" s="256"/>
      <c r="BO144" s="256"/>
      <c r="BP144" s="256"/>
      <c r="BQ144" s="256"/>
      <c r="BR144" s="256"/>
      <c r="BS144" s="256"/>
      <c r="BT144" s="256"/>
      <c r="BU144" s="256"/>
      <c r="BV144" s="256"/>
      <c r="BW144" s="256"/>
      <c r="BX144" s="256"/>
      <c r="BY144" s="256"/>
      <c r="BZ144" s="256"/>
    </row>
    <row r="145" spans="1:78" s="99" customFormat="1" ht="43.5" hidden="1" customHeight="1" x14ac:dyDescent="0.25">
      <c r="A145" s="256"/>
      <c r="B145" s="475" t="str">
        <f>IFERROR(HYPERLINK(MouseOverEvent('_Data Status Month'!$A$113),'_Data Status Month'!$A$113),'_Data Status Month'!$A$113)</f>
        <v>Bunker</v>
      </c>
      <c r="C145" s="238"/>
      <c r="D145" s="481"/>
      <c r="E145" s="481"/>
      <c r="F145" s="481"/>
      <c r="G145" s="481"/>
      <c r="H145" s="481"/>
      <c r="I145" s="481"/>
      <c r="J145" s="481"/>
      <c r="K145" s="481"/>
      <c r="L145" s="481"/>
      <c r="M145" s="481"/>
      <c r="N145" s="481"/>
      <c r="O145" s="481"/>
      <c r="P145" s="481"/>
      <c r="Q145" s="481"/>
      <c r="R145" s="481"/>
      <c r="S145" s="481"/>
      <c r="T145" s="256"/>
      <c r="U145" s="466"/>
      <c r="V145" s="466"/>
      <c r="W145" s="466"/>
      <c r="X145" s="466"/>
      <c r="Y145" s="466"/>
      <c r="Z145" s="466"/>
      <c r="AA145" s="466"/>
      <c r="AB145" s="466"/>
      <c r="AC145" s="466"/>
      <c r="AD145" s="466"/>
      <c r="AE145" s="466"/>
      <c r="AF145" s="466"/>
      <c r="AG145" s="466"/>
      <c r="AH145" s="466"/>
      <c r="AI145" s="466"/>
      <c r="AJ145" s="466"/>
      <c r="AK145" s="256"/>
      <c r="AL145" s="256"/>
      <c r="AM145" s="256"/>
      <c r="AN145" s="256"/>
      <c r="AO145" s="256"/>
      <c r="AP145" s="256"/>
      <c r="AQ145" s="256"/>
      <c r="AR145" s="256"/>
      <c r="AS145" s="256"/>
      <c r="AT145" s="256"/>
      <c r="AU145" s="256"/>
      <c r="AV145" s="256"/>
      <c r="AW145" s="256"/>
      <c r="AX145" s="256"/>
      <c r="AY145" s="256"/>
      <c r="AZ145" s="256"/>
      <c r="BA145" s="256"/>
      <c r="BB145" s="256"/>
      <c r="BC145" s="256"/>
      <c r="BD145" s="256"/>
      <c r="BE145" s="256"/>
      <c r="BF145" s="256"/>
      <c r="BG145" s="256"/>
      <c r="BH145" s="256"/>
      <c r="BI145" s="256"/>
      <c r="BJ145" s="256"/>
      <c r="BK145" s="256"/>
      <c r="BL145" s="256"/>
      <c r="BM145" s="256"/>
      <c r="BN145" s="256"/>
      <c r="BO145" s="256"/>
      <c r="BP145" s="256"/>
      <c r="BQ145" s="256"/>
      <c r="BR145" s="256"/>
      <c r="BS145" s="256"/>
      <c r="BT145" s="256"/>
      <c r="BU145" s="256"/>
      <c r="BV145" s="256"/>
      <c r="BW145" s="256"/>
      <c r="BX145" s="256"/>
      <c r="BY145" s="256"/>
      <c r="BZ145" s="256"/>
    </row>
    <row r="146" spans="1:78" s="99" customFormat="1" ht="43.5" hidden="1" customHeight="1" x14ac:dyDescent="0.25">
      <c r="A146" s="256"/>
      <c r="B146" s="476"/>
      <c r="C146" s="256"/>
      <c r="D146" s="481"/>
      <c r="E146" s="481"/>
      <c r="F146" s="481"/>
      <c r="G146" s="481"/>
      <c r="H146" s="481"/>
      <c r="I146" s="481"/>
      <c r="J146" s="481"/>
      <c r="K146" s="481"/>
      <c r="L146" s="481"/>
      <c r="M146" s="481"/>
      <c r="N146" s="481"/>
      <c r="O146" s="481"/>
      <c r="P146" s="481"/>
      <c r="Q146" s="481"/>
      <c r="R146" s="481"/>
      <c r="S146" s="481"/>
      <c r="T146" s="256"/>
      <c r="U146" s="466"/>
      <c r="V146" s="466"/>
      <c r="W146" s="466"/>
      <c r="X146" s="466"/>
      <c r="Y146" s="466"/>
      <c r="Z146" s="466"/>
      <c r="AA146" s="466"/>
      <c r="AB146" s="466"/>
      <c r="AC146" s="466"/>
      <c r="AD146" s="466"/>
      <c r="AE146" s="466"/>
      <c r="AF146" s="466"/>
      <c r="AG146" s="466"/>
      <c r="AH146" s="466"/>
      <c r="AI146" s="466"/>
      <c r="AJ146" s="466"/>
      <c r="AK146" s="256"/>
      <c r="AL146" s="256"/>
      <c r="AM146" s="256"/>
      <c r="AN146" s="256"/>
      <c r="AO146" s="256"/>
      <c r="AP146" s="256"/>
      <c r="AQ146" s="256"/>
      <c r="AR146" s="256"/>
      <c r="AS146" s="256"/>
      <c r="AT146" s="256"/>
      <c r="AU146" s="256"/>
      <c r="AV146" s="256"/>
      <c r="AW146" s="256"/>
      <c r="AX146" s="256"/>
      <c r="AY146" s="256"/>
      <c r="AZ146" s="256"/>
      <c r="BA146" s="256"/>
      <c r="BB146" s="256"/>
      <c r="BC146" s="256"/>
      <c r="BD146" s="256"/>
      <c r="BE146" s="256"/>
      <c r="BF146" s="256"/>
      <c r="BG146" s="256"/>
      <c r="BH146" s="256"/>
      <c r="BI146" s="256"/>
      <c r="BJ146" s="256"/>
      <c r="BK146" s="256"/>
      <c r="BL146" s="256"/>
      <c r="BM146" s="256"/>
      <c r="BN146" s="256"/>
      <c r="BO146" s="256"/>
      <c r="BP146" s="256"/>
      <c r="BQ146" s="256"/>
      <c r="BR146" s="256"/>
      <c r="BS146" s="256"/>
      <c r="BT146" s="256"/>
      <c r="BU146" s="256"/>
      <c r="BV146" s="256"/>
      <c r="BW146" s="256"/>
      <c r="BX146" s="256"/>
      <c r="BY146" s="256"/>
      <c r="BZ146" s="256"/>
    </row>
    <row r="147" spans="1:78" s="99" customFormat="1" ht="43.5" hidden="1" customHeight="1" x14ac:dyDescent="0.25">
      <c r="A147" s="256"/>
      <c r="B147" s="476"/>
      <c r="C147" s="256"/>
      <c r="D147" s="481"/>
      <c r="E147" s="481"/>
      <c r="F147" s="481"/>
      <c r="G147" s="481"/>
      <c r="H147" s="481"/>
      <c r="I147" s="481"/>
      <c r="J147" s="481"/>
      <c r="K147" s="481"/>
      <c r="L147" s="481"/>
      <c r="M147" s="481"/>
      <c r="N147" s="481"/>
      <c r="O147" s="481"/>
      <c r="P147" s="481"/>
      <c r="Q147" s="481"/>
      <c r="R147" s="481"/>
      <c r="S147" s="481"/>
      <c r="T147" s="256"/>
      <c r="U147" s="466"/>
      <c r="V147" s="466"/>
      <c r="W147" s="466"/>
      <c r="X147" s="466"/>
      <c r="Y147" s="466"/>
      <c r="Z147" s="466"/>
      <c r="AA147" s="466"/>
      <c r="AB147" s="466"/>
      <c r="AC147" s="466"/>
      <c r="AD147" s="466"/>
      <c r="AE147" s="466"/>
      <c r="AF147" s="466"/>
      <c r="AG147" s="466"/>
      <c r="AH147" s="466"/>
      <c r="AI147" s="466"/>
      <c r="AJ147" s="466"/>
      <c r="AK147" s="256"/>
      <c r="AL147" s="256"/>
      <c r="AM147" s="256"/>
      <c r="AN147" s="256"/>
      <c r="AO147" s="256"/>
      <c r="AP147" s="256"/>
      <c r="AQ147" s="256"/>
      <c r="AR147" s="256"/>
      <c r="AS147" s="256"/>
      <c r="AT147" s="256"/>
      <c r="AU147" s="256"/>
      <c r="AV147" s="256"/>
      <c r="AW147" s="256"/>
      <c r="AX147" s="256"/>
      <c r="AY147" s="256"/>
      <c r="AZ147" s="256"/>
      <c r="BA147" s="256"/>
      <c r="BB147" s="256"/>
      <c r="BC147" s="256"/>
      <c r="BD147" s="256"/>
      <c r="BE147" s="256"/>
      <c r="BF147" s="256"/>
      <c r="BG147" s="256"/>
      <c r="BH147" s="256"/>
      <c r="BI147" s="256"/>
      <c r="BJ147" s="256"/>
      <c r="BK147" s="256"/>
      <c r="BL147" s="256"/>
      <c r="BM147" s="256"/>
      <c r="BN147" s="256"/>
      <c r="BO147" s="256"/>
      <c r="BP147" s="256"/>
      <c r="BQ147" s="256"/>
      <c r="BR147" s="256"/>
      <c r="BS147" s="256"/>
      <c r="BT147" s="256"/>
      <c r="BU147" s="256"/>
      <c r="BV147" s="256"/>
      <c r="BW147" s="256"/>
      <c r="BX147" s="256"/>
      <c r="BY147" s="256"/>
      <c r="BZ147" s="256"/>
    </row>
    <row r="148" spans="1:78" s="99" customFormat="1" ht="43.5" hidden="1" customHeight="1" x14ac:dyDescent="0.25">
      <c r="A148" s="256"/>
      <c r="B148" s="476"/>
      <c r="C148" s="238"/>
      <c r="D148" s="481"/>
      <c r="E148" s="481"/>
      <c r="F148" s="481"/>
      <c r="G148" s="481"/>
      <c r="H148" s="481"/>
      <c r="I148" s="481"/>
      <c r="J148" s="481"/>
      <c r="K148" s="481"/>
      <c r="L148" s="481"/>
      <c r="M148" s="481"/>
      <c r="N148" s="481"/>
      <c r="O148" s="481"/>
      <c r="P148" s="481"/>
      <c r="Q148" s="481"/>
      <c r="R148" s="481"/>
      <c r="S148" s="481"/>
      <c r="T148" s="256"/>
      <c r="U148" s="466"/>
      <c r="V148" s="466"/>
      <c r="W148" s="466"/>
      <c r="X148" s="466"/>
      <c r="Y148" s="466"/>
      <c r="Z148" s="466"/>
      <c r="AA148" s="466"/>
      <c r="AB148" s="466"/>
      <c r="AC148" s="466"/>
      <c r="AD148" s="466"/>
      <c r="AE148" s="466"/>
      <c r="AF148" s="466"/>
      <c r="AG148" s="466"/>
      <c r="AH148" s="466"/>
      <c r="AI148" s="466"/>
      <c r="AJ148" s="466"/>
      <c r="AK148" s="256"/>
      <c r="AL148" s="256"/>
      <c r="AM148" s="256"/>
      <c r="AN148" s="256"/>
      <c r="AO148" s="256"/>
      <c r="AP148" s="256"/>
      <c r="AQ148" s="256"/>
      <c r="AR148" s="256"/>
      <c r="AS148" s="256"/>
      <c r="AT148" s="256"/>
      <c r="AU148" s="256"/>
      <c r="AV148" s="256"/>
      <c r="AW148" s="256"/>
      <c r="AX148" s="256"/>
      <c r="AY148" s="256"/>
      <c r="AZ148" s="256"/>
      <c r="BA148" s="256"/>
      <c r="BB148" s="256"/>
      <c r="BC148" s="256"/>
      <c r="BD148" s="256"/>
      <c r="BE148" s="256"/>
      <c r="BF148" s="256"/>
      <c r="BG148" s="256"/>
      <c r="BH148" s="256"/>
      <c r="BI148" s="256"/>
      <c r="BJ148" s="256"/>
      <c r="BK148" s="256"/>
      <c r="BL148" s="256"/>
      <c r="BM148" s="256"/>
      <c r="BN148" s="256"/>
      <c r="BO148" s="256"/>
      <c r="BP148" s="256"/>
      <c r="BQ148" s="256"/>
      <c r="BR148" s="256"/>
      <c r="BS148" s="256"/>
      <c r="BT148" s="256"/>
      <c r="BU148" s="256"/>
      <c r="BV148" s="256"/>
      <c r="BW148" s="256"/>
      <c r="BX148" s="256"/>
      <c r="BY148" s="256"/>
      <c r="BZ148" s="256"/>
    </row>
    <row r="149" spans="1:78" s="99" customFormat="1" ht="43.5" hidden="1" customHeight="1" x14ac:dyDescent="0.25">
      <c r="A149" s="256"/>
      <c r="B149" s="476"/>
      <c r="C149" s="256"/>
      <c r="D149" s="481"/>
      <c r="E149" s="481"/>
      <c r="F149" s="481"/>
      <c r="G149" s="481"/>
      <c r="H149" s="481"/>
      <c r="I149" s="481"/>
      <c r="J149" s="481"/>
      <c r="K149" s="481"/>
      <c r="L149" s="481"/>
      <c r="M149" s="481"/>
      <c r="N149" s="481"/>
      <c r="O149" s="481"/>
      <c r="P149" s="481"/>
      <c r="Q149" s="481"/>
      <c r="R149" s="481"/>
      <c r="S149" s="481"/>
      <c r="T149" s="256"/>
      <c r="U149" s="466"/>
      <c r="V149" s="466"/>
      <c r="W149" s="466"/>
      <c r="X149" s="466"/>
      <c r="Y149" s="466"/>
      <c r="Z149" s="466"/>
      <c r="AA149" s="466"/>
      <c r="AB149" s="466"/>
      <c r="AC149" s="466"/>
      <c r="AD149" s="466"/>
      <c r="AE149" s="466"/>
      <c r="AF149" s="466"/>
      <c r="AG149" s="466"/>
      <c r="AH149" s="466"/>
      <c r="AI149" s="466"/>
      <c r="AJ149" s="466"/>
      <c r="AK149" s="256"/>
      <c r="AL149" s="256"/>
      <c r="AM149" s="256"/>
      <c r="AN149" s="256"/>
      <c r="AO149" s="256"/>
      <c r="AP149" s="256"/>
      <c r="AQ149" s="256"/>
      <c r="AR149" s="256"/>
      <c r="AS149" s="256"/>
      <c r="AT149" s="256"/>
      <c r="AU149" s="256"/>
      <c r="AV149" s="256"/>
      <c r="AW149" s="256"/>
      <c r="AX149" s="256"/>
      <c r="AY149" s="256"/>
      <c r="AZ149" s="256"/>
      <c r="BA149" s="256"/>
      <c r="BB149" s="256"/>
      <c r="BC149" s="256"/>
      <c r="BD149" s="256"/>
      <c r="BE149" s="256"/>
      <c r="BF149" s="256"/>
      <c r="BG149" s="256"/>
      <c r="BH149" s="256"/>
      <c r="BI149" s="256"/>
      <c r="BJ149" s="256"/>
      <c r="BK149" s="256"/>
      <c r="BL149" s="256"/>
      <c r="BM149" s="256"/>
      <c r="BN149" s="256"/>
      <c r="BO149" s="256"/>
      <c r="BP149" s="256"/>
      <c r="BQ149" s="256"/>
      <c r="BR149" s="256"/>
      <c r="BS149" s="256"/>
      <c r="BT149" s="256"/>
      <c r="BU149" s="256"/>
      <c r="BV149" s="256"/>
      <c r="BW149" s="256"/>
      <c r="BX149" s="256"/>
      <c r="BY149" s="256"/>
      <c r="BZ149" s="256"/>
    </row>
    <row r="150" spans="1:78" s="99" customFormat="1" ht="43.5" hidden="1" customHeight="1" x14ac:dyDescent="0.25">
      <c r="A150" s="256"/>
      <c r="B150" s="477"/>
      <c r="C150" s="256"/>
      <c r="D150" s="481"/>
      <c r="E150" s="481"/>
      <c r="F150" s="481"/>
      <c r="G150" s="481"/>
      <c r="H150" s="481"/>
      <c r="I150" s="481"/>
      <c r="J150" s="481"/>
      <c r="K150" s="481"/>
      <c r="L150" s="481"/>
      <c r="M150" s="481"/>
      <c r="N150" s="481"/>
      <c r="O150" s="481"/>
      <c r="P150" s="481"/>
      <c r="Q150" s="481"/>
      <c r="R150" s="481"/>
      <c r="S150" s="481"/>
      <c r="T150" s="256"/>
      <c r="U150" s="466"/>
      <c r="V150" s="466"/>
      <c r="W150" s="466"/>
      <c r="X150" s="466"/>
      <c r="Y150" s="466"/>
      <c r="Z150" s="466"/>
      <c r="AA150" s="466"/>
      <c r="AB150" s="466"/>
      <c r="AC150" s="466"/>
      <c r="AD150" s="466"/>
      <c r="AE150" s="466"/>
      <c r="AF150" s="466"/>
      <c r="AG150" s="466"/>
      <c r="AH150" s="466"/>
      <c r="AI150" s="466"/>
      <c r="AJ150" s="466"/>
      <c r="AK150" s="256"/>
      <c r="AL150" s="256"/>
      <c r="AM150" s="256"/>
      <c r="AN150" s="256"/>
      <c r="AO150" s="256"/>
      <c r="AP150" s="256"/>
      <c r="AQ150" s="256"/>
      <c r="AR150" s="256"/>
      <c r="AS150" s="256"/>
      <c r="AT150" s="256"/>
      <c r="AU150" s="256"/>
      <c r="AV150" s="256"/>
      <c r="AW150" s="256"/>
      <c r="AX150" s="256"/>
      <c r="AY150" s="256"/>
      <c r="AZ150" s="256"/>
      <c r="BA150" s="256"/>
      <c r="BB150" s="256"/>
      <c r="BC150" s="256"/>
      <c r="BD150" s="256"/>
      <c r="BE150" s="256"/>
      <c r="BF150" s="256"/>
      <c r="BG150" s="256"/>
      <c r="BH150" s="256"/>
      <c r="BI150" s="256"/>
      <c r="BJ150" s="256"/>
      <c r="BK150" s="256"/>
      <c r="BL150" s="256"/>
      <c r="BM150" s="256"/>
      <c r="BN150" s="256"/>
      <c r="BO150" s="256"/>
      <c r="BP150" s="256"/>
      <c r="BQ150" s="256"/>
      <c r="BR150" s="256"/>
      <c r="BS150" s="256"/>
      <c r="BT150" s="256"/>
      <c r="BU150" s="256"/>
      <c r="BV150" s="256"/>
      <c r="BW150" s="256"/>
      <c r="BX150" s="256"/>
      <c r="BY150" s="256"/>
      <c r="BZ150" s="256"/>
    </row>
    <row r="151" spans="1:78" s="99" customFormat="1" ht="3" hidden="1" customHeight="1" x14ac:dyDescent="0.25">
      <c r="A151" s="256"/>
      <c r="B151" s="256"/>
      <c r="C151" s="256"/>
      <c r="D151" s="256"/>
      <c r="E151" s="256"/>
      <c r="F151" s="256"/>
      <c r="G151" s="256"/>
      <c r="H151" s="256"/>
      <c r="I151" s="256"/>
      <c r="J151" s="256"/>
      <c r="K151" s="256"/>
      <c r="L151" s="256"/>
      <c r="M151" s="256"/>
      <c r="N151" s="256"/>
      <c r="O151" s="256"/>
      <c r="P151" s="256"/>
      <c r="Q151" s="256"/>
      <c r="R151" s="256"/>
      <c r="S151" s="256"/>
      <c r="T151" s="256"/>
      <c r="U151" s="256"/>
      <c r="V151" s="256"/>
      <c r="W151" s="256"/>
      <c r="X151" s="256"/>
      <c r="Y151" s="256"/>
      <c r="Z151" s="256"/>
      <c r="AA151" s="256"/>
      <c r="AB151" s="256"/>
      <c r="AC151" s="256"/>
      <c r="AD151" s="256"/>
      <c r="AE151" s="256"/>
      <c r="AF151" s="256"/>
      <c r="AG151" s="256"/>
      <c r="AH151" s="256"/>
      <c r="AI151" s="256"/>
      <c r="AJ151" s="256"/>
      <c r="AK151" s="256"/>
      <c r="AL151" s="256"/>
      <c r="AM151" s="256"/>
      <c r="AN151" s="256"/>
      <c r="AO151" s="256"/>
      <c r="AP151" s="256"/>
      <c r="AQ151" s="256"/>
      <c r="AR151" s="256"/>
      <c r="AS151" s="256"/>
      <c r="AT151" s="256"/>
      <c r="AU151" s="256"/>
      <c r="AV151" s="256"/>
      <c r="AW151" s="256"/>
      <c r="AX151" s="256"/>
      <c r="AY151" s="256"/>
      <c r="AZ151" s="256"/>
      <c r="BA151" s="256"/>
      <c r="BB151" s="256"/>
      <c r="BC151" s="256"/>
      <c r="BD151" s="256"/>
      <c r="BE151" s="256"/>
      <c r="BF151" s="256"/>
      <c r="BG151" s="256"/>
      <c r="BH151" s="256"/>
      <c r="BI151" s="256"/>
      <c r="BJ151" s="256"/>
      <c r="BK151" s="256"/>
      <c r="BL151" s="256"/>
      <c r="BM151" s="256"/>
      <c r="BN151" s="256"/>
      <c r="BO151" s="256"/>
      <c r="BP151" s="256"/>
      <c r="BQ151" s="256"/>
      <c r="BR151" s="256"/>
      <c r="BS151" s="256"/>
      <c r="BT151" s="256"/>
      <c r="BU151" s="256"/>
      <c r="BV151" s="256"/>
      <c r="BW151" s="256"/>
      <c r="BX151" s="256"/>
      <c r="BY151" s="256"/>
      <c r="BZ151" s="256"/>
    </row>
    <row r="152" spans="1:78" s="99" customFormat="1" ht="43.5" hidden="1" customHeight="1" x14ac:dyDescent="0.25">
      <c r="A152" s="256"/>
      <c r="B152" s="482" t="s">
        <v>602</v>
      </c>
      <c r="C152" s="238"/>
      <c r="D152" s="481"/>
      <c r="E152" s="481"/>
      <c r="F152" s="481"/>
      <c r="G152" s="481"/>
      <c r="H152" s="481"/>
      <c r="I152" s="481"/>
      <c r="J152" s="481"/>
      <c r="K152" s="481"/>
      <c r="L152" s="481"/>
      <c r="M152" s="481"/>
      <c r="N152" s="481"/>
      <c r="O152" s="481"/>
      <c r="P152" s="481"/>
      <c r="Q152" s="481"/>
      <c r="R152" s="481"/>
      <c r="S152" s="481"/>
      <c r="T152" s="256"/>
      <c r="U152" s="466"/>
      <c r="V152" s="466"/>
      <c r="W152" s="466"/>
      <c r="X152" s="466"/>
      <c r="Y152" s="466"/>
      <c r="Z152" s="466"/>
      <c r="AA152" s="466"/>
      <c r="AB152" s="466"/>
      <c r="AC152" s="466"/>
      <c r="AD152" s="466"/>
      <c r="AE152" s="466"/>
      <c r="AF152" s="466"/>
      <c r="AG152" s="466"/>
      <c r="AH152" s="466"/>
      <c r="AI152" s="466"/>
      <c r="AJ152" s="466"/>
      <c r="AK152" s="256"/>
      <c r="AL152" s="256"/>
      <c r="AM152" s="256"/>
      <c r="AN152" s="256"/>
      <c r="AO152" s="256"/>
      <c r="AP152" s="256"/>
      <c r="AQ152" s="256"/>
      <c r="AR152" s="256"/>
      <c r="AS152" s="256"/>
      <c r="AT152" s="256"/>
      <c r="AU152" s="256"/>
      <c r="AV152" s="256"/>
      <c r="AW152" s="256"/>
      <c r="AX152" s="256"/>
      <c r="AY152" s="256"/>
      <c r="AZ152" s="256"/>
      <c r="BA152" s="256"/>
      <c r="BB152" s="256"/>
      <c r="BC152" s="256"/>
      <c r="BD152" s="256"/>
      <c r="BE152" s="256"/>
      <c r="BF152" s="256"/>
      <c r="BG152" s="256"/>
      <c r="BH152" s="256"/>
      <c r="BI152" s="256"/>
      <c r="BJ152" s="256"/>
      <c r="BK152" s="256"/>
      <c r="BL152" s="256"/>
      <c r="BM152" s="256"/>
      <c r="BN152" s="256"/>
      <c r="BO152" s="256"/>
      <c r="BP152" s="256"/>
      <c r="BQ152" s="256"/>
      <c r="BR152" s="256"/>
      <c r="BS152" s="256"/>
      <c r="BT152" s="256"/>
      <c r="BU152" s="256"/>
      <c r="BV152" s="256"/>
      <c r="BW152" s="256"/>
      <c r="BX152" s="256"/>
      <c r="BY152" s="256"/>
      <c r="BZ152" s="256"/>
    </row>
    <row r="153" spans="1:78" s="99" customFormat="1" ht="43.5" hidden="1" customHeight="1" x14ac:dyDescent="0.25">
      <c r="A153" s="256"/>
      <c r="B153" s="483"/>
      <c r="C153" s="256"/>
      <c r="D153" s="481"/>
      <c r="E153" s="481"/>
      <c r="F153" s="481"/>
      <c r="G153" s="481"/>
      <c r="H153" s="481"/>
      <c r="I153" s="481"/>
      <c r="J153" s="481"/>
      <c r="K153" s="481"/>
      <c r="L153" s="481"/>
      <c r="M153" s="481"/>
      <c r="N153" s="481"/>
      <c r="O153" s="481"/>
      <c r="P153" s="481"/>
      <c r="Q153" s="481"/>
      <c r="R153" s="481"/>
      <c r="S153" s="481"/>
      <c r="T153" s="256"/>
      <c r="U153" s="466"/>
      <c r="V153" s="466"/>
      <c r="W153" s="466"/>
      <c r="X153" s="466"/>
      <c r="Y153" s="466"/>
      <c r="Z153" s="466"/>
      <c r="AA153" s="466"/>
      <c r="AB153" s="466"/>
      <c r="AC153" s="466"/>
      <c r="AD153" s="466"/>
      <c r="AE153" s="466"/>
      <c r="AF153" s="466"/>
      <c r="AG153" s="466"/>
      <c r="AH153" s="466"/>
      <c r="AI153" s="466"/>
      <c r="AJ153" s="466"/>
      <c r="AK153" s="256"/>
      <c r="AL153" s="256"/>
      <c r="AM153" s="256"/>
      <c r="AN153" s="256"/>
      <c r="AO153" s="256"/>
      <c r="AP153" s="256"/>
      <c r="AQ153" s="256"/>
      <c r="AR153" s="256"/>
      <c r="AS153" s="256"/>
      <c r="AT153" s="256"/>
      <c r="AU153" s="256"/>
      <c r="AV153" s="256"/>
      <c r="AW153" s="256"/>
      <c r="AX153" s="256"/>
      <c r="AY153" s="256"/>
      <c r="AZ153" s="256"/>
      <c r="BA153" s="256"/>
      <c r="BB153" s="256"/>
      <c r="BC153" s="256"/>
      <c r="BD153" s="256"/>
      <c r="BE153" s="256"/>
      <c r="BF153" s="256"/>
      <c r="BG153" s="256"/>
      <c r="BH153" s="256"/>
      <c r="BI153" s="256"/>
      <c r="BJ153" s="256"/>
      <c r="BK153" s="256"/>
      <c r="BL153" s="256"/>
      <c r="BM153" s="256"/>
      <c r="BN153" s="256"/>
      <c r="BO153" s="256"/>
      <c r="BP153" s="256"/>
      <c r="BQ153" s="256"/>
      <c r="BR153" s="256"/>
      <c r="BS153" s="256"/>
      <c r="BT153" s="256"/>
      <c r="BU153" s="256"/>
      <c r="BV153" s="256"/>
      <c r="BW153" s="256"/>
      <c r="BX153" s="256"/>
      <c r="BY153" s="256"/>
      <c r="BZ153" s="256"/>
    </row>
    <row r="154" spans="1:78" s="99" customFormat="1" ht="43.5" hidden="1" customHeight="1" x14ac:dyDescent="0.25">
      <c r="A154" s="256"/>
      <c r="B154" s="483"/>
      <c r="C154" s="256"/>
      <c r="D154" s="481"/>
      <c r="E154" s="481"/>
      <c r="F154" s="481"/>
      <c r="G154" s="481"/>
      <c r="H154" s="481"/>
      <c r="I154" s="481"/>
      <c r="J154" s="481"/>
      <c r="K154" s="481"/>
      <c r="L154" s="481"/>
      <c r="M154" s="481"/>
      <c r="N154" s="481"/>
      <c r="O154" s="481"/>
      <c r="P154" s="481"/>
      <c r="Q154" s="481"/>
      <c r="R154" s="481"/>
      <c r="S154" s="481"/>
      <c r="T154" s="256"/>
      <c r="U154" s="466"/>
      <c r="V154" s="466"/>
      <c r="W154" s="466"/>
      <c r="X154" s="466"/>
      <c r="Y154" s="466"/>
      <c r="Z154" s="466"/>
      <c r="AA154" s="466"/>
      <c r="AB154" s="466"/>
      <c r="AC154" s="466"/>
      <c r="AD154" s="466"/>
      <c r="AE154" s="466"/>
      <c r="AF154" s="466"/>
      <c r="AG154" s="466"/>
      <c r="AH154" s="466"/>
      <c r="AI154" s="466"/>
      <c r="AJ154" s="466"/>
      <c r="AK154" s="256"/>
      <c r="AL154" s="256"/>
      <c r="AM154" s="256"/>
      <c r="AN154" s="256"/>
      <c r="AO154" s="256"/>
      <c r="AP154" s="256"/>
      <c r="AQ154" s="256"/>
      <c r="AR154" s="256"/>
      <c r="AS154" s="256"/>
      <c r="AT154" s="256"/>
      <c r="AU154" s="256"/>
      <c r="AV154" s="256"/>
      <c r="AW154" s="256"/>
      <c r="AX154" s="256"/>
      <c r="AY154" s="256"/>
      <c r="AZ154" s="256"/>
      <c r="BA154" s="256"/>
      <c r="BB154" s="256"/>
      <c r="BC154" s="256"/>
      <c r="BD154" s="256"/>
      <c r="BE154" s="256"/>
      <c r="BF154" s="256"/>
      <c r="BG154" s="256"/>
      <c r="BH154" s="256"/>
      <c r="BI154" s="256"/>
      <c r="BJ154" s="256"/>
      <c r="BK154" s="256"/>
      <c r="BL154" s="256"/>
      <c r="BM154" s="256"/>
      <c r="BN154" s="256"/>
      <c r="BO154" s="256"/>
      <c r="BP154" s="256"/>
      <c r="BQ154" s="256"/>
      <c r="BR154" s="256"/>
      <c r="BS154" s="256"/>
      <c r="BT154" s="256"/>
      <c r="BU154" s="256"/>
      <c r="BV154" s="256"/>
      <c r="BW154" s="256"/>
      <c r="BX154" s="256"/>
      <c r="BY154" s="256"/>
      <c r="BZ154" s="256"/>
    </row>
    <row r="155" spans="1:78" s="99" customFormat="1" ht="43.5" hidden="1" customHeight="1" x14ac:dyDescent="0.25">
      <c r="A155" s="256"/>
      <c r="B155" s="483"/>
      <c r="C155" s="238"/>
      <c r="D155" s="481"/>
      <c r="E155" s="481"/>
      <c r="F155" s="481"/>
      <c r="G155" s="481"/>
      <c r="H155" s="481"/>
      <c r="I155" s="481"/>
      <c r="J155" s="481"/>
      <c r="K155" s="481"/>
      <c r="L155" s="481"/>
      <c r="M155" s="481"/>
      <c r="N155" s="481"/>
      <c r="O155" s="481"/>
      <c r="P155" s="481"/>
      <c r="Q155" s="481"/>
      <c r="R155" s="481"/>
      <c r="S155" s="481"/>
      <c r="T155" s="256"/>
      <c r="U155" s="466"/>
      <c r="V155" s="466"/>
      <c r="W155" s="466"/>
      <c r="X155" s="466"/>
      <c r="Y155" s="466"/>
      <c r="Z155" s="466"/>
      <c r="AA155" s="466"/>
      <c r="AB155" s="466"/>
      <c r="AC155" s="466"/>
      <c r="AD155" s="466"/>
      <c r="AE155" s="466"/>
      <c r="AF155" s="466"/>
      <c r="AG155" s="466"/>
      <c r="AH155" s="466"/>
      <c r="AI155" s="466"/>
      <c r="AJ155" s="466"/>
      <c r="AK155" s="256"/>
      <c r="AL155" s="256"/>
      <c r="AM155" s="256"/>
      <c r="AN155" s="256"/>
      <c r="AO155" s="256"/>
      <c r="AP155" s="256"/>
      <c r="AQ155" s="256"/>
      <c r="AR155" s="256"/>
      <c r="AS155" s="256"/>
      <c r="AT155" s="256"/>
      <c r="AU155" s="256"/>
      <c r="AV155" s="256"/>
      <c r="AW155" s="256"/>
      <c r="AX155" s="256"/>
      <c r="AY155" s="256"/>
      <c r="AZ155" s="256"/>
      <c r="BA155" s="256"/>
      <c r="BB155" s="256"/>
      <c r="BC155" s="256"/>
      <c r="BD155" s="256"/>
      <c r="BE155" s="256"/>
      <c r="BF155" s="256"/>
      <c r="BG155" s="256"/>
      <c r="BH155" s="256"/>
      <c r="BI155" s="256"/>
      <c r="BJ155" s="256"/>
      <c r="BK155" s="256"/>
      <c r="BL155" s="256"/>
      <c r="BM155" s="256"/>
      <c r="BN155" s="256"/>
      <c r="BO155" s="256"/>
      <c r="BP155" s="256"/>
      <c r="BQ155" s="256"/>
      <c r="BR155" s="256"/>
      <c r="BS155" s="256"/>
      <c r="BT155" s="256"/>
      <c r="BU155" s="256"/>
      <c r="BV155" s="256"/>
      <c r="BW155" s="256"/>
      <c r="BX155" s="256"/>
      <c r="BY155" s="256"/>
      <c r="BZ155" s="256"/>
    </row>
    <row r="156" spans="1:78" s="99" customFormat="1" ht="43.5" hidden="1" customHeight="1" x14ac:dyDescent="0.25">
      <c r="A156" s="256"/>
      <c r="B156" s="483"/>
      <c r="C156" s="256"/>
      <c r="D156" s="481"/>
      <c r="E156" s="481"/>
      <c r="F156" s="481"/>
      <c r="G156" s="481"/>
      <c r="H156" s="481"/>
      <c r="I156" s="481"/>
      <c r="J156" s="481"/>
      <c r="K156" s="481"/>
      <c r="L156" s="481"/>
      <c r="M156" s="481"/>
      <c r="N156" s="481"/>
      <c r="O156" s="481"/>
      <c r="P156" s="481"/>
      <c r="Q156" s="481"/>
      <c r="R156" s="481"/>
      <c r="S156" s="481"/>
      <c r="T156" s="256"/>
      <c r="U156" s="466"/>
      <c r="V156" s="466"/>
      <c r="W156" s="466"/>
      <c r="X156" s="466"/>
      <c r="Y156" s="466"/>
      <c r="Z156" s="466"/>
      <c r="AA156" s="466"/>
      <c r="AB156" s="466"/>
      <c r="AC156" s="466"/>
      <c r="AD156" s="466"/>
      <c r="AE156" s="466"/>
      <c r="AF156" s="466"/>
      <c r="AG156" s="466"/>
      <c r="AH156" s="466"/>
      <c r="AI156" s="466"/>
      <c r="AJ156" s="466"/>
      <c r="AK156" s="256"/>
      <c r="AL156" s="256"/>
      <c r="AM156" s="256"/>
      <c r="AN156" s="256"/>
      <c r="AO156" s="256"/>
      <c r="AP156" s="256"/>
      <c r="AQ156" s="256"/>
      <c r="AR156" s="256"/>
      <c r="AS156" s="256"/>
      <c r="AT156" s="256"/>
      <c r="AU156" s="256"/>
      <c r="AV156" s="256"/>
      <c r="AW156" s="256"/>
      <c r="AX156" s="256"/>
      <c r="AY156" s="256"/>
      <c r="AZ156" s="256"/>
      <c r="BA156" s="256"/>
      <c r="BB156" s="256"/>
      <c r="BC156" s="256"/>
      <c r="BD156" s="256"/>
      <c r="BE156" s="256"/>
      <c r="BF156" s="256"/>
      <c r="BG156" s="256"/>
      <c r="BH156" s="256"/>
      <c r="BI156" s="256"/>
      <c r="BJ156" s="256"/>
      <c r="BK156" s="256"/>
      <c r="BL156" s="256"/>
      <c r="BM156" s="256"/>
      <c r="BN156" s="256"/>
      <c r="BO156" s="256"/>
      <c r="BP156" s="256"/>
      <c r="BQ156" s="256"/>
      <c r="BR156" s="256"/>
      <c r="BS156" s="256"/>
      <c r="BT156" s="256"/>
      <c r="BU156" s="256"/>
      <c r="BV156" s="256"/>
      <c r="BW156" s="256"/>
      <c r="BX156" s="256"/>
      <c r="BY156" s="256"/>
      <c r="BZ156" s="256"/>
    </row>
    <row r="157" spans="1:78" s="99" customFormat="1" ht="43.5" hidden="1" customHeight="1" x14ac:dyDescent="0.25">
      <c r="A157" s="256"/>
      <c r="B157" s="484"/>
      <c r="C157" s="256"/>
      <c r="D157" s="481"/>
      <c r="E157" s="481"/>
      <c r="F157" s="481"/>
      <c r="G157" s="481"/>
      <c r="H157" s="481"/>
      <c r="I157" s="481"/>
      <c r="J157" s="481"/>
      <c r="K157" s="481"/>
      <c r="L157" s="481"/>
      <c r="M157" s="481"/>
      <c r="N157" s="481"/>
      <c r="O157" s="481"/>
      <c r="P157" s="481"/>
      <c r="Q157" s="481"/>
      <c r="R157" s="481"/>
      <c r="S157" s="481"/>
      <c r="T157" s="256"/>
      <c r="U157" s="466"/>
      <c r="V157" s="466"/>
      <c r="W157" s="466"/>
      <c r="X157" s="466"/>
      <c r="Y157" s="466"/>
      <c r="Z157" s="466"/>
      <c r="AA157" s="466"/>
      <c r="AB157" s="466"/>
      <c r="AC157" s="466"/>
      <c r="AD157" s="466"/>
      <c r="AE157" s="466"/>
      <c r="AF157" s="466"/>
      <c r="AG157" s="466"/>
      <c r="AH157" s="466"/>
      <c r="AI157" s="466"/>
      <c r="AJ157" s="466"/>
      <c r="AK157" s="256"/>
      <c r="AL157" s="256"/>
      <c r="AM157" s="256"/>
      <c r="AN157" s="256"/>
      <c r="AO157" s="256"/>
      <c r="AP157" s="256"/>
      <c r="AQ157" s="256"/>
      <c r="AR157" s="256"/>
      <c r="AS157" s="256"/>
      <c r="AT157" s="256"/>
      <c r="AU157" s="256"/>
      <c r="AV157" s="256"/>
      <c r="AW157" s="256"/>
      <c r="AX157" s="256"/>
      <c r="AY157" s="256"/>
      <c r="AZ157" s="256"/>
      <c r="BA157" s="256"/>
      <c r="BB157" s="256"/>
      <c r="BC157" s="256"/>
      <c r="BD157" s="256"/>
      <c r="BE157" s="256"/>
      <c r="BF157" s="256"/>
      <c r="BG157" s="256"/>
      <c r="BH157" s="256"/>
      <c r="BI157" s="256"/>
      <c r="BJ157" s="256"/>
      <c r="BK157" s="256"/>
      <c r="BL157" s="256"/>
      <c r="BM157" s="256"/>
      <c r="BN157" s="256"/>
      <c r="BO157" s="256"/>
      <c r="BP157" s="256"/>
      <c r="BQ157" s="256"/>
      <c r="BR157" s="256"/>
      <c r="BS157" s="256"/>
      <c r="BT157" s="256"/>
      <c r="BU157" s="256"/>
      <c r="BV157" s="256"/>
      <c r="BW157" s="256"/>
      <c r="BX157" s="256"/>
      <c r="BY157" s="256"/>
      <c r="BZ157" s="256"/>
    </row>
    <row r="158" spans="1:78" s="99" customFormat="1" ht="3" hidden="1" customHeight="1" x14ac:dyDescent="0.25">
      <c r="A158" s="256"/>
      <c r="B158" s="256"/>
      <c r="C158" s="256"/>
      <c r="D158" s="256"/>
      <c r="E158" s="256"/>
      <c r="F158" s="256"/>
      <c r="G158" s="256"/>
      <c r="H158" s="256"/>
      <c r="I158" s="256"/>
      <c r="J158" s="256"/>
      <c r="K158" s="256"/>
      <c r="L158" s="256"/>
      <c r="M158" s="256"/>
      <c r="N158" s="256"/>
      <c r="O158" s="256"/>
      <c r="P158" s="256"/>
      <c r="Q158" s="256"/>
      <c r="R158" s="256"/>
      <c r="S158" s="256"/>
      <c r="T158" s="256"/>
      <c r="U158" s="256"/>
      <c r="V158" s="256"/>
      <c r="W158" s="256"/>
      <c r="X158" s="256"/>
      <c r="Y158" s="256"/>
      <c r="Z158" s="256"/>
      <c r="AA158" s="256"/>
      <c r="AB158" s="256"/>
      <c r="AC158" s="256"/>
      <c r="AD158" s="256"/>
      <c r="AE158" s="256"/>
      <c r="AF158" s="256"/>
      <c r="AG158" s="256"/>
      <c r="AH158" s="256"/>
      <c r="AI158" s="256"/>
      <c r="AJ158" s="256"/>
      <c r="AK158" s="256"/>
      <c r="AL158" s="256"/>
      <c r="AM158" s="256"/>
      <c r="AN158" s="256"/>
      <c r="AO158" s="256"/>
      <c r="AP158" s="256"/>
      <c r="AQ158" s="256"/>
      <c r="AR158" s="256"/>
      <c r="AS158" s="256"/>
      <c r="AT158" s="256"/>
      <c r="AU158" s="256"/>
      <c r="AV158" s="256"/>
      <c r="AW158" s="256"/>
      <c r="AX158" s="256"/>
      <c r="AY158" s="256"/>
      <c r="AZ158" s="256"/>
      <c r="BA158" s="256"/>
      <c r="BB158" s="256"/>
      <c r="BC158" s="256"/>
      <c r="BD158" s="256"/>
      <c r="BE158" s="256"/>
      <c r="BF158" s="256"/>
      <c r="BG158" s="256"/>
      <c r="BH158" s="256"/>
      <c r="BI158" s="256"/>
      <c r="BJ158" s="256"/>
      <c r="BK158" s="256"/>
      <c r="BL158" s="256"/>
      <c r="BM158" s="256"/>
      <c r="BN158" s="256"/>
      <c r="BO158" s="256"/>
      <c r="BP158" s="256"/>
      <c r="BQ158" s="256"/>
      <c r="BR158" s="256"/>
      <c r="BS158" s="256"/>
      <c r="BT158" s="256"/>
      <c r="BU158" s="256"/>
      <c r="BV158" s="256"/>
      <c r="BW158" s="256"/>
      <c r="BX158" s="256"/>
      <c r="BY158" s="256"/>
      <c r="BZ158" s="256"/>
    </row>
    <row r="159" spans="1:78" s="99" customFormat="1" ht="43.5" hidden="1" customHeight="1" x14ac:dyDescent="0.25">
      <c r="A159" s="256"/>
      <c r="B159" s="475" t="str">
        <f>IFERROR(HYPERLINK(MouseOverEvent('_Data Status Month'!$A$115),'_Data Status Month'!$A$115),'_Data Status Month'!$A$115)</f>
        <v>Round of Golf</v>
      </c>
      <c r="C159" s="238"/>
      <c r="D159" s="481"/>
      <c r="E159" s="481"/>
      <c r="F159" s="481"/>
      <c r="G159" s="481"/>
      <c r="H159" s="481"/>
      <c r="I159" s="481"/>
      <c r="J159" s="481"/>
      <c r="K159" s="481"/>
      <c r="L159" s="481"/>
      <c r="M159" s="481"/>
      <c r="N159" s="481"/>
      <c r="O159" s="481"/>
      <c r="P159" s="481"/>
      <c r="Q159" s="481"/>
      <c r="R159" s="481"/>
      <c r="S159" s="481"/>
      <c r="T159" s="256"/>
      <c r="U159" s="466"/>
      <c r="V159" s="466"/>
      <c r="W159" s="466"/>
      <c r="X159" s="466"/>
      <c r="Y159" s="466"/>
      <c r="Z159" s="466"/>
      <c r="AA159" s="466"/>
      <c r="AB159" s="466"/>
      <c r="AC159" s="466"/>
      <c r="AD159" s="466"/>
      <c r="AE159" s="466"/>
      <c r="AF159" s="466"/>
      <c r="AG159" s="466"/>
      <c r="AH159" s="466"/>
      <c r="AI159" s="466"/>
      <c r="AJ159" s="466"/>
      <c r="AK159" s="256"/>
      <c r="AL159" s="256"/>
      <c r="AM159" s="256"/>
      <c r="AN159" s="256"/>
      <c r="AO159" s="256"/>
      <c r="AP159" s="256"/>
      <c r="AQ159" s="256"/>
      <c r="AR159" s="256"/>
      <c r="AS159" s="256"/>
      <c r="AT159" s="256"/>
      <c r="AU159" s="256"/>
      <c r="AV159" s="256"/>
      <c r="AW159" s="256"/>
      <c r="AX159" s="256"/>
      <c r="AY159" s="256"/>
      <c r="AZ159" s="256"/>
      <c r="BA159" s="256"/>
      <c r="BB159" s="256"/>
      <c r="BC159" s="256"/>
      <c r="BD159" s="256"/>
      <c r="BE159" s="256"/>
      <c r="BF159" s="256"/>
      <c r="BG159" s="256"/>
      <c r="BH159" s="256"/>
      <c r="BI159" s="256"/>
      <c r="BJ159" s="256"/>
      <c r="BK159" s="256"/>
      <c r="BL159" s="256"/>
      <c r="BM159" s="256"/>
      <c r="BN159" s="256"/>
      <c r="BO159" s="256"/>
      <c r="BP159" s="256"/>
      <c r="BQ159" s="256"/>
      <c r="BR159" s="256"/>
      <c r="BS159" s="256"/>
      <c r="BT159" s="256"/>
      <c r="BU159" s="256"/>
      <c r="BV159" s="256"/>
      <c r="BW159" s="256"/>
      <c r="BX159" s="256"/>
      <c r="BY159" s="256"/>
      <c r="BZ159" s="256"/>
    </row>
    <row r="160" spans="1:78" s="99" customFormat="1" ht="43.5" hidden="1" customHeight="1" x14ac:dyDescent="0.25">
      <c r="A160" s="256"/>
      <c r="B160" s="476"/>
      <c r="C160" s="256"/>
      <c r="D160" s="481"/>
      <c r="E160" s="481"/>
      <c r="F160" s="481"/>
      <c r="G160" s="481"/>
      <c r="H160" s="481"/>
      <c r="I160" s="481"/>
      <c r="J160" s="481"/>
      <c r="K160" s="481"/>
      <c r="L160" s="481"/>
      <c r="M160" s="481"/>
      <c r="N160" s="481"/>
      <c r="O160" s="481"/>
      <c r="P160" s="481"/>
      <c r="Q160" s="481"/>
      <c r="R160" s="481"/>
      <c r="S160" s="481"/>
      <c r="T160" s="256"/>
      <c r="U160" s="466"/>
      <c r="V160" s="466"/>
      <c r="W160" s="466"/>
      <c r="X160" s="466"/>
      <c r="Y160" s="466"/>
      <c r="Z160" s="466"/>
      <c r="AA160" s="466"/>
      <c r="AB160" s="466"/>
      <c r="AC160" s="466"/>
      <c r="AD160" s="466"/>
      <c r="AE160" s="466"/>
      <c r="AF160" s="466"/>
      <c r="AG160" s="466"/>
      <c r="AH160" s="466"/>
      <c r="AI160" s="466"/>
      <c r="AJ160" s="466"/>
      <c r="AK160" s="256"/>
      <c r="AL160" s="256"/>
      <c r="AM160" s="256"/>
      <c r="AN160" s="256"/>
      <c r="AO160" s="256"/>
      <c r="AP160" s="256"/>
      <c r="AQ160" s="256"/>
      <c r="AR160" s="256"/>
      <c r="AS160" s="256"/>
      <c r="AT160" s="256"/>
      <c r="AU160" s="256"/>
      <c r="AV160" s="256"/>
      <c r="AW160" s="256"/>
      <c r="AX160" s="256"/>
      <c r="AY160" s="256"/>
      <c r="AZ160" s="256"/>
      <c r="BA160" s="256"/>
      <c r="BB160" s="256"/>
      <c r="BC160" s="256"/>
      <c r="BD160" s="256"/>
      <c r="BE160" s="256"/>
      <c r="BF160" s="256"/>
      <c r="BG160" s="256"/>
      <c r="BH160" s="256"/>
      <c r="BI160" s="256"/>
      <c r="BJ160" s="256"/>
      <c r="BK160" s="256"/>
      <c r="BL160" s="256"/>
      <c r="BM160" s="256"/>
      <c r="BN160" s="256"/>
      <c r="BO160" s="256"/>
      <c r="BP160" s="256"/>
      <c r="BQ160" s="256"/>
      <c r="BR160" s="256"/>
      <c r="BS160" s="256"/>
      <c r="BT160" s="256"/>
      <c r="BU160" s="256"/>
      <c r="BV160" s="256"/>
      <c r="BW160" s="256"/>
      <c r="BX160" s="256"/>
      <c r="BY160" s="256"/>
      <c r="BZ160" s="256"/>
    </row>
    <row r="161" spans="1:78" s="99" customFormat="1" ht="43.5" hidden="1" customHeight="1" x14ac:dyDescent="0.25">
      <c r="A161" s="256"/>
      <c r="B161" s="476"/>
      <c r="C161" s="256"/>
      <c r="D161" s="481"/>
      <c r="E161" s="481"/>
      <c r="F161" s="481"/>
      <c r="G161" s="481"/>
      <c r="H161" s="481"/>
      <c r="I161" s="481"/>
      <c r="J161" s="481"/>
      <c r="K161" s="481"/>
      <c r="L161" s="481"/>
      <c r="M161" s="481"/>
      <c r="N161" s="481"/>
      <c r="O161" s="481"/>
      <c r="P161" s="481"/>
      <c r="Q161" s="481"/>
      <c r="R161" s="481"/>
      <c r="S161" s="481"/>
      <c r="T161" s="256"/>
      <c r="U161" s="466"/>
      <c r="V161" s="466"/>
      <c r="W161" s="466"/>
      <c r="X161" s="466"/>
      <c r="Y161" s="466"/>
      <c r="Z161" s="466"/>
      <c r="AA161" s="466"/>
      <c r="AB161" s="466"/>
      <c r="AC161" s="466"/>
      <c r="AD161" s="466"/>
      <c r="AE161" s="466"/>
      <c r="AF161" s="466"/>
      <c r="AG161" s="466"/>
      <c r="AH161" s="466"/>
      <c r="AI161" s="466"/>
      <c r="AJ161" s="466"/>
      <c r="AK161" s="256"/>
      <c r="AL161" s="256"/>
      <c r="AM161" s="256"/>
      <c r="AN161" s="256"/>
      <c r="AO161" s="256"/>
      <c r="AP161" s="256"/>
      <c r="AQ161" s="256"/>
      <c r="AR161" s="256"/>
      <c r="AS161" s="256"/>
      <c r="AT161" s="256"/>
      <c r="AU161" s="256"/>
      <c r="AV161" s="256"/>
      <c r="AW161" s="256"/>
      <c r="AX161" s="256"/>
      <c r="AY161" s="256"/>
      <c r="AZ161" s="256"/>
      <c r="BA161" s="256"/>
      <c r="BB161" s="256"/>
      <c r="BC161" s="256"/>
      <c r="BD161" s="256"/>
      <c r="BE161" s="256"/>
      <c r="BF161" s="256"/>
      <c r="BG161" s="256"/>
      <c r="BH161" s="256"/>
      <c r="BI161" s="256"/>
      <c r="BJ161" s="256"/>
      <c r="BK161" s="256"/>
      <c r="BL161" s="256"/>
      <c r="BM161" s="256"/>
      <c r="BN161" s="256"/>
      <c r="BO161" s="256"/>
      <c r="BP161" s="256"/>
      <c r="BQ161" s="256"/>
      <c r="BR161" s="256"/>
      <c r="BS161" s="256"/>
      <c r="BT161" s="256"/>
      <c r="BU161" s="256"/>
      <c r="BV161" s="256"/>
      <c r="BW161" s="256"/>
      <c r="BX161" s="256"/>
      <c r="BY161" s="256"/>
      <c r="BZ161" s="256"/>
    </row>
    <row r="162" spans="1:78" s="99" customFormat="1" ht="43.5" hidden="1" customHeight="1" x14ac:dyDescent="0.25">
      <c r="A162" s="256"/>
      <c r="B162" s="476"/>
      <c r="C162" s="238"/>
      <c r="D162" s="481"/>
      <c r="E162" s="481"/>
      <c r="F162" s="481"/>
      <c r="G162" s="481"/>
      <c r="H162" s="481"/>
      <c r="I162" s="481"/>
      <c r="J162" s="481"/>
      <c r="K162" s="481"/>
      <c r="L162" s="481"/>
      <c r="M162" s="481"/>
      <c r="N162" s="481"/>
      <c r="O162" s="481"/>
      <c r="P162" s="481"/>
      <c r="Q162" s="481"/>
      <c r="R162" s="481"/>
      <c r="S162" s="481"/>
      <c r="T162" s="256"/>
      <c r="U162" s="466"/>
      <c r="V162" s="466"/>
      <c r="W162" s="466"/>
      <c r="X162" s="466"/>
      <c r="Y162" s="466"/>
      <c r="Z162" s="466"/>
      <c r="AA162" s="466"/>
      <c r="AB162" s="466"/>
      <c r="AC162" s="466"/>
      <c r="AD162" s="466"/>
      <c r="AE162" s="466"/>
      <c r="AF162" s="466"/>
      <c r="AG162" s="466"/>
      <c r="AH162" s="466"/>
      <c r="AI162" s="466"/>
      <c r="AJ162" s="466"/>
      <c r="AK162" s="256"/>
      <c r="AL162" s="256"/>
      <c r="AM162" s="256"/>
      <c r="AN162" s="256"/>
      <c r="AO162" s="256"/>
      <c r="AP162" s="256"/>
      <c r="AQ162" s="256"/>
      <c r="AR162" s="256"/>
      <c r="AS162" s="256"/>
      <c r="AT162" s="256"/>
      <c r="AU162" s="256"/>
      <c r="AV162" s="256"/>
      <c r="AW162" s="256"/>
      <c r="AX162" s="256"/>
      <c r="AY162" s="256"/>
      <c r="AZ162" s="256"/>
      <c r="BA162" s="256"/>
      <c r="BB162" s="256"/>
      <c r="BC162" s="256"/>
      <c r="BD162" s="256"/>
      <c r="BE162" s="256"/>
      <c r="BF162" s="256"/>
      <c r="BG162" s="256"/>
      <c r="BH162" s="256"/>
      <c r="BI162" s="256"/>
      <c r="BJ162" s="256"/>
      <c r="BK162" s="256"/>
      <c r="BL162" s="256"/>
      <c r="BM162" s="256"/>
      <c r="BN162" s="256"/>
      <c r="BO162" s="256"/>
      <c r="BP162" s="256"/>
      <c r="BQ162" s="256"/>
      <c r="BR162" s="256"/>
      <c r="BS162" s="256"/>
      <c r="BT162" s="256"/>
      <c r="BU162" s="256"/>
      <c r="BV162" s="256"/>
      <c r="BW162" s="256"/>
      <c r="BX162" s="256"/>
      <c r="BY162" s="256"/>
      <c r="BZ162" s="256"/>
    </row>
    <row r="163" spans="1:78" s="99" customFormat="1" ht="43.5" hidden="1" customHeight="1" x14ac:dyDescent="0.25">
      <c r="A163" s="256"/>
      <c r="B163" s="476"/>
      <c r="C163" s="256"/>
      <c r="D163" s="481"/>
      <c r="E163" s="481"/>
      <c r="F163" s="481"/>
      <c r="G163" s="481"/>
      <c r="H163" s="481"/>
      <c r="I163" s="481"/>
      <c r="J163" s="481"/>
      <c r="K163" s="481"/>
      <c r="L163" s="481"/>
      <c r="M163" s="481"/>
      <c r="N163" s="481"/>
      <c r="O163" s="481"/>
      <c r="P163" s="481"/>
      <c r="Q163" s="481"/>
      <c r="R163" s="481"/>
      <c r="S163" s="481"/>
      <c r="T163" s="256"/>
      <c r="U163" s="466"/>
      <c r="V163" s="466"/>
      <c r="W163" s="466"/>
      <c r="X163" s="466"/>
      <c r="Y163" s="466"/>
      <c r="Z163" s="466"/>
      <c r="AA163" s="466"/>
      <c r="AB163" s="466"/>
      <c r="AC163" s="466"/>
      <c r="AD163" s="466"/>
      <c r="AE163" s="466"/>
      <c r="AF163" s="466"/>
      <c r="AG163" s="466"/>
      <c r="AH163" s="466"/>
      <c r="AI163" s="466"/>
      <c r="AJ163" s="466"/>
      <c r="AK163" s="256"/>
      <c r="AL163" s="256"/>
      <c r="AM163" s="256"/>
      <c r="AN163" s="256"/>
      <c r="AO163" s="256"/>
      <c r="AP163" s="256"/>
      <c r="AQ163" s="256"/>
      <c r="AR163" s="256"/>
      <c r="AS163" s="256"/>
      <c r="AT163" s="256"/>
      <c r="AU163" s="256"/>
      <c r="AV163" s="256"/>
      <c r="AW163" s="256"/>
      <c r="AX163" s="256"/>
      <c r="AY163" s="256"/>
      <c r="AZ163" s="256"/>
      <c r="BA163" s="256"/>
      <c r="BB163" s="256"/>
      <c r="BC163" s="256"/>
      <c r="BD163" s="256"/>
      <c r="BE163" s="256"/>
      <c r="BF163" s="256"/>
      <c r="BG163" s="256"/>
      <c r="BH163" s="256"/>
      <c r="BI163" s="256"/>
      <c r="BJ163" s="256"/>
      <c r="BK163" s="256"/>
      <c r="BL163" s="256"/>
      <c r="BM163" s="256"/>
      <c r="BN163" s="256"/>
      <c r="BO163" s="256"/>
      <c r="BP163" s="256"/>
      <c r="BQ163" s="256"/>
      <c r="BR163" s="256"/>
      <c r="BS163" s="256"/>
      <c r="BT163" s="256"/>
      <c r="BU163" s="256"/>
      <c r="BV163" s="256"/>
      <c r="BW163" s="256"/>
      <c r="BX163" s="256"/>
      <c r="BY163" s="256"/>
      <c r="BZ163" s="256"/>
    </row>
    <row r="164" spans="1:78" s="99" customFormat="1" ht="43.5" hidden="1" customHeight="1" x14ac:dyDescent="0.25">
      <c r="A164" s="256"/>
      <c r="B164" s="477"/>
      <c r="C164" s="256"/>
      <c r="D164" s="481"/>
      <c r="E164" s="481"/>
      <c r="F164" s="481"/>
      <c r="G164" s="481"/>
      <c r="H164" s="481"/>
      <c r="I164" s="481"/>
      <c r="J164" s="481"/>
      <c r="K164" s="481"/>
      <c r="L164" s="481"/>
      <c r="M164" s="481"/>
      <c r="N164" s="481"/>
      <c r="O164" s="481"/>
      <c r="P164" s="481"/>
      <c r="Q164" s="481"/>
      <c r="R164" s="481"/>
      <c r="S164" s="481"/>
      <c r="T164" s="256"/>
      <c r="U164" s="466"/>
      <c r="V164" s="466"/>
      <c r="W164" s="466"/>
      <c r="X164" s="466"/>
      <c r="Y164" s="466"/>
      <c r="Z164" s="466"/>
      <c r="AA164" s="466"/>
      <c r="AB164" s="466"/>
      <c r="AC164" s="466"/>
      <c r="AD164" s="466"/>
      <c r="AE164" s="466"/>
      <c r="AF164" s="466"/>
      <c r="AG164" s="466"/>
      <c r="AH164" s="466"/>
      <c r="AI164" s="466"/>
      <c r="AJ164" s="466"/>
      <c r="AK164" s="256"/>
      <c r="AL164" s="256"/>
      <c r="AM164" s="256"/>
      <c r="AN164" s="256"/>
      <c r="AO164" s="256"/>
      <c r="AP164" s="256"/>
      <c r="AQ164" s="256"/>
      <c r="AR164" s="256"/>
      <c r="AS164" s="256"/>
      <c r="AT164" s="256"/>
      <c r="AU164" s="256"/>
      <c r="AV164" s="256"/>
      <c r="AW164" s="256"/>
      <c r="AX164" s="256"/>
      <c r="AY164" s="256"/>
      <c r="AZ164" s="256"/>
      <c r="BA164" s="256"/>
      <c r="BB164" s="256"/>
      <c r="BC164" s="256"/>
      <c r="BD164" s="256"/>
      <c r="BE164" s="256"/>
      <c r="BF164" s="256"/>
      <c r="BG164" s="256"/>
      <c r="BH164" s="256"/>
      <c r="BI164" s="256"/>
      <c r="BJ164" s="256"/>
      <c r="BK164" s="256"/>
      <c r="BL164" s="256"/>
      <c r="BM164" s="256"/>
      <c r="BN164" s="256"/>
      <c r="BO164" s="256"/>
      <c r="BP164" s="256"/>
      <c r="BQ164" s="256"/>
      <c r="BR164" s="256"/>
      <c r="BS164" s="256"/>
      <c r="BT164" s="256"/>
      <c r="BU164" s="256"/>
      <c r="BV164" s="256"/>
      <c r="BW164" s="256"/>
      <c r="BX164" s="256"/>
      <c r="BY164" s="256"/>
      <c r="BZ164" s="256"/>
    </row>
    <row r="165" spans="1:78" ht="17.25" hidden="1" customHeight="1" x14ac:dyDescent="0.25">
      <c r="A165" s="256"/>
      <c r="B165" s="256"/>
      <c r="C165" s="256"/>
      <c r="D165" s="256"/>
      <c r="E165" s="256"/>
      <c r="F165" s="256"/>
      <c r="G165" s="256"/>
      <c r="H165" s="256"/>
      <c r="I165" s="256"/>
      <c r="J165" s="256"/>
      <c r="K165" s="256"/>
      <c r="L165" s="256"/>
      <c r="M165" s="256"/>
      <c r="N165" s="256"/>
      <c r="O165" s="256"/>
      <c r="P165" s="256"/>
      <c r="Q165" s="256"/>
      <c r="R165" s="256"/>
      <c r="S165" s="256"/>
      <c r="T165" s="256"/>
      <c r="U165" s="256"/>
      <c r="V165" s="256"/>
      <c r="W165" s="256"/>
      <c r="X165" s="256"/>
      <c r="Y165" s="256"/>
      <c r="Z165" s="256"/>
      <c r="AA165" s="256"/>
      <c r="AB165" s="256"/>
      <c r="AC165" s="256"/>
      <c r="AD165" s="256"/>
      <c r="AE165" s="256"/>
      <c r="AF165" s="256"/>
      <c r="AG165" s="256"/>
      <c r="AH165" s="256"/>
      <c r="AI165" s="256"/>
      <c r="AJ165" s="256"/>
      <c r="AK165" s="256"/>
      <c r="AL165" s="256"/>
      <c r="AM165" s="256"/>
      <c r="AN165" s="256"/>
      <c r="AO165" s="256"/>
      <c r="AP165" s="256"/>
      <c r="AQ165" s="256"/>
      <c r="AR165" s="256"/>
      <c r="AS165" s="256"/>
      <c r="AT165" s="256"/>
      <c r="AU165" s="256"/>
      <c r="AV165" s="256"/>
      <c r="AW165" s="256"/>
      <c r="AX165" s="256"/>
      <c r="AY165" s="256"/>
      <c r="AZ165" s="256"/>
      <c r="BA165" s="256"/>
      <c r="BB165" s="256"/>
      <c r="BC165" s="256"/>
      <c r="BD165" s="256"/>
      <c r="BE165" s="256"/>
      <c r="BF165" s="256"/>
      <c r="BG165" s="256"/>
      <c r="BH165" s="256"/>
      <c r="BI165" s="256"/>
      <c r="BJ165" s="256"/>
      <c r="BK165" s="256"/>
      <c r="BL165" s="256"/>
      <c r="BM165" s="256"/>
      <c r="BN165" s="256"/>
      <c r="BO165" s="256"/>
      <c r="BP165" s="256"/>
      <c r="BQ165" s="256"/>
      <c r="BR165" s="256"/>
      <c r="BS165" s="256"/>
      <c r="BT165" s="256"/>
      <c r="BU165" s="256"/>
      <c r="BV165" s="256"/>
      <c r="BW165" s="256"/>
      <c r="BX165" s="256"/>
      <c r="BY165" s="256"/>
      <c r="BZ165" s="256"/>
    </row>
    <row r="166" spans="1:78" ht="17.25" hidden="1" customHeight="1" x14ac:dyDescent="0.25">
      <c r="A166" s="256"/>
      <c r="B166" s="256"/>
      <c r="C166" s="256"/>
      <c r="D166" s="256"/>
      <c r="E166" s="256"/>
      <c r="F166" s="256"/>
      <c r="G166" s="256"/>
      <c r="H166" s="256"/>
      <c r="I166" s="256"/>
      <c r="J166" s="256"/>
      <c r="K166" s="256"/>
      <c r="L166" s="256"/>
      <c r="M166" s="256"/>
      <c r="N166" s="256"/>
      <c r="O166" s="256"/>
      <c r="P166" s="256"/>
      <c r="Q166" s="256"/>
      <c r="R166" s="256"/>
      <c r="S166" s="256"/>
      <c r="T166" s="256"/>
      <c r="U166" s="256"/>
      <c r="V166" s="256"/>
      <c r="W166" s="256"/>
      <c r="X166" s="256"/>
      <c r="Y166" s="256"/>
      <c r="Z166" s="256"/>
      <c r="AA166" s="256"/>
      <c r="AB166" s="256"/>
      <c r="AC166" s="256"/>
      <c r="AD166" s="256"/>
      <c r="AE166" s="256"/>
      <c r="AF166" s="256"/>
      <c r="AG166" s="256"/>
      <c r="AH166" s="256"/>
      <c r="AI166" s="256"/>
      <c r="AJ166" s="256"/>
      <c r="AK166" s="256"/>
      <c r="AL166" s="256"/>
      <c r="AM166" s="256"/>
      <c r="AN166" s="256"/>
      <c r="AO166" s="256"/>
      <c r="AP166" s="256"/>
      <c r="AQ166" s="256"/>
      <c r="AR166" s="256"/>
      <c r="AS166" s="256"/>
      <c r="AT166" s="256"/>
      <c r="AU166" s="256"/>
      <c r="AV166" s="256"/>
      <c r="AW166" s="256"/>
      <c r="AX166" s="256"/>
      <c r="AY166" s="256"/>
      <c r="AZ166" s="256"/>
      <c r="BA166" s="256"/>
      <c r="BB166" s="256"/>
      <c r="BC166" s="256"/>
      <c r="BD166" s="256"/>
      <c r="BE166" s="256"/>
      <c r="BF166" s="256"/>
      <c r="BG166" s="256"/>
      <c r="BH166" s="256"/>
      <c r="BI166" s="256"/>
      <c r="BJ166" s="256"/>
      <c r="BK166" s="256"/>
      <c r="BL166" s="256"/>
      <c r="BM166" s="256"/>
      <c r="BN166" s="256"/>
      <c r="BO166" s="256"/>
      <c r="BP166" s="256"/>
      <c r="BQ166" s="256"/>
      <c r="BR166" s="256"/>
      <c r="BS166" s="256"/>
      <c r="BT166" s="256"/>
      <c r="BU166" s="256"/>
      <c r="BV166" s="256"/>
      <c r="BW166" s="256"/>
      <c r="BX166" s="256"/>
      <c r="BY166" s="256"/>
      <c r="BZ166" s="256"/>
    </row>
    <row r="167" spans="1:78" ht="17.25" hidden="1" customHeight="1" x14ac:dyDescent="0.25">
      <c r="A167" s="256"/>
      <c r="B167" s="256"/>
      <c r="C167" s="256"/>
      <c r="D167" s="256"/>
      <c r="E167" s="256"/>
      <c r="F167" s="256"/>
      <c r="G167" s="256"/>
      <c r="H167" s="256"/>
      <c r="I167" s="256"/>
      <c r="J167" s="256"/>
      <c r="K167" s="256"/>
      <c r="L167" s="256"/>
      <c r="M167" s="256"/>
      <c r="N167" s="256"/>
      <c r="O167" s="256"/>
      <c r="P167" s="256"/>
      <c r="Q167" s="256"/>
      <c r="R167" s="256"/>
      <c r="S167" s="256"/>
      <c r="T167" s="256"/>
      <c r="U167" s="256"/>
      <c r="V167" s="256"/>
      <c r="W167" s="256"/>
      <c r="X167" s="256"/>
      <c r="Y167" s="256"/>
      <c r="Z167" s="256"/>
      <c r="AA167" s="256"/>
      <c r="AB167" s="256"/>
      <c r="AC167" s="256"/>
      <c r="AD167" s="256"/>
      <c r="AE167" s="256"/>
      <c r="AF167" s="256"/>
      <c r="AG167" s="256"/>
      <c r="AH167" s="256"/>
      <c r="AI167" s="256"/>
      <c r="AJ167" s="256"/>
      <c r="AK167" s="256"/>
      <c r="AL167" s="256"/>
      <c r="AM167" s="256"/>
      <c r="AN167" s="256"/>
      <c r="AO167" s="256"/>
      <c r="AP167" s="256"/>
      <c r="AQ167" s="256"/>
      <c r="AR167" s="256"/>
      <c r="AS167" s="256"/>
      <c r="AT167" s="256"/>
      <c r="AU167" s="256"/>
      <c r="AV167" s="256"/>
      <c r="AW167" s="256"/>
      <c r="AX167" s="256"/>
      <c r="AY167" s="256"/>
      <c r="AZ167" s="256"/>
      <c r="BA167" s="256"/>
      <c r="BB167" s="256"/>
      <c r="BC167" s="256"/>
      <c r="BD167" s="256"/>
      <c r="BE167" s="256"/>
      <c r="BF167" s="256"/>
      <c r="BG167" s="256"/>
      <c r="BH167" s="256"/>
      <c r="BI167" s="256"/>
      <c r="BJ167" s="256"/>
      <c r="BK167" s="256"/>
      <c r="BL167" s="256"/>
      <c r="BM167" s="256"/>
      <c r="BN167" s="256"/>
      <c r="BO167" s="256"/>
      <c r="BP167" s="256"/>
      <c r="BQ167" s="256"/>
      <c r="BR167" s="256"/>
      <c r="BS167" s="256"/>
      <c r="BT167" s="256"/>
      <c r="BU167" s="256"/>
      <c r="BV167" s="256"/>
      <c r="BW167" s="256"/>
      <c r="BX167" s="256"/>
      <c r="BY167" s="256"/>
      <c r="BZ167" s="256"/>
    </row>
    <row r="168" spans="1:78" ht="17.25" hidden="1" customHeight="1" x14ac:dyDescent="0.25">
      <c r="A168" s="256"/>
      <c r="B168" s="256"/>
      <c r="C168" s="256"/>
      <c r="D168" s="256"/>
      <c r="E168" s="256"/>
      <c r="F168" s="256"/>
      <c r="G168" s="256"/>
      <c r="H168" s="256"/>
      <c r="I168" s="256"/>
      <c r="J168" s="256"/>
      <c r="K168" s="256"/>
      <c r="L168" s="256"/>
      <c r="M168" s="256"/>
      <c r="N168" s="256"/>
      <c r="O168" s="256"/>
      <c r="P168" s="256"/>
      <c r="Q168" s="256"/>
      <c r="R168" s="256"/>
      <c r="S168" s="256"/>
      <c r="T168" s="256"/>
      <c r="U168" s="256"/>
      <c r="V168" s="256"/>
      <c r="W168" s="256"/>
      <c r="X168" s="256"/>
      <c r="Y168" s="256"/>
      <c r="Z168" s="256"/>
      <c r="AA168" s="256"/>
      <c r="AB168" s="256"/>
      <c r="AC168" s="256"/>
      <c r="AD168" s="256"/>
      <c r="AE168" s="256"/>
      <c r="AF168" s="256"/>
      <c r="AG168" s="256"/>
      <c r="AH168" s="256"/>
      <c r="AI168" s="256"/>
      <c r="AJ168" s="256"/>
      <c r="AK168" s="256"/>
      <c r="AL168" s="256"/>
      <c r="AM168" s="256"/>
      <c r="AN168" s="256"/>
      <c r="AO168" s="256"/>
      <c r="AP168" s="256"/>
      <c r="AQ168" s="256"/>
      <c r="AR168" s="256"/>
      <c r="AS168" s="256"/>
      <c r="AT168" s="256"/>
      <c r="AU168" s="256"/>
      <c r="AV168" s="256"/>
      <c r="AW168" s="256"/>
      <c r="AX168" s="256"/>
      <c r="AY168" s="256"/>
      <c r="AZ168" s="256"/>
      <c r="BA168" s="256"/>
      <c r="BB168" s="256"/>
      <c r="BC168" s="256"/>
      <c r="BD168" s="256"/>
      <c r="BE168" s="256"/>
      <c r="BF168" s="256"/>
      <c r="BG168" s="256"/>
      <c r="BH168" s="256"/>
      <c r="BI168" s="256"/>
      <c r="BJ168" s="256"/>
      <c r="BK168" s="256"/>
      <c r="BL168" s="256"/>
      <c r="BM168" s="256"/>
      <c r="BN168" s="256"/>
      <c r="BO168" s="256"/>
      <c r="BP168" s="256"/>
      <c r="BQ168" s="256"/>
      <c r="BR168" s="256"/>
      <c r="BS168" s="256"/>
      <c r="BT168" s="256"/>
      <c r="BU168" s="256"/>
      <c r="BV168" s="256"/>
      <c r="BW168" s="256"/>
      <c r="BX168" s="256"/>
      <c r="BY168" s="256"/>
      <c r="BZ168" s="256"/>
    </row>
    <row r="169" spans="1:78" ht="17.25" hidden="1" customHeight="1" x14ac:dyDescent="0.25">
      <c r="A169" s="256"/>
      <c r="B169" s="256"/>
      <c r="C169" s="256"/>
      <c r="D169" s="256"/>
      <c r="E169" s="256"/>
      <c r="F169" s="256"/>
      <c r="G169" s="256"/>
      <c r="H169" s="256"/>
      <c r="I169" s="256"/>
      <c r="J169" s="256"/>
      <c r="K169" s="256"/>
      <c r="L169" s="256"/>
      <c r="M169" s="256"/>
      <c r="N169" s="256"/>
      <c r="O169" s="256"/>
      <c r="P169" s="256"/>
      <c r="Q169" s="256"/>
      <c r="R169" s="256"/>
      <c r="S169" s="256"/>
      <c r="T169" s="256"/>
      <c r="U169" s="256"/>
      <c r="V169" s="256"/>
      <c r="W169" s="256"/>
      <c r="X169" s="256"/>
      <c r="Y169" s="256"/>
      <c r="Z169" s="256"/>
      <c r="AA169" s="256"/>
      <c r="AB169" s="256"/>
      <c r="AC169" s="256"/>
      <c r="AD169" s="256"/>
      <c r="AE169" s="256"/>
      <c r="AF169" s="256"/>
      <c r="AG169" s="256"/>
      <c r="AH169" s="256"/>
      <c r="AI169" s="256"/>
      <c r="AJ169" s="256"/>
      <c r="AK169" s="256"/>
      <c r="AL169" s="256"/>
      <c r="AM169" s="256"/>
      <c r="AN169" s="256"/>
      <c r="AO169" s="256"/>
      <c r="AP169" s="256"/>
      <c r="AQ169" s="256"/>
      <c r="AR169" s="256"/>
      <c r="AS169" s="256"/>
      <c r="AT169" s="256"/>
      <c r="AU169" s="256"/>
      <c r="AV169" s="256"/>
      <c r="AW169" s="256"/>
      <c r="AX169" s="256"/>
      <c r="AY169" s="256"/>
      <c r="AZ169" s="256"/>
      <c r="BA169" s="256"/>
      <c r="BB169" s="256"/>
      <c r="BC169" s="256"/>
      <c r="BD169" s="256"/>
      <c r="BE169" s="256"/>
      <c r="BF169" s="256"/>
      <c r="BG169" s="256"/>
      <c r="BH169" s="256"/>
      <c r="BI169" s="256"/>
      <c r="BJ169" s="256"/>
      <c r="BK169" s="256"/>
      <c r="BL169" s="256"/>
      <c r="BM169" s="256"/>
      <c r="BN169" s="256"/>
      <c r="BO169" s="256"/>
      <c r="BP169" s="256"/>
      <c r="BQ169" s="256"/>
      <c r="BR169" s="256"/>
      <c r="BS169" s="256"/>
      <c r="BT169" s="256"/>
      <c r="BU169" s="256"/>
      <c r="BV169" s="256"/>
      <c r="BW169" s="256"/>
      <c r="BX169" s="256"/>
      <c r="BY169" s="256"/>
      <c r="BZ169" s="256"/>
    </row>
    <row r="170" spans="1:78" ht="17.25" hidden="1" customHeight="1" x14ac:dyDescent="0.25">
      <c r="A170" s="256"/>
      <c r="B170" s="256"/>
      <c r="C170" s="256"/>
      <c r="D170" s="256"/>
      <c r="E170" s="256"/>
      <c r="F170" s="256"/>
      <c r="G170" s="256"/>
      <c r="H170" s="256"/>
      <c r="I170" s="256"/>
      <c r="J170" s="256"/>
      <c r="K170" s="256"/>
      <c r="L170" s="256"/>
      <c r="M170" s="256"/>
      <c r="N170" s="256"/>
      <c r="O170" s="256"/>
      <c r="P170" s="256"/>
      <c r="Q170" s="256"/>
      <c r="R170" s="256"/>
      <c r="S170" s="256"/>
      <c r="T170" s="256"/>
      <c r="U170" s="256"/>
      <c r="V170" s="256"/>
      <c r="W170" s="256"/>
      <c r="X170" s="256"/>
      <c r="Y170" s="256"/>
      <c r="Z170" s="256"/>
      <c r="AA170" s="256"/>
      <c r="AB170" s="256"/>
      <c r="AC170" s="256"/>
      <c r="AD170" s="256"/>
      <c r="AE170" s="256"/>
      <c r="AF170" s="256"/>
      <c r="AG170" s="256"/>
      <c r="AH170" s="256"/>
      <c r="AI170" s="256"/>
      <c r="AJ170" s="256"/>
      <c r="AK170" s="256"/>
      <c r="AL170" s="256"/>
      <c r="AM170" s="256"/>
      <c r="AN170" s="256"/>
      <c r="AO170" s="256"/>
      <c r="AP170" s="256"/>
      <c r="AQ170" s="256"/>
      <c r="AR170" s="256"/>
      <c r="AS170" s="256"/>
      <c r="AT170" s="256"/>
      <c r="AU170" s="256"/>
      <c r="AV170" s="256"/>
      <c r="AW170" s="256"/>
      <c r="AX170" s="256"/>
      <c r="AY170" s="256"/>
      <c r="AZ170" s="256"/>
      <c r="BA170" s="256"/>
      <c r="BB170" s="256"/>
      <c r="BC170" s="256"/>
      <c r="BD170" s="256"/>
      <c r="BE170" s="256"/>
      <c r="BF170" s="256"/>
      <c r="BG170" s="256"/>
      <c r="BH170" s="256"/>
      <c r="BI170" s="256"/>
      <c r="BJ170" s="256"/>
      <c r="BK170" s="256"/>
      <c r="BL170" s="256"/>
      <c r="BM170" s="256"/>
      <c r="BN170" s="256"/>
      <c r="BO170" s="256"/>
      <c r="BP170" s="256"/>
      <c r="BQ170" s="256"/>
      <c r="BR170" s="256"/>
      <c r="BS170" s="256"/>
      <c r="BT170" s="256"/>
      <c r="BU170" s="256"/>
      <c r="BV170" s="256"/>
      <c r="BW170" s="256"/>
      <c r="BX170" s="256"/>
      <c r="BY170" s="256"/>
      <c r="BZ170" s="256"/>
    </row>
    <row r="171" spans="1:78" ht="17.25" hidden="1" customHeight="1" x14ac:dyDescent="0.25">
      <c r="A171" s="256"/>
      <c r="B171" s="256"/>
      <c r="C171" s="256"/>
      <c r="D171" s="256"/>
      <c r="E171" s="256"/>
      <c r="F171" s="256"/>
      <c r="G171" s="256"/>
      <c r="H171" s="256"/>
      <c r="I171" s="256"/>
      <c r="J171" s="256"/>
      <c r="K171" s="256"/>
      <c r="L171" s="256"/>
      <c r="M171" s="256"/>
      <c r="N171" s="256"/>
      <c r="O171" s="256"/>
      <c r="P171" s="256"/>
      <c r="Q171" s="256"/>
      <c r="R171" s="256"/>
      <c r="S171" s="256"/>
      <c r="T171" s="256"/>
      <c r="U171" s="256"/>
      <c r="V171" s="256"/>
      <c r="W171" s="256"/>
      <c r="X171" s="256"/>
      <c r="Y171" s="256"/>
      <c r="Z171" s="256"/>
      <c r="AA171" s="256"/>
      <c r="AB171" s="256"/>
      <c r="AC171" s="256"/>
      <c r="AD171" s="256"/>
      <c r="AE171" s="256"/>
      <c r="AF171" s="256"/>
      <c r="AG171" s="256"/>
      <c r="AH171" s="256"/>
      <c r="AI171" s="256"/>
      <c r="AJ171" s="256"/>
      <c r="AK171" s="256"/>
      <c r="AL171" s="256"/>
      <c r="AM171" s="256"/>
      <c r="AN171" s="256"/>
      <c r="AO171" s="256"/>
      <c r="AP171" s="256"/>
      <c r="AQ171" s="256"/>
      <c r="AR171" s="256"/>
      <c r="AS171" s="256"/>
      <c r="AT171" s="256"/>
      <c r="AU171" s="256"/>
      <c r="AV171" s="256"/>
      <c r="AW171" s="256"/>
      <c r="AX171" s="256"/>
      <c r="AY171" s="256"/>
      <c r="AZ171" s="256"/>
      <c r="BA171" s="256"/>
      <c r="BB171" s="256"/>
      <c r="BC171" s="256"/>
      <c r="BD171" s="256"/>
      <c r="BE171" s="256"/>
      <c r="BF171" s="256"/>
      <c r="BG171" s="256"/>
      <c r="BH171" s="256"/>
      <c r="BI171" s="256"/>
      <c r="BJ171" s="256"/>
      <c r="BK171" s="256"/>
      <c r="BL171" s="256"/>
      <c r="BM171" s="256"/>
      <c r="BN171" s="256"/>
      <c r="BO171" s="256"/>
      <c r="BP171" s="256"/>
      <c r="BQ171" s="256"/>
      <c r="BR171" s="256"/>
      <c r="BS171" s="256"/>
      <c r="BT171" s="256"/>
      <c r="BU171" s="256"/>
      <c r="BV171" s="256"/>
      <c r="BW171" s="256"/>
      <c r="BX171" s="256"/>
      <c r="BY171" s="256"/>
      <c r="BZ171" s="256"/>
    </row>
    <row r="172" spans="1:78" ht="17.25" hidden="1" customHeight="1" x14ac:dyDescent="0.25">
      <c r="A172" s="256"/>
      <c r="B172" s="256"/>
      <c r="C172" s="256"/>
      <c r="D172" s="256"/>
      <c r="E172" s="256"/>
      <c r="F172" s="256"/>
      <c r="G172" s="256"/>
      <c r="H172" s="256"/>
      <c r="I172" s="256"/>
      <c r="J172" s="256"/>
      <c r="K172" s="256"/>
      <c r="L172" s="256"/>
      <c r="M172" s="256"/>
      <c r="N172" s="256"/>
      <c r="O172" s="256"/>
      <c r="P172" s="256"/>
      <c r="Q172" s="256"/>
      <c r="R172" s="256"/>
      <c r="S172" s="256"/>
      <c r="T172" s="256"/>
      <c r="U172" s="256"/>
      <c r="V172" s="256"/>
      <c r="W172" s="256"/>
      <c r="X172" s="256"/>
      <c r="Y172" s="256"/>
      <c r="Z172" s="256"/>
      <c r="AA172" s="256"/>
      <c r="AB172" s="256"/>
      <c r="AC172" s="256"/>
      <c r="AD172" s="256"/>
      <c r="AE172" s="256"/>
      <c r="AF172" s="256"/>
      <c r="AG172" s="256"/>
      <c r="AH172" s="256"/>
      <c r="AI172" s="256"/>
      <c r="AJ172" s="256"/>
      <c r="AK172" s="256"/>
      <c r="AL172" s="256"/>
      <c r="AM172" s="256"/>
      <c r="AN172" s="256"/>
      <c r="AO172" s="256"/>
      <c r="AP172" s="256"/>
      <c r="AQ172" s="256"/>
      <c r="AR172" s="256"/>
      <c r="AS172" s="256"/>
      <c r="AT172" s="256"/>
      <c r="AU172" s="256"/>
      <c r="AV172" s="256"/>
      <c r="AW172" s="256"/>
      <c r="AX172" s="256"/>
      <c r="AY172" s="256"/>
      <c r="AZ172" s="256"/>
      <c r="BA172" s="256"/>
      <c r="BB172" s="256"/>
      <c r="BC172" s="256"/>
      <c r="BD172" s="256"/>
      <c r="BE172" s="256"/>
      <c r="BF172" s="256"/>
      <c r="BG172" s="256"/>
      <c r="BH172" s="256"/>
      <c r="BI172" s="256"/>
      <c r="BJ172" s="256"/>
      <c r="BK172" s="256"/>
      <c r="BL172" s="256"/>
      <c r="BM172" s="256"/>
      <c r="BN172" s="256"/>
      <c r="BO172" s="256"/>
      <c r="BP172" s="256"/>
      <c r="BQ172" s="256"/>
      <c r="BR172" s="256"/>
      <c r="BS172" s="256"/>
      <c r="BT172" s="256"/>
      <c r="BU172" s="256"/>
      <c r="BV172" s="256"/>
      <c r="BW172" s="256"/>
      <c r="BX172" s="256"/>
      <c r="BY172" s="256"/>
      <c r="BZ172" s="256"/>
    </row>
    <row r="173" spans="1:78" ht="17.25" hidden="1" customHeight="1" x14ac:dyDescent="0.25">
      <c r="A173" s="256"/>
      <c r="B173" s="256"/>
      <c r="C173" s="256"/>
      <c r="D173" s="256"/>
      <c r="E173" s="256"/>
      <c r="F173" s="256"/>
      <c r="G173" s="256"/>
      <c r="H173" s="256"/>
      <c r="I173" s="256"/>
      <c r="J173" s="256"/>
      <c r="K173" s="256"/>
      <c r="L173" s="256"/>
      <c r="M173" s="256"/>
      <c r="N173" s="256"/>
      <c r="O173" s="256"/>
      <c r="P173" s="256"/>
      <c r="Q173" s="256"/>
      <c r="R173" s="256"/>
      <c r="S173" s="256"/>
      <c r="T173" s="256"/>
      <c r="U173" s="256"/>
      <c r="V173" s="256"/>
      <c r="W173" s="256"/>
      <c r="X173" s="256"/>
      <c r="Y173" s="256"/>
      <c r="Z173" s="256"/>
      <c r="AA173" s="256"/>
      <c r="AB173" s="256"/>
      <c r="AC173" s="256"/>
      <c r="AD173" s="256"/>
      <c r="AE173" s="256"/>
      <c r="AF173" s="256"/>
      <c r="AG173" s="256"/>
      <c r="AH173" s="256"/>
      <c r="AI173" s="256"/>
      <c r="AJ173" s="256"/>
      <c r="AK173" s="256"/>
      <c r="AL173" s="256"/>
      <c r="AM173" s="256"/>
      <c r="AN173" s="256"/>
      <c r="AO173" s="256"/>
      <c r="AP173" s="256"/>
      <c r="AQ173" s="256"/>
      <c r="AR173" s="256"/>
      <c r="AS173" s="256"/>
      <c r="AT173" s="256"/>
      <c r="AU173" s="256"/>
      <c r="AV173" s="256"/>
      <c r="AW173" s="256"/>
      <c r="AX173" s="256"/>
      <c r="AY173" s="256"/>
      <c r="AZ173" s="256"/>
      <c r="BA173" s="256"/>
      <c r="BB173" s="256"/>
      <c r="BC173" s="256"/>
      <c r="BD173" s="256"/>
      <c r="BE173" s="256"/>
      <c r="BF173" s="256"/>
      <c r="BG173" s="256"/>
      <c r="BH173" s="256"/>
      <c r="BI173" s="256"/>
      <c r="BJ173" s="256"/>
      <c r="BK173" s="256"/>
      <c r="BL173" s="256"/>
      <c r="BM173" s="256"/>
      <c r="BN173" s="256"/>
      <c r="BO173" s="256"/>
      <c r="BP173" s="256"/>
      <c r="BQ173" s="256"/>
      <c r="BR173" s="256"/>
      <c r="BS173" s="256"/>
      <c r="BT173" s="256"/>
      <c r="BU173" s="256"/>
      <c r="BV173" s="256"/>
      <c r="BW173" s="256"/>
      <c r="BX173" s="256"/>
      <c r="BY173" s="256"/>
      <c r="BZ173" s="256"/>
    </row>
    <row r="174" spans="1:78" ht="17.25" hidden="1" customHeight="1" x14ac:dyDescent="0.25">
      <c r="A174" s="256"/>
      <c r="B174" s="256"/>
      <c r="C174" s="256"/>
      <c r="D174" s="256"/>
      <c r="E174" s="256"/>
      <c r="F174" s="256"/>
      <c r="G174" s="256"/>
      <c r="H174" s="256"/>
      <c r="I174" s="256"/>
      <c r="J174" s="256"/>
      <c r="K174" s="256"/>
      <c r="L174" s="256"/>
      <c r="M174" s="256"/>
      <c r="N174" s="256"/>
      <c r="O174" s="256"/>
      <c r="P174" s="256"/>
      <c r="Q174" s="256"/>
      <c r="R174" s="256"/>
      <c r="S174" s="256"/>
      <c r="T174" s="256"/>
      <c r="U174" s="256"/>
      <c r="V174" s="256"/>
      <c r="W174" s="256"/>
      <c r="X174" s="256"/>
      <c r="Y174" s="256"/>
      <c r="Z174" s="256"/>
      <c r="AA174" s="256"/>
      <c r="AB174" s="256"/>
      <c r="AC174" s="256"/>
      <c r="AD174" s="256"/>
      <c r="AE174" s="256"/>
      <c r="AF174" s="256"/>
      <c r="AG174" s="256"/>
      <c r="AH174" s="256"/>
      <c r="AI174" s="256"/>
      <c r="AJ174" s="256"/>
      <c r="AK174" s="256"/>
      <c r="AL174" s="256"/>
      <c r="AM174" s="256"/>
      <c r="AN174" s="256"/>
      <c r="AO174" s="256"/>
      <c r="AP174" s="256"/>
      <c r="AQ174" s="256"/>
      <c r="AR174" s="256"/>
      <c r="AS174" s="256"/>
      <c r="AT174" s="256"/>
      <c r="AU174" s="256"/>
      <c r="AV174" s="256"/>
      <c r="AW174" s="256"/>
      <c r="AX174" s="256"/>
      <c r="AY174" s="256"/>
      <c r="AZ174" s="256"/>
      <c r="BA174" s="256"/>
      <c r="BB174" s="256"/>
      <c r="BC174" s="256"/>
      <c r="BD174" s="256"/>
      <c r="BE174" s="256"/>
      <c r="BF174" s="256"/>
      <c r="BG174" s="256"/>
      <c r="BH174" s="256"/>
      <c r="BI174" s="256"/>
      <c r="BJ174" s="256"/>
      <c r="BK174" s="256"/>
      <c r="BL174" s="256"/>
      <c r="BM174" s="256"/>
      <c r="BN174" s="256"/>
      <c r="BO174" s="256"/>
      <c r="BP174" s="256"/>
      <c r="BQ174" s="256"/>
      <c r="BR174" s="256"/>
      <c r="BS174" s="256"/>
      <c r="BT174" s="256"/>
      <c r="BU174" s="256"/>
      <c r="BV174" s="256"/>
      <c r="BW174" s="256"/>
      <c r="BX174" s="256"/>
      <c r="BY174" s="256"/>
      <c r="BZ174" s="256"/>
    </row>
    <row r="175" spans="1:78" ht="17.25" hidden="1" customHeight="1" x14ac:dyDescent="0.25">
      <c r="A175" s="256"/>
      <c r="B175" s="256"/>
      <c r="C175" s="256"/>
      <c r="D175" s="256"/>
      <c r="E175" s="256"/>
      <c r="F175" s="256"/>
      <c r="G175" s="256"/>
      <c r="H175" s="256"/>
      <c r="I175" s="256"/>
      <c r="J175" s="256"/>
      <c r="K175" s="256"/>
      <c r="L175" s="256"/>
      <c r="M175" s="256"/>
      <c r="N175" s="256"/>
      <c r="O175" s="256"/>
      <c r="P175" s="256"/>
      <c r="Q175" s="256"/>
      <c r="R175" s="256"/>
      <c r="S175" s="256"/>
      <c r="T175" s="256"/>
      <c r="U175" s="256"/>
      <c r="V175" s="256"/>
      <c r="W175" s="256"/>
      <c r="X175" s="256"/>
      <c r="Y175" s="256"/>
      <c r="Z175" s="256"/>
      <c r="AA175" s="256"/>
      <c r="AB175" s="256"/>
      <c r="AC175" s="256"/>
      <c r="AD175" s="256"/>
      <c r="AE175" s="256"/>
      <c r="AF175" s="256"/>
      <c r="AG175" s="256"/>
      <c r="AH175" s="256"/>
      <c r="AI175" s="256"/>
      <c r="AJ175" s="256"/>
      <c r="AK175" s="256"/>
      <c r="AL175" s="256"/>
      <c r="AM175" s="256"/>
      <c r="AN175" s="256"/>
      <c r="AO175" s="256"/>
      <c r="AP175" s="256"/>
      <c r="AQ175" s="256"/>
      <c r="AR175" s="256"/>
      <c r="AS175" s="256"/>
      <c r="AT175" s="256"/>
      <c r="AU175" s="256"/>
      <c r="AV175" s="256"/>
      <c r="AW175" s="256"/>
      <c r="AX175" s="256"/>
      <c r="AY175" s="256"/>
      <c r="AZ175" s="256"/>
      <c r="BA175" s="256"/>
      <c r="BB175" s="256"/>
      <c r="BC175" s="256"/>
      <c r="BD175" s="256"/>
      <c r="BE175" s="256"/>
      <c r="BF175" s="256"/>
      <c r="BG175" s="256"/>
      <c r="BH175" s="256"/>
      <c r="BI175" s="256"/>
      <c r="BJ175" s="256"/>
      <c r="BK175" s="256"/>
      <c r="BL175" s="256"/>
      <c r="BM175" s="256"/>
      <c r="BN175" s="256"/>
      <c r="BO175" s="256"/>
      <c r="BP175" s="256"/>
      <c r="BQ175" s="256"/>
      <c r="BR175" s="256"/>
      <c r="BS175" s="256"/>
      <c r="BT175" s="256"/>
      <c r="BU175" s="256"/>
      <c r="BV175" s="256"/>
      <c r="BW175" s="256"/>
      <c r="BX175" s="256"/>
      <c r="BY175" s="256"/>
      <c r="BZ175" s="256"/>
    </row>
    <row r="176" spans="1:78" ht="17.25" hidden="1" customHeight="1" x14ac:dyDescent="0.25">
      <c r="A176" s="256"/>
      <c r="B176" s="256"/>
      <c r="C176" s="256"/>
      <c r="D176" s="256"/>
      <c r="E176" s="256"/>
      <c r="F176" s="256"/>
      <c r="G176" s="256"/>
      <c r="H176" s="256"/>
      <c r="I176" s="256"/>
      <c r="J176" s="256"/>
      <c r="K176" s="256"/>
      <c r="L176" s="256"/>
      <c r="M176" s="256"/>
      <c r="N176" s="256"/>
      <c r="O176" s="256"/>
      <c r="P176" s="256"/>
      <c r="Q176" s="256"/>
      <c r="R176" s="256"/>
      <c r="S176" s="256"/>
      <c r="T176" s="256"/>
      <c r="U176" s="256"/>
      <c r="V176" s="256"/>
      <c r="W176" s="256"/>
      <c r="X176" s="256"/>
      <c r="Y176" s="256"/>
      <c r="Z176" s="256"/>
      <c r="AA176" s="256"/>
      <c r="AB176" s="256"/>
      <c r="AC176" s="256"/>
      <c r="AD176" s="256"/>
      <c r="AE176" s="256"/>
      <c r="AF176" s="256"/>
      <c r="AG176" s="256"/>
      <c r="AH176" s="256"/>
      <c r="AI176" s="256"/>
      <c r="AJ176" s="256"/>
      <c r="AK176" s="256"/>
      <c r="AL176" s="256"/>
      <c r="AM176" s="256"/>
      <c r="AN176" s="256"/>
      <c r="AO176" s="256"/>
      <c r="AP176" s="256"/>
      <c r="AQ176" s="256"/>
      <c r="AR176" s="256"/>
      <c r="AS176" s="256"/>
      <c r="AT176" s="256"/>
      <c r="AU176" s="256"/>
      <c r="AV176" s="256"/>
      <c r="AW176" s="256"/>
      <c r="AX176" s="256"/>
      <c r="AY176" s="256"/>
      <c r="AZ176" s="256"/>
      <c r="BA176" s="256"/>
      <c r="BB176" s="256"/>
      <c r="BC176" s="256"/>
      <c r="BD176" s="256"/>
      <c r="BE176" s="256"/>
      <c r="BF176" s="256"/>
      <c r="BG176" s="256"/>
      <c r="BH176" s="256"/>
      <c r="BI176" s="256"/>
      <c r="BJ176" s="256"/>
      <c r="BK176" s="256"/>
      <c r="BL176" s="256"/>
      <c r="BM176" s="256"/>
      <c r="BN176" s="256"/>
      <c r="BO176" s="256"/>
      <c r="BP176" s="256"/>
      <c r="BQ176" s="256"/>
      <c r="BR176" s="256"/>
      <c r="BS176" s="256"/>
      <c r="BT176" s="256"/>
      <c r="BU176" s="256"/>
      <c r="BV176" s="256"/>
      <c r="BW176" s="256"/>
      <c r="BX176" s="256"/>
      <c r="BY176" s="256"/>
      <c r="BZ176" s="256"/>
    </row>
    <row r="177" spans="1:78" ht="17.25" hidden="1" customHeight="1" x14ac:dyDescent="0.25">
      <c r="A177" s="256"/>
      <c r="B177" s="256"/>
      <c r="C177" s="256"/>
      <c r="D177" s="256"/>
      <c r="E177" s="256"/>
      <c r="F177" s="256"/>
      <c r="G177" s="256"/>
      <c r="H177" s="256"/>
      <c r="I177" s="256"/>
      <c r="J177" s="256"/>
      <c r="K177" s="256"/>
      <c r="L177" s="256"/>
      <c r="M177" s="256"/>
      <c r="N177" s="256"/>
      <c r="O177" s="256"/>
      <c r="P177" s="256"/>
      <c r="Q177" s="256"/>
      <c r="R177" s="256"/>
      <c r="S177" s="256"/>
      <c r="T177" s="256"/>
      <c r="U177" s="256"/>
      <c r="V177" s="256"/>
      <c r="W177" s="256"/>
      <c r="X177" s="256"/>
      <c r="Y177" s="256"/>
      <c r="Z177" s="256"/>
      <c r="AA177" s="256"/>
      <c r="AB177" s="256"/>
      <c r="AC177" s="256"/>
      <c r="AD177" s="256"/>
      <c r="AE177" s="256"/>
      <c r="AF177" s="256"/>
      <c r="AG177" s="256"/>
      <c r="AH177" s="256"/>
      <c r="AI177" s="256"/>
      <c r="AJ177" s="256"/>
      <c r="AK177" s="256"/>
      <c r="AL177" s="256"/>
      <c r="AM177" s="256"/>
      <c r="AN177" s="256"/>
      <c r="AO177" s="256"/>
      <c r="AP177" s="256"/>
      <c r="AQ177" s="256"/>
      <c r="AR177" s="256"/>
      <c r="AS177" s="256"/>
      <c r="AT177" s="256"/>
      <c r="AU177" s="256"/>
      <c r="AV177" s="256"/>
      <c r="AW177" s="256"/>
      <c r="AX177" s="256"/>
      <c r="AY177" s="256"/>
      <c r="AZ177" s="256"/>
      <c r="BA177" s="256"/>
      <c r="BB177" s="256"/>
      <c r="BC177" s="256"/>
      <c r="BD177" s="256"/>
      <c r="BE177" s="256"/>
      <c r="BF177" s="256"/>
      <c r="BG177" s="256"/>
      <c r="BH177" s="256"/>
      <c r="BI177" s="256"/>
      <c r="BJ177" s="256"/>
      <c r="BK177" s="256"/>
      <c r="BL177" s="256"/>
      <c r="BM177" s="256"/>
      <c r="BN177" s="256"/>
      <c r="BO177" s="256"/>
      <c r="BP177" s="256"/>
      <c r="BQ177" s="256"/>
      <c r="BR177" s="256"/>
      <c r="BS177" s="256"/>
      <c r="BT177" s="256"/>
      <c r="BU177" s="256"/>
      <c r="BV177" s="256"/>
      <c r="BW177" s="256"/>
      <c r="BX177" s="256"/>
      <c r="BY177" s="256"/>
      <c r="BZ177" s="256"/>
    </row>
    <row r="178" spans="1:78" ht="17.25" hidden="1" customHeight="1" x14ac:dyDescent="0.25">
      <c r="A178" s="256"/>
      <c r="B178" s="256"/>
      <c r="C178" s="256"/>
      <c r="D178" s="256"/>
      <c r="E178" s="256"/>
      <c r="F178" s="256"/>
      <c r="G178" s="256"/>
      <c r="H178" s="256"/>
      <c r="I178" s="256"/>
      <c r="J178" s="256"/>
      <c r="K178" s="256"/>
      <c r="L178" s="256"/>
      <c r="M178" s="256"/>
      <c r="N178" s="256"/>
      <c r="O178" s="256"/>
      <c r="P178" s="256"/>
      <c r="Q178" s="256"/>
      <c r="R178" s="256"/>
      <c r="S178" s="256"/>
      <c r="T178" s="256"/>
      <c r="U178" s="256"/>
      <c r="V178" s="256"/>
      <c r="W178" s="256"/>
      <c r="X178" s="256"/>
      <c r="Y178" s="256"/>
      <c r="Z178" s="256"/>
      <c r="AA178" s="256"/>
      <c r="AB178" s="256"/>
      <c r="AC178" s="256"/>
      <c r="AD178" s="256"/>
      <c r="AE178" s="256"/>
      <c r="AF178" s="256"/>
      <c r="AG178" s="256"/>
      <c r="AH178" s="256"/>
      <c r="AI178" s="256"/>
      <c r="AJ178" s="256"/>
      <c r="AK178" s="256"/>
      <c r="AL178" s="256"/>
      <c r="AM178" s="256"/>
      <c r="AN178" s="256"/>
      <c r="AO178" s="256"/>
      <c r="AP178" s="256"/>
      <c r="AQ178" s="256"/>
      <c r="AR178" s="256"/>
      <c r="AS178" s="256"/>
      <c r="AT178" s="256"/>
      <c r="AU178" s="256"/>
      <c r="AV178" s="256"/>
      <c r="AW178" s="256"/>
      <c r="AX178" s="256"/>
      <c r="AY178" s="256"/>
      <c r="AZ178" s="256"/>
      <c r="BA178" s="256"/>
      <c r="BB178" s="256"/>
      <c r="BC178" s="256"/>
      <c r="BD178" s="256"/>
      <c r="BE178" s="256"/>
      <c r="BF178" s="256"/>
      <c r="BG178" s="256"/>
      <c r="BH178" s="256"/>
      <c r="BI178" s="256"/>
      <c r="BJ178" s="256"/>
      <c r="BK178" s="256"/>
      <c r="BL178" s="256"/>
      <c r="BM178" s="256"/>
      <c r="BN178" s="256"/>
      <c r="BO178" s="256"/>
      <c r="BP178" s="256"/>
      <c r="BQ178" s="256"/>
      <c r="BR178" s="256"/>
      <c r="BS178" s="256"/>
      <c r="BT178" s="256"/>
      <c r="BU178" s="256"/>
      <c r="BV178" s="256"/>
      <c r="BW178" s="256"/>
      <c r="BX178" s="256"/>
      <c r="BY178" s="256"/>
      <c r="BZ178" s="256"/>
    </row>
    <row r="179" spans="1:78" ht="17.25" hidden="1" customHeight="1" x14ac:dyDescent="0.25">
      <c r="A179" s="256"/>
      <c r="B179" s="256"/>
      <c r="C179" s="256"/>
      <c r="D179" s="256"/>
      <c r="E179" s="256"/>
      <c r="F179" s="256"/>
      <c r="G179" s="256"/>
      <c r="H179" s="256"/>
      <c r="I179" s="256"/>
      <c r="J179" s="256"/>
      <c r="K179" s="256"/>
      <c r="L179" s="256"/>
      <c r="M179" s="256"/>
      <c r="N179" s="256"/>
      <c r="O179" s="256"/>
      <c r="P179" s="256"/>
      <c r="Q179" s="256"/>
      <c r="R179" s="256"/>
      <c r="S179" s="256"/>
      <c r="T179" s="256"/>
      <c r="U179" s="256"/>
      <c r="V179" s="256"/>
      <c r="W179" s="256"/>
      <c r="X179" s="256"/>
      <c r="Y179" s="256"/>
      <c r="Z179" s="256"/>
      <c r="AA179" s="256"/>
      <c r="AB179" s="256"/>
      <c r="AC179" s="256"/>
      <c r="AD179" s="256"/>
      <c r="AE179" s="256"/>
      <c r="AF179" s="256"/>
      <c r="AG179" s="256"/>
      <c r="AH179" s="256"/>
      <c r="AI179" s="256"/>
      <c r="AJ179" s="256"/>
      <c r="AK179" s="256"/>
      <c r="AL179" s="256"/>
      <c r="AM179" s="256"/>
      <c r="AN179" s="256"/>
      <c r="AO179" s="256"/>
      <c r="AP179" s="256"/>
      <c r="AQ179" s="256"/>
      <c r="AR179" s="256"/>
      <c r="AS179" s="256"/>
      <c r="AT179" s="256"/>
      <c r="AU179" s="256"/>
      <c r="AV179" s="256"/>
      <c r="AW179" s="256"/>
      <c r="AX179" s="256"/>
      <c r="AY179" s="256"/>
      <c r="AZ179" s="256"/>
      <c r="BA179" s="256"/>
      <c r="BB179" s="256"/>
      <c r="BC179" s="256"/>
      <c r="BD179" s="256"/>
      <c r="BE179" s="256"/>
      <c r="BF179" s="256"/>
      <c r="BG179" s="256"/>
      <c r="BH179" s="256"/>
      <c r="BI179" s="256"/>
      <c r="BJ179" s="256"/>
      <c r="BK179" s="256"/>
      <c r="BL179" s="256"/>
      <c r="BM179" s="256"/>
      <c r="BN179" s="256"/>
      <c r="BO179" s="256"/>
      <c r="BP179" s="256"/>
      <c r="BQ179" s="256"/>
      <c r="BR179" s="256"/>
      <c r="BS179" s="256"/>
      <c r="BT179" s="256"/>
      <c r="BU179" s="256"/>
      <c r="BV179" s="256"/>
      <c r="BW179" s="256"/>
      <c r="BX179" s="256"/>
      <c r="BY179" s="256"/>
      <c r="BZ179" s="256"/>
    </row>
    <row r="180" spans="1:78" ht="17.25" hidden="1" customHeight="1" x14ac:dyDescent="0.25">
      <c r="A180" s="256"/>
      <c r="B180" s="256"/>
      <c r="C180" s="256"/>
      <c r="D180" s="256"/>
      <c r="E180" s="256"/>
      <c r="F180" s="256"/>
      <c r="G180" s="256"/>
      <c r="H180" s="256"/>
      <c r="I180" s="256"/>
      <c r="J180" s="256"/>
      <c r="K180" s="256"/>
      <c r="L180" s="256"/>
      <c r="M180" s="256"/>
      <c r="N180" s="256"/>
      <c r="O180" s="256"/>
      <c r="P180" s="256"/>
      <c r="Q180" s="256"/>
      <c r="R180" s="256"/>
      <c r="S180" s="256"/>
      <c r="T180" s="256"/>
      <c r="U180" s="256"/>
      <c r="V180" s="256"/>
      <c r="W180" s="256"/>
      <c r="X180" s="256"/>
      <c r="Y180" s="256"/>
      <c r="Z180" s="256"/>
      <c r="AA180" s="256"/>
      <c r="AB180" s="256"/>
      <c r="AC180" s="256"/>
      <c r="AD180" s="256"/>
      <c r="AE180" s="256"/>
      <c r="AF180" s="256"/>
      <c r="AG180" s="256"/>
      <c r="AH180" s="256"/>
      <c r="AI180" s="256"/>
      <c r="AJ180" s="256"/>
      <c r="AK180" s="256"/>
      <c r="AL180" s="256"/>
      <c r="AM180" s="256"/>
      <c r="AN180" s="256"/>
      <c r="AO180" s="256"/>
      <c r="AP180" s="256"/>
      <c r="AQ180" s="256"/>
      <c r="AR180" s="256"/>
      <c r="AS180" s="256"/>
      <c r="AT180" s="256"/>
      <c r="AU180" s="256"/>
      <c r="AV180" s="256"/>
      <c r="AW180" s="256"/>
      <c r="AX180" s="256"/>
      <c r="AY180" s="256"/>
      <c r="AZ180" s="256"/>
      <c r="BA180" s="256"/>
      <c r="BB180" s="256"/>
      <c r="BC180" s="256"/>
      <c r="BD180" s="256"/>
      <c r="BE180" s="256"/>
      <c r="BF180" s="256"/>
      <c r="BG180" s="256"/>
      <c r="BH180" s="256"/>
      <c r="BI180" s="256"/>
      <c r="BJ180" s="256"/>
      <c r="BK180" s="256"/>
      <c r="BL180" s="256"/>
      <c r="BM180" s="256"/>
      <c r="BN180" s="256"/>
      <c r="BO180" s="256"/>
      <c r="BP180" s="256"/>
      <c r="BQ180" s="256"/>
      <c r="BR180" s="256"/>
      <c r="BS180" s="256"/>
      <c r="BT180" s="256"/>
      <c r="BU180" s="256"/>
      <c r="BV180" s="256"/>
      <c r="BW180" s="256"/>
      <c r="BX180" s="256"/>
      <c r="BY180" s="256"/>
      <c r="BZ180" s="256"/>
    </row>
    <row r="181" spans="1:78" ht="17.25" hidden="1" customHeight="1" x14ac:dyDescent="0.25">
      <c r="A181" s="256"/>
      <c r="B181" s="256"/>
      <c r="C181" s="256"/>
      <c r="D181" s="256"/>
      <c r="E181" s="256"/>
      <c r="F181" s="256"/>
      <c r="G181" s="256"/>
      <c r="H181" s="256"/>
      <c r="I181" s="256"/>
      <c r="J181" s="256"/>
      <c r="K181" s="256"/>
      <c r="L181" s="256"/>
      <c r="M181" s="256"/>
      <c r="N181" s="256"/>
      <c r="O181" s="256"/>
      <c r="P181" s="256"/>
      <c r="Q181" s="256"/>
      <c r="R181" s="256"/>
      <c r="S181" s="256"/>
      <c r="T181" s="256"/>
      <c r="U181" s="256"/>
      <c r="V181" s="256"/>
      <c r="W181" s="256"/>
      <c r="X181" s="256"/>
      <c r="Y181" s="256"/>
      <c r="Z181" s="256"/>
      <c r="AA181" s="256"/>
      <c r="AB181" s="256"/>
      <c r="AC181" s="256"/>
      <c r="AD181" s="256"/>
      <c r="AE181" s="256"/>
      <c r="AF181" s="256"/>
      <c r="AG181" s="256"/>
      <c r="AH181" s="256"/>
      <c r="AI181" s="256"/>
      <c r="AJ181" s="256"/>
      <c r="AK181" s="256"/>
      <c r="AL181" s="256"/>
      <c r="AM181" s="256"/>
      <c r="AN181" s="256"/>
      <c r="AO181" s="256"/>
      <c r="AP181" s="256"/>
      <c r="AQ181" s="256"/>
      <c r="AR181" s="256"/>
      <c r="AS181" s="256"/>
      <c r="AT181" s="256"/>
      <c r="AU181" s="256"/>
      <c r="AV181" s="256"/>
      <c r="AW181" s="256"/>
      <c r="AX181" s="256"/>
      <c r="AY181" s="256"/>
      <c r="AZ181" s="256"/>
      <c r="BA181" s="256"/>
      <c r="BB181" s="256"/>
      <c r="BC181" s="256"/>
      <c r="BD181" s="256"/>
      <c r="BE181" s="256"/>
      <c r="BF181" s="256"/>
      <c r="BG181" s="256"/>
      <c r="BH181" s="256"/>
      <c r="BI181" s="256"/>
      <c r="BJ181" s="256"/>
      <c r="BK181" s="256"/>
      <c r="BL181" s="256"/>
      <c r="BM181" s="256"/>
      <c r="BN181" s="256"/>
      <c r="BO181" s="256"/>
      <c r="BP181" s="256"/>
      <c r="BQ181" s="256"/>
      <c r="BR181" s="256"/>
      <c r="BS181" s="256"/>
      <c r="BT181" s="256"/>
      <c r="BU181" s="256"/>
      <c r="BV181" s="256"/>
      <c r="BW181" s="256"/>
      <c r="BX181" s="256"/>
      <c r="BY181" s="256"/>
      <c r="BZ181" s="256"/>
    </row>
    <row r="182" spans="1:78" ht="17.25" hidden="1" customHeight="1" x14ac:dyDescent="0.25">
      <c r="A182" s="256"/>
      <c r="B182" s="256"/>
      <c r="C182" s="256"/>
      <c r="D182" s="256"/>
      <c r="E182" s="256"/>
      <c r="F182" s="256"/>
      <c r="G182" s="256"/>
      <c r="H182" s="256"/>
      <c r="I182" s="256"/>
      <c r="J182" s="256"/>
      <c r="K182" s="256"/>
      <c r="L182" s="256"/>
      <c r="M182" s="256"/>
      <c r="N182" s="256"/>
      <c r="O182" s="256"/>
      <c r="P182" s="256"/>
      <c r="Q182" s="256"/>
      <c r="R182" s="256"/>
      <c r="S182" s="256"/>
      <c r="T182" s="256"/>
      <c r="U182" s="256"/>
      <c r="V182" s="256"/>
      <c r="W182" s="256"/>
      <c r="X182" s="256"/>
      <c r="Y182" s="256"/>
      <c r="Z182" s="256"/>
      <c r="AA182" s="256"/>
      <c r="AB182" s="256"/>
      <c r="AC182" s="256"/>
      <c r="AD182" s="256"/>
      <c r="AE182" s="256"/>
      <c r="AF182" s="256"/>
      <c r="AG182" s="256"/>
      <c r="AH182" s="256"/>
      <c r="AI182" s="256"/>
      <c r="AJ182" s="256"/>
      <c r="AK182" s="256"/>
      <c r="AL182" s="256"/>
      <c r="AM182" s="256"/>
      <c r="AN182" s="256"/>
      <c r="AO182" s="256"/>
      <c r="AP182" s="256"/>
      <c r="AQ182" s="256"/>
      <c r="AR182" s="256"/>
      <c r="AS182" s="256"/>
      <c r="AT182" s="256"/>
      <c r="AU182" s="256"/>
      <c r="AV182" s="256"/>
      <c r="AW182" s="256"/>
      <c r="AX182" s="256"/>
      <c r="AY182" s="256"/>
      <c r="AZ182" s="256"/>
      <c r="BA182" s="256"/>
      <c r="BB182" s="256"/>
      <c r="BC182" s="256"/>
      <c r="BD182" s="256"/>
      <c r="BE182" s="256"/>
      <c r="BF182" s="256"/>
      <c r="BG182" s="256"/>
      <c r="BH182" s="256"/>
      <c r="BI182" s="256"/>
      <c r="BJ182" s="256"/>
      <c r="BK182" s="256"/>
      <c r="BL182" s="256"/>
      <c r="BM182" s="256"/>
      <c r="BN182" s="256"/>
      <c r="BO182" s="256"/>
      <c r="BP182" s="256"/>
      <c r="BQ182" s="256"/>
      <c r="BR182" s="256"/>
      <c r="BS182" s="256"/>
      <c r="BT182" s="256"/>
      <c r="BU182" s="256"/>
      <c r="BV182" s="256"/>
      <c r="BW182" s="256"/>
      <c r="BX182" s="256"/>
      <c r="BY182" s="256"/>
      <c r="BZ182" s="256"/>
    </row>
    <row r="183" spans="1:78" ht="17.25" hidden="1" customHeight="1" x14ac:dyDescent="0.25">
      <c r="A183" s="256"/>
      <c r="B183" s="256"/>
      <c r="C183" s="256"/>
      <c r="D183" s="256"/>
      <c r="E183" s="256"/>
      <c r="F183" s="256"/>
      <c r="G183" s="256"/>
      <c r="H183" s="256"/>
      <c r="I183" s="256"/>
      <c r="J183" s="256"/>
      <c r="K183" s="256"/>
      <c r="L183" s="256"/>
      <c r="M183" s="256"/>
      <c r="N183" s="256"/>
      <c r="O183" s="256"/>
      <c r="P183" s="256"/>
      <c r="Q183" s="256"/>
      <c r="R183" s="256"/>
      <c r="S183" s="256"/>
      <c r="T183" s="256"/>
      <c r="U183" s="256"/>
      <c r="V183" s="256"/>
      <c r="W183" s="256"/>
      <c r="X183" s="256"/>
      <c r="Y183" s="256"/>
      <c r="Z183" s="256"/>
      <c r="AA183" s="256"/>
      <c r="AB183" s="256"/>
      <c r="AC183" s="256"/>
      <c r="AD183" s="256"/>
      <c r="AE183" s="256"/>
      <c r="AF183" s="256"/>
      <c r="AG183" s="256"/>
      <c r="AH183" s="256"/>
      <c r="AI183" s="256"/>
      <c r="AJ183" s="256"/>
      <c r="AK183" s="256"/>
      <c r="AL183" s="256"/>
      <c r="AM183" s="256"/>
      <c r="AN183" s="256"/>
      <c r="AO183" s="256"/>
      <c r="AP183" s="256"/>
      <c r="AQ183" s="256"/>
      <c r="AR183" s="256"/>
      <c r="AS183" s="256"/>
      <c r="AT183" s="256"/>
      <c r="AU183" s="256"/>
      <c r="AV183" s="256"/>
      <c r="AW183" s="256"/>
      <c r="AX183" s="256"/>
      <c r="AY183" s="256"/>
      <c r="AZ183" s="256"/>
      <c r="BA183" s="256"/>
      <c r="BB183" s="256"/>
      <c r="BC183" s="256"/>
      <c r="BD183" s="256"/>
      <c r="BE183" s="256"/>
      <c r="BF183" s="256"/>
      <c r="BG183" s="256"/>
      <c r="BH183" s="256"/>
      <c r="BI183" s="256"/>
      <c r="BJ183" s="256"/>
      <c r="BK183" s="256"/>
      <c r="BL183" s="256"/>
      <c r="BM183" s="256"/>
      <c r="BN183" s="256"/>
      <c r="BO183" s="256"/>
      <c r="BP183" s="256"/>
      <c r="BQ183" s="256"/>
      <c r="BR183" s="256"/>
      <c r="BS183" s="256"/>
      <c r="BT183" s="256"/>
      <c r="BU183" s="256"/>
      <c r="BV183" s="256"/>
      <c r="BW183" s="256"/>
      <c r="BX183" s="256"/>
      <c r="BY183" s="256"/>
      <c r="BZ183" s="256"/>
    </row>
    <row r="184" spans="1:78" ht="17.25" hidden="1" customHeight="1" x14ac:dyDescent="0.25">
      <c r="A184" s="256"/>
      <c r="B184" s="256"/>
      <c r="C184" s="256"/>
      <c r="D184" s="256"/>
      <c r="E184" s="256"/>
      <c r="F184" s="256"/>
      <c r="G184" s="256"/>
      <c r="H184" s="256"/>
      <c r="I184" s="256"/>
      <c r="J184" s="256"/>
      <c r="K184" s="256"/>
      <c r="L184" s="256"/>
      <c r="M184" s="256"/>
      <c r="N184" s="256"/>
      <c r="O184" s="256"/>
      <c r="P184" s="256"/>
      <c r="Q184" s="256"/>
      <c r="R184" s="256"/>
      <c r="S184" s="256"/>
      <c r="T184" s="256"/>
      <c r="U184" s="256"/>
      <c r="V184" s="256"/>
      <c r="W184" s="256"/>
      <c r="X184" s="256"/>
      <c r="Y184" s="256"/>
      <c r="Z184" s="256"/>
      <c r="AA184" s="256"/>
      <c r="AB184" s="256"/>
      <c r="AC184" s="256"/>
      <c r="AD184" s="256"/>
      <c r="AE184" s="256"/>
      <c r="AF184" s="256"/>
      <c r="AG184" s="256"/>
      <c r="AH184" s="256"/>
      <c r="AI184" s="256"/>
      <c r="AJ184" s="256"/>
      <c r="AK184" s="256"/>
      <c r="AL184" s="256"/>
      <c r="AM184" s="256"/>
      <c r="AN184" s="256"/>
      <c r="AO184" s="256"/>
      <c r="AP184" s="256"/>
      <c r="AQ184" s="256"/>
      <c r="AR184" s="256"/>
      <c r="AS184" s="256"/>
      <c r="AT184" s="256"/>
      <c r="AU184" s="256"/>
      <c r="AV184" s="256"/>
      <c r="AW184" s="256"/>
      <c r="AX184" s="256"/>
      <c r="AY184" s="256"/>
      <c r="AZ184" s="256"/>
      <c r="BA184" s="256"/>
      <c r="BB184" s="256"/>
      <c r="BC184" s="256"/>
      <c r="BD184" s="256"/>
      <c r="BE184" s="256"/>
      <c r="BF184" s="256"/>
      <c r="BG184" s="256"/>
      <c r="BH184" s="256"/>
      <c r="BI184" s="256"/>
      <c r="BJ184" s="256"/>
      <c r="BK184" s="256"/>
      <c r="BL184" s="256"/>
      <c r="BM184" s="256"/>
      <c r="BN184" s="256"/>
      <c r="BO184" s="256"/>
      <c r="BP184" s="256"/>
      <c r="BQ184" s="256"/>
      <c r="BR184" s="256"/>
      <c r="BS184" s="256"/>
      <c r="BT184" s="256"/>
      <c r="BU184" s="256"/>
      <c r="BV184" s="256"/>
      <c r="BW184" s="256"/>
      <c r="BX184" s="256"/>
      <c r="BY184" s="256"/>
      <c r="BZ184" s="256"/>
    </row>
    <row r="185" spans="1:78" ht="17.25" hidden="1" customHeight="1" x14ac:dyDescent="0.25">
      <c r="A185" s="256"/>
      <c r="B185" s="256"/>
      <c r="C185" s="256"/>
      <c r="D185" s="256"/>
      <c r="E185" s="256"/>
      <c r="F185" s="256"/>
      <c r="G185" s="256"/>
      <c r="H185" s="256"/>
      <c r="I185" s="256"/>
      <c r="J185" s="256"/>
      <c r="K185" s="256"/>
      <c r="L185" s="256"/>
      <c r="M185" s="256"/>
      <c r="N185" s="256"/>
      <c r="O185" s="256"/>
      <c r="P185" s="256"/>
      <c r="Q185" s="256"/>
      <c r="R185" s="256"/>
      <c r="S185" s="256"/>
      <c r="T185" s="256"/>
      <c r="U185" s="256"/>
      <c r="V185" s="256"/>
      <c r="W185" s="256"/>
      <c r="X185" s="256"/>
      <c r="Y185" s="256"/>
      <c r="Z185" s="256"/>
      <c r="AA185" s="256"/>
      <c r="AB185" s="256"/>
      <c r="AC185" s="256"/>
      <c r="AD185" s="256"/>
      <c r="AE185" s="256"/>
      <c r="AF185" s="256"/>
      <c r="AG185" s="256"/>
      <c r="AH185" s="256"/>
      <c r="AI185" s="256"/>
      <c r="AJ185" s="256"/>
      <c r="AK185" s="256"/>
      <c r="AL185" s="256"/>
      <c r="AM185" s="256"/>
      <c r="AN185" s="256"/>
      <c r="AO185" s="256"/>
      <c r="AP185" s="256"/>
      <c r="AQ185" s="256"/>
      <c r="AR185" s="256"/>
      <c r="AS185" s="256"/>
      <c r="AT185" s="256"/>
      <c r="AU185" s="256"/>
      <c r="AV185" s="256"/>
      <c r="AW185" s="256"/>
      <c r="AX185" s="256"/>
      <c r="AY185" s="256"/>
      <c r="AZ185" s="256"/>
      <c r="BA185" s="256"/>
      <c r="BB185" s="256"/>
      <c r="BC185" s="256"/>
      <c r="BD185" s="256"/>
      <c r="BE185" s="256"/>
      <c r="BF185" s="256"/>
      <c r="BG185" s="256"/>
      <c r="BH185" s="256"/>
      <c r="BI185" s="256"/>
      <c r="BJ185" s="256"/>
      <c r="BK185" s="256"/>
      <c r="BL185" s="256"/>
      <c r="BM185" s="256"/>
      <c r="BN185" s="256"/>
      <c r="BO185" s="256"/>
      <c r="BP185" s="256"/>
      <c r="BQ185" s="256"/>
      <c r="BR185" s="256"/>
      <c r="BS185" s="256"/>
      <c r="BT185" s="256"/>
      <c r="BU185" s="256"/>
      <c r="BV185" s="256"/>
      <c r="BW185" s="256"/>
      <c r="BX185" s="256"/>
      <c r="BY185" s="256"/>
      <c r="BZ185" s="256"/>
    </row>
    <row r="186" spans="1:78" ht="17.25" hidden="1" customHeight="1" x14ac:dyDescent="0.25">
      <c r="A186" s="256"/>
      <c r="B186" s="256"/>
      <c r="C186" s="256"/>
      <c r="D186" s="256"/>
      <c r="E186" s="256"/>
      <c r="F186" s="256"/>
      <c r="G186" s="256"/>
      <c r="H186" s="256"/>
      <c r="I186" s="256"/>
      <c r="J186" s="256"/>
      <c r="K186" s="256"/>
      <c r="L186" s="256"/>
      <c r="M186" s="256"/>
      <c r="N186" s="256"/>
      <c r="O186" s="256"/>
      <c r="P186" s="256"/>
      <c r="Q186" s="256"/>
      <c r="R186" s="256"/>
      <c r="S186" s="256"/>
      <c r="T186" s="256"/>
      <c r="U186" s="256"/>
      <c r="V186" s="256"/>
      <c r="W186" s="256"/>
      <c r="X186" s="256"/>
      <c r="Y186" s="256"/>
      <c r="Z186" s="256"/>
      <c r="AA186" s="256"/>
      <c r="AB186" s="256"/>
      <c r="AC186" s="256"/>
      <c r="AD186" s="256"/>
      <c r="AE186" s="256"/>
      <c r="AF186" s="256"/>
      <c r="AG186" s="256"/>
      <c r="AH186" s="256"/>
      <c r="AI186" s="256"/>
      <c r="AJ186" s="256"/>
      <c r="AK186" s="256"/>
      <c r="AL186" s="256"/>
      <c r="AM186" s="256"/>
      <c r="AN186" s="256"/>
      <c r="AO186" s="256"/>
      <c r="AP186" s="256"/>
      <c r="AQ186" s="256"/>
      <c r="AR186" s="256"/>
      <c r="AS186" s="256"/>
      <c r="AT186" s="256"/>
      <c r="AU186" s="256"/>
      <c r="AV186" s="256"/>
      <c r="AW186" s="256"/>
      <c r="AX186" s="256"/>
      <c r="AY186" s="256"/>
      <c r="AZ186" s="256"/>
      <c r="BA186" s="256"/>
      <c r="BB186" s="256"/>
      <c r="BC186" s="256"/>
      <c r="BD186" s="256"/>
      <c r="BE186" s="256"/>
      <c r="BF186" s="256"/>
      <c r="BG186" s="256"/>
      <c r="BH186" s="256"/>
      <c r="BI186" s="256"/>
      <c r="BJ186" s="256"/>
      <c r="BK186" s="256"/>
      <c r="BL186" s="256"/>
      <c r="BM186" s="256"/>
      <c r="BN186" s="256"/>
      <c r="BO186" s="256"/>
      <c r="BP186" s="256"/>
      <c r="BQ186" s="256"/>
      <c r="BR186" s="256"/>
      <c r="BS186" s="256"/>
      <c r="BT186" s="256"/>
      <c r="BU186" s="256"/>
      <c r="BV186" s="256"/>
      <c r="BW186" s="256"/>
      <c r="BX186" s="256"/>
      <c r="BY186" s="256"/>
      <c r="BZ186" s="256"/>
    </row>
    <row r="187" spans="1:78" ht="17.25" hidden="1" customHeight="1" x14ac:dyDescent="0.25">
      <c r="A187" s="256"/>
      <c r="B187" s="256"/>
      <c r="C187" s="256"/>
      <c r="D187" s="256"/>
      <c r="E187" s="256"/>
      <c r="F187" s="256"/>
      <c r="G187" s="256"/>
      <c r="H187" s="256"/>
      <c r="I187" s="256"/>
      <c r="J187" s="256"/>
      <c r="K187" s="256"/>
      <c r="L187" s="256"/>
      <c r="M187" s="256"/>
      <c r="N187" s="256"/>
      <c r="O187" s="256"/>
      <c r="P187" s="256"/>
      <c r="Q187" s="256"/>
      <c r="R187" s="256"/>
      <c r="S187" s="256"/>
      <c r="T187" s="256"/>
      <c r="U187" s="256"/>
      <c r="V187" s="256"/>
      <c r="W187" s="256"/>
      <c r="X187" s="256"/>
      <c r="Y187" s="256"/>
      <c r="Z187" s="256"/>
      <c r="AA187" s="256"/>
      <c r="AB187" s="256"/>
      <c r="AC187" s="256"/>
      <c r="AD187" s="256"/>
      <c r="AE187" s="256"/>
      <c r="AF187" s="256"/>
      <c r="AG187" s="256"/>
      <c r="AH187" s="256"/>
      <c r="AI187" s="256"/>
      <c r="AJ187" s="256"/>
      <c r="AK187" s="256"/>
      <c r="AL187" s="256"/>
      <c r="AM187" s="256"/>
      <c r="AN187" s="256"/>
      <c r="AO187" s="256"/>
      <c r="AP187" s="256"/>
      <c r="AQ187" s="256"/>
      <c r="AR187" s="256"/>
      <c r="AS187" s="256"/>
      <c r="AT187" s="256"/>
      <c r="AU187" s="256"/>
      <c r="AV187" s="256"/>
      <c r="AW187" s="256"/>
      <c r="AX187" s="256"/>
      <c r="AY187" s="256"/>
      <c r="AZ187" s="256"/>
      <c r="BA187" s="256"/>
      <c r="BB187" s="256"/>
      <c r="BC187" s="256"/>
      <c r="BD187" s="256"/>
      <c r="BE187" s="256"/>
      <c r="BF187" s="256"/>
      <c r="BG187" s="256"/>
      <c r="BH187" s="256"/>
      <c r="BI187" s="256"/>
      <c r="BJ187" s="256"/>
      <c r="BK187" s="256"/>
      <c r="BL187" s="256"/>
      <c r="BM187" s="256"/>
      <c r="BN187" s="256"/>
      <c r="BO187" s="256"/>
      <c r="BP187" s="256"/>
      <c r="BQ187" s="256"/>
      <c r="BR187" s="256"/>
      <c r="BS187" s="256"/>
      <c r="BT187" s="256"/>
      <c r="BU187" s="256"/>
      <c r="BV187" s="256"/>
      <c r="BW187" s="256"/>
      <c r="BX187" s="256"/>
      <c r="BY187" s="256"/>
      <c r="BZ187" s="256"/>
    </row>
    <row r="188" spans="1:78" ht="17.25" hidden="1" customHeight="1" x14ac:dyDescent="0.25">
      <c r="A188" s="256"/>
      <c r="B188" s="256"/>
      <c r="C188" s="256"/>
      <c r="D188" s="256"/>
      <c r="E188" s="256"/>
      <c r="F188" s="256"/>
      <c r="G188" s="256"/>
      <c r="H188" s="256"/>
      <c r="I188" s="256"/>
      <c r="J188" s="256"/>
      <c r="K188" s="256"/>
      <c r="L188" s="256"/>
      <c r="M188" s="256"/>
      <c r="N188" s="256"/>
      <c r="O188" s="256"/>
      <c r="P188" s="256"/>
      <c r="Q188" s="256"/>
      <c r="R188" s="256"/>
      <c r="S188" s="256"/>
      <c r="T188" s="256"/>
      <c r="U188" s="256"/>
      <c r="V188" s="256"/>
      <c r="W188" s="256"/>
      <c r="X188" s="256"/>
      <c r="Y188" s="256"/>
      <c r="Z188" s="256"/>
      <c r="AA188" s="256"/>
      <c r="AB188" s="256"/>
      <c r="AC188" s="256"/>
      <c r="AD188" s="256"/>
      <c r="AE188" s="256"/>
      <c r="AF188" s="256"/>
      <c r="AG188" s="256"/>
      <c r="AH188" s="256"/>
      <c r="AI188" s="256"/>
      <c r="AJ188" s="256"/>
      <c r="AK188" s="256"/>
      <c r="AL188" s="256"/>
      <c r="AM188" s="256"/>
      <c r="AN188" s="256"/>
      <c r="AO188" s="256"/>
      <c r="AP188" s="256"/>
      <c r="AQ188" s="256"/>
      <c r="AR188" s="256"/>
      <c r="AS188" s="256"/>
      <c r="AT188" s="256"/>
      <c r="AU188" s="256"/>
      <c r="AV188" s="256"/>
      <c r="AW188" s="256"/>
      <c r="AX188" s="256"/>
      <c r="AY188" s="256"/>
      <c r="AZ188" s="256"/>
      <c r="BA188" s="256"/>
      <c r="BB188" s="256"/>
      <c r="BC188" s="256"/>
      <c r="BD188" s="256"/>
      <c r="BE188" s="256"/>
      <c r="BF188" s="256"/>
      <c r="BG188" s="256"/>
      <c r="BH188" s="256"/>
      <c r="BI188" s="256"/>
      <c r="BJ188" s="256"/>
      <c r="BK188" s="256"/>
      <c r="BL188" s="256"/>
      <c r="BM188" s="256"/>
      <c r="BN188" s="256"/>
      <c r="BO188" s="256"/>
      <c r="BP188" s="256"/>
      <c r="BQ188" s="256"/>
      <c r="BR188" s="256"/>
      <c r="BS188" s="256"/>
      <c r="BT188" s="256"/>
      <c r="BU188" s="256"/>
      <c r="BV188" s="256"/>
      <c r="BW188" s="256"/>
      <c r="BX188" s="256"/>
      <c r="BY188" s="256"/>
      <c r="BZ188" s="256"/>
    </row>
    <row r="189" spans="1:78" ht="17.25" hidden="1" customHeight="1" x14ac:dyDescent="0.25">
      <c r="A189" s="256"/>
      <c r="B189" s="256"/>
      <c r="C189" s="256"/>
      <c r="D189" s="256"/>
      <c r="E189" s="256"/>
      <c r="F189" s="256"/>
      <c r="G189" s="256"/>
      <c r="H189" s="256"/>
      <c r="I189" s="256"/>
      <c r="J189" s="256"/>
      <c r="K189" s="256"/>
      <c r="L189" s="256"/>
      <c r="M189" s="256"/>
      <c r="N189" s="256"/>
      <c r="O189" s="256"/>
      <c r="P189" s="256"/>
      <c r="Q189" s="256"/>
      <c r="R189" s="256"/>
      <c r="S189" s="256"/>
      <c r="T189" s="256"/>
      <c r="U189" s="256"/>
      <c r="V189" s="256"/>
      <c r="W189" s="256"/>
      <c r="X189" s="256"/>
      <c r="Y189" s="256"/>
      <c r="Z189" s="256"/>
      <c r="AA189" s="256"/>
      <c r="AB189" s="256"/>
      <c r="AC189" s="256"/>
      <c r="AD189" s="256"/>
      <c r="AE189" s="256"/>
      <c r="AF189" s="256"/>
      <c r="AG189" s="256"/>
      <c r="AH189" s="256"/>
      <c r="AI189" s="256"/>
      <c r="AJ189" s="256"/>
      <c r="AK189" s="256"/>
      <c r="AL189" s="256"/>
      <c r="AM189" s="256"/>
      <c r="AN189" s="256"/>
      <c r="AO189" s="256"/>
      <c r="AP189" s="256"/>
      <c r="AQ189" s="256"/>
      <c r="AR189" s="256"/>
      <c r="AS189" s="256"/>
      <c r="AT189" s="256"/>
      <c r="AU189" s="256"/>
      <c r="AV189" s="256"/>
      <c r="AW189" s="256"/>
      <c r="AX189" s="256"/>
      <c r="AY189" s="256"/>
      <c r="AZ189" s="256"/>
      <c r="BA189" s="256"/>
      <c r="BB189" s="256"/>
      <c r="BC189" s="256"/>
      <c r="BD189" s="256"/>
      <c r="BE189" s="256"/>
      <c r="BF189" s="256"/>
      <c r="BG189" s="256"/>
      <c r="BH189" s="256"/>
      <c r="BI189" s="256"/>
      <c r="BJ189" s="256"/>
      <c r="BK189" s="256"/>
      <c r="BL189" s="256"/>
      <c r="BM189" s="256"/>
      <c r="BN189" s="256"/>
      <c r="BO189" s="256"/>
      <c r="BP189" s="256"/>
      <c r="BQ189" s="256"/>
      <c r="BR189" s="256"/>
      <c r="BS189" s="256"/>
      <c r="BT189" s="256"/>
      <c r="BU189" s="256"/>
      <c r="BV189" s="256"/>
      <c r="BW189" s="256"/>
      <c r="BX189" s="256"/>
      <c r="BY189" s="256"/>
      <c r="BZ189" s="256"/>
    </row>
    <row r="190" spans="1:78" ht="17.25" hidden="1" customHeight="1" x14ac:dyDescent="0.25">
      <c r="A190" s="256"/>
      <c r="B190" s="256"/>
      <c r="C190" s="256"/>
      <c r="D190" s="256"/>
      <c r="E190" s="256"/>
      <c r="F190" s="256"/>
      <c r="G190" s="256"/>
      <c r="H190" s="256"/>
      <c r="I190" s="256"/>
      <c r="J190" s="256"/>
      <c r="K190" s="256"/>
      <c r="L190" s="256"/>
      <c r="M190" s="256"/>
      <c r="N190" s="256"/>
      <c r="O190" s="256"/>
      <c r="P190" s="256"/>
      <c r="Q190" s="256"/>
      <c r="R190" s="256"/>
      <c r="S190" s="256"/>
      <c r="T190" s="256"/>
      <c r="U190" s="256"/>
      <c r="V190" s="256"/>
      <c r="W190" s="256"/>
      <c r="X190" s="256"/>
      <c r="Y190" s="256"/>
      <c r="Z190" s="256"/>
      <c r="AA190" s="256"/>
      <c r="AB190" s="256"/>
      <c r="AC190" s="256"/>
      <c r="AD190" s="256"/>
      <c r="AE190" s="256"/>
      <c r="AF190" s="256"/>
      <c r="AG190" s="256"/>
      <c r="AH190" s="256"/>
      <c r="AI190" s="256"/>
      <c r="AJ190" s="256"/>
      <c r="AK190" s="256"/>
      <c r="AL190" s="256"/>
      <c r="AM190" s="256"/>
      <c r="AN190" s="256"/>
      <c r="AO190" s="256"/>
      <c r="AP190" s="256"/>
      <c r="AQ190" s="256"/>
      <c r="AR190" s="256"/>
      <c r="AS190" s="256"/>
      <c r="AT190" s="256"/>
      <c r="AU190" s="256"/>
      <c r="AV190" s="256"/>
      <c r="AW190" s="256"/>
      <c r="AX190" s="256"/>
      <c r="AY190" s="256"/>
      <c r="AZ190" s="256"/>
      <c r="BA190" s="256"/>
      <c r="BB190" s="256"/>
      <c r="BC190" s="256"/>
      <c r="BD190" s="256"/>
      <c r="BE190" s="256"/>
      <c r="BF190" s="256"/>
      <c r="BG190" s="256"/>
      <c r="BH190" s="256"/>
      <c r="BI190" s="256"/>
      <c r="BJ190" s="256"/>
      <c r="BK190" s="256"/>
      <c r="BL190" s="256"/>
      <c r="BM190" s="256"/>
      <c r="BN190" s="256"/>
      <c r="BO190" s="256"/>
      <c r="BP190" s="256"/>
      <c r="BQ190" s="256"/>
      <c r="BR190" s="256"/>
      <c r="BS190" s="256"/>
      <c r="BT190" s="256"/>
      <c r="BU190" s="256"/>
      <c r="BV190" s="256"/>
      <c r="BW190" s="256"/>
      <c r="BX190" s="256"/>
      <c r="BY190" s="256"/>
      <c r="BZ190" s="256"/>
    </row>
    <row r="191" spans="1:78" ht="17.25" hidden="1" customHeight="1" x14ac:dyDescent="0.25">
      <c r="A191" s="256"/>
      <c r="B191" s="256"/>
      <c r="C191" s="256"/>
      <c r="D191" s="256"/>
      <c r="E191" s="256"/>
      <c r="F191" s="256"/>
      <c r="G191" s="256"/>
      <c r="H191" s="256"/>
      <c r="I191" s="256"/>
      <c r="J191" s="256"/>
      <c r="K191" s="256"/>
      <c r="L191" s="256"/>
      <c r="M191" s="256"/>
      <c r="N191" s="256"/>
      <c r="O191" s="256"/>
      <c r="P191" s="256"/>
      <c r="Q191" s="256"/>
      <c r="R191" s="256"/>
      <c r="S191" s="256"/>
      <c r="T191" s="256"/>
      <c r="U191" s="256"/>
      <c r="V191" s="256"/>
      <c r="W191" s="256"/>
      <c r="X191" s="256"/>
      <c r="Y191" s="256"/>
      <c r="Z191" s="256"/>
      <c r="AA191" s="256"/>
      <c r="AB191" s="256"/>
      <c r="AC191" s="256"/>
      <c r="AD191" s="256"/>
      <c r="AE191" s="256"/>
      <c r="AF191" s="256"/>
      <c r="AG191" s="256"/>
      <c r="AH191" s="256"/>
      <c r="AI191" s="256"/>
      <c r="AJ191" s="256"/>
      <c r="AK191" s="256"/>
      <c r="AL191" s="256"/>
      <c r="AM191" s="256"/>
      <c r="AN191" s="256"/>
      <c r="AO191" s="256"/>
      <c r="AP191" s="256"/>
      <c r="AQ191" s="256"/>
      <c r="AR191" s="256"/>
      <c r="AS191" s="256"/>
      <c r="AT191" s="256"/>
      <c r="AU191" s="256"/>
      <c r="AV191" s="256"/>
      <c r="AW191" s="256"/>
      <c r="AX191" s="256"/>
      <c r="AY191" s="256"/>
      <c r="AZ191" s="256"/>
      <c r="BA191" s="256"/>
      <c r="BB191" s="256"/>
      <c r="BC191" s="256"/>
      <c r="BD191" s="256"/>
      <c r="BE191" s="256"/>
      <c r="BF191" s="256"/>
      <c r="BG191" s="256"/>
      <c r="BH191" s="256"/>
      <c r="BI191" s="256"/>
      <c r="BJ191" s="256"/>
      <c r="BK191" s="256"/>
      <c r="BL191" s="256"/>
      <c r="BM191" s="256"/>
      <c r="BN191" s="256"/>
      <c r="BO191" s="256"/>
      <c r="BP191" s="256"/>
      <c r="BQ191" s="256"/>
      <c r="BR191" s="256"/>
      <c r="BS191" s="256"/>
      <c r="BT191" s="256"/>
      <c r="BU191" s="256"/>
      <c r="BV191" s="256"/>
      <c r="BW191" s="256"/>
      <c r="BX191" s="256"/>
      <c r="BY191" s="256"/>
      <c r="BZ191" s="256"/>
    </row>
    <row r="192" spans="1:78" ht="17.25" hidden="1" customHeight="1" x14ac:dyDescent="0.25">
      <c r="A192" s="256"/>
      <c r="B192" s="256"/>
      <c r="C192" s="256"/>
      <c r="D192" s="256"/>
      <c r="E192" s="256"/>
      <c r="F192" s="256"/>
      <c r="G192" s="256"/>
      <c r="H192" s="256"/>
      <c r="I192" s="256"/>
      <c r="J192" s="256"/>
      <c r="K192" s="256"/>
      <c r="L192" s="256"/>
      <c r="M192" s="256"/>
      <c r="N192" s="256"/>
      <c r="O192" s="256"/>
      <c r="P192" s="256"/>
      <c r="Q192" s="256"/>
      <c r="R192" s="256"/>
      <c r="S192" s="256"/>
      <c r="T192" s="256"/>
      <c r="U192" s="256"/>
      <c r="V192" s="256"/>
      <c r="W192" s="256"/>
      <c r="X192" s="256"/>
      <c r="Y192" s="256"/>
      <c r="Z192" s="256"/>
      <c r="AA192" s="256"/>
      <c r="AB192" s="256"/>
      <c r="AC192" s="256"/>
      <c r="AD192" s="256"/>
      <c r="AE192" s="256"/>
      <c r="AF192" s="256"/>
      <c r="AG192" s="256"/>
      <c r="AH192" s="256"/>
      <c r="AI192" s="256"/>
      <c r="AJ192" s="256"/>
      <c r="AK192" s="256"/>
      <c r="AL192" s="256"/>
      <c r="AM192" s="256"/>
      <c r="AN192" s="256"/>
      <c r="AO192" s="256"/>
      <c r="AP192" s="256"/>
      <c r="AQ192" s="256"/>
      <c r="AR192" s="256"/>
      <c r="AS192" s="256"/>
      <c r="AT192" s="256"/>
      <c r="AU192" s="256"/>
      <c r="AV192" s="256"/>
      <c r="AW192" s="256"/>
      <c r="AX192" s="256"/>
      <c r="AY192" s="256"/>
      <c r="AZ192" s="256"/>
      <c r="BA192" s="256"/>
      <c r="BB192" s="256"/>
      <c r="BC192" s="256"/>
      <c r="BD192" s="256"/>
      <c r="BE192" s="256"/>
      <c r="BF192" s="256"/>
      <c r="BG192" s="256"/>
      <c r="BH192" s="256"/>
      <c r="BI192" s="256"/>
      <c r="BJ192" s="256"/>
      <c r="BK192" s="256"/>
      <c r="BL192" s="256"/>
      <c r="BM192" s="256"/>
      <c r="BN192" s="256"/>
      <c r="BO192" s="256"/>
      <c r="BP192" s="256"/>
      <c r="BQ192" s="256"/>
      <c r="BR192" s="256"/>
      <c r="BS192" s="256"/>
      <c r="BT192" s="256"/>
      <c r="BU192" s="256"/>
      <c r="BV192" s="256"/>
      <c r="BW192" s="256"/>
      <c r="BX192" s="256"/>
      <c r="BY192" s="256"/>
      <c r="BZ192" s="256"/>
    </row>
    <row r="193" spans="1:78" ht="17.25" hidden="1" customHeight="1" x14ac:dyDescent="0.25">
      <c r="A193" s="256"/>
      <c r="B193" s="256"/>
      <c r="C193" s="256"/>
      <c r="D193" s="256"/>
      <c r="E193" s="256"/>
      <c r="F193" s="256"/>
      <c r="G193" s="256"/>
      <c r="H193" s="256"/>
      <c r="I193" s="256"/>
      <c r="J193" s="256"/>
      <c r="K193" s="256"/>
      <c r="L193" s="256"/>
      <c r="M193" s="256"/>
      <c r="N193" s="256"/>
      <c r="O193" s="256"/>
      <c r="P193" s="256"/>
      <c r="Q193" s="256"/>
      <c r="R193" s="256"/>
      <c r="S193" s="256"/>
      <c r="T193" s="256"/>
      <c r="U193" s="256"/>
      <c r="V193" s="256"/>
      <c r="W193" s="256"/>
      <c r="X193" s="256"/>
      <c r="Y193" s="256"/>
      <c r="Z193" s="256"/>
      <c r="AA193" s="256"/>
      <c r="AB193" s="256"/>
      <c r="AC193" s="256"/>
      <c r="AD193" s="256"/>
      <c r="AE193" s="256"/>
      <c r="AF193" s="256"/>
      <c r="AG193" s="256"/>
      <c r="AH193" s="256"/>
      <c r="AI193" s="256"/>
      <c r="AJ193" s="256"/>
      <c r="AK193" s="256"/>
      <c r="AL193" s="256"/>
      <c r="AM193" s="256"/>
      <c r="AN193" s="256"/>
      <c r="AO193" s="256"/>
      <c r="AP193" s="256"/>
      <c r="AQ193" s="256"/>
      <c r="AR193" s="256"/>
      <c r="AS193" s="256"/>
      <c r="AT193" s="256"/>
      <c r="AU193" s="256"/>
      <c r="AV193" s="256"/>
      <c r="AW193" s="256"/>
      <c r="AX193" s="256"/>
      <c r="AY193" s="256"/>
      <c r="AZ193" s="256"/>
      <c r="BA193" s="256"/>
      <c r="BB193" s="256"/>
      <c r="BC193" s="256"/>
      <c r="BD193" s="256"/>
      <c r="BE193" s="256"/>
      <c r="BF193" s="256"/>
      <c r="BG193" s="256"/>
      <c r="BH193" s="256"/>
      <c r="BI193" s="256"/>
      <c r="BJ193" s="256"/>
      <c r="BK193" s="256"/>
      <c r="BL193" s="256"/>
      <c r="BM193" s="256"/>
      <c r="BN193" s="256"/>
      <c r="BO193" s="256"/>
      <c r="BP193" s="256"/>
      <c r="BQ193" s="256"/>
      <c r="BR193" s="256"/>
      <c r="BS193" s="256"/>
      <c r="BT193" s="256"/>
      <c r="BU193" s="256"/>
      <c r="BV193" s="256"/>
      <c r="BW193" s="256"/>
      <c r="BX193" s="256"/>
      <c r="BY193" s="256"/>
      <c r="BZ193" s="256"/>
    </row>
    <row r="194" spans="1:78" ht="17.25" hidden="1" customHeight="1" x14ac:dyDescent="0.25">
      <c r="A194" s="256"/>
      <c r="B194" s="256"/>
      <c r="C194" s="256"/>
      <c r="D194" s="256"/>
      <c r="E194" s="256"/>
      <c r="F194" s="256"/>
      <c r="G194" s="256"/>
      <c r="H194" s="256"/>
      <c r="I194" s="256"/>
      <c r="J194" s="256"/>
      <c r="K194" s="256"/>
      <c r="L194" s="256"/>
      <c r="M194" s="256"/>
      <c r="N194" s="256"/>
      <c r="O194" s="256"/>
      <c r="P194" s="256"/>
      <c r="Q194" s="256"/>
      <c r="R194" s="256"/>
      <c r="S194" s="256"/>
      <c r="T194" s="256"/>
      <c r="U194" s="256"/>
      <c r="V194" s="256"/>
      <c r="W194" s="256"/>
      <c r="X194" s="256"/>
      <c r="Y194" s="256"/>
      <c r="Z194" s="256"/>
      <c r="AA194" s="256"/>
      <c r="AB194" s="256"/>
      <c r="AC194" s="256"/>
      <c r="AD194" s="256"/>
      <c r="AE194" s="256"/>
      <c r="AF194" s="256"/>
      <c r="AG194" s="256"/>
      <c r="AH194" s="256"/>
      <c r="AI194" s="256"/>
      <c r="AJ194" s="256"/>
      <c r="AK194" s="256"/>
      <c r="AL194" s="256"/>
      <c r="AM194" s="256"/>
      <c r="AN194" s="256"/>
      <c r="AO194" s="256"/>
      <c r="AP194" s="256"/>
      <c r="AQ194" s="256"/>
      <c r="AR194" s="256"/>
      <c r="AS194" s="256"/>
      <c r="AT194" s="256"/>
      <c r="AU194" s="256"/>
      <c r="AV194" s="256"/>
      <c r="AW194" s="256"/>
      <c r="AX194" s="256"/>
      <c r="AY194" s="256"/>
      <c r="AZ194" s="256"/>
      <c r="BA194" s="256"/>
      <c r="BB194" s="256"/>
      <c r="BC194" s="256"/>
      <c r="BD194" s="256"/>
      <c r="BE194" s="256"/>
      <c r="BF194" s="256"/>
      <c r="BG194" s="256"/>
      <c r="BH194" s="256"/>
      <c r="BI194" s="256"/>
      <c r="BJ194" s="256"/>
      <c r="BK194" s="256"/>
      <c r="BL194" s="256"/>
      <c r="BM194" s="256"/>
      <c r="BN194" s="256"/>
      <c r="BO194" s="256"/>
      <c r="BP194" s="256"/>
      <c r="BQ194" s="256"/>
      <c r="BR194" s="256"/>
      <c r="BS194" s="256"/>
      <c r="BT194" s="256"/>
      <c r="BU194" s="256"/>
      <c r="BV194" s="256"/>
      <c r="BW194" s="256"/>
      <c r="BX194" s="256"/>
      <c r="BY194" s="256"/>
      <c r="BZ194" s="256"/>
    </row>
    <row r="195" spans="1:78" ht="17.25" hidden="1" customHeight="1" x14ac:dyDescent="0.25">
      <c r="A195" s="256"/>
      <c r="B195" s="256"/>
      <c r="C195" s="256"/>
      <c r="D195" s="256"/>
      <c r="E195" s="256"/>
      <c r="F195" s="256"/>
      <c r="G195" s="256"/>
      <c r="H195" s="256"/>
      <c r="I195" s="256"/>
      <c r="J195" s="256"/>
      <c r="K195" s="256"/>
      <c r="L195" s="256"/>
      <c r="M195" s="256"/>
      <c r="N195" s="256"/>
      <c r="O195" s="256"/>
      <c r="P195" s="256"/>
      <c r="Q195" s="256"/>
      <c r="R195" s="256"/>
      <c r="S195" s="256"/>
      <c r="T195" s="256"/>
      <c r="U195" s="256"/>
      <c r="V195" s="256"/>
      <c r="W195" s="256"/>
      <c r="X195" s="256"/>
      <c r="Y195" s="256"/>
      <c r="Z195" s="256"/>
      <c r="AA195" s="256"/>
      <c r="AB195" s="256"/>
      <c r="AC195" s="256"/>
      <c r="AD195" s="256"/>
      <c r="AE195" s="256"/>
      <c r="AF195" s="256"/>
      <c r="AG195" s="256"/>
      <c r="AH195" s="256"/>
      <c r="AI195" s="256"/>
      <c r="AJ195" s="256"/>
      <c r="AK195" s="256"/>
      <c r="AL195" s="256"/>
      <c r="AM195" s="256"/>
      <c r="AN195" s="256"/>
      <c r="AO195" s="256"/>
      <c r="AP195" s="256"/>
      <c r="AQ195" s="256"/>
      <c r="AR195" s="256"/>
      <c r="AS195" s="256"/>
      <c r="AT195" s="256"/>
      <c r="AU195" s="256"/>
      <c r="AV195" s="256"/>
      <c r="AW195" s="256"/>
      <c r="AX195" s="256"/>
      <c r="AY195" s="256"/>
      <c r="AZ195" s="256"/>
      <c r="BA195" s="256"/>
      <c r="BB195" s="256"/>
      <c r="BC195" s="256"/>
      <c r="BD195" s="256"/>
      <c r="BE195" s="256"/>
      <c r="BF195" s="256"/>
      <c r="BG195" s="256"/>
      <c r="BH195" s="256"/>
      <c r="BI195" s="256"/>
      <c r="BJ195" s="256"/>
      <c r="BK195" s="256"/>
      <c r="BL195" s="256"/>
      <c r="BM195" s="256"/>
      <c r="BN195" s="256"/>
      <c r="BO195" s="256"/>
      <c r="BP195" s="256"/>
      <c r="BQ195" s="256"/>
      <c r="BR195" s="256"/>
      <c r="BS195" s="256"/>
      <c r="BT195" s="256"/>
      <c r="BU195" s="256"/>
      <c r="BV195" s="256"/>
      <c r="BW195" s="256"/>
      <c r="BX195" s="256"/>
      <c r="BY195" s="256"/>
      <c r="BZ195" s="256"/>
    </row>
    <row r="196" spans="1:78" ht="17.25" hidden="1" customHeight="1" x14ac:dyDescent="0.25">
      <c r="A196" s="256"/>
      <c r="B196" s="256"/>
      <c r="C196" s="256"/>
      <c r="D196" s="256"/>
      <c r="E196" s="256"/>
      <c r="F196" s="256"/>
      <c r="G196" s="256"/>
      <c r="H196" s="256"/>
      <c r="I196" s="256"/>
      <c r="J196" s="256"/>
      <c r="K196" s="256"/>
      <c r="L196" s="256"/>
      <c r="M196" s="256"/>
      <c r="N196" s="256"/>
      <c r="O196" s="256"/>
      <c r="P196" s="256"/>
      <c r="Q196" s="256"/>
      <c r="R196" s="256"/>
      <c r="S196" s="256"/>
      <c r="T196" s="256"/>
      <c r="U196" s="256"/>
      <c r="V196" s="256"/>
      <c r="W196" s="256"/>
      <c r="X196" s="256"/>
      <c r="Y196" s="256"/>
      <c r="Z196" s="256"/>
      <c r="AA196" s="256"/>
      <c r="AB196" s="256"/>
      <c r="AC196" s="256"/>
      <c r="AD196" s="256"/>
      <c r="AE196" s="256"/>
      <c r="AF196" s="256"/>
      <c r="AG196" s="256"/>
      <c r="AH196" s="256"/>
      <c r="AI196" s="256"/>
      <c r="AJ196" s="256"/>
      <c r="AK196" s="256"/>
      <c r="AL196" s="256"/>
      <c r="AM196" s="256"/>
      <c r="AN196" s="256"/>
      <c r="AO196" s="256"/>
      <c r="AP196" s="256"/>
      <c r="AQ196" s="256"/>
      <c r="AR196" s="256"/>
      <c r="AS196" s="256"/>
      <c r="AT196" s="256"/>
      <c r="AU196" s="256"/>
      <c r="AV196" s="256"/>
      <c r="AW196" s="256"/>
      <c r="AX196" s="256"/>
      <c r="AY196" s="256"/>
      <c r="AZ196" s="256"/>
      <c r="BA196" s="256"/>
      <c r="BB196" s="256"/>
      <c r="BC196" s="256"/>
      <c r="BD196" s="256"/>
      <c r="BE196" s="256"/>
      <c r="BF196" s="256"/>
      <c r="BG196" s="256"/>
      <c r="BH196" s="256"/>
      <c r="BI196" s="256"/>
      <c r="BJ196" s="256"/>
      <c r="BK196" s="256"/>
      <c r="BL196" s="256"/>
      <c r="BM196" s="256"/>
      <c r="BN196" s="256"/>
      <c r="BO196" s="256"/>
      <c r="BP196" s="256"/>
      <c r="BQ196" s="256"/>
      <c r="BR196" s="256"/>
      <c r="BS196" s="256"/>
      <c r="BT196" s="256"/>
      <c r="BU196" s="256"/>
      <c r="BV196" s="256"/>
      <c r="BW196" s="256"/>
      <c r="BX196" s="256"/>
      <c r="BY196" s="256"/>
      <c r="BZ196" s="256"/>
    </row>
    <row r="197" spans="1:78" ht="17.25" hidden="1" customHeight="1" x14ac:dyDescent="0.25">
      <c r="A197" s="256"/>
      <c r="B197" s="256"/>
      <c r="C197" s="256"/>
      <c r="D197" s="256"/>
      <c r="E197" s="256"/>
      <c r="F197" s="256"/>
      <c r="G197" s="256"/>
      <c r="H197" s="256"/>
      <c r="I197" s="256"/>
      <c r="J197" s="256"/>
      <c r="K197" s="256"/>
      <c r="L197" s="256"/>
      <c r="M197" s="256"/>
      <c r="N197" s="256"/>
      <c r="O197" s="256"/>
      <c r="P197" s="256"/>
      <c r="Q197" s="256"/>
      <c r="R197" s="256"/>
      <c r="S197" s="256"/>
      <c r="T197" s="256"/>
      <c r="U197" s="256"/>
      <c r="V197" s="256"/>
      <c r="W197" s="256"/>
      <c r="X197" s="256"/>
      <c r="Y197" s="256"/>
      <c r="Z197" s="256"/>
      <c r="AA197" s="256"/>
      <c r="AB197" s="256"/>
      <c r="AC197" s="256"/>
      <c r="AD197" s="256"/>
      <c r="AE197" s="256"/>
      <c r="AF197" s="256"/>
      <c r="AG197" s="256"/>
      <c r="AH197" s="256"/>
      <c r="AI197" s="256"/>
      <c r="AJ197" s="256"/>
      <c r="AK197" s="256"/>
      <c r="AL197" s="256"/>
      <c r="AM197" s="256"/>
      <c r="AN197" s="256"/>
      <c r="AO197" s="256"/>
      <c r="AP197" s="256"/>
      <c r="AQ197" s="256"/>
      <c r="AR197" s="256"/>
      <c r="AS197" s="256"/>
      <c r="AT197" s="256"/>
      <c r="AU197" s="256"/>
      <c r="AV197" s="256"/>
      <c r="AW197" s="256"/>
      <c r="AX197" s="256"/>
      <c r="AY197" s="256"/>
      <c r="AZ197" s="256"/>
      <c r="BA197" s="256"/>
      <c r="BB197" s="256"/>
      <c r="BC197" s="256"/>
      <c r="BD197" s="256"/>
      <c r="BE197" s="256"/>
      <c r="BF197" s="256"/>
      <c r="BG197" s="256"/>
      <c r="BH197" s="256"/>
      <c r="BI197" s="256"/>
      <c r="BJ197" s="256"/>
      <c r="BK197" s="256"/>
      <c r="BL197" s="256"/>
      <c r="BM197" s="256"/>
      <c r="BN197" s="256"/>
      <c r="BO197" s="256"/>
      <c r="BP197" s="256"/>
      <c r="BQ197" s="256"/>
      <c r="BR197" s="256"/>
      <c r="BS197" s="256"/>
      <c r="BT197" s="256"/>
      <c r="BU197" s="256"/>
      <c r="BV197" s="256"/>
      <c r="BW197" s="256"/>
      <c r="BX197" s="256"/>
      <c r="BY197" s="256"/>
      <c r="BZ197" s="256"/>
    </row>
    <row r="198" spans="1:78" ht="17.25" hidden="1" customHeight="1" x14ac:dyDescent="0.25">
      <c r="A198" s="256"/>
      <c r="B198" s="256"/>
      <c r="C198" s="256"/>
      <c r="D198" s="256"/>
      <c r="E198" s="256"/>
      <c r="F198" s="256"/>
      <c r="G198" s="256"/>
      <c r="H198" s="256"/>
      <c r="I198" s="256"/>
      <c r="J198" s="256"/>
      <c r="K198" s="256"/>
      <c r="L198" s="256"/>
      <c r="M198" s="256"/>
      <c r="N198" s="256"/>
      <c r="O198" s="256"/>
      <c r="P198" s="256"/>
      <c r="Q198" s="256"/>
      <c r="R198" s="256"/>
      <c r="S198" s="256"/>
      <c r="T198" s="256"/>
      <c r="U198" s="256"/>
      <c r="V198" s="256"/>
      <c r="W198" s="256"/>
      <c r="X198" s="256"/>
      <c r="Y198" s="256"/>
      <c r="Z198" s="256"/>
      <c r="AA198" s="256"/>
      <c r="AB198" s="256"/>
      <c r="AC198" s="256"/>
      <c r="AD198" s="256"/>
      <c r="AE198" s="256"/>
      <c r="AF198" s="256"/>
      <c r="AG198" s="256"/>
      <c r="AH198" s="256"/>
      <c r="AI198" s="256"/>
      <c r="AJ198" s="256"/>
      <c r="AK198" s="256"/>
      <c r="AL198" s="256"/>
      <c r="AM198" s="256"/>
      <c r="AN198" s="256"/>
      <c r="AO198" s="256"/>
      <c r="AP198" s="256"/>
      <c r="AQ198" s="256"/>
      <c r="AR198" s="256"/>
      <c r="AS198" s="256"/>
      <c r="AT198" s="256"/>
      <c r="AU198" s="256"/>
      <c r="AV198" s="256"/>
      <c r="AW198" s="256"/>
      <c r="AX198" s="256"/>
      <c r="AY198" s="256"/>
      <c r="AZ198" s="256"/>
      <c r="BA198" s="256"/>
      <c r="BB198" s="256"/>
      <c r="BC198" s="256"/>
      <c r="BD198" s="256"/>
      <c r="BE198" s="256"/>
      <c r="BF198" s="256"/>
      <c r="BG198" s="256"/>
      <c r="BH198" s="256"/>
      <c r="BI198" s="256"/>
      <c r="BJ198" s="256"/>
      <c r="BK198" s="256"/>
      <c r="BL198" s="256"/>
      <c r="BM198" s="256"/>
      <c r="BN198" s="256"/>
      <c r="BO198" s="256"/>
      <c r="BP198" s="256"/>
      <c r="BQ198" s="256"/>
      <c r="BR198" s="256"/>
      <c r="BS198" s="256"/>
      <c r="BT198" s="256"/>
      <c r="BU198" s="256"/>
      <c r="BV198" s="256"/>
      <c r="BW198" s="256"/>
      <c r="BX198" s="256"/>
      <c r="BY198" s="256"/>
      <c r="BZ198" s="256"/>
    </row>
    <row r="199" spans="1:78" ht="17.25" hidden="1" customHeight="1" x14ac:dyDescent="0.25">
      <c r="A199" s="256"/>
      <c r="B199" s="256"/>
      <c r="C199" s="256"/>
      <c r="D199" s="256"/>
      <c r="E199" s="256"/>
      <c r="F199" s="256"/>
      <c r="G199" s="256"/>
      <c r="H199" s="256"/>
      <c r="I199" s="256"/>
      <c r="J199" s="256"/>
      <c r="K199" s="256"/>
      <c r="L199" s="256"/>
      <c r="M199" s="256"/>
      <c r="N199" s="256"/>
      <c r="O199" s="256"/>
      <c r="P199" s="256"/>
      <c r="Q199" s="256"/>
      <c r="R199" s="256"/>
      <c r="S199" s="256"/>
      <c r="T199" s="256"/>
      <c r="U199" s="256"/>
      <c r="V199" s="256"/>
      <c r="W199" s="256"/>
      <c r="X199" s="256"/>
      <c r="Y199" s="256"/>
      <c r="Z199" s="256"/>
      <c r="AA199" s="256"/>
      <c r="AB199" s="256"/>
      <c r="AC199" s="256"/>
      <c r="AD199" s="256"/>
      <c r="AE199" s="256"/>
      <c r="AF199" s="256"/>
      <c r="AG199" s="256"/>
      <c r="AH199" s="256"/>
      <c r="AI199" s="256"/>
      <c r="AJ199" s="256"/>
      <c r="AK199" s="256"/>
      <c r="AL199" s="256"/>
      <c r="AM199" s="256"/>
      <c r="AN199" s="256"/>
      <c r="AO199" s="256"/>
      <c r="AP199" s="256"/>
      <c r="AQ199" s="256"/>
      <c r="AR199" s="256"/>
      <c r="AS199" s="256"/>
      <c r="AT199" s="256"/>
      <c r="AU199" s="256"/>
      <c r="AV199" s="256"/>
      <c r="AW199" s="256"/>
      <c r="AX199" s="256"/>
      <c r="AY199" s="256"/>
      <c r="AZ199" s="256"/>
      <c r="BA199" s="256"/>
      <c r="BB199" s="256"/>
      <c r="BC199" s="256"/>
      <c r="BD199" s="256"/>
      <c r="BE199" s="256"/>
      <c r="BF199" s="256"/>
      <c r="BG199" s="256"/>
      <c r="BH199" s="256"/>
      <c r="BI199" s="256"/>
      <c r="BJ199" s="256"/>
      <c r="BK199" s="256"/>
      <c r="BL199" s="256"/>
      <c r="BM199" s="256"/>
      <c r="BN199" s="256"/>
      <c r="BO199" s="256"/>
      <c r="BP199" s="256"/>
      <c r="BQ199" s="256"/>
      <c r="BR199" s="256"/>
      <c r="BS199" s="256"/>
      <c r="BT199" s="256"/>
      <c r="BU199" s="256"/>
      <c r="BV199" s="256"/>
      <c r="BW199" s="256"/>
      <c r="BX199" s="256"/>
      <c r="BY199" s="256"/>
      <c r="BZ199" s="256"/>
    </row>
    <row r="200" spans="1:78" ht="17.25" hidden="1" customHeight="1" x14ac:dyDescent="0.25">
      <c r="A200" s="256"/>
      <c r="B200" s="256"/>
      <c r="C200" s="256"/>
      <c r="D200" s="256"/>
      <c r="E200" s="256"/>
      <c r="F200" s="256"/>
      <c r="G200" s="256"/>
      <c r="H200" s="256"/>
      <c r="I200" s="256"/>
      <c r="J200" s="256"/>
      <c r="K200" s="256"/>
      <c r="L200" s="256"/>
      <c r="M200" s="256"/>
      <c r="N200" s="256"/>
      <c r="O200" s="256"/>
      <c r="P200" s="256"/>
      <c r="Q200" s="256"/>
      <c r="R200" s="256"/>
      <c r="S200" s="256"/>
      <c r="T200" s="256"/>
      <c r="U200" s="256"/>
      <c r="V200" s="256"/>
      <c r="W200" s="256"/>
      <c r="X200" s="256"/>
      <c r="Y200" s="256"/>
      <c r="Z200" s="256"/>
      <c r="AA200" s="256"/>
      <c r="AB200" s="256"/>
      <c r="AC200" s="256"/>
      <c r="AD200" s="256"/>
      <c r="AE200" s="256"/>
      <c r="AF200" s="256"/>
      <c r="AG200" s="256"/>
      <c r="AH200" s="256"/>
      <c r="AI200" s="256"/>
      <c r="AJ200" s="256"/>
      <c r="AK200" s="256"/>
      <c r="AL200" s="256"/>
      <c r="AM200" s="256"/>
      <c r="AN200" s="256"/>
      <c r="AO200" s="256"/>
      <c r="AP200" s="256"/>
      <c r="AQ200" s="256"/>
      <c r="AR200" s="256"/>
      <c r="AS200" s="256"/>
      <c r="AT200" s="256"/>
      <c r="AU200" s="256"/>
      <c r="AV200" s="256"/>
      <c r="AW200" s="256"/>
      <c r="AX200" s="256"/>
      <c r="AY200" s="256"/>
      <c r="AZ200" s="256"/>
      <c r="BA200" s="256"/>
      <c r="BB200" s="256"/>
      <c r="BC200" s="256"/>
      <c r="BD200" s="256"/>
      <c r="BE200" s="256"/>
      <c r="BF200" s="256"/>
      <c r="BG200" s="256"/>
      <c r="BH200" s="256"/>
      <c r="BI200" s="256"/>
      <c r="BJ200" s="256"/>
      <c r="BK200" s="256"/>
      <c r="BL200" s="256"/>
      <c r="BM200" s="256"/>
      <c r="BN200" s="256"/>
      <c r="BO200" s="256"/>
      <c r="BP200" s="256"/>
      <c r="BQ200" s="256"/>
      <c r="BR200" s="256"/>
      <c r="BS200" s="256"/>
      <c r="BT200" s="256"/>
      <c r="BU200" s="256"/>
      <c r="BV200" s="256"/>
      <c r="BW200" s="256"/>
      <c r="BX200" s="256"/>
      <c r="BY200" s="256"/>
      <c r="BZ200" s="256"/>
    </row>
    <row r="201" spans="1:78" ht="17.25" customHeight="1" x14ac:dyDescent="0.25">
      <c r="A201" s="256"/>
      <c r="B201" s="256"/>
      <c r="C201" s="256"/>
      <c r="D201" s="256"/>
      <c r="E201" s="256"/>
      <c r="F201" s="256"/>
      <c r="G201" s="256"/>
      <c r="H201" s="256"/>
      <c r="I201" s="256"/>
      <c r="J201" s="256"/>
      <c r="K201" s="256"/>
      <c r="L201" s="256"/>
      <c r="M201" s="256"/>
      <c r="N201" s="256"/>
      <c r="O201" s="256"/>
      <c r="P201" s="256"/>
      <c r="Q201" s="256"/>
      <c r="R201" s="256"/>
      <c r="S201" s="256"/>
      <c r="T201" s="256"/>
      <c r="U201" s="256"/>
      <c r="V201" s="256"/>
      <c r="W201" s="256"/>
      <c r="X201" s="256"/>
      <c r="Y201" s="256"/>
      <c r="Z201" s="256"/>
      <c r="AA201" s="256"/>
      <c r="AB201" s="256"/>
      <c r="AC201" s="256"/>
      <c r="AD201" s="256"/>
      <c r="AE201" s="256"/>
      <c r="AF201" s="256"/>
      <c r="AG201" s="256"/>
      <c r="AH201" s="256"/>
      <c r="AI201" s="256"/>
      <c r="AJ201" s="256"/>
      <c r="AK201" s="256"/>
      <c r="AL201" s="256"/>
      <c r="AM201" s="256"/>
      <c r="AN201" s="256"/>
      <c r="AO201" s="256"/>
      <c r="AP201" s="256"/>
      <c r="AQ201" s="256"/>
      <c r="AR201" s="256"/>
      <c r="AS201" s="256"/>
      <c r="AT201" s="256"/>
      <c r="AU201" s="256"/>
      <c r="AV201" s="256"/>
      <c r="AW201" s="256"/>
      <c r="AX201" s="256"/>
      <c r="AY201" s="256"/>
      <c r="AZ201" s="256"/>
      <c r="BA201" s="256"/>
      <c r="BB201" s="256"/>
      <c r="BC201" s="256"/>
      <c r="BD201" s="256"/>
      <c r="BE201" s="256"/>
      <c r="BF201" s="256"/>
      <c r="BG201" s="256"/>
      <c r="BH201" s="256"/>
      <c r="BI201" s="256"/>
      <c r="BJ201" s="256"/>
      <c r="BK201" s="256"/>
      <c r="BL201" s="256"/>
      <c r="BM201" s="256"/>
      <c r="BN201" s="256"/>
      <c r="BO201" s="256"/>
      <c r="BP201" s="256"/>
      <c r="BQ201" s="256"/>
      <c r="BR201" s="256"/>
      <c r="BS201" s="256"/>
      <c r="BT201" s="256"/>
      <c r="BU201" s="256"/>
      <c r="BV201" s="256"/>
      <c r="BW201" s="256"/>
      <c r="BX201" s="256"/>
      <c r="BY201" s="256"/>
      <c r="BZ201" s="256"/>
    </row>
    <row r="202" spans="1:78" ht="17.25" customHeight="1" x14ac:dyDescent="0.25">
      <c r="A202" s="256"/>
      <c r="B202" s="256"/>
      <c r="C202" s="256"/>
      <c r="D202" s="256"/>
      <c r="E202" s="256"/>
      <c r="F202" s="256"/>
      <c r="G202" s="256"/>
      <c r="H202" s="256"/>
      <c r="I202" s="256"/>
      <c r="J202" s="256"/>
      <c r="K202" s="256"/>
      <c r="L202" s="256"/>
      <c r="M202" s="256"/>
      <c r="N202" s="256"/>
      <c r="O202" s="256"/>
      <c r="P202" s="256"/>
      <c r="Q202" s="256"/>
      <c r="R202" s="256"/>
      <c r="S202" s="256"/>
      <c r="T202" s="256"/>
      <c r="U202" s="256"/>
      <c r="V202" s="256"/>
      <c r="W202" s="256"/>
      <c r="X202" s="256"/>
      <c r="Y202" s="256"/>
      <c r="Z202" s="256"/>
      <c r="AA202" s="256"/>
      <c r="AB202" s="256"/>
      <c r="AC202" s="256"/>
      <c r="AD202" s="256"/>
      <c r="AE202" s="256"/>
      <c r="AF202" s="256"/>
      <c r="AG202" s="256"/>
      <c r="AH202" s="256"/>
      <c r="AI202" s="256"/>
      <c r="AJ202" s="256"/>
      <c r="AK202" s="256"/>
      <c r="AL202" s="256"/>
      <c r="AM202" s="256"/>
      <c r="AN202" s="256"/>
      <c r="AO202" s="256"/>
      <c r="AP202" s="256"/>
      <c r="AQ202" s="256"/>
      <c r="AR202" s="256"/>
      <c r="AS202" s="256"/>
      <c r="AT202" s="256"/>
      <c r="AU202" s="256"/>
      <c r="AV202" s="256"/>
      <c r="AW202" s="256"/>
      <c r="AX202" s="256"/>
      <c r="AY202" s="256"/>
      <c r="AZ202" s="256"/>
      <c r="BA202" s="256"/>
      <c r="BB202" s="256"/>
      <c r="BC202" s="256"/>
      <c r="BD202" s="256"/>
      <c r="BE202" s="256"/>
      <c r="BF202" s="256"/>
      <c r="BG202" s="256"/>
      <c r="BH202" s="256"/>
      <c r="BI202" s="256"/>
      <c r="BJ202" s="256"/>
      <c r="BK202" s="256"/>
      <c r="BL202" s="256"/>
      <c r="BM202" s="256"/>
      <c r="BN202" s="256"/>
      <c r="BO202" s="256"/>
      <c r="BP202" s="256"/>
      <c r="BQ202" s="256"/>
      <c r="BR202" s="256"/>
      <c r="BS202" s="256"/>
      <c r="BT202" s="256"/>
      <c r="BU202" s="256"/>
      <c r="BV202" s="256"/>
      <c r="BW202" s="256"/>
      <c r="BX202" s="256"/>
      <c r="BY202" s="256"/>
      <c r="BZ202" s="256"/>
    </row>
    <row r="203" spans="1:78" ht="17.25" customHeight="1" x14ac:dyDescent="0.25">
      <c r="A203" s="256"/>
      <c r="B203" s="256"/>
      <c r="C203" s="256"/>
      <c r="D203" s="256"/>
      <c r="E203" s="256"/>
      <c r="F203" s="256"/>
      <c r="G203" s="256"/>
      <c r="H203" s="256"/>
      <c r="I203" s="256"/>
      <c r="J203" s="256"/>
      <c r="K203" s="256"/>
      <c r="L203" s="256"/>
      <c r="M203" s="256"/>
      <c r="N203" s="256"/>
      <c r="O203" s="256"/>
      <c r="P203" s="256"/>
      <c r="Q203" s="256"/>
      <c r="R203" s="256"/>
      <c r="S203" s="256"/>
      <c r="T203" s="256"/>
      <c r="U203" s="256"/>
      <c r="V203" s="256"/>
      <c r="W203" s="256"/>
      <c r="X203" s="256"/>
      <c r="Y203" s="256"/>
      <c r="Z203" s="256"/>
      <c r="AA203" s="256"/>
      <c r="AB203" s="256"/>
      <c r="AC203" s="256"/>
      <c r="AD203" s="256"/>
      <c r="AE203" s="256"/>
      <c r="AF203" s="256"/>
      <c r="AG203" s="256"/>
      <c r="AH203" s="256"/>
      <c r="AI203" s="256"/>
      <c r="AJ203" s="256"/>
      <c r="AK203" s="256"/>
      <c r="AL203" s="256"/>
      <c r="AM203" s="256"/>
      <c r="AN203" s="256"/>
      <c r="AO203" s="256"/>
      <c r="AP203" s="256"/>
      <c r="AQ203" s="256"/>
      <c r="AR203" s="256"/>
      <c r="AS203" s="256"/>
      <c r="AT203" s="256"/>
      <c r="AU203" s="256"/>
      <c r="AV203" s="256"/>
      <c r="AW203" s="256"/>
      <c r="AX203" s="256"/>
      <c r="AY203" s="256"/>
      <c r="AZ203" s="256"/>
      <c r="BA203" s="256"/>
      <c r="BB203" s="256"/>
      <c r="BC203" s="256"/>
      <c r="BD203" s="256"/>
      <c r="BE203" s="256"/>
      <c r="BF203" s="256"/>
      <c r="BG203" s="256"/>
      <c r="BH203" s="256"/>
      <c r="BI203" s="256"/>
      <c r="BJ203" s="256"/>
      <c r="BK203" s="256"/>
      <c r="BL203" s="256"/>
      <c r="BM203" s="256"/>
      <c r="BN203" s="256"/>
      <c r="BO203" s="256"/>
      <c r="BP203" s="256"/>
      <c r="BQ203" s="256"/>
      <c r="BR203" s="256"/>
      <c r="BS203" s="256"/>
      <c r="BT203" s="256"/>
      <c r="BU203" s="256"/>
      <c r="BV203" s="256"/>
      <c r="BW203" s="256"/>
      <c r="BX203" s="256"/>
      <c r="BY203" s="256"/>
      <c r="BZ203" s="256"/>
    </row>
    <row r="204" spans="1:78" ht="17.25" customHeight="1" x14ac:dyDescent="0.25">
      <c r="A204" s="256"/>
      <c r="B204" s="256"/>
      <c r="C204" s="256"/>
      <c r="D204" s="256"/>
      <c r="E204" s="256"/>
      <c r="F204" s="256"/>
      <c r="G204" s="256"/>
      <c r="H204" s="256"/>
      <c r="I204" s="256"/>
      <c r="J204" s="256"/>
      <c r="K204" s="256"/>
      <c r="L204" s="256"/>
      <c r="M204" s="256"/>
      <c r="N204" s="256"/>
      <c r="O204" s="256"/>
      <c r="P204" s="256"/>
      <c r="Q204" s="256"/>
      <c r="R204" s="256"/>
      <c r="S204" s="256"/>
      <c r="T204" s="256"/>
      <c r="U204" s="256"/>
      <c r="V204" s="256"/>
      <c r="W204" s="256"/>
      <c r="X204" s="256"/>
      <c r="Y204" s="256"/>
      <c r="Z204" s="256"/>
      <c r="AA204" s="256"/>
      <c r="AB204" s="256"/>
      <c r="AC204" s="256"/>
      <c r="AD204" s="256"/>
      <c r="AE204" s="256"/>
      <c r="AF204" s="256"/>
      <c r="AG204" s="256"/>
      <c r="AH204" s="256"/>
      <c r="AI204" s="256"/>
      <c r="AJ204" s="256"/>
      <c r="AK204" s="256"/>
      <c r="AL204" s="256"/>
      <c r="AM204" s="256"/>
      <c r="AN204" s="256"/>
      <c r="AO204" s="256"/>
      <c r="AP204" s="256"/>
      <c r="AQ204" s="256"/>
      <c r="AR204" s="256"/>
      <c r="AS204" s="256"/>
      <c r="AT204" s="256"/>
      <c r="AU204" s="256"/>
      <c r="AV204" s="256"/>
      <c r="AW204" s="256"/>
      <c r="AX204" s="256"/>
      <c r="AY204" s="256"/>
      <c r="AZ204" s="256"/>
      <c r="BA204" s="256"/>
      <c r="BB204" s="256"/>
      <c r="BC204" s="256"/>
      <c r="BD204" s="256"/>
      <c r="BE204" s="256"/>
      <c r="BF204" s="256"/>
      <c r="BG204" s="256"/>
      <c r="BH204" s="256"/>
      <c r="BI204" s="256"/>
      <c r="BJ204" s="256"/>
      <c r="BK204" s="256"/>
      <c r="BL204" s="256"/>
      <c r="BM204" s="256"/>
      <c r="BN204" s="256"/>
      <c r="BO204" s="256"/>
      <c r="BP204" s="256"/>
      <c r="BQ204" s="256"/>
      <c r="BR204" s="256"/>
      <c r="BS204" s="256"/>
      <c r="BT204" s="256"/>
      <c r="BU204" s="256"/>
      <c r="BV204" s="256"/>
      <c r="BW204" s="256"/>
      <c r="BX204" s="256"/>
      <c r="BY204" s="256"/>
      <c r="BZ204" s="256"/>
    </row>
    <row r="205" spans="1:78" ht="17.25" customHeight="1" x14ac:dyDescent="0.25">
      <c r="A205" s="256"/>
      <c r="B205" s="256"/>
      <c r="C205" s="256"/>
      <c r="D205" s="256"/>
      <c r="E205" s="256"/>
      <c r="F205" s="256"/>
      <c r="G205" s="256"/>
      <c r="H205" s="256"/>
      <c r="I205" s="256"/>
      <c r="J205" s="256"/>
      <c r="K205" s="256"/>
      <c r="L205" s="256"/>
      <c r="M205" s="256"/>
      <c r="N205" s="256"/>
      <c r="O205" s="256"/>
      <c r="P205" s="256"/>
      <c r="Q205" s="256"/>
      <c r="R205" s="256"/>
      <c r="S205" s="256"/>
      <c r="T205" s="256"/>
      <c r="U205" s="256"/>
      <c r="V205" s="256"/>
      <c r="W205" s="256"/>
      <c r="X205" s="256"/>
      <c r="Y205" s="256"/>
      <c r="Z205" s="256"/>
      <c r="AA205" s="256"/>
      <c r="AB205" s="256"/>
      <c r="AC205" s="256"/>
      <c r="AD205" s="256"/>
      <c r="AE205" s="256"/>
      <c r="AF205" s="256"/>
      <c r="AG205" s="256"/>
      <c r="AH205" s="256"/>
      <c r="AI205" s="256"/>
      <c r="AJ205" s="256"/>
      <c r="AK205" s="256"/>
      <c r="AL205" s="256"/>
      <c r="AM205" s="256"/>
      <c r="AN205" s="256"/>
      <c r="AO205" s="256"/>
      <c r="AP205" s="256"/>
      <c r="AQ205" s="256"/>
      <c r="AR205" s="256"/>
      <c r="AS205" s="256"/>
      <c r="AT205" s="256"/>
      <c r="AU205" s="256"/>
      <c r="AV205" s="256"/>
      <c r="AW205" s="256"/>
      <c r="AX205" s="256"/>
      <c r="AY205" s="256"/>
      <c r="AZ205" s="256"/>
      <c r="BA205" s="256"/>
      <c r="BB205" s="256"/>
      <c r="BC205" s="256"/>
      <c r="BD205" s="256"/>
      <c r="BE205" s="256"/>
      <c r="BF205" s="256"/>
      <c r="BG205" s="256"/>
      <c r="BH205" s="256"/>
      <c r="BI205" s="256"/>
      <c r="BJ205" s="256"/>
      <c r="BK205" s="256"/>
      <c r="BL205" s="256"/>
      <c r="BM205" s="256"/>
      <c r="BN205" s="256"/>
      <c r="BO205" s="256"/>
      <c r="BP205" s="256"/>
      <c r="BQ205" s="256"/>
      <c r="BR205" s="256"/>
      <c r="BS205" s="256"/>
      <c r="BT205" s="256"/>
      <c r="BU205" s="256"/>
      <c r="BV205" s="256"/>
      <c r="BW205" s="256"/>
      <c r="BX205" s="256"/>
      <c r="BY205" s="256"/>
      <c r="BZ205" s="256"/>
    </row>
    <row r="206" spans="1:78" ht="17.25" customHeight="1" x14ac:dyDescent="0.25">
      <c r="A206" s="256"/>
      <c r="B206" s="256"/>
      <c r="C206" s="256"/>
      <c r="D206" s="256"/>
      <c r="E206" s="256"/>
      <c r="F206" s="256"/>
      <c r="G206" s="256"/>
      <c r="H206" s="256"/>
      <c r="I206" s="256"/>
      <c r="J206" s="256"/>
      <c r="K206" s="256"/>
      <c r="L206" s="256"/>
      <c r="M206" s="256"/>
      <c r="N206" s="256"/>
      <c r="O206" s="256"/>
      <c r="P206" s="256"/>
      <c r="Q206" s="256"/>
      <c r="R206" s="256"/>
      <c r="S206" s="256"/>
      <c r="T206" s="256"/>
      <c r="U206" s="256"/>
      <c r="V206" s="256"/>
      <c r="W206" s="256"/>
      <c r="X206" s="256"/>
      <c r="Y206" s="256"/>
      <c r="Z206" s="256"/>
      <c r="AA206" s="256"/>
      <c r="AB206" s="256"/>
      <c r="AC206" s="256"/>
      <c r="AD206" s="256"/>
      <c r="AE206" s="256"/>
      <c r="AF206" s="256"/>
      <c r="AG206" s="256"/>
      <c r="AH206" s="256"/>
      <c r="AI206" s="256"/>
      <c r="AJ206" s="256"/>
      <c r="AK206" s="256"/>
      <c r="AL206" s="256"/>
      <c r="AM206" s="256"/>
      <c r="AN206" s="256"/>
      <c r="AO206" s="256"/>
      <c r="AP206" s="256"/>
      <c r="AQ206" s="256"/>
      <c r="AR206" s="256"/>
      <c r="AS206" s="256"/>
      <c r="AT206" s="256"/>
      <c r="AU206" s="256"/>
      <c r="AV206" s="256"/>
      <c r="AW206" s="256"/>
      <c r="AX206" s="256"/>
      <c r="AY206" s="256"/>
      <c r="AZ206" s="256"/>
      <c r="BA206" s="256"/>
      <c r="BB206" s="256"/>
      <c r="BC206" s="256"/>
      <c r="BD206" s="256"/>
      <c r="BE206" s="256"/>
      <c r="BF206" s="256"/>
      <c r="BG206" s="256"/>
      <c r="BH206" s="256"/>
      <c r="BI206" s="256"/>
      <c r="BJ206" s="256"/>
      <c r="BK206" s="256"/>
      <c r="BL206" s="256"/>
      <c r="BM206" s="256"/>
      <c r="BN206" s="256"/>
      <c r="BO206" s="256"/>
      <c r="BP206" s="256"/>
      <c r="BQ206" s="256"/>
      <c r="BR206" s="256"/>
      <c r="BS206" s="256"/>
      <c r="BT206" s="256"/>
      <c r="BU206" s="256"/>
      <c r="BV206" s="256"/>
      <c r="BW206" s="256"/>
      <c r="BX206" s="256"/>
      <c r="BY206" s="256"/>
      <c r="BZ206" s="256"/>
    </row>
    <row r="207" spans="1:78" ht="17.25" customHeight="1" x14ac:dyDescent="0.25">
      <c r="A207" s="256"/>
      <c r="B207" s="256"/>
      <c r="C207" s="256"/>
      <c r="D207" s="256"/>
      <c r="E207" s="256"/>
      <c r="F207" s="256"/>
      <c r="G207" s="256"/>
      <c r="H207" s="256"/>
      <c r="I207" s="256"/>
      <c r="J207" s="256"/>
      <c r="K207" s="256"/>
      <c r="L207" s="256"/>
      <c r="M207" s="256"/>
      <c r="N207" s="256"/>
      <c r="O207" s="256"/>
      <c r="P207" s="256"/>
      <c r="Q207" s="256"/>
      <c r="R207" s="256"/>
      <c r="S207" s="256"/>
      <c r="T207" s="256"/>
      <c r="U207" s="256"/>
      <c r="V207" s="256"/>
      <c r="W207" s="256"/>
      <c r="X207" s="256"/>
      <c r="Y207" s="256"/>
      <c r="Z207" s="256"/>
      <c r="AA207" s="256"/>
      <c r="AB207" s="256"/>
      <c r="AC207" s="256"/>
      <c r="AD207" s="256"/>
      <c r="AE207" s="256"/>
      <c r="AF207" s="256"/>
      <c r="AG207" s="256"/>
      <c r="AH207" s="256"/>
      <c r="AI207" s="256"/>
      <c r="AJ207" s="256"/>
      <c r="AK207" s="256"/>
      <c r="AL207" s="256"/>
      <c r="AM207" s="256"/>
      <c r="AN207" s="256"/>
      <c r="AO207" s="256"/>
      <c r="AP207" s="256"/>
      <c r="AQ207" s="256"/>
      <c r="AR207" s="256"/>
      <c r="AS207" s="256"/>
      <c r="AT207" s="256"/>
      <c r="AU207" s="256"/>
      <c r="AV207" s="256"/>
      <c r="AW207" s="256"/>
      <c r="AX207" s="256"/>
      <c r="AY207" s="256"/>
      <c r="AZ207" s="256"/>
      <c r="BA207" s="256"/>
      <c r="BB207" s="256"/>
      <c r="BC207" s="256"/>
      <c r="BD207" s="256"/>
      <c r="BE207" s="256"/>
      <c r="BF207" s="256"/>
      <c r="BG207" s="256"/>
      <c r="BH207" s="256"/>
      <c r="BI207" s="256"/>
      <c r="BJ207" s="256"/>
      <c r="BK207" s="256"/>
      <c r="BL207" s="256"/>
      <c r="BM207" s="256"/>
      <c r="BN207" s="256"/>
      <c r="BO207" s="256"/>
      <c r="BP207" s="256"/>
      <c r="BQ207" s="256"/>
      <c r="BR207" s="256"/>
      <c r="BS207" s="256"/>
      <c r="BT207" s="256"/>
      <c r="BU207" s="256"/>
      <c r="BV207" s="256"/>
      <c r="BW207" s="256"/>
      <c r="BX207" s="256"/>
      <c r="BY207" s="256"/>
      <c r="BZ207" s="256"/>
    </row>
    <row r="208" spans="1:78" ht="17.25" customHeight="1" x14ac:dyDescent="0.25">
      <c r="A208" s="256"/>
      <c r="B208" s="256"/>
      <c r="C208" s="256"/>
      <c r="D208" s="256"/>
      <c r="E208" s="256"/>
      <c r="F208" s="256"/>
      <c r="G208" s="256"/>
      <c r="H208" s="256"/>
      <c r="I208" s="256"/>
      <c r="J208" s="256"/>
      <c r="K208" s="256"/>
      <c r="L208" s="256"/>
      <c r="M208" s="256"/>
      <c r="N208" s="256"/>
      <c r="O208" s="256"/>
      <c r="P208" s="256"/>
      <c r="Q208" s="256"/>
      <c r="R208" s="256"/>
      <c r="S208" s="256"/>
      <c r="T208" s="256"/>
      <c r="U208" s="256"/>
      <c r="V208" s="256"/>
      <c r="W208" s="256"/>
      <c r="X208" s="256"/>
      <c r="Y208" s="256"/>
      <c r="Z208" s="256"/>
      <c r="AA208" s="256"/>
      <c r="AB208" s="256"/>
      <c r="AC208" s="256"/>
      <c r="AD208" s="256"/>
      <c r="AE208" s="256"/>
      <c r="AF208" s="256"/>
      <c r="AG208" s="256"/>
      <c r="AH208" s="256"/>
      <c r="AI208" s="256"/>
      <c r="AJ208" s="256"/>
      <c r="AK208" s="256"/>
      <c r="AL208" s="256"/>
      <c r="AM208" s="256"/>
      <c r="AN208" s="256"/>
      <c r="AO208" s="256"/>
      <c r="AP208" s="256"/>
      <c r="AQ208" s="256"/>
      <c r="AR208" s="256"/>
      <c r="AS208" s="256"/>
      <c r="AT208" s="256"/>
      <c r="AU208" s="256"/>
      <c r="AV208" s="256"/>
      <c r="AW208" s="256"/>
      <c r="AX208" s="256"/>
      <c r="AY208" s="256"/>
      <c r="AZ208" s="256"/>
      <c r="BA208" s="256"/>
      <c r="BB208" s="256"/>
      <c r="BC208" s="256"/>
      <c r="BD208" s="256"/>
      <c r="BE208" s="256"/>
      <c r="BF208" s="256"/>
      <c r="BG208" s="256"/>
      <c r="BH208" s="256"/>
      <c r="BI208" s="256"/>
      <c r="BJ208" s="256"/>
      <c r="BK208" s="256"/>
      <c r="BL208" s="256"/>
      <c r="BM208" s="256"/>
      <c r="BN208" s="256"/>
      <c r="BO208" s="256"/>
      <c r="BP208" s="256"/>
      <c r="BQ208" s="256"/>
      <c r="BR208" s="256"/>
      <c r="BS208" s="256"/>
      <c r="BT208" s="256"/>
      <c r="BU208" s="256"/>
      <c r="BV208" s="256"/>
      <c r="BW208" s="256"/>
      <c r="BX208" s="256"/>
      <c r="BY208" s="256"/>
      <c r="BZ208" s="256"/>
    </row>
    <row r="209" spans="1:78" ht="17.25" customHeight="1" x14ac:dyDescent="0.25">
      <c r="A209" s="256"/>
      <c r="B209" s="256"/>
      <c r="C209" s="256"/>
      <c r="D209" s="256"/>
      <c r="E209" s="256"/>
      <c r="F209" s="256"/>
      <c r="G209" s="256"/>
      <c r="H209" s="256"/>
      <c r="I209" s="256"/>
      <c r="J209" s="256"/>
      <c r="K209" s="256"/>
      <c r="L209" s="256"/>
      <c r="M209" s="256"/>
      <c r="N209" s="256"/>
      <c r="O209" s="256"/>
      <c r="P209" s="256"/>
      <c r="Q209" s="256"/>
      <c r="R209" s="256"/>
      <c r="S209" s="256"/>
      <c r="T209" s="256"/>
      <c r="U209" s="256"/>
      <c r="V209" s="256"/>
      <c r="W209" s="256"/>
      <c r="X209" s="256"/>
      <c r="Y209" s="256"/>
      <c r="Z209" s="256"/>
      <c r="AA209" s="256"/>
      <c r="AB209" s="256"/>
      <c r="AC209" s="256"/>
      <c r="AD209" s="256"/>
      <c r="AE209" s="256"/>
      <c r="AF209" s="256"/>
      <c r="AG209" s="256"/>
      <c r="AH209" s="256"/>
      <c r="AI209" s="256"/>
      <c r="AJ209" s="256"/>
      <c r="AK209" s="256"/>
      <c r="AL209" s="256"/>
      <c r="AM209" s="256"/>
      <c r="AN209" s="256"/>
      <c r="AO209" s="256"/>
      <c r="AP209" s="256"/>
      <c r="AQ209" s="256"/>
      <c r="AR209" s="256"/>
      <c r="AS209" s="256"/>
      <c r="AT209" s="256"/>
      <c r="AU209" s="256"/>
      <c r="AV209" s="256"/>
      <c r="AW209" s="256"/>
      <c r="AX209" s="256"/>
      <c r="AY209" s="256"/>
      <c r="AZ209" s="256"/>
      <c r="BA209" s="256"/>
      <c r="BB209" s="256"/>
      <c r="BC209" s="256"/>
      <c r="BD209" s="256"/>
      <c r="BE209" s="256"/>
      <c r="BF209" s="256"/>
      <c r="BG209" s="256"/>
      <c r="BH209" s="256"/>
      <c r="BI209" s="256"/>
      <c r="BJ209" s="256"/>
      <c r="BK209" s="256"/>
      <c r="BL209" s="256"/>
      <c r="BM209" s="256"/>
      <c r="BN209" s="256"/>
      <c r="BO209" s="256"/>
      <c r="BP209" s="256"/>
      <c r="BQ209" s="256"/>
      <c r="BR209" s="256"/>
      <c r="BS209" s="256"/>
      <c r="BT209" s="256"/>
      <c r="BU209" s="256"/>
      <c r="BV209" s="256"/>
      <c r="BW209" s="256"/>
      <c r="BX209" s="256"/>
      <c r="BY209" s="256"/>
      <c r="BZ209" s="256"/>
    </row>
    <row r="210" spans="1:78" ht="17.25" customHeight="1" x14ac:dyDescent="0.25">
      <c r="A210" s="256"/>
      <c r="B210" s="256"/>
      <c r="C210" s="256"/>
      <c r="D210" s="256"/>
      <c r="E210" s="256"/>
      <c r="F210" s="256"/>
      <c r="G210" s="256"/>
      <c r="H210" s="256"/>
      <c r="I210" s="256"/>
      <c r="J210" s="256"/>
      <c r="K210" s="256"/>
      <c r="L210" s="256"/>
      <c r="M210" s="256"/>
      <c r="N210" s="256"/>
      <c r="O210" s="256"/>
      <c r="P210" s="256"/>
      <c r="Q210" s="256"/>
      <c r="R210" s="256"/>
      <c r="S210" s="256"/>
      <c r="T210" s="256"/>
      <c r="U210" s="256"/>
      <c r="V210" s="256"/>
      <c r="W210" s="256"/>
      <c r="X210" s="256"/>
      <c r="Y210" s="256"/>
      <c r="Z210" s="256"/>
      <c r="AA210" s="256"/>
      <c r="AB210" s="256"/>
      <c r="AC210" s="256"/>
      <c r="AD210" s="256"/>
      <c r="AE210" s="256"/>
      <c r="AF210" s="256"/>
      <c r="AG210" s="256"/>
      <c r="AH210" s="256"/>
      <c r="AI210" s="256"/>
      <c r="AJ210" s="256"/>
      <c r="AK210" s="256"/>
      <c r="AL210" s="256"/>
      <c r="AM210" s="256"/>
      <c r="AN210" s="256"/>
      <c r="AO210" s="256"/>
      <c r="AP210" s="256"/>
      <c r="AQ210" s="256"/>
      <c r="AR210" s="256"/>
      <c r="AS210" s="256"/>
      <c r="AT210" s="256"/>
      <c r="AU210" s="256"/>
      <c r="AV210" s="256"/>
      <c r="AW210" s="256"/>
      <c r="AX210" s="256"/>
      <c r="AY210" s="256"/>
      <c r="AZ210" s="256"/>
      <c r="BA210" s="256"/>
      <c r="BB210" s="256"/>
      <c r="BC210" s="256"/>
      <c r="BD210" s="256"/>
      <c r="BE210" s="256"/>
      <c r="BF210" s="256"/>
      <c r="BG210" s="256"/>
      <c r="BH210" s="256"/>
      <c r="BI210" s="256"/>
      <c r="BJ210" s="256"/>
      <c r="BK210" s="256"/>
      <c r="BL210" s="256"/>
      <c r="BM210" s="256"/>
      <c r="BN210" s="256"/>
      <c r="BO210" s="256"/>
      <c r="BP210" s="256"/>
      <c r="BQ210" s="256"/>
      <c r="BR210" s="256"/>
      <c r="BS210" s="256"/>
      <c r="BT210" s="256"/>
      <c r="BU210" s="256"/>
      <c r="BV210" s="256"/>
      <c r="BW210" s="256"/>
      <c r="BX210" s="256"/>
      <c r="BY210" s="256"/>
      <c r="BZ210" s="256"/>
    </row>
    <row r="211" spans="1:78" ht="17.25" customHeight="1" x14ac:dyDescent="0.25">
      <c r="A211" s="256"/>
      <c r="B211" s="256"/>
      <c r="C211" s="256"/>
      <c r="D211" s="256"/>
      <c r="E211" s="256"/>
      <c r="F211" s="256"/>
      <c r="G211" s="256"/>
      <c r="H211" s="256"/>
      <c r="I211" s="256"/>
      <c r="J211" s="256"/>
      <c r="K211" s="256"/>
      <c r="L211" s="256"/>
      <c r="M211" s="256"/>
      <c r="N211" s="256"/>
      <c r="O211" s="256"/>
      <c r="P211" s="256"/>
      <c r="Q211" s="256"/>
      <c r="R211" s="256"/>
      <c r="S211" s="256"/>
      <c r="T211" s="256"/>
      <c r="U211" s="256"/>
      <c r="V211" s="256"/>
      <c r="W211" s="256"/>
      <c r="X211" s="256"/>
      <c r="Y211" s="256"/>
      <c r="Z211" s="256"/>
      <c r="AA211" s="256"/>
      <c r="AB211" s="256"/>
      <c r="AC211" s="256"/>
      <c r="AD211" s="256"/>
      <c r="AE211" s="256"/>
      <c r="AF211" s="256"/>
      <c r="AG211" s="256"/>
      <c r="AH211" s="256"/>
      <c r="AI211" s="256"/>
      <c r="AJ211" s="256"/>
      <c r="AK211" s="256"/>
      <c r="AL211" s="256"/>
      <c r="AM211" s="256"/>
      <c r="AN211" s="256"/>
      <c r="AO211" s="256"/>
      <c r="AP211" s="256"/>
      <c r="AQ211" s="256"/>
      <c r="AR211" s="256"/>
      <c r="AS211" s="256"/>
      <c r="AT211" s="256"/>
      <c r="AU211" s="256"/>
      <c r="AV211" s="256"/>
      <c r="AW211" s="256"/>
      <c r="AX211" s="256"/>
      <c r="AY211" s="256"/>
      <c r="AZ211" s="256"/>
      <c r="BA211" s="256"/>
      <c r="BB211" s="256"/>
      <c r="BC211" s="256"/>
      <c r="BD211" s="256"/>
      <c r="BE211" s="256"/>
      <c r="BF211" s="256"/>
      <c r="BG211" s="256"/>
      <c r="BH211" s="256"/>
      <c r="BI211" s="256"/>
      <c r="BJ211" s="256"/>
      <c r="BK211" s="256"/>
      <c r="BL211" s="256"/>
      <c r="BM211" s="256"/>
      <c r="BN211" s="256"/>
      <c r="BO211" s="256"/>
      <c r="BP211" s="256"/>
      <c r="BQ211" s="256"/>
      <c r="BR211" s="256"/>
      <c r="BS211" s="256"/>
      <c r="BT211" s="256"/>
      <c r="BU211" s="256"/>
      <c r="BV211" s="256"/>
      <c r="BW211" s="256"/>
      <c r="BX211" s="256"/>
      <c r="BY211" s="256"/>
      <c r="BZ211" s="256"/>
    </row>
    <row r="212" spans="1:78" ht="17.25" customHeight="1" x14ac:dyDescent="0.25">
      <c r="A212" s="256"/>
      <c r="B212" s="256"/>
      <c r="C212" s="256"/>
      <c r="D212" s="256"/>
      <c r="E212" s="256"/>
      <c r="F212" s="256"/>
      <c r="G212" s="256"/>
      <c r="H212" s="256"/>
      <c r="I212" s="256"/>
      <c r="J212" s="256"/>
      <c r="K212" s="256"/>
      <c r="L212" s="256"/>
      <c r="M212" s="256"/>
      <c r="N212" s="256"/>
      <c r="O212" s="256"/>
      <c r="P212" s="256"/>
      <c r="Q212" s="256"/>
      <c r="R212" s="256"/>
      <c r="S212" s="256"/>
      <c r="T212" s="256"/>
      <c r="U212" s="256"/>
      <c r="V212" s="256"/>
      <c r="W212" s="256"/>
      <c r="X212" s="256"/>
      <c r="Y212" s="256"/>
      <c r="Z212" s="256"/>
      <c r="AA212" s="256"/>
      <c r="AB212" s="256"/>
      <c r="AC212" s="256"/>
      <c r="AD212" s="256"/>
      <c r="AE212" s="256"/>
      <c r="AF212" s="256"/>
      <c r="AG212" s="256"/>
      <c r="AH212" s="256"/>
      <c r="AI212" s="256"/>
      <c r="AJ212" s="256"/>
      <c r="AK212" s="256"/>
      <c r="AL212" s="256"/>
      <c r="AM212" s="256"/>
      <c r="AN212" s="256"/>
      <c r="AO212" s="256"/>
      <c r="AP212" s="256"/>
      <c r="AQ212" s="256"/>
      <c r="AR212" s="256"/>
      <c r="AS212" s="256"/>
      <c r="AT212" s="256"/>
      <c r="AU212" s="256"/>
      <c r="AV212" s="256"/>
      <c r="AW212" s="256"/>
      <c r="AX212" s="256"/>
      <c r="AY212" s="256"/>
      <c r="AZ212" s="256"/>
      <c r="BA212" s="256"/>
      <c r="BB212" s="256"/>
      <c r="BC212" s="256"/>
      <c r="BD212" s="256"/>
      <c r="BE212" s="256"/>
      <c r="BF212" s="256"/>
      <c r="BG212" s="256"/>
      <c r="BH212" s="256"/>
      <c r="BI212" s="256"/>
      <c r="BJ212" s="256"/>
      <c r="BK212" s="256"/>
      <c r="BL212" s="256"/>
      <c r="BM212" s="256"/>
      <c r="BN212" s="256"/>
      <c r="BO212" s="256"/>
      <c r="BP212" s="256"/>
      <c r="BQ212" s="256"/>
      <c r="BR212" s="256"/>
      <c r="BS212" s="256"/>
      <c r="BT212" s="256"/>
      <c r="BU212" s="256"/>
      <c r="BV212" s="256"/>
      <c r="BW212" s="256"/>
      <c r="BX212" s="256"/>
      <c r="BY212" s="256"/>
      <c r="BZ212" s="256"/>
    </row>
    <row r="213" spans="1:78" ht="17.25" customHeight="1" x14ac:dyDescent="0.25">
      <c r="A213" s="256"/>
      <c r="B213" s="256"/>
      <c r="C213" s="256"/>
      <c r="D213" s="256"/>
      <c r="E213" s="256"/>
      <c r="F213" s="256"/>
      <c r="G213" s="256"/>
      <c r="H213" s="256"/>
      <c r="I213" s="256"/>
      <c r="J213" s="256"/>
      <c r="K213" s="256"/>
      <c r="L213" s="256"/>
      <c r="M213" s="256"/>
      <c r="N213" s="256"/>
      <c r="O213" s="256"/>
      <c r="P213" s="256"/>
      <c r="Q213" s="256"/>
      <c r="R213" s="256"/>
      <c r="S213" s="256"/>
      <c r="T213" s="256"/>
      <c r="U213" s="256"/>
      <c r="V213" s="256"/>
      <c r="W213" s="256"/>
      <c r="X213" s="256"/>
      <c r="Y213" s="256"/>
      <c r="Z213" s="256"/>
      <c r="AA213" s="256"/>
      <c r="AB213" s="256"/>
      <c r="AC213" s="256"/>
      <c r="AD213" s="256"/>
      <c r="AE213" s="256"/>
      <c r="AF213" s="256"/>
      <c r="AG213" s="256"/>
      <c r="AH213" s="256"/>
      <c r="AI213" s="256"/>
      <c r="AJ213" s="256"/>
      <c r="AK213" s="256"/>
      <c r="AL213" s="256"/>
      <c r="AM213" s="256"/>
      <c r="AN213" s="256"/>
      <c r="AO213" s="256"/>
      <c r="AP213" s="256"/>
      <c r="AQ213" s="256"/>
      <c r="AR213" s="256"/>
      <c r="AS213" s="256"/>
      <c r="AT213" s="256"/>
      <c r="AU213" s="256"/>
      <c r="AV213" s="256"/>
      <c r="AW213" s="256"/>
      <c r="AX213" s="256"/>
      <c r="AY213" s="256"/>
      <c r="AZ213" s="256"/>
      <c r="BA213" s="256"/>
      <c r="BB213" s="256"/>
      <c r="BC213" s="256"/>
      <c r="BD213" s="256"/>
      <c r="BE213" s="256"/>
      <c r="BF213" s="256"/>
      <c r="BG213" s="256"/>
      <c r="BH213" s="256"/>
      <c r="BI213" s="256"/>
      <c r="BJ213" s="256"/>
      <c r="BK213" s="256"/>
      <c r="BL213" s="256"/>
      <c r="BM213" s="256"/>
      <c r="BN213" s="256"/>
      <c r="BO213" s="256"/>
      <c r="BP213" s="256"/>
      <c r="BQ213" s="256"/>
      <c r="BR213" s="256"/>
      <c r="BS213" s="256"/>
      <c r="BT213" s="256"/>
      <c r="BU213" s="256"/>
      <c r="BV213" s="256"/>
      <c r="BW213" s="256"/>
      <c r="BX213" s="256"/>
      <c r="BY213" s="256"/>
      <c r="BZ213" s="256"/>
    </row>
    <row r="214" spans="1:78" ht="17.25" customHeight="1" x14ac:dyDescent="0.25">
      <c r="A214" s="256"/>
      <c r="B214" s="256"/>
      <c r="C214" s="256"/>
      <c r="D214" s="256"/>
      <c r="E214" s="256"/>
      <c r="F214" s="256"/>
      <c r="G214" s="256"/>
      <c r="H214" s="256"/>
      <c r="I214" s="256"/>
      <c r="J214" s="256"/>
      <c r="K214" s="256"/>
      <c r="L214" s="256"/>
      <c r="M214" s="256"/>
      <c r="N214" s="256"/>
      <c r="O214" s="256"/>
      <c r="P214" s="256"/>
      <c r="Q214" s="256"/>
      <c r="R214" s="256"/>
      <c r="S214" s="256"/>
      <c r="T214" s="256"/>
      <c r="U214" s="256"/>
      <c r="V214" s="256"/>
      <c r="W214" s="256"/>
      <c r="X214" s="256"/>
      <c r="Y214" s="256"/>
      <c r="Z214" s="256"/>
      <c r="AA214" s="256"/>
      <c r="AB214" s="256"/>
      <c r="AC214" s="256"/>
      <c r="AD214" s="256"/>
      <c r="AE214" s="256"/>
      <c r="AF214" s="256"/>
      <c r="AG214" s="256"/>
      <c r="AH214" s="256"/>
      <c r="AI214" s="256"/>
      <c r="AJ214" s="256"/>
      <c r="AK214" s="256"/>
      <c r="AL214" s="256"/>
      <c r="AM214" s="256"/>
      <c r="AN214" s="256"/>
      <c r="AO214" s="256"/>
      <c r="AP214" s="256"/>
      <c r="AQ214" s="256"/>
      <c r="AR214" s="256"/>
      <c r="AS214" s="256"/>
      <c r="AT214" s="256"/>
      <c r="AU214" s="256"/>
      <c r="AV214" s="256"/>
      <c r="AW214" s="256"/>
      <c r="AX214" s="256"/>
      <c r="AY214" s="256"/>
      <c r="AZ214" s="256"/>
      <c r="BA214" s="256"/>
      <c r="BB214" s="256"/>
      <c r="BC214" s="256"/>
      <c r="BD214" s="256"/>
      <c r="BE214" s="256"/>
      <c r="BF214" s="256"/>
      <c r="BG214" s="256"/>
      <c r="BH214" s="256"/>
      <c r="BI214" s="256"/>
      <c r="BJ214" s="256"/>
      <c r="BK214" s="256"/>
      <c r="BL214" s="256"/>
      <c r="BM214" s="256"/>
      <c r="BN214" s="256"/>
      <c r="BO214" s="256"/>
      <c r="BP214" s="256"/>
      <c r="BQ214" s="256"/>
      <c r="BR214" s="256"/>
      <c r="BS214" s="256"/>
      <c r="BT214" s="256"/>
      <c r="BU214" s="256"/>
      <c r="BV214" s="256"/>
      <c r="BW214" s="256"/>
      <c r="BX214" s="256"/>
      <c r="BY214" s="256"/>
      <c r="BZ214" s="256"/>
    </row>
    <row r="215" spans="1:78" ht="17.25" customHeight="1" x14ac:dyDescent="0.25">
      <c r="A215" s="256"/>
      <c r="B215" s="256"/>
      <c r="C215" s="256"/>
      <c r="D215" s="256"/>
      <c r="E215" s="256"/>
      <c r="F215" s="256"/>
      <c r="G215" s="256"/>
      <c r="H215" s="256"/>
      <c r="I215" s="256"/>
      <c r="J215" s="256"/>
      <c r="K215" s="256"/>
      <c r="L215" s="256"/>
      <c r="M215" s="256"/>
      <c r="N215" s="256"/>
      <c r="O215" s="256"/>
      <c r="P215" s="256"/>
      <c r="Q215" s="256"/>
      <c r="R215" s="256"/>
      <c r="S215" s="256"/>
      <c r="T215" s="256"/>
      <c r="U215" s="256"/>
      <c r="V215" s="256"/>
      <c r="W215" s="256"/>
      <c r="X215" s="256"/>
      <c r="Y215" s="256"/>
      <c r="Z215" s="256"/>
      <c r="AA215" s="256"/>
      <c r="AB215" s="256"/>
      <c r="AC215" s="256"/>
      <c r="AD215" s="256"/>
      <c r="AE215" s="256"/>
      <c r="AF215" s="256"/>
      <c r="AG215" s="256"/>
      <c r="AH215" s="256"/>
      <c r="AI215" s="256"/>
      <c r="AJ215" s="256"/>
      <c r="AK215" s="256"/>
      <c r="AL215" s="256"/>
      <c r="AM215" s="256"/>
      <c r="AN215" s="256"/>
      <c r="AO215" s="256"/>
      <c r="AP215" s="256"/>
      <c r="AQ215" s="256"/>
      <c r="AR215" s="256"/>
      <c r="AS215" s="256"/>
      <c r="AT215" s="256"/>
      <c r="AU215" s="256"/>
      <c r="AV215" s="256"/>
      <c r="AW215" s="256"/>
      <c r="AX215" s="256"/>
      <c r="AY215" s="256"/>
      <c r="AZ215" s="256"/>
      <c r="BA215" s="256"/>
      <c r="BB215" s="256"/>
      <c r="BC215" s="256"/>
      <c r="BD215" s="256"/>
      <c r="BE215" s="256"/>
      <c r="BF215" s="256"/>
      <c r="BG215" s="256"/>
      <c r="BH215" s="256"/>
      <c r="BI215" s="256"/>
      <c r="BJ215" s="256"/>
      <c r="BK215" s="256"/>
      <c r="BL215" s="256"/>
      <c r="BM215" s="256"/>
      <c r="BN215" s="256"/>
      <c r="BO215" s="256"/>
      <c r="BP215" s="256"/>
      <c r="BQ215" s="256"/>
      <c r="BR215" s="256"/>
      <c r="BS215" s="256"/>
      <c r="BT215" s="256"/>
      <c r="BU215" s="256"/>
      <c r="BV215" s="256"/>
      <c r="BW215" s="256"/>
      <c r="BX215" s="256"/>
      <c r="BY215" s="256"/>
      <c r="BZ215" s="256"/>
    </row>
    <row r="216" spans="1:78" x14ac:dyDescent="0.25">
      <c r="A216" s="252"/>
      <c r="B216" s="252"/>
      <c r="C216" s="252"/>
      <c r="D216" s="252"/>
      <c r="E216" s="252"/>
      <c r="F216" s="253"/>
      <c r="G216" s="253"/>
      <c r="H216" s="253"/>
      <c r="I216" s="253"/>
      <c r="J216" s="253"/>
      <c r="K216" s="253"/>
      <c r="L216" s="253"/>
      <c r="M216" s="253"/>
      <c r="N216" s="253"/>
      <c r="O216" s="253"/>
      <c r="P216" s="253"/>
      <c r="Q216" s="253"/>
      <c r="R216" s="253"/>
      <c r="S216" s="253"/>
      <c r="T216" s="253"/>
      <c r="U216" s="253"/>
      <c r="V216" s="253"/>
      <c r="W216" s="253"/>
      <c r="X216" s="253"/>
      <c r="Y216" s="253"/>
      <c r="Z216" s="253"/>
      <c r="AA216" s="253"/>
      <c r="AB216" s="253"/>
      <c r="AC216" s="253"/>
      <c r="AD216" s="253"/>
      <c r="AE216" s="253"/>
      <c r="AF216" s="253"/>
      <c r="AG216" s="253"/>
      <c r="AH216" s="253"/>
      <c r="AI216" s="253"/>
      <c r="AJ216" s="253"/>
      <c r="AK216" s="252"/>
      <c r="AL216" s="252"/>
      <c r="AM216" s="252"/>
      <c r="AN216" s="252"/>
      <c r="AO216" s="252"/>
      <c r="AP216" s="252"/>
      <c r="AQ216" s="252"/>
      <c r="AR216" s="252"/>
      <c r="AS216" s="252"/>
      <c r="AT216" s="252"/>
      <c r="AU216" s="252"/>
      <c r="AV216" s="252"/>
      <c r="AW216" s="252"/>
      <c r="AX216" s="252"/>
      <c r="AY216" s="252"/>
      <c r="AZ216" s="252"/>
      <c r="BA216" s="252"/>
      <c r="BB216" s="252"/>
      <c r="BC216" s="252"/>
      <c r="BD216" s="252"/>
      <c r="BE216" s="252"/>
      <c r="BF216" s="252"/>
      <c r="BG216" s="252"/>
      <c r="BH216" s="252"/>
      <c r="BI216" s="252"/>
      <c r="BJ216" s="252"/>
      <c r="BK216" s="252"/>
      <c r="BL216" s="252"/>
      <c r="BM216" s="252"/>
      <c r="BN216" s="252"/>
      <c r="BO216" s="252"/>
      <c r="BP216" s="252"/>
      <c r="BQ216" s="252"/>
      <c r="BR216" s="252"/>
      <c r="BS216" s="252"/>
      <c r="BT216" s="252"/>
      <c r="BU216" s="252"/>
      <c r="BV216" s="252"/>
      <c r="BW216" s="252"/>
      <c r="BX216" s="252"/>
      <c r="BY216" s="252"/>
      <c r="BZ216" s="252"/>
    </row>
    <row r="217" spans="1:78" x14ac:dyDescent="0.25">
      <c r="A217" s="252"/>
      <c r="B217" s="252"/>
      <c r="C217" s="252"/>
      <c r="D217" s="252"/>
      <c r="E217" s="252"/>
      <c r="F217" s="253"/>
      <c r="G217" s="253"/>
      <c r="H217" s="253"/>
      <c r="I217" s="253"/>
      <c r="J217" s="253"/>
      <c r="K217" s="253"/>
      <c r="L217" s="253"/>
      <c r="M217" s="253"/>
      <c r="N217" s="253"/>
      <c r="O217" s="253"/>
      <c r="P217" s="253"/>
      <c r="Q217" s="253"/>
      <c r="R217" s="253"/>
      <c r="S217" s="253"/>
      <c r="T217" s="253"/>
      <c r="U217" s="253"/>
      <c r="V217" s="253"/>
      <c r="W217" s="253"/>
      <c r="X217" s="253"/>
      <c r="Y217" s="253"/>
      <c r="Z217" s="253"/>
      <c r="AA217" s="253"/>
      <c r="AB217" s="253"/>
      <c r="AC217" s="253"/>
      <c r="AD217" s="253"/>
      <c r="AE217" s="253"/>
      <c r="AF217" s="253"/>
      <c r="AG217" s="253"/>
      <c r="AH217" s="253"/>
      <c r="AI217" s="253"/>
      <c r="AJ217" s="253"/>
      <c r="AK217" s="252"/>
      <c r="AL217" s="252"/>
      <c r="AM217" s="252"/>
      <c r="AN217" s="252"/>
      <c r="AO217" s="252"/>
      <c r="AP217" s="252"/>
      <c r="AQ217" s="252"/>
      <c r="AR217" s="252"/>
      <c r="AS217" s="252"/>
      <c r="AT217" s="252"/>
      <c r="AU217" s="252"/>
      <c r="AV217" s="252"/>
      <c r="AW217" s="252"/>
      <c r="AX217" s="252"/>
      <c r="AY217" s="252"/>
      <c r="AZ217" s="252"/>
      <c r="BA217" s="252"/>
      <c r="BB217" s="252"/>
      <c r="BC217" s="252"/>
      <c r="BD217" s="252"/>
      <c r="BE217" s="252"/>
      <c r="BF217" s="252"/>
      <c r="BG217" s="252"/>
      <c r="BH217" s="252"/>
      <c r="BI217" s="252"/>
      <c r="BJ217" s="252"/>
      <c r="BK217" s="252"/>
      <c r="BL217" s="252"/>
      <c r="BM217" s="252"/>
      <c r="BN217" s="252"/>
      <c r="BO217" s="252"/>
      <c r="BP217" s="252"/>
      <c r="BQ217" s="252"/>
      <c r="BR217" s="252"/>
      <c r="BS217" s="252"/>
      <c r="BT217" s="252"/>
      <c r="BU217" s="252"/>
      <c r="BV217" s="252"/>
      <c r="BW217" s="252"/>
      <c r="BX217" s="252"/>
      <c r="BY217" s="252"/>
      <c r="BZ217" s="252"/>
    </row>
    <row r="218" spans="1:78" x14ac:dyDescent="0.25">
      <c r="A218" s="252"/>
      <c r="B218" s="252"/>
      <c r="C218" s="252"/>
      <c r="D218" s="252"/>
      <c r="E218" s="252"/>
      <c r="F218" s="253"/>
      <c r="G218" s="253"/>
      <c r="H218" s="253"/>
      <c r="I218" s="253"/>
      <c r="J218" s="253"/>
      <c r="K218" s="253"/>
      <c r="L218" s="253"/>
      <c r="M218" s="253"/>
      <c r="N218" s="253"/>
      <c r="O218" s="253"/>
      <c r="P218" s="253"/>
      <c r="Q218" s="253"/>
      <c r="R218" s="253"/>
      <c r="S218" s="253"/>
      <c r="T218" s="253"/>
      <c r="U218" s="253"/>
      <c r="V218" s="253"/>
      <c r="W218" s="253"/>
      <c r="X218" s="253"/>
      <c r="Y218" s="253"/>
      <c r="Z218" s="253"/>
      <c r="AA218" s="253"/>
      <c r="AB218" s="253"/>
      <c r="AC218" s="253"/>
      <c r="AD218" s="253"/>
      <c r="AE218" s="253"/>
      <c r="AF218" s="253"/>
      <c r="AG218" s="253"/>
      <c r="AH218" s="253"/>
      <c r="AI218" s="253"/>
      <c r="AJ218" s="253"/>
      <c r="AK218" s="252"/>
      <c r="AL218" s="252"/>
      <c r="AM218" s="252"/>
      <c r="AN218" s="252"/>
      <c r="AO218" s="252"/>
      <c r="AP218" s="252"/>
      <c r="AQ218" s="252"/>
      <c r="AR218" s="252"/>
      <c r="AS218" s="252"/>
      <c r="AT218" s="252"/>
      <c r="AU218" s="252"/>
      <c r="AV218" s="252"/>
      <c r="AW218" s="252"/>
      <c r="AX218" s="252"/>
      <c r="AY218" s="252"/>
      <c r="AZ218" s="252"/>
      <c r="BA218" s="252"/>
      <c r="BB218" s="252"/>
      <c r="BC218" s="252"/>
      <c r="BD218" s="252"/>
      <c r="BE218" s="252"/>
      <c r="BF218" s="252"/>
      <c r="BG218" s="252"/>
      <c r="BH218" s="252"/>
      <c r="BI218" s="252"/>
      <c r="BJ218" s="252"/>
      <c r="BK218" s="252"/>
      <c r="BL218" s="252"/>
      <c r="BM218" s="252"/>
      <c r="BN218" s="252"/>
      <c r="BO218" s="252"/>
      <c r="BP218" s="252"/>
      <c r="BQ218" s="252"/>
      <c r="BR218" s="252"/>
      <c r="BS218" s="252"/>
      <c r="BT218" s="252"/>
      <c r="BU218" s="252"/>
      <c r="BV218" s="252"/>
      <c r="BW218" s="252"/>
      <c r="BX218" s="252"/>
      <c r="BY218" s="252"/>
      <c r="BZ218" s="252"/>
    </row>
    <row r="219" spans="1:78" x14ac:dyDescent="0.25">
      <c r="A219" s="252"/>
      <c r="B219" s="252"/>
      <c r="C219" s="252"/>
      <c r="D219" s="252"/>
      <c r="E219" s="252"/>
      <c r="F219" s="253"/>
      <c r="G219" s="253"/>
      <c r="H219" s="253"/>
      <c r="I219" s="253"/>
      <c r="J219" s="253"/>
      <c r="K219" s="253"/>
      <c r="L219" s="253"/>
      <c r="M219" s="253"/>
      <c r="N219" s="253"/>
      <c r="O219" s="253"/>
      <c r="P219" s="253"/>
      <c r="Q219" s="253"/>
      <c r="R219" s="253"/>
      <c r="S219" s="253"/>
      <c r="T219" s="253"/>
      <c r="U219" s="253"/>
      <c r="V219" s="253"/>
      <c r="W219" s="253"/>
      <c r="X219" s="253"/>
      <c r="Y219" s="253"/>
      <c r="Z219" s="253"/>
      <c r="AA219" s="253"/>
      <c r="AB219" s="253"/>
      <c r="AC219" s="253"/>
      <c r="AD219" s="253"/>
      <c r="AE219" s="253"/>
      <c r="AF219" s="253"/>
      <c r="AG219" s="253"/>
      <c r="AH219" s="253"/>
      <c r="AI219" s="253"/>
      <c r="AJ219" s="253"/>
      <c r="AK219" s="252"/>
      <c r="AL219" s="252"/>
      <c r="AM219" s="252"/>
      <c r="AN219" s="252"/>
      <c r="AO219" s="252"/>
      <c r="AP219" s="252"/>
      <c r="AQ219" s="252"/>
      <c r="AR219" s="252"/>
      <c r="AS219" s="252"/>
      <c r="AT219" s="252"/>
      <c r="AU219" s="252"/>
      <c r="AV219" s="252"/>
      <c r="AW219" s="252"/>
      <c r="AX219" s="252"/>
      <c r="AY219" s="252"/>
      <c r="AZ219" s="252"/>
      <c r="BA219" s="252"/>
      <c r="BB219" s="252"/>
      <c r="BC219" s="252"/>
      <c r="BD219" s="252"/>
      <c r="BE219" s="252"/>
      <c r="BF219" s="252"/>
      <c r="BG219" s="252"/>
      <c r="BH219" s="252"/>
      <c r="BI219" s="252"/>
      <c r="BJ219" s="252"/>
      <c r="BK219" s="252"/>
      <c r="BL219" s="252"/>
      <c r="BM219" s="252"/>
      <c r="BN219" s="252"/>
      <c r="BO219" s="252"/>
      <c r="BP219" s="252"/>
      <c r="BQ219" s="252"/>
      <c r="BR219" s="252"/>
      <c r="BS219" s="252"/>
      <c r="BT219" s="252"/>
      <c r="BU219" s="252"/>
      <c r="BV219" s="252"/>
      <c r="BW219" s="252"/>
      <c r="BX219" s="252"/>
      <c r="BY219" s="252"/>
      <c r="BZ219" s="252"/>
    </row>
    <row r="220" spans="1:78" x14ac:dyDescent="0.25">
      <c r="A220" s="252"/>
      <c r="B220" s="252"/>
      <c r="C220" s="252"/>
      <c r="D220" s="252"/>
      <c r="E220" s="252"/>
      <c r="F220" s="253"/>
      <c r="G220" s="253"/>
      <c r="H220" s="253"/>
      <c r="I220" s="253"/>
      <c r="J220" s="253"/>
      <c r="K220" s="253"/>
      <c r="L220" s="253"/>
      <c r="M220" s="253"/>
      <c r="N220" s="253"/>
      <c r="O220" s="253"/>
      <c r="P220" s="253"/>
      <c r="Q220" s="253"/>
      <c r="R220" s="253"/>
      <c r="S220" s="253"/>
      <c r="T220" s="253"/>
      <c r="U220" s="253"/>
      <c r="V220" s="253"/>
      <c r="W220" s="253"/>
      <c r="X220" s="253"/>
      <c r="Y220" s="253"/>
      <c r="Z220" s="253"/>
      <c r="AA220" s="253"/>
      <c r="AB220" s="253"/>
      <c r="AC220" s="253"/>
      <c r="AD220" s="253"/>
      <c r="AE220" s="253"/>
      <c r="AF220" s="253"/>
      <c r="AG220" s="253"/>
      <c r="AH220" s="253"/>
      <c r="AI220" s="253"/>
      <c r="AJ220" s="253"/>
      <c r="AK220" s="252"/>
      <c r="AL220" s="252"/>
      <c r="AM220" s="252"/>
      <c r="AN220" s="252"/>
      <c r="AO220" s="252"/>
      <c r="AP220" s="252"/>
      <c r="AQ220" s="252"/>
      <c r="AR220" s="252"/>
      <c r="AS220" s="252"/>
      <c r="AT220" s="252"/>
      <c r="AU220" s="252"/>
      <c r="AV220" s="252"/>
      <c r="AW220" s="252"/>
      <c r="AX220" s="252"/>
      <c r="AY220" s="252"/>
      <c r="AZ220" s="252"/>
      <c r="BA220" s="252"/>
      <c r="BB220" s="252"/>
      <c r="BC220" s="252"/>
      <c r="BD220" s="252"/>
      <c r="BE220" s="252"/>
      <c r="BF220" s="252"/>
      <c r="BG220" s="252"/>
      <c r="BH220" s="252"/>
      <c r="BI220" s="252"/>
      <c r="BJ220" s="252"/>
      <c r="BK220" s="252"/>
      <c r="BL220" s="252"/>
      <c r="BM220" s="252"/>
      <c r="BN220" s="252"/>
      <c r="BO220" s="252"/>
      <c r="BP220" s="252"/>
      <c r="BQ220" s="252"/>
      <c r="BR220" s="252"/>
      <c r="BS220" s="252"/>
      <c r="BT220" s="252"/>
      <c r="BU220" s="252"/>
      <c r="BV220" s="252"/>
      <c r="BW220" s="252"/>
      <c r="BX220" s="252"/>
      <c r="BY220" s="252"/>
      <c r="BZ220" s="252"/>
    </row>
    <row r="221" spans="1:78" x14ac:dyDescent="0.25">
      <c r="A221" s="252"/>
      <c r="B221" s="252"/>
      <c r="C221" s="252"/>
      <c r="D221" s="252"/>
      <c r="E221" s="252"/>
      <c r="F221" s="253"/>
      <c r="G221" s="253"/>
      <c r="H221" s="253"/>
      <c r="I221" s="253"/>
      <c r="J221" s="253"/>
      <c r="K221" s="253"/>
      <c r="L221" s="253"/>
      <c r="M221" s="253"/>
      <c r="N221" s="253"/>
      <c r="O221" s="253"/>
      <c r="P221" s="253"/>
      <c r="Q221" s="253"/>
      <c r="R221" s="253"/>
      <c r="S221" s="253"/>
      <c r="T221" s="253"/>
      <c r="U221" s="253"/>
      <c r="V221" s="253"/>
      <c r="W221" s="253"/>
      <c r="X221" s="253"/>
      <c r="Y221" s="253"/>
      <c r="Z221" s="253"/>
      <c r="AA221" s="253"/>
      <c r="AB221" s="253"/>
      <c r="AC221" s="253"/>
      <c r="AD221" s="253"/>
      <c r="AE221" s="253"/>
      <c r="AF221" s="253"/>
      <c r="AG221" s="253"/>
      <c r="AH221" s="253"/>
      <c r="AI221" s="253"/>
      <c r="AJ221" s="253"/>
      <c r="AK221" s="252"/>
      <c r="AL221" s="252"/>
      <c r="AM221" s="252"/>
      <c r="AN221" s="252"/>
      <c r="AO221" s="252"/>
      <c r="AP221" s="252"/>
      <c r="AQ221" s="252"/>
      <c r="AR221" s="252"/>
      <c r="AS221" s="252"/>
      <c r="AT221" s="252"/>
      <c r="AU221" s="252"/>
      <c r="AV221" s="252"/>
      <c r="AW221" s="252"/>
      <c r="AX221" s="252"/>
      <c r="AY221" s="252"/>
      <c r="AZ221" s="252"/>
      <c r="BA221" s="252"/>
      <c r="BB221" s="252"/>
      <c r="BC221" s="252"/>
      <c r="BD221" s="252"/>
      <c r="BE221" s="252"/>
      <c r="BF221" s="252"/>
      <c r="BG221" s="252"/>
      <c r="BH221" s="252"/>
      <c r="BI221" s="252"/>
      <c r="BJ221" s="252"/>
      <c r="BK221" s="252"/>
      <c r="BL221" s="252"/>
      <c r="BM221" s="252"/>
      <c r="BN221" s="252"/>
      <c r="BO221" s="252"/>
      <c r="BP221" s="252"/>
      <c r="BQ221" s="252"/>
      <c r="BR221" s="252"/>
      <c r="BS221" s="252"/>
      <c r="BT221" s="252"/>
      <c r="BU221" s="252"/>
      <c r="BV221" s="252"/>
      <c r="BW221" s="252"/>
      <c r="BX221" s="252"/>
      <c r="BY221" s="252"/>
      <c r="BZ221" s="252"/>
    </row>
    <row r="222" spans="1:78" x14ac:dyDescent="0.25">
      <c r="A222" s="252"/>
      <c r="B222" s="252"/>
      <c r="C222" s="252"/>
      <c r="D222" s="252"/>
      <c r="E222" s="252"/>
      <c r="F222" s="253"/>
      <c r="G222" s="253"/>
      <c r="H222" s="253"/>
      <c r="I222" s="253"/>
      <c r="J222" s="253"/>
      <c r="K222" s="253"/>
      <c r="L222" s="253"/>
      <c r="M222" s="253"/>
      <c r="N222" s="253"/>
      <c r="O222" s="253"/>
      <c r="P222" s="253"/>
      <c r="Q222" s="253"/>
      <c r="R222" s="253"/>
      <c r="S222" s="253"/>
      <c r="T222" s="253"/>
      <c r="U222" s="253"/>
      <c r="V222" s="253"/>
      <c r="W222" s="253"/>
      <c r="X222" s="253"/>
      <c r="Y222" s="253"/>
      <c r="Z222" s="253"/>
      <c r="AA222" s="253"/>
      <c r="AB222" s="253"/>
      <c r="AC222" s="253"/>
      <c r="AD222" s="253"/>
      <c r="AE222" s="253"/>
      <c r="AF222" s="253"/>
      <c r="AG222" s="253"/>
      <c r="AH222" s="253"/>
      <c r="AI222" s="253"/>
      <c r="AJ222" s="253"/>
      <c r="AK222" s="252"/>
      <c r="AL222" s="252"/>
      <c r="AM222" s="252"/>
      <c r="AN222" s="252"/>
      <c r="AO222" s="252"/>
      <c r="AP222" s="252"/>
      <c r="AQ222" s="252"/>
      <c r="AR222" s="252"/>
      <c r="AS222" s="252"/>
      <c r="AT222" s="252"/>
      <c r="AU222" s="252"/>
      <c r="AV222" s="252"/>
      <c r="AW222" s="252"/>
      <c r="AX222" s="252"/>
      <c r="AY222" s="252"/>
      <c r="AZ222" s="252"/>
      <c r="BA222" s="252"/>
      <c r="BB222" s="252"/>
      <c r="BC222" s="252"/>
      <c r="BD222" s="252"/>
      <c r="BE222" s="252"/>
      <c r="BF222" s="252"/>
      <c r="BG222" s="252"/>
      <c r="BH222" s="252"/>
      <c r="BI222" s="252"/>
      <c r="BJ222" s="252"/>
      <c r="BK222" s="252"/>
      <c r="BL222" s="252"/>
      <c r="BM222" s="252"/>
      <c r="BN222" s="252"/>
      <c r="BO222" s="252"/>
      <c r="BP222" s="252"/>
      <c r="BQ222" s="252"/>
      <c r="BR222" s="252"/>
      <c r="BS222" s="252"/>
      <c r="BT222" s="252"/>
      <c r="BU222" s="252"/>
      <c r="BV222" s="252"/>
      <c r="BW222" s="252"/>
      <c r="BX222" s="252"/>
      <c r="BY222" s="252"/>
      <c r="BZ222" s="252"/>
    </row>
    <row r="223" spans="1:78" x14ac:dyDescent="0.25">
      <c r="A223" s="252"/>
      <c r="B223" s="252"/>
      <c r="C223" s="252"/>
      <c r="D223" s="252"/>
      <c r="E223" s="252"/>
      <c r="F223" s="253"/>
      <c r="G223" s="253"/>
      <c r="H223" s="253"/>
      <c r="I223" s="253"/>
      <c r="J223" s="253"/>
      <c r="K223" s="253"/>
      <c r="L223" s="253"/>
      <c r="M223" s="253"/>
      <c r="N223" s="253"/>
      <c r="O223" s="253"/>
      <c r="P223" s="253"/>
      <c r="Q223" s="253"/>
      <c r="R223" s="253"/>
      <c r="S223" s="253"/>
      <c r="T223" s="253"/>
      <c r="U223" s="253"/>
      <c r="V223" s="253"/>
      <c r="W223" s="253"/>
      <c r="X223" s="253"/>
      <c r="Y223" s="253"/>
      <c r="Z223" s="253"/>
      <c r="AA223" s="253"/>
      <c r="AB223" s="253"/>
      <c r="AC223" s="253"/>
      <c r="AD223" s="253"/>
      <c r="AE223" s="253"/>
      <c r="AF223" s="253"/>
      <c r="AG223" s="253"/>
      <c r="AH223" s="253"/>
      <c r="AI223" s="253"/>
      <c r="AJ223" s="253"/>
      <c r="AK223" s="252"/>
      <c r="AL223" s="252"/>
      <c r="AM223" s="252"/>
      <c r="AN223" s="252"/>
      <c r="AO223" s="252"/>
      <c r="AP223" s="252"/>
      <c r="AQ223" s="252"/>
      <c r="AR223" s="252"/>
      <c r="AS223" s="252"/>
      <c r="AT223" s="252"/>
      <c r="AU223" s="252"/>
      <c r="AV223" s="252"/>
      <c r="AW223" s="252"/>
      <c r="AX223" s="252"/>
      <c r="AY223" s="252"/>
      <c r="AZ223" s="252"/>
      <c r="BA223" s="252"/>
      <c r="BB223" s="252"/>
      <c r="BC223" s="252"/>
      <c r="BD223" s="252"/>
      <c r="BE223" s="252"/>
      <c r="BF223" s="252"/>
      <c r="BG223" s="252"/>
      <c r="BH223" s="252"/>
      <c r="BI223" s="252"/>
      <c r="BJ223" s="252"/>
      <c r="BK223" s="252"/>
      <c r="BL223" s="252"/>
      <c r="BM223" s="252"/>
      <c r="BN223" s="252"/>
      <c r="BO223" s="252"/>
      <c r="BP223" s="252"/>
      <c r="BQ223" s="252"/>
      <c r="BR223" s="252"/>
      <c r="BS223" s="252"/>
      <c r="BT223" s="252"/>
      <c r="BU223" s="252"/>
      <c r="BV223" s="252"/>
      <c r="BW223" s="252"/>
      <c r="BX223" s="252"/>
      <c r="BY223" s="252"/>
      <c r="BZ223" s="252"/>
    </row>
    <row r="224" spans="1:78" x14ac:dyDescent="0.25">
      <c r="A224" s="252"/>
      <c r="B224" s="252"/>
      <c r="C224" s="252"/>
      <c r="D224" s="252"/>
      <c r="E224" s="252"/>
      <c r="F224" s="253"/>
      <c r="G224" s="253"/>
      <c r="H224" s="253"/>
      <c r="I224" s="253"/>
      <c r="J224" s="253"/>
      <c r="K224" s="253"/>
      <c r="L224" s="253"/>
      <c r="M224" s="253"/>
      <c r="N224" s="253"/>
      <c r="O224" s="253"/>
      <c r="P224" s="253"/>
      <c r="Q224" s="253"/>
      <c r="R224" s="253"/>
      <c r="S224" s="253"/>
      <c r="T224" s="253"/>
      <c r="U224" s="253"/>
      <c r="V224" s="253"/>
      <c r="W224" s="253"/>
      <c r="X224" s="253"/>
      <c r="Y224" s="253"/>
      <c r="Z224" s="253"/>
      <c r="AA224" s="253"/>
      <c r="AB224" s="253"/>
      <c r="AC224" s="253"/>
      <c r="AD224" s="253"/>
      <c r="AE224" s="253"/>
      <c r="AF224" s="253"/>
      <c r="AG224" s="253"/>
      <c r="AH224" s="253"/>
      <c r="AI224" s="253"/>
      <c r="AJ224" s="253"/>
      <c r="AK224" s="252"/>
      <c r="AL224" s="252"/>
      <c r="AM224" s="252"/>
      <c r="AN224" s="252"/>
      <c r="AO224" s="252"/>
      <c r="AP224" s="252"/>
      <c r="AQ224" s="252"/>
      <c r="AR224" s="252"/>
      <c r="AS224" s="252"/>
      <c r="AT224" s="252"/>
      <c r="AU224" s="252"/>
      <c r="AV224" s="252"/>
      <c r="AW224" s="252"/>
      <c r="AX224" s="252"/>
      <c r="AY224" s="252"/>
      <c r="AZ224" s="252"/>
      <c r="BA224" s="252"/>
      <c r="BB224" s="252"/>
      <c r="BC224" s="252"/>
      <c r="BD224" s="252"/>
      <c r="BE224" s="252"/>
      <c r="BF224" s="252"/>
      <c r="BG224" s="252"/>
      <c r="BH224" s="252"/>
      <c r="BI224" s="252"/>
      <c r="BJ224" s="252"/>
      <c r="BK224" s="252"/>
      <c r="BL224" s="252"/>
      <c r="BM224" s="252"/>
      <c r="BN224" s="252"/>
      <c r="BO224" s="252"/>
      <c r="BP224" s="252"/>
      <c r="BQ224" s="252"/>
      <c r="BR224" s="252"/>
      <c r="BS224" s="252"/>
      <c r="BT224" s="252"/>
      <c r="BU224" s="252"/>
      <c r="BV224" s="252"/>
      <c r="BW224" s="252"/>
      <c r="BX224" s="252"/>
      <c r="BY224" s="252"/>
      <c r="BZ224" s="252"/>
    </row>
    <row r="225" spans="1:78" x14ac:dyDescent="0.25">
      <c r="A225" s="252"/>
      <c r="B225" s="252"/>
      <c r="C225" s="252"/>
      <c r="D225" s="252"/>
      <c r="E225" s="252"/>
      <c r="F225" s="253"/>
      <c r="G225" s="253"/>
      <c r="H225" s="253"/>
      <c r="I225" s="253"/>
      <c r="J225" s="253"/>
      <c r="K225" s="253"/>
      <c r="L225" s="253"/>
      <c r="M225" s="253"/>
      <c r="N225" s="253"/>
      <c r="O225" s="253"/>
      <c r="P225" s="253"/>
      <c r="Q225" s="253"/>
      <c r="R225" s="253"/>
      <c r="S225" s="253"/>
      <c r="T225" s="253"/>
      <c r="U225" s="253"/>
      <c r="V225" s="253"/>
      <c r="W225" s="253"/>
      <c r="X225" s="253"/>
      <c r="Y225" s="253"/>
      <c r="Z225" s="253"/>
      <c r="AA225" s="253"/>
      <c r="AB225" s="253"/>
      <c r="AC225" s="253"/>
      <c r="AD225" s="253"/>
      <c r="AE225" s="253"/>
      <c r="AF225" s="253"/>
      <c r="AG225" s="253"/>
      <c r="AH225" s="253"/>
      <c r="AI225" s="253"/>
      <c r="AJ225" s="253"/>
      <c r="AK225" s="252"/>
      <c r="AL225" s="252"/>
      <c r="AM225" s="252"/>
      <c r="AN225" s="252"/>
      <c r="AO225" s="252"/>
      <c r="AP225" s="252"/>
      <c r="AQ225" s="252"/>
      <c r="AR225" s="252"/>
      <c r="AS225" s="252"/>
      <c r="AT225" s="252"/>
      <c r="AU225" s="252"/>
      <c r="AV225" s="252"/>
      <c r="AW225" s="252"/>
      <c r="AX225" s="252"/>
      <c r="AY225" s="252"/>
      <c r="AZ225" s="252"/>
      <c r="BA225" s="252"/>
      <c r="BB225" s="252"/>
      <c r="BC225" s="252"/>
      <c r="BD225" s="252"/>
      <c r="BE225" s="252"/>
      <c r="BF225" s="252"/>
      <c r="BG225" s="252"/>
      <c r="BH225" s="252"/>
      <c r="BI225" s="252"/>
      <c r="BJ225" s="252"/>
      <c r="BK225" s="252"/>
      <c r="BL225" s="252"/>
      <c r="BM225" s="252"/>
      <c r="BN225" s="252"/>
      <c r="BO225" s="252"/>
      <c r="BP225" s="252"/>
      <c r="BQ225" s="252"/>
      <c r="BR225" s="252"/>
      <c r="BS225" s="252"/>
      <c r="BT225" s="252"/>
      <c r="BU225" s="252"/>
      <c r="BV225" s="252"/>
      <c r="BW225" s="252"/>
      <c r="BX225" s="252"/>
      <c r="BY225" s="252"/>
      <c r="BZ225" s="252"/>
    </row>
  </sheetData>
  <sheetProtection selectLockedCells="1" selectUnlockedCells="1"/>
  <mergeCells count="101">
    <mergeCell ref="D162:S164"/>
    <mergeCell ref="U162:AJ164"/>
    <mergeCell ref="B159:B164"/>
    <mergeCell ref="B152:B157"/>
    <mergeCell ref="D141:S143"/>
    <mergeCell ref="U141:AJ143"/>
    <mergeCell ref="D148:S150"/>
    <mergeCell ref="U148:AJ150"/>
    <mergeCell ref="B145:B150"/>
    <mergeCell ref="B138:B143"/>
    <mergeCell ref="U145:AJ147"/>
    <mergeCell ref="D152:S154"/>
    <mergeCell ref="D159:S161"/>
    <mergeCell ref="U159:AJ161"/>
    <mergeCell ref="D145:S147"/>
    <mergeCell ref="D155:S157"/>
    <mergeCell ref="U155:AJ157"/>
    <mergeCell ref="U152:AJ154"/>
    <mergeCell ref="D138:S140"/>
    <mergeCell ref="U138:AJ140"/>
    <mergeCell ref="B131:B136"/>
    <mergeCell ref="B124:B129"/>
    <mergeCell ref="B117:B122"/>
    <mergeCell ref="U103:AJ105"/>
    <mergeCell ref="D110:S112"/>
    <mergeCell ref="D103:S105"/>
    <mergeCell ref="D117:S119"/>
    <mergeCell ref="U110:AJ112"/>
    <mergeCell ref="U113:AJ115"/>
    <mergeCell ref="D120:S122"/>
    <mergeCell ref="B110:B115"/>
    <mergeCell ref="U120:AJ122"/>
    <mergeCell ref="D127:S129"/>
    <mergeCell ref="U127:AJ129"/>
    <mergeCell ref="D134:S136"/>
    <mergeCell ref="U134:AJ136"/>
    <mergeCell ref="U117:AJ119"/>
    <mergeCell ref="D106:S108"/>
    <mergeCell ref="U106:AJ108"/>
    <mergeCell ref="D113:S115"/>
    <mergeCell ref="U124:AJ126"/>
    <mergeCell ref="D131:S133"/>
    <mergeCell ref="U131:AJ133"/>
    <mergeCell ref="D124:S126"/>
    <mergeCell ref="B103:B108"/>
    <mergeCell ref="AM68:AO68"/>
    <mergeCell ref="AQ68:AS68"/>
    <mergeCell ref="AM69:AO69"/>
    <mergeCell ref="AQ69:AS69"/>
    <mergeCell ref="AM76:AO76"/>
    <mergeCell ref="AQ76:AS76"/>
    <mergeCell ref="AM77:AO77"/>
    <mergeCell ref="AQ77:AS77"/>
    <mergeCell ref="B72:B74"/>
    <mergeCell ref="AM72:AO72"/>
    <mergeCell ref="AQ72:AS72"/>
    <mergeCell ref="AM73:AO73"/>
    <mergeCell ref="AQ73:AS73"/>
    <mergeCell ref="AM84:AO84"/>
    <mergeCell ref="AQ84:AS84"/>
    <mergeCell ref="B80:B81"/>
    <mergeCell ref="AM80:AO80"/>
    <mergeCell ref="AQ80:AS80"/>
    <mergeCell ref="AM81:AO81"/>
    <mergeCell ref="AQ81:AS81"/>
    <mergeCell ref="AQ52:AS52"/>
    <mergeCell ref="AQ53:AS53"/>
    <mergeCell ref="AQ48:AS48"/>
    <mergeCell ref="AQ47:AS47"/>
    <mergeCell ref="B56:B58"/>
    <mergeCell ref="AM56:AO56"/>
    <mergeCell ref="AQ56:AS56"/>
    <mergeCell ref="AR1:AS2"/>
    <mergeCell ref="A4:G4"/>
    <mergeCell ref="O5:U6"/>
    <mergeCell ref="B52:B54"/>
    <mergeCell ref="AM47:AO47"/>
    <mergeCell ref="AM48:AO48"/>
    <mergeCell ref="AM53:AO53"/>
    <mergeCell ref="AM52:AO52"/>
    <mergeCell ref="AG5:AG6"/>
    <mergeCell ref="F25:AK25"/>
    <mergeCell ref="H5:L6"/>
    <mergeCell ref="A5:G6"/>
    <mergeCell ref="B60:B62"/>
    <mergeCell ref="AM60:AO60"/>
    <mergeCell ref="AQ60:AS60"/>
    <mergeCell ref="AM61:AO61"/>
    <mergeCell ref="AQ61:AS61"/>
    <mergeCell ref="B76:B78"/>
    <mergeCell ref="AM83:AO83"/>
    <mergeCell ref="AQ83:AS83"/>
    <mergeCell ref="AM57:AO57"/>
    <mergeCell ref="AQ57:AS57"/>
    <mergeCell ref="B64:B66"/>
    <mergeCell ref="AM64:AO64"/>
    <mergeCell ref="AQ64:AS64"/>
    <mergeCell ref="AM65:AO65"/>
    <mergeCell ref="AQ65:AS65"/>
    <mergeCell ref="B68:B70"/>
    <mergeCell ref="B83:B85"/>
  </mergeCells>
  <conditionalFormatting sqref="F54:AJ54">
    <cfRule type="expression" dxfId="146" priority="467">
      <formula>AND(LEN(F$54)&gt;0,LEN(F$50)&gt;0,(F$54-F$50)&lt;(-0.1*F$50))</formula>
    </cfRule>
  </conditionalFormatting>
  <conditionalFormatting sqref="F53:AJ53">
    <cfRule type="dataBar" priority="466">
      <dataBar>
        <cfvo type="min"/>
        <cfvo type="num" val="1"/>
        <color rgb="FF638EC6"/>
      </dataBar>
      <extLst>
        <ext xmlns:x14="http://schemas.microsoft.com/office/spreadsheetml/2009/9/main" uri="{B025F937-C7B1-47D3-B67F-A62EFF666E3E}">
          <x14:id>{B4E81D44-1C97-4E22-9B11-954D8AD4C88F}</x14:id>
        </ext>
      </extLst>
    </cfRule>
  </conditionalFormatting>
  <conditionalFormatting sqref="AM53">
    <cfRule type="dataBar" priority="465">
      <dataBar>
        <cfvo type="min"/>
        <cfvo type="num" val="1"/>
        <color rgb="FF638EC6"/>
      </dataBar>
      <extLst>
        <ext xmlns:x14="http://schemas.microsoft.com/office/spreadsheetml/2009/9/main" uri="{B025F937-C7B1-47D3-B67F-A62EFF666E3E}">
          <x14:id>{5AD38E2A-06BB-48FA-8726-B11F629BEA47}</x14:id>
        </ext>
      </extLst>
    </cfRule>
  </conditionalFormatting>
  <conditionalFormatting sqref="F81:AJ81">
    <cfRule type="dataBar" priority="407">
      <dataBar>
        <cfvo type="min"/>
        <cfvo type="num" val="1"/>
        <color rgb="FF638EC6"/>
      </dataBar>
      <extLst>
        <ext xmlns:x14="http://schemas.microsoft.com/office/spreadsheetml/2009/9/main" uri="{B025F937-C7B1-47D3-B67F-A62EFF666E3E}">
          <x14:id>{12B6B903-DCD2-4060-A87E-C075DDE7A709}</x14:id>
        </ext>
      </extLst>
    </cfRule>
  </conditionalFormatting>
  <conditionalFormatting sqref="F52:AJ52 F80:AJ80">
    <cfRule type="cellIs" dxfId="145" priority="406" operator="equal">
      <formula>0</formula>
    </cfRule>
  </conditionalFormatting>
  <conditionalFormatting sqref="AJ47:AJ51 AJ80:AJ81">
    <cfRule type="expression" dxfId="144" priority="403">
      <formula>SEL_MONTH_LASTDAY&lt;31</formula>
    </cfRule>
  </conditionalFormatting>
  <conditionalFormatting sqref="AI47:AI51 AI80:AI81">
    <cfRule type="expression" dxfId="143" priority="402">
      <formula>SEL_MONTH_LASTDAY&lt;30</formula>
    </cfRule>
  </conditionalFormatting>
  <conditionalFormatting sqref="AH47:AH51 AH80:AH81">
    <cfRule type="expression" dxfId="142" priority="399">
      <formula>SEL_MONTH_LASTDAY&lt;29</formula>
    </cfRule>
  </conditionalFormatting>
  <conditionalFormatting sqref="AJ82">
    <cfRule type="expression" dxfId="141" priority="393">
      <formula>SEL_MONTH_LASTDAY&lt;31</formula>
    </cfRule>
  </conditionalFormatting>
  <conditionalFormatting sqref="AI82">
    <cfRule type="expression" dxfId="140" priority="392">
      <formula>SEL_MONTH_LASTDAY&lt;30</formula>
    </cfRule>
  </conditionalFormatting>
  <conditionalFormatting sqref="AH82">
    <cfRule type="expression" dxfId="139" priority="391">
      <formula>SEL_MONTH_LASTDAY&lt;29</formula>
    </cfRule>
  </conditionalFormatting>
  <conditionalFormatting sqref="G53:AJ53">
    <cfRule type="dataBar" priority="276">
      <dataBar>
        <cfvo type="min"/>
        <cfvo type="num" val="1"/>
        <color rgb="FF638EC6"/>
      </dataBar>
      <extLst>
        <ext xmlns:x14="http://schemas.microsoft.com/office/spreadsheetml/2009/9/main" uri="{B025F937-C7B1-47D3-B67F-A62EFF666E3E}">
          <x14:id>{A234413B-7D0B-4331-B001-E276013C32C3}</x14:id>
        </ext>
      </extLst>
    </cfRule>
  </conditionalFormatting>
  <conditionalFormatting sqref="G52:AJ52">
    <cfRule type="cellIs" dxfId="138" priority="275" operator="equal">
      <formula>0</formula>
    </cfRule>
  </conditionalFormatting>
  <conditionalFormatting sqref="G68:AJ68">
    <cfRule type="cellIs" dxfId="137" priority="251" operator="equal">
      <formula>0</formula>
    </cfRule>
  </conditionalFormatting>
  <conditionalFormatting sqref="G57:AJ57">
    <cfRule type="dataBar" priority="270">
      <dataBar>
        <cfvo type="min"/>
        <cfvo type="num" val="1"/>
        <color rgb="FF638EC6"/>
      </dataBar>
      <extLst>
        <ext xmlns:x14="http://schemas.microsoft.com/office/spreadsheetml/2009/9/main" uri="{B025F937-C7B1-47D3-B67F-A62EFF666E3E}">
          <x14:id>{3FDAD48C-4951-4066-8FA8-C3DE126D3ACE}</x14:id>
        </ext>
      </extLst>
    </cfRule>
  </conditionalFormatting>
  <conditionalFormatting sqref="G56:AJ56">
    <cfRule type="cellIs" dxfId="136" priority="269" operator="equal">
      <formula>0</formula>
    </cfRule>
  </conditionalFormatting>
  <conditionalFormatting sqref="G61:AJ61">
    <cfRule type="dataBar" priority="264">
      <dataBar>
        <cfvo type="min"/>
        <cfvo type="num" val="1"/>
        <color rgb="FF638EC6"/>
      </dataBar>
      <extLst>
        <ext xmlns:x14="http://schemas.microsoft.com/office/spreadsheetml/2009/9/main" uri="{B025F937-C7B1-47D3-B67F-A62EFF666E3E}">
          <x14:id>{0376FD0B-AAE1-4895-88CE-C5DDBCE202A4}</x14:id>
        </ext>
      </extLst>
    </cfRule>
  </conditionalFormatting>
  <conditionalFormatting sqref="G60:AJ60">
    <cfRule type="cellIs" dxfId="135" priority="263" operator="equal">
      <formula>0</formula>
    </cfRule>
  </conditionalFormatting>
  <conditionalFormatting sqref="G72:AJ72">
    <cfRule type="cellIs" dxfId="134" priority="245" operator="equal">
      <formula>0</formula>
    </cfRule>
  </conditionalFormatting>
  <conditionalFormatting sqref="G65:AJ65">
    <cfRule type="dataBar" priority="258">
      <dataBar>
        <cfvo type="min"/>
        <cfvo type="num" val="1"/>
        <color rgb="FF638EC6"/>
      </dataBar>
      <extLst>
        <ext xmlns:x14="http://schemas.microsoft.com/office/spreadsheetml/2009/9/main" uri="{B025F937-C7B1-47D3-B67F-A62EFF666E3E}">
          <x14:id>{9B52659F-DA47-4365-90A3-1F5608D80A6F}</x14:id>
        </ext>
      </extLst>
    </cfRule>
  </conditionalFormatting>
  <conditionalFormatting sqref="G64:AJ64">
    <cfRule type="cellIs" dxfId="133" priority="257" operator="equal">
      <formula>0</formula>
    </cfRule>
  </conditionalFormatting>
  <conditionalFormatting sqref="G69:AJ69">
    <cfRule type="dataBar" priority="252">
      <dataBar>
        <cfvo type="min"/>
        <cfvo type="num" val="1"/>
        <color rgb="FF638EC6"/>
      </dataBar>
      <extLst>
        <ext xmlns:x14="http://schemas.microsoft.com/office/spreadsheetml/2009/9/main" uri="{B025F937-C7B1-47D3-B67F-A62EFF666E3E}">
          <x14:id>{7735817B-7B2B-4798-A70B-BAAD1478E4A1}</x14:id>
        </ext>
      </extLst>
    </cfRule>
  </conditionalFormatting>
  <conditionalFormatting sqref="G76:AJ76">
    <cfRule type="cellIs" dxfId="132" priority="239" operator="equal">
      <formula>0</formula>
    </cfRule>
  </conditionalFormatting>
  <conditionalFormatting sqref="G73:AJ73">
    <cfRule type="dataBar" priority="246">
      <dataBar>
        <cfvo type="min"/>
        <cfvo type="num" val="1"/>
        <color rgb="FF638EC6"/>
      </dataBar>
      <extLst>
        <ext xmlns:x14="http://schemas.microsoft.com/office/spreadsheetml/2009/9/main" uri="{B025F937-C7B1-47D3-B67F-A62EFF666E3E}">
          <x14:id>{E26ACF20-72F4-4D92-9AFB-C979896E9B23}</x14:id>
        </ext>
      </extLst>
    </cfRule>
  </conditionalFormatting>
  <conditionalFormatting sqref="G77:AJ77">
    <cfRule type="dataBar" priority="240">
      <dataBar>
        <cfvo type="min"/>
        <cfvo type="num" val="1"/>
        <color rgb="FF638EC6"/>
      </dataBar>
      <extLst>
        <ext xmlns:x14="http://schemas.microsoft.com/office/spreadsheetml/2009/9/main" uri="{B025F937-C7B1-47D3-B67F-A62EFF666E3E}">
          <x14:id>{E77A77DF-0983-441E-A9FF-9BC0D9907AB3}</x14:id>
        </ext>
      </extLst>
    </cfRule>
  </conditionalFormatting>
  <conditionalFormatting sqref="F83:AJ83">
    <cfRule type="cellIs" dxfId="131" priority="212" operator="equal">
      <formula>0</formula>
    </cfRule>
  </conditionalFormatting>
  <conditionalFormatting sqref="G83:AJ83">
    <cfRule type="cellIs" dxfId="130" priority="233" operator="equal">
      <formula>0</formula>
    </cfRule>
  </conditionalFormatting>
  <conditionalFormatting sqref="G84:AJ84">
    <cfRule type="dataBar" priority="234">
      <dataBar>
        <cfvo type="min"/>
        <cfvo type="num" val="1"/>
        <color rgb="FF638EC6"/>
      </dataBar>
      <extLst>
        <ext xmlns:x14="http://schemas.microsoft.com/office/spreadsheetml/2009/9/main" uri="{B025F937-C7B1-47D3-B67F-A62EFF666E3E}">
          <x14:id>{210F7E3D-247D-475E-9900-0F9FE59461AC}</x14:id>
        </ext>
      </extLst>
    </cfRule>
  </conditionalFormatting>
  <conditionalFormatting sqref="F57:AJ57">
    <cfRule type="dataBar" priority="231">
      <dataBar>
        <cfvo type="min"/>
        <cfvo type="num" val="1"/>
        <color rgb="FF638EC6"/>
      </dataBar>
      <extLst>
        <ext xmlns:x14="http://schemas.microsoft.com/office/spreadsheetml/2009/9/main" uri="{B025F937-C7B1-47D3-B67F-A62EFF666E3E}">
          <x14:id>{CFB6787C-434B-455A-83ED-835D06E88467}</x14:id>
        </ext>
      </extLst>
    </cfRule>
  </conditionalFormatting>
  <conditionalFormatting sqref="F56:AJ56">
    <cfRule type="cellIs" dxfId="129" priority="230" operator="equal">
      <formula>0</formula>
    </cfRule>
  </conditionalFormatting>
  <conditionalFormatting sqref="F61:AJ61">
    <cfRule type="dataBar" priority="228">
      <dataBar>
        <cfvo type="min"/>
        <cfvo type="num" val="1"/>
        <color rgb="FF638EC6"/>
      </dataBar>
      <extLst>
        <ext xmlns:x14="http://schemas.microsoft.com/office/spreadsheetml/2009/9/main" uri="{B025F937-C7B1-47D3-B67F-A62EFF666E3E}">
          <x14:id>{DA5F1DCB-99E1-482D-A214-5F795628CB37}</x14:id>
        </ext>
      </extLst>
    </cfRule>
  </conditionalFormatting>
  <conditionalFormatting sqref="F60:AJ60">
    <cfRule type="cellIs" dxfId="128" priority="227" operator="equal">
      <formula>0</formula>
    </cfRule>
  </conditionalFormatting>
  <conditionalFormatting sqref="F65:AJ65">
    <cfRule type="dataBar" priority="225">
      <dataBar>
        <cfvo type="min"/>
        <cfvo type="num" val="1"/>
        <color rgb="FF638EC6"/>
      </dataBar>
      <extLst>
        <ext xmlns:x14="http://schemas.microsoft.com/office/spreadsheetml/2009/9/main" uri="{B025F937-C7B1-47D3-B67F-A62EFF666E3E}">
          <x14:id>{69D67879-6BE3-46F9-9678-32D67EAC0582}</x14:id>
        </ext>
      </extLst>
    </cfRule>
  </conditionalFormatting>
  <conditionalFormatting sqref="F64:AJ64">
    <cfRule type="cellIs" dxfId="127" priority="224" operator="equal">
      <formula>0</formula>
    </cfRule>
  </conditionalFormatting>
  <conditionalFormatting sqref="F69:AJ69">
    <cfRule type="dataBar" priority="222">
      <dataBar>
        <cfvo type="min"/>
        <cfvo type="num" val="1"/>
        <color rgb="FF638EC6"/>
      </dataBar>
      <extLst>
        <ext xmlns:x14="http://schemas.microsoft.com/office/spreadsheetml/2009/9/main" uri="{B025F937-C7B1-47D3-B67F-A62EFF666E3E}">
          <x14:id>{39096F32-F549-4A02-AAEE-2F456A7EAD92}</x14:id>
        </ext>
      </extLst>
    </cfRule>
  </conditionalFormatting>
  <conditionalFormatting sqref="F68:AJ68">
    <cfRule type="cellIs" dxfId="126" priority="221" operator="equal">
      <formula>0</formula>
    </cfRule>
  </conditionalFormatting>
  <conditionalFormatting sqref="F73:AJ73">
    <cfRule type="dataBar" priority="219">
      <dataBar>
        <cfvo type="min"/>
        <cfvo type="num" val="1"/>
        <color rgb="FF638EC6"/>
      </dataBar>
      <extLst>
        <ext xmlns:x14="http://schemas.microsoft.com/office/spreadsheetml/2009/9/main" uri="{B025F937-C7B1-47D3-B67F-A62EFF666E3E}">
          <x14:id>{3598E9B8-7F57-4051-A7DD-D90ADA812F29}</x14:id>
        </ext>
      </extLst>
    </cfRule>
  </conditionalFormatting>
  <conditionalFormatting sqref="F72:AJ72">
    <cfRule type="cellIs" dxfId="125" priority="218" operator="equal">
      <formula>0</formula>
    </cfRule>
  </conditionalFormatting>
  <conditionalFormatting sqref="F77:AJ77">
    <cfRule type="dataBar" priority="216">
      <dataBar>
        <cfvo type="min"/>
        <cfvo type="num" val="1"/>
        <color rgb="FF638EC6"/>
      </dataBar>
      <extLst>
        <ext xmlns:x14="http://schemas.microsoft.com/office/spreadsheetml/2009/9/main" uri="{B025F937-C7B1-47D3-B67F-A62EFF666E3E}">
          <x14:id>{51CD2CAC-69BB-472E-A9FC-E12B490ACB8D}</x14:id>
        </ext>
      </extLst>
    </cfRule>
  </conditionalFormatting>
  <conditionalFormatting sqref="F76:AJ76">
    <cfRule type="cellIs" dxfId="124" priority="215" operator="equal">
      <formula>0</formula>
    </cfRule>
  </conditionalFormatting>
  <conditionalFormatting sqref="F84:AJ84">
    <cfRule type="dataBar" priority="213">
      <dataBar>
        <cfvo type="min"/>
        <cfvo type="num" val="1"/>
        <color rgb="FF638EC6"/>
      </dataBar>
      <extLst>
        <ext xmlns:x14="http://schemas.microsoft.com/office/spreadsheetml/2009/9/main" uri="{B025F937-C7B1-47D3-B67F-A62EFF666E3E}">
          <x14:id>{88D4AEBD-0BEB-4E7C-94B5-015761DE1B5E}</x14:id>
        </ext>
      </extLst>
    </cfRule>
  </conditionalFormatting>
  <conditionalFormatting sqref="F49:AJ50 F80:AJ81 F56:AJ58 F60:AJ62 F64:AJ66 F68:AJ70 F72:AJ74 F76:AJ78 F83:AJ85 F52:AJ54">
    <cfRule type="expression" dxfId="123" priority="211">
      <formula>F$47=1</formula>
    </cfRule>
  </conditionalFormatting>
  <conditionalFormatting sqref="F56:AJ56">
    <cfRule type="cellIs" dxfId="122" priority="209" operator="equal">
      <formula>0</formula>
    </cfRule>
  </conditionalFormatting>
  <conditionalFormatting sqref="G56:AJ56">
    <cfRule type="cellIs" dxfId="121" priority="208" operator="equal">
      <formula>0</formula>
    </cfRule>
  </conditionalFormatting>
  <conditionalFormatting sqref="F60:AJ60">
    <cfRule type="cellIs" dxfId="120" priority="207" operator="equal">
      <formula>0</formula>
    </cfRule>
  </conditionalFormatting>
  <conditionalFormatting sqref="G60:AJ60">
    <cfRule type="cellIs" dxfId="119" priority="206" operator="equal">
      <formula>0</formula>
    </cfRule>
  </conditionalFormatting>
  <conditionalFormatting sqref="F64:AJ64">
    <cfRule type="cellIs" dxfId="118" priority="205" operator="equal">
      <formula>0</formula>
    </cfRule>
  </conditionalFormatting>
  <conditionalFormatting sqref="G64:AJ64">
    <cfRule type="cellIs" dxfId="117" priority="204" operator="equal">
      <formula>0</formula>
    </cfRule>
  </conditionalFormatting>
  <conditionalFormatting sqref="F68:AJ68">
    <cfRule type="cellIs" dxfId="116" priority="203" operator="equal">
      <formula>0</formula>
    </cfRule>
  </conditionalFormatting>
  <conditionalFormatting sqref="G68:AJ68">
    <cfRule type="cellIs" dxfId="115" priority="202" operator="equal">
      <formula>0</formula>
    </cfRule>
  </conditionalFormatting>
  <conditionalFormatting sqref="F72:AJ72">
    <cfRule type="cellIs" dxfId="114" priority="201" operator="equal">
      <formula>0</formula>
    </cfRule>
  </conditionalFormatting>
  <conditionalFormatting sqref="G72:AJ72">
    <cfRule type="cellIs" dxfId="113" priority="200" operator="equal">
      <formula>0</formula>
    </cfRule>
  </conditionalFormatting>
  <conditionalFormatting sqref="F76:AJ76">
    <cfRule type="cellIs" dxfId="112" priority="199" operator="equal">
      <formula>0</formula>
    </cfRule>
  </conditionalFormatting>
  <conditionalFormatting sqref="G76:AJ76">
    <cfRule type="cellIs" dxfId="111" priority="198" operator="equal">
      <formula>0</formula>
    </cfRule>
  </conditionalFormatting>
  <conditionalFormatting sqref="G80:AJ80">
    <cfRule type="cellIs" dxfId="110" priority="197" operator="equal">
      <formula>0</formula>
    </cfRule>
  </conditionalFormatting>
  <conditionalFormatting sqref="F83:AJ83">
    <cfRule type="cellIs" dxfId="109" priority="196" operator="equal">
      <formula>0</formula>
    </cfRule>
  </conditionalFormatting>
  <conditionalFormatting sqref="G83:AJ83">
    <cfRule type="cellIs" dxfId="108" priority="195" operator="equal">
      <formula>0</formula>
    </cfRule>
  </conditionalFormatting>
  <conditionalFormatting sqref="F57:AJ57">
    <cfRule type="dataBar" priority="193">
      <dataBar>
        <cfvo type="min"/>
        <cfvo type="num" val="1"/>
        <color rgb="FF638EC6"/>
      </dataBar>
      <extLst>
        <ext xmlns:x14="http://schemas.microsoft.com/office/spreadsheetml/2009/9/main" uri="{B025F937-C7B1-47D3-B67F-A62EFF666E3E}">
          <x14:id>{01A935EA-173A-4B2C-8C29-ED6373578B0B}</x14:id>
        </ext>
      </extLst>
    </cfRule>
  </conditionalFormatting>
  <conditionalFormatting sqref="F56:AJ56">
    <cfRule type="cellIs" dxfId="107" priority="192" operator="equal">
      <formula>0</formula>
    </cfRule>
  </conditionalFormatting>
  <conditionalFormatting sqref="G57:AJ57">
    <cfRule type="dataBar" priority="191">
      <dataBar>
        <cfvo type="min"/>
        <cfvo type="num" val="1"/>
        <color rgb="FF638EC6"/>
      </dataBar>
      <extLst>
        <ext xmlns:x14="http://schemas.microsoft.com/office/spreadsheetml/2009/9/main" uri="{B025F937-C7B1-47D3-B67F-A62EFF666E3E}">
          <x14:id>{08F9D755-6D83-4A27-9872-9AE3A45ED854}</x14:id>
        </ext>
      </extLst>
    </cfRule>
  </conditionalFormatting>
  <conditionalFormatting sqref="G56:AJ56">
    <cfRule type="cellIs" dxfId="106" priority="190" operator="equal">
      <formula>0</formula>
    </cfRule>
  </conditionalFormatting>
  <conditionalFormatting sqref="F61:AJ61">
    <cfRule type="dataBar" priority="188">
      <dataBar>
        <cfvo type="min"/>
        <cfvo type="num" val="1"/>
        <color rgb="FF638EC6"/>
      </dataBar>
      <extLst>
        <ext xmlns:x14="http://schemas.microsoft.com/office/spreadsheetml/2009/9/main" uri="{B025F937-C7B1-47D3-B67F-A62EFF666E3E}">
          <x14:id>{031F4411-A6DB-4FCC-9519-E14D0792810C}</x14:id>
        </ext>
      </extLst>
    </cfRule>
  </conditionalFormatting>
  <conditionalFormatting sqref="F60:AJ60">
    <cfRule type="cellIs" dxfId="105" priority="187" operator="equal">
      <formula>0</formula>
    </cfRule>
  </conditionalFormatting>
  <conditionalFormatting sqref="G61:AJ61">
    <cfRule type="dataBar" priority="186">
      <dataBar>
        <cfvo type="min"/>
        <cfvo type="num" val="1"/>
        <color rgb="FF638EC6"/>
      </dataBar>
      <extLst>
        <ext xmlns:x14="http://schemas.microsoft.com/office/spreadsheetml/2009/9/main" uri="{B025F937-C7B1-47D3-B67F-A62EFF666E3E}">
          <x14:id>{5294A13E-BA76-4D7C-A7C1-8C3817111484}</x14:id>
        </ext>
      </extLst>
    </cfRule>
  </conditionalFormatting>
  <conditionalFormatting sqref="G60:AJ60">
    <cfRule type="cellIs" dxfId="104" priority="185" operator="equal">
      <formula>0</formula>
    </cfRule>
  </conditionalFormatting>
  <conditionalFormatting sqref="F65:AJ65">
    <cfRule type="dataBar" priority="183">
      <dataBar>
        <cfvo type="min"/>
        <cfvo type="num" val="1"/>
        <color rgb="FF638EC6"/>
      </dataBar>
      <extLst>
        <ext xmlns:x14="http://schemas.microsoft.com/office/spreadsheetml/2009/9/main" uri="{B025F937-C7B1-47D3-B67F-A62EFF666E3E}">
          <x14:id>{E6155012-CBD2-496A-9658-46228C369534}</x14:id>
        </ext>
      </extLst>
    </cfRule>
  </conditionalFormatting>
  <conditionalFormatting sqref="F64:AJ64">
    <cfRule type="cellIs" dxfId="103" priority="182" operator="equal">
      <formula>0</formula>
    </cfRule>
  </conditionalFormatting>
  <conditionalFormatting sqref="G65:AJ65">
    <cfRule type="dataBar" priority="181">
      <dataBar>
        <cfvo type="min"/>
        <cfvo type="num" val="1"/>
        <color rgb="FF638EC6"/>
      </dataBar>
      <extLst>
        <ext xmlns:x14="http://schemas.microsoft.com/office/spreadsheetml/2009/9/main" uri="{B025F937-C7B1-47D3-B67F-A62EFF666E3E}">
          <x14:id>{AD4EB5E3-2158-4987-9A42-4BD0DE5A153E}</x14:id>
        </ext>
      </extLst>
    </cfRule>
  </conditionalFormatting>
  <conditionalFormatting sqref="G64:AJ64">
    <cfRule type="cellIs" dxfId="102" priority="180" operator="equal">
      <formula>0</formula>
    </cfRule>
  </conditionalFormatting>
  <conditionalFormatting sqref="F69:AJ69">
    <cfRule type="dataBar" priority="178">
      <dataBar>
        <cfvo type="min"/>
        <cfvo type="num" val="1"/>
        <color rgb="FF638EC6"/>
      </dataBar>
      <extLst>
        <ext xmlns:x14="http://schemas.microsoft.com/office/spreadsheetml/2009/9/main" uri="{B025F937-C7B1-47D3-B67F-A62EFF666E3E}">
          <x14:id>{C4321E7C-7AF8-4A0F-BAE5-53AE22D12366}</x14:id>
        </ext>
      </extLst>
    </cfRule>
  </conditionalFormatting>
  <conditionalFormatting sqref="F68:AJ68">
    <cfRule type="cellIs" dxfId="101" priority="177" operator="equal">
      <formula>0</formula>
    </cfRule>
  </conditionalFormatting>
  <conditionalFormatting sqref="G69:AJ69">
    <cfRule type="dataBar" priority="176">
      <dataBar>
        <cfvo type="min"/>
        <cfvo type="num" val="1"/>
        <color rgb="FF638EC6"/>
      </dataBar>
      <extLst>
        <ext xmlns:x14="http://schemas.microsoft.com/office/spreadsheetml/2009/9/main" uri="{B025F937-C7B1-47D3-B67F-A62EFF666E3E}">
          <x14:id>{F131A523-2012-4DB0-B69A-3E9C72D220DA}</x14:id>
        </ext>
      </extLst>
    </cfRule>
  </conditionalFormatting>
  <conditionalFormatting sqref="G68:AJ68">
    <cfRule type="cellIs" dxfId="100" priority="175" operator="equal">
      <formula>0</formula>
    </cfRule>
  </conditionalFormatting>
  <conditionalFormatting sqref="F73:AJ73">
    <cfRule type="dataBar" priority="173">
      <dataBar>
        <cfvo type="min"/>
        <cfvo type="num" val="1"/>
        <color rgb="FF638EC6"/>
      </dataBar>
      <extLst>
        <ext xmlns:x14="http://schemas.microsoft.com/office/spreadsheetml/2009/9/main" uri="{B025F937-C7B1-47D3-B67F-A62EFF666E3E}">
          <x14:id>{5B855B52-671E-4808-9194-A53076367B7B}</x14:id>
        </ext>
      </extLst>
    </cfRule>
  </conditionalFormatting>
  <conditionalFormatting sqref="F72:AJ72">
    <cfRule type="cellIs" dxfId="99" priority="172" operator="equal">
      <formula>0</formula>
    </cfRule>
  </conditionalFormatting>
  <conditionalFormatting sqref="G73:AJ73">
    <cfRule type="dataBar" priority="171">
      <dataBar>
        <cfvo type="min"/>
        <cfvo type="num" val="1"/>
        <color rgb="FF638EC6"/>
      </dataBar>
      <extLst>
        <ext xmlns:x14="http://schemas.microsoft.com/office/spreadsheetml/2009/9/main" uri="{B025F937-C7B1-47D3-B67F-A62EFF666E3E}">
          <x14:id>{AE4B0EED-BB94-41E3-8922-DB87DD3FC405}</x14:id>
        </ext>
      </extLst>
    </cfRule>
  </conditionalFormatting>
  <conditionalFormatting sqref="G72:AJ72">
    <cfRule type="cellIs" dxfId="98" priority="170" operator="equal">
      <formula>0</formula>
    </cfRule>
  </conditionalFormatting>
  <conditionalFormatting sqref="F77:AJ77">
    <cfRule type="dataBar" priority="168">
      <dataBar>
        <cfvo type="min"/>
        <cfvo type="num" val="1"/>
        <color rgb="FF638EC6"/>
      </dataBar>
      <extLst>
        <ext xmlns:x14="http://schemas.microsoft.com/office/spreadsheetml/2009/9/main" uri="{B025F937-C7B1-47D3-B67F-A62EFF666E3E}">
          <x14:id>{E1B0C250-C31C-400E-8BFF-3FAF9B05AEC3}</x14:id>
        </ext>
      </extLst>
    </cfRule>
  </conditionalFormatting>
  <conditionalFormatting sqref="F76:AJ76">
    <cfRule type="cellIs" dxfId="97" priority="167" operator="equal">
      <formula>0</formula>
    </cfRule>
  </conditionalFormatting>
  <conditionalFormatting sqref="G77:AJ77">
    <cfRule type="dataBar" priority="166">
      <dataBar>
        <cfvo type="min"/>
        <cfvo type="num" val="1"/>
        <color rgb="FF638EC6"/>
      </dataBar>
      <extLst>
        <ext xmlns:x14="http://schemas.microsoft.com/office/spreadsheetml/2009/9/main" uri="{B025F937-C7B1-47D3-B67F-A62EFF666E3E}">
          <x14:id>{46E89673-E16E-4C44-B4C1-ECC76B223FD8}</x14:id>
        </ext>
      </extLst>
    </cfRule>
  </conditionalFormatting>
  <conditionalFormatting sqref="G76:AJ76">
    <cfRule type="cellIs" dxfId="96" priority="165" operator="equal">
      <formula>0</formula>
    </cfRule>
  </conditionalFormatting>
  <conditionalFormatting sqref="F84:AJ84">
    <cfRule type="dataBar" priority="163">
      <dataBar>
        <cfvo type="min"/>
        <cfvo type="num" val="1"/>
        <color rgb="FF638EC6"/>
      </dataBar>
      <extLst>
        <ext xmlns:x14="http://schemas.microsoft.com/office/spreadsheetml/2009/9/main" uri="{B025F937-C7B1-47D3-B67F-A62EFF666E3E}">
          <x14:id>{4681249A-F8A8-4092-BFC0-83B91ADFFC98}</x14:id>
        </ext>
      </extLst>
    </cfRule>
  </conditionalFormatting>
  <conditionalFormatting sqref="F83:AJ83">
    <cfRule type="cellIs" dxfId="95" priority="162" operator="equal">
      <formula>0</formula>
    </cfRule>
  </conditionalFormatting>
  <conditionalFormatting sqref="G84:AJ84">
    <cfRule type="dataBar" priority="161">
      <dataBar>
        <cfvo type="min"/>
        <cfvo type="num" val="1"/>
        <color rgb="FF638EC6"/>
      </dataBar>
      <extLst>
        <ext xmlns:x14="http://schemas.microsoft.com/office/spreadsheetml/2009/9/main" uri="{B025F937-C7B1-47D3-B67F-A62EFF666E3E}">
          <x14:id>{D1C9CD2E-D1B9-4663-8E5C-3CF4528870F9}</x14:id>
        </ext>
      </extLst>
    </cfRule>
  </conditionalFormatting>
  <conditionalFormatting sqref="G83:AJ83">
    <cfRule type="cellIs" dxfId="94" priority="160" operator="equal">
      <formula>0</formula>
    </cfRule>
  </conditionalFormatting>
  <conditionalFormatting sqref="AN58">
    <cfRule type="expression" dxfId="93" priority="117">
      <formula>AND(LEN(AN58)&gt;0,AN58&gt;TH_STABW_HCP)</formula>
    </cfRule>
  </conditionalFormatting>
  <conditionalFormatting sqref="AN85">
    <cfRule type="expression" dxfId="92" priority="153">
      <formula>AND(LEN(AN85)&gt;0,AN85&gt;TH_STABW_HCP)</formula>
    </cfRule>
  </conditionalFormatting>
  <conditionalFormatting sqref="AN78">
    <cfRule type="expression" dxfId="91" priority="147">
      <formula>AND(LEN(AN78)&gt;0,AN78&gt;TH_STABW_HCP)</formula>
    </cfRule>
  </conditionalFormatting>
  <conditionalFormatting sqref="AN74">
    <cfRule type="expression" dxfId="90" priority="141">
      <formula>AND(LEN(AN74)&gt;0,AN74&gt;TH_STABW_HCP)</formula>
    </cfRule>
  </conditionalFormatting>
  <conditionalFormatting sqref="AN70">
    <cfRule type="expression" dxfId="89" priority="135">
      <formula>AND(LEN(AN70)&gt;0,AN70&gt;TH_STABW_HCP)</formula>
    </cfRule>
  </conditionalFormatting>
  <conditionalFormatting sqref="AN66">
    <cfRule type="expression" dxfId="88" priority="129">
      <formula>AND(LEN(AN66)&gt;0,AN66&gt;TH_STABW_HCP)</formula>
    </cfRule>
  </conditionalFormatting>
  <conditionalFormatting sqref="AN62">
    <cfRule type="expression" dxfId="87" priority="123">
      <formula>AND(LEN(AN62)&gt;0,AN62&gt;TH_STABW_HCP)</formula>
    </cfRule>
  </conditionalFormatting>
  <conditionalFormatting sqref="AN54">
    <cfRule type="expression" dxfId="86" priority="111">
      <formula>AND(LEN(AN54)&gt;0,AN54&gt;TH_STABW_HCP)</formula>
    </cfRule>
  </conditionalFormatting>
  <conditionalFormatting sqref="AN50">
    <cfRule type="expression" dxfId="85" priority="105">
      <formula>AND(LEN(AN50)&gt;0,AN50&gt;TH_STABW_HCP)</formula>
    </cfRule>
  </conditionalFormatting>
  <conditionalFormatting sqref="AO70">
    <cfRule type="cellIs" dxfId="84" priority="103" operator="lessThan">
      <formula>-1*TH_DELTA_HCP</formula>
    </cfRule>
    <cfRule type="expression" dxfId="83" priority="104">
      <formula>AND(LEN(AO70)&gt;0,AO70&gt;=TH_DELTA_HCP)</formula>
    </cfRule>
  </conditionalFormatting>
  <conditionalFormatting sqref="AO66">
    <cfRule type="cellIs" dxfId="82" priority="99" operator="lessThan">
      <formula>-1*TH_DELTA_HCP</formula>
    </cfRule>
    <cfRule type="expression" dxfId="81" priority="100">
      <formula>AND(LEN(AO66)&gt;0,AO66&gt;=TH_DELTA_HCP)</formula>
    </cfRule>
  </conditionalFormatting>
  <conditionalFormatting sqref="AO62">
    <cfRule type="cellIs" dxfId="80" priority="97" operator="lessThan">
      <formula>-1*TH_DELTA_HCP</formula>
    </cfRule>
    <cfRule type="expression" dxfId="79" priority="98">
      <formula>AND(LEN(AO62)&gt;0,AO62&gt;=TH_DELTA_HCP)</formula>
    </cfRule>
  </conditionalFormatting>
  <conditionalFormatting sqref="AO58">
    <cfRule type="cellIs" dxfId="78" priority="95" operator="lessThan">
      <formula>-1*TH_DELTA_HCP</formula>
    </cfRule>
    <cfRule type="expression" dxfId="77" priority="96">
      <formula>AND(LEN(AO58)&gt;0,AO58&gt;=TH_DELTA_HCP)</formula>
    </cfRule>
  </conditionalFormatting>
  <conditionalFormatting sqref="AO54">
    <cfRule type="cellIs" dxfId="76" priority="93" operator="lessThan">
      <formula>-1*TH_DELTA_HCP</formula>
    </cfRule>
    <cfRule type="expression" dxfId="75" priority="94">
      <formula>AND(LEN(AO54)&gt;0,AO54&gt;=TH_DELTA_HCP)</formula>
    </cfRule>
  </conditionalFormatting>
  <conditionalFormatting sqref="AO50">
    <cfRule type="cellIs" dxfId="74" priority="91" operator="lessThan">
      <formula>-1*TH_DELTA_HCP</formula>
    </cfRule>
    <cfRule type="expression" dxfId="73" priority="92">
      <formula>AND(LEN(AO50)&gt;0,AO50&gt;=TH_DELTA_HCP)</formula>
    </cfRule>
  </conditionalFormatting>
  <conditionalFormatting sqref="AO74">
    <cfRule type="cellIs" dxfId="72" priority="89" operator="lessThan">
      <formula>-1*TH_DELTA_HCP</formula>
    </cfRule>
    <cfRule type="expression" dxfId="71" priority="90">
      <formula>AND(LEN(AO74)&gt;0,AO74&gt;=TH_DELTA_HCP)</formula>
    </cfRule>
  </conditionalFormatting>
  <conditionalFormatting sqref="AO78">
    <cfRule type="cellIs" dxfId="70" priority="87" operator="lessThan">
      <formula>-1*TH_DELTA_HCP</formula>
    </cfRule>
    <cfRule type="expression" dxfId="69" priority="88">
      <formula>AND(LEN(AO78)&gt;0,AO78&gt;=TH_DELTA_HCP)</formula>
    </cfRule>
  </conditionalFormatting>
  <conditionalFormatting sqref="AO85">
    <cfRule type="cellIs" dxfId="68" priority="85" operator="lessThan">
      <formula>-1*TH_DELTA_HCP</formula>
    </cfRule>
    <cfRule type="expression" dxfId="67" priority="86">
      <formula>AND(LEN(AO85)&gt;0,AO85&gt;=TH_DELTA_HCP)</formula>
    </cfRule>
  </conditionalFormatting>
  <conditionalFormatting sqref="AS85">
    <cfRule type="cellIs" dxfId="66" priority="83" operator="lessThan">
      <formula>-1*TH_DELTA_HCP</formula>
    </cfRule>
    <cfRule type="expression" dxfId="65" priority="84">
      <formula>AND(LEN(AS85)&gt;0,AS85&gt;=TH_DELTA_HCP)</formula>
    </cfRule>
  </conditionalFormatting>
  <conditionalFormatting sqref="AS78">
    <cfRule type="cellIs" dxfId="64" priority="81" operator="lessThan">
      <formula>-1*TH_DELTA_HCP</formula>
    </cfRule>
    <cfRule type="expression" dxfId="63" priority="82">
      <formula>AND(LEN(AS78)&gt;0,AS78&gt;=TH_DELTA_HCP)</formula>
    </cfRule>
  </conditionalFormatting>
  <conditionalFormatting sqref="AS74">
    <cfRule type="cellIs" dxfId="62" priority="79" operator="lessThan">
      <formula>-1*TH_DELTA_HCP</formula>
    </cfRule>
    <cfRule type="expression" dxfId="61" priority="80">
      <formula>AND(LEN(AS74)&gt;0,AS74&gt;=TH_DELTA_HCP)</formula>
    </cfRule>
  </conditionalFormatting>
  <conditionalFormatting sqref="AS70">
    <cfRule type="cellIs" dxfId="60" priority="77" operator="lessThan">
      <formula>-1*TH_DELTA_HCP</formula>
    </cfRule>
    <cfRule type="expression" dxfId="59" priority="78">
      <formula>AND(LEN(AS70)&gt;0,AS70&gt;=TH_DELTA_HCP)</formula>
    </cfRule>
  </conditionalFormatting>
  <conditionalFormatting sqref="AS66">
    <cfRule type="cellIs" dxfId="58" priority="75" operator="lessThan">
      <formula>-1*TH_DELTA_HCP</formula>
    </cfRule>
    <cfRule type="expression" dxfId="57" priority="76">
      <formula>AND(LEN(AS66)&gt;0,AS66&gt;=TH_DELTA_HCP)</formula>
    </cfRule>
  </conditionalFormatting>
  <conditionalFormatting sqref="AS62">
    <cfRule type="cellIs" dxfId="56" priority="73" operator="lessThan">
      <formula>-1*TH_DELTA_HCP</formula>
    </cfRule>
    <cfRule type="expression" dxfId="55" priority="74">
      <formula>AND(LEN(AS62)&gt;0,AS62&gt;=TH_DELTA_HCP)</formula>
    </cfRule>
  </conditionalFormatting>
  <conditionalFormatting sqref="AS58">
    <cfRule type="cellIs" dxfId="54" priority="71" operator="lessThan">
      <formula>-1*TH_DELTA_HCP</formula>
    </cfRule>
    <cfRule type="expression" dxfId="53" priority="72">
      <formula>AND(LEN(AS58)&gt;0,AS58&gt;=TH_DELTA_HCP)</formula>
    </cfRule>
  </conditionalFormatting>
  <conditionalFormatting sqref="AS54">
    <cfRule type="cellIs" dxfId="52" priority="69" operator="lessThan">
      <formula>-1*TH_DELTA_HCP</formula>
    </cfRule>
    <cfRule type="expression" dxfId="51" priority="70">
      <formula>AND(LEN(AS54)&gt;0,AS54&gt;=TH_DELTA_HCP)</formula>
    </cfRule>
  </conditionalFormatting>
  <conditionalFormatting sqref="AS50">
    <cfRule type="cellIs" dxfId="50" priority="67" operator="lessThan">
      <formula>-1*TH_DELTA_HCP</formula>
    </cfRule>
    <cfRule type="expression" dxfId="49" priority="68">
      <formula>AND(LEN(AS50)&gt;0,AS50&gt;=TH_DELTA_HCP)</formula>
    </cfRule>
  </conditionalFormatting>
  <conditionalFormatting sqref="AR50">
    <cfRule type="expression" dxfId="48" priority="66">
      <formula>AND(LEN(AR50)&gt;0,AR50&gt;TH_STABW_HCP)</formula>
    </cfRule>
  </conditionalFormatting>
  <conditionalFormatting sqref="AR54">
    <cfRule type="expression" dxfId="47" priority="65">
      <formula>AND(LEN(AR54)&gt;0,AR54&gt;TH_STABW_HCP)</formula>
    </cfRule>
  </conditionalFormatting>
  <conditionalFormatting sqref="AR58">
    <cfRule type="expression" dxfId="46" priority="64">
      <formula>AND(LEN(AR58)&gt;0,AR58&gt;TH_STABW_HCP)</formula>
    </cfRule>
  </conditionalFormatting>
  <conditionalFormatting sqref="AR62">
    <cfRule type="expression" dxfId="45" priority="63">
      <formula>AND(LEN(AR62)&gt;0,AR62&gt;TH_STABW_HCP)</formula>
    </cfRule>
  </conditionalFormatting>
  <conditionalFormatting sqref="AR66">
    <cfRule type="expression" dxfId="44" priority="62">
      <formula>AND(LEN(AR66)&gt;0,AR66&gt;TH_STABW_HCP)</formula>
    </cfRule>
  </conditionalFormatting>
  <conditionalFormatting sqref="AR70">
    <cfRule type="expression" dxfId="43" priority="61">
      <formula>AND(LEN(AR70)&gt;0,AR70&gt;TH_STABW_HCP)</formula>
    </cfRule>
  </conditionalFormatting>
  <conditionalFormatting sqref="AR74">
    <cfRule type="expression" dxfId="42" priority="60">
      <formula>AND(LEN(AR74)&gt;0,AR74&gt;TH_STABW_HCP)</formula>
    </cfRule>
  </conditionalFormatting>
  <conditionalFormatting sqref="AR78">
    <cfRule type="expression" dxfId="41" priority="59">
      <formula>AND(LEN(AR78)&gt;0,AR78&gt;TH_STABW_HCP)</formula>
    </cfRule>
  </conditionalFormatting>
  <conditionalFormatting sqref="AR85">
    <cfRule type="expression" dxfId="40" priority="58">
      <formula>AND(LEN(AR85)&gt;0,AR85&gt;TH_STABW_HCP)</formula>
    </cfRule>
  </conditionalFormatting>
  <conditionalFormatting sqref="AM77">
    <cfRule type="dataBar" priority="47">
      <dataBar>
        <cfvo type="min"/>
        <cfvo type="num" val="1"/>
        <color rgb="FF638EC6"/>
      </dataBar>
      <extLst>
        <ext xmlns:x14="http://schemas.microsoft.com/office/spreadsheetml/2009/9/main" uri="{B025F937-C7B1-47D3-B67F-A62EFF666E3E}">
          <x14:id>{DF493FCC-C3DF-4A20-A93D-27E337AB7BCE}</x14:id>
        </ext>
      </extLst>
    </cfRule>
  </conditionalFormatting>
  <conditionalFormatting sqref="AM80">
    <cfRule type="dataBar" priority="45">
      <dataBar>
        <cfvo type="min"/>
        <cfvo type="num" val="1"/>
        <color rgb="FF638EC6"/>
      </dataBar>
      <extLst>
        <ext xmlns:x14="http://schemas.microsoft.com/office/spreadsheetml/2009/9/main" uri="{B025F937-C7B1-47D3-B67F-A62EFF666E3E}">
          <x14:id>{BA82E0B3-46DA-49D8-8F5B-0F997503DEAC}</x14:id>
        </ext>
      </extLst>
    </cfRule>
  </conditionalFormatting>
  <conditionalFormatting sqref="AM83">
    <cfRule type="dataBar" priority="43">
      <dataBar>
        <cfvo type="min"/>
        <cfvo type="num" val="1"/>
        <color rgb="FF638EC6"/>
      </dataBar>
      <extLst>
        <ext xmlns:x14="http://schemas.microsoft.com/office/spreadsheetml/2009/9/main" uri="{B025F937-C7B1-47D3-B67F-A62EFF666E3E}">
          <x14:id>{83C10EFF-016D-47A2-92FC-A2D83A58B883}</x14:id>
        </ext>
      </extLst>
    </cfRule>
  </conditionalFormatting>
  <conditionalFormatting sqref="AJ55">
    <cfRule type="expression" dxfId="39" priority="41">
      <formula>SEL_MONTH_LASTDAY&lt;31</formula>
    </cfRule>
  </conditionalFormatting>
  <conditionalFormatting sqref="AI55">
    <cfRule type="expression" dxfId="38" priority="40">
      <formula>SEL_MONTH_LASTDAY&lt;30</formula>
    </cfRule>
  </conditionalFormatting>
  <conditionalFormatting sqref="AH55">
    <cfRule type="expression" dxfId="37" priority="39">
      <formula>SEL_MONTH_LASTDAY&lt;29</formula>
    </cfRule>
  </conditionalFormatting>
  <conditionalFormatting sqref="AJ59">
    <cfRule type="expression" dxfId="36" priority="38">
      <formula>SEL_MONTH_LASTDAY&lt;31</formula>
    </cfRule>
  </conditionalFormatting>
  <conditionalFormatting sqref="AI59">
    <cfRule type="expression" dxfId="35" priority="37">
      <formula>SEL_MONTH_LASTDAY&lt;30</formula>
    </cfRule>
  </conditionalFormatting>
  <conditionalFormatting sqref="AH59">
    <cfRule type="expression" dxfId="34" priority="36">
      <formula>SEL_MONTH_LASTDAY&lt;29</formula>
    </cfRule>
  </conditionalFormatting>
  <conditionalFormatting sqref="AJ63">
    <cfRule type="expression" dxfId="33" priority="35">
      <formula>SEL_MONTH_LASTDAY&lt;31</formula>
    </cfRule>
  </conditionalFormatting>
  <conditionalFormatting sqref="AI63">
    <cfRule type="expression" dxfId="32" priority="34">
      <formula>SEL_MONTH_LASTDAY&lt;30</formula>
    </cfRule>
  </conditionalFormatting>
  <conditionalFormatting sqref="AH63">
    <cfRule type="expression" dxfId="31" priority="33">
      <formula>SEL_MONTH_LASTDAY&lt;29</formula>
    </cfRule>
  </conditionalFormatting>
  <conditionalFormatting sqref="AJ67">
    <cfRule type="expression" dxfId="30" priority="32">
      <formula>SEL_MONTH_LASTDAY&lt;31</formula>
    </cfRule>
  </conditionalFormatting>
  <conditionalFormatting sqref="AI67">
    <cfRule type="expression" dxfId="29" priority="31">
      <formula>SEL_MONTH_LASTDAY&lt;30</formula>
    </cfRule>
  </conditionalFormatting>
  <conditionalFormatting sqref="AH67">
    <cfRule type="expression" dxfId="28" priority="30">
      <formula>SEL_MONTH_LASTDAY&lt;29</formula>
    </cfRule>
  </conditionalFormatting>
  <conditionalFormatting sqref="AJ71">
    <cfRule type="expression" dxfId="27" priority="29">
      <formula>SEL_MONTH_LASTDAY&lt;31</formula>
    </cfRule>
  </conditionalFormatting>
  <conditionalFormatting sqref="AI71">
    <cfRule type="expression" dxfId="26" priority="28">
      <formula>SEL_MONTH_LASTDAY&lt;30</formula>
    </cfRule>
  </conditionalFormatting>
  <conditionalFormatting sqref="AH71">
    <cfRule type="expression" dxfId="25" priority="27">
      <formula>SEL_MONTH_LASTDAY&lt;29</formula>
    </cfRule>
  </conditionalFormatting>
  <conditionalFormatting sqref="AJ75">
    <cfRule type="expression" dxfId="24" priority="26">
      <formula>SEL_MONTH_LASTDAY&lt;31</formula>
    </cfRule>
  </conditionalFormatting>
  <conditionalFormatting sqref="AI75">
    <cfRule type="expression" dxfId="23" priority="25">
      <formula>SEL_MONTH_LASTDAY&lt;30</formula>
    </cfRule>
  </conditionalFormatting>
  <conditionalFormatting sqref="AH75">
    <cfRule type="expression" dxfId="22" priority="24">
      <formula>SEL_MONTH_LASTDAY&lt;29</formula>
    </cfRule>
  </conditionalFormatting>
  <conditionalFormatting sqref="AJ79">
    <cfRule type="expression" dxfId="21" priority="23">
      <formula>SEL_MONTH_LASTDAY&lt;31</formula>
    </cfRule>
  </conditionalFormatting>
  <conditionalFormatting sqref="AI79">
    <cfRule type="expression" dxfId="20" priority="22">
      <formula>SEL_MONTH_LASTDAY&lt;30</formula>
    </cfRule>
  </conditionalFormatting>
  <conditionalFormatting sqref="AH79">
    <cfRule type="expression" dxfId="19" priority="21">
      <formula>SEL_MONTH_LASTDAY&lt;29</formula>
    </cfRule>
  </conditionalFormatting>
  <conditionalFormatting sqref="AK46">
    <cfRule type="expression" dxfId="18" priority="20">
      <formula>SEL_MONTH_LASTDAY&lt;31</formula>
    </cfRule>
  </conditionalFormatting>
  <conditionalFormatting sqref="AJ46">
    <cfRule type="expression" dxfId="17" priority="19">
      <formula>SEL_MONTH_LASTDAY&lt;30</formula>
    </cfRule>
  </conditionalFormatting>
  <conditionalFormatting sqref="AI46">
    <cfRule type="expression" dxfId="16" priority="18">
      <formula>SEL_MONTH_LASTDAY&lt;29</formula>
    </cfRule>
  </conditionalFormatting>
  <conditionalFormatting sqref="AM57">
    <cfRule type="dataBar" priority="17">
      <dataBar>
        <cfvo type="min"/>
        <cfvo type="num" val="1"/>
        <color rgb="FF638EC6"/>
      </dataBar>
      <extLst>
        <ext xmlns:x14="http://schemas.microsoft.com/office/spreadsheetml/2009/9/main" uri="{B025F937-C7B1-47D3-B67F-A62EFF666E3E}">
          <x14:id>{E50CFAA1-8524-4CC3-A596-65A3AB4267C0}</x14:id>
        </ext>
      </extLst>
    </cfRule>
  </conditionalFormatting>
  <conditionalFormatting sqref="AM61">
    <cfRule type="dataBar" priority="16">
      <dataBar>
        <cfvo type="min"/>
        <cfvo type="num" val="1"/>
        <color rgb="FF638EC6"/>
      </dataBar>
      <extLst>
        <ext xmlns:x14="http://schemas.microsoft.com/office/spreadsheetml/2009/9/main" uri="{B025F937-C7B1-47D3-B67F-A62EFF666E3E}">
          <x14:id>{8EB7A22B-E794-4EE3-8922-520F4217B2FB}</x14:id>
        </ext>
      </extLst>
    </cfRule>
  </conditionalFormatting>
  <conditionalFormatting sqref="AM65">
    <cfRule type="dataBar" priority="15">
      <dataBar>
        <cfvo type="min"/>
        <cfvo type="num" val="1"/>
        <color rgb="FF638EC6"/>
      </dataBar>
      <extLst>
        <ext xmlns:x14="http://schemas.microsoft.com/office/spreadsheetml/2009/9/main" uri="{B025F937-C7B1-47D3-B67F-A62EFF666E3E}">
          <x14:id>{8FC2BED1-2C20-437A-9685-92A683693970}</x14:id>
        </ext>
      </extLst>
    </cfRule>
  </conditionalFormatting>
  <conditionalFormatting sqref="AM69">
    <cfRule type="dataBar" priority="14">
      <dataBar>
        <cfvo type="min"/>
        <cfvo type="num" val="1"/>
        <color rgb="FF638EC6"/>
      </dataBar>
      <extLst>
        <ext xmlns:x14="http://schemas.microsoft.com/office/spreadsheetml/2009/9/main" uri="{B025F937-C7B1-47D3-B67F-A62EFF666E3E}">
          <x14:id>{23E9988F-7104-42F1-8BC9-4463C849D49A}</x14:id>
        </ext>
      </extLst>
    </cfRule>
  </conditionalFormatting>
  <conditionalFormatting sqref="AM73">
    <cfRule type="dataBar" priority="13">
      <dataBar>
        <cfvo type="min"/>
        <cfvo type="num" val="1"/>
        <color rgb="FF638EC6"/>
      </dataBar>
      <extLst>
        <ext xmlns:x14="http://schemas.microsoft.com/office/spreadsheetml/2009/9/main" uri="{B025F937-C7B1-47D3-B67F-A62EFF666E3E}">
          <x14:id>{9D374B89-2414-475F-AA9F-0FD379216A9C}</x14:id>
        </ext>
      </extLst>
    </cfRule>
  </conditionalFormatting>
  <conditionalFormatting sqref="AM81">
    <cfRule type="dataBar" priority="12">
      <dataBar>
        <cfvo type="min"/>
        <cfvo type="num" val="1"/>
        <color rgb="FF638EC6"/>
      </dataBar>
      <extLst>
        <ext xmlns:x14="http://schemas.microsoft.com/office/spreadsheetml/2009/9/main" uri="{B025F937-C7B1-47D3-B67F-A62EFF666E3E}">
          <x14:id>{907E243F-93DE-4052-964B-A44E902ECC15}</x14:id>
        </ext>
      </extLst>
    </cfRule>
  </conditionalFormatting>
  <conditionalFormatting sqref="AM84">
    <cfRule type="dataBar" priority="11">
      <dataBar>
        <cfvo type="min"/>
        <cfvo type="num" val="1"/>
        <color rgb="FF638EC6"/>
      </dataBar>
      <extLst>
        <ext xmlns:x14="http://schemas.microsoft.com/office/spreadsheetml/2009/9/main" uri="{B025F937-C7B1-47D3-B67F-A62EFF666E3E}">
          <x14:id>{BB2B0DF0-27F9-4699-BC75-EA13AA66EFF8}</x14:id>
        </ext>
      </extLst>
    </cfRule>
  </conditionalFormatting>
  <conditionalFormatting sqref="AQ53">
    <cfRule type="dataBar" priority="10">
      <dataBar>
        <cfvo type="min"/>
        <cfvo type="num" val="1"/>
        <color rgb="FF638EC6"/>
      </dataBar>
      <extLst>
        <ext xmlns:x14="http://schemas.microsoft.com/office/spreadsheetml/2009/9/main" uri="{B025F937-C7B1-47D3-B67F-A62EFF666E3E}">
          <x14:id>{2BB5B681-1776-4001-8C42-26491D4ABF87}</x14:id>
        </ext>
      </extLst>
    </cfRule>
  </conditionalFormatting>
  <conditionalFormatting sqref="AQ61">
    <cfRule type="dataBar" priority="8">
      <dataBar>
        <cfvo type="min"/>
        <cfvo type="num" val="1"/>
        <color rgb="FF638EC6"/>
      </dataBar>
      <extLst>
        <ext xmlns:x14="http://schemas.microsoft.com/office/spreadsheetml/2009/9/main" uri="{B025F937-C7B1-47D3-B67F-A62EFF666E3E}">
          <x14:id>{93A72D61-884A-4A9A-A4CE-124678225034}</x14:id>
        </ext>
      </extLst>
    </cfRule>
  </conditionalFormatting>
  <conditionalFormatting sqref="AQ65">
    <cfRule type="dataBar" priority="7">
      <dataBar>
        <cfvo type="min"/>
        <cfvo type="num" val="1"/>
        <color rgb="FF638EC6"/>
      </dataBar>
      <extLst>
        <ext xmlns:x14="http://schemas.microsoft.com/office/spreadsheetml/2009/9/main" uri="{B025F937-C7B1-47D3-B67F-A62EFF666E3E}">
          <x14:id>{8CC875A9-24FA-4D00-AFFE-9D08D19BD29B}</x14:id>
        </ext>
      </extLst>
    </cfRule>
  </conditionalFormatting>
  <conditionalFormatting sqref="AQ69">
    <cfRule type="dataBar" priority="6">
      <dataBar>
        <cfvo type="min"/>
        <cfvo type="num" val="1"/>
        <color rgb="FF638EC6"/>
      </dataBar>
      <extLst>
        <ext xmlns:x14="http://schemas.microsoft.com/office/spreadsheetml/2009/9/main" uri="{B025F937-C7B1-47D3-B67F-A62EFF666E3E}">
          <x14:id>{8B6A38A8-F696-4EDA-9435-93CABFDC0E45}</x14:id>
        </ext>
      </extLst>
    </cfRule>
  </conditionalFormatting>
  <conditionalFormatting sqref="AQ73">
    <cfRule type="dataBar" priority="5">
      <dataBar>
        <cfvo type="min"/>
        <cfvo type="num" val="1"/>
        <color rgb="FF638EC6"/>
      </dataBar>
      <extLst>
        <ext xmlns:x14="http://schemas.microsoft.com/office/spreadsheetml/2009/9/main" uri="{B025F937-C7B1-47D3-B67F-A62EFF666E3E}">
          <x14:id>{1A9CD6E3-9376-4DBA-8AC2-D4E12EE9B9A3}</x14:id>
        </ext>
      </extLst>
    </cfRule>
  </conditionalFormatting>
  <conditionalFormatting sqref="AQ77">
    <cfRule type="dataBar" priority="4">
      <dataBar>
        <cfvo type="min"/>
        <cfvo type="num" val="1"/>
        <color rgb="FF638EC6"/>
      </dataBar>
      <extLst>
        <ext xmlns:x14="http://schemas.microsoft.com/office/spreadsheetml/2009/9/main" uri="{B025F937-C7B1-47D3-B67F-A62EFF666E3E}">
          <x14:id>{9147FB2E-18E1-4786-80A4-CC6BB30F5C11}</x14:id>
        </ext>
      </extLst>
    </cfRule>
  </conditionalFormatting>
  <conditionalFormatting sqref="AQ81">
    <cfRule type="dataBar" priority="3">
      <dataBar>
        <cfvo type="min"/>
        <cfvo type="num" val="1"/>
        <color rgb="FF638EC6"/>
      </dataBar>
      <extLst>
        <ext xmlns:x14="http://schemas.microsoft.com/office/spreadsheetml/2009/9/main" uri="{B025F937-C7B1-47D3-B67F-A62EFF666E3E}">
          <x14:id>{E08D07CD-95A9-4630-9DFD-515A2863D3CC}</x14:id>
        </ext>
      </extLst>
    </cfRule>
  </conditionalFormatting>
  <conditionalFormatting sqref="AQ84">
    <cfRule type="dataBar" priority="2">
      <dataBar>
        <cfvo type="min"/>
        <cfvo type="num" val="1"/>
        <color rgb="FF638EC6"/>
      </dataBar>
      <extLst>
        <ext xmlns:x14="http://schemas.microsoft.com/office/spreadsheetml/2009/9/main" uri="{B025F937-C7B1-47D3-B67F-A62EFF666E3E}">
          <x14:id>{CF8423C7-2A7F-44A5-82B3-4CE24BFDEBEC}</x14:id>
        </ext>
      </extLst>
    </cfRule>
  </conditionalFormatting>
  <conditionalFormatting sqref="AQ57">
    <cfRule type="dataBar" priority="1">
      <dataBar>
        <cfvo type="min"/>
        <cfvo type="num" val="1"/>
        <color rgb="FF638EC6"/>
      </dataBar>
      <extLst>
        <ext xmlns:x14="http://schemas.microsoft.com/office/spreadsheetml/2009/9/main" uri="{B025F937-C7B1-47D3-B67F-A62EFF666E3E}">
          <x14:id>{F6BF5449-9C90-4447-8F74-A477FB1D846A}</x14:id>
        </ext>
      </extLst>
    </cfRule>
  </conditionalFormatting>
  <pageMargins left="0.7" right="0.7" top="0.78740157499999996" bottom="0.78740157499999996" header="0.3" footer="0.3"/>
  <pageSetup paperSize="9" scale="35" orientation="landscape" r:id="rId1"/>
  <drawing r:id="rId2"/>
  <extLst>
    <ext xmlns:x14="http://schemas.microsoft.com/office/spreadsheetml/2009/9/main" uri="{78C0D931-6437-407d-A8EE-F0AAD7539E65}">
      <x14:conditionalFormattings>
        <x14:conditionalFormatting xmlns:xm="http://schemas.microsoft.com/office/excel/2006/main">
          <x14:cfRule type="dataBar" id="{B4E81D44-1C97-4E22-9B11-954D8AD4C88F}">
            <x14:dataBar minLength="0" maxLength="100" gradient="0">
              <x14:cfvo type="autoMin"/>
              <x14:cfvo type="num">
                <xm:f>1</xm:f>
              </x14:cfvo>
              <x14:negativeFillColor rgb="FFFF0000"/>
              <x14:axisColor rgb="FF000000"/>
            </x14:dataBar>
          </x14:cfRule>
          <xm:sqref>F53:AJ53</xm:sqref>
        </x14:conditionalFormatting>
        <x14:conditionalFormatting xmlns:xm="http://schemas.microsoft.com/office/excel/2006/main">
          <x14:cfRule type="dataBar" id="{5AD38E2A-06BB-48FA-8726-B11F629BEA47}">
            <x14:dataBar minLength="0" maxLength="100" gradient="0">
              <x14:cfvo type="autoMin"/>
              <x14:cfvo type="num">
                <xm:f>1</xm:f>
              </x14:cfvo>
              <x14:negativeFillColor rgb="FFFF0000"/>
              <x14:axisColor rgb="FF000000"/>
            </x14:dataBar>
          </x14:cfRule>
          <xm:sqref>AM53</xm:sqref>
        </x14:conditionalFormatting>
        <x14:conditionalFormatting xmlns:xm="http://schemas.microsoft.com/office/excel/2006/main">
          <x14:cfRule type="dataBar" id="{12B6B903-DCD2-4060-A87E-C075DDE7A709}">
            <x14:dataBar minLength="0" maxLength="100" gradient="0">
              <x14:cfvo type="autoMin"/>
              <x14:cfvo type="num">
                <xm:f>1</xm:f>
              </x14:cfvo>
              <x14:negativeFillColor rgb="FFFF0000"/>
              <x14:axisColor rgb="FF000000"/>
            </x14:dataBar>
          </x14:cfRule>
          <xm:sqref>F81:AJ81</xm:sqref>
        </x14:conditionalFormatting>
        <x14:conditionalFormatting xmlns:xm="http://schemas.microsoft.com/office/excel/2006/main">
          <x14:cfRule type="dataBar" id="{A234413B-7D0B-4331-B001-E276013C32C3}">
            <x14:dataBar minLength="0" maxLength="100" gradient="0">
              <x14:cfvo type="autoMin"/>
              <x14:cfvo type="num">
                <xm:f>1</xm:f>
              </x14:cfvo>
              <x14:negativeFillColor rgb="FFFF0000"/>
              <x14:axisColor rgb="FF000000"/>
            </x14:dataBar>
          </x14:cfRule>
          <xm:sqref>G53:AJ53</xm:sqref>
        </x14:conditionalFormatting>
        <x14:conditionalFormatting xmlns:xm="http://schemas.microsoft.com/office/excel/2006/main">
          <x14:cfRule type="dataBar" id="{3FDAD48C-4951-4066-8FA8-C3DE126D3ACE}">
            <x14:dataBar minLength="0" maxLength="100" gradient="0">
              <x14:cfvo type="autoMin"/>
              <x14:cfvo type="num">
                <xm:f>1</xm:f>
              </x14:cfvo>
              <x14:negativeFillColor rgb="FFFF0000"/>
              <x14:axisColor rgb="FF000000"/>
            </x14:dataBar>
          </x14:cfRule>
          <xm:sqref>G57:AJ57</xm:sqref>
        </x14:conditionalFormatting>
        <x14:conditionalFormatting xmlns:xm="http://schemas.microsoft.com/office/excel/2006/main">
          <x14:cfRule type="dataBar" id="{0376FD0B-AAE1-4895-88CE-C5DDBCE202A4}">
            <x14:dataBar minLength="0" maxLength="100" gradient="0">
              <x14:cfvo type="autoMin"/>
              <x14:cfvo type="num">
                <xm:f>1</xm:f>
              </x14:cfvo>
              <x14:negativeFillColor rgb="FFFF0000"/>
              <x14:axisColor rgb="FF000000"/>
            </x14:dataBar>
          </x14:cfRule>
          <xm:sqref>G61:AJ61</xm:sqref>
        </x14:conditionalFormatting>
        <x14:conditionalFormatting xmlns:xm="http://schemas.microsoft.com/office/excel/2006/main">
          <x14:cfRule type="dataBar" id="{9B52659F-DA47-4365-90A3-1F5608D80A6F}">
            <x14:dataBar minLength="0" maxLength="100" gradient="0">
              <x14:cfvo type="autoMin"/>
              <x14:cfvo type="num">
                <xm:f>1</xm:f>
              </x14:cfvo>
              <x14:negativeFillColor rgb="FFFF0000"/>
              <x14:axisColor rgb="FF000000"/>
            </x14:dataBar>
          </x14:cfRule>
          <xm:sqref>G65:AJ65</xm:sqref>
        </x14:conditionalFormatting>
        <x14:conditionalFormatting xmlns:xm="http://schemas.microsoft.com/office/excel/2006/main">
          <x14:cfRule type="dataBar" id="{7735817B-7B2B-4798-A70B-BAAD1478E4A1}">
            <x14:dataBar minLength="0" maxLength="100" gradient="0">
              <x14:cfvo type="autoMin"/>
              <x14:cfvo type="num">
                <xm:f>1</xm:f>
              </x14:cfvo>
              <x14:negativeFillColor rgb="FFFF0000"/>
              <x14:axisColor rgb="FF000000"/>
            </x14:dataBar>
          </x14:cfRule>
          <xm:sqref>G69:AJ69</xm:sqref>
        </x14:conditionalFormatting>
        <x14:conditionalFormatting xmlns:xm="http://schemas.microsoft.com/office/excel/2006/main">
          <x14:cfRule type="dataBar" id="{E26ACF20-72F4-4D92-9AFB-C979896E9B23}">
            <x14:dataBar minLength="0" maxLength="100" gradient="0">
              <x14:cfvo type="autoMin"/>
              <x14:cfvo type="num">
                <xm:f>1</xm:f>
              </x14:cfvo>
              <x14:negativeFillColor rgb="FFFF0000"/>
              <x14:axisColor rgb="FF000000"/>
            </x14:dataBar>
          </x14:cfRule>
          <xm:sqref>G73:AJ73</xm:sqref>
        </x14:conditionalFormatting>
        <x14:conditionalFormatting xmlns:xm="http://schemas.microsoft.com/office/excel/2006/main">
          <x14:cfRule type="dataBar" id="{E77A77DF-0983-441E-A9FF-9BC0D9907AB3}">
            <x14:dataBar minLength="0" maxLength="100" gradient="0">
              <x14:cfvo type="autoMin"/>
              <x14:cfvo type="num">
                <xm:f>1</xm:f>
              </x14:cfvo>
              <x14:negativeFillColor rgb="FFFF0000"/>
              <x14:axisColor rgb="FF000000"/>
            </x14:dataBar>
          </x14:cfRule>
          <xm:sqref>G77:AJ77</xm:sqref>
        </x14:conditionalFormatting>
        <x14:conditionalFormatting xmlns:xm="http://schemas.microsoft.com/office/excel/2006/main">
          <x14:cfRule type="dataBar" id="{210F7E3D-247D-475E-9900-0F9FE59461AC}">
            <x14:dataBar minLength="0" maxLength="100" gradient="0">
              <x14:cfvo type="autoMin"/>
              <x14:cfvo type="num">
                <xm:f>1</xm:f>
              </x14:cfvo>
              <x14:negativeFillColor rgb="FFFF0000"/>
              <x14:axisColor rgb="FF000000"/>
            </x14:dataBar>
          </x14:cfRule>
          <xm:sqref>G84:AJ84</xm:sqref>
        </x14:conditionalFormatting>
        <x14:conditionalFormatting xmlns:xm="http://schemas.microsoft.com/office/excel/2006/main">
          <x14:cfRule type="dataBar" id="{CFB6787C-434B-455A-83ED-835D06E88467}">
            <x14:dataBar minLength="0" maxLength="100" gradient="0">
              <x14:cfvo type="autoMin"/>
              <x14:cfvo type="num">
                <xm:f>1</xm:f>
              </x14:cfvo>
              <x14:negativeFillColor rgb="FFFF0000"/>
              <x14:axisColor rgb="FF000000"/>
            </x14:dataBar>
          </x14:cfRule>
          <xm:sqref>F57:AJ57</xm:sqref>
        </x14:conditionalFormatting>
        <x14:conditionalFormatting xmlns:xm="http://schemas.microsoft.com/office/excel/2006/main">
          <x14:cfRule type="dataBar" id="{DA5F1DCB-99E1-482D-A214-5F795628CB37}">
            <x14:dataBar minLength="0" maxLength="100" gradient="0">
              <x14:cfvo type="autoMin"/>
              <x14:cfvo type="num">
                <xm:f>1</xm:f>
              </x14:cfvo>
              <x14:negativeFillColor rgb="FFFF0000"/>
              <x14:axisColor rgb="FF000000"/>
            </x14:dataBar>
          </x14:cfRule>
          <xm:sqref>F61:AJ61</xm:sqref>
        </x14:conditionalFormatting>
        <x14:conditionalFormatting xmlns:xm="http://schemas.microsoft.com/office/excel/2006/main">
          <x14:cfRule type="dataBar" id="{69D67879-6BE3-46F9-9678-32D67EAC0582}">
            <x14:dataBar minLength="0" maxLength="100" gradient="0">
              <x14:cfvo type="autoMin"/>
              <x14:cfvo type="num">
                <xm:f>1</xm:f>
              </x14:cfvo>
              <x14:negativeFillColor rgb="FFFF0000"/>
              <x14:axisColor rgb="FF000000"/>
            </x14:dataBar>
          </x14:cfRule>
          <xm:sqref>F65:AJ65</xm:sqref>
        </x14:conditionalFormatting>
        <x14:conditionalFormatting xmlns:xm="http://schemas.microsoft.com/office/excel/2006/main">
          <x14:cfRule type="dataBar" id="{39096F32-F549-4A02-AAEE-2F456A7EAD92}">
            <x14:dataBar minLength="0" maxLength="100" gradient="0">
              <x14:cfvo type="autoMin"/>
              <x14:cfvo type="num">
                <xm:f>1</xm:f>
              </x14:cfvo>
              <x14:negativeFillColor rgb="FFFF0000"/>
              <x14:axisColor rgb="FF000000"/>
            </x14:dataBar>
          </x14:cfRule>
          <xm:sqref>F69:AJ69</xm:sqref>
        </x14:conditionalFormatting>
        <x14:conditionalFormatting xmlns:xm="http://schemas.microsoft.com/office/excel/2006/main">
          <x14:cfRule type="dataBar" id="{3598E9B8-7F57-4051-A7DD-D90ADA812F29}">
            <x14:dataBar minLength="0" maxLength="100" gradient="0">
              <x14:cfvo type="autoMin"/>
              <x14:cfvo type="num">
                <xm:f>1</xm:f>
              </x14:cfvo>
              <x14:negativeFillColor rgb="FFFF0000"/>
              <x14:axisColor rgb="FF000000"/>
            </x14:dataBar>
          </x14:cfRule>
          <xm:sqref>F73:AJ73</xm:sqref>
        </x14:conditionalFormatting>
        <x14:conditionalFormatting xmlns:xm="http://schemas.microsoft.com/office/excel/2006/main">
          <x14:cfRule type="dataBar" id="{51CD2CAC-69BB-472E-A9FC-E12B490ACB8D}">
            <x14:dataBar minLength="0" maxLength="100" gradient="0">
              <x14:cfvo type="autoMin"/>
              <x14:cfvo type="num">
                <xm:f>1</xm:f>
              </x14:cfvo>
              <x14:negativeFillColor rgb="FFFF0000"/>
              <x14:axisColor rgb="FF000000"/>
            </x14:dataBar>
          </x14:cfRule>
          <xm:sqref>F77:AJ77</xm:sqref>
        </x14:conditionalFormatting>
        <x14:conditionalFormatting xmlns:xm="http://schemas.microsoft.com/office/excel/2006/main">
          <x14:cfRule type="dataBar" id="{88D4AEBD-0BEB-4E7C-94B5-015761DE1B5E}">
            <x14:dataBar minLength="0" maxLength="100" gradient="0">
              <x14:cfvo type="autoMin"/>
              <x14:cfvo type="num">
                <xm:f>1</xm:f>
              </x14:cfvo>
              <x14:negativeFillColor rgb="FFFF0000"/>
              <x14:axisColor rgb="FF000000"/>
            </x14:dataBar>
          </x14:cfRule>
          <xm:sqref>F84:AJ84</xm:sqref>
        </x14:conditionalFormatting>
        <x14:conditionalFormatting xmlns:xm="http://schemas.microsoft.com/office/excel/2006/main">
          <x14:cfRule type="dataBar" id="{01A935EA-173A-4B2C-8C29-ED6373578B0B}">
            <x14:dataBar minLength="0" maxLength="100" gradient="0">
              <x14:cfvo type="autoMin"/>
              <x14:cfvo type="num">
                <xm:f>1</xm:f>
              </x14:cfvo>
              <x14:negativeFillColor rgb="FFFF0000"/>
              <x14:axisColor rgb="FF000000"/>
            </x14:dataBar>
          </x14:cfRule>
          <xm:sqref>F57:AJ57</xm:sqref>
        </x14:conditionalFormatting>
        <x14:conditionalFormatting xmlns:xm="http://schemas.microsoft.com/office/excel/2006/main">
          <x14:cfRule type="dataBar" id="{08F9D755-6D83-4A27-9872-9AE3A45ED854}">
            <x14:dataBar minLength="0" maxLength="100" gradient="0">
              <x14:cfvo type="autoMin"/>
              <x14:cfvo type="num">
                <xm:f>1</xm:f>
              </x14:cfvo>
              <x14:negativeFillColor rgb="FFFF0000"/>
              <x14:axisColor rgb="FF000000"/>
            </x14:dataBar>
          </x14:cfRule>
          <xm:sqref>G57:AJ57</xm:sqref>
        </x14:conditionalFormatting>
        <x14:conditionalFormatting xmlns:xm="http://schemas.microsoft.com/office/excel/2006/main">
          <x14:cfRule type="dataBar" id="{031F4411-A6DB-4FCC-9519-E14D0792810C}">
            <x14:dataBar minLength="0" maxLength="100" gradient="0">
              <x14:cfvo type="autoMin"/>
              <x14:cfvo type="num">
                <xm:f>1</xm:f>
              </x14:cfvo>
              <x14:negativeFillColor rgb="FFFF0000"/>
              <x14:axisColor rgb="FF000000"/>
            </x14:dataBar>
          </x14:cfRule>
          <xm:sqref>F61:AJ61</xm:sqref>
        </x14:conditionalFormatting>
        <x14:conditionalFormatting xmlns:xm="http://schemas.microsoft.com/office/excel/2006/main">
          <x14:cfRule type="dataBar" id="{5294A13E-BA76-4D7C-A7C1-8C3817111484}">
            <x14:dataBar minLength="0" maxLength="100" gradient="0">
              <x14:cfvo type="autoMin"/>
              <x14:cfvo type="num">
                <xm:f>1</xm:f>
              </x14:cfvo>
              <x14:negativeFillColor rgb="FFFF0000"/>
              <x14:axisColor rgb="FF000000"/>
            </x14:dataBar>
          </x14:cfRule>
          <xm:sqref>G61:AJ61</xm:sqref>
        </x14:conditionalFormatting>
        <x14:conditionalFormatting xmlns:xm="http://schemas.microsoft.com/office/excel/2006/main">
          <x14:cfRule type="dataBar" id="{E6155012-CBD2-496A-9658-46228C369534}">
            <x14:dataBar minLength="0" maxLength="100" gradient="0">
              <x14:cfvo type="autoMin"/>
              <x14:cfvo type="num">
                <xm:f>1</xm:f>
              </x14:cfvo>
              <x14:negativeFillColor rgb="FFFF0000"/>
              <x14:axisColor rgb="FF000000"/>
            </x14:dataBar>
          </x14:cfRule>
          <xm:sqref>F65:AJ65</xm:sqref>
        </x14:conditionalFormatting>
        <x14:conditionalFormatting xmlns:xm="http://schemas.microsoft.com/office/excel/2006/main">
          <x14:cfRule type="dataBar" id="{AD4EB5E3-2158-4987-9A42-4BD0DE5A153E}">
            <x14:dataBar minLength="0" maxLength="100" gradient="0">
              <x14:cfvo type="autoMin"/>
              <x14:cfvo type="num">
                <xm:f>1</xm:f>
              </x14:cfvo>
              <x14:negativeFillColor rgb="FFFF0000"/>
              <x14:axisColor rgb="FF000000"/>
            </x14:dataBar>
          </x14:cfRule>
          <xm:sqref>G65:AJ65</xm:sqref>
        </x14:conditionalFormatting>
        <x14:conditionalFormatting xmlns:xm="http://schemas.microsoft.com/office/excel/2006/main">
          <x14:cfRule type="dataBar" id="{C4321E7C-7AF8-4A0F-BAE5-53AE22D12366}">
            <x14:dataBar minLength="0" maxLength="100" gradient="0">
              <x14:cfvo type="autoMin"/>
              <x14:cfvo type="num">
                <xm:f>1</xm:f>
              </x14:cfvo>
              <x14:negativeFillColor rgb="FFFF0000"/>
              <x14:axisColor rgb="FF000000"/>
            </x14:dataBar>
          </x14:cfRule>
          <xm:sqref>F69:AJ69</xm:sqref>
        </x14:conditionalFormatting>
        <x14:conditionalFormatting xmlns:xm="http://schemas.microsoft.com/office/excel/2006/main">
          <x14:cfRule type="dataBar" id="{F131A523-2012-4DB0-B69A-3E9C72D220DA}">
            <x14:dataBar minLength="0" maxLength="100" gradient="0">
              <x14:cfvo type="autoMin"/>
              <x14:cfvo type="num">
                <xm:f>1</xm:f>
              </x14:cfvo>
              <x14:negativeFillColor rgb="FFFF0000"/>
              <x14:axisColor rgb="FF000000"/>
            </x14:dataBar>
          </x14:cfRule>
          <xm:sqref>G69:AJ69</xm:sqref>
        </x14:conditionalFormatting>
        <x14:conditionalFormatting xmlns:xm="http://schemas.microsoft.com/office/excel/2006/main">
          <x14:cfRule type="dataBar" id="{5B855B52-671E-4808-9194-A53076367B7B}">
            <x14:dataBar minLength="0" maxLength="100" gradient="0">
              <x14:cfvo type="autoMin"/>
              <x14:cfvo type="num">
                <xm:f>1</xm:f>
              </x14:cfvo>
              <x14:negativeFillColor rgb="FFFF0000"/>
              <x14:axisColor rgb="FF000000"/>
            </x14:dataBar>
          </x14:cfRule>
          <xm:sqref>F73:AJ73</xm:sqref>
        </x14:conditionalFormatting>
        <x14:conditionalFormatting xmlns:xm="http://schemas.microsoft.com/office/excel/2006/main">
          <x14:cfRule type="dataBar" id="{AE4B0EED-BB94-41E3-8922-DB87DD3FC405}">
            <x14:dataBar minLength="0" maxLength="100" gradient="0">
              <x14:cfvo type="autoMin"/>
              <x14:cfvo type="num">
                <xm:f>1</xm:f>
              </x14:cfvo>
              <x14:negativeFillColor rgb="FFFF0000"/>
              <x14:axisColor rgb="FF000000"/>
            </x14:dataBar>
          </x14:cfRule>
          <xm:sqref>G73:AJ73</xm:sqref>
        </x14:conditionalFormatting>
        <x14:conditionalFormatting xmlns:xm="http://schemas.microsoft.com/office/excel/2006/main">
          <x14:cfRule type="dataBar" id="{E1B0C250-C31C-400E-8BFF-3FAF9B05AEC3}">
            <x14:dataBar minLength="0" maxLength="100" gradient="0">
              <x14:cfvo type="autoMin"/>
              <x14:cfvo type="num">
                <xm:f>1</xm:f>
              </x14:cfvo>
              <x14:negativeFillColor rgb="FFFF0000"/>
              <x14:axisColor rgb="FF000000"/>
            </x14:dataBar>
          </x14:cfRule>
          <xm:sqref>F77:AJ77</xm:sqref>
        </x14:conditionalFormatting>
        <x14:conditionalFormatting xmlns:xm="http://schemas.microsoft.com/office/excel/2006/main">
          <x14:cfRule type="dataBar" id="{46E89673-E16E-4C44-B4C1-ECC76B223FD8}">
            <x14:dataBar minLength="0" maxLength="100" gradient="0">
              <x14:cfvo type="autoMin"/>
              <x14:cfvo type="num">
                <xm:f>1</xm:f>
              </x14:cfvo>
              <x14:negativeFillColor rgb="FFFF0000"/>
              <x14:axisColor rgb="FF000000"/>
            </x14:dataBar>
          </x14:cfRule>
          <xm:sqref>G77:AJ77</xm:sqref>
        </x14:conditionalFormatting>
        <x14:conditionalFormatting xmlns:xm="http://schemas.microsoft.com/office/excel/2006/main">
          <x14:cfRule type="dataBar" id="{4681249A-F8A8-4092-BFC0-83B91ADFFC98}">
            <x14:dataBar minLength="0" maxLength="100" gradient="0">
              <x14:cfvo type="autoMin"/>
              <x14:cfvo type="num">
                <xm:f>1</xm:f>
              </x14:cfvo>
              <x14:negativeFillColor rgb="FFFF0000"/>
              <x14:axisColor rgb="FF000000"/>
            </x14:dataBar>
          </x14:cfRule>
          <xm:sqref>F84:AJ84</xm:sqref>
        </x14:conditionalFormatting>
        <x14:conditionalFormatting xmlns:xm="http://schemas.microsoft.com/office/excel/2006/main">
          <x14:cfRule type="dataBar" id="{D1C9CD2E-D1B9-4663-8E5C-3CF4528870F9}">
            <x14:dataBar minLength="0" maxLength="100" gradient="0">
              <x14:cfvo type="autoMin"/>
              <x14:cfvo type="num">
                <xm:f>1</xm:f>
              </x14:cfvo>
              <x14:negativeFillColor rgb="FFFF0000"/>
              <x14:axisColor rgb="FF000000"/>
            </x14:dataBar>
          </x14:cfRule>
          <xm:sqref>G84:AJ84</xm:sqref>
        </x14:conditionalFormatting>
        <x14:conditionalFormatting xmlns:xm="http://schemas.microsoft.com/office/excel/2006/main">
          <x14:cfRule type="dataBar" id="{DF493FCC-C3DF-4A20-A93D-27E337AB7BCE}">
            <x14:dataBar minLength="0" maxLength="100" gradient="0">
              <x14:cfvo type="autoMin"/>
              <x14:cfvo type="num">
                <xm:f>1</xm:f>
              </x14:cfvo>
              <x14:negativeFillColor rgb="FFFF0000"/>
              <x14:axisColor rgb="FF000000"/>
            </x14:dataBar>
          </x14:cfRule>
          <xm:sqref>AM77</xm:sqref>
        </x14:conditionalFormatting>
        <x14:conditionalFormatting xmlns:xm="http://schemas.microsoft.com/office/excel/2006/main">
          <x14:cfRule type="dataBar" id="{BA82E0B3-46DA-49D8-8F5B-0F997503DEAC}">
            <x14:dataBar minLength="0" maxLength="100" gradient="0">
              <x14:cfvo type="autoMin"/>
              <x14:cfvo type="num">
                <xm:f>1</xm:f>
              </x14:cfvo>
              <x14:negativeFillColor rgb="FFFF0000"/>
              <x14:axisColor rgb="FF000000"/>
            </x14:dataBar>
          </x14:cfRule>
          <xm:sqref>AM80</xm:sqref>
        </x14:conditionalFormatting>
        <x14:conditionalFormatting xmlns:xm="http://schemas.microsoft.com/office/excel/2006/main">
          <x14:cfRule type="dataBar" id="{83C10EFF-016D-47A2-92FC-A2D83A58B883}">
            <x14:dataBar minLength="0" maxLength="100" gradient="0">
              <x14:cfvo type="autoMin"/>
              <x14:cfvo type="num">
                <xm:f>1</xm:f>
              </x14:cfvo>
              <x14:negativeFillColor rgb="FFFF0000"/>
              <x14:axisColor rgb="FF000000"/>
            </x14:dataBar>
          </x14:cfRule>
          <xm:sqref>AM83</xm:sqref>
        </x14:conditionalFormatting>
        <x14:conditionalFormatting xmlns:xm="http://schemas.microsoft.com/office/excel/2006/main">
          <x14:cfRule type="dataBar" id="{E50CFAA1-8524-4CC3-A596-65A3AB4267C0}">
            <x14:dataBar minLength="0" maxLength="100" gradient="0">
              <x14:cfvo type="autoMin"/>
              <x14:cfvo type="num">
                <xm:f>1</xm:f>
              </x14:cfvo>
              <x14:negativeFillColor rgb="FFFF0000"/>
              <x14:axisColor rgb="FF000000"/>
            </x14:dataBar>
          </x14:cfRule>
          <xm:sqref>AM57</xm:sqref>
        </x14:conditionalFormatting>
        <x14:conditionalFormatting xmlns:xm="http://schemas.microsoft.com/office/excel/2006/main">
          <x14:cfRule type="dataBar" id="{8EB7A22B-E794-4EE3-8922-520F4217B2FB}">
            <x14:dataBar minLength="0" maxLength="100" gradient="0">
              <x14:cfvo type="autoMin"/>
              <x14:cfvo type="num">
                <xm:f>1</xm:f>
              </x14:cfvo>
              <x14:negativeFillColor rgb="FFFF0000"/>
              <x14:axisColor rgb="FF000000"/>
            </x14:dataBar>
          </x14:cfRule>
          <xm:sqref>AM61</xm:sqref>
        </x14:conditionalFormatting>
        <x14:conditionalFormatting xmlns:xm="http://schemas.microsoft.com/office/excel/2006/main">
          <x14:cfRule type="dataBar" id="{8FC2BED1-2C20-437A-9685-92A683693970}">
            <x14:dataBar minLength="0" maxLength="100" gradient="0">
              <x14:cfvo type="autoMin"/>
              <x14:cfvo type="num">
                <xm:f>1</xm:f>
              </x14:cfvo>
              <x14:negativeFillColor rgb="FFFF0000"/>
              <x14:axisColor rgb="FF000000"/>
            </x14:dataBar>
          </x14:cfRule>
          <xm:sqref>AM65</xm:sqref>
        </x14:conditionalFormatting>
        <x14:conditionalFormatting xmlns:xm="http://schemas.microsoft.com/office/excel/2006/main">
          <x14:cfRule type="dataBar" id="{23E9988F-7104-42F1-8BC9-4463C849D49A}">
            <x14:dataBar minLength="0" maxLength="100" gradient="0">
              <x14:cfvo type="autoMin"/>
              <x14:cfvo type="num">
                <xm:f>1</xm:f>
              </x14:cfvo>
              <x14:negativeFillColor rgb="FFFF0000"/>
              <x14:axisColor rgb="FF000000"/>
            </x14:dataBar>
          </x14:cfRule>
          <xm:sqref>AM69</xm:sqref>
        </x14:conditionalFormatting>
        <x14:conditionalFormatting xmlns:xm="http://schemas.microsoft.com/office/excel/2006/main">
          <x14:cfRule type="dataBar" id="{9D374B89-2414-475F-AA9F-0FD379216A9C}">
            <x14:dataBar minLength="0" maxLength="100" gradient="0">
              <x14:cfvo type="autoMin"/>
              <x14:cfvo type="num">
                <xm:f>1</xm:f>
              </x14:cfvo>
              <x14:negativeFillColor rgb="FFFF0000"/>
              <x14:axisColor rgb="FF000000"/>
            </x14:dataBar>
          </x14:cfRule>
          <xm:sqref>AM73</xm:sqref>
        </x14:conditionalFormatting>
        <x14:conditionalFormatting xmlns:xm="http://schemas.microsoft.com/office/excel/2006/main">
          <x14:cfRule type="dataBar" id="{907E243F-93DE-4052-964B-A44E902ECC15}">
            <x14:dataBar minLength="0" maxLength="100" gradient="0">
              <x14:cfvo type="autoMin"/>
              <x14:cfvo type="num">
                <xm:f>1</xm:f>
              </x14:cfvo>
              <x14:negativeFillColor rgb="FFFF0000"/>
              <x14:axisColor rgb="FF000000"/>
            </x14:dataBar>
          </x14:cfRule>
          <xm:sqref>AM81</xm:sqref>
        </x14:conditionalFormatting>
        <x14:conditionalFormatting xmlns:xm="http://schemas.microsoft.com/office/excel/2006/main">
          <x14:cfRule type="dataBar" id="{BB2B0DF0-27F9-4699-BC75-EA13AA66EFF8}">
            <x14:dataBar minLength="0" maxLength="100" gradient="0">
              <x14:cfvo type="autoMin"/>
              <x14:cfvo type="num">
                <xm:f>1</xm:f>
              </x14:cfvo>
              <x14:negativeFillColor rgb="FFFF0000"/>
              <x14:axisColor rgb="FF000000"/>
            </x14:dataBar>
          </x14:cfRule>
          <xm:sqref>AM84</xm:sqref>
        </x14:conditionalFormatting>
        <x14:conditionalFormatting xmlns:xm="http://schemas.microsoft.com/office/excel/2006/main">
          <x14:cfRule type="dataBar" id="{2BB5B681-1776-4001-8C42-26491D4ABF87}">
            <x14:dataBar minLength="0" maxLength="100" gradient="0">
              <x14:cfvo type="autoMin"/>
              <x14:cfvo type="num">
                <xm:f>1</xm:f>
              </x14:cfvo>
              <x14:negativeFillColor rgb="FFFF0000"/>
              <x14:axisColor rgb="FF000000"/>
            </x14:dataBar>
          </x14:cfRule>
          <xm:sqref>AQ53</xm:sqref>
        </x14:conditionalFormatting>
        <x14:conditionalFormatting xmlns:xm="http://schemas.microsoft.com/office/excel/2006/main">
          <x14:cfRule type="dataBar" id="{93A72D61-884A-4A9A-A4CE-124678225034}">
            <x14:dataBar minLength="0" maxLength="100" gradient="0">
              <x14:cfvo type="autoMin"/>
              <x14:cfvo type="num">
                <xm:f>1</xm:f>
              </x14:cfvo>
              <x14:negativeFillColor rgb="FFFF0000"/>
              <x14:axisColor rgb="FF000000"/>
            </x14:dataBar>
          </x14:cfRule>
          <xm:sqref>AQ61</xm:sqref>
        </x14:conditionalFormatting>
        <x14:conditionalFormatting xmlns:xm="http://schemas.microsoft.com/office/excel/2006/main">
          <x14:cfRule type="dataBar" id="{8CC875A9-24FA-4D00-AFFE-9D08D19BD29B}">
            <x14:dataBar minLength="0" maxLength="100" gradient="0">
              <x14:cfvo type="autoMin"/>
              <x14:cfvo type="num">
                <xm:f>1</xm:f>
              </x14:cfvo>
              <x14:negativeFillColor rgb="FFFF0000"/>
              <x14:axisColor rgb="FF000000"/>
            </x14:dataBar>
          </x14:cfRule>
          <xm:sqref>AQ65</xm:sqref>
        </x14:conditionalFormatting>
        <x14:conditionalFormatting xmlns:xm="http://schemas.microsoft.com/office/excel/2006/main">
          <x14:cfRule type="dataBar" id="{8B6A38A8-F696-4EDA-9435-93CABFDC0E45}">
            <x14:dataBar minLength="0" maxLength="100" gradient="0">
              <x14:cfvo type="autoMin"/>
              <x14:cfvo type="num">
                <xm:f>1</xm:f>
              </x14:cfvo>
              <x14:negativeFillColor rgb="FFFF0000"/>
              <x14:axisColor rgb="FF000000"/>
            </x14:dataBar>
          </x14:cfRule>
          <xm:sqref>AQ69</xm:sqref>
        </x14:conditionalFormatting>
        <x14:conditionalFormatting xmlns:xm="http://schemas.microsoft.com/office/excel/2006/main">
          <x14:cfRule type="dataBar" id="{1A9CD6E3-9376-4DBA-8AC2-D4E12EE9B9A3}">
            <x14:dataBar minLength="0" maxLength="100" gradient="0">
              <x14:cfvo type="autoMin"/>
              <x14:cfvo type="num">
                <xm:f>1</xm:f>
              </x14:cfvo>
              <x14:negativeFillColor rgb="FFFF0000"/>
              <x14:axisColor rgb="FF000000"/>
            </x14:dataBar>
          </x14:cfRule>
          <xm:sqref>AQ73</xm:sqref>
        </x14:conditionalFormatting>
        <x14:conditionalFormatting xmlns:xm="http://schemas.microsoft.com/office/excel/2006/main">
          <x14:cfRule type="dataBar" id="{9147FB2E-18E1-4786-80A4-CC6BB30F5C11}">
            <x14:dataBar minLength="0" maxLength="100" gradient="0">
              <x14:cfvo type="autoMin"/>
              <x14:cfvo type="num">
                <xm:f>1</xm:f>
              </x14:cfvo>
              <x14:negativeFillColor rgb="FFFF0000"/>
              <x14:axisColor rgb="FF000000"/>
            </x14:dataBar>
          </x14:cfRule>
          <xm:sqref>AQ77</xm:sqref>
        </x14:conditionalFormatting>
        <x14:conditionalFormatting xmlns:xm="http://schemas.microsoft.com/office/excel/2006/main">
          <x14:cfRule type="dataBar" id="{E08D07CD-95A9-4630-9DFD-515A2863D3CC}">
            <x14:dataBar minLength="0" maxLength="100" gradient="0">
              <x14:cfvo type="autoMin"/>
              <x14:cfvo type="num">
                <xm:f>1</xm:f>
              </x14:cfvo>
              <x14:negativeFillColor rgb="FFFF0000"/>
              <x14:axisColor rgb="FF000000"/>
            </x14:dataBar>
          </x14:cfRule>
          <xm:sqref>AQ81</xm:sqref>
        </x14:conditionalFormatting>
        <x14:conditionalFormatting xmlns:xm="http://schemas.microsoft.com/office/excel/2006/main">
          <x14:cfRule type="dataBar" id="{CF8423C7-2A7F-44A5-82B3-4CE24BFDEBEC}">
            <x14:dataBar minLength="0" maxLength="100" gradient="0">
              <x14:cfvo type="autoMin"/>
              <x14:cfvo type="num">
                <xm:f>1</xm:f>
              </x14:cfvo>
              <x14:negativeFillColor rgb="FFFF0000"/>
              <x14:axisColor rgb="FF000000"/>
            </x14:dataBar>
          </x14:cfRule>
          <xm:sqref>AQ84</xm:sqref>
        </x14:conditionalFormatting>
        <x14:conditionalFormatting xmlns:xm="http://schemas.microsoft.com/office/excel/2006/main">
          <x14:cfRule type="dataBar" id="{F6BF5449-9C90-4447-8F74-A477FB1D846A}">
            <x14:dataBar minLength="0" maxLength="100" gradient="0">
              <x14:cfvo type="autoMin"/>
              <x14:cfvo type="num">
                <xm:f>1</xm:f>
              </x14:cfvo>
              <x14:negativeFillColor rgb="FFFF0000"/>
              <x14:axisColor rgb="FF000000"/>
            </x14:dataBar>
          </x14:cfRule>
          <xm:sqref>AQ57</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3"/>
  <dimension ref="A1:AM22"/>
  <sheetViews>
    <sheetView zoomScale="90" zoomScaleNormal="90" workbookViewId="0">
      <pane ySplit="4" topLeftCell="A5" activePane="bottomLeft" state="frozen"/>
      <selection pane="bottomLeft" activeCell="D16" sqref="D16"/>
    </sheetView>
  </sheetViews>
  <sheetFormatPr baseColWidth="10" defaultRowHeight="15" x14ac:dyDescent="0.25"/>
  <cols>
    <col min="1" max="1" width="18.28515625" customWidth="1"/>
    <col min="2" max="2" width="19.5703125" customWidth="1"/>
    <col min="3" max="3" width="46.140625" customWidth="1"/>
    <col min="4" max="4" width="23.28515625" customWidth="1"/>
    <col min="5" max="5" width="45.42578125" customWidth="1"/>
    <col min="6" max="6" width="16.140625" customWidth="1"/>
  </cols>
  <sheetData>
    <row r="1" spans="1:39" ht="36" x14ac:dyDescent="0.25">
      <c r="A1" s="221" t="str">
        <f>Version</f>
        <v>Golf Workout Manager V0.1</v>
      </c>
      <c r="B1" s="56"/>
      <c r="C1" s="210"/>
      <c r="D1" s="56"/>
      <c r="E1" s="56"/>
      <c r="F1" s="308"/>
    </row>
    <row r="2" spans="1:39" ht="46.5" customHeight="1" x14ac:dyDescent="0.35">
      <c r="A2" s="281" t="str">
        <f>MUI_BUG_REPORT</f>
        <v>BUG REPORT</v>
      </c>
      <c r="B2" s="221"/>
      <c r="C2" s="485" t="s">
        <v>1358</v>
      </c>
      <c r="D2" s="485"/>
      <c r="E2" s="485"/>
      <c r="F2" s="221"/>
      <c r="G2" s="242"/>
      <c r="H2" s="242"/>
      <c r="I2" s="242"/>
      <c r="J2" s="242"/>
      <c r="K2" s="242"/>
      <c r="L2" s="239"/>
      <c r="M2" s="239"/>
      <c r="N2" s="239"/>
      <c r="O2" s="239"/>
      <c r="P2" s="239"/>
      <c r="Q2" s="239"/>
      <c r="R2" s="239"/>
      <c r="S2" s="239"/>
      <c r="T2" s="239"/>
      <c r="U2" s="239"/>
      <c r="V2" s="239"/>
      <c r="W2" s="239"/>
      <c r="X2" s="239"/>
      <c r="Y2" s="239"/>
      <c r="Z2" s="239"/>
      <c r="AA2" s="239"/>
      <c r="AB2" s="239"/>
      <c r="AC2" s="239"/>
      <c r="AD2" s="239"/>
      <c r="AE2" s="239"/>
      <c r="AF2" s="239"/>
      <c r="AG2" s="239"/>
      <c r="AH2" s="239"/>
      <c r="AI2" s="239"/>
      <c r="AJ2" s="239"/>
      <c r="AK2" s="239"/>
      <c r="AL2" s="239"/>
      <c r="AM2" s="239"/>
    </row>
    <row r="3" spans="1:39" ht="4.5" customHeight="1" x14ac:dyDescent="0.25">
      <c r="A3" s="275"/>
      <c r="B3" s="275"/>
      <c r="C3" s="275"/>
      <c r="D3" s="276"/>
      <c r="E3" s="276"/>
      <c r="F3" s="277"/>
      <c r="G3" s="242"/>
      <c r="H3" s="242"/>
      <c r="I3" s="242"/>
      <c r="J3" s="242"/>
      <c r="K3" s="242"/>
      <c r="L3" s="239"/>
      <c r="M3" s="239"/>
      <c r="N3" s="239"/>
      <c r="O3" s="239"/>
      <c r="P3" s="239"/>
      <c r="Q3" s="239"/>
      <c r="R3" s="239"/>
      <c r="S3" s="239"/>
      <c r="T3" s="239"/>
      <c r="U3" s="239"/>
      <c r="V3" s="239"/>
      <c r="W3" s="239"/>
      <c r="X3" s="239"/>
      <c r="Y3" s="239"/>
      <c r="Z3" s="239"/>
      <c r="AA3" s="239"/>
      <c r="AB3" s="239"/>
      <c r="AC3" s="239"/>
      <c r="AD3" s="239"/>
      <c r="AE3" s="239"/>
      <c r="AF3" s="239"/>
      <c r="AG3" s="239"/>
      <c r="AH3" s="239"/>
      <c r="AI3" s="239"/>
      <c r="AJ3" s="239"/>
      <c r="AK3" s="239"/>
      <c r="AL3" s="239"/>
      <c r="AM3" s="239"/>
    </row>
    <row r="4" spans="1:39" x14ac:dyDescent="0.25">
      <c r="A4" s="23" t="s">
        <v>1343</v>
      </c>
      <c r="B4" s="23" t="s">
        <v>1344</v>
      </c>
      <c r="C4" s="23" t="s">
        <v>1345</v>
      </c>
      <c r="D4" s="23" t="s">
        <v>1346</v>
      </c>
      <c r="E4" s="23" t="s">
        <v>1348</v>
      </c>
      <c r="F4" s="23"/>
    </row>
    <row r="5" spans="1:39" ht="60" x14ac:dyDescent="0.25">
      <c r="A5" s="74" t="s">
        <v>863</v>
      </c>
      <c r="B5" s="74" t="s">
        <v>1349</v>
      </c>
      <c r="C5" s="74" t="s">
        <v>1350</v>
      </c>
      <c r="D5" s="74" t="s">
        <v>1347</v>
      </c>
      <c r="E5" s="74" t="s">
        <v>1351</v>
      </c>
    </row>
    <row r="6" spans="1:39" ht="60" x14ac:dyDescent="0.25">
      <c r="A6" s="74" t="s">
        <v>863</v>
      </c>
      <c r="B6" s="74" t="s">
        <v>1352</v>
      </c>
      <c r="C6" s="74" t="s">
        <v>1353</v>
      </c>
      <c r="D6" s="74" t="s">
        <v>1354</v>
      </c>
      <c r="E6" s="74" t="s">
        <v>1351</v>
      </c>
    </row>
    <row r="7" spans="1:39" x14ac:dyDescent="0.25">
      <c r="A7" s="74"/>
      <c r="B7" s="74"/>
      <c r="C7" s="74"/>
      <c r="D7" s="74"/>
      <c r="E7" s="74"/>
    </row>
    <row r="8" spans="1:39" x14ac:dyDescent="0.25">
      <c r="A8" s="74"/>
      <c r="B8" s="74"/>
      <c r="C8" s="74"/>
      <c r="D8" s="74"/>
      <c r="E8" s="74"/>
    </row>
    <row r="9" spans="1:39" x14ac:dyDescent="0.25">
      <c r="A9" s="74"/>
      <c r="B9" s="74"/>
      <c r="C9" s="74"/>
      <c r="D9" s="74"/>
      <c r="E9" s="74"/>
    </row>
    <row r="10" spans="1:39" x14ac:dyDescent="0.25">
      <c r="A10" s="74"/>
      <c r="B10" s="74"/>
      <c r="C10" s="74"/>
      <c r="D10" s="74"/>
      <c r="E10" s="74"/>
    </row>
    <row r="11" spans="1:39" x14ac:dyDescent="0.25">
      <c r="A11" s="74"/>
      <c r="B11" s="74"/>
      <c r="C11" s="74"/>
      <c r="D11" s="74"/>
      <c r="E11" s="74"/>
    </row>
    <row r="12" spans="1:39" x14ac:dyDescent="0.25">
      <c r="A12" s="74"/>
      <c r="B12" s="74"/>
      <c r="C12" s="74"/>
      <c r="D12" s="74"/>
      <c r="E12" s="74"/>
    </row>
    <row r="13" spans="1:39" x14ac:dyDescent="0.25">
      <c r="A13" s="74"/>
      <c r="B13" s="74"/>
      <c r="C13" s="74"/>
      <c r="D13" s="74"/>
      <c r="E13" s="74"/>
    </row>
    <row r="14" spans="1:39" x14ac:dyDescent="0.25">
      <c r="A14" s="74"/>
      <c r="B14" s="74"/>
      <c r="C14" s="74"/>
      <c r="D14" s="74"/>
      <c r="E14" s="74"/>
    </row>
    <row r="15" spans="1:39" x14ac:dyDescent="0.25">
      <c r="A15" s="74"/>
      <c r="B15" s="74"/>
      <c r="C15" s="74"/>
      <c r="D15" s="74"/>
      <c r="E15" s="74"/>
    </row>
    <row r="16" spans="1:39" x14ac:dyDescent="0.25">
      <c r="A16" s="74"/>
      <c r="B16" s="74"/>
      <c r="C16" s="74"/>
      <c r="D16" s="74"/>
      <c r="E16" s="74"/>
    </row>
    <row r="17" spans="1:5" x14ac:dyDescent="0.25">
      <c r="A17" s="74"/>
      <c r="B17" s="74"/>
      <c r="C17" s="74"/>
      <c r="D17" s="74"/>
      <c r="E17" s="74"/>
    </row>
    <row r="18" spans="1:5" x14ac:dyDescent="0.25">
      <c r="A18" s="74"/>
      <c r="B18" s="74"/>
      <c r="C18" s="74"/>
      <c r="D18" s="74"/>
      <c r="E18" s="74"/>
    </row>
    <row r="19" spans="1:5" x14ac:dyDescent="0.25">
      <c r="A19" s="74"/>
      <c r="B19" s="74"/>
      <c r="C19" s="74"/>
      <c r="D19" s="74"/>
      <c r="E19" s="74"/>
    </row>
    <row r="20" spans="1:5" x14ac:dyDescent="0.25">
      <c r="A20" s="74"/>
      <c r="B20" s="74"/>
      <c r="C20" s="74"/>
      <c r="D20" s="74"/>
      <c r="E20" s="74"/>
    </row>
    <row r="21" spans="1:5" x14ac:dyDescent="0.25">
      <c r="A21" s="74"/>
      <c r="B21" s="74"/>
      <c r="C21" s="74"/>
      <c r="D21" s="74"/>
      <c r="E21" s="74"/>
    </row>
    <row r="22" spans="1:5" x14ac:dyDescent="0.25">
      <c r="A22" s="74"/>
      <c r="B22" s="74"/>
      <c r="C22" s="74"/>
      <c r="D22" s="74"/>
      <c r="E22" s="74"/>
    </row>
  </sheetData>
  <mergeCells count="1">
    <mergeCell ref="C2:E2"/>
  </mergeCells>
  <pageMargins left="0.7" right="0.7" top="0.78740157499999996" bottom="0.78740157499999996"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2"/>
  <dimension ref="A1:BZ52"/>
  <sheetViews>
    <sheetView tabSelected="1" zoomScale="80" zoomScaleNormal="80" workbookViewId="0">
      <pane ySplit="4" topLeftCell="A5" activePane="bottomLeft" state="frozen"/>
      <selection pane="bottomLeft" activeCell="BL7" sqref="BL7"/>
    </sheetView>
  </sheetViews>
  <sheetFormatPr baseColWidth="10" defaultRowHeight="15" x14ac:dyDescent="0.25"/>
  <cols>
    <col min="1" max="10" width="3.7109375" customWidth="1"/>
    <col min="11" max="54" width="1.7109375" customWidth="1"/>
    <col min="55" max="62" width="3.7109375" customWidth="1"/>
    <col min="63" max="78" width="11.42578125" style="252"/>
  </cols>
  <sheetData>
    <row r="1" spans="1:78" ht="27.75" customHeight="1" x14ac:dyDescent="0.7">
      <c r="A1" s="266" t="str">
        <f>Version</f>
        <v>Golf Workout Manager V0.1</v>
      </c>
      <c r="B1" s="109"/>
      <c r="C1" s="109"/>
      <c r="D1" s="109"/>
      <c r="E1" s="109"/>
      <c r="F1" s="109"/>
      <c r="G1" s="109"/>
      <c r="H1" s="109"/>
      <c r="I1" s="109"/>
      <c r="J1" s="109"/>
      <c r="K1" s="109"/>
      <c r="L1" s="109"/>
      <c r="M1" s="109"/>
      <c r="N1" s="109"/>
      <c r="O1" s="109"/>
      <c r="P1" s="109"/>
      <c r="Q1" s="109"/>
      <c r="R1" s="109"/>
      <c r="S1" s="109"/>
      <c r="T1" s="109"/>
      <c r="U1" s="109"/>
      <c r="V1" s="109"/>
      <c r="W1" s="109"/>
      <c r="X1" s="201"/>
      <c r="Y1" s="201"/>
      <c r="Z1" s="201"/>
      <c r="AA1" s="201"/>
      <c r="AB1" s="201"/>
      <c r="AC1" s="201"/>
      <c r="AD1" s="201"/>
      <c r="AE1" s="201"/>
      <c r="AF1" s="201"/>
      <c r="AG1" s="201"/>
      <c r="AH1" s="201"/>
      <c r="AI1" s="201"/>
      <c r="AJ1" s="201"/>
      <c r="AK1" s="201"/>
      <c r="AL1" s="201"/>
      <c r="AM1" s="201"/>
      <c r="AN1" s="201"/>
      <c r="AO1" s="201"/>
      <c r="AP1" s="109"/>
      <c r="AQ1" s="109"/>
      <c r="AR1" s="109"/>
      <c r="AS1" s="109"/>
      <c r="AT1" s="109"/>
      <c r="AU1" s="109"/>
      <c r="AV1" s="109"/>
      <c r="AW1" s="109"/>
      <c r="AX1" s="109"/>
      <c r="AY1" s="109"/>
      <c r="AZ1" s="109"/>
      <c r="BA1" s="109"/>
      <c r="BB1" s="109"/>
      <c r="BC1" s="109"/>
      <c r="BD1" s="109"/>
      <c r="BE1" s="109"/>
      <c r="BF1" s="109"/>
      <c r="BG1" s="109"/>
      <c r="BH1" s="109"/>
      <c r="BI1" s="109"/>
      <c r="BJ1" s="144"/>
      <c r="BK1" s="264"/>
    </row>
    <row r="2" spans="1:78" s="298" customFormat="1" ht="11.25" customHeight="1" x14ac:dyDescent="0.2">
      <c r="A2" s="294" t="str">
        <f>MUI_USE_MAIN_HEADER</f>
        <v>Usage Description</v>
      </c>
      <c r="B2" s="295"/>
      <c r="C2" s="295"/>
      <c r="D2" s="295"/>
      <c r="E2" s="295"/>
      <c r="F2" s="295"/>
      <c r="G2" s="295"/>
      <c r="H2" s="295"/>
      <c r="I2" s="295"/>
      <c r="J2" s="295"/>
      <c r="K2" s="295"/>
      <c r="L2" s="295"/>
      <c r="M2" s="295"/>
      <c r="N2" s="295"/>
      <c r="O2" s="295"/>
      <c r="P2" s="295"/>
      <c r="Q2" s="295"/>
      <c r="R2" s="295"/>
      <c r="S2" s="295"/>
      <c r="T2" s="295"/>
      <c r="U2" s="295"/>
      <c r="V2" s="295"/>
      <c r="W2" s="295"/>
      <c r="X2" s="295"/>
      <c r="Y2" s="294"/>
      <c r="Z2" s="295"/>
      <c r="AA2" s="295"/>
      <c r="AB2" s="295"/>
      <c r="AC2" s="295"/>
      <c r="AD2" s="295"/>
      <c r="AE2" s="295"/>
      <c r="AF2" s="295"/>
      <c r="AG2" s="295"/>
      <c r="AH2" s="295"/>
      <c r="AI2" s="295"/>
      <c r="AJ2" s="295"/>
      <c r="AK2" s="295"/>
      <c r="AL2" s="295"/>
      <c r="AM2" s="295"/>
      <c r="AN2" s="295"/>
      <c r="AO2" s="295"/>
      <c r="AP2" s="295"/>
      <c r="AQ2" s="295"/>
      <c r="AR2" s="295"/>
      <c r="AS2" s="295"/>
      <c r="AT2" s="295"/>
      <c r="AU2" s="295"/>
      <c r="AV2" s="295"/>
      <c r="AW2" s="295"/>
      <c r="AX2" s="295"/>
      <c r="AY2" s="295"/>
      <c r="AZ2" s="295"/>
      <c r="BA2" s="295"/>
      <c r="BB2" s="295"/>
      <c r="BC2" s="295"/>
      <c r="BD2" s="295"/>
      <c r="BE2" s="295"/>
      <c r="BF2" s="295"/>
      <c r="BG2" s="295"/>
      <c r="BH2" s="295"/>
      <c r="BI2" s="295"/>
      <c r="BJ2" s="296"/>
      <c r="BK2" s="297"/>
      <c r="BL2" s="297"/>
      <c r="BM2" s="297"/>
      <c r="BN2" s="297"/>
      <c r="BO2" s="297"/>
      <c r="BP2" s="297"/>
      <c r="BQ2" s="297"/>
      <c r="BR2" s="297"/>
      <c r="BS2" s="297"/>
      <c r="BT2" s="297"/>
      <c r="BU2" s="297"/>
      <c r="BV2" s="297"/>
      <c r="BW2" s="297"/>
      <c r="BX2" s="297"/>
      <c r="BY2" s="297"/>
      <c r="BZ2" s="297"/>
    </row>
    <row r="3" spans="1:78" ht="3" customHeight="1" x14ac:dyDescent="0.7">
      <c r="A3" s="270"/>
      <c r="B3" s="271"/>
      <c r="C3" s="271"/>
      <c r="D3" s="271"/>
      <c r="E3" s="271"/>
      <c r="F3" s="271"/>
      <c r="G3" s="271"/>
      <c r="H3" s="271"/>
      <c r="I3" s="271"/>
      <c r="J3" s="271"/>
      <c r="K3" s="271"/>
      <c r="L3" s="271"/>
      <c r="M3" s="271"/>
      <c r="N3" s="271"/>
      <c r="O3" s="271"/>
      <c r="P3" s="271"/>
      <c r="Q3" s="271"/>
      <c r="R3" s="271"/>
      <c r="S3" s="271"/>
      <c r="T3" s="271"/>
      <c r="U3" s="271"/>
      <c r="V3" s="271"/>
      <c r="W3" s="271"/>
      <c r="X3" s="272"/>
      <c r="Y3" s="270"/>
      <c r="Z3" s="272"/>
      <c r="AA3" s="272"/>
      <c r="AB3" s="272"/>
      <c r="AC3" s="272"/>
      <c r="AD3" s="272"/>
      <c r="AE3" s="272"/>
      <c r="AF3" s="272"/>
      <c r="AG3" s="272"/>
      <c r="AH3" s="272"/>
      <c r="AI3" s="272"/>
      <c r="AJ3" s="272"/>
      <c r="AK3" s="272"/>
      <c r="AL3" s="272"/>
      <c r="AM3" s="272"/>
      <c r="AN3" s="272"/>
      <c r="AO3" s="272"/>
      <c r="AP3" s="271"/>
      <c r="AQ3" s="271"/>
      <c r="AR3" s="271"/>
      <c r="AS3" s="271"/>
      <c r="AT3" s="271"/>
      <c r="AU3" s="271"/>
      <c r="AV3" s="271"/>
      <c r="AW3" s="271"/>
      <c r="AX3" s="271"/>
      <c r="AY3" s="271"/>
      <c r="AZ3" s="271"/>
      <c r="BA3" s="271"/>
      <c r="BB3" s="271"/>
      <c r="BC3" s="271"/>
      <c r="BD3" s="271"/>
      <c r="BE3" s="271"/>
      <c r="BF3" s="271"/>
      <c r="BG3" s="271"/>
      <c r="BH3" s="271"/>
      <c r="BI3" s="271"/>
      <c r="BJ3" s="273"/>
      <c r="BK3" s="264"/>
    </row>
    <row r="4" spans="1:78" ht="16.5" customHeight="1" x14ac:dyDescent="0.25">
      <c r="A4" s="56"/>
      <c r="B4" s="56"/>
      <c r="C4" s="56"/>
      <c r="D4" s="56"/>
      <c r="E4" s="56"/>
      <c r="F4" s="56"/>
      <c r="G4" s="56"/>
      <c r="H4" s="56"/>
      <c r="I4" s="56"/>
      <c r="J4" s="56"/>
      <c r="K4" s="56"/>
      <c r="L4" s="56"/>
      <c r="M4" s="56"/>
      <c r="N4" s="56"/>
      <c r="O4" s="56"/>
      <c r="P4" s="56"/>
      <c r="Q4" s="56"/>
      <c r="R4" s="56"/>
      <c r="S4" s="56"/>
      <c r="T4" s="56"/>
      <c r="U4" s="56"/>
      <c r="V4" s="56"/>
      <c r="W4" s="56"/>
      <c r="X4" s="56"/>
      <c r="Y4" s="56"/>
      <c r="Z4" s="56"/>
      <c r="AA4" s="56"/>
      <c r="AB4" s="56"/>
      <c r="AC4" s="56"/>
      <c r="AD4" s="56"/>
      <c r="AE4" s="56"/>
      <c r="AF4" s="56"/>
      <c r="AG4" s="56"/>
      <c r="AH4" s="56"/>
      <c r="AI4" s="56"/>
      <c r="AJ4" s="56"/>
      <c r="AK4" s="56"/>
      <c r="AL4" s="56"/>
      <c r="AM4" s="56"/>
      <c r="AN4" s="56"/>
      <c r="AO4" s="56"/>
      <c r="AP4" s="56"/>
      <c r="AQ4" s="56"/>
      <c r="AR4" s="56"/>
      <c r="AS4" s="56"/>
      <c r="AT4" s="56"/>
      <c r="AU4" s="56"/>
      <c r="AV4" s="56"/>
      <c r="AW4" s="56"/>
      <c r="AX4" s="56"/>
      <c r="AY4" s="56"/>
      <c r="AZ4" s="56"/>
      <c r="BA4" s="56"/>
      <c r="BB4" s="56"/>
      <c r="BC4" s="56"/>
      <c r="BD4" s="56"/>
      <c r="BE4" s="56"/>
      <c r="BF4" s="56"/>
      <c r="BG4" s="56"/>
      <c r="BH4" s="56"/>
      <c r="BI4" s="56"/>
      <c r="BJ4" s="145"/>
    </row>
    <row r="5" spans="1:78" ht="99" customHeight="1" x14ac:dyDescent="0.25">
      <c r="A5" s="492" t="s">
        <v>1076</v>
      </c>
      <c r="B5" s="487"/>
      <c r="C5" s="487"/>
      <c r="D5" s="487"/>
      <c r="E5" s="487"/>
      <c r="F5" s="487"/>
      <c r="G5" s="487"/>
      <c r="H5" s="487"/>
      <c r="I5" s="488"/>
      <c r="K5" s="489" t="s">
        <v>1182</v>
      </c>
      <c r="L5" s="490"/>
      <c r="M5" s="490"/>
      <c r="N5" s="490"/>
      <c r="O5" s="490"/>
      <c r="P5" s="490"/>
      <c r="Q5" s="490"/>
      <c r="R5" s="490"/>
      <c r="S5" s="490"/>
      <c r="T5" s="490"/>
      <c r="U5" s="490"/>
      <c r="V5" s="490"/>
      <c r="W5" s="490"/>
      <c r="X5" s="490"/>
      <c r="Y5" s="490"/>
      <c r="Z5" s="490"/>
      <c r="AA5" s="490"/>
      <c r="AB5" s="490"/>
      <c r="AC5" s="490"/>
      <c r="AD5" s="490"/>
      <c r="AE5" s="490"/>
      <c r="AF5" s="490"/>
      <c r="AG5" s="490"/>
      <c r="AH5" s="490"/>
      <c r="AI5" s="490"/>
      <c r="AJ5" s="490"/>
      <c r="AK5" s="490"/>
      <c r="AL5" s="490"/>
      <c r="AM5" s="490"/>
      <c r="AN5" s="490"/>
      <c r="AO5" s="490"/>
      <c r="AP5" s="490"/>
      <c r="AQ5" s="490"/>
      <c r="AR5" s="490"/>
      <c r="AS5" s="490"/>
      <c r="AT5" s="490"/>
      <c r="AU5" s="490"/>
      <c r="AV5" s="490"/>
      <c r="AW5" s="490"/>
      <c r="AX5" s="490"/>
      <c r="AY5" s="490"/>
      <c r="AZ5" s="490"/>
      <c r="BA5" s="490"/>
      <c r="BB5" s="490"/>
      <c r="BC5" s="490"/>
      <c r="BD5" s="490"/>
      <c r="BE5" s="490"/>
      <c r="BF5" s="490"/>
      <c r="BG5" s="490"/>
      <c r="BH5" s="490"/>
      <c r="BI5" s="490"/>
      <c r="BJ5" s="491"/>
    </row>
    <row r="6" spans="1:78" x14ac:dyDescent="0.25">
      <c r="A6" s="252"/>
      <c r="B6" s="252"/>
      <c r="C6" s="252"/>
      <c r="D6" s="252"/>
      <c r="E6" s="252"/>
      <c r="F6" s="252"/>
      <c r="G6" s="252"/>
      <c r="H6" s="252"/>
      <c r="I6" s="252"/>
      <c r="J6" s="252"/>
      <c r="K6" s="252"/>
      <c r="L6" s="252"/>
      <c r="M6" s="252"/>
      <c r="N6" s="252"/>
      <c r="O6" s="252"/>
      <c r="P6" s="252"/>
      <c r="Q6" s="252"/>
      <c r="R6" s="252"/>
      <c r="S6" s="252"/>
      <c r="T6" s="252"/>
      <c r="U6" s="252"/>
      <c r="V6" s="252"/>
      <c r="W6" s="252"/>
      <c r="X6" s="252"/>
      <c r="Y6" s="252"/>
      <c r="Z6" s="252"/>
      <c r="AA6" s="252"/>
      <c r="AB6" s="252"/>
      <c r="AC6" s="252"/>
      <c r="AD6" s="252"/>
      <c r="AE6" s="252"/>
      <c r="AF6" s="252"/>
      <c r="AG6" s="252"/>
      <c r="AH6" s="252"/>
      <c r="AI6" s="252"/>
      <c r="AJ6" s="252"/>
      <c r="AK6" s="252"/>
      <c r="AL6" s="252"/>
      <c r="AM6" s="252"/>
      <c r="AN6" s="252"/>
      <c r="AO6" s="252"/>
      <c r="AP6" s="252"/>
      <c r="AQ6" s="252"/>
      <c r="AR6" s="252"/>
      <c r="AS6" s="252"/>
      <c r="AT6" s="252"/>
      <c r="AU6" s="252"/>
      <c r="AV6" s="252"/>
      <c r="AW6" s="252"/>
      <c r="AX6" s="252"/>
      <c r="AY6" s="252"/>
      <c r="AZ6" s="252"/>
      <c r="BA6" s="252"/>
      <c r="BB6" s="252"/>
      <c r="BC6" s="252"/>
      <c r="BD6" s="252"/>
      <c r="BE6" s="252"/>
      <c r="BF6" s="252"/>
      <c r="BG6" s="252"/>
      <c r="BH6" s="252"/>
      <c r="BI6" s="252"/>
      <c r="BJ6" s="252"/>
    </row>
    <row r="7" spans="1:78" ht="207.75" customHeight="1" x14ac:dyDescent="0.25">
      <c r="A7" s="486" t="s">
        <v>1077</v>
      </c>
      <c r="B7" s="487"/>
      <c r="C7" s="487"/>
      <c r="D7" s="487"/>
      <c r="E7" s="487"/>
      <c r="F7" s="487"/>
      <c r="G7" s="487"/>
      <c r="H7" s="487"/>
      <c r="I7" s="488"/>
      <c r="K7" s="489" t="s">
        <v>1693</v>
      </c>
      <c r="L7" s="490"/>
      <c r="M7" s="490"/>
      <c r="N7" s="490"/>
      <c r="O7" s="490"/>
      <c r="P7" s="490"/>
      <c r="Q7" s="490"/>
      <c r="R7" s="490"/>
      <c r="S7" s="490"/>
      <c r="T7" s="490"/>
      <c r="U7" s="490"/>
      <c r="V7" s="490"/>
      <c r="W7" s="490"/>
      <c r="X7" s="490"/>
      <c r="Y7" s="490"/>
      <c r="Z7" s="490"/>
      <c r="AA7" s="490"/>
      <c r="AB7" s="490"/>
      <c r="AC7" s="490"/>
      <c r="AD7" s="490"/>
      <c r="AE7" s="490"/>
      <c r="AF7" s="490"/>
      <c r="AG7" s="490"/>
      <c r="AH7" s="490"/>
      <c r="AI7" s="490"/>
      <c r="AJ7" s="490"/>
      <c r="AK7" s="490"/>
      <c r="AL7" s="490"/>
      <c r="AM7" s="490"/>
      <c r="AN7" s="490"/>
      <c r="AO7" s="490"/>
      <c r="AP7" s="490"/>
      <c r="AQ7" s="490"/>
      <c r="AR7" s="490"/>
      <c r="AS7" s="490"/>
      <c r="AT7" s="490"/>
      <c r="AU7" s="490"/>
      <c r="AV7" s="490"/>
      <c r="AW7" s="490"/>
      <c r="AX7" s="490"/>
      <c r="AY7" s="490"/>
      <c r="AZ7" s="490"/>
      <c r="BA7" s="490"/>
      <c r="BB7" s="490"/>
      <c r="BC7" s="490"/>
      <c r="BD7" s="490"/>
      <c r="BE7" s="490"/>
      <c r="BF7" s="490"/>
      <c r="BG7" s="490"/>
      <c r="BH7" s="490"/>
      <c r="BI7" s="490"/>
      <c r="BJ7" s="491"/>
    </row>
    <row r="8" spans="1:78" x14ac:dyDescent="0.25">
      <c r="A8" s="252"/>
      <c r="B8" s="252"/>
      <c r="C8" s="252"/>
      <c r="D8" s="252"/>
      <c r="E8" s="252"/>
      <c r="F8" s="252"/>
      <c r="G8" s="252"/>
      <c r="H8" s="252"/>
      <c r="I8" s="252"/>
      <c r="J8" s="252"/>
      <c r="K8" s="252"/>
      <c r="L8" s="252"/>
      <c r="M8" s="252"/>
      <c r="N8" s="252"/>
      <c r="O8" s="252"/>
      <c r="P8" s="252"/>
      <c r="Q8" s="252"/>
      <c r="R8" s="252"/>
      <c r="S8" s="252"/>
      <c r="T8" s="252"/>
      <c r="U8" s="252"/>
      <c r="V8" s="252"/>
      <c r="W8" s="252"/>
      <c r="X8" s="252"/>
      <c r="Y8" s="252"/>
      <c r="Z8" s="252"/>
      <c r="AA8" s="252"/>
      <c r="AB8" s="252"/>
      <c r="AC8" s="252"/>
      <c r="AD8" s="252"/>
      <c r="AE8" s="252"/>
      <c r="AF8" s="252"/>
      <c r="AG8" s="252"/>
      <c r="AH8" s="252"/>
      <c r="AI8" s="252"/>
      <c r="AJ8" s="252"/>
      <c r="AK8" s="252"/>
      <c r="AL8" s="252"/>
      <c r="AM8" s="252"/>
      <c r="AN8" s="252"/>
      <c r="AO8" s="252"/>
      <c r="AP8" s="252"/>
      <c r="AQ8" s="252"/>
      <c r="AR8" s="252"/>
      <c r="AS8" s="252"/>
      <c r="AT8" s="252"/>
      <c r="AU8" s="252"/>
      <c r="AV8" s="252"/>
      <c r="AW8" s="252"/>
      <c r="AX8" s="252"/>
      <c r="AY8" s="252"/>
      <c r="AZ8" s="252"/>
      <c r="BA8" s="252"/>
      <c r="BB8" s="252"/>
      <c r="BC8" s="252"/>
      <c r="BD8" s="252"/>
      <c r="BE8" s="252"/>
      <c r="BF8" s="252"/>
      <c r="BG8" s="252"/>
      <c r="BH8" s="252"/>
      <c r="BI8" s="252"/>
      <c r="BJ8" s="252"/>
    </row>
    <row r="9" spans="1:78" ht="177.75" customHeight="1" x14ac:dyDescent="0.25">
      <c r="A9" s="486" t="s">
        <v>1081</v>
      </c>
      <c r="B9" s="487"/>
      <c r="C9" s="487"/>
      <c r="D9" s="487"/>
      <c r="E9" s="487"/>
      <c r="F9" s="487"/>
      <c r="G9" s="487"/>
      <c r="H9" s="487"/>
      <c r="I9" s="488"/>
      <c r="K9" s="489" t="s">
        <v>1257</v>
      </c>
      <c r="L9" s="490"/>
      <c r="M9" s="490"/>
      <c r="N9" s="490"/>
      <c r="O9" s="490"/>
      <c r="P9" s="490"/>
      <c r="Q9" s="490"/>
      <c r="R9" s="490"/>
      <c r="S9" s="490"/>
      <c r="T9" s="490"/>
      <c r="U9" s="490"/>
      <c r="V9" s="490"/>
      <c r="W9" s="490"/>
      <c r="X9" s="490"/>
      <c r="Y9" s="490"/>
      <c r="Z9" s="490"/>
      <c r="AA9" s="490"/>
      <c r="AB9" s="490"/>
      <c r="AC9" s="490"/>
      <c r="AD9" s="490"/>
      <c r="AE9" s="490"/>
      <c r="AF9" s="490"/>
      <c r="AG9" s="490"/>
      <c r="AH9" s="490"/>
      <c r="AI9" s="490"/>
      <c r="AJ9" s="490"/>
      <c r="AK9" s="490"/>
      <c r="AL9" s="490"/>
      <c r="AM9" s="490"/>
      <c r="AN9" s="490"/>
      <c r="AO9" s="490"/>
      <c r="AP9" s="490"/>
      <c r="AQ9" s="490"/>
      <c r="AR9" s="490"/>
      <c r="AS9" s="490"/>
      <c r="AT9" s="490"/>
      <c r="AU9" s="490"/>
      <c r="AV9" s="490"/>
      <c r="AW9" s="490"/>
      <c r="AX9" s="490"/>
      <c r="AY9" s="490"/>
      <c r="AZ9" s="490"/>
      <c r="BA9" s="490"/>
      <c r="BB9" s="490"/>
      <c r="BC9" s="490"/>
      <c r="BD9" s="490"/>
      <c r="BE9" s="490"/>
      <c r="BF9" s="490"/>
      <c r="BG9" s="490"/>
      <c r="BH9" s="490"/>
      <c r="BI9" s="490"/>
      <c r="BJ9" s="491"/>
    </row>
    <row r="10" spans="1:78" x14ac:dyDescent="0.25">
      <c r="A10" s="252"/>
      <c r="B10" s="252"/>
      <c r="C10" s="252"/>
      <c r="D10" s="252"/>
      <c r="E10" s="252"/>
      <c r="F10" s="252"/>
      <c r="G10" s="252"/>
      <c r="H10" s="252"/>
      <c r="I10" s="252"/>
      <c r="J10" s="252"/>
      <c r="K10" s="252"/>
      <c r="L10" s="252"/>
      <c r="M10" s="252"/>
      <c r="N10" s="252"/>
      <c r="O10" s="252"/>
      <c r="P10" s="252"/>
      <c r="Q10" s="252"/>
      <c r="R10" s="252"/>
      <c r="S10" s="252"/>
      <c r="T10" s="252"/>
      <c r="U10" s="252"/>
      <c r="V10" s="252"/>
      <c r="W10" s="252"/>
      <c r="X10" s="252"/>
      <c r="Y10" s="252"/>
      <c r="Z10" s="252"/>
      <c r="AA10" s="252"/>
      <c r="AB10" s="252"/>
      <c r="AC10" s="252"/>
      <c r="AD10" s="252"/>
      <c r="AE10" s="252"/>
      <c r="AF10" s="252"/>
      <c r="AG10" s="252"/>
      <c r="AH10" s="252"/>
      <c r="AI10" s="252"/>
      <c r="AJ10" s="252"/>
      <c r="AK10" s="252"/>
      <c r="AL10" s="252"/>
      <c r="AM10" s="252"/>
      <c r="AN10" s="252"/>
      <c r="AO10" s="252"/>
      <c r="AP10" s="252"/>
      <c r="AQ10" s="252"/>
      <c r="AR10" s="252"/>
      <c r="AS10" s="252"/>
      <c r="AT10" s="252"/>
      <c r="AU10" s="252"/>
      <c r="AV10" s="252"/>
      <c r="AW10" s="252"/>
      <c r="AX10" s="252"/>
      <c r="AY10" s="252"/>
      <c r="AZ10" s="252"/>
      <c r="BA10" s="252"/>
      <c r="BB10" s="252"/>
      <c r="BC10" s="252"/>
      <c r="BD10" s="252"/>
      <c r="BE10" s="252"/>
      <c r="BF10" s="252"/>
      <c r="BG10" s="252"/>
      <c r="BH10" s="252"/>
      <c r="BI10" s="252"/>
      <c r="BJ10" s="252"/>
    </row>
    <row r="11" spans="1:78" ht="140.25" customHeight="1" x14ac:dyDescent="0.25">
      <c r="A11" s="486" t="s">
        <v>1082</v>
      </c>
      <c r="B11" s="487"/>
      <c r="C11" s="487"/>
      <c r="D11" s="487"/>
      <c r="E11" s="487"/>
      <c r="F11" s="487"/>
      <c r="G11" s="487"/>
      <c r="H11" s="487"/>
      <c r="I11" s="488"/>
      <c r="K11" s="489" t="s">
        <v>1678</v>
      </c>
      <c r="L11" s="490"/>
      <c r="M11" s="490"/>
      <c r="N11" s="490"/>
      <c r="O11" s="490"/>
      <c r="P11" s="490"/>
      <c r="Q11" s="490"/>
      <c r="R11" s="490"/>
      <c r="S11" s="490"/>
      <c r="T11" s="490"/>
      <c r="U11" s="490"/>
      <c r="V11" s="490"/>
      <c r="W11" s="490"/>
      <c r="X11" s="490"/>
      <c r="Y11" s="490"/>
      <c r="Z11" s="490"/>
      <c r="AA11" s="490"/>
      <c r="AB11" s="490"/>
      <c r="AC11" s="490"/>
      <c r="AD11" s="490"/>
      <c r="AE11" s="490"/>
      <c r="AF11" s="490"/>
      <c r="AG11" s="490"/>
      <c r="AH11" s="490"/>
      <c r="AI11" s="490"/>
      <c r="AJ11" s="490"/>
      <c r="AK11" s="490"/>
      <c r="AL11" s="490"/>
      <c r="AM11" s="490"/>
      <c r="AN11" s="490"/>
      <c r="AO11" s="490"/>
      <c r="AP11" s="490"/>
      <c r="AQ11" s="490"/>
      <c r="AR11" s="490"/>
      <c r="AS11" s="490"/>
      <c r="AT11" s="490"/>
      <c r="AU11" s="490"/>
      <c r="AV11" s="490"/>
      <c r="AW11" s="490"/>
      <c r="AX11" s="490"/>
      <c r="AY11" s="490"/>
      <c r="AZ11" s="490"/>
      <c r="BA11" s="490"/>
      <c r="BB11" s="490"/>
      <c r="BC11" s="490"/>
      <c r="BD11" s="490"/>
      <c r="BE11" s="490"/>
      <c r="BF11" s="490"/>
      <c r="BG11" s="490"/>
      <c r="BH11" s="490"/>
      <c r="BI11" s="490"/>
      <c r="BJ11" s="491"/>
    </row>
    <row r="12" spans="1:78" s="252" customFormat="1" x14ac:dyDescent="0.25"/>
    <row r="13" spans="1:78" ht="132" customHeight="1" x14ac:dyDescent="0.25">
      <c r="A13" s="486" t="s">
        <v>1676</v>
      </c>
      <c r="B13" s="487"/>
      <c r="C13" s="487"/>
      <c r="D13" s="487"/>
      <c r="E13" s="487"/>
      <c r="F13" s="487"/>
      <c r="G13" s="487"/>
      <c r="H13" s="487"/>
      <c r="I13" s="488"/>
      <c r="K13" s="489" t="s">
        <v>1677</v>
      </c>
      <c r="L13" s="490"/>
      <c r="M13" s="490"/>
      <c r="N13" s="490"/>
      <c r="O13" s="490"/>
      <c r="P13" s="490"/>
      <c r="Q13" s="490"/>
      <c r="R13" s="490"/>
      <c r="S13" s="490"/>
      <c r="T13" s="490"/>
      <c r="U13" s="490"/>
      <c r="V13" s="490"/>
      <c r="W13" s="490"/>
      <c r="X13" s="490"/>
      <c r="Y13" s="490"/>
      <c r="Z13" s="490"/>
      <c r="AA13" s="490"/>
      <c r="AB13" s="490"/>
      <c r="AC13" s="490"/>
      <c r="AD13" s="490"/>
      <c r="AE13" s="490"/>
      <c r="AF13" s="490"/>
      <c r="AG13" s="490"/>
      <c r="AH13" s="490"/>
      <c r="AI13" s="490"/>
      <c r="AJ13" s="490"/>
      <c r="AK13" s="490"/>
      <c r="AL13" s="490"/>
      <c r="AM13" s="490"/>
      <c r="AN13" s="490"/>
      <c r="AO13" s="490"/>
      <c r="AP13" s="490"/>
      <c r="AQ13" s="490"/>
      <c r="AR13" s="490"/>
      <c r="AS13" s="490"/>
      <c r="AT13" s="490"/>
      <c r="AU13" s="490"/>
      <c r="AV13" s="490"/>
      <c r="AW13" s="490"/>
      <c r="AX13" s="490"/>
      <c r="AY13" s="490"/>
      <c r="AZ13" s="490"/>
      <c r="BA13" s="490"/>
      <c r="BB13" s="490"/>
      <c r="BC13" s="490"/>
      <c r="BD13" s="490"/>
      <c r="BE13" s="490"/>
      <c r="BF13" s="490"/>
      <c r="BG13" s="490"/>
      <c r="BH13" s="490"/>
      <c r="BI13" s="490"/>
      <c r="BJ13" s="491"/>
    </row>
    <row r="14" spans="1:78" s="252" customFormat="1" x14ac:dyDescent="0.25"/>
    <row r="15" spans="1:78" s="252" customFormat="1" x14ac:dyDescent="0.25"/>
    <row r="16" spans="1:78" s="252" customFormat="1" x14ac:dyDescent="0.25"/>
    <row r="17" s="252" customFormat="1" x14ac:dyDescent="0.25"/>
    <row r="18" s="252" customFormat="1" x14ac:dyDescent="0.25"/>
    <row r="19" s="252" customFormat="1" x14ac:dyDescent="0.25"/>
    <row r="20" s="252" customFormat="1" x14ac:dyDescent="0.25"/>
    <row r="21" s="252" customFormat="1" x14ac:dyDescent="0.25"/>
    <row r="22" s="252" customFormat="1" x14ac:dyDescent="0.25"/>
    <row r="23" s="252" customFormat="1" x14ac:dyDescent="0.25"/>
    <row r="24" s="252" customFormat="1" x14ac:dyDescent="0.25"/>
    <row r="25" s="252" customFormat="1" x14ac:dyDescent="0.25"/>
    <row r="26" s="252" customFormat="1" x14ac:dyDescent="0.25"/>
    <row r="27" s="252" customFormat="1" x14ac:dyDescent="0.25"/>
    <row r="28" s="252" customFormat="1" x14ac:dyDescent="0.25"/>
    <row r="29" s="252" customFormat="1" x14ac:dyDescent="0.25"/>
    <row r="30" s="252" customFormat="1" x14ac:dyDescent="0.25"/>
    <row r="31" s="252" customFormat="1" x14ac:dyDescent="0.25"/>
    <row r="32" s="252" customFormat="1" x14ac:dyDescent="0.25"/>
    <row r="33" s="252" customFormat="1" x14ac:dyDescent="0.25"/>
    <row r="34" s="252" customFormat="1" x14ac:dyDescent="0.25"/>
    <row r="35" s="252" customFormat="1" x14ac:dyDescent="0.25"/>
    <row r="36" s="252" customFormat="1" x14ac:dyDescent="0.25"/>
    <row r="37" s="252" customFormat="1" x14ac:dyDescent="0.25"/>
    <row r="38" s="252" customFormat="1" x14ac:dyDescent="0.25"/>
    <row r="39" s="252" customFormat="1" x14ac:dyDescent="0.25"/>
    <row r="40" s="252" customFormat="1" x14ac:dyDescent="0.25"/>
    <row r="41" s="252" customFormat="1" x14ac:dyDescent="0.25"/>
    <row r="42" s="252" customFormat="1" x14ac:dyDescent="0.25"/>
    <row r="43" s="252" customFormat="1" x14ac:dyDescent="0.25"/>
    <row r="44" s="252" customFormat="1" x14ac:dyDescent="0.25"/>
    <row r="45" s="252" customFormat="1" x14ac:dyDescent="0.25"/>
    <row r="46" s="252" customFormat="1" x14ac:dyDescent="0.25"/>
    <row r="47" s="252" customFormat="1" x14ac:dyDescent="0.25"/>
    <row r="48" s="252" customFormat="1" x14ac:dyDescent="0.25"/>
    <row r="49" s="252" customFormat="1" x14ac:dyDescent="0.25"/>
    <row r="50" s="252" customFormat="1" x14ac:dyDescent="0.25"/>
    <row r="51" s="252" customFormat="1" x14ac:dyDescent="0.25"/>
    <row r="52" s="252" customFormat="1" x14ac:dyDescent="0.25"/>
  </sheetData>
  <mergeCells count="10">
    <mergeCell ref="A13:I13"/>
    <mergeCell ref="K13:BJ13"/>
    <mergeCell ref="A11:I11"/>
    <mergeCell ref="K11:BJ11"/>
    <mergeCell ref="K5:BJ5"/>
    <mergeCell ref="A5:I5"/>
    <mergeCell ref="A7:I7"/>
    <mergeCell ref="K7:BJ7"/>
    <mergeCell ref="A9:I9"/>
    <mergeCell ref="K9:BJ9"/>
  </mergeCells>
  <pageMargins left="0.7" right="0.7" top="0.78740157499999996" bottom="0.78740157499999996"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5"/>
  <dimension ref="A1:AQ671"/>
  <sheetViews>
    <sheetView zoomScale="90" zoomScaleNormal="90" workbookViewId="0">
      <pane xSplit="3" ySplit="6" topLeftCell="Y7" activePane="bottomRight" state="frozen"/>
      <selection pane="topRight" activeCell="D1" sqref="D1"/>
      <selection pane="bottomLeft" activeCell="A7" sqref="A7"/>
      <selection pane="bottomRight" activeCell="AJ14" sqref="AJ14"/>
    </sheetView>
  </sheetViews>
  <sheetFormatPr baseColWidth="10" defaultRowHeight="15" x14ac:dyDescent="0.25"/>
  <cols>
    <col min="1" max="1" width="16.5703125" customWidth="1"/>
    <col min="2" max="2" width="0" hidden="1" customWidth="1"/>
    <col min="3" max="3" width="21.42578125" bestFit="1" customWidth="1"/>
    <col min="5" max="6" width="12" bestFit="1" customWidth="1"/>
    <col min="12" max="12" width="15.85546875" customWidth="1"/>
    <col min="26" max="26" width="12" bestFit="1" customWidth="1"/>
    <col min="35" max="35" width="14.28515625" bestFit="1" customWidth="1"/>
    <col min="38" max="38" width="2.5703125" customWidth="1"/>
    <col min="39" max="39" width="19.85546875" bestFit="1" customWidth="1"/>
    <col min="40" max="40" width="19.85546875" customWidth="1"/>
    <col min="41" max="41" width="2.42578125" customWidth="1"/>
    <col min="42" max="42" width="17.85546875" customWidth="1"/>
  </cols>
  <sheetData>
    <row r="1" spans="1:43" ht="36" x14ac:dyDescent="0.25">
      <c r="A1" s="56" t="str">
        <f>Version</f>
        <v>Golf Workout Manager V0.1</v>
      </c>
      <c r="B1" s="56"/>
      <c r="C1" s="56"/>
      <c r="D1" s="56"/>
      <c r="E1" s="56"/>
      <c r="F1" s="56"/>
      <c r="G1" s="97"/>
      <c r="H1" s="97"/>
      <c r="I1" s="97"/>
      <c r="J1" s="97"/>
      <c r="K1" s="97"/>
      <c r="L1" s="98"/>
      <c r="M1" s="97"/>
      <c r="N1" s="97"/>
      <c r="O1" s="97"/>
      <c r="P1" s="97"/>
      <c r="Q1" s="97"/>
      <c r="R1" s="97"/>
      <c r="S1" s="97"/>
      <c r="T1" s="97"/>
      <c r="U1" s="97"/>
      <c r="V1" s="97"/>
      <c r="W1" s="97"/>
      <c r="X1" s="97"/>
      <c r="Y1" s="97"/>
      <c r="Z1" s="97"/>
      <c r="AA1" s="97"/>
      <c r="AB1" s="97"/>
      <c r="AC1" s="97"/>
      <c r="AD1" s="97"/>
      <c r="AE1" s="97"/>
      <c r="AF1" s="97"/>
      <c r="AG1" s="97"/>
      <c r="AH1" s="97"/>
      <c r="AI1" s="97"/>
      <c r="AJ1" s="97"/>
      <c r="AK1" s="97"/>
      <c r="AL1" s="97"/>
      <c r="AM1" s="97"/>
      <c r="AN1" s="97"/>
      <c r="AO1" s="98" t="str">
        <f>MUI_STAT_MAIN_HEADER</f>
        <v>Status Report</v>
      </c>
      <c r="AP1" s="56"/>
      <c r="AQ1" s="56"/>
    </row>
    <row r="2" spans="1:43" x14ac:dyDescent="0.25">
      <c r="AJ2" t="s">
        <v>1110</v>
      </c>
      <c r="AM2" t="s">
        <v>1105</v>
      </c>
    </row>
    <row r="3" spans="1:43" x14ac:dyDescent="0.25">
      <c r="A3" t="s">
        <v>752</v>
      </c>
      <c r="B3" t="str">
        <f>ST_SEL_PlayerName</f>
        <v>Micha Dürr</v>
      </c>
      <c r="D3" t="str">
        <f>ST_SEL_PlayerID</f>
        <v>0049-8881-3625</v>
      </c>
      <c r="G3" t="s">
        <v>1118</v>
      </c>
      <c r="AJ3" s="130">
        <f ca="1">COUNTIFS(DBRA_WorkplanDate,$AJ$4,DBRA_WorkplanDate,$AJ$5,DBRA_PlayerID,$D$3)</f>
        <v>0</v>
      </c>
      <c r="AM3" s="130">
        <f ca="1">COUNTIFS(DBRA_WorkplanDate,$AM$4,DBRA_WorkplanDate,$AM$5,DBRA_PlayerID,$D$3)</f>
        <v>0</v>
      </c>
      <c r="AN3" s="130"/>
    </row>
    <row r="4" spans="1:43" x14ac:dyDescent="0.25">
      <c r="D4" s="118"/>
      <c r="AJ4" t="str">
        <f>"&gt;=" &amp;TEXT(DATE(YEAR($AM$6),MONTH($AM$6),1),"TT.MM.JJJJ")</f>
        <v>&gt;=01.04.2015</v>
      </c>
      <c r="AM4" t="str">
        <f>"&gt;=" &amp;TEXT(DATE(YEAR($AM$6),1,1),"TT.MM.JJJJ")</f>
        <v>&gt;=01.01.2015</v>
      </c>
    </row>
    <row r="5" spans="1:43" x14ac:dyDescent="0.25">
      <c r="D5">
        <f>IF(WEEKDAY(D6,2)&gt;5,1,0)</f>
        <v>0</v>
      </c>
      <c r="E5">
        <f t="shared" ref="E5:AH5" si="0">IF(WEEKDAY(E6,2)&gt;5,1,0)</f>
        <v>0</v>
      </c>
      <c r="F5">
        <f t="shared" si="0"/>
        <v>0</v>
      </c>
      <c r="G5">
        <f t="shared" si="0"/>
        <v>1</v>
      </c>
      <c r="H5">
        <f t="shared" si="0"/>
        <v>1</v>
      </c>
      <c r="I5">
        <f t="shared" si="0"/>
        <v>0</v>
      </c>
      <c r="J5">
        <f t="shared" si="0"/>
        <v>0</v>
      </c>
      <c r="K5">
        <f t="shared" si="0"/>
        <v>0</v>
      </c>
      <c r="L5">
        <f t="shared" si="0"/>
        <v>0</v>
      </c>
      <c r="M5">
        <f t="shared" si="0"/>
        <v>0</v>
      </c>
      <c r="N5">
        <f t="shared" si="0"/>
        <v>1</v>
      </c>
      <c r="O5">
        <f t="shared" si="0"/>
        <v>1</v>
      </c>
      <c r="P5">
        <f t="shared" si="0"/>
        <v>0</v>
      </c>
      <c r="Q5">
        <f t="shared" si="0"/>
        <v>0</v>
      </c>
      <c r="R5">
        <f t="shared" si="0"/>
        <v>0</v>
      </c>
      <c r="S5">
        <f t="shared" si="0"/>
        <v>0</v>
      </c>
      <c r="T5">
        <f t="shared" si="0"/>
        <v>0</v>
      </c>
      <c r="U5">
        <f t="shared" si="0"/>
        <v>1</v>
      </c>
      <c r="V5">
        <f t="shared" si="0"/>
        <v>1</v>
      </c>
      <c r="W5">
        <f t="shared" si="0"/>
        <v>0</v>
      </c>
      <c r="X5">
        <f t="shared" si="0"/>
        <v>0</v>
      </c>
      <c r="Y5">
        <f t="shared" si="0"/>
        <v>0</v>
      </c>
      <c r="Z5">
        <f t="shared" si="0"/>
        <v>0</v>
      </c>
      <c r="AA5">
        <f t="shared" si="0"/>
        <v>0</v>
      </c>
      <c r="AB5">
        <f t="shared" si="0"/>
        <v>1</v>
      </c>
      <c r="AC5">
        <f t="shared" si="0"/>
        <v>1</v>
      </c>
      <c r="AD5">
        <f t="shared" si="0"/>
        <v>0</v>
      </c>
      <c r="AE5">
        <f t="shared" si="0"/>
        <v>0</v>
      </c>
      <c r="AF5">
        <f t="shared" si="0"/>
        <v>0</v>
      </c>
      <c r="AG5">
        <f t="shared" si="0"/>
        <v>0</v>
      </c>
      <c r="AH5">
        <f t="shared" si="0"/>
        <v>0</v>
      </c>
      <c r="AJ5" t="str">
        <f>"&lt;=" &amp;TEXT(EOMONTH(AJ6,0),"TT.MM.JJJJ")</f>
        <v>&lt;=30.04.2015</v>
      </c>
      <c r="AM5" t="str">
        <f>"&lt;=" &amp;TEXT(DATE(YEAR($AM$6),12,31),"TT.MM.JJJJ")</f>
        <v>&lt;=31.12.2015</v>
      </c>
    </row>
    <row r="6" spans="1:43" x14ac:dyDescent="0.25">
      <c r="D6" s="118">
        <f>DATE(YEAR(ST_SEL_MonthYear), MONTH(ST_SEL_MonthYear),1)</f>
        <v>42095</v>
      </c>
      <c r="E6" s="118">
        <f>D6+1</f>
        <v>42096</v>
      </c>
      <c r="F6" s="118">
        <f t="shared" ref="F6:AH6" si="1">E6+1</f>
        <v>42097</v>
      </c>
      <c r="G6" s="118">
        <f t="shared" si="1"/>
        <v>42098</v>
      </c>
      <c r="H6" s="118">
        <f t="shared" si="1"/>
        <v>42099</v>
      </c>
      <c r="I6" s="118">
        <f t="shared" si="1"/>
        <v>42100</v>
      </c>
      <c r="J6" s="118">
        <f t="shared" si="1"/>
        <v>42101</v>
      </c>
      <c r="K6" s="118">
        <f t="shared" si="1"/>
        <v>42102</v>
      </c>
      <c r="L6" s="118">
        <f t="shared" si="1"/>
        <v>42103</v>
      </c>
      <c r="M6" s="118">
        <f t="shared" si="1"/>
        <v>42104</v>
      </c>
      <c r="N6" s="118">
        <f t="shared" si="1"/>
        <v>42105</v>
      </c>
      <c r="O6" s="118">
        <f t="shared" si="1"/>
        <v>42106</v>
      </c>
      <c r="P6" s="118">
        <f t="shared" si="1"/>
        <v>42107</v>
      </c>
      <c r="Q6" s="118">
        <f t="shared" si="1"/>
        <v>42108</v>
      </c>
      <c r="R6" s="118">
        <f t="shared" si="1"/>
        <v>42109</v>
      </c>
      <c r="S6" s="118">
        <f t="shared" si="1"/>
        <v>42110</v>
      </c>
      <c r="T6" s="118">
        <f t="shared" si="1"/>
        <v>42111</v>
      </c>
      <c r="U6" s="118">
        <f t="shared" si="1"/>
        <v>42112</v>
      </c>
      <c r="V6" s="118">
        <f t="shared" si="1"/>
        <v>42113</v>
      </c>
      <c r="W6" s="118">
        <f t="shared" si="1"/>
        <v>42114</v>
      </c>
      <c r="X6" s="118">
        <f t="shared" si="1"/>
        <v>42115</v>
      </c>
      <c r="Y6" s="118">
        <f t="shared" si="1"/>
        <v>42116</v>
      </c>
      <c r="Z6" s="118">
        <f t="shared" si="1"/>
        <v>42117</v>
      </c>
      <c r="AA6" s="118">
        <f t="shared" si="1"/>
        <v>42118</v>
      </c>
      <c r="AB6" s="118">
        <f t="shared" si="1"/>
        <v>42119</v>
      </c>
      <c r="AC6" s="118">
        <f t="shared" si="1"/>
        <v>42120</v>
      </c>
      <c r="AD6" s="118">
        <f t="shared" si="1"/>
        <v>42121</v>
      </c>
      <c r="AE6" s="118">
        <f t="shared" si="1"/>
        <v>42122</v>
      </c>
      <c r="AF6" s="118">
        <f t="shared" si="1"/>
        <v>42123</v>
      </c>
      <c r="AG6" s="118">
        <f t="shared" si="1"/>
        <v>42124</v>
      </c>
      <c r="AH6" s="118">
        <f t="shared" si="1"/>
        <v>42125</v>
      </c>
      <c r="AJ6" s="118" t="str">
        <f>ST_SEL_MonthYear</f>
        <v>Apr.15</v>
      </c>
      <c r="AM6" s="118">
        <f>D6</f>
        <v>42095</v>
      </c>
      <c r="AN6" s="118"/>
    </row>
    <row r="7" spans="1:43" x14ac:dyDescent="0.25">
      <c r="C7" s="101" t="s">
        <v>1120</v>
      </c>
      <c r="D7" s="130">
        <f ca="1">COUNTIFS(DBRA_WorkplanDate,D$6, DBRA_PlayerID,$D$3)</f>
        <v>0</v>
      </c>
      <c r="E7" s="130">
        <f ca="1">COUNTIFS(DBRA_WorkplanDate,E$6, DBRA_PlayerID,$D$3)</f>
        <v>0</v>
      </c>
      <c r="F7" s="130">
        <f ca="1">COUNTIFS(DBRA_WorkplanDate,F$6, DBRA_PlayerID,$D$3)</f>
        <v>0</v>
      </c>
      <c r="G7" s="130">
        <f ca="1">COUNTIFS(DBRA_WorkplanDate,G$6, DBRA_PlayerID,$D$3)</f>
        <v>0</v>
      </c>
      <c r="H7" s="130">
        <f ca="1">COUNTIFS(DBRA_WorkplanDate,H$6, DBRA_PlayerID,$D$3)</f>
        <v>0</v>
      </c>
      <c r="I7" s="130">
        <f ca="1">COUNTIFS(DBRA_WorkplanDate,I$6, DBRA_PlayerID,$D$3)</f>
        <v>0</v>
      </c>
      <c r="J7" s="130">
        <f ca="1">COUNTIFS(DBRA_WorkplanDate,J$6, DBRA_PlayerID,$D$3)</f>
        <v>0</v>
      </c>
      <c r="K7" s="130">
        <f ca="1">COUNTIFS(DBRA_WorkplanDate,K$6, DBRA_PlayerID,$D$3)</f>
        <v>0</v>
      </c>
      <c r="L7" s="130">
        <f ca="1">COUNTIFS(DBRA_WorkplanDate,L$6, DBRA_PlayerID,$D$3)</f>
        <v>0</v>
      </c>
      <c r="M7" s="130">
        <f ca="1">COUNTIFS(DBRA_WorkplanDate,M$6, DBRA_PlayerID,$D$3)</f>
        <v>0</v>
      </c>
      <c r="N7" s="130">
        <f ca="1">COUNTIFS(DBRA_WorkplanDate,N$6, DBRA_PlayerID,$D$3)</f>
        <v>0</v>
      </c>
      <c r="O7" s="130">
        <f ca="1">COUNTIFS(DBRA_WorkplanDate,O$6, DBRA_PlayerID,$D$3)</f>
        <v>0</v>
      </c>
      <c r="P7" s="130">
        <f ca="1">COUNTIFS(DBRA_WorkplanDate,P$6, DBRA_PlayerID,$D$3)</f>
        <v>0</v>
      </c>
      <c r="Q7" s="130">
        <f ca="1">COUNTIFS(DBRA_WorkplanDate,Q$6, DBRA_PlayerID,$D$3)</f>
        <v>0</v>
      </c>
      <c r="R7" s="130">
        <f ca="1">COUNTIFS(DBRA_WorkplanDate,R$6, DBRA_PlayerID,$D$3)</f>
        <v>0</v>
      </c>
      <c r="S7" s="130">
        <f ca="1">COUNTIFS(DBRA_WorkplanDate,S$6, DBRA_PlayerID,$D$3)</f>
        <v>0</v>
      </c>
      <c r="T7" s="130">
        <f ca="1">COUNTIFS(DBRA_WorkplanDate,T$6, DBRA_PlayerID,$D$3)</f>
        <v>0</v>
      </c>
      <c r="U7" s="130">
        <f ca="1">COUNTIFS(DBRA_WorkplanDate,U$6, DBRA_PlayerID,$D$3)</f>
        <v>0</v>
      </c>
      <c r="V7" s="130">
        <f ca="1">COUNTIFS(DBRA_WorkplanDate,V$6, DBRA_PlayerID,$D$3)</f>
        <v>0</v>
      </c>
      <c r="W7" s="130">
        <f ca="1">COUNTIFS(DBRA_WorkplanDate,W$6, DBRA_PlayerID,$D$3)</f>
        <v>0</v>
      </c>
      <c r="X7" s="130">
        <f ca="1">COUNTIFS(DBRA_WorkplanDate,X$6, DBRA_PlayerID,$D$3)</f>
        <v>0</v>
      </c>
      <c r="Y7" s="130">
        <f ca="1">COUNTIFS(DBRA_WorkplanDate,Y$6, DBRA_PlayerID,$D$3)</f>
        <v>0</v>
      </c>
      <c r="Z7" s="130">
        <f ca="1">COUNTIFS(DBRA_WorkplanDate,Z$6, DBRA_PlayerID,$D$3)</f>
        <v>0</v>
      </c>
      <c r="AA7" s="130">
        <f ca="1">COUNTIFS(DBRA_WorkplanDate,AA$6, DBRA_PlayerID,$D$3)</f>
        <v>0</v>
      </c>
      <c r="AB7" s="130">
        <f ca="1">COUNTIFS(DBRA_WorkplanDate,AB$6, DBRA_PlayerID,$D$3)</f>
        <v>0</v>
      </c>
      <c r="AC7" s="130">
        <f ca="1">COUNTIFS(DBRA_WorkplanDate,AC$6, DBRA_PlayerID,$D$3)</f>
        <v>0</v>
      </c>
      <c r="AD7" s="130">
        <f ca="1">COUNTIFS(DBRA_WorkplanDate,AD$6, DBRA_PlayerID,$D$3)</f>
        <v>0</v>
      </c>
      <c r="AE7" s="130">
        <f ca="1">COUNTIFS(DBRA_WorkplanDate,AE$6, DBRA_PlayerID,$D$3)</f>
        <v>0</v>
      </c>
      <c r="AF7" s="130">
        <f ca="1">COUNTIFS(DBRA_WorkplanDate,AF$6, DBRA_PlayerID,$D$3)</f>
        <v>0</v>
      </c>
      <c r="AG7" s="130">
        <f ca="1">COUNTIFS(DBRA_WorkplanDate,AG$6, DBRA_PlayerID,$D$3)</f>
        <v>0</v>
      </c>
      <c r="AH7" s="130">
        <f ca="1">COUNTIFS(DBRA_WorkplanDate,AH$6, DBRA_PlayerID,$D$3)</f>
        <v>0</v>
      </c>
    </row>
    <row r="8" spans="1:43" x14ac:dyDescent="0.25">
      <c r="C8" s="101" t="s">
        <v>1119</v>
      </c>
      <c r="D8" s="130" t="str">
        <f ca="1">IF(D7&gt;0,SUMIFS(DBRA_PlayerHCP,DBRA_WorkplanDate,D$6, DBRA_PlayerID,$D$3)/D7,"")</f>
        <v/>
      </c>
      <c r="E8" s="130" t="str">
        <f ca="1">IF(E7&gt;0,SUMIFS(DBRA_PlayerHCP,DBRA_WorkplanDate,E$6, DBRA_PlayerID,$D$3)/E7,"")</f>
        <v/>
      </c>
      <c r="F8" s="130" t="str">
        <f ca="1">IF(F7&gt;0,SUMIFS(DBRA_PlayerHCP,DBRA_WorkplanDate,F$6, DBRA_PlayerID,$D$3)/F7,"")</f>
        <v/>
      </c>
      <c r="G8" s="130" t="str">
        <f ca="1">IF(G7&gt;0,SUMIFS(DBRA_PlayerHCP,DBRA_WorkplanDate,G$6, DBRA_PlayerID,$D$3)/G7,"")</f>
        <v/>
      </c>
      <c r="H8" s="130" t="str">
        <f ca="1">IF(H7&gt;0,SUMIFS(DBRA_PlayerHCP,DBRA_WorkplanDate,H$6, DBRA_PlayerID,$D$3)/H7,"")</f>
        <v/>
      </c>
      <c r="I8" s="130" t="str">
        <f ca="1">IF(I7&gt;0,SUMIFS(DBRA_PlayerHCP,DBRA_WorkplanDate,I$6, DBRA_PlayerID,$D$3)/I7,"")</f>
        <v/>
      </c>
      <c r="J8" s="130" t="str">
        <f ca="1">IF(J7&gt;0,SUMIFS(DBRA_PlayerHCP,DBRA_WorkplanDate,J$6, DBRA_PlayerID,$D$3)/J7,"")</f>
        <v/>
      </c>
      <c r="K8" s="130" t="str">
        <f ca="1">IF(K7&gt;0,SUMIFS(DBRA_PlayerHCP,DBRA_WorkplanDate,K$6, DBRA_PlayerID,$D$3)/K7,"")</f>
        <v/>
      </c>
      <c r="L8" s="130" t="str">
        <f ca="1">IF(L7&gt;0,SUMIFS(DBRA_PlayerHCP,DBRA_WorkplanDate,L$6, DBRA_PlayerID,$D$3)/L7,"")</f>
        <v/>
      </c>
      <c r="M8" s="130" t="str">
        <f ca="1">IF(M7&gt;0,SUMIFS(DBRA_PlayerHCP,DBRA_WorkplanDate,M$6, DBRA_PlayerID,$D$3)/M7,"")</f>
        <v/>
      </c>
      <c r="N8" s="130" t="str">
        <f ca="1">IF(N7&gt;0,SUMIFS(DBRA_PlayerHCP,DBRA_WorkplanDate,N$6, DBRA_PlayerID,$D$3)/N7,"")</f>
        <v/>
      </c>
      <c r="O8" s="130" t="str">
        <f ca="1">IF(O7&gt;0,SUMIFS(DBRA_PlayerHCP,DBRA_WorkplanDate,O$6, DBRA_PlayerID,$D$3)/O7,"")</f>
        <v/>
      </c>
      <c r="P8" s="130" t="str">
        <f ca="1">IF(P7&gt;0,SUMIFS(DBRA_PlayerHCP,DBRA_WorkplanDate,P$6, DBRA_PlayerID,$D$3)/P7,"")</f>
        <v/>
      </c>
      <c r="Q8" s="130" t="str">
        <f ca="1">IF(Q7&gt;0,SUMIFS(DBRA_PlayerHCP,DBRA_WorkplanDate,Q$6, DBRA_PlayerID,$D$3)/Q7,"")</f>
        <v/>
      </c>
      <c r="R8" s="130" t="str">
        <f ca="1">IF(R7&gt;0,SUMIFS(DBRA_PlayerHCP,DBRA_WorkplanDate,R$6, DBRA_PlayerID,$D$3)/R7,"")</f>
        <v/>
      </c>
      <c r="S8" s="130" t="str">
        <f ca="1">IF(S7&gt;0,SUMIFS(DBRA_PlayerHCP,DBRA_WorkplanDate,S$6, DBRA_PlayerID,$D$3)/S7,"")</f>
        <v/>
      </c>
      <c r="T8" s="130" t="str">
        <f ca="1">IF(T7&gt;0,SUMIFS(DBRA_PlayerHCP,DBRA_WorkplanDate,T$6, DBRA_PlayerID,$D$3)/T7,"")</f>
        <v/>
      </c>
      <c r="U8" s="130" t="str">
        <f ca="1">IF(U7&gt;0,SUMIFS(DBRA_PlayerHCP,DBRA_WorkplanDate,U$6, DBRA_PlayerID,$D$3)/U7,"")</f>
        <v/>
      </c>
      <c r="V8" s="130" t="str">
        <f ca="1">IF(V7&gt;0,SUMIFS(DBRA_PlayerHCP,DBRA_WorkplanDate,V$6, DBRA_PlayerID,$D$3)/V7,"")</f>
        <v/>
      </c>
      <c r="W8" s="130" t="str">
        <f ca="1">IF(W7&gt;0,SUMIFS(DBRA_PlayerHCP,DBRA_WorkplanDate,W$6, DBRA_PlayerID,$D$3)/W7,"")</f>
        <v/>
      </c>
      <c r="X8" s="130" t="str">
        <f ca="1">IF(X7&gt;0,SUMIFS(DBRA_PlayerHCP,DBRA_WorkplanDate,X$6, DBRA_PlayerID,$D$3)/X7,"")</f>
        <v/>
      </c>
      <c r="Y8" s="130" t="str">
        <f ca="1">IF(Y7&gt;0,SUMIFS(DBRA_PlayerHCP,DBRA_WorkplanDate,Y$6, DBRA_PlayerID,$D$3)/Y7,"")</f>
        <v/>
      </c>
      <c r="Z8" s="130">
        <f ca="1">SUMIFS(DBRA_PlayerHCP,DBRA_WorkplanDate,Z$6, DBRA_PlayerID,$D$3)</f>
        <v>0</v>
      </c>
      <c r="AA8" s="130" t="str">
        <f ca="1">IF(AA7&gt;0,SUMIFS(DBRA_PlayerHCP,DBRA_WorkplanDate,AA$6, DBRA_PlayerID,$D$3)/AA7,"")</f>
        <v/>
      </c>
      <c r="AB8" s="130" t="str">
        <f ca="1">IF(AB7&gt;0,SUMIFS(DBRA_PlayerHCP,DBRA_WorkplanDate,AB$6, DBRA_PlayerID,$D$3)/AB7,"")</f>
        <v/>
      </c>
      <c r="AC8" s="130" t="str">
        <f ca="1">IF(AC7&gt;0,SUMIFS(DBRA_PlayerHCP,DBRA_WorkplanDate,AC$6, DBRA_PlayerID,$D$3)/AC7,"")</f>
        <v/>
      </c>
      <c r="AD8" s="130" t="str">
        <f ca="1">IF(AD7&gt;0,SUMIFS(DBRA_PlayerHCP,DBRA_WorkplanDate,AD$6, DBRA_PlayerID,$D$3)/AD7,"")</f>
        <v/>
      </c>
      <c r="AE8" s="130" t="str">
        <f ca="1">IF(AE7&gt;0,SUMIFS(DBRA_PlayerHCP,DBRA_WorkplanDate,AE$6, DBRA_PlayerID,$D$3)/AE7,"")</f>
        <v/>
      </c>
      <c r="AF8" s="130" t="str">
        <f ca="1">IF(AF7&gt;0,SUMIFS(DBRA_PlayerHCP,DBRA_WorkplanDate,AF$6, DBRA_PlayerID,$D$3)/AF7,"")</f>
        <v/>
      </c>
      <c r="AG8" s="130" t="str">
        <f ca="1">IF(AG7&gt;0,SUMIFS(DBRA_PlayerHCP,DBRA_WorkplanDate,AG$6, DBRA_PlayerID,$D$3)/AG7,"")</f>
        <v/>
      </c>
      <c r="AH8" s="130" t="str">
        <f ca="1">IF(AH7&gt;0,SUMIFS(DBRA_PlayerHCP,DBRA_WorkplanDate,AH$6, DBRA_PlayerID,$D$3)/AH7,"")</f>
        <v/>
      </c>
      <c r="AJ8" s="131">
        <f ca="1">IF(COUNT(D8:AH8)&gt;0,SUM(D8:AH8)/COUNT(D8:AH8),"")</f>
        <v>0</v>
      </c>
    </row>
    <row r="9" spans="1:43" x14ac:dyDescent="0.25">
      <c r="C9" s="101" t="str">
        <f>MUI_STAT_T_TotalTime_Day</f>
        <v>Total Time/Day</v>
      </c>
      <c r="D9" s="130">
        <f t="shared" ref="D9:AH9" ca="1" si="2">D14+D24+D34+D44+D54+D64+D74+D84+D94</f>
        <v>0</v>
      </c>
      <c r="E9" s="130">
        <f t="shared" ca="1" si="2"/>
        <v>0</v>
      </c>
      <c r="F9" s="130">
        <f t="shared" ca="1" si="2"/>
        <v>0</v>
      </c>
      <c r="G9" s="130">
        <f t="shared" ca="1" si="2"/>
        <v>0</v>
      </c>
      <c r="H9" s="130">
        <f t="shared" ca="1" si="2"/>
        <v>0</v>
      </c>
      <c r="I9" s="130">
        <f t="shared" ca="1" si="2"/>
        <v>0</v>
      </c>
      <c r="J9" s="130">
        <f t="shared" ca="1" si="2"/>
        <v>0</v>
      </c>
      <c r="K9" s="130">
        <f t="shared" ca="1" si="2"/>
        <v>0</v>
      </c>
      <c r="L9" s="130">
        <f t="shared" ca="1" si="2"/>
        <v>0</v>
      </c>
      <c r="M9" s="130">
        <f t="shared" ca="1" si="2"/>
        <v>0</v>
      </c>
      <c r="N9" s="130">
        <f t="shared" ca="1" si="2"/>
        <v>0</v>
      </c>
      <c r="O9" s="130">
        <f t="shared" ca="1" si="2"/>
        <v>0</v>
      </c>
      <c r="P9" s="130">
        <f t="shared" ca="1" si="2"/>
        <v>0</v>
      </c>
      <c r="Q9" s="130">
        <f t="shared" ca="1" si="2"/>
        <v>0</v>
      </c>
      <c r="R9" s="130">
        <f t="shared" ca="1" si="2"/>
        <v>0</v>
      </c>
      <c r="S9" s="130">
        <f t="shared" ca="1" si="2"/>
        <v>0</v>
      </c>
      <c r="T9" s="130">
        <f t="shared" ca="1" si="2"/>
        <v>0</v>
      </c>
      <c r="U9" s="130">
        <f t="shared" ca="1" si="2"/>
        <v>0</v>
      </c>
      <c r="V9" s="130">
        <f t="shared" ca="1" si="2"/>
        <v>0</v>
      </c>
      <c r="W9" s="130">
        <f t="shared" ca="1" si="2"/>
        <v>0</v>
      </c>
      <c r="X9" s="130">
        <f t="shared" ca="1" si="2"/>
        <v>0</v>
      </c>
      <c r="Y9" s="130">
        <f t="shared" ca="1" si="2"/>
        <v>0</v>
      </c>
      <c r="Z9" s="130">
        <f t="shared" ca="1" si="2"/>
        <v>0</v>
      </c>
      <c r="AA9" s="130">
        <f t="shared" ca="1" si="2"/>
        <v>0</v>
      </c>
      <c r="AB9" s="130">
        <f t="shared" ca="1" si="2"/>
        <v>0</v>
      </c>
      <c r="AC9" s="130">
        <f t="shared" ca="1" si="2"/>
        <v>0</v>
      </c>
      <c r="AD9" s="130">
        <f t="shared" ca="1" si="2"/>
        <v>0</v>
      </c>
      <c r="AE9" s="130">
        <f t="shared" ca="1" si="2"/>
        <v>0</v>
      </c>
      <c r="AF9" s="130">
        <f t="shared" ca="1" si="2"/>
        <v>0</v>
      </c>
      <c r="AG9" s="130">
        <f t="shared" ca="1" si="2"/>
        <v>0</v>
      </c>
      <c r="AH9" s="130">
        <f t="shared" ca="1" si="2"/>
        <v>0</v>
      </c>
      <c r="AJ9" s="130">
        <f ca="1">AJ14+AJ24+AJ34+AJ44+AJ54+AJ64+AJ74+AJ84+AJ94</f>
        <v>0</v>
      </c>
      <c r="AK9" s="218" t="str">
        <f ca="1">IFERROR(IF(AJ9&gt;0,INT(AJ9/60) &amp;":" &amp;TEXT((AJ9- INT(AJ9/60)*60),"00"),""),"")</f>
        <v/>
      </c>
      <c r="AM9" s="130">
        <f ca="1">AM14+AM24+AM34+AM44+AM54+AM64+AM74+AM84+AM94</f>
        <v>0</v>
      </c>
      <c r="AN9" s="218" t="str">
        <f ca="1">IFERROR(IF(AM9&gt;0,INT(AM9/60) &amp;":" &amp;TEXT((AM9- INT(AM9/60)*60),"00"),""),"")</f>
        <v/>
      </c>
    </row>
    <row r="10" spans="1:43" x14ac:dyDescent="0.25">
      <c r="C10" s="101" t="s">
        <v>572</v>
      </c>
      <c r="D10" s="130" t="str">
        <f t="shared" ref="D10:AH10" ca="1" si="3">IF(D$9&gt;0,(IF(D11&gt;0,D12/D11,"")),"")</f>
        <v/>
      </c>
      <c r="E10" s="130" t="str">
        <f t="shared" ca="1" si="3"/>
        <v/>
      </c>
      <c r="F10" s="130" t="str">
        <f t="shared" ca="1" si="3"/>
        <v/>
      </c>
      <c r="G10" s="130" t="str">
        <f t="shared" ca="1" si="3"/>
        <v/>
      </c>
      <c r="H10" s="130" t="str">
        <f t="shared" ca="1" si="3"/>
        <v/>
      </c>
      <c r="I10" s="130" t="str">
        <f t="shared" ca="1" si="3"/>
        <v/>
      </c>
      <c r="J10" s="130" t="str">
        <f t="shared" ca="1" si="3"/>
        <v/>
      </c>
      <c r="K10" s="130" t="str">
        <f t="shared" ca="1" si="3"/>
        <v/>
      </c>
      <c r="L10" s="130" t="str">
        <f t="shared" ca="1" si="3"/>
        <v/>
      </c>
      <c r="M10" s="130" t="str">
        <f t="shared" ca="1" si="3"/>
        <v/>
      </c>
      <c r="N10" s="130" t="str">
        <f t="shared" ca="1" si="3"/>
        <v/>
      </c>
      <c r="O10" s="130" t="str">
        <f t="shared" ca="1" si="3"/>
        <v/>
      </c>
      <c r="P10" s="130" t="str">
        <f t="shared" ca="1" si="3"/>
        <v/>
      </c>
      <c r="Q10" s="130" t="str">
        <f t="shared" ca="1" si="3"/>
        <v/>
      </c>
      <c r="R10" s="130" t="str">
        <f t="shared" ca="1" si="3"/>
        <v/>
      </c>
      <c r="S10" s="130" t="str">
        <f t="shared" ca="1" si="3"/>
        <v/>
      </c>
      <c r="T10" s="130" t="str">
        <f t="shared" ca="1" si="3"/>
        <v/>
      </c>
      <c r="U10" s="130" t="str">
        <f t="shared" ca="1" si="3"/>
        <v/>
      </c>
      <c r="V10" s="130" t="str">
        <f t="shared" ca="1" si="3"/>
        <v/>
      </c>
      <c r="W10" s="130" t="str">
        <f t="shared" ca="1" si="3"/>
        <v/>
      </c>
      <c r="X10" s="130" t="str">
        <f t="shared" ca="1" si="3"/>
        <v/>
      </c>
      <c r="Y10" s="130" t="str">
        <f t="shared" ca="1" si="3"/>
        <v/>
      </c>
      <c r="Z10" s="130" t="str">
        <f t="shared" ca="1" si="3"/>
        <v/>
      </c>
      <c r="AA10" s="130" t="str">
        <f t="shared" ca="1" si="3"/>
        <v/>
      </c>
      <c r="AB10" s="130" t="str">
        <f t="shared" ca="1" si="3"/>
        <v/>
      </c>
      <c r="AC10" s="130" t="str">
        <f t="shared" ca="1" si="3"/>
        <v/>
      </c>
      <c r="AD10" s="130" t="str">
        <f t="shared" ca="1" si="3"/>
        <v/>
      </c>
      <c r="AE10" s="130" t="str">
        <f t="shared" ca="1" si="3"/>
        <v/>
      </c>
      <c r="AF10" s="130" t="str">
        <f t="shared" ca="1" si="3"/>
        <v/>
      </c>
      <c r="AG10" s="130" t="str">
        <f t="shared" ca="1" si="3"/>
        <v/>
      </c>
      <c r="AH10" s="130" t="str">
        <f t="shared" ca="1" si="3"/>
        <v/>
      </c>
    </row>
    <row r="11" spans="1:43" x14ac:dyDescent="0.25">
      <c r="C11" s="128" t="s">
        <v>815</v>
      </c>
      <c r="D11" s="129">
        <f t="shared" ref="D11:AH11" ca="1" si="4">SUMIFS(D$14:D$98,STPREP_TITEL,C11)</f>
        <v>0</v>
      </c>
      <c r="E11" s="129">
        <f t="shared" ca="1" si="4"/>
        <v>0</v>
      </c>
      <c r="F11" s="129">
        <f t="shared" ca="1" si="4"/>
        <v>0</v>
      </c>
      <c r="G11" s="129">
        <f t="shared" ca="1" si="4"/>
        <v>0</v>
      </c>
      <c r="H11" s="129">
        <f t="shared" ca="1" si="4"/>
        <v>0</v>
      </c>
      <c r="I11" s="129">
        <f t="shared" ca="1" si="4"/>
        <v>0</v>
      </c>
      <c r="J11" s="129">
        <f t="shared" ca="1" si="4"/>
        <v>0</v>
      </c>
      <c r="K11" s="129">
        <f t="shared" ca="1" si="4"/>
        <v>0</v>
      </c>
      <c r="L11" s="129">
        <f t="shared" ca="1" si="4"/>
        <v>0</v>
      </c>
      <c r="M11" s="129">
        <f t="shared" ca="1" si="4"/>
        <v>0</v>
      </c>
      <c r="N11" s="129">
        <f t="shared" ca="1" si="4"/>
        <v>0</v>
      </c>
      <c r="O11" s="129">
        <f t="shared" ca="1" si="4"/>
        <v>0</v>
      </c>
      <c r="P11" s="129">
        <f t="shared" ca="1" si="4"/>
        <v>0</v>
      </c>
      <c r="Q11" s="129">
        <f t="shared" ca="1" si="4"/>
        <v>0</v>
      </c>
      <c r="R11" s="129">
        <f t="shared" ca="1" si="4"/>
        <v>0</v>
      </c>
      <c r="S11" s="129">
        <f t="shared" ca="1" si="4"/>
        <v>0</v>
      </c>
      <c r="T11" s="129">
        <f t="shared" ca="1" si="4"/>
        <v>0</v>
      </c>
      <c r="U11" s="129">
        <f t="shared" ca="1" si="4"/>
        <v>0</v>
      </c>
      <c r="V11" s="129">
        <f t="shared" ca="1" si="4"/>
        <v>0</v>
      </c>
      <c r="W11" s="129">
        <f t="shared" ca="1" si="4"/>
        <v>0</v>
      </c>
      <c r="X11" s="129">
        <f t="shared" ca="1" si="4"/>
        <v>0</v>
      </c>
      <c r="Y11" s="129">
        <f t="shared" ca="1" si="4"/>
        <v>0</v>
      </c>
      <c r="Z11" s="129">
        <f t="shared" ca="1" si="4"/>
        <v>0</v>
      </c>
      <c r="AA11" s="129">
        <f t="shared" ca="1" si="4"/>
        <v>0</v>
      </c>
      <c r="AB11" s="129">
        <f t="shared" ca="1" si="4"/>
        <v>0</v>
      </c>
      <c r="AC11" s="129">
        <f t="shared" ca="1" si="4"/>
        <v>0</v>
      </c>
      <c r="AD11" s="129">
        <f t="shared" ca="1" si="4"/>
        <v>0</v>
      </c>
      <c r="AE11" s="129">
        <f t="shared" ca="1" si="4"/>
        <v>0</v>
      </c>
      <c r="AF11" s="129">
        <f t="shared" ca="1" si="4"/>
        <v>0</v>
      </c>
      <c r="AG11" s="129">
        <f t="shared" ca="1" si="4"/>
        <v>0</v>
      </c>
      <c r="AH11" s="129">
        <f t="shared" ca="1" si="4"/>
        <v>0</v>
      </c>
      <c r="AJ11" s="118"/>
    </row>
    <row r="12" spans="1:43" x14ac:dyDescent="0.25">
      <c r="C12" s="128" t="s">
        <v>819</v>
      </c>
      <c r="D12" s="129">
        <f t="shared" ref="D12:AH12" ca="1" si="5">SUMIFS(D$14:D$98,STPREP_TITEL,C16)</f>
        <v>0</v>
      </c>
      <c r="E12" s="129">
        <f t="shared" ca="1" si="5"/>
        <v>0</v>
      </c>
      <c r="F12" s="129">
        <f t="shared" ca="1" si="5"/>
        <v>0</v>
      </c>
      <c r="G12" s="129">
        <f t="shared" ca="1" si="5"/>
        <v>0</v>
      </c>
      <c r="H12" s="129">
        <f t="shared" ca="1" si="5"/>
        <v>0</v>
      </c>
      <c r="I12" s="129">
        <f t="shared" ca="1" si="5"/>
        <v>0</v>
      </c>
      <c r="J12" s="129">
        <f t="shared" ca="1" si="5"/>
        <v>0</v>
      </c>
      <c r="K12" s="129">
        <f t="shared" ca="1" si="5"/>
        <v>0</v>
      </c>
      <c r="L12" s="129">
        <f t="shared" ca="1" si="5"/>
        <v>0</v>
      </c>
      <c r="M12" s="129">
        <f t="shared" ca="1" si="5"/>
        <v>0</v>
      </c>
      <c r="N12" s="129">
        <f t="shared" ca="1" si="5"/>
        <v>0</v>
      </c>
      <c r="O12" s="129">
        <f t="shared" ca="1" si="5"/>
        <v>0</v>
      </c>
      <c r="P12" s="129">
        <f t="shared" ca="1" si="5"/>
        <v>0</v>
      </c>
      <c r="Q12" s="129">
        <f t="shared" ca="1" si="5"/>
        <v>0</v>
      </c>
      <c r="R12" s="129">
        <f t="shared" ca="1" si="5"/>
        <v>0</v>
      </c>
      <c r="S12" s="129">
        <f t="shared" ca="1" si="5"/>
        <v>0</v>
      </c>
      <c r="T12" s="129">
        <f t="shared" ca="1" si="5"/>
        <v>0</v>
      </c>
      <c r="U12" s="129">
        <f t="shared" ca="1" si="5"/>
        <v>0</v>
      </c>
      <c r="V12" s="129">
        <f t="shared" ca="1" si="5"/>
        <v>0</v>
      </c>
      <c r="W12" s="129">
        <f t="shared" ca="1" si="5"/>
        <v>0</v>
      </c>
      <c r="X12" s="129">
        <f t="shared" ca="1" si="5"/>
        <v>0</v>
      </c>
      <c r="Y12" s="129">
        <f t="shared" ca="1" si="5"/>
        <v>0</v>
      </c>
      <c r="Z12" s="129">
        <f t="shared" ca="1" si="5"/>
        <v>0</v>
      </c>
      <c r="AA12" s="129">
        <f t="shared" ca="1" si="5"/>
        <v>0</v>
      </c>
      <c r="AB12" s="129">
        <f t="shared" ca="1" si="5"/>
        <v>0</v>
      </c>
      <c r="AC12" s="129">
        <f t="shared" ca="1" si="5"/>
        <v>0</v>
      </c>
      <c r="AD12" s="129">
        <f t="shared" ca="1" si="5"/>
        <v>0</v>
      </c>
      <c r="AE12" s="129">
        <f t="shared" ca="1" si="5"/>
        <v>0</v>
      </c>
      <c r="AF12" s="129">
        <f t="shared" ca="1" si="5"/>
        <v>0</v>
      </c>
      <c r="AG12" s="129">
        <f t="shared" ca="1" si="5"/>
        <v>0</v>
      </c>
      <c r="AH12" s="129">
        <f t="shared" ca="1" si="5"/>
        <v>0</v>
      </c>
      <c r="AJ12" s="118"/>
    </row>
    <row r="13" spans="1:43" x14ac:dyDescent="0.25">
      <c r="C13" s="128"/>
      <c r="D13" s="118"/>
      <c r="E13" s="118"/>
      <c r="F13" s="118"/>
      <c r="G13" s="118"/>
      <c r="H13" s="118"/>
      <c r="I13" s="118"/>
      <c r="J13" s="118"/>
      <c r="K13" s="118"/>
      <c r="L13" s="118"/>
      <c r="M13" s="118"/>
      <c r="N13" s="118"/>
      <c r="O13" s="118"/>
      <c r="P13" s="118"/>
      <c r="Q13" s="118"/>
      <c r="R13" s="118"/>
      <c r="S13" s="118"/>
      <c r="T13" s="118"/>
      <c r="U13" s="118"/>
      <c r="V13" s="118"/>
      <c r="W13" s="118"/>
      <c r="X13" s="118"/>
      <c r="Y13" s="118"/>
      <c r="Z13" s="118"/>
      <c r="AA13" s="118"/>
      <c r="AB13" s="118"/>
      <c r="AC13" s="118"/>
      <c r="AD13" s="118"/>
      <c r="AE13" s="118"/>
      <c r="AF13" s="118"/>
      <c r="AG13" s="118"/>
      <c r="AH13" s="118"/>
    </row>
    <row r="14" spans="1:43" x14ac:dyDescent="0.25">
      <c r="A14" t="str">
        <f>MUI_STAT_T_MainTitel_1</f>
        <v>Putting</v>
      </c>
      <c r="C14" s="128" t="s">
        <v>459</v>
      </c>
      <c r="D14" s="130">
        <f ca="1">SUMIFS(OFFSET(DBRA_TopicTotalRealDuration,0,MATCH($A14,DBRA_TopicTotalRealDuration_Titel,0)-1,DBR_COUNT,1),DBRA_WorkplanDate,D$6,DBRA_PlayerID,$D$3)</f>
        <v>0</v>
      </c>
      <c r="E14" s="130">
        <f t="shared" ref="E14:AH14" ca="1" si="6">SUMIFS(OFFSET(DBRA_TopicTotalRealDuration,0,MATCH($A14,DBRA_TopicTotalRealDuration_Titel,0)-1,DBR_COUNT,1),DBRA_WorkplanDate,E$6,DBRA_PlayerID,$D$3)</f>
        <v>0</v>
      </c>
      <c r="F14" s="130">
        <f t="shared" ca="1" si="6"/>
        <v>0</v>
      </c>
      <c r="G14" s="130">
        <f t="shared" ca="1" si="6"/>
        <v>0</v>
      </c>
      <c r="H14" s="130">
        <f t="shared" ca="1" si="6"/>
        <v>0</v>
      </c>
      <c r="I14" s="130">
        <f t="shared" ca="1" si="6"/>
        <v>0</v>
      </c>
      <c r="J14" s="130">
        <f t="shared" ca="1" si="6"/>
        <v>0</v>
      </c>
      <c r="K14" s="130">
        <f t="shared" ca="1" si="6"/>
        <v>0</v>
      </c>
      <c r="L14" s="130">
        <f t="shared" ca="1" si="6"/>
        <v>0</v>
      </c>
      <c r="M14" s="130">
        <f t="shared" ca="1" si="6"/>
        <v>0</v>
      </c>
      <c r="N14" s="130">
        <f t="shared" ca="1" si="6"/>
        <v>0</v>
      </c>
      <c r="O14" s="130">
        <f t="shared" ca="1" si="6"/>
        <v>0</v>
      </c>
      <c r="P14" s="130">
        <f t="shared" ca="1" si="6"/>
        <v>0</v>
      </c>
      <c r="Q14" s="130">
        <f t="shared" ca="1" si="6"/>
        <v>0</v>
      </c>
      <c r="R14" s="130">
        <f t="shared" ca="1" si="6"/>
        <v>0</v>
      </c>
      <c r="S14" s="130">
        <f t="shared" ca="1" si="6"/>
        <v>0</v>
      </c>
      <c r="T14" s="130">
        <f t="shared" ca="1" si="6"/>
        <v>0</v>
      </c>
      <c r="U14" s="130">
        <f t="shared" ca="1" si="6"/>
        <v>0</v>
      </c>
      <c r="V14" s="130">
        <f t="shared" ca="1" si="6"/>
        <v>0</v>
      </c>
      <c r="W14" s="130">
        <f t="shared" ca="1" si="6"/>
        <v>0</v>
      </c>
      <c r="X14" s="130">
        <f t="shared" ca="1" si="6"/>
        <v>0</v>
      </c>
      <c r="Y14" s="130">
        <f t="shared" ca="1" si="6"/>
        <v>0</v>
      </c>
      <c r="Z14" s="130">
        <f t="shared" ca="1" si="6"/>
        <v>0</v>
      </c>
      <c r="AA14" s="130">
        <f t="shared" ca="1" si="6"/>
        <v>0</v>
      </c>
      <c r="AB14" s="130">
        <f t="shared" ca="1" si="6"/>
        <v>0</v>
      </c>
      <c r="AC14" s="130">
        <f t="shared" ca="1" si="6"/>
        <v>0</v>
      </c>
      <c r="AD14" s="130">
        <f t="shared" ca="1" si="6"/>
        <v>0</v>
      </c>
      <c r="AE14" s="130">
        <f t="shared" ca="1" si="6"/>
        <v>0</v>
      </c>
      <c r="AF14" s="130">
        <f t="shared" ca="1" si="6"/>
        <v>0</v>
      </c>
      <c r="AG14" s="130">
        <f t="shared" ca="1" si="6"/>
        <v>0</v>
      </c>
      <c r="AH14" s="130">
        <f t="shared" ca="1" si="6"/>
        <v>0</v>
      </c>
      <c r="AJ14" s="130">
        <f ca="1">SUMIFS(OFFSET(DBRA_TopicTotalRealDuration,0,MATCH($A14,DBRA_TopicTotalRealDuration_Titel,0)-1,DBR_COUNT,1),DBRA_WorkplanDate,$AJ$5,DBRA_WorkplanDate,$AJ$4,DBRA_PlayerID,$D$3)</f>
        <v>0</v>
      </c>
      <c r="AK14" s="218" t="str">
        <f ca="1">IFERROR(IF(AJ14&gt;0,INT(AJ14/60) &amp;":" &amp;TEXT((AJ14- INT(AJ14/60)*60),"00"),""),"")</f>
        <v/>
      </c>
      <c r="AM14" s="130">
        <f ca="1">SUMIFS(OFFSET(DBRA_TopicTotalRealDuration,0,MATCH($A14,DBRA_TopicTotalRealDuration_Titel,0)-1,DBR_COUNT,1),DBRA_WorkplanDate,$AM$4,DBRA_WorkplanDate,$AM$5,DBRA_PlayerID,$D$3)</f>
        <v>0</v>
      </c>
      <c r="AN14" s="218" t="str">
        <f ca="1">IFERROR(IF(AM14&gt;0,INT(AM14/60) &amp;":" &amp;TEXT((AM14- INT(AM14/60)*60),"00"),""),"")</f>
        <v/>
      </c>
    </row>
    <row r="15" spans="1:43" x14ac:dyDescent="0.25">
      <c r="C15" s="128" t="s">
        <v>814</v>
      </c>
      <c r="D15" s="123" t="str">
        <f ca="1">IF(D$9&gt;0,IF(D14&gt;0,D14/D$9,""),"")</f>
        <v/>
      </c>
      <c r="E15" s="123" t="str">
        <f t="shared" ref="E15:AH15" ca="1" si="7">IF(E$9&gt;0,IF(E14&gt;0,E14/E$9,""),"")</f>
        <v/>
      </c>
      <c r="F15" s="123" t="str">
        <f t="shared" ca="1" si="7"/>
        <v/>
      </c>
      <c r="G15" s="123" t="str">
        <f t="shared" ca="1" si="7"/>
        <v/>
      </c>
      <c r="H15" s="123" t="str">
        <f t="shared" ca="1" si="7"/>
        <v/>
      </c>
      <c r="I15" s="123" t="str">
        <f t="shared" ca="1" si="7"/>
        <v/>
      </c>
      <c r="J15" s="123" t="str">
        <f t="shared" ca="1" si="7"/>
        <v/>
      </c>
      <c r="K15" s="123" t="str">
        <f t="shared" ca="1" si="7"/>
        <v/>
      </c>
      <c r="L15" s="123" t="str">
        <f t="shared" ca="1" si="7"/>
        <v/>
      </c>
      <c r="M15" s="123" t="str">
        <f t="shared" ca="1" si="7"/>
        <v/>
      </c>
      <c r="N15" s="123" t="str">
        <f t="shared" ca="1" si="7"/>
        <v/>
      </c>
      <c r="O15" s="123" t="str">
        <f t="shared" ca="1" si="7"/>
        <v/>
      </c>
      <c r="P15" s="123" t="str">
        <f t="shared" ca="1" si="7"/>
        <v/>
      </c>
      <c r="Q15" s="123" t="str">
        <f t="shared" ca="1" si="7"/>
        <v/>
      </c>
      <c r="R15" s="123" t="str">
        <f t="shared" ca="1" si="7"/>
        <v/>
      </c>
      <c r="S15" s="123" t="str">
        <f t="shared" ca="1" si="7"/>
        <v/>
      </c>
      <c r="T15" s="123" t="str">
        <f t="shared" ca="1" si="7"/>
        <v/>
      </c>
      <c r="U15" s="123" t="str">
        <f t="shared" ca="1" si="7"/>
        <v/>
      </c>
      <c r="V15" s="123" t="str">
        <f t="shared" ca="1" si="7"/>
        <v/>
      </c>
      <c r="W15" s="123" t="str">
        <f t="shared" ca="1" si="7"/>
        <v/>
      </c>
      <c r="X15" s="123" t="str">
        <f t="shared" ca="1" si="7"/>
        <v/>
      </c>
      <c r="Y15" s="123" t="str">
        <f t="shared" ca="1" si="7"/>
        <v/>
      </c>
      <c r="Z15" s="123" t="str">
        <f t="shared" ca="1" si="7"/>
        <v/>
      </c>
      <c r="AA15" s="123" t="str">
        <f t="shared" ca="1" si="7"/>
        <v/>
      </c>
      <c r="AB15" s="123" t="str">
        <f t="shared" ca="1" si="7"/>
        <v/>
      </c>
      <c r="AC15" s="123" t="str">
        <f t="shared" ca="1" si="7"/>
        <v/>
      </c>
      <c r="AD15" s="123" t="str">
        <f t="shared" ca="1" si="7"/>
        <v/>
      </c>
      <c r="AE15" s="123" t="str">
        <f t="shared" ca="1" si="7"/>
        <v/>
      </c>
      <c r="AF15" s="123" t="str">
        <f t="shared" ca="1" si="7"/>
        <v/>
      </c>
      <c r="AG15" s="123" t="str">
        <f t="shared" ca="1" si="7"/>
        <v/>
      </c>
      <c r="AH15" s="123" t="str">
        <f t="shared" ca="1" si="7"/>
        <v/>
      </c>
      <c r="AJ15" s="123" t="str">
        <f ca="1">IF($AJ$9=0,"",AJ14/$AJ$9)</f>
        <v/>
      </c>
      <c r="AM15" s="123" t="str">
        <f ca="1">IF($AM$9=0,"",AM14/$AM$9)</f>
        <v/>
      </c>
    </row>
    <row r="16" spans="1:43" x14ac:dyDescent="0.25">
      <c r="C16" s="128" t="s">
        <v>819</v>
      </c>
      <c r="D16" s="132">
        <f ca="1">SUMIFS(OFFSET(DBRA_TopicHCP,0,MATCH($A14,DBRA_TopicHCP_Titel,0)-1,DBR_COUNT,1),DBRA_WorkplanDate,D$6, DBRA_PlayerID,$D$3)</f>
        <v>0</v>
      </c>
      <c r="E16" s="132">
        <f t="shared" ref="E16:S16" ca="1" si="8">SUMIFS(OFFSET(DBRA_TopicHCP,0,MATCH($A14,DBRA_TopicHCP_Titel,0)-1,DBR_COUNT,1),DBRA_WorkplanDate,E$6, DBRA_PlayerID,$D$3)</f>
        <v>0</v>
      </c>
      <c r="F16" s="132">
        <f t="shared" ca="1" si="8"/>
        <v>0</v>
      </c>
      <c r="G16" s="132">
        <f t="shared" ca="1" si="8"/>
        <v>0</v>
      </c>
      <c r="H16" s="132">
        <f t="shared" ca="1" si="8"/>
        <v>0</v>
      </c>
      <c r="I16" s="132">
        <f t="shared" ca="1" si="8"/>
        <v>0</v>
      </c>
      <c r="J16" s="132">
        <f t="shared" ca="1" si="8"/>
        <v>0</v>
      </c>
      <c r="K16" s="132">
        <f t="shared" ca="1" si="8"/>
        <v>0</v>
      </c>
      <c r="L16" s="132">
        <f t="shared" ca="1" si="8"/>
        <v>0</v>
      </c>
      <c r="M16" s="132">
        <f t="shared" ca="1" si="8"/>
        <v>0</v>
      </c>
      <c r="N16" s="132">
        <f t="shared" ca="1" si="8"/>
        <v>0</v>
      </c>
      <c r="O16" s="132">
        <f t="shared" ca="1" si="8"/>
        <v>0</v>
      </c>
      <c r="P16" s="132">
        <f t="shared" ca="1" si="8"/>
        <v>0</v>
      </c>
      <c r="Q16" s="132">
        <f t="shared" ca="1" si="8"/>
        <v>0</v>
      </c>
      <c r="R16" s="132">
        <f t="shared" ca="1" si="8"/>
        <v>0</v>
      </c>
      <c r="S16" s="132">
        <f t="shared" ca="1" si="8"/>
        <v>0</v>
      </c>
      <c r="T16" s="132">
        <f t="shared" ref="T16:AH16" ca="1" si="9">SUMIFS(OFFSET(DBRA_TopicHCP,0,MATCH($A14,DBRA_TopicHCP_Titel,0)-1,DBR_COUNT,1),DBRA_WorkplanDate,T$6, DBRA_PlayerID,$D$3)</f>
        <v>0</v>
      </c>
      <c r="U16" s="132">
        <f t="shared" ca="1" si="9"/>
        <v>0</v>
      </c>
      <c r="V16" s="132">
        <f t="shared" ca="1" si="9"/>
        <v>0</v>
      </c>
      <c r="W16" s="132">
        <f t="shared" ca="1" si="9"/>
        <v>0</v>
      </c>
      <c r="X16" s="132">
        <f t="shared" ca="1" si="9"/>
        <v>0</v>
      </c>
      <c r="Y16" s="132">
        <f t="shared" ca="1" si="9"/>
        <v>0</v>
      </c>
      <c r="Z16" s="132">
        <f t="shared" ca="1" si="9"/>
        <v>0</v>
      </c>
      <c r="AA16" s="132">
        <f t="shared" ca="1" si="9"/>
        <v>0</v>
      </c>
      <c r="AB16" s="132">
        <f t="shared" ca="1" si="9"/>
        <v>0</v>
      </c>
      <c r="AC16" s="132">
        <f t="shared" ca="1" si="9"/>
        <v>0</v>
      </c>
      <c r="AD16" s="132">
        <f t="shared" ca="1" si="9"/>
        <v>0</v>
      </c>
      <c r="AE16" s="132">
        <f t="shared" ca="1" si="9"/>
        <v>0</v>
      </c>
      <c r="AF16" s="132">
        <f t="shared" ca="1" si="9"/>
        <v>0</v>
      </c>
      <c r="AG16" s="132">
        <f t="shared" ca="1" si="9"/>
        <v>0</v>
      </c>
      <c r="AH16" s="132">
        <f t="shared" ca="1" si="9"/>
        <v>0</v>
      </c>
    </row>
    <row r="17" spans="1:40" x14ac:dyDescent="0.25">
      <c r="C17" s="128" t="s">
        <v>815</v>
      </c>
      <c r="D17" s="132">
        <f t="shared" ref="D17:AH17" ca="1" si="10">SUMIFS(OFFSET(DBRA_TopicCount,0,MATCH($A14,DBRA_TopicCount_Titel,0)-1,DBR_COUNT,1),DBRA_WorkplanDate,D$6, DBRA_PlayerID,$D$3)</f>
        <v>0</v>
      </c>
      <c r="E17" s="132">
        <f t="shared" ca="1" si="10"/>
        <v>0</v>
      </c>
      <c r="F17" s="132">
        <f t="shared" ca="1" si="10"/>
        <v>0</v>
      </c>
      <c r="G17" s="132">
        <f t="shared" ca="1" si="10"/>
        <v>0</v>
      </c>
      <c r="H17" s="132">
        <f t="shared" ca="1" si="10"/>
        <v>0</v>
      </c>
      <c r="I17" s="132">
        <f t="shared" ca="1" si="10"/>
        <v>0</v>
      </c>
      <c r="J17" s="132">
        <f t="shared" ca="1" si="10"/>
        <v>0</v>
      </c>
      <c r="K17" s="132">
        <f t="shared" ca="1" si="10"/>
        <v>0</v>
      </c>
      <c r="L17" s="132">
        <f t="shared" ca="1" si="10"/>
        <v>0</v>
      </c>
      <c r="M17" s="132">
        <f t="shared" ca="1" si="10"/>
        <v>0</v>
      </c>
      <c r="N17" s="132">
        <f t="shared" ca="1" si="10"/>
        <v>0</v>
      </c>
      <c r="O17" s="132">
        <f t="shared" ca="1" si="10"/>
        <v>0</v>
      </c>
      <c r="P17" s="132">
        <f t="shared" ca="1" si="10"/>
        <v>0</v>
      </c>
      <c r="Q17" s="132">
        <f t="shared" ca="1" si="10"/>
        <v>0</v>
      </c>
      <c r="R17" s="132">
        <f t="shared" ca="1" si="10"/>
        <v>0</v>
      </c>
      <c r="S17" s="132">
        <f t="shared" ca="1" si="10"/>
        <v>0</v>
      </c>
      <c r="T17" s="132">
        <f t="shared" ca="1" si="10"/>
        <v>0</v>
      </c>
      <c r="U17" s="132">
        <f t="shared" ca="1" si="10"/>
        <v>0</v>
      </c>
      <c r="V17" s="132">
        <f t="shared" ca="1" si="10"/>
        <v>0</v>
      </c>
      <c r="W17" s="132">
        <f t="shared" ca="1" si="10"/>
        <v>0</v>
      </c>
      <c r="X17" s="132">
        <f t="shared" ca="1" si="10"/>
        <v>0</v>
      </c>
      <c r="Y17" s="132">
        <f t="shared" ca="1" si="10"/>
        <v>0</v>
      </c>
      <c r="Z17" s="132">
        <f t="shared" ca="1" si="10"/>
        <v>0</v>
      </c>
      <c r="AA17" s="132">
        <f t="shared" ca="1" si="10"/>
        <v>0</v>
      </c>
      <c r="AB17" s="132">
        <f t="shared" ca="1" si="10"/>
        <v>0</v>
      </c>
      <c r="AC17" s="132">
        <f t="shared" ca="1" si="10"/>
        <v>0</v>
      </c>
      <c r="AD17" s="132">
        <f t="shared" ca="1" si="10"/>
        <v>0</v>
      </c>
      <c r="AE17" s="132">
        <f t="shared" ca="1" si="10"/>
        <v>0</v>
      </c>
      <c r="AF17" s="132">
        <f t="shared" ca="1" si="10"/>
        <v>0</v>
      </c>
      <c r="AG17" s="132">
        <f t="shared" ca="1" si="10"/>
        <v>0</v>
      </c>
      <c r="AH17" s="132">
        <f t="shared" ca="1" si="10"/>
        <v>0</v>
      </c>
    </row>
    <row r="18" spans="1:40" x14ac:dyDescent="0.25">
      <c r="C18" s="128" t="s">
        <v>820</v>
      </c>
      <c r="D18" s="131" t="str">
        <f t="shared" ref="D18:AH18" ca="1" si="11">IF(D$9&gt;0,IF(D17&gt;0,D16/D17,""),"")</f>
        <v/>
      </c>
      <c r="E18" s="131" t="str">
        <f t="shared" ca="1" si="11"/>
        <v/>
      </c>
      <c r="F18" s="131" t="str">
        <f t="shared" ca="1" si="11"/>
        <v/>
      </c>
      <c r="G18" s="131" t="str">
        <f t="shared" ca="1" si="11"/>
        <v/>
      </c>
      <c r="H18" s="131" t="str">
        <f t="shared" ca="1" si="11"/>
        <v/>
      </c>
      <c r="I18" s="131" t="str">
        <f t="shared" ca="1" si="11"/>
        <v/>
      </c>
      <c r="J18" s="131" t="str">
        <f t="shared" ca="1" si="11"/>
        <v/>
      </c>
      <c r="K18" s="131" t="str">
        <f t="shared" ca="1" si="11"/>
        <v/>
      </c>
      <c r="L18" s="131" t="str">
        <f t="shared" ca="1" si="11"/>
        <v/>
      </c>
      <c r="M18" s="131" t="str">
        <f t="shared" ca="1" si="11"/>
        <v/>
      </c>
      <c r="N18" s="131" t="str">
        <f t="shared" ca="1" si="11"/>
        <v/>
      </c>
      <c r="O18" s="131" t="str">
        <f t="shared" ca="1" si="11"/>
        <v/>
      </c>
      <c r="P18" s="131" t="str">
        <f t="shared" ca="1" si="11"/>
        <v/>
      </c>
      <c r="Q18" s="131" t="str">
        <f t="shared" ca="1" si="11"/>
        <v/>
      </c>
      <c r="R18" s="131" t="str">
        <f t="shared" ca="1" si="11"/>
        <v/>
      </c>
      <c r="S18" s="131" t="str">
        <f t="shared" ca="1" si="11"/>
        <v/>
      </c>
      <c r="T18" s="131" t="str">
        <f t="shared" ca="1" si="11"/>
        <v/>
      </c>
      <c r="U18" s="131" t="str">
        <f t="shared" ca="1" si="11"/>
        <v/>
      </c>
      <c r="V18" s="131" t="str">
        <f t="shared" ca="1" si="11"/>
        <v/>
      </c>
      <c r="W18" s="131" t="str">
        <f t="shared" ca="1" si="11"/>
        <v/>
      </c>
      <c r="X18" s="131" t="str">
        <f t="shared" ca="1" si="11"/>
        <v/>
      </c>
      <c r="Y18" s="131" t="str">
        <f t="shared" ca="1" si="11"/>
        <v/>
      </c>
      <c r="Z18" s="131" t="str">
        <f t="shared" ca="1" si="11"/>
        <v/>
      </c>
      <c r="AA18" s="131" t="str">
        <f t="shared" ca="1" si="11"/>
        <v/>
      </c>
      <c r="AB18" s="131" t="str">
        <f t="shared" ca="1" si="11"/>
        <v/>
      </c>
      <c r="AC18" s="131" t="str">
        <f t="shared" ca="1" si="11"/>
        <v/>
      </c>
      <c r="AD18" s="131" t="str">
        <f t="shared" ca="1" si="11"/>
        <v/>
      </c>
      <c r="AE18" s="131" t="str">
        <f t="shared" ca="1" si="11"/>
        <v/>
      </c>
      <c r="AF18" s="131" t="str">
        <f t="shared" ca="1" si="11"/>
        <v/>
      </c>
      <c r="AG18" s="131" t="str">
        <f t="shared" ca="1" si="11"/>
        <v/>
      </c>
      <c r="AH18" s="131" t="str">
        <f t="shared" ca="1" si="11"/>
        <v/>
      </c>
      <c r="AJ18" s="131" t="str">
        <f ca="1">IF(COUNT(D18:AH18)&gt;0,SUM(D18:AH18)/COUNT(D18:AH18),"")</f>
        <v/>
      </c>
    </row>
    <row r="19" spans="1:40" x14ac:dyDescent="0.25">
      <c r="C19" s="128" t="s">
        <v>1117</v>
      </c>
      <c r="D19" s="131" t="str">
        <f ca="1">IF(LEN(D18)&gt;0,1,"")</f>
        <v/>
      </c>
      <c r="E19" s="131" t="str">
        <f t="shared" ref="E19:AG19" ca="1" si="12">IF(LEN(E18)&gt;0,1,"")</f>
        <v/>
      </c>
      <c r="F19" s="131" t="str">
        <f t="shared" ca="1" si="12"/>
        <v/>
      </c>
      <c r="G19" s="131" t="str">
        <f t="shared" ca="1" si="12"/>
        <v/>
      </c>
      <c r="H19" s="131" t="str">
        <f t="shared" ca="1" si="12"/>
        <v/>
      </c>
      <c r="I19" s="131" t="str">
        <f t="shared" ca="1" si="12"/>
        <v/>
      </c>
      <c r="J19" s="131" t="str">
        <f t="shared" ca="1" si="12"/>
        <v/>
      </c>
      <c r="K19" s="131" t="str">
        <f t="shared" ca="1" si="12"/>
        <v/>
      </c>
      <c r="L19" s="131" t="str">
        <f t="shared" ca="1" si="12"/>
        <v/>
      </c>
      <c r="M19" s="131" t="str">
        <f t="shared" ca="1" si="12"/>
        <v/>
      </c>
      <c r="N19" s="131" t="str">
        <f t="shared" ca="1" si="12"/>
        <v/>
      </c>
      <c r="O19" s="131" t="str">
        <f t="shared" ca="1" si="12"/>
        <v/>
      </c>
      <c r="P19" s="131" t="str">
        <f t="shared" ca="1" si="12"/>
        <v/>
      </c>
      <c r="Q19" s="131" t="str">
        <f t="shared" ca="1" si="12"/>
        <v/>
      </c>
      <c r="R19" s="131" t="str">
        <f t="shared" ca="1" si="12"/>
        <v/>
      </c>
      <c r="S19" s="131" t="str">
        <f t="shared" ca="1" si="12"/>
        <v/>
      </c>
      <c r="T19" s="131" t="str">
        <f t="shared" ca="1" si="12"/>
        <v/>
      </c>
      <c r="U19" s="131" t="str">
        <f t="shared" ca="1" si="12"/>
        <v/>
      </c>
      <c r="V19" s="131" t="str">
        <f t="shared" ca="1" si="12"/>
        <v/>
      </c>
      <c r="W19" s="131" t="str">
        <f t="shared" ca="1" si="12"/>
        <v/>
      </c>
      <c r="X19" s="131" t="str">
        <f t="shared" ca="1" si="12"/>
        <v/>
      </c>
      <c r="Y19" s="131" t="str">
        <f t="shared" ca="1" si="12"/>
        <v/>
      </c>
      <c r="Z19" s="131" t="str">
        <f t="shared" ca="1" si="12"/>
        <v/>
      </c>
      <c r="AA19" s="131" t="str">
        <f t="shared" ca="1" si="12"/>
        <v/>
      </c>
      <c r="AB19" s="131" t="str">
        <f t="shared" ca="1" si="12"/>
        <v/>
      </c>
      <c r="AC19" s="131" t="str">
        <f t="shared" ca="1" si="12"/>
        <v/>
      </c>
      <c r="AD19" s="131" t="str">
        <f t="shared" ca="1" si="12"/>
        <v/>
      </c>
      <c r="AE19" s="131" t="str">
        <f t="shared" ca="1" si="12"/>
        <v/>
      </c>
      <c r="AF19" s="131" t="str">
        <f t="shared" ca="1" si="12"/>
        <v/>
      </c>
      <c r="AG19" s="131" t="str">
        <f t="shared" ca="1" si="12"/>
        <v/>
      </c>
      <c r="AH19" s="131" t="str">
        <f ca="1">IF(LEN(AH18)&gt;0,1,"")</f>
        <v/>
      </c>
      <c r="AJ19" s="222">
        <f ca="1">getLastCellIndexInRow(D19:AH19)</f>
        <v>-1</v>
      </c>
      <c r="AK19" s="222">
        <f ca="1">IF(AJ19&gt;0,INDEX(D18:AH18,1,AJ19)-AJ18,0)</f>
        <v>0</v>
      </c>
    </row>
    <row r="20" spans="1:40" x14ac:dyDescent="0.25">
      <c r="C20" s="128"/>
      <c r="D20" s="131"/>
      <c r="E20" s="131"/>
      <c r="F20" s="131"/>
      <c r="G20" s="131"/>
      <c r="H20" s="131"/>
      <c r="I20" s="131"/>
      <c r="J20" s="131"/>
      <c r="K20" s="131"/>
      <c r="L20" s="131"/>
      <c r="M20" s="131"/>
      <c r="N20" s="131"/>
      <c r="O20" s="131"/>
      <c r="P20" s="131"/>
      <c r="Q20" s="131"/>
      <c r="R20" s="131"/>
      <c r="S20" s="131"/>
      <c r="T20" s="131"/>
      <c r="U20" s="131"/>
      <c r="V20" s="131"/>
      <c r="W20" s="131"/>
      <c r="X20" s="131"/>
      <c r="Y20" s="131"/>
      <c r="Z20" s="131"/>
      <c r="AA20" s="131"/>
      <c r="AB20" s="131"/>
      <c r="AC20" s="131"/>
      <c r="AD20" s="131"/>
      <c r="AE20" s="131"/>
      <c r="AF20" s="131"/>
      <c r="AG20" s="131"/>
      <c r="AH20" s="131"/>
    </row>
    <row r="21" spans="1:40" x14ac:dyDescent="0.25">
      <c r="C21" s="128"/>
      <c r="D21" s="131"/>
      <c r="E21" s="131"/>
      <c r="F21" s="131"/>
      <c r="G21" s="131"/>
      <c r="H21" s="131"/>
      <c r="I21" s="131"/>
      <c r="J21" s="131"/>
      <c r="K21" s="131"/>
      <c r="L21" s="131"/>
      <c r="M21" s="131"/>
      <c r="N21" s="131"/>
      <c r="O21" s="131"/>
      <c r="P21" s="131"/>
      <c r="Q21" s="131"/>
      <c r="R21" s="131"/>
      <c r="S21" s="131"/>
      <c r="T21" s="131"/>
      <c r="U21" s="131"/>
      <c r="V21" s="131"/>
      <c r="W21" s="131"/>
      <c r="X21" s="131"/>
      <c r="Y21" s="131"/>
      <c r="Z21" s="131"/>
      <c r="AA21" s="131"/>
      <c r="AB21" s="131"/>
      <c r="AC21" s="131"/>
      <c r="AD21" s="131"/>
      <c r="AE21" s="131"/>
      <c r="AF21" s="131"/>
      <c r="AG21" s="131"/>
      <c r="AH21" s="131"/>
    </row>
    <row r="22" spans="1:40" x14ac:dyDescent="0.25">
      <c r="C22" s="128"/>
      <c r="D22" s="131"/>
      <c r="E22" s="131"/>
      <c r="F22" s="131"/>
      <c r="G22" s="131"/>
      <c r="H22" s="131"/>
      <c r="I22" s="131"/>
      <c r="J22" s="131"/>
      <c r="K22" s="131"/>
      <c r="L22" s="131"/>
      <c r="M22" s="131"/>
      <c r="N22" s="131"/>
      <c r="O22" s="131"/>
      <c r="P22" s="131"/>
      <c r="Q22" s="131"/>
      <c r="R22" s="131"/>
      <c r="S22" s="131"/>
      <c r="T22" s="131"/>
      <c r="U22" s="131"/>
      <c r="V22" s="131"/>
      <c r="W22" s="131"/>
      <c r="X22" s="131"/>
      <c r="Y22" s="131"/>
      <c r="Z22" s="131"/>
      <c r="AA22" s="131"/>
      <c r="AB22" s="131"/>
      <c r="AC22" s="131"/>
      <c r="AD22" s="131"/>
      <c r="AE22" s="131"/>
      <c r="AF22" s="131"/>
      <c r="AG22" s="131"/>
      <c r="AH22" s="131"/>
    </row>
    <row r="23" spans="1:40" x14ac:dyDescent="0.25">
      <c r="C23" s="128"/>
    </row>
    <row r="24" spans="1:40" x14ac:dyDescent="0.25">
      <c r="A24" t="str">
        <f>MUI_STAT_T_MainTitel_2</f>
        <v>Chipping</v>
      </c>
      <c r="C24" s="128" t="s">
        <v>459</v>
      </c>
      <c r="D24" s="130">
        <f t="shared" ref="D24:AH24" ca="1" si="13">SUMIFS(OFFSET(DBRA_TopicTotalRealDuration,0,MATCH($A24,DBRA_TopicTotalRealDuration_Titel,0)-1,DBR_COUNT,1),DBRA_WorkplanDate,D$6,DBRA_PlayerID,$D$3)</f>
        <v>0</v>
      </c>
      <c r="E24" s="130">
        <f t="shared" ca="1" si="13"/>
        <v>0</v>
      </c>
      <c r="F24" s="130">
        <f t="shared" ca="1" si="13"/>
        <v>0</v>
      </c>
      <c r="G24" s="130">
        <f t="shared" ca="1" si="13"/>
        <v>0</v>
      </c>
      <c r="H24" s="130">
        <f t="shared" ca="1" si="13"/>
        <v>0</v>
      </c>
      <c r="I24" s="130">
        <f t="shared" ca="1" si="13"/>
        <v>0</v>
      </c>
      <c r="J24" s="130">
        <f t="shared" ca="1" si="13"/>
        <v>0</v>
      </c>
      <c r="K24" s="130">
        <f t="shared" ca="1" si="13"/>
        <v>0</v>
      </c>
      <c r="L24" s="130">
        <f t="shared" ca="1" si="13"/>
        <v>0</v>
      </c>
      <c r="M24" s="130">
        <f t="shared" ca="1" si="13"/>
        <v>0</v>
      </c>
      <c r="N24" s="130">
        <f t="shared" ca="1" si="13"/>
        <v>0</v>
      </c>
      <c r="O24" s="130">
        <f t="shared" ca="1" si="13"/>
        <v>0</v>
      </c>
      <c r="P24" s="130">
        <f t="shared" ca="1" si="13"/>
        <v>0</v>
      </c>
      <c r="Q24" s="130">
        <f ca="1">SUMIFS(OFFSET(DBRA_TopicTotalRealDuration,0,MATCH($A24,DBRA_TopicTotalRealDuration_Titel,0)-1,DBR_COUNT,1),DBRA_WorkplanDate,Q$6,DBRA_PlayerID,$D$3)</f>
        <v>0</v>
      </c>
      <c r="R24" s="130">
        <f t="shared" ca="1" si="13"/>
        <v>0</v>
      </c>
      <c r="S24" s="130">
        <f t="shared" ca="1" si="13"/>
        <v>0</v>
      </c>
      <c r="T24" s="130">
        <f t="shared" ca="1" si="13"/>
        <v>0</v>
      </c>
      <c r="U24" s="130">
        <f t="shared" ca="1" si="13"/>
        <v>0</v>
      </c>
      <c r="V24" s="130">
        <f t="shared" ca="1" si="13"/>
        <v>0</v>
      </c>
      <c r="W24" s="130">
        <f t="shared" ca="1" si="13"/>
        <v>0</v>
      </c>
      <c r="X24" s="130">
        <f t="shared" ca="1" si="13"/>
        <v>0</v>
      </c>
      <c r="Y24" s="130">
        <f t="shared" ca="1" si="13"/>
        <v>0</v>
      </c>
      <c r="Z24" s="130">
        <f t="shared" ca="1" si="13"/>
        <v>0</v>
      </c>
      <c r="AA24" s="130">
        <f t="shared" ca="1" si="13"/>
        <v>0</v>
      </c>
      <c r="AB24" s="130">
        <f t="shared" ca="1" si="13"/>
        <v>0</v>
      </c>
      <c r="AC24" s="130">
        <f t="shared" ca="1" si="13"/>
        <v>0</v>
      </c>
      <c r="AD24" s="130">
        <f t="shared" ca="1" si="13"/>
        <v>0</v>
      </c>
      <c r="AE24" s="130">
        <f t="shared" ca="1" si="13"/>
        <v>0</v>
      </c>
      <c r="AF24" s="130">
        <f t="shared" ca="1" si="13"/>
        <v>0</v>
      </c>
      <c r="AG24" s="130">
        <f t="shared" ca="1" si="13"/>
        <v>0</v>
      </c>
      <c r="AH24" s="130">
        <f t="shared" ca="1" si="13"/>
        <v>0</v>
      </c>
      <c r="AJ24" s="130">
        <f ca="1">SUMIFS(OFFSET(DBRA_TopicTotalRealDuration,0,MATCH($A24,DBRA_TopicTotalRealDuration_Titel,0)-1,DBR_COUNT,1),DBRA_WorkplanDate,$AJ$5,DBRA_WorkplanDate,$AJ$4,DBRA_PlayerID,$D$3)</f>
        <v>0</v>
      </c>
      <c r="AK24" s="218" t="str">
        <f ca="1">IFERROR(IF(AJ24&gt;0,INT(AJ24/60) &amp;":" &amp;TEXT((AJ24- INT(AJ24/60)*60),"00"),""),"")</f>
        <v/>
      </c>
      <c r="AM24" s="130">
        <f ca="1">SUMIFS(OFFSET(DBRA_TopicTotalRealDuration,0,MATCH($A24,DBRA_TopicTotalRealDuration_Titel,0)-1,DBR_COUNT,1),DBRA_WorkplanDate,$AM$4,DBRA_WorkplanDate,$AM$5,DBRA_PlayerID,$D$3)</f>
        <v>0</v>
      </c>
      <c r="AN24" s="218" t="str">
        <f ca="1">IFERROR(IF(AM24&gt;0,INT(AM24/60) &amp;":" &amp;TEXT((AM24- INT(AM24/60)*60),"00"),""),"")</f>
        <v/>
      </c>
    </row>
    <row r="25" spans="1:40" x14ac:dyDescent="0.25">
      <c r="C25" s="128" t="s">
        <v>814</v>
      </c>
      <c r="D25" s="123" t="str">
        <f t="shared" ref="D25:AH25" ca="1" si="14">IF(D$9&gt;0,IF(D24&gt;0,D24/D$9,""),"")</f>
        <v/>
      </c>
      <c r="E25" s="123" t="str">
        <f t="shared" ca="1" si="14"/>
        <v/>
      </c>
      <c r="F25" s="123" t="str">
        <f t="shared" ca="1" si="14"/>
        <v/>
      </c>
      <c r="G25" s="123" t="str">
        <f t="shared" ca="1" si="14"/>
        <v/>
      </c>
      <c r="H25" s="123" t="str">
        <f t="shared" ca="1" si="14"/>
        <v/>
      </c>
      <c r="I25" s="123" t="str">
        <f t="shared" ca="1" si="14"/>
        <v/>
      </c>
      <c r="J25" s="123" t="str">
        <f t="shared" ca="1" si="14"/>
        <v/>
      </c>
      <c r="K25" s="123" t="str">
        <f t="shared" ca="1" si="14"/>
        <v/>
      </c>
      <c r="L25" s="123" t="str">
        <f t="shared" ca="1" si="14"/>
        <v/>
      </c>
      <c r="M25" s="123" t="str">
        <f t="shared" ca="1" si="14"/>
        <v/>
      </c>
      <c r="N25" s="123" t="str">
        <f t="shared" ca="1" si="14"/>
        <v/>
      </c>
      <c r="O25" s="123" t="str">
        <f t="shared" ca="1" si="14"/>
        <v/>
      </c>
      <c r="P25" s="123" t="str">
        <f t="shared" ca="1" si="14"/>
        <v/>
      </c>
      <c r="Q25" s="123" t="str">
        <f t="shared" ca="1" si="14"/>
        <v/>
      </c>
      <c r="R25" s="123" t="str">
        <f t="shared" ca="1" si="14"/>
        <v/>
      </c>
      <c r="S25" s="123" t="str">
        <f t="shared" ca="1" si="14"/>
        <v/>
      </c>
      <c r="T25" s="123" t="str">
        <f t="shared" ca="1" si="14"/>
        <v/>
      </c>
      <c r="U25" s="123" t="str">
        <f t="shared" ca="1" si="14"/>
        <v/>
      </c>
      <c r="V25" s="123" t="str">
        <f t="shared" ca="1" si="14"/>
        <v/>
      </c>
      <c r="W25" s="123" t="str">
        <f t="shared" ca="1" si="14"/>
        <v/>
      </c>
      <c r="X25" s="123" t="str">
        <f t="shared" ca="1" si="14"/>
        <v/>
      </c>
      <c r="Y25" s="123" t="str">
        <f t="shared" ca="1" si="14"/>
        <v/>
      </c>
      <c r="Z25" s="123" t="str">
        <f t="shared" ca="1" si="14"/>
        <v/>
      </c>
      <c r="AA25" s="123" t="str">
        <f t="shared" ca="1" si="14"/>
        <v/>
      </c>
      <c r="AB25" s="123" t="str">
        <f t="shared" ca="1" si="14"/>
        <v/>
      </c>
      <c r="AC25" s="123" t="str">
        <f t="shared" ca="1" si="14"/>
        <v/>
      </c>
      <c r="AD25" s="123" t="str">
        <f t="shared" ca="1" si="14"/>
        <v/>
      </c>
      <c r="AE25" s="123" t="str">
        <f t="shared" ca="1" si="14"/>
        <v/>
      </c>
      <c r="AF25" s="123" t="str">
        <f t="shared" ca="1" si="14"/>
        <v/>
      </c>
      <c r="AG25" s="123" t="str">
        <f t="shared" ca="1" si="14"/>
        <v/>
      </c>
      <c r="AH25" s="123" t="str">
        <f t="shared" ca="1" si="14"/>
        <v/>
      </c>
      <c r="AJ25" s="123" t="str">
        <f ca="1">IF($AJ$9=0,"",AJ24/$AJ$9)</f>
        <v/>
      </c>
      <c r="AM25" s="123" t="str">
        <f ca="1">IF($AM$9=0,"",AM24/$AM$9)</f>
        <v/>
      </c>
    </row>
    <row r="26" spans="1:40" x14ac:dyDescent="0.25">
      <c r="C26" s="128" t="s">
        <v>819</v>
      </c>
      <c r="D26" s="132">
        <f t="shared" ref="D26:AH26" ca="1" si="15">SUMIFS(OFFSET(DBRA_TopicHCP,0,MATCH($A24,DBRA_TopicHCP_Titel,0)-1,DBR_COUNT,1),DBRA_WorkplanDate,D$6, DBRA_PlayerID,$D$3)</f>
        <v>0</v>
      </c>
      <c r="E26" s="132">
        <f t="shared" ca="1" si="15"/>
        <v>0</v>
      </c>
      <c r="F26" s="132">
        <f ca="1">SUMIFS(OFFSET(DBRA_TopicHCP,0,MATCH($A24,DBRA_TopicHCP_Titel,0)-1,DBR_COUNT,1),DBRA_WorkplanDate,F$6, DBRA_PlayerID,$D$3)</f>
        <v>0</v>
      </c>
      <c r="G26" s="132">
        <f t="shared" ca="1" si="15"/>
        <v>0</v>
      </c>
      <c r="H26" s="132">
        <f t="shared" ca="1" si="15"/>
        <v>0</v>
      </c>
      <c r="I26" s="132">
        <f t="shared" ca="1" si="15"/>
        <v>0</v>
      </c>
      <c r="J26" s="132">
        <f t="shared" ca="1" si="15"/>
        <v>0</v>
      </c>
      <c r="K26" s="132">
        <f t="shared" ca="1" si="15"/>
        <v>0</v>
      </c>
      <c r="L26" s="132">
        <f t="shared" ca="1" si="15"/>
        <v>0</v>
      </c>
      <c r="M26" s="132">
        <f t="shared" ca="1" si="15"/>
        <v>0</v>
      </c>
      <c r="N26" s="132">
        <f t="shared" ca="1" si="15"/>
        <v>0</v>
      </c>
      <c r="O26" s="132">
        <f t="shared" ca="1" si="15"/>
        <v>0</v>
      </c>
      <c r="P26" s="132">
        <f t="shared" ca="1" si="15"/>
        <v>0</v>
      </c>
      <c r="Q26" s="132">
        <f t="shared" ca="1" si="15"/>
        <v>0</v>
      </c>
      <c r="R26" s="132">
        <f t="shared" ca="1" si="15"/>
        <v>0</v>
      </c>
      <c r="S26" s="132">
        <f t="shared" ca="1" si="15"/>
        <v>0</v>
      </c>
      <c r="T26" s="132">
        <f t="shared" ca="1" si="15"/>
        <v>0</v>
      </c>
      <c r="U26" s="132">
        <f t="shared" ca="1" si="15"/>
        <v>0</v>
      </c>
      <c r="V26" s="132">
        <f t="shared" ca="1" si="15"/>
        <v>0</v>
      </c>
      <c r="W26" s="132">
        <f t="shared" ca="1" si="15"/>
        <v>0</v>
      </c>
      <c r="X26" s="132">
        <f t="shared" ca="1" si="15"/>
        <v>0</v>
      </c>
      <c r="Y26" s="132">
        <f t="shared" ca="1" si="15"/>
        <v>0</v>
      </c>
      <c r="Z26" s="132">
        <f t="shared" ca="1" si="15"/>
        <v>0</v>
      </c>
      <c r="AA26" s="132">
        <f t="shared" ca="1" si="15"/>
        <v>0</v>
      </c>
      <c r="AB26" s="132">
        <f t="shared" ca="1" si="15"/>
        <v>0</v>
      </c>
      <c r="AC26" s="132">
        <f t="shared" ca="1" si="15"/>
        <v>0</v>
      </c>
      <c r="AD26" s="132">
        <f t="shared" ca="1" si="15"/>
        <v>0</v>
      </c>
      <c r="AE26" s="132">
        <f t="shared" ca="1" si="15"/>
        <v>0</v>
      </c>
      <c r="AF26" s="132">
        <f t="shared" ca="1" si="15"/>
        <v>0</v>
      </c>
      <c r="AG26" s="132">
        <f t="shared" ca="1" si="15"/>
        <v>0</v>
      </c>
      <c r="AH26" s="132">
        <f t="shared" ca="1" si="15"/>
        <v>0</v>
      </c>
    </row>
    <row r="27" spans="1:40" x14ac:dyDescent="0.25">
      <c r="C27" s="128" t="s">
        <v>815</v>
      </c>
      <c r="D27" s="132">
        <f t="shared" ref="D27:AH27" ca="1" si="16">SUMIFS(OFFSET(DBRA_TopicCount,0,MATCH($A24,DBRA_TopicCount_Titel,0)-1,DBR_COUNT,1),DBRA_WorkplanDate,D$6, DBRA_PlayerID,$D$3)</f>
        <v>0</v>
      </c>
      <c r="E27" s="132">
        <f t="shared" ca="1" si="16"/>
        <v>0</v>
      </c>
      <c r="F27" s="132">
        <f t="shared" ca="1" si="16"/>
        <v>0</v>
      </c>
      <c r="G27" s="132">
        <f t="shared" ca="1" si="16"/>
        <v>0</v>
      </c>
      <c r="H27" s="132">
        <f t="shared" ca="1" si="16"/>
        <v>0</v>
      </c>
      <c r="I27" s="132">
        <f t="shared" ca="1" si="16"/>
        <v>0</v>
      </c>
      <c r="J27" s="132">
        <f t="shared" ca="1" si="16"/>
        <v>0</v>
      </c>
      <c r="K27" s="132">
        <f t="shared" ca="1" si="16"/>
        <v>0</v>
      </c>
      <c r="L27" s="132">
        <f t="shared" ca="1" si="16"/>
        <v>0</v>
      </c>
      <c r="M27" s="132">
        <f t="shared" ca="1" si="16"/>
        <v>0</v>
      </c>
      <c r="N27" s="132">
        <f t="shared" ca="1" si="16"/>
        <v>0</v>
      </c>
      <c r="O27" s="132">
        <f t="shared" ca="1" si="16"/>
        <v>0</v>
      </c>
      <c r="P27" s="132">
        <f t="shared" ca="1" si="16"/>
        <v>0</v>
      </c>
      <c r="Q27" s="132">
        <f t="shared" ca="1" si="16"/>
        <v>0</v>
      </c>
      <c r="R27" s="132">
        <f t="shared" ca="1" si="16"/>
        <v>0</v>
      </c>
      <c r="S27" s="132">
        <f t="shared" ca="1" si="16"/>
        <v>0</v>
      </c>
      <c r="T27" s="132">
        <f t="shared" ca="1" si="16"/>
        <v>0</v>
      </c>
      <c r="U27" s="132">
        <f t="shared" ca="1" si="16"/>
        <v>0</v>
      </c>
      <c r="V27" s="132">
        <f t="shared" ca="1" si="16"/>
        <v>0</v>
      </c>
      <c r="W27" s="132">
        <f t="shared" ca="1" si="16"/>
        <v>0</v>
      </c>
      <c r="X27" s="132">
        <f t="shared" ca="1" si="16"/>
        <v>0</v>
      </c>
      <c r="Y27" s="132">
        <f t="shared" ca="1" si="16"/>
        <v>0</v>
      </c>
      <c r="Z27" s="132">
        <f t="shared" ca="1" si="16"/>
        <v>0</v>
      </c>
      <c r="AA27" s="132">
        <f t="shared" ca="1" si="16"/>
        <v>0</v>
      </c>
      <c r="AB27" s="132">
        <f t="shared" ca="1" si="16"/>
        <v>0</v>
      </c>
      <c r="AC27" s="132">
        <f t="shared" ca="1" si="16"/>
        <v>0</v>
      </c>
      <c r="AD27" s="132">
        <f t="shared" ca="1" si="16"/>
        <v>0</v>
      </c>
      <c r="AE27" s="132">
        <f t="shared" ca="1" si="16"/>
        <v>0</v>
      </c>
      <c r="AF27" s="132">
        <f t="shared" ca="1" si="16"/>
        <v>0</v>
      </c>
      <c r="AG27" s="132">
        <f t="shared" ca="1" si="16"/>
        <v>0</v>
      </c>
      <c r="AH27" s="132">
        <f t="shared" ca="1" si="16"/>
        <v>0</v>
      </c>
    </row>
    <row r="28" spans="1:40" x14ac:dyDescent="0.25">
      <c r="C28" s="128" t="s">
        <v>820</v>
      </c>
      <c r="D28" s="131" t="str">
        <f t="shared" ref="D28:AH28" ca="1" si="17">IF(D$9&gt;0,IF(D27&gt;0,D26/D27,""),"")</f>
        <v/>
      </c>
      <c r="E28" s="131" t="str">
        <f t="shared" ca="1" si="17"/>
        <v/>
      </c>
      <c r="F28" s="131" t="str">
        <f t="shared" ca="1" si="17"/>
        <v/>
      </c>
      <c r="G28" s="131" t="str">
        <f t="shared" ca="1" si="17"/>
        <v/>
      </c>
      <c r="H28" s="131" t="str">
        <f t="shared" ca="1" si="17"/>
        <v/>
      </c>
      <c r="I28" s="131" t="str">
        <f t="shared" ca="1" si="17"/>
        <v/>
      </c>
      <c r="J28" s="131" t="str">
        <f t="shared" ca="1" si="17"/>
        <v/>
      </c>
      <c r="K28" s="131" t="str">
        <f t="shared" ca="1" si="17"/>
        <v/>
      </c>
      <c r="L28" s="131" t="str">
        <f t="shared" ca="1" si="17"/>
        <v/>
      </c>
      <c r="M28" s="131" t="str">
        <f t="shared" ca="1" si="17"/>
        <v/>
      </c>
      <c r="N28" s="131" t="str">
        <f t="shared" ca="1" si="17"/>
        <v/>
      </c>
      <c r="O28" s="131" t="str">
        <f t="shared" ca="1" si="17"/>
        <v/>
      </c>
      <c r="P28" s="131" t="str">
        <f t="shared" ca="1" si="17"/>
        <v/>
      </c>
      <c r="Q28" s="131" t="str">
        <f t="shared" ca="1" si="17"/>
        <v/>
      </c>
      <c r="R28" s="131" t="str">
        <f t="shared" ca="1" si="17"/>
        <v/>
      </c>
      <c r="S28" s="131" t="str">
        <f t="shared" ca="1" si="17"/>
        <v/>
      </c>
      <c r="T28" s="131" t="str">
        <f t="shared" ca="1" si="17"/>
        <v/>
      </c>
      <c r="U28" s="131" t="str">
        <f t="shared" ca="1" si="17"/>
        <v/>
      </c>
      <c r="V28" s="131" t="str">
        <f t="shared" ca="1" si="17"/>
        <v/>
      </c>
      <c r="W28" s="131" t="str">
        <f t="shared" ca="1" si="17"/>
        <v/>
      </c>
      <c r="X28" s="131" t="str">
        <f t="shared" ca="1" si="17"/>
        <v/>
      </c>
      <c r="Y28" s="131" t="str">
        <f t="shared" ca="1" si="17"/>
        <v/>
      </c>
      <c r="Z28" s="131" t="str">
        <f t="shared" ca="1" si="17"/>
        <v/>
      </c>
      <c r="AA28" s="131" t="str">
        <f t="shared" ca="1" si="17"/>
        <v/>
      </c>
      <c r="AB28" s="131" t="str">
        <f t="shared" ca="1" si="17"/>
        <v/>
      </c>
      <c r="AC28" s="131" t="str">
        <f t="shared" ca="1" si="17"/>
        <v/>
      </c>
      <c r="AD28" s="131" t="str">
        <f t="shared" ca="1" si="17"/>
        <v/>
      </c>
      <c r="AE28" s="131" t="str">
        <f t="shared" ca="1" si="17"/>
        <v/>
      </c>
      <c r="AF28" s="131" t="str">
        <f t="shared" ca="1" si="17"/>
        <v/>
      </c>
      <c r="AG28" s="131" t="str">
        <f t="shared" ca="1" si="17"/>
        <v/>
      </c>
      <c r="AH28" s="131" t="str">
        <f t="shared" ca="1" si="17"/>
        <v/>
      </c>
      <c r="AJ28" s="131" t="str">
        <f ca="1">IF(COUNT(D28:AH28)&gt;0,SUM(D28:AH28)/COUNT(D28:AH28),"")</f>
        <v/>
      </c>
    </row>
    <row r="29" spans="1:40" x14ac:dyDescent="0.25">
      <c r="C29" s="128" t="s">
        <v>1117</v>
      </c>
      <c r="D29" s="131" t="str">
        <f t="shared" ref="D29:AH29" ca="1" si="18">IF(LEN(D28)&gt;0,1,"")</f>
        <v/>
      </c>
      <c r="E29" s="131" t="str">
        <f t="shared" ca="1" si="18"/>
        <v/>
      </c>
      <c r="F29" s="131" t="str">
        <f t="shared" ca="1" si="18"/>
        <v/>
      </c>
      <c r="G29" s="131" t="str">
        <f t="shared" ca="1" si="18"/>
        <v/>
      </c>
      <c r="H29" s="131" t="str">
        <f t="shared" ca="1" si="18"/>
        <v/>
      </c>
      <c r="I29" s="131" t="str">
        <f t="shared" ca="1" si="18"/>
        <v/>
      </c>
      <c r="J29" s="131" t="str">
        <f t="shared" ca="1" si="18"/>
        <v/>
      </c>
      <c r="K29" s="131" t="str">
        <f t="shared" ca="1" si="18"/>
        <v/>
      </c>
      <c r="L29" s="131" t="str">
        <f t="shared" ca="1" si="18"/>
        <v/>
      </c>
      <c r="M29" s="131" t="str">
        <f t="shared" ca="1" si="18"/>
        <v/>
      </c>
      <c r="N29" s="131" t="str">
        <f t="shared" ca="1" si="18"/>
        <v/>
      </c>
      <c r="O29" s="131" t="str">
        <f t="shared" ca="1" si="18"/>
        <v/>
      </c>
      <c r="P29" s="131" t="str">
        <f t="shared" ca="1" si="18"/>
        <v/>
      </c>
      <c r="Q29" s="131" t="str">
        <f t="shared" ca="1" si="18"/>
        <v/>
      </c>
      <c r="R29" s="131" t="str">
        <f t="shared" ca="1" si="18"/>
        <v/>
      </c>
      <c r="S29" s="131" t="str">
        <f t="shared" ca="1" si="18"/>
        <v/>
      </c>
      <c r="T29" s="131" t="str">
        <f t="shared" ca="1" si="18"/>
        <v/>
      </c>
      <c r="U29" s="131" t="str">
        <f t="shared" ca="1" si="18"/>
        <v/>
      </c>
      <c r="V29" s="131" t="str">
        <f t="shared" ca="1" si="18"/>
        <v/>
      </c>
      <c r="W29" s="131" t="str">
        <f t="shared" ca="1" si="18"/>
        <v/>
      </c>
      <c r="X29" s="131" t="str">
        <f t="shared" ca="1" si="18"/>
        <v/>
      </c>
      <c r="Y29" s="131" t="str">
        <f t="shared" ca="1" si="18"/>
        <v/>
      </c>
      <c r="Z29" s="131" t="str">
        <f t="shared" ca="1" si="18"/>
        <v/>
      </c>
      <c r="AA29" s="131" t="str">
        <f t="shared" ca="1" si="18"/>
        <v/>
      </c>
      <c r="AB29" s="131" t="str">
        <f t="shared" ca="1" si="18"/>
        <v/>
      </c>
      <c r="AC29" s="131" t="str">
        <f t="shared" ca="1" si="18"/>
        <v/>
      </c>
      <c r="AD29" s="131" t="str">
        <f t="shared" ca="1" si="18"/>
        <v/>
      </c>
      <c r="AE29" s="131" t="str">
        <f t="shared" ca="1" si="18"/>
        <v/>
      </c>
      <c r="AF29" s="131" t="str">
        <f t="shared" ca="1" si="18"/>
        <v/>
      </c>
      <c r="AG29" s="131" t="str">
        <f t="shared" ca="1" si="18"/>
        <v/>
      </c>
      <c r="AH29" s="131" t="str">
        <f t="shared" ca="1" si="18"/>
        <v/>
      </c>
      <c r="AJ29" s="222">
        <f ca="1">getLastCellIndexInRow(D29:AH29)</f>
        <v>-1</v>
      </c>
      <c r="AK29" s="222">
        <f ca="1">IF(AJ29&gt;0,INDEX(D28:AH28,1,AJ29)-AJ28,0)</f>
        <v>0</v>
      </c>
    </row>
    <row r="30" spans="1:40" x14ac:dyDescent="0.25">
      <c r="C30" s="128"/>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row>
    <row r="31" spans="1:40" x14ac:dyDescent="0.25">
      <c r="C31" s="128"/>
      <c r="D31" s="131"/>
      <c r="E31" s="131"/>
      <c r="F31" s="131"/>
      <c r="G31" s="131"/>
      <c r="H31" s="131"/>
      <c r="I31" s="131"/>
      <c r="J31" s="131"/>
      <c r="K31" s="131"/>
      <c r="L31" s="131"/>
      <c r="M31" s="131"/>
      <c r="N31" s="131"/>
      <c r="O31" s="131"/>
      <c r="P31" s="131"/>
      <c r="Q31" s="131"/>
      <c r="R31" s="131"/>
      <c r="S31" s="131"/>
      <c r="T31" s="131"/>
      <c r="U31" s="131"/>
      <c r="V31" s="131"/>
      <c r="W31" s="131"/>
      <c r="X31" s="131"/>
      <c r="Y31" s="131"/>
      <c r="Z31" s="131"/>
      <c r="AA31" s="131"/>
      <c r="AB31" s="131"/>
      <c r="AC31" s="131"/>
      <c r="AD31" s="131"/>
      <c r="AE31" s="131"/>
      <c r="AF31" s="131"/>
      <c r="AG31" s="131"/>
      <c r="AH31" s="131"/>
    </row>
    <row r="32" spans="1:40" x14ac:dyDescent="0.25">
      <c r="C32" s="128"/>
      <c r="D32" s="131"/>
      <c r="E32" s="131"/>
      <c r="F32" s="131"/>
      <c r="G32" s="131"/>
      <c r="H32" s="131"/>
      <c r="I32" s="131"/>
      <c r="J32" s="131"/>
      <c r="K32" s="131"/>
      <c r="L32" s="131"/>
      <c r="M32" s="131"/>
      <c r="N32" s="131"/>
      <c r="O32" s="131"/>
      <c r="P32" s="131"/>
      <c r="Q32" s="131"/>
      <c r="R32" s="131"/>
      <c r="S32" s="131"/>
      <c r="T32" s="131"/>
      <c r="U32" s="131"/>
      <c r="V32" s="131"/>
      <c r="W32" s="131"/>
      <c r="X32" s="131"/>
      <c r="Y32" s="131"/>
      <c r="Z32" s="131"/>
      <c r="AA32" s="131"/>
      <c r="AB32" s="131"/>
      <c r="AC32" s="131"/>
      <c r="AD32" s="131"/>
      <c r="AE32" s="131"/>
      <c r="AF32" s="131"/>
      <c r="AG32" s="131"/>
      <c r="AH32" s="131"/>
    </row>
    <row r="33" spans="1:40" x14ac:dyDescent="0.25">
      <c r="C33" s="128"/>
    </row>
    <row r="34" spans="1:40" x14ac:dyDescent="0.25">
      <c r="A34" t="str">
        <f>MUI_STAT_T_MainTitel_3</f>
        <v>Pitching</v>
      </c>
      <c r="C34" s="128" t="s">
        <v>459</v>
      </c>
      <c r="D34" s="130">
        <f t="shared" ref="D34:AH34" ca="1" si="19">SUMIFS(OFFSET(DBRA_TopicTotalRealDuration,0,MATCH($A34,DBRA_TopicTotalRealDuration_Titel,0)-1,DBR_COUNT,1),DBRA_WorkplanDate,D$6,DBRA_PlayerID,$D$3)</f>
        <v>0</v>
      </c>
      <c r="E34" s="130">
        <f t="shared" ca="1" si="19"/>
        <v>0</v>
      </c>
      <c r="F34" s="130">
        <f t="shared" ca="1" si="19"/>
        <v>0</v>
      </c>
      <c r="G34" s="130">
        <f t="shared" ca="1" si="19"/>
        <v>0</v>
      </c>
      <c r="H34" s="130">
        <f t="shared" ca="1" si="19"/>
        <v>0</v>
      </c>
      <c r="I34" s="130">
        <f t="shared" ca="1" si="19"/>
        <v>0</v>
      </c>
      <c r="J34" s="130">
        <f t="shared" ca="1" si="19"/>
        <v>0</v>
      </c>
      <c r="K34" s="130">
        <f t="shared" ca="1" si="19"/>
        <v>0</v>
      </c>
      <c r="L34" s="130">
        <f t="shared" ca="1" si="19"/>
        <v>0</v>
      </c>
      <c r="M34" s="130">
        <f t="shared" ca="1" si="19"/>
        <v>0</v>
      </c>
      <c r="N34" s="130">
        <f t="shared" ca="1" si="19"/>
        <v>0</v>
      </c>
      <c r="O34" s="130">
        <f t="shared" ca="1" si="19"/>
        <v>0</v>
      </c>
      <c r="P34" s="130">
        <f t="shared" ca="1" si="19"/>
        <v>0</v>
      </c>
      <c r="Q34" s="130">
        <f t="shared" ca="1" si="19"/>
        <v>0</v>
      </c>
      <c r="R34" s="130">
        <f t="shared" ca="1" si="19"/>
        <v>0</v>
      </c>
      <c r="S34" s="130">
        <f t="shared" ca="1" si="19"/>
        <v>0</v>
      </c>
      <c r="T34" s="130">
        <f t="shared" ca="1" si="19"/>
        <v>0</v>
      </c>
      <c r="U34" s="130">
        <f t="shared" ca="1" si="19"/>
        <v>0</v>
      </c>
      <c r="V34" s="130">
        <f t="shared" ca="1" si="19"/>
        <v>0</v>
      </c>
      <c r="W34" s="130">
        <f t="shared" ca="1" si="19"/>
        <v>0</v>
      </c>
      <c r="X34" s="130">
        <f t="shared" ca="1" si="19"/>
        <v>0</v>
      </c>
      <c r="Y34" s="130">
        <f t="shared" ca="1" si="19"/>
        <v>0</v>
      </c>
      <c r="Z34" s="130">
        <f t="shared" ca="1" si="19"/>
        <v>0</v>
      </c>
      <c r="AA34" s="130">
        <f t="shared" ca="1" si="19"/>
        <v>0</v>
      </c>
      <c r="AB34" s="130">
        <f t="shared" ca="1" si="19"/>
        <v>0</v>
      </c>
      <c r="AC34" s="130">
        <f t="shared" ca="1" si="19"/>
        <v>0</v>
      </c>
      <c r="AD34" s="130">
        <f t="shared" ca="1" si="19"/>
        <v>0</v>
      </c>
      <c r="AE34" s="130">
        <f t="shared" ca="1" si="19"/>
        <v>0</v>
      </c>
      <c r="AF34" s="130">
        <f t="shared" ca="1" si="19"/>
        <v>0</v>
      </c>
      <c r="AG34" s="130">
        <f t="shared" ca="1" si="19"/>
        <v>0</v>
      </c>
      <c r="AH34" s="130">
        <f t="shared" ca="1" si="19"/>
        <v>0</v>
      </c>
      <c r="AJ34" s="130">
        <f ca="1">SUMIFS(OFFSET(DBRA_TopicTotalRealDuration,0,MATCH($A34,DBRA_TopicTotalRealDuration_Titel,0)-1,DBR_COUNT,1),DBRA_WorkplanDate,$AJ$5,DBRA_WorkplanDate,$AJ$4,DBRA_PlayerID,$D$3)</f>
        <v>0</v>
      </c>
      <c r="AK34" s="218" t="str">
        <f ca="1">IFERROR(IF(AJ34&gt;0,INT(AJ34/60) &amp;":" &amp;TEXT((AJ34- INT(AJ34/60)*60),"00"),""),"")</f>
        <v/>
      </c>
      <c r="AM34" s="130">
        <f ca="1">SUMIFS(OFFSET(DBRA_TopicTotalRealDuration,0,MATCH($A34,DBRA_TopicTotalRealDuration_Titel,0)-1,DBR_COUNT,1),DBRA_WorkplanDate,$AM$4,DBRA_WorkplanDate,$AM$5,DBRA_PlayerID,$D$3)</f>
        <v>0</v>
      </c>
      <c r="AN34" s="218" t="str">
        <f ca="1">IFERROR(IF(AM34&gt;0,INT(AM34/60) &amp;":" &amp;TEXT((AM34- INT(AM34/60)*60),"00"),""),"")</f>
        <v/>
      </c>
    </row>
    <row r="35" spans="1:40" x14ac:dyDescent="0.25">
      <c r="C35" s="128" t="s">
        <v>814</v>
      </c>
      <c r="D35" s="123" t="str">
        <f t="shared" ref="D35:AH35" ca="1" si="20">IF(D$9&gt;0,IF(D34&gt;0,D34/D$9,""),"")</f>
        <v/>
      </c>
      <c r="E35" s="123" t="str">
        <f t="shared" ca="1" si="20"/>
        <v/>
      </c>
      <c r="F35" s="123" t="str">
        <f t="shared" ca="1" si="20"/>
        <v/>
      </c>
      <c r="G35" s="123" t="str">
        <f t="shared" ca="1" si="20"/>
        <v/>
      </c>
      <c r="H35" s="123" t="str">
        <f t="shared" ca="1" si="20"/>
        <v/>
      </c>
      <c r="I35" s="123" t="str">
        <f t="shared" ca="1" si="20"/>
        <v/>
      </c>
      <c r="J35" s="123" t="str">
        <f t="shared" ca="1" si="20"/>
        <v/>
      </c>
      <c r="K35" s="123" t="str">
        <f t="shared" ca="1" si="20"/>
        <v/>
      </c>
      <c r="L35" s="123" t="str">
        <f t="shared" ca="1" si="20"/>
        <v/>
      </c>
      <c r="M35" s="123" t="str">
        <f t="shared" ca="1" si="20"/>
        <v/>
      </c>
      <c r="N35" s="123" t="str">
        <f t="shared" ca="1" si="20"/>
        <v/>
      </c>
      <c r="O35" s="123" t="str">
        <f t="shared" ca="1" si="20"/>
        <v/>
      </c>
      <c r="P35" s="123" t="str">
        <f t="shared" ca="1" si="20"/>
        <v/>
      </c>
      <c r="Q35" s="123" t="str">
        <f t="shared" ca="1" si="20"/>
        <v/>
      </c>
      <c r="R35" s="123" t="str">
        <f t="shared" ca="1" si="20"/>
        <v/>
      </c>
      <c r="S35" s="123" t="str">
        <f t="shared" ca="1" si="20"/>
        <v/>
      </c>
      <c r="T35" s="123" t="str">
        <f t="shared" ca="1" si="20"/>
        <v/>
      </c>
      <c r="U35" s="123" t="str">
        <f t="shared" ca="1" si="20"/>
        <v/>
      </c>
      <c r="V35" s="123" t="str">
        <f t="shared" ca="1" si="20"/>
        <v/>
      </c>
      <c r="W35" s="123" t="str">
        <f t="shared" ca="1" si="20"/>
        <v/>
      </c>
      <c r="X35" s="123" t="str">
        <f t="shared" ca="1" si="20"/>
        <v/>
      </c>
      <c r="Y35" s="123" t="str">
        <f t="shared" ca="1" si="20"/>
        <v/>
      </c>
      <c r="Z35" s="123" t="str">
        <f t="shared" ca="1" si="20"/>
        <v/>
      </c>
      <c r="AA35" s="123" t="str">
        <f t="shared" ca="1" si="20"/>
        <v/>
      </c>
      <c r="AB35" s="123" t="str">
        <f t="shared" ca="1" si="20"/>
        <v/>
      </c>
      <c r="AC35" s="123" t="str">
        <f t="shared" ca="1" si="20"/>
        <v/>
      </c>
      <c r="AD35" s="123" t="str">
        <f t="shared" ca="1" si="20"/>
        <v/>
      </c>
      <c r="AE35" s="123" t="str">
        <f t="shared" ca="1" si="20"/>
        <v/>
      </c>
      <c r="AF35" s="123" t="str">
        <f t="shared" ca="1" si="20"/>
        <v/>
      </c>
      <c r="AG35" s="123" t="str">
        <f t="shared" ca="1" si="20"/>
        <v/>
      </c>
      <c r="AH35" s="123" t="str">
        <f t="shared" ca="1" si="20"/>
        <v/>
      </c>
      <c r="AJ35" s="123" t="str">
        <f ca="1">IF($AJ$9=0,"",AJ34/$AJ$9)</f>
        <v/>
      </c>
      <c r="AM35" s="123" t="str">
        <f ca="1">IF($AM$9=0,"",AM34/$AM$9)</f>
        <v/>
      </c>
    </row>
    <row r="36" spans="1:40" x14ac:dyDescent="0.25">
      <c r="C36" s="128" t="s">
        <v>819</v>
      </c>
      <c r="D36" s="132">
        <f t="shared" ref="D36:AH36" ca="1" si="21">SUMIFS(OFFSET(DBRA_TopicHCP,0,MATCH($A34,DBRA_TopicHCP_Titel,0)-1,DBR_COUNT,1),DBRA_WorkplanDate,D$6, DBRA_PlayerID,$D$3)</f>
        <v>0</v>
      </c>
      <c r="E36" s="132">
        <f t="shared" ca="1" si="21"/>
        <v>0</v>
      </c>
      <c r="F36" s="132">
        <f t="shared" ca="1" si="21"/>
        <v>0</v>
      </c>
      <c r="G36" s="132">
        <f t="shared" ca="1" si="21"/>
        <v>0</v>
      </c>
      <c r="H36" s="132">
        <f t="shared" ca="1" si="21"/>
        <v>0</v>
      </c>
      <c r="I36" s="132">
        <f t="shared" ca="1" si="21"/>
        <v>0</v>
      </c>
      <c r="J36" s="132">
        <f t="shared" ca="1" si="21"/>
        <v>0</v>
      </c>
      <c r="K36" s="132">
        <f t="shared" ca="1" si="21"/>
        <v>0</v>
      </c>
      <c r="L36" s="132">
        <f t="shared" ca="1" si="21"/>
        <v>0</v>
      </c>
      <c r="M36" s="132">
        <f t="shared" ca="1" si="21"/>
        <v>0</v>
      </c>
      <c r="N36" s="132">
        <f t="shared" ca="1" si="21"/>
        <v>0</v>
      </c>
      <c r="O36" s="132">
        <f t="shared" ca="1" si="21"/>
        <v>0</v>
      </c>
      <c r="P36" s="132">
        <f t="shared" ca="1" si="21"/>
        <v>0</v>
      </c>
      <c r="Q36" s="132">
        <f t="shared" ca="1" si="21"/>
        <v>0</v>
      </c>
      <c r="R36" s="132">
        <f t="shared" ca="1" si="21"/>
        <v>0</v>
      </c>
      <c r="S36" s="132">
        <f t="shared" ca="1" si="21"/>
        <v>0</v>
      </c>
      <c r="T36" s="132">
        <f t="shared" ca="1" si="21"/>
        <v>0</v>
      </c>
      <c r="U36" s="132">
        <f t="shared" ca="1" si="21"/>
        <v>0</v>
      </c>
      <c r="V36" s="132">
        <f t="shared" ca="1" si="21"/>
        <v>0</v>
      </c>
      <c r="W36" s="132">
        <f t="shared" ca="1" si="21"/>
        <v>0</v>
      </c>
      <c r="X36" s="132">
        <f t="shared" ca="1" si="21"/>
        <v>0</v>
      </c>
      <c r="Y36" s="132">
        <f t="shared" ca="1" si="21"/>
        <v>0</v>
      </c>
      <c r="Z36" s="132">
        <f t="shared" ca="1" si="21"/>
        <v>0</v>
      </c>
      <c r="AA36" s="132">
        <f t="shared" ca="1" si="21"/>
        <v>0</v>
      </c>
      <c r="AB36" s="132">
        <f t="shared" ca="1" si="21"/>
        <v>0</v>
      </c>
      <c r="AC36" s="132">
        <f t="shared" ca="1" si="21"/>
        <v>0</v>
      </c>
      <c r="AD36" s="132">
        <f t="shared" ca="1" si="21"/>
        <v>0</v>
      </c>
      <c r="AE36" s="132">
        <f t="shared" ca="1" si="21"/>
        <v>0</v>
      </c>
      <c r="AF36" s="132">
        <f t="shared" ca="1" si="21"/>
        <v>0</v>
      </c>
      <c r="AG36" s="132">
        <f t="shared" ca="1" si="21"/>
        <v>0</v>
      </c>
      <c r="AH36" s="132">
        <f t="shared" ca="1" si="21"/>
        <v>0</v>
      </c>
    </row>
    <row r="37" spans="1:40" x14ac:dyDescent="0.25">
      <c r="C37" s="128" t="s">
        <v>815</v>
      </c>
      <c r="D37" s="132">
        <f t="shared" ref="D37:AH37" ca="1" si="22">SUMIFS(OFFSET(DBRA_TopicCount,0,MATCH($A34,DBRA_TopicCount_Titel,0)-1,DBR_COUNT,1),DBRA_WorkplanDate,D$6, DBRA_PlayerID,$D$3)</f>
        <v>0</v>
      </c>
      <c r="E37" s="132">
        <f t="shared" ca="1" si="22"/>
        <v>0</v>
      </c>
      <c r="F37" s="132">
        <f t="shared" ca="1" si="22"/>
        <v>0</v>
      </c>
      <c r="G37" s="132">
        <f t="shared" ca="1" si="22"/>
        <v>0</v>
      </c>
      <c r="H37" s="132">
        <f t="shared" ca="1" si="22"/>
        <v>0</v>
      </c>
      <c r="I37" s="132">
        <f t="shared" ca="1" si="22"/>
        <v>0</v>
      </c>
      <c r="J37" s="132">
        <f t="shared" ca="1" si="22"/>
        <v>0</v>
      </c>
      <c r="K37" s="132">
        <f t="shared" ca="1" si="22"/>
        <v>0</v>
      </c>
      <c r="L37" s="132">
        <f t="shared" ca="1" si="22"/>
        <v>0</v>
      </c>
      <c r="M37" s="132">
        <f t="shared" ca="1" si="22"/>
        <v>0</v>
      </c>
      <c r="N37" s="132">
        <f t="shared" ca="1" si="22"/>
        <v>0</v>
      </c>
      <c r="O37" s="132">
        <f t="shared" ca="1" si="22"/>
        <v>0</v>
      </c>
      <c r="P37" s="132">
        <f t="shared" ca="1" si="22"/>
        <v>0</v>
      </c>
      <c r="Q37" s="132">
        <f t="shared" ca="1" si="22"/>
        <v>0</v>
      </c>
      <c r="R37" s="132">
        <f t="shared" ca="1" si="22"/>
        <v>0</v>
      </c>
      <c r="S37" s="132">
        <f t="shared" ca="1" si="22"/>
        <v>0</v>
      </c>
      <c r="T37" s="132">
        <f t="shared" ca="1" si="22"/>
        <v>0</v>
      </c>
      <c r="U37" s="132">
        <f t="shared" ca="1" si="22"/>
        <v>0</v>
      </c>
      <c r="V37" s="132">
        <f t="shared" ca="1" si="22"/>
        <v>0</v>
      </c>
      <c r="W37" s="132">
        <f t="shared" ca="1" si="22"/>
        <v>0</v>
      </c>
      <c r="X37" s="132">
        <f t="shared" ca="1" si="22"/>
        <v>0</v>
      </c>
      <c r="Y37" s="132">
        <f t="shared" ca="1" si="22"/>
        <v>0</v>
      </c>
      <c r="Z37" s="132">
        <f t="shared" ca="1" si="22"/>
        <v>0</v>
      </c>
      <c r="AA37" s="132">
        <f t="shared" ca="1" si="22"/>
        <v>0</v>
      </c>
      <c r="AB37" s="132">
        <f t="shared" ca="1" si="22"/>
        <v>0</v>
      </c>
      <c r="AC37" s="132">
        <f t="shared" ca="1" si="22"/>
        <v>0</v>
      </c>
      <c r="AD37" s="132">
        <f t="shared" ca="1" si="22"/>
        <v>0</v>
      </c>
      <c r="AE37" s="132">
        <f t="shared" ca="1" si="22"/>
        <v>0</v>
      </c>
      <c r="AF37" s="132">
        <f t="shared" ca="1" si="22"/>
        <v>0</v>
      </c>
      <c r="AG37" s="132">
        <f t="shared" ca="1" si="22"/>
        <v>0</v>
      </c>
      <c r="AH37" s="132">
        <f t="shared" ca="1" si="22"/>
        <v>0</v>
      </c>
    </row>
    <row r="38" spans="1:40" x14ac:dyDescent="0.25">
      <c r="C38" s="128" t="s">
        <v>820</v>
      </c>
      <c r="D38" s="131" t="str">
        <f t="shared" ref="D38:AH38" ca="1" si="23">IF(D$9&gt;0,IF(D37&gt;0,D36/D37,""),"")</f>
        <v/>
      </c>
      <c r="E38" s="131" t="str">
        <f t="shared" ca="1" si="23"/>
        <v/>
      </c>
      <c r="F38" s="131" t="str">
        <f t="shared" ca="1" si="23"/>
        <v/>
      </c>
      <c r="G38" s="131" t="str">
        <f t="shared" ca="1" si="23"/>
        <v/>
      </c>
      <c r="H38" s="131" t="str">
        <f t="shared" ca="1" si="23"/>
        <v/>
      </c>
      <c r="I38" s="131" t="str">
        <f t="shared" ca="1" si="23"/>
        <v/>
      </c>
      <c r="J38" s="131" t="str">
        <f t="shared" ca="1" si="23"/>
        <v/>
      </c>
      <c r="K38" s="131" t="str">
        <f t="shared" ca="1" si="23"/>
        <v/>
      </c>
      <c r="L38" s="131" t="str">
        <f t="shared" ca="1" si="23"/>
        <v/>
      </c>
      <c r="M38" s="131" t="str">
        <f t="shared" ca="1" si="23"/>
        <v/>
      </c>
      <c r="N38" s="131" t="str">
        <f t="shared" ca="1" si="23"/>
        <v/>
      </c>
      <c r="O38" s="131" t="str">
        <f t="shared" ca="1" si="23"/>
        <v/>
      </c>
      <c r="P38" s="131" t="str">
        <f t="shared" ca="1" si="23"/>
        <v/>
      </c>
      <c r="Q38" s="131" t="str">
        <f t="shared" ca="1" si="23"/>
        <v/>
      </c>
      <c r="R38" s="131" t="str">
        <f t="shared" ca="1" si="23"/>
        <v/>
      </c>
      <c r="S38" s="131" t="str">
        <f t="shared" ca="1" si="23"/>
        <v/>
      </c>
      <c r="T38" s="131" t="str">
        <f t="shared" ca="1" si="23"/>
        <v/>
      </c>
      <c r="U38" s="131" t="str">
        <f t="shared" ca="1" si="23"/>
        <v/>
      </c>
      <c r="V38" s="131" t="str">
        <f t="shared" ca="1" si="23"/>
        <v/>
      </c>
      <c r="W38" s="131" t="str">
        <f t="shared" ca="1" si="23"/>
        <v/>
      </c>
      <c r="X38" s="131" t="str">
        <f t="shared" ca="1" si="23"/>
        <v/>
      </c>
      <c r="Y38" s="131" t="str">
        <f t="shared" ca="1" si="23"/>
        <v/>
      </c>
      <c r="Z38" s="131" t="str">
        <f t="shared" ca="1" si="23"/>
        <v/>
      </c>
      <c r="AA38" s="131" t="str">
        <f t="shared" ca="1" si="23"/>
        <v/>
      </c>
      <c r="AB38" s="131" t="str">
        <f t="shared" ca="1" si="23"/>
        <v/>
      </c>
      <c r="AC38" s="131" t="str">
        <f t="shared" ca="1" si="23"/>
        <v/>
      </c>
      <c r="AD38" s="131" t="str">
        <f t="shared" ca="1" si="23"/>
        <v/>
      </c>
      <c r="AE38" s="131" t="str">
        <f t="shared" ca="1" si="23"/>
        <v/>
      </c>
      <c r="AF38" s="131" t="str">
        <f t="shared" ca="1" si="23"/>
        <v/>
      </c>
      <c r="AG38" s="131" t="str">
        <f t="shared" ca="1" si="23"/>
        <v/>
      </c>
      <c r="AH38" s="131" t="str">
        <f t="shared" ca="1" si="23"/>
        <v/>
      </c>
      <c r="AJ38" s="131" t="str">
        <f ca="1">IF(COUNT(D38:AH38)&gt;0,SUM(D38:AH38)/COUNT(D38:AH38),"")</f>
        <v/>
      </c>
    </row>
    <row r="39" spans="1:40" x14ac:dyDescent="0.25">
      <c r="C39" s="128" t="s">
        <v>1117</v>
      </c>
      <c r="D39" s="131" t="str">
        <f t="shared" ref="D39:AH39" ca="1" si="24">IF(LEN(D38)&gt;0,1,"")</f>
        <v/>
      </c>
      <c r="E39" s="131" t="str">
        <f t="shared" ca="1" si="24"/>
        <v/>
      </c>
      <c r="F39" s="131" t="str">
        <f t="shared" ca="1" si="24"/>
        <v/>
      </c>
      <c r="G39" s="131" t="str">
        <f t="shared" ca="1" si="24"/>
        <v/>
      </c>
      <c r="H39" s="131" t="str">
        <f t="shared" ca="1" si="24"/>
        <v/>
      </c>
      <c r="I39" s="131" t="str">
        <f t="shared" ca="1" si="24"/>
        <v/>
      </c>
      <c r="J39" s="131" t="str">
        <f t="shared" ca="1" si="24"/>
        <v/>
      </c>
      <c r="K39" s="131" t="str">
        <f t="shared" ca="1" si="24"/>
        <v/>
      </c>
      <c r="L39" s="131" t="str">
        <f t="shared" ca="1" si="24"/>
        <v/>
      </c>
      <c r="M39" s="131" t="str">
        <f t="shared" ca="1" si="24"/>
        <v/>
      </c>
      <c r="N39" s="131" t="str">
        <f t="shared" ca="1" si="24"/>
        <v/>
      </c>
      <c r="O39" s="131" t="str">
        <f t="shared" ca="1" si="24"/>
        <v/>
      </c>
      <c r="P39" s="131" t="str">
        <f t="shared" ca="1" si="24"/>
        <v/>
      </c>
      <c r="Q39" s="131" t="str">
        <f t="shared" ca="1" si="24"/>
        <v/>
      </c>
      <c r="R39" s="131" t="str">
        <f t="shared" ca="1" si="24"/>
        <v/>
      </c>
      <c r="S39" s="131" t="str">
        <f t="shared" ca="1" si="24"/>
        <v/>
      </c>
      <c r="T39" s="131" t="str">
        <f t="shared" ca="1" si="24"/>
        <v/>
      </c>
      <c r="U39" s="131" t="str">
        <f t="shared" ca="1" si="24"/>
        <v/>
      </c>
      <c r="V39" s="131" t="str">
        <f t="shared" ca="1" si="24"/>
        <v/>
      </c>
      <c r="W39" s="131" t="str">
        <f t="shared" ca="1" si="24"/>
        <v/>
      </c>
      <c r="X39" s="131" t="str">
        <f t="shared" ca="1" si="24"/>
        <v/>
      </c>
      <c r="Y39" s="131" t="str">
        <f t="shared" ca="1" si="24"/>
        <v/>
      </c>
      <c r="Z39" s="131" t="str">
        <f t="shared" ca="1" si="24"/>
        <v/>
      </c>
      <c r="AA39" s="131" t="str">
        <f t="shared" ca="1" si="24"/>
        <v/>
      </c>
      <c r="AB39" s="131" t="str">
        <f t="shared" ca="1" si="24"/>
        <v/>
      </c>
      <c r="AC39" s="131" t="str">
        <f t="shared" ca="1" si="24"/>
        <v/>
      </c>
      <c r="AD39" s="131" t="str">
        <f t="shared" ca="1" si="24"/>
        <v/>
      </c>
      <c r="AE39" s="131" t="str">
        <f t="shared" ca="1" si="24"/>
        <v/>
      </c>
      <c r="AF39" s="131" t="str">
        <f t="shared" ca="1" si="24"/>
        <v/>
      </c>
      <c r="AG39" s="131" t="str">
        <f t="shared" ca="1" si="24"/>
        <v/>
      </c>
      <c r="AH39" s="131" t="str">
        <f t="shared" ca="1" si="24"/>
        <v/>
      </c>
      <c r="AJ39" s="222">
        <f ca="1">getLastCellIndexInRow(D39:AH39)</f>
        <v>-1</v>
      </c>
      <c r="AK39" s="222">
        <f ca="1">IF(AJ39&gt;0,INDEX(D38:AH38,1,AJ39)-AJ38,0)</f>
        <v>0</v>
      </c>
    </row>
    <row r="40" spans="1:40" x14ac:dyDescent="0.25">
      <c r="C40" s="128"/>
      <c r="D40" s="131"/>
      <c r="E40" s="131"/>
      <c r="F40" s="131"/>
      <c r="G40" s="131"/>
      <c r="H40" s="131"/>
      <c r="I40" s="131"/>
      <c r="J40" s="131"/>
      <c r="K40" s="131"/>
      <c r="L40" s="131"/>
      <c r="M40" s="131"/>
      <c r="N40" s="131"/>
      <c r="O40" s="131"/>
      <c r="P40" s="131"/>
      <c r="Q40" s="131"/>
      <c r="R40" s="131"/>
      <c r="S40" s="131"/>
      <c r="T40" s="131"/>
      <c r="U40" s="131"/>
      <c r="V40" s="131"/>
      <c r="W40" s="131"/>
      <c r="X40" s="131"/>
      <c r="Y40" s="131"/>
      <c r="Z40" s="131"/>
      <c r="AA40" s="131"/>
      <c r="AB40" s="131"/>
      <c r="AC40" s="131"/>
      <c r="AD40" s="131"/>
      <c r="AE40" s="131"/>
      <c r="AF40" s="131"/>
      <c r="AG40" s="131"/>
      <c r="AH40" s="131"/>
    </row>
    <row r="41" spans="1:40" x14ac:dyDescent="0.25">
      <c r="C41" s="128"/>
      <c r="D41" s="131"/>
      <c r="E41" s="131"/>
      <c r="F41" s="131"/>
      <c r="G41" s="131"/>
      <c r="H41" s="131"/>
      <c r="I41" s="131"/>
      <c r="J41" s="131"/>
      <c r="K41" s="131"/>
      <c r="L41" s="131"/>
      <c r="M41" s="131"/>
      <c r="N41" s="131"/>
      <c r="O41" s="131"/>
      <c r="P41" s="131"/>
      <c r="Q41" s="131"/>
      <c r="R41" s="131"/>
      <c r="S41" s="131"/>
      <c r="T41" s="131"/>
      <c r="U41" s="131"/>
      <c r="V41" s="131"/>
      <c r="W41" s="131"/>
      <c r="X41" s="131"/>
      <c r="Y41" s="131"/>
      <c r="Z41" s="131"/>
      <c r="AA41" s="131"/>
      <c r="AB41" s="131"/>
      <c r="AC41" s="131"/>
      <c r="AD41" s="131"/>
      <c r="AE41" s="131"/>
      <c r="AF41" s="131"/>
      <c r="AG41" s="131"/>
      <c r="AH41" s="131"/>
    </row>
    <row r="42" spans="1:40" x14ac:dyDescent="0.25">
      <c r="C42" s="128"/>
      <c r="D42" s="131"/>
      <c r="E42" s="131"/>
      <c r="F42" s="131"/>
      <c r="G42" s="131"/>
      <c r="H42" s="131"/>
      <c r="I42" s="131"/>
      <c r="J42" s="131"/>
      <c r="K42" s="131"/>
      <c r="L42" s="131"/>
      <c r="M42" s="131"/>
      <c r="N42" s="131"/>
      <c r="O42" s="131"/>
      <c r="P42" s="131"/>
      <c r="Q42" s="131"/>
      <c r="R42" s="131"/>
      <c r="S42" s="131"/>
      <c r="T42" s="131"/>
      <c r="U42" s="131"/>
      <c r="V42" s="131"/>
      <c r="W42" s="131"/>
      <c r="X42" s="131"/>
      <c r="Y42" s="131"/>
      <c r="Z42" s="131"/>
      <c r="AA42" s="131"/>
      <c r="AB42" s="131"/>
      <c r="AC42" s="131"/>
      <c r="AD42" s="131"/>
      <c r="AE42" s="131"/>
      <c r="AF42" s="131"/>
      <c r="AG42" s="131"/>
      <c r="AH42" s="131"/>
    </row>
    <row r="43" spans="1:40" x14ac:dyDescent="0.25">
      <c r="C43" s="128"/>
    </row>
    <row r="44" spans="1:40" x14ac:dyDescent="0.25">
      <c r="A44" t="str">
        <f>MUI_STAT_T_MainTitel_4</f>
        <v>Approach Shot</v>
      </c>
      <c r="C44" s="128" t="s">
        <v>459</v>
      </c>
      <c r="D44" s="130">
        <f t="shared" ref="D44:AH44" ca="1" si="25">SUMIFS(OFFSET(DBRA_TopicTotalRealDuration,0,MATCH($A44,DBRA_TopicTotalRealDuration_Titel,0)-1,DBR_COUNT,1),DBRA_WorkplanDate,D$6,DBRA_PlayerID,$D$3)</f>
        <v>0</v>
      </c>
      <c r="E44" s="130">
        <f t="shared" ca="1" si="25"/>
        <v>0</v>
      </c>
      <c r="F44" s="130">
        <f t="shared" ca="1" si="25"/>
        <v>0</v>
      </c>
      <c r="G44" s="130">
        <f t="shared" ca="1" si="25"/>
        <v>0</v>
      </c>
      <c r="H44" s="130">
        <f t="shared" ca="1" si="25"/>
        <v>0</v>
      </c>
      <c r="I44" s="130">
        <f t="shared" ca="1" si="25"/>
        <v>0</v>
      </c>
      <c r="J44" s="130">
        <f t="shared" ca="1" si="25"/>
        <v>0</v>
      </c>
      <c r="K44" s="130">
        <f t="shared" ca="1" si="25"/>
        <v>0</v>
      </c>
      <c r="L44" s="130">
        <f t="shared" ca="1" si="25"/>
        <v>0</v>
      </c>
      <c r="M44" s="130">
        <f t="shared" ca="1" si="25"/>
        <v>0</v>
      </c>
      <c r="N44" s="130">
        <f t="shared" ca="1" si="25"/>
        <v>0</v>
      </c>
      <c r="O44" s="130">
        <f t="shared" ca="1" si="25"/>
        <v>0</v>
      </c>
      <c r="P44" s="130">
        <f t="shared" ca="1" si="25"/>
        <v>0</v>
      </c>
      <c r="Q44" s="130">
        <f t="shared" ca="1" si="25"/>
        <v>0</v>
      </c>
      <c r="R44" s="130">
        <f t="shared" ca="1" si="25"/>
        <v>0</v>
      </c>
      <c r="S44" s="130">
        <f t="shared" ca="1" si="25"/>
        <v>0</v>
      </c>
      <c r="T44" s="130">
        <f t="shared" ca="1" si="25"/>
        <v>0</v>
      </c>
      <c r="U44" s="130">
        <f t="shared" ca="1" si="25"/>
        <v>0</v>
      </c>
      <c r="V44" s="130">
        <f t="shared" ca="1" si="25"/>
        <v>0</v>
      </c>
      <c r="W44" s="130">
        <f t="shared" ca="1" si="25"/>
        <v>0</v>
      </c>
      <c r="X44" s="130">
        <f t="shared" ca="1" si="25"/>
        <v>0</v>
      </c>
      <c r="Y44" s="130">
        <f t="shared" ca="1" si="25"/>
        <v>0</v>
      </c>
      <c r="Z44" s="130">
        <f t="shared" ca="1" si="25"/>
        <v>0</v>
      </c>
      <c r="AA44" s="130">
        <f t="shared" ca="1" si="25"/>
        <v>0</v>
      </c>
      <c r="AB44" s="130">
        <f t="shared" ca="1" si="25"/>
        <v>0</v>
      </c>
      <c r="AC44" s="130">
        <f t="shared" ca="1" si="25"/>
        <v>0</v>
      </c>
      <c r="AD44" s="130">
        <f t="shared" ca="1" si="25"/>
        <v>0</v>
      </c>
      <c r="AE44" s="130">
        <f t="shared" ca="1" si="25"/>
        <v>0</v>
      </c>
      <c r="AF44" s="130">
        <f t="shared" ca="1" si="25"/>
        <v>0</v>
      </c>
      <c r="AG44" s="130">
        <f t="shared" ca="1" si="25"/>
        <v>0</v>
      </c>
      <c r="AH44" s="130">
        <f t="shared" ca="1" si="25"/>
        <v>0</v>
      </c>
      <c r="AJ44" s="130">
        <f ca="1">SUMIFS(OFFSET(DBRA_TopicTotalRealDuration,0,MATCH($A44,DBRA_TopicTotalRealDuration_Titel,0)-1,DBR_COUNT,1),DBRA_WorkplanDate,$AJ$5,DBRA_WorkplanDate,$AJ$4,DBRA_PlayerID,$D$3)</f>
        <v>0</v>
      </c>
      <c r="AK44" s="218" t="str">
        <f ca="1">IFERROR(IF(AJ44&gt;0,INT(AJ44/60) &amp;":" &amp;TEXT((AJ44- INT(AJ44/60)*60),"00"),""),"")</f>
        <v/>
      </c>
      <c r="AM44" s="130">
        <f ca="1">SUMIFS(OFFSET(DBRA_TopicTotalRealDuration,0,MATCH($A44,DBRA_TopicTotalRealDuration_Titel,0)-1,DBR_COUNT,1),DBRA_WorkplanDate,$AM$4,DBRA_WorkplanDate,$AM$5,DBRA_PlayerID,$D$3)</f>
        <v>0</v>
      </c>
      <c r="AN44" s="218" t="str">
        <f ca="1">IFERROR(IF(AM44&gt;0,INT(AM44/60) &amp;":" &amp;TEXT((AM44- INT(AM44/60)*60),"00"),""),"")</f>
        <v/>
      </c>
    </row>
    <row r="45" spans="1:40" x14ac:dyDescent="0.25">
      <c r="C45" s="128" t="s">
        <v>814</v>
      </c>
      <c r="D45" s="123" t="str">
        <f t="shared" ref="D45:AH45" ca="1" si="26">IF(D$9&gt;0,IF(D44&gt;0,D44/D$9,""),"")</f>
        <v/>
      </c>
      <c r="E45" s="123" t="str">
        <f t="shared" ca="1" si="26"/>
        <v/>
      </c>
      <c r="F45" s="123" t="str">
        <f t="shared" ca="1" si="26"/>
        <v/>
      </c>
      <c r="G45" s="123" t="str">
        <f t="shared" ca="1" si="26"/>
        <v/>
      </c>
      <c r="H45" s="123" t="str">
        <f t="shared" ca="1" si="26"/>
        <v/>
      </c>
      <c r="I45" s="123" t="str">
        <f t="shared" ca="1" si="26"/>
        <v/>
      </c>
      <c r="J45" s="123" t="str">
        <f t="shared" ca="1" si="26"/>
        <v/>
      </c>
      <c r="K45" s="123" t="str">
        <f t="shared" ca="1" si="26"/>
        <v/>
      </c>
      <c r="L45" s="123" t="str">
        <f t="shared" ca="1" si="26"/>
        <v/>
      </c>
      <c r="M45" s="123" t="str">
        <f t="shared" ca="1" si="26"/>
        <v/>
      </c>
      <c r="N45" s="123" t="str">
        <f t="shared" ca="1" si="26"/>
        <v/>
      </c>
      <c r="O45" s="123" t="str">
        <f t="shared" ca="1" si="26"/>
        <v/>
      </c>
      <c r="P45" s="123" t="str">
        <f t="shared" ca="1" si="26"/>
        <v/>
      </c>
      <c r="Q45" s="123" t="str">
        <f t="shared" ca="1" si="26"/>
        <v/>
      </c>
      <c r="R45" s="123" t="str">
        <f t="shared" ca="1" si="26"/>
        <v/>
      </c>
      <c r="S45" s="123" t="str">
        <f t="shared" ca="1" si="26"/>
        <v/>
      </c>
      <c r="T45" s="123" t="str">
        <f t="shared" ca="1" si="26"/>
        <v/>
      </c>
      <c r="U45" s="123" t="str">
        <f t="shared" ca="1" si="26"/>
        <v/>
      </c>
      <c r="V45" s="123" t="str">
        <f t="shared" ca="1" si="26"/>
        <v/>
      </c>
      <c r="W45" s="123" t="str">
        <f t="shared" ca="1" si="26"/>
        <v/>
      </c>
      <c r="X45" s="123" t="str">
        <f t="shared" ca="1" si="26"/>
        <v/>
      </c>
      <c r="Y45" s="123" t="str">
        <f t="shared" ca="1" si="26"/>
        <v/>
      </c>
      <c r="Z45" s="123" t="str">
        <f t="shared" ca="1" si="26"/>
        <v/>
      </c>
      <c r="AA45" s="123" t="str">
        <f t="shared" ca="1" si="26"/>
        <v/>
      </c>
      <c r="AB45" s="123" t="str">
        <f t="shared" ca="1" si="26"/>
        <v/>
      </c>
      <c r="AC45" s="123" t="str">
        <f t="shared" ca="1" si="26"/>
        <v/>
      </c>
      <c r="AD45" s="123" t="str">
        <f t="shared" ca="1" si="26"/>
        <v/>
      </c>
      <c r="AE45" s="123" t="str">
        <f t="shared" ca="1" si="26"/>
        <v/>
      </c>
      <c r="AF45" s="123" t="str">
        <f t="shared" ca="1" si="26"/>
        <v/>
      </c>
      <c r="AG45" s="123" t="str">
        <f t="shared" ca="1" si="26"/>
        <v/>
      </c>
      <c r="AH45" s="123" t="str">
        <f t="shared" ca="1" si="26"/>
        <v/>
      </c>
      <c r="AJ45" s="123" t="str">
        <f ca="1">IF($AJ$9=0,"",AJ44/$AJ$9)</f>
        <v/>
      </c>
      <c r="AM45" s="123" t="str">
        <f ca="1">IF($AM$9=0,"",AM44/$AM$9)</f>
        <v/>
      </c>
    </row>
    <row r="46" spans="1:40" x14ac:dyDescent="0.25">
      <c r="C46" s="128" t="s">
        <v>819</v>
      </c>
      <c r="D46" s="132">
        <f t="shared" ref="D46:AH46" ca="1" si="27">SUMIFS(OFFSET(DBRA_TopicHCP,0,MATCH($A44,DBRA_TopicHCP_Titel,0)-1,DBR_COUNT,1),DBRA_WorkplanDate,D$6, DBRA_PlayerID,$D$3)</f>
        <v>0</v>
      </c>
      <c r="E46" s="132">
        <f t="shared" ca="1" si="27"/>
        <v>0</v>
      </c>
      <c r="F46" s="132">
        <f t="shared" ca="1" si="27"/>
        <v>0</v>
      </c>
      <c r="G46" s="132">
        <f t="shared" ca="1" si="27"/>
        <v>0</v>
      </c>
      <c r="H46" s="132">
        <f t="shared" ca="1" si="27"/>
        <v>0</v>
      </c>
      <c r="I46" s="132">
        <f t="shared" ca="1" si="27"/>
        <v>0</v>
      </c>
      <c r="J46" s="132">
        <f t="shared" ca="1" si="27"/>
        <v>0</v>
      </c>
      <c r="K46" s="132">
        <f t="shared" ca="1" si="27"/>
        <v>0</v>
      </c>
      <c r="L46" s="132">
        <f t="shared" ca="1" si="27"/>
        <v>0</v>
      </c>
      <c r="M46" s="132">
        <f t="shared" ca="1" si="27"/>
        <v>0</v>
      </c>
      <c r="N46" s="132">
        <f t="shared" ca="1" si="27"/>
        <v>0</v>
      </c>
      <c r="O46" s="132">
        <f t="shared" ca="1" si="27"/>
        <v>0</v>
      </c>
      <c r="P46" s="132">
        <f t="shared" ca="1" si="27"/>
        <v>0</v>
      </c>
      <c r="Q46" s="132">
        <f t="shared" ca="1" si="27"/>
        <v>0</v>
      </c>
      <c r="R46" s="132">
        <f t="shared" ca="1" si="27"/>
        <v>0</v>
      </c>
      <c r="S46" s="132">
        <f t="shared" ca="1" si="27"/>
        <v>0</v>
      </c>
      <c r="T46" s="132">
        <f t="shared" ca="1" si="27"/>
        <v>0</v>
      </c>
      <c r="U46" s="132">
        <f t="shared" ca="1" si="27"/>
        <v>0</v>
      </c>
      <c r="V46" s="132">
        <f t="shared" ca="1" si="27"/>
        <v>0</v>
      </c>
      <c r="W46" s="132">
        <f t="shared" ca="1" si="27"/>
        <v>0</v>
      </c>
      <c r="X46" s="132">
        <f t="shared" ca="1" si="27"/>
        <v>0</v>
      </c>
      <c r="Y46" s="132">
        <f t="shared" ca="1" si="27"/>
        <v>0</v>
      </c>
      <c r="Z46" s="132">
        <f t="shared" ca="1" si="27"/>
        <v>0</v>
      </c>
      <c r="AA46" s="132">
        <f t="shared" ca="1" si="27"/>
        <v>0</v>
      </c>
      <c r="AB46" s="132">
        <f t="shared" ca="1" si="27"/>
        <v>0</v>
      </c>
      <c r="AC46" s="132">
        <f t="shared" ca="1" si="27"/>
        <v>0</v>
      </c>
      <c r="AD46" s="132">
        <f t="shared" ca="1" si="27"/>
        <v>0</v>
      </c>
      <c r="AE46" s="132">
        <f t="shared" ca="1" si="27"/>
        <v>0</v>
      </c>
      <c r="AF46" s="132">
        <f t="shared" ca="1" si="27"/>
        <v>0</v>
      </c>
      <c r="AG46" s="132">
        <f t="shared" ca="1" si="27"/>
        <v>0</v>
      </c>
      <c r="AH46" s="132">
        <f t="shared" ca="1" si="27"/>
        <v>0</v>
      </c>
    </row>
    <row r="47" spans="1:40" x14ac:dyDescent="0.25">
      <c r="C47" s="128" t="s">
        <v>815</v>
      </c>
      <c r="D47" s="132">
        <f t="shared" ref="D47:AH47" ca="1" si="28">SUMIFS(OFFSET(DBRA_TopicCount,0,MATCH($A44,DBRA_TopicCount_Titel,0)-1,DBR_COUNT,1),DBRA_WorkplanDate,D$6, DBRA_PlayerID,$D$3)</f>
        <v>0</v>
      </c>
      <c r="E47" s="132">
        <f t="shared" ca="1" si="28"/>
        <v>0</v>
      </c>
      <c r="F47" s="132">
        <f t="shared" ca="1" si="28"/>
        <v>0</v>
      </c>
      <c r="G47" s="132">
        <f t="shared" ca="1" si="28"/>
        <v>0</v>
      </c>
      <c r="H47" s="132">
        <f t="shared" ca="1" si="28"/>
        <v>0</v>
      </c>
      <c r="I47" s="132">
        <f t="shared" ca="1" si="28"/>
        <v>0</v>
      </c>
      <c r="J47" s="132">
        <f t="shared" ca="1" si="28"/>
        <v>0</v>
      </c>
      <c r="K47" s="132">
        <f t="shared" ca="1" si="28"/>
        <v>0</v>
      </c>
      <c r="L47" s="132">
        <f t="shared" ca="1" si="28"/>
        <v>0</v>
      </c>
      <c r="M47" s="132">
        <f t="shared" ca="1" si="28"/>
        <v>0</v>
      </c>
      <c r="N47" s="132">
        <f t="shared" ca="1" si="28"/>
        <v>0</v>
      </c>
      <c r="O47" s="132">
        <f t="shared" ca="1" si="28"/>
        <v>0</v>
      </c>
      <c r="P47" s="132">
        <f t="shared" ca="1" si="28"/>
        <v>0</v>
      </c>
      <c r="Q47" s="132">
        <f t="shared" ca="1" si="28"/>
        <v>0</v>
      </c>
      <c r="R47" s="132">
        <f t="shared" ca="1" si="28"/>
        <v>0</v>
      </c>
      <c r="S47" s="132">
        <f t="shared" ca="1" si="28"/>
        <v>0</v>
      </c>
      <c r="T47" s="132">
        <f t="shared" ca="1" si="28"/>
        <v>0</v>
      </c>
      <c r="U47" s="132">
        <f t="shared" ca="1" si="28"/>
        <v>0</v>
      </c>
      <c r="V47" s="132">
        <f t="shared" ca="1" si="28"/>
        <v>0</v>
      </c>
      <c r="W47" s="132">
        <f t="shared" ca="1" si="28"/>
        <v>0</v>
      </c>
      <c r="X47" s="132">
        <f t="shared" ca="1" si="28"/>
        <v>0</v>
      </c>
      <c r="Y47" s="132">
        <f t="shared" ca="1" si="28"/>
        <v>0</v>
      </c>
      <c r="Z47" s="132">
        <f t="shared" ca="1" si="28"/>
        <v>0</v>
      </c>
      <c r="AA47" s="132">
        <f t="shared" ca="1" si="28"/>
        <v>0</v>
      </c>
      <c r="AB47" s="132">
        <f t="shared" ca="1" si="28"/>
        <v>0</v>
      </c>
      <c r="AC47" s="132">
        <f t="shared" ca="1" si="28"/>
        <v>0</v>
      </c>
      <c r="AD47" s="132">
        <f t="shared" ca="1" si="28"/>
        <v>0</v>
      </c>
      <c r="AE47" s="132">
        <f t="shared" ca="1" si="28"/>
        <v>0</v>
      </c>
      <c r="AF47" s="132">
        <f t="shared" ca="1" si="28"/>
        <v>0</v>
      </c>
      <c r="AG47" s="132">
        <f t="shared" ca="1" si="28"/>
        <v>0</v>
      </c>
      <c r="AH47" s="132">
        <f t="shared" ca="1" si="28"/>
        <v>0</v>
      </c>
    </row>
    <row r="48" spans="1:40" x14ac:dyDescent="0.25">
      <c r="C48" s="128" t="s">
        <v>820</v>
      </c>
      <c r="D48" s="131" t="str">
        <f t="shared" ref="D48:AH48" ca="1" si="29">IF(D$9&gt;0,IF(D47&gt;0,D46/D47,""),"")</f>
        <v/>
      </c>
      <c r="E48" s="131" t="str">
        <f t="shared" ca="1" si="29"/>
        <v/>
      </c>
      <c r="F48" s="131" t="str">
        <f t="shared" ca="1" si="29"/>
        <v/>
      </c>
      <c r="G48" s="131" t="str">
        <f t="shared" ca="1" si="29"/>
        <v/>
      </c>
      <c r="H48" s="131" t="str">
        <f t="shared" ca="1" si="29"/>
        <v/>
      </c>
      <c r="I48" s="131" t="str">
        <f t="shared" ca="1" si="29"/>
        <v/>
      </c>
      <c r="J48" s="131" t="str">
        <f t="shared" ca="1" si="29"/>
        <v/>
      </c>
      <c r="K48" s="131" t="str">
        <f t="shared" ca="1" si="29"/>
        <v/>
      </c>
      <c r="L48" s="131" t="str">
        <f t="shared" ca="1" si="29"/>
        <v/>
      </c>
      <c r="M48" s="131" t="str">
        <f t="shared" ca="1" si="29"/>
        <v/>
      </c>
      <c r="N48" s="131" t="str">
        <f t="shared" ca="1" si="29"/>
        <v/>
      </c>
      <c r="O48" s="131" t="str">
        <f t="shared" ca="1" si="29"/>
        <v/>
      </c>
      <c r="P48" s="131" t="str">
        <f t="shared" ca="1" si="29"/>
        <v/>
      </c>
      <c r="Q48" s="131" t="str">
        <f t="shared" ca="1" si="29"/>
        <v/>
      </c>
      <c r="R48" s="131" t="str">
        <f t="shared" ca="1" si="29"/>
        <v/>
      </c>
      <c r="S48" s="131" t="str">
        <f t="shared" ca="1" si="29"/>
        <v/>
      </c>
      <c r="T48" s="131" t="str">
        <f t="shared" ca="1" si="29"/>
        <v/>
      </c>
      <c r="U48" s="131" t="str">
        <f t="shared" ca="1" si="29"/>
        <v/>
      </c>
      <c r="V48" s="131" t="str">
        <f t="shared" ca="1" si="29"/>
        <v/>
      </c>
      <c r="W48" s="131" t="str">
        <f t="shared" ca="1" si="29"/>
        <v/>
      </c>
      <c r="X48" s="131" t="str">
        <f t="shared" ca="1" si="29"/>
        <v/>
      </c>
      <c r="Y48" s="131" t="str">
        <f t="shared" ca="1" si="29"/>
        <v/>
      </c>
      <c r="Z48" s="131" t="str">
        <f t="shared" ca="1" si="29"/>
        <v/>
      </c>
      <c r="AA48" s="131" t="str">
        <f t="shared" ca="1" si="29"/>
        <v/>
      </c>
      <c r="AB48" s="131" t="str">
        <f t="shared" ca="1" si="29"/>
        <v/>
      </c>
      <c r="AC48" s="131" t="str">
        <f t="shared" ca="1" si="29"/>
        <v/>
      </c>
      <c r="AD48" s="131" t="str">
        <f t="shared" ca="1" si="29"/>
        <v/>
      </c>
      <c r="AE48" s="131" t="str">
        <f t="shared" ca="1" si="29"/>
        <v/>
      </c>
      <c r="AF48" s="131" t="str">
        <f t="shared" ca="1" si="29"/>
        <v/>
      </c>
      <c r="AG48" s="131" t="str">
        <f t="shared" ca="1" si="29"/>
        <v/>
      </c>
      <c r="AH48" s="131" t="str">
        <f t="shared" ca="1" si="29"/>
        <v/>
      </c>
      <c r="AJ48" s="131" t="str">
        <f ca="1">IF(COUNT(D48:AH48)&gt;0,SUM(D48:AH48)/COUNT(D48:AH48),"")</f>
        <v/>
      </c>
    </row>
    <row r="49" spans="1:40" x14ac:dyDescent="0.25">
      <c r="C49" s="128" t="s">
        <v>1117</v>
      </c>
      <c r="D49" s="131" t="str">
        <f t="shared" ref="D49:AH49" ca="1" si="30">IF(LEN(D48)&gt;0,1,"")</f>
        <v/>
      </c>
      <c r="E49" s="131" t="str">
        <f t="shared" ca="1" si="30"/>
        <v/>
      </c>
      <c r="F49" s="131" t="str">
        <f t="shared" ca="1" si="30"/>
        <v/>
      </c>
      <c r="G49" s="131" t="str">
        <f t="shared" ca="1" si="30"/>
        <v/>
      </c>
      <c r="H49" s="131" t="str">
        <f t="shared" ca="1" si="30"/>
        <v/>
      </c>
      <c r="I49" s="131" t="str">
        <f t="shared" ca="1" si="30"/>
        <v/>
      </c>
      <c r="J49" s="131" t="str">
        <f t="shared" ca="1" si="30"/>
        <v/>
      </c>
      <c r="K49" s="131" t="str">
        <f t="shared" ca="1" si="30"/>
        <v/>
      </c>
      <c r="L49" s="131" t="str">
        <f t="shared" ca="1" si="30"/>
        <v/>
      </c>
      <c r="M49" s="131" t="str">
        <f t="shared" ca="1" si="30"/>
        <v/>
      </c>
      <c r="N49" s="131" t="str">
        <f t="shared" ca="1" si="30"/>
        <v/>
      </c>
      <c r="O49" s="131" t="str">
        <f t="shared" ca="1" si="30"/>
        <v/>
      </c>
      <c r="P49" s="131" t="str">
        <f t="shared" ca="1" si="30"/>
        <v/>
      </c>
      <c r="Q49" s="131" t="str">
        <f t="shared" ca="1" si="30"/>
        <v/>
      </c>
      <c r="R49" s="131" t="str">
        <f t="shared" ca="1" si="30"/>
        <v/>
      </c>
      <c r="S49" s="131" t="str">
        <f t="shared" ca="1" si="30"/>
        <v/>
      </c>
      <c r="T49" s="131" t="str">
        <f t="shared" ca="1" si="30"/>
        <v/>
      </c>
      <c r="U49" s="131" t="str">
        <f t="shared" ca="1" si="30"/>
        <v/>
      </c>
      <c r="V49" s="131" t="str">
        <f t="shared" ca="1" si="30"/>
        <v/>
      </c>
      <c r="W49" s="131" t="str">
        <f t="shared" ca="1" si="30"/>
        <v/>
      </c>
      <c r="X49" s="131" t="str">
        <f t="shared" ca="1" si="30"/>
        <v/>
      </c>
      <c r="Y49" s="131" t="str">
        <f t="shared" ca="1" si="30"/>
        <v/>
      </c>
      <c r="Z49" s="131" t="str">
        <f t="shared" ca="1" si="30"/>
        <v/>
      </c>
      <c r="AA49" s="131" t="str">
        <f t="shared" ca="1" si="30"/>
        <v/>
      </c>
      <c r="AB49" s="131" t="str">
        <f t="shared" ca="1" si="30"/>
        <v/>
      </c>
      <c r="AC49" s="131" t="str">
        <f t="shared" ca="1" si="30"/>
        <v/>
      </c>
      <c r="AD49" s="131" t="str">
        <f t="shared" ca="1" si="30"/>
        <v/>
      </c>
      <c r="AE49" s="131" t="str">
        <f t="shared" ca="1" si="30"/>
        <v/>
      </c>
      <c r="AF49" s="131" t="str">
        <f t="shared" ca="1" si="30"/>
        <v/>
      </c>
      <c r="AG49" s="131" t="str">
        <f t="shared" ca="1" si="30"/>
        <v/>
      </c>
      <c r="AH49" s="131" t="str">
        <f t="shared" ca="1" si="30"/>
        <v/>
      </c>
      <c r="AJ49" s="222">
        <f ca="1">getLastCellIndexInRow(D49:AH49)</f>
        <v>-1</v>
      </c>
      <c r="AK49" s="222">
        <f ca="1">IF(AJ49&gt;0,INDEX(D48:AH48,1,AJ49)-AJ48,0)</f>
        <v>0</v>
      </c>
    </row>
    <row r="50" spans="1:40" x14ac:dyDescent="0.25">
      <c r="C50" s="128"/>
      <c r="D50" s="131"/>
      <c r="E50" s="131"/>
      <c r="F50" s="131"/>
      <c r="G50" s="131"/>
      <c r="H50" s="131"/>
      <c r="I50" s="131"/>
      <c r="J50" s="131"/>
      <c r="K50" s="131"/>
      <c r="L50" s="131"/>
      <c r="M50" s="131"/>
      <c r="N50" s="131"/>
      <c r="O50" s="131"/>
      <c r="P50" s="131"/>
      <c r="Q50" s="131"/>
      <c r="R50" s="131"/>
      <c r="S50" s="131"/>
      <c r="T50" s="131"/>
      <c r="U50" s="131"/>
      <c r="V50" s="131"/>
      <c r="W50" s="131"/>
      <c r="X50" s="131"/>
      <c r="Y50" s="131"/>
      <c r="Z50" s="131"/>
      <c r="AA50" s="131"/>
      <c r="AB50" s="131"/>
      <c r="AC50" s="131"/>
      <c r="AD50" s="131"/>
      <c r="AE50" s="131"/>
      <c r="AF50" s="131"/>
      <c r="AG50" s="131"/>
      <c r="AH50" s="131"/>
    </row>
    <row r="51" spans="1:40" x14ac:dyDescent="0.25">
      <c r="C51" s="128"/>
      <c r="D51" s="131"/>
      <c r="E51" s="131"/>
      <c r="F51" s="131"/>
      <c r="G51" s="131"/>
      <c r="H51" s="131"/>
      <c r="I51" s="131"/>
      <c r="J51" s="131"/>
      <c r="K51" s="131"/>
      <c r="L51" s="131"/>
      <c r="M51" s="131"/>
      <c r="N51" s="131"/>
      <c r="O51" s="131"/>
      <c r="P51" s="131"/>
      <c r="Q51" s="131"/>
      <c r="R51" s="131"/>
      <c r="S51" s="131"/>
      <c r="T51" s="131"/>
      <c r="U51" s="131"/>
      <c r="V51" s="131"/>
      <c r="W51" s="131"/>
      <c r="X51" s="131"/>
      <c r="Y51" s="131"/>
      <c r="Z51" s="131"/>
      <c r="AA51" s="131"/>
      <c r="AB51" s="131"/>
      <c r="AC51" s="131"/>
      <c r="AD51" s="131"/>
      <c r="AE51" s="131"/>
      <c r="AF51" s="131"/>
      <c r="AG51" s="131"/>
      <c r="AH51" s="131"/>
    </row>
    <row r="52" spans="1:40" x14ac:dyDescent="0.25">
      <c r="C52" s="128"/>
      <c r="D52" s="131"/>
      <c r="E52" s="131"/>
      <c r="F52" s="131"/>
      <c r="G52" s="131"/>
      <c r="H52" s="131"/>
      <c r="I52" s="131"/>
      <c r="J52" s="131"/>
      <c r="K52" s="131"/>
      <c r="L52" s="131"/>
      <c r="M52" s="131"/>
      <c r="N52" s="131"/>
      <c r="O52" s="131"/>
      <c r="P52" s="131"/>
      <c r="Q52" s="131"/>
      <c r="R52" s="131"/>
      <c r="S52" s="131"/>
      <c r="T52" s="131"/>
      <c r="U52" s="131"/>
      <c r="V52" s="131"/>
      <c r="W52" s="131"/>
      <c r="X52" s="131"/>
      <c r="Y52" s="131"/>
      <c r="Z52" s="131"/>
      <c r="AA52" s="131"/>
      <c r="AB52" s="131"/>
      <c r="AC52" s="131"/>
      <c r="AD52" s="131"/>
      <c r="AE52" s="131"/>
      <c r="AF52" s="131"/>
      <c r="AG52" s="131"/>
      <c r="AH52" s="131"/>
    </row>
    <row r="53" spans="1:40" x14ac:dyDescent="0.25">
      <c r="C53" s="128"/>
    </row>
    <row r="54" spans="1:40" x14ac:dyDescent="0.25">
      <c r="A54" t="str">
        <f>MUI_STAT_T_MainTitel_5</f>
        <v>Wood</v>
      </c>
      <c r="C54" s="128" t="s">
        <v>459</v>
      </c>
      <c r="D54" s="130">
        <f t="shared" ref="D54:AH54" ca="1" si="31">SUMIFS(OFFSET(DBRA_TopicTotalRealDuration,0,MATCH($A54,DBRA_TopicTotalRealDuration_Titel,0)-1,DBR_COUNT,1),DBRA_WorkplanDate,D$6,DBRA_PlayerID,$D$3)</f>
        <v>0</v>
      </c>
      <c r="E54" s="130">
        <f t="shared" ca="1" si="31"/>
        <v>0</v>
      </c>
      <c r="F54" s="130">
        <f t="shared" ca="1" si="31"/>
        <v>0</v>
      </c>
      <c r="G54" s="130">
        <f t="shared" ca="1" si="31"/>
        <v>0</v>
      </c>
      <c r="H54" s="130">
        <f t="shared" ca="1" si="31"/>
        <v>0</v>
      </c>
      <c r="I54" s="130">
        <f t="shared" ca="1" si="31"/>
        <v>0</v>
      </c>
      <c r="J54" s="130">
        <f t="shared" ca="1" si="31"/>
        <v>0</v>
      </c>
      <c r="K54" s="130">
        <f t="shared" ca="1" si="31"/>
        <v>0</v>
      </c>
      <c r="L54" s="130">
        <f t="shared" ca="1" si="31"/>
        <v>0</v>
      </c>
      <c r="M54" s="130">
        <f t="shared" ca="1" si="31"/>
        <v>0</v>
      </c>
      <c r="N54" s="130">
        <f t="shared" ca="1" si="31"/>
        <v>0</v>
      </c>
      <c r="O54" s="130">
        <f t="shared" ca="1" si="31"/>
        <v>0</v>
      </c>
      <c r="P54" s="130">
        <f t="shared" ca="1" si="31"/>
        <v>0</v>
      </c>
      <c r="Q54" s="130">
        <f t="shared" ca="1" si="31"/>
        <v>0</v>
      </c>
      <c r="R54" s="130">
        <f t="shared" ca="1" si="31"/>
        <v>0</v>
      </c>
      <c r="S54" s="130">
        <f t="shared" ca="1" si="31"/>
        <v>0</v>
      </c>
      <c r="T54" s="130">
        <f t="shared" ca="1" si="31"/>
        <v>0</v>
      </c>
      <c r="U54" s="130">
        <f t="shared" ca="1" si="31"/>
        <v>0</v>
      </c>
      <c r="V54" s="130">
        <f t="shared" ca="1" si="31"/>
        <v>0</v>
      </c>
      <c r="W54" s="130">
        <f t="shared" ca="1" si="31"/>
        <v>0</v>
      </c>
      <c r="X54" s="130">
        <f t="shared" ca="1" si="31"/>
        <v>0</v>
      </c>
      <c r="Y54" s="130">
        <f t="shared" ca="1" si="31"/>
        <v>0</v>
      </c>
      <c r="Z54" s="130">
        <f t="shared" ca="1" si="31"/>
        <v>0</v>
      </c>
      <c r="AA54" s="130">
        <f t="shared" ca="1" si="31"/>
        <v>0</v>
      </c>
      <c r="AB54" s="130">
        <f t="shared" ca="1" si="31"/>
        <v>0</v>
      </c>
      <c r="AC54" s="130">
        <f t="shared" ca="1" si="31"/>
        <v>0</v>
      </c>
      <c r="AD54" s="130">
        <f t="shared" ca="1" si="31"/>
        <v>0</v>
      </c>
      <c r="AE54" s="130">
        <f t="shared" ca="1" si="31"/>
        <v>0</v>
      </c>
      <c r="AF54" s="130">
        <f t="shared" ca="1" si="31"/>
        <v>0</v>
      </c>
      <c r="AG54" s="130">
        <f t="shared" ca="1" si="31"/>
        <v>0</v>
      </c>
      <c r="AH54" s="130">
        <f t="shared" ca="1" si="31"/>
        <v>0</v>
      </c>
      <c r="AJ54" s="130">
        <f ca="1">SUMIFS(OFFSET(DBRA_TopicTotalRealDuration,0,MATCH($A54,DBRA_TopicTotalRealDuration_Titel,0)-1,DBR_COUNT,1),DBRA_WorkplanDate,$AJ$5,DBRA_WorkplanDate,$AJ$4,DBRA_PlayerID,$D$3)</f>
        <v>0</v>
      </c>
      <c r="AK54" s="218" t="str">
        <f ca="1">IFERROR(IF(AJ54&gt;0,INT(AJ54/60) &amp;":" &amp;TEXT((AJ54- INT(AJ54/60)*60),"00"),""),"")</f>
        <v/>
      </c>
      <c r="AM54" s="130">
        <f ca="1">SUMIFS(OFFSET(DBRA_TopicTotalRealDuration,0,MATCH($A54,DBRA_TopicTotalRealDuration_Titel,0)-1,DBR_COUNT,1),DBRA_WorkplanDate,$AM$4,DBRA_WorkplanDate,$AM$5,DBRA_PlayerID,$D$3)</f>
        <v>0</v>
      </c>
      <c r="AN54" s="218" t="str">
        <f ca="1">IFERROR(IF(AM54&gt;0,INT(AM54/60) &amp;":" &amp;TEXT((AM54- INT(AM54/60)*60),"00"),""),"")</f>
        <v/>
      </c>
    </row>
    <row r="55" spans="1:40" x14ac:dyDescent="0.25">
      <c r="C55" s="128" t="s">
        <v>814</v>
      </c>
      <c r="D55" s="123" t="str">
        <f t="shared" ref="D55:AH55" ca="1" si="32">IF(D$9&gt;0,IF(D54&gt;0,D54/D$9,""),"")</f>
        <v/>
      </c>
      <c r="E55" s="123" t="str">
        <f t="shared" ca="1" si="32"/>
        <v/>
      </c>
      <c r="F55" s="123" t="str">
        <f t="shared" ca="1" si="32"/>
        <v/>
      </c>
      <c r="G55" s="123" t="str">
        <f t="shared" ca="1" si="32"/>
        <v/>
      </c>
      <c r="H55" s="123" t="str">
        <f t="shared" ca="1" si="32"/>
        <v/>
      </c>
      <c r="I55" s="123" t="str">
        <f t="shared" ca="1" si="32"/>
        <v/>
      </c>
      <c r="J55" s="123" t="str">
        <f t="shared" ca="1" si="32"/>
        <v/>
      </c>
      <c r="K55" s="123" t="str">
        <f t="shared" ca="1" si="32"/>
        <v/>
      </c>
      <c r="L55" s="123" t="str">
        <f t="shared" ca="1" si="32"/>
        <v/>
      </c>
      <c r="M55" s="123" t="str">
        <f t="shared" ca="1" si="32"/>
        <v/>
      </c>
      <c r="N55" s="123" t="str">
        <f t="shared" ca="1" si="32"/>
        <v/>
      </c>
      <c r="O55" s="123" t="str">
        <f t="shared" ca="1" si="32"/>
        <v/>
      </c>
      <c r="P55" s="123" t="str">
        <f t="shared" ca="1" si="32"/>
        <v/>
      </c>
      <c r="Q55" s="123" t="str">
        <f t="shared" ca="1" si="32"/>
        <v/>
      </c>
      <c r="R55" s="123" t="str">
        <f t="shared" ca="1" si="32"/>
        <v/>
      </c>
      <c r="S55" s="123" t="str">
        <f t="shared" ca="1" si="32"/>
        <v/>
      </c>
      <c r="T55" s="123" t="str">
        <f t="shared" ca="1" si="32"/>
        <v/>
      </c>
      <c r="U55" s="123" t="str">
        <f t="shared" ca="1" si="32"/>
        <v/>
      </c>
      <c r="V55" s="123" t="str">
        <f t="shared" ca="1" si="32"/>
        <v/>
      </c>
      <c r="W55" s="123" t="str">
        <f t="shared" ca="1" si="32"/>
        <v/>
      </c>
      <c r="X55" s="123" t="str">
        <f t="shared" ca="1" si="32"/>
        <v/>
      </c>
      <c r="Y55" s="123" t="str">
        <f t="shared" ca="1" si="32"/>
        <v/>
      </c>
      <c r="Z55" s="123" t="str">
        <f t="shared" ca="1" si="32"/>
        <v/>
      </c>
      <c r="AA55" s="123" t="str">
        <f t="shared" ca="1" si="32"/>
        <v/>
      </c>
      <c r="AB55" s="123" t="str">
        <f t="shared" ca="1" si="32"/>
        <v/>
      </c>
      <c r="AC55" s="123" t="str">
        <f t="shared" ca="1" si="32"/>
        <v/>
      </c>
      <c r="AD55" s="123" t="str">
        <f t="shared" ca="1" si="32"/>
        <v/>
      </c>
      <c r="AE55" s="123" t="str">
        <f t="shared" ca="1" si="32"/>
        <v/>
      </c>
      <c r="AF55" s="123" t="str">
        <f t="shared" ca="1" si="32"/>
        <v/>
      </c>
      <c r="AG55" s="123" t="str">
        <f t="shared" ca="1" si="32"/>
        <v/>
      </c>
      <c r="AH55" s="123" t="str">
        <f t="shared" ca="1" si="32"/>
        <v/>
      </c>
      <c r="AJ55" s="123" t="str">
        <f ca="1">IF($AJ$9=0,"",AJ54/$AJ$9)</f>
        <v/>
      </c>
      <c r="AM55" s="123" t="str">
        <f ca="1">IF($AM$9=0,"",AM54/$AM$9)</f>
        <v/>
      </c>
    </row>
    <row r="56" spans="1:40" x14ac:dyDescent="0.25">
      <c r="C56" s="128" t="s">
        <v>819</v>
      </c>
      <c r="D56" s="132">
        <f t="shared" ref="D56:AH56" ca="1" si="33">SUMIFS(OFFSET(DBRA_TopicHCP,0,MATCH($A54,DBRA_TopicHCP_Titel,0)-1,DBR_COUNT,1),DBRA_WorkplanDate,D$6, DBRA_PlayerID,$D$3)</f>
        <v>0</v>
      </c>
      <c r="E56" s="132">
        <f t="shared" ca="1" si="33"/>
        <v>0</v>
      </c>
      <c r="F56" s="132">
        <f t="shared" ca="1" si="33"/>
        <v>0</v>
      </c>
      <c r="G56" s="132">
        <f t="shared" ca="1" si="33"/>
        <v>0</v>
      </c>
      <c r="H56" s="132">
        <f t="shared" ca="1" si="33"/>
        <v>0</v>
      </c>
      <c r="I56" s="132">
        <f t="shared" ca="1" si="33"/>
        <v>0</v>
      </c>
      <c r="J56" s="132">
        <f t="shared" ca="1" si="33"/>
        <v>0</v>
      </c>
      <c r="K56" s="132">
        <f t="shared" ca="1" si="33"/>
        <v>0</v>
      </c>
      <c r="L56" s="132">
        <f t="shared" ca="1" si="33"/>
        <v>0</v>
      </c>
      <c r="M56" s="132">
        <f t="shared" ca="1" si="33"/>
        <v>0</v>
      </c>
      <c r="N56" s="132">
        <f t="shared" ca="1" si="33"/>
        <v>0</v>
      </c>
      <c r="O56" s="132">
        <f t="shared" ca="1" si="33"/>
        <v>0</v>
      </c>
      <c r="P56" s="132">
        <f t="shared" ca="1" si="33"/>
        <v>0</v>
      </c>
      <c r="Q56" s="132">
        <f t="shared" ca="1" si="33"/>
        <v>0</v>
      </c>
      <c r="R56" s="132">
        <f t="shared" ca="1" si="33"/>
        <v>0</v>
      </c>
      <c r="S56" s="132">
        <f t="shared" ca="1" si="33"/>
        <v>0</v>
      </c>
      <c r="T56" s="132">
        <f t="shared" ca="1" si="33"/>
        <v>0</v>
      </c>
      <c r="U56" s="132">
        <f t="shared" ca="1" si="33"/>
        <v>0</v>
      </c>
      <c r="V56" s="132">
        <f t="shared" ca="1" si="33"/>
        <v>0</v>
      </c>
      <c r="W56" s="132">
        <f t="shared" ca="1" si="33"/>
        <v>0</v>
      </c>
      <c r="X56" s="132">
        <f t="shared" ca="1" si="33"/>
        <v>0</v>
      </c>
      <c r="Y56" s="132">
        <f t="shared" ca="1" si="33"/>
        <v>0</v>
      </c>
      <c r="Z56" s="132">
        <f t="shared" ca="1" si="33"/>
        <v>0</v>
      </c>
      <c r="AA56" s="132">
        <f t="shared" ca="1" si="33"/>
        <v>0</v>
      </c>
      <c r="AB56" s="132">
        <f t="shared" ca="1" si="33"/>
        <v>0</v>
      </c>
      <c r="AC56" s="132">
        <f t="shared" ca="1" si="33"/>
        <v>0</v>
      </c>
      <c r="AD56" s="132">
        <f t="shared" ca="1" si="33"/>
        <v>0</v>
      </c>
      <c r="AE56" s="132">
        <f t="shared" ca="1" si="33"/>
        <v>0</v>
      </c>
      <c r="AF56" s="132">
        <f t="shared" ca="1" si="33"/>
        <v>0</v>
      </c>
      <c r="AG56" s="132">
        <f t="shared" ca="1" si="33"/>
        <v>0</v>
      </c>
      <c r="AH56" s="132">
        <f t="shared" ca="1" si="33"/>
        <v>0</v>
      </c>
    </row>
    <row r="57" spans="1:40" x14ac:dyDescent="0.25">
      <c r="C57" s="128" t="s">
        <v>815</v>
      </c>
      <c r="D57" s="132">
        <f t="shared" ref="D57:AH57" ca="1" si="34">SUMIFS(OFFSET(DBRA_TopicCount,0,MATCH($A54,DBRA_TopicCount_Titel,0)-1,DBR_COUNT,1),DBRA_WorkplanDate,D$6, DBRA_PlayerID,$D$3)</f>
        <v>0</v>
      </c>
      <c r="E57" s="132">
        <f t="shared" ca="1" si="34"/>
        <v>0</v>
      </c>
      <c r="F57" s="132">
        <f t="shared" ca="1" si="34"/>
        <v>0</v>
      </c>
      <c r="G57" s="132">
        <f t="shared" ca="1" si="34"/>
        <v>0</v>
      </c>
      <c r="H57" s="132">
        <f t="shared" ca="1" si="34"/>
        <v>0</v>
      </c>
      <c r="I57" s="132">
        <f t="shared" ca="1" si="34"/>
        <v>0</v>
      </c>
      <c r="J57" s="132">
        <f t="shared" ca="1" si="34"/>
        <v>0</v>
      </c>
      <c r="K57" s="132">
        <f t="shared" ca="1" si="34"/>
        <v>0</v>
      </c>
      <c r="L57" s="132">
        <f t="shared" ca="1" si="34"/>
        <v>0</v>
      </c>
      <c r="M57" s="132">
        <f t="shared" ca="1" si="34"/>
        <v>0</v>
      </c>
      <c r="N57" s="132">
        <f t="shared" ca="1" si="34"/>
        <v>0</v>
      </c>
      <c r="O57" s="132">
        <f t="shared" ca="1" si="34"/>
        <v>0</v>
      </c>
      <c r="P57" s="132">
        <f t="shared" ca="1" si="34"/>
        <v>0</v>
      </c>
      <c r="Q57" s="132">
        <f t="shared" ca="1" si="34"/>
        <v>0</v>
      </c>
      <c r="R57" s="132">
        <f t="shared" ca="1" si="34"/>
        <v>0</v>
      </c>
      <c r="S57" s="132">
        <f t="shared" ca="1" si="34"/>
        <v>0</v>
      </c>
      <c r="T57" s="132">
        <f t="shared" ca="1" si="34"/>
        <v>0</v>
      </c>
      <c r="U57" s="132">
        <f t="shared" ca="1" si="34"/>
        <v>0</v>
      </c>
      <c r="V57" s="132">
        <f t="shared" ca="1" si="34"/>
        <v>0</v>
      </c>
      <c r="W57" s="132">
        <f t="shared" ca="1" si="34"/>
        <v>0</v>
      </c>
      <c r="X57" s="132">
        <f t="shared" ca="1" si="34"/>
        <v>0</v>
      </c>
      <c r="Y57" s="132">
        <f t="shared" ca="1" si="34"/>
        <v>0</v>
      </c>
      <c r="Z57" s="132">
        <f t="shared" ca="1" si="34"/>
        <v>0</v>
      </c>
      <c r="AA57" s="132">
        <f t="shared" ca="1" si="34"/>
        <v>0</v>
      </c>
      <c r="AB57" s="132">
        <f t="shared" ca="1" si="34"/>
        <v>0</v>
      </c>
      <c r="AC57" s="132">
        <f t="shared" ca="1" si="34"/>
        <v>0</v>
      </c>
      <c r="AD57" s="132">
        <f t="shared" ca="1" si="34"/>
        <v>0</v>
      </c>
      <c r="AE57" s="132">
        <f t="shared" ca="1" si="34"/>
        <v>0</v>
      </c>
      <c r="AF57" s="132">
        <f t="shared" ca="1" si="34"/>
        <v>0</v>
      </c>
      <c r="AG57" s="132">
        <f t="shared" ca="1" si="34"/>
        <v>0</v>
      </c>
      <c r="AH57" s="132">
        <f t="shared" ca="1" si="34"/>
        <v>0</v>
      </c>
    </row>
    <row r="58" spans="1:40" x14ac:dyDescent="0.25">
      <c r="C58" s="128" t="s">
        <v>820</v>
      </c>
      <c r="D58" s="131" t="str">
        <f t="shared" ref="D58:AH58" ca="1" si="35">IF(D$9&gt;0,IF(D57&gt;0,D56/D57,""),"")</f>
        <v/>
      </c>
      <c r="E58" s="131" t="str">
        <f t="shared" ca="1" si="35"/>
        <v/>
      </c>
      <c r="F58" s="131" t="str">
        <f t="shared" ca="1" si="35"/>
        <v/>
      </c>
      <c r="G58" s="131" t="str">
        <f t="shared" ca="1" si="35"/>
        <v/>
      </c>
      <c r="H58" s="131" t="str">
        <f t="shared" ca="1" si="35"/>
        <v/>
      </c>
      <c r="I58" s="131" t="str">
        <f t="shared" ca="1" si="35"/>
        <v/>
      </c>
      <c r="J58" s="131" t="str">
        <f t="shared" ca="1" si="35"/>
        <v/>
      </c>
      <c r="K58" s="131" t="str">
        <f t="shared" ca="1" si="35"/>
        <v/>
      </c>
      <c r="L58" s="131" t="str">
        <f t="shared" ca="1" si="35"/>
        <v/>
      </c>
      <c r="M58" s="131" t="str">
        <f t="shared" ca="1" si="35"/>
        <v/>
      </c>
      <c r="N58" s="131" t="str">
        <f t="shared" ca="1" si="35"/>
        <v/>
      </c>
      <c r="O58" s="131" t="str">
        <f t="shared" ca="1" si="35"/>
        <v/>
      </c>
      <c r="P58" s="131" t="str">
        <f t="shared" ca="1" si="35"/>
        <v/>
      </c>
      <c r="Q58" s="131" t="str">
        <f t="shared" ca="1" si="35"/>
        <v/>
      </c>
      <c r="R58" s="131" t="str">
        <f t="shared" ca="1" si="35"/>
        <v/>
      </c>
      <c r="S58" s="131" t="str">
        <f t="shared" ca="1" si="35"/>
        <v/>
      </c>
      <c r="T58" s="131" t="str">
        <f t="shared" ca="1" si="35"/>
        <v/>
      </c>
      <c r="U58" s="131" t="str">
        <f t="shared" ca="1" si="35"/>
        <v/>
      </c>
      <c r="V58" s="131" t="str">
        <f t="shared" ca="1" si="35"/>
        <v/>
      </c>
      <c r="W58" s="131" t="str">
        <f t="shared" ca="1" si="35"/>
        <v/>
      </c>
      <c r="X58" s="131" t="str">
        <f t="shared" ca="1" si="35"/>
        <v/>
      </c>
      <c r="Y58" s="131" t="str">
        <f t="shared" ca="1" si="35"/>
        <v/>
      </c>
      <c r="Z58" s="131" t="str">
        <f t="shared" ca="1" si="35"/>
        <v/>
      </c>
      <c r="AA58" s="131" t="str">
        <f t="shared" ca="1" si="35"/>
        <v/>
      </c>
      <c r="AB58" s="131" t="str">
        <f t="shared" ca="1" si="35"/>
        <v/>
      </c>
      <c r="AC58" s="131" t="str">
        <f t="shared" ca="1" si="35"/>
        <v/>
      </c>
      <c r="AD58" s="131" t="str">
        <f t="shared" ca="1" si="35"/>
        <v/>
      </c>
      <c r="AE58" s="131" t="str">
        <f t="shared" ca="1" si="35"/>
        <v/>
      </c>
      <c r="AF58" s="131" t="str">
        <f t="shared" ca="1" si="35"/>
        <v/>
      </c>
      <c r="AG58" s="131" t="str">
        <f t="shared" ca="1" si="35"/>
        <v/>
      </c>
      <c r="AH58" s="131" t="str">
        <f t="shared" ca="1" si="35"/>
        <v/>
      </c>
      <c r="AJ58" s="131" t="str">
        <f ca="1">IF(COUNT(D58:AH58)&gt;0,SUM(D58:AH58)/COUNT(D58:AH58),"")</f>
        <v/>
      </c>
    </row>
    <row r="59" spans="1:40" x14ac:dyDescent="0.25">
      <c r="C59" s="128" t="s">
        <v>1117</v>
      </c>
      <c r="D59" s="131" t="str">
        <f t="shared" ref="D59:M60" ca="1" si="36">IF(LEN(D58)&gt;0,1,"")</f>
        <v/>
      </c>
      <c r="E59" s="131" t="str">
        <f t="shared" ca="1" si="36"/>
        <v/>
      </c>
      <c r="F59" s="131" t="str">
        <f t="shared" ca="1" si="36"/>
        <v/>
      </c>
      <c r="G59" s="131" t="str">
        <f t="shared" ca="1" si="36"/>
        <v/>
      </c>
      <c r="H59" s="131" t="str">
        <f t="shared" ca="1" si="36"/>
        <v/>
      </c>
      <c r="I59" s="131" t="str">
        <f t="shared" ca="1" si="36"/>
        <v/>
      </c>
      <c r="J59" s="131" t="str">
        <f t="shared" ca="1" si="36"/>
        <v/>
      </c>
      <c r="K59" s="131" t="str">
        <f t="shared" ca="1" si="36"/>
        <v/>
      </c>
      <c r="L59" s="131" t="str">
        <f t="shared" ca="1" si="36"/>
        <v/>
      </c>
      <c r="M59" s="131" t="str">
        <f t="shared" ca="1" si="36"/>
        <v/>
      </c>
      <c r="N59" s="131" t="str">
        <f t="shared" ref="N59:W60" ca="1" si="37">IF(LEN(N58)&gt;0,1,"")</f>
        <v/>
      </c>
      <c r="O59" s="131" t="str">
        <f t="shared" ca="1" si="37"/>
        <v/>
      </c>
      <c r="P59" s="131" t="str">
        <f t="shared" ca="1" si="37"/>
        <v/>
      </c>
      <c r="Q59" s="131" t="str">
        <f t="shared" ca="1" si="37"/>
        <v/>
      </c>
      <c r="R59" s="131" t="str">
        <f t="shared" ca="1" si="37"/>
        <v/>
      </c>
      <c r="S59" s="131" t="str">
        <f t="shared" ca="1" si="37"/>
        <v/>
      </c>
      <c r="T59" s="131" t="str">
        <f t="shared" ca="1" si="37"/>
        <v/>
      </c>
      <c r="U59" s="131" t="str">
        <f t="shared" ca="1" si="37"/>
        <v/>
      </c>
      <c r="V59" s="131" t="str">
        <f t="shared" ca="1" si="37"/>
        <v/>
      </c>
      <c r="W59" s="131" t="str">
        <f t="shared" ca="1" si="37"/>
        <v/>
      </c>
      <c r="X59" s="131" t="str">
        <f t="shared" ref="X59:AG60" ca="1" si="38">IF(LEN(X58)&gt;0,1,"")</f>
        <v/>
      </c>
      <c r="Y59" s="131" t="str">
        <f t="shared" ca="1" si="38"/>
        <v/>
      </c>
      <c r="Z59" s="131" t="str">
        <f t="shared" ca="1" si="38"/>
        <v/>
      </c>
      <c r="AA59" s="131" t="str">
        <f t="shared" ca="1" si="38"/>
        <v/>
      </c>
      <c r="AB59" s="131" t="str">
        <f t="shared" ca="1" si="38"/>
        <v/>
      </c>
      <c r="AC59" s="131" t="str">
        <f t="shared" ca="1" si="38"/>
        <v/>
      </c>
      <c r="AD59" s="131" t="str">
        <f t="shared" ca="1" si="38"/>
        <v/>
      </c>
      <c r="AE59" s="131" t="str">
        <f t="shared" ca="1" si="38"/>
        <v/>
      </c>
      <c r="AF59" s="131" t="str">
        <f t="shared" ca="1" si="38"/>
        <v/>
      </c>
      <c r="AG59" s="131" t="str">
        <f t="shared" ca="1" si="38"/>
        <v/>
      </c>
      <c r="AH59" s="131" t="str">
        <f ca="1">IF(LEN(AH58)&gt;0,1,"")</f>
        <v/>
      </c>
      <c r="AJ59" s="222">
        <f ca="1">getLastCellIndexInRow(D59:AH59)</f>
        <v>-1</v>
      </c>
      <c r="AK59" s="222">
        <f ca="1">IF(AJ59&gt;0,INDEX(D58:AH58,1,AJ59)-AJ58,0)</f>
        <v>0</v>
      </c>
    </row>
    <row r="60" spans="1:40" x14ac:dyDescent="0.25">
      <c r="C60" s="128"/>
      <c r="D60" s="131" t="str">
        <f t="shared" ca="1" si="36"/>
        <v/>
      </c>
      <c r="E60" s="131" t="str">
        <f t="shared" ca="1" si="36"/>
        <v/>
      </c>
      <c r="F60" s="131" t="str">
        <f t="shared" ca="1" si="36"/>
        <v/>
      </c>
      <c r="G60" s="131" t="str">
        <f t="shared" ca="1" si="36"/>
        <v/>
      </c>
      <c r="H60" s="131" t="str">
        <f t="shared" ca="1" si="36"/>
        <v/>
      </c>
      <c r="I60" s="131" t="str">
        <f t="shared" ca="1" si="36"/>
        <v/>
      </c>
      <c r="J60" s="131" t="str">
        <f t="shared" ca="1" si="36"/>
        <v/>
      </c>
      <c r="K60" s="131" t="str">
        <f t="shared" ca="1" si="36"/>
        <v/>
      </c>
      <c r="L60" s="131" t="str">
        <f t="shared" ca="1" si="36"/>
        <v/>
      </c>
      <c r="M60" s="131" t="str">
        <f t="shared" ca="1" si="36"/>
        <v/>
      </c>
      <c r="N60" s="131" t="str">
        <f t="shared" ca="1" si="37"/>
        <v/>
      </c>
      <c r="O60" s="131" t="str">
        <f t="shared" ca="1" si="37"/>
        <v/>
      </c>
      <c r="P60" s="131" t="str">
        <f t="shared" ca="1" si="37"/>
        <v/>
      </c>
      <c r="Q60" s="131" t="str">
        <f t="shared" ca="1" si="37"/>
        <v/>
      </c>
      <c r="R60" s="131" t="str">
        <f t="shared" ca="1" si="37"/>
        <v/>
      </c>
      <c r="S60" s="131" t="str">
        <f t="shared" ca="1" si="37"/>
        <v/>
      </c>
      <c r="T60" s="131" t="str">
        <f t="shared" ca="1" si="37"/>
        <v/>
      </c>
      <c r="U60" s="131" t="str">
        <f t="shared" ca="1" si="37"/>
        <v/>
      </c>
      <c r="V60" s="131" t="str">
        <f t="shared" ca="1" si="37"/>
        <v/>
      </c>
      <c r="W60" s="131" t="str">
        <f t="shared" ca="1" si="37"/>
        <v/>
      </c>
      <c r="X60" s="131" t="str">
        <f t="shared" ca="1" si="38"/>
        <v/>
      </c>
      <c r="Y60" s="131" t="str">
        <f t="shared" ca="1" si="38"/>
        <v/>
      </c>
      <c r="Z60" s="131" t="str">
        <f t="shared" ca="1" si="38"/>
        <v/>
      </c>
      <c r="AA60" s="131" t="str">
        <f t="shared" ca="1" si="38"/>
        <v/>
      </c>
      <c r="AB60" s="131" t="str">
        <f t="shared" ca="1" si="38"/>
        <v/>
      </c>
      <c r="AC60" s="131" t="str">
        <f t="shared" ca="1" si="38"/>
        <v/>
      </c>
      <c r="AD60" s="131" t="str">
        <f t="shared" ca="1" si="38"/>
        <v/>
      </c>
      <c r="AE60" s="131" t="str">
        <f t="shared" ca="1" si="38"/>
        <v/>
      </c>
      <c r="AF60" s="131" t="str">
        <f t="shared" ca="1" si="38"/>
        <v/>
      </c>
      <c r="AG60" s="131" t="str">
        <f t="shared" ca="1" si="38"/>
        <v/>
      </c>
      <c r="AH60" s="131" t="str">
        <f ca="1">IF(LEN(AH59)&gt;0,1,"")</f>
        <v/>
      </c>
    </row>
    <row r="61" spans="1:40" x14ac:dyDescent="0.25">
      <c r="C61" s="128"/>
      <c r="D61" s="131"/>
      <c r="E61" s="131"/>
      <c r="F61" s="131"/>
      <c r="G61" s="131"/>
      <c r="H61" s="131"/>
      <c r="I61" s="131"/>
      <c r="J61" s="131"/>
      <c r="K61" s="131"/>
      <c r="L61" s="131"/>
      <c r="M61" s="131"/>
      <c r="N61" s="131"/>
      <c r="O61" s="131"/>
      <c r="P61" s="131"/>
      <c r="Q61" s="131"/>
      <c r="R61" s="131"/>
      <c r="S61" s="131"/>
      <c r="T61" s="131"/>
      <c r="U61" s="131"/>
      <c r="V61" s="131"/>
      <c r="W61" s="131"/>
      <c r="X61" s="131"/>
      <c r="Y61" s="131"/>
      <c r="Z61" s="131"/>
      <c r="AA61" s="131"/>
      <c r="AB61" s="131"/>
      <c r="AC61" s="131"/>
      <c r="AD61" s="131"/>
      <c r="AE61" s="131"/>
      <c r="AF61" s="131"/>
      <c r="AG61" s="131"/>
      <c r="AH61" s="131"/>
    </row>
    <row r="62" spans="1:40" x14ac:dyDescent="0.25">
      <c r="C62" s="128"/>
      <c r="D62" s="131"/>
      <c r="E62" s="131"/>
      <c r="F62" s="131"/>
      <c r="G62" s="131"/>
      <c r="H62" s="131"/>
      <c r="I62" s="131"/>
      <c r="J62" s="131"/>
      <c r="K62" s="131"/>
      <c r="L62" s="131"/>
      <c r="M62" s="131"/>
      <c r="N62" s="131"/>
      <c r="O62" s="131"/>
      <c r="P62" s="131"/>
      <c r="Q62" s="131"/>
      <c r="R62" s="131"/>
      <c r="S62" s="131"/>
      <c r="T62" s="131"/>
      <c r="U62" s="131"/>
      <c r="V62" s="131"/>
      <c r="W62" s="131"/>
      <c r="X62" s="131"/>
      <c r="Y62" s="131"/>
      <c r="Z62" s="131"/>
      <c r="AA62" s="131"/>
      <c r="AB62" s="131"/>
      <c r="AC62" s="131"/>
      <c r="AD62" s="131"/>
      <c r="AE62" s="131"/>
      <c r="AF62" s="131"/>
      <c r="AG62" s="131"/>
      <c r="AH62" s="131"/>
    </row>
    <row r="63" spans="1:40" x14ac:dyDescent="0.25">
      <c r="C63" s="128"/>
    </row>
    <row r="64" spans="1:40" x14ac:dyDescent="0.25">
      <c r="A64" t="str">
        <f>MUI_STAT_T_MainTitel_6</f>
        <v>Driver</v>
      </c>
      <c r="C64" s="128" t="s">
        <v>459</v>
      </c>
      <c r="D64" s="130">
        <f t="shared" ref="D64:AH64" ca="1" si="39">SUMIFS(OFFSET(DBRA_TopicTotalRealDuration,0,MATCH($A64,DBRA_TopicTotalRealDuration_Titel,0)-1,DBR_COUNT,1),DBRA_WorkplanDate,D$6,DBRA_PlayerID,$D$3)</f>
        <v>0</v>
      </c>
      <c r="E64" s="130">
        <f t="shared" ca="1" si="39"/>
        <v>0</v>
      </c>
      <c r="F64" s="130">
        <f t="shared" ca="1" si="39"/>
        <v>0</v>
      </c>
      <c r="G64" s="130">
        <f t="shared" ca="1" si="39"/>
        <v>0</v>
      </c>
      <c r="H64" s="130">
        <f t="shared" ca="1" si="39"/>
        <v>0</v>
      </c>
      <c r="I64" s="130">
        <f t="shared" ca="1" si="39"/>
        <v>0</v>
      </c>
      <c r="J64" s="130">
        <f t="shared" ca="1" si="39"/>
        <v>0</v>
      </c>
      <c r="K64" s="130">
        <f t="shared" ca="1" si="39"/>
        <v>0</v>
      </c>
      <c r="L64" s="130">
        <f t="shared" ca="1" si="39"/>
        <v>0</v>
      </c>
      <c r="M64" s="130">
        <f t="shared" ca="1" si="39"/>
        <v>0</v>
      </c>
      <c r="N64" s="130">
        <f t="shared" ca="1" si="39"/>
        <v>0</v>
      </c>
      <c r="O64" s="130">
        <f t="shared" ca="1" si="39"/>
        <v>0</v>
      </c>
      <c r="P64" s="130">
        <f t="shared" ca="1" si="39"/>
        <v>0</v>
      </c>
      <c r="Q64" s="130">
        <f t="shared" ca="1" si="39"/>
        <v>0</v>
      </c>
      <c r="R64" s="130">
        <f t="shared" ca="1" si="39"/>
        <v>0</v>
      </c>
      <c r="S64" s="130">
        <f t="shared" ca="1" si="39"/>
        <v>0</v>
      </c>
      <c r="T64" s="130">
        <f t="shared" ca="1" si="39"/>
        <v>0</v>
      </c>
      <c r="U64" s="130">
        <f t="shared" ca="1" si="39"/>
        <v>0</v>
      </c>
      <c r="V64" s="130">
        <f t="shared" ca="1" si="39"/>
        <v>0</v>
      </c>
      <c r="W64" s="130">
        <f t="shared" ca="1" si="39"/>
        <v>0</v>
      </c>
      <c r="X64" s="130">
        <f t="shared" ca="1" si="39"/>
        <v>0</v>
      </c>
      <c r="Y64" s="130">
        <f t="shared" ca="1" si="39"/>
        <v>0</v>
      </c>
      <c r="Z64" s="130">
        <f t="shared" ca="1" si="39"/>
        <v>0</v>
      </c>
      <c r="AA64" s="130">
        <f t="shared" ca="1" si="39"/>
        <v>0</v>
      </c>
      <c r="AB64" s="130">
        <f t="shared" ca="1" si="39"/>
        <v>0</v>
      </c>
      <c r="AC64" s="130">
        <f t="shared" ca="1" si="39"/>
        <v>0</v>
      </c>
      <c r="AD64" s="130">
        <f t="shared" ca="1" si="39"/>
        <v>0</v>
      </c>
      <c r="AE64" s="130">
        <f t="shared" ca="1" si="39"/>
        <v>0</v>
      </c>
      <c r="AF64" s="130">
        <f t="shared" ca="1" si="39"/>
        <v>0</v>
      </c>
      <c r="AG64" s="130">
        <f t="shared" ca="1" si="39"/>
        <v>0</v>
      </c>
      <c r="AH64" s="130">
        <f t="shared" ca="1" si="39"/>
        <v>0</v>
      </c>
      <c r="AJ64" s="130">
        <f ca="1">SUMIFS(OFFSET(DBRA_TopicTotalRealDuration,0,MATCH($A64,DBRA_TopicTotalRealDuration_Titel,0)-1,DBR_COUNT,1),DBRA_WorkplanDate,$AJ$5,DBRA_WorkplanDate,$AJ$4,DBRA_PlayerID,$D$3)</f>
        <v>0</v>
      </c>
      <c r="AK64" s="218" t="str">
        <f ca="1">IFERROR(IF(AJ64&gt;0,INT(AJ64/60) &amp;":" &amp;TEXT((AJ64- INT(AJ64/60)*60),"00"),""),"")</f>
        <v/>
      </c>
      <c r="AM64" s="130">
        <f ca="1">SUMIFS(OFFSET(DBRA_TopicTotalRealDuration,0,MATCH($A64,DBRA_TopicTotalRealDuration_Titel,0)-1,DBR_COUNT,1),DBRA_WorkplanDate,$AM$4,DBRA_WorkplanDate,$AM$5,DBRA_PlayerID,$D$3)</f>
        <v>0</v>
      </c>
      <c r="AN64" s="218" t="str">
        <f ca="1">IFERROR(IF(AM64&gt;0,INT(AM64/60) &amp;":" &amp;TEXT((AM64- INT(AM64/60)*60),"00"),""),"")</f>
        <v/>
      </c>
    </row>
    <row r="65" spans="1:40" x14ac:dyDescent="0.25">
      <c r="C65" s="128" t="s">
        <v>814</v>
      </c>
      <c r="D65" s="123" t="str">
        <f t="shared" ref="D65:AH65" ca="1" si="40">IF(D$9&gt;0,IF(D64&gt;0,D64/D$9,""),"")</f>
        <v/>
      </c>
      <c r="E65" s="123" t="str">
        <f t="shared" ca="1" si="40"/>
        <v/>
      </c>
      <c r="F65" s="123" t="str">
        <f t="shared" ca="1" si="40"/>
        <v/>
      </c>
      <c r="G65" s="123" t="str">
        <f t="shared" ca="1" si="40"/>
        <v/>
      </c>
      <c r="H65" s="123" t="str">
        <f t="shared" ca="1" si="40"/>
        <v/>
      </c>
      <c r="I65" s="123" t="str">
        <f t="shared" ca="1" si="40"/>
        <v/>
      </c>
      <c r="J65" s="123" t="str">
        <f t="shared" ca="1" si="40"/>
        <v/>
      </c>
      <c r="K65" s="123" t="str">
        <f t="shared" ca="1" si="40"/>
        <v/>
      </c>
      <c r="L65" s="123" t="str">
        <f t="shared" ca="1" si="40"/>
        <v/>
      </c>
      <c r="M65" s="123" t="str">
        <f t="shared" ca="1" si="40"/>
        <v/>
      </c>
      <c r="N65" s="123" t="str">
        <f t="shared" ca="1" si="40"/>
        <v/>
      </c>
      <c r="O65" s="123" t="str">
        <f t="shared" ca="1" si="40"/>
        <v/>
      </c>
      <c r="P65" s="123" t="str">
        <f t="shared" ca="1" si="40"/>
        <v/>
      </c>
      <c r="Q65" s="123" t="str">
        <f t="shared" ca="1" si="40"/>
        <v/>
      </c>
      <c r="R65" s="123" t="str">
        <f t="shared" ca="1" si="40"/>
        <v/>
      </c>
      <c r="S65" s="123" t="str">
        <f t="shared" ca="1" si="40"/>
        <v/>
      </c>
      <c r="T65" s="123" t="str">
        <f t="shared" ca="1" si="40"/>
        <v/>
      </c>
      <c r="U65" s="123" t="str">
        <f t="shared" ca="1" si="40"/>
        <v/>
      </c>
      <c r="V65" s="123" t="str">
        <f t="shared" ca="1" si="40"/>
        <v/>
      </c>
      <c r="W65" s="123" t="str">
        <f t="shared" ca="1" si="40"/>
        <v/>
      </c>
      <c r="X65" s="123" t="str">
        <f t="shared" ca="1" si="40"/>
        <v/>
      </c>
      <c r="Y65" s="123" t="str">
        <f t="shared" ca="1" si="40"/>
        <v/>
      </c>
      <c r="Z65" s="123" t="str">
        <f t="shared" ca="1" si="40"/>
        <v/>
      </c>
      <c r="AA65" s="123" t="str">
        <f t="shared" ca="1" si="40"/>
        <v/>
      </c>
      <c r="AB65" s="123" t="str">
        <f t="shared" ca="1" si="40"/>
        <v/>
      </c>
      <c r="AC65" s="123" t="str">
        <f t="shared" ca="1" si="40"/>
        <v/>
      </c>
      <c r="AD65" s="123" t="str">
        <f t="shared" ca="1" si="40"/>
        <v/>
      </c>
      <c r="AE65" s="123" t="str">
        <f t="shared" ca="1" si="40"/>
        <v/>
      </c>
      <c r="AF65" s="123" t="str">
        <f t="shared" ca="1" si="40"/>
        <v/>
      </c>
      <c r="AG65" s="123" t="str">
        <f t="shared" ca="1" si="40"/>
        <v/>
      </c>
      <c r="AH65" s="123" t="str">
        <f t="shared" ca="1" si="40"/>
        <v/>
      </c>
      <c r="AJ65" s="123" t="str">
        <f ca="1">IF($AJ$9=0,"",AJ64/$AJ$9)</f>
        <v/>
      </c>
      <c r="AM65" s="123" t="str">
        <f ca="1">IF($AM$9=0,"",AM64/$AM$9)</f>
        <v/>
      </c>
    </row>
    <row r="66" spans="1:40" x14ac:dyDescent="0.25">
      <c r="C66" s="128" t="s">
        <v>819</v>
      </c>
      <c r="D66" s="132">
        <f t="shared" ref="D66:AH66" ca="1" si="41">SUMIFS(OFFSET(DBRA_TopicHCP,0,MATCH($A64,DBRA_TopicHCP_Titel,0)-1,DBR_COUNT,1),DBRA_WorkplanDate,D$6, DBRA_PlayerID,$D$3)</f>
        <v>0</v>
      </c>
      <c r="E66" s="132">
        <f t="shared" ca="1" si="41"/>
        <v>0</v>
      </c>
      <c r="F66" s="132">
        <f t="shared" ca="1" si="41"/>
        <v>0</v>
      </c>
      <c r="G66" s="132">
        <f t="shared" ca="1" si="41"/>
        <v>0</v>
      </c>
      <c r="H66" s="132">
        <f t="shared" ca="1" si="41"/>
        <v>0</v>
      </c>
      <c r="I66" s="132">
        <f t="shared" ca="1" si="41"/>
        <v>0</v>
      </c>
      <c r="J66" s="132">
        <f t="shared" ca="1" si="41"/>
        <v>0</v>
      </c>
      <c r="K66" s="132">
        <f t="shared" ca="1" si="41"/>
        <v>0</v>
      </c>
      <c r="L66" s="132">
        <f t="shared" ca="1" si="41"/>
        <v>0</v>
      </c>
      <c r="M66" s="132">
        <f t="shared" ca="1" si="41"/>
        <v>0</v>
      </c>
      <c r="N66" s="132">
        <f t="shared" ca="1" si="41"/>
        <v>0</v>
      </c>
      <c r="O66" s="132">
        <f t="shared" ca="1" si="41"/>
        <v>0</v>
      </c>
      <c r="P66" s="132">
        <f t="shared" ca="1" si="41"/>
        <v>0</v>
      </c>
      <c r="Q66" s="132">
        <f t="shared" ca="1" si="41"/>
        <v>0</v>
      </c>
      <c r="R66" s="132">
        <f t="shared" ca="1" si="41"/>
        <v>0</v>
      </c>
      <c r="S66" s="132">
        <f t="shared" ca="1" si="41"/>
        <v>0</v>
      </c>
      <c r="T66" s="132">
        <f t="shared" ca="1" si="41"/>
        <v>0</v>
      </c>
      <c r="U66" s="132">
        <f t="shared" ca="1" si="41"/>
        <v>0</v>
      </c>
      <c r="V66" s="132">
        <f t="shared" ca="1" si="41"/>
        <v>0</v>
      </c>
      <c r="W66" s="132">
        <f t="shared" ca="1" si="41"/>
        <v>0</v>
      </c>
      <c r="X66" s="132">
        <f t="shared" ca="1" si="41"/>
        <v>0</v>
      </c>
      <c r="Y66" s="132">
        <f t="shared" ca="1" si="41"/>
        <v>0</v>
      </c>
      <c r="Z66" s="132">
        <f t="shared" ca="1" si="41"/>
        <v>0</v>
      </c>
      <c r="AA66" s="132">
        <f t="shared" ca="1" si="41"/>
        <v>0</v>
      </c>
      <c r="AB66" s="132">
        <f t="shared" ca="1" si="41"/>
        <v>0</v>
      </c>
      <c r="AC66" s="132">
        <f t="shared" ca="1" si="41"/>
        <v>0</v>
      </c>
      <c r="AD66" s="132">
        <f t="shared" ca="1" si="41"/>
        <v>0</v>
      </c>
      <c r="AE66" s="132">
        <f t="shared" ca="1" si="41"/>
        <v>0</v>
      </c>
      <c r="AF66" s="132">
        <f t="shared" ca="1" si="41"/>
        <v>0</v>
      </c>
      <c r="AG66" s="132">
        <f t="shared" ca="1" si="41"/>
        <v>0</v>
      </c>
      <c r="AH66" s="132">
        <f t="shared" ca="1" si="41"/>
        <v>0</v>
      </c>
    </row>
    <row r="67" spans="1:40" x14ac:dyDescent="0.25">
      <c r="C67" s="128" t="s">
        <v>815</v>
      </c>
      <c r="D67" s="132">
        <f t="shared" ref="D67:AH67" ca="1" si="42">SUMIFS(OFFSET(DBRA_TopicCount,0,MATCH($A64,DBRA_TopicCount_Titel,0)-1,DBR_COUNT,1),DBRA_WorkplanDate,D$6, DBRA_PlayerID,$D$3)</f>
        <v>0</v>
      </c>
      <c r="E67" s="132">
        <f t="shared" ca="1" si="42"/>
        <v>0</v>
      </c>
      <c r="F67" s="132">
        <f t="shared" ca="1" si="42"/>
        <v>0</v>
      </c>
      <c r="G67" s="132">
        <f t="shared" ca="1" si="42"/>
        <v>0</v>
      </c>
      <c r="H67" s="132">
        <f t="shared" ca="1" si="42"/>
        <v>0</v>
      </c>
      <c r="I67" s="132">
        <f t="shared" ca="1" si="42"/>
        <v>0</v>
      </c>
      <c r="J67" s="132">
        <f t="shared" ca="1" si="42"/>
        <v>0</v>
      </c>
      <c r="K67" s="132">
        <f t="shared" ca="1" si="42"/>
        <v>0</v>
      </c>
      <c r="L67" s="132">
        <f t="shared" ca="1" si="42"/>
        <v>0</v>
      </c>
      <c r="M67" s="132">
        <f t="shared" ca="1" si="42"/>
        <v>0</v>
      </c>
      <c r="N67" s="132">
        <f t="shared" ca="1" si="42"/>
        <v>0</v>
      </c>
      <c r="O67" s="132">
        <f t="shared" ca="1" si="42"/>
        <v>0</v>
      </c>
      <c r="P67" s="132">
        <f t="shared" ca="1" si="42"/>
        <v>0</v>
      </c>
      <c r="Q67" s="132">
        <f t="shared" ca="1" si="42"/>
        <v>0</v>
      </c>
      <c r="R67" s="132">
        <f t="shared" ca="1" si="42"/>
        <v>0</v>
      </c>
      <c r="S67" s="132">
        <f t="shared" ca="1" si="42"/>
        <v>0</v>
      </c>
      <c r="T67" s="132">
        <f t="shared" ca="1" si="42"/>
        <v>0</v>
      </c>
      <c r="U67" s="132">
        <f t="shared" ca="1" si="42"/>
        <v>0</v>
      </c>
      <c r="V67" s="132">
        <f t="shared" ca="1" si="42"/>
        <v>0</v>
      </c>
      <c r="W67" s="132">
        <f t="shared" ca="1" si="42"/>
        <v>0</v>
      </c>
      <c r="X67" s="132">
        <f t="shared" ca="1" si="42"/>
        <v>0</v>
      </c>
      <c r="Y67" s="132">
        <f t="shared" ca="1" si="42"/>
        <v>0</v>
      </c>
      <c r="Z67" s="132">
        <f t="shared" ca="1" si="42"/>
        <v>0</v>
      </c>
      <c r="AA67" s="132">
        <f t="shared" ca="1" si="42"/>
        <v>0</v>
      </c>
      <c r="AB67" s="132">
        <f t="shared" ca="1" si="42"/>
        <v>0</v>
      </c>
      <c r="AC67" s="132">
        <f t="shared" ca="1" si="42"/>
        <v>0</v>
      </c>
      <c r="AD67" s="132">
        <f t="shared" ca="1" si="42"/>
        <v>0</v>
      </c>
      <c r="AE67" s="132">
        <f t="shared" ca="1" si="42"/>
        <v>0</v>
      </c>
      <c r="AF67" s="132">
        <f t="shared" ca="1" si="42"/>
        <v>0</v>
      </c>
      <c r="AG67" s="132">
        <f t="shared" ca="1" si="42"/>
        <v>0</v>
      </c>
      <c r="AH67" s="132">
        <f t="shared" ca="1" si="42"/>
        <v>0</v>
      </c>
    </row>
    <row r="68" spans="1:40" x14ac:dyDescent="0.25">
      <c r="C68" s="128" t="s">
        <v>820</v>
      </c>
      <c r="D68" s="131" t="str">
        <f t="shared" ref="D68:AH68" ca="1" si="43">IF(D$9&gt;0,IF(D67&gt;0,D66/D67,""),"")</f>
        <v/>
      </c>
      <c r="E68" s="131" t="str">
        <f t="shared" ca="1" si="43"/>
        <v/>
      </c>
      <c r="F68" s="131" t="str">
        <f t="shared" ca="1" si="43"/>
        <v/>
      </c>
      <c r="G68" s="131" t="str">
        <f t="shared" ca="1" si="43"/>
        <v/>
      </c>
      <c r="H68" s="131" t="str">
        <f t="shared" ca="1" si="43"/>
        <v/>
      </c>
      <c r="I68" s="131" t="str">
        <f t="shared" ca="1" si="43"/>
        <v/>
      </c>
      <c r="J68" s="131" t="str">
        <f t="shared" ca="1" si="43"/>
        <v/>
      </c>
      <c r="K68" s="131" t="str">
        <f t="shared" ca="1" si="43"/>
        <v/>
      </c>
      <c r="L68" s="131" t="str">
        <f t="shared" ca="1" si="43"/>
        <v/>
      </c>
      <c r="M68" s="131" t="str">
        <f t="shared" ca="1" si="43"/>
        <v/>
      </c>
      <c r="N68" s="131" t="str">
        <f t="shared" ca="1" si="43"/>
        <v/>
      </c>
      <c r="O68" s="131" t="str">
        <f t="shared" ca="1" si="43"/>
        <v/>
      </c>
      <c r="P68" s="131" t="str">
        <f t="shared" ca="1" si="43"/>
        <v/>
      </c>
      <c r="Q68" s="131" t="str">
        <f t="shared" ca="1" si="43"/>
        <v/>
      </c>
      <c r="R68" s="131" t="str">
        <f t="shared" ca="1" si="43"/>
        <v/>
      </c>
      <c r="S68" s="131" t="str">
        <f t="shared" ca="1" si="43"/>
        <v/>
      </c>
      <c r="T68" s="131" t="str">
        <f t="shared" ca="1" si="43"/>
        <v/>
      </c>
      <c r="U68" s="131" t="str">
        <f t="shared" ca="1" si="43"/>
        <v/>
      </c>
      <c r="V68" s="131" t="str">
        <f t="shared" ca="1" si="43"/>
        <v/>
      </c>
      <c r="W68" s="131" t="str">
        <f t="shared" ca="1" si="43"/>
        <v/>
      </c>
      <c r="X68" s="131" t="str">
        <f t="shared" ca="1" si="43"/>
        <v/>
      </c>
      <c r="Y68" s="131" t="str">
        <f t="shared" ca="1" si="43"/>
        <v/>
      </c>
      <c r="Z68" s="131" t="str">
        <f t="shared" ca="1" si="43"/>
        <v/>
      </c>
      <c r="AA68" s="131" t="str">
        <f t="shared" ca="1" si="43"/>
        <v/>
      </c>
      <c r="AB68" s="131" t="str">
        <f t="shared" ca="1" si="43"/>
        <v/>
      </c>
      <c r="AC68" s="131" t="str">
        <f t="shared" ca="1" si="43"/>
        <v/>
      </c>
      <c r="AD68" s="131" t="str">
        <f t="shared" ca="1" si="43"/>
        <v/>
      </c>
      <c r="AE68" s="131" t="str">
        <f t="shared" ca="1" si="43"/>
        <v/>
      </c>
      <c r="AF68" s="131" t="str">
        <f t="shared" ca="1" si="43"/>
        <v/>
      </c>
      <c r="AG68" s="131" t="str">
        <f t="shared" ca="1" si="43"/>
        <v/>
      </c>
      <c r="AH68" s="131" t="str">
        <f t="shared" ca="1" si="43"/>
        <v/>
      </c>
      <c r="AJ68" s="131" t="str">
        <f ca="1">IF(COUNT(D68:AH68)&gt;0,SUM(D68:AH68)/COUNT(D68:AH68),"")</f>
        <v/>
      </c>
    </row>
    <row r="69" spans="1:40" x14ac:dyDescent="0.25">
      <c r="C69" s="128" t="s">
        <v>1117</v>
      </c>
      <c r="D69" s="131" t="str">
        <f t="shared" ref="D69:AH69" ca="1" si="44">IF(LEN(D68)&gt;0,1,"")</f>
        <v/>
      </c>
      <c r="E69" s="131" t="str">
        <f t="shared" ca="1" si="44"/>
        <v/>
      </c>
      <c r="F69" s="131" t="str">
        <f t="shared" ca="1" si="44"/>
        <v/>
      </c>
      <c r="G69" s="131" t="str">
        <f t="shared" ca="1" si="44"/>
        <v/>
      </c>
      <c r="H69" s="131" t="str">
        <f t="shared" ca="1" si="44"/>
        <v/>
      </c>
      <c r="I69" s="131" t="str">
        <f t="shared" ca="1" si="44"/>
        <v/>
      </c>
      <c r="J69" s="131" t="str">
        <f t="shared" ca="1" si="44"/>
        <v/>
      </c>
      <c r="K69" s="131" t="str">
        <f t="shared" ca="1" si="44"/>
        <v/>
      </c>
      <c r="L69" s="131" t="str">
        <f t="shared" ca="1" si="44"/>
        <v/>
      </c>
      <c r="M69" s="131" t="str">
        <f t="shared" ca="1" si="44"/>
        <v/>
      </c>
      <c r="N69" s="131" t="str">
        <f t="shared" ca="1" si="44"/>
        <v/>
      </c>
      <c r="O69" s="131" t="str">
        <f t="shared" ca="1" si="44"/>
        <v/>
      </c>
      <c r="P69" s="131" t="str">
        <f t="shared" ca="1" si="44"/>
        <v/>
      </c>
      <c r="Q69" s="131" t="str">
        <f t="shared" ca="1" si="44"/>
        <v/>
      </c>
      <c r="R69" s="131" t="str">
        <f t="shared" ca="1" si="44"/>
        <v/>
      </c>
      <c r="S69" s="131" t="str">
        <f t="shared" ca="1" si="44"/>
        <v/>
      </c>
      <c r="T69" s="131" t="str">
        <f t="shared" ca="1" si="44"/>
        <v/>
      </c>
      <c r="U69" s="131" t="str">
        <f t="shared" ca="1" si="44"/>
        <v/>
      </c>
      <c r="V69" s="131" t="str">
        <f t="shared" ca="1" si="44"/>
        <v/>
      </c>
      <c r="W69" s="131" t="str">
        <f t="shared" ca="1" si="44"/>
        <v/>
      </c>
      <c r="X69" s="131" t="str">
        <f t="shared" ca="1" si="44"/>
        <v/>
      </c>
      <c r="Y69" s="131" t="str">
        <f t="shared" ca="1" si="44"/>
        <v/>
      </c>
      <c r="Z69" s="131" t="str">
        <f t="shared" ca="1" si="44"/>
        <v/>
      </c>
      <c r="AA69" s="131" t="str">
        <f t="shared" ca="1" si="44"/>
        <v/>
      </c>
      <c r="AB69" s="131" t="str">
        <f t="shared" ca="1" si="44"/>
        <v/>
      </c>
      <c r="AC69" s="131" t="str">
        <f t="shared" ca="1" si="44"/>
        <v/>
      </c>
      <c r="AD69" s="131" t="str">
        <f t="shared" ca="1" si="44"/>
        <v/>
      </c>
      <c r="AE69" s="131" t="str">
        <f t="shared" ca="1" si="44"/>
        <v/>
      </c>
      <c r="AF69" s="131" t="str">
        <f t="shared" ca="1" si="44"/>
        <v/>
      </c>
      <c r="AG69" s="131" t="str">
        <f t="shared" ca="1" si="44"/>
        <v/>
      </c>
      <c r="AH69" s="131" t="str">
        <f t="shared" ca="1" si="44"/>
        <v/>
      </c>
      <c r="AJ69" s="222">
        <f ca="1">getLastCellIndexInRow(D69:AH69)</f>
        <v>-1</v>
      </c>
      <c r="AK69" s="222">
        <f ca="1">IF(AJ69&gt;0,INDEX(D68:AH68,1,AJ69)-AJ68,0)</f>
        <v>0</v>
      </c>
    </row>
    <row r="70" spans="1:40" x14ac:dyDescent="0.25">
      <c r="C70" s="128"/>
      <c r="D70" s="131"/>
      <c r="E70" s="131"/>
      <c r="F70" s="131"/>
      <c r="G70" s="131"/>
      <c r="H70" s="131"/>
      <c r="I70" s="131"/>
      <c r="J70" s="131"/>
      <c r="K70" s="131"/>
      <c r="L70" s="131"/>
      <c r="M70" s="131"/>
      <c r="N70" s="131"/>
      <c r="O70" s="131"/>
      <c r="P70" s="131"/>
      <c r="Q70" s="131"/>
      <c r="R70" s="131"/>
      <c r="S70" s="131"/>
      <c r="T70" s="131"/>
      <c r="U70" s="131"/>
      <c r="V70" s="131"/>
      <c r="W70" s="131"/>
      <c r="X70" s="131"/>
      <c r="Y70" s="131"/>
      <c r="Z70" s="131"/>
      <c r="AA70" s="131"/>
      <c r="AB70" s="131"/>
      <c r="AC70" s="131"/>
      <c r="AD70" s="131"/>
      <c r="AE70" s="131"/>
      <c r="AF70" s="131"/>
      <c r="AG70" s="131"/>
      <c r="AH70" s="131"/>
    </row>
    <row r="71" spans="1:40" x14ac:dyDescent="0.25">
      <c r="C71" s="128"/>
      <c r="D71" s="131"/>
      <c r="E71" s="131"/>
      <c r="F71" s="131"/>
      <c r="G71" s="131"/>
      <c r="H71" s="131"/>
      <c r="I71" s="131"/>
      <c r="J71" s="131"/>
      <c r="K71" s="131"/>
      <c r="L71" s="131"/>
      <c r="M71" s="131"/>
      <c r="N71" s="131"/>
      <c r="O71" s="131"/>
      <c r="P71" s="131"/>
      <c r="Q71" s="131"/>
      <c r="R71" s="131"/>
      <c r="S71" s="131"/>
      <c r="T71" s="131"/>
      <c r="U71" s="131"/>
      <c r="V71" s="131"/>
      <c r="W71" s="131"/>
      <c r="X71" s="131"/>
      <c r="Y71" s="131"/>
      <c r="Z71" s="131"/>
      <c r="AA71" s="131"/>
      <c r="AB71" s="131"/>
      <c r="AC71" s="131"/>
      <c r="AD71" s="131"/>
      <c r="AE71" s="131"/>
      <c r="AF71" s="131"/>
      <c r="AG71" s="131"/>
      <c r="AH71" s="131"/>
    </row>
    <row r="72" spans="1:40" x14ac:dyDescent="0.25">
      <c r="C72" s="128"/>
      <c r="D72" s="131"/>
      <c r="E72" s="131"/>
      <c r="F72" s="131"/>
      <c r="G72" s="131"/>
      <c r="H72" s="131"/>
      <c r="I72" s="131"/>
      <c r="J72" s="131"/>
      <c r="K72" s="131"/>
      <c r="L72" s="131"/>
      <c r="M72" s="131"/>
      <c r="N72" s="131"/>
      <c r="O72" s="131"/>
      <c r="P72" s="131"/>
      <c r="Q72" s="131"/>
      <c r="R72" s="131"/>
      <c r="S72" s="131"/>
      <c r="T72" s="131"/>
      <c r="U72" s="131"/>
      <c r="V72" s="131"/>
      <c r="W72" s="131"/>
      <c r="X72" s="131"/>
      <c r="Y72" s="131"/>
      <c r="Z72" s="131"/>
      <c r="AA72" s="131"/>
      <c r="AB72" s="131"/>
      <c r="AC72" s="131"/>
      <c r="AD72" s="131"/>
      <c r="AE72" s="131"/>
      <c r="AF72" s="131"/>
      <c r="AG72" s="131"/>
      <c r="AH72" s="131"/>
    </row>
    <row r="73" spans="1:40" x14ac:dyDescent="0.25">
      <c r="C73" s="128"/>
    </row>
    <row r="74" spans="1:40" x14ac:dyDescent="0.25">
      <c r="A74" t="str">
        <f>MUI_STAT_T_MainTitel_7</f>
        <v>Bunker</v>
      </c>
      <c r="C74" s="128" t="s">
        <v>459</v>
      </c>
      <c r="D74" s="130">
        <f t="shared" ref="D74:AH74" ca="1" si="45">SUMIFS(OFFSET(DBRA_TopicTotalRealDuration,0,MATCH($A74,DBRA_TopicTotalRealDuration_Titel,0)-1,DBR_COUNT,1),DBRA_WorkplanDate,D$6,DBRA_PlayerID,$D$3)</f>
        <v>0</v>
      </c>
      <c r="E74" s="130">
        <f t="shared" ca="1" si="45"/>
        <v>0</v>
      </c>
      <c r="F74" s="130">
        <f t="shared" ca="1" si="45"/>
        <v>0</v>
      </c>
      <c r="G74" s="130">
        <f t="shared" ca="1" si="45"/>
        <v>0</v>
      </c>
      <c r="H74" s="130">
        <f t="shared" ca="1" si="45"/>
        <v>0</v>
      </c>
      <c r="I74" s="130">
        <f t="shared" ca="1" si="45"/>
        <v>0</v>
      </c>
      <c r="J74" s="130">
        <f t="shared" ca="1" si="45"/>
        <v>0</v>
      </c>
      <c r="K74" s="130">
        <f t="shared" ca="1" si="45"/>
        <v>0</v>
      </c>
      <c r="L74" s="130">
        <f t="shared" ca="1" si="45"/>
        <v>0</v>
      </c>
      <c r="M74" s="130">
        <f t="shared" ca="1" si="45"/>
        <v>0</v>
      </c>
      <c r="N74" s="130">
        <f t="shared" ca="1" si="45"/>
        <v>0</v>
      </c>
      <c r="O74" s="130">
        <f t="shared" ca="1" si="45"/>
        <v>0</v>
      </c>
      <c r="P74" s="130">
        <f t="shared" ca="1" si="45"/>
        <v>0</v>
      </c>
      <c r="Q74" s="130">
        <f t="shared" ca="1" si="45"/>
        <v>0</v>
      </c>
      <c r="R74" s="130">
        <f t="shared" ca="1" si="45"/>
        <v>0</v>
      </c>
      <c r="S74" s="130">
        <f t="shared" ca="1" si="45"/>
        <v>0</v>
      </c>
      <c r="T74" s="130">
        <f t="shared" ca="1" si="45"/>
        <v>0</v>
      </c>
      <c r="U74" s="130">
        <f t="shared" ca="1" si="45"/>
        <v>0</v>
      </c>
      <c r="V74" s="130">
        <f ca="1">SUMIFS(OFFSET(DBRA_TopicTotalRealDuration,0,MATCH($A74,DBRA_TopicTotalRealDuration_Titel,0)-1,DBR_COUNT,1),DBRA_WorkplanDate,V$6,DBRA_PlayerID,$D$3)</f>
        <v>0</v>
      </c>
      <c r="W74" s="130">
        <f t="shared" ca="1" si="45"/>
        <v>0</v>
      </c>
      <c r="X74" s="130">
        <f t="shared" ca="1" si="45"/>
        <v>0</v>
      </c>
      <c r="Y74" s="130">
        <f t="shared" ca="1" si="45"/>
        <v>0</v>
      </c>
      <c r="Z74" s="130">
        <f t="shared" ca="1" si="45"/>
        <v>0</v>
      </c>
      <c r="AA74" s="130">
        <f t="shared" ca="1" si="45"/>
        <v>0</v>
      </c>
      <c r="AB74" s="130">
        <f t="shared" ca="1" si="45"/>
        <v>0</v>
      </c>
      <c r="AC74" s="130">
        <f t="shared" ca="1" si="45"/>
        <v>0</v>
      </c>
      <c r="AD74" s="130">
        <f t="shared" ca="1" si="45"/>
        <v>0</v>
      </c>
      <c r="AE74" s="130">
        <f t="shared" ca="1" si="45"/>
        <v>0</v>
      </c>
      <c r="AF74" s="130">
        <f t="shared" ca="1" si="45"/>
        <v>0</v>
      </c>
      <c r="AG74" s="130">
        <f t="shared" ca="1" si="45"/>
        <v>0</v>
      </c>
      <c r="AH74" s="130">
        <f t="shared" ca="1" si="45"/>
        <v>0</v>
      </c>
      <c r="AJ74" s="130">
        <f ca="1">SUMIFS(OFFSET(DBRA_TopicTotalRealDuration,0,MATCH($A74,DBRA_TopicTotalRealDuration_Titel,0)-1,DBR_COUNT,1),DBRA_WorkplanDate,$AJ$5,DBRA_WorkplanDate,$AJ$4,DBRA_PlayerID,$D$3)</f>
        <v>0</v>
      </c>
      <c r="AK74" s="218" t="str">
        <f ca="1">IFERROR(IF(AJ74&gt;0,INT(AJ74/60) &amp;":" &amp;TEXT((AJ74- INT(AJ74/60)*60),"00"),""),"")</f>
        <v/>
      </c>
      <c r="AM74" s="130">
        <f ca="1">SUMIFS(OFFSET(DBRA_TopicTotalRealDuration,0,MATCH($A74,DBRA_TopicTotalRealDuration_Titel,0)-1,DBR_COUNT,1),DBRA_WorkplanDate,$AM$4,DBRA_WorkplanDate,$AM$5,DBRA_PlayerID,$D$3)</f>
        <v>0</v>
      </c>
      <c r="AN74" s="218" t="str">
        <f ca="1">IFERROR(IF(AM74&gt;0,INT(AM74/60) &amp;":" &amp;TEXT((AM74- INT(AM74/60)*60),"00"),""),"")</f>
        <v/>
      </c>
    </row>
    <row r="75" spans="1:40" x14ac:dyDescent="0.25">
      <c r="C75" s="128" t="s">
        <v>814</v>
      </c>
      <c r="D75" s="123" t="str">
        <f t="shared" ref="D75:AH75" ca="1" si="46">IF(D$9&gt;0,IF(D74&gt;0,D74/D$9,""),"")</f>
        <v/>
      </c>
      <c r="E75" s="123" t="str">
        <f t="shared" ca="1" si="46"/>
        <v/>
      </c>
      <c r="F75" s="123" t="str">
        <f t="shared" ca="1" si="46"/>
        <v/>
      </c>
      <c r="G75" s="123" t="str">
        <f t="shared" ca="1" si="46"/>
        <v/>
      </c>
      <c r="H75" s="123" t="str">
        <f t="shared" ca="1" si="46"/>
        <v/>
      </c>
      <c r="I75" s="123" t="str">
        <f t="shared" ca="1" si="46"/>
        <v/>
      </c>
      <c r="J75" s="123" t="str">
        <f t="shared" ca="1" si="46"/>
        <v/>
      </c>
      <c r="K75" s="123" t="str">
        <f t="shared" ca="1" si="46"/>
        <v/>
      </c>
      <c r="L75" s="123" t="str">
        <f t="shared" ca="1" si="46"/>
        <v/>
      </c>
      <c r="M75" s="123" t="str">
        <f t="shared" ca="1" si="46"/>
        <v/>
      </c>
      <c r="N75" s="123" t="str">
        <f t="shared" ca="1" si="46"/>
        <v/>
      </c>
      <c r="O75" s="123" t="str">
        <f t="shared" ca="1" si="46"/>
        <v/>
      </c>
      <c r="P75" s="123" t="str">
        <f t="shared" ca="1" si="46"/>
        <v/>
      </c>
      <c r="Q75" s="123" t="str">
        <f t="shared" ca="1" si="46"/>
        <v/>
      </c>
      <c r="R75" s="123" t="str">
        <f t="shared" ca="1" si="46"/>
        <v/>
      </c>
      <c r="S75" s="123" t="str">
        <f t="shared" ca="1" si="46"/>
        <v/>
      </c>
      <c r="T75" s="123" t="str">
        <f t="shared" ca="1" si="46"/>
        <v/>
      </c>
      <c r="U75" s="123" t="str">
        <f t="shared" ca="1" si="46"/>
        <v/>
      </c>
      <c r="V75" s="123" t="str">
        <f t="shared" ca="1" si="46"/>
        <v/>
      </c>
      <c r="W75" s="123" t="str">
        <f t="shared" ca="1" si="46"/>
        <v/>
      </c>
      <c r="X75" s="123" t="str">
        <f t="shared" ca="1" si="46"/>
        <v/>
      </c>
      <c r="Y75" s="123" t="str">
        <f t="shared" ca="1" si="46"/>
        <v/>
      </c>
      <c r="Z75" s="123" t="str">
        <f t="shared" ca="1" si="46"/>
        <v/>
      </c>
      <c r="AA75" s="123" t="str">
        <f t="shared" ca="1" si="46"/>
        <v/>
      </c>
      <c r="AB75" s="123" t="str">
        <f t="shared" ca="1" si="46"/>
        <v/>
      </c>
      <c r="AC75" s="123" t="str">
        <f t="shared" ca="1" si="46"/>
        <v/>
      </c>
      <c r="AD75" s="123" t="str">
        <f t="shared" ca="1" si="46"/>
        <v/>
      </c>
      <c r="AE75" s="123" t="str">
        <f t="shared" ca="1" si="46"/>
        <v/>
      </c>
      <c r="AF75" s="123" t="str">
        <f t="shared" ca="1" si="46"/>
        <v/>
      </c>
      <c r="AG75" s="123" t="str">
        <f t="shared" ca="1" si="46"/>
        <v/>
      </c>
      <c r="AH75" s="123" t="str">
        <f t="shared" ca="1" si="46"/>
        <v/>
      </c>
      <c r="AJ75" s="123" t="str">
        <f ca="1">IF($AJ$9=0,"",AJ74/$AJ$9)</f>
        <v/>
      </c>
      <c r="AM75" s="123" t="str">
        <f ca="1">IF($AM$9=0,"",AM74/$AM$9)</f>
        <v/>
      </c>
    </row>
    <row r="76" spans="1:40" x14ac:dyDescent="0.25">
      <c r="C76" s="128" t="s">
        <v>819</v>
      </c>
      <c r="D76" s="132">
        <f t="shared" ref="D76:AH76" ca="1" si="47">SUMIFS(OFFSET(DBRA_TopicHCP,0,MATCH($A74,DBRA_TopicHCP_Titel,0)-1,DBR_COUNT,1),DBRA_WorkplanDate,D$6, DBRA_PlayerID,$D$3)</f>
        <v>0</v>
      </c>
      <c r="E76" s="132">
        <f t="shared" ca="1" si="47"/>
        <v>0</v>
      </c>
      <c r="F76" s="132">
        <f t="shared" ca="1" si="47"/>
        <v>0</v>
      </c>
      <c r="G76" s="132">
        <f t="shared" ca="1" si="47"/>
        <v>0</v>
      </c>
      <c r="H76" s="132">
        <f t="shared" ca="1" si="47"/>
        <v>0</v>
      </c>
      <c r="I76" s="132">
        <f t="shared" ca="1" si="47"/>
        <v>0</v>
      </c>
      <c r="J76" s="132">
        <f t="shared" ca="1" si="47"/>
        <v>0</v>
      </c>
      <c r="K76" s="132">
        <f t="shared" ca="1" si="47"/>
        <v>0</v>
      </c>
      <c r="L76" s="132">
        <f t="shared" ca="1" si="47"/>
        <v>0</v>
      </c>
      <c r="M76" s="132">
        <f t="shared" ca="1" si="47"/>
        <v>0</v>
      </c>
      <c r="N76" s="132">
        <f t="shared" ca="1" si="47"/>
        <v>0</v>
      </c>
      <c r="O76" s="132">
        <f t="shared" ca="1" si="47"/>
        <v>0</v>
      </c>
      <c r="P76" s="132">
        <f t="shared" ca="1" si="47"/>
        <v>0</v>
      </c>
      <c r="Q76" s="132">
        <f t="shared" ca="1" si="47"/>
        <v>0</v>
      </c>
      <c r="R76" s="132">
        <f t="shared" ca="1" si="47"/>
        <v>0</v>
      </c>
      <c r="S76" s="132">
        <f t="shared" ca="1" si="47"/>
        <v>0</v>
      </c>
      <c r="T76" s="132">
        <f t="shared" ca="1" si="47"/>
        <v>0</v>
      </c>
      <c r="U76" s="132">
        <f t="shared" ca="1" si="47"/>
        <v>0</v>
      </c>
      <c r="V76" s="132">
        <f t="shared" ca="1" si="47"/>
        <v>0</v>
      </c>
      <c r="W76" s="132">
        <f t="shared" ca="1" si="47"/>
        <v>0</v>
      </c>
      <c r="X76" s="132">
        <f t="shared" ca="1" si="47"/>
        <v>0</v>
      </c>
      <c r="Y76" s="132">
        <f t="shared" ca="1" si="47"/>
        <v>0</v>
      </c>
      <c r="Z76" s="132">
        <f t="shared" ca="1" si="47"/>
        <v>0</v>
      </c>
      <c r="AA76" s="132">
        <f t="shared" ca="1" si="47"/>
        <v>0</v>
      </c>
      <c r="AB76" s="132">
        <f t="shared" ca="1" si="47"/>
        <v>0</v>
      </c>
      <c r="AC76" s="132">
        <f t="shared" ca="1" si="47"/>
        <v>0</v>
      </c>
      <c r="AD76" s="132">
        <f t="shared" ca="1" si="47"/>
        <v>0</v>
      </c>
      <c r="AE76" s="132">
        <f t="shared" ca="1" si="47"/>
        <v>0</v>
      </c>
      <c r="AF76" s="132">
        <f t="shared" ca="1" si="47"/>
        <v>0</v>
      </c>
      <c r="AG76" s="132">
        <f t="shared" ca="1" si="47"/>
        <v>0</v>
      </c>
      <c r="AH76" s="132">
        <f t="shared" ca="1" si="47"/>
        <v>0</v>
      </c>
    </row>
    <row r="77" spans="1:40" x14ac:dyDescent="0.25">
      <c r="C77" s="128" t="s">
        <v>815</v>
      </c>
      <c r="D77" s="132">
        <f t="shared" ref="D77:AH77" ca="1" si="48">SUMIFS(OFFSET(DBRA_TopicCount,0,MATCH($A74,DBRA_TopicCount_Titel,0)-1,DBR_COUNT,1),DBRA_WorkplanDate,D$6, DBRA_PlayerID,$D$3)</f>
        <v>0</v>
      </c>
      <c r="E77" s="132">
        <f t="shared" ca="1" si="48"/>
        <v>0</v>
      </c>
      <c r="F77" s="132">
        <f t="shared" ca="1" si="48"/>
        <v>0</v>
      </c>
      <c r="G77" s="132">
        <f t="shared" ca="1" si="48"/>
        <v>0</v>
      </c>
      <c r="H77" s="132">
        <f t="shared" ca="1" si="48"/>
        <v>0</v>
      </c>
      <c r="I77" s="132">
        <f t="shared" ca="1" si="48"/>
        <v>0</v>
      </c>
      <c r="J77" s="132">
        <f t="shared" ca="1" si="48"/>
        <v>0</v>
      </c>
      <c r="K77" s="132">
        <f t="shared" ca="1" si="48"/>
        <v>0</v>
      </c>
      <c r="L77" s="132">
        <f t="shared" ca="1" si="48"/>
        <v>0</v>
      </c>
      <c r="M77" s="132">
        <f t="shared" ca="1" si="48"/>
        <v>0</v>
      </c>
      <c r="N77" s="132">
        <f t="shared" ca="1" si="48"/>
        <v>0</v>
      </c>
      <c r="O77" s="132">
        <f t="shared" ca="1" si="48"/>
        <v>0</v>
      </c>
      <c r="P77" s="132">
        <f t="shared" ca="1" si="48"/>
        <v>0</v>
      </c>
      <c r="Q77" s="132">
        <f t="shared" ca="1" si="48"/>
        <v>0</v>
      </c>
      <c r="R77" s="132">
        <f t="shared" ca="1" si="48"/>
        <v>0</v>
      </c>
      <c r="S77" s="132">
        <f t="shared" ca="1" si="48"/>
        <v>0</v>
      </c>
      <c r="T77" s="132">
        <f t="shared" ca="1" si="48"/>
        <v>0</v>
      </c>
      <c r="U77" s="132">
        <f t="shared" ca="1" si="48"/>
        <v>0</v>
      </c>
      <c r="V77" s="132">
        <f t="shared" ca="1" si="48"/>
        <v>0</v>
      </c>
      <c r="W77" s="132">
        <f t="shared" ca="1" si="48"/>
        <v>0</v>
      </c>
      <c r="X77" s="132">
        <f t="shared" ca="1" si="48"/>
        <v>0</v>
      </c>
      <c r="Y77" s="132">
        <f t="shared" ca="1" si="48"/>
        <v>0</v>
      </c>
      <c r="Z77" s="132">
        <f t="shared" ca="1" si="48"/>
        <v>0</v>
      </c>
      <c r="AA77" s="132">
        <f t="shared" ca="1" si="48"/>
        <v>0</v>
      </c>
      <c r="AB77" s="132">
        <f t="shared" ca="1" si="48"/>
        <v>0</v>
      </c>
      <c r="AC77" s="132">
        <f t="shared" ca="1" si="48"/>
        <v>0</v>
      </c>
      <c r="AD77" s="132">
        <f t="shared" ca="1" si="48"/>
        <v>0</v>
      </c>
      <c r="AE77" s="132">
        <f t="shared" ca="1" si="48"/>
        <v>0</v>
      </c>
      <c r="AF77" s="132">
        <f t="shared" ca="1" si="48"/>
        <v>0</v>
      </c>
      <c r="AG77" s="132">
        <f t="shared" ca="1" si="48"/>
        <v>0</v>
      </c>
      <c r="AH77" s="132">
        <f t="shared" ca="1" si="48"/>
        <v>0</v>
      </c>
    </row>
    <row r="78" spans="1:40" x14ac:dyDescent="0.25">
      <c r="C78" s="128" t="s">
        <v>820</v>
      </c>
      <c r="D78" s="131" t="str">
        <f t="shared" ref="D78:AH78" ca="1" si="49">IF(D$9&gt;0,IF(D77&gt;0,D76/D77,""),"")</f>
        <v/>
      </c>
      <c r="E78" s="131" t="str">
        <f t="shared" ca="1" si="49"/>
        <v/>
      </c>
      <c r="F78" s="131" t="str">
        <f t="shared" ca="1" si="49"/>
        <v/>
      </c>
      <c r="G78" s="131" t="str">
        <f t="shared" ca="1" si="49"/>
        <v/>
      </c>
      <c r="H78" s="131" t="str">
        <f t="shared" ca="1" si="49"/>
        <v/>
      </c>
      <c r="I78" s="131" t="str">
        <f t="shared" ca="1" si="49"/>
        <v/>
      </c>
      <c r="J78" s="131" t="str">
        <f t="shared" ca="1" si="49"/>
        <v/>
      </c>
      <c r="K78" s="131" t="str">
        <f t="shared" ca="1" si="49"/>
        <v/>
      </c>
      <c r="L78" s="131" t="str">
        <f t="shared" ca="1" si="49"/>
        <v/>
      </c>
      <c r="M78" s="131" t="str">
        <f t="shared" ca="1" si="49"/>
        <v/>
      </c>
      <c r="N78" s="131" t="str">
        <f t="shared" ca="1" si="49"/>
        <v/>
      </c>
      <c r="O78" s="131" t="str">
        <f t="shared" ca="1" si="49"/>
        <v/>
      </c>
      <c r="P78" s="131" t="str">
        <f t="shared" ca="1" si="49"/>
        <v/>
      </c>
      <c r="Q78" s="131" t="str">
        <f t="shared" ca="1" si="49"/>
        <v/>
      </c>
      <c r="R78" s="131" t="str">
        <f t="shared" ca="1" si="49"/>
        <v/>
      </c>
      <c r="S78" s="131" t="str">
        <f t="shared" ca="1" si="49"/>
        <v/>
      </c>
      <c r="T78" s="131" t="str">
        <f t="shared" ca="1" si="49"/>
        <v/>
      </c>
      <c r="U78" s="131" t="str">
        <f t="shared" ca="1" si="49"/>
        <v/>
      </c>
      <c r="V78" s="131" t="str">
        <f t="shared" ca="1" si="49"/>
        <v/>
      </c>
      <c r="W78" s="131" t="str">
        <f t="shared" ca="1" si="49"/>
        <v/>
      </c>
      <c r="X78" s="131" t="str">
        <f t="shared" ca="1" si="49"/>
        <v/>
      </c>
      <c r="Y78" s="131" t="str">
        <f t="shared" ca="1" si="49"/>
        <v/>
      </c>
      <c r="Z78" s="131" t="str">
        <f t="shared" ca="1" si="49"/>
        <v/>
      </c>
      <c r="AA78" s="131" t="str">
        <f t="shared" ca="1" si="49"/>
        <v/>
      </c>
      <c r="AB78" s="131" t="str">
        <f t="shared" ca="1" si="49"/>
        <v/>
      </c>
      <c r="AC78" s="131" t="str">
        <f t="shared" ca="1" si="49"/>
        <v/>
      </c>
      <c r="AD78" s="131" t="str">
        <f t="shared" ca="1" si="49"/>
        <v/>
      </c>
      <c r="AE78" s="131" t="str">
        <f t="shared" ca="1" si="49"/>
        <v/>
      </c>
      <c r="AF78" s="131" t="str">
        <f t="shared" ca="1" si="49"/>
        <v/>
      </c>
      <c r="AG78" s="131" t="str">
        <f t="shared" ca="1" si="49"/>
        <v/>
      </c>
      <c r="AH78" s="131" t="str">
        <f t="shared" ca="1" si="49"/>
        <v/>
      </c>
      <c r="AJ78" s="131" t="str">
        <f ca="1">IF(COUNT(D78:AH78)&gt;0,SUM(D78:AH78)/COUNT(D78:AH78),"")</f>
        <v/>
      </c>
    </row>
    <row r="79" spans="1:40" x14ac:dyDescent="0.25">
      <c r="C79" s="128" t="s">
        <v>1117</v>
      </c>
      <c r="D79" s="131" t="str">
        <f t="shared" ref="D79:AH79" ca="1" si="50">IF(LEN(D78)&gt;0,1,"")</f>
        <v/>
      </c>
      <c r="E79" s="131" t="str">
        <f t="shared" ca="1" si="50"/>
        <v/>
      </c>
      <c r="F79" s="131" t="str">
        <f t="shared" ca="1" si="50"/>
        <v/>
      </c>
      <c r="G79" s="131" t="str">
        <f t="shared" ca="1" si="50"/>
        <v/>
      </c>
      <c r="H79" s="131" t="str">
        <f t="shared" ca="1" si="50"/>
        <v/>
      </c>
      <c r="I79" s="131" t="str">
        <f t="shared" ca="1" si="50"/>
        <v/>
      </c>
      <c r="J79" s="131" t="str">
        <f t="shared" ca="1" si="50"/>
        <v/>
      </c>
      <c r="K79" s="131" t="str">
        <f t="shared" ca="1" si="50"/>
        <v/>
      </c>
      <c r="L79" s="131" t="str">
        <f t="shared" ca="1" si="50"/>
        <v/>
      </c>
      <c r="M79" s="131" t="str">
        <f t="shared" ca="1" si="50"/>
        <v/>
      </c>
      <c r="N79" s="131" t="str">
        <f t="shared" ca="1" si="50"/>
        <v/>
      </c>
      <c r="O79" s="131" t="str">
        <f t="shared" ca="1" si="50"/>
        <v/>
      </c>
      <c r="P79" s="131" t="str">
        <f t="shared" ca="1" si="50"/>
        <v/>
      </c>
      <c r="Q79" s="131" t="str">
        <f t="shared" ca="1" si="50"/>
        <v/>
      </c>
      <c r="R79" s="131" t="str">
        <f t="shared" ca="1" si="50"/>
        <v/>
      </c>
      <c r="S79" s="131" t="str">
        <f t="shared" ca="1" si="50"/>
        <v/>
      </c>
      <c r="T79" s="131" t="str">
        <f t="shared" ca="1" si="50"/>
        <v/>
      </c>
      <c r="U79" s="131" t="str">
        <f t="shared" ca="1" si="50"/>
        <v/>
      </c>
      <c r="V79" s="131" t="str">
        <f t="shared" ca="1" si="50"/>
        <v/>
      </c>
      <c r="W79" s="131" t="str">
        <f t="shared" ca="1" si="50"/>
        <v/>
      </c>
      <c r="X79" s="131" t="str">
        <f t="shared" ca="1" si="50"/>
        <v/>
      </c>
      <c r="Y79" s="131" t="str">
        <f t="shared" ca="1" si="50"/>
        <v/>
      </c>
      <c r="Z79" s="131" t="str">
        <f t="shared" ca="1" si="50"/>
        <v/>
      </c>
      <c r="AA79" s="131" t="str">
        <f t="shared" ca="1" si="50"/>
        <v/>
      </c>
      <c r="AB79" s="131" t="str">
        <f t="shared" ca="1" si="50"/>
        <v/>
      </c>
      <c r="AC79" s="131" t="str">
        <f t="shared" ca="1" si="50"/>
        <v/>
      </c>
      <c r="AD79" s="131" t="str">
        <f t="shared" ca="1" si="50"/>
        <v/>
      </c>
      <c r="AE79" s="131" t="str">
        <f t="shared" ca="1" si="50"/>
        <v/>
      </c>
      <c r="AF79" s="131" t="str">
        <f t="shared" ca="1" si="50"/>
        <v/>
      </c>
      <c r="AG79" s="131" t="str">
        <f t="shared" ca="1" si="50"/>
        <v/>
      </c>
      <c r="AH79" s="131" t="str">
        <f t="shared" ca="1" si="50"/>
        <v/>
      </c>
      <c r="AJ79" s="222">
        <f ca="1">getLastCellIndexInRow(D79:AH79)</f>
        <v>-1</v>
      </c>
      <c r="AK79" s="222">
        <f ca="1">IF(AJ79&gt;0,INDEX(D78:AH78,1,AJ79)-AJ78,0)</f>
        <v>0</v>
      </c>
    </row>
    <row r="80" spans="1:40" x14ac:dyDescent="0.25">
      <c r="C80" s="128"/>
      <c r="D80" s="131"/>
      <c r="E80" s="131"/>
      <c r="F80" s="131"/>
      <c r="G80" s="131"/>
      <c r="H80" s="131"/>
      <c r="I80" s="131"/>
      <c r="J80" s="131"/>
      <c r="K80" s="131"/>
      <c r="L80" s="131"/>
      <c r="M80" s="131"/>
      <c r="N80" s="131"/>
      <c r="O80" s="131"/>
      <c r="P80" s="131"/>
      <c r="Q80" s="131"/>
      <c r="R80" s="131"/>
      <c r="S80" s="131"/>
      <c r="T80" s="131"/>
      <c r="U80" s="131"/>
      <c r="V80" s="131"/>
      <c r="W80" s="131"/>
      <c r="X80" s="131"/>
      <c r="Y80" s="131"/>
      <c r="Z80" s="131"/>
      <c r="AA80" s="131"/>
      <c r="AB80" s="131"/>
      <c r="AC80" s="131"/>
      <c r="AD80" s="131"/>
      <c r="AE80" s="131"/>
      <c r="AF80" s="131"/>
      <c r="AG80" s="131"/>
      <c r="AH80" s="131"/>
    </row>
    <row r="81" spans="1:40" x14ac:dyDescent="0.25">
      <c r="C81" s="128"/>
      <c r="D81" s="131"/>
      <c r="E81" s="131"/>
      <c r="F81" s="131"/>
      <c r="G81" s="131"/>
      <c r="H81" s="131"/>
      <c r="I81" s="131"/>
      <c r="J81" s="131"/>
      <c r="K81" s="131"/>
      <c r="L81" s="131"/>
      <c r="M81" s="131"/>
      <c r="N81" s="131"/>
      <c r="O81" s="131"/>
      <c r="P81" s="131"/>
      <c r="Q81" s="131"/>
      <c r="R81" s="131"/>
      <c r="S81" s="131"/>
      <c r="T81" s="131"/>
      <c r="U81" s="131"/>
      <c r="V81" s="131"/>
      <c r="W81" s="131"/>
      <c r="X81" s="131"/>
      <c r="Y81" s="131"/>
      <c r="Z81" s="131"/>
      <c r="AA81" s="131"/>
      <c r="AB81" s="131"/>
      <c r="AC81" s="131"/>
      <c r="AD81" s="131"/>
      <c r="AE81" s="131"/>
      <c r="AF81" s="131"/>
      <c r="AG81" s="131"/>
      <c r="AH81" s="131"/>
    </row>
    <row r="82" spans="1:40" x14ac:dyDescent="0.25">
      <c r="C82" s="128"/>
      <c r="D82" s="131"/>
      <c r="E82" s="131"/>
      <c r="F82" s="131"/>
      <c r="G82" s="131"/>
      <c r="H82" s="131"/>
      <c r="I82" s="131"/>
      <c r="J82" s="131"/>
      <c r="K82" s="131"/>
      <c r="L82" s="131"/>
      <c r="M82" s="131"/>
      <c r="N82" s="131"/>
      <c r="O82" s="131"/>
      <c r="P82" s="131"/>
      <c r="Q82" s="131"/>
      <c r="R82" s="131"/>
      <c r="S82" s="131"/>
      <c r="T82" s="131"/>
      <c r="U82" s="131"/>
      <c r="V82" s="131"/>
      <c r="W82" s="131"/>
      <c r="X82" s="131"/>
      <c r="Y82" s="131"/>
      <c r="Z82" s="131"/>
      <c r="AA82" s="131"/>
      <c r="AB82" s="131"/>
      <c r="AC82" s="131"/>
      <c r="AD82" s="131"/>
      <c r="AE82" s="131"/>
      <c r="AF82" s="131"/>
      <c r="AG82" s="131"/>
      <c r="AH82" s="131"/>
    </row>
    <row r="83" spans="1:40" x14ac:dyDescent="0.25">
      <c r="C83" s="128"/>
    </row>
    <row r="84" spans="1:40" x14ac:dyDescent="0.25">
      <c r="A84" t="str">
        <f>MUI_STAT_T_MainTitel_8</f>
        <v>Mental</v>
      </c>
      <c r="C84" s="128" t="s">
        <v>459</v>
      </c>
      <c r="D84" s="130">
        <f t="shared" ref="D84:AH84" ca="1" si="51">SUMIFS(OFFSET(DBRA_TopicTotalRealDuration,0,MATCH($A84,DBRA_TopicTotalRealDuration_Titel,0)-1,DBR_COUNT,1),DBRA_WorkplanDate,D$6,DBRA_PlayerID,$D$3)</f>
        <v>0</v>
      </c>
      <c r="E84" s="130">
        <f t="shared" ca="1" si="51"/>
        <v>0</v>
      </c>
      <c r="F84" s="130">
        <f t="shared" ca="1" si="51"/>
        <v>0</v>
      </c>
      <c r="G84" s="130">
        <f t="shared" ca="1" si="51"/>
        <v>0</v>
      </c>
      <c r="H84" s="130">
        <f t="shared" ca="1" si="51"/>
        <v>0</v>
      </c>
      <c r="I84" s="130">
        <f t="shared" ca="1" si="51"/>
        <v>0</v>
      </c>
      <c r="J84" s="130">
        <f t="shared" ca="1" si="51"/>
        <v>0</v>
      </c>
      <c r="K84" s="130">
        <f t="shared" ca="1" si="51"/>
        <v>0</v>
      </c>
      <c r="L84" s="130">
        <f t="shared" ca="1" si="51"/>
        <v>0</v>
      </c>
      <c r="M84" s="130">
        <f t="shared" ca="1" si="51"/>
        <v>0</v>
      </c>
      <c r="N84" s="130">
        <f t="shared" ca="1" si="51"/>
        <v>0</v>
      </c>
      <c r="O84" s="130">
        <f t="shared" ca="1" si="51"/>
        <v>0</v>
      </c>
      <c r="P84" s="130">
        <f t="shared" ca="1" si="51"/>
        <v>0</v>
      </c>
      <c r="Q84" s="130">
        <f t="shared" ca="1" si="51"/>
        <v>0</v>
      </c>
      <c r="R84" s="130">
        <f t="shared" ca="1" si="51"/>
        <v>0</v>
      </c>
      <c r="S84" s="130">
        <f t="shared" ca="1" si="51"/>
        <v>0</v>
      </c>
      <c r="T84" s="130">
        <f t="shared" ca="1" si="51"/>
        <v>0</v>
      </c>
      <c r="U84" s="130">
        <f t="shared" ca="1" si="51"/>
        <v>0</v>
      </c>
      <c r="V84" s="130">
        <f t="shared" ca="1" si="51"/>
        <v>0</v>
      </c>
      <c r="W84" s="130">
        <f t="shared" ca="1" si="51"/>
        <v>0</v>
      </c>
      <c r="X84" s="130">
        <f t="shared" ca="1" si="51"/>
        <v>0</v>
      </c>
      <c r="Y84" s="130">
        <f t="shared" ca="1" si="51"/>
        <v>0</v>
      </c>
      <c r="Z84" s="130">
        <f t="shared" ca="1" si="51"/>
        <v>0</v>
      </c>
      <c r="AA84" s="130">
        <f t="shared" ca="1" si="51"/>
        <v>0</v>
      </c>
      <c r="AB84" s="130">
        <f t="shared" ca="1" si="51"/>
        <v>0</v>
      </c>
      <c r="AC84" s="130">
        <f t="shared" ca="1" si="51"/>
        <v>0</v>
      </c>
      <c r="AD84" s="130">
        <f t="shared" ca="1" si="51"/>
        <v>0</v>
      </c>
      <c r="AE84" s="130">
        <f t="shared" ca="1" si="51"/>
        <v>0</v>
      </c>
      <c r="AF84" s="130">
        <f t="shared" ca="1" si="51"/>
        <v>0</v>
      </c>
      <c r="AG84" s="130">
        <f t="shared" ca="1" si="51"/>
        <v>0</v>
      </c>
      <c r="AH84" s="130">
        <f t="shared" ca="1" si="51"/>
        <v>0</v>
      </c>
      <c r="AJ84" s="130">
        <f ca="1">SUMIFS(OFFSET(DBRA_TopicTotalRealDuration,0,MATCH($A84,DBRA_TopicTotalRealDuration_Titel,0)-1,DBR_COUNT,1),DBRA_WorkplanDate,$AJ$5,DBRA_WorkplanDate,$AJ$4,DBRA_PlayerID,$D$3)</f>
        <v>0</v>
      </c>
      <c r="AK84" s="218" t="str">
        <f ca="1">IFERROR(IF(AJ84&gt;0,INT(AJ84/60) &amp;":" &amp;TEXT((AJ84- INT(AJ84/60)*60),"00"),""),"")</f>
        <v/>
      </c>
      <c r="AM84" s="130">
        <f ca="1">SUMIFS(OFFSET(DBRA_TopicTotalRealDuration,0,MATCH($A84,DBRA_TopicTotalRealDuration_Titel,0)-1,DBR_COUNT,1),DBRA_WorkplanDate,$AM$4,DBRA_WorkplanDate,$AM$5,DBRA_PlayerID,$D$3)</f>
        <v>0</v>
      </c>
      <c r="AN84" s="218" t="str">
        <f ca="1">IFERROR(IF(AM84&gt;0,INT(AM84/60) &amp;":" &amp;TEXT((AM84- INT(AM84/60)*60),"00"),""),"")</f>
        <v/>
      </c>
    </row>
    <row r="85" spans="1:40" x14ac:dyDescent="0.25">
      <c r="C85" s="128" t="s">
        <v>814</v>
      </c>
      <c r="D85" s="123" t="str">
        <f t="shared" ref="D85:AH85" ca="1" si="52">IF(D$9&gt;0,IF(D84&gt;0,D84/D$9,""),"")</f>
        <v/>
      </c>
      <c r="E85" s="123" t="str">
        <f t="shared" ca="1" si="52"/>
        <v/>
      </c>
      <c r="F85" s="123" t="str">
        <f t="shared" ca="1" si="52"/>
        <v/>
      </c>
      <c r="G85" s="123" t="str">
        <f t="shared" ca="1" si="52"/>
        <v/>
      </c>
      <c r="H85" s="123" t="str">
        <f t="shared" ca="1" si="52"/>
        <v/>
      </c>
      <c r="I85" s="123" t="str">
        <f t="shared" ca="1" si="52"/>
        <v/>
      </c>
      <c r="J85" s="123" t="str">
        <f t="shared" ca="1" si="52"/>
        <v/>
      </c>
      <c r="K85" s="123" t="str">
        <f t="shared" ca="1" si="52"/>
        <v/>
      </c>
      <c r="L85" s="123" t="str">
        <f t="shared" ca="1" si="52"/>
        <v/>
      </c>
      <c r="M85" s="123" t="str">
        <f t="shared" ca="1" si="52"/>
        <v/>
      </c>
      <c r="N85" s="123" t="str">
        <f t="shared" ca="1" si="52"/>
        <v/>
      </c>
      <c r="O85" s="123" t="str">
        <f t="shared" ca="1" si="52"/>
        <v/>
      </c>
      <c r="P85" s="123" t="str">
        <f t="shared" ca="1" si="52"/>
        <v/>
      </c>
      <c r="Q85" s="123" t="str">
        <f t="shared" ca="1" si="52"/>
        <v/>
      </c>
      <c r="R85" s="123" t="str">
        <f t="shared" ca="1" si="52"/>
        <v/>
      </c>
      <c r="S85" s="123" t="str">
        <f t="shared" ca="1" si="52"/>
        <v/>
      </c>
      <c r="T85" s="123" t="str">
        <f t="shared" ca="1" si="52"/>
        <v/>
      </c>
      <c r="U85" s="123" t="str">
        <f t="shared" ca="1" si="52"/>
        <v/>
      </c>
      <c r="V85" s="123" t="str">
        <f t="shared" ca="1" si="52"/>
        <v/>
      </c>
      <c r="W85" s="123" t="str">
        <f t="shared" ca="1" si="52"/>
        <v/>
      </c>
      <c r="X85" s="123" t="str">
        <f t="shared" ca="1" si="52"/>
        <v/>
      </c>
      <c r="Y85" s="123" t="str">
        <f t="shared" ca="1" si="52"/>
        <v/>
      </c>
      <c r="Z85" s="123" t="str">
        <f t="shared" ca="1" si="52"/>
        <v/>
      </c>
      <c r="AA85" s="123" t="str">
        <f t="shared" ca="1" si="52"/>
        <v/>
      </c>
      <c r="AB85" s="123" t="str">
        <f t="shared" ca="1" si="52"/>
        <v/>
      </c>
      <c r="AC85" s="123" t="str">
        <f t="shared" ca="1" si="52"/>
        <v/>
      </c>
      <c r="AD85" s="123" t="str">
        <f t="shared" ca="1" si="52"/>
        <v/>
      </c>
      <c r="AE85" s="123" t="str">
        <f t="shared" ca="1" si="52"/>
        <v/>
      </c>
      <c r="AF85" s="123" t="str">
        <f t="shared" ca="1" si="52"/>
        <v/>
      </c>
      <c r="AG85" s="123" t="str">
        <f t="shared" ca="1" si="52"/>
        <v/>
      </c>
      <c r="AH85" s="123" t="str">
        <f t="shared" ca="1" si="52"/>
        <v/>
      </c>
      <c r="AJ85" s="123" t="str">
        <f ca="1">IF($AJ$9=0,"",AJ84/$AJ$9)</f>
        <v/>
      </c>
      <c r="AM85" s="123" t="str">
        <f ca="1">IF($AM$9=0,"",AM84/$AM$9)</f>
        <v/>
      </c>
    </row>
    <row r="86" spans="1:40" x14ac:dyDescent="0.25">
      <c r="C86" s="128" t="s">
        <v>819</v>
      </c>
      <c r="D86" s="132">
        <f t="shared" ref="D86:AH86" ca="1" si="53">SUMIFS(OFFSET(DBRA_TopicHCP,0,MATCH($A84,DBRA_TopicHCP_Titel,0)-1,DBR_COUNT,1),DBRA_WorkplanDate,D$6, DBRA_PlayerID,$D$3)</f>
        <v>0</v>
      </c>
      <c r="E86" s="132">
        <f t="shared" ca="1" si="53"/>
        <v>0</v>
      </c>
      <c r="F86" s="132">
        <f t="shared" ca="1" si="53"/>
        <v>0</v>
      </c>
      <c r="G86" s="132">
        <f t="shared" ca="1" si="53"/>
        <v>0</v>
      </c>
      <c r="H86" s="132">
        <f t="shared" ca="1" si="53"/>
        <v>0</v>
      </c>
      <c r="I86" s="132">
        <f t="shared" ca="1" si="53"/>
        <v>0</v>
      </c>
      <c r="J86" s="132">
        <f t="shared" ca="1" si="53"/>
        <v>0</v>
      </c>
      <c r="K86" s="132">
        <f t="shared" ca="1" si="53"/>
        <v>0</v>
      </c>
      <c r="L86" s="132">
        <f t="shared" ca="1" si="53"/>
        <v>0</v>
      </c>
      <c r="M86" s="132">
        <f t="shared" ca="1" si="53"/>
        <v>0</v>
      </c>
      <c r="N86" s="132">
        <f t="shared" ca="1" si="53"/>
        <v>0</v>
      </c>
      <c r="O86" s="132">
        <f t="shared" ca="1" si="53"/>
        <v>0</v>
      </c>
      <c r="P86" s="132">
        <f t="shared" ca="1" si="53"/>
        <v>0</v>
      </c>
      <c r="Q86" s="132">
        <f t="shared" ca="1" si="53"/>
        <v>0</v>
      </c>
      <c r="R86" s="132">
        <f t="shared" ca="1" si="53"/>
        <v>0</v>
      </c>
      <c r="S86" s="132">
        <f t="shared" ca="1" si="53"/>
        <v>0</v>
      </c>
      <c r="T86" s="132">
        <f t="shared" ca="1" si="53"/>
        <v>0</v>
      </c>
      <c r="U86" s="132">
        <f t="shared" ca="1" si="53"/>
        <v>0</v>
      </c>
      <c r="V86" s="132">
        <f t="shared" ca="1" si="53"/>
        <v>0</v>
      </c>
      <c r="W86" s="132">
        <f t="shared" ca="1" si="53"/>
        <v>0</v>
      </c>
      <c r="X86" s="132">
        <f t="shared" ca="1" si="53"/>
        <v>0</v>
      </c>
      <c r="Y86" s="132">
        <f t="shared" ca="1" si="53"/>
        <v>0</v>
      </c>
      <c r="Z86" s="132">
        <f t="shared" ca="1" si="53"/>
        <v>0</v>
      </c>
      <c r="AA86" s="132">
        <f t="shared" ca="1" si="53"/>
        <v>0</v>
      </c>
      <c r="AB86" s="132">
        <f t="shared" ca="1" si="53"/>
        <v>0</v>
      </c>
      <c r="AC86" s="132">
        <f t="shared" ca="1" si="53"/>
        <v>0</v>
      </c>
      <c r="AD86" s="132">
        <f t="shared" ca="1" si="53"/>
        <v>0</v>
      </c>
      <c r="AE86" s="132">
        <f t="shared" ca="1" si="53"/>
        <v>0</v>
      </c>
      <c r="AF86" s="132">
        <f t="shared" ca="1" si="53"/>
        <v>0</v>
      </c>
      <c r="AG86" s="132">
        <f t="shared" ca="1" si="53"/>
        <v>0</v>
      </c>
      <c r="AH86" s="132">
        <f t="shared" ca="1" si="53"/>
        <v>0</v>
      </c>
    </row>
    <row r="87" spans="1:40" x14ac:dyDescent="0.25">
      <c r="C87" s="128" t="s">
        <v>815</v>
      </c>
      <c r="D87" s="132">
        <f t="shared" ref="D87:AH87" ca="1" si="54">SUMIFS(OFFSET(DBRA_TopicCount,0,MATCH($A84,DBRA_TopicCount_Titel,0)-1,DBR_COUNT,1),DBRA_WorkplanDate,D$6, DBRA_PlayerID,$D$3)</f>
        <v>0</v>
      </c>
      <c r="E87" s="132">
        <f t="shared" ca="1" si="54"/>
        <v>0</v>
      </c>
      <c r="F87" s="132">
        <f t="shared" ca="1" si="54"/>
        <v>0</v>
      </c>
      <c r="G87" s="132">
        <f t="shared" ca="1" si="54"/>
        <v>0</v>
      </c>
      <c r="H87" s="132">
        <f t="shared" ca="1" si="54"/>
        <v>0</v>
      </c>
      <c r="I87" s="132">
        <f t="shared" ca="1" si="54"/>
        <v>0</v>
      </c>
      <c r="J87" s="132">
        <f t="shared" ca="1" si="54"/>
        <v>0</v>
      </c>
      <c r="K87" s="132">
        <f t="shared" ca="1" si="54"/>
        <v>0</v>
      </c>
      <c r="L87" s="132">
        <f t="shared" ca="1" si="54"/>
        <v>0</v>
      </c>
      <c r="M87" s="132">
        <f t="shared" ca="1" si="54"/>
        <v>0</v>
      </c>
      <c r="N87" s="132">
        <f t="shared" ca="1" si="54"/>
        <v>0</v>
      </c>
      <c r="O87" s="132">
        <f t="shared" ca="1" si="54"/>
        <v>0</v>
      </c>
      <c r="P87" s="132">
        <f t="shared" ca="1" si="54"/>
        <v>0</v>
      </c>
      <c r="Q87" s="132">
        <f t="shared" ca="1" si="54"/>
        <v>0</v>
      </c>
      <c r="R87" s="132">
        <f t="shared" ca="1" si="54"/>
        <v>0</v>
      </c>
      <c r="S87" s="132">
        <f t="shared" ca="1" si="54"/>
        <v>0</v>
      </c>
      <c r="T87" s="132">
        <f t="shared" ca="1" si="54"/>
        <v>0</v>
      </c>
      <c r="U87" s="132">
        <f t="shared" ca="1" si="54"/>
        <v>0</v>
      </c>
      <c r="V87" s="132">
        <f t="shared" ca="1" si="54"/>
        <v>0</v>
      </c>
      <c r="W87" s="132">
        <f t="shared" ca="1" si="54"/>
        <v>0</v>
      </c>
      <c r="X87" s="132">
        <f t="shared" ca="1" si="54"/>
        <v>0</v>
      </c>
      <c r="Y87" s="132">
        <f t="shared" ca="1" si="54"/>
        <v>0</v>
      </c>
      <c r="Z87" s="132">
        <f t="shared" ca="1" si="54"/>
        <v>0</v>
      </c>
      <c r="AA87" s="132">
        <f t="shared" ca="1" si="54"/>
        <v>0</v>
      </c>
      <c r="AB87" s="132">
        <f t="shared" ca="1" si="54"/>
        <v>0</v>
      </c>
      <c r="AC87" s="132">
        <f t="shared" ca="1" si="54"/>
        <v>0</v>
      </c>
      <c r="AD87" s="132">
        <f t="shared" ca="1" si="54"/>
        <v>0</v>
      </c>
      <c r="AE87" s="132">
        <f t="shared" ca="1" si="54"/>
        <v>0</v>
      </c>
      <c r="AF87" s="132">
        <f t="shared" ca="1" si="54"/>
        <v>0</v>
      </c>
      <c r="AG87" s="132">
        <f t="shared" ca="1" si="54"/>
        <v>0</v>
      </c>
      <c r="AH87" s="132">
        <f t="shared" ca="1" si="54"/>
        <v>0</v>
      </c>
    </row>
    <row r="88" spans="1:40" x14ac:dyDescent="0.25">
      <c r="C88" s="128" t="s">
        <v>820</v>
      </c>
      <c r="D88" s="131" t="str">
        <f t="shared" ref="D88:AH88" ca="1" si="55">IF(D$9&gt;0,IF(D87&gt;0,D86/D87,""),"")</f>
        <v/>
      </c>
      <c r="E88" s="131" t="str">
        <f t="shared" ca="1" si="55"/>
        <v/>
      </c>
      <c r="F88" s="131" t="str">
        <f t="shared" ca="1" si="55"/>
        <v/>
      </c>
      <c r="G88" s="131" t="str">
        <f t="shared" ca="1" si="55"/>
        <v/>
      </c>
      <c r="H88" s="131" t="str">
        <f t="shared" ca="1" si="55"/>
        <v/>
      </c>
      <c r="I88" s="131" t="str">
        <f t="shared" ca="1" si="55"/>
        <v/>
      </c>
      <c r="J88" s="131" t="str">
        <f t="shared" ca="1" si="55"/>
        <v/>
      </c>
      <c r="K88" s="131" t="str">
        <f t="shared" ca="1" si="55"/>
        <v/>
      </c>
      <c r="L88" s="131" t="str">
        <f t="shared" ca="1" si="55"/>
        <v/>
      </c>
      <c r="M88" s="131" t="str">
        <f t="shared" ca="1" si="55"/>
        <v/>
      </c>
      <c r="N88" s="131" t="str">
        <f t="shared" ca="1" si="55"/>
        <v/>
      </c>
      <c r="O88" s="131" t="str">
        <f t="shared" ca="1" si="55"/>
        <v/>
      </c>
      <c r="P88" s="131" t="str">
        <f t="shared" ca="1" si="55"/>
        <v/>
      </c>
      <c r="Q88" s="131" t="str">
        <f t="shared" ca="1" si="55"/>
        <v/>
      </c>
      <c r="R88" s="131" t="str">
        <f t="shared" ca="1" si="55"/>
        <v/>
      </c>
      <c r="S88" s="131" t="str">
        <f t="shared" ca="1" si="55"/>
        <v/>
      </c>
      <c r="T88" s="131" t="str">
        <f t="shared" ca="1" si="55"/>
        <v/>
      </c>
      <c r="U88" s="131" t="str">
        <f t="shared" ca="1" si="55"/>
        <v/>
      </c>
      <c r="V88" s="131" t="str">
        <f t="shared" ca="1" si="55"/>
        <v/>
      </c>
      <c r="W88" s="131" t="str">
        <f t="shared" ca="1" si="55"/>
        <v/>
      </c>
      <c r="X88" s="131" t="str">
        <f t="shared" ca="1" si="55"/>
        <v/>
      </c>
      <c r="Y88" s="131" t="str">
        <f t="shared" ca="1" si="55"/>
        <v/>
      </c>
      <c r="Z88" s="131" t="str">
        <f t="shared" ca="1" si="55"/>
        <v/>
      </c>
      <c r="AA88" s="131" t="str">
        <f t="shared" ca="1" si="55"/>
        <v/>
      </c>
      <c r="AB88" s="131" t="str">
        <f t="shared" ca="1" si="55"/>
        <v/>
      </c>
      <c r="AC88" s="131" t="str">
        <f t="shared" ca="1" si="55"/>
        <v/>
      </c>
      <c r="AD88" s="131" t="str">
        <f t="shared" ca="1" si="55"/>
        <v/>
      </c>
      <c r="AE88" s="131" t="str">
        <f t="shared" ca="1" si="55"/>
        <v/>
      </c>
      <c r="AF88" s="131" t="str">
        <f t="shared" ca="1" si="55"/>
        <v/>
      </c>
      <c r="AG88" s="131" t="str">
        <f t="shared" ca="1" si="55"/>
        <v/>
      </c>
      <c r="AH88" s="131" t="str">
        <f t="shared" ca="1" si="55"/>
        <v/>
      </c>
      <c r="AJ88" s="131" t="str">
        <f ca="1">IF(COUNT(D88:AH88)&gt;0,SUM(D88:AH88)/COUNT(D88:AH88),"")</f>
        <v/>
      </c>
    </row>
    <row r="89" spans="1:40" x14ac:dyDescent="0.25">
      <c r="C89" s="128" t="s">
        <v>1117</v>
      </c>
      <c r="D89" s="131" t="str">
        <f t="shared" ref="D89:AH89" ca="1" si="56">IF(LEN(D88)&gt;0,1,"")</f>
        <v/>
      </c>
      <c r="E89" s="131" t="str">
        <f t="shared" ca="1" si="56"/>
        <v/>
      </c>
      <c r="F89" s="131" t="str">
        <f t="shared" ca="1" si="56"/>
        <v/>
      </c>
      <c r="G89" s="131" t="str">
        <f t="shared" ca="1" si="56"/>
        <v/>
      </c>
      <c r="H89" s="131" t="str">
        <f t="shared" ca="1" si="56"/>
        <v/>
      </c>
      <c r="I89" s="131" t="str">
        <f t="shared" ca="1" si="56"/>
        <v/>
      </c>
      <c r="J89" s="131" t="str">
        <f t="shared" ca="1" si="56"/>
        <v/>
      </c>
      <c r="K89" s="131" t="str">
        <f t="shared" ca="1" si="56"/>
        <v/>
      </c>
      <c r="L89" s="131" t="str">
        <f t="shared" ca="1" si="56"/>
        <v/>
      </c>
      <c r="M89" s="131" t="str">
        <f t="shared" ca="1" si="56"/>
        <v/>
      </c>
      <c r="N89" s="131" t="str">
        <f t="shared" ca="1" si="56"/>
        <v/>
      </c>
      <c r="O89" s="131" t="str">
        <f t="shared" ca="1" si="56"/>
        <v/>
      </c>
      <c r="P89" s="131" t="str">
        <f t="shared" ca="1" si="56"/>
        <v/>
      </c>
      <c r="Q89" s="131" t="str">
        <f t="shared" ca="1" si="56"/>
        <v/>
      </c>
      <c r="R89" s="131" t="str">
        <f t="shared" ca="1" si="56"/>
        <v/>
      </c>
      <c r="S89" s="131" t="str">
        <f t="shared" ca="1" si="56"/>
        <v/>
      </c>
      <c r="T89" s="131" t="str">
        <f t="shared" ca="1" si="56"/>
        <v/>
      </c>
      <c r="U89" s="131" t="str">
        <f t="shared" ca="1" si="56"/>
        <v/>
      </c>
      <c r="V89" s="131" t="str">
        <f t="shared" ca="1" si="56"/>
        <v/>
      </c>
      <c r="W89" s="131" t="str">
        <f t="shared" ca="1" si="56"/>
        <v/>
      </c>
      <c r="X89" s="131" t="str">
        <f t="shared" ca="1" si="56"/>
        <v/>
      </c>
      <c r="Y89" s="131" t="str">
        <f t="shared" ca="1" si="56"/>
        <v/>
      </c>
      <c r="Z89" s="131" t="str">
        <f t="shared" ca="1" si="56"/>
        <v/>
      </c>
      <c r="AA89" s="131" t="str">
        <f t="shared" ca="1" si="56"/>
        <v/>
      </c>
      <c r="AB89" s="131" t="str">
        <f t="shared" ca="1" si="56"/>
        <v/>
      </c>
      <c r="AC89" s="131" t="str">
        <f t="shared" ca="1" si="56"/>
        <v/>
      </c>
      <c r="AD89" s="131" t="str">
        <f t="shared" ca="1" si="56"/>
        <v/>
      </c>
      <c r="AE89" s="131" t="str">
        <f t="shared" ca="1" si="56"/>
        <v/>
      </c>
      <c r="AF89" s="131" t="str">
        <f t="shared" ca="1" si="56"/>
        <v/>
      </c>
      <c r="AG89" s="131" t="str">
        <f t="shared" ca="1" si="56"/>
        <v/>
      </c>
      <c r="AH89" s="131" t="str">
        <f t="shared" ca="1" si="56"/>
        <v/>
      </c>
      <c r="AJ89" s="222">
        <f ca="1">getLastCellIndexInRow(D89:AH89)</f>
        <v>-1</v>
      </c>
      <c r="AK89" s="222">
        <f ca="1">IF(AJ89&gt;0,INDEX(D88:AH88,1,AJ89)-AJ88,0)</f>
        <v>0</v>
      </c>
    </row>
    <row r="90" spans="1:40" x14ac:dyDescent="0.25">
      <c r="C90" s="128"/>
      <c r="D90" s="131"/>
      <c r="E90" s="131"/>
      <c r="F90" s="131"/>
      <c r="G90" s="131"/>
      <c r="H90" s="131"/>
      <c r="I90" s="131"/>
      <c r="J90" s="131"/>
      <c r="K90" s="131"/>
      <c r="L90" s="131"/>
      <c r="M90" s="131"/>
      <c r="N90" s="131"/>
      <c r="O90" s="131"/>
      <c r="P90" s="131"/>
      <c r="Q90" s="131"/>
      <c r="R90" s="131"/>
      <c r="S90" s="131"/>
      <c r="T90" s="131"/>
      <c r="U90" s="131"/>
      <c r="V90" s="131"/>
      <c r="W90" s="131"/>
      <c r="X90" s="131"/>
      <c r="Y90" s="131"/>
      <c r="Z90" s="131"/>
      <c r="AA90" s="131"/>
      <c r="AB90" s="131"/>
      <c r="AC90" s="131"/>
      <c r="AD90" s="131"/>
      <c r="AE90" s="131"/>
      <c r="AF90" s="131"/>
      <c r="AG90" s="131"/>
      <c r="AH90" s="131"/>
    </row>
    <row r="91" spans="1:40" x14ac:dyDescent="0.25">
      <c r="C91" s="128"/>
      <c r="D91" s="131"/>
      <c r="E91" s="131"/>
      <c r="F91" s="131"/>
      <c r="G91" s="131"/>
      <c r="H91" s="131"/>
      <c r="I91" s="131"/>
      <c r="J91" s="131"/>
      <c r="K91" s="131"/>
      <c r="L91" s="131"/>
      <c r="M91" s="131"/>
      <c r="N91" s="131"/>
      <c r="O91" s="131"/>
      <c r="P91" s="131"/>
      <c r="Q91" s="131"/>
      <c r="R91" s="131"/>
      <c r="S91" s="131"/>
      <c r="T91" s="131"/>
      <c r="U91" s="131"/>
      <c r="V91" s="131"/>
      <c r="W91" s="131"/>
      <c r="X91" s="131"/>
      <c r="Y91" s="131"/>
      <c r="Z91" s="131"/>
      <c r="AA91" s="131"/>
      <c r="AB91" s="131"/>
      <c r="AC91" s="131"/>
      <c r="AD91" s="131"/>
      <c r="AE91" s="131"/>
      <c r="AF91" s="131"/>
      <c r="AG91" s="131"/>
      <c r="AH91" s="131"/>
    </row>
    <row r="92" spans="1:40" x14ac:dyDescent="0.25">
      <c r="C92" s="128"/>
      <c r="D92" s="131"/>
      <c r="E92" s="131"/>
      <c r="F92" s="131"/>
      <c r="G92" s="131"/>
      <c r="H92" s="131"/>
      <c r="I92" s="131"/>
      <c r="J92" s="131"/>
      <c r="K92" s="131"/>
      <c r="L92" s="131"/>
      <c r="M92" s="131"/>
      <c r="N92" s="131"/>
      <c r="O92" s="131"/>
      <c r="P92" s="131"/>
      <c r="Q92" s="131"/>
      <c r="R92" s="131"/>
      <c r="S92" s="131"/>
      <c r="T92" s="131"/>
      <c r="U92" s="131"/>
      <c r="V92" s="131"/>
      <c r="W92" s="131"/>
      <c r="X92" s="131"/>
      <c r="Y92" s="131"/>
      <c r="Z92" s="131"/>
      <c r="AA92" s="131"/>
      <c r="AB92" s="131"/>
      <c r="AC92" s="131"/>
      <c r="AD92" s="131"/>
      <c r="AE92" s="131"/>
      <c r="AF92" s="131"/>
      <c r="AG92" s="131"/>
      <c r="AH92" s="131"/>
    </row>
    <row r="93" spans="1:40" x14ac:dyDescent="0.25">
      <c r="C93" s="128"/>
    </row>
    <row r="94" spans="1:40" x14ac:dyDescent="0.25">
      <c r="A94" t="str">
        <f>MUI_STAT_T_MainTitel_9</f>
        <v>Round of Golf</v>
      </c>
      <c r="C94" s="128" t="s">
        <v>459</v>
      </c>
      <c r="D94" s="130">
        <f t="shared" ref="D94:AH94" ca="1" si="57">SUMIFS(OFFSET(DBRA_TopicTotalRealDuration,0,MATCH($A94,DBRA_TopicTotalRealDuration_Titel,0)-1,DBR_COUNT,1),DBRA_WorkplanDate,D$6,DBRA_PlayerID,$D$3)</f>
        <v>0</v>
      </c>
      <c r="E94" s="130">
        <f t="shared" ca="1" si="57"/>
        <v>0</v>
      </c>
      <c r="F94" s="130">
        <f t="shared" ca="1" si="57"/>
        <v>0</v>
      </c>
      <c r="G94" s="130">
        <f t="shared" ca="1" si="57"/>
        <v>0</v>
      </c>
      <c r="H94" s="130">
        <f t="shared" ca="1" si="57"/>
        <v>0</v>
      </c>
      <c r="I94" s="130">
        <f t="shared" ca="1" si="57"/>
        <v>0</v>
      </c>
      <c r="J94" s="130">
        <f t="shared" ca="1" si="57"/>
        <v>0</v>
      </c>
      <c r="K94" s="130">
        <f t="shared" ca="1" si="57"/>
        <v>0</v>
      </c>
      <c r="L94" s="130">
        <f t="shared" ca="1" si="57"/>
        <v>0</v>
      </c>
      <c r="M94" s="130">
        <f t="shared" ca="1" si="57"/>
        <v>0</v>
      </c>
      <c r="N94" s="130">
        <f t="shared" ca="1" si="57"/>
        <v>0</v>
      </c>
      <c r="O94" s="130">
        <f t="shared" ca="1" si="57"/>
        <v>0</v>
      </c>
      <c r="P94" s="130">
        <f t="shared" ca="1" si="57"/>
        <v>0</v>
      </c>
      <c r="Q94" s="130">
        <f t="shared" ca="1" si="57"/>
        <v>0</v>
      </c>
      <c r="R94" s="130">
        <f t="shared" ca="1" si="57"/>
        <v>0</v>
      </c>
      <c r="S94" s="130">
        <f t="shared" ca="1" si="57"/>
        <v>0</v>
      </c>
      <c r="T94" s="130">
        <f t="shared" ca="1" si="57"/>
        <v>0</v>
      </c>
      <c r="U94" s="130">
        <f t="shared" ca="1" si="57"/>
        <v>0</v>
      </c>
      <c r="V94" s="130">
        <f t="shared" ca="1" si="57"/>
        <v>0</v>
      </c>
      <c r="W94" s="130">
        <f t="shared" ca="1" si="57"/>
        <v>0</v>
      </c>
      <c r="X94" s="130">
        <f t="shared" ca="1" si="57"/>
        <v>0</v>
      </c>
      <c r="Y94" s="130">
        <f t="shared" ca="1" si="57"/>
        <v>0</v>
      </c>
      <c r="Z94" s="130">
        <f t="shared" ca="1" si="57"/>
        <v>0</v>
      </c>
      <c r="AA94" s="130">
        <f t="shared" ca="1" si="57"/>
        <v>0</v>
      </c>
      <c r="AB94" s="130">
        <f t="shared" ca="1" si="57"/>
        <v>0</v>
      </c>
      <c r="AC94" s="130">
        <f t="shared" ca="1" si="57"/>
        <v>0</v>
      </c>
      <c r="AD94" s="130">
        <f t="shared" ca="1" si="57"/>
        <v>0</v>
      </c>
      <c r="AE94" s="130">
        <f t="shared" ca="1" si="57"/>
        <v>0</v>
      </c>
      <c r="AF94" s="130">
        <f t="shared" ca="1" si="57"/>
        <v>0</v>
      </c>
      <c r="AG94" s="130">
        <f t="shared" ca="1" si="57"/>
        <v>0</v>
      </c>
      <c r="AH94" s="130">
        <f t="shared" ca="1" si="57"/>
        <v>0</v>
      </c>
      <c r="AJ94" s="130">
        <f ca="1">SUMIFS(OFFSET(DBRA_TopicTotalRealDuration,0,MATCH($A94,DBRA_TopicTotalRealDuration_Titel,0)-1,DBR_COUNT,1),DBRA_WorkplanDate,$AJ$5,DBRA_WorkplanDate,$AJ$4,DBRA_PlayerID,$D$3)</f>
        <v>0</v>
      </c>
      <c r="AK94" s="218" t="str">
        <f ca="1">IFERROR(IF(AJ94&gt;0,INT(AJ94/60) &amp;":" &amp;TEXT((AJ94- INT(AJ94/60)*60),"00"),""),"")</f>
        <v/>
      </c>
      <c r="AM94" s="130">
        <f ca="1">SUMIFS(OFFSET(DBRA_TopicTotalRealDuration,0,MATCH($A94,DBRA_TopicTotalRealDuration_Titel,0)-1,DBR_COUNT,1),DBRA_WorkplanDate,$AM$4,DBRA_WorkplanDate,$AM$5,DBRA_PlayerID,$D$3)</f>
        <v>0</v>
      </c>
      <c r="AN94" s="218" t="str">
        <f ca="1">IFERROR(IF(AM94&gt;0,INT(AM94/60) &amp;":" &amp;TEXT((AM94- INT(AM94/60)*60),"00"),""),"")</f>
        <v/>
      </c>
    </row>
    <row r="95" spans="1:40" x14ac:dyDescent="0.25">
      <c r="C95" s="128" t="s">
        <v>814</v>
      </c>
      <c r="D95" s="123" t="str">
        <f t="shared" ref="D95:AH95" ca="1" si="58">IF(D$9&gt;0,IF(D94&gt;0,D94/D$9,""),"")</f>
        <v/>
      </c>
      <c r="E95" s="123" t="str">
        <f t="shared" ca="1" si="58"/>
        <v/>
      </c>
      <c r="F95" s="123" t="str">
        <f t="shared" ca="1" si="58"/>
        <v/>
      </c>
      <c r="G95" s="123" t="str">
        <f t="shared" ca="1" si="58"/>
        <v/>
      </c>
      <c r="H95" s="123" t="str">
        <f t="shared" ca="1" si="58"/>
        <v/>
      </c>
      <c r="I95" s="123" t="str">
        <f t="shared" ca="1" si="58"/>
        <v/>
      </c>
      <c r="J95" s="123" t="str">
        <f t="shared" ca="1" si="58"/>
        <v/>
      </c>
      <c r="K95" s="123" t="str">
        <f t="shared" ca="1" si="58"/>
        <v/>
      </c>
      <c r="L95" s="123" t="str">
        <f t="shared" ca="1" si="58"/>
        <v/>
      </c>
      <c r="M95" s="123" t="str">
        <f t="shared" ca="1" si="58"/>
        <v/>
      </c>
      <c r="N95" s="123" t="str">
        <f t="shared" ca="1" si="58"/>
        <v/>
      </c>
      <c r="O95" s="123" t="str">
        <f t="shared" ca="1" si="58"/>
        <v/>
      </c>
      <c r="P95" s="123" t="str">
        <f t="shared" ca="1" si="58"/>
        <v/>
      </c>
      <c r="Q95" s="123" t="str">
        <f t="shared" ca="1" si="58"/>
        <v/>
      </c>
      <c r="R95" s="123" t="str">
        <f t="shared" ca="1" si="58"/>
        <v/>
      </c>
      <c r="S95" s="123" t="str">
        <f t="shared" ca="1" si="58"/>
        <v/>
      </c>
      <c r="T95" s="123" t="str">
        <f t="shared" ca="1" si="58"/>
        <v/>
      </c>
      <c r="U95" s="123" t="str">
        <f t="shared" ca="1" si="58"/>
        <v/>
      </c>
      <c r="V95" s="123" t="str">
        <f t="shared" ca="1" si="58"/>
        <v/>
      </c>
      <c r="W95" s="123" t="str">
        <f t="shared" ca="1" si="58"/>
        <v/>
      </c>
      <c r="X95" s="123" t="str">
        <f t="shared" ca="1" si="58"/>
        <v/>
      </c>
      <c r="Y95" s="123" t="str">
        <f t="shared" ca="1" si="58"/>
        <v/>
      </c>
      <c r="Z95" s="123" t="str">
        <f t="shared" ca="1" si="58"/>
        <v/>
      </c>
      <c r="AA95" s="123" t="str">
        <f t="shared" ca="1" si="58"/>
        <v/>
      </c>
      <c r="AB95" s="123" t="str">
        <f t="shared" ca="1" si="58"/>
        <v/>
      </c>
      <c r="AC95" s="123" t="str">
        <f t="shared" ca="1" si="58"/>
        <v/>
      </c>
      <c r="AD95" s="123" t="str">
        <f t="shared" ca="1" si="58"/>
        <v/>
      </c>
      <c r="AE95" s="123" t="str">
        <f t="shared" ca="1" si="58"/>
        <v/>
      </c>
      <c r="AF95" s="123" t="str">
        <f t="shared" ca="1" si="58"/>
        <v/>
      </c>
      <c r="AG95" s="123" t="str">
        <f t="shared" ca="1" si="58"/>
        <v/>
      </c>
      <c r="AH95" s="123" t="str">
        <f t="shared" ca="1" si="58"/>
        <v/>
      </c>
      <c r="AJ95" s="123" t="str">
        <f ca="1">IF($AJ$9=0,"",AJ94/$AJ$9)</f>
        <v/>
      </c>
      <c r="AM95" s="123" t="str">
        <f ca="1">IF($AM$9=0,"",AM94/$AM$9)</f>
        <v/>
      </c>
    </row>
    <row r="96" spans="1:40" x14ac:dyDescent="0.25">
      <c r="C96" s="128" t="s">
        <v>819</v>
      </c>
      <c r="D96" s="132">
        <f t="shared" ref="D96:AH96" ca="1" si="59">SUMIFS(OFFSET(DBRA_TopicHCP,0,MATCH($A94,DBRA_TopicHCP_Titel,0)-1,DBR_COUNT,1),DBRA_WorkplanDate,D$6, DBRA_PlayerID,$D$3)</f>
        <v>0</v>
      </c>
      <c r="E96" s="132">
        <f t="shared" ca="1" si="59"/>
        <v>0</v>
      </c>
      <c r="F96" s="132">
        <f t="shared" ca="1" si="59"/>
        <v>0</v>
      </c>
      <c r="G96" s="132">
        <f t="shared" ca="1" si="59"/>
        <v>0</v>
      </c>
      <c r="H96" s="132">
        <f t="shared" ca="1" si="59"/>
        <v>0</v>
      </c>
      <c r="I96" s="132">
        <f t="shared" ca="1" si="59"/>
        <v>0</v>
      </c>
      <c r="J96" s="132">
        <f t="shared" ca="1" si="59"/>
        <v>0</v>
      </c>
      <c r="K96" s="132">
        <f t="shared" ca="1" si="59"/>
        <v>0</v>
      </c>
      <c r="L96" s="132">
        <f t="shared" ca="1" si="59"/>
        <v>0</v>
      </c>
      <c r="M96" s="132">
        <f t="shared" ca="1" si="59"/>
        <v>0</v>
      </c>
      <c r="N96" s="132">
        <f t="shared" ca="1" si="59"/>
        <v>0</v>
      </c>
      <c r="O96" s="132">
        <f t="shared" ca="1" si="59"/>
        <v>0</v>
      </c>
      <c r="P96" s="132">
        <f t="shared" ca="1" si="59"/>
        <v>0</v>
      </c>
      <c r="Q96" s="132">
        <f t="shared" ca="1" si="59"/>
        <v>0</v>
      </c>
      <c r="R96" s="132">
        <f t="shared" ca="1" si="59"/>
        <v>0</v>
      </c>
      <c r="S96" s="132">
        <f t="shared" ca="1" si="59"/>
        <v>0</v>
      </c>
      <c r="T96" s="132">
        <f t="shared" ca="1" si="59"/>
        <v>0</v>
      </c>
      <c r="U96" s="132">
        <f t="shared" ca="1" si="59"/>
        <v>0</v>
      </c>
      <c r="V96" s="132">
        <f t="shared" ca="1" si="59"/>
        <v>0</v>
      </c>
      <c r="W96" s="132">
        <f t="shared" ca="1" si="59"/>
        <v>0</v>
      </c>
      <c r="X96" s="132">
        <f t="shared" ca="1" si="59"/>
        <v>0</v>
      </c>
      <c r="Y96" s="132">
        <f t="shared" ca="1" si="59"/>
        <v>0</v>
      </c>
      <c r="Z96" s="132">
        <f t="shared" ca="1" si="59"/>
        <v>0</v>
      </c>
      <c r="AA96" s="132">
        <f t="shared" ca="1" si="59"/>
        <v>0</v>
      </c>
      <c r="AB96" s="132">
        <f t="shared" ca="1" si="59"/>
        <v>0</v>
      </c>
      <c r="AC96" s="132">
        <f t="shared" ca="1" si="59"/>
        <v>0</v>
      </c>
      <c r="AD96" s="132">
        <f t="shared" ca="1" si="59"/>
        <v>0</v>
      </c>
      <c r="AE96" s="132">
        <f t="shared" ca="1" si="59"/>
        <v>0</v>
      </c>
      <c r="AF96" s="132">
        <f t="shared" ca="1" si="59"/>
        <v>0</v>
      </c>
      <c r="AG96" s="132">
        <f t="shared" ca="1" si="59"/>
        <v>0</v>
      </c>
      <c r="AH96" s="132">
        <f t="shared" ca="1" si="59"/>
        <v>0</v>
      </c>
    </row>
    <row r="97" spans="1:37" x14ac:dyDescent="0.25">
      <c r="C97" s="128" t="s">
        <v>815</v>
      </c>
      <c r="D97" s="132">
        <f t="shared" ref="D97:AH97" ca="1" si="60">SUMIFS(OFFSET(DBRA_TopicCount,0,MATCH($A94,DBRA_TopicCount_Titel,0)-1,DBR_COUNT,1),DBRA_WorkplanDate,D$6, DBRA_PlayerID,$D$3)</f>
        <v>0</v>
      </c>
      <c r="E97" s="132">
        <f t="shared" ca="1" si="60"/>
        <v>0</v>
      </c>
      <c r="F97" s="132">
        <f t="shared" ca="1" si="60"/>
        <v>0</v>
      </c>
      <c r="G97" s="132">
        <f t="shared" ca="1" si="60"/>
        <v>0</v>
      </c>
      <c r="H97" s="132">
        <f t="shared" ca="1" si="60"/>
        <v>0</v>
      </c>
      <c r="I97" s="132">
        <f t="shared" ca="1" si="60"/>
        <v>0</v>
      </c>
      <c r="J97" s="132">
        <f t="shared" ca="1" si="60"/>
        <v>0</v>
      </c>
      <c r="K97" s="132">
        <f t="shared" ca="1" si="60"/>
        <v>0</v>
      </c>
      <c r="L97" s="132">
        <f t="shared" ca="1" si="60"/>
        <v>0</v>
      </c>
      <c r="M97" s="132">
        <f t="shared" ca="1" si="60"/>
        <v>0</v>
      </c>
      <c r="N97" s="132">
        <f t="shared" ca="1" si="60"/>
        <v>0</v>
      </c>
      <c r="O97" s="132">
        <f t="shared" ca="1" si="60"/>
        <v>0</v>
      </c>
      <c r="P97" s="132">
        <f t="shared" ca="1" si="60"/>
        <v>0</v>
      </c>
      <c r="Q97" s="132">
        <f t="shared" ca="1" si="60"/>
        <v>0</v>
      </c>
      <c r="R97" s="132">
        <f t="shared" ca="1" si="60"/>
        <v>0</v>
      </c>
      <c r="S97" s="132">
        <f t="shared" ca="1" si="60"/>
        <v>0</v>
      </c>
      <c r="T97" s="132">
        <f t="shared" ca="1" si="60"/>
        <v>0</v>
      </c>
      <c r="U97" s="132">
        <f t="shared" ca="1" si="60"/>
        <v>0</v>
      </c>
      <c r="V97" s="132">
        <f t="shared" ca="1" si="60"/>
        <v>0</v>
      </c>
      <c r="W97" s="132">
        <f t="shared" ca="1" si="60"/>
        <v>0</v>
      </c>
      <c r="X97" s="132">
        <f t="shared" ca="1" si="60"/>
        <v>0</v>
      </c>
      <c r="Y97" s="132">
        <f t="shared" ca="1" si="60"/>
        <v>0</v>
      </c>
      <c r="Z97" s="132">
        <f t="shared" ca="1" si="60"/>
        <v>0</v>
      </c>
      <c r="AA97" s="132">
        <f t="shared" ca="1" si="60"/>
        <v>0</v>
      </c>
      <c r="AB97" s="132">
        <f t="shared" ca="1" si="60"/>
        <v>0</v>
      </c>
      <c r="AC97" s="132">
        <f t="shared" ca="1" si="60"/>
        <v>0</v>
      </c>
      <c r="AD97" s="132">
        <f t="shared" ca="1" si="60"/>
        <v>0</v>
      </c>
      <c r="AE97" s="132">
        <f t="shared" ca="1" si="60"/>
        <v>0</v>
      </c>
      <c r="AF97" s="132">
        <f t="shared" ca="1" si="60"/>
        <v>0</v>
      </c>
      <c r="AG97" s="132">
        <f t="shared" ca="1" si="60"/>
        <v>0</v>
      </c>
      <c r="AH97" s="132">
        <f t="shared" ca="1" si="60"/>
        <v>0</v>
      </c>
    </row>
    <row r="98" spans="1:37" x14ac:dyDescent="0.25">
      <c r="C98" s="128" t="s">
        <v>820</v>
      </c>
      <c r="D98" s="131" t="str">
        <f t="shared" ref="D98:AH98" ca="1" si="61">IF(D$9&gt;0,IF(D97&gt;0,D96/D97,""),"")</f>
        <v/>
      </c>
      <c r="E98" s="131" t="str">
        <f t="shared" ca="1" si="61"/>
        <v/>
      </c>
      <c r="F98" s="131" t="str">
        <f t="shared" ca="1" si="61"/>
        <v/>
      </c>
      <c r="G98" s="131" t="str">
        <f t="shared" ca="1" si="61"/>
        <v/>
      </c>
      <c r="H98" s="131" t="str">
        <f t="shared" ca="1" si="61"/>
        <v/>
      </c>
      <c r="I98" s="131" t="str">
        <f t="shared" ca="1" si="61"/>
        <v/>
      </c>
      <c r="J98" s="131" t="str">
        <f t="shared" ca="1" si="61"/>
        <v/>
      </c>
      <c r="K98" s="131" t="str">
        <f t="shared" ca="1" si="61"/>
        <v/>
      </c>
      <c r="L98" s="131" t="str">
        <f t="shared" ca="1" si="61"/>
        <v/>
      </c>
      <c r="M98" s="131" t="str">
        <f t="shared" ca="1" si="61"/>
        <v/>
      </c>
      <c r="N98" s="131" t="str">
        <f t="shared" ca="1" si="61"/>
        <v/>
      </c>
      <c r="O98" s="131" t="str">
        <f t="shared" ca="1" si="61"/>
        <v/>
      </c>
      <c r="P98" s="131" t="str">
        <f t="shared" ca="1" si="61"/>
        <v/>
      </c>
      <c r="Q98" s="131" t="str">
        <f t="shared" ca="1" si="61"/>
        <v/>
      </c>
      <c r="R98" s="131" t="str">
        <f t="shared" ca="1" si="61"/>
        <v/>
      </c>
      <c r="S98" s="131" t="str">
        <f t="shared" ca="1" si="61"/>
        <v/>
      </c>
      <c r="T98" s="131" t="str">
        <f t="shared" ca="1" si="61"/>
        <v/>
      </c>
      <c r="U98" s="131" t="str">
        <f t="shared" ca="1" si="61"/>
        <v/>
      </c>
      <c r="V98" s="131" t="str">
        <f t="shared" ca="1" si="61"/>
        <v/>
      </c>
      <c r="W98" s="131" t="str">
        <f t="shared" ca="1" si="61"/>
        <v/>
      </c>
      <c r="X98" s="131" t="str">
        <f t="shared" ca="1" si="61"/>
        <v/>
      </c>
      <c r="Y98" s="131" t="str">
        <f t="shared" ca="1" si="61"/>
        <v/>
      </c>
      <c r="Z98" s="131" t="str">
        <f t="shared" ca="1" si="61"/>
        <v/>
      </c>
      <c r="AA98" s="131" t="str">
        <f t="shared" ca="1" si="61"/>
        <v/>
      </c>
      <c r="AB98" s="131" t="str">
        <f t="shared" ca="1" si="61"/>
        <v/>
      </c>
      <c r="AC98" s="131" t="str">
        <f t="shared" ca="1" si="61"/>
        <v/>
      </c>
      <c r="AD98" s="131" t="str">
        <f t="shared" ca="1" si="61"/>
        <v/>
      </c>
      <c r="AE98" s="131" t="str">
        <f t="shared" ca="1" si="61"/>
        <v/>
      </c>
      <c r="AF98" s="131" t="str">
        <f t="shared" ca="1" si="61"/>
        <v/>
      </c>
      <c r="AG98" s="131" t="str">
        <f t="shared" ca="1" si="61"/>
        <v/>
      </c>
      <c r="AH98" s="131" t="str">
        <f t="shared" ca="1" si="61"/>
        <v/>
      </c>
      <c r="AJ98" s="131" t="str">
        <f ca="1">IF(COUNT(D98:AH98)&gt;0,SUM(D98:AH98)/COUNT(D98:AH98),"")</f>
        <v/>
      </c>
    </row>
    <row r="99" spans="1:37" x14ac:dyDescent="0.25">
      <c r="C99" s="128" t="s">
        <v>1117</v>
      </c>
      <c r="D99" s="131" t="str">
        <f t="shared" ref="D99:AH99" ca="1" si="62">IF(LEN(D98)&gt;0,1,"")</f>
        <v/>
      </c>
      <c r="E99" s="131" t="str">
        <f t="shared" ca="1" si="62"/>
        <v/>
      </c>
      <c r="F99" s="131" t="str">
        <f t="shared" ca="1" si="62"/>
        <v/>
      </c>
      <c r="G99" s="131" t="str">
        <f t="shared" ca="1" si="62"/>
        <v/>
      </c>
      <c r="H99" s="131" t="str">
        <f t="shared" ca="1" si="62"/>
        <v/>
      </c>
      <c r="I99" s="131" t="str">
        <f t="shared" ca="1" si="62"/>
        <v/>
      </c>
      <c r="J99" s="131" t="str">
        <f t="shared" ca="1" si="62"/>
        <v/>
      </c>
      <c r="K99" s="131" t="str">
        <f t="shared" ca="1" si="62"/>
        <v/>
      </c>
      <c r="L99" s="131" t="str">
        <f t="shared" ca="1" si="62"/>
        <v/>
      </c>
      <c r="M99" s="131" t="str">
        <f t="shared" ca="1" si="62"/>
        <v/>
      </c>
      <c r="N99" s="131" t="str">
        <f t="shared" ca="1" si="62"/>
        <v/>
      </c>
      <c r="O99" s="131" t="str">
        <f t="shared" ca="1" si="62"/>
        <v/>
      </c>
      <c r="P99" s="131" t="str">
        <f t="shared" ca="1" si="62"/>
        <v/>
      </c>
      <c r="Q99" s="131" t="str">
        <f t="shared" ca="1" si="62"/>
        <v/>
      </c>
      <c r="R99" s="131" t="str">
        <f t="shared" ca="1" si="62"/>
        <v/>
      </c>
      <c r="S99" s="131" t="str">
        <f t="shared" ca="1" si="62"/>
        <v/>
      </c>
      <c r="T99" s="131" t="str">
        <f t="shared" ca="1" si="62"/>
        <v/>
      </c>
      <c r="U99" s="131" t="str">
        <f t="shared" ca="1" si="62"/>
        <v/>
      </c>
      <c r="V99" s="131" t="str">
        <f t="shared" ca="1" si="62"/>
        <v/>
      </c>
      <c r="W99" s="131" t="str">
        <f t="shared" ca="1" si="62"/>
        <v/>
      </c>
      <c r="X99" s="131" t="str">
        <f t="shared" ca="1" si="62"/>
        <v/>
      </c>
      <c r="Y99" s="131" t="str">
        <f t="shared" ca="1" si="62"/>
        <v/>
      </c>
      <c r="Z99" s="131" t="str">
        <f t="shared" ca="1" si="62"/>
        <v/>
      </c>
      <c r="AA99" s="131" t="str">
        <f t="shared" ca="1" si="62"/>
        <v/>
      </c>
      <c r="AB99" s="131" t="str">
        <f t="shared" ca="1" si="62"/>
        <v/>
      </c>
      <c r="AC99" s="131" t="str">
        <f t="shared" ca="1" si="62"/>
        <v/>
      </c>
      <c r="AD99" s="131" t="str">
        <f t="shared" ca="1" si="62"/>
        <v/>
      </c>
      <c r="AE99" s="131" t="str">
        <f t="shared" ca="1" si="62"/>
        <v/>
      </c>
      <c r="AF99" s="131" t="str">
        <f t="shared" ca="1" si="62"/>
        <v/>
      </c>
      <c r="AG99" s="131" t="str">
        <f t="shared" ca="1" si="62"/>
        <v/>
      </c>
      <c r="AH99" s="131" t="str">
        <f t="shared" ca="1" si="62"/>
        <v/>
      </c>
      <c r="AJ99" s="222">
        <f ca="1">getLastCellIndexInRow(D99:AH99)</f>
        <v>-1</v>
      </c>
      <c r="AK99" s="222">
        <f ca="1">IF(AJ99&gt;0,INDEX(D98:AH98,1,AJ99)-AJ98,0)</f>
        <v>0</v>
      </c>
    </row>
    <row r="100" spans="1:37" x14ac:dyDescent="0.25">
      <c r="C100" s="128"/>
      <c r="D100" s="131"/>
      <c r="E100" s="131"/>
      <c r="F100" s="131"/>
      <c r="G100" s="131"/>
      <c r="H100" s="131"/>
      <c r="I100" s="131"/>
      <c r="J100" s="131"/>
      <c r="K100" s="131"/>
      <c r="L100" s="131"/>
      <c r="M100" s="131"/>
      <c r="N100" s="131"/>
      <c r="O100" s="131"/>
      <c r="P100" s="131"/>
      <c r="Q100" s="131"/>
      <c r="R100" s="131"/>
      <c r="S100" s="131"/>
      <c r="T100" s="131"/>
      <c r="U100" s="131"/>
      <c r="V100" s="131"/>
      <c r="W100" s="131"/>
      <c r="X100" s="131"/>
      <c r="Y100" s="131"/>
      <c r="Z100" s="131"/>
      <c r="AA100" s="131"/>
      <c r="AB100" s="131"/>
      <c r="AC100" s="131"/>
      <c r="AD100" s="131"/>
      <c r="AE100" s="131"/>
      <c r="AF100" s="131"/>
      <c r="AG100" s="131"/>
      <c r="AH100" s="131"/>
    </row>
    <row r="101" spans="1:37" x14ac:dyDescent="0.25">
      <c r="C101" s="128"/>
      <c r="D101" s="131"/>
      <c r="E101" s="131"/>
      <c r="F101" s="131"/>
      <c r="G101" s="131"/>
      <c r="H101" s="131"/>
      <c r="I101" s="131"/>
      <c r="J101" s="131"/>
      <c r="K101" s="131"/>
      <c r="L101" s="131"/>
      <c r="M101" s="131"/>
      <c r="N101" s="131"/>
      <c r="O101" s="131"/>
      <c r="P101" s="131"/>
      <c r="Q101" s="131"/>
      <c r="R101" s="131"/>
      <c r="S101" s="131"/>
      <c r="T101" s="131"/>
      <c r="U101" s="131"/>
      <c r="V101" s="131"/>
      <c r="W101" s="131"/>
      <c r="X101" s="131"/>
      <c r="Y101" s="131"/>
      <c r="Z101" s="131"/>
      <c r="AA101" s="131"/>
      <c r="AB101" s="131"/>
      <c r="AC101" s="131"/>
      <c r="AD101" s="131"/>
      <c r="AE101" s="131"/>
      <c r="AF101" s="131"/>
      <c r="AG101" s="131"/>
      <c r="AH101" s="131"/>
    </row>
    <row r="102" spans="1:37" x14ac:dyDescent="0.25">
      <c r="C102" s="128"/>
      <c r="D102" s="131"/>
      <c r="E102" s="131"/>
      <c r="F102" s="131"/>
      <c r="G102" s="131"/>
      <c r="H102" s="131"/>
      <c r="I102" s="131"/>
      <c r="J102" s="131"/>
      <c r="K102" s="131"/>
      <c r="L102" s="131"/>
      <c r="M102" s="131"/>
      <c r="N102" s="131"/>
      <c r="O102" s="131"/>
      <c r="P102" s="131"/>
      <c r="Q102" s="131"/>
      <c r="R102" s="131"/>
      <c r="S102" s="131"/>
      <c r="T102" s="131"/>
      <c r="U102" s="131"/>
      <c r="V102" s="131"/>
      <c r="W102" s="131"/>
      <c r="X102" s="131"/>
      <c r="Y102" s="131"/>
      <c r="Z102" s="131"/>
      <c r="AA102" s="131"/>
      <c r="AB102" s="131"/>
      <c r="AC102" s="131"/>
      <c r="AD102" s="131"/>
      <c r="AE102" s="131"/>
      <c r="AF102" s="131"/>
      <c r="AG102" s="131"/>
      <c r="AH102" s="131"/>
    </row>
    <row r="106" spans="1:37" x14ac:dyDescent="0.25">
      <c r="A106" t="s">
        <v>1104</v>
      </c>
    </row>
    <row r="107" spans="1:37" x14ac:dyDescent="0.25">
      <c r="A107" t="str">
        <f>MUI_STAT_T_MainTitel_1</f>
        <v>Putting</v>
      </c>
    </row>
    <row r="108" spans="1:37" x14ac:dyDescent="0.25">
      <c r="A108" t="str">
        <f>MUI_STAT_T_MainTitel_2</f>
        <v>Chipping</v>
      </c>
    </row>
    <row r="109" spans="1:37" x14ac:dyDescent="0.25">
      <c r="A109" t="str">
        <f>MUI_STAT_T_MainTitel_3</f>
        <v>Pitching</v>
      </c>
    </row>
    <row r="110" spans="1:37" x14ac:dyDescent="0.25">
      <c r="A110" t="str">
        <f>MUI_STAT_T_MainTitel_4</f>
        <v>Approach Shot</v>
      </c>
    </row>
    <row r="111" spans="1:37" x14ac:dyDescent="0.25">
      <c r="A111" t="str">
        <f>MUI_STAT_T_MainTitel_5</f>
        <v>Wood</v>
      </c>
    </row>
    <row r="112" spans="1:37" x14ac:dyDescent="0.25">
      <c r="A112" t="str">
        <f>MUI_STAT_T_MainTitel_6</f>
        <v>Driver</v>
      </c>
    </row>
    <row r="113" spans="1:12" x14ac:dyDescent="0.25">
      <c r="A113" t="str">
        <f>MUI_STAT_T_MainTitel_7</f>
        <v>Bunker</v>
      </c>
    </row>
    <row r="114" spans="1:12" x14ac:dyDescent="0.25">
      <c r="A114" t="str">
        <f>MUI_STAT_T_MainTitel_8</f>
        <v>Mental</v>
      </c>
    </row>
    <row r="115" spans="1:12" x14ac:dyDescent="0.25">
      <c r="A115" t="str">
        <f>MUI_STAT_T_MainTitel_9</f>
        <v>Round of Golf</v>
      </c>
    </row>
    <row r="120" spans="1:12" x14ac:dyDescent="0.25">
      <c r="A120" t="s">
        <v>1170</v>
      </c>
      <c r="D120" t="str">
        <f>MUI_STAT_T_MainTitel_1</f>
        <v>Putting</v>
      </c>
      <c r="E120" t="str">
        <f>MUI_STAT_T_MainTitel_2</f>
        <v>Chipping</v>
      </c>
      <c r="F120" t="str">
        <f>MUI_STAT_T_MainTitel_3</f>
        <v>Pitching</v>
      </c>
      <c r="G120" t="str">
        <f>MUI_STAT_T_MainTitel_4</f>
        <v>Approach Shot</v>
      </c>
      <c r="H120" t="str">
        <f>MUI_STAT_T_MainTitel_5</f>
        <v>Wood</v>
      </c>
      <c r="I120" t="str">
        <f>MUI_STAT_T_MainTitel_6</f>
        <v>Driver</v>
      </c>
      <c r="J120" t="str">
        <f>MUI_STAT_T_MainTitel_7</f>
        <v>Bunker</v>
      </c>
      <c r="K120" t="str">
        <f>MUI_STAT_T_MainTitel_8</f>
        <v>Mental</v>
      </c>
      <c r="L120" t="str">
        <f>MUI_STAT_T_MainTitel_9</f>
        <v>Round of Golf</v>
      </c>
    </row>
    <row r="121" spans="1:12" x14ac:dyDescent="0.25">
      <c r="D121" s="235" t="str">
        <f ca="1">AJ15</f>
        <v/>
      </c>
      <c r="E121" s="235" t="str">
        <f ca="1">$AJ25</f>
        <v/>
      </c>
      <c r="F121" s="235" t="str">
        <f ca="1">$AJ35</f>
        <v/>
      </c>
      <c r="G121" s="235" t="str">
        <f ca="1">$AJ45</f>
        <v/>
      </c>
      <c r="H121" s="235" t="str">
        <f ca="1">$AJ55</f>
        <v/>
      </c>
      <c r="I121" s="235" t="str">
        <f ca="1">$AJ65</f>
        <v/>
      </c>
      <c r="J121" s="235" t="str">
        <f ca="1">$AJ75</f>
        <v/>
      </c>
      <c r="K121" s="235" t="str">
        <f ca="1">$AJ85</f>
        <v/>
      </c>
      <c r="L121" s="235" t="str">
        <f ca="1">$AJ95</f>
        <v/>
      </c>
    </row>
    <row r="123" spans="1:12" x14ac:dyDescent="0.25">
      <c r="D123" s="223"/>
      <c r="E123" s="223"/>
      <c r="F123" s="223"/>
      <c r="G123" s="223"/>
      <c r="H123" s="223"/>
      <c r="I123" s="223"/>
      <c r="J123" s="223"/>
      <c r="K123" s="223"/>
      <c r="L123" s="223"/>
    </row>
    <row r="124" spans="1:12" x14ac:dyDescent="0.25">
      <c r="D124" s="223"/>
      <c r="E124" s="223"/>
      <c r="F124" s="223"/>
      <c r="G124" s="223"/>
      <c r="H124" s="223"/>
      <c r="I124" s="223"/>
      <c r="J124" s="223"/>
      <c r="K124" s="223"/>
      <c r="L124" s="223"/>
    </row>
    <row r="125" spans="1:12" x14ac:dyDescent="0.25">
      <c r="D125" s="223"/>
      <c r="E125" s="223"/>
      <c r="F125" s="223"/>
      <c r="G125" s="223"/>
      <c r="H125" s="223"/>
      <c r="I125" s="223"/>
      <c r="J125" s="223"/>
      <c r="K125" s="223"/>
      <c r="L125" s="223"/>
    </row>
    <row r="126" spans="1:12" x14ac:dyDescent="0.25">
      <c r="D126" s="223"/>
      <c r="E126" s="223"/>
      <c r="F126" s="223"/>
      <c r="G126" s="223"/>
      <c r="H126" s="223"/>
      <c r="I126" s="223"/>
      <c r="J126" s="223"/>
      <c r="K126" s="223"/>
      <c r="L126" s="223"/>
    </row>
    <row r="127" spans="1:12" x14ac:dyDescent="0.25">
      <c r="D127" s="223"/>
      <c r="E127" s="223"/>
      <c r="F127" s="223"/>
      <c r="G127" s="223"/>
      <c r="H127" s="223"/>
      <c r="I127" s="223"/>
      <c r="J127" s="223"/>
      <c r="K127" s="223"/>
      <c r="L127" s="223"/>
    </row>
    <row r="128" spans="1:12" x14ac:dyDescent="0.25">
      <c r="D128" s="223"/>
      <c r="E128" s="223"/>
      <c r="F128" s="223"/>
      <c r="G128" s="223"/>
      <c r="H128" s="223"/>
      <c r="I128" s="223"/>
      <c r="J128" s="223"/>
      <c r="K128" s="223"/>
      <c r="L128" s="223"/>
    </row>
    <row r="129" spans="1:12" x14ac:dyDescent="0.25">
      <c r="D129" s="223"/>
      <c r="E129" s="223"/>
      <c r="F129" s="223"/>
      <c r="G129" s="223"/>
      <c r="H129" s="223"/>
      <c r="I129" s="223"/>
      <c r="J129" s="223"/>
      <c r="K129" s="223"/>
      <c r="L129" s="223"/>
    </row>
    <row r="130" spans="1:12" x14ac:dyDescent="0.25">
      <c r="D130" s="223"/>
      <c r="E130" s="223"/>
      <c r="F130" s="223"/>
      <c r="G130" s="223"/>
      <c r="H130" s="223"/>
      <c r="I130" s="223"/>
      <c r="J130" s="223"/>
      <c r="K130" s="223"/>
      <c r="L130" s="223"/>
    </row>
    <row r="131" spans="1:12" x14ac:dyDescent="0.25">
      <c r="D131" s="223"/>
      <c r="E131" s="223"/>
      <c r="F131" s="223"/>
      <c r="G131" s="223"/>
      <c r="H131" s="223"/>
      <c r="I131" s="223"/>
      <c r="J131" s="223"/>
      <c r="K131" s="223"/>
      <c r="L131" s="223"/>
    </row>
    <row r="132" spans="1:12" x14ac:dyDescent="0.25">
      <c r="D132" s="223"/>
      <c r="E132" s="223"/>
      <c r="F132" s="223"/>
      <c r="G132" s="223"/>
      <c r="H132" s="223"/>
      <c r="I132" s="223"/>
      <c r="J132" s="223"/>
      <c r="K132" s="223"/>
      <c r="L132" s="223"/>
    </row>
    <row r="133" spans="1:12" x14ac:dyDescent="0.25">
      <c r="D133" s="223"/>
      <c r="E133" s="223"/>
      <c r="F133" s="223"/>
      <c r="G133" s="223"/>
      <c r="H133" s="223"/>
      <c r="I133" s="223"/>
      <c r="J133" s="223"/>
      <c r="K133" s="223"/>
      <c r="L133" s="223"/>
    </row>
    <row r="134" spans="1:12" x14ac:dyDescent="0.25">
      <c r="D134" s="223"/>
      <c r="E134" s="223"/>
      <c r="F134" s="223"/>
      <c r="G134" s="223"/>
      <c r="H134" s="223"/>
      <c r="I134" s="223"/>
      <c r="J134" s="223"/>
      <c r="K134" s="223"/>
      <c r="L134" s="223"/>
    </row>
    <row r="135" spans="1:12" x14ac:dyDescent="0.25">
      <c r="D135" s="223"/>
      <c r="E135" s="223"/>
      <c r="F135" s="223"/>
      <c r="G135" s="223"/>
      <c r="H135" s="223"/>
      <c r="I135" s="223"/>
      <c r="J135" s="223"/>
      <c r="K135" s="223"/>
      <c r="L135" s="223"/>
    </row>
    <row r="136" spans="1:12" x14ac:dyDescent="0.25">
      <c r="D136" s="223"/>
      <c r="E136" s="223"/>
      <c r="F136" s="223"/>
      <c r="G136" s="223"/>
      <c r="H136" s="223"/>
      <c r="I136" s="223"/>
      <c r="J136" s="223"/>
      <c r="K136" s="223"/>
      <c r="L136" s="223"/>
    </row>
    <row r="137" spans="1:12" x14ac:dyDescent="0.25">
      <c r="D137" s="223"/>
      <c r="E137" s="223"/>
      <c r="F137" s="223"/>
      <c r="G137" s="223"/>
      <c r="H137" s="223"/>
      <c r="I137" s="223"/>
      <c r="J137" s="223"/>
      <c r="K137" s="223"/>
      <c r="L137" s="223"/>
    </row>
    <row r="138" spans="1:12" x14ac:dyDescent="0.25">
      <c r="D138" s="223"/>
      <c r="E138" s="223"/>
      <c r="F138" s="223"/>
      <c r="G138" s="223"/>
      <c r="H138" s="223"/>
      <c r="I138" s="223"/>
      <c r="J138" s="223"/>
      <c r="K138" s="223"/>
      <c r="L138" s="223"/>
    </row>
    <row r="139" spans="1:12" x14ac:dyDescent="0.25">
      <c r="D139" s="223"/>
      <c r="E139" s="223"/>
      <c r="F139" s="223"/>
      <c r="G139" s="223"/>
      <c r="H139" s="223"/>
      <c r="I139" s="223"/>
      <c r="J139" s="223"/>
      <c r="K139" s="223"/>
      <c r="L139" s="223"/>
    </row>
    <row r="140" spans="1:12" x14ac:dyDescent="0.25">
      <c r="D140" t="str">
        <f>MUI_STAT_T_MainTitel_1</f>
        <v>Putting</v>
      </c>
      <c r="E140" t="str">
        <f>MUI_STAT_T_MainTitel_2</f>
        <v>Chipping</v>
      </c>
      <c r="F140" t="str">
        <f>MUI_STAT_T_MainTitel_3</f>
        <v>Pitching</v>
      </c>
      <c r="G140" t="str">
        <f>MUI_STAT_T_MainTitel_4</f>
        <v>Approach Shot</v>
      </c>
      <c r="H140" t="str">
        <f>MUI_STAT_T_MainTitel_5</f>
        <v>Wood</v>
      </c>
      <c r="I140" t="str">
        <f>MUI_STAT_T_MainTitel_6</f>
        <v>Driver</v>
      </c>
      <c r="J140" t="str">
        <f>MUI_STAT_T_MainTitel_7</f>
        <v>Bunker</v>
      </c>
      <c r="K140" t="str">
        <f>MUI_STAT_T_MainTitel_8</f>
        <v>Mental</v>
      </c>
      <c r="L140" t="str">
        <f>MUI_STAT_T_MainTitel_9</f>
        <v>Round of Golf</v>
      </c>
    </row>
    <row r="141" spans="1:12" x14ac:dyDescent="0.25">
      <c r="A141" t="s">
        <v>1121</v>
      </c>
      <c r="D141" t="str">
        <f>MUI_STAT_T_MainTitel_1</f>
        <v>Putting</v>
      </c>
      <c r="E141" t="str">
        <f>MUI_STAT_T_MainTitel_2</f>
        <v>Chipping</v>
      </c>
      <c r="F141" t="str">
        <f>MUI_STAT_T_MainTitel_3</f>
        <v>Pitching</v>
      </c>
      <c r="G141" t="str">
        <f>MUI_STAT_T_MainTitel_4</f>
        <v>Approach Shot</v>
      </c>
      <c r="H141" t="str">
        <f>MUI_STAT_T_MainTitel_5</f>
        <v>Wood</v>
      </c>
      <c r="I141" t="str">
        <f>MUI_STAT_T_MainTitel_6</f>
        <v>Driver</v>
      </c>
      <c r="J141" t="str">
        <f>MUI_STAT_T_MainTitel_7</f>
        <v>Bunker</v>
      </c>
      <c r="K141" t="str">
        <f>MUI_STAT_T_MainTitel_8</f>
        <v>Mental</v>
      </c>
      <c r="L141" t="str">
        <f>MUI_STAT_T_MainTitel_9</f>
        <v>Round of Golf</v>
      </c>
    </row>
    <row r="142" spans="1:12" x14ac:dyDescent="0.25">
      <c r="D142" s="82">
        <f ca="1">AK19</f>
        <v>0</v>
      </c>
      <c r="E142" s="82">
        <f ca="1">AJ29</f>
        <v>-1</v>
      </c>
      <c r="F142" s="82">
        <f ca="1">AJ39</f>
        <v>-1</v>
      </c>
      <c r="G142" s="82">
        <f ca="1">AJ49</f>
        <v>-1</v>
      </c>
      <c r="H142" s="82">
        <f ca="1">AK59</f>
        <v>0</v>
      </c>
      <c r="I142" s="82">
        <f ca="1">AK69</f>
        <v>0</v>
      </c>
      <c r="J142" s="82">
        <f ca="1">AK79</f>
        <v>0</v>
      </c>
      <c r="K142" s="82">
        <f ca="1">AK89</f>
        <v>0</v>
      </c>
      <c r="L142" s="82">
        <f ca="1">AK99</f>
        <v>0</v>
      </c>
    </row>
    <row r="144" spans="1:12" x14ac:dyDescent="0.25">
      <c r="D144" s="223"/>
      <c r="E144" s="223"/>
      <c r="F144" s="223"/>
      <c r="G144" s="223"/>
      <c r="H144" s="223"/>
      <c r="I144" s="223"/>
      <c r="J144" s="223"/>
      <c r="K144" s="223"/>
      <c r="L144" s="223"/>
    </row>
    <row r="145" spans="4:12" x14ac:dyDescent="0.25">
      <c r="D145" s="223"/>
      <c r="E145" s="223"/>
      <c r="F145" s="223"/>
      <c r="G145" s="223"/>
      <c r="H145" s="223"/>
      <c r="I145" s="223"/>
      <c r="J145" s="223"/>
      <c r="K145" s="223"/>
      <c r="L145" s="223"/>
    </row>
    <row r="146" spans="4:12" x14ac:dyDescent="0.25">
      <c r="D146" s="223"/>
      <c r="E146" s="223"/>
      <c r="F146" s="223"/>
      <c r="G146" s="223"/>
      <c r="H146" s="223"/>
      <c r="I146" s="223"/>
      <c r="J146" s="223"/>
      <c r="K146" s="223"/>
      <c r="L146" s="223"/>
    </row>
    <row r="147" spans="4:12" x14ac:dyDescent="0.25">
      <c r="D147" s="223"/>
      <c r="E147" s="223"/>
      <c r="F147" s="223"/>
      <c r="G147" s="223"/>
      <c r="H147" s="223"/>
      <c r="I147" s="223"/>
      <c r="J147" s="223"/>
      <c r="K147" s="223"/>
      <c r="L147" s="223"/>
    </row>
    <row r="148" spans="4:12" x14ac:dyDescent="0.25">
      <c r="D148" s="223"/>
      <c r="E148" s="223"/>
      <c r="F148" s="223"/>
      <c r="G148" s="223"/>
      <c r="H148" s="223"/>
      <c r="I148" s="223"/>
      <c r="J148" s="223"/>
      <c r="K148" s="223"/>
      <c r="L148" s="223"/>
    </row>
    <row r="149" spans="4:12" x14ac:dyDescent="0.25">
      <c r="D149" s="223"/>
      <c r="E149" s="223"/>
      <c r="F149" s="223"/>
      <c r="G149" s="223"/>
      <c r="H149" s="223"/>
      <c r="I149" s="223"/>
      <c r="J149" s="223"/>
      <c r="K149" s="223"/>
      <c r="L149" s="223"/>
    </row>
    <row r="150" spans="4:12" x14ac:dyDescent="0.25">
      <c r="D150" s="223"/>
      <c r="E150" s="223"/>
      <c r="F150" s="223"/>
      <c r="G150" s="223"/>
      <c r="H150" s="223"/>
      <c r="I150" s="223"/>
      <c r="J150" s="223"/>
      <c r="K150" s="223"/>
      <c r="L150" s="223"/>
    </row>
    <row r="151" spans="4:12" x14ac:dyDescent="0.25">
      <c r="D151" s="223"/>
      <c r="E151" s="223"/>
      <c r="F151" s="223"/>
      <c r="G151" s="223"/>
      <c r="H151" s="223"/>
      <c r="I151" s="223"/>
      <c r="J151" s="223"/>
      <c r="K151" s="223"/>
      <c r="L151" s="223"/>
    </row>
    <row r="152" spans="4:12" x14ac:dyDescent="0.25">
      <c r="D152" s="223"/>
      <c r="E152" s="223"/>
      <c r="F152" s="223"/>
      <c r="G152" s="223"/>
      <c r="H152" s="223"/>
      <c r="I152" s="223"/>
      <c r="J152" s="223"/>
      <c r="K152" s="223"/>
      <c r="L152" s="223"/>
    </row>
    <row r="153" spans="4:12" x14ac:dyDescent="0.25">
      <c r="D153" s="223"/>
      <c r="E153" s="223"/>
      <c r="F153" s="223"/>
      <c r="G153" s="223"/>
      <c r="H153" s="223"/>
      <c r="I153" s="223"/>
      <c r="J153" s="223"/>
      <c r="K153" s="223"/>
      <c r="L153" s="223"/>
    </row>
    <row r="154" spans="4:12" x14ac:dyDescent="0.25">
      <c r="D154" s="223"/>
      <c r="E154" s="223"/>
      <c r="F154" s="223"/>
      <c r="G154" s="223"/>
      <c r="H154" s="223"/>
      <c r="I154" s="223"/>
      <c r="J154" s="223"/>
      <c r="K154" s="223"/>
      <c r="L154" s="223"/>
    </row>
    <row r="155" spans="4:12" x14ac:dyDescent="0.25">
      <c r="D155" s="223"/>
      <c r="E155" s="223"/>
      <c r="F155" s="223"/>
      <c r="G155" s="223"/>
      <c r="H155" s="223"/>
      <c r="I155" s="223"/>
      <c r="J155" s="223"/>
      <c r="K155" s="223"/>
      <c r="L155" s="223"/>
    </row>
    <row r="156" spans="4:12" x14ac:dyDescent="0.25">
      <c r="D156" s="223"/>
      <c r="E156" s="223"/>
      <c r="F156" s="223"/>
      <c r="G156" s="223"/>
      <c r="H156" s="223"/>
      <c r="I156" s="223"/>
      <c r="J156" s="223"/>
      <c r="K156" s="223"/>
      <c r="L156" s="223"/>
    </row>
    <row r="157" spans="4:12" x14ac:dyDescent="0.25">
      <c r="D157" s="223"/>
      <c r="E157" s="223"/>
      <c r="F157" s="223"/>
      <c r="G157" s="223"/>
      <c r="H157" s="223"/>
      <c r="I157" s="223"/>
      <c r="J157" s="223"/>
      <c r="K157" s="223"/>
      <c r="L157" s="223"/>
    </row>
    <row r="158" spans="4:12" x14ac:dyDescent="0.25">
      <c r="D158" s="223"/>
      <c r="E158" s="223"/>
      <c r="F158" s="223"/>
      <c r="G158" s="223"/>
      <c r="H158" s="223"/>
      <c r="I158" s="223"/>
      <c r="J158" s="223"/>
      <c r="K158" s="223"/>
      <c r="L158" s="223"/>
    </row>
    <row r="159" spans="4:12" x14ac:dyDescent="0.25">
      <c r="D159" s="223"/>
      <c r="E159" s="223"/>
      <c r="F159" s="223"/>
      <c r="G159" s="223"/>
      <c r="H159" s="223"/>
      <c r="I159" s="223"/>
      <c r="J159" s="223"/>
      <c r="K159" s="223"/>
      <c r="L159" s="223"/>
    </row>
    <row r="160" spans="4:12" x14ac:dyDescent="0.25">
      <c r="D160" s="223"/>
      <c r="E160" s="223"/>
      <c r="F160" s="223"/>
      <c r="G160" s="223"/>
      <c r="H160" s="223"/>
      <c r="I160" s="223"/>
      <c r="J160" s="223"/>
      <c r="K160" s="223"/>
      <c r="L160" s="223"/>
    </row>
    <row r="161" spans="1:12" x14ac:dyDescent="0.25">
      <c r="D161" t="str">
        <f>MUI_STAT_T_MainTitel_1</f>
        <v>Putting</v>
      </c>
      <c r="E161" t="str">
        <f>MUI_STAT_T_MainTitel_2</f>
        <v>Chipping</v>
      </c>
      <c r="F161" t="str">
        <f>MUI_STAT_T_MainTitel_3</f>
        <v>Pitching</v>
      </c>
      <c r="G161" t="str">
        <f>MUI_STAT_T_MainTitel_4</f>
        <v>Approach Shot</v>
      </c>
      <c r="H161" t="str">
        <f>MUI_STAT_T_MainTitel_5</f>
        <v>Wood</v>
      </c>
      <c r="I161" t="str">
        <f>MUI_STAT_T_MainTitel_6</f>
        <v>Driver</v>
      </c>
      <c r="J161" t="str">
        <f>MUI_STAT_T_MainTitel_7</f>
        <v>Bunker</v>
      </c>
      <c r="K161" t="str">
        <f>MUI_STAT_T_MainTitel_8</f>
        <v>Mental</v>
      </c>
      <c r="L161" t="str">
        <f>MUI_STAT_T_MainTitel_9</f>
        <v>Round of Golf</v>
      </c>
    </row>
    <row r="162" spans="1:12" x14ac:dyDescent="0.25">
      <c r="D162" s="223" t="str">
        <f ca="1">AJ18</f>
        <v/>
      </c>
      <c r="E162" s="223" t="str">
        <f ca="1">AJ28</f>
        <v/>
      </c>
      <c r="F162" s="223" t="str">
        <f ca="1">AJ38</f>
        <v/>
      </c>
      <c r="G162" s="223" t="str">
        <f ca="1">$AJ48</f>
        <v/>
      </c>
      <c r="H162" s="223" t="str">
        <f ca="1">$AJ58</f>
        <v/>
      </c>
      <c r="I162" s="223" t="str">
        <f ca="1">$AJ68</f>
        <v/>
      </c>
      <c r="J162" s="223" t="str">
        <f ca="1">$AJ78</f>
        <v/>
      </c>
      <c r="K162" s="223" t="str">
        <f ca="1">$AJ88</f>
        <v/>
      </c>
      <c r="L162" s="223" t="str">
        <f ca="1">$AJ98</f>
        <v/>
      </c>
    </row>
    <row r="163" spans="1:12" x14ac:dyDescent="0.25">
      <c r="D163" s="223">
        <f ca="1">$AJ$8</f>
        <v>0</v>
      </c>
      <c r="E163" s="223">
        <f t="shared" ref="E163:L163" ca="1" si="63">$AJ$8</f>
        <v>0</v>
      </c>
      <c r="F163" s="223">
        <f t="shared" ca="1" si="63"/>
        <v>0</v>
      </c>
      <c r="G163" s="223">
        <f t="shared" ca="1" si="63"/>
        <v>0</v>
      </c>
      <c r="H163" s="223">
        <f t="shared" ca="1" si="63"/>
        <v>0</v>
      </c>
      <c r="I163" s="223">
        <f t="shared" ca="1" si="63"/>
        <v>0</v>
      </c>
      <c r="J163" s="223">
        <f t="shared" ca="1" si="63"/>
        <v>0</v>
      </c>
      <c r="K163" s="223">
        <f t="shared" ca="1" si="63"/>
        <v>0</v>
      </c>
      <c r="L163" s="223">
        <f t="shared" ca="1" si="63"/>
        <v>0</v>
      </c>
    </row>
    <row r="164" spans="1:12" x14ac:dyDescent="0.25">
      <c r="A164" t="s">
        <v>1122</v>
      </c>
    </row>
    <row r="166" spans="1:12" x14ac:dyDescent="0.25">
      <c r="D166" s="223"/>
      <c r="E166" s="223"/>
      <c r="F166" s="223"/>
      <c r="G166" s="223"/>
      <c r="H166" s="223"/>
      <c r="I166" s="223"/>
      <c r="J166" s="223"/>
      <c r="K166" s="223"/>
      <c r="L166" s="223"/>
    </row>
    <row r="167" spans="1:12" x14ac:dyDescent="0.25">
      <c r="D167" s="223"/>
      <c r="E167" s="223"/>
      <c r="F167" s="223"/>
      <c r="G167" s="223"/>
      <c r="H167" s="223"/>
      <c r="I167" s="223"/>
      <c r="J167" s="223"/>
      <c r="K167" s="223"/>
      <c r="L167" s="223"/>
    </row>
    <row r="168" spans="1:12" x14ac:dyDescent="0.25">
      <c r="D168" s="223"/>
      <c r="E168" s="223"/>
      <c r="F168" s="223"/>
      <c r="G168" s="223"/>
      <c r="H168" s="223"/>
      <c r="I168" s="223"/>
      <c r="J168" s="223"/>
      <c r="K168" s="223"/>
      <c r="L168" s="223"/>
    </row>
    <row r="169" spans="1:12" x14ac:dyDescent="0.25">
      <c r="D169" s="223"/>
      <c r="E169" s="223"/>
      <c r="F169" s="223"/>
      <c r="G169" s="223"/>
      <c r="H169" s="223"/>
      <c r="I169" s="223"/>
      <c r="J169" s="223"/>
      <c r="K169" s="223"/>
      <c r="L169" s="223"/>
    </row>
    <row r="170" spans="1:12" x14ac:dyDescent="0.25">
      <c r="D170" s="223"/>
      <c r="E170" s="223"/>
      <c r="F170" s="223"/>
      <c r="G170" s="223"/>
      <c r="H170" s="223"/>
      <c r="I170" s="223"/>
      <c r="J170" s="223"/>
      <c r="K170" s="223"/>
      <c r="L170" s="223"/>
    </row>
    <row r="171" spans="1:12" x14ac:dyDescent="0.25">
      <c r="D171" s="223"/>
      <c r="E171" s="223"/>
      <c r="F171" s="223"/>
      <c r="G171" s="223"/>
      <c r="H171" s="223"/>
      <c r="I171" s="223"/>
      <c r="J171" s="223"/>
      <c r="K171" s="223"/>
      <c r="L171" s="223"/>
    </row>
    <row r="172" spans="1:12" x14ac:dyDescent="0.25">
      <c r="D172" s="223"/>
      <c r="E172" s="223"/>
      <c r="F172" s="223"/>
      <c r="G172" s="223"/>
      <c r="H172" s="223"/>
      <c r="I172" s="223"/>
      <c r="J172" s="223"/>
      <c r="K172" s="223"/>
      <c r="L172" s="223"/>
    </row>
    <row r="173" spans="1:12" x14ac:dyDescent="0.25">
      <c r="D173" s="223"/>
      <c r="E173" s="223"/>
      <c r="F173" s="223"/>
      <c r="G173" s="223"/>
      <c r="H173" s="223"/>
      <c r="I173" s="223"/>
      <c r="J173" s="223"/>
      <c r="K173" s="223"/>
      <c r="L173" s="223"/>
    </row>
    <row r="174" spans="1:12" x14ac:dyDescent="0.25">
      <c r="D174" s="223"/>
      <c r="E174" s="223"/>
      <c r="F174" s="223"/>
      <c r="G174" s="223"/>
      <c r="H174" s="223"/>
      <c r="I174" s="223"/>
      <c r="J174" s="223"/>
      <c r="K174" s="223"/>
      <c r="L174" s="223"/>
    </row>
    <row r="175" spans="1:12" x14ac:dyDescent="0.25">
      <c r="D175" s="223"/>
      <c r="E175" s="223"/>
      <c r="F175" s="223"/>
      <c r="G175" s="223"/>
      <c r="H175" s="223"/>
      <c r="I175" s="223"/>
      <c r="J175" s="223"/>
      <c r="K175" s="223"/>
      <c r="L175" s="223"/>
    </row>
    <row r="176" spans="1:12" x14ac:dyDescent="0.25">
      <c r="D176" s="223"/>
      <c r="E176" s="223"/>
      <c r="F176" s="223"/>
      <c r="G176" s="223"/>
      <c r="H176" s="223"/>
      <c r="I176" s="223"/>
      <c r="J176" s="223"/>
      <c r="K176" s="223"/>
      <c r="L176" s="223"/>
    </row>
    <row r="177" spans="3:21" x14ac:dyDescent="0.25">
      <c r="D177" s="223"/>
      <c r="E177" s="223"/>
      <c r="F177" s="223"/>
      <c r="G177" s="223"/>
      <c r="H177" s="223"/>
      <c r="I177" s="223"/>
      <c r="J177" s="223"/>
      <c r="K177" s="223"/>
      <c r="L177" s="223"/>
    </row>
    <row r="178" spans="3:21" x14ac:dyDescent="0.25">
      <c r="D178" s="223"/>
      <c r="E178" s="223"/>
      <c r="F178" s="223"/>
      <c r="G178" s="223"/>
      <c r="H178" s="223"/>
      <c r="I178" s="223"/>
      <c r="J178" s="223"/>
      <c r="K178" s="223"/>
      <c r="L178" s="223"/>
    </row>
    <row r="179" spans="3:21" x14ac:dyDescent="0.25">
      <c r="D179" s="223"/>
      <c r="E179" s="223"/>
      <c r="F179" s="223"/>
      <c r="G179" s="223"/>
      <c r="H179" s="223"/>
      <c r="I179" s="223"/>
      <c r="J179" s="223"/>
      <c r="K179" s="223"/>
      <c r="L179" s="223"/>
    </row>
    <row r="186" spans="3:21" ht="15.75" thickBot="1" x14ac:dyDescent="0.3"/>
    <row r="187" spans="3:21" x14ac:dyDescent="0.25">
      <c r="C187" s="495"/>
      <c r="D187" s="496"/>
      <c r="E187" s="496"/>
      <c r="F187" s="496"/>
      <c r="G187" s="496"/>
      <c r="H187" s="496"/>
      <c r="I187" s="496"/>
      <c r="J187" s="496"/>
      <c r="K187" s="496"/>
      <c r="L187" s="496"/>
      <c r="M187" s="496"/>
      <c r="N187" s="496"/>
      <c r="O187" s="496"/>
      <c r="P187" s="496"/>
      <c r="Q187" s="496"/>
      <c r="R187" s="497"/>
      <c r="S187" s="504">
        <v>9.5</v>
      </c>
      <c r="T187" s="505"/>
      <c r="U187" s="506"/>
    </row>
    <row r="188" spans="3:21" x14ac:dyDescent="0.25">
      <c r="C188" s="498"/>
      <c r="D188" s="499"/>
      <c r="E188" s="499"/>
      <c r="F188" s="499"/>
      <c r="G188" s="499"/>
      <c r="H188" s="499"/>
      <c r="I188" s="499"/>
      <c r="J188" s="499"/>
      <c r="K188" s="499"/>
      <c r="L188" s="499"/>
      <c r="M188" s="499"/>
      <c r="N188" s="499"/>
      <c r="O188" s="499"/>
      <c r="P188" s="499"/>
      <c r="Q188" s="499"/>
      <c r="R188" s="500"/>
      <c r="S188" s="507"/>
      <c r="T188" s="508"/>
      <c r="U188" s="509"/>
    </row>
    <row r="189" spans="3:21" ht="15.75" thickBot="1" x14ac:dyDescent="0.3">
      <c r="C189" s="498"/>
      <c r="D189" s="499"/>
      <c r="E189" s="499"/>
      <c r="F189" s="499"/>
      <c r="G189" s="499"/>
      <c r="H189" s="499"/>
      <c r="I189" s="499"/>
      <c r="J189" s="499"/>
      <c r="K189" s="499"/>
      <c r="L189" s="499"/>
      <c r="M189" s="499"/>
      <c r="N189" s="499"/>
      <c r="O189" s="499"/>
      <c r="P189" s="499"/>
      <c r="Q189" s="499"/>
      <c r="R189" s="500"/>
      <c r="S189" s="510"/>
      <c r="T189" s="511"/>
      <c r="U189" s="512"/>
    </row>
    <row r="190" spans="3:21" ht="16.5" thickBot="1" x14ac:dyDescent="0.3">
      <c r="C190" s="498"/>
      <c r="D190" s="499"/>
      <c r="E190" s="499"/>
      <c r="F190" s="499"/>
      <c r="G190" s="499"/>
      <c r="H190" s="499"/>
      <c r="I190" s="499"/>
      <c r="J190" s="499"/>
      <c r="K190" s="499"/>
      <c r="L190" s="499"/>
      <c r="M190" s="499"/>
      <c r="N190" s="499"/>
      <c r="O190" s="499"/>
      <c r="P190" s="499"/>
      <c r="Q190" s="499"/>
      <c r="R190" s="500"/>
      <c r="S190" s="513" t="s">
        <v>572</v>
      </c>
      <c r="T190" s="513"/>
      <c r="U190" s="514"/>
    </row>
    <row r="191" spans="3:21" x14ac:dyDescent="0.25">
      <c r="C191" s="498"/>
      <c r="D191" s="499"/>
      <c r="E191" s="499"/>
      <c r="F191" s="499"/>
      <c r="G191" s="499"/>
      <c r="H191" s="499"/>
      <c r="I191" s="499"/>
      <c r="J191" s="499"/>
      <c r="K191" s="499"/>
      <c r="L191" s="499"/>
      <c r="M191" s="499"/>
      <c r="N191" s="499"/>
      <c r="O191" s="499"/>
      <c r="P191" s="499"/>
      <c r="Q191" s="499"/>
      <c r="R191" s="500"/>
      <c r="S191" s="504">
        <v>9.5</v>
      </c>
      <c r="T191" s="505"/>
      <c r="U191" s="506"/>
    </row>
    <row r="192" spans="3:21" x14ac:dyDescent="0.25">
      <c r="C192" s="498"/>
      <c r="D192" s="499"/>
      <c r="E192" s="499"/>
      <c r="F192" s="499"/>
      <c r="G192" s="499"/>
      <c r="H192" s="499"/>
      <c r="I192" s="499"/>
      <c r="J192" s="499"/>
      <c r="K192" s="499"/>
      <c r="L192" s="499"/>
      <c r="M192" s="499"/>
      <c r="N192" s="499"/>
      <c r="O192" s="499"/>
      <c r="P192" s="499"/>
      <c r="Q192" s="499"/>
      <c r="R192" s="500"/>
      <c r="S192" s="507"/>
      <c r="T192" s="508"/>
      <c r="U192" s="509"/>
    </row>
    <row r="193" spans="1:21" ht="15.75" thickBot="1" x14ac:dyDescent="0.3">
      <c r="C193" s="498"/>
      <c r="D193" s="499"/>
      <c r="E193" s="499"/>
      <c r="F193" s="499"/>
      <c r="G193" s="499"/>
      <c r="H193" s="499"/>
      <c r="I193" s="499"/>
      <c r="J193" s="499"/>
      <c r="K193" s="499"/>
      <c r="L193" s="499"/>
      <c r="M193" s="499"/>
      <c r="N193" s="499"/>
      <c r="O193" s="499"/>
      <c r="P193" s="499"/>
      <c r="Q193" s="499"/>
      <c r="R193" s="500"/>
      <c r="S193" s="510"/>
      <c r="T193" s="511"/>
      <c r="U193" s="512"/>
    </row>
    <row r="194" spans="1:21" ht="16.5" thickBot="1" x14ac:dyDescent="0.3">
      <c r="C194" s="498"/>
      <c r="D194" s="499"/>
      <c r="E194" s="499"/>
      <c r="F194" s="499"/>
      <c r="G194" s="499"/>
      <c r="H194" s="499"/>
      <c r="I194" s="499"/>
      <c r="J194" s="499"/>
      <c r="K194" s="499"/>
      <c r="L194" s="499"/>
      <c r="M194" s="499"/>
      <c r="N194" s="499"/>
      <c r="O194" s="499"/>
      <c r="P194" s="499"/>
      <c r="Q194" s="499"/>
      <c r="R194" s="500"/>
      <c r="S194" s="513" t="s">
        <v>572</v>
      </c>
      <c r="T194" s="513"/>
      <c r="U194" s="514"/>
    </row>
    <row r="195" spans="1:21" x14ac:dyDescent="0.25">
      <c r="C195" s="498"/>
      <c r="D195" s="499"/>
      <c r="E195" s="499"/>
      <c r="F195" s="499"/>
      <c r="G195" s="499"/>
      <c r="H195" s="499"/>
      <c r="I195" s="499"/>
      <c r="J195" s="499"/>
      <c r="K195" s="499"/>
      <c r="L195" s="499"/>
      <c r="M195" s="499"/>
      <c r="N195" s="499"/>
      <c r="O195" s="499"/>
      <c r="P195" s="499"/>
      <c r="Q195" s="499"/>
      <c r="R195" s="500"/>
      <c r="S195" s="504">
        <v>9.5</v>
      </c>
      <c r="T195" s="505"/>
      <c r="U195" s="506"/>
    </row>
    <row r="196" spans="1:21" x14ac:dyDescent="0.25">
      <c r="C196" s="498"/>
      <c r="D196" s="499"/>
      <c r="E196" s="499"/>
      <c r="F196" s="499"/>
      <c r="G196" s="499"/>
      <c r="H196" s="499"/>
      <c r="I196" s="499"/>
      <c r="J196" s="499"/>
      <c r="K196" s="499"/>
      <c r="L196" s="499"/>
      <c r="M196" s="499"/>
      <c r="N196" s="499"/>
      <c r="O196" s="499"/>
      <c r="P196" s="499"/>
      <c r="Q196" s="499"/>
      <c r="R196" s="500"/>
      <c r="S196" s="507"/>
      <c r="T196" s="508"/>
      <c r="U196" s="509"/>
    </row>
    <row r="197" spans="1:21" ht="15.75" thickBot="1" x14ac:dyDescent="0.3">
      <c r="C197" s="498"/>
      <c r="D197" s="499"/>
      <c r="E197" s="499"/>
      <c r="F197" s="499"/>
      <c r="G197" s="499"/>
      <c r="H197" s="499"/>
      <c r="I197" s="499"/>
      <c r="J197" s="499"/>
      <c r="K197" s="499"/>
      <c r="L197" s="499"/>
      <c r="M197" s="499"/>
      <c r="N197" s="499"/>
      <c r="O197" s="499"/>
      <c r="P197" s="499"/>
      <c r="Q197" s="499"/>
      <c r="R197" s="500"/>
      <c r="S197" s="510"/>
      <c r="T197" s="511"/>
      <c r="U197" s="512"/>
    </row>
    <row r="198" spans="1:21" ht="15.75" x14ac:dyDescent="0.25">
      <c r="C198" s="498"/>
      <c r="D198" s="499"/>
      <c r="E198" s="499"/>
      <c r="F198" s="499"/>
      <c r="G198" s="499"/>
      <c r="H198" s="499"/>
      <c r="I198" s="499"/>
      <c r="J198" s="499"/>
      <c r="K198" s="499"/>
      <c r="L198" s="499"/>
      <c r="M198" s="499"/>
      <c r="N198" s="499"/>
      <c r="O198" s="499"/>
      <c r="P198" s="499"/>
      <c r="Q198" s="499"/>
      <c r="R198" s="500"/>
      <c r="S198" s="513" t="s">
        <v>572</v>
      </c>
      <c r="T198" s="513"/>
      <c r="U198" s="514"/>
    </row>
    <row r="199" spans="1:21" x14ac:dyDescent="0.25">
      <c r="C199" s="498"/>
      <c r="D199" s="499"/>
      <c r="E199" s="499"/>
      <c r="F199" s="499"/>
      <c r="G199" s="499"/>
      <c r="H199" s="499"/>
      <c r="I199" s="499"/>
      <c r="J199" s="499"/>
      <c r="K199" s="499"/>
      <c r="L199" s="499"/>
      <c r="M199" s="499"/>
      <c r="N199" s="499"/>
      <c r="O199" s="499"/>
      <c r="P199" s="499"/>
      <c r="Q199" s="499"/>
      <c r="R199" s="500"/>
    </row>
    <row r="200" spans="1:21" ht="15.75" thickBot="1" x14ac:dyDescent="0.3">
      <c r="C200" s="501"/>
      <c r="D200" s="502"/>
      <c r="E200" s="502"/>
      <c r="F200" s="502"/>
      <c r="G200" s="502"/>
      <c r="H200" s="502"/>
      <c r="I200" s="502"/>
      <c r="J200" s="502"/>
      <c r="K200" s="502"/>
      <c r="L200" s="502"/>
      <c r="M200" s="502"/>
      <c r="N200" s="502"/>
      <c r="O200" s="502"/>
      <c r="P200" s="502"/>
      <c r="Q200" s="502"/>
      <c r="R200" s="503"/>
      <c r="S200" s="214" t="s">
        <v>1106</v>
      </c>
      <c r="T200" s="214"/>
      <c r="U200" s="215" t="s">
        <v>1111</v>
      </c>
    </row>
    <row r="207" spans="1:21" x14ac:dyDescent="0.25">
      <c r="A207" t="str">
        <f>MUI_STAT_T_MainTitel_1</f>
        <v>Putting</v>
      </c>
    </row>
    <row r="208" spans="1:21" x14ac:dyDescent="0.25">
      <c r="A208" t="str">
        <f>MUI_STAT_T_MainTitel_2</f>
        <v>Chipping</v>
      </c>
    </row>
    <row r="209" spans="1:33" x14ac:dyDescent="0.25">
      <c r="A209" t="str">
        <f>MUI_STAT_T_MainTitel_3</f>
        <v>Pitching</v>
      </c>
    </row>
    <row r="210" spans="1:33" x14ac:dyDescent="0.25">
      <c r="A210" t="str">
        <f>MUI_STAT_T_MainTitel_4</f>
        <v>Approach Shot</v>
      </c>
    </row>
    <row r="211" spans="1:33" x14ac:dyDescent="0.25">
      <c r="A211" t="str">
        <f>MUI_STAT_T_MainTitel_5</f>
        <v>Wood</v>
      </c>
    </row>
    <row r="212" spans="1:33" x14ac:dyDescent="0.25">
      <c r="A212" t="str">
        <f>MUI_STAT_T_MainTitel_6</f>
        <v>Driver</v>
      </c>
    </row>
    <row r="213" spans="1:33" x14ac:dyDescent="0.25">
      <c r="A213" t="str">
        <f>MUI_STAT_T_MainTitel_7</f>
        <v>Bunker</v>
      </c>
    </row>
    <row r="214" spans="1:33" x14ac:dyDescent="0.25">
      <c r="A214" t="str">
        <f>MUI_STAT_T_MainTitel_8</f>
        <v>Mental</v>
      </c>
    </row>
    <row r="215" spans="1:33" x14ac:dyDescent="0.25">
      <c r="A215" t="str">
        <f>MUI_STAT_T_MainTitel_9</f>
        <v>Round of Golf</v>
      </c>
    </row>
    <row r="216" spans="1:33" x14ac:dyDescent="0.25">
      <c r="D216" s="493" t="s">
        <v>1165</v>
      </c>
      <c r="E216" s="493"/>
      <c r="F216" s="493"/>
      <c r="G216" s="493"/>
      <c r="H216" s="493"/>
      <c r="I216" s="493"/>
      <c r="J216" s="493"/>
      <c r="K216" s="493"/>
      <c r="L216" s="493"/>
      <c r="M216" s="493"/>
      <c r="N216" s="494" t="s">
        <v>1166</v>
      </c>
      <c r="O216" s="494"/>
      <c r="P216" s="494"/>
      <c r="Q216" s="494"/>
      <c r="R216" s="494"/>
      <c r="S216" s="494"/>
      <c r="T216" s="494"/>
      <c r="U216" s="494"/>
      <c r="V216" s="494"/>
      <c r="W216" s="494"/>
      <c r="X216" s="493" t="s">
        <v>1167</v>
      </c>
      <c r="Y216" s="493"/>
      <c r="Z216" s="493"/>
      <c r="AA216" s="493"/>
      <c r="AB216" s="493"/>
      <c r="AC216" s="493"/>
      <c r="AD216" s="493"/>
      <c r="AE216" s="493"/>
      <c r="AF216" s="493"/>
      <c r="AG216" s="493"/>
    </row>
    <row r="217" spans="1:33" x14ac:dyDescent="0.25">
      <c r="D217">
        <f t="shared" ref="D217:L217" ca="1" si="64">MATCH(D$218,DBRA_TopicHCP_Titel,0)-1</f>
        <v>0</v>
      </c>
      <c r="E217">
        <f t="shared" ca="1" si="64"/>
        <v>1</v>
      </c>
      <c r="F217">
        <f t="shared" ca="1" si="64"/>
        <v>2</v>
      </c>
      <c r="G217">
        <f t="shared" ca="1" si="64"/>
        <v>3</v>
      </c>
      <c r="H217">
        <f t="shared" ca="1" si="64"/>
        <v>4</v>
      </c>
      <c r="I217">
        <f t="shared" ca="1" si="64"/>
        <v>5</v>
      </c>
      <c r="J217">
        <f t="shared" ca="1" si="64"/>
        <v>6</v>
      </c>
      <c r="K217">
        <f t="shared" ca="1" si="64"/>
        <v>7</v>
      </c>
      <c r="L217">
        <f t="shared" ca="1" si="64"/>
        <v>8</v>
      </c>
      <c r="N217">
        <f t="shared" ref="N217:V217" ca="1" si="65">MATCH(N$218,DBRA_TopicHCP_Titel,0)-1</f>
        <v>0</v>
      </c>
      <c r="O217">
        <f t="shared" ca="1" si="65"/>
        <v>1</v>
      </c>
      <c r="P217">
        <f t="shared" ca="1" si="65"/>
        <v>2</v>
      </c>
      <c r="Q217">
        <f t="shared" ca="1" si="65"/>
        <v>3</v>
      </c>
      <c r="R217">
        <f t="shared" ca="1" si="65"/>
        <v>4</v>
      </c>
      <c r="S217">
        <f t="shared" ca="1" si="65"/>
        <v>5</v>
      </c>
      <c r="T217">
        <f t="shared" ca="1" si="65"/>
        <v>6</v>
      </c>
      <c r="U217">
        <f t="shared" ca="1" si="65"/>
        <v>7</v>
      </c>
      <c r="V217">
        <f t="shared" ca="1" si="65"/>
        <v>8</v>
      </c>
    </row>
    <row r="218" spans="1:33" x14ac:dyDescent="0.25">
      <c r="A218" t="s">
        <v>1169</v>
      </c>
      <c r="D218" s="199" t="str">
        <f>MUI_STAT_T_MainTitel_1</f>
        <v>Putting</v>
      </c>
      <c r="E218" s="199" t="str">
        <f>MUI_STAT_T_MainTitel_2</f>
        <v>Chipping</v>
      </c>
      <c r="F218" s="199" t="str">
        <f>MUI_STAT_T_MainTitel_3</f>
        <v>Pitching</v>
      </c>
      <c r="G218" s="199" t="str">
        <f>MUI_STAT_T_MainTitel_4</f>
        <v>Approach Shot</v>
      </c>
      <c r="H218" s="199" t="str">
        <f>MUI_STAT_T_MainTitel_5</f>
        <v>Wood</v>
      </c>
      <c r="I218" s="199" t="str">
        <f>MUI_STAT_T_MainTitel_6</f>
        <v>Driver</v>
      </c>
      <c r="J218" s="199" t="str">
        <f>MUI_STAT_T_MainTitel_7</f>
        <v>Bunker</v>
      </c>
      <c r="K218" s="199" t="str">
        <f>MUI_STAT_T_MainTitel_8</f>
        <v>Mental</v>
      </c>
      <c r="L218" s="199" t="str">
        <f>MUI_STAT_T_MainTitel_9</f>
        <v>Round of Golf</v>
      </c>
      <c r="M218" s="47"/>
      <c r="N218" s="199" t="str">
        <f>MUI_STAT_T_MainTitel_1</f>
        <v>Putting</v>
      </c>
      <c r="O218" s="199" t="str">
        <f>MUI_STAT_T_MainTitel_2</f>
        <v>Chipping</v>
      </c>
      <c r="P218" s="199" t="str">
        <f>MUI_STAT_T_MainTitel_3</f>
        <v>Pitching</v>
      </c>
      <c r="Q218" s="199" t="str">
        <f>MUI_STAT_T_MainTitel_4</f>
        <v>Approach Shot</v>
      </c>
      <c r="R218" s="199" t="str">
        <f>MUI_STAT_T_MainTitel_5</f>
        <v>Wood</v>
      </c>
      <c r="S218" s="199" t="str">
        <f>MUI_STAT_T_MainTitel_6</f>
        <v>Driver</v>
      </c>
      <c r="T218" s="199" t="str">
        <f>MUI_STAT_T_MainTitel_7</f>
        <v>Bunker</v>
      </c>
      <c r="U218" s="199" t="str">
        <f>MUI_STAT_T_MainTitel_8</f>
        <v>Mental</v>
      </c>
      <c r="V218" s="199" t="str">
        <f>MUI_STAT_T_MainTitel_9</f>
        <v>Round of Golf</v>
      </c>
      <c r="W218" s="47"/>
      <c r="X218" s="199" t="str">
        <f>MUI_STAT_T_MainTitel_1</f>
        <v>Putting</v>
      </c>
      <c r="Y218" s="199" t="str">
        <f>MUI_STAT_T_MainTitel_2</f>
        <v>Chipping</v>
      </c>
      <c r="Z218" s="199" t="str">
        <f>MUI_STAT_T_MainTitel_3</f>
        <v>Pitching</v>
      </c>
      <c r="AA218" s="199" t="str">
        <f>MUI_STAT_T_MainTitel_4</f>
        <v>Approach Shot</v>
      </c>
      <c r="AB218" s="199" t="str">
        <f>MUI_STAT_T_MainTitel_5</f>
        <v>Wood</v>
      </c>
      <c r="AC218" s="199" t="str">
        <f>MUI_STAT_T_MainTitel_6</f>
        <v>Driver</v>
      </c>
      <c r="AD218" s="199" t="str">
        <f>MUI_STAT_T_MainTitel_7</f>
        <v>Bunker</v>
      </c>
      <c r="AE218" s="199" t="str">
        <f>MUI_STAT_T_MainTitel_8</f>
        <v>Mental</v>
      </c>
      <c r="AF218" s="199" t="str">
        <f>MUI_STAT_T_MainTitel_9</f>
        <v>Round of Golf</v>
      </c>
      <c r="AG218" s="47"/>
    </row>
    <row r="219" spans="1:33" x14ac:dyDescent="0.25">
      <c r="A219" s="118">
        <f>DATE(YEAR($AM$6),1,1)</f>
        <v>42005</v>
      </c>
      <c r="C219" s="118">
        <f>A219</f>
        <v>42005</v>
      </c>
      <c r="D219">
        <f ca="1">IFERROR(SUMIFS(OFFSET(DBRA_TopicHCP,0,D$217,DBR_COUNT,1),DBRA_WorkplanDate,$C219,DBRA_PlayerID,$D$3),"")</f>
        <v>0</v>
      </c>
      <c r="E219">
        <f ca="1">IFERROR(SUMIFS(OFFSET(DBRA_TopicHCP,0,E$217,DBR_COUNT,1),DBRA_WorkplanDate,$C219,DBRA_PlayerID,$D$3),"")</f>
        <v>0</v>
      </c>
      <c r="F219">
        <f ca="1">IFERROR(SUMIFS(OFFSET(DBRA_TopicHCP,0,F$217,DBR_COUNT,1),DBRA_WorkplanDate,$C219,DBRA_PlayerID,$D$3),"")</f>
        <v>0</v>
      </c>
      <c r="G219">
        <f ca="1">IFERROR(SUMIFS(OFFSET(DBRA_TopicHCP,0,G$217,DBR_COUNT,1),DBRA_WorkplanDate,$C219,DBRA_PlayerID,$D$3),"")</f>
        <v>0</v>
      </c>
      <c r="H219">
        <f ca="1">IFERROR(SUMIFS(OFFSET(DBRA_TopicHCP,0,H$217,DBR_COUNT,1),DBRA_WorkplanDate,$C219,DBRA_PlayerID,$D$3),"")</f>
        <v>0</v>
      </c>
      <c r="I219">
        <f ca="1">IFERROR(SUMIFS(OFFSET(DBRA_TopicHCP,0,I$217,DBR_COUNT,1),DBRA_WorkplanDate,$C219,DBRA_PlayerID,$D$3),"")</f>
        <v>0</v>
      </c>
      <c r="J219">
        <f ca="1">IFERROR(SUMIFS(OFFSET(DBRA_TopicHCP,0,J$217,DBR_COUNT,1),DBRA_WorkplanDate,$C219,DBRA_PlayerID,$D$3),"")</f>
        <v>0</v>
      </c>
      <c r="K219">
        <f ca="1">IFERROR(SUMIFS(OFFSET(DBRA_TopicHCP,0,K$217,DBR_COUNT,1),DBRA_WorkplanDate,$C219,DBRA_PlayerID,$D$3),"")</f>
        <v>0</v>
      </c>
      <c r="L219">
        <f ca="1">IFERROR(SUMIFS(OFFSET(DBRA_TopicHCP,0,L$217,DBR_COUNT,1),DBRA_WorkplanDate,$C219,DBRA_PlayerID,$D$3),"")</f>
        <v>0</v>
      </c>
      <c r="M219" s="47"/>
      <c r="N219">
        <f ca="1">IFERROR(SUMIFS(OFFSET(DBRA_TopicCount,0,N$217,DBR_COUNT,1),DBRA_WorkplanDate,$C219,DBRA_PlayerID,$D$3),"")</f>
        <v>0</v>
      </c>
      <c r="O219">
        <f ca="1">IFERROR(SUMIFS(OFFSET(DBRA_TopicCount,0,O$217,DBR_COUNT,1),DBRA_WorkplanDate,$C219,DBRA_PlayerID,$D$3),"")</f>
        <v>0</v>
      </c>
      <c r="P219">
        <f ca="1">IFERROR(SUMIFS(OFFSET(DBRA_TopicCount,0,P$217,DBR_COUNT,1),DBRA_WorkplanDate,$C219,DBRA_PlayerID,$D$3),"")</f>
        <v>0</v>
      </c>
      <c r="Q219">
        <f ca="1">IFERROR(SUMIFS(OFFSET(DBRA_TopicCount,0,Q$217,DBR_COUNT,1),DBRA_WorkplanDate,$C219,DBRA_PlayerID,$D$3),"")</f>
        <v>0</v>
      </c>
      <c r="R219">
        <f ca="1">IFERROR(SUMIFS(OFFSET(DBRA_TopicCount,0,R$217,DBR_COUNT,1),DBRA_WorkplanDate,$C219,DBRA_PlayerID,$D$3),"")</f>
        <v>0</v>
      </c>
      <c r="S219">
        <f ca="1">IFERROR(SUMIFS(OFFSET(DBRA_TopicCount,0,S$217,DBR_COUNT,1),DBRA_WorkplanDate,$C219,DBRA_PlayerID,$D$3),"")</f>
        <v>0</v>
      </c>
      <c r="T219">
        <f ca="1">IFERROR(SUMIFS(OFFSET(DBRA_TopicCount,0,T$217,DBR_COUNT,1),DBRA_WorkplanDate,$C219,DBRA_PlayerID,$D$3),"")</f>
        <v>0</v>
      </c>
      <c r="U219">
        <f ca="1">IFERROR(SUMIFS(OFFSET(DBRA_TopicCount,0,U$217,DBR_COUNT,1),DBRA_WorkplanDate,$C219,DBRA_PlayerID,$D$3),"")</f>
        <v>0</v>
      </c>
      <c r="V219">
        <f ca="1">IFERROR(SUMIFS(OFFSET(DBRA_TopicCount,0,V$217,DBR_COUNT,1),DBRA_WorkplanDate,$C219,DBRA_PlayerID,$D$3),"")</f>
        <v>0</v>
      </c>
      <c r="W219" s="47"/>
      <c r="X219" t="str">
        <f ca="1">IF(N219&gt;0,ROUND(D219/N219,1),"")</f>
        <v/>
      </c>
      <c r="Y219" t="str">
        <f t="shared" ref="Y219:Y282" ca="1" si="66">IF(O219&gt;0,ROUND(E219/O219,1),"")</f>
        <v/>
      </c>
      <c r="Z219" t="str">
        <f t="shared" ref="Z219:Z282" ca="1" si="67">IF(P219&gt;0,ROUND(F219/P219,1),"")</f>
        <v/>
      </c>
      <c r="AA219" t="str">
        <f t="shared" ref="AA219:AA282" ca="1" si="68">IF(Q219&gt;0,ROUND(G219/Q219,1),"")</f>
        <v/>
      </c>
      <c r="AB219" t="str">
        <f t="shared" ref="AB219:AB282" ca="1" si="69">IF(R219&gt;0,ROUND(H219/R219,1),"")</f>
        <v/>
      </c>
      <c r="AC219" t="str">
        <f t="shared" ref="AC219:AC282" ca="1" si="70">IF(S219&gt;0,ROUND(I219/S219,1),"")</f>
        <v/>
      </c>
      <c r="AD219" t="str">
        <f t="shared" ref="AD219:AD282" ca="1" si="71">IF(T219&gt;0,ROUND(J219/T219,1),"")</f>
        <v/>
      </c>
      <c r="AE219" t="str">
        <f t="shared" ref="AE219:AE282" ca="1" si="72">IF(U219&gt;0,ROUND(K219/U219,1),"")</f>
        <v/>
      </c>
      <c r="AF219" t="str">
        <f t="shared" ref="AF219:AF282" ca="1" si="73">IF(V219&gt;0,ROUND(L219/V219,1),"")</f>
        <v/>
      </c>
      <c r="AG219" s="47"/>
    </row>
    <row r="220" spans="1:33" x14ac:dyDescent="0.25">
      <c r="A220" s="118">
        <f>DATE(YEAR($AM$6),12,31)</f>
        <v>42369</v>
      </c>
      <c r="C220" s="118">
        <f>IF((C219+1)&lt;=$A$220,C219+1,"")</f>
        <v>42006</v>
      </c>
      <c r="D220">
        <f ca="1">IFERROR(SUMIFS(OFFSET(DBRA_TopicHCP,0,D$217,DBR_COUNT,1),DBRA_WorkplanDate,$C220,DBRA_PlayerID,$D$3),"")</f>
        <v>0</v>
      </c>
      <c r="E220">
        <f ca="1">IFERROR(SUMIFS(OFFSET(DBRA_TopicHCP,0,E$217,DBR_COUNT,1),DBRA_WorkplanDate,$C220,DBRA_PlayerID,$D$3),"")</f>
        <v>0</v>
      </c>
      <c r="F220">
        <f ca="1">IFERROR(SUMIFS(OFFSET(DBRA_TopicHCP,0,F$217,DBR_COUNT,1),DBRA_WorkplanDate,$C220,DBRA_PlayerID,$D$3),"")</f>
        <v>0</v>
      </c>
      <c r="G220">
        <f ca="1">IFERROR(SUMIFS(OFFSET(DBRA_TopicHCP,0,G$217,DBR_COUNT,1),DBRA_WorkplanDate,$C220,DBRA_PlayerID,$D$3),"")</f>
        <v>0</v>
      </c>
      <c r="H220">
        <f ca="1">IFERROR(SUMIFS(OFFSET(DBRA_TopicHCP,0,H$217,DBR_COUNT,1),DBRA_WorkplanDate,$C220,DBRA_PlayerID,$D$3),"")</f>
        <v>0</v>
      </c>
      <c r="I220">
        <f ca="1">IFERROR(SUMIFS(OFFSET(DBRA_TopicHCP,0,I$217,DBR_COUNT,1),DBRA_WorkplanDate,$C220,DBRA_PlayerID,$D$3),"")</f>
        <v>0</v>
      </c>
      <c r="J220">
        <f ca="1">IFERROR(SUMIFS(OFFSET(DBRA_TopicHCP,0,J$217,DBR_COUNT,1),DBRA_WorkplanDate,$C220,DBRA_PlayerID,$D$3),"")</f>
        <v>0</v>
      </c>
      <c r="K220">
        <f ca="1">IFERROR(SUMIFS(OFFSET(DBRA_TopicHCP,0,K$217,DBR_COUNT,1),DBRA_WorkplanDate,$C220,DBRA_PlayerID,$D$3),"")</f>
        <v>0</v>
      </c>
      <c r="L220">
        <f ca="1">IFERROR(SUMIFS(OFFSET(DBRA_TopicHCP,0,L$217,DBR_COUNT,1),DBRA_WorkplanDate,$C220,DBRA_PlayerID,$D$3),"")</f>
        <v>0</v>
      </c>
      <c r="M220" s="47"/>
      <c r="N220">
        <f ca="1">IFERROR(SUMIFS(OFFSET(DBRA_TopicCount,0,N$217,DBR_COUNT,1),DBRA_WorkplanDate,$C220,DBRA_PlayerID,$D$3),"")</f>
        <v>0</v>
      </c>
      <c r="O220">
        <f ca="1">IFERROR(SUMIFS(OFFSET(DBRA_TopicCount,0,O$217,DBR_COUNT,1),DBRA_WorkplanDate,$C220,DBRA_PlayerID,$D$3),"")</f>
        <v>0</v>
      </c>
      <c r="P220">
        <f ca="1">IFERROR(SUMIFS(OFFSET(DBRA_TopicCount,0,P$217,DBR_COUNT,1),DBRA_WorkplanDate,$C220,DBRA_PlayerID,$D$3),"")</f>
        <v>0</v>
      </c>
      <c r="Q220">
        <f ca="1">IFERROR(SUMIFS(OFFSET(DBRA_TopicCount,0,Q$217,DBR_COUNT,1),DBRA_WorkplanDate,$C220,DBRA_PlayerID,$D$3),"")</f>
        <v>0</v>
      </c>
      <c r="R220">
        <f ca="1">IFERROR(SUMIFS(OFFSET(DBRA_TopicCount,0,R$217,DBR_COUNT,1),DBRA_WorkplanDate,$C220,DBRA_PlayerID,$D$3),"")</f>
        <v>0</v>
      </c>
      <c r="S220">
        <f ca="1">IFERROR(SUMIFS(OFFSET(DBRA_TopicCount,0,S$217,DBR_COUNT,1),DBRA_WorkplanDate,$C220,DBRA_PlayerID,$D$3),"")</f>
        <v>0</v>
      </c>
      <c r="T220">
        <f ca="1">IFERROR(SUMIFS(OFFSET(DBRA_TopicCount,0,T$217,DBR_COUNT,1),DBRA_WorkplanDate,$C220,DBRA_PlayerID,$D$3),"")</f>
        <v>0</v>
      </c>
      <c r="U220">
        <f ca="1">IFERROR(SUMIFS(OFFSET(DBRA_TopicCount,0,U$217,DBR_COUNT,1),DBRA_WorkplanDate,$C220,DBRA_PlayerID,$D$3),"")</f>
        <v>0</v>
      </c>
      <c r="V220">
        <f ca="1">IFERROR(SUMIFS(OFFSET(DBRA_TopicCount,0,V$217,DBR_COUNT,1),DBRA_WorkplanDate,$C220,DBRA_PlayerID,$D$3),"")</f>
        <v>0</v>
      </c>
      <c r="W220" s="47"/>
      <c r="X220" t="str">
        <f t="shared" ref="X220:X283" ca="1" si="74">IF(N220&gt;0,ROUND(D220/N220,1),"")</f>
        <v/>
      </c>
      <c r="Y220" t="str">
        <f t="shared" ca="1" si="66"/>
        <v/>
      </c>
      <c r="Z220" t="str">
        <f t="shared" ca="1" si="67"/>
        <v/>
      </c>
      <c r="AA220" t="str">
        <f t="shared" ca="1" si="68"/>
        <v/>
      </c>
      <c r="AB220" t="str">
        <f t="shared" ca="1" si="69"/>
        <v/>
      </c>
      <c r="AC220" t="str">
        <f t="shared" ca="1" si="70"/>
        <v/>
      </c>
      <c r="AD220" t="str">
        <f t="shared" ca="1" si="71"/>
        <v/>
      </c>
      <c r="AE220" t="str">
        <f t="shared" ca="1" si="72"/>
        <v/>
      </c>
      <c r="AF220" t="str">
        <f t="shared" ca="1" si="73"/>
        <v/>
      </c>
      <c r="AG220" s="47"/>
    </row>
    <row r="221" spans="1:33" x14ac:dyDescent="0.25">
      <c r="A221" t="s">
        <v>1168</v>
      </c>
      <c r="C221" s="118">
        <f t="shared" ref="C221:C284" si="75">IF((C220+1)&lt;=$A$220,C220+1,"")</f>
        <v>42007</v>
      </c>
      <c r="D221">
        <f ca="1">IFERROR(SUMIFS(OFFSET(DBRA_TopicHCP,0,D$217,DBR_COUNT,1),DBRA_WorkplanDate,$C221,DBRA_PlayerID,$D$3),"")</f>
        <v>0</v>
      </c>
      <c r="E221">
        <f ca="1">IFERROR(SUMIFS(OFFSET(DBRA_TopicHCP,0,E$217,DBR_COUNT,1),DBRA_WorkplanDate,$C221,DBRA_PlayerID,$D$3),"")</f>
        <v>0</v>
      </c>
      <c r="F221">
        <f ca="1">IFERROR(SUMIFS(OFFSET(DBRA_TopicHCP,0,F$217,DBR_COUNT,1),DBRA_WorkplanDate,$C221,DBRA_PlayerID,$D$3),"")</f>
        <v>0</v>
      </c>
      <c r="G221">
        <f ca="1">IFERROR(SUMIFS(OFFSET(DBRA_TopicHCP,0,G$217,DBR_COUNT,1),DBRA_WorkplanDate,$C221,DBRA_PlayerID,$D$3),"")</f>
        <v>0</v>
      </c>
      <c r="H221">
        <f ca="1">IFERROR(SUMIFS(OFFSET(DBRA_TopicHCP,0,H$217,DBR_COUNT,1),DBRA_WorkplanDate,$C221,DBRA_PlayerID,$D$3),"")</f>
        <v>0</v>
      </c>
      <c r="I221">
        <f ca="1">IFERROR(SUMIFS(OFFSET(DBRA_TopicHCP,0,I$217,DBR_COUNT,1),DBRA_WorkplanDate,$C221,DBRA_PlayerID,$D$3),"")</f>
        <v>0</v>
      </c>
      <c r="J221">
        <f ca="1">IFERROR(SUMIFS(OFFSET(DBRA_TopicHCP,0,J$217,DBR_COUNT,1),DBRA_WorkplanDate,$C221,DBRA_PlayerID,$D$3),"")</f>
        <v>0</v>
      </c>
      <c r="K221">
        <f ca="1">IFERROR(SUMIFS(OFFSET(DBRA_TopicHCP,0,K$217,DBR_COUNT,1),DBRA_WorkplanDate,$C221,DBRA_PlayerID,$D$3),"")</f>
        <v>0</v>
      </c>
      <c r="L221">
        <f ca="1">IFERROR(SUMIFS(OFFSET(DBRA_TopicHCP,0,L$217,DBR_COUNT,1),DBRA_WorkplanDate,$C221,DBRA_PlayerID,$D$3),"")</f>
        <v>0</v>
      </c>
      <c r="M221" s="47"/>
      <c r="N221">
        <f ca="1">IFERROR(SUMIFS(OFFSET(DBRA_TopicCount,0,N$217,DBR_COUNT,1),DBRA_WorkplanDate,$C221,DBRA_PlayerID,$D$3),"")</f>
        <v>0</v>
      </c>
      <c r="O221">
        <f ca="1">IFERROR(SUMIFS(OFFSET(DBRA_TopicCount,0,O$217,DBR_COUNT,1),DBRA_WorkplanDate,$C221,DBRA_PlayerID,$D$3),"")</f>
        <v>0</v>
      </c>
      <c r="P221">
        <f ca="1">IFERROR(SUMIFS(OFFSET(DBRA_TopicCount,0,P$217,DBR_COUNT,1),DBRA_WorkplanDate,$C221,DBRA_PlayerID,$D$3),"")</f>
        <v>0</v>
      </c>
      <c r="Q221">
        <f ca="1">IFERROR(SUMIFS(OFFSET(DBRA_TopicCount,0,Q$217,DBR_COUNT,1),DBRA_WorkplanDate,$C221,DBRA_PlayerID,$D$3),"")</f>
        <v>0</v>
      </c>
      <c r="R221">
        <f ca="1">IFERROR(SUMIFS(OFFSET(DBRA_TopicCount,0,R$217,DBR_COUNT,1),DBRA_WorkplanDate,$C221,DBRA_PlayerID,$D$3),"")</f>
        <v>0</v>
      </c>
      <c r="S221">
        <f ca="1">IFERROR(SUMIFS(OFFSET(DBRA_TopicCount,0,S$217,DBR_COUNT,1),DBRA_WorkplanDate,$C221,DBRA_PlayerID,$D$3),"")</f>
        <v>0</v>
      </c>
      <c r="T221">
        <f ca="1">IFERROR(SUMIFS(OFFSET(DBRA_TopicCount,0,T$217,DBR_COUNT,1),DBRA_WorkplanDate,$C221,DBRA_PlayerID,$D$3),"")</f>
        <v>0</v>
      </c>
      <c r="U221">
        <f ca="1">IFERROR(SUMIFS(OFFSET(DBRA_TopicCount,0,U$217,DBR_COUNT,1),DBRA_WorkplanDate,$C221,DBRA_PlayerID,$D$3),"")</f>
        <v>0</v>
      </c>
      <c r="V221">
        <f ca="1">IFERROR(SUMIFS(OFFSET(DBRA_TopicCount,0,V$217,DBR_COUNT,1),DBRA_WorkplanDate,$C221,DBRA_PlayerID,$D$3),"")</f>
        <v>0</v>
      </c>
      <c r="W221" s="47"/>
      <c r="X221" t="str">
        <f t="shared" ca="1" si="74"/>
        <v/>
      </c>
      <c r="Y221" t="str">
        <f t="shared" ca="1" si="66"/>
        <v/>
      </c>
      <c r="Z221" t="str">
        <f t="shared" ca="1" si="67"/>
        <v/>
      </c>
      <c r="AA221" t="str">
        <f t="shared" ca="1" si="68"/>
        <v/>
      </c>
      <c r="AB221" t="str">
        <f t="shared" ca="1" si="69"/>
        <v/>
      </c>
      <c r="AC221" t="str">
        <f t="shared" ca="1" si="70"/>
        <v/>
      </c>
      <c r="AD221" t="str">
        <f t="shared" ca="1" si="71"/>
        <v/>
      </c>
      <c r="AE221" t="str">
        <f t="shared" ca="1" si="72"/>
        <v/>
      </c>
      <c r="AF221" t="str">
        <f t="shared" ca="1" si="73"/>
        <v/>
      </c>
      <c r="AG221" s="47"/>
    </row>
    <row r="222" spans="1:33" x14ac:dyDescent="0.25">
      <c r="A222" s="118">
        <f>DATE(YEAR($AM$6),MONTH($AM$6),1)</f>
        <v>42095</v>
      </c>
      <c r="C222" s="118">
        <f t="shared" si="75"/>
        <v>42008</v>
      </c>
      <c r="D222">
        <f ca="1">IFERROR(SUMIFS(OFFSET(DBRA_TopicHCP,0,D$217,DBR_COUNT,1),DBRA_WorkplanDate,$C222,DBRA_PlayerID,$D$3),"")</f>
        <v>0</v>
      </c>
      <c r="E222">
        <f ca="1">IFERROR(SUMIFS(OFFSET(DBRA_TopicHCP,0,E$217,DBR_COUNT,1),DBRA_WorkplanDate,$C222,DBRA_PlayerID,$D$3),"")</f>
        <v>0</v>
      </c>
      <c r="F222">
        <f ca="1">IFERROR(SUMIFS(OFFSET(DBRA_TopicHCP,0,F$217,DBR_COUNT,1),DBRA_WorkplanDate,$C222,DBRA_PlayerID,$D$3),"")</f>
        <v>0</v>
      </c>
      <c r="G222">
        <f ca="1">IFERROR(SUMIFS(OFFSET(DBRA_TopicHCP,0,G$217,DBR_COUNT,1),DBRA_WorkplanDate,$C222,DBRA_PlayerID,$D$3),"")</f>
        <v>0</v>
      </c>
      <c r="H222">
        <f ca="1">IFERROR(SUMIFS(OFFSET(DBRA_TopicHCP,0,H$217,DBR_COUNT,1),DBRA_WorkplanDate,$C222,DBRA_PlayerID,$D$3),"")</f>
        <v>0</v>
      </c>
      <c r="I222">
        <f ca="1">IFERROR(SUMIFS(OFFSET(DBRA_TopicHCP,0,I$217,DBR_COUNT,1),DBRA_WorkplanDate,$C222,DBRA_PlayerID,$D$3),"")</f>
        <v>0</v>
      </c>
      <c r="J222">
        <f ca="1">IFERROR(SUMIFS(OFFSET(DBRA_TopicHCP,0,J$217,DBR_COUNT,1),DBRA_WorkplanDate,$C222,DBRA_PlayerID,$D$3),"")</f>
        <v>0</v>
      </c>
      <c r="K222">
        <f ca="1">IFERROR(SUMIFS(OFFSET(DBRA_TopicHCP,0,K$217,DBR_COUNT,1),DBRA_WorkplanDate,$C222,DBRA_PlayerID,$D$3),"")</f>
        <v>0</v>
      </c>
      <c r="L222">
        <f ca="1">IFERROR(SUMIFS(OFFSET(DBRA_TopicHCP,0,L$217,DBR_COUNT,1),DBRA_WorkplanDate,$C222,DBRA_PlayerID,$D$3),"")</f>
        <v>0</v>
      </c>
      <c r="M222" s="47"/>
      <c r="N222">
        <f ca="1">IFERROR(SUMIFS(OFFSET(DBRA_TopicCount,0,N$217,DBR_COUNT,1),DBRA_WorkplanDate,$C222,DBRA_PlayerID,$D$3),"")</f>
        <v>0</v>
      </c>
      <c r="O222">
        <f ca="1">IFERROR(SUMIFS(OFFSET(DBRA_TopicCount,0,O$217,DBR_COUNT,1),DBRA_WorkplanDate,$C222,DBRA_PlayerID,$D$3),"")</f>
        <v>0</v>
      </c>
      <c r="P222">
        <f ca="1">IFERROR(SUMIFS(OFFSET(DBRA_TopicCount,0,P$217,DBR_COUNT,1),DBRA_WorkplanDate,$C222,DBRA_PlayerID,$D$3),"")</f>
        <v>0</v>
      </c>
      <c r="Q222">
        <f ca="1">IFERROR(SUMIFS(OFFSET(DBRA_TopicCount,0,Q$217,DBR_COUNT,1),DBRA_WorkplanDate,$C222,DBRA_PlayerID,$D$3),"")</f>
        <v>0</v>
      </c>
      <c r="R222">
        <f ca="1">IFERROR(SUMIFS(OFFSET(DBRA_TopicCount,0,R$217,DBR_COUNT,1),DBRA_WorkplanDate,$C222,DBRA_PlayerID,$D$3),"")</f>
        <v>0</v>
      </c>
      <c r="S222">
        <f ca="1">IFERROR(SUMIFS(OFFSET(DBRA_TopicCount,0,S$217,DBR_COUNT,1),DBRA_WorkplanDate,$C222,DBRA_PlayerID,$D$3),"")</f>
        <v>0</v>
      </c>
      <c r="T222">
        <f ca="1">IFERROR(SUMIFS(OFFSET(DBRA_TopicCount,0,T$217,DBR_COUNT,1),DBRA_WorkplanDate,$C222,DBRA_PlayerID,$D$3),"")</f>
        <v>0</v>
      </c>
      <c r="U222">
        <f ca="1">IFERROR(SUMIFS(OFFSET(DBRA_TopicCount,0,U$217,DBR_COUNT,1),DBRA_WorkplanDate,$C222,DBRA_PlayerID,$D$3),"")</f>
        <v>0</v>
      </c>
      <c r="V222">
        <f ca="1">IFERROR(SUMIFS(OFFSET(DBRA_TopicCount,0,V$217,DBR_COUNT,1),DBRA_WorkplanDate,$C222,DBRA_PlayerID,$D$3),"")</f>
        <v>0</v>
      </c>
      <c r="W222" s="47"/>
      <c r="X222" t="str">
        <f t="shared" ca="1" si="74"/>
        <v/>
      </c>
      <c r="Y222" t="str">
        <f t="shared" ca="1" si="66"/>
        <v/>
      </c>
      <c r="Z222" t="str">
        <f t="shared" ca="1" si="67"/>
        <v/>
      </c>
      <c r="AA222" t="str">
        <f t="shared" ca="1" si="68"/>
        <v/>
      </c>
      <c r="AB222" t="str">
        <f t="shared" ca="1" si="69"/>
        <v/>
      </c>
      <c r="AC222" t="str">
        <f t="shared" ca="1" si="70"/>
        <v/>
      </c>
      <c r="AD222" t="str">
        <f t="shared" ca="1" si="71"/>
        <v/>
      </c>
      <c r="AE222" t="str">
        <f t="shared" ca="1" si="72"/>
        <v/>
      </c>
      <c r="AF222" t="str">
        <f t="shared" ca="1" si="73"/>
        <v/>
      </c>
      <c r="AG222" s="47"/>
    </row>
    <row r="223" spans="1:33" x14ac:dyDescent="0.25">
      <c r="A223" s="118">
        <f>EOMONTH($AM$6,0)</f>
        <v>42124</v>
      </c>
      <c r="C223" s="118">
        <f t="shared" si="75"/>
        <v>42009</v>
      </c>
      <c r="D223">
        <f ca="1">IFERROR(SUMIFS(OFFSET(DBRA_TopicHCP,0,D$217,DBR_COUNT,1),DBRA_WorkplanDate,$C223,DBRA_PlayerID,$D$3),"")</f>
        <v>0</v>
      </c>
      <c r="E223">
        <f ca="1">IFERROR(SUMIFS(OFFSET(DBRA_TopicHCP,0,E$217,DBR_COUNT,1),DBRA_WorkplanDate,$C223,DBRA_PlayerID,$D$3),"")</f>
        <v>0</v>
      </c>
      <c r="F223">
        <f ca="1">IFERROR(SUMIFS(OFFSET(DBRA_TopicHCP,0,F$217,DBR_COUNT,1),DBRA_WorkplanDate,$C223,DBRA_PlayerID,$D$3),"")</f>
        <v>0</v>
      </c>
      <c r="G223">
        <f ca="1">IFERROR(SUMIFS(OFFSET(DBRA_TopicHCP,0,G$217,DBR_COUNT,1),DBRA_WorkplanDate,$C223,DBRA_PlayerID,$D$3),"")</f>
        <v>0</v>
      </c>
      <c r="H223">
        <f ca="1">IFERROR(SUMIFS(OFFSET(DBRA_TopicHCP,0,H$217,DBR_COUNT,1),DBRA_WorkplanDate,$C223,DBRA_PlayerID,$D$3),"")</f>
        <v>0</v>
      </c>
      <c r="I223">
        <f ca="1">IFERROR(SUMIFS(OFFSET(DBRA_TopicHCP,0,I$217,DBR_COUNT,1),DBRA_WorkplanDate,$C223,DBRA_PlayerID,$D$3),"")</f>
        <v>0</v>
      </c>
      <c r="J223">
        <f ca="1">IFERROR(SUMIFS(OFFSET(DBRA_TopicHCP,0,J$217,DBR_COUNT,1),DBRA_WorkplanDate,$C223,DBRA_PlayerID,$D$3),"")</f>
        <v>0</v>
      </c>
      <c r="K223">
        <f ca="1">IFERROR(SUMIFS(OFFSET(DBRA_TopicHCP,0,K$217,DBR_COUNT,1),DBRA_WorkplanDate,$C223,DBRA_PlayerID,$D$3),"")</f>
        <v>0</v>
      </c>
      <c r="L223">
        <f ca="1">IFERROR(SUMIFS(OFFSET(DBRA_TopicHCP,0,L$217,DBR_COUNT,1),DBRA_WorkplanDate,$C223,DBRA_PlayerID,$D$3),"")</f>
        <v>0</v>
      </c>
      <c r="M223" s="47"/>
      <c r="N223">
        <f ca="1">IFERROR(SUMIFS(OFFSET(DBRA_TopicCount,0,N$217,DBR_COUNT,1),DBRA_WorkplanDate,$C223,DBRA_PlayerID,$D$3),"")</f>
        <v>0</v>
      </c>
      <c r="O223">
        <f ca="1">IFERROR(SUMIFS(OFFSET(DBRA_TopicCount,0,O$217,DBR_COUNT,1),DBRA_WorkplanDate,$C223,DBRA_PlayerID,$D$3),"")</f>
        <v>0</v>
      </c>
      <c r="P223">
        <f ca="1">IFERROR(SUMIFS(OFFSET(DBRA_TopicCount,0,P$217,DBR_COUNT,1),DBRA_WorkplanDate,$C223,DBRA_PlayerID,$D$3),"")</f>
        <v>0</v>
      </c>
      <c r="Q223">
        <f ca="1">IFERROR(SUMIFS(OFFSET(DBRA_TopicCount,0,Q$217,DBR_COUNT,1),DBRA_WorkplanDate,$C223,DBRA_PlayerID,$D$3),"")</f>
        <v>0</v>
      </c>
      <c r="R223">
        <f ca="1">IFERROR(SUMIFS(OFFSET(DBRA_TopicCount,0,R$217,DBR_COUNT,1),DBRA_WorkplanDate,$C223,DBRA_PlayerID,$D$3),"")</f>
        <v>0</v>
      </c>
      <c r="S223">
        <f ca="1">IFERROR(SUMIFS(OFFSET(DBRA_TopicCount,0,S$217,DBR_COUNT,1),DBRA_WorkplanDate,$C223,DBRA_PlayerID,$D$3),"")</f>
        <v>0</v>
      </c>
      <c r="T223">
        <f ca="1">IFERROR(SUMIFS(OFFSET(DBRA_TopicCount,0,T$217,DBR_COUNT,1),DBRA_WorkplanDate,$C223,DBRA_PlayerID,$D$3),"")</f>
        <v>0</v>
      </c>
      <c r="U223">
        <f ca="1">IFERROR(SUMIFS(OFFSET(DBRA_TopicCount,0,U$217,DBR_COUNT,1),DBRA_WorkplanDate,$C223,DBRA_PlayerID,$D$3),"")</f>
        <v>0</v>
      </c>
      <c r="V223">
        <f ca="1">IFERROR(SUMIFS(OFFSET(DBRA_TopicCount,0,V$217,DBR_COUNT,1),DBRA_WorkplanDate,$C223,DBRA_PlayerID,$D$3),"")</f>
        <v>0</v>
      </c>
      <c r="W223" s="47"/>
      <c r="X223" t="str">
        <f t="shared" ca="1" si="74"/>
        <v/>
      </c>
      <c r="Y223" t="str">
        <f t="shared" ca="1" si="66"/>
        <v/>
      </c>
      <c r="Z223" t="str">
        <f t="shared" ca="1" si="67"/>
        <v/>
      </c>
      <c r="AA223" t="str">
        <f t="shared" ca="1" si="68"/>
        <v/>
      </c>
      <c r="AB223" t="str">
        <f t="shared" ca="1" si="69"/>
        <v/>
      </c>
      <c r="AC223" t="str">
        <f t="shared" ca="1" si="70"/>
        <v/>
      </c>
      <c r="AD223" t="str">
        <f t="shared" ca="1" si="71"/>
        <v/>
      </c>
      <c r="AE223" t="str">
        <f t="shared" ca="1" si="72"/>
        <v/>
      </c>
      <c r="AF223" t="str">
        <f t="shared" ca="1" si="73"/>
        <v/>
      </c>
      <c r="AG223" s="47"/>
    </row>
    <row r="224" spans="1:33" x14ac:dyDescent="0.25">
      <c r="A224" t="s">
        <v>1176</v>
      </c>
      <c r="C224" s="118">
        <f t="shared" si="75"/>
        <v>42010</v>
      </c>
      <c r="D224">
        <f ca="1">IFERROR(SUMIFS(OFFSET(DBRA_TopicHCP,0,D$217,DBR_COUNT,1),DBRA_WorkplanDate,$C224,DBRA_PlayerID,$D$3),"")</f>
        <v>0</v>
      </c>
      <c r="E224">
        <f ca="1">IFERROR(SUMIFS(OFFSET(DBRA_TopicHCP,0,E$217,DBR_COUNT,1),DBRA_WorkplanDate,$C224,DBRA_PlayerID,$D$3),"")</f>
        <v>0</v>
      </c>
      <c r="F224">
        <f ca="1">IFERROR(SUMIFS(OFFSET(DBRA_TopicHCP,0,F$217,DBR_COUNT,1),DBRA_WorkplanDate,$C224,DBRA_PlayerID,$D$3),"")</f>
        <v>0</v>
      </c>
      <c r="G224">
        <f ca="1">IFERROR(SUMIFS(OFFSET(DBRA_TopicHCP,0,G$217,DBR_COUNT,1),DBRA_WorkplanDate,$C224,DBRA_PlayerID,$D$3),"")</f>
        <v>0</v>
      </c>
      <c r="H224">
        <f ca="1">IFERROR(SUMIFS(OFFSET(DBRA_TopicHCP,0,H$217,DBR_COUNT,1),DBRA_WorkplanDate,$C224,DBRA_PlayerID,$D$3),"")</f>
        <v>0</v>
      </c>
      <c r="I224">
        <f ca="1">IFERROR(SUMIFS(OFFSET(DBRA_TopicHCP,0,I$217,DBR_COUNT,1),DBRA_WorkplanDate,$C224,DBRA_PlayerID,$D$3),"")</f>
        <v>0</v>
      </c>
      <c r="J224">
        <f ca="1">IFERROR(SUMIFS(OFFSET(DBRA_TopicHCP,0,J$217,DBR_COUNT,1),DBRA_WorkplanDate,$C224,DBRA_PlayerID,$D$3),"")</f>
        <v>0</v>
      </c>
      <c r="K224">
        <f ca="1">IFERROR(SUMIFS(OFFSET(DBRA_TopicHCP,0,K$217,DBR_COUNT,1),DBRA_WorkplanDate,$C224,DBRA_PlayerID,$D$3),"")</f>
        <v>0</v>
      </c>
      <c r="L224">
        <f ca="1">IFERROR(SUMIFS(OFFSET(DBRA_TopicHCP,0,L$217,DBR_COUNT,1),DBRA_WorkplanDate,$C224,DBRA_PlayerID,$D$3),"")</f>
        <v>0</v>
      </c>
      <c r="M224" s="47"/>
      <c r="N224">
        <f ca="1">IFERROR(SUMIFS(OFFSET(DBRA_TopicCount,0,N$217,DBR_COUNT,1),DBRA_WorkplanDate,$C224,DBRA_PlayerID,$D$3),"")</f>
        <v>0</v>
      </c>
      <c r="O224">
        <f ca="1">IFERROR(SUMIFS(OFFSET(DBRA_TopicCount,0,O$217,DBR_COUNT,1),DBRA_WorkplanDate,$C224,DBRA_PlayerID,$D$3),"")</f>
        <v>0</v>
      </c>
      <c r="P224">
        <f ca="1">IFERROR(SUMIFS(OFFSET(DBRA_TopicCount,0,P$217,DBR_COUNT,1),DBRA_WorkplanDate,$C224,DBRA_PlayerID,$D$3),"")</f>
        <v>0</v>
      </c>
      <c r="Q224">
        <f ca="1">IFERROR(SUMIFS(OFFSET(DBRA_TopicCount,0,Q$217,DBR_COUNT,1),DBRA_WorkplanDate,$C224,DBRA_PlayerID,$D$3),"")</f>
        <v>0</v>
      </c>
      <c r="R224">
        <f ca="1">IFERROR(SUMIFS(OFFSET(DBRA_TopicCount,0,R$217,DBR_COUNT,1),DBRA_WorkplanDate,$C224,DBRA_PlayerID,$D$3),"")</f>
        <v>0</v>
      </c>
      <c r="S224">
        <f ca="1">IFERROR(SUMIFS(OFFSET(DBRA_TopicCount,0,S$217,DBR_COUNT,1),DBRA_WorkplanDate,$C224,DBRA_PlayerID,$D$3),"")</f>
        <v>0</v>
      </c>
      <c r="T224">
        <f ca="1">IFERROR(SUMIFS(OFFSET(DBRA_TopicCount,0,T$217,DBR_COUNT,1),DBRA_WorkplanDate,$C224,DBRA_PlayerID,$D$3),"")</f>
        <v>0</v>
      </c>
      <c r="U224">
        <f ca="1">IFERROR(SUMIFS(OFFSET(DBRA_TopicCount,0,U$217,DBR_COUNT,1),DBRA_WorkplanDate,$C224,DBRA_PlayerID,$D$3),"")</f>
        <v>0</v>
      </c>
      <c r="V224">
        <f ca="1">IFERROR(SUMIFS(OFFSET(DBRA_TopicCount,0,V$217,DBR_COUNT,1),DBRA_WorkplanDate,$C224,DBRA_PlayerID,$D$3),"")</f>
        <v>0</v>
      </c>
      <c r="W224" s="47"/>
      <c r="X224" t="str">
        <f t="shared" ca="1" si="74"/>
        <v/>
      </c>
      <c r="Y224" t="str">
        <f t="shared" ca="1" si="66"/>
        <v/>
      </c>
      <c r="Z224" t="str">
        <f t="shared" ca="1" si="67"/>
        <v/>
      </c>
      <c r="AA224" t="str">
        <f t="shared" ca="1" si="68"/>
        <v/>
      </c>
      <c r="AB224" t="str">
        <f t="shared" ca="1" si="69"/>
        <v/>
      </c>
      <c r="AC224" t="str">
        <f t="shared" ca="1" si="70"/>
        <v/>
      </c>
      <c r="AD224" t="str">
        <f t="shared" ca="1" si="71"/>
        <v/>
      </c>
      <c r="AE224" t="str">
        <f t="shared" ca="1" si="72"/>
        <v/>
      </c>
      <c r="AF224" t="str">
        <f t="shared" ca="1" si="73"/>
        <v/>
      </c>
      <c r="AG224" s="47"/>
    </row>
    <row r="225" spans="1:33" x14ac:dyDescent="0.25">
      <c r="A225">
        <f>ST_SEL_MONTH_LAST_DAY-ST_SEL_MONTH_FIRST_DAY+1</f>
        <v>30</v>
      </c>
      <c r="C225" s="118">
        <f t="shared" si="75"/>
        <v>42011</v>
      </c>
      <c r="D225">
        <f ca="1">IFERROR(SUMIFS(OFFSET(DBRA_TopicHCP,0,D$217,DBR_COUNT,1),DBRA_WorkplanDate,$C225,DBRA_PlayerID,$D$3),"")</f>
        <v>0</v>
      </c>
      <c r="E225">
        <f ca="1">IFERROR(SUMIFS(OFFSET(DBRA_TopicHCP,0,E$217,DBR_COUNT,1),DBRA_WorkplanDate,$C225,DBRA_PlayerID,$D$3),"")</f>
        <v>0</v>
      </c>
      <c r="F225">
        <f ca="1">IFERROR(SUMIFS(OFFSET(DBRA_TopicHCP,0,F$217,DBR_COUNT,1),DBRA_WorkplanDate,$C225,DBRA_PlayerID,$D$3),"")</f>
        <v>0</v>
      </c>
      <c r="G225">
        <f ca="1">IFERROR(SUMIFS(OFFSET(DBRA_TopicHCP,0,G$217,DBR_COUNT,1),DBRA_WorkplanDate,$C225,DBRA_PlayerID,$D$3),"")</f>
        <v>0</v>
      </c>
      <c r="H225">
        <f ca="1">IFERROR(SUMIFS(OFFSET(DBRA_TopicHCP,0,H$217,DBR_COUNT,1),DBRA_WorkplanDate,$C225,DBRA_PlayerID,$D$3),"")</f>
        <v>0</v>
      </c>
      <c r="I225">
        <f ca="1">IFERROR(SUMIFS(OFFSET(DBRA_TopicHCP,0,I$217,DBR_COUNT,1),DBRA_WorkplanDate,$C225,DBRA_PlayerID,$D$3),"")</f>
        <v>0</v>
      </c>
      <c r="J225">
        <f ca="1">IFERROR(SUMIFS(OFFSET(DBRA_TopicHCP,0,J$217,DBR_COUNT,1),DBRA_WorkplanDate,$C225,DBRA_PlayerID,$D$3),"")</f>
        <v>0</v>
      </c>
      <c r="K225">
        <f ca="1">IFERROR(SUMIFS(OFFSET(DBRA_TopicHCP,0,K$217,DBR_COUNT,1),DBRA_WorkplanDate,$C225,DBRA_PlayerID,$D$3),"")</f>
        <v>0</v>
      </c>
      <c r="L225">
        <f ca="1">IFERROR(SUMIFS(OFFSET(DBRA_TopicHCP,0,L$217,DBR_COUNT,1),DBRA_WorkplanDate,$C225,DBRA_PlayerID,$D$3),"")</f>
        <v>0</v>
      </c>
      <c r="M225" s="47"/>
      <c r="N225">
        <f ca="1">IFERROR(SUMIFS(OFFSET(DBRA_TopicCount,0,N$217,DBR_COUNT,1),DBRA_WorkplanDate,$C225,DBRA_PlayerID,$D$3),"")</f>
        <v>0</v>
      </c>
      <c r="O225">
        <f ca="1">IFERROR(SUMIFS(OFFSET(DBRA_TopicCount,0,O$217,DBR_COUNT,1),DBRA_WorkplanDate,$C225,DBRA_PlayerID,$D$3),"")</f>
        <v>0</v>
      </c>
      <c r="P225">
        <f ca="1">IFERROR(SUMIFS(OFFSET(DBRA_TopicCount,0,P$217,DBR_COUNT,1),DBRA_WorkplanDate,$C225,DBRA_PlayerID,$D$3),"")</f>
        <v>0</v>
      </c>
      <c r="Q225">
        <f ca="1">IFERROR(SUMIFS(OFFSET(DBRA_TopicCount,0,Q$217,DBR_COUNT,1),DBRA_WorkplanDate,$C225,DBRA_PlayerID,$D$3),"")</f>
        <v>0</v>
      </c>
      <c r="R225">
        <f ca="1">IFERROR(SUMIFS(OFFSET(DBRA_TopicCount,0,R$217,DBR_COUNT,1),DBRA_WorkplanDate,$C225,DBRA_PlayerID,$D$3),"")</f>
        <v>0</v>
      </c>
      <c r="S225">
        <f ca="1">IFERROR(SUMIFS(OFFSET(DBRA_TopicCount,0,S$217,DBR_COUNT,1),DBRA_WorkplanDate,$C225,DBRA_PlayerID,$D$3),"")</f>
        <v>0</v>
      </c>
      <c r="T225">
        <f ca="1">IFERROR(SUMIFS(OFFSET(DBRA_TopicCount,0,T$217,DBR_COUNT,1),DBRA_WorkplanDate,$C225,DBRA_PlayerID,$D$3),"")</f>
        <v>0</v>
      </c>
      <c r="U225">
        <f ca="1">IFERROR(SUMIFS(OFFSET(DBRA_TopicCount,0,U$217,DBR_COUNT,1),DBRA_WorkplanDate,$C225,DBRA_PlayerID,$D$3),"")</f>
        <v>0</v>
      </c>
      <c r="V225">
        <f ca="1">IFERROR(SUMIFS(OFFSET(DBRA_TopicCount,0,V$217,DBR_COUNT,1),DBRA_WorkplanDate,$C225,DBRA_PlayerID,$D$3),"")</f>
        <v>0</v>
      </c>
      <c r="W225" s="47"/>
      <c r="X225" t="str">
        <f t="shared" ca="1" si="74"/>
        <v/>
      </c>
      <c r="Y225" t="str">
        <f t="shared" ca="1" si="66"/>
        <v/>
      </c>
      <c r="Z225" t="str">
        <f t="shared" ca="1" si="67"/>
        <v/>
      </c>
      <c r="AA225" t="str">
        <f t="shared" ca="1" si="68"/>
        <v/>
      </c>
      <c r="AB225" t="str">
        <f t="shared" ca="1" si="69"/>
        <v/>
      </c>
      <c r="AC225" t="str">
        <f t="shared" ca="1" si="70"/>
        <v/>
      </c>
      <c r="AD225" t="str">
        <f t="shared" ca="1" si="71"/>
        <v/>
      </c>
      <c r="AE225" t="str">
        <f t="shared" ca="1" si="72"/>
        <v/>
      </c>
      <c r="AF225" t="str">
        <f t="shared" ca="1" si="73"/>
        <v/>
      </c>
      <c r="AG225" s="47"/>
    </row>
    <row r="226" spans="1:33" x14ac:dyDescent="0.25">
      <c r="C226" s="118">
        <f t="shared" si="75"/>
        <v>42012</v>
      </c>
      <c r="D226">
        <f ca="1">IFERROR(SUMIFS(OFFSET(DBRA_TopicHCP,0,D$217,DBR_COUNT,1),DBRA_WorkplanDate,$C226,DBRA_PlayerID,$D$3),"")</f>
        <v>0</v>
      </c>
      <c r="E226">
        <f ca="1">IFERROR(SUMIFS(OFFSET(DBRA_TopicHCP,0,E$217,DBR_COUNT,1),DBRA_WorkplanDate,$C226,DBRA_PlayerID,$D$3),"")</f>
        <v>0</v>
      </c>
      <c r="F226">
        <f ca="1">IFERROR(SUMIFS(OFFSET(DBRA_TopicHCP,0,F$217,DBR_COUNT,1),DBRA_WorkplanDate,$C226,DBRA_PlayerID,$D$3),"")</f>
        <v>0</v>
      </c>
      <c r="G226">
        <f ca="1">IFERROR(SUMIFS(OFFSET(DBRA_TopicHCP,0,G$217,DBR_COUNT,1),DBRA_WorkplanDate,$C226,DBRA_PlayerID,$D$3),"")</f>
        <v>0</v>
      </c>
      <c r="H226">
        <f ca="1">IFERROR(SUMIFS(OFFSET(DBRA_TopicHCP,0,H$217,DBR_COUNT,1),DBRA_WorkplanDate,$C226,DBRA_PlayerID,$D$3),"")</f>
        <v>0</v>
      </c>
      <c r="I226">
        <f ca="1">IFERROR(SUMIFS(OFFSET(DBRA_TopicHCP,0,I$217,DBR_COUNT,1),DBRA_WorkplanDate,$C226,DBRA_PlayerID,$D$3),"")</f>
        <v>0</v>
      </c>
      <c r="J226">
        <f ca="1">IFERROR(SUMIFS(OFFSET(DBRA_TopicHCP,0,J$217,DBR_COUNT,1),DBRA_WorkplanDate,$C226,DBRA_PlayerID,$D$3),"")</f>
        <v>0</v>
      </c>
      <c r="K226">
        <f ca="1">IFERROR(SUMIFS(OFFSET(DBRA_TopicHCP,0,K$217,DBR_COUNT,1),DBRA_WorkplanDate,$C226,DBRA_PlayerID,$D$3),"")</f>
        <v>0</v>
      </c>
      <c r="L226">
        <f ca="1">IFERROR(SUMIFS(OFFSET(DBRA_TopicHCP,0,L$217,DBR_COUNT,1),DBRA_WorkplanDate,$C226,DBRA_PlayerID,$D$3),"")</f>
        <v>0</v>
      </c>
      <c r="M226" s="47"/>
      <c r="N226">
        <f ca="1">IFERROR(SUMIFS(OFFSET(DBRA_TopicCount,0,N$217,DBR_COUNT,1),DBRA_WorkplanDate,$C226,DBRA_PlayerID,$D$3),"")</f>
        <v>0</v>
      </c>
      <c r="O226">
        <f ca="1">IFERROR(SUMIFS(OFFSET(DBRA_TopicCount,0,O$217,DBR_COUNT,1),DBRA_WorkplanDate,$C226,DBRA_PlayerID,$D$3),"")</f>
        <v>0</v>
      </c>
      <c r="P226">
        <f ca="1">IFERROR(SUMIFS(OFFSET(DBRA_TopicCount,0,P$217,DBR_COUNT,1),DBRA_WorkplanDate,$C226,DBRA_PlayerID,$D$3),"")</f>
        <v>0</v>
      </c>
      <c r="Q226">
        <f ca="1">IFERROR(SUMIFS(OFFSET(DBRA_TopicCount,0,Q$217,DBR_COUNT,1),DBRA_WorkplanDate,$C226,DBRA_PlayerID,$D$3),"")</f>
        <v>0</v>
      </c>
      <c r="R226">
        <f ca="1">IFERROR(SUMIFS(OFFSET(DBRA_TopicCount,0,R$217,DBR_COUNT,1),DBRA_WorkplanDate,$C226,DBRA_PlayerID,$D$3),"")</f>
        <v>0</v>
      </c>
      <c r="S226">
        <f ca="1">IFERROR(SUMIFS(OFFSET(DBRA_TopicCount,0,S$217,DBR_COUNT,1),DBRA_WorkplanDate,$C226,DBRA_PlayerID,$D$3),"")</f>
        <v>0</v>
      </c>
      <c r="T226">
        <f ca="1">IFERROR(SUMIFS(OFFSET(DBRA_TopicCount,0,T$217,DBR_COUNT,1),DBRA_WorkplanDate,$C226,DBRA_PlayerID,$D$3),"")</f>
        <v>0</v>
      </c>
      <c r="U226">
        <f ca="1">IFERROR(SUMIFS(OFFSET(DBRA_TopicCount,0,U$217,DBR_COUNT,1),DBRA_WorkplanDate,$C226,DBRA_PlayerID,$D$3),"")</f>
        <v>0</v>
      </c>
      <c r="V226">
        <f ca="1">IFERROR(SUMIFS(OFFSET(DBRA_TopicCount,0,V$217,DBR_COUNT,1),DBRA_WorkplanDate,$C226,DBRA_PlayerID,$D$3),"")</f>
        <v>0</v>
      </c>
      <c r="W226" s="47"/>
      <c r="X226" t="str">
        <f t="shared" ca="1" si="74"/>
        <v/>
      </c>
      <c r="Y226" t="str">
        <f t="shared" ca="1" si="66"/>
        <v/>
      </c>
      <c r="Z226" t="str">
        <f t="shared" ca="1" si="67"/>
        <v/>
      </c>
      <c r="AA226" t="str">
        <f t="shared" ca="1" si="68"/>
        <v/>
      </c>
      <c r="AB226" t="str">
        <f t="shared" ca="1" si="69"/>
        <v/>
      </c>
      <c r="AC226" t="str">
        <f t="shared" ca="1" si="70"/>
        <v/>
      </c>
      <c r="AD226" t="str">
        <f t="shared" ca="1" si="71"/>
        <v/>
      </c>
      <c r="AE226" t="str">
        <f t="shared" ca="1" si="72"/>
        <v/>
      </c>
      <c r="AF226" t="str">
        <f t="shared" ca="1" si="73"/>
        <v/>
      </c>
      <c r="AG226" s="47"/>
    </row>
    <row r="227" spans="1:33" x14ac:dyDescent="0.25">
      <c r="C227" s="118">
        <f t="shared" si="75"/>
        <v>42013</v>
      </c>
      <c r="D227">
        <f ca="1">IFERROR(SUMIFS(OFFSET(DBRA_TopicHCP,0,D$217,DBR_COUNT,1),DBRA_WorkplanDate,$C227,DBRA_PlayerID,$D$3),"")</f>
        <v>0</v>
      </c>
      <c r="E227">
        <f ca="1">IFERROR(SUMIFS(OFFSET(DBRA_TopicHCP,0,E$217,DBR_COUNT,1),DBRA_WorkplanDate,$C227,DBRA_PlayerID,$D$3),"")</f>
        <v>0</v>
      </c>
      <c r="F227">
        <f ca="1">IFERROR(SUMIFS(OFFSET(DBRA_TopicHCP,0,F$217,DBR_COUNT,1),DBRA_WorkplanDate,$C227,DBRA_PlayerID,$D$3),"")</f>
        <v>0</v>
      </c>
      <c r="G227">
        <f ca="1">IFERROR(SUMIFS(OFFSET(DBRA_TopicHCP,0,G$217,DBR_COUNT,1),DBRA_WorkplanDate,$C227,DBRA_PlayerID,$D$3),"")</f>
        <v>0</v>
      </c>
      <c r="H227">
        <f ca="1">IFERROR(SUMIFS(OFFSET(DBRA_TopicHCP,0,H$217,DBR_COUNT,1),DBRA_WorkplanDate,$C227,DBRA_PlayerID,$D$3),"")</f>
        <v>0</v>
      </c>
      <c r="I227">
        <f ca="1">IFERROR(SUMIFS(OFFSET(DBRA_TopicHCP,0,I$217,DBR_COUNT,1),DBRA_WorkplanDate,$C227,DBRA_PlayerID,$D$3),"")</f>
        <v>0</v>
      </c>
      <c r="J227">
        <f ca="1">IFERROR(SUMIFS(OFFSET(DBRA_TopicHCP,0,J$217,DBR_COUNT,1),DBRA_WorkplanDate,$C227,DBRA_PlayerID,$D$3),"")</f>
        <v>0</v>
      </c>
      <c r="K227">
        <f ca="1">IFERROR(SUMIFS(OFFSET(DBRA_TopicHCP,0,K$217,DBR_COUNT,1),DBRA_WorkplanDate,$C227,DBRA_PlayerID,$D$3),"")</f>
        <v>0</v>
      </c>
      <c r="L227">
        <f ca="1">IFERROR(SUMIFS(OFFSET(DBRA_TopicHCP,0,L$217,DBR_COUNT,1),DBRA_WorkplanDate,$C227,DBRA_PlayerID,$D$3),"")</f>
        <v>0</v>
      </c>
      <c r="M227" s="47"/>
      <c r="N227">
        <f ca="1">IFERROR(SUMIFS(OFFSET(DBRA_TopicCount,0,N$217,DBR_COUNT,1),DBRA_WorkplanDate,$C227,DBRA_PlayerID,$D$3),"")</f>
        <v>0</v>
      </c>
      <c r="O227">
        <f ca="1">IFERROR(SUMIFS(OFFSET(DBRA_TopicCount,0,O$217,DBR_COUNT,1),DBRA_WorkplanDate,$C227,DBRA_PlayerID,$D$3),"")</f>
        <v>0</v>
      </c>
      <c r="P227">
        <f ca="1">IFERROR(SUMIFS(OFFSET(DBRA_TopicCount,0,P$217,DBR_COUNT,1),DBRA_WorkplanDate,$C227,DBRA_PlayerID,$D$3),"")</f>
        <v>0</v>
      </c>
      <c r="Q227">
        <f ca="1">IFERROR(SUMIFS(OFFSET(DBRA_TopicCount,0,Q$217,DBR_COUNT,1),DBRA_WorkplanDate,$C227,DBRA_PlayerID,$D$3),"")</f>
        <v>0</v>
      </c>
      <c r="R227">
        <f ca="1">IFERROR(SUMIFS(OFFSET(DBRA_TopicCount,0,R$217,DBR_COUNT,1),DBRA_WorkplanDate,$C227,DBRA_PlayerID,$D$3),"")</f>
        <v>0</v>
      </c>
      <c r="S227">
        <f ca="1">IFERROR(SUMIFS(OFFSET(DBRA_TopicCount,0,S$217,DBR_COUNT,1),DBRA_WorkplanDate,$C227,DBRA_PlayerID,$D$3),"")</f>
        <v>0</v>
      </c>
      <c r="T227">
        <f ca="1">IFERROR(SUMIFS(OFFSET(DBRA_TopicCount,0,T$217,DBR_COUNT,1),DBRA_WorkplanDate,$C227,DBRA_PlayerID,$D$3),"")</f>
        <v>0</v>
      </c>
      <c r="U227">
        <f ca="1">IFERROR(SUMIFS(OFFSET(DBRA_TopicCount,0,U$217,DBR_COUNT,1),DBRA_WorkplanDate,$C227,DBRA_PlayerID,$D$3),"")</f>
        <v>0</v>
      </c>
      <c r="V227">
        <f ca="1">IFERROR(SUMIFS(OFFSET(DBRA_TopicCount,0,V$217,DBR_COUNT,1),DBRA_WorkplanDate,$C227,DBRA_PlayerID,$D$3),"")</f>
        <v>0</v>
      </c>
      <c r="W227" s="47"/>
      <c r="X227" t="str">
        <f t="shared" ca="1" si="74"/>
        <v/>
      </c>
      <c r="Y227" t="str">
        <f t="shared" ca="1" si="66"/>
        <v/>
      </c>
      <c r="Z227" t="str">
        <f t="shared" ca="1" si="67"/>
        <v/>
      </c>
      <c r="AA227" t="str">
        <f t="shared" ca="1" si="68"/>
        <v/>
      </c>
      <c r="AB227" t="str">
        <f t="shared" ca="1" si="69"/>
        <v/>
      </c>
      <c r="AC227" t="str">
        <f t="shared" ca="1" si="70"/>
        <v/>
      </c>
      <c r="AD227" t="str">
        <f t="shared" ca="1" si="71"/>
        <v/>
      </c>
      <c r="AE227" t="str">
        <f t="shared" ca="1" si="72"/>
        <v/>
      </c>
      <c r="AF227" t="str">
        <f t="shared" ca="1" si="73"/>
        <v/>
      </c>
      <c r="AG227" s="47"/>
    </row>
    <row r="228" spans="1:33" x14ac:dyDescent="0.25">
      <c r="C228" s="118">
        <f t="shared" si="75"/>
        <v>42014</v>
      </c>
      <c r="D228">
        <f ca="1">IFERROR(SUMIFS(OFFSET(DBRA_TopicHCP,0,D$217,DBR_COUNT,1),DBRA_WorkplanDate,$C228,DBRA_PlayerID,$D$3),"")</f>
        <v>0</v>
      </c>
      <c r="E228">
        <f ca="1">IFERROR(SUMIFS(OFFSET(DBRA_TopicHCP,0,E$217,DBR_COUNT,1),DBRA_WorkplanDate,$C228,DBRA_PlayerID,$D$3),"")</f>
        <v>0</v>
      </c>
      <c r="F228">
        <f ca="1">IFERROR(SUMIFS(OFFSET(DBRA_TopicHCP,0,F$217,DBR_COUNT,1),DBRA_WorkplanDate,$C228,DBRA_PlayerID,$D$3),"")</f>
        <v>0</v>
      </c>
      <c r="G228">
        <f ca="1">IFERROR(SUMIFS(OFFSET(DBRA_TopicHCP,0,G$217,DBR_COUNT,1),DBRA_WorkplanDate,$C228,DBRA_PlayerID,$D$3),"")</f>
        <v>0</v>
      </c>
      <c r="H228">
        <f ca="1">IFERROR(SUMIFS(OFFSET(DBRA_TopicHCP,0,H$217,DBR_COUNT,1),DBRA_WorkplanDate,$C228,DBRA_PlayerID,$D$3),"")</f>
        <v>0</v>
      </c>
      <c r="I228">
        <f ca="1">IFERROR(SUMIFS(OFFSET(DBRA_TopicHCP,0,I$217,DBR_COUNT,1),DBRA_WorkplanDate,$C228,DBRA_PlayerID,$D$3),"")</f>
        <v>0</v>
      </c>
      <c r="J228">
        <f ca="1">IFERROR(SUMIFS(OFFSET(DBRA_TopicHCP,0,J$217,DBR_COUNT,1),DBRA_WorkplanDate,$C228,DBRA_PlayerID,$D$3),"")</f>
        <v>0</v>
      </c>
      <c r="K228">
        <f ca="1">IFERROR(SUMIFS(OFFSET(DBRA_TopicHCP,0,K$217,DBR_COUNT,1),DBRA_WorkplanDate,$C228,DBRA_PlayerID,$D$3),"")</f>
        <v>0</v>
      </c>
      <c r="L228">
        <f ca="1">IFERROR(SUMIFS(OFFSET(DBRA_TopicHCP,0,L$217,DBR_COUNT,1),DBRA_WorkplanDate,$C228,DBRA_PlayerID,$D$3),"")</f>
        <v>0</v>
      </c>
      <c r="M228" s="47"/>
      <c r="N228">
        <f ca="1">IFERROR(SUMIFS(OFFSET(DBRA_TopicCount,0,N$217,DBR_COUNT,1),DBRA_WorkplanDate,$C228,DBRA_PlayerID,$D$3),"")</f>
        <v>0</v>
      </c>
      <c r="O228">
        <f ca="1">IFERROR(SUMIFS(OFFSET(DBRA_TopicCount,0,O$217,DBR_COUNT,1),DBRA_WorkplanDate,$C228,DBRA_PlayerID,$D$3),"")</f>
        <v>0</v>
      </c>
      <c r="P228">
        <f ca="1">IFERROR(SUMIFS(OFFSET(DBRA_TopicCount,0,P$217,DBR_COUNT,1),DBRA_WorkplanDate,$C228,DBRA_PlayerID,$D$3),"")</f>
        <v>0</v>
      </c>
      <c r="Q228">
        <f ca="1">IFERROR(SUMIFS(OFFSET(DBRA_TopicCount,0,Q$217,DBR_COUNT,1),DBRA_WorkplanDate,$C228,DBRA_PlayerID,$D$3),"")</f>
        <v>0</v>
      </c>
      <c r="R228">
        <f ca="1">IFERROR(SUMIFS(OFFSET(DBRA_TopicCount,0,R$217,DBR_COUNT,1),DBRA_WorkplanDate,$C228,DBRA_PlayerID,$D$3),"")</f>
        <v>0</v>
      </c>
      <c r="S228">
        <f ca="1">IFERROR(SUMIFS(OFFSET(DBRA_TopicCount,0,S$217,DBR_COUNT,1),DBRA_WorkplanDate,$C228,DBRA_PlayerID,$D$3),"")</f>
        <v>0</v>
      </c>
      <c r="T228">
        <f ca="1">IFERROR(SUMIFS(OFFSET(DBRA_TopicCount,0,T$217,DBR_COUNT,1),DBRA_WorkplanDate,$C228,DBRA_PlayerID,$D$3),"")</f>
        <v>0</v>
      </c>
      <c r="U228">
        <f ca="1">IFERROR(SUMIFS(OFFSET(DBRA_TopicCount,0,U$217,DBR_COUNT,1),DBRA_WorkplanDate,$C228,DBRA_PlayerID,$D$3),"")</f>
        <v>0</v>
      </c>
      <c r="V228">
        <f ca="1">IFERROR(SUMIFS(OFFSET(DBRA_TopicCount,0,V$217,DBR_COUNT,1),DBRA_WorkplanDate,$C228,DBRA_PlayerID,$D$3),"")</f>
        <v>0</v>
      </c>
      <c r="W228" s="47"/>
      <c r="X228" t="str">
        <f t="shared" ca="1" si="74"/>
        <v/>
      </c>
      <c r="Y228" t="str">
        <f t="shared" ca="1" si="66"/>
        <v/>
      </c>
      <c r="Z228" t="str">
        <f t="shared" ca="1" si="67"/>
        <v/>
      </c>
      <c r="AA228" t="str">
        <f t="shared" ca="1" si="68"/>
        <v/>
      </c>
      <c r="AB228" t="str">
        <f t="shared" ca="1" si="69"/>
        <v/>
      </c>
      <c r="AC228" t="str">
        <f t="shared" ca="1" si="70"/>
        <v/>
      </c>
      <c r="AD228" t="str">
        <f t="shared" ca="1" si="71"/>
        <v/>
      </c>
      <c r="AE228" t="str">
        <f t="shared" ca="1" si="72"/>
        <v/>
      </c>
      <c r="AF228" t="str">
        <f t="shared" ca="1" si="73"/>
        <v/>
      </c>
      <c r="AG228" s="47"/>
    </row>
    <row r="229" spans="1:33" x14ac:dyDescent="0.25">
      <c r="C229" s="118">
        <f t="shared" si="75"/>
        <v>42015</v>
      </c>
      <c r="D229">
        <f ca="1">IFERROR(SUMIFS(OFFSET(DBRA_TopicHCP,0,D$217,DBR_COUNT,1),DBRA_WorkplanDate,$C229,DBRA_PlayerID,$D$3),"")</f>
        <v>0</v>
      </c>
      <c r="E229">
        <f ca="1">IFERROR(SUMIFS(OFFSET(DBRA_TopicHCP,0,E$217,DBR_COUNT,1),DBRA_WorkplanDate,$C229,DBRA_PlayerID,$D$3),"")</f>
        <v>0</v>
      </c>
      <c r="F229">
        <f ca="1">IFERROR(SUMIFS(OFFSET(DBRA_TopicHCP,0,F$217,DBR_COUNT,1),DBRA_WorkplanDate,$C229,DBRA_PlayerID,$D$3),"")</f>
        <v>0</v>
      </c>
      <c r="G229">
        <f ca="1">IFERROR(SUMIFS(OFFSET(DBRA_TopicHCP,0,G$217,DBR_COUNT,1),DBRA_WorkplanDate,$C229,DBRA_PlayerID,$D$3),"")</f>
        <v>0</v>
      </c>
      <c r="H229">
        <f ca="1">IFERROR(SUMIFS(OFFSET(DBRA_TopicHCP,0,H$217,DBR_COUNT,1),DBRA_WorkplanDate,$C229,DBRA_PlayerID,$D$3),"")</f>
        <v>0</v>
      </c>
      <c r="I229">
        <f ca="1">IFERROR(SUMIFS(OFFSET(DBRA_TopicHCP,0,I$217,DBR_COUNT,1),DBRA_WorkplanDate,$C229,DBRA_PlayerID,$D$3),"")</f>
        <v>0</v>
      </c>
      <c r="J229">
        <f ca="1">IFERROR(SUMIFS(OFFSET(DBRA_TopicHCP,0,J$217,DBR_COUNT,1),DBRA_WorkplanDate,$C229,DBRA_PlayerID,$D$3),"")</f>
        <v>0</v>
      </c>
      <c r="K229">
        <f ca="1">IFERROR(SUMIFS(OFFSET(DBRA_TopicHCP,0,K$217,DBR_COUNT,1),DBRA_WorkplanDate,$C229,DBRA_PlayerID,$D$3),"")</f>
        <v>0</v>
      </c>
      <c r="L229">
        <f ca="1">IFERROR(SUMIFS(OFFSET(DBRA_TopicHCP,0,L$217,DBR_COUNT,1),DBRA_WorkplanDate,$C229,DBRA_PlayerID,$D$3),"")</f>
        <v>0</v>
      </c>
      <c r="M229" s="47"/>
      <c r="N229">
        <f ca="1">IFERROR(SUMIFS(OFFSET(DBRA_TopicCount,0,N$217,DBR_COUNT,1),DBRA_WorkplanDate,$C229,DBRA_PlayerID,$D$3),"")</f>
        <v>0</v>
      </c>
      <c r="O229">
        <f ca="1">IFERROR(SUMIFS(OFFSET(DBRA_TopicCount,0,O$217,DBR_COUNT,1),DBRA_WorkplanDate,$C229,DBRA_PlayerID,$D$3),"")</f>
        <v>0</v>
      </c>
      <c r="P229">
        <f ca="1">IFERROR(SUMIFS(OFFSET(DBRA_TopicCount,0,P$217,DBR_COUNT,1),DBRA_WorkplanDate,$C229,DBRA_PlayerID,$D$3),"")</f>
        <v>0</v>
      </c>
      <c r="Q229">
        <f ca="1">IFERROR(SUMIFS(OFFSET(DBRA_TopicCount,0,Q$217,DBR_COUNT,1),DBRA_WorkplanDate,$C229,DBRA_PlayerID,$D$3),"")</f>
        <v>0</v>
      </c>
      <c r="R229">
        <f ca="1">IFERROR(SUMIFS(OFFSET(DBRA_TopicCount,0,R$217,DBR_COUNT,1),DBRA_WorkplanDate,$C229,DBRA_PlayerID,$D$3),"")</f>
        <v>0</v>
      </c>
      <c r="S229">
        <f ca="1">IFERROR(SUMIFS(OFFSET(DBRA_TopicCount,0,S$217,DBR_COUNT,1),DBRA_WorkplanDate,$C229,DBRA_PlayerID,$D$3),"")</f>
        <v>0</v>
      </c>
      <c r="T229">
        <f ca="1">IFERROR(SUMIFS(OFFSET(DBRA_TopicCount,0,T$217,DBR_COUNT,1),DBRA_WorkplanDate,$C229,DBRA_PlayerID,$D$3),"")</f>
        <v>0</v>
      </c>
      <c r="U229">
        <f ca="1">IFERROR(SUMIFS(OFFSET(DBRA_TopicCount,0,U$217,DBR_COUNT,1),DBRA_WorkplanDate,$C229,DBRA_PlayerID,$D$3),"")</f>
        <v>0</v>
      </c>
      <c r="V229">
        <f ca="1">IFERROR(SUMIFS(OFFSET(DBRA_TopicCount,0,V$217,DBR_COUNT,1),DBRA_WorkplanDate,$C229,DBRA_PlayerID,$D$3),"")</f>
        <v>0</v>
      </c>
      <c r="W229" s="47"/>
      <c r="X229" t="str">
        <f t="shared" ca="1" si="74"/>
        <v/>
      </c>
      <c r="Y229" t="str">
        <f t="shared" ca="1" si="66"/>
        <v/>
      </c>
      <c r="Z229" t="str">
        <f t="shared" ca="1" si="67"/>
        <v/>
      </c>
      <c r="AA229" t="str">
        <f t="shared" ca="1" si="68"/>
        <v/>
      </c>
      <c r="AB229" t="str">
        <f t="shared" ca="1" si="69"/>
        <v/>
      </c>
      <c r="AC229" t="str">
        <f t="shared" ca="1" si="70"/>
        <v/>
      </c>
      <c r="AD229" t="str">
        <f t="shared" ca="1" si="71"/>
        <v/>
      </c>
      <c r="AE229" t="str">
        <f t="shared" ca="1" si="72"/>
        <v/>
      </c>
      <c r="AF229" t="str">
        <f t="shared" ca="1" si="73"/>
        <v/>
      </c>
      <c r="AG229" s="47"/>
    </row>
    <row r="230" spans="1:33" x14ac:dyDescent="0.25">
      <c r="C230" s="118">
        <f t="shared" si="75"/>
        <v>42016</v>
      </c>
      <c r="D230">
        <f ca="1">IFERROR(SUMIFS(OFFSET(DBRA_TopicHCP,0,D$217,DBR_COUNT,1),DBRA_WorkplanDate,$C230,DBRA_PlayerID,$D$3),"")</f>
        <v>0</v>
      </c>
      <c r="E230">
        <f ca="1">IFERROR(SUMIFS(OFFSET(DBRA_TopicHCP,0,E$217,DBR_COUNT,1),DBRA_WorkplanDate,$C230,DBRA_PlayerID,$D$3),"")</f>
        <v>0</v>
      </c>
      <c r="F230">
        <f ca="1">IFERROR(SUMIFS(OFFSET(DBRA_TopicHCP,0,F$217,DBR_COUNT,1),DBRA_WorkplanDate,$C230,DBRA_PlayerID,$D$3),"")</f>
        <v>0</v>
      </c>
      <c r="G230">
        <f ca="1">IFERROR(SUMIFS(OFFSET(DBRA_TopicHCP,0,G$217,DBR_COUNT,1),DBRA_WorkplanDate,$C230,DBRA_PlayerID,$D$3),"")</f>
        <v>0</v>
      </c>
      <c r="H230">
        <f ca="1">IFERROR(SUMIFS(OFFSET(DBRA_TopicHCP,0,H$217,DBR_COUNT,1),DBRA_WorkplanDate,$C230,DBRA_PlayerID,$D$3),"")</f>
        <v>0</v>
      </c>
      <c r="I230">
        <f ca="1">IFERROR(SUMIFS(OFFSET(DBRA_TopicHCP,0,I$217,DBR_COUNT,1),DBRA_WorkplanDate,$C230,DBRA_PlayerID,$D$3),"")</f>
        <v>0</v>
      </c>
      <c r="J230">
        <f ca="1">IFERROR(SUMIFS(OFFSET(DBRA_TopicHCP,0,J$217,DBR_COUNT,1),DBRA_WorkplanDate,$C230,DBRA_PlayerID,$D$3),"")</f>
        <v>0</v>
      </c>
      <c r="K230">
        <f ca="1">IFERROR(SUMIFS(OFFSET(DBRA_TopicHCP,0,K$217,DBR_COUNT,1),DBRA_WorkplanDate,$C230,DBRA_PlayerID,$D$3),"")</f>
        <v>0</v>
      </c>
      <c r="L230">
        <f ca="1">IFERROR(SUMIFS(OFFSET(DBRA_TopicHCP,0,L$217,DBR_COUNT,1),DBRA_WorkplanDate,$C230,DBRA_PlayerID,$D$3),"")</f>
        <v>0</v>
      </c>
      <c r="M230" s="47"/>
      <c r="N230">
        <f ca="1">IFERROR(SUMIFS(OFFSET(DBRA_TopicCount,0,N$217,DBR_COUNT,1),DBRA_WorkplanDate,$C230,DBRA_PlayerID,$D$3),"")</f>
        <v>0</v>
      </c>
      <c r="O230">
        <f ca="1">IFERROR(SUMIFS(OFFSET(DBRA_TopicCount,0,O$217,DBR_COUNT,1),DBRA_WorkplanDate,$C230,DBRA_PlayerID,$D$3),"")</f>
        <v>0</v>
      </c>
      <c r="P230">
        <f ca="1">IFERROR(SUMIFS(OFFSET(DBRA_TopicCount,0,P$217,DBR_COUNT,1),DBRA_WorkplanDate,$C230,DBRA_PlayerID,$D$3),"")</f>
        <v>0</v>
      </c>
      <c r="Q230">
        <f ca="1">IFERROR(SUMIFS(OFFSET(DBRA_TopicCount,0,Q$217,DBR_COUNT,1),DBRA_WorkplanDate,$C230,DBRA_PlayerID,$D$3),"")</f>
        <v>0</v>
      </c>
      <c r="R230">
        <f ca="1">IFERROR(SUMIFS(OFFSET(DBRA_TopicCount,0,R$217,DBR_COUNT,1),DBRA_WorkplanDate,$C230,DBRA_PlayerID,$D$3),"")</f>
        <v>0</v>
      </c>
      <c r="S230">
        <f ca="1">IFERROR(SUMIFS(OFFSET(DBRA_TopicCount,0,S$217,DBR_COUNT,1),DBRA_WorkplanDate,$C230,DBRA_PlayerID,$D$3),"")</f>
        <v>0</v>
      </c>
      <c r="T230">
        <f ca="1">IFERROR(SUMIFS(OFFSET(DBRA_TopicCount,0,T$217,DBR_COUNT,1),DBRA_WorkplanDate,$C230,DBRA_PlayerID,$D$3),"")</f>
        <v>0</v>
      </c>
      <c r="U230">
        <f ca="1">IFERROR(SUMIFS(OFFSET(DBRA_TopicCount,0,U$217,DBR_COUNT,1),DBRA_WorkplanDate,$C230,DBRA_PlayerID,$D$3),"")</f>
        <v>0</v>
      </c>
      <c r="V230">
        <f ca="1">IFERROR(SUMIFS(OFFSET(DBRA_TopicCount,0,V$217,DBR_COUNT,1),DBRA_WorkplanDate,$C230,DBRA_PlayerID,$D$3),"")</f>
        <v>0</v>
      </c>
      <c r="W230" s="47"/>
      <c r="X230" t="str">
        <f t="shared" ca="1" si="74"/>
        <v/>
      </c>
      <c r="Y230" t="str">
        <f t="shared" ca="1" si="66"/>
        <v/>
      </c>
      <c r="Z230" t="str">
        <f t="shared" ca="1" si="67"/>
        <v/>
      </c>
      <c r="AA230" t="str">
        <f t="shared" ca="1" si="68"/>
        <v/>
      </c>
      <c r="AB230" t="str">
        <f t="shared" ca="1" si="69"/>
        <v/>
      </c>
      <c r="AC230" t="str">
        <f t="shared" ca="1" si="70"/>
        <v/>
      </c>
      <c r="AD230" t="str">
        <f t="shared" ca="1" si="71"/>
        <v/>
      </c>
      <c r="AE230" t="str">
        <f t="shared" ca="1" si="72"/>
        <v/>
      </c>
      <c r="AF230" t="str">
        <f t="shared" ca="1" si="73"/>
        <v/>
      </c>
      <c r="AG230" s="47"/>
    </row>
    <row r="231" spans="1:33" x14ac:dyDescent="0.25">
      <c r="C231" s="118">
        <f t="shared" si="75"/>
        <v>42017</v>
      </c>
      <c r="D231">
        <f ca="1">IFERROR(SUMIFS(OFFSET(DBRA_TopicHCP,0,D$217,DBR_COUNT,1),DBRA_WorkplanDate,$C231,DBRA_PlayerID,$D$3),"")</f>
        <v>0</v>
      </c>
      <c r="E231">
        <f ca="1">IFERROR(SUMIFS(OFFSET(DBRA_TopicHCP,0,E$217,DBR_COUNT,1),DBRA_WorkplanDate,$C231,DBRA_PlayerID,$D$3),"")</f>
        <v>0</v>
      </c>
      <c r="F231">
        <f ca="1">IFERROR(SUMIFS(OFFSET(DBRA_TopicHCP,0,F$217,DBR_COUNT,1),DBRA_WorkplanDate,$C231,DBRA_PlayerID,$D$3),"")</f>
        <v>0</v>
      </c>
      <c r="G231">
        <f ca="1">IFERROR(SUMIFS(OFFSET(DBRA_TopicHCP,0,G$217,DBR_COUNT,1),DBRA_WorkplanDate,$C231,DBRA_PlayerID,$D$3),"")</f>
        <v>0</v>
      </c>
      <c r="H231">
        <f ca="1">IFERROR(SUMIFS(OFFSET(DBRA_TopicHCP,0,H$217,DBR_COUNT,1),DBRA_WorkplanDate,$C231,DBRA_PlayerID,$D$3),"")</f>
        <v>0</v>
      </c>
      <c r="I231">
        <f ca="1">IFERROR(SUMIFS(OFFSET(DBRA_TopicHCP,0,I$217,DBR_COUNT,1),DBRA_WorkplanDate,$C231,DBRA_PlayerID,$D$3),"")</f>
        <v>0</v>
      </c>
      <c r="J231">
        <f ca="1">IFERROR(SUMIFS(OFFSET(DBRA_TopicHCP,0,J$217,DBR_COUNT,1),DBRA_WorkplanDate,$C231,DBRA_PlayerID,$D$3),"")</f>
        <v>0</v>
      </c>
      <c r="K231">
        <f ca="1">IFERROR(SUMIFS(OFFSET(DBRA_TopicHCP,0,K$217,DBR_COUNT,1),DBRA_WorkplanDate,$C231,DBRA_PlayerID,$D$3),"")</f>
        <v>0</v>
      </c>
      <c r="L231">
        <f ca="1">IFERROR(SUMIFS(OFFSET(DBRA_TopicHCP,0,L$217,DBR_COUNT,1),DBRA_WorkplanDate,$C231,DBRA_PlayerID,$D$3),"")</f>
        <v>0</v>
      </c>
      <c r="M231" s="47"/>
      <c r="N231">
        <f ca="1">IFERROR(SUMIFS(OFFSET(DBRA_TopicCount,0,N$217,DBR_COUNT,1),DBRA_WorkplanDate,$C231,DBRA_PlayerID,$D$3),"")</f>
        <v>0</v>
      </c>
      <c r="O231">
        <f ca="1">IFERROR(SUMIFS(OFFSET(DBRA_TopicCount,0,O$217,DBR_COUNT,1),DBRA_WorkplanDate,$C231,DBRA_PlayerID,$D$3),"")</f>
        <v>0</v>
      </c>
      <c r="P231">
        <f ca="1">IFERROR(SUMIFS(OFFSET(DBRA_TopicCount,0,P$217,DBR_COUNT,1),DBRA_WorkplanDate,$C231,DBRA_PlayerID,$D$3),"")</f>
        <v>0</v>
      </c>
      <c r="Q231">
        <f ca="1">IFERROR(SUMIFS(OFFSET(DBRA_TopicCount,0,Q$217,DBR_COUNT,1),DBRA_WorkplanDate,$C231,DBRA_PlayerID,$D$3),"")</f>
        <v>0</v>
      </c>
      <c r="R231">
        <f ca="1">IFERROR(SUMIFS(OFFSET(DBRA_TopicCount,0,R$217,DBR_COUNT,1),DBRA_WorkplanDate,$C231,DBRA_PlayerID,$D$3),"")</f>
        <v>0</v>
      </c>
      <c r="S231">
        <f ca="1">IFERROR(SUMIFS(OFFSET(DBRA_TopicCount,0,S$217,DBR_COUNT,1),DBRA_WorkplanDate,$C231,DBRA_PlayerID,$D$3),"")</f>
        <v>0</v>
      </c>
      <c r="T231">
        <f ca="1">IFERROR(SUMIFS(OFFSET(DBRA_TopicCount,0,T$217,DBR_COUNT,1),DBRA_WorkplanDate,$C231,DBRA_PlayerID,$D$3),"")</f>
        <v>0</v>
      </c>
      <c r="U231">
        <f ca="1">IFERROR(SUMIFS(OFFSET(DBRA_TopicCount,0,U$217,DBR_COUNT,1),DBRA_WorkplanDate,$C231,DBRA_PlayerID,$D$3),"")</f>
        <v>0</v>
      </c>
      <c r="V231">
        <f ca="1">IFERROR(SUMIFS(OFFSET(DBRA_TopicCount,0,V$217,DBR_COUNT,1),DBRA_WorkplanDate,$C231,DBRA_PlayerID,$D$3),"")</f>
        <v>0</v>
      </c>
      <c r="W231" s="47"/>
      <c r="X231" t="str">
        <f t="shared" ca="1" si="74"/>
        <v/>
      </c>
      <c r="Y231" t="str">
        <f t="shared" ca="1" si="66"/>
        <v/>
      </c>
      <c r="Z231" t="str">
        <f t="shared" ca="1" si="67"/>
        <v/>
      </c>
      <c r="AA231" t="str">
        <f t="shared" ca="1" si="68"/>
        <v/>
      </c>
      <c r="AB231" t="str">
        <f t="shared" ca="1" si="69"/>
        <v/>
      </c>
      <c r="AC231" t="str">
        <f t="shared" ca="1" si="70"/>
        <v/>
      </c>
      <c r="AD231" t="str">
        <f t="shared" ca="1" si="71"/>
        <v/>
      </c>
      <c r="AE231" t="str">
        <f t="shared" ca="1" si="72"/>
        <v/>
      </c>
      <c r="AF231" t="str">
        <f t="shared" ca="1" si="73"/>
        <v/>
      </c>
      <c r="AG231" s="47"/>
    </row>
    <row r="232" spans="1:33" x14ac:dyDescent="0.25">
      <c r="C232" s="118">
        <f t="shared" si="75"/>
        <v>42018</v>
      </c>
      <c r="D232">
        <f ca="1">IFERROR(SUMIFS(OFFSET(DBRA_TopicHCP,0,D$217,DBR_COUNT,1),DBRA_WorkplanDate,$C232,DBRA_PlayerID,$D$3),"")</f>
        <v>0</v>
      </c>
      <c r="E232">
        <f ca="1">IFERROR(SUMIFS(OFFSET(DBRA_TopicHCP,0,E$217,DBR_COUNT,1),DBRA_WorkplanDate,$C232,DBRA_PlayerID,$D$3),"")</f>
        <v>0</v>
      </c>
      <c r="F232">
        <f ca="1">IFERROR(SUMIFS(OFFSET(DBRA_TopicHCP,0,F$217,DBR_COUNT,1),DBRA_WorkplanDate,$C232,DBRA_PlayerID,$D$3),"")</f>
        <v>0</v>
      </c>
      <c r="G232">
        <f ca="1">IFERROR(SUMIFS(OFFSET(DBRA_TopicHCP,0,G$217,DBR_COUNT,1),DBRA_WorkplanDate,$C232,DBRA_PlayerID,$D$3),"")</f>
        <v>0</v>
      </c>
      <c r="H232">
        <f ca="1">IFERROR(SUMIFS(OFFSET(DBRA_TopicHCP,0,H$217,DBR_COUNT,1),DBRA_WorkplanDate,$C232,DBRA_PlayerID,$D$3),"")</f>
        <v>0</v>
      </c>
      <c r="I232">
        <f ca="1">IFERROR(SUMIFS(OFFSET(DBRA_TopicHCP,0,I$217,DBR_COUNT,1),DBRA_WorkplanDate,$C232,DBRA_PlayerID,$D$3),"")</f>
        <v>0</v>
      </c>
      <c r="J232">
        <f ca="1">IFERROR(SUMIFS(OFFSET(DBRA_TopicHCP,0,J$217,DBR_COUNT,1),DBRA_WorkplanDate,$C232,DBRA_PlayerID,$D$3),"")</f>
        <v>0</v>
      </c>
      <c r="K232">
        <f ca="1">IFERROR(SUMIFS(OFFSET(DBRA_TopicHCP,0,K$217,DBR_COUNT,1),DBRA_WorkplanDate,$C232,DBRA_PlayerID,$D$3),"")</f>
        <v>0</v>
      </c>
      <c r="L232">
        <f ca="1">IFERROR(SUMIFS(OFFSET(DBRA_TopicHCP,0,L$217,DBR_COUNT,1),DBRA_WorkplanDate,$C232,DBRA_PlayerID,$D$3),"")</f>
        <v>0</v>
      </c>
      <c r="M232" s="47"/>
      <c r="N232">
        <f ca="1">IFERROR(SUMIFS(OFFSET(DBRA_TopicCount,0,N$217,DBR_COUNT,1),DBRA_WorkplanDate,$C232,DBRA_PlayerID,$D$3),"")</f>
        <v>0</v>
      </c>
      <c r="O232">
        <f ca="1">IFERROR(SUMIFS(OFFSET(DBRA_TopicCount,0,O$217,DBR_COUNT,1),DBRA_WorkplanDate,$C232,DBRA_PlayerID,$D$3),"")</f>
        <v>0</v>
      </c>
      <c r="P232">
        <f ca="1">IFERROR(SUMIFS(OFFSET(DBRA_TopicCount,0,P$217,DBR_COUNT,1),DBRA_WorkplanDate,$C232,DBRA_PlayerID,$D$3),"")</f>
        <v>0</v>
      </c>
      <c r="Q232">
        <f ca="1">IFERROR(SUMIFS(OFFSET(DBRA_TopicCount,0,Q$217,DBR_COUNT,1),DBRA_WorkplanDate,$C232,DBRA_PlayerID,$D$3),"")</f>
        <v>0</v>
      </c>
      <c r="R232">
        <f ca="1">IFERROR(SUMIFS(OFFSET(DBRA_TopicCount,0,R$217,DBR_COUNT,1),DBRA_WorkplanDate,$C232,DBRA_PlayerID,$D$3),"")</f>
        <v>0</v>
      </c>
      <c r="S232">
        <f ca="1">IFERROR(SUMIFS(OFFSET(DBRA_TopicCount,0,S$217,DBR_COUNT,1),DBRA_WorkplanDate,$C232,DBRA_PlayerID,$D$3),"")</f>
        <v>0</v>
      </c>
      <c r="T232">
        <f ca="1">IFERROR(SUMIFS(OFFSET(DBRA_TopicCount,0,T$217,DBR_COUNT,1),DBRA_WorkplanDate,$C232,DBRA_PlayerID,$D$3),"")</f>
        <v>0</v>
      </c>
      <c r="U232">
        <f ca="1">IFERROR(SUMIFS(OFFSET(DBRA_TopicCount,0,U$217,DBR_COUNT,1),DBRA_WorkplanDate,$C232,DBRA_PlayerID,$D$3),"")</f>
        <v>0</v>
      </c>
      <c r="V232">
        <f ca="1">IFERROR(SUMIFS(OFFSET(DBRA_TopicCount,0,V$217,DBR_COUNT,1),DBRA_WorkplanDate,$C232,DBRA_PlayerID,$D$3),"")</f>
        <v>0</v>
      </c>
      <c r="W232" s="47"/>
      <c r="X232" t="str">
        <f t="shared" ca="1" si="74"/>
        <v/>
      </c>
      <c r="Y232" t="str">
        <f t="shared" ca="1" si="66"/>
        <v/>
      </c>
      <c r="Z232" t="str">
        <f t="shared" ca="1" si="67"/>
        <v/>
      </c>
      <c r="AA232" t="str">
        <f t="shared" ca="1" si="68"/>
        <v/>
      </c>
      <c r="AB232" t="str">
        <f t="shared" ca="1" si="69"/>
        <v/>
      </c>
      <c r="AC232" t="str">
        <f t="shared" ca="1" si="70"/>
        <v/>
      </c>
      <c r="AD232" t="str">
        <f t="shared" ca="1" si="71"/>
        <v/>
      </c>
      <c r="AE232" t="str">
        <f t="shared" ca="1" si="72"/>
        <v/>
      </c>
      <c r="AF232" t="str">
        <f t="shared" ca="1" si="73"/>
        <v/>
      </c>
      <c r="AG232" s="47"/>
    </row>
    <row r="233" spans="1:33" x14ac:dyDescent="0.25">
      <c r="C233" s="118">
        <f t="shared" si="75"/>
        <v>42019</v>
      </c>
      <c r="D233">
        <f ca="1">IFERROR(SUMIFS(OFFSET(DBRA_TopicHCP,0,D$217,DBR_COUNT,1),DBRA_WorkplanDate,$C233,DBRA_PlayerID,$D$3),"")</f>
        <v>0</v>
      </c>
      <c r="E233">
        <f ca="1">IFERROR(SUMIFS(OFFSET(DBRA_TopicHCP,0,E$217,DBR_COUNT,1),DBRA_WorkplanDate,$C233,DBRA_PlayerID,$D$3),"")</f>
        <v>0</v>
      </c>
      <c r="F233">
        <f ca="1">IFERROR(SUMIFS(OFFSET(DBRA_TopicHCP,0,F$217,DBR_COUNT,1),DBRA_WorkplanDate,$C233,DBRA_PlayerID,$D$3),"")</f>
        <v>0</v>
      </c>
      <c r="G233">
        <f ca="1">IFERROR(SUMIFS(OFFSET(DBRA_TopicHCP,0,G$217,DBR_COUNT,1),DBRA_WorkplanDate,$C233,DBRA_PlayerID,$D$3),"")</f>
        <v>0</v>
      </c>
      <c r="H233">
        <f ca="1">IFERROR(SUMIFS(OFFSET(DBRA_TopicHCP,0,H$217,DBR_COUNT,1),DBRA_WorkplanDate,$C233,DBRA_PlayerID,$D$3),"")</f>
        <v>0</v>
      </c>
      <c r="I233">
        <f ca="1">IFERROR(SUMIFS(OFFSET(DBRA_TopicHCP,0,I$217,DBR_COUNT,1),DBRA_WorkplanDate,$C233,DBRA_PlayerID,$D$3),"")</f>
        <v>0</v>
      </c>
      <c r="J233">
        <f ca="1">IFERROR(SUMIFS(OFFSET(DBRA_TopicHCP,0,J$217,DBR_COUNT,1),DBRA_WorkplanDate,$C233,DBRA_PlayerID,$D$3),"")</f>
        <v>0</v>
      </c>
      <c r="K233">
        <f ca="1">IFERROR(SUMIFS(OFFSET(DBRA_TopicHCP,0,K$217,DBR_COUNT,1),DBRA_WorkplanDate,$C233,DBRA_PlayerID,$D$3),"")</f>
        <v>0</v>
      </c>
      <c r="L233">
        <f ca="1">IFERROR(SUMIFS(OFFSET(DBRA_TopicHCP,0,L$217,DBR_COUNT,1),DBRA_WorkplanDate,$C233,DBRA_PlayerID,$D$3),"")</f>
        <v>0</v>
      </c>
      <c r="M233" s="47"/>
      <c r="N233">
        <f ca="1">IFERROR(SUMIFS(OFFSET(DBRA_TopicCount,0,N$217,DBR_COUNT,1),DBRA_WorkplanDate,$C233,DBRA_PlayerID,$D$3),"")</f>
        <v>0</v>
      </c>
      <c r="O233">
        <f ca="1">IFERROR(SUMIFS(OFFSET(DBRA_TopicCount,0,O$217,DBR_COUNT,1),DBRA_WorkplanDate,$C233,DBRA_PlayerID,$D$3),"")</f>
        <v>0</v>
      </c>
      <c r="P233">
        <f ca="1">IFERROR(SUMIFS(OFFSET(DBRA_TopicCount,0,P$217,DBR_COUNT,1),DBRA_WorkplanDate,$C233,DBRA_PlayerID,$D$3),"")</f>
        <v>0</v>
      </c>
      <c r="Q233">
        <f ca="1">IFERROR(SUMIFS(OFFSET(DBRA_TopicCount,0,Q$217,DBR_COUNT,1),DBRA_WorkplanDate,$C233,DBRA_PlayerID,$D$3),"")</f>
        <v>0</v>
      </c>
      <c r="R233">
        <f ca="1">IFERROR(SUMIFS(OFFSET(DBRA_TopicCount,0,R$217,DBR_COUNT,1),DBRA_WorkplanDate,$C233,DBRA_PlayerID,$D$3),"")</f>
        <v>0</v>
      </c>
      <c r="S233">
        <f ca="1">IFERROR(SUMIFS(OFFSET(DBRA_TopicCount,0,S$217,DBR_COUNT,1),DBRA_WorkplanDate,$C233,DBRA_PlayerID,$D$3),"")</f>
        <v>0</v>
      </c>
      <c r="T233">
        <f ca="1">IFERROR(SUMIFS(OFFSET(DBRA_TopicCount,0,T$217,DBR_COUNT,1),DBRA_WorkplanDate,$C233,DBRA_PlayerID,$D$3),"")</f>
        <v>0</v>
      </c>
      <c r="U233">
        <f ca="1">IFERROR(SUMIFS(OFFSET(DBRA_TopicCount,0,U$217,DBR_COUNT,1),DBRA_WorkplanDate,$C233,DBRA_PlayerID,$D$3),"")</f>
        <v>0</v>
      </c>
      <c r="V233">
        <f ca="1">IFERROR(SUMIFS(OFFSET(DBRA_TopicCount,0,V$217,DBR_COUNT,1),DBRA_WorkplanDate,$C233,DBRA_PlayerID,$D$3),"")</f>
        <v>0</v>
      </c>
      <c r="W233" s="47"/>
      <c r="X233" t="str">
        <f t="shared" ca="1" si="74"/>
        <v/>
      </c>
      <c r="Y233" t="str">
        <f t="shared" ca="1" si="66"/>
        <v/>
      </c>
      <c r="Z233" t="str">
        <f t="shared" ca="1" si="67"/>
        <v/>
      </c>
      <c r="AA233" t="str">
        <f t="shared" ca="1" si="68"/>
        <v/>
      </c>
      <c r="AB233" t="str">
        <f t="shared" ca="1" si="69"/>
        <v/>
      </c>
      <c r="AC233" t="str">
        <f t="shared" ca="1" si="70"/>
        <v/>
      </c>
      <c r="AD233" t="str">
        <f t="shared" ca="1" si="71"/>
        <v/>
      </c>
      <c r="AE233" t="str">
        <f t="shared" ca="1" si="72"/>
        <v/>
      </c>
      <c r="AF233" t="str">
        <f t="shared" ca="1" si="73"/>
        <v/>
      </c>
      <c r="AG233" s="47"/>
    </row>
    <row r="234" spans="1:33" x14ac:dyDescent="0.25">
      <c r="C234" s="118">
        <f t="shared" si="75"/>
        <v>42020</v>
      </c>
      <c r="D234">
        <f ca="1">IFERROR(SUMIFS(OFFSET(DBRA_TopicHCP,0,D$217,DBR_COUNT,1),DBRA_WorkplanDate,$C234,DBRA_PlayerID,$D$3),"")</f>
        <v>0</v>
      </c>
      <c r="E234">
        <f ca="1">IFERROR(SUMIFS(OFFSET(DBRA_TopicHCP,0,E$217,DBR_COUNT,1),DBRA_WorkplanDate,$C234,DBRA_PlayerID,$D$3),"")</f>
        <v>0</v>
      </c>
      <c r="F234">
        <f ca="1">IFERROR(SUMIFS(OFFSET(DBRA_TopicHCP,0,F$217,DBR_COUNT,1),DBRA_WorkplanDate,$C234,DBRA_PlayerID,$D$3),"")</f>
        <v>0</v>
      </c>
      <c r="G234">
        <f ca="1">IFERROR(SUMIFS(OFFSET(DBRA_TopicHCP,0,G$217,DBR_COUNT,1),DBRA_WorkplanDate,$C234,DBRA_PlayerID,$D$3),"")</f>
        <v>0</v>
      </c>
      <c r="H234">
        <f ca="1">IFERROR(SUMIFS(OFFSET(DBRA_TopicHCP,0,H$217,DBR_COUNT,1),DBRA_WorkplanDate,$C234,DBRA_PlayerID,$D$3),"")</f>
        <v>0</v>
      </c>
      <c r="I234">
        <f ca="1">IFERROR(SUMIFS(OFFSET(DBRA_TopicHCP,0,I$217,DBR_COUNT,1),DBRA_WorkplanDate,$C234,DBRA_PlayerID,$D$3),"")</f>
        <v>0</v>
      </c>
      <c r="J234">
        <f ca="1">IFERROR(SUMIFS(OFFSET(DBRA_TopicHCP,0,J$217,DBR_COUNT,1),DBRA_WorkplanDate,$C234,DBRA_PlayerID,$D$3),"")</f>
        <v>0</v>
      </c>
      <c r="K234">
        <f ca="1">IFERROR(SUMIFS(OFFSET(DBRA_TopicHCP,0,K$217,DBR_COUNT,1),DBRA_WorkplanDate,$C234,DBRA_PlayerID,$D$3),"")</f>
        <v>0</v>
      </c>
      <c r="L234">
        <f ca="1">IFERROR(SUMIFS(OFFSET(DBRA_TopicHCP,0,L$217,DBR_COUNT,1),DBRA_WorkplanDate,$C234,DBRA_PlayerID,$D$3),"")</f>
        <v>0</v>
      </c>
      <c r="M234" s="47"/>
      <c r="N234">
        <f ca="1">IFERROR(SUMIFS(OFFSET(DBRA_TopicCount,0,N$217,DBR_COUNT,1),DBRA_WorkplanDate,$C234,DBRA_PlayerID,$D$3),"")</f>
        <v>0</v>
      </c>
      <c r="O234">
        <f ca="1">IFERROR(SUMIFS(OFFSET(DBRA_TopicCount,0,O$217,DBR_COUNT,1),DBRA_WorkplanDate,$C234,DBRA_PlayerID,$D$3),"")</f>
        <v>0</v>
      </c>
      <c r="P234">
        <f ca="1">IFERROR(SUMIFS(OFFSET(DBRA_TopicCount,0,P$217,DBR_COUNT,1),DBRA_WorkplanDate,$C234,DBRA_PlayerID,$D$3),"")</f>
        <v>0</v>
      </c>
      <c r="Q234">
        <f ca="1">IFERROR(SUMIFS(OFFSET(DBRA_TopicCount,0,Q$217,DBR_COUNT,1),DBRA_WorkplanDate,$C234,DBRA_PlayerID,$D$3),"")</f>
        <v>0</v>
      </c>
      <c r="R234">
        <f ca="1">IFERROR(SUMIFS(OFFSET(DBRA_TopicCount,0,R$217,DBR_COUNT,1),DBRA_WorkplanDate,$C234,DBRA_PlayerID,$D$3),"")</f>
        <v>0</v>
      </c>
      <c r="S234">
        <f ca="1">IFERROR(SUMIFS(OFFSET(DBRA_TopicCount,0,S$217,DBR_COUNT,1),DBRA_WorkplanDate,$C234,DBRA_PlayerID,$D$3),"")</f>
        <v>0</v>
      </c>
      <c r="T234">
        <f ca="1">IFERROR(SUMIFS(OFFSET(DBRA_TopicCount,0,T$217,DBR_COUNT,1),DBRA_WorkplanDate,$C234,DBRA_PlayerID,$D$3),"")</f>
        <v>0</v>
      </c>
      <c r="U234">
        <f ca="1">IFERROR(SUMIFS(OFFSET(DBRA_TopicCount,0,U$217,DBR_COUNT,1),DBRA_WorkplanDate,$C234,DBRA_PlayerID,$D$3),"")</f>
        <v>0</v>
      </c>
      <c r="V234">
        <f ca="1">IFERROR(SUMIFS(OFFSET(DBRA_TopicCount,0,V$217,DBR_COUNT,1),DBRA_WorkplanDate,$C234,DBRA_PlayerID,$D$3),"")</f>
        <v>0</v>
      </c>
      <c r="W234" s="47"/>
      <c r="X234" t="str">
        <f t="shared" ca="1" si="74"/>
        <v/>
      </c>
      <c r="Y234" t="str">
        <f t="shared" ca="1" si="66"/>
        <v/>
      </c>
      <c r="Z234" t="str">
        <f t="shared" ca="1" si="67"/>
        <v/>
      </c>
      <c r="AA234" t="str">
        <f t="shared" ca="1" si="68"/>
        <v/>
      </c>
      <c r="AB234" t="str">
        <f t="shared" ca="1" si="69"/>
        <v/>
      </c>
      <c r="AC234" t="str">
        <f t="shared" ca="1" si="70"/>
        <v/>
      </c>
      <c r="AD234" t="str">
        <f t="shared" ca="1" si="71"/>
        <v/>
      </c>
      <c r="AE234" t="str">
        <f t="shared" ca="1" si="72"/>
        <v/>
      </c>
      <c r="AF234" t="str">
        <f t="shared" ca="1" si="73"/>
        <v/>
      </c>
      <c r="AG234" s="47"/>
    </row>
    <row r="235" spans="1:33" x14ac:dyDescent="0.25">
      <c r="C235" s="118">
        <f t="shared" si="75"/>
        <v>42021</v>
      </c>
      <c r="D235">
        <f ca="1">IFERROR(SUMIFS(OFFSET(DBRA_TopicHCP,0,D$217,DBR_COUNT,1),DBRA_WorkplanDate,$C235,DBRA_PlayerID,$D$3),"")</f>
        <v>0</v>
      </c>
      <c r="E235">
        <f ca="1">IFERROR(SUMIFS(OFFSET(DBRA_TopicHCP,0,E$217,DBR_COUNT,1),DBRA_WorkplanDate,$C235,DBRA_PlayerID,$D$3),"")</f>
        <v>0</v>
      </c>
      <c r="F235">
        <f ca="1">IFERROR(SUMIFS(OFFSET(DBRA_TopicHCP,0,F$217,DBR_COUNT,1),DBRA_WorkplanDate,$C235,DBRA_PlayerID,$D$3),"")</f>
        <v>0</v>
      </c>
      <c r="G235">
        <f ca="1">IFERROR(SUMIFS(OFFSET(DBRA_TopicHCP,0,G$217,DBR_COUNT,1),DBRA_WorkplanDate,$C235,DBRA_PlayerID,$D$3),"")</f>
        <v>0</v>
      </c>
      <c r="H235">
        <f ca="1">IFERROR(SUMIFS(OFFSET(DBRA_TopicHCP,0,H$217,DBR_COUNT,1),DBRA_WorkplanDate,$C235,DBRA_PlayerID,$D$3),"")</f>
        <v>0</v>
      </c>
      <c r="I235">
        <f ca="1">IFERROR(SUMIFS(OFFSET(DBRA_TopicHCP,0,I$217,DBR_COUNT,1),DBRA_WorkplanDate,$C235,DBRA_PlayerID,$D$3),"")</f>
        <v>0</v>
      </c>
      <c r="J235">
        <f ca="1">IFERROR(SUMIFS(OFFSET(DBRA_TopicHCP,0,J$217,DBR_COUNT,1),DBRA_WorkplanDate,$C235,DBRA_PlayerID,$D$3),"")</f>
        <v>0</v>
      </c>
      <c r="K235">
        <f ca="1">IFERROR(SUMIFS(OFFSET(DBRA_TopicHCP,0,K$217,DBR_COUNT,1),DBRA_WorkplanDate,$C235,DBRA_PlayerID,$D$3),"")</f>
        <v>0</v>
      </c>
      <c r="L235">
        <f ca="1">IFERROR(SUMIFS(OFFSET(DBRA_TopicHCP,0,L$217,DBR_COUNT,1),DBRA_WorkplanDate,$C235,DBRA_PlayerID,$D$3),"")</f>
        <v>0</v>
      </c>
      <c r="M235" s="47"/>
      <c r="N235">
        <f ca="1">IFERROR(SUMIFS(OFFSET(DBRA_TopicCount,0,N$217,DBR_COUNT,1),DBRA_WorkplanDate,$C235,DBRA_PlayerID,$D$3),"")</f>
        <v>0</v>
      </c>
      <c r="O235">
        <f ca="1">IFERROR(SUMIFS(OFFSET(DBRA_TopicCount,0,O$217,DBR_COUNT,1),DBRA_WorkplanDate,$C235,DBRA_PlayerID,$D$3),"")</f>
        <v>0</v>
      </c>
      <c r="P235">
        <f ca="1">IFERROR(SUMIFS(OFFSET(DBRA_TopicCount,0,P$217,DBR_COUNT,1),DBRA_WorkplanDate,$C235,DBRA_PlayerID,$D$3),"")</f>
        <v>0</v>
      </c>
      <c r="Q235">
        <f ca="1">IFERROR(SUMIFS(OFFSET(DBRA_TopicCount,0,Q$217,DBR_COUNT,1),DBRA_WorkplanDate,$C235,DBRA_PlayerID,$D$3),"")</f>
        <v>0</v>
      </c>
      <c r="R235">
        <f ca="1">IFERROR(SUMIFS(OFFSET(DBRA_TopicCount,0,R$217,DBR_COUNT,1),DBRA_WorkplanDate,$C235,DBRA_PlayerID,$D$3),"")</f>
        <v>0</v>
      </c>
      <c r="S235">
        <f ca="1">IFERROR(SUMIFS(OFFSET(DBRA_TopicCount,0,S$217,DBR_COUNT,1),DBRA_WorkplanDate,$C235,DBRA_PlayerID,$D$3),"")</f>
        <v>0</v>
      </c>
      <c r="T235">
        <f ca="1">IFERROR(SUMIFS(OFFSET(DBRA_TopicCount,0,T$217,DBR_COUNT,1),DBRA_WorkplanDate,$C235,DBRA_PlayerID,$D$3),"")</f>
        <v>0</v>
      </c>
      <c r="U235">
        <f ca="1">IFERROR(SUMIFS(OFFSET(DBRA_TopicCount,0,U$217,DBR_COUNT,1),DBRA_WorkplanDate,$C235,DBRA_PlayerID,$D$3),"")</f>
        <v>0</v>
      </c>
      <c r="V235">
        <f ca="1">IFERROR(SUMIFS(OFFSET(DBRA_TopicCount,0,V$217,DBR_COUNT,1),DBRA_WorkplanDate,$C235,DBRA_PlayerID,$D$3),"")</f>
        <v>0</v>
      </c>
      <c r="W235" s="47"/>
      <c r="X235" t="str">
        <f t="shared" ca="1" si="74"/>
        <v/>
      </c>
      <c r="Y235" t="str">
        <f t="shared" ca="1" si="66"/>
        <v/>
      </c>
      <c r="Z235" t="str">
        <f t="shared" ca="1" si="67"/>
        <v/>
      </c>
      <c r="AA235" t="str">
        <f t="shared" ca="1" si="68"/>
        <v/>
      </c>
      <c r="AB235" t="str">
        <f t="shared" ca="1" si="69"/>
        <v/>
      </c>
      <c r="AC235" t="str">
        <f t="shared" ca="1" si="70"/>
        <v/>
      </c>
      <c r="AD235" t="str">
        <f t="shared" ca="1" si="71"/>
        <v/>
      </c>
      <c r="AE235" t="str">
        <f t="shared" ca="1" si="72"/>
        <v/>
      </c>
      <c r="AF235" t="str">
        <f t="shared" ca="1" si="73"/>
        <v/>
      </c>
      <c r="AG235" s="47"/>
    </row>
    <row r="236" spans="1:33" x14ac:dyDescent="0.25">
      <c r="C236" s="118">
        <f t="shared" si="75"/>
        <v>42022</v>
      </c>
      <c r="D236">
        <f ca="1">IFERROR(SUMIFS(OFFSET(DBRA_TopicHCP,0,D$217,DBR_COUNT,1),DBRA_WorkplanDate,$C236,DBRA_PlayerID,$D$3),"")</f>
        <v>0</v>
      </c>
      <c r="E236">
        <f ca="1">IFERROR(SUMIFS(OFFSET(DBRA_TopicHCP,0,E$217,DBR_COUNT,1),DBRA_WorkplanDate,$C236,DBRA_PlayerID,$D$3),"")</f>
        <v>0</v>
      </c>
      <c r="F236">
        <f ca="1">IFERROR(SUMIFS(OFFSET(DBRA_TopicHCP,0,F$217,DBR_COUNT,1),DBRA_WorkplanDate,$C236,DBRA_PlayerID,$D$3),"")</f>
        <v>0</v>
      </c>
      <c r="G236">
        <f ca="1">IFERROR(SUMIFS(OFFSET(DBRA_TopicHCP,0,G$217,DBR_COUNT,1),DBRA_WorkplanDate,$C236,DBRA_PlayerID,$D$3),"")</f>
        <v>0</v>
      </c>
      <c r="H236">
        <f ca="1">IFERROR(SUMIFS(OFFSET(DBRA_TopicHCP,0,H$217,DBR_COUNT,1),DBRA_WorkplanDate,$C236,DBRA_PlayerID,$D$3),"")</f>
        <v>0</v>
      </c>
      <c r="I236">
        <f ca="1">IFERROR(SUMIFS(OFFSET(DBRA_TopicHCP,0,I$217,DBR_COUNT,1),DBRA_WorkplanDate,$C236,DBRA_PlayerID,$D$3),"")</f>
        <v>0</v>
      </c>
      <c r="J236">
        <f ca="1">IFERROR(SUMIFS(OFFSET(DBRA_TopicHCP,0,J$217,DBR_COUNT,1),DBRA_WorkplanDate,$C236,DBRA_PlayerID,$D$3),"")</f>
        <v>0</v>
      </c>
      <c r="K236">
        <f ca="1">IFERROR(SUMIFS(OFFSET(DBRA_TopicHCP,0,K$217,DBR_COUNT,1),DBRA_WorkplanDate,$C236,DBRA_PlayerID,$D$3),"")</f>
        <v>0</v>
      </c>
      <c r="L236">
        <f ca="1">IFERROR(SUMIFS(OFFSET(DBRA_TopicHCP,0,L$217,DBR_COUNT,1),DBRA_WorkplanDate,$C236,DBRA_PlayerID,$D$3),"")</f>
        <v>0</v>
      </c>
      <c r="M236" s="47"/>
      <c r="N236">
        <f ca="1">IFERROR(SUMIFS(OFFSET(DBRA_TopicCount,0,N$217,DBR_COUNT,1),DBRA_WorkplanDate,$C236,DBRA_PlayerID,$D$3),"")</f>
        <v>0</v>
      </c>
      <c r="O236">
        <f ca="1">IFERROR(SUMIFS(OFFSET(DBRA_TopicCount,0,O$217,DBR_COUNT,1),DBRA_WorkplanDate,$C236,DBRA_PlayerID,$D$3),"")</f>
        <v>0</v>
      </c>
      <c r="P236">
        <f ca="1">IFERROR(SUMIFS(OFFSET(DBRA_TopicCount,0,P$217,DBR_COUNT,1),DBRA_WorkplanDate,$C236,DBRA_PlayerID,$D$3),"")</f>
        <v>0</v>
      </c>
      <c r="Q236">
        <f ca="1">IFERROR(SUMIFS(OFFSET(DBRA_TopicCount,0,Q$217,DBR_COUNT,1),DBRA_WorkplanDate,$C236,DBRA_PlayerID,$D$3),"")</f>
        <v>0</v>
      </c>
      <c r="R236">
        <f ca="1">IFERROR(SUMIFS(OFFSET(DBRA_TopicCount,0,R$217,DBR_COUNT,1),DBRA_WorkplanDate,$C236,DBRA_PlayerID,$D$3),"")</f>
        <v>0</v>
      </c>
      <c r="S236">
        <f ca="1">IFERROR(SUMIFS(OFFSET(DBRA_TopicCount,0,S$217,DBR_COUNT,1),DBRA_WorkplanDate,$C236,DBRA_PlayerID,$D$3),"")</f>
        <v>0</v>
      </c>
      <c r="T236">
        <f ca="1">IFERROR(SUMIFS(OFFSET(DBRA_TopicCount,0,T$217,DBR_COUNT,1),DBRA_WorkplanDate,$C236,DBRA_PlayerID,$D$3),"")</f>
        <v>0</v>
      </c>
      <c r="U236">
        <f ca="1">IFERROR(SUMIFS(OFFSET(DBRA_TopicCount,0,U$217,DBR_COUNT,1),DBRA_WorkplanDate,$C236,DBRA_PlayerID,$D$3),"")</f>
        <v>0</v>
      </c>
      <c r="V236">
        <f ca="1">IFERROR(SUMIFS(OFFSET(DBRA_TopicCount,0,V$217,DBR_COUNT,1),DBRA_WorkplanDate,$C236,DBRA_PlayerID,$D$3),"")</f>
        <v>0</v>
      </c>
      <c r="W236" s="47"/>
      <c r="X236" t="str">
        <f t="shared" ca="1" si="74"/>
        <v/>
      </c>
      <c r="Y236" t="str">
        <f t="shared" ca="1" si="66"/>
        <v/>
      </c>
      <c r="Z236" t="str">
        <f t="shared" ca="1" si="67"/>
        <v/>
      </c>
      <c r="AA236" t="str">
        <f t="shared" ca="1" si="68"/>
        <v/>
      </c>
      <c r="AB236" t="str">
        <f t="shared" ca="1" si="69"/>
        <v/>
      </c>
      <c r="AC236" t="str">
        <f t="shared" ca="1" si="70"/>
        <v/>
      </c>
      <c r="AD236" t="str">
        <f t="shared" ca="1" si="71"/>
        <v/>
      </c>
      <c r="AE236" t="str">
        <f t="shared" ca="1" si="72"/>
        <v/>
      </c>
      <c r="AF236" t="str">
        <f t="shared" ca="1" si="73"/>
        <v/>
      </c>
      <c r="AG236" s="47"/>
    </row>
    <row r="237" spans="1:33" x14ac:dyDescent="0.25">
      <c r="C237" s="118">
        <f t="shared" si="75"/>
        <v>42023</v>
      </c>
      <c r="D237">
        <f ca="1">IFERROR(SUMIFS(OFFSET(DBRA_TopicHCP,0,D$217,DBR_COUNT,1),DBRA_WorkplanDate,$C237,DBRA_PlayerID,$D$3),"")</f>
        <v>0</v>
      </c>
      <c r="E237">
        <f ca="1">IFERROR(SUMIFS(OFFSET(DBRA_TopicHCP,0,E$217,DBR_COUNT,1),DBRA_WorkplanDate,$C237,DBRA_PlayerID,$D$3),"")</f>
        <v>0</v>
      </c>
      <c r="F237">
        <f ca="1">IFERROR(SUMIFS(OFFSET(DBRA_TopicHCP,0,F$217,DBR_COUNT,1),DBRA_WorkplanDate,$C237,DBRA_PlayerID,$D$3),"")</f>
        <v>0</v>
      </c>
      <c r="G237">
        <f ca="1">IFERROR(SUMIFS(OFFSET(DBRA_TopicHCP,0,G$217,DBR_COUNT,1),DBRA_WorkplanDate,$C237,DBRA_PlayerID,$D$3),"")</f>
        <v>0</v>
      </c>
      <c r="H237">
        <f ca="1">IFERROR(SUMIFS(OFFSET(DBRA_TopicHCP,0,H$217,DBR_COUNT,1),DBRA_WorkplanDate,$C237,DBRA_PlayerID,$D$3),"")</f>
        <v>0</v>
      </c>
      <c r="I237">
        <f ca="1">IFERROR(SUMIFS(OFFSET(DBRA_TopicHCP,0,I$217,DBR_COUNT,1),DBRA_WorkplanDate,$C237,DBRA_PlayerID,$D$3),"")</f>
        <v>0</v>
      </c>
      <c r="J237">
        <f ca="1">IFERROR(SUMIFS(OFFSET(DBRA_TopicHCP,0,J$217,DBR_COUNT,1),DBRA_WorkplanDate,$C237,DBRA_PlayerID,$D$3),"")</f>
        <v>0</v>
      </c>
      <c r="K237">
        <f ca="1">IFERROR(SUMIFS(OFFSET(DBRA_TopicHCP,0,K$217,DBR_COUNT,1),DBRA_WorkplanDate,$C237,DBRA_PlayerID,$D$3),"")</f>
        <v>0</v>
      </c>
      <c r="L237">
        <f ca="1">IFERROR(SUMIFS(OFFSET(DBRA_TopicHCP,0,L$217,DBR_COUNT,1),DBRA_WorkplanDate,$C237,DBRA_PlayerID,$D$3),"")</f>
        <v>0</v>
      </c>
      <c r="M237" s="47"/>
      <c r="N237">
        <f ca="1">IFERROR(SUMIFS(OFFSET(DBRA_TopicCount,0,N$217,DBR_COUNT,1),DBRA_WorkplanDate,$C237,DBRA_PlayerID,$D$3),"")</f>
        <v>0</v>
      </c>
      <c r="O237">
        <f ca="1">IFERROR(SUMIFS(OFFSET(DBRA_TopicCount,0,O$217,DBR_COUNT,1),DBRA_WorkplanDate,$C237,DBRA_PlayerID,$D$3),"")</f>
        <v>0</v>
      </c>
      <c r="P237">
        <f ca="1">IFERROR(SUMIFS(OFFSET(DBRA_TopicCount,0,P$217,DBR_COUNT,1),DBRA_WorkplanDate,$C237,DBRA_PlayerID,$D$3),"")</f>
        <v>0</v>
      </c>
      <c r="Q237">
        <f ca="1">IFERROR(SUMIFS(OFFSET(DBRA_TopicCount,0,Q$217,DBR_COUNT,1),DBRA_WorkplanDate,$C237,DBRA_PlayerID,$D$3),"")</f>
        <v>0</v>
      </c>
      <c r="R237">
        <f ca="1">IFERROR(SUMIFS(OFFSET(DBRA_TopicCount,0,R$217,DBR_COUNT,1),DBRA_WorkplanDate,$C237,DBRA_PlayerID,$D$3),"")</f>
        <v>0</v>
      </c>
      <c r="S237">
        <f ca="1">IFERROR(SUMIFS(OFFSET(DBRA_TopicCount,0,S$217,DBR_COUNT,1),DBRA_WorkplanDate,$C237,DBRA_PlayerID,$D$3),"")</f>
        <v>0</v>
      </c>
      <c r="T237">
        <f ca="1">IFERROR(SUMIFS(OFFSET(DBRA_TopicCount,0,T$217,DBR_COUNT,1),DBRA_WorkplanDate,$C237,DBRA_PlayerID,$D$3),"")</f>
        <v>0</v>
      </c>
      <c r="U237">
        <f ca="1">IFERROR(SUMIFS(OFFSET(DBRA_TopicCount,0,U$217,DBR_COUNT,1),DBRA_WorkplanDate,$C237,DBRA_PlayerID,$D$3),"")</f>
        <v>0</v>
      </c>
      <c r="V237">
        <f ca="1">IFERROR(SUMIFS(OFFSET(DBRA_TopicCount,0,V$217,DBR_COUNT,1),DBRA_WorkplanDate,$C237,DBRA_PlayerID,$D$3),"")</f>
        <v>0</v>
      </c>
      <c r="W237" s="47"/>
      <c r="X237" t="str">
        <f t="shared" ca="1" si="74"/>
        <v/>
      </c>
      <c r="Y237" t="str">
        <f t="shared" ca="1" si="66"/>
        <v/>
      </c>
      <c r="Z237" t="str">
        <f t="shared" ca="1" si="67"/>
        <v/>
      </c>
      <c r="AA237" t="str">
        <f t="shared" ca="1" si="68"/>
        <v/>
      </c>
      <c r="AB237" t="str">
        <f t="shared" ca="1" si="69"/>
        <v/>
      </c>
      <c r="AC237" t="str">
        <f t="shared" ca="1" si="70"/>
        <v/>
      </c>
      <c r="AD237" t="str">
        <f t="shared" ca="1" si="71"/>
        <v/>
      </c>
      <c r="AE237" t="str">
        <f t="shared" ca="1" si="72"/>
        <v/>
      </c>
      <c r="AF237" t="str">
        <f t="shared" ca="1" si="73"/>
        <v/>
      </c>
      <c r="AG237" s="47"/>
    </row>
    <row r="238" spans="1:33" x14ac:dyDescent="0.25">
      <c r="C238" s="118">
        <f t="shared" si="75"/>
        <v>42024</v>
      </c>
      <c r="D238">
        <f ca="1">IFERROR(SUMIFS(OFFSET(DBRA_TopicHCP,0,D$217,DBR_COUNT,1),DBRA_WorkplanDate,$C238,DBRA_PlayerID,$D$3),"")</f>
        <v>0</v>
      </c>
      <c r="E238">
        <f ca="1">IFERROR(SUMIFS(OFFSET(DBRA_TopicHCP,0,E$217,DBR_COUNT,1),DBRA_WorkplanDate,$C238,DBRA_PlayerID,$D$3),"")</f>
        <v>0</v>
      </c>
      <c r="F238">
        <f ca="1">IFERROR(SUMIFS(OFFSET(DBRA_TopicHCP,0,F$217,DBR_COUNT,1),DBRA_WorkplanDate,$C238,DBRA_PlayerID,$D$3),"")</f>
        <v>0</v>
      </c>
      <c r="G238">
        <f ca="1">IFERROR(SUMIFS(OFFSET(DBRA_TopicHCP,0,G$217,DBR_COUNT,1),DBRA_WorkplanDate,$C238,DBRA_PlayerID,$D$3),"")</f>
        <v>0</v>
      </c>
      <c r="H238">
        <f ca="1">IFERROR(SUMIFS(OFFSET(DBRA_TopicHCP,0,H$217,DBR_COUNT,1),DBRA_WorkplanDate,$C238,DBRA_PlayerID,$D$3),"")</f>
        <v>0</v>
      </c>
      <c r="I238">
        <f ca="1">IFERROR(SUMIFS(OFFSET(DBRA_TopicHCP,0,I$217,DBR_COUNT,1),DBRA_WorkplanDate,$C238,DBRA_PlayerID,$D$3),"")</f>
        <v>0</v>
      </c>
      <c r="J238">
        <f ca="1">IFERROR(SUMIFS(OFFSET(DBRA_TopicHCP,0,J$217,DBR_COUNT,1),DBRA_WorkplanDate,$C238,DBRA_PlayerID,$D$3),"")</f>
        <v>0</v>
      </c>
      <c r="K238">
        <f ca="1">IFERROR(SUMIFS(OFFSET(DBRA_TopicHCP,0,K$217,DBR_COUNT,1),DBRA_WorkplanDate,$C238,DBRA_PlayerID,$D$3),"")</f>
        <v>0</v>
      </c>
      <c r="L238">
        <f ca="1">IFERROR(SUMIFS(OFFSET(DBRA_TopicHCP,0,L$217,DBR_COUNT,1),DBRA_WorkplanDate,$C238,DBRA_PlayerID,$D$3),"")</f>
        <v>0</v>
      </c>
      <c r="M238" s="47"/>
      <c r="N238">
        <f ca="1">IFERROR(SUMIFS(OFFSET(DBRA_TopicCount,0,N$217,DBR_COUNT,1),DBRA_WorkplanDate,$C238,DBRA_PlayerID,$D$3),"")</f>
        <v>0</v>
      </c>
      <c r="O238">
        <f ca="1">IFERROR(SUMIFS(OFFSET(DBRA_TopicCount,0,O$217,DBR_COUNT,1),DBRA_WorkplanDate,$C238,DBRA_PlayerID,$D$3),"")</f>
        <v>0</v>
      </c>
      <c r="P238">
        <f ca="1">IFERROR(SUMIFS(OFFSET(DBRA_TopicCount,0,P$217,DBR_COUNT,1),DBRA_WorkplanDate,$C238,DBRA_PlayerID,$D$3),"")</f>
        <v>0</v>
      </c>
      <c r="Q238">
        <f ca="1">IFERROR(SUMIFS(OFFSET(DBRA_TopicCount,0,Q$217,DBR_COUNT,1),DBRA_WorkplanDate,$C238,DBRA_PlayerID,$D$3),"")</f>
        <v>0</v>
      </c>
      <c r="R238">
        <f ca="1">IFERROR(SUMIFS(OFFSET(DBRA_TopicCount,0,R$217,DBR_COUNT,1),DBRA_WorkplanDate,$C238,DBRA_PlayerID,$D$3),"")</f>
        <v>0</v>
      </c>
      <c r="S238">
        <f ca="1">IFERROR(SUMIFS(OFFSET(DBRA_TopicCount,0,S$217,DBR_COUNT,1),DBRA_WorkplanDate,$C238,DBRA_PlayerID,$D$3),"")</f>
        <v>0</v>
      </c>
      <c r="T238">
        <f ca="1">IFERROR(SUMIFS(OFFSET(DBRA_TopicCount,0,T$217,DBR_COUNT,1),DBRA_WorkplanDate,$C238,DBRA_PlayerID,$D$3),"")</f>
        <v>0</v>
      </c>
      <c r="U238">
        <f ca="1">IFERROR(SUMIFS(OFFSET(DBRA_TopicCount,0,U$217,DBR_COUNT,1),DBRA_WorkplanDate,$C238,DBRA_PlayerID,$D$3),"")</f>
        <v>0</v>
      </c>
      <c r="V238">
        <f ca="1">IFERROR(SUMIFS(OFFSET(DBRA_TopicCount,0,V$217,DBR_COUNT,1),DBRA_WorkplanDate,$C238,DBRA_PlayerID,$D$3),"")</f>
        <v>0</v>
      </c>
      <c r="W238" s="47"/>
      <c r="X238" t="str">
        <f t="shared" ca="1" si="74"/>
        <v/>
      </c>
      <c r="Y238" t="str">
        <f t="shared" ca="1" si="66"/>
        <v/>
      </c>
      <c r="Z238" t="str">
        <f t="shared" ca="1" si="67"/>
        <v/>
      </c>
      <c r="AA238" t="str">
        <f t="shared" ca="1" si="68"/>
        <v/>
      </c>
      <c r="AB238" t="str">
        <f t="shared" ca="1" si="69"/>
        <v/>
      </c>
      <c r="AC238" t="str">
        <f t="shared" ca="1" si="70"/>
        <v/>
      </c>
      <c r="AD238" t="str">
        <f t="shared" ca="1" si="71"/>
        <v/>
      </c>
      <c r="AE238" t="str">
        <f t="shared" ca="1" si="72"/>
        <v/>
      </c>
      <c r="AF238" t="str">
        <f t="shared" ca="1" si="73"/>
        <v/>
      </c>
      <c r="AG238" s="47"/>
    </row>
    <row r="239" spans="1:33" x14ac:dyDescent="0.25">
      <c r="C239" s="118">
        <f t="shared" si="75"/>
        <v>42025</v>
      </c>
      <c r="D239">
        <f ca="1">IFERROR(SUMIFS(OFFSET(DBRA_TopicHCP,0,D$217,DBR_COUNT,1),DBRA_WorkplanDate,$C239,DBRA_PlayerID,$D$3),"")</f>
        <v>0</v>
      </c>
      <c r="E239">
        <f ca="1">IFERROR(SUMIFS(OFFSET(DBRA_TopicHCP,0,E$217,DBR_COUNT,1),DBRA_WorkplanDate,$C239,DBRA_PlayerID,$D$3),"")</f>
        <v>0</v>
      </c>
      <c r="F239">
        <f ca="1">IFERROR(SUMIFS(OFFSET(DBRA_TopicHCP,0,F$217,DBR_COUNT,1),DBRA_WorkplanDate,$C239,DBRA_PlayerID,$D$3),"")</f>
        <v>0</v>
      </c>
      <c r="G239">
        <f ca="1">IFERROR(SUMIFS(OFFSET(DBRA_TopicHCP,0,G$217,DBR_COUNT,1),DBRA_WorkplanDate,$C239,DBRA_PlayerID,$D$3),"")</f>
        <v>0</v>
      </c>
      <c r="H239">
        <f ca="1">IFERROR(SUMIFS(OFFSET(DBRA_TopicHCP,0,H$217,DBR_COUNT,1),DBRA_WorkplanDate,$C239,DBRA_PlayerID,$D$3),"")</f>
        <v>0</v>
      </c>
      <c r="I239">
        <f ca="1">IFERROR(SUMIFS(OFFSET(DBRA_TopicHCP,0,I$217,DBR_COUNT,1),DBRA_WorkplanDate,$C239,DBRA_PlayerID,$D$3),"")</f>
        <v>0</v>
      </c>
      <c r="J239">
        <f ca="1">IFERROR(SUMIFS(OFFSET(DBRA_TopicHCP,0,J$217,DBR_COUNT,1),DBRA_WorkplanDate,$C239,DBRA_PlayerID,$D$3),"")</f>
        <v>0</v>
      </c>
      <c r="K239">
        <f ca="1">IFERROR(SUMIFS(OFFSET(DBRA_TopicHCP,0,K$217,DBR_COUNT,1),DBRA_WorkplanDate,$C239,DBRA_PlayerID,$D$3),"")</f>
        <v>0</v>
      </c>
      <c r="L239">
        <f ca="1">IFERROR(SUMIFS(OFFSET(DBRA_TopicHCP,0,L$217,DBR_COUNT,1),DBRA_WorkplanDate,$C239,DBRA_PlayerID,$D$3),"")</f>
        <v>0</v>
      </c>
      <c r="M239" s="47"/>
      <c r="N239">
        <f ca="1">IFERROR(SUMIFS(OFFSET(DBRA_TopicCount,0,N$217,DBR_COUNT,1),DBRA_WorkplanDate,$C239,DBRA_PlayerID,$D$3),"")</f>
        <v>0</v>
      </c>
      <c r="O239">
        <f ca="1">IFERROR(SUMIFS(OFFSET(DBRA_TopicCount,0,O$217,DBR_COUNT,1),DBRA_WorkplanDate,$C239,DBRA_PlayerID,$D$3),"")</f>
        <v>0</v>
      </c>
      <c r="P239">
        <f ca="1">IFERROR(SUMIFS(OFFSET(DBRA_TopicCount,0,P$217,DBR_COUNT,1),DBRA_WorkplanDate,$C239,DBRA_PlayerID,$D$3),"")</f>
        <v>0</v>
      </c>
      <c r="Q239">
        <f ca="1">IFERROR(SUMIFS(OFFSET(DBRA_TopicCount,0,Q$217,DBR_COUNT,1),DBRA_WorkplanDate,$C239,DBRA_PlayerID,$D$3),"")</f>
        <v>0</v>
      </c>
      <c r="R239">
        <f ca="1">IFERROR(SUMIFS(OFFSET(DBRA_TopicCount,0,R$217,DBR_COUNT,1),DBRA_WorkplanDate,$C239,DBRA_PlayerID,$D$3),"")</f>
        <v>0</v>
      </c>
      <c r="S239">
        <f ca="1">IFERROR(SUMIFS(OFFSET(DBRA_TopicCount,0,S$217,DBR_COUNT,1),DBRA_WorkplanDate,$C239,DBRA_PlayerID,$D$3),"")</f>
        <v>0</v>
      </c>
      <c r="T239">
        <f ca="1">IFERROR(SUMIFS(OFFSET(DBRA_TopicCount,0,T$217,DBR_COUNT,1),DBRA_WorkplanDate,$C239,DBRA_PlayerID,$D$3),"")</f>
        <v>0</v>
      </c>
      <c r="U239">
        <f ca="1">IFERROR(SUMIFS(OFFSET(DBRA_TopicCount,0,U$217,DBR_COUNT,1),DBRA_WorkplanDate,$C239,DBRA_PlayerID,$D$3),"")</f>
        <v>0</v>
      </c>
      <c r="V239">
        <f ca="1">IFERROR(SUMIFS(OFFSET(DBRA_TopicCount,0,V$217,DBR_COUNT,1),DBRA_WorkplanDate,$C239,DBRA_PlayerID,$D$3),"")</f>
        <v>0</v>
      </c>
      <c r="W239" s="47"/>
      <c r="X239" t="str">
        <f t="shared" ca="1" si="74"/>
        <v/>
      </c>
      <c r="Y239" t="str">
        <f t="shared" ca="1" si="66"/>
        <v/>
      </c>
      <c r="Z239" t="str">
        <f t="shared" ca="1" si="67"/>
        <v/>
      </c>
      <c r="AA239" t="str">
        <f t="shared" ca="1" si="68"/>
        <v/>
      </c>
      <c r="AB239" t="str">
        <f t="shared" ca="1" si="69"/>
        <v/>
      </c>
      <c r="AC239" t="str">
        <f t="shared" ca="1" si="70"/>
        <v/>
      </c>
      <c r="AD239" t="str">
        <f t="shared" ca="1" si="71"/>
        <v/>
      </c>
      <c r="AE239" t="str">
        <f t="shared" ca="1" si="72"/>
        <v/>
      </c>
      <c r="AF239" t="str">
        <f t="shared" ca="1" si="73"/>
        <v/>
      </c>
      <c r="AG239" s="47"/>
    </row>
    <row r="240" spans="1:33" x14ac:dyDescent="0.25">
      <c r="C240" s="118">
        <f t="shared" si="75"/>
        <v>42026</v>
      </c>
      <c r="D240">
        <f ca="1">IFERROR(SUMIFS(OFFSET(DBRA_TopicHCP,0,D$217,DBR_COUNT,1),DBRA_WorkplanDate,$C240,DBRA_PlayerID,$D$3),"")</f>
        <v>0</v>
      </c>
      <c r="E240">
        <f ca="1">IFERROR(SUMIFS(OFFSET(DBRA_TopicHCP,0,E$217,DBR_COUNT,1),DBRA_WorkplanDate,$C240,DBRA_PlayerID,$D$3),"")</f>
        <v>0</v>
      </c>
      <c r="F240">
        <f ca="1">IFERROR(SUMIFS(OFFSET(DBRA_TopicHCP,0,F$217,DBR_COUNT,1),DBRA_WorkplanDate,$C240,DBRA_PlayerID,$D$3),"")</f>
        <v>0</v>
      </c>
      <c r="G240">
        <f ca="1">IFERROR(SUMIFS(OFFSET(DBRA_TopicHCP,0,G$217,DBR_COUNT,1),DBRA_WorkplanDate,$C240,DBRA_PlayerID,$D$3),"")</f>
        <v>0</v>
      </c>
      <c r="H240">
        <f ca="1">IFERROR(SUMIFS(OFFSET(DBRA_TopicHCP,0,H$217,DBR_COUNT,1),DBRA_WorkplanDate,$C240,DBRA_PlayerID,$D$3),"")</f>
        <v>0</v>
      </c>
      <c r="I240">
        <f ca="1">IFERROR(SUMIFS(OFFSET(DBRA_TopicHCP,0,I$217,DBR_COUNT,1),DBRA_WorkplanDate,$C240,DBRA_PlayerID,$D$3),"")</f>
        <v>0</v>
      </c>
      <c r="J240">
        <f ca="1">IFERROR(SUMIFS(OFFSET(DBRA_TopicHCP,0,J$217,DBR_COUNT,1),DBRA_WorkplanDate,$C240,DBRA_PlayerID,$D$3),"")</f>
        <v>0</v>
      </c>
      <c r="K240">
        <f ca="1">IFERROR(SUMIFS(OFFSET(DBRA_TopicHCP,0,K$217,DBR_COUNT,1),DBRA_WorkplanDate,$C240,DBRA_PlayerID,$D$3),"")</f>
        <v>0</v>
      </c>
      <c r="L240">
        <f ca="1">IFERROR(SUMIFS(OFFSET(DBRA_TopicHCP,0,L$217,DBR_COUNT,1),DBRA_WorkplanDate,$C240,DBRA_PlayerID,$D$3),"")</f>
        <v>0</v>
      </c>
      <c r="M240" s="47"/>
      <c r="N240">
        <f ca="1">IFERROR(SUMIFS(OFFSET(DBRA_TopicCount,0,N$217,DBR_COUNT,1),DBRA_WorkplanDate,$C240,DBRA_PlayerID,$D$3),"")</f>
        <v>0</v>
      </c>
      <c r="O240">
        <f ca="1">IFERROR(SUMIFS(OFFSET(DBRA_TopicCount,0,O$217,DBR_COUNT,1),DBRA_WorkplanDate,$C240,DBRA_PlayerID,$D$3),"")</f>
        <v>0</v>
      </c>
      <c r="P240">
        <f ca="1">IFERROR(SUMIFS(OFFSET(DBRA_TopicCount,0,P$217,DBR_COUNT,1),DBRA_WorkplanDate,$C240,DBRA_PlayerID,$D$3),"")</f>
        <v>0</v>
      </c>
      <c r="Q240">
        <f ca="1">IFERROR(SUMIFS(OFFSET(DBRA_TopicCount,0,Q$217,DBR_COUNT,1),DBRA_WorkplanDate,$C240,DBRA_PlayerID,$D$3),"")</f>
        <v>0</v>
      </c>
      <c r="R240">
        <f ca="1">IFERROR(SUMIFS(OFFSET(DBRA_TopicCount,0,R$217,DBR_COUNT,1),DBRA_WorkplanDate,$C240,DBRA_PlayerID,$D$3),"")</f>
        <v>0</v>
      </c>
      <c r="S240">
        <f ca="1">IFERROR(SUMIFS(OFFSET(DBRA_TopicCount,0,S$217,DBR_COUNT,1),DBRA_WorkplanDate,$C240,DBRA_PlayerID,$D$3),"")</f>
        <v>0</v>
      </c>
      <c r="T240">
        <f ca="1">IFERROR(SUMIFS(OFFSET(DBRA_TopicCount,0,T$217,DBR_COUNT,1),DBRA_WorkplanDate,$C240,DBRA_PlayerID,$D$3),"")</f>
        <v>0</v>
      </c>
      <c r="U240">
        <f ca="1">IFERROR(SUMIFS(OFFSET(DBRA_TopicCount,0,U$217,DBR_COUNT,1),DBRA_WorkplanDate,$C240,DBRA_PlayerID,$D$3),"")</f>
        <v>0</v>
      </c>
      <c r="V240">
        <f ca="1">IFERROR(SUMIFS(OFFSET(DBRA_TopicCount,0,V$217,DBR_COUNT,1),DBRA_WorkplanDate,$C240,DBRA_PlayerID,$D$3),"")</f>
        <v>0</v>
      </c>
      <c r="W240" s="47"/>
      <c r="X240" t="str">
        <f t="shared" ca="1" si="74"/>
        <v/>
      </c>
      <c r="Y240" t="str">
        <f t="shared" ca="1" si="66"/>
        <v/>
      </c>
      <c r="Z240" t="str">
        <f t="shared" ca="1" si="67"/>
        <v/>
      </c>
      <c r="AA240" t="str">
        <f t="shared" ca="1" si="68"/>
        <v/>
      </c>
      <c r="AB240" t="str">
        <f t="shared" ca="1" si="69"/>
        <v/>
      </c>
      <c r="AC240" t="str">
        <f t="shared" ca="1" si="70"/>
        <v/>
      </c>
      <c r="AD240" t="str">
        <f t="shared" ca="1" si="71"/>
        <v/>
      </c>
      <c r="AE240" t="str">
        <f t="shared" ca="1" si="72"/>
        <v/>
      </c>
      <c r="AF240" t="str">
        <f t="shared" ca="1" si="73"/>
        <v/>
      </c>
      <c r="AG240" s="47"/>
    </row>
    <row r="241" spans="3:33" x14ac:dyDescent="0.25">
      <c r="C241" s="118">
        <f t="shared" si="75"/>
        <v>42027</v>
      </c>
      <c r="D241">
        <f ca="1">IFERROR(SUMIFS(OFFSET(DBRA_TopicHCP,0,D$217,DBR_COUNT,1),DBRA_WorkplanDate,$C241,DBRA_PlayerID,$D$3),"")</f>
        <v>0</v>
      </c>
      <c r="E241">
        <f ca="1">IFERROR(SUMIFS(OFFSET(DBRA_TopicHCP,0,E$217,DBR_COUNT,1),DBRA_WorkplanDate,$C241,DBRA_PlayerID,$D$3),"")</f>
        <v>0</v>
      </c>
      <c r="F241">
        <f ca="1">IFERROR(SUMIFS(OFFSET(DBRA_TopicHCP,0,F$217,DBR_COUNT,1),DBRA_WorkplanDate,$C241,DBRA_PlayerID,$D$3),"")</f>
        <v>0</v>
      </c>
      <c r="G241">
        <f ca="1">IFERROR(SUMIFS(OFFSET(DBRA_TopicHCP,0,G$217,DBR_COUNT,1),DBRA_WorkplanDate,$C241,DBRA_PlayerID,$D$3),"")</f>
        <v>0</v>
      </c>
      <c r="H241">
        <f ca="1">IFERROR(SUMIFS(OFFSET(DBRA_TopicHCP,0,H$217,DBR_COUNT,1),DBRA_WorkplanDate,$C241,DBRA_PlayerID,$D$3),"")</f>
        <v>0</v>
      </c>
      <c r="I241">
        <f ca="1">IFERROR(SUMIFS(OFFSET(DBRA_TopicHCP,0,I$217,DBR_COUNT,1),DBRA_WorkplanDate,$C241,DBRA_PlayerID,$D$3),"")</f>
        <v>0</v>
      </c>
      <c r="J241">
        <f ca="1">IFERROR(SUMIFS(OFFSET(DBRA_TopicHCP,0,J$217,DBR_COUNT,1),DBRA_WorkplanDate,$C241,DBRA_PlayerID,$D$3),"")</f>
        <v>0</v>
      </c>
      <c r="K241">
        <f ca="1">IFERROR(SUMIFS(OFFSET(DBRA_TopicHCP,0,K$217,DBR_COUNT,1),DBRA_WorkplanDate,$C241,DBRA_PlayerID,$D$3),"")</f>
        <v>0</v>
      </c>
      <c r="L241">
        <f ca="1">IFERROR(SUMIFS(OFFSET(DBRA_TopicHCP,0,L$217,DBR_COUNT,1),DBRA_WorkplanDate,$C241,DBRA_PlayerID,$D$3),"")</f>
        <v>0</v>
      </c>
      <c r="M241" s="47"/>
      <c r="N241">
        <f ca="1">IFERROR(SUMIFS(OFFSET(DBRA_TopicCount,0,N$217,DBR_COUNT,1),DBRA_WorkplanDate,$C241,DBRA_PlayerID,$D$3),"")</f>
        <v>0</v>
      </c>
      <c r="O241">
        <f ca="1">IFERROR(SUMIFS(OFFSET(DBRA_TopicCount,0,O$217,DBR_COUNT,1),DBRA_WorkplanDate,$C241,DBRA_PlayerID,$D$3),"")</f>
        <v>0</v>
      </c>
      <c r="P241">
        <f ca="1">IFERROR(SUMIFS(OFFSET(DBRA_TopicCount,0,P$217,DBR_COUNT,1),DBRA_WorkplanDate,$C241,DBRA_PlayerID,$D$3),"")</f>
        <v>0</v>
      </c>
      <c r="Q241">
        <f ca="1">IFERROR(SUMIFS(OFFSET(DBRA_TopicCount,0,Q$217,DBR_COUNT,1),DBRA_WorkplanDate,$C241,DBRA_PlayerID,$D$3),"")</f>
        <v>0</v>
      </c>
      <c r="R241">
        <f ca="1">IFERROR(SUMIFS(OFFSET(DBRA_TopicCount,0,R$217,DBR_COUNT,1),DBRA_WorkplanDate,$C241,DBRA_PlayerID,$D$3),"")</f>
        <v>0</v>
      </c>
      <c r="S241">
        <f ca="1">IFERROR(SUMIFS(OFFSET(DBRA_TopicCount,0,S$217,DBR_COUNT,1),DBRA_WorkplanDate,$C241,DBRA_PlayerID,$D$3),"")</f>
        <v>0</v>
      </c>
      <c r="T241">
        <f ca="1">IFERROR(SUMIFS(OFFSET(DBRA_TopicCount,0,T$217,DBR_COUNT,1),DBRA_WorkplanDate,$C241,DBRA_PlayerID,$D$3),"")</f>
        <v>0</v>
      </c>
      <c r="U241">
        <f ca="1">IFERROR(SUMIFS(OFFSET(DBRA_TopicCount,0,U$217,DBR_COUNT,1),DBRA_WorkplanDate,$C241,DBRA_PlayerID,$D$3),"")</f>
        <v>0</v>
      </c>
      <c r="V241">
        <f ca="1">IFERROR(SUMIFS(OFFSET(DBRA_TopicCount,0,V$217,DBR_COUNT,1),DBRA_WorkplanDate,$C241,DBRA_PlayerID,$D$3),"")</f>
        <v>0</v>
      </c>
      <c r="W241" s="47"/>
      <c r="X241" t="str">
        <f t="shared" ca="1" si="74"/>
        <v/>
      </c>
      <c r="Y241" t="str">
        <f t="shared" ca="1" si="66"/>
        <v/>
      </c>
      <c r="Z241" t="str">
        <f t="shared" ca="1" si="67"/>
        <v/>
      </c>
      <c r="AA241" t="str">
        <f t="shared" ca="1" si="68"/>
        <v/>
      </c>
      <c r="AB241" t="str">
        <f t="shared" ca="1" si="69"/>
        <v/>
      </c>
      <c r="AC241" t="str">
        <f t="shared" ca="1" si="70"/>
        <v/>
      </c>
      <c r="AD241" t="str">
        <f t="shared" ca="1" si="71"/>
        <v/>
      </c>
      <c r="AE241" t="str">
        <f t="shared" ca="1" si="72"/>
        <v/>
      </c>
      <c r="AF241" t="str">
        <f t="shared" ca="1" si="73"/>
        <v/>
      </c>
      <c r="AG241" s="47"/>
    </row>
    <row r="242" spans="3:33" x14ac:dyDescent="0.25">
      <c r="C242" s="118">
        <f t="shared" si="75"/>
        <v>42028</v>
      </c>
      <c r="D242">
        <f ca="1">IFERROR(SUMIFS(OFFSET(DBRA_TopicHCP,0,D$217,DBR_COUNT,1),DBRA_WorkplanDate,$C242,DBRA_PlayerID,$D$3),"")</f>
        <v>0</v>
      </c>
      <c r="E242">
        <f ca="1">IFERROR(SUMIFS(OFFSET(DBRA_TopicHCP,0,E$217,DBR_COUNT,1),DBRA_WorkplanDate,$C242,DBRA_PlayerID,$D$3),"")</f>
        <v>0</v>
      </c>
      <c r="F242">
        <f ca="1">IFERROR(SUMIFS(OFFSET(DBRA_TopicHCP,0,F$217,DBR_COUNT,1),DBRA_WorkplanDate,$C242,DBRA_PlayerID,$D$3),"")</f>
        <v>0</v>
      </c>
      <c r="G242">
        <f ca="1">IFERROR(SUMIFS(OFFSET(DBRA_TopicHCP,0,G$217,DBR_COUNT,1),DBRA_WorkplanDate,$C242,DBRA_PlayerID,$D$3),"")</f>
        <v>0</v>
      </c>
      <c r="H242">
        <f ca="1">IFERROR(SUMIFS(OFFSET(DBRA_TopicHCP,0,H$217,DBR_COUNT,1),DBRA_WorkplanDate,$C242,DBRA_PlayerID,$D$3),"")</f>
        <v>0</v>
      </c>
      <c r="I242">
        <f ca="1">IFERROR(SUMIFS(OFFSET(DBRA_TopicHCP,0,I$217,DBR_COUNT,1),DBRA_WorkplanDate,$C242,DBRA_PlayerID,$D$3),"")</f>
        <v>0</v>
      </c>
      <c r="J242">
        <f ca="1">IFERROR(SUMIFS(OFFSET(DBRA_TopicHCP,0,J$217,DBR_COUNT,1),DBRA_WorkplanDate,$C242,DBRA_PlayerID,$D$3),"")</f>
        <v>0</v>
      </c>
      <c r="K242">
        <f ca="1">IFERROR(SUMIFS(OFFSET(DBRA_TopicHCP,0,K$217,DBR_COUNT,1),DBRA_WorkplanDate,$C242,DBRA_PlayerID,$D$3),"")</f>
        <v>0</v>
      </c>
      <c r="L242">
        <f ca="1">IFERROR(SUMIFS(OFFSET(DBRA_TopicHCP,0,L$217,DBR_COUNT,1),DBRA_WorkplanDate,$C242,DBRA_PlayerID,$D$3),"")</f>
        <v>0</v>
      </c>
      <c r="M242" s="47"/>
      <c r="N242">
        <f ca="1">IFERROR(SUMIFS(OFFSET(DBRA_TopicCount,0,N$217,DBR_COUNT,1),DBRA_WorkplanDate,$C242,DBRA_PlayerID,$D$3),"")</f>
        <v>0</v>
      </c>
      <c r="O242">
        <f ca="1">IFERROR(SUMIFS(OFFSET(DBRA_TopicCount,0,O$217,DBR_COUNT,1),DBRA_WorkplanDate,$C242,DBRA_PlayerID,$D$3),"")</f>
        <v>0</v>
      </c>
      <c r="P242">
        <f ca="1">IFERROR(SUMIFS(OFFSET(DBRA_TopicCount,0,P$217,DBR_COUNT,1),DBRA_WorkplanDate,$C242,DBRA_PlayerID,$D$3),"")</f>
        <v>0</v>
      </c>
      <c r="Q242">
        <f ca="1">IFERROR(SUMIFS(OFFSET(DBRA_TopicCount,0,Q$217,DBR_COUNT,1),DBRA_WorkplanDate,$C242,DBRA_PlayerID,$D$3),"")</f>
        <v>0</v>
      </c>
      <c r="R242">
        <f ca="1">IFERROR(SUMIFS(OFFSET(DBRA_TopicCount,0,R$217,DBR_COUNT,1),DBRA_WorkplanDate,$C242,DBRA_PlayerID,$D$3),"")</f>
        <v>0</v>
      </c>
      <c r="S242">
        <f ca="1">IFERROR(SUMIFS(OFFSET(DBRA_TopicCount,0,S$217,DBR_COUNT,1),DBRA_WorkplanDate,$C242,DBRA_PlayerID,$D$3),"")</f>
        <v>0</v>
      </c>
      <c r="T242">
        <f ca="1">IFERROR(SUMIFS(OFFSET(DBRA_TopicCount,0,T$217,DBR_COUNT,1),DBRA_WorkplanDate,$C242,DBRA_PlayerID,$D$3),"")</f>
        <v>0</v>
      </c>
      <c r="U242">
        <f ca="1">IFERROR(SUMIFS(OFFSET(DBRA_TopicCount,0,U$217,DBR_COUNT,1),DBRA_WorkplanDate,$C242,DBRA_PlayerID,$D$3),"")</f>
        <v>0</v>
      </c>
      <c r="V242">
        <f ca="1">IFERROR(SUMIFS(OFFSET(DBRA_TopicCount,0,V$217,DBR_COUNT,1),DBRA_WorkplanDate,$C242,DBRA_PlayerID,$D$3),"")</f>
        <v>0</v>
      </c>
      <c r="W242" s="47"/>
      <c r="X242" t="str">
        <f t="shared" ca="1" si="74"/>
        <v/>
      </c>
      <c r="Y242" t="str">
        <f t="shared" ca="1" si="66"/>
        <v/>
      </c>
      <c r="Z242" t="str">
        <f t="shared" ca="1" si="67"/>
        <v/>
      </c>
      <c r="AA242" t="str">
        <f t="shared" ca="1" si="68"/>
        <v/>
      </c>
      <c r="AB242" t="str">
        <f t="shared" ca="1" si="69"/>
        <v/>
      </c>
      <c r="AC242" t="str">
        <f t="shared" ca="1" si="70"/>
        <v/>
      </c>
      <c r="AD242" t="str">
        <f t="shared" ca="1" si="71"/>
        <v/>
      </c>
      <c r="AE242" t="str">
        <f t="shared" ca="1" si="72"/>
        <v/>
      </c>
      <c r="AF242" t="str">
        <f t="shared" ca="1" si="73"/>
        <v/>
      </c>
      <c r="AG242" s="47"/>
    </row>
    <row r="243" spans="3:33" x14ac:dyDescent="0.25">
      <c r="C243" s="118">
        <f t="shared" si="75"/>
        <v>42029</v>
      </c>
      <c r="D243">
        <f ca="1">IFERROR(SUMIFS(OFFSET(DBRA_TopicHCP,0,D$217,DBR_COUNT,1),DBRA_WorkplanDate,$C243,DBRA_PlayerID,$D$3),"")</f>
        <v>0</v>
      </c>
      <c r="E243">
        <f ca="1">IFERROR(SUMIFS(OFFSET(DBRA_TopicHCP,0,E$217,DBR_COUNT,1),DBRA_WorkplanDate,$C243,DBRA_PlayerID,$D$3),"")</f>
        <v>0</v>
      </c>
      <c r="F243">
        <f ca="1">IFERROR(SUMIFS(OFFSET(DBRA_TopicHCP,0,F$217,DBR_COUNT,1),DBRA_WorkplanDate,$C243,DBRA_PlayerID,$D$3),"")</f>
        <v>0</v>
      </c>
      <c r="G243">
        <f ca="1">IFERROR(SUMIFS(OFFSET(DBRA_TopicHCP,0,G$217,DBR_COUNT,1),DBRA_WorkplanDate,$C243,DBRA_PlayerID,$D$3),"")</f>
        <v>0</v>
      </c>
      <c r="H243">
        <f ca="1">IFERROR(SUMIFS(OFFSET(DBRA_TopicHCP,0,H$217,DBR_COUNT,1),DBRA_WorkplanDate,$C243,DBRA_PlayerID,$D$3),"")</f>
        <v>0</v>
      </c>
      <c r="I243">
        <f ca="1">IFERROR(SUMIFS(OFFSET(DBRA_TopicHCP,0,I$217,DBR_COUNT,1),DBRA_WorkplanDate,$C243,DBRA_PlayerID,$D$3),"")</f>
        <v>0</v>
      </c>
      <c r="J243">
        <f ca="1">IFERROR(SUMIFS(OFFSET(DBRA_TopicHCP,0,J$217,DBR_COUNT,1),DBRA_WorkplanDate,$C243,DBRA_PlayerID,$D$3),"")</f>
        <v>0</v>
      </c>
      <c r="K243">
        <f ca="1">IFERROR(SUMIFS(OFFSET(DBRA_TopicHCP,0,K$217,DBR_COUNT,1),DBRA_WorkplanDate,$C243,DBRA_PlayerID,$D$3),"")</f>
        <v>0</v>
      </c>
      <c r="L243">
        <f ca="1">IFERROR(SUMIFS(OFFSET(DBRA_TopicHCP,0,L$217,DBR_COUNT,1),DBRA_WorkplanDate,$C243,DBRA_PlayerID,$D$3),"")</f>
        <v>0</v>
      </c>
      <c r="M243" s="47"/>
      <c r="N243">
        <f ca="1">IFERROR(SUMIFS(OFFSET(DBRA_TopicCount,0,N$217,DBR_COUNT,1),DBRA_WorkplanDate,$C243,DBRA_PlayerID,$D$3),"")</f>
        <v>0</v>
      </c>
      <c r="O243">
        <f ca="1">IFERROR(SUMIFS(OFFSET(DBRA_TopicCount,0,O$217,DBR_COUNT,1),DBRA_WorkplanDate,$C243,DBRA_PlayerID,$D$3),"")</f>
        <v>0</v>
      </c>
      <c r="P243">
        <f ca="1">IFERROR(SUMIFS(OFFSET(DBRA_TopicCount,0,P$217,DBR_COUNT,1),DBRA_WorkplanDate,$C243,DBRA_PlayerID,$D$3),"")</f>
        <v>0</v>
      </c>
      <c r="Q243">
        <f ca="1">IFERROR(SUMIFS(OFFSET(DBRA_TopicCount,0,Q$217,DBR_COUNT,1),DBRA_WorkplanDate,$C243,DBRA_PlayerID,$D$3),"")</f>
        <v>0</v>
      </c>
      <c r="R243">
        <f ca="1">IFERROR(SUMIFS(OFFSET(DBRA_TopicCount,0,R$217,DBR_COUNT,1),DBRA_WorkplanDate,$C243,DBRA_PlayerID,$D$3),"")</f>
        <v>0</v>
      </c>
      <c r="S243">
        <f ca="1">IFERROR(SUMIFS(OFFSET(DBRA_TopicCount,0,S$217,DBR_COUNT,1),DBRA_WorkplanDate,$C243,DBRA_PlayerID,$D$3),"")</f>
        <v>0</v>
      </c>
      <c r="T243">
        <f ca="1">IFERROR(SUMIFS(OFFSET(DBRA_TopicCount,0,T$217,DBR_COUNT,1),DBRA_WorkplanDate,$C243,DBRA_PlayerID,$D$3),"")</f>
        <v>0</v>
      </c>
      <c r="U243">
        <f ca="1">IFERROR(SUMIFS(OFFSET(DBRA_TopicCount,0,U$217,DBR_COUNT,1),DBRA_WorkplanDate,$C243,DBRA_PlayerID,$D$3),"")</f>
        <v>0</v>
      </c>
      <c r="V243">
        <f ca="1">IFERROR(SUMIFS(OFFSET(DBRA_TopicCount,0,V$217,DBR_COUNT,1),DBRA_WorkplanDate,$C243,DBRA_PlayerID,$D$3),"")</f>
        <v>0</v>
      </c>
      <c r="W243" s="47"/>
      <c r="X243" t="str">
        <f t="shared" ca="1" si="74"/>
        <v/>
      </c>
      <c r="Y243" t="str">
        <f t="shared" ca="1" si="66"/>
        <v/>
      </c>
      <c r="Z243" t="str">
        <f t="shared" ca="1" si="67"/>
        <v/>
      </c>
      <c r="AA243" t="str">
        <f t="shared" ca="1" si="68"/>
        <v/>
      </c>
      <c r="AB243" t="str">
        <f t="shared" ca="1" si="69"/>
        <v/>
      </c>
      <c r="AC243" t="str">
        <f t="shared" ca="1" si="70"/>
        <v/>
      </c>
      <c r="AD243" t="str">
        <f t="shared" ca="1" si="71"/>
        <v/>
      </c>
      <c r="AE243" t="str">
        <f t="shared" ca="1" si="72"/>
        <v/>
      </c>
      <c r="AF243" t="str">
        <f t="shared" ca="1" si="73"/>
        <v/>
      </c>
      <c r="AG243" s="47"/>
    </row>
    <row r="244" spans="3:33" x14ac:dyDescent="0.25">
      <c r="C244" s="118">
        <f t="shared" si="75"/>
        <v>42030</v>
      </c>
      <c r="D244">
        <f ca="1">IFERROR(SUMIFS(OFFSET(DBRA_TopicHCP,0,D$217,DBR_COUNT,1),DBRA_WorkplanDate,$C244,DBRA_PlayerID,$D$3),"")</f>
        <v>0</v>
      </c>
      <c r="E244">
        <f ca="1">IFERROR(SUMIFS(OFFSET(DBRA_TopicHCP,0,E$217,DBR_COUNT,1),DBRA_WorkplanDate,$C244,DBRA_PlayerID,$D$3),"")</f>
        <v>0</v>
      </c>
      <c r="F244">
        <f ca="1">IFERROR(SUMIFS(OFFSET(DBRA_TopicHCP,0,F$217,DBR_COUNT,1),DBRA_WorkplanDate,$C244,DBRA_PlayerID,$D$3),"")</f>
        <v>0</v>
      </c>
      <c r="G244">
        <f ca="1">IFERROR(SUMIFS(OFFSET(DBRA_TopicHCP,0,G$217,DBR_COUNT,1),DBRA_WorkplanDate,$C244,DBRA_PlayerID,$D$3),"")</f>
        <v>0</v>
      </c>
      <c r="H244">
        <f ca="1">IFERROR(SUMIFS(OFFSET(DBRA_TopicHCP,0,H$217,DBR_COUNT,1),DBRA_WorkplanDate,$C244,DBRA_PlayerID,$D$3),"")</f>
        <v>0</v>
      </c>
      <c r="I244">
        <f ca="1">IFERROR(SUMIFS(OFFSET(DBRA_TopicHCP,0,I$217,DBR_COUNT,1),DBRA_WorkplanDate,$C244,DBRA_PlayerID,$D$3),"")</f>
        <v>0</v>
      </c>
      <c r="J244">
        <f ca="1">IFERROR(SUMIFS(OFFSET(DBRA_TopicHCP,0,J$217,DBR_COUNT,1),DBRA_WorkplanDate,$C244,DBRA_PlayerID,$D$3),"")</f>
        <v>0</v>
      </c>
      <c r="K244">
        <f ca="1">IFERROR(SUMIFS(OFFSET(DBRA_TopicHCP,0,K$217,DBR_COUNT,1),DBRA_WorkplanDate,$C244,DBRA_PlayerID,$D$3),"")</f>
        <v>0</v>
      </c>
      <c r="L244">
        <f ca="1">IFERROR(SUMIFS(OFFSET(DBRA_TopicHCP,0,L$217,DBR_COUNT,1),DBRA_WorkplanDate,$C244,DBRA_PlayerID,$D$3),"")</f>
        <v>0</v>
      </c>
      <c r="M244" s="47"/>
      <c r="N244">
        <f ca="1">IFERROR(SUMIFS(OFFSET(DBRA_TopicCount,0,N$217,DBR_COUNT,1),DBRA_WorkplanDate,$C244,DBRA_PlayerID,$D$3),"")</f>
        <v>0</v>
      </c>
      <c r="O244">
        <f ca="1">IFERROR(SUMIFS(OFFSET(DBRA_TopicCount,0,O$217,DBR_COUNT,1),DBRA_WorkplanDate,$C244,DBRA_PlayerID,$D$3),"")</f>
        <v>0</v>
      </c>
      <c r="P244">
        <f ca="1">IFERROR(SUMIFS(OFFSET(DBRA_TopicCount,0,P$217,DBR_COUNT,1),DBRA_WorkplanDate,$C244,DBRA_PlayerID,$D$3),"")</f>
        <v>0</v>
      </c>
      <c r="Q244">
        <f ca="1">IFERROR(SUMIFS(OFFSET(DBRA_TopicCount,0,Q$217,DBR_COUNT,1),DBRA_WorkplanDate,$C244,DBRA_PlayerID,$D$3),"")</f>
        <v>0</v>
      </c>
      <c r="R244">
        <f ca="1">IFERROR(SUMIFS(OFFSET(DBRA_TopicCount,0,R$217,DBR_COUNT,1),DBRA_WorkplanDate,$C244,DBRA_PlayerID,$D$3),"")</f>
        <v>0</v>
      </c>
      <c r="S244">
        <f ca="1">IFERROR(SUMIFS(OFFSET(DBRA_TopicCount,0,S$217,DBR_COUNT,1),DBRA_WorkplanDate,$C244,DBRA_PlayerID,$D$3),"")</f>
        <v>0</v>
      </c>
      <c r="T244">
        <f ca="1">IFERROR(SUMIFS(OFFSET(DBRA_TopicCount,0,T$217,DBR_COUNT,1),DBRA_WorkplanDate,$C244,DBRA_PlayerID,$D$3),"")</f>
        <v>0</v>
      </c>
      <c r="U244">
        <f ca="1">IFERROR(SUMIFS(OFFSET(DBRA_TopicCount,0,U$217,DBR_COUNT,1),DBRA_WorkplanDate,$C244,DBRA_PlayerID,$D$3),"")</f>
        <v>0</v>
      </c>
      <c r="V244">
        <f ca="1">IFERROR(SUMIFS(OFFSET(DBRA_TopicCount,0,V$217,DBR_COUNT,1),DBRA_WorkplanDate,$C244,DBRA_PlayerID,$D$3),"")</f>
        <v>0</v>
      </c>
      <c r="W244" s="47"/>
      <c r="X244" t="str">
        <f t="shared" ca="1" si="74"/>
        <v/>
      </c>
      <c r="Y244" t="str">
        <f t="shared" ca="1" si="66"/>
        <v/>
      </c>
      <c r="Z244" t="str">
        <f t="shared" ca="1" si="67"/>
        <v/>
      </c>
      <c r="AA244" t="str">
        <f t="shared" ca="1" si="68"/>
        <v/>
      </c>
      <c r="AB244" t="str">
        <f t="shared" ca="1" si="69"/>
        <v/>
      </c>
      <c r="AC244" t="str">
        <f t="shared" ca="1" si="70"/>
        <v/>
      </c>
      <c r="AD244" t="str">
        <f t="shared" ca="1" si="71"/>
        <v/>
      </c>
      <c r="AE244" t="str">
        <f t="shared" ca="1" si="72"/>
        <v/>
      </c>
      <c r="AF244" t="str">
        <f t="shared" ca="1" si="73"/>
        <v/>
      </c>
      <c r="AG244" s="47"/>
    </row>
    <row r="245" spans="3:33" x14ac:dyDescent="0.25">
      <c r="C245" s="118">
        <f t="shared" si="75"/>
        <v>42031</v>
      </c>
      <c r="D245">
        <f ca="1">IFERROR(SUMIFS(OFFSET(DBRA_TopicHCP,0,D$217,DBR_COUNT,1),DBRA_WorkplanDate,$C245,DBRA_PlayerID,$D$3),"")</f>
        <v>0</v>
      </c>
      <c r="E245">
        <f ca="1">IFERROR(SUMIFS(OFFSET(DBRA_TopicHCP,0,E$217,DBR_COUNT,1),DBRA_WorkplanDate,$C245,DBRA_PlayerID,$D$3),"")</f>
        <v>0</v>
      </c>
      <c r="F245">
        <f ca="1">IFERROR(SUMIFS(OFFSET(DBRA_TopicHCP,0,F$217,DBR_COUNT,1),DBRA_WorkplanDate,$C245,DBRA_PlayerID,$D$3),"")</f>
        <v>0</v>
      </c>
      <c r="G245">
        <f ca="1">IFERROR(SUMIFS(OFFSET(DBRA_TopicHCP,0,G$217,DBR_COUNT,1),DBRA_WorkplanDate,$C245,DBRA_PlayerID,$D$3),"")</f>
        <v>0</v>
      </c>
      <c r="H245">
        <f ca="1">IFERROR(SUMIFS(OFFSET(DBRA_TopicHCP,0,H$217,DBR_COUNT,1),DBRA_WorkplanDate,$C245,DBRA_PlayerID,$D$3),"")</f>
        <v>0</v>
      </c>
      <c r="I245">
        <f ca="1">IFERROR(SUMIFS(OFFSET(DBRA_TopicHCP,0,I$217,DBR_COUNT,1),DBRA_WorkplanDate,$C245,DBRA_PlayerID,$D$3),"")</f>
        <v>0</v>
      </c>
      <c r="J245">
        <f ca="1">IFERROR(SUMIFS(OFFSET(DBRA_TopicHCP,0,J$217,DBR_COUNT,1),DBRA_WorkplanDate,$C245,DBRA_PlayerID,$D$3),"")</f>
        <v>0</v>
      </c>
      <c r="K245">
        <f ca="1">IFERROR(SUMIFS(OFFSET(DBRA_TopicHCP,0,K$217,DBR_COUNT,1),DBRA_WorkplanDate,$C245,DBRA_PlayerID,$D$3),"")</f>
        <v>0</v>
      </c>
      <c r="L245">
        <f ca="1">IFERROR(SUMIFS(OFFSET(DBRA_TopicHCP,0,L$217,DBR_COUNT,1),DBRA_WorkplanDate,$C245,DBRA_PlayerID,$D$3),"")</f>
        <v>0</v>
      </c>
      <c r="M245" s="47"/>
      <c r="N245">
        <f ca="1">IFERROR(SUMIFS(OFFSET(DBRA_TopicCount,0,N$217,DBR_COUNT,1),DBRA_WorkplanDate,$C245,DBRA_PlayerID,$D$3),"")</f>
        <v>0</v>
      </c>
      <c r="O245">
        <f ca="1">IFERROR(SUMIFS(OFFSET(DBRA_TopicCount,0,O$217,DBR_COUNT,1),DBRA_WorkplanDate,$C245,DBRA_PlayerID,$D$3),"")</f>
        <v>0</v>
      </c>
      <c r="P245">
        <f ca="1">IFERROR(SUMIFS(OFFSET(DBRA_TopicCount,0,P$217,DBR_COUNT,1),DBRA_WorkplanDate,$C245,DBRA_PlayerID,$D$3),"")</f>
        <v>0</v>
      </c>
      <c r="Q245">
        <f ca="1">IFERROR(SUMIFS(OFFSET(DBRA_TopicCount,0,Q$217,DBR_COUNT,1),DBRA_WorkplanDate,$C245,DBRA_PlayerID,$D$3),"")</f>
        <v>0</v>
      </c>
      <c r="R245">
        <f ca="1">IFERROR(SUMIFS(OFFSET(DBRA_TopicCount,0,R$217,DBR_COUNT,1),DBRA_WorkplanDate,$C245,DBRA_PlayerID,$D$3),"")</f>
        <v>0</v>
      </c>
      <c r="S245">
        <f ca="1">IFERROR(SUMIFS(OFFSET(DBRA_TopicCount,0,S$217,DBR_COUNT,1),DBRA_WorkplanDate,$C245,DBRA_PlayerID,$D$3),"")</f>
        <v>0</v>
      </c>
      <c r="T245">
        <f ca="1">IFERROR(SUMIFS(OFFSET(DBRA_TopicCount,0,T$217,DBR_COUNT,1),DBRA_WorkplanDate,$C245,DBRA_PlayerID,$D$3),"")</f>
        <v>0</v>
      </c>
      <c r="U245">
        <f ca="1">IFERROR(SUMIFS(OFFSET(DBRA_TopicCount,0,U$217,DBR_COUNT,1),DBRA_WorkplanDate,$C245,DBRA_PlayerID,$D$3),"")</f>
        <v>0</v>
      </c>
      <c r="V245">
        <f ca="1">IFERROR(SUMIFS(OFFSET(DBRA_TopicCount,0,V$217,DBR_COUNT,1),DBRA_WorkplanDate,$C245,DBRA_PlayerID,$D$3),"")</f>
        <v>0</v>
      </c>
      <c r="W245" s="47"/>
      <c r="X245" t="str">
        <f t="shared" ca="1" si="74"/>
        <v/>
      </c>
      <c r="Y245" t="str">
        <f t="shared" ca="1" si="66"/>
        <v/>
      </c>
      <c r="Z245" t="str">
        <f t="shared" ca="1" si="67"/>
        <v/>
      </c>
      <c r="AA245" t="str">
        <f t="shared" ca="1" si="68"/>
        <v/>
      </c>
      <c r="AB245" t="str">
        <f t="shared" ca="1" si="69"/>
        <v/>
      </c>
      <c r="AC245" t="str">
        <f t="shared" ca="1" si="70"/>
        <v/>
      </c>
      <c r="AD245" t="str">
        <f t="shared" ca="1" si="71"/>
        <v/>
      </c>
      <c r="AE245" t="str">
        <f t="shared" ca="1" si="72"/>
        <v/>
      </c>
      <c r="AF245" t="str">
        <f t="shared" ca="1" si="73"/>
        <v/>
      </c>
      <c r="AG245" s="47"/>
    </row>
    <row r="246" spans="3:33" x14ac:dyDescent="0.25">
      <c r="C246" s="118">
        <f t="shared" si="75"/>
        <v>42032</v>
      </c>
      <c r="D246">
        <f ca="1">IFERROR(SUMIFS(OFFSET(DBRA_TopicHCP,0,D$217,DBR_COUNT,1),DBRA_WorkplanDate,$C246,DBRA_PlayerID,$D$3),"")</f>
        <v>0</v>
      </c>
      <c r="E246">
        <f ca="1">IFERROR(SUMIFS(OFFSET(DBRA_TopicHCP,0,E$217,DBR_COUNT,1),DBRA_WorkplanDate,$C246,DBRA_PlayerID,$D$3),"")</f>
        <v>0</v>
      </c>
      <c r="F246">
        <f ca="1">IFERROR(SUMIFS(OFFSET(DBRA_TopicHCP,0,F$217,DBR_COUNT,1),DBRA_WorkplanDate,$C246,DBRA_PlayerID,$D$3),"")</f>
        <v>0</v>
      </c>
      <c r="G246">
        <f ca="1">IFERROR(SUMIFS(OFFSET(DBRA_TopicHCP,0,G$217,DBR_COUNT,1),DBRA_WorkplanDate,$C246,DBRA_PlayerID,$D$3),"")</f>
        <v>0</v>
      </c>
      <c r="H246">
        <f ca="1">IFERROR(SUMIFS(OFFSET(DBRA_TopicHCP,0,H$217,DBR_COUNT,1),DBRA_WorkplanDate,$C246,DBRA_PlayerID,$D$3),"")</f>
        <v>0</v>
      </c>
      <c r="I246">
        <f ca="1">IFERROR(SUMIFS(OFFSET(DBRA_TopicHCP,0,I$217,DBR_COUNT,1),DBRA_WorkplanDate,$C246,DBRA_PlayerID,$D$3),"")</f>
        <v>0</v>
      </c>
      <c r="J246">
        <f ca="1">IFERROR(SUMIFS(OFFSET(DBRA_TopicHCP,0,J$217,DBR_COUNT,1),DBRA_WorkplanDate,$C246,DBRA_PlayerID,$D$3),"")</f>
        <v>0</v>
      </c>
      <c r="K246">
        <f ca="1">IFERROR(SUMIFS(OFFSET(DBRA_TopicHCP,0,K$217,DBR_COUNT,1),DBRA_WorkplanDate,$C246,DBRA_PlayerID,$D$3),"")</f>
        <v>0</v>
      </c>
      <c r="L246">
        <f ca="1">IFERROR(SUMIFS(OFFSET(DBRA_TopicHCP,0,L$217,DBR_COUNT,1),DBRA_WorkplanDate,$C246,DBRA_PlayerID,$D$3),"")</f>
        <v>0</v>
      </c>
      <c r="M246" s="47"/>
      <c r="N246">
        <f ca="1">IFERROR(SUMIFS(OFFSET(DBRA_TopicCount,0,N$217,DBR_COUNT,1),DBRA_WorkplanDate,$C246,DBRA_PlayerID,$D$3),"")</f>
        <v>0</v>
      </c>
      <c r="O246">
        <f ca="1">IFERROR(SUMIFS(OFFSET(DBRA_TopicCount,0,O$217,DBR_COUNT,1),DBRA_WorkplanDate,$C246,DBRA_PlayerID,$D$3),"")</f>
        <v>0</v>
      </c>
      <c r="P246">
        <f ca="1">IFERROR(SUMIFS(OFFSET(DBRA_TopicCount,0,P$217,DBR_COUNT,1),DBRA_WorkplanDate,$C246,DBRA_PlayerID,$D$3),"")</f>
        <v>0</v>
      </c>
      <c r="Q246">
        <f ca="1">IFERROR(SUMIFS(OFFSET(DBRA_TopicCount,0,Q$217,DBR_COUNT,1),DBRA_WorkplanDate,$C246,DBRA_PlayerID,$D$3),"")</f>
        <v>0</v>
      </c>
      <c r="R246">
        <f ca="1">IFERROR(SUMIFS(OFFSET(DBRA_TopicCount,0,R$217,DBR_COUNT,1),DBRA_WorkplanDate,$C246,DBRA_PlayerID,$D$3),"")</f>
        <v>0</v>
      </c>
      <c r="S246">
        <f ca="1">IFERROR(SUMIFS(OFFSET(DBRA_TopicCount,0,S$217,DBR_COUNT,1),DBRA_WorkplanDate,$C246,DBRA_PlayerID,$D$3),"")</f>
        <v>0</v>
      </c>
      <c r="T246">
        <f ca="1">IFERROR(SUMIFS(OFFSET(DBRA_TopicCount,0,T$217,DBR_COUNT,1),DBRA_WorkplanDate,$C246,DBRA_PlayerID,$D$3),"")</f>
        <v>0</v>
      </c>
      <c r="U246">
        <f ca="1">IFERROR(SUMIFS(OFFSET(DBRA_TopicCount,0,U$217,DBR_COUNT,1),DBRA_WorkplanDate,$C246,DBRA_PlayerID,$D$3),"")</f>
        <v>0</v>
      </c>
      <c r="V246">
        <f ca="1">IFERROR(SUMIFS(OFFSET(DBRA_TopicCount,0,V$217,DBR_COUNT,1),DBRA_WorkplanDate,$C246,DBRA_PlayerID,$D$3),"")</f>
        <v>0</v>
      </c>
      <c r="W246" s="47"/>
      <c r="X246" t="str">
        <f t="shared" ca="1" si="74"/>
        <v/>
      </c>
      <c r="Y246" t="str">
        <f t="shared" ca="1" si="66"/>
        <v/>
      </c>
      <c r="Z246" t="str">
        <f t="shared" ca="1" si="67"/>
        <v/>
      </c>
      <c r="AA246" t="str">
        <f t="shared" ca="1" si="68"/>
        <v/>
      </c>
      <c r="AB246" t="str">
        <f t="shared" ca="1" si="69"/>
        <v/>
      </c>
      <c r="AC246" t="str">
        <f t="shared" ca="1" si="70"/>
        <v/>
      </c>
      <c r="AD246" t="str">
        <f t="shared" ca="1" si="71"/>
        <v/>
      </c>
      <c r="AE246" t="str">
        <f t="shared" ca="1" si="72"/>
        <v/>
      </c>
      <c r="AF246" t="str">
        <f t="shared" ca="1" si="73"/>
        <v/>
      </c>
      <c r="AG246" s="47"/>
    </row>
    <row r="247" spans="3:33" x14ac:dyDescent="0.25">
      <c r="C247" s="118">
        <f t="shared" si="75"/>
        <v>42033</v>
      </c>
      <c r="D247">
        <f ca="1">IFERROR(SUMIFS(OFFSET(DBRA_TopicHCP,0,D$217,DBR_COUNT,1),DBRA_WorkplanDate,$C247,DBRA_PlayerID,$D$3),"")</f>
        <v>0</v>
      </c>
      <c r="E247">
        <f ca="1">IFERROR(SUMIFS(OFFSET(DBRA_TopicHCP,0,E$217,DBR_COUNT,1),DBRA_WorkplanDate,$C247,DBRA_PlayerID,$D$3),"")</f>
        <v>0</v>
      </c>
      <c r="F247">
        <f ca="1">IFERROR(SUMIFS(OFFSET(DBRA_TopicHCP,0,F$217,DBR_COUNT,1),DBRA_WorkplanDate,$C247,DBRA_PlayerID,$D$3),"")</f>
        <v>0</v>
      </c>
      <c r="G247">
        <f ca="1">IFERROR(SUMIFS(OFFSET(DBRA_TopicHCP,0,G$217,DBR_COUNT,1),DBRA_WorkplanDate,$C247,DBRA_PlayerID,$D$3),"")</f>
        <v>0</v>
      </c>
      <c r="H247">
        <f ca="1">IFERROR(SUMIFS(OFFSET(DBRA_TopicHCP,0,H$217,DBR_COUNT,1),DBRA_WorkplanDate,$C247,DBRA_PlayerID,$D$3),"")</f>
        <v>0</v>
      </c>
      <c r="I247">
        <f ca="1">IFERROR(SUMIFS(OFFSET(DBRA_TopicHCP,0,I$217,DBR_COUNT,1),DBRA_WorkplanDate,$C247,DBRA_PlayerID,$D$3),"")</f>
        <v>0</v>
      </c>
      <c r="J247">
        <f ca="1">IFERROR(SUMIFS(OFFSET(DBRA_TopicHCP,0,J$217,DBR_COUNT,1),DBRA_WorkplanDate,$C247,DBRA_PlayerID,$D$3),"")</f>
        <v>0</v>
      </c>
      <c r="K247">
        <f ca="1">IFERROR(SUMIFS(OFFSET(DBRA_TopicHCP,0,K$217,DBR_COUNT,1),DBRA_WorkplanDate,$C247,DBRA_PlayerID,$D$3),"")</f>
        <v>0</v>
      </c>
      <c r="L247">
        <f ca="1">IFERROR(SUMIFS(OFFSET(DBRA_TopicHCP,0,L$217,DBR_COUNT,1),DBRA_WorkplanDate,$C247,DBRA_PlayerID,$D$3),"")</f>
        <v>0</v>
      </c>
      <c r="M247" s="47"/>
      <c r="N247">
        <f ca="1">IFERROR(SUMIFS(OFFSET(DBRA_TopicCount,0,N$217,DBR_COUNT,1),DBRA_WorkplanDate,$C247,DBRA_PlayerID,$D$3),"")</f>
        <v>0</v>
      </c>
      <c r="O247">
        <f ca="1">IFERROR(SUMIFS(OFFSET(DBRA_TopicCount,0,O$217,DBR_COUNT,1),DBRA_WorkplanDate,$C247,DBRA_PlayerID,$D$3),"")</f>
        <v>0</v>
      </c>
      <c r="P247">
        <f ca="1">IFERROR(SUMIFS(OFFSET(DBRA_TopicCount,0,P$217,DBR_COUNT,1),DBRA_WorkplanDate,$C247,DBRA_PlayerID,$D$3),"")</f>
        <v>0</v>
      </c>
      <c r="Q247">
        <f ca="1">IFERROR(SUMIFS(OFFSET(DBRA_TopicCount,0,Q$217,DBR_COUNT,1),DBRA_WorkplanDate,$C247,DBRA_PlayerID,$D$3),"")</f>
        <v>0</v>
      </c>
      <c r="R247">
        <f ca="1">IFERROR(SUMIFS(OFFSET(DBRA_TopicCount,0,R$217,DBR_COUNT,1),DBRA_WorkplanDate,$C247,DBRA_PlayerID,$D$3),"")</f>
        <v>0</v>
      </c>
      <c r="S247">
        <f ca="1">IFERROR(SUMIFS(OFFSET(DBRA_TopicCount,0,S$217,DBR_COUNT,1),DBRA_WorkplanDate,$C247,DBRA_PlayerID,$D$3),"")</f>
        <v>0</v>
      </c>
      <c r="T247">
        <f ca="1">IFERROR(SUMIFS(OFFSET(DBRA_TopicCount,0,T$217,DBR_COUNT,1),DBRA_WorkplanDate,$C247,DBRA_PlayerID,$D$3),"")</f>
        <v>0</v>
      </c>
      <c r="U247">
        <f ca="1">IFERROR(SUMIFS(OFFSET(DBRA_TopicCount,0,U$217,DBR_COUNT,1),DBRA_WorkplanDate,$C247,DBRA_PlayerID,$D$3),"")</f>
        <v>0</v>
      </c>
      <c r="V247">
        <f ca="1">IFERROR(SUMIFS(OFFSET(DBRA_TopicCount,0,V$217,DBR_COUNT,1),DBRA_WorkplanDate,$C247,DBRA_PlayerID,$D$3),"")</f>
        <v>0</v>
      </c>
      <c r="W247" s="47"/>
      <c r="X247" t="str">
        <f t="shared" ca="1" si="74"/>
        <v/>
      </c>
      <c r="Y247" t="str">
        <f t="shared" ca="1" si="66"/>
        <v/>
      </c>
      <c r="Z247" t="str">
        <f t="shared" ca="1" si="67"/>
        <v/>
      </c>
      <c r="AA247" t="str">
        <f t="shared" ca="1" si="68"/>
        <v/>
      </c>
      <c r="AB247" t="str">
        <f t="shared" ca="1" si="69"/>
        <v/>
      </c>
      <c r="AC247" t="str">
        <f t="shared" ca="1" si="70"/>
        <v/>
      </c>
      <c r="AD247" t="str">
        <f t="shared" ca="1" si="71"/>
        <v/>
      </c>
      <c r="AE247" t="str">
        <f t="shared" ca="1" si="72"/>
        <v/>
      </c>
      <c r="AF247" t="str">
        <f t="shared" ca="1" si="73"/>
        <v/>
      </c>
      <c r="AG247" s="47"/>
    </row>
    <row r="248" spans="3:33" x14ac:dyDescent="0.25">
      <c r="C248" s="118">
        <f t="shared" si="75"/>
        <v>42034</v>
      </c>
      <c r="D248">
        <f ca="1">IFERROR(SUMIFS(OFFSET(DBRA_TopicHCP,0,D$217,DBR_COUNT,1),DBRA_WorkplanDate,$C248,DBRA_PlayerID,$D$3),"")</f>
        <v>0</v>
      </c>
      <c r="E248">
        <f ca="1">IFERROR(SUMIFS(OFFSET(DBRA_TopicHCP,0,E$217,DBR_COUNT,1),DBRA_WorkplanDate,$C248,DBRA_PlayerID,$D$3),"")</f>
        <v>0</v>
      </c>
      <c r="F248">
        <f ca="1">IFERROR(SUMIFS(OFFSET(DBRA_TopicHCP,0,F$217,DBR_COUNT,1),DBRA_WorkplanDate,$C248,DBRA_PlayerID,$D$3),"")</f>
        <v>0</v>
      </c>
      <c r="G248">
        <f ca="1">IFERROR(SUMIFS(OFFSET(DBRA_TopicHCP,0,G$217,DBR_COUNT,1),DBRA_WorkplanDate,$C248,DBRA_PlayerID,$D$3),"")</f>
        <v>0</v>
      </c>
      <c r="H248">
        <f ca="1">IFERROR(SUMIFS(OFFSET(DBRA_TopicHCP,0,H$217,DBR_COUNT,1),DBRA_WorkplanDate,$C248,DBRA_PlayerID,$D$3),"")</f>
        <v>0</v>
      </c>
      <c r="I248">
        <f ca="1">IFERROR(SUMIFS(OFFSET(DBRA_TopicHCP,0,I$217,DBR_COUNT,1),DBRA_WorkplanDate,$C248,DBRA_PlayerID,$D$3),"")</f>
        <v>0</v>
      </c>
      <c r="J248">
        <f ca="1">IFERROR(SUMIFS(OFFSET(DBRA_TopicHCP,0,J$217,DBR_COUNT,1),DBRA_WorkplanDate,$C248,DBRA_PlayerID,$D$3),"")</f>
        <v>0</v>
      </c>
      <c r="K248">
        <f ca="1">IFERROR(SUMIFS(OFFSET(DBRA_TopicHCP,0,K$217,DBR_COUNT,1),DBRA_WorkplanDate,$C248,DBRA_PlayerID,$D$3),"")</f>
        <v>0</v>
      </c>
      <c r="L248">
        <f ca="1">IFERROR(SUMIFS(OFFSET(DBRA_TopicHCP,0,L$217,DBR_COUNT,1),DBRA_WorkplanDate,$C248,DBRA_PlayerID,$D$3),"")</f>
        <v>0</v>
      </c>
      <c r="M248" s="47"/>
      <c r="N248">
        <f ca="1">IFERROR(SUMIFS(OFFSET(DBRA_TopicCount,0,N$217,DBR_COUNT,1),DBRA_WorkplanDate,$C248,DBRA_PlayerID,$D$3),"")</f>
        <v>0</v>
      </c>
      <c r="O248">
        <f ca="1">IFERROR(SUMIFS(OFFSET(DBRA_TopicCount,0,O$217,DBR_COUNT,1),DBRA_WorkplanDate,$C248,DBRA_PlayerID,$D$3),"")</f>
        <v>0</v>
      </c>
      <c r="P248">
        <f ca="1">IFERROR(SUMIFS(OFFSET(DBRA_TopicCount,0,P$217,DBR_COUNT,1),DBRA_WorkplanDate,$C248,DBRA_PlayerID,$D$3),"")</f>
        <v>0</v>
      </c>
      <c r="Q248">
        <f ca="1">IFERROR(SUMIFS(OFFSET(DBRA_TopicCount,0,Q$217,DBR_COUNT,1),DBRA_WorkplanDate,$C248,DBRA_PlayerID,$D$3),"")</f>
        <v>0</v>
      </c>
      <c r="R248">
        <f ca="1">IFERROR(SUMIFS(OFFSET(DBRA_TopicCount,0,R$217,DBR_COUNT,1),DBRA_WorkplanDate,$C248,DBRA_PlayerID,$D$3),"")</f>
        <v>0</v>
      </c>
      <c r="S248">
        <f ca="1">IFERROR(SUMIFS(OFFSET(DBRA_TopicCount,0,S$217,DBR_COUNT,1),DBRA_WorkplanDate,$C248,DBRA_PlayerID,$D$3),"")</f>
        <v>0</v>
      </c>
      <c r="T248">
        <f ca="1">IFERROR(SUMIFS(OFFSET(DBRA_TopicCount,0,T$217,DBR_COUNT,1),DBRA_WorkplanDate,$C248,DBRA_PlayerID,$D$3),"")</f>
        <v>0</v>
      </c>
      <c r="U248">
        <f ca="1">IFERROR(SUMIFS(OFFSET(DBRA_TopicCount,0,U$217,DBR_COUNT,1),DBRA_WorkplanDate,$C248,DBRA_PlayerID,$D$3),"")</f>
        <v>0</v>
      </c>
      <c r="V248">
        <f ca="1">IFERROR(SUMIFS(OFFSET(DBRA_TopicCount,0,V$217,DBR_COUNT,1),DBRA_WorkplanDate,$C248,DBRA_PlayerID,$D$3),"")</f>
        <v>0</v>
      </c>
      <c r="W248" s="47"/>
      <c r="X248" t="str">
        <f t="shared" ca="1" si="74"/>
        <v/>
      </c>
      <c r="Y248" t="str">
        <f t="shared" ca="1" si="66"/>
        <v/>
      </c>
      <c r="Z248" t="str">
        <f t="shared" ca="1" si="67"/>
        <v/>
      </c>
      <c r="AA248" t="str">
        <f t="shared" ca="1" si="68"/>
        <v/>
      </c>
      <c r="AB248" t="str">
        <f t="shared" ca="1" si="69"/>
        <v/>
      </c>
      <c r="AC248" t="str">
        <f t="shared" ca="1" si="70"/>
        <v/>
      </c>
      <c r="AD248" t="str">
        <f t="shared" ca="1" si="71"/>
        <v/>
      </c>
      <c r="AE248" t="str">
        <f t="shared" ca="1" si="72"/>
        <v/>
      </c>
      <c r="AF248" t="str">
        <f t="shared" ca="1" si="73"/>
        <v/>
      </c>
      <c r="AG248" s="47"/>
    </row>
    <row r="249" spans="3:33" x14ac:dyDescent="0.25">
      <c r="C249" s="118">
        <f t="shared" si="75"/>
        <v>42035</v>
      </c>
      <c r="D249">
        <f ca="1">IFERROR(SUMIFS(OFFSET(DBRA_TopicHCP,0,D$217,DBR_COUNT,1),DBRA_WorkplanDate,$C249,DBRA_PlayerID,$D$3),"")</f>
        <v>0</v>
      </c>
      <c r="E249">
        <f ca="1">IFERROR(SUMIFS(OFFSET(DBRA_TopicHCP,0,E$217,DBR_COUNT,1),DBRA_WorkplanDate,$C249,DBRA_PlayerID,$D$3),"")</f>
        <v>0</v>
      </c>
      <c r="F249">
        <f ca="1">IFERROR(SUMIFS(OFFSET(DBRA_TopicHCP,0,F$217,DBR_COUNT,1),DBRA_WorkplanDate,$C249,DBRA_PlayerID,$D$3),"")</f>
        <v>0</v>
      </c>
      <c r="G249">
        <f ca="1">IFERROR(SUMIFS(OFFSET(DBRA_TopicHCP,0,G$217,DBR_COUNT,1),DBRA_WorkplanDate,$C249,DBRA_PlayerID,$D$3),"")</f>
        <v>0</v>
      </c>
      <c r="H249">
        <f ca="1">IFERROR(SUMIFS(OFFSET(DBRA_TopicHCP,0,H$217,DBR_COUNT,1),DBRA_WorkplanDate,$C249,DBRA_PlayerID,$D$3),"")</f>
        <v>0</v>
      </c>
      <c r="I249">
        <f ca="1">IFERROR(SUMIFS(OFFSET(DBRA_TopicHCP,0,I$217,DBR_COUNT,1),DBRA_WorkplanDate,$C249,DBRA_PlayerID,$D$3),"")</f>
        <v>0</v>
      </c>
      <c r="J249">
        <f ca="1">IFERROR(SUMIFS(OFFSET(DBRA_TopicHCP,0,J$217,DBR_COUNT,1),DBRA_WorkplanDate,$C249,DBRA_PlayerID,$D$3),"")</f>
        <v>0</v>
      </c>
      <c r="K249">
        <f ca="1">IFERROR(SUMIFS(OFFSET(DBRA_TopicHCP,0,K$217,DBR_COUNT,1),DBRA_WorkplanDate,$C249,DBRA_PlayerID,$D$3),"")</f>
        <v>0</v>
      </c>
      <c r="L249">
        <f ca="1">IFERROR(SUMIFS(OFFSET(DBRA_TopicHCP,0,L$217,DBR_COUNT,1),DBRA_WorkplanDate,$C249,DBRA_PlayerID,$D$3),"")</f>
        <v>0</v>
      </c>
      <c r="M249" s="47"/>
      <c r="N249">
        <f ca="1">IFERROR(SUMIFS(OFFSET(DBRA_TopicCount,0,N$217,DBR_COUNT,1),DBRA_WorkplanDate,$C249,DBRA_PlayerID,$D$3),"")</f>
        <v>0</v>
      </c>
      <c r="O249">
        <f ca="1">IFERROR(SUMIFS(OFFSET(DBRA_TopicCount,0,O$217,DBR_COUNT,1),DBRA_WorkplanDate,$C249,DBRA_PlayerID,$D$3),"")</f>
        <v>0</v>
      </c>
      <c r="P249">
        <f ca="1">IFERROR(SUMIFS(OFFSET(DBRA_TopicCount,0,P$217,DBR_COUNT,1),DBRA_WorkplanDate,$C249,DBRA_PlayerID,$D$3),"")</f>
        <v>0</v>
      </c>
      <c r="Q249">
        <f ca="1">IFERROR(SUMIFS(OFFSET(DBRA_TopicCount,0,Q$217,DBR_COUNT,1),DBRA_WorkplanDate,$C249,DBRA_PlayerID,$D$3),"")</f>
        <v>0</v>
      </c>
      <c r="R249">
        <f ca="1">IFERROR(SUMIFS(OFFSET(DBRA_TopicCount,0,R$217,DBR_COUNT,1),DBRA_WorkplanDate,$C249,DBRA_PlayerID,$D$3),"")</f>
        <v>0</v>
      </c>
      <c r="S249">
        <f ca="1">IFERROR(SUMIFS(OFFSET(DBRA_TopicCount,0,S$217,DBR_COUNT,1),DBRA_WorkplanDate,$C249,DBRA_PlayerID,$D$3),"")</f>
        <v>0</v>
      </c>
      <c r="T249">
        <f ca="1">IFERROR(SUMIFS(OFFSET(DBRA_TopicCount,0,T$217,DBR_COUNT,1),DBRA_WorkplanDate,$C249,DBRA_PlayerID,$D$3),"")</f>
        <v>0</v>
      </c>
      <c r="U249">
        <f ca="1">IFERROR(SUMIFS(OFFSET(DBRA_TopicCount,0,U$217,DBR_COUNT,1),DBRA_WorkplanDate,$C249,DBRA_PlayerID,$D$3),"")</f>
        <v>0</v>
      </c>
      <c r="V249">
        <f ca="1">IFERROR(SUMIFS(OFFSET(DBRA_TopicCount,0,V$217,DBR_COUNT,1),DBRA_WorkplanDate,$C249,DBRA_PlayerID,$D$3),"")</f>
        <v>0</v>
      </c>
      <c r="W249" s="47"/>
      <c r="X249" t="str">
        <f t="shared" ca="1" si="74"/>
        <v/>
      </c>
      <c r="Y249" t="str">
        <f t="shared" ca="1" si="66"/>
        <v/>
      </c>
      <c r="Z249" t="str">
        <f t="shared" ca="1" si="67"/>
        <v/>
      </c>
      <c r="AA249" t="str">
        <f t="shared" ca="1" si="68"/>
        <v/>
      </c>
      <c r="AB249" t="str">
        <f t="shared" ca="1" si="69"/>
        <v/>
      </c>
      <c r="AC249" t="str">
        <f t="shared" ca="1" si="70"/>
        <v/>
      </c>
      <c r="AD249" t="str">
        <f t="shared" ca="1" si="71"/>
        <v/>
      </c>
      <c r="AE249" t="str">
        <f t="shared" ca="1" si="72"/>
        <v/>
      </c>
      <c r="AF249" t="str">
        <f t="shared" ca="1" si="73"/>
        <v/>
      </c>
      <c r="AG249" s="47"/>
    </row>
    <row r="250" spans="3:33" x14ac:dyDescent="0.25">
      <c r="C250" s="118">
        <f t="shared" si="75"/>
        <v>42036</v>
      </c>
      <c r="D250">
        <f ca="1">IFERROR(SUMIFS(OFFSET(DBRA_TopicHCP,0,D$217,DBR_COUNT,1),DBRA_WorkplanDate,$C250,DBRA_PlayerID,$D$3),"")</f>
        <v>0</v>
      </c>
      <c r="E250">
        <f ca="1">IFERROR(SUMIFS(OFFSET(DBRA_TopicHCP,0,E$217,DBR_COUNT,1),DBRA_WorkplanDate,$C250,DBRA_PlayerID,$D$3),"")</f>
        <v>0</v>
      </c>
      <c r="F250">
        <f ca="1">IFERROR(SUMIFS(OFFSET(DBRA_TopicHCP,0,F$217,DBR_COUNT,1),DBRA_WorkplanDate,$C250,DBRA_PlayerID,$D$3),"")</f>
        <v>0</v>
      </c>
      <c r="G250">
        <f ca="1">IFERROR(SUMIFS(OFFSET(DBRA_TopicHCP,0,G$217,DBR_COUNT,1),DBRA_WorkplanDate,$C250,DBRA_PlayerID,$D$3),"")</f>
        <v>0</v>
      </c>
      <c r="H250">
        <f ca="1">IFERROR(SUMIFS(OFFSET(DBRA_TopicHCP,0,H$217,DBR_COUNT,1),DBRA_WorkplanDate,$C250,DBRA_PlayerID,$D$3),"")</f>
        <v>0</v>
      </c>
      <c r="I250">
        <f ca="1">IFERROR(SUMIFS(OFFSET(DBRA_TopicHCP,0,I$217,DBR_COUNT,1),DBRA_WorkplanDate,$C250,DBRA_PlayerID,$D$3),"")</f>
        <v>0</v>
      </c>
      <c r="J250">
        <f ca="1">IFERROR(SUMIFS(OFFSET(DBRA_TopicHCP,0,J$217,DBR_COUNT,1),DBRA_WorkplanDate,$C250,DBRA_PlayerID,$D$3),"")</f>
        <v>0</v>
      </c>
      <c r="K250">
        <f ca="1">IFERROR(SUMIFS(OFFSET(DBRA_TopicHCP,0,K$217,DBR_COUNT,1),DBRA_WorkplanDate,$C250,DBRA_PlayerID,$D$3),"")</f>
        <v>0</v>
      </c>
      <c r="L250">
        <f ca="1">IFERROR(SUMIFS(OFFSET(DBRA_TopicHCP,0,L$217,DBR_COUNT,1),DBRA_WorkplanDate,$C250,DBRA_PlayerID,$D$3),"")</f>
        <v>0</v>
      </c>
      <c r="M250" s="47"/>
      <c r="N250">
        <f ca="1">IFERROR(SUMIFS(OFFSET(DBRA_TopicCount,0,N$217,DBR_COUNT,1),DBRA_WorkplanDate,$C250,DBRA_PlayerID,$D$3),"")</f>
        <v>0</v>
      </c>
      <c r="O250">
        <f ca="1">IFERROR(SUMIFS(OFFSET(DBRA_TopicCount,0,O$217,DBR_COUNT,1),DBRA_WorkplanDate,$C250,DBRA_PlayerID,$D$3),"")</f>
        <v>0</v>
      </c>
      <c r="P250">
        <f ca="1">IFERROR(SUMIFS(OFFSET(DBRA_TopicCount,0,P$217,DBR_COUNT,1),DBRA_WorkplanDate,$C250,DBRA_PlayerID,$D$3),"")</f>
        <v>0</v>
      </c>
      <c r="Q250">
        <f ca="1">IFERROR(SUMIFS(OFFSET(DBRA_TopicCount,0,Q$217,DBR_COUNT,1),DBRA_WorkplanDate,$C250,DBRA_PlayerID,$D$3),"")</f>
        <v>0</v>
      </c>
      <c r="R250">
        <f ca="1">IFERROR(SUMIFS(OFFSET(DBRA_TopicCount,0,R$217,DBR_COUNT,1),DBRA_WorkplanDate,$C250,DBRA_PlayerID,$D$3),"")</f>
        <v>0</v>
      </c>
      <c r="S250">
        <f ca="1">IFERROR(SUMIFS(OFFSET(DBRA_TopicCount,0,S$217,DBR_COUNT,1),DBRA_WorkplanDate,$C250,DBRA_PlayerID,$D$3),"")</f>
        <v>0</v>
      </c>
      <c r="T250">
        <f ca="1">IFERROR(SUMIFS(OFFSET(DBRA_TopicCount,0,T$217,DBR_COUNT,1),DBRA_WorkplanDate,$C250,DBRA_PlayerID,$D$3),"")</f>
        <v>0</v>
      </c>
      <c r="U250">
        <f ca="1">IFERROR(SUMIFS(OFFSET(DBRA_TopicCount,0,U$217,DBR_COUNT,1),DBRA_WorkplanDate,$C250,DBRA_PlayerID,$D$3),"")</f>
        <v>0</v>
      </c>
      <c r="V250">
        <f ca="1">IFERROR(SUMIFS(OFFSET(DBRA_TopicCount,0,V$217,DBR_COUNT,1),DBRA_WorkplanDate,$C250,DBRA_PlayerID,$D$3),"")</f>
        <v>0</v>
      </c>
      <c r="W250" s="47"/>
      <c r="X250" t="str">
        <f t="shared" ca="1" si="74"/>
        <v/>
      </c>
      <c r="Y250" t="str">
        <f t="shared" ca="1" si="66"/>
        <v/>
      </c>
      <c r="Z250" t="str">
        <f t="shared" ca="1" si="67"/>
        <v/>
      </c>
      <c r="AA250" t="str">
        <f t="shared" ca="1" si="68"/>
        <v/>
      </c>
      <c r="AB250" t="str">
        <f t="shared" ca="1" si="69"/>
        <v/>
      </c>
      <c r="AC250" t="str">
        <f t="shared" ca="1" si="70"/>
        <v/>
      </c>
      <c r="AD250" t="str">
        <f t="shared" ca="1" si="71"/>
        <v/>
      </c>
      <c r="AE250" t="str">
        <f t="shared" ca="1" si="72"/>
        <v/>
      </c>
      <c r="AF250" t="str">
        <f t="shared" ca="1" si="73"/>
        <v/>
      </c>
      <c r="AG250" s="47"/>
    </row>
    <row r="251" spans="3:33" x14ac:dyDescent="0.25">
      <c r="C251" s="118">
        <f t="shared" si="75"/>
        <v>42037</v>
      </c>
      <c r="D251">
        <f ca="1">IFERROR(SUMIFS(OFFSET(DBRA_TopicHCP,0,D$217,DBR_COUNT,1),DBRA_WorkplanDate,$C251,DBRA_PlayerID,$D$3),"")</f>
        <v>0</v>
      </c>
      <c r="E251">
        <f ca="1">IFERROR(SUMIFS(OFFSET(DBRA_TopicHCP,0,E$217,DBR_COUNT,1),DBRA_WorkplanDate,$C251,DBRA_PlayerID,$D$3),"")</f>
        <v>0</v>
      </c>
      <c r="F251">
        <f ca="1">IFERROR(SUMIFS(OFFSET(DBRA_TopicHCP,0,F$217,DBR_COUNT,1),DBRA_WorkplanDate,$C251,DBRA_PlayerID,$D$3),"")</f>
        <v>0</v>
      </c>
      <c r="G251">
        <f ca="1">IFERROR(SUMIFS(OFFSET(DBRA_TopicHCP,0,G$217,DBR_COUNT,1),DBRA_WorkplanDate,$C251,DBRA_PlayerID,$D$3),"")</f>
        <v>0</v>
      </c>
      <c r="H251">
        <f ca="1">IFERROR(SUMIFS(OFFSET(DBRA_TopicHCP,0,H$217,DBR_COUNT,1),DBRA_WorkplanDate,$C251,DBRA_PlayerID,$D$3),"")</f>
        <v>0</v>
      </c>
      <c r="I251">
        <f ca="1">IFERROR(SUMIFS(OFFSET(DBRA_TopicHCP,0,I$217,DBR_COUNT,1),DBRA_WorkplanDate,$C251,DBRA_PlayerID,$D$3),"")</f>
        <v>0</v>
      </c>
      <c r="J251">
        <f ca="1">IFERROR(SUMIFS(OFFSET(DBRA_TopicHCP,0,J$217,DBR_COUNT,1),DBRA_WorkplanDate,$C251,DBRA_PlayerID,$D$3),"")</f>
        <v>0</v>
      </c>
      <c r="K251">
        <f ca="1">IFERROR(SUMIFS(OFFSET(DBRA_TopicHCP,0,K$217,DBR_COUNT,1),DBRA_WorkplanDate,$C251,DBRA_PlayerID,$D$3),"")</f>
        <v>0</v>
      </c>
      <c r="L251">
        <f ca="1">IFERROR(SUMIFS(OFFSET(DBRA_TopicHCP,0,L$217,DBR_COUNT,1),DBRA_WorkplanDate,$C251,DBRA_PlayerID,$D$3),"")</f>
        <v>0</v>
      </c>
      <c r="M251" s="47"/>
      <c r="N251">
        <f ca="1">IFERROR(SUMIFS(OFFSET(DBRA_TopicCount,0,N$217,DBR_COUNT,1),DBRA_WorkplanDate,$C251,DBRA_PlayerID,$D$3),"")</f>
        <v>0</v>
      </c>
      <c r="O251">
        <f ca="1">IFERROR(SUMIFS(OFFSET(DBRA_TopicCount,0,O$217,DBR_COUNT,1),DBRA_WorkplanDate,$C251,DBRA_PlayerID,$D$3),"")</f>
        <v>0</v>
      </c>
      <c r="P251">
        <f ca="1">IFERROR(SUMIFS(OFFSET(DBRA_TopicCount,0,P$217,DBR_COUNT,1),DBRA_WorkplanDate,$C251,DBRA_PlayerID,$D$3),"")</f>
        <v>0</v>
      </c>
      <c r="Q251">
        <f ca="1">IFERROR(SUMIFS(OFFSET(DBRA_TopicCount,0,Q$217,DBR_COUNT,1),DBRA_WorkplanDate,$C251,DBRA_PlayerID,$D$3),"")</f>
        <v>0</v>
      </c>
      <c r="R251">
        <f ca="1">IFERROR(SUMIFS(OFFSET(DBRA_TopicCount,0,R$217,DBR_COUNT,1),DBRA_WorkplanDate,$C251,DBRA_PlayerID,$D$3),"")</f>
        <v>0</v>
      </c>
      <c r="S251">
        <f ca="1">IFERROR(SUMIFS(OFFSET(DBRA_TopicCount,0,S$217,DBR_COUNT,1),DBRA_WorkplanDate,$C251,DBRA_PlayerID,$D$3),"")</f>
        <v>0</v>
      </c>
      <c r="T251">
        <f ca="1">IFERROR(SUMIFS(OFFSET(DBRA_TopicCount,0,T$217,DBR_COUNT,1),DBRA_WorkplanDate,$C251,DBRA_PlayerID,$D$3),"")</f>
        <v>0</v>
      </c>
      <c r="U251">
        <f ca="1">IFERROR(SUMIFS(OFFSET(DBRA_TopicCount,0,U$217,DBR_COUNT,1),DBRA_WorkplanDate,$C251,DBRA_PlayerID,$D$3),"")</f>
        <v>0</v>
      </c>
      <c r="V251">
        <f ca="1">IFERROR(SUMIFS(OFFSET(DBRA_TopicCount,0,V$217,DBR_COUNT,1),DBRA_WorkplanDate,$C251,DBRA_PlayerID,$D$3),"")</f>
        <v>0</v>
      </c>
      <c r="W251" s="47"/>
      <c r="X251" t="str">
        <f t="shared" ca="1" si="74"/>
        <v/>
      </c>
      <c r="Y251" t="str">
        <f t="shared" ca="1" si="66"/>
        <v/>
      </c>
      <c r="Z251" t="str">
        <f t="shared" ca="1" si="67"/>
        <v/>
      </c>
      <c r="AA251" t="str">
        <f t="shared" ca="1" si="68"/>
        <v/>
      </c>
      <c r="AB251" t="str">
        <f t="shared" ca="1" si="69"/>
        <v/>
      </c>
      <c r="AC251" t="str">
        <f t="shared" ca="1" si="70"/>
        <v/>
      </c>
      <c r="AD251" t="str">
        <f t="shared" ca="1" si="71"/>
        <v/>
      </c>
      <c r="AE251" t="str">
        <f t="shared" ca="1" si="72"/>
        <v/>
      </c>
      <c r="AF251" t="str">
        <f t="shared" ca="1" si="73"/>
        <v/>
      </c>
      <c r="AG251" s="47"/>
    </row>
    <row r="252" spans="3:33" x14ac:dyDescent="0.25">
      <c r="C252" s="118">
        <f t="shared" si="75"/>
        <v>42038</v>
      </c>
      <c r="D252">
        <f ca="1">IFERROR(SUMIFS(OFFSET(DBRA_TopicHCP,0,D$217,DBR_COUNT,1),DBRA_WorkplanDate,$C252,DBRA_PlayerID,$D$3),"")</f>
        <v>0</v>
      </c>
      <c r="E252">
        <f ca="1">IFERROR(SUMIFS(OFFSET(DBRA_TopicHCP,0,E$217,DBR_COUNT,1),DBRA_WorkplanDate,$C252,DBRA_PlayerID,$D$3),"")</f>
        <v>0</v>
      </c>
      <c r="F252">
        <f ca="1">IFERROR(SUMIFS(OFFSET(DBRA_TopicHCP,0,F$217,DBR_COUNT,1),DBRA_WorkplanDate,$C252,DBRA_PlayerID,$D$3),"")</f>
        <v>0</v>
      </c>
      <c r="G252">
        <f ca="1">IFERROR(SUMIFS(OFFSET(DBRA_TopicHCP,0,G$217,DBR_COUNT,1),DBRA_WorkplanDate,$C252,DBRA_PlayerID,$D$3),"")</f>
        <v>0</v>
      </c>
      <c r="H252">
        <f ca="1">IFERROR(SUMIFS(OFFSET(DBRA_TopicHCP,0,H$217,DBR_COUNT,1),DBRA_WorkplanDate,$C252,DBRA_PlayerID,$D$3),"")</f>
        <v>0</v>
      </c>
      <c r="I252">
        <f ca="1">IFERROR(SUMIFS(OFFSET(DBRA_TopicHCP,0,I$217,DBR_COUNT,1),DBRA_WorkplanDate,$C252,DBRA_PlayerID,$D$3),"")</f>
        <v>0</v>
      </c>
      <c r="J252">
        <f ca="1">IFERROR(SUMIFS(OFFSET(DBRA_TopicHCP,0,J$217,DBR_COUNT,1),DBRA_WorkplanDate,$C252,DBRA_PlayerID,$D$3),"")</f>
        <v>0</v>
      </c>
      <c r="K252">
        <f ca="1">IFERROR(SUMIFS(OFFSET(DBRA_TopicHCP,0,K$217,DBR_COUNT,1),DBRA_WorkplanDate,$C252,DBRA_PlayerID,$D$3),"")</f>
        <v>0</v>
      </c>
      <c r="L252">
        <f ca="1">IFERROR(SUMIFS(OFFSET(DBRA_TopicHCP,0,L$217,DBR_COUNT,1),DBRA_WorkplanDate,$C252,DBRA_PlayerID,$D$3),"")</f>
        <v>0</v>
      </c>
      <c r="M252" s="47"/>
      <c r="N252">
        <f ca="1">IFERROR(SUMIFS(OFFSET(DBRA_TopicCount,0,N$217,DBR_COUNT,1),DBRA_WorkplanDate,$C252,DBRA_PlayerID,$D$3),"")</f>
        <v>0</v>
      </c>
      <c r="O252">
        <f ca="1">IFERROR(SUMIFS(OFFSET(DBRA_TopicCount,0,O$217,DBR_COUNT,1),DBRA_WorkplanDate,$C252,DBRA_PlayerID,$D$3),"")</f>
        <v>0</v>
      </c>
      <c r="P252">
        <f ca="1">IFERROR(SUMIFS(OFFSET(DBRA_TopicCount,0,P$217,DBR_COUNT,1),DBRA_WorkplanDate,$C252,DBRA_PlayerID,$D$3),"")</f>
        <v>0</v>
      </c>
      <c r="Q252">
        <f ca="1">IFERROR(SUMIFS(OFFSET(DBRA_TopicCount,0,Q$217,DBR_COUNT,1),DBRA_WorkplanDate,$C252,DBRA_PlayerID,$D$3),"")</f>
        <v>0</v>
      </c>
      <c r="R252">
        <f ca="1">IFERROR(SUMIFS(OFFSET(DBRA_TopicCount,0,R$217,DBR_COUNT,1),DBRA_WorkplanDate,$C252,DBRA_PlayerID,$D$3),"")</f>
        <v>0</v>
      </c>
      <c r="S252">
        <f ca="1">IFERROR(SUMIFS(OFFSET(DBRA_TopicCount,0,S$217,DBR_COUNT,1),DBRA_WorkplanDate,$C252,DBRA_PlayerID,$D$3),"")</f>
        <v>0</v>
      </c>
      <c r="T252">
        <f ca="1">IFERROR(SUMIFS(OFFSET(DBRA_TopicCount,0,T$217,DBR_COUNT,1),DBRA_WorkplanDate,$C252,DBRA_PlayerID,$D$3),"")</f>
        <v>0</v>
      </c>
      <c r="U252">
        <f ca="1">IFERROR(SUMIFS(OFFSET(DBRA_TopicCount,0,U$217,DBR_COUNT,1),DBRA_WorkplanDate,$C252,DBRA_PlayerID,$D$3),"")</f>
        <v>0</v>
      </c>
      <c r="V252">
        <f ca="1">IFERROR(SUMIFS(OFFSET(DBRA_TopicCount,0,V$217,DBR_COUNT,1),DBRA_WorkplanDate,$C252,DBRA_PlayerID,$D$3),"")</f>
        <v>0</v>
      </c>
      <c r="W252" s="47"/>
      <c r="X252" t="str">
        <f t="shared" ca="1" si="74"/>
        <v/>
      </c>
      <c r="Y252" t="str">
        <f t="shared" ca="1" si="66"/>
        <v/>
      </c>
      <c r="Z252" t="str">
        <f t="shared" ca="1" si="67"/>
        <v/>
      </c>
      <c r="AA252" t="str">
        <f t="shared" ca="1" si="68"/>
        <v/>
      </c>
      <c r="AB252" t="str">
        <f t="shared" ca="1" si="69"/>
        <v/>
      </c>
      <c r="AC252" t="str">
        <f t="shared" ca="1" si="70"/>
        <v/>
      </c>
      <c r="AD252" t="str">
        <f t="shared" ca="1" si="71"/>
        <v/>
      </c>
      <c r="AE252" t="str">
        <f t="shared" ca="1" si="72"/>
        <v/>
      </c>
      <c r="AF252" t="str">
        <f t="shared" ca="1" si="73"/>
        <v/>
      </c>
      <c r="AG252" s="47"/>
    </row>
    <row r="253" spans="3:33" x14ac:dyDescent="0.25">
      <c r="C253" s="118">
        <f t="shared" si="75"/>
        <v>42039</v>
      </c>
      <c r="D253">
        <f ca="1">IFERROR(SUMIFS(OFFSET(DBRA_TopicHCP,0,D$217,DBR_COUNT,1),DBRA_WorkplanDate,$C253,DBRA_PlayerID,$D$3),"")</f>
        <v>0</v>
      </c>
      <c r="E253">
        <f ca="1">IFERROR(SUMIFS(OFFSET(DBRA_TopicHCP,0,E$217,DBR_COUNT,1),DBRA_WorkplanDate,$C253,DBRA_PlayerID,$D$3),"")</f>
        <v>0</v>
      </c>
      <c r="F253">
        <f ca="1">IFERROR(SUMIFS(OFFSET(DBRA_TopicHCP,0,F$217,DBR_COUNT,1),DBRA_WorkplanDate,$C253,DBRA_PlayerID,$D$3),"")</f>
        <v>0</v>
      </c>
      <c r="G253">
        <f ca="1">IFERROR(SUMIFS(OFFSET(DBRA_TopicHCP,0,G$217,DBR_COUNT,1),DBRA_WorkplanDate,$C253,DBRA_PlayerID,$D$3),"")</f>
        <v>0</v>
      </c>
      <c r="H253">
        <f ca="1">IFERROR(SUMIFS(OFFSET(DBRA_TopicHCP,0,H$217,DBR_COUNT,1),DBRA_WorkplanDate,$C253,DBRA_PlayerID,$D$3),"")</f>
        <v>0</v>
      </c>
      <c r="I253">
        <f ca="1">IFERROR(SUMIFS(OFFSET(DBRA_TopicHCP,0,I$217,DBR_COUNT,1),DBRA_WorkplanDate,$C253,DBRA_PlayerID,$D$3),"")</f>
        <v>0</v>
      </c>
      <c r="J253">
        <f ca="1">IFERROR(SUMIFS(OFFSET(DBRA_TopicHCP,0,J$217,DBR_COUNT,1),DBRA_WorkplanDate,$C253,DBRA_PlayerID,$D$3),"")</f>
        <v>0</v>
      </c>
      <c r="K253">
        <f ca="1">IFERROR(SUMIFS(OFFSET(DBRA_TopicHCP,0,K$217,DBR_COUNT,1),DBRA_WorkplanDate,$C253,DBRA_PlayerID,$D$3),"")</f>
        <v>0</v>
      </c>
      <c r="L253">
        <f ca="1">IFERROR(SUMIFS(OFFSET(DBRA_TopicHCP,0,L$217,DBR_COUNT,1),DBRA_WorkplanDate,$C253,DBRA_PlayerID,$D$3),"")</f>
        <v>0</v>
      </c>
      <c r="M253" s="47"/>
      <c r="N253">
        <f ca="1">IFERROR(SUMIFS(OFFSET(DBRA_TopicCount,0,N$217,DBR_COUNT,1),DBRA_WorkplanDate,$C253,DBRA_PlayerID,$D$3),"")</f>
        <v>0</v>
      </c>
      <c r="O253">
        <f ca="1">IFERROR(SUMIFS(OFFSET(DBRA_TopicCount,0,O$217,DBR_COUNT,1),DBRA_WorkplanDate,$C253,DBRA_PlayerID,$D$3),"")</f>
        <v>0</v>
      </c>
      <c r="P253">
        <f ca="1">IFERROR(SUMIFS(OFFSET(DBRA_TopicCount,0,P$217,DBR_COUNT,1),DBRA_WorkplanDate,$C253,DBRA_PlayerID,$D$3),"")</f>
        <v>0</v>
      </c>
      <c r="Q253">
        <f ca="1">IFERROR(SUMIFS(OFFSET(DBRA_TopicCount,0,Q$217,DBR_COUNT,1),DBRA_WorkplanDate,$C253,DBRA_PlayerID,$D$3),"")</f>
        <v>0</v>
      </c>
      <c r="R253">
        <f ca="1">IFERROR(SUMIFS(OFFSET(DBRA_TopicCount,0,R$217,DBR_COUNT,1),DBRA_WorkplanDate,$C253,DBRA_PlayerID,$D$3),"")</f>
        <v>0</v>
      </c>
      <c r="S253">
        <f ca="1">IFERROR(SUMIFS(OFFSET(DBRA_TopicCount,0,S$217,DBR_COUNT,1),DBRA_WorkplanDate,$C253,DBRA_PlayerID,$D$3),"")</f>
        <v>0</v>
      </c>
      <c r="T253">
        <f ca="1">IFERROR(SUMIFS(OFFSET(DBRA_TopicCount,0,T$217,DBR_COUNT,1),DBRA_WorkplanDate,$C253,DBRA_PlayerID,$D$3),"")</f>
        <v>0</v>
      </c>
      <c r="U253">
        <f ca="1">IFERROR(SUMIFS(OFFSET(DBRA_TopicCount,0,U$217,DBR_COUNT,1),DBRA_WorkplanDate,$C253,DBRA_PlayerID,$D$3),"")</f>
        <v>0</v>
      </c>
      <c r="V253">
        <f ca="1">IFERROR(SUMIFS(OFFSET(DBRA_TopicCount,0,V$217,DBR_COUNT,1),DBRA_WorkplanDate,$C253,DBRA_PlayerID,$D$3),"")</f>
        <v>0</v>
      </c>
      <c r="W253" s="47"/>
      <c r="X253" t="str">
        <f t="shared" ca="1" si="74"/>
        <v/>
      </c>
      <c r="Y253" t="str">
        <f t="shared" ca="1" si="66"/>
        <v/>
      </c>
      <c r="Z253" t="str">
        <f t="shared" ca="1" si="67"/>
        <v/>
      </c>
      <c r="AA253" t="str">
        <f t="shared" ca="1" si="68"/>
        <v/>
      </c>
      <c r="AB253" t="str">
        <f t="shared" ca="1" si="69"/>
        <v/>
      </c>
      <c r="AC253" t="str">
        <f t="shared" ca="1" si="70"/>
        <v/>
      </c>
      <c r="AD253" t="str">
        <f t="shared" ca="1" si="71"/>
        <v/>
      </c>
      <c r="AE253" t="str">
        <f t="shared" ca="1" si="72"/>
        <v/>
      </c>
      <c r="AF253" t="str">
        <f t="shared" ca="1" si="73"/>
        <v/>
      </c>
      <c r="AG253" s="47"/>
    </row>
    <row r="254" spans="3:33" x14ac:dyDescent="0.25">
      <c r="C254" s="118">
        <f t="shared" si="75"/>
        <v>42040</v>
      </c>
      <c r="D254">
        <f ca="1">IFERROR(SUMIFS(OFFSET(DBRA_TopicHCP,0,D$217,DBR_COUNT,1),DBRA_WorkplanDate,$C254,DBRA_PlayerID,$D$3),"")</f>
        <v>0</v>
      </c>
      <c r="E254">
        <f ca="1">IFERROR(SUMIFS(OFFSET(DBRA_TopicHCP,0,E$217,DBR_COUNT,1),DBRA_WorkplanDate,$C254,DBRA_PlayerID,$D$3),"")</f>
        <v>0</v>
      </c>
      <c r="F254">
        <f ca="1">IFERROR(SUMIFS(OFFSET(DBRA_TopicHCP,0,F$217,DBR_COUNT,1),DBRA_WorkplanDate,$C254,DBRA_PlayerID,$D$3),"")</f>
        <v>0</v>
      </c>
      <c r="G254">
        <f ca="1">IFERROR(SUMIFS(OFFSET(DBRA_TopicHCP,0,G$217,DBR_COUNT,1),DBRA_WorkplanDate,$C254,DBRA_PlayerID,$D$3),"")</f>
        <v>0</v>
      </c>
      <c r="H254">
        <f ca="1">IFERROR(SUMIFS(OFFSET(DBRA_TopicHCP,0,H$217,DBR_COUNT,1),DBRA_WorkplanDate,$C254,DBRA_PlayerID,$D$3),"")</f>
        <v>0</v>
      </c>
      <c r="I254">
        <f ca="1">IFERROR(SUMIFS(OFFSET(DBRA_TopicHCP,0,I$217,DBR_COUNT,1),DBRA_WorkplanDate,$C254,DBRA_PlayerID,$D$3),"")</f>
        <v>0</v>
      </c>
      <c r="J254">
        <f ca="1">IFERROR(SUMIFS(OFFSET(DBRA_TopicHCP,0,J$217,DBR_COUNT,1),DBRA_WorkplanDate,$C254,DBRA_PlayerID,$D$3),"")</f>
        <v>0</v>
      </c>
      <c r="K254">
        <f ca="1">IFERROR(SUMIFS(OFFSET(DBRA_TopicHCP,0,K$217,DBR_COUNT,1),DBRA_WorkplanDate,$C254,DBRA_PlayerID,$D$3),"")</f>
        <v>0</v>
      </c>
      <c r="L254">
        <f ca="1">IFERROR(SUMIFS(OFFSET(DBRA_TopicHCP,0,L$217,DBR_COUNT,1),DBRA_WorkplanDate,$C254,DBRA_PlayerID,$D$3),"")</f>
        <v>0</v>
      </c>
      <c r="M254" s="47"/>
      <c r="N254">
        <f ca="1">IFERROR(SUMIFS(OFFSET(DBRA_TopicCount,0,N$217,DBR_COUNT,1),DBRA_WorkplanDate,$C254,DBRA_PlayerID,$D$3),"")</f>
        <v>0</v>
      </c>
      <c r="O254">
        <f ca="1">IFERROR(SUMIFS(OFFSET(DBRA_TopicCount,0,O$217,DBR_COUNT,1),DBRA_WorkplanDate,$C254,DBRA_PlayerID,$D$3),"")</f>
        <v>0</v>
      </c>
      <c r="P254">
        <f ca="1">IFERROR(SUMIFS(OFFSET(DBRA_TopicCount,0,P$217,DBR_COUNT,1),DBRA_WorkplanDate,$C254,DBRA_PlayerID,$D$3),"")</f>
        <v>0</v>
      </c>
      <c r="Q254">
        <f ca="1">IFERROR(SUMIFS(OFFSET(DBRA_TopicCount,0,Q$217,DBR_COUNT,1),DBRA_WorkplanDate,$C254,DBRA_PlayerID,$D$3),"")</f>
        <v>0</v>
      </c>
      <c r="R254">
        <f ca="1">IFERROR(SUMIFS(OFFSET(DBRA_TopicCount,0,R$217,DBR_COUNT,1),DBRA_WorkplanDate,$C254,DBRA_PlayerID,$D$3),"")</f>
        <v>0</v>
      </c>
      <c r="S254">
        <f ca="1">IFERROR(SUMIFS(OFFSET(DBRA_TopicCount,0,S$217,DBR_COUNT,1),DBRA_WorkplanDate,$C254,DBRA_PlayerID,$D$3),"")</f>
        <v>0</v>
      </c>
      <c r="T254">
        <f ca="1">IFERROR(SUMIFS(OFFSET(DBRA_TopicCount,0,T$217,DBR_COUNT,1),DBRA_WorkplanDate,$C254,DBRA_PlayerID,$D$3),"")</f>
        <v>0</v>
      </c>
      <c r="U254">
        <f ca="1">IFERROR(SUMIFS(OFFSET(DBRA_TopicCount,0,U$217,DBR_COUNT,1),DBRA_WorkplanDate,$C254,DBRA_PlayerID,$D$3),"")</f>
        <v>0</v>
      </c>
      <c r="V254">
        <f ca="1">IFERROR(SUMIFS(OFFSET(DBRA_TopicCount,0,V$217,DBR_COUNT,1),DBRA_WorkplanDate,$C254,DBRA_PlayerID,$D$3),"")</f>
        <v>0</v>
      </c>
      <c r="W254" s="47"/>
      <c r="X254" t="str">
        <f t="shared" ca="1" si="74"/>
        <v/>
      </c>
      <c r="Y254" t="str">
        <f t="shared" ca="1" si="66"/>
        <v/>
      </c>
      <c r="Z254" t="str">
        <f t="shared" ca="1" si="67"/>
        <v/>
      </c>
      <c r="AA254" t="str">
        <f t="shared" ca="1" si="68"/>
        <v/>
      </c>
      <c r="AB254" t="str">
        <f t="shared" ca="1" si="69"/>
        <v/>
      </c>
      <c r="AC254" t="str">
        <f t="shared" ca="1" si="70"/>
        <v/>
      </c>
      <c r="AD254" t="str">
        <f t="shared" ca="1" si="71"/>
        <v/>
      </c>
      <c r="AE254" t="str">
        <f t="shared" ca="1" si="72"/>
        <v/>
      </c>
      <c r="AF254" t="str">
        <f t="shared" ca="1" si="73"/>
        <v/>
      </c>
      <c r="AG254" s="47"/>
    </row>
    <row r="255" spans="3:33" x14ac:dyDescent="0.25">
      <c r="C255" s="118">
        <f t="shared" si="75"/>
        <v>42041</v>
      </c>
      <c r="D255">
        <f ca="1">IFERROR(SUMIFS(OFFSET(DBRA_TopicHCP,0,D$217,DBR_COUNT,1),DBRA_WorkplanDate,$C255,DBRA_PlayerID,$D$3),"")</f>
        <v>0</v>
      </c>
      <c r="E255">
        <f ca="1">IFERROR(SUMIFS(OFFSET(DBRA_TopicHCP,0,E$217,DBR_COUNT,1),DBRA_WorkplanDate,$C255,DBRA_PlayerID,$D$3),"")</f>
        <v>0</v>
      </c>
      <c r="F255">
        <f ca="1">IFERROR(SUMIFS(OFFSET(DBRA_TopicHCP,0,F$217,DBR_COUNT,1),DBRA_WorkplanDate,$C255,DBRA_PlayerID,$D$3),"")</f>
        <v>0</v>
      </c>
      <c r="G255">
        <f ca="1">IFERROR(SUMIFS(OFFSET(DBRA_TopicHCP,0,G$217,DBR_COUNT,1),DBRA_WorkplanDate,$C255,DBRA_PlayerID,$D$3),"")</f>
        <v>0</v>
      </c>
      <c r="H255">
        <f ca="1">IFERROR(SUMIFS(OFFSET(DBRA_TopicHCP,0,H$217,DBR_COUNT,1),DBRA_WorkplanDate,$C255,DBRA_PlayerID,$D$3),"")</f>
        <v>0</v>
      </c>
      <c r="I255">
        <f ca="1">IFERROR(SUMIFS(OFFSET(DBRA_TopicHCP,0,I$217,DBR_COUNT,1),DBRA_WorkplanDate,$C255,DBRA_PlayerID,$D$3),"")</f>
        <v>0</v>
      </c>
      <c r="J255">
        <f ca="1">IFERROR(SUMIFS(OFFSET(DBRA_TopicHCP,0,J$217,DBR_COUNT,1),DBRA_WorkplanDate,$C255,DBRA_PlayerID,$D$3),"")</f>
        <v>0</v>
      </c>
      <c r="K255">
        <f ca="1">IFERROR(SUMIFS(OFFSET(DBRA_TopicHCP,0,K$217,DBR_COUNT,1),DBRA_WorkplanDate,$C255,DBRA_PlayerID,$D$3),"")</f>
        <v>0</v>
      </c>
      <c r="L255">
        <f ca="1">IFERROR(SUMIFS(OFFSET(DBRA_TopicHCP,0,L$217,DBR_COUNT,1),DBRA_WorkplanDate,$C255,DBRA_PlayerID,$D$3),"")</f>
        <v>0</v>
      </c>
      <c r="M255" s="47"/>
      <c r="N255">
        <f ca="1">IFERROR(SUMIFS(OFFSET(DBRA_TopicCount,0,N$217,DBR_COUNT,1),DBRA_WorkplanDate,$C255,DBRA_PlayerID,$D$3),"")</f>
        <v>0</v>
      </c>
      <c r="O255">
        <f ca="1">IFERROR(SUMIFS(OFFSET(DBRA_TopicCount,0,O$217,DBR_COUNT,1),DBRA_WorkplanDate,$C255,DBRA_PlayerID,$D$3),"")</f>
        <v>0</v>
      </c>
      <c r="P255">
        <f ca="1">IFERROR(SUMIFS(OFFSET(DBRA_TopicCount,0,P$217,DBR_COUNT,1),DBRA_WorkplanDate,$C255,DBRA_PlayerID,$D$3),"")</f>
        <v>0</v>
      </c>
      <c r="Q255">
        <f ca="1">IFERROR(SUMIFS(OFFSET(DBRA_TopicCount,0,Q$217,DBR_COUNT,1),DBRA_WorkplanDate,$C255,DBRA_PlayerID,$D$3),"")</f>
        <v>0</v>
      </c>
      <c r="R255">
        <f ca="1">IFERROR(SUMIFS(OFFSET(DBRA_TopicCount,0,R$217,DBR_COUNT,1),DBRA_WorkplanDate,$C255,DBRA_PlayerID,$D$3),"")</f>
        <v>0</v>
      </c>
      <c r="S255">
        <f ca="1">IFERROR(SUMIFS(OFFSET(DBRA_TopicCount,0,S$217,DBR_COUNT,1),DBRA_WorkplanDate,$C255,DBRA_PlayerID,$D$3),"")</f>
        <v>0</v>
      </c>
      <c r="T255">
        <f ca="1">IFERROR(SUMIFS(OFFSET(DBRA_TopicCount,0,T$217,DBR_COUNT,1),DBRA_WorkplanDate,$C255,DBRA_PlayerID,$D$3),"")</f>
        <v>0</v>
      </c>
      <c r="U255">
        <f ca="1">IFERROR(SUMIFS(OFFSET(DBRA_TopicCount,0,U$217,DBR_COUNT,1),DBRA_WorkplanDate,$C255,DBRA_PlayerID,$D$3),"")</f>
        <v>0</v>
      </c>
      <c r="V255">
        <f ca="1">IFERROR(SUMIFS(OFFSET(DBRA_TopicCount,0,V$217,DBR_COUNT,1),DBRA_WorkplanDate,$C255,DBRA_PlayerID,$D$3),"")</f>
        <v>0</v>
      </c>
      <c r="W255" s="47"/>
      <c r="X255" t="str">
        <f t="shared" ca="1" si="74"/>
        <v/>
      </c>
      <c r="Y255" t="str">
        <f t="shared" ca="1" si="66"/>
        <v/>
      </c>
      <c r="Z255" t="str">
        <f t="shared" ca="1" si="67"/>
        <v/>
      </c>
      <c r="AA255" t="str">
        <f t="shared" ca="1" si="68"/>
        <v/>
      </c>
      <c r="AB255" t="str">
        <f t="shared" ca="1" si="69"/>
        <v/>
      </c>
      <c r="AC255" t="str">
        <f t="shared" ca="1" si="70"/>
        <v/>
      </c>
      <c r="AD255" t="str">
        <f t="shared" ca="1" si="71"/>
        <v/>
      </c>
      <c r="AE255" t="str">
        <f t="shared" ca="1" si="72"/>
        <v/>
      </c>
      <c r="AF255" t="str">
        <f t="shared" ca="1" si="73"/>
        <v/>
      </c>
      <c r="AG255" s="47"/>
    </row>
    <row r="256" spans="3:33" x14ac:dyDescent="0.25">
      <c r="C256" s="118">
        <f t="shared" si="75"/>
        <v>42042</v>
      </c>
      <c r="D256">
        <f ca="1">IFERROR(SUMIFS(OFFSET(DBRA_TopicHCP,0,D$217,DBR_COUNT,1),DBRA_WorkplanDate,$C256,DBRA_PlayerID,$D$3),"")</f>
        <v>0</v>
      </c>
      <c r="E256">
        <f ca="1">IFERROR(SUMIFS(OFFSET(DBRA_TopicHCP,0,E$217,DBR_COUNT,1),DBRA_WorkplanDate,$C256,DBRA_PlayerID,$D$3),"")</f>
        <v>0</v>
      </c>
      <c r="F256">
        <f ca="1">IFERROR(SUMIFS(OFFSET(DBRA_TopicHCP,0,F$217,DBR_COUNT,1),DBRA_WorkplanDate,$C256,DBRA_PlayerID,$D$3),"")</f>
        <v>0</v>
      </c>
      <c r="G256">
        <f ca="1">IFERROR(SUMIFS(OFFSET(DBRA_TopicHCP,0,G$217,DBR_COUNT,1),DBRA_WorkplanDate,$C256,DBRA_PlayerID,$D$3),"")</f>
        <v>0</v>
      </c>
      <c r="H256">
        <f ca="1">IFERROR(SUMIFS(OFFSET(DBRA_TopicHCP,0,H$217,DBR_COUNT,1),DBRA_WorkplanDate,$C256,DBRA_PlayerID,$D$3),"")</f>
        <v>0</v>
      </c>
      <c r="I256">
        <f ca="1">IFERROR(SUMIFS(OFFSET(DBRA_TopicHCP,0,I$217,DBR_COUNT,1),DBRA_WorkplanDate,$C256,DBRA_PlayerID,$D$3),"")</f>
        <v>0</v>
      </c>
      <c r="J256">
        <f ca="1">IFERROR(SUMIFS(OFFSET(DBRA_TopicHCP,0,J$217,DBR_COUNT,1),DBRA_WorkplanDate,$C256,DBRA_PlayerID,$D$3),"")</f>
        <v>0</v>
      </c>
      <c r="K256">
        <f ca="1">IFERROR(SUMIFS(OFFSET(DBRA_TopicHCP,0,K$217,DBR_COUNT,1),DBRA_WorkplanDate,$C256,DBRA_PlayerID,$D$3),"")</f>
        <v>0</v>
      </c>
      <c r="L256">
        <f ca="1">IFERROR(SUMIFS(OFFSET(DBRA_TopicHCP,0,L$217,DBR_COUNT,1),DBRA_WorkplanDate,$C256,DBRA_PlayerID,$D$3),"")</f>
        <v>0</v>
      </c>
      <c r="M256" s="47"/>
      <c r="N256">
        <f ca="1">IFERROR(SUMIFS(OFFSET(DBRA_TopicCount,0,N$217,DBR_COUNT,1),DBRA_WorkplanDate,$C256,DBRA_PlayerID,$D$3),"")</f>
        <v>0</v>
      </c>
      <c r="O256">
        <f ca="1">IFERROR(SUMIFS(OFFSET(DBRA_TopicCount,0,O$217,DBR_COUNT,1),DBRA_WorkplanDate,$C256,DBRA_PlayerID,$D$3),"")</f>
        <v>0</v>
      </c>
      <c r="P256">
        <f ca="1">IFERROR(SUMIFS(OFFSET(DBRA_TopicCount,0,P$217,DBR_COUNT,1),DBRA_WorkplanDate,$C256,DBRA_PlayerID,$D$3),"")</f>
        <v>0</v>
      </c>
      <c r="Q256">
        <f ca="1">IFERROR(SUMIFS(OFFSET(DBRA_TopicCount,0,Q$217,DBR_COUNT,1),DBRA_WorkplanDate,$C256,DBRA_PlayerID,$D$3),"")</f>
        <v>0</v>
      </c>
      <c r="R256">
        <f ca="1">IFERROR(SUMIFS(OFFSET(DBRA_TopicCount,0,R$217,DBR_COUNT,1),DBRA_WorkplanDate,$C256,DBRA_PlayerID,$D$3),"")</f>
        <v>0</v>
      </c>
      <c r="S256">
        <f ca="1">IFERROR(SUMIFS(OFFSET(DBRA_TopicCount,0,S$217,DBR_COUNT,1),DBRA_WorkplanDate,$C256,DBRA_PlayerID,$D$3),"")</f>
        <v>0</v>
      </c>
      <c r="T256">
        <f ca="1">IFERROR(SUMIFS(OFFSET(DBRA_TopicCount,0,T$217,DBR_COUNT,1),DBRA_WorkplanDate,$C256,DBRA_PlayerID,$D$3),"")</f>
        <v>0</v>
      </c>
      <c r="U256">
        <f ca="1">IFERROR(SUMIFS(OFFSET(DBRA_TopicCount,0,U$217,DBR_COUNT,1),DBRA_WorkplanDate,$C256,DBRA_PlayerID,$D$3),"")</f>
        <v>0</v>
      </c>
      <c r="V256">
        <f ca="1">IFERROR(SUMIFS(OFFSET(DBRA_TopicCount,0,V$217,DBR_COUNT,1),DBRA_WorkplanDate,$C256,DBRA_PlayerID,$D$3),"")</f>
        <v>0</v>
      </c>
      <c r="W256" s="47"/>
      <c r="X256" t="str">
        <f t="shared" ca="1" si="74"/>
        <v/>
      </c>
      <c r="Y256" t="str">
        <f t="shared" ca="1" si="66"/>
        <v/>
      </c>
      <c r="Z256" t="str">
        <f t="shared" ca="1" si="67"/>
        <v/>
      </c>
      <c r="AA256" t="str">
        <f t="shared" ca="1" si="68"/>
        <v/>
      </c>
      <c r="AB256" t="str">
        <f t="shared" ca="1" si="69"/>
        <v/>
      </c>
      <c r="AC256" t="str">
        <f t="shared" ca="1" si="70"/>
        <v/>
      </c>
      <c r="AD256" t="str">
        <f t="shared" ca="1" si="71"/>
        <v/>
      </c>
      <c r="AE256" t="str">
        <f t="shared" ca="1" si="72"/>
        <v/>
      </c>
      <c r="AF256" t="str">
        <f t="shared" ca="1" si="73"/>
        <v/>
      </c>
      <c r="AG256" s="47"/>
    </row>
    <row r="257" spans="3:33" x14ac:dyDescent="0.25">
      <c r="C257" s="118">
        <f t="shared" si="75"/>
        <v>42043</v>
      </c>
      <c r="D257">
        <f ca="1">IFERROR(SUMIFS(OFFSET(DBRA_TopicHCP,0,D$217,DBR_COUNT,1),DBRA_WorkplanDate,$C257,DBRA_PlayerID,$D$3),"")</f>
        <v>0</v>
      </c>
      <c r="E257">
        <f ca="1">IFERROR(SUMIFS(OFFSET(DBRA_TopicHCP,0,E$217,DBR_COUNT,1),DBRA_WorkplanDate,$C257,DBRA_PlayerID,$D$3),"")</f>
        <v>0</v>
      </c>
      <c r="F257">
        <f ca="1">IFERROR(SUMIFS(OFFSET(DBRA_TopicHCP,0,F$217,DBR_COUNT,1),DBRA_WorkplanDate,$C257,DBRA_PlayerID,$D$3),"")</f>
        <v>0</v>
      </c>
      <c r="G257">
        <f ca="1">IFERROR(SUMIFS(OFFSET(DBRA_TopicHCP,0,G$217,DBR_COUNT,1),DBRA_WorkplanDate,$C257,DBRA_PlayerID,$D$3),"")</f>
        <v>0</v>
      </c>
      <c r="H257">
        <f ca="1">IFERROR(SUMIFS(OFFSET(DBRA_TopicHCP,0,H$217,DBR_COUNT,1),DBRA_WorkplanDate,$C257,DBRA_PlayerID,$D$3),"")</f>
        <v>0</v>
      </c>
      <c r="I257">
        <f ca="1">IFERROR(SUMIFS(OFFSET(DBRA_TopicHCP,0,I$217,DBR_COUNT,1),DBRA_WorkplanDate,$C257,DBRA_PlayerID,$D$3),"")</f>
        <v>0</v>
      </c>
      <c r="J257">
        <f ca="1">IFERROR(SUMIFS(OFFSET(DBRA_TopicHCP,0,J$217,DBR_COUNT,1),DBRA_WorkplanDate,$C257,DBRA_PlayerID,$D$3),"")</f>
        <v>0</v>
      </c>
      <c r="K257">
        <f ca="1">IFERROR(SUMIFS(OFFSET(DBRA_TopicHCP,0,K$217,DBR_COUNT,1),DBRA_WorkplanDate,$C257,DBRA_PlayerID,$D$3),"")</f>
        <v>0</v>
      </c>
      <c r="L257">
        <f ca="1">IFERROR(SUMIFS(OFFSET(DBRA_TopicHCP,0,L$217,DBR_COUNT,1),DBRA_WorkplanDate,$C257,DBRA_PlayerID,$D$3),"")</f>
        <v>0</v>
      </c>
      <c r="M257" s="47"/>
      <c r="N257">
        <f ca="1">IFERROR(SUMIFS(OFFSET(DBRA_TopicCount,0,N$217,DBR_COUNT,1),DBRA_WorkplanDate,$C257,DBRA_PlayerID,$D$3),"")</f>
        <v>0</v>
      </c>
      <c r="O257">
        <f ca="1">IFERROR(SUMIFS(OFFSET(DBRA_TopicCount,0,O$217,DBR_COUNT,1),DBRA_WorkplanDate,$C257,DBRA_PlayerID,$D$3),"")</f>
        <v>0</v>
      </c>
      <c r="P257">
        <f ca="1">IFERROR(SUMIFS(OFFSET(DBRA_TopicCount,0,P$217,DBR_COUNT,1),DBRA_WorkplanDate,$C257,DBRA_PlayerID,$D$3),"")</f>
        <v>0</v>
      </c>
      <c r="Q257">
        <f ca="1">IFERROR(SUMIFS(OFFSET(DBRA_TopicCount,0,Q$217,DBR_COUNT,1),DBRA_WorkplanDate,$C257,DBRA_PlayerID,$D$3),"")</f>
        <v>0</v>
      </c>
      <c r="R257">
        <f ca="1">IFERROR(SUMIFS(OFFSET(DBRA_TopicCount,0,R$217,DBR_COUNT,1),DBRA_WorkplanDate,$C257,DBRA_PlayerID,$D$3),"")</f>
        <v>0</v>
      </c>
      <c r="S257">
        <f ca="1">IFERROR(SUMIFS(OFFSET(DBRA_TopicCount,0,S$217,DBR_COUNT,1),DBRA_WorkplanDate,$C257,DBRA_PlayerID,$D$3),"")</f>
        <v>0</v>
      </c>
      <c r="T257">
        <f ca="1">IFERROR(SUMIFS(OFFSET(DBRA_TopicCount,0,T$217,DBR_COUNT,1),DBRA_WorkplanDate,$C257,DBRA_PlayerID,$D$3),"")</f>
        <v>0</v>
      </c>
      <c r="U257">
        <f ca="1">IFERROR(SUMIFS(OFFSET(DBRA_TopicCount,0,U$217,DBR_COUNT,1),DBRA_WorkplanDate,$C257,DBRA_PlayerID,$D$3),"")</f>
        <v>0</v>
      </c>
      <c r="V257">
        <f ca="1">IFERROR(SUMIFS(OFFSET(DBRA_TopicCount,0,V$217,DBR_COUNT,1),DBRA_WorkplanDate,$C257,DBRA_PlayerID,$D$3),"")</f>
        <v>0</v>
      </c>
      <c r="W257" s="47"/>
      <c r="X257" t="str">
        <f t="shared" ca="1" si="74"/>
        <v/>
      </c>
      <c r="Y257" t="str">
        <f t="shared" ca="1" si="66"/>
        <v/>
      </c>
      <c r="Z257" t="str">
        <f t="shared" ca="1" si="67"/>
        <v/>
      </c>
      <c r="AA257" t="str">
        <f t="shared" ca="1" si="68"/>
        <v/>
      </c>
      <c r="AB257" t="str">
        <f t="shared" ca="1" si="69"/>
        <v/>
      </c>
      <c r="AC257" t="str">
        <f t="shared" ca="1" si="70"/>
        <v/>
      </c>
      <c r="AD257" t="str">
        <f t="shared" ca="1" si="71"/>
        <v/>
      </c>
      <c r="AE257" t="str">
        <f t="shared" ca="1" si="72"/>
        <v/>
      </c>
      <c r="AF257" t="str">
        <f t="shared" ca="1" si="73"/>
        <v/>
      </c>
      <c r="AG257" s="47"/>
    </row>
    <row r="258" spans="3:33" x14ac:dyDescent="0.25">
      <c r="C258" s="118">
        <f t="shared" si="75"/>
        <v>42044</v>
      </c>
      <c r="D258">
        <f ca="1">IFERROR(SUMIFS(OFFSET(DBRA_TopicHCP,0,D$217,DBR_COUNT,1),DBRA_WorkplanDate,$C258,DBRA_PlayerID,$D$3),"")</f>
        <v>0</v>
      </c>
      <c r="E258">
        <f ca="1">IFERROR(SUMIFS(OFFSET(DBRA_TopicHCP,0,E$217,DBR_COUNT,1),DBRA_WorkplanDate,$C258,DBRA_PlayerID,$D$3),"")</f>
        <v>0</v>
      </c>
      <c r="F258">
        <f ca="1">IFERROR(SUMIFS(OFFSET(DBRA_TopicHCP,0,F$217,DBR_COUNT,1),DBRA_WorkplanDate,$C258,DBRA_PlayerID,$D$3),"")</f>
        <v>0</v>
      </c>
      <c r="G258">
        <f ca="1">IFERROR(SUMIFS(OFFSET(DBRA_TopicHCP,0,G$217,DBR_COUNT,1),DBRA_WorkplanDate,$C258,DBRA_PlayerID,$D$3),"")</f>
        <v>0</v>
      </c>
      <c r="H258">
        <f ca="1">IFERROR(SUMIFS(OFFSET(DBRA_TopicHCP,0,H$217,DBR_COUNT,1),DBRA_WorkplanDate,$C258,DBRA_PlayerID,$D$3),"")</f>
        <v>0</v>
      </c>
      <c r="I258">
        <f ca="1">IFERROR(SUMIFS(OFFSET(DBRA_TopicHCP,0,I$217,DBR_COUNT,1),DBRA_WorkplanDate,$C258,DBRA_PlayerID,$D$3),"")</f>
        <v>0</v>
      </c>
      <c r="J258">
        <f ca="1">IFERROR(SUMIFS(OFFSET(DBRA_TopicHCP,0,J$217,DBR_COUNT,1),DBRA_WorkplanDate,$C258,DBRA_PlayerID,$D$3),"")</f>
        <v>0</v>
      </c>
      <c r="K258">
        <f ca="1">IFERROR(SUMIFS(OFFSET(DBRA_TopicHCP,0,K$217,DBR_COUNT,1),DBRA_WorkplanDate,$C258,DBRA_PlayerID,$D$3),"")</f>
        <v>0</v>
      </c>
      <c r="L258">
        <f ca="1">IFERROR(SUMIFS(OFFSET(DBRA_TopicHCP,0,L$217,DBR_COUNT,1),DBRA_WorkplanDate,$C258,DBRA_PlayerID,$D$3),"")</f>
        <v>0</v>
      </c>
      <c r="M258" s="47"/>
      <c r="N258">
        <f ca="1">IFERROR(SUMIFS(OFFSET(DBRA_TopicCount,0,N$217,DBR_COUNT,1),DBRA_WorkplanDate,$C258,DBRA_PlayerID,$D$3),"")</f>
        <v>0</v>
      </c>
      <c r="O258">
        <f ca="1">IFERROR(SUMIFS(OFFSET(DBRA_TopicCount,0,O$217,DBR_COUNT,1),DBRA_WorkplanDate,$C258,DBRA_PlayerID,$D$3),"")</f>
        <v>0</v>
      </c>
      <c r="P258">
        <f ca="1">IFERROR(SUMIFS(OFFSET(DBRA_TopicCount,0,P$217,DBR_COUNT,1),DBRA_WorkplanDate,$C258,DBRA_PlayerID,$D$3),"")</f>
        <v>0</v>
      </c>
      <c r="Q258">
        <f ca="1">IFERROR(SUMIFS(OFFSET(DBRA_TopicCount,0,Q$217,DBR_COUNT,1),DBRA_WorkplanDate,$C258,DBRA_PlayerID,$D$3),"")</f>
        <v>0</v>
      </c>
      <c r="R258">
        <f ca="1">IFERROR(SUMIFS(OFFSET(DBRA_TopicCount,0,R$217,DBR_COUNT,1),DBRA_WorkplanDate,$C258,DBRA_PlayerID,$D$3),"")</f>
        <v>0</v>
      </c>
      <c r="S258">
        <f ca="1">IFERROR(SUMIFS(OFFSET(DBRA_TopicCount,0,S$217,DBR_COUNT,1),DBRA_WorkplanDate,$C258,DBRA_PlayerID,$D$3),"")</f>
        <v>0</v>
      </c>
      <c r="T258">
        <f ca="1">IFERROR(SUMIFS(OFFSET(DBRA_TopicCount,0,T$217,DBR_COUNT,1),DBRA_WorkplanDate,$C258,DBRA_PlayerID,$D$3),"")</f>
        <v>0</v>
      </c>
      <c r="U258">
        <f ca="1">IFERROR(SUMIFS(OFFSET(DBRA_TopicCount,0,U$217,DBR_COUNT,1),DBRA_WorkplanDate,$C258,DBRA_PlayerID,$D$3),"")</f>
        <v>0</v>
      </c>
      <c r="V258">
        <f ca="1">IFERROR(SUMIFS(OFFSET(DBRA_TopicCount,0,V$217,DBR_COUNT,1),DBRA_WorkplanDate,$C258,DBRA_PlayerID,$D$3),"")</f>
        <v>0</v>
      </c>
      <c r="W258" s="47"/>
      <c r="X258" t="str">
        <f t="shared" ca="1" si="74"/>
        <v/>
      </c>
      <c r="Y258" t="str">
        <f t="shared" ca="1" si="66"/>
        <v/>
      </c>
      <c r="Z258" t="str">
        <f t="shared" ca="1" si="67"/>
        <v/>
      </c>
      <c r="AA258" t="str">
        <f t="shared" ca="1" si="68"/>
        <v/>
      </c>
      <c r="AB258" t="str">
        <f t="shared" ca="1" si="69"/>
        <v/>
      </c>
      <c r="AC258" t="str">
        <f t="shared" ca="1" si="70"/>
        <v/>
      </c>
      <c r="AD258" t="str">
        <f t="shared" ca="1" si="71"/>
        <v/>
      </c>
      <c r="AE258" t="str">
        <f t="shared" ca="1" si="72"/>
        <v/>
      </c>
      <c r="AF258" t="str">
        <f t="shared" ca="1" si="73"/>
        <v/>
      </c>
      <c r="AG258" s="47"/>
    </row>
    <row r="259" spans="3:33" x14ac:dyDescent="0.25">
      <c r="C259" s="118">
        <f t="shared" si="75"/>
        <v>42045</v>
      </c>
      <c r="D259">
        <f ca="1">IFERROR(SUMIFS(OFFSET(DBRA_TopicHCP,0,D$217,DBR_COUNT,1),DBRA_WorkplanDate,$C259,DBRA_PlayerID,$D$3),"")</f>
        <v>0</v>
      </c>
      <c r="E259">
        <f ca="1">IFERROR(SUMIFS(OFFSET(DBRA_TopicHCP,0,E$217,DBR_COUNT,1),DBRA_WorkplanDate,$C259,DBRA_PlayerID,$D$3),"")</f>
        <v>0</v>
      </c>
      <c r="F259">
        <f ca="1">IFERROR(SUMIFS(OFFSET(DBRA_TopicHCP,0,F$217,DBR_COUNT,1),DBRA_WorkplanDate,$C259,DBRA_PlayerID,$D$3),"")</f>
        <v>0</v>
      </c>
      <c r="G259">
        <f ca="1">IFERROR(SUMIFS(OFFSET(DBRA_TopicHCP,0,G$217,DBR_COUNT,1),DBRA_WorkplanDate,$C259,DBRA_PlayerID,$D$3),"")</f>
        <v>0</v>
      </c>
      <c r="H259">
        <f ca="1">IFERROR(SUMIFS(OFFSET(DBRA_TopicHCP,0,H$217,DBR_COUNT,1),DBRA_WorkplanDate,$C259,DBRA_PlayerID,$D$3),"")</f>
        <v>0</v>
      </c>
      <c r="I259">
        <f ca="1">IFERROR(SUMIFS(OFFSET(DBRA_TopicHCP,0,I$217,DBR_COUNT,1),DBRA_WorkplanDate,$C259,DBRA_PlayerID,$D$3),"")</f>
        <v>0</v>
      </c>
      <c r="J259">
        <f ca="1">IFERROR(SUMIFS(OFFSET(DBRA_TopicHCP,0,J$217,DBR_COUNT,1),DBRA_WorkplanDate,$C259,DBRA_PlayerID,$D$3),"")</f>
        <v>0</v>
      </c>
      <c r="K259">
        <f ca="1">IFERROR(SUMIFS(OFFSET(DBRA_TopicHCP,0,K$217,DBR_COUNT,1),DBRA_WorkplanDate,$C259,DBRA_PlayerID,$D$3),"")</f>
        <v>0</v>
      </c>
      <c r="L259">
        <f ca="1">IFERROR(SUMIFS(OFFSET(DBRA_TopicHCP,0,L$217,DBR_COUNT,1),DBRA_WorkplanDate,$C259,DBRA_PlayerID,$D$3),"")</f>
        <v>0</v>
      </c>
      <c r="M259" s="47"/>
      <c r="N259">
        <f ca="1">IFERROR(SUMIFS(OFFSET(DBRA_TopicCount,0,N$217,DBR_COUNT,1),DBRA_WorkplanDate,$C259,DBRA_PlayerID,$D$3),"")</f>
        <v>0</v>
      </c>
      <c r="O259">
        <f ca="1">IFERROR(SUMIFS(OFFSET(DBRA_TopicCount,0,O$217,DBR_COUNT,1),DBRA_WorkplanDate,$C259,DBRA_PlayerID,$D$3),"")</f>
        <v>0</v>
      </c>
      <c r="P259">
        <f ca="1">IFERROR(SUMIFS(OFFSET(DBRA_TopicCount,0,P$217,DBR_COUNT,1),DBRA_WorkplanDate,$C259,DBRA_PlayerID,$D$3),"")</f>
        <v>0</v>
      </c>
      <c r="Q259">
        <f ca="1">IFERROR(SUMIFS(OFFSET(DBRA_TopicCount,0,Q$217,DBR_COUNT,1),DBRA_WorkplanDate,$C259,DBRA_PlayerID,$D$3),"")</f>
        <v>0</v>
      </c>
      <c r="R259">
        <f ca="1">IFERROR(SUMIFS(OFFSET(DBRA_TopicCount,0,R$217,DBR_COUNT,1),DBRA_WorkplanDate,$C259,DBRA_PlayerID,$D$3),"")</f>
        <v>0</v>
      </c>
      <c r="S259">
        <f ca="1">IFERROR(SUMIFS(OFFSET(DBRA_TopicCount,0,S$217,DBR_COUNT,1),DBRA_WorkplanDate,$C259,DBRA_PlayerID,$D$3),"")</f>
        <v>0</v>
      </c>
      <c r="T259">
        <f ca="1">IFERROR(SUMIFS(OFFSET(DBRA_TopicCount,0,T$217,DBR_COUNT,1),DBRA_WorkplanDate,$C259,DBRA_PlayerID,$D$3),"")</f>
        <v>0</v>
      </c>
      <c r="U259">
        <f ca="1">IFERROR(SUMIFS(OFFSET(DBRA_TopicCount,0,U$217,DBR_COUNT,1),DBRA_WorkplanDate,$C259,DBRA_PlayerID,$D$3),"")</f>
        <v>0</v>
      </c>
      <c r="V259">
        <f ca="1">IFERROR(SUMIFS(OFFSET(DBRA_TopicCount,0,V$217,DBR_COUNT,1),DBRA_WorkplanDate,$C259,DBRA_PlayerID,$D$3),"")</f>
        <v>0</v>
      </c>
      <c r="W259" s="47"/>
      <c r="X259" t="str">
        <f t="shared" ca="1" si="74"/>
        <v/>
      </c>
      <c r="Y259" t="str">
        <f t="shared" ca="1" si="66"/>
        <v/>
      </c>
      <c r="Z259" t="str">
        <f t="shared" ca="1" si="67"/>
        <v/>
      </c>
      <c r="AA259" t="str">
        <f t="shared" ca="1" si="68"/>
        <v/>
      </c>
      <c r="AB259" t="str">
        <f t="shared" ca="1" si="69"/>
        <v/>
      </c>
      <c r="AC259" t="str">
        <f t="shared" ca="1" si="70"/>
        <v/>
      </c>
      <c r="AD259" t="str">
        <f t="shared" ca="1" si="71"/>
        <v/>
      </c>
      <c r="AE259" t="str">
        <f t="shared" ca="1" si="72"/>
        <v/>
      </c>
      <c r="AF259" t="str">
        <f t="shared" ca="1" si="73"/>
        <v/>
      </c>
      <c r="AG259" s="47"/>
    </row>
    <row r="260" spans="3:33" x14ac:dyDescent="0.25">
      <c r="C260" s="118">
        <f t="shared" si="75"/>
        <v>42046</v>
      </c>
      <c r="D260">
        <f ca="1">IFERROR(SUMIFS(OFFSET(DBRA_TopicHCP,0,D$217,DBR_COUNT,1),DBRA_WorkplanDate,$C260,DBRA_PlayerID,$D$3),"")</f>
        <v>0</v>
      </c>
      <c r="E260">
        <f ca="1">IFERROR(SUMIFS(OFFSET(DBRA_TopicHCP,0,E$217,DBR_COUNT,1),DBRA_WorkplanDate,$C260,DBRA_PlayerID,$D$3),"")</f>
        <v>0</v>
      </c>
      <c r="F260">
        <f ca="1">IFERROR(SUMIFS(OFFSET(DBRA_TopicHCP,0,F$217,DBR_COUNT,1),DBRA_WorkplanDate,$C260,DBRA_PlayerID,$D$3),"")</f>
        <v>0</v>
      </c>
      <c r="G260">
        <f ca="1">IFERROR(SUMIFS(OFFSET(DBRA_TopicHCP,0,G$217,DBR_COUNT,1),DBRA_WorkplanDate,$C260,DBRA_PlayerID,$D$3),"")</f>
        <v>0</v>
      </c>
      <c r="H260">
        <f ca="1">IFERROR(SUMIFS(OFFSET(DBRA_TopicHCP,0,H$217,DBR_COUNT,1),DBRA_WorkplanDate,$C260,DBRA_PlayerID,$D$3),"")</f>
        <v>0</v>
      </c>
      <c r="I260">
        <f ca="1">IFERROR(SUMIFS(OFFSET(DBRA_TopicHCP,0,I$217,DBR_COUNT,1),DBRA_WorkplanDate,$C260,DBRA_PlayerID,$D$3),"")</f>
        <v>0</v>
      </c>
      <c r="J260">
        <f ca="1">IFERROR(SUMIFS(OFFSET(DBRA_TopicHCP,0,J$217,DBR_COUNT,1),DBRA_WorkplanDate,$C260,DBRA_PlayerID,$D$3),"")</f>
        <v>0</v>
      </c>
      <c r="K260">
        <f ca="1">IFERROR(SUMIFS(OFFSET(DBRA_TopicHCP,0,K$217,DBR_COUNT,1),DBRA_WorkplanDate,$C260,DBRA_PlayerID,$D$3),"")</f>
        <v>0</v>
      </c>
      <c r="L260">
        <f ca="1">IFERROR(SUMIFS(OFFSET(DBRA_TopicHCP,0,L$217,DBR_COUNT,1),DBRA_WorkplanDate,$C260,DBRA_PlayerID,$D$3),"")</f>
        <v>0</v>
      </c>
      <c r="M260" s="47"/>
      <c r="N260">
        <f ca="1">IFERROR(SUMIFS(OFFSET(DBRA_TopicCount,0,N$217,DBR_COUNT,1),DBRA_WorkplanDate,$C260,DBRA_PlayerID,$D$3),"")</f>
        <v>0</v>
      </c>
      <c r="O260">
        <f ca="1">IFERROR(SUMIFS(OFFSET(DBRA_TopicCount,0,O$217,DBR_COUNT,1),DBRA_WorkplanDate,$C260,DBRA_PlayerID,$D$3),"")</f>
        <v>0</v>
      </c>
      <c r="P260">
        <f ca="1">IFERROR(SUMIFS(OFFSET(DBRA_TopicCount,0,P$217,DBR_COUNT,1),DBRA_WorkplanDate,$C260,DBRA_PlayerID,$D$3),"")</f>
        <v>0</v>
      </c>
      <c r="Q260">
        <f ca="1">IFERROR(SUMIFS(OFFSET(DBRA_TopicCount,0,Q$217,DBR_COUNT,1),DBRA_WorkplanDate,$C260,DBRA_PlayerID,$D$3),"")</f>
        <v>0</v>
      </c>
      <c r="R260">
        <f ca="1">IFERROR(SUMIFS(OFFSET(DBRA_TopicCount,0,R$217,DBR_COUNT,1),DBRA_WorkplanDate,$C260,DBRA_PlayerID,$D$3),"")</f>
        <v>0</v>
      </c>
      <c r="S260">
        <f ca="1">IFERROR(SUMIFS(OFFSET(DBRA_TopicCount,0,S$217,DBR_COUNT,1),DBRA_WorkplanDate,$C260,DBRA_PlayerID,$D$3),"")</f>
        <v>0</v>
      </c>
      <c r="T260">
        <f ca="1">IFERROR(SUMIFS(OFFSET(DBRA_TopicCount,0,T$217,DBR_COUNT,1),DBRA_WorkplanDate,$C260,DBRA_PlayerID,$D$3),"")</f>
        <v>0</v>
      </c>
      <c r="U260">
        <f ca="1">IFERROR(SUMIFS(OFFSET(DBRA_TopicCount,0,U$217,DBR_COUNT,1),DBRA_WorkplanDate,$C260,DBRA_PlayerID,$D$3),"")</f>
        <v>0</v>
      </c>
      <c r="V260">
        <f ca="1">IFERROR(SUMIFS(OFFSET(DBRA_TopicCount,0,V$217,DBR_COUNT,1),DBRA_WorkplanDate,$C260,DBRA_PlayerID,$D$3),"")</f>
        <v>0</v>
      </c>
      <c r="W260" s="47"/>
      <c r="X260" t="str">
        <f t="shared" ca="1" si="74"/>
        <v/>
      </c>
      <c r="Y260" t="str">
        <f t="shared" ca="1" si="66"/>
        <v/>
      </c>
      <c r="Z260" t="str">
        <f t="shared" ca="1" si="67"/>
        <v/>
      </c>
      <c r="AA260" t="str">
        <f t="shared" ca="1" si="68"/>
        <v/>
      </c>
      <c r="AB260" t="str">
        <f t="shared" ca="1" si="69"/>
        <v/>
      </c>
      <c r="AC260" t="str">
        <f t="shared" ca="1" si="70"/>
        <v/>
      </c>
      <c r="AD260" t="str">
        <f t="shared" ca="1" si="71"/>
        <v/>
      </c>
      <c r="AE260" t="str">
        <f t="shared" ca="1" si="72"/>
        <v/>
      </c>
      <c r="AF260" t="str">
        <f t="shared" ca="1" si="73"/>
        <v/>
      </c>
      <c r="AG260" s="47"/>
    </row>
    <row r="261" spans="3:33" x14ac:dyDescent="0.25">
      <c r="C261" s="118">
        <f t="shared" si="75"/>
        <v>42047</v>
      </c>
      <c r="D261">
        <f ca="1">IFERROR(SUMIFS(OFFSET(DBRA_TopicHCP,0,D$217,DBR_COUNT,1),DBRA_WorkplanDate,$C261,DBRA_PlayerID,$D$3),"")</f>
        <v>0</v>
      </c>
      <c r="E261">
        <f ca="1">IFERROR(SUMIFS(OFFSET(DBRA_TopicHCP,0,E$217,DBR_COUNT,1),DBRA_WorkplanDate,$C261,DBRA_PlayerID,$D$3),"")</f>
        <v>0</v>
      </c>
      <c r="F261">
        <f ca="1">IFERROR(SUMIFS(OFFSET(DBRA_TopicHCP,0,F$217,DBR_COUNT,1),DBRA_WorkplanDate,$C261,DBRA_PlayerID,$D$3),"")</f>
        <v>0</v>
      </c>
      <c r="G261">
        <f ca="1">IFERROR(SUMIFS(OFFSET(DBRA_TopicHCP,0,G$217,DBR_COUNT,1),DBRA_WorkplanDate,$C261,DBRA_PlayerID,$D$3),"")</f>
        <v>0</v>
      </c>
      <c r="H261">
        <f ca="1">IFERROR(SUMIFS(OFFSET(DBRA_TopicHCP,0,H$217,DBR_COUNT,1),DBRA_WorkplanDate,$C261,DBRA_PlayerID,$D$3),"")</f>
        <v>0</v>
      </c>
      <c r="I261">
        <f ca="1">IFERROR(SUMIFS(OFFSET(DBRA_TopicHCP,0,I$217,DBR_COUNT,1),DBRA_WorkplanDate,$C261,DBRA_PlayerID,$D$3),"")</f>
        <v>0</v>
      </c>
      <c r="J261">
        <f ca="1">IFERROR(SUMIFS(OFFSET(DBRA_TopicHCP,0,J$217,DBR_COUNT,1),DBRA_WorkplanDate,$C261,DBRA_PlayerID,$D$3),"")</f>
        <v>0</v>
      </c>
      <c r="K261">
        <f ca="1">IFERROR(SUMIFS(OFFSET(DBRA_TopicHCP,0,K$217,DBR_COUNT,1),DBRA_WorkplanDate,$C261,DBRA_PlayerID,$D$3),"")</f>
        <v>0</v>
      </c>
      <c r="L261">
        <f ca="1">IFERROR(SUMIFS(OFFSET(DBRA_TopicHCP,0,L$217,DBR_COUNT,1),DBRA_WorkplanDate,$C261,DBRA_PlayerID,$D$3),"")</f>
        <v>0</v>
      </c>
      <c r="M261" s="47"/>
      <c r="N261">
        <f ca="1">IFERROR(SUMIFS(OFFSET(DBRA_TopicCount,0,N$217,DBR_COUNT,1),DBRA_WorkplanDate,$C261,DBRA_PlayerID,$D$3),"")</f>
        <v>0</v>
      </c>
      <c r="O261">
        <f ca="1">IFERROR(SUMIFS(OFFSET(DBRA_TopicCount,0,O$217,DBR_COUNT,1),DBRA_WorkplanDate,$C261,DBRA_PlayerID,$D$3),"")</f>
        <v>0</v>
      </c>
      <c r="P261">
        <f ca="1">IFERROR(SUMIFS(OFFSET(DBRA_TopicCount,0,P$217,DBR_COUNT,1),DBRA_WorkplanDate,$C261,DBRA_PlayerID,$D$3),"")</f>
        <v>0</v>
      </c>
      <c r="Q261">
        <f ca="1">IFERROR(SUMIFS(OFFSET(DBRA_TopicCount,0,Q$217,DBR_COUNT,1),DBRA_WorkplanDate,$C261,DBRA_PlayerID,$D$3),"")</f>
        <v>0</v>
      </c>
      <c r="R261">
        <f ca="1">IFERROR(SUMIFS(OFFSET(DBRA_TopicCount,0,R$217,DBR_COUNT,1),DBRA_WorkplanDate,$C261,DBRA_PlayerID,$D$3),"")</f>
        <v>0</v>
      </c>
      <c r="S261">
        <f ca="1">IFERROR(SUMIFS(OFFSET(DBRA_TopicCount,0,S$217,DBR_COUNT,1),DBRA_WorkplanDate,$C261,DBRA_PlayerID,$D$3),"")</f>
        <v>0</v>
      </c>
      <c r="T261">
        <f ca="1">IFERROR(SUMIFS(OFFSET(DBRA_TopicCount,0,T$217,DBR_COUNT,1),DBRA_WorkplanDate,$C261,DBRA_PlayerID,$D$3),"")</f>
        <v>0</v>
      </c>
      <c r="U261">
        <f ca="1">IFERROR(SUMIFS(OFFSET(DBRA_TopicCount,0,U$217,DBR_COUNT,1),DBRA_WorkplanDate,$C261,DBRA_PlayerID,$D$3),"")</f>
        <v>0</v>
      </c>
      <c r="V261">
        <f ca="1">IFERROR(SUMIFS(OFFSET(DBRA_TopicCount,0,V$217,DBR_COUNT,1),DBRA_WorkplanDate,$C261,DBRA_PlayerID,$D$3),"")</f>
        <v>0</v>
      </c>
      <c r="W261" s="47"/>
      <c r="X261" t="str">
        <f t="shared" ca="1" si="74"/>
        <v/>
      </c>
      <c r="Y261" t="str">
        <f t="shared" ca="1" si="66"/>
        <v/>
      </c>
      <c r="Z261" t="str">
        <f t="shared" ca="1" si="67"/>
        <v/>
      </c>
      <c r="AA261" t="str">
        <f t="shared" ca="1" si="68"/>
        <v/>
      </c>
      <c r="AB261" t="str">
        <f t="shared" ca="1" si="69"/>
        <v/>
      </c>
      <c r="AC261" t="str">
        <f t="shared" ca="1" si="70"/>
        <v/>
      </c>
      <c r="AD261" t="str">
        <f t="shared" ca="1" si="71"/>
        <v/>
      </c>
      <c r="AE261" t="str">
        <f t="shared" ca="1" si="72"/>
        <v/>
      </c>
      <c r="AF261" t="str">
        <f t="shared" ca="1" si="73"/>
        <v/>
      </c>
      <c r="AG261" s="47"/>
    </row>
    <row r="262" spans="3:33" x14ac:dyDescent="0.25">
      <c r="C262" s="118">
        <f t="shared" si="75"/>
        <v>42048</v>
      </c>
      <c r="D262">
        <f ca="1">IFERROR(SUMIFS(OFFSET(DBRA_TopicHCP,0,D$217,DBR_COUNT,1),DBRA_WorkplanDate,$C262,DBRA_PlayerID,$D$3),"")</f>
        <v>0</v>
      </c>
      <c r="E262">
        <f ca="1">IFERROR(SUMIFS(OFFSET(DBRA_TopicHCP,0,E$217,DBR_COUNT,1),DBRA_WorkplanDate,$C262,DBRA_PlayerID,$D$3),"")</f>
        <v>0</v>
      </c>
      <c r="F262">
        <f ca="1">IFERROR(SUMIFS(OFFSET(DBRA_TopicHCP,0,F$217,DBR_COUNT,1),DBRA_WorkplanDate,$C262,DBRA_PlayerID,$D$3),"")</f>
        <v>0</v>
      </c>
      <c r="G262">
        <f ca="1">IFERROR(SUMIFS(OFFSET(DBRA_TopicHCP,0,G$217,DBR_COUNT,1),DBRA_WorkplanDate,$C262,DBRA_PlayerID,$D$3),"")</f>
        <v>0</v>
      </c>
      <c r="H262">
        <f ca="1">IFERROR(SUMIFS(OFFSET(DBRA_TopicHCP,0,H$217,DBR_COUNT,1),DBRA_WorkplanDate,$C262,DBRA_PlayerID,$D$3),"")</f>
        <v>0</v>
      </c>
      <c r="I262">
        <f ca="1">IFERROR(SUMIFS(OFFSET(DBRA_TopicHCP,0,I$217,DBR_COUNT,1),DBRA_WorkplanDate,$C262,DBRA_PlayerID,$D$3),"")</f>
        <v>0</v>
      </c>
      <c r="J262">
        <f ca="1">IFERROR(SUMIFS(OFFSET(DBRA_TopicHCP,0,J$217,DBR_COUNT,1),DBRA_WorkplanDate,$C262,DBRA_PlayerID,$D$3),"")</f>
        <v>0</v>
      </c>
      <c r="K262">
        <f ca="1">IFERROR(SUMIFS(OFFSET(DBRA_TopicHCP,0,K$217,DBR_COUNT,1),DBRA_WorkplanDate,$C262,DBRA_PlayerID,$D$3),"")</f>
        <v>0</v>
      </c>
      <c r="L262">
        <f ca="1">IFERROR(SUMIFS(OFFSET(DBRA_TopicHCP,0,L$217,DBR_COUNT,1),DBRA_WorkplanDate,$C262,DBRA_PlayerID,$D$3),"")</f>
        <v>0</v>
      </c>
      <c r="M262" s="47"/>
      <c r="N262">
        <f ca="1">IFERROR(SUMIFS(OFFSET(DBRA_TopicCount,0,N$217,DBR_COUNT,1),DBRA_WorkplanDate,$C262,DBRA_PlayerID,$D$3),"")</f>
        <v>0</v>
      </c>
      <c r="O262">
        <f ca="1">IFERROR(SUMIFS(OFFSET(DBRA_TopicCount,0,O$217,DBR_COUNT,1),DBRA_WorkplanDate,$C262,DBRA_PlayerID,$D$3),"")</f>
        <v>0</v>
      </c>
      <c r="P262">
        <f ca="1">IFERROR(SUMIFS(OFFSET(DBRA_TopicCount,0,P$217,DBR_COUNT,1),DBRA_WorkplanDate,$C262,DBRA_PlayerID,$D$3),"")</f>
        <v>0</v>
      </c>
      <c r="Q262">
        <f ca="1">IFERROR(SUMIFS(OFFSET(DBRA_TopicCount,0,Q$217,DBR_COUNT,1),DBRA_WorkplanDate,$C262,DBRA_PlayerID,$D$3),"")</f>
        <v>0</v>
      </c>
      <c r="R262">
        <f ca="1">IFERROR(SUMIFS(OFFSET(DBRA_TopicCount,0,R$217,DBR_COUNT,1),DBRA_WorkplanDate,$C262,DBRA_PlayerID,$D$3),"")</f>
        <v>0</v>
      </c>
      <c r="S262">
        <f ca="1">IFERROR(SUMIFS(OFFSET(DBRA_TopicCount,0,S$217,DBR_COUNT,1),DBRA_WorkplanDate,$C262,DBRA_PlayerID,$D$3),"")</f>
        <v>0</v>
      </c>
      <c r="T262">
        <f ca="1">IFERROR(SUMIFS(OFFSET(DBRA_TopicCount,0,T$217,DBR_COUNT,1),DBRA_WorkplanDate,$C262,DBRA_PlayerID,$D$3),"")</f>
        <v>0</v>
      </c>
      <c r="U262">
        <f ca="1">IFERROR(SUMIFS(OFFSET(DBRA_TopicCount,0,U$217,DBR_COUNT,1),DBRA_WorkplanDate,$C262,DBRA_PlayerID,$D$3),"")</f>
        <v>0</v>
      </c>
      <c r="V262">
        <f ca="1">IFERROR(SUMIFS(OFFSET(DBRA_TopicCount,0,V$217,DBR_COUNT,1),DBRA_WorkplanDate,$C262,DBRA_PlayerID,$D$3),"")</f>
        <v>0</v>
      </c>
      <c r="W262" s="47"/>
      <c r="X262" t="str">
        <f t="shared" ca="1" si="74"/>
        <v/>
      </c>
      <c r="Y262" t="str">
        <f t="shared" ca="1" si="66"/>
        <v/>
      </c>
      <c r="Z262" t="str">
        <f t="shared" ca="1" si="67"/>
        <v/>
      </c>
      <c r="AA262" t="str">
        <f t="shared" ca="1" si="68"/>
        <v/>
      </c>
      <c r="AB262" t="str">
        <f t="shared" ca="1" si="69"/>
        <v/>
      </c>
      <c r="AC262" t="str">
        <f t="shared" ca="1" si="70"/>
        <v/>
      </c>
      <c r="AD262" t="str">
        <f t="shared" ca="1" si="71"/>
        <v/>
      </c>
      <c r="AE262" t="str">
        <f t="shared" ca="1" si="72"/>
        <v/>
      </c>
      <c r="AF262" t="str">
        <f t="shared" ca="1" si="73"/>
        <v/>
      </c>
      <c r="AG262" s="47"/>
    </row>
    <row r="263" spans="3:33" x14ac:dyDescent="0.25">
      <c r="C263" s="118">
        <f t="shared" si="75"/>
        <v>42049</v>
      </c>
      <c r="D263">
        <f ca="1">IFERROR(SUMIFS(OFFSET(DBRA_TopicHCP,0,D$217,DBR_COUNT,1),DBRA_WorkplanDate,$C263,DBRA_PlayerID,$D$3),"")</f>
        <v>0</v>
      </c>
      <c r="E263">
        <f ca="1">IFERROR(SUMIFS(OFFSET(DBRA_TopicHCP,0,E$217,DBR_COUNT,1),DBRA_WorkplanDate,$C263,DBRA_PlayerID,$D$3),"")</f>
        <v>0</v>
      </c>
      <c r="F263">
        <f ca="1">IFERROR(SUMIFS(OFFSET(DBRA_TopicHCP,0,F$217,DBR_COUNT,1),DBRA_WorkplanDate,$C263,DBRA_PlayerID,$D$3),"")</f>
        <v>0</v>
      </c>
      <c r="G263">
        <f ca="1">IFERROR(SUMIFS(OFFSET(DBRA_TopicHCP,0,G$217,DBR_COUNT,1),DBRA_WorkplanDate,$C263,DBRA_PlayerID,$D$3),"")</f>
        <v>0</v>
      </c>
      <c r="H263">
        <f ca="1">IFERROR(SUMIFS(OFFSET(DBRA_TopicHCP,0,H$217,DBR_COUNT,1),DBRA_WorkplanDate,$C263,DBRA_PlayerID,$D$3),"")</f>
        <v>0</v>
      </c>
      <c r="I263">
        <f ca="1">IFERROR(SUMIFS(OFFSET(DBRA_TopicHCP,0,I$217,DBR_COUNT,1),DBRA_WorkplanDate,$C263,DBRA_PlayerID,$D$3),"")</f>
        <v>0</v>
      </c>
      <c r="J263">
        <f ca="1">IFERROR(SUMIFS(OFFSET(DBRA_TopicHCP,0,J$217,DBR_COUNT,1),DBRA_WorkplanDate,$C263,DBRA_PlayerID,$D$3),"")</f>
        <v>0</v>
      </c>
      <c r="K263">
        <f ca="1">IFERROR(SUMIFS(OFFSET(DBRA_TopicHCP,0,K$217,DBR_COUNT,1),DBRA_WorkplanDate,$C263,DBRA_PlayerID,$D$3),"")</f>
        <v>0</v>
      </c>
      <c r="L263">
        <f ca="1">IFERROR(SUMIFS(OFFSET(DBRA_TopicHCP,0,L$217,DBR_COUNT,1),DBRA_WorkplanDate,$C263,DBRA_PlayerID,$D$3),"")</f>
        <v>0</v>
      </c>
      <c r="M263" s="47"/>
      <c r="N263">
        <f ca="1">IFERROR(SUMIFS(OFFSET(DBRA_TopicCount,0,N$217,DBR_COUNT,1),DBRA_WorkplanDate,$C263,DBRA_PlayerID,$D$3),"")</f>
        <v>0</v>
      </c>
      <c r="O263">
        <f ca="1">IFERROR(SUMIFS(OFFSET(DBRA_TopicCount,0,O$217,DBR_COUNT,1),DBRA_WorkplanDate,$C263,DBRA_PlayerID,$D$3),"")</f>
        <v>0</v>
      </c>
      <c r="P263">
        <f ca="1">IFERROR(SUMIFS(OFFSET(DBRA_TopicCount,0,P$217,DBR_COUNT,1),DBRA_WorkplanDate,$C263,DBRA_PlayerID,$D$3),"")</f>
        <v>0</v>
      </c>
      <c r="Q263">
        <f ca="1">IFERROR(SUMIFS(OFFSET(DBRA_TopicCount,0,Q$217,DBR_COUNT,1),DBRA_WorkplanDate,$C263,DBRA_PlayerID,$D$3),"")</f>
        <v>0</v>
      </c>
      <c r="R263">
        <f ca="1">IFERROR(SUMIFS(OFFSET(DBRA_TopicCount,0,R$217,DBR_COUNT,1),DBRA_WorkplanDate,$C263,DBRA_PlayerID,$D$3),"")</f>
        <v>0</v>
      </c>
      <c r="S263">
        <f ca="1">IFERROR(SUMIFS(OFFSET(DBRA_TopicCount,0,S$217,DBR_COUNT,1),DBRA_WorkplanDate,$C263,DBRA_PlayerID,$D$3),"")</f>
        <v>0</v>
      </c>
      <c r="T263">
        <f ca="1">IFERROR(SUMIFS(OFFSET(DBRA_TopicCount,0,T$217,DBR_COUNT,1),DBRA_WorkplanDate,$C263,DBRA_PlayerID,$D$3),"")</f>
        <v>0</v>
      </c>
      <c r="U263">
        <f ca="1">IFERROR(SUMIFS(OFFSET(DBRA_TopicCount,0,U$217,DBR_COUNT,1),DBRA_WorkplanDate,$C263,DBRA_PlayerID,$D$3),"")</f>
        <v>0</v>
      </c>
      <c r="V263">
        <f ca="1">IFERROR(SUMIFS(OFFSET(DBRA_TopicCount,0,V$217,DBR_COUNT,1),DBRA_WorkplanDate,$C263,DBRA_PlayerID,$D$3),"")</f>
        <v>0</v>
      </c>
      <c r="W263" s="47"/>
      <c r="X263" t="str">
        <f t="shared" ca="1" si="74"/>
        <v/>
      </c>
      <c r="Y263" t="str">
        <f t="shared" ca="1" si="66"/>
        <v/>
      </c>
      <c r="Z263" t="str">
        <f t="shared" ca="1" si="67"/>
        <v/>
      </c>
      <c r="AA263" t="str">
        <f t="shared" ca="1" si="68"/>
        <v/>
      </c>
      <c r="AB263" t="str">
        <f t="shared" ca="1" si="69"/>
        <v/>
      </c>
      <c r="AC263" t="str">
        <f t="shared" ca="1" si="70"/>
        <v/>
      </c>
      <c r="AD263" t="str">
        <f t="shared" ca="1" si="71"/>
        <v/>
      </c>
      <c r="AE263" t="str">
        <f t="shared" ca="1" si="72"/>
        <v/>
      </c>
      <c r="AF263" t="str">
        <f t="shared" ca="1" si="73"/>
        <v/>
      </c>
      <c r="AG263" s="47"/>
    </row>
    <row r="264" spans="3:33" x14ac:dyDescent="0.25">
      <c r="C264" s="118">
        <f t="shared" si="75"/>
        <v>42050</v>
      </c>
      <c r="D264">
        <f ca="1">IFERROR(SUMIFS(OFFSET(DBRA_TopicHCP,0,D$217,DBR_COUNT,1),DBRA_WorkplanDate,$C264,DBRA_PlayerID,$D$3),"")</f>
        <v>0</v>
      </c>
      <c r="E264">
        <f ca="1">IFERROR(SUMIFS(OFFSET(DBRA_TopicHCP,0,E$217,DBR_COUNT,1),DBRA_WorkplanDate,$C264,DBRA_PlayerID,$D$3),"")</f>
        <v>0</v>
      </c>
      <c r="F264">
        <f ca="1">IFERROR(SUMIFS(OFFSET(DBRA_TopicHCP,0,F$217,DBR_COUNT,1),DBRA_WorkplanDate,$C264,DBRA_PlayerID,$D$3),"")</f>
        <v>0</v>
      </c>
      <c r="G264">
        <f ca="1">IFERROR(SUMIFS(OFFSET(DBRA_TopicHCP,0,G$217,DBR_COUNT,1),DBRA_WorkplanDate,$C264,DBRA_PlayerID,$D$3),"")</f>
        <v>0</v>
      </c>
      <c r="H264">
        <f ca="1">IFERROR(SUMIFS(OFFSET(DBRA_TopicHCP,0,H$217,DBR_COUNT,1),DBRA_WorkplanDate,$C264,DBRA_PlayerID,$D$3),"")</f>
        <v>0</v>
      </c>
      <c r="I264">
        <f ca="1">IFERROR(SUMIFS(OFFSET(DBRA_TopicHCP,0,I$217,DBR_COUNT,1),DBRA_WorkplanDate,$C264,DBRA_PlayerID,$D$3),"")</f>
        <v>0</v>
      </c>
      <c r="J264">
        <f ca="1">IFERROR(SUMIFS(OFFSET(DBRA_TopicHCP,0,J$217,DBR_COUNT,1),DBRA_WorkplanDate,$C264,DBRA_PlayerID,$D$3),"")</f>
        <v>0</v>
      </c>
      <c r="K264">
        <f ca="1">IFERROR(SUMIFS(OFFSET(DBRA_TopicHCP,0,K$217,DBR_COUNT,1),DBRA_WorkplanDate,$C264,DBRA_PlayerID,$D$3),"")</f>
        <v>0</v>
      </c>
      <c r="L264">
        <f ca="1">IFERROR(SUMIFS(OFFSET(DBRA_TopicHCP,0,L$217,DBR_COUNT,1),DBRA_WorkplanDate,$C264,DBRA_PlayerID,$D$3),"")</f>
        <v>0</v>
      </c>
      <c r="M264" s="47"/>
      <c r="N264">
        <f ca="1">IFERROR(SUMIFS(OFFSET(DBRA_TopicCount,0,N$217,DBR_COUNT,1),DBRA_WorkplanDate,$C264,DBRA_PlayerID,$D$3),"")</f>
        <v>0</v>
      </c>
      <c r="O264">
        <f ca="1">IFERROR(SUMIFS(OFFSET(DBRA_TopicCount,0,O$217,DBR_COUNT,1),DBRA_WorkplanDate,$C264,DBRA_PlayerID,$D$3),"")</f>
        <v>0</v>
      </c>
      <c r="P264">
        <f ca="1">IFERROR(SUMIFS(OFFSET(DBRA_TopicCount,0,P$217,DBR_COUNT,1),DBRA_WorkplanDate,$C264,DBRA_PlayerID,$D$3),"")</f>
        <v>0</v>
      </c>
      <c r="Q264">
        <f ca="1">IFERROR(SUMIFS(OFFSET(DBRA_TopicCount,0,Q$217,DBR_COUNT,1),DBRA_WorkplanDate,$C264,DBRA_PlayerID,$D$3),"")</f>
        <v>0</v>
      </c>
      <c r="R264">
        <f ca="1">IFERROR(SUMIFS(OFFSET(DBRA_TopicCount,0,R$217,DBR_COUNT,1),DBRA_WorkplanDate,$C264,DBRA_PlayerID,$D$3),"")</f>
        <v>0</v>
      </c>
      <c r="S264">
        <f ca="1">IFERROR(SUMIFS(OFFSET(DBRA_TopicCount,0,S$217,DBR_COUNT,1),DBRA_WorkplanDate,$C264,DBRA_PlayerID,$D$3),"")</f>
        <v>0</v>
      </c>
      <c r="T264">
        <f ca="1">IFERROR(SUMIFS(OFFSET(DBRA_TopicCount,0,T$217,DBR_COUNT,1),DBRA_WorkplanDate,$C264,DBRA_PlayerID,$D$3),"")</f>
        <v>0</v>
      </c>
      <c r="U264">
        <f ca="1">IFERROR(SUMIFS(OFFSET(DBRA_TopicCount,0,U$217,DBR_COUNT,1),DBRA_WorkplanDate,$C264,DBRA_PlayerID,$D$3),"")</f>
        <v>0</v>
      </c>
      <c r="V264">
        <f ca="1">IFERROR(SUMIFS(OFFSET(DBRA_TopicCount,0,V$217,DBR_COUNT,1),DBRA_WorkplanDate,$C264,DBRA_PlayerID,$D$3),"")</f>
        <v>0</v>
      </c>
      <c r="W264" s="47"/>
      <c r="X264" t="str">
        <f t="shared" ca="1" si="74"/>
        <v/>
      </c>
      <c r="Y264" t="str">
        <f t="shared" ca="1" si="66"/>
        <v/>
      </c>
      <c r="Z264" t="str">
        <f t="shared" ca="1" si="67"/>
        <v/>
      </c>
      <c r="AA264" t="str">
        <f t="shared" ca="1" si="68"/>
        <v/>
      </c>
      <c r="AB264" t="str">
        <f t="shared" ca="1" si="69"/>
        <v/>
      </c>
      <c r="AC264" t="str">
        <f t="shared" ca="1" si="70"/>
        <v/>
      </c>
      <c r="AD264" t="str">
        <f t="shared" ca="1" si="71"/>
        <v/>
      </c>
      <c r="AE264" t="str">
        <f t="shared" ca="1" si="72"/>
        <v/>
      </c>
      <c r="AF264" t="str">
        <f t="shared" ca="1" si="73"/>
        <v/>
      </c>
      <c r="AG264" s="47"/>
    </row>
    <row r="265" spans="3:33" x14ac:dyDescent="0.25">
      <c r="C265" s="118">
        <f t="shared" si="75"/>
        <v>42051</v>
      </c>
      <c r="D265">
        <f ca="1">IFERROR(SUMIFS(OFFSET(DBRA_TopicHCP,0,D$217,DBR_COUNT,1),DBRA_WorkplanDate,$C265,DBRA_PlayerID,$D$3),"")</f>
        <v>0</v>
      </c>
      <c r="E265">
        <f ca="1">IFERROR(SUMIFS(OFFSET(DBRA_TopicHCP,0,E$217,DBR_COUNT,1),DBRA_WorkplanDate,$C265,DBRA_PlayerID,$D$3),"")</f>
        <v>0</v>
      </c>
      <c r="F265">
        <f ca="1">IFERROR(SUMIFS(OFFSET(DBRA_TopicHCP,0,F$217,DBR_COUNT,1),DBRA_WorkplanDate,$C265,DBRA_PlayerID,$D$3),"")</f>
        <v>0</v>
      </c>
      <c r="G265">
        <f ca="1">IFERROR(SUMIFS(OFFSET(DBRA_TopicHCP,0,G$217,DBR_COUNT,1),DBRA_WorkplanDate,$C265,DBRA_PlayerID,$D$3),"")</f>
        <v>0</v>
      </c>
      <c r="H265">
        <f ca="1">IFERROR(SUMIFS(OFFSET(DBRA_TopicHCP,0,H$217,DBR_COUNT,1),DBRA_WorkplanDate,$C265,DBRA_PlayerID,$D$3),"")</f>
        <v>0</v>
      </c>
      <c r="I265">
        <f ca="1">IFERROR(SUMIFS(OFFSET(DBRA_TopicHCP,0,I$217,DBR_COUNT,1),DBRA_WorkplanDate,$C265,DBRA_PlayerID,$D$3),"")</f>
        <v>0</v>
      </c>
      <c r="J265">
        <f ca="1">IFERROR(SUMIFS(OFFSET(DBRA_TopicHCP,0,J$217,DBR_COUNT,1),DBRA_WorkplanDate,$C265,DBRA_PlayerID,$D$3),"")</f>
        <v>0</v>
      </c>
      <c r="K265">
        <f ca="1">IFERROR(SUMIFS(OFFSET(DBRA_TopicHCP,0,K$217,DBR_COUNT,1),DBRA_WorkplanDate,$C265,DBRA_PlayerID,$D$3),"")</f>
        <v>0</v>
      </c>
      <c r="L265">
        <f ca="1">IFERROR(SUMIFS(OFFSET(DBRA_TopicHCP,0,L$217,DBR_COUNT,1),DBRA_WorkplanDate,$C265,DBRA_PlayerID,$D$3),"")</f>
        <v>0</v>
      </c>
      <c r="M265" s="47"/>
      <c r="N265">
        <f ca="1">IFERROR(SUMIFS(OFFSET(DBRA_TopicCount,0,N$217,DBR_COUNT,1),DBRA_WorkplanDate,$C265,DBRA_PlayerID,$D$3),"")</f>
        <v>0</v>
      </c>
      <c r="O265">
        <f ca="1">IFERROR(SUMIFS(OFFSET(DBRA_TopicCount,0,O$217,DBR_COUNT,1),DBRA_WorkplanDate,$C265,DBRA_PlayerID,$D$3),"")</f>
        <v>0</v>
      </c>
      <c r="P265">
        <f ca="1">IFERROR(SUMIFS(OFFSET(DBRA_TopicCount,0,P$217,DBR_COUNT,1),DBRA_WorkplanDate,$C265,DBRA_PlayerID,$D$3),"")</f>
        <v>0</v>
      </c>
      <c r="Q265">
        <f ca="1">IFERROR(SUMIFS(OFFSET(DBRA_TopicCount,0,Q$217,DBR_COUNT,1),DBRA_WorkplanDate,$C265,DBRA_PlayerID,$D$3),"")</f>
        <v>0</v>
      </c>
      <c r="R265">
        <f ca="1">IFERROR(SUMIFS(OFFSET(DBRA_TopicCount,0,R$217,DBR_COUNT,1),DBRA_WorkplanDate,$C265,DBRA_PlayerID,$D$3),"")</f>
        <v>0</v>
      </c>
      <c r="S265">
        <f ca="1">IFERROR(SUMIFS(OFFSET(DBRA_TopicCount,0,S$217,DBR_COUNT,1),DBRA_WorkplanDate,$C265,DBRA_PlayerID,$D$3),"")</f>
        <v>0</v>
      </c>
      <c r="T265">
        <f ca="1">IFERROR(SUMIFS(OFFSET(DBRA_TopicCount,0,T$217,DBR_COUNT,1),DBRA_WorkplanDate,$C265,DBRA_PlayerID,$D$3),"")</f>
        <v>0</v>
      </c>
      <c r="U265">
        <f ca="1">IFERROR(SUMIFS(OFFSET(DBRA_TopicCount,0,U$217,DBR_COUNT,1),DBRA_WorkplanDate,$C265,DBRA_PlayerID,$D$3),"")</f>
        <v>0</v>
      </c>
      <c r="V265">
        <f ca="1">IFERROR(SUMIFS(OFFSET(DBRA_TopicCount,0,V$217,DBR_COUNT,1),DBRA_WorkplanDate,$C265,DBRA_PlayerID,$D$3),"")</f>
        <v>0</v>
      </c>
      <c r="W265" s="47"/>
      <c r="X265" t="str">
        <f t="shared" ca="1" si="74"/>
        <v/>
      </c>
      <c r="Y265" t="str">
        <f t="shared" ca="1" si="66"/>
        <v/>
      </c>
      <c r="Z265" t="str">
        <f t="shared" ca="1" si="67"/>
        <v/>
      </c>
      <c r="AA265" t="str">
        <f t="shared" ca="1" si="68"/>
        <v/>
      </c>
      <c r="AB265" t="str">
        <f t="shared" ca="1" si="69"/>
        <v/>
      </c>
      <c r="AC265" t="str">
        <f t="shared" ca="1" si="70"/>
        <v/>
      </c>
      <c r="AD265" t="str">
        <f t="shared" ca="1" si="71"/>
        <v/>
      </c>
      <c r="AE265" t="str">
        <f t="shared" ca="1" si="72"/>
        <v/>
      </c>
      <c r="AF265" t="str">
        <f t="shared" ca="1" si="73"/>
        <v/>
      </c>
      <c r="AG265" s="47"/>
    </row>
    <row r="266" spans="3:33" x14ac:dyDescent="0.25">
      <c r="C266" s="118">
        <f t="shared" si="75"/>
        <v>42052</v>
      </c>
      <c r="D266">
        <f ca="1">IFERROR(SUMIFS(OFFSET(DBRA_TopicHCP,0,D$217,DBR_COUNT,1),DBRA_WorkplanDate,$C266,DBRA_PlayerID,$D$3),"")</f>
        <v>0</v>
      </c>
      <c r="E266">
        <f ca="1">IFERROR(SUMIFS(OFFSET(DBRA_TopicHCP,0,E$217,DBR_COUNT,1),DBRA_WorkplanDate,$C266,DBRA_PlayerID,$D$3),"")</f>
        <v>0</v>
      </c>
      <c r="F266">
        <f ca="1">IFERROR(SUMIFS(OFFSET(DBRA_TopicHCP,0,F$217,DBR_COUNT,1),DBRA_WorkplanDate,$C266,DBRA_PlayerID,$D$3),"")</f>
        <v>0</v>
      </c>
      <c r="G266">
        <f ca="1">IFERROR(SUMIFS(OFFSET(DBRA_TopicHCP,0,G$217,DBR_COUNT,1),DBRA_WorkplanDate,$C266,DBRA_PlayerID,$D$3),"")</f>
        <v>0</v>
      </c>
      <c r="H266">
        <f ca="1">IFERROR(SUMIFS(OFFSET(DBRA_TopicHCP,0,H$217,DBR_COUNT,1),DBRA_WorkplanDate,$C266,DBRA_PlayerID,$D$3),"")</f>
        <v>0</v>
      </c>
      <c r="I266">
        <f ca="1">IFERROR(SUMIFS(OFFSET(DBRA_TopicHCP,0,I$217,DBR_COUNT,1),DBRA_WorkplanDate,$C266,DBRA_PlayerID,$D$3),"")</f>
        <v>0</v>
      </c>
      <c r="J266">
        <f ca="1">IFERROR(SUMIFS(OFFSET(DBRA_TopicHCP,0,J$217,DBR_COUNT,1),DBRA_WorkplanDate,$C266,DBRA_PlayerID,$D$3),"")</f>
        <v>0</v>
      </c>
      <c r="K266">
        <f ca="1">IFERROR(SUMIFS(OFFSET(DBRA_TopicHCP,0,K$217,DBR_COUNT,1),DBRA_WorkplanDate,$C266,DBRA_PlayerID,$D$3),"")</f>
        <v>0</v>
      </c>
      <c r="L266">
        <f ca="1">IFERROR(SUMIFS(OFFSET(DBRA_TopicHCP,0,L$217,DBR_COUNT,1),DBRA_WorkplanDate,$C266,DBRA_PlayerID,$D$3),"")</f>
        <v>0</v>
      </c>
      <c r="M266" s="47"/>
      <c r="N266">
        <f ca="1">IFERROR(SUMIFS(OFFSET(DBRA_TopicCount,0,N$217,DBR_COUNT,1),DBRA_WorkplanDate,$C266,DBRA_PlayerID,$D$3),"")</f>
        <v>0</v>
      </c>
      <c r="O266">
        <f ca="1">IFERROR(SUMIFS(OFFSET(DBRA_TopicCount,0,O$217,DBR_COUNT,1),DBRA_WorkplanDate,$C266,DBRA_PlayerID,$D$3),"")</f>
        <v>0</v>
      </c>
      <c r="P266">
        <f ca="1">IFERROR(SUMIFS(OFFSET(DBRA_TopicCount,0,P$217,DBR_COUNT,1),DBRA_WorkplanDate,$C266,DBRA_PlayerID,$D$3),"")</f>
        <v>0</v>
      </c>
      <c r="Q266">
        <f ca="1">IFERROR(SUMIFS(OFFSET(DBRA_TopicCount,0,Q$217,DBR_COUNT,1),DBRA_WorkplanDate,$C266,DBRA_PlayerID,$D$3),"")</f>
        <v>0</v>
      </c>
      <c r="R266">
        <f ca="1">IFERROR(SUMIFS(OFFSET(DBRA_TopicCount,0,R$217,DBR_COUNT,1),DBRA_WorkplanDate,$C266,DBRA_PlayerID,$D$3),"")</f>
        <v>0</v>
      </c>
      <c r="S266">
        <f ca="1">IFERROR(SUMIFS(OFFSET(DBRA_TopicCount,0,S$217,DBR_COUNT,1),DBRA_WorkplanDate,$C266,DBRA_PlayerID,$D$3),"")</f>
        <v>0</v>
      </c>
      <c r="T266">
        <f ca="1">IFERROR(SUMIFS(OFFSET(DBRA_TopicCount,0,T$217,DBR_COUNT,1),DBRA_WorkplanDate,$C266,DBRA_PlayerID,$D$3),"")</f>
        <v>0</v>
      </c>
      <c r="U266">
        <f ca="1">IFERROR(SUMIFS(OFFSET(DBRA_TopicCount,0,U$217,DBR_COUNT,1),DBRA_WorkplanDate,$C266,DBRA_PlayerID,$D$3),"")</f>
        <v>0</v>
      </c>
      <c r="V266">
        <f ca="1">IFERROR(SUMIFS(OFFSET(DBRA_TopicCount,0,V$217,DBR_COUNT,1),DBRA_WorkplanDate,$C266,DBRA_PlayerID,$D$3),"")</f>
        <v>0</v>
      </c>
      <c r="W266" s="47"/>
      <c r="X266" t="str">
        <f t="shared" ca="1" si="74"/>
        <v/>
      </c>
      <c r="Y266" t="str">
        <f t="shared" ca="1" si="66"/>
        <v/>
      </c>
      <c r="Z266" t="str">
        <f t="shared" ca="1" si="67"/>
        <v/>
      </c>
      <c r="AA266" t="str">
        <f t="shared" ca="1" si="68"/>
        <v/>
      </c>
      <c r="AB266" t="str">
        <f t="shared" ca="1" si="69"/>
        <v/>
      </c>
      <c r="AC266" t="str">
        <f t="shared" ca="1" si="70"/>
        <v/>
      </c>
      <c r="AD266" t="str">
        <f t="shared" ca="1" si="71"/>
        <v/>
      </c>
      <c r="AE266" t="str">
        <f t="shared" ca="1" si="72"/>
        <v/>
      </c>
      <c r="AF266" t="str">
        <f t="shared" ca="1" si="73"/>
        <v/>
      </c>
      <c r="AG266" s="47"/>
    </row>
    <row r="267" spans="3:33" x14ac:dyDescent="0.25">
      <c r="C267" s="118">
        <f t="shared" si="75"/>
        <v>42053</v>
      </c>
      <c r="D267">
        <f ca="1">IFERROR(SUMIFS(OFFSET(DBRA_TopicHCP,0,D$217,DBR_COUNT,1),DBRA_WorkplanDate,$C267,DBRA_PlayerID,$D$3),"")</f>
        <v>0</v>
      </c>
      <c r="E267">
        <f ca="1">IFERROR(SUMIFS(OFFSET(DBRA_TopicHCP,0,E$217,DBR_COUNT,1),DBRA_WorkplanDate,$C267,DBRA_PlayerID,$D$3),"")</f>
        <v>0</v>
      </c>
      <c r="F267">
        <f ca="1">IFERROR(SUMIFS(OFFSET(DBRA_TopicHCP,0,F$217,DBR_COUNT,1),DBRA_WorkplanDate,$C267,DBRA_PlayerID,$D$3),"")</f>
        <v>0</v>
      </c>
      <c r="G267">
        <f ca="1">IFERROR(SUMIFS(OFFSET(DBRA_TopicHCP,0,G$217,DBR_COUNT,1),DBRA_WorkplanDate,$C267,DBRA_PlayerID,$D$3),"")</f>
        <v>0</v>
      </c>
      <c r="H267">
        <f ca="1">IFERROR(SUMIFS(OFFSET(DBRA_TopicHCP,0,H$217,DBR_COUNT,1),DBRA_WorkplanDate,$C267,DBRA_PlayerID,$D$3),"")</f>
        <v>0</v>
      </c>
      <c r="I267">
        <f ca="1">IFERROR(SUMIFS(OFFSET(DBRA_TopicHCP,0,I$217,DBR_COUNT,1),DBRA_WorkplanDate,$C267,DBRA_PlayerID,$D$3),"")</f>
        <v>0</v>
      </c>
      <c r="J267">
        <f ca="1">IFERROR(SUMIFS(OFFSET(DBRA_TopicHCP,0,J$217,DBR_COUNT,1),DBRA_WorkplanDate,$C267,DBRA_PlayerID,$D$3),"")</f>
        <v>0</v>
      </c>
      <c r="K267">
        <f ca="1">IFERROR(SUMIFS(OFFSET(DBRA_TopicHCP,0,K$217,DBR_COUNT,1),DBRA_WorkplanDate,$C267,DBRA_PlayerID,$D$3),"")</f>
        <v>0</v>
      </c>
      <c r="L267">
        <f ca="1">IFERROR(SUMIFS(OFFSET(DBRA_TopicHCP,0,L$217,DBR_COUNT,1),DBRA_WorkplanDate,$C267,DBRA_PlayerID,$D$3),"")</f>
        <v>0</v>
      </c>
      <c r="M267" s="47"/>
      <c r="N267">
        <f ca="1">IFERROR(SUMIFS(OFFSET(DBRA_TopicCount,0,N$217,DBR_COUNT,1),DBRA_WorkplanDate,$C267,DBRA_PlayerID,$D$3),"")</f>
        <v>0</v>
      </c>
      <c r="O267">
        <f ca="1">IFERROR(SUMIFS(OFFSET(DBRA_TopicCount,0,O$217,DBR_COUNT,1),DBRA_WorkplanDate,$C267,DBRA_PlayerID,$D$3),"")</f>
        <v>0</v>
      </c>
      <c r="P267">
        <f ca="1">IFERROR(SUMIFS(OFFSET(DBRA_TopicCount,0,P$217,DBR_COUNT,1),DBRA_WorkplanDate,$C267,DBRA_PlayerID,$D$3),"")</f>
        <v>0</v>
      </c>
      <c r="Q267">
        <f ca="1">IFERROR(SUMIFS(OFFSET(DBRA_TopicCount,0,Q$217,DBR_COUNT,1),DBRA_WorkplanDate,$C267,DBRA_PlayerID,$D$3),"")</f>
        <v>0</v>
      </c>
      <c r="R267">
        <f ca="1">IFERROR(SUMIFS(OFFSET(DBRA_TopicCount,0,R$217,DBR_COUNT,1),DBRA_WorkplanDate,$C267,DBRA_PlayerID,$D$3),"")</f>
        <v>0</v>
      </c>
      <c r="S267">
        <f ca="1">IFERROR(SUMIFS(OFFSET(DBRA_TopicCount,0,S$217,DBR_COUNT,1),DBRA_WorkplanDate,$C267,DBRA_PlayerID,$D$3),"")</f>
        <v>0</v>
      </c>
      <c r="T267">
        <f ca="1">IFERROR(SUMIFS(OFFSET(DBRA_TopicCount,0,T$217,DBR_COUNT,1),DBRA_WorkplanDate,$C267,DBRA_PlayerID,$D$3),"")</f>
        <v>0</v>
      </c>
      <c r="U267">
        <f ca="1">IFERROR(SUMIFS(OFFSET(DBRA_TopicCount,0,U$217,DBR_COUNT,1),DBRA_WorkplanDate,$C267,DBRA_PlayerID,$D$3),"")</f>
        <v>0</v>
      </c>
      <c r="V267">
        <f ca="1">IFERROR(SUMIFS(OFFSET(DBRA_TopicCount,0,V$217,DBR_COUNT,1),DBRA_WorkplanDate,$C267,DBRA_PlayerID,$D$3),"")</f>
        <v>0</v>
      </c>
      <c r="W267" s="47"/>
      <c r="X267" t="str">
        <f t="shared" ca="1" si="74"/>
        <v/>
      </c>
      <c r="Y267" t="str">
        <f t="shared" ca="1" si="66"/>
        <v/>
      </c>
      <c r="Z267" t="str">
        <f t="shared" ca="1" si="67"/>
        <v/>
      </c>
      <c r="AA267" t="str">
        <f t="shared" ca="1" si="68"/>
        <v/>
      </c>
      <c r="AB267" t="str">
        <f t="shared" ca="1" si="69"/>
        <v/>
      </c>
      <c r="AC267" t="str">
        <f t="shared" ca="1" si="70"/>
        <v/>
      </c>
      <c r="AD267" t="str">
        <f t="shared" ca="1" si="71"/>
        <v/>
      </c>
      <c r="AE267" t="str">
        <f t="shared" ca="1" si="72"/>
        <v/>
      </c>
      <c r="AF267" t="str">
        <f t="shared" ca="1" si="73"/>
        <v/>
      </c>
      <c r="AG267" s="47"/>
    </row>
    <row r="268" spans="3:33" x14ac:dyDescent="0.25">
      <c r="C268" s="118">
        <f t="shared" si="75"/>
        <v>42054</v>
      </c>
      <c r="D268">
        <f ca="1">IFERROR(SUMIFS(OFFSET(DBRA_TopicHCP,0,D$217,DBR_COUNT,1),DBRA_WorkplanDate,$C268,DBRA_PlayerID,$D$3),"")</f>
        <v>0</v>
      </c>
      <c r="E268">
        <f ca="1">IFERROR(SUMIFS(OFFSET(DBRA_TopicHCP,0,E$217,DBR_COUNT,1),DBRA_WorkplanDate,$C268,DBRA_PlayerID,$D$3),"")</f>
        <v>0</v>
      </c>
      <c r="F268">
        <f ca="1">IFERROR(SUMIFS(OFFSET(DBRA_TopicHCP,0,F$217,DBR_COUNT,1),DBRA_WorkplanDate,$C268,DBRA_PlayerID,$D$3),"")</f>
        <v>0</v>
      </c>
      <c r="G268">
        <f ca="1">IFERROR(SUMIFS(OFFSET(DBRA_TopicHCP,0,G$217,DBR_COUNT,1),DBRA_WorkplanDate,$C268,DBRA_PlayerID,$D$3),"")</f>
        <v>0</v>
      </c>
      <c r="H268">
        <f ca="1">IFERROR(SUMIFS(OFFSET(DBRA_TopicHCP,0,H$217,DBR_COUNT,1),DBRA_WorkplanDate,$C268,DBRA_PlayerID,$D$3),"")</f>
        <v>0</v>
      </c>
      <c r="I268">
        <f ca="1">IFERROR(SUMIFS(OFFSET(DBRA_TopicHCP,0,I$217,DBR_COUNT,1),DBRA_WorkplanDate,$C268,DBRA_PlayerID,$D$3),"")</f>
        <v>0</v>
      </c>
      <c r="J268">
        <f ca="1">IFERROR(SUMIFS(OFFSET(DBRA_TopicHCP,0,J$217,DBR_COUNT,1),DBRA_WorkplanDate,$C268,DBRA_PlayerID,$D$3),"")</f>
        <v>0</v>
      </c>
      <c r="K268">
        <f ca="1">IFERROR(SUMIFS(OFFSET(DBRA_TopicHCP,0,K$217,DBR_COUNT,1),DBRA_WorkplanDate,$C268,DBRA_PlayerID,$D$3),"")</f>
        <v>0</v>
      </c>
      <c r="L268">
        <f ca="1">IFERROR(SUMIFS(OFFSET(DBRA_TopicHCP,0,L$217,DBR_COUNT,1),DBRA_WorkplanDate,$C268,DBRA_PlayerID,$D$3),"")</f>
        <v>0</v>
      </c>
      <c r="M268" s="47"/>
      <c r="N268">
        <f ca="1">IFERROR(SUMIFS(OFFSET(DBRA_TopicCount,0,N$217,DBR_COUNT,1),DBRA_WorkplanDate,$C268,DBRA_PlayerID,$D$3),"")</f>
        <v>0</v>
      </c>
      <c r="O268">
        <f ca="1">IFERROR(SUMIFS(OFFSET(DBRA_TopicCount,0,O$217,DBR_COUNT,1),DBRA_WorkplanDate,$C268,DBRA_PlayerID,$D$3),"")</f>
        <v>0</v>
      </c>
      <c r="P268">
        <f ca="1">IFERROR(SUMIFS(OFFSET(DBRA_TopicCount,0,P$217,DBR_COUNT,1),DBRA_WorkplanDate,$C268,DBRA_PlayerID,$D$3),"")</f>
        <v>0</v>
      </c>
      <c r="Q268">
        <f ca="1">IFERROR(SUMIFS(OFFSET(DBRA_TopicCount,0,Q$217,DBR_COUNT,1),DBRA_WorkplanDate,$C268,DBRA_PlayerID,$D$3),"")</f>
        <v>0</v>
      </c>
      <c r="R268">
        <f ca="1">IFERROR(SUMIFS(OFFSET(DBRA_TopicCount,0,R$217,DBR_COUNT,1),DBRA_WorkplanDate,$C268,DBRA_PlayerID,$D$3),"")</f>
        <v>0</v>
      </c>
      <c r="S268">
        <f ca="1">IFERROR(SUMIFS(OFFSET(DBRA_TopicCount,0,S$217,DBR_COUNT,1),DBRA_WorkplanDate,$C268,DBRA_PlayerID,$D$3),"")</f>
        <v>0</v>
      </c>
      <c r="T268">
        <f ca="1">IFERROR(SUMIFS(OFFSET(DBRA_TopicCount,0,T$217,DBR_COUNT,1),DBRA_WorkplanDate,$C268,DBRA_PlayerID,$D$3),"")</f>
        <v>0</v>
      </c>
      <c r="U268">
        <f ca="1">IFERROR(SUMIFS(OFFSET(DBRA_TopicCount,0,U$217,DBR_COUNT,1),DBRA_WorkplanDate,$C268,DBRA_PlayerID,$D$3),"")</f>
        <v>0</v>
      </c>
      <c r="V268">
        <f ca="1">IFERROR(SUMIFS(OFFSET(DBRA_TopicCount,0,V$217,DBR_COUNT,1),DBRA_WorkplanDate,$C268,DBRA_PlayerID,$D$3),"")</f>
        <v>0</v>
      </c>
      <c r="W268" s="47"/>
      <c r="X268" t="str">
        <f t="shared" ca="1" si="74"/>
        <v/>
      </c>
      <c r="Y268" t="str">
        <f t="shared" ca="1" si="66"/>
        <v/>
      </c>
      <c r="Z268" t="str">
        <f t="shared" ca="1" si="67"/>
        <v/>
      </c>
      <c r="AA268" t="str">
        <f t="shared" ca="1" si="68"/>
        <v/>
      </c>
      <c r="AB268" t="str">
        <f t="shared" ca="1" si="69"/>
        <v/>
      </c>
      <c r="AC268" t="str">
        <f t="shared" ca="1" si="70"/>
        <v/>
      </c>
      <c r="AD268" t="str">
        <f t="shared" ca="1" si="71"/>
        <v/>
      </c>
      <c r="AE268" t="str">
        <f t="shared" ca="1" si="72"/>
        <v/>
      </c>
      <c r="AF268" t="str">
        <f t="shared" ca="1" si="73"/>
        <v/>
      </c>
      <c r="AG268" s="47"/>
    </row>
    <row r="269" spans="3:33" x14ac:dyDescent="0.25">
      <c r="C269" s="118">
        <f t="shared" si="75"/>
        <v>42055</v>
      </c>
      <c r="D269">
        <f ca="1">IFERROR(SUMIFS(OFFSET(DBRA_TopicHCP,0,D$217,DBR_COUNT,1),DBRA_WorkplanDate,$C269,DBRA_PlayerID,$D$3),"")</f>
        <v>0</v>
      </c>
      <c r="E269">
        <f ca="1">IFERROR(SUMIFS(OFFSET(DBRA_TopicHCP,0,E$217,DBR_COUNT,1),DBRA_WorkplanDate,$C269,DBRA_PlayerID,$D$3),"")</f>
        <v>0</v>
      </c>
      <c r="F269">
        <f ca="1">IFERROR(SUMIFS(OFFSET(DBRA_TopicHCP,0,F$217,DBR_COUNT,1),DBRA_WorkplanDate,$C269,DBRA_PlayerID,$D$3),"")</f>
        <v>0</v>
      </c>
      <c r="G269">
        <f ca="1">IFERROR(SUMIFS(OFFSET(DBRA_TopicHCP,0,G$217,DBR_COUNT,1),DBRA_WorkplanDate,$C269,DBRA_PlayerID,$D$3),"")</f>
        <v>0</v>
      </c>
      <c r="H269">
        <f ca="1">IFERROR(SUMIFS(OFFSET(DBRA_TopicHCP,0,H$217,DBR_COUNT,1),DBRA_WorkplanDate,$C269,DBRA_PlayerID,$D$3),"")</f>
        <v>0</v>
      </c>
      <c r="I269">
        <f ca="1">IFERROR(SUMIFS(OFFSET(DBRA_TopicHCP,0,I$217,DBR_COUNT,1),DBRA_WorkplanDate,$C269,DBRA_PlayerID,$D$3),"")</f>
        <v>0</v>
      </c>
      <c r="J269">
        <f ca="1">IFERROR(SUMIFS(OFFSET(DBRA_TopicHCP,0,J$217,DBR_COUNT,1),DBRA_WorkplanDate,$C269,DBRA_PlayerID,$D$3),"")</f>
        <v>0</v>
      </c>
      <c r="K269">
        <f ca="1">IFERROR(SUMIFS(OFFSET(DBRA_TopicHCP,0,K$217,DBR_COUNT,1),DBRA_WorkplanDate,$C269,DBRA_PlayerID,$D$3),"")</f>
        <v>0</v>
      </c>
      <c r="L269">
        <f ca="1">IFERROR(SUMIFS(OFFSET(DBRA_TopicHCP,0,L$217,DBR_COUNT,1),DBRA_WorkplanDate,$C269,DBRA_PlayerID,$D$3),"")</f>
        <v>0</v>
      </c>
      <c r="M269" s="47"/>
      <c r="N269">
        <f ca="1">IFERROR(SUMIFS(OFFSET(DBRA_TopicCount,0,N$217,DBR_COUNT,1),DBRA_WorkplanDate,$C269,DBRA_PlayerID,$D$3),"")</f>
        <v>0</v>
      </c>
      <c r="O269">
        <f ca="1">IFERROR(SUMIFS(OFFSET(DBRA_TopicCount,0,O$217,DBR_COUNT,1),DBRA_WorkplanDate,$C269,DBRA_PlayerID,$D$3),"")</f>
        <v>0</v>
      </c>
      <c r="P269">
        <f ca="1">IFERROR(SUMIFS(OFFSET(DBRA_TopicCount,0,P$217,DBR_COUNT,1),DBRA_WorkplanDate,$C269,DBRA_PlayerID,$D$3),"")</f>
        <v>0</v>
      </c>
      <c r="Q269">
        <f ca="1">IFERROR(SUMIFS(OFFSET(DBRA_TopicCount,0,Q$217,DBR_COUNT,1),DBRA_WorkplanDate,$C269,DBRA_PlayerID,$D$3),"")</f>
        <v>0</v>
      </c>
      <c r="R269">
        <f ca="1">IFERROR(SUMIFS(OFFSET(DBRA_TopicCount,0,R$217,DBR_COUNT,1),DBRA_WorkplanDate,$C269,DBRA_PlayerID,$D$3),"")</f>
        <v>0</v>
      </c>
      <c r="S269">
        <f ca="1">IFERROR(SUMIFS(OFFSET(DBRA_TopicCount,0,S$217,DBR_COUNT,1),DBRA_WorkplanDate,$C269,DBRA_PlayerID,$D$3),"")</f>
        <v>0</v>
      </c>
      <c r="T269">
        <f ca="1">IFERROR(SUMIFS(OFFSET(DBRA_TopicCount,0,T$217,DBR_COUNT,1),DBRA_WorkplanDate,$C269,DBRA_PlayerID,$D$3),"")</f>
        <v>0</v>
      </c>
      <c r="U269">
        <f ca="1">IFERROR(SUMIFS(OFFSET(DBRA_TopicCount,0,U$217,DBR_COUNT,1),DBRA_WorkplanDate,$C269,DBRA_PlayerID,$D$3),"")</f>
        <v>0</v>
      </c>
      <c r="V269">
        <f ca="1">IFERROR(SUMIFS(OFFSET(DBRA_TopicCount,0,V$217,DBR_COUNT,1),DBRA_WorkplanDate,$C269,DBRA_PlayerID,$D$3),"")</f>
        <v>0</v>
      </c>
      <c r="W269" s="47"/>
      <c r="X269" t="str">
        <f t="shared" ca="1" si="74"/>
        <v/>
      </c>
      <c r="Y269" t="str">
        <f t="shared" ca="1" si="66"/>
        <v/>
      </c>
      <c r="Z269" t="str">
        <f t="shared" ca="1" si="67"/>
        <v/>
      </c>
      <c r="AA269" t="str">
        <f t="shared" ca="1" si="68"/>
        <v/>
      </c>
      <c r="AB269" t="str">
        <f t="shared" ca="1" si="69"/>
        <v/>
      </c>
      <c r="AC269" t="str">
        <f t="shared" ca="1" si="70"/>
        <v/>
      </c>
      <c r="AD269" t="str">
        <f t="shared" ca="1" si="71"/>
        <v/>
      </c>
      <c r="AE269" t="str">
        <f t="shared" ca="1" si="72"/>
        <v/>
      </c>
      <c r="AF269" t="str">
        <f t="shared" ca="1" si="73"/>
        <v/>
      </c>
      <c r="AG269" s="47"/>
    </row>
    <row r="270" spans="3:33" x14ac:dyDescent="0.25">
      <c r="C270" s="118">
        <f t="shared" si="75"/>
        <v>42056</v>
      </c>
      <c r="D270">
        <f ca="1">IFERROR(SUMIFS(OFFSET(DBRA_TopicHCP,0,D$217,DBR_COUNT,1),DBRA_WorkplanDate,$C270,DBRA_PlayerID,$D$3),"")</f>
        <v>0</v>
      </c>
      <c r="E270">
        <f ca="1">IFERROR(SUMIFS(OFFSET(DBRA_TopicHCP,0,E$217,DBR_COUNT,1),DBRA_WorkplanDate,$C270,DBRA_PlayerID,$D$3),"")</f>
        <v>0</v>
      </c>
      <c r="F270">
        <f ca="1">IFERROR(SUMIFS(OFFSET(DBRA_TopicHCP,0,F$217,DBR_COUNT,1),DBRA_WorkplanDate,$C270,DBRA_PlayerID,$D$3),"")</f>
        <v>0</v>
      </c>
      <c r="G270">
        <f ca="1">IFERROR(SUMIFS(OFFSET(DBRA_TopicHCP,0,G$217,DBR_COUNT,1),DBRA_WorkplanDate,$C270,DBRA_PlayerID,$D$3),"")</f>
        <v>0</v>
      </c>
      <c r="H270">
        <f ca="1">IFERROR(SUMIFS(OFFSET(DBRA_TopicHCP,0,H$217,DBR_COUNT,1),DBRA_WorkplanDate,$C270,DBRA_PlayerID,$D$3),"")</f>
        <v>0</v>
      </c>
      <c r="I270">
        <f ca="1">IFERROR(SUMIFS(OFFSET(DBRA_TopicHCP,0,I$217,DBR_COUNT,1),DBRA_WorkplanDate,$C270,DBRA_PlayerID,$D$3),"")</f>
        <v>0</v>
      </c>
      <c r="J270">
        <f ca="1">IFERROR(SUMIFS(OFFSET(DBRA_TopicHCP,0,J$217,DBR_COUNT,1),DBRA_WorkplanDate,$C270,DBRA_PlayerID,$D$3),"")</f>
        <v>0</v>
      </c>
      <c r="K270">
        <f ca="1">IFERROR(SUMIFS(OFFSET(DBRA_TopicHCP,0,K$217,DBR_COUNT,1),DBRA_WorkplanDate,$C270,DBRA_PlayerID,$D$3),"")</f>
        <v>0</v>
      </c>
      <c r="L270">
        <f ca="1">IFERROR(SUMIFS(OFFSET(DBRA_TopicHCP,0,L$217,DBR_COUNT,1),DBRA_WorkplanDate,$C270,DBRA_PlayerID,$D$3),"")</f>
        <v>0</v>
      </c>
      <c r="M270" s="47"/>
      <c r="N270">
        <f ca="1">IFERROR(SUMIFS(OFFSET(DBRA_TopicCount,0,N$217,DBR_COUNT,1),DBRA_WorkplanDate,$C270,DBRA_PlayerID,$D$3),"")</f>
        <v>0</v>
      </c>
      <c r="O270">
        <f ca="1">IFERROR(SUMIFS(OFFSET(DBRA_TopicCount,0,O$217,DBR_COUNT,1),DBRA_WorkplanDate,$C270,DBRA_PlayerID,$D$3),"")</f>
        <v>0</v>
      </c>
      <c r="P270">
        <f ca="1">IFERROR(SUMIFS(OFFSET(DBRA_TopicCount,0,P$217,DBR_COUNT,1),DBRA_WorkplanDate,$C270,DBRA_PlayerID,$D$3),"")</f>
        <v>0</v>
      </c>
      <c r="Q270">
        <f ca="1">IFERROR(SUMIFS(OFFSET(DBRA_TopicCount,0,Q$217,DBR_COUNT,1),DBRA_WorkplanDate,$C270,DBRA_PlayerID,$D$3),"")</f>
        <v>0</v>
      </c>
      <c r="R270">
        <f ca="1">IFERROR(SUMIFS(OFFSET(DBRA_TopicCount,0,R$217,DBR_COUNT,1),DBRA_WorkplanDate,$C270,DBRA_PlayerID,$D$3),"")</f>
        <v>0</v>
      </c>
      <c r="S270">
        <f ca="1">IFERROR(SUMIFS(OFFSET(DBRA_TopicCount,0,S$217,DBR_COUNT,1),DBRA_WorkplanDate,$C270,DBRA_PlayerID,$D$3),"")</f>
        <v>0</v>
      </c>
      <c r="T270">
        <f ca="1">IFERROR(SUMIFS(OFFSET(DBRA_TopicCount,0,T$217,DBR_COUNT,1),DBRA_WorkplanDate,$C270,DBRA_PlayerID,$D$3),"")</f>
        <v>0</v>
      </c>
      <c r="U270">
        <f ca="1">IFERROR(SUMIFS(OFFSET(DBRA_TopicCount,0,U$217,DBR_COUNT,1),DBRA_WorkplanDate,$C270,DBRA_PlayerID,$D$3),"")</f>
        <v>0</v>
      </c>
      <c r="V270">
        <f ca="1">IFERROR(SUMIFS(OFFSET(DBRA_TopicCount,0,V$217,DBR_COUNT,1),DBRA_WorkplanDate,$C270,DBRA_PlayerID,$D$3),"")</f>
        <v>0</v>
      </c>
      <c r="W270" s="47"/>
      <c r="X270" t="str">
        <f t="shared" ca="1" si="74"/>
        <v/>
      </c>
      <c r="Y270" t="str">
        <f t="shared" ca="1" si="66"/>
        <v/>
      </c>
      <c r="Z270" t="str">
        <f t="shared" ca="1" si="67"/>
        <v/>
      </c>
      <c r="AA270" t="str">
        <f t="shared" ca="1" si="68"/>
        <v/>
      </c>
      <c r="AB270" t="str">
        <f t="shared" ca="1" si="69"/>
        <v/>
      </c>
      <c r="AC270" t="str">
        <f t="shared" ca="1" si="70"/>
        <v/>
      </c>
      <c r="AD270" t="str">
        <f t="shared" ca="1" si="71"/>
        <v/>
      </c>
      <c r="AE270" t="str">
        <f t="shared" ca="1" si="72"/>
        <v/>
      </c>
      <c r="AF270" t="str">
        <f t="shared" ca="1" si="73"/>
        <v/>
      </c>
      <c r="AG270" s="47"/>
    </row>
    <row r="271" spans="3:33" x14ac:dyDescent="0.25">
      <c r="C271" s="118">
        <f t="shared" si="75"/>
        <v>42057</v>
      </c>
      <c r="D271">
        <f ca="1">IFERROR(SUMIFS(OFFSET(DBRA_TopicHCP,0,D$217,DBR_COUNT,1),DBRA_WorkplanDate,$C271,DBRA_PlayerID,$D$3),"")</f>
        <v>0</v>
      </c>
      <c r="E271">
        <f ca="1">IFERROR(SUMIFS(OFFSET(DBRA_TopicHCP,0,E$217,DBR_COUNT,1),DBRA_WorkplanDate,$C271,DBRA_PlayerID,$D$3),"")</f>
        <v>0</v>
      </c>
      <c r="F271">
        <f ca="1">IFERROR(SUMIFS(OFFSET(DBRA_TopicHCP,0,F$217,DBR_COUNT,1),DBRA_WorkplanDate,$C271,DBRA_PlayerID,$D$3),"")</f>
        <v>0</v>
      </c>
      <c r="G271">
        <f ca="1">IFERROR(SUMIFS(OFFSET(DBRA_TopicHCP,0,G$217,DBR_COUNT,1),DBRA_WorkplanDate,$C271,DBRA_PlayerID,$D$3),"")</f>
        <v>0</v>
      </c>
      <c r="H271">
        <f ca="1">IFERROR(SUMIFS(OFFSET(DBRA_TopicHCP,0,H$217,DBR_COUNT,1),DBRA_WorkplanDate,$C271,DBRA_PlayerID,$D$3),"")</f>
        <v>0</v>
      </c>
      <c r="I271">
        <f ca="1">IFERROR(SUMIFS(OFFSET(DBRA_TopicHCP,0,I$217,DBR_COUNT,1),DBRA_WorkplanDate,$C271,DBRA_PlayerID,$D$3),"")</f>
        <v>0</v>
      </c>
      <c r="J271">
        <f ca="1">IFERROR(SUMIFS(OFFSET(DBRA_TopicHCP,0,J$217,DBR_COUNT,1),DBRA_WorkplanDate,$C271,DBRA_PlayerID,$D$3),"")</f>
        <v>0</v>
      </c>
      <c r="K271">
        <f ca="1">IFERROR(SUMIFS(OFFSET(DBRA_TopicHCP,0,K$217,DBR_COUNT,1),DBRA_WorkplanDate,$C271,DBRA_PlayerID,$D$3),"")</f>
        <v>0</v>
      </c>
      <c r="L271">
        <f ca="1">IFERROR(SUMIFS(OFFSET(DBRA_TopicHCP,0,L$217,DBR_COUNT,1),DBRA_WorkplanDate,$C271,DBRA_PlayerID,$D$3),"")</f>
        <v>0</v>
      </c>
      <c r="M271" s="47"/>
      <c r="N271">
        <f ca="1">IFERROR(SUMIFS(OFFSET(DBRA_TopicCount,0,N$217,DBR_COUNT,1),DBRA_WorkplanDate,$C271,DBRA_PlayerID,$D$3),"")</f>
        <v>0</v>
      </c>
      <c r="O271">
        <f ca="1">IFERROR(SUMIFS(OFFSET(DBRA_TopicCount,0,O$217,DBR_COUNT,1),DBRA_WorkplanDate,$C271,DBRA_PlayerID,$D$3),"")</f>
        <v>0</v>
      </c>
      <c r="P271">
        <f ca="1">IFERROR(SUMIFS(OFFSET(DBRA_TopicCount,0,P$217,DBR_COUNT,1),DBRA_WorkplanDate,$C271,DBRA_PlayerID,$D$3),"")</f>
        <v>0</v>
      </c>
      <c r="Q271">
        <f ca="1">IFERROR(SUMIFS(OFFSET(DBRA_TopicCount,0,Q$217,DBR_COUNT,1),DBRA_WorkplanDate,$C271,DBRA_PlayerID,$D$3),"")</f>
        <v>0</v>
      </c>
      <c r="R271">
        <f ca="1">IFERROR(SUMIFS(OFFSET(DBRA_TopicCount,0,R$217,DBR_COUNT,1),DBRA_WorkplanDate,$C271,DBRA_PlayerID,$D$3),"")</f>
        <v>0</v>
      </c>
      <c r="S271">
        <f ca="1">IFERROR(SUMIFS(OFFSET(DBRA_TopicCount,0,S$217,DBR_COUNT,1),DBRA_WorkplanDate,$C271,DBRA_PlayerID,$D$3),"")</f>
        <v>0</v>
      </c>
      <c r="T271">
        <f ca="1">IFERROR(SUMIFS(OFFSET(DBRA_TopicCount,0,T$217,DBR_COUNT,1),DBRA_WorkplanDate,$C271,DBRA_PlayerID,$D$3),"")</f>
        <v>0</v>
      </c>
      <c r="U271">
        <f ca="1">IFERROR(SUMIFS(OFFSET(DBRA_TopicCount,0,U$217,DBR_COUNT,1),DBRA_WorkplanDate,$C271,DBRA_PlayerID,$D$3),"")</f>
        <v>0</v>
      </c>
      <c r="V271">
        <f ca="1">IFERROR(SUMIFS(OFFSET(DBRA_TopicCount,0,V$217,DBR_COUNT,1),DBRA_WorkplanDate,$C271,DBRA_PlayerID,$D$3),"")</f>
        <v>0</v>
      </c>
      <c r="W271" s="47"/>
      <c r="X271" t="str">
        <f t="shared" ca="1" si="74"/>
        <v/>
      </c>
      <c r="Y271" t="str">
        <f t="shared" ca="1" si="66"/>
        <v/>
      </c>
      <c r="Z271" t="str">
        <f t="shared" ca="1" si="67"/>
        <v/>
      </c>
      <c r="AA271" t="str">
        <f t="shared" ca="1" si="68"/>
        <v/>
      </c>
      <c r="AB271" t="str">
        <f t="shared" ca="1" si="69"/>
        <v/>
      </c>
      <c r="AC271" t="str">
        <f t="shared" ca="1" si="70"/>
        <v/>
      </c>
      <c r="AD271" t="str">
        <f t="shared" ca="1" si="71"/>
        <v/>
      </c>
      <c r="AE271" t="str">
        <f t="shared" ca="1" si="72"/>
        <v/>
      </c>
      <c r="AF271" t="str">
        <f t="shared" ca="1" si="73"/>
        <v/>
      </c>
      <c r="AG271" s="47"/>
    </row>
    <row r="272" spans="3:33" x14ac:dyDescent="0.25">
      <c r="C272" s="118">
        <f t="shared" si="75"/>
        <v>42058</v>
      </c>
      <c r="D272">
        <f ca="1">IFERROR(SUMIFS(OFFSET(DBRA_TopicHCP,0,D$217,DBR_COUNT,1),DBRA_WorkplanDate,$C272,DBRA_PlayerID,$D$3),"")</f>
        <v>0</v>
      </c>
      <c r="E272">
        <f ca="1">IFERROR(SUMIFS(OFFSET(DBRA_TopicHCP,0,E$217,DBR_COUNT,1),DBRA_WorkplanDate,$C272,DBRA_PlayerID,$D$3),"")</f>
        <v>0</v>
      </c>
      <c r="F272">
        <f ca="1">IFERROR(SUMIFS(OFFSET(DBRA_TopicHCP,0,F$217,DBR_COUNT,1),DBRA_WorkplanDate,$C272,DBRA_PlayerID,$D$3),"")</f>
        <v>0</v>
      </c>
      <c r="G272">
        <f ca="1">IFERROR(SUMIFS(OFFSET(DBRA_TopicHCP,0,G$217,DBR_COUNT,1),DBRA_WorkplanDate,$C272,DBRA_PlayerID,$D$3),"")</f>
        <v>0</v>
      </c>
      <c r="H272">
        <f ca="1">IFERROR(SUMIFS(OFFSET(DBRA_TopicHCP,0,H$217,DBR_COUNT,1),DBRA_WorkplanDate,$C272,DBRA_PlayerID,$D$3),"")</f>
        <v>0</v>
      </c>
      <c r="I272">
        <f ca="1">IFERROR(SUMIFS(OFFSET(DBRA_TopicHCP,0,I$217,DBR_COUNT,1),DBRA_WorkplanDate,$C272,DBRA_PlayerID,$D$3),"")</f>
        <v>0</v>
      </c>
      <c r="J272">
        <f ca="1">IFERROR(SUMIFS(OFFSET(DBRA_TopicHCP,0,J$217,DBR_COUNT,1),DBRA_WorkplanDate,$C272,DBRA_PlayerID,$D$3),"")</f>
        <v>0</v>
      </c>
      <c r="K272">
        <f ca="1">IFERROR(SUMIFS(OFFSET(DBRA_TopicHCP,0,K$217,DBR_COUNT,1),DBRA_WorkplanDate,$C272,DBRA_PlayerID,$D$3),"")</f>
        <v>0</v>
      </c>
      <c r="L272">
        <f ca="1">IFERROR(SUMIFS(OFFSET(DBRA_TopicHCP,0,L$217,DBR_COUNT,1),DBRA_WorkplanDate,$C272,DBRA_PlayerID,$D$3),"")</f>
        <v>0</v>
      </c>
      <c r="M272" s="47"/>
      <c r="N272">
        <f ca="1">IFERROR(SUMIFS(OFFSET(DBRA_TopicCount,0,N$217,DBR_COUNT,1),DBRA_WorkplanDate,$C272,DBRA_PlayerID,$D$3),"")</f>
        <v>0</v>
      </c>
      <c r="O272">
        <f ca="1">IFERROR(SUMIFS(OFFSET(DBRA_TopicCount,0,O$217,DBR_COUNT,1),DBRA_WorkplanDate,$C272,DBRA_PlayerID,$D$3),"")</f>
        <v>0</v>
      </c>
      <c r="P272">
        <f ca="1">IFERROR(SUMIFS(OFFSET(DBRA_TopicCount,0,P$217,DBR_COUNT,1),DBRA_WorkplanDate,$C272,DBRA_PlayerID,$D$3),"")</f>
        <v>0</v>
      </c>
      <c r="Q272">
        <f ca="1">IFERROR(SUMIFS(OFFSET(DBRA_TopicCount,0,Q$217,DBR_COUNT,1),DBRA_WorkplanDate,$C272,DBRA_PlayerID,$D$3),"")</f>
        <v>0</v>
      </c>
      <c r="R272">
        <f ca="1">IFERROR(SUMIFS(OFFSET(DBRA_TopicCount,0,R$217,DBR_COUNT,1),DBRA_WorkplanDate,$C272,DBRA_PlayerID,$D$3),"")</f>
        <v>0</v>
      </c>
      <c r="S272">
        <f ca="1">IFERROR(SUMIFS(OFFSET(DBRA_TopicCount,0,S$217,DBR_COUNT,1),DBRA_WorkplanDate,$C272,DBRA_PlayerID,$D$3),"")</f>
        <v>0</v>
      </c>
      <c r="T272">
        <f ca="1">IFERROR(SUMIFS(OFFSET(DBRA_TopicCount,0,T$217,DBR_COUNT,1),DBRA_WorkplanDate,$C272,DBRA_PlayerID,$D$3),"")</f>
        <v>0</v>
      </c>
      <c r="U272">
        <f ca="1">IFERROR(SUMIFS(OFFSET(DBRA_TopicCount,0,U$217,DBR_COUNT,1),DBRA_WorkplanDate,$C272,DBRA_PlayerID,$D$3),"")</f>
        <v>0</v>
      </c>
      <c r="V272">
        <f ca="1">IFERROR(SUMIFS(OFFSET(DBRA_TopicCount,0,V$217,DBR_COUNT,1),DBRA_WorkplanDate,$C272,DBRA_PlayerID,$D$3),"")</f>
        <v>0</v>
      </c>
      <c r="W272" s="47"/>
      <c r="X272" t="str">
        <f t="shared" ca="1" si="74"/>
        <v/>
      </c>
      <c r="Y272" t="str">
        <f t="shared" ca="1" si="66"/>
        <v/>
      </c>
      <c r="Z272" t="str">
        <f t="shared" ca="1" si="67"/>
        <v/>
      </c>
      <c r="AA272" t="str">
        <f t="shared" ca="1" si="68"/>
        <v/>
      </c>
      <c r="AB272" t="str">
        <f t="shared" ca="1" si="69"/>
        <v/>
      </c>
      <c r="AC272" t="str">
        <f t="shared" ca="1" si="70"/>
        <v/>
      </c>
      <c r="AD272" t="str">
        <f t="shared" ca="1" si="71"/>
        <v/>
      </c>
      <c r="AE272" t="str">
        <f t="shared" ca="1" si="72"/>
        <v/>
      </c>
      <c r="AF272" t="str">
        <f t="shared" ca="1" si="73"/>
        <v/>
      </c>
      <c r="AG272" s="47"/>
    </row>
    <row r="273" spans="3:33" x14ac:dyDescent="0.25">
      <c r="C273" s="118">
        <f t="shared" si="75"/>
        <v>42059</v>
      </c>
      <c r="D273">
        <f ca="1">IFERROR(SUMIFS(OFFSET(DBRA_TopicHCP,0,D$217,DBR_COUNT,1),DBRA_WorkplanDate,$C273,DBRA_PlayerID,$D$3),"")</f>
        <v>0</v>
      </c>
      <c r="E273">
        <f ca="1">IFERROR(SUMIFS(OFFSET(DBRA_TopicHCP,0,E$217,DBR_COUNT,1),DBRA_WorkplanDate,$C273,DBRA_PlayerID,$D$3),"")</f>
        <v>0</v>
      </c>
      <c r="F273">
        <f ca="1">IFERROR(SUMIFS(OFFSET(DBRA_TopicHCP,0,F$217,DBR_COUNT,1),DBRA_WorkplanDate,$C273,DBRA_PlayerID,$D$3),"")</f>
        <v>0</v>
      </c>
      <c r="G273">
        <f ca="1">IFERROR(SUMIFS(OFFSET(DBRA_TopicHCP,0,G$217,DBR_COUNT,1),DBRA_WorkplanDate,$C273,DBRA_PlayerID,$D$3),"")</f>
        <v>0</v>
      </c>
      <c r="H273">
        <f ca="1">IFERROR(SUMIFS(OFFSET(DBRA_TopicHCP,0,H$217,DBR_COUNT,1),DBRA_WorkplanDate,$C273,DBRA_PlayerID,$D$3),"")</f>
        <v>0</v>
      </c>
      <c r="I273">
        <f ca="1">IFERROR(SUMIFS(OFFSET(DBRA_TopicHCP,0,I$217,DBR_COUNT,1),DBRA_WorkplanDate,$C273,DBRA_PlayerID,$D$3),"")</f>
        <v>0</v>
      </c>
      <c r="J273">
        <f ca="1">IFERROR(SUMIFS(OFFSET(DBRA_TopicHCP,0,J$217,DBR_COUNT,1),DBRA_WorkplanDate,$C273,DBRA_PlayerID,$D$3),"")</f>
        <v>0</v>
      </c>
      <c r="K273">
        <f ca="1">IFERROR(SUMIFS(OFFSET(DBRA_TopicHCP,0,K$217,DBR_COUNT,1),DBRA_WorkplanDate,$C273,DBRA_PlayerID,$D$3),"")</f>
        <v>0</v>
      </c>
      <c r="L273">
        <f ca="1">IFERROR(SUMIFS(OFFSET(DBRA_TopicHCP,0,L$217,DBR_COUNT,1),DBRA_WorkplanDate,$C273,DBRA_PlayerID,$D$3),"")</f>
        <v>0</v>
      </c>
      <c r="M273" s="47"/>
      <c r="N273">
        <f ca="1">IFERROR(SUMIFS(OFFSET(DBRA_TopicCount,0,N$217,DBR_COUNT,1),DBRA_WorkplanDate,$C273,DBRA_PlayerID,$D$3),"")</f>
        <v>0</v>
      </c>
      <c r="O273">
        <f ca="1">IFERROR(SUMIFS(OFFSET(DBRA_TopicCount,0,O$217,DBR_COUNT,1),DBRA_WorkplanDate,$C273,DBRA_PlayerID,$D$3),"")</f>
        <v>0</v>
      </c>
      <c r="P273">
        <f ca="1">IFERROR(SUMIFS(OFFSET(DBRA_TopicCount,0,P$217,DBR_COUNT,1),DBRA_WorkplanDate,$C273,DBRA_PlayerID,$D$3),"")</f>
        <v>0</v>
      </c>
      <c r="Q273">
        <f ca="1">IFERROR(SUMIFS(OFFSET(DBRA_TopicCount,0,Q$217,DBR_COUNT,1),DBRA_WorkplanDate,$C273,DBRA_PlayerID,$D$3),"")</f>
        <v>0</v>
      </c>
      <c r="R273">
        <f ca="1">IFERROR(SUMIFS(OFFSET(DBRA_TopicCount,0,R$217,DBR_COUNT,1),DBRA_WorkplanDate,$C273,DBRA_PlayerID,$D$3),"")</f>
        <v>0</v>
      </c>
      <c r="S273">
        <f ca="1">IFERROR(SUMIFS(OFFSET(DBRA_TopicCount,0,S$217,DBR_COUNT,1),DBRA_WorkplanDate,$C273,DBRA_PlayerID,$D$3),"")</f>
        <v>0</v>
      </c>
      <c r="T273">
        <f ca="1">IFERROR(SUMIFS(OFFSET(DBRA_TopicCount,0,T$217,DBR_COUNT,1),DBRA_WorkplanDate,$C273,DBRA_PlayerID,$D$3),"")</f>
        <v>0</v>
      </c>
      <c r="U273">
        <f ca="1">IFERROR(SUMIFS(OFFSET(DBRA_TopicCount,0,U$217,DBR_COUNT,1),DBRA_WorkplanDate,$C273,DBRA_PlayerID,$D$3),"")</f>
        <v>0</v>
      </c>
      <c r="V273">
        <f ca="1">IFERROR(SUMIFS(OFFSET(DBRA_TopicCount,0,V$217,DBR_COUNT,1),DBRA_WorkplanDate,$C273,DBRA_PlayerID,$D$3),"")</f>
        <v>0</v>
      </c>
      <c r="W273" s="47"/>
      <c r="X273" t="str">
        <f t="shared" ca="1" si="74"/>
        <v/>
      </c>
      <c r="Y273" t="str">
        <f t="shared" ca="1" si="66"/>
        <v/>
      </c>
      <c r="Z273" t="str">
        <f t="shared" ca="1" si="67"/>
        <v/>
      </c>
      <c r="AA273" t="str">
        <f t="shared" ca="1" si="68"/>
        <v/>
      </c>
      <c r="AB273" t="str">
        <f t="shared" ca="1" si="69"/>
        <v/>
      </c>
      <c r="AC273" t="str">
        <f t="shared" ca="1" si="70"/>
        <v/>
      </c>
      <c r="AD273" t="str">
        <f t="shared" ca="1" si="71"/>
        <v/>
      </c>
      <c r="AE273" t="str">
        <f t="shared" ca="1" si="72"/>
        <v/>
      </c>
      <c r="AF273" t="str">
        <f t="shared" ca="1" si="73"/>
        <v/>
      </c>
      <c r="AG273" s="47"/>
    </row>
    <row r="274" spans="3:33" x14ac:dyDescent="0.25">
      <c r="C274" s="118">
        <f t="shared" si="75"/>
        <v>42060</v>
      </c>
      <c r="D274">
        <f ca="1">IFERROR(SUMIFS(OFFSET(DBRA_TopicHCP,0,D$217,DBR_COUNT,1),DBRA_WorkplanDate,$C274,DBRA_PlayerID,$D$3),"")</f>
        <v>0</v>
      </c>
      <c r="E274">
        <f ca="1">IFERROR(SUMIFS(OFFSET(DBRA_TopicHCP,0,E$217,DBR_COUNT,1),DBRA_WorkplanDate,$C274,DBRA_PlayerID,$D$3),"")</f>
        <v>0</v>
      </c>
      <c r="F274">
        <f ca="1">IFERROR(SUMIFS(OFFSET(DBRA_TopicHCP,0,F$217,DBR_COUNT,1),DBRA_WorkplanDate,$C274,DBRA_PlayerID,$D$3),"")</f>
        <v>0</v>
      </c>
      <c r="G274">
        <f ca="1">IFERROR(SUMIFS(OFFSET(DBRA_TopicHCP,0,G$217,DBR_COUNT,1),DBRA_WorkplanDate,$C274,DBRA_PlayerID,$D$3),"")</f>
        <v>0</v>
      </c>
      <c r="H274">
        <f ca="1">IFERROR(SUMIFS(OFFSET(DBRA_TopicHCP,0,H$217,DBR_COUNT,1),DBRA_WorkplanDate,$C274,DBRA_PlayerID,$D$3),"")</f>
        <v>0</v>
      </c>
      <c r="I274">
        <f ca="1">IFERROR(SUMIFS(OFFSET(DBRA_TopicHCP,0,I$217,DBR_COUNT,1),DBRA_WorkplanDate,$C274,DBRA_PlayerID,$D$3),"")</f>
        <v>0</v>
      </c>
      <c r="J274">
        <f ca="1">IFERROR(SUMIFS(OFFSET(DBRA_TopicHCP,0,J$217,DBR_COUNT,1),DBRA_WorkplanDate,$C274,DBRA_PlayerID,$D$3),"")</f>
        <v>0</v>
      </c>
      <c r="K274">
        <f ca="1">IFERROR(SUMIFS(OFFSET(DBRA_TopicHCP,0,K$217,DBR_COUNT,1),DBRA_WorkplanDate,$C274,DBRA_PlayerID,$D$3),"")</f>
        <v>0</v>
      </c>
      <c r="L274">
        <f ca="1">IFERROR(SUMIFS(OFFSET(DBRA_TopicHCP,0,L$217,DBR_COUNT,1),DBRA_WorkplanDate,$C274,DBRA_PlayerID,$D$3),"")</f>
        <v>0</v>
      </c>
      <c r="M274" s="47"/>
      <c r="N274">
        <f ca="1">IFERROR(SUMIFS(OFFSET(DBRA_TopicCount,0,N$217,DBR_COUNT,1),DBRA_WorkplanDate,$C274,DBRA_PlayerID,$D$3),"")</f>
        <v>0</v>
      </c>
      <c r="O274">
        <f ca="1">IFERROR(SUMIFS(OFFSET(DBRA_TopicCount,0,O$217,DBR_COUNT,1),DBRA_WorkplanDate,$C274,DBRA_PlayerID,$D$3),"")</f>
        <v>0</v>
      </c>
      <c r="P274">
        <f ca="1">IFERROR(SUMIFS(OFFSET(DBRA_TopicCount,0,P$217,DBR_COUNT,1),DBRA_WorkplanDate,$C274,DBRA_PlayerID,$D$3),"")</f>
        <v>0</v>
      </c>
      <c r="Q274">
        <f ca="1">IFERROR(SUMIFS(OFFSET(DBRA_TopicCount,0,Q$217,DBR_COUNT,1),DBRA_WorkplanDate,$C274,DBRA_PlayerID,$D$3),"")</f>
        <v>0</v>
      </c>
      <c r="R274">
        <f ca="1">IFERROR(SUMIFS(OFFSET(DBRA_TopicCount,0,R$217,DBR_COUNT,1),DBRA_WorkplanDate,$C274,DBRA_PlayerID,$D$3),"")</f>
        <v>0</v>
      </c>
      <c r="S274">
        <f ca="1">IFERROR(SUMIFS(OFFSET(DBRA_TopicCount,0,S$217,DBR_COUNT,1),DBRA_WorkplanDate,$C274,DBRA_PlayerID,$D$3),"")</f>
        <v>0</v>
      </c>
      <c r="T274">
        <f ca="1">IFERROR(SUMIFS(OFFSET(DBRA_TopicCount,0,T$217,DBR_COUNT,1),DBRA_WorkplanDate,$C274,DBRA_PlayerID,$D$3),"")</f>
        <v>0</v>
      </c>
      <c r="U274">
        <f ca="1">IFERROR(SUMIFS(OFFSET(DBRA_TopicCount,0,U$217,DBR_COUNT,1),DBRA_WorkplanDate,$C274,DBRA_PlayerID,$D$3),"")</f>
        <v>0</v>
      </c>
      <c r="V274">
        <f ca="1">IFERROR(SUMIFS(OFFSET(DBRA_TopicCount,0,V$217,DBR_COUNT,1),DBRA_WorkplanDate,$C274,DBRA_PlayerID,$D$3),"")</f>
        <v>0</v>
      </c>
      <c r="W274" s="47"/>
      <c r="X274" t="str">
        <f t="shared" ca="1" si="74"/>
        <v/>
      </c>
      <c r="Y274" t="str">
        <f t="shared" ca="1" si="66"/>
        <v/>
      </c>
      <c r="Z274" t="str">
        <f t="shared" ca="1" si="67"/>
        <v/>
      </c>
      <c r="AA274" t="str">
        <f t="shared" ca="1" si="68"/>
        <v/>
      </c>
      <c r="AB274" t="str">
        <f t="shared" ca="1" si="69"/>
        <v/>
      </c>
      <c r="AC274" t="str">
        <f t="shared" ca="1" si="70"/>
        <v/>
      </c>
      <c r="AD274" t="str">
        <f t="shared" ca="1" si="71"/>
        <v/>
      </c>
      <c r="AE274" t="str">
        <f t="shared" ca="1" si="72"/>
        <v/>
      </c>
      <c r="AF274" t="str">
        <f t="shared" ca="1" si="73"/>
        <v/>
      </c>
      <c r="AG274" s="47"/>
    </row>
    <row r="275" spans="3:33" x14ac:dyDescent="0.25">
      <c r="C275" s="118">
        <f t="shared" si="75"/>
        <v>42061</v>
      </c>
      <c r="D275">
        <f ca="1">IFERROR(SUMIFS(OFFSET(DBRA_TopicHCP,0,D$217,DBR_COUNT,1),DBRA_WorkplanDate,$C275,DBRA_PlayerID,$D$3),"")</f>
        <v>0</v>
      </c>
      <c r="E275">
        <f ca="1">IFERROR(SUMIFS(OFFSET(DBRA_TopicHCP,0,E$217,DBR_COUNT,1),DBRA_WorkplanDate,$C275,DBRA_PlayerID,$D$3),"")</f>
        <v>0</v>
      </c>
      <c r="F275">
        <f ca="1">IFERROR(SUMIFS(OFFSET(DBRA_TopicHCP,0,F$217,DBR_COUNT,1),DBRA_WorkplanDate,$C275,DBRA_PlayerID,$D$3),"")</f>
        <v>0</v>
      </c>
      <c r="G275">
        <f ca="1">IFERROR(SUMIFS(OFFSET(DBRA_TopicHCP,0,G$217,DBR_COUNT,1),DBRA_WorkplanDate,$C275,DBRA_PlayerID,$D$3),"")</f>
        <v>0</v>
      </c>
      <c r="H275">
        <f ca="1">IFERROR(SUMIFS(OFFSET(DBRA_TopicHCP,0,H$217,DBR_COUNT,1),DBRA_WorkplanDate,$C275,DBRA_PlayerID,$D$3),"")</f>
        <v>0</v>
      </c>
      <c r="I275">
        <f ca="1">IFERROR(SUMIFS(OFFSET(DBRA_TopicHCP,0,I$217,DBR_COUNT,1),DBRA_WorkplanDate,$C275,DBRA_PlayerID,$D$3),"")</f>
        <v>0</v>
      </c>
      <c r="J275">
        <f ca="1">IFERROR(SUMIFS(OFFSET(DBRA_TopicHCP,0,J$217,DBR_COUNT,1),DBRA_WorkplanDate,$C275,DBRA_PlayerID,$D$3),"")</f>
        <v>0</v>
      </c>
      <c r="K275">
        <f ca="1">IFERROR(SUMIFS(OFFSET(DBRA_TopicHCP,0,K$217,DBR_COUNT,1),DBRA_WorkplanDate,$C275,DBRA_PlayerID,$D$3),"")</f>
        <v>0</v>
      </c>
      <c r="L275">
        <f ca="1">IFERROR(SUMIFS(OFFSET(DBRA_TopicHCP,0,L$217,DBR_COUNT,1),DBRA_WorkplanDate,$C275,DBRA_PlayerID,$D$3),"")</f>
        <v>0</v>
      </c>
      <c r="M275" s="47"/>
      <c r="N275">
        <f ca="1">IFERROR(SUMIFS(OFFSET(DBRA_TopicCount,0,N$217,DBR_COUNT,1),DBRA_WorkplanDate,$C275,DBRA_PlayerID,$D$3),"")</f>
        <v>0</v>
      </c>
      <c r="O275">
        <f ca="1">IFERROR(SUMIFS(OFFSET(DBRA_TopicCount,0,O$217,DBR_COUNT,1),DBRA_WorkplanDate,$C275,DBRA_PlayerID,$D$3),"")</f>
        <v>0</v>
      </c>
      <c r="P275">
        <f ca="1">IFERROR(SUMIFS(OFFSET(DBRA_TopicCount,0,P$217,DBR_COUNT,1),DBRA_WorkplanDate,$C275,DBRA_PlayerID,$D$3),"")</f>
        <v>0</v>
      </c>
      <c r="Q275">
        <f ca="1">IFERROR(SUMIFS(OFFSET(DBRA_TopicCount,0,Q$217,DBR_COUNT,1),DBRA_WorkplanDate,$C275,DBRA_PlayerID,$D$3),"")</f>
        <v>0</v>
      </c>
      <c r="R275">
        <f ca="1">IFERROR(SUMIFS(OFFSET(DBRA_TopicCount,0,R$217,DBR_COUNT,1),DBRA_WorkplanDate,$C275,DBRA_PlayerID,$D$3),"")</f>
        <v>0</v>
      </c>
      <c r="S275">
        <f ca="1">IFERROR(SUMIFS(OFFSET(DBRA_TopicCount,0,S$217,DBR_COUNT,1),DBRA_WorkplanDate,$C275,DBRA_PlayerID,$D$3),"")</f>
        <v>0</v>
      </c>
      <c r="T275">
        <f ca="1">IFERROR(SUMIFS(OFFSET(DBRA_TopicCount,0,T$217,DBR_COUNT,1),DBRA_WorkplanDate,$C275,DBRA_PlayerID,$D$3),"")</f>
        <v>0</v>
      </c>
      <c r="U275">
        <f ca="1">IFERROR(SUMIFS(OFFSET(DBRA_TopicCount,0,U$217,DBR_COUNT,1),DBRA_WorkplanDate,$C275,DBRA_PlayerID,$D$3),"")</f>
        <v>0</v>
      </c>
      <c r="V275">
        <f ca="1">IFERROR(SUMIFS(OFFSET(DBRA_TopicCount,0,V$217,DBR_COUNT,1),DBRA_WorkplanDate,$C275,DBRA_PlayerID,$D$3),"")</f>
        <v>0</v>
      </c>
      <c r="W275" s="47"/>
      <c r="X275" t="str">
        <f t="shared" ca="1" si="74"/>
        <v/>
      </c>
      <c r="Y275" t="str">
        <f t="shared" ca="1" si="66"/>
        <v/>
      </c>
      <c r="Z275" t="str">
        <f t="shared" ca="1" si="67"/>
        <v/>
      </c>
      <c r="AA275" t="str">
        <f t="shared" ca="1" si="68"/>
        <v/>
      </c>
      <c r="AB275" t="str">
        <f t="shared" ca="1" si="69"/>
        <v/>
      </c>
      <c r="AC275" t="str">
        <f t="shared" ca="1" si="70"/>
        <v/>
      </c>
      <c r="AD275" t="str">
        <f t="shared" ca="1" si="71"/>
        <v/>
      </c>
      <c r="AE275" t="str">
        <f t="shared" ca="1" si="72"/>
        <v/>
      </c>
      <c r="AF275" t="str">
        <f t="shared" ca="1" si="73"/>
        <v/>
      </c>
      <c r="AG275" s="47"/>
    </row>
    <row r="276" spans="3:33" x14ac:dyDescent="0.25">
      <c r="C276" s="118">
        <f t="shared" si="75"/>
        <v>42062</v>
      </c>
      <c r="D276">
        <f ca="1">IFERROR(SUMIFS(OFFSET(DBRA_TopicHCP,0,D$217,DBR_COUNT,1),DBRA_WorkplanDate,$C276,DBRA_PlayerID,$D$3),"")</f>
        <v>0</v>
      </c>
      <c r="E276">
        <f ca="1">IFERROR(SUMIFS(OFFSET(DBRA_TopicHCP,0,E$217,DBR_COUNT,1),DBRA_WorkplanDate,$C276,DBRA_PlayerID,$D$3),"")</f>
        <v>0</v>
      </c>
      <c r="F276">
        <f ca="1">IFERROR(SUMIFS(OFFSET(DBRA_TopicHCP,0,F$217,DBR_COUNT,1),DBRA_WorkplanDate,$C276,DBRA_PlayerID,$D$3),"")</f>
        <v>0</v>
      </c>
      <c r="G276">
        <f ca="1">IFERROR(SUMIFS(OFFSET(DBRA_TopicHCP,0,G$217,DBR_COUNT,1),DBRA_WorkplanDate,$C276,DBRA_PlayerID,$D$3),"")</f>
        <v>0</v>
      </c>
      <c r="H276">
        <f ca="1">IFERROR(SUMIFS(OFFSET(DBRA_TopicHCP,0,H$217,DBR_COUNT,1),DBRA_WorkplanDate,$C276,DBRA_PlayerID,$D$3),"")</f>
        <v>0</v>
      </c>
      <c r="I276">
        <f ca="1">IFERROR(SUMIFS(OFFSET(DBRA_TopicHCP,0,I$217,DBR_COUNT,1),DBRA_WorkplanDate,$C276,DBRA_PlayerID,$D$3),"")</f>
        <v>0</v>
      </c>
      <c r="J276">
        <f ca="1">IFERROR(SUMIFS(OFFSET(DBRA_TopicHCP,0,J$217,DBR_COUNT,1),DBRA_WorkplanDate,$C276,DBRA_PlayerID,$D$3),"")</f>
        <v>0</v>
      </c>
      <c r="K276">
        <f ca="1">IFERROR(SUMIFS(OFFSET(DBRA_TopicHCP,0,K$217,DBR_COUNT,1),DBRA_WorkplanDate,$C276,DBRA_PlayerID,$D$3),"")</f>
        <v>0</v>
      </c>
      <c r="L276">
        <f ca="1">IFERROR(SUMIFS(OFFSET(DBRA_TopicHCP,0,L$217,DBR_COUNT,1),DBRA_WorkplanDate,$C276,DBRA_PlayerID,$D$3),"")</f>
        <v>0</v>
      </c>
      <c r="M276" s="47"/>
      <c r="N276">
        <f ca="1">IFERROR(SUMIFS(OFFSET(DBRA_TopicCount,0,N$217,DBR_COUNT,1),DBRA_WorkplanDate,$C276,DBRA_PlayerID,$D$3),"")</f>
        <v>0</v>
      </c>
      <c r="O276">
        <f ca="1">IFERROR(SUMIFS(OFFSET(DBRA_TopicCount,0,O$217,DBR_COUNT,1),DBRA_WorkplanDate,$C276,DBRA_PlayerID,$D$3),"")</f>
        <v>0</v>
      </c>
      <c r="P276">
        <f ca="1">IFERROR(SUMIFS(OFFSET(DBRA_TopicCount,0,P$217,DBR_COUNT,1),DBRA_WorkplanDate,$C276,DBRA_PlayerID,$D$3),"")</f>
        <v>0</v>
      </c>
      <c r="Q276">
        <f ca="1">IFERROR(SUMIFS(OFFSET(DBRA_TopicCount,0,Q$217,DBR_COUNT,1),DBRA_WorkplanDate,$C276,DBRA_PlayerID,$D$3),"")</f>
        <v>0</v>
      </c>
      <c r="R276">
        <f ca="1">IFERROR(SUMIFS(OFFSET(DBRA_TopicCount,0,R$217,DBR_COUNT,1),DBRA_WorkplanDate,$C276,DBRA_PlayerID,$D$3),"")</f>
        <v>0</v>
      </c>
      <c r="S276">
        <f ca="1">IFERROR(SUMIFS(OFFSET(DBRA_TopicCount,0,S$217,DBR_COUNT,1),DBRA_WorkplanDate,$C276,DBRA_PlayerID,$D$3),"")</f>
        <v>0</v>
      </c>
      <c r="T276">
        <f ca="1">IFERROR(SUMIFS(OFFSET(DBRA_TopicCount,0,T$217,DBR_COUNT,1),DBRA_WorkplanDate,$C276,DBRA_PlayerID,$D$3),"")</f>
        <v>0</v>
      </c>
      <c r="U276">
        <f ca="1">IFERROR(SUMIFS(OFFSET(DBRA_TopicCount,0,U$217,DBR_COUNT,1),DBRA_WorkplanDate,$C276,DBRA_PlayerID,$D$3),"")</f>
        <v>0</v>
      </c>
      <c r="V276">
        <f ca="1">IFERROR(SUMIFS(OFFSET(DBRA_TopicCount,0,V$217,DBR_COUNT,1),DBRA_WorkplanDate,$C276,DBRA_PlayerID,$D$3),"")</f>
        <v>0</v>
      </c>
      <c r="W276" s="47"/>
      <c r="X276" t="str">
        <f t="shared" ca="1" si="74"/>
        <v/>
      </c>
      <c r="Y276" t="str">
        <f t="shared" ca="1" si="66"/>
        <v/>
      </c>
      <c r="Z276" t="str">
        <f t="shared" ca="1" si="67"/>
        <v/>
      </c>
      <c r="AA276" t="str">
        <f t="shared" ca="1" si="68"/>
        <v/>
      </c>
      <c r="AB276" t="str">
        <f t="shared" ca="1" si="69"/>
        <v/>
      </c>
      <c r="AC276" t="str">
        <f t="shared" ca="1" si="70"/>
        <v/>
      </c>
      <c r="AD276" t="str">
        <f t="shared" ca="1" si="71"/>
        <v/>
      </c>
      <c r="AE276" t="str">
        <f t="shared" ca="1" si="72"/>
        <v/>
      </c>
      <c r="AF276" t="str">
        <f t="shared" ca="1" si="73"/>
        <v/>
      </c>
      <c r="AG276" s="47"/>
    </row>
    <row r="277" spans="3:33" x14ac:dyDescent="0.25">
      <c r="C277" s="118">
        <f t="shared" si="75"/>
        <v>42063</v>
      </c>
      <c r="D277">
        <f ca="1">IFERROR(SUMIFS(OFFSET(DBRA_TopicHCP,0,D$217,DBR_COUNT,1),DBRA_WorkplanDate,$C277,DBRA_PlayerID,$D$3),"")</f>
        <v>0</v>
      </c>
      <c r="E277">
        <f ca="1">IFERROR(SUMIFS(OFFSET(DBRA_TopicHCP,0,E$217,DBR_COUNT,1),DBRA_WorkplanDate,$C277,DBRA_PlayerID,$D$3),"")</f>
        <v>0</v>
      </c>
      <c r="F277">
        <f ca="1">IFERROR(SUMIFS(OFFSET(DBRA_TopicHCP,0,F$217,DBR_COUNT,1),DBRA_WorkplanDate,$C277,DBRA_PlayerID,$D$3),"")</f>
        <v>0</v>
      </c>
      <c r="G277">
        <f ca="1">IFERROR(SUMIFS(OFFSET(DBRA_TopicHCP,0,G$217,DBR_COUNT,1),DBRA_WorkplanDate,$C277,DBRA_PlayerID,$D$3),"")</f>
        <v>0</v>
      </c>
      <c r="H277">
        <f ca="1">IFERROR(SUMIFS(OFFSET(DBRA_TopicHCP,0,H$217,DBR_COUNT,1),DBRA_WorkplanDate,$C277,DBRA_PlayerID,$D$3),"")</f>
        <v>0</v>
      </c>
      <c r="I277">
        <f ca="1">IFERROR(SUMIFS(OFFSET(DBRA_TopicHCP,0,I$217,DBR_COUNT,1),DBRA_WorkplanDate,$C277,DBRA_PlayerID,$D$3),"")</f>
        <v>0</v>
      </c>
      <c r="J277">
        <f ca="1">IFERROR(SUMIFS(OFFSET(DBRA_TopicHCP,0,J$217,DBR_COUNT,1),DBRA_WorkplanDate,$C277,DBRA_PlayerID,$D$3),"")</f>
        <v>0</v>
      </c>
      <c r="K277">
        <f ca="1">IFERROR(SUMIFS(OFFSET(DBRA_TopicHCP,0,K$217,DBR_COUNT,1),DBRA_WorkplanDate,$C277,DBRA_PlayerID,$D$3),"")</f>
        <v>0</v>
      </c>
      <c r="L277">
        <f ca="1">IFERROR(SUMIFS(OFFSET(DBRA_TopicHCP,0,L$217,DBR_COUNT,1),DBRA_WorkplanDate,$C277,DBRA_PlayerID,$D$3),"")</f>
        <v>0</v>
      </c>
      <c r="M277" s="47"/>
      <c r="N277">
        <f ca="1">IFERROR(SUMIFS(OFFSET(DBRA_TopicCount,0,N$217,DBR_COUNT,1),DBRA_WorkplanDate,$C277,DBRA_PlayerID,$D$3),"")</f>
        <v>0</v>
      </c>
      <c r="O277">
        <f ca="1">IFERROR(SUMIFS(OFFSET(DBRA_TopicCount,0,O$217,DBR_COUNT,1),DBRA_WorkplanDate,$C277,DBRA_PlayerID,$D$3),"")</f>
        <v>0</v>
      </c>
      <c r="P277">
        <f ca="1">IFERROR(SUMIFS(OFFSET(DBRA_TopicCount,0,P$217,DBR_COUNT,1),DBRA_WorkplanDate,$C277,DBRA_PlayerID,$D$3),"")</f>
        <v>0</v>
      </c>
      <c r="Q277">
        <f ca="1">IFERROR(SUMIFS(OFFSET(DBRA_TopicCount,0,Q$217,DBR_COUNT,1),DBRA_WorkplanDate,$C277,DBRA_PlayerID,$D$3),"")</f>
        <v>0</v>
      </c>
      <c r="R277">
        <f ca="1">IFERROR(SUMIFS(OFFSET(DBRA_TopicCount,0,R$217,DBR_COUNT,1),DBRA_WorkplanDate,$C277,DBRA_PlayerID,$D$3),"")</f>
        <v>0</v>
      </c>
      <c r="S277">
        <f ca="1">IFERROR(SUMIFS(OFFSET(DBRA_TopicCount,0,S$217,DBR_COUNT,1),DBRA_WorkplanDate,$C277,DBRA_PlayerID,$D$3),"")</f>
        <v>0</v>
      </c>
      <c r="T277">
        <f ca="1">IFERROR(SUMIFS(OFFSET(DBRA_TopicCount,0,T$217,DBR_COUNT,1),DBRA_WorkplanDate,$C277,DBRA_PlayerID,$D$3),"")</f>
        <v>0</v>
      </c>
      <c r="U277">
        <f ca="1">IFERROR(SUMIFS(OFFSET(DBRA_TopicCount,0,U$217,DBR_COUNT,1),DBRA_WorkplanDate,$C277,DBRA_PlayerID,$D$3),"")</f>
        <v>0</v>
      </c>
      <c r="V277">
        <f ca="1">IFERROR(SUMIFS(OFFSET(DBRA_TopicCount,0,V$217,DBR_COUNT,1),DBRA_WorkplanDate,$C277,DBRA_PlayerID,$D$3),"")</f>
        <v>0</v>
      </c>
      <c r="W277" s="47"/>
      <c r="X277" t="str">
        <f t="shared" ca="1" si="74"/>
        <v/>
      </c>
      <c r="Y277" t="str">
        <f t="shared" ca="1" si="66"/>
        <v/>
      </c>
      <c r="Z277" t="str">
        <f t="shared" ca="1" si="67"/>
        <v/>
      </c>
      <c r="AA277" t="str">
        <f t="shared" ca="1" si="68"/>
        <v/>
      </c>
      <c r="AB277" t="str">
        <f t="shared" ca="1" si="69"/>
        <v/>
      </c>
      <c r="AC277" t="str">
        <f t="shared" ca="1" si="70"/>
        <v/>
      </c>
      <c r="AD277" t="str">
        <f t="shared" ca="1" si="71"/>
        <v/>
      </c>
      <c r="AE277" t="str">
        <f t="shared" ca="1" si="72"/>
        <v/>
      </c>
      <c r="AF277" t="str">
        <f t="shared" ca="1" si="73"/>
        <v/>
      </c>
      <c r="AG277" s="47"/>
    </row>
    <row r="278" spans="3:33" x14ac:dyDescent="0.25">
      <c r="C278" s="118">
        <f t="shared" si="75"/>
        <v>42064</v>
      </c>
      <c r="D278">
        <f ca="1">IFERROR(SUMIFS(OFFSET(DBRA_TopicHCP,0,D$217,DBR_COUNT,1),DBRA_WorkplanDate,$C278,DBRA_PlayerID,$D$3),"")</f>
        <v>0</v>
      </c>
      <c r="E278">
        <f ca="1">IFERROR(SUMIFS(OFFSET(DBRA_TopicHCP,0,E$217,DBR_COUNT,1),DBRA_WorkplanDate,$C278,DBRA_PlayerID,$D$3),"")</f>
        <v>0</v>
      </c>
      <c r="F278">
        <f ca="1">IFERROR(SUMIFS(OFFSET(DBRA_TopicHCP,0,F$217,DBR_COUNT,1),DBRA_WorkplanDate,$C278,DBRA_PlayerID,$D$3),"")</f>
        <v>0</v>
      </c>
      <c r="G278">
        <f ca="1">IFERROR(SUMIFS(OFFSET(DBRA_TopicHCP,0,G$217,DBR_COUNT,1),DBRA_WorkplanDate,$C278,DBRA_PlayerID,$D$3),"")</f>
        <v>0</v>
      </c>
      <c r="H278">
        <f ca="1">IFERROR(SUMIFS(OFFSET(DBRA_TopicHCP,0,H$217,DBR_COUNT,1),DBRA_WorkplanDate,$C278,DBRA_PlayerID,$D$3),"")</f>
        <v>0</v>
      </c>
      <c r="I278">
        <f ca="1">IFERROR(SUMIFS(OFFSET(DBRA_TopicHCP,0,I$217,DBR_COUNT,1),DBRA_WorkplanDate,$C278,DBRA_PlayerID,$D$3),"")</f>
        <v>0</v>
      </c>
      <c r="J278">
        <f ca="1">IFERROR(SUMIFS(OFFSET(DBRA_TopicHCP,0,J$217,DBR_COUNT,1),DBRA_WorkplanDate,$C278,DBRA_PlayerID,$D$3),"")</f>
        <v>0</v>
      </c>
      <c r="K278">
        <f ca="1">IFERROR(SUMIFS(OFFSET(DBRA_TopicHCP,0,K$217,DBR_COUNT,1),DBRA_WorkplanDate,$C278,DBRA_PlayerID,$D$3),"")</f>
        <v>0</v>
      </c>
      <c r="L278">
        <f ca="1">IFERROR(SUMIFS(OFFSET(DBRA_TopicHCP,0,L$217,DBR_COUNT,1),DBRA_WorkplanDate,$C278,DBRA_PlayerID,$D$3),"")</f>
        <v>0</v>
      </c>
      <c r="M278" s="47"/>
      <c r="N278">
        <f ca="1">IFERROR(SUMIFS(OFFSET(DBRA_TopicCount,0,N$217,DBR_COUNT,1),DBRA_WorkplanDate,$C278,DBRA_PlayerID,$D$3),"")</f>
        <v>0</v>
      </c>
      <c r="O278">
        <f ca="1">IFERROR(SUMIFS(OFFSET(DBRA_TopicCount,0,O$217,DBR_COUNT,1),DBRA_WorkplanDate,$C278,DBRA_PlayerID,$D$3),"")</f>
        <v>0</v>
      </c>
      <c r="P278">
        <f ca="1">IFERROR(SUMIFS(OFFSET(DBRA_TopicCount,0,P$217,DBR_COUNT,1),DBRA_WorkplanDate,$C278,DBRA_PlayerID,$D$3),"")</f>
        <v>0</v>
      </c>
      <c r="Q278">
        <f ca="1">IFERROR(SUMIFS(OFFSET(DBRA_TopicCount,0,Q$217,DBR_COUNT,1),DBRA_WorkplanDate,$C278,DBRA_PlayerID,$D$3),"")</f>
        <v>0</v>
      </c>
      <c r="R278">
        <f ca="1">IFERROR(SUMIFS(OFFSET(DBRA_TopicCount,0,R$217,DBR_COUNT,1),DBRA_WorkplanDate,$C278,DBRA_PlayerID,$D$3),"")</f>
        <v>0</v>
      </c>
      <c r="S278">
        <f ca="1">IFERROR(SUMIFS(OFFSET(DBRA_TopicCount,0,S$217,DBR_COUNT,1),DBRA_WorkplanDate,$C278,DBRA_PlayerID,$D$3),"")</f>
        <v>0</v>
      </c>
      <c r="T278">
        <f ca="1">IFERROR(SUMIFS(OFFSET(DBRA_TopicCount,0,T$217,DBR_COUNT,1),DBRA_WorkplanDate,$C278,DBRA_PlayerID,$D$3),"")</f>
        <v>0</v>
      </c>
      <c r="U278">
        <f ca="1">IFERROR(SUMIFS(OFFSET(DBRA_TopicCount,0,U$217,DBR_COUNT,1),DBRA_WorkplanDate,$C278,DBRA_PlayerID,$D$3),"")</f>
        <v>0</v>
      </c>
      <c r="V278">
        <f ca="1">IFERROR(SUMIFS(OFFSET(DBRA_TopicCount,0,V$217,DBR_COUNT,1),DBRA_WorkplanDate,$C278,DBRA_PlayerID,$D$3),"")</f>
        <v>0</v>
      </c>
      <c r="W278" s="47"/>
      <c r="X278" t="str">
        <f t="shared" ca="1" si="74"/>
        <v/>
      </c>
      <c r="Y278" t="str">
        <f t="shared" ca="1" si="66"/>
        <v/>
      </c>
      <c r="Z278" t="str">
        <f t="shared" ca="1" si="67"/>
        <v/>
      </c>
      <c r="AA278" t="str">
        <f t="shared" ca="1" si="68"/>
        <v/>
      </c>
      <c r="AB278" t="str">
        <f t="shared" ca="1" si="69"/>
        <v/>
      </c>
      <c r="AC278" t="str">
        <f t="shared" ca="1" si="70"/>
        <v/>
      </c>
      <c r="AD278" t="str">
        <f t="shared" ca="1" si="71"/>
        <v/>
      </c>
      <c r="AE278" t="str">
        <f t="shared" ca="1" si="72"/>
        <v/>
      </c>
      <c r="AF278" t="str">
        <f t="shared" ca="1" si="73"/>
        <v/>
      </c>
      <c r="AG278" s="47"/>
    </row>
    <row r="279" spans="3:33" x14ac:dyDescent="0.25">
      <c r="C279" s="118">
        <f t="shared" si="75"/>
        <v>42065</v>
      </c>
      <c r="D279">
        <f ca="1">IFERROR(SUMIFS(OFFSET(DBRA_TopicHCP,0,D$217,DBR_COUNT,1),DBRA_WorkplanDate,$C279,DBRA_PlayerID,$D$3),"")</f>
        <v>0</v>
      </c>
      <c r="E279">
        <f ca="1">IFERROR(SUMIFS(OFFSET(DBRA_TopicHCP,0,E$217,DBR_COUNT,1),DBRA_WorkplanDate,$C279,DBRA_PlayerID,$D$3),"")</f>
        <v>0</v>
      </c>
      <c r="F279">
        <f ca="1">IFERROR(SUMIFS(OFFSET(DBRA_TopicHCP,0,F$217,DBR_COUNT,1),DBRA_WorkplanDate,$C279,DBRA_PlayerID,$D$3),"")</f>
        <v>0</v>
      </c>
      <c r="G279">
        <f ca="1">IFERROR(SUMIFS(OFFSET(DBRA_TopicHCP,0,G$217,DBR_COUNT,1),DBRA_WorkplanDate,$C279,DBRA_PlayerID,$D$3),"")</f>
        <v>0</v>
      </c>
      <c r="H279">
        <f ca="1">IFERROR(SUMIFS(OFFSET(DBRA_TopicHCP,0,H$217,DBR_COUNT,1),DBRA_WorkplanDate,$C279,DBRA_PlayerID,$D$3),"")</f>
        <v>0</v>
      </c>
      <c r="I279">
        <f ca="1">IFERROR(SUMIFS(OFFSET(DBRA_TopicHCP,0,I$217,DBR_COUNT,1),DBRA_WorkplanDate,$C279,DBRA_PlayerID,$D$3),"")</f>
        <v>0</v>
      </c>
      <c r="J279">
        <f ca="1">IFERROR(SUMIFS(OFFSET(DBRA_TopicHCP,0,J$217,DBR_COUNT,1),DBRA_WorkplanDate,$C279,DBRA_PlayerID,$D$3),"")</f>
        <v>0</v>
      </c>
      <c r="K279">
        <f ca="1">IFERROR(SUMIFS(OFFSET(DBRA_TopicHCP,0,K$217,DBR_COUNT,1),DBRA_WorkplanDate,$C279,DBRA_PlayerID,$D$3),"")</f>
        <v>0</v>
      </c>
      <c r="L279">
        <f ca="1">IFERROR(SUMIFS(OFFSET(DBRA_TopicHCP,0,L$217,DBR_COUNT,1),DBRA_WorkplanDate,$C279,DBRA_PlayerID,$D$3),"")</f>
        <v>0</v>
      </c>
      <c r="M279" s="47"/>
      <c r="N279">
        <f ca="1">IFERROR(SUMIFS(OFFSET(DBRA_TopicCount,0,N$217,DBR_COUNT,1),DBRA_WorkplanDate,$C279,DBRA_PlayerID,$D$3),"")</f>
        <v>0</v>
      </c>
      <c r="O279">
        <f ca="1">IFERROR(SUMIFS(OFFSET(DBRA_TopicCount,0,O$217,DBR_COUNT,1),DBRA_WorkplanDate,$C279,DBRA_PlayerID,$D$3),"")</f>
        <v>0</v>
      </c>
      <c r="P279">
        <f ca="1">IFERROR(SUMIFS(OFFSET(DBRA_TopicCount,0,P$217,DBR_COUNT,1),DBRA_WorkplanDate,$C279,DBRA_PlayerID,$D$3),"")</f>
        <v>0</v>
      </c>
      <c r="Q279">
        <f ca="1">IFERROR(SUMIFS(OFFSET(DBRA_TopicCount,0,Q$217,DBR_COUNT,1),DBRA_WorkplanDate,$C279,DBRA_PlayerID,$D$3),"")</f>
        <v>0</v>
      </c>
      <c r="R279">
        <f ca="1">IFERROR(SUMIFS(OFFSET(DBRA_TopicCount,0,R$217,DBR_COUNT,1),DBRA_WorkplanDate,$C279,DBRA_PlayerID,$D$3),"")</f>
        <v>0</v>
      </c>
      <c r="S279">
        <f ca="1">IFERROR(SUMIFS(OFFSET(DBRA_TopicCount,0,S$217,DBR_COUNT,1),DBRA_WorkplanDate,$C279,DBRA_PlayerID,$D$3),"")</f>
        <v>0</v>
      </c>
      <c r="T279">
        <f ca="1">IFERROR(SUMIFS(OFFSET(DBRA_TopicCount,0,T$217,DBR_COUNT,1),DBRA_WorkplanDate,$C279,DBRA_PlayerID,$D$3),"")</f>
        <v>0</v>
      </c>
      <c r="U279">
        <f ca="1">IFERROR(SUMIFS(OFFSET(DBRA_TopicCount,0,U$217,DBR_COUNT,1),DBRA_WorkplanDate,$C279,DBRA_PlayerID,$D$3),"")</f>
        <v>0</v>
      </c>
      <c r="V279">
        <f ca="1">IFERROR(SUMIFS(OFFSET(DBRA_TopicCount,0,V$217,DBR_COUNT,1),DBRA_WorkplanDate,$C279,DBRA_PlayerID,$D$3),"")</f>
        <v>0</v>
      </c>
      <c r="W279" s="47"/>
      <c r="X279" t="str">
        <f t="shared" ca="1" si="74"/>
        <v/>
      </c>
      <c r="Y279" t="str">
        <f t="shared" ca="1" si="66"/>
        <v/>
      </c>
      <c r="Z279" t="str">
        <f t="shared" ca="1" si="67"/>
        <v/>
      </c>
      <c r="AA279" t="str">
        <f t="shared" ca="1" si="68"/>
        <v/>
      </c>
      <c r="AB279" t="str">
        <f t="shared" ca="1" si="69"/>
        <v/>
      </c>
      <c r="AC279" t="str">
        <f t="shared" ca="1" si="70"/>
        <v/>
      </c>
      <c r="AD279" t="str">
        <f t="shared" ca="1" si="71"/>
        <v/>
      </c>
      <c r="AE279" t="str">
        <f t="shared" ca="1" si="72"/>
        <v/>
      </c>
      <c r="AF279" t="str">
        <f t="shared" ca="1" si="73"/>
        <v/>
      </c>
      <c r="AG279" s="47"/>
    </row>
    <row r="280" spans="3:33" x14ac:dyDescent="0.25">
      <c r="C280" s="118">
        <f t="shared" si="75"/>
        <v>42066</v>
      </c>
      <c r="D280">
        <f ca="1">IFERROR(SUMIFS(OFFSET(DBRA_TopicHCP,0,D$217,DBR_COUNT,1),DBRA_WorkplanDate,$C280,DBRA_PlayerID,$D$3),"")</f>
        <v>0</v>
      </c>
      <c r="E280">
        <f ca="1">IFERROR(SUMIFS(OFFSET(DBRA_TopicHCP,0,E$217,DBR_COUNT,1),DBRA_WorkplanDate,$C280,DBRA_PlayerID,$D$3),"")</f>
        <v>0</v>
      </c>
      <c r="F280">
        <f ca="1">IFERROR(SUMIFS(OFFSET(DBRA_TopicHCP,0,F$217,DBR_COUNT,1),DBRA_WorkplanDate,$C280,DBRA_PlayerID,$D$3),"")</f>
        <v>0</v>
      </c>
      <c r="G280">
        <f ca="1">IFERROR(SUMIFS(OFFSET(DBRA_TopicHCP,0,G$217,DBR_COUNT,1),DBRA_WorkplanDate,$C280,DBRA_PlayerID,$D$3),"")</f>
        <v>0</v>
      </c>
      <c r="H280">
        <f ca="1">IFERROR(SUMIFS(OFFSET(DBRA_TopicHCP,0,H$217,DBR_COUNT,1),DBRA_WorkplanDate,$C280,DBRA_PlayerID,$D$3),"")</f>
        <v>0</v>
      </c>
      <c r="I280">
        <f ca="1">IFERROR(SUMIFS(OFFSET(DBRA_TopicHCP,0,I$217,DBR_COUNT,1),DBRA_WorkplanDate,$C280,DBRA_PlayerID,$D$3),"")</f>
        <v>0</v>
      </c>
      <c r="J280">
        <f ca="1">IFERROR(SUMIFS(OFFSET(DBRA_TopicHCP,0,J$217,DBR_COUNT,1),DBRA_WorkplanDate,$C280,DBRA_PlayerID,$D$3),"")</f>
        <v>0</v>
      </c>
      <c r="K280">
        <f ca="1">IFERROR(SUMIFS(OFFSET(DBRA_TopicHCP,0,K$217,DBR_COUNT,1),DBRA_WorkplanDate,$C280,DBRA_PlayerID,$D$3),"")</f>
        <v>0</v>
      </c>
      <c r="L280">
        <f ca="1">IFERROR(SUMIFS(OFFSET(DBRA_TopicHCP,0,L$217,DBR_COUNT,1),DBRA_WorkplanDate,$C280,DBRA_PlayerID,$D$3),"")</f>
        <v>0</v>
      </c>
      <c r="M280" s="47"/>
      <c r="N280">
        <f ca="1">IFERROR(SUMIFS(OFFSET(DBRA_TopicCount,0,N$217,DBR_COUNT,1),DBRA_WorkplanDate,$C280,DBRA_PlayerID,$D$3),"")</f>
        <v>0</v>
      </c>
      <c r="O280">
        <f ca="1">IFERROR(SUMIFS(OFFSET(DBRA_TopicCount,0,O$217,DBR_COUNT,1),DBRA_WorkplanDate,$C280,DBRA_PlayerID,$D$3),"")</f>
        <v>0</v>
      </c>
      <c r="P280">
        <f ca="1">IFERROR(SUMIFS(OFFSET(DBRA_TopicCount,0,P$217,DBR_COUNT,1),DBRA_WorkplanDate,$C280,DBRA_PlayerID,$D$3),"")</f>
        <v>0</v>
      </c>
      <c r="Q280">
        <f ca="1">IFERROR(SUMIFS(OFFSET(DBRA_TopicCount,0,Q$217,DBR_COUNT,1),DBRA_WorkplanDate,$C280,DBRA_PlayerID,$D$3),"")</f>
        <v>0</v>
      </c>
      <c r="R280">
        <f ca="1">IFERROR(SUMIFS(OFFSET(DBRA_TopicCount,0,R$217,DBR_COUNT,1),DBRA_WorkplanDate,$C280,DBRA_PlayerID,$D$3),"")</f>
        <v>0</v>
      </c>
      <c r="S280">
        <f ca="1">IFERROR(SUMIFS(OFFSET(DBRA_TopicCount,0,S$217,DBR_COUNT,1),DBRA_WorkplanDate,$C280,DBRA_PlayerID,$D$3),"")</f>
        <v>0</v>
      </c>
      <c r="T280">
        <f ca="1">IFERROR(SUMIFS(OFFSET(DBRA_TopicCount,0,T$217,DBR_COUNT,1),DBRA_WorkplanDate,$C280,DBRA_PlayerID,$D$3),"")</f>
        <v>0</v>
      </c>
      <c r="U280">
        <f ca="1">IFERROR(SUMIFS(OFFSET(DBRA_TopicCount,0,U$217,DBR_COUNT,1),DBRA_WorkplanDate,$C280,DBRA_PlayerID,$D$3),"")</f>
        <v>0</v>
      </c>
      <c r="V280">
        <f ca="1">IFERROR(SUMIFS(OFFSET(DBRA_TopicCount,0,V$217,DBR_COUNT,1),DBRA_WorkplanDate,$C280,DBRA_PlayerID,$D$3),"")</f>
        <v>0</v>
      </c>
      <c r="W280" s="47"/>
      <c r="X280" t="str">
        <f t="shared" ca="1" si="74"/>
        <v/>
      </c>
      <c r="Y280" t="str">
        <f t="shared" ca="1" si="66"/>
        <v/>
      </c>
      <c r="Z280" t="str">
        <f t="shared" ca="1" si="67"/>
        <v/>
      </c>
      <c r="AA280" t="str">
        <f t="shared" ca="1" si="68"/>
        <v/>
      </c>
      <c r="AB280" t="str">
        <f t="shared" ca="1" si="69"/>
        <v/>
      </c>
      <c r="AC280" t="str">
        <f t="shared" ca="1" si="70"/>
        <v/>
      </c>
      <c r="AD280" t="str">
        <f t="shared" ca="1" si="71"/>
        <v/>
      </c>
      <c r="AE280" t="str">
        <f t="shared" ca="1" si="72"/>
        <v/>
      </c>
      <c r="AF280" t="str">
        <f t="shared" ca="1" si="73"/>
        <v/>
      </c>
      <c r="AG280" s="47"/>
    </row>
    <row r="281" spans="3:33" x14ac:dyDescent="0.25">
      <c r="C281" s="118">
        <f t="shared" si="75"/>
        <v>42067</v>
      </c>
      <c r="D281">
        <f ca="1">IFERROR(SUMIFS(OFFSET(DBRA_TopicHCP,0,D$217,DBR_COUNT,1),DBRA_WorkplanDate,$C281,DBRA_PlayerID,$D$3),"")</f>
        <v>0</v>
      </c>
      <c r="E281">
        <f ca="1">IFERROR(SUMIFS(OFFSET(DBRA_TopicHCP,0,E$217,DBR_COUNT,1),DBRA_WorkplanDate,$C281,DBRA_PlayerID,$D$3),"")</f>
        <v>0</v>
      </c>
      <c r="F281">
        <f ca="1">IFERROR(SUMIFS(OFFSET(DBRA_TopicHCP,0,F$217,DBR_COUNT,1),DBRA_WorkplanDate,$C281,DBRA_PlayerID,$D$3),"")</f>
        <v>0</v>
      </c>
      <c r="G281">
        <f ca="1">IFERROR(SUMIFS(OFFSET(DBRA_TopicHCP,0,G$217,DBR_COUNT,1),DBRA_WorkplanDate,$C281,DBRA_PlayerID,$D$3),"")</f>
        <v>0</v>
      </c>
      <c r="H281">
        <f ca="1">IFERROR(SUMIFS(OFFSET(DBRA_TopicHCP,0,H$217,DBR_COUNT,1),DBRA_WorkplanDate,$C281,DBRA_PlayerID,$D$3),"")</f>
        <v>0</v>
      </c>
      <c r="I281">
        <f ca="1">IFERROR(SUMIFS(OFFSET(DBRA_TopicHCP,0,I$217,DBR_COUNT,1),DBRA_WorkplanDate,$C281,DBRA_PlayerID,$D$3),"")</f>
        <v>0</v>
      </c>
      <c r="J281">
        <f ca="1">IFERROR(SUMIFS(OFFSET(DBRA_TopicHCP,0,J$217,DBR_COUNT,1),DBRA_WorkplanDate,$C281,DBRA_PlayerID,$D$3),"")</f>
        <v>0</v>
      </c>
      <c r="K281">
        <f ca="1">IFERROR(SUMIFS(OFFSET(DBRA_TopicHCP,0,K$217,DBR_COUNT,1),DBRA_WorkplanDate,$C281,DBRA_PlayerID,$D$3),"")</f>
        <v>0</v>
      </c>
      <c r="L281">
        <f ca="1">IFERROR(SUMIFS(OFFSET(DBRA_TopicHCP,0,L$217,DBR_COUNT,1),DBRA_WorkplanDate,$C281,DBRA_PlayerID,$D$3),"")</f>
        <v>0</v>
      </c>
      <c r="M281" s="47"/>
      <c r="N281">
        <f ca="1">IFERROR(SUMIFS(OFFSET(DBRA_TopicCount,0,N$217,DBR_COUNT,1),DBRA_WorkplanDate,$C281,DBRA_PlayerID,$D$3),"")</f>
        <v>0</v>
      </c>
      <c r="O281">
        <f ca="1">IFERROR(SUMIFS(OFFSET(DBRA_TopicCount,0,O$217,DBR_COUNT,1),DBRA_WorkplanDate,$C281,DBRA_PlayerID,$D$3),"")</f>
        <v>0</v>
      </c>
      <c r="P281">
        <f ca="1">IFERROR(SUMIFS(OFFSET(DBRA_TopicCount,0,P$217,DBR_COUNT,1),DBRA_WorkplanDate,$C281,DBRA_PlayerID,$D$3),"")</f>
        <v>0</v>
      </c>
      <c r="Q281">
        <f ca="1">IFERROR(SUMIFS(OFFSET(DBRA_TopicCount,0,Q$217,DBR_COUNT,1),DBRA_WorkplanDate,$C281,DBRA_PlayerID,$D$3),"")</f>
        <v>0</v>
      </c>
      <c r="R281">
        <f ca="1">IFERROR(SUMIFS(OFFSET(DBRA_TopicCount,0,R$217,DBR_COUNT,1),DBRA_WorkplanDate,$C281,DBRA_PlayerID,$D$3),"")</f>
        <v>0</v>
      </c>
      <c r="S281">
        <f ca="1">IFERROR(SUMIFS(OFFSET(DBRA_TopicCount,0,S$217,DBR_COUNT,1),DBRA_WorkplanDate,$C281,DBRA_PlayerID,$D$3),"")</f>
        <v>0</v>
      </c>
      <c r="T281">
        <f ca="1">IFERROR(SUMIFS(OFFSET(DBRA_TopicCount,0,T$217,DBR_COUNT,1),DBRA_WorkplanDate,$C281,DBRA_PlayerID,$D$3),"")</f>
        <v>0</v>
      </c>
      <c r="U281">
        <f ca="1">IFERROR(SUMIFS(OFFSET(DBRA_TopicCount,0,U$217,DBR_COUNT,1),DBRA_WorkplanDate,$C281,DBRA_PlayerID,$D$3),"")</f>
        <v>0</v>
      </c>
      <c r="V281">
        <f ca="1">IFERROR(SUMIFS(OFFSET(DBRA_TopicCount,0,V$217,DBR_COUNT,1),DBRA_WorkplanDate,$C281,DBRA_PlayerID,$D$3),"")</f>
        <v>0</v>
      </c>
      <c r="W281" s="47"/>
      <c r="X281" t="str">
        <f t="shared" ca="1" si="74"/>
        <v/>
      </c>
      <c r="Y281" t="str">
        <f t="shared" ca="1" si="66"/>
        <v/>
      </c>
      <c r="Z281" t="str">
        <f t="shared" ca="1" si="67"/>
        <v/>
      </c>
      <c r="AA281" t="str">
        <f t="shared" ca="1" si="68"/>
        <v/>
      </c>
      <c r="AB281" t="str">
        <f t="shared" ca="1" si="69"/>
        <v/>
      </c>
      <c r="AC281" t="str">
        <f t="shared" ca="1" si="70"/>
        <v/>
      </c>
      <c r="AD281" t="str">
        <f t="shared" ca="1" si="71"/>
        <v/>
      </c>
      <c r="AE281" t="str">
        <f t="shared" ca="1" si="72"/>
        <v/>
      </c>
      <c r="AF281" t="str">
        <f t="shared" ca="1" si="73"/>
        <v/>
      </c>
      <c r="AG281" s="47"/>
    </row>
    <row r="282" spans="3:33" x14ac:dyDescent="0.25">
      <c r="C282" s="118">
        <f t="shared" si="75"/>
        <v>42068</v>
      </c>
      <c r="D282">
        <f ca="1">IFERROR(SUMIFS(OFFSET(DBRA_TopicHCP,0,D$217,DBR_COUNT,1),DBRA_WorkplanDate,$C282,DBRA_PlayerID,$D$3),"")</f>
        <v>0</v>
      </c>
      <c r="E282">
        <f ca="1">IFERROR(SUMIFS(OFFSET(DBRA_TopicHCP,0,E$217,DBR_COUNT,1),DBRA_WorkplanDate,$C282,DBRA_PlayerID,$D$3),"")</f>
        <v>0</v>
      </c>
      <c r="F282">
        <f ca="1">IFERROR(SUMIFS(OFFSET(DBRA_TopicHCP,0,F$217,DBR_COUNT,1),DBRA_WorkplanDate,$C282,DBRA_PlayerID,$D$3),"")</f>
        <v>0</v>
      </c>
      <c r="G282">
        <f ca="1">IFERROR(SUMIFS(OFFSET(DBRA_TopicHCP,0,G$217,DBR_COUNT,1),DBRA_WorkplanDate,$C282,DBRA_PlayerID,$D$3),"")</f>
        <v>0</v>
      </c>
      <c r="H282">
        <f ca="1">IFERROR(SUMIFS(OFFSET(DBRA_TopicHCP,0,H$217,DBR_COUNT,1),DBRA_WorkplanDate,$C282,DBRA_PlayerID,$D$3),"")</f>
        <v>0</v>
      </c>
      <c r="I282">
        <f ca="1">IFERROR(SUMIFS(OFFSET(DBRA_TopicHCP,0,I$217,DBR_COUNT,1),DBRA_WorkplanDate,$C282,DBRA_PlayerID,$D$3),"")</f>
        <v>0</v>
      </c>
      <c r="J282">
        <f ca="1">IFERROR(SUMIFS(OFFSET(DBRA_TopicHCP,0,J$217,DBR_COUNT,1),DBRA_WorkplanDate,$C282,DBRA_PlayerID,$D$3),"")</f>
        <v>0</v>
      </c>
      <c r="K282">
        <f ca="1">IFERROR(SUMIFS(OFFSET(DBRA_TopicHCP,0,K$217,DBR_COUNT,1),DBRA_WorkplanDate,$C282,DBRA_PlayerID,$D$3),"")</f>
        <v>0</v>
      </c>
      <c r="L282">
        <f ca="1">IFERROR(SUMIFS(OFFSET(DBRA_TopicHCP,0,L$217,DBR_COUNT,1),DBRA_WorkplanDate,$C282,DBRA_PlayerID,$D$3),"")</f>
        <v>0</v>
      </c>
      <c r="M282" s="47"/>
      <c r="N282">
        <f ca="1">IFERROR(SUMIFS(OFFSET(DBRA_TopicCount,0,N$217,DBR_COUNT,1),DBRA_WorkplanDate,$C282,DBRA_PlayerID,$D$3),"")</f>
        <v>0</v>
      </c>
      <c r="O282">
        <f ca="1">IFERROR(SUMIFS(OFFSET(DBRA_TopicCount,0,O$217,DBR_COUNT,1),DBRA_WorkplanDate,$C282,DBRA_PlayerID,$D$3),"")</f>
        <v>0</v>
      </c>
      <c r="P282">
        <f ca="1">IFERROR(SUMIFS(OFFSET(DBRA_TopicCount,0,P$217,DBR_COUNT,1),DBRA_WorkplanDate,$C282,DBRA_PlayerID,$D$3),"")</f>
        <v>0</v>
      </c>
      <c r="Q282">
        <f ca="1">IFERROR(SUMIFS(OFFSET(DBRA_TopicCount,0,Q$217,DBR_COUNT,1),DBRA_WorkplanDate,$C282,DBRA_PlayerID,$D$3),"")</f>
        <v>0</v>
      </c>
      <c r="R282">
        <f ca="1">IFERROR(SUMIFS(OFFSET(DBRA_TopicCount,0,R$217,DBR_COUNT,1),DBRA_WorkplanDate,$C282,DBRA_PlayerID,$D$3),"")</f>
        <v>0</v>
      </c>
      <c r="S282">
        <f ca="1">IFERROR(SUMIFS(OFFSET(DBRA_TopicCount,0,S$217,DBR_COUNT,1),DBRA_WorkplanDate,$C282,DBRA_PlayerID,$D$3),"")</f>
        <v>0</v>
      </c>
      <c r="T282">
        <f ca="1">IFERROR(SUMIFS(OFFSET(DBRA_TopicCount,0,T$217,DBR_COUNT,1),DBRA_WorkplanDate,$C282,DBRA_PlayerID,$D$3),"")</f>
        <v>0</v>
      </c>
      <c r="U282">
        <f ca="1">IFERROR(SUMIFS(OFFSET(DBRA_TopicCount,0,U$217,DBR_COUNT,1),DBRA_WorkplanDate,$C282,DBRA_PlayerID,$D$3),"")</f>
        <v>0</v>
      </c>
      <c r="V282">
        <f ca="1">IFERROR(SUMIFS(OFFSET(DBRA_TopicCount,0,V$217,DBR_COUNT,1),DBRA_WorkplanDate,$C282,DBRA_PlayerID,$D$3),"")</f>
        <v>0</v>
      </c>
      <c r="W282" s="47"/>
      <c r="X282" t="str">
        <f t="shared" ca="1" si="74"/>
        <v/>
      </c>
      <c r="Y282" t="str">
        <f t="shared" ca="1" si="66"/>
        <v/>
      </c>
      <c r="Z282" t="str">
        <f t="shared" ca="1" si="67"/>
        <v/>
      </c>
      <c r="AA282" t="str">
        <f t="shared" ca="1" si="68"/>
        <v/>
      </c>
      <c r="AB282" t="str">
        <f t="shared" ca="1" si="69"/>
        <v/>
      </c>
      <c r="AC282" t="str">
        <f t="shared" ca="1" si="70"/>
        <v/>
      </c>
      <c r="AD282" t="str">
        <f t="shared" ca="1" si="71"/>
        <v/>
      </c>
      <c r="AE282" t="str">
        <f t="shared" ca="1" si="72"/>
        <v/>
      </c>
      <c r="AF282" t="str">
        <f t="shared" ca="1" si="73"/>
        <v/>
      </c>
      <c r="AG282" s="47"/>
    </row>
    <row r="283" spans="3:33" x14ac:dyDescent="0.25">
      <c r="C283" s="118">
        <f t="shared" si="75"/>
        <v>42069</v>
      </c>
      <c r="D283">
        <f ca="1">IFERROR(SUMIFS(OFFSET(DBRA_TopicHCP,0,D$217,DBR_COUNT,1),DBRA_WorkplanDate,$C283,DBRA_PlayerID,$D$3),"")</f>
        <v>0</v>
      </c>
      <c r="E283">
        <f ca="1">IFERROR(SUMIFS(OFFSET(DBRA_TopicHCP,0,E$217,DBR_COUNT,1),DBRA_WorkplanDate,$C283,DBRA_PlayerID,$D$3),"")</f>
        <v>0</v>
      </c>
      <c r="F283">
        <f ca="1">IFERROR(SUMIFS(OFFSET(DBRA_TopicHCP,0,F$217,DBR_COUNT,1),DBRA_WorkplanDate,$C283,DBRA_PlayerID,$D$3),"")</f>
        <v>0</v>
      </c>
      <c r="G283">
        <f ca="1">IFERROR(SUMIFS(OFFSET(DBRA_TopicHCP,0,G$217,DBR_COUNT,1),DBRA_WorkplanDate,$C283,DBRA_PlayerID,$D$3),"")</f>
        <v>0</v>
      </c>
      <c r="H283">
        <f ca="1">IFERROR(SUMIFS(OFFSET(DBRA_TopicHCP,0,H$217,DBR_COUNT,1),DBRA_WorkplanDate,$C283,DBRA_PlayerID,$D$3),"")</f>
        <v>0</v>
      </c>
      <c r="I283">
        <f ca="1">IFERROR(SUMIFS(OFFSET(DBRA_TopicHCP,0,I$217,DBR_COUNT,1),DBRA_WorkplanDate,$C283,DBRA_PlayerID,$D$3),"")</f>
        <v>0</v>
      </c>
      <c r="J283">
        <f ca="1">IFERROR(SUMIFS(OFFSET(DBRA_TopicHCP,0,J$217,DBR_COUNT,1),DBRA_WorkplanDate,$C283,DBRA_PlayerID,$D$3),"")</f>
        <v>0</v>
      </c>
      <c r="K283">
        <f ca="1">IFERROR(SUMIFS(OFFSET(DBRA_TopicHCP,0,K$217,DBR_COUNT,1),DBRA_WorkplanDate,$C283,DBRA_PlayerID,$D$3),"")</f>
        <v>0</v>
      </c>
      <c r="L283">
        <f ca="1">IFERROR(SUMIFS(OFFSET(DBRA_TopicHCP,0,L$217,DBR_COUNT,1),DBRA_WorkplanDate,$C283,DBRA_PlayerID,$D$3),"")</f>
        <v>0</v>
      </c>
      <c r="M283" s="47"/>
      <c r="N283">
        <f ca="1">IFERROR(SUMIFS(OFFSET(DBRA_TopicCount,0,N$217,DBR_COUNT,1),DBRA_WorkplanDate,$C283,DBRA_PlayerID,$D$3),"")</f>
        <v>0</v>
      </c>
      <c r="O283">
        <f ca="1">IFERROR(SUMIFS(OFFSET(DBRA_TopicCount,0,O$217,DBR_COUNT,1),DBRA_WorkplanDate,$C283,DBRA_PlayerID,$D$3),"")</f>
        <v>0</v>
      </c>
      <c r="P283">
        <f ca="1">IFERROR(SUMIFS(OFFSET(DBRA_TopicCount,0,P$217,DBR_COUNT,1),DBRA_WorkplanDate,$C283,DBRA_PlayerID,$D$3),"")</f>
        <v>0</v>
      </c>
      <c r="Q283">
        <f ca="1">IFERROR(SUMIFS(OFFSET(DBRA_TopicCount,0,Q$217,DBR_COUNT,1),DBRA_WorkplanDate,$C283,DBRA_PlayerID,$D$3),"")</f>
        <v>0</v>
      </c>
      <c r="R283">
        <f ca="1">IFERROR(SUMIFS(OFFSET(DBRA_TopicCount,0,R$217,DBR_COUNT,1),DBRA_WorkplanDate,$C283,DBRA_PlayerID,$D$3),"")</f>
        <v>0</v>
      </c>
      <c r="S283">
        <f ca="1">IFERROR(SUMIFS(OFFSET(DBRA_TopicCount,0,S$217,DBR_COUNT,1),DBRA_WorkplanDate,$C283,DBRA_PlayerID,$D$3),"")</f>
        <v>0</v>
      </c>
      <c r="T283">
        <f ca="1">IFERROR(SUMIFS(OFFSET(DBRA_TopicCount,0,T$217,DBR_COUNT,1),DBRA_WorkplanDate,$C283,DBRA_PlayerID,$D$3),"")</f>
        <v>0</v>
      </c>
      <c r="U283">
        <f ca="1">IFERROR(SUMIFS(OFFSET(DBRA_TopicCount,0,U$217,DBR_COUNT,1),DBRA_WorkplanDate,$C283,DBRA_PlayerID,$D$3),"")</f>
        <v>0</v>
      </c>
      <c r="V283">
        <f ca="1">IFERROR(SUMIFS(OFFSET(DBRA_TopicCount,0,V$217,DBR_COUNT,1),DBRA_WorkplanDate,$C283,DBRA_PlayerID,$D$3),"")</f>
        <v>0</v>
      </c>
      <c r="W283" s="47"/>
      <c r="X283" t="str">
        <f t="shared" ca="1" si="74"/>
        <v/>
      </c>
      <c r="Y283" t="str">
        <f t="shared" ref="Y283:Y346" ca="1" si="76">IF(O283&gt;0,ROUND(E283/O283,1),"")</f>
        <v/>
      </c>
      <c r="Z283" t="str">
        <f t="shared" ref="Z283:Z346" ca="1" si="77">IF(P283&gt;0,ROUND(F283/P283,1),"")</f>
        <v/>
      </c>
      <c r="AA283" t="str">
        <f t="shared" ref="AA283:AA346" ca="1" si="78">IF(Q283&gt;0,ROUND(G283/Q283,1),"")</f>
        <v/>
      </c>
      <c r="AB283" t="str">
        <f t="shared" ref="AB283:AB346" ca="1" si="79">IF(R283&gt;0,ROUND(H283/R283,1),"")</f>
        <v/>
      </c>
      <c r="AC283" t="str">
        <f t="shared" ref="AC283:AC346" ca="1" si="80">IF(S283&gt;0,ROUND(I283/S283,1),"")</f>
        <v/>
      </c>
      <c r="AD283" t="str">
        <f t="shared" ref="AD283:AD346" ca="1" si="81">IF(T283&gt;0,ROUND(J283/T283,1),"")</f>
        <v/>
      </c>
      <c r="AE283" t="str">
        <f t="shared" ref="AE283:AE346" ca="1" si="82">IF(U283&gt;0,ROUND(K283/U283,1),"")</f>
        <v/>
      </c>
      <c r="AF283" t="str">
        <f t="shared" ref="AF283:AF346" ca="1" si="83">IF(V283&gt;0,ROUND(L283/V283,1),"")</f>
        <v/>
      </c>
      <c r="AG283" s="47"/>
    </row>
    <row r="284" spans="3:33" x14ac:dyDescent="0.25">
      <c r="C284" s="118">
        <f t="shared" si="75"/>
        <v>42070</v>
      </c>
      <c r="D284">
        <f ca="1">IFERROR(SUMIFS(OFFSET(DBRA_TopicHCP,0,D$217,DBR_COUNT,1),DBRA_WorkplanDate,$C284,DBRA_PlayerID,$D$3),"")</f>
        <v>0</v>
      </c>
      <c r="E284">
        <f ca="1">IFERROR(SUMIFS(OFFSET(DBRA_TopicHCP,0,E$217,DBR_COUNT,1),DBRA_WorkplanDate,$C284,DBRA_PlayerID,$D$3),"")</f>
        <v>0</v>
      </c>
      <c r="F284">
        <f ca="1">IFERROR(SUMIFS(OFFSET(DBRA_TopicHCP,0,F$217,DBR_COUNT,1),DBRA_WorkplanDate,$C284,DBRA_PlayerID,$D$3),"")</f>
        <v>0</v>
      </c>
      <c r="G284">
        <f ca="1">IFERROR(SUMIFS(OFFSET(DBRA_TopicHCP,0,G$217,DBR_COUNT,1),DBRA_WorkplanDate,$C284,DBRA_PlayerID,$D$3),"")</f>
        <v>0</v>
      </c>
      <c r="H284">
        <f ca="1">IFERROR(SUMIFS(OFFSET(DBRA_TopicHCP,0,H$217,DBR_COUNT,1),DBRA_WorkplanDate,$C284,DBRA_PlayerID,$D$3),"")</f>
        <v>0</v>
      </c>
      <c r="I284">
        <f ca="1">IFERROR(SUMIFS(OFFSET(DBRA_TopicHCP,0,I$217,DBR_COUNT,1),DBRA_WorkplanDate,$C284,DBRA_PlayerID,$D$3),"")</f>
        <v>0</v>
      </c>
      <c r="J284">
        <f ca="1">IFERROR(SUMIFS(OFFSET(DBRA_TopicHCP,0,J$217,DBR_COUNT,1),DBRA_WorkplanDate,$C284,DBRA_PlayerID,$D$3),"")</f>
        <v>0</v>
      </c>
      <c r="K284">
        <f ca="1">IFERROR(SUMIFS(OFFSET(DBRA_TopicHCP,0,K$217,DBR_COUNT,1),DBRA_WorkplanDate,$C284,DBRA_PlayerID,$D$3),"")</f>
        <v>0</v>
      </c>
      <c r="L284">
        <f ca="1">IFERROR(SUMIFS(OFFSET(DBRA_TopicHCP,0,L$217,DBR_COUNT,1),DBRA_WorkplanDate,$C284,DBRA_PlayerID,$D$3),"")</f>
        <v>0</v>
      </c>
      <c r="M284" s="47"/>
      <c r="N284">
        <f ca="1">IFERROR(SUMIFS(OFFSET(DBRA_TopicCount,0,N$217,DBR_COUNT,1),DBRA_WorkplanDate,$C284,DBRA_PlayerID,$D$3),"")</f>
        <v>0</v>
      </c>
      <c r="O284">
        <f ca="1">IFERROR(SUMIFS(OFFSET(DBRA_TopicCount,0,O$217,DBR_COUNT,1),DBRA_WorkplanDate,$C284,DBRA_PlayerID,$D$3),"")</f>
        <v>0</v>
      </c>
      <c r="P284">
        <f ca="1">IFERROR(SUMIFS(OFFSET(DBRA_TopicCount,0,P$217,DBR_COUNT,1),DBRA_WorkplanDate,$C284,DBRA_PlayerID,$D$3),"")</f>
        <v>0</v>
      </c>
      <c r="Q284">
        <f ca="1">IFERROR(SUMIFS(OFFSET(DBRA_TopicCount,0,Q$217,DBR_COUNT,1),DBRA_WorkplanDate,$C284,DBRA_PlayerID,$D$3),"")</f>
        <v>0</v>
      </c>
      <c r="R284">
        <f ca="1">IFERROR(SUMIFS(OFFSET(DBRA_TopicCount,0,R$217,DBR_COUNT,1),DBRA_WorkplanDate,$C284,DBRA_PlayerID,$D$3),"")</f>
        <v>0</v>
      </c>
      <c r="S284">
        <f ca="1">IFERROR(SUMIFS(OFFSET(DBRA_TopicCount,0,S$217,DBR_COUNT,1),DBRA_WorkplanDate,$C284,DBRA_PlayerID,$D$3),"")</f>
        <v>0</v>
      </c>
      <c r="T284">
        <f ca="1">IFERROR(SUMIFS(OFFSET(DBRA_TopicCount,0,T$217,DBR_COUNT,1),DBRA_WorkplanDate,$C284,DBRA_PlayerID,$D$3),"")</f>
        <v>0</v>
      </c>
      <c r="U284">
        <f ca="1">IFERROR(SUMIFS(OFFSET(DBRA_TopicCount,0,U$217,DBR_COUNT,1),DBRA_WorkplanDate,$C284,DBRA_PlayerID,$D$3),"")</f>
        <v>0</v>
      </c>
      <c r="V284">
        <f ca="1">IFERROR(SUMIFS(OFFSET(DBRA_TopicCount,0,V$217,DBR_COUNT,1),DBRA_WorkplanDate,$C284,DBRA_PlayerID,$D$3),"")</f>
        <v>0</v>
      </c>
      <c r="W284" s="47"/>
      <c r="X284" t="str">
        <f t="shared" ref="X284:X347" ca="1" si="84">IF(N284&gt;0,ROUND(D284/N284,1),"")</f>
        <v/>
      </c>
      <c r="Y284" t="str">
        <f t="shared" ca="1" si="76"/>
        <v/>
      </c>
      <c r="Z284" t="str">
        <f t="shared" ca="1" si="77"/>
        <v/>
      </c>
      <c r="AA284" t="str">
        <f t="shared" ca="1" si="78"/>
        <v/>
      </c>
      <c r="AB284" t="str">
        <f t="shared" ca="1" si="79"/>
        <v/>
      </c>
      <c r="AC284" t="str">
        <f t="shared" ca="1" si="80"/>
        <v/>
      </c>
      <c r="AD284" t="str">
        <f t="shared" ca="1" si="81"/>
        <v/>
      </c>
      <c r="AE284" t="str">
        <f t="shared" ca="1" si="82"/>
        <v/>
      </c>
      <c r="AF284" t="str">
        <f t="shared" ca="1" si="83"/>
        <v/>
      </c>
      <c r="AG284" s="47"/>
    </row>
    <row r="285" spans="3:33" x14ac:dyDescent="0.25">
      <c r="C285" s="118">
        <f t="shared" ref="C285:C348" si="85">IF((C284+1)&lt;=$A$220,C284+1,"")</f>
        <v>42071</v>
      </c>
      <c r="D285">
        <f ca="1">IFERROR(SUMIFS(OFFSET(DBRA_TopicHCP,0,D$217,DBR_COUNT,1),DBRA_WorkplanDate,$C285,DBRA_PlayerID,$D$3),"")</f>
        <v>0</v>
      </c>
      <c r="E285">
        <f ca="1">IFERROR(SUMIFS(OFFSET(DBRA_TopicHCP,0,E$217,DBR_COUNT,1),DBRA_WorkplanDate,$C285,DBRA_PlayerID,$D$3),"")</f>
        <v>0</v>
      </c>
      <c r="F285">
        <f ca="1">IFERROR(SUMIFS(OFFSET(DBRA_TopicHCP,0,F$217,DBR_COUNT,1),DBRA_WorkplanDate,$C285,DBRA_PlayerID,$D$3),"")</f>
        <v>0</v>
      </c>
      <c r="G285">
        <f ca="1">IFERROR(SUMIFS(OFFSET(DBRA_TopicHCP,0,G$217,DBR_COUNT,1),DBRA_WorkplanDate,$C285,DBRA_PlayerID,$D$3),"")</f>
        <v>0</v>
      </c>
      <c r="H285">
        <f ca="1">IFERROR(SUMIFS(OFFSET(DBRA_TopicHCP,0,H$217,DBR_COUNT,1),DBRA_WorkplanDate,$C285,DBRA_PlayerID,$D$3),"")</f>
        <v>0</v>
      </c>
      <c r="I285">
        <f ca="1">IFERROR(SUMIFS(OFFSET(DBRA_TopicHCP,0,I$217,DBR_COUNT,1),DBRA_WorkplanDate,$C285,DBRA_PlayerID,$D$3),"")</f>
        <v>0</v>
      </c>
      <c r="J285">
        <f ca="1">IFERROR(SUMIFS(OFFSET(DBRA_TopicHCP,0,J$217,DBR_COUNT,1),DBRA_WorkplanDate,$C285,DBRA_PlayerID,$D$3),"")</f>
        <v>0</v>
      </c>
      <c r="K285">
        <f ca="1">IFERROR(SUMIFS(OFFSET(DBRA_TopicHCP,0,K$217,DBR_COUNT,1),DBRA_WorkplanDate,$C285,DBRA_PlayerID,$D$3),"")</f>
        <v>0</v>
      </c>
      <c r="L285">
        <f ca="1">IFERROR(SUMIFS(OFFSET(DBRA_TopicHCP,0,L$217,DBR_COUNT,1),DBRA_WorkplanDate,$C285,DBRA_PlayerID,$D$3),"")</f>
        <v>0</v>
      </c>
      <c r="M285" s="47"/>
      <c r="N285">
        <f ca="1">IFERROR(SUMIFS(OFFSET(DBRA_TopicCount,0,N$217,DBR_COUNT,1),DBRA_WorkplanDate,$C285,DBRA_PlayerID,$D$3),"")</f>
        <v>0</v>
      </c>
      <c r="O285">
        <f ca="1">IFERROR(SUMIFS(OFFSET(DBRA_TopicCount,0,O$217,DBR_COUNT,1),DBRA_WorkplanDate,$C285,DBRA_PlayerID,$D$3),"")</f>
        <v>0</v>
      </c>
      <c r="P285">
        <f ca="1">IFERROR(SUMIFS(OFFSET(DBRA_TopicCount,0,P$217,DBR_COUNT,1),DBRA_WorkplanDate,$C285,DBRA_PlayerID,$D$3),"")</f>
        <v>0</v>
      </c>
      <c r="Q285">
        <f ca="1">IFERROR(SUMIFS(OFFSET(DBRA_TopicCount,0,Q$217,DBR_COUNT,1),DBRA_WorkplanDate,$C285,DBRA_PlayerID,$D$3),"")</f>
        <v>0</v>
      </c>
      <c r="R285">
        <f ca="1">IFERROR(SUMIFS(OFFSET(DBRA_TopicCount,0,R$217,DBR_COUNT,1),DBRA_WorkplanDate,$C285,DBRA_PlayerID,$D$3),"")</f>
        <v>0</v>
      </c>
      <c r="S285">
        <f ca="1">IFERROR(SUMIFS(OFFSET(DBRA_TopicCount,0,S$217,DBR_COUNT,1),DBRA_WorkplanDate,$C285,DBRA_PlayerID,$D$3),"")</f>
        <v>0</v>
      </c>
      <c r="T285">
        <f ca="1">IFERROR(SUMIFS(OFFSET(DBRA_TopicCount,0,T$217,DBR_COUNT,1),DBRA_WorkplanDate,$C285,DBRA_PlayerID,$D$3),"")</f>
        <v>0</v>
      </c>
      <c r="U285">
        <f ca="1">IFERROR(SUMIFS(OFFSET(DBRA_TopicCount,0,U$217,DBR_COUNT,1),DBRA_WorkplanDate,$C285,DBRA_PlayerID,$D$3),"")</f>
        <v>0</v>
      </c>
      <c r="V285">
        <f ca="1">IFERROR(SUMIFS(OFFSET(DBRA_TopicCount,0,V$217,DBR_COUNT,1),DBRA_WorkplanDate,$C285,DBRA_PlayerID,$D$3),"")</f>
        <v>0</v>
      </c>
      <c r="W285" s="47"/>
      <c r="X285" t="str">
        <f t="shared" ca="1" si="84"/>
        <v/>
      </c>
      <c r="Y285" t="str">
        <f t="shared" ca="1" si="76"/>
        <v/>
      </c>
      <c r="Z285" t="str">
        <f t="shared" ca="1" si="77"/>
        <v/>
      </c>
      <c r="AA285" t="str">
        <f t="shared" ca="1" si="78"/>
        <v/>
      </c>
      <c r="AB285" t="str">
        <f t="shared" ca="1" si="79"/>
        <v/>
      </c>
      <c r="AC285" t="str">
        <f t="shared" ca="1" si="80"/>
        <v/>
      </c>
      <c r="AD285" t="str">
        <f t="shared" ca="1" si="81"/>
        <v/>
      </c>
      <c r="AE285" t="str">
        <f t="shared" ca="1" si="82"/>
        <v/>
      </c>
      <c r="AF285" t="str">
        <f t="shared" ca="1" si="83"/>
        <v/>
      </c>
      <c r="AG285" s="47"/>
    </row>
    <row r="286" spans="3:33" x14ac:dyDescent="0.25">
      <c r="C286" s="118">
        <f t="shared" si="85"/>
        <v>42072</v>
      </c>
      <c r="D286">
        <f ca="1">IFERROR(SUMIFS(OFFSET(DBRA_TopicHCP,0,D$217,DBR_COUNT,1),DBRA_WorkplanDate,$C286,DBRA_PlayerID,$D$3),"")</f>
        <v>0</v>
      </c>
      <c r="E286">
        <f ca="1">IFERROR(SUMIFS(OFFSET(DBRA_TopicHCP,0,E$217,DBR_COUNT,1),DBRA_WorkplanDate,$C286,DBRA_PlayerID,$D$3),"")</f>
        <v>0</v>
      </c>
      <c r="F286">
        <f ca="1">IFERROR(SUMIFS(OFFSET(DBRA_TopicHCP,0,F$217,DBR_COUNT,1),DBRA_WorkplanDate,$C286,DBRA_PlayerID,$D$3),"")</f>
        <v>0</v>
      </c>
      <c r="G286">
        <f ca="1">IFERROR(SUMIFS(OFFSET(DBRA_TopicHCP,0,G$217,DBR_COUNT,1),DBRA_WorkplanDate,$C286,DBRA_PlayerID,$D$3),"")</f>
        <v>0</v>
      </c>
      <c r="H286">
        <f ca="1">IFERROR(SUMIFS(OFFSET(DBRA_TopicHCP,0,H$217,DBR_COUNT,1),DBRA_WorkplanDate,$C286,DBRA_PlayerID,$D$3),"")</f>
        <v>0</v>
      </c>
      <c r="I286">
        <f ca="1">IFERROR(SUMIFS(OFFSET(DBRA_TopicHCP,0,I$217,DBR_COUNT,1),DBRA_WorkplanDate,$C286,DBRA_PlayerID,$D$3),"")</f>
        <v>0</v>
      </c>
      <c r="J286">
        <f ca="1">IFERROR(SUMIFS(OFFSET(DBRA_TopicHCP,0,J$217,DBR_COUNT,1),DBRA_WorkplanDate,$C286,DBRA_PlayerID,$D$3),"")</f>
        <v>0</v>
      </c>
      <c r="K286">
        <f ca="1">IFERROR(SUMIFS(OFFSET(DBRA_TopicHCP,0,K$217,DBR_COUNT,1),DBRA_WorkplanDate,$C286,DBRA_PlayerID,$D$3),"")</f>
        <v>0</v>
      </c>
      <c r="L286">
        <f ca="1">IFERROR(SUMIFS(OFFSET(DBRA_TopicHCP,0,L$217,DBR_COUNT,1),DBRA_WorkplanDate,$C286,DBRA_PlayerID,$D$3),"")</f>
        <v>0</v>
      </c>
      <c r="M286" s="47"/>
      <c r="N286">
        <f ca="1">IFERROR(SUMIFS(OFFSET(DBRA_TopicCount,0,N$217,DBR_COUNT,1),DBRA_WorkplanDate,$C286,DBRA_PlayerID,$D$3),"")</f>
        <v>0</v>
      </c>
      <c r="O286">
        <f ca="1">IFERROR(SUMIFS(OFFSET(DBRA_TopicCount,0,O$217,DBR_COUNT,1),DBRA_WorkplanDate,$C286,DBRA_PlayerID,$D$3),"")</f>
        <v>0</v>
      </c>
      <c r="P286">
        <f ca="1">IFERROR(SUMIFS(OFFSET(DBRA_TopicCount,0,P$217,DBR_COUNT,1),DBRA_WorkplanDate,$C286,DBRA_PlayerID,$D$3),"")</f>
        <v>0</v>
      </c>
      <c r="Q286">
        <f ca="1">IFERROR(SUMIFS(OFFSET(DBRA_TopicCount,0,Q$217,DBR_COUNT,1),DBRA_WorkplanDate,$C286,DBRA_PlayerID,$D$3),"")</f>
        <v>0</v>
      </c>
      <c r="R286">
        <f ca="1">IFERROR(SUMIFS(OFFSET(DBRA_TopicCount,0,R$217,DBR_COUNT,1),DBRA_WorkplanDate,$C286,DBRA_PlayerID,$D$3),"")</f>
        <v>0</v>
      </c>
      <c r="S286">
        <f ca="1">IFERROR(SUMIFS(OFFSET(DBRA_TopicCount,0,S$217,DBR_COUNT,1),DBRA_WorkplanDate,$C286,DBRA_PlayerID,$D$3),"")</f>
        <v>0</v>
      </c>
      <c r="T286">
        <f ca="1">IFERROR(SUMIFS(OFFSET(DBRA_TopicCount,0,T$217,DBR_COUNT,1),DBRA_WorkplanDate,$C286,DBRA_PlayerID,$D$3),"")</f>
        <v>0</v>
      </c>
      <c r="U286">
        <f ca="1">IFERROR(SUMIFS(OFFSET(DBRA_TopicCount,0,U$217,DBR_COUNT,1),DBRA_WorkplanDate,$C286,DBRA_PlayerID,$D$3),"")</f>
        <v>0</v>
      </c>
      <c r="V286">
        <f ca="1">IFERROR(SUMIFS(OFFSET(DBRA_TopicCount,0,V$217,DBR_COUNT,1),DBRA_WorkplanDate,$C286,DBRA_PlayerID,$D$3),"")</f>
        <v>0</v>
      </c>
      <c r="W286" s="47"/>
      <c r="X286" t="str">
        <f t="shared" ca="1" si="84"/>
        <v/>
      </c>
      <c r="Y286" t="str">
        <f t="shared" ca="1" si="76"/>
        <v/>
      </c>
      <c r="Z286" t="str">
        <f t="shared" ca="1" si="77"/>
        <v/>
      </c>
      <c r="AA286" t="str">
        <f t="shared" ca="1" si="78"/>
        <v/>
      </c>
      <c r="AB286" t="str">
        <f t="shared" ca="1" si="79"/>
        <v/>
      </c>
      <c r="AC286" t="str">
        <f t="shared" ca="1" si="80"/>
        <v/>
      </c>
      <c r="AD286" t="str">
        <f t="shared" ca="1" si="81"/>
        <v/>
      </c>
      <c r="AE286" t="str">
        <f t="shared" ca="1" si="82"/>
        <v/>
      </c>
      <c r="AF286" t="str">
        <f t="shared" ca="1" si="83"/>
        <v/>
      </c>
      <c r="AG286" s="47"/>
    </row>
    <row r="287" spans="3:33" x14ac:dyDescent="0.25">
      <c r="C287" s="118">
        <f t="shared" si="85"/>
        <v>42073</v>
      </c>
      <c r="D287">
        <f ca="1">IFERROR(SUMIFS(OFFSET(DBRA_TopicHCP,0,D$217,DBR_COUNT,1),DBRA_WorkplanDate,$C287,DBRA_PlayerID,$D$3),"")</f>
        <v>0</v>
      </c>
      <c r="E287">
        <f ca="1">IFERROR(SUMIFS(OFFSET(DBRA_TopicHCP,0,E$217,DBR_COUNT,1),DBRA_WorkplanDate,$C287,DBRA_PlayerID,$D$3),"")</f>
        <v>0</v>
      </c>
      <c r="F287">
        <f ca="1">IFERROR(SUMIFS(OFFSET(DBRA_TopicHCP,0,F$217,DBR_COUNT,1),DBRA_WorkplanDate,$C287,DBRA_PlayerID,$D$3),"")</f>
        <v>0</v>
      </c>
      <c r="G287">
        <f ca="1">IFERROR(SUMIFS(OFFSET(DBRA_TopicHCP,0,G$217,DBR_COUNT,1),DBRA_WorkplanDate,$C287,DBRA_PlayerID,$D$3),"")</f>
        <v>0</v>
      </c>
      <c r="H287">
        <f ca="1">IFERROR(SUMIFS(OFFSET(DBRA_TopicHCP,0,H$217,DBR_COUNT,1),DBRA_WorkplanDate,$C287,DBRA_PlayerID,$D$3),"")</f>
        <v>0</v>
      </c>
      <c r="I287">
        <f ca="1">IFERROR(SUMIFS(OFFSET(DBRA_TopicHCP,0,I$217,DBR_COUNT,1),DBRA_WorkplanDate,$C287,DBRA_PlayerID,$D$3),"")</f>
        <v>0</v>
      </c>
      <c r="J287">
        <f ca="1">IFERROR(SUMIFS(OFFSET(DBRA_TopicHCP,0,J$217,DBR_COUNT,1),DBRA_WorkplanDate,$C287,DBRA_PlayerID,$D$3),"")</f>
        <v>0</v>
      </c>
      <c r="K287">
        <f ca="1">IFERROR(SUMIFS(OFFSET(DBRA_TopicHCP,0,K$217,DBR_COUNT,1),DBRA_WorkplanDate,$C287,DBRA_PlayerID,$D$3),"")</f>
        <v>0</v>
      </c>
      <c r="L287">
        <f ca="1">IFERROR(SUMIFS(OFFSET(DBRA_TopicHCP,0,L$217,DBR_COUNT,1),DBRA_WorkplanDate,$C287,DBRA_PlayerID,$D$3),"")</f>
        <v>0</v>
      </c>
      <c r="M287" s="47"/>
      <c r="N287">
        <f ca="1">IFERROR(SUMIFS(OFFSET(DBRA_TopicCount,0,N$217,DBR_COUNT,1),DBRA_WorkplanDate,$C287,DBRA_PlayerID,$D$3),"")</f>
        <v>0</v>
      </c>
      <c r="O287">
        <f ca="1">IFERROR(SUMIFS(OFFSET(DBRA_TopicCount,0,O$217,DBR_COUNT,1),DBRA_WorkplanDate,$C287,DBRA_PlayerID,$D$3),"")</f>
        <v>0</v>
      </c>
      <c r="P287">
        <f ca="1">IFERROR(SUMIFS(OFFSET(DBRA_TopicCount,0,P$217,DBR_COUNT,1),DBRA_WorkplanDate,$C287,DBRA_PlayerID,$D$3),"")</f>
        <v>0</v>
      </c>
      <c r="Q287">
        <f ca="1">IFERROR(SUMIFS(OFFSET(DBRA_TopicCount,0,Q$217,DBR_COUNT,1),DBRA_WorkplanDate,$C287,DBRA_PlayerID,$D$3),"")</f>
        <v>0</v>
      </c>
      <c r="R287">
        <f ca="1">IFERROR(SUMIFS(OFFSET(DBRA_TopicCount,0,R$217,DBR_COUNT,1),DBRA_WorkplanDate,$C287,DBRA_PlayerID,$D$3),"")</f>
        <v>0</v>
      </c>
      <c r="S287">
        <f ca="1">IFERROR(SUMIFS(OFFSET(DBRA_TopicCount,0,S$217,DBR_COUNT,1),DBRA_WorkplanDate,$C287,DBRA_PlayerID,$D$3),"")</f>
        <v>0</v>
      </c>
      <c r="T287">
        <f ca="1">IFERROR(SUMIFS(OFFSET(DBRA_TopicCount,0,T$217,DBR_COUNT,1),DBRA_WorkplanDate,$C287,DBRA_PlayerID,$D$3),"")</f>
        <v>0</v>
      </c>
      <c r="U287">
        <f ca="1">IFERROR(SUMIFS(OFFSET(DBRA_TopicCount,0,U$217,DBR_COUNT,1),DBRA_WorkplanDate,$C287,DBRA_PlayerID,$D$3),"")</f>
        <v>0</v>
      </c>
      <c r="V287">
        <f ca="1">IFERROR(SUMIFS(OFFSET(DBRA_TopicCount,0,V$217,DBR_COUNT,1),DBRA_WorkplanDate,$C287,DBRA_PlayerID,$D$3),"")</f>
        <v>0</v>
      </c>
      <c r="W287" s="47"/>
      <c r="X287" t="str">
        <f t="shared" ca="1" si="84"/>
        <v/>
      </c>
      <c r="Y287" t="str">
        <f t="shared" ca="1" si="76"/>
        <v/>
      </c>
      <c r="Z287" t="str">
        <f t="shared" ca="1" si="77"/>
        <v/>
      </c>
      <c r="AA287" t="str">
        <f t="shared" ca="1" si="78"/>
        <v/>
      </c>
      <c r="AB287" t="str">
        <f t="shared" ca="1" si="79"/>
        <v/>
      </c>
      <c r="AC287" t="str">
        <f t="shared" ca="1" si="80"/>
        <v/>
      </c>
      <c r="AD287" t="str">
        <f t="shared" ca="1" si="81"/>
        <v/>
      </c>
      <c r="AE287" t="str">
        <f t="shared" ca="1" si="82"/>
        <v/>
      </c>
      <c r="AF287" t="str">
        <f t="shared" ca="1" si="83"/>
        <v/>
      </c>
      <c r="AG287" s="47"/>
    </row>
    <row r="288" spans="3:33" x14ac:dyDescent="0.25">
      <c r="C288" s="118">
        <f t="shared" si="85"/>
        <v>42074</v>
      </c>
      <c r="D288">
        <f ca="1">IFERROR(SUMIFS(OFFSET(DBRA_TopicHCP,0,D$217,DBR_COUNT,1),DBRA_WorkplanDate,$C288,DBRA_PlayerID,$D$3),"")</f>
        <v>0</v>
      </c>
      <c r="E288">
        <f ca="1">IFERROR(SUMIFS(OFFSET(DBRA_TopicHCP,0,E$217,DBR_COUNT,1),DBRA_WorkplanDate,$C288,DBRA_PlayerID,$D$3),"")</f>
        <v>0</v>
      </c>
      <c r="F288">
        <f ca="1">IFERROR(SUMIFS(OFFSET(DBRA_TopicHCP,0,F$217,DBR_COUNT,1),DBRA_WorkplanDate,$C288,DBRA_PlayerID,$D$3),"")</f>
        <v>0</v>
      </c>
      <c r="G288">
        <f ca="1">IFERROR(SUMIFS(OFFSET(DBRA_TopicHCP,0,G$217,DBR_COUNT,1),DBRA_WorkplanDate,$C288,DBRA_PlayerID,$D$3),"")</f>
        <v>0</v>
      </c>
      <c r="H288">
        <f ca="1">IFERROR(SUMIFS(OFFSET(DBRA_TopicHCP,0,H$217,DBR_COUNT,1),DBRA_WorkplanDate,$C288,DBRA_PlayerID,$D$3),"")</f>
        <v>0</v>
      </c>
      <c r="I288">
        <f ca="1">IFERROR(SUMIFS(OFFSET(DBRA_TopicHCP,0,I$217,DBR_COUNT,1),DBRA_WorkplanDate,$C288,DBRA_PlayerID,$D$3),"")</f>
        <v>0</v>
      </c>
      <c r="J288">
        <f ca="1">IFERROR(SUMIFS(OFFSET(DBRA_TopicHCP,0,J$217,DBR_COUNT,1),DBRA_WorkplanDate,$C288,DBRA_PlayerID,$D$3),"")</f>
        <v>0</v>
      </c>
      <c r="K288">
        <f ca="1">IFERROR(SUMIFS(OFFSET(DBRA_TopicHCP,0,K$217,DBR_COUNT,1),DBRA_WorkplanDate,$C288,DBRA_PlayerID,$D$3),"")</f>
        <v>0</v>
      </c>
      <c r="L288">
        <f ca="1">IFERROR(SUMIFS(OFFSET(DBRA_TopicHCP,0,L$217,DBR_COUNT,1),DBRA_WorkplanDate,$C288,DBRA_PlayerID,$D$3),"")</f>
        <v>0</v>
      </c>
      <c r="M288" s="47"/>
      <c r="N288">
        <f ca="1">IFERROR(SUMIFS(OFFSET(DBRA_TopicCount,0,N$217,DBR_COUNT,1),DBRA_WorkplanDate,$C288,DBRA_PlayerID,$D$3),"")</f>
        <v>0</v>
      </c>
      <c r="O288">
        <f ca="1">IFERROR(SUMIFS(OFFSET(DBRA_TopicCount,0,O$217,DBR_COUNT,1),DBRA_WorkplanDate,$C288,DBRA_PlayerID,$D$3),"")</f>
        <v>0</v>
      </c>
      <c r="P288">
        <f ca="1">IFERROR(SUMIFS(OFFSET(DBRA_TopicCount,0,P$217,DBR_COUNT,1),DBRA_WorkplanDate,$C288,DBRA_PlayerID,$D$3),"")</f>
        <v>0</v>
      </c>
      <c r="Q288">
        <f ca="1">IFERROR(SUMIFS(OFFSET(DBRA_TopicCount,0,Q$217,DBR_COUNT,1),DBRA_WorkplanDate,$C288,DBRA_PlayerID,$D$3),"")</f>
        <v>0</v>
      </c>
      <c r="R288">
        <f ca="1">IFERROR(SUMIFS(OFFSET(DBRA_TopicCount,0,R$217,DBR_COUNT,1),DBRA_WorkplanDate,$C288,DBRA_PlayerID,$D$3),"")</f>
        <v>0</v>
      </c>
      <c r="S288">
        <f ca="1">IFERROR(SUMIFS(OFFSET(DBRA_TopicCount,0,S$217,DBR_COUNT,1),DBRA_WorkplanDate,$C288,DBRA_PlayerID,$D$3),"")</f>
        <v>0</v>
      </c>
      <c r="T288">
        <f ca="1">IFERROR(SUMIFS(OFFSET(DBRA_TopicCount,0,T$217,DBR_COUNT,1),DBRA_WorkplanDate,$C288,DBRA_PlayerID,$D$3),"")</f>
        <v>0</v>
      </c>
      <c r="U288">
        <f ca="1">IFERROR(SUMIFS(OFFSET(DBRA_TopicCount,0,U$217,DBR_COUNT,1),DBRA_WorkplanDate,$C288,DBRA_PlayerID,$D$3),"")</f>
        <v>0</v>
      </c>
      <c r="V288">
        <f ca="1">IFERROR(SUMIFS(OFFSET(DBRA_TopicCount,0,V$217,DBR_COUNT,1),DBRA_WorkplanDate,$C288,DBRA_PlayerID,$D$3),"")</f>
        <v>0</v>
      </c>
      <c r="W288" s="47"/>
      <c r="X288" t="str">
        <f t="shared" ca="1" si="84"/>
        <v/>
      </c>
      <c r="Y288" t="str">
        <f t="shared" ca="1" si="76"/>
        <v/>
      </c>
      <c r="Z288" t="str">
        <f t="shared" ca="1" si="77"/>
        <v/>
      </c>
      <c r="AA288" t="str">
        <f t="shared" ca="1" si="78"/>
        <v/>
      </c>
      <c r="AB288" t="str">
        <f t="shared" ca="1" si="79"/>
        <v/>
      </c>
      <c r="AC288" t="str">
        <f t="shared" ca="1" si="80"/>
        <v/>
      </c>
      <c r="AD288" t="str">
        <f t="shared" ca="1" si="81"/>
        <v/>
      </c>
      <c r="AE288" t="str">
        <f t="shared" ca="1" si="82"/>
        <v/>
      </c>
      <c r="AF288" t="str">
        <f t="shared" ca="1" si="83"/>
        <v/>
      </c>
      <c r="AG288" s="47"/>
    </row>
    <row r="289" spans="3:33" x14ac:dyDescent="0.25">
      <c r="C289" s="118">
        <f t="shared" si="85"/>
        <v>42075</v>
      </c>
      <c r="D289">
        <f ca="1">IFERROR(SUMIFS(OFFSET(DBRA_TopicHCP,0,D$217,DBR_COUNT,1),DBRA_WorkplanDate,$C289,DBRA_PlayerID,$D$3),"")</f>
        <v>0</v>
      </c>
      <c r="E289">
        <f ca="1">IFERROR(SUMIFS(OFFSET(DBRA_TopicHCP,0,E$217,DBR_COUNT,1),DBRA_WorkplanDate,$C289,DBRA_PlayerID,$D$3),"")</f>
        <v>0</v>
      </c>
      <c r="F289">
        <f ca="1">IFERROR(SUMIFS(OFFSET(DBRA_TopicHCP,0,F$217,DBR_COUNT,1),DBRA_WorkplanDate,$C289,DBRA_PlayerID,$D$3),"")</f>
        <v>0</v>
      </c>
      <c r="G289">
        <f ca="1">IFERROR(SUMIFS(OFFSET(DBRA_TopicHCP,0,G$217,DBR_COUNT,1),DBRA_WorkplanDate,$C289,DBRA_PlayerID,$D$3),"")</f>
        <v>0</v>
      </c>
      <c r="H289">
        <f ca="1">IFERROR(SUMIFS(OFFSET(DBRA_TopicHCP,0,H$217,DBR_COUNT,1),DBRA_WorkplanDate,$C289,DBRA_PlayerID,$D$3),"")</f>
        <v>0</v>
      </c>
      <c r="I289">
        <f ca="1">IFERROR(SUMIFS(OFFSET(DBRA_TopicHCP,0,I$217,DBR_COUNT,1),DBRA_WorkplanDate,$C289,DBRA_PlayerID,$D$3),"")</f>
        <v>0</v>
      </c>
      <c r="J289">
        <f ca="1">IFERROR(SUMIFS(OFFSET(DBRA_TopicHCP,0,J$217,DBR_COUNT,1),DBRA_WorkplanDate,$C289,DBRA_PlayerID,$D$3),"")</f>
        <v>0</v>
      </c>
      <c r="K289">
        <f ca="1">IFERROR(SUMIFS(OFFSET(DBRA_TopicHCP,0,K$217,DBR_COUNT,1),DBRA_WorkplanDate,$C289,DBRA_PlayerID,$D$3),"")</f>
        <v>0</v>
      </c>
      <c r="L289">
        <f ca="1">IFERROR(SUMIFS(OFFSET(DBRA_TopicHCP,0,L$217,DBR_COUNT,1),DBRA_WorkplanDate,$C289,DBRA_PlayerID,$D$3),"")</f>
        <v>0</v>
      </c>
      <c r="M289" s="47"/>
      <c r="N289">
        <f ca="1">IFERROR(SUMIFS(OFFSET(DBRA_TopicCount,0,N$217,DBR_COUNT,1),DBRA_WorkplanDate,$C289,DBRA_PlayerID,$D$3),"")</f>
        <v>0</v>
      </c>
      <c r="O289">
        <f ca="1">IFERROR(SUMIFS(OFFSET(DBRA_TopicCount,0,O$217,DBR_COUNT,1),DBRA_WorkplanDate,$C289,DBRA_PlayerID,$D$3),"")</f>
        <v>0</v>
      </c>
      <c r="P289">
        <f ca="1">IFERROR(SUMIFS(OFFSET(DBRA_TopicCount,0,P$217,DBR_COUNT,1),DBRA_WorkplanDate,$C289,DBRA_PlayerID,$D$3),"")</f>
        <v>0</v>
      </c>
      <c r="Q289">
        <f ca="1">IFERROR(SUMIFS(OFFSET(DBRA_TopicCount,0,Q$217,DBR_COUNT,1),DBRA_WorkplanDate,$C289,DBRA_PlayerID,$D$3),"")</f>
        <v>0</v>
      </c>
      <c r="R289">
        <f ca="1">IFERROR(SUMIFS(OFFSET(DBRA_TopicCount,0,R$217,DBR_COUNT,1),DBRA_WorkplanDate,$C289,DBRA_PlayerID,$D$3),"")</f>
        <v>0</v>
      </c>
      <c r="S289">
        <f ca="1">IFERROR(SUMIFS(OFFSET(DBRA_TopicCount,0,S$217,DBR_COUNT,1),DBRA_WorkplanDate,$C289,DBRA_PlayerID,$D$3),"")</f>
        <v>0</v>
      </c>
      <c r="T289">
        <f ca="1">IFERROR(SUMIFS(OFFSET(DBRA_TopicCount,0,T$217,DBR_COUNT,1),DBRA_WorkplanDate,$C289,DBRA_PlayerID,$D$3),"")</f>
        <v>0</v>
      </c>
      <c r="U289">
        <f ca="1">IFERROR(SUMIFS(OFFSET(DBRA_TopicCount,0,U$217,DBR_COUNT,1),DBRA_WorkplanDate,$C289,DBRA_PlayerID,$D$3),"")</f>
        <v>0</v>
      </c>
      <c r="V289">
        <f ca="1">IFERROR(SUMIFS(OFFSET(DBRA_TopicCount,0,V$217,DBR_COUNT,1),DBRA_WorkplanDate,$C289,DBRA_PlayerID,$D$3),"")</f>
        <v>0</v>
      </c>
      <c r="W289" s="47"/>
      <c r="X289" t="str">
        <f t="shared" ca="1" si="84"/>
        <v/>
      </c>
      <c r="Y289" t="str">
        <f t="shared" ca="1" si="76"/>
        <v/>
      </c>
      <c r="Z289" t="str">
        <f t="shared" ca="1" si="77"/>
        <v/>
      </c>
      <c r="AA289" t="str">
        <f t="shared" ca="1" si="78"/>
        <v/>
      </c>
      <c r="AB289" t="str">
        <f t="shared" ca="1" si="79"/>
        <v/>
      </c>
      <c r="AC289" t="str">
        <f t="shared" ca="1" si="80"/>
        <v/>
      </c>
      <c r="AD289" t="str">
        <f t="shared" ca="1" si="81"/>
        <v/>
      </c>
      <c r="AE289" t="str">
        <f t="shared" ca="1" si="82"/>
        <v/>
      </c>
      <c r="AF289" t="str">
        <f t="shared" ca="1" si="83"/>
        <v/>
      </c>
      <c r="AG289" s="47"/>
    </row>
    <row r="290" spans="3:33" x14ac:dyDescent="0.25">
      <c r="C290" s="118">
        <f t="shared" si="85"/>
        <v>42076</v>
      </c>
      <c r="D290">
        <f ca="1">IFERROR(SUMIFS(OFFSET(DBRA_TopicHCP,0,D$217,DBR_COUNT,1),DBRA_WorkplanDate,$C290,DBRA_PlayerID,$D$3),"")</f>
        <v>0</v>
      </c>
      <c r="E290">
        <f ca="1">IFERROR(SUMIFS(OFFSET(DBRA_TopicHCP,0,E$217,DBR_COUNT,1),DBRA_WorkplanDate,$C290,DBRA_PlayerID,$D$3),"")</f>
        <v>0</v>
      </c>
      <c r="F290">
        <f ca="1">IFERROR(SUMIFS(OFFSET(DBRA_TopicHCP,0,F$217,DBR_COUNT,1),DBRA_WorkplanDate,$C290,DBRA_PlayerID,$D$3),"")</f>
        <v>0</v>
      </c>
      <c r="G290">
        <f ca="1">IFERROR(SUMIFS(OFFSET(DBRA_TopicHCP,0,G$217,DBR_COUNT,1),DBRA_WorkplanDate,$C290,DBRA_PlayerID,$D$3),"")</f>
        <v>0</v>
      </c>
      <c r="H290">
        <f ca="1">IFERROR(SUMIFS(OFFSET(DBRA_TopicHCP,0,H$217,DBR_COUNT,1),DBRA_WorkplanDate,$C290,DBRA_PlayerID,$D$3),"")</f>
        <v>0</v>
      </c>
      <c r="I290">
        <f ca="1">IFERROR(SUMIFS(OFFSET(DBRA_TopicHCP,0,I$217,DBR_COUNT,1),DBRA_WorkplanDate,$C290,DBRA_PlayerID,$D$3),"")</f>
        <v>0</v>
      </c>
      <c r="J290">
        <f ca="1">IFERROR(SUMIFS(OFFSET(DBRA_TopicHCP,0,J$217,DBR_COUNT,1),DBRA_WorkplanDate,$C290,DBRA_PlayerID,$D$3),"")</f>
        <v>0</v>
      </c>
      <c r="K290">
        <f ca="1">IFERROR(SUMIFS(OFFSET(DBRA_TopicHCP,0,K$217,DBR_COUNT,1),DBRA_WorkplanDate,$C290,DBRA_PlayerID,$D$3),"")</f>
        <v>0</v>
      </c>
      <c r="L290">
        <f ca="1">IFERROR(SUMIFS(OFFSET(DBRA_TopicHCP,0,L$217,DBR_COUNT,1),DBRA_WorkplanDate,$C290,DBRA_PlayerID,$D$3),"")</f>
        <v>0</v>
      </c>
      <c r="M290" s="47"/>
      <c r="N290">
        <f ca="1">IFERROR(SUMIFS(OFFSET(DBRA_TopicCount,0,N$217,DBR_COUNT,1),DBRA_WorkplanDate,$C290,DBRA_PlayerID,$D$3),"")</f>
        <v>0</v>
      </c>
      <c r="O290">
        <f ca="1">IFERROR(SUMIFS(OFFSET(DBRA_TopicCount,0,O$217,DBR_COUNT,1),DBRA_WorkplanDate,$C290,DBRA_PlayerID,$D$3),"")</f>
        <v>0</v>
      </c>
      <c r="P290">
        <f ca="1">IFERROR(SUMIFS(OFFSET(DBRA_TopicCount,0,P$217,DBR_COUNT,1),DBRA_WorkplanDate,$C290,DBRA_PlayerID,$D$3),"")</f>
        <v>0</v>
      </c>
      <c r="Q290">
        <f ca="1">IFERROR(SUMIFS(OFFSET(DBRA_TopicCount,0,Q$217,DBR_COUNT,1),DBRA_WorkplanDate,$C290,DBRA_PlayerID,$D$3),"")</f>
        <v>0</v>
      </c>
      <c r="R290">
        <f ca="1">IFERROR(SUMIFS(OFFSET(DBRA_TopicCount,0,R$217,DBR_COUNT,1),DBRA_WorkplanDate,$C290,DBRA_PlayerID,$D$3),"")</f>
        <v>0</v>
      </c>
      <c r="S290">
        <f ca="1">IFERROR(SUMIFS(OFFSET(DBRA_TopicCount,0,S$217,DBR_COUNT,1),DBRA_WorkplanDate,$C290,DBRA_PlayerID,$D$3),"")</f>
        <v>0</v>
      </c>
      <c r="T290">
        <f ca="1">IFERROR(SUMIFS(OFFSET(DBRA_TopicCount,0,T$217,DBR_COUNT,1),DBRA_WorkplanDate,$C290,DBRA_PlayerID,$D$3),"")</f>
        <v>0</v>
      </c>
      <c r="U290">
        <f ca="1">IFERROR(SUMIFS(OFFSET(DBRA_TopicCount,0,U$217,DBR_COUNT,1),DBRA_WorkplanDate,$C290,DBRA_PlayerID,$D$3),"")</f>
        <v>0</v>
      </c>
      <c r="V290">
        <f ca="1">IFERROR(SUMIFS(OFFSET(DBRA_TopicCount,0,V$217,DBR_COUNT,1),DBRA_WorkplanDate,$C290,DBRA_PlayerID,$D$3),"")</f>
        <v>0</v>
      </c>
      <c r="W290" s="47"/>
      <c r="X290" t="str">
        <f t="shared" ca="1" si="84"/>
        <v/>
      </c>
      <c r="Y290" t="str">
        <f t="shared" ca="1" si="76"/>
        <v/>
      </c>
      <c r="Z290" t="str">
        <f t="shared" ca="1" si="77"/>
        <v/>
      </c>
      <c r="AA290" t="str">
        <f t="shared" ca="1" si="78"/>
        <v/>
      </c>
      <c r="AB290" t="str">
        <f t="shared" ca="1" si="79"/>
        <v/>
      </c>
      <c r="AC290" t="str">
        <f t="shared" ca="1" si="80"/>
        <v/>
      </c>
      <c r="AD290" t="str">
        <f t="shared" ca="1" si="81"/>
        <v/>
      </c>
      <c r="AE290" t="str">
        <f t="shared" ca="1" si="82"/>
        <v/>
      </c>
      <c r="AF290" t="str">
        <f t="shared" ca="1" si="83"/>
        <v/>
      </c>
      <c r="AG290" s="47"/>
    </row>
    <row r="291" spans="3:33" x14ac:dyDescent="0.25">
      <c r="C291" s="118">
        <f t="shared" si="85"/>
        <v>42077</v>
      </c>
      <c r="D291">
        <f ca="1">IFERROR(SUMIFS(OFFSET(DBRA_TopicHCP,0,D$217,DBR_COUNT,1),DBRA_WorkplanDate,$C291,DBRA_PlayerID,$D$3),"")</f>
        <v>0</v>
      </c>
      <c r="E291">
        <f ca="1">IFERROR(SUMIFS(OFFSET(DBRA_TopicHCP,0,E$217,DBR_COUNT,1),DBRA_WorkplanDate,$C291,DBRA_PlayerID,$D$3),"")</f>
        <v>0</v>
      </c>
      <c r="F291">
        <f ca="1">IFERROR(SUMIFS(OFFSET(DBRA_TopicHCP,0,F$217,DBR_COUNT,1),DBRA_WorkplanDate,$C291,DBRA_PlayerID,$D$3),"")</f>
        <v>0</v>
      </c>
      <c r="G291">
        <f ca="1">IFERROR(SUMIFS(OFFSET(DBRA_TopicHCP,0,G$217,DBR_COUNT,1),DBRA_WorkplanDate,$C291,DBRA_PlayerID,$D$3),"")</f>
        <v>0</v>
      </c>
      <c r="H291">
        <f ca="1">IFERROR(SUMIFS(OFFSET(DBRA_TopicHCP,0,H$217,DBR_COUNT,1),DBRA_WorkplanDate,$C291,DBRA_PlayerID,$D$3),"")</f>
        <v>0</v>
      </c>
      <c r="I291">
        <f ca="1">IFERROR(SUMIFS(OFFSET(DBRA_TopicHCP,0,I$217,DBR_COUNT,1),DBRA_WorkplanDate,$C291,DBRA_PlayerID,$D$3),"")</f>
        <v>0</v>
      </c>
      <c r="J291">
        <f ca="1">IFERROR(SUMIFS(OFFSET(DBRA_TopicHCP,0,J$217,DBR_COUNT,1),DBRA_WorkplanDate,$C291,DBRA_PlayerID,$D$3),"")</f>
        <v>0</v>
      </c>
      <c r="K291">
        <f ca="1">IFERROR(SUMIFS(OFFSET(DBRA_TopicHCP,0,K$217,DBR_COUNT,1),DBRA_WorkplanDate,$C291,DBRA_PlayerID,$D$3),"")</f>
        <v>0</v>
      </c>
      <c r="L291">
        <f ca="1">IFERROR(SUMIFS(OFFSET(DBRA_TopicHCP,0,L$217,DBR_COUNT,1),DBRA_WorkplanDate,$C291,DBRA_PlayerID,$D$3),"")</f>
        <v>0</v>
      </c>
      <c r="M291" s="47"/>
      <c r="N291">
        <f ca="1">IFERROR(SUMIFS(OFFSET(DBRA_TopicCount,0,N$217,DBR_COUNT,1),DBRA_WorkplanDate,$C291,DBRA_PlayerID,$D$3),"")</f>
        <v>0</v>
      </c>
      <c r="O291">
        <f ca="1">IFERROR(SUMIFS(OFFSET(DBRA_TopicCount,0,O$217,DBR_COUNT,1),DBRA_WorkplanDate,$C291,DBRA_PlayerID,$D$3),"")</f>
        <v>0</v>
      </c>
      <c r="P291">
        <f ca="1">IFERROR(SUMIFS(OFFSET(DBRA_TopicCount,0,P$217,DBR_COUNT,1),DBRA_WorkplanDate,$C291,DBRA_PlayerID,$D$3),"")</f>
        <v>0</v>
      </c>
      <c r="Q291">
        <f ca="1">IFERROR(SUMIFS(OFFSET(DBRA_TopicCount,0,Q$217,DBR_COUNT,1),DBRA_WorkplanDate,$C291,DBRA_PlayerID,$D$3),"")</f>
        <v>0</v>
      </c>
      <c r="R291">
        <f ca="1">IFERROR(SUMIFS(OFFSET(DBRA_TopicCount,0,R$217,DBR_COUNT,1),DBRA_WorkplanDate,$C291,DBRA_PlayerID,$D$3),"")</f>
        <v>0</v>
      </c>
      <c r="S291">
        <f ca="1">IFERROR(SUMIFS(OFFSET(DBRA_TopicCount,0,S$217,DBR_COUNT,1),DBRA_WorkplanDate,$C291,DBRA_PlayerID,$D$3),"")</f>
        <v>0</v>
      </c>
      <c r="T291">
        <f ca="1">IFERROR(SUMIFS(OFFSET(DBRA_TopicCount,0,T$217,DBR_COUNT,1),DBRA_WorkplanDate,$C291,DBRA_PlayerID,$D$3),"")</f>
        <v>0</v>
      </c>
      <c r="U291">
        <f ca="1">IFERROR(SUMIFS(OFFSET(DBRA_TopicCount,0,U$217,DBR_COUNT,1),DBRA_WorkplanDate,$C291,DBRA_PlayerID,$D$3),"")</f>
        <v>0</v>
      </c>
      <c r="V291">
        <f ca="1">IFERROR(SUMIFS(OFFSET(DBRA_TopicCount,0,V$217,DBR_COUNT,1),DBRA_WorkplanDate,$C291,DBRA_PlayerID,$D$3),"")</f>
        <v>0</v>
      </c>
      <c r="W291" s="47"/>
      <c r="X291" t="str">
        <f t="shared" ca="1" si="84"/>
        <v/>
      </c>
      <c r="Y291" t="str">
        <f t="shared" ca="1" si="76"/>
        <v/>
      </c>
      <c r="Z291" t="str">
        <f t="shared" ca="1" si="77"/>
        <v/>
      </c>
      <c r="AA291" t="str">
        <f t="shared" ca="1" si="78"/>
        <v/>
      </c>
      <c r="AB291" t="str">
        <f t="shared" ca="1" si="79"/>
        <v/>
      </c>
      <c r="AC291" t="str">
        <f t="shared" ca="1" si="80"/>
        <v/>
      </c>
      <c r="AD291" t="str">
        <f t="shared" ca="1" si="81"/>
        <v/>
      </c>
      <c r="AE291" t="str">
        <f t="shared" ca="1" si="82"/>
        <v/>
      </c>
      <c r="AF291" t="str">
        <f t="shared" ca="1" si="83"/>
        <v/>
      </c>
      <c r="AG291" s="47"/>
    </row>
    <row r="292" spans="3:33" x14ac:dyDescent="0.25">
      <c r="C292" s="118">
        <f t="shared" si="85"/>
        <v>42078</v>
      </c>
      <c r="D292">
        <f ca="1">IFERROR(SUMIFS(OFFSET(DBRA_TopicHCP,0,D$217,DBR_COUNT,1),DBRA_WorkplanDate,$C292,DBRA_PlayerID,$D$3),"")</f>
        <v>0</v>
      </c>
      <c r="E292">
        <f ca="1">IFERROR(SUMIFS(OFFSET(DBRA_TopicHCP,0,E$217,DBR_COUNT,1),DBRA_WorkplanDate,$C292,DBRA_PlayerID,$D$3),"")</f>
        <v>0</v>
      </c>
      <c r="F292">
        <f ca="1">IFERROR(SUMIFS(OFFSET(DBRA_TopicHCP,0,F$217,DBR_COUNT,1),DBRA_WorkplanDate,$C292,DBRA_PlayerID,$D$3),"")</f>
        <v>0</v>
      </c>
      <c r="G292">
        <f ca="1">IFERROR(SUMIFS(OFFSET(DBRA_TopicHCP,0,G$217,DBR_COUNT,1),DBRA_WorkplanDate,$C292,DBRA_PlayerID,$D$3),"")</f>
        <v>0</v>
      </c>
      <c r="H292">
        <f ca="1">IFERROR(SUMIFS(OFFSET(DBRA_TopicHCP,0,H$217,DBR_COUNT,1),DBRA_WorkplanDate,$C292,DBRA_PlayerID,$D$3),"")</f>
        <v>0</v>
      </c>
      <c r="I292">
        <f ca="1">IFERROR(SUMIFS(OFFSET(DBRA_TopicHCP,0,I$217,DBR_COUNT,1),DBRA_WorkplanDate,$C292,DBRA_PlayerID,$D$3),"")</f>
        <v>0</v>
      </c>
      <c r="J292">
        <f ca="1">IFERROR(SUMIFS(OFFSET(DBRA_TopicHCP,0,J$217,DBR_COUNT,1),DBRA_WorkplanDate,$C292,DBRA_PlayerID,$D$3),"")</f>
        <v>0</v>
      </c>
      <c r="K292">
        <f ca="1">IFERROR(SUMIFS(OFFSET(DBRA_TopicHCP,0,K$217,DBR_COUNT,1),DBRA_WorkplanDate,$C292,DBRA_PlayerID,$D$3),"")</f>
        <v>0</v>
      </c>
      <c r="L292">
        <f ca="1">IFERROR(SUMIFS(OFFSET(DBRA_TopicHCP,0,L$217,DBR_COUNT,1),DBRA_WorkplanDate,$C292,DBRA_PlayerID,$D$3),"")</f>
        <v>0</v>
      </c>
      <c r="M292" s="47"/>
      <c r="N292">
        <f ca="1">IFERROR(SUMIFS(OFFSET(DBRA_TopicCount,0,N$217,DBR_COUNT,1),DBRA_WorkplanDate,$C292,DBRA_PlayerID,$D$3),"")</f>
        <v>0</v>
      </c>
      <c r="O292">
        <f ca="1">IFERROR(SUMIFS(OFFSET(DBRA_TopicCount,0,O$217,DBR_COUNT,1),DBRA_WorkplanDate,$C292,DBRA_PlayerID,$D$3),"")</f>
        <v>0</v>
      </c>
      <c r="P292">
        <f ca="1">IFERROR(SUMIFS(OFFSET(DBRA_TopicCount,0,P$217,DBR_COUNT,1),DBRA_WorkplanDate,$C292,DBRA_PlayerID,$D$3),"")</f>
        <v>0</v>
      </c>
      <c r="Q292">
        <f ca="1">IFERROR(SUMIFS(OFFSET(DBRA_TopicCount,0,Q$217,DBR_COUNT,1),DBRA_WorkplanDate,$C292,DBRA_PlayerID,$D$3),"")</f>
        <v>0</v>
      </c>
      <c r="R292">
        <f ca="1">IFERROR(SUMIFS(OFFSET(DBRA_TopicCount,0,R$217,DBR_COUNT,1),DBRA_WorkplanDate,$C292,DBRA_PlayerID,$D$3),"")</f>
        <v>0</v>
      </c>
      <c r="S292">
        <f ca="1">IFERROR(SUMIFS(OFFSET(DBRA_TopicCount,0,S$217,DBR_COUNT,1),DBRA_WorkplanDate,$C292,DBRA_PlayerID,$D$3),"")</f>
        <v>0</v>
      </c>
      <c r="T292">
        <f ca="1">IFERROR(SUMIFS(OFFSET(DBRA_TopicCount,0,T$217,DBR_COUNT,1),DBRA_WorkplanDate,$C292,DBRA_PlayerID,$D$3),"")</f>
        <v>0</v>
      </c>
      <c r="U292">
        <f ca="1">IFERROR(SUMIFS(OFFSET(DBRA_TopicCount,0,U$217,DBR_COUNT,1),DBRA_WorkplanDate,$C292,DBRA_PlayerID,$D$3),"")</f>
        <v>0</v>
      </c>
      <c r="V292">
        <f ca="1">IFERROR(SUMIFS(OFFSET(DBRA_TopicCount,0,V$217,DBR_COUNT,1),DBRA_WorkplanDate,$C292,DBRA_PlayerID,$D$3),"")</f>
        <v>0</v>
      </c>
      <c r="W292" s="47"/>
      <c r="X292" t="str">
        <f t="shared" ca="1" si="84"/>
        <v/>
      </c>
      <c r="Y292" t="str">
        <f t="shared" ca="1" si="76"/>
        <v/>
      </c>
      <c r="Z292" t="str">
        <f t="shared" ca="1" si="77"/>
        <v/>
      </c>
      <c r="AA292" t="str">
        <f t="shared" ca="1" si="78"/>
        <v/>
      </c>
      <c r="AB292" t="str">
        <f t="shared" ca="1" si="79"/>
        <v/>
      </c>
      <c r="AC292" t="str">
        <f t="shared" ca="1" si="80"/>
        <v/>
      </c>
      <c r="AD292" t="str">
        <f t="shared" ca="1" si="81"/>
        <v/>
      </c>
      <c r="AE292" t="str">
        <f t="shared" ca="1" si="82"/>
        <v/>
      </c>
      <c r="AF292" t="str">
        <f t="shared" ca="1" si="83"/>
        <v/>
      </c>
      <c r="AG292" s="47"/>
    </row>
    <row r="293" spans="3:33" x14ac:dyDescent="0.25">
      <c r="C293" s="118">
        <f t="shared" si="85"/>
        <v>42079</v>
      </c>
      <c r="D293">
        <f ca="1">IFERROR(SUMIFS(OFFSET(DBRA_TopicHCP,0,D$217,DBR_COUNT,1),DBRA_WorkplanDate,$C293,DBRA_PlayerID,$D$3),"")</f>
        <v>0</v>
      </c>
      <c r="E293">
        <f ca="1">IFERROR(SUMIFS(OFFSET(DBRA_TopicHCP,0,E$217,DBR_COUNT,1),DBRA_WorkplanDate,$C293,DBRA_PlayerID,$D$3),"")</f>
        <v>0</v>
      </c>
      <c r="F293">
        <f ca="1">IFERROR(SUMIFS(OFFSET(DBRA_TopicHCP,0,F$217,DBR_COUNT,1),DBRA_WorkplanDate,$C293,DBRA_PlayerID,$D$3),"")</f>
        <v>0</v>
      </c>
      <c r="G293">
        <f ca="1">IFERROR(SUMIFS(OFFSET(DBRA_TopicHCP,0,G$217,DBR_COUNT,1),DBRA_WorkplanDate,$C293,DBRA_PlayerID,$D$3),"")</f>
        <v>0</v>
      </c>
      <c r="H293">
        <f ca="1">IFERROR(SUMIFS(OFFSET(DBRA_TopicHCP,0,H$217,DBR_COUNT,1),DBRA_WorkplanDate,$C293,DBRA_PlayerID,$D$3),"")</f>
        <v>0</v>
      </c>
      <c r="I293">
        <f ca="1">IFERROR(SUMIFS(OFFSET(DBRA_TopicHCP,0,I$217,DBR_COUNT,1),DBRA_WorkplanDate,$C293,DBRA_PlayerID,$D$3),"")</f>
        <v>0</v>
      </c>
      <c r="J293">
        <f ca="1">IFERROR(SUMIFS(OFFSET(DBRA_TopicHCP,0,J$217,DBR_COUNT,1),DBRA_WorkplanDate,$C293,DBRA_PlayerID,$D$3),"")</f>
        <v>0</v>
      </c>
      <c r="K293">
        <f ca="1">IFERROR(SUMIFS(OFFSET(DBRA_TopicHCP,0,K$217,DBR_COUNT,1),DBRA_WorkplanDate,$C293,DBRA_PlayerID,$D$3),"")</f>
        <v>0</v>
      </c>
      <c r="L293">
        <f ca="1">IFERROR(SUMIFS(OFFSET(DBRA_TopicHCP,0,L$217,DBR_COUNT,1),DBRA_WorkplanDate,$C293,DBRA_PlayerID,$D$3),"")</f>
        <v>0</v>
      </c>
      <c r="M293" s="47"/>
      <c r="N293">
        <f ca="1">IFERROR(SUMIFS(OFFSET(DBRA_TopicCount,0,N$217,DBR_COUNT,1),DBRA_WorkplanDate,$C293,DBRA_PlayerID,$D$3),"")</f>
        <v>0</v>
      </c>
      <c r="O293">
        <f ca="1">IFERROR(SUMIFS(OFFSET(DBRA_TopicCount,0,O$217,DBR_COUNT,1),DBRA_WorkplanDate,$C293,DBRA_PlayerID,$D$3),"")</f>
        <v>0</v>
      </c>
      <c r="P293">
        <f ca="1">IFERROR(SUMIFS(OFFSET(DBRA_TopicCount,0,P$217,DBR_COUNT,1),DBRA_WorkplanDate,$C293,DBRA_PlayerID,$D$3),"")</f>
        <v>0</v>
      </c>
      <c r="Q293">
        <f ca="1">IFERROR(SUMIFS(OFFSET(DBRA_TopicCount,0,Q$217,DBR_COUNT,1),DBRA_WorkplanDate,$C293,DBRA_PlayerID,$D$3),"")</f>
        <v>0</v>
      </c>
      <c r="R293">
        <f ca="1">IFERROR(SUMIFS(OFFSET(DBRA_TopicCount,0,R$217,DBR_COUNT,1),DBRA_WorkplanDate,$C293,DBRA_PlayerID,$D$3),"")</f>
        <v>0</v>
      </c>
      <c r="S293">
        <f ca="1">IFERROR(SUMIFS(OFFSET(DBRA_TopicCount,0,S$217,DBR_COUNT,1),DBRA_WorkplanDate,$C293,DBRA_PlayerID,$D$3),"")</f>
        <v>0</v>
      </c>
      <c r="T293">
        <f ca="1">IFERROR(SUMIFS(OFFSET(DBRA_TopicCount,0,T$217,DBR_COUNT,1),DBRA_WorkplanDate,$C293,DBRA_PlayerID,$D$3),"")</f>
        <v>0</v>
      </c>
      <c r="U293">
        <f ca="1">IFERROR(SUMIFS(OFFSET(DBRA_TopicCount,0,U$217,DBR_COUNT,1),DBRA_WorkplanDate,$C293,DBRA_PlayerID,$D$3),"")</f>
        <v>0</v>
      </c>
      <c r="V293">
        <f ca="1">IFERROR(SUMIFS(OFFSET(DBRA_TopicCount,0,V$217,DBR_COUNT,1),DBRA_WorkplanDate,$C293,DBRA_PlayerID,$D$3),"")</f>
        <v>0</v>
      </c>
      <c r="W293" s="47"/>
      <c r="X293" t="str">
        <f t="shared" ca="1" si="84"/>
        <v/>
      </c>
      <c r="Y293" t="str">
        <f t="shared" ca="1" si="76"/>
        <v/>
      </c>
      <c r="Z293" t="str">
        <f t="shared" ca="1" si="77"/>
        <v/>
      </c>
      <c r="AA293" t="str">
        <f t="shared" ca="1" si="78"/>
        <v/>
      </c>
      <c r="AB293" t="str">
        <f t="shared" ca="1" si="79"/>
        <v/>
      </c>
      <c r="AC293" t="str">
        <f t="shared" ca="1" si="80"/>
        <v/>
      </c>
      <c r="AD293" t="str">
        <f t="shared" ca="1" si="81"/>
        <v/>
      </c>
      <c r="AE293" t="str">
        <f t="shared" ca="1" si="82"/>
        <v/>
      </c>
      <c r="AF293" t="str">
        <f t="shared" ca="1" si="83"/>
        <v/>
      </c>
      <c r="AG293" s="47"/>
    </row>
    <row r="294" spans="3:33" x14ac:dyDescent="0.25">
      <c r="C294" s="118">
        <f t="shared" si="85"/>
        <v>42080</v>
      </c>
      <c r="D294">
        <f ca="1">IFERROR(SUMIFS(OFFSET(DBRA_TopicHCP,0,D$217,DBR_COUNT,1),DBRA_WorkplanDate,$C294,DBRA_PlayerID,$D$3),"")</f>
        <v>0</v>
      </c>
      <c r="E294">
        <f ca="1">IFERROR(SUMIFS(OFFSET(DBRA_TopicHCP,0,E$217,DBR_COUNT,1),DBRA_WorkplanDate,$C294,DBRA_PlayerID,$D$3),"")</f>
        <v>0</v>
      </c>
      <c r="F294">
        <f ca="1">IFERROR(SUMIFS(OFFSET(DBRA_TopicHCP,0,F$217,DBR_COUNT,1),DBRA_WorkplanDate,$C294,DBRA_PlayerID,$D$3),"")</f>
        <v>0</v>
      </c>
      <c r="G294">
        <f ca="1">IFERROR(SUMIFS(OFFSET(DBRA_TopicHCP,0,G$217,DBR_COUNT,1),DBRA_WorkplanDate,$C294,DBRA_PlayerID,$D$3),"")</f>
        <v>0</v>
      </c>
      <c r="H294">
        <f ca="1">IFERROR(SUMIFS(OFFSET(DBRA_TopicHCP,0,H$217,DBR_COUNT,1),DBRA_WorkplanDate,$C294,DBRA_PlayerID,$D$3),"")</f>
        <v>0</v>
      </c>
      <c r="I294">
        <f ca="1">IFERROR(SUMIFS(OFFSET(DBRA_TopicHCP,0,I$217,DBR_COUNT,1),DBRA_WorkplanDate,$C294,DBRA_PlayerID,$D$3),"")</f>
        <v>0</v>
      </c>
      <c r="J294">
        <f ca="1">IFERROR(SUMIFS(OFFSET(DBRA_TopicHCP,0,J$217,DBR_COUNT,1),DBRA_WorkplanDate,$C294,DBRA_PlayerID,$D$3),"")</f>
        <v>0</v>
      </c>
      <c r="K294">
        <f ca="1">IFERROR(SUMIFS(OFFSET(DBRA_TopicHCP,0,K$217,DBR_COUNT,1),DBRA_WorkplanDate,$C294,DBRA_PlayerID,$D$3),"")</f>
        <v>0</v>
      </c>
      <c r="L294">
        <f ca="1">IFERROR(SUMIFS(OFFSET(DBRA_TopicHCP,0,L$217,DBR_COUNT,1),DBRA_WorkplanDate,$C294,DBRA_PlayerID,$D$3),"")</f>
        <v>0</v>
      </c>
      <c r="M294" s="47"/>
      <c r="N294">
        <f ca="1">IFERROR(SUMIFS(OFFSET(DBRA_TopicCount,0,N$217,DBR_COUNT,1),DBRA_WorkplanDate,$C294,DBRA_PlayerID,$D$3),"")</f>
        <v>0</v>
      </c>
      <c r="O294">
        <f ca="1">IFERROR(SUMIFS(OFFSET(DBRA_TopicCount,0,O$217,DBR_COUNT,1),DBRA_WorkplanDate,$C294,DBRA_PlayerID,$D$3),"")</f>
        <v>0</v>
      </c>
      <c r="P294">
        <f ca="1">IFERROR(SUMIFS(OFFSET(DBRA_TopicCount,0,P$217,DBR_COUNT,1),DBRA_WorkplanDate,$C294,DBRA_PlayerID,$D$3),"")</f>
        <v>0</v>
      </c>
      <c r="Q294">
        <f ca="1">IFERROR(SUMIFS(OFFSET(DBRA_TopicCount,0,Q$217,DBR_COUNT,1),DBRA_WorkplanDate,$C294,DBRA_PlayerID,$D$3),"")</f>
        <v>0</v>
      </c>
      <c r="R294">
        <f ca="1">IFERROR(SUMIFS(OFFSET(DBRA_TopicCount,0,R$217,DBR_COUNT,1),DBRA_WorkplanDate,$C294,DBRA_PlayerID,$D$3),"")</f>
        <v>0</v>
      </c>
      <c r="S294">
        <f ca="1">IFERROR(SUMIFS(OFFSET(DBRA_TopicCount,0,S$217,DBR_COUNT,1),DBRA_WorkplanDate,$C294,DBRA_PlayerID,$D$3),"")</f>
        <v>0</v>
      </c>
      <c r="T294">
        <f ca="1">IFERROR(SUMIFS(OFFSET(DBRA_TopicCount,0,T$217,DBR_COUNT,1),DBRA_WorkplanDate,$C294,DBRA_PlayerID,$D$3),"")</f>
        <v>0</v>
      </c>
      <c r="U294">
        <f ca="1">IFERROR(SUMIFS(OFFSET(DBRA_TopicCount,0,U$217,DBR_COUNT,1),DBRA_WorkplanDate,$C294,DBRA_PlayerID,$D$3),"")</f>
        <v>0</v>
      </c>
      <c r="V294">
        <f ca="1">IFERROR(SUMIFS(OFFSET(DBRA_TopicCount,0,V$217,DBR_COUNT,1),DBRA_WorkplanDate,$C294,DBRA_PlayerID,$D$3),"")</f>
        <v>0</v>
      </c>
      <c r="W294" s="47"/>
      <c r="X294" t="str">
        <f t="shared" ca="1" si="84"/>
        <v/>
      </c>
      <c r="Y294" t="str">
        <f t="shared" ca="1" si="76"/>
        <v/>
      </c>
      <c r="Z294" t="str">
        <f t="shared" ca="1" si="77"/>
        <v/>
      </c>
      <c r="AA294" t="str">
        <f t="shared" ca="1" si="78"/>
        <v/>
      </c>
      <c r="AB294" t="str">
        <f t="shared" ca="1" si="79"/>
        <v/>
      </c>
      <c r="AC294" t="str">
        <f t="shared" ca="1" si="80"/>
        <v/>
      </c>
      <c r="AD294" t="str">
        <f t="shared" ca="1" si="81"/>
        <v/>
      </c>
      <c r="AE294" t="str">
        <f t="shared" ca="1" si="82"/>
        <v/>
      </c>
      <c r="AF294" t="str">
        <f t="shared" ca="1" si="83"/>
        <v/>
      </c>
      <c r="AG294" s="47"/>
    </row>
    <row r="295" spans="3:33" x14ac:dyDescent="0.25">
      <c r="C295" s="118">
        <f t="shared" si="85"/>
        <v>42081</v>
      </c>
      <c r="D295">
        <f ca="1">IFERROR(SUMIFS(OFFSET(DBRA_TopicHCP,0,D$217,DBR_COUNT,1),DBRA_WorkplanDate,$C295,DBRA_PlayerID,$D$3),"")</f>
        <v>0</v>
      </c>
      <c r="E295">
        <f ca="1">IFERROR(SUMIFS(OFFSET(DBRA_TopicHCP,0,E$217,DBR_COUNT,1),DBRA_WorkplanDate,$C295,DBRA_PlayerID,$D$3),"")</f>
        <v>0</v>
      </c>
      <c r="F295">
        <f ca="1">IFERROR(SUMIFS(OFFSET(DBRA_TopicHCP,0,F$217,DBR_COUNT,1),DBRA_WorkplanDate,$C295,DBRA_PlayerID,$D$3),"")</f>
        <v>0</v>
      </c>
      <c r="G295">
        <f ca="1">IFERROR(SUMIFS(OFFSET(DBRA_TopicHCP,0,G$217,DBR_COUNT,1),DBRA_WorkplanDate,$C295,DBRA_PlayerID,$D$3),"")</f>
        <v>0</v>
      </c>
      <c r="H295">
        <f ca="1">IFERROR(SUMIFS(OFFSET(DBRA_TopicHCP,0,H$217,DBR_COUNT,1),DBRA_WorkplanDate,$C295,DBRA_PlayerID,$D$3),"")</f>
        <v>0</v>
      </c>
      <c r="I295">
        <f ca="1">IFERROR(SUMIFS(OFFSET(DBRA_TopicHCP,0,I$217,DBR_COUNT,1),DBRA_WorkplanDate,$C295,DBRA_PlayerID,$D$3),"")</f>
        <v>0</v>
      </c>
      <c r="J295">
        <f ca="1">IFERROR(SUMIFS(OFFSET(DBRA_TopicHCP,0,J$217,DBR_COUNT,1),DBRA_WorkplanDate,$C295,DBRA_PlayerID,$D$3),"")</f>
        <v>0</v>
      </c>
      <c r="K295">
        <f ca="1">IFERROR(SUMIFS(OFFSET(DBRA_TopicHCP,0,K$217,DBR_COUNT,1),DBRA_WorkplanDate,$C295,DBRA_PlayerID,$D$3),"")</f>
        <v>0</v>
      </c>
      <c r="L295">
        <f ca="1">IFERROR(SUMIFS(OFFSET(DBRA_TopicHCP,0,L$217,DBR_COUNT,1),DBRA_WorkplanDate,$C295,DBRA_PlayerID,$D$3),"")</f>
        <v>0</v>
      </c>
      <c r="M295" s="47"/>
      <c r="N295">
        <f ca="1">IFERROR(SUMIFS(OFFSET(DBRA_TopicCount,0,N$217,DBR_COUNT,1),DBRA_WorkplanDate,$C295,DBRA_PlayerID,$D$3),"")</f>
        <v>0</v>
      </c>
      <c r="O295">
        <f ca="1">IFERROR(SUMIFS(OFFSET(DBRA_TopicCount,0,O$217,DBR_COUNT,1),DBRA_WorkplanDate,$C295,DBRA_PlayerID,$D$3),"")</f>
        <v>0</v>
      </c>
      <c r="P295">
        <f ca="1">IFERROR(SUMIFS(OFFSET(DBRA_TopicCount,0,P$217,DBR_COUNT,1),DBRA_WorkplanDate,$C295,DBRA_PlayerID,$D$3),"")</f>
        <v>0</v>
      </c>
      <c r="Q295">
        <f ca="1">IFERROR(SUMIFS(OFFSET(DBRA_TopicCount,0,Q$217,DBR_COUNT,1),DBRA_WorkplanDate,$C295,DBRA_PlayerID,$D$3),"")</f>
        <v>0</v>
      </c>
      <c r="R295">
        <f ca="1">IFERROR(SUMIFS(OFFSET(DBRA_TopicCount,0,R$217,DBR_COUNT,1),DBRA_WorkplanDate,$C295,DBRA_PlayerID,$D$3),"")</f>
        <v>0</v>
      </c>
      <c r="S295">
        <f ca="1">IFERROR(SUMIFS(OFFSET(DBRA_TopicCount,0,S$217,DBR_COUNT,1),DBRA_WorkplanDate,$C295,DBRA_PlayerID,$D$3),"")</f>
        <v>0</v>
      </c>
      <c r="T295">
        <f ca="1">IFERROR(SUMIFS(OFFSET(DBRA_TopicCount,0,T$217,DBR_COUNT,1),DBRA_WorkplanDate,$C295,DBRA_PlayerID,$D$3),"")</f>
        <v>0</v>
      </c>
      <c r="U295">
        <f ca="1">IFERROR(SUMIFS(OFFSET(DBRA_TopicCount,0,U$217,DBR_COUNT,1),DBRA_WorkplanDate,$C295,DBRA_PlayerID,$D$3),"")</f>
        <v>0</v>
      </c>
      <c r="V295">
        <f ca="1">IFERROR(SUMIFS(OFFSET(DBRA_TopicCount,0,V$217,DBR_COUNT,1),DBRA_WorkplanDate,$C295,DBRA_PlayerID,$D$3),"")</f>
        <v>0</v>
      </c>
      <c r="W295" s="47"/>
      <c r="X295" t="str">
        <f t="shared" ca="1" si="84"/>
        <v/>
      </c>
      <c r="Y295" t="str">
        <f t="shared" ca="1" si="76"/>
        <v/>
      </c>
      <c r="Z295" t="str">
        <f t="shared" ca="1" si="77"/>
        <v/>
      </c>
      <c r="AA295" t="str">
        <f t="shared" ca="1" si="78"/>
        <v/>
      </c>
      <c r="AB295" t="str">
        <f t="shared" ca="1" si="79"/>
        <v/>
      </c>
      <c r="AC295" t="str">
        <f t="shared" ca="1" si="80"/>
        <v/>
      </c>
      <c r="AD295" t="str">
        <f t="shared" ca="1" si="81"/>
        <v/>
      </c>
      <c r="AE295" t="str">
        <f t="shared" ca="1" si="82"/>
        <v/>
      </c>
      <c r="AF295" t="str">
        <f t="shared" ca="1" si="83"/>
        <v/>
      </c>
      <c r="AG295" s="47"/>
    </row>
    <row r="296" spans="3:33" x14ac:dyDescent="0.25">
      <c r="C296" s="118">
        <f t="shared" si="85"/>
        <v>42082</v>
      </c>
      <c r="D296">
        <f ca="1">IFERROR(SUMIFS(OFFSET(DBRA_TopicHCP,0,D$217,DBR_COUNT,1),DBRA_WorkplanDate,$C296,DBRA_PlayerID,$D$3),"")</f>
        <v>0</v>
      </c>
      <c r="E296">
        <f ca="1">IFERROR(SUMIFS(OFFSET(DBRA_TopicHCP,0,E$217,DBR_COUNT,1),DBRA_WorkplanDate,$C296,DBRA_PlayerID,$D$3),"")</f>
        <v>0</v>
      </c>
      <c r="F296">
        <f ca="1">IFERROR(SUMIFS(OFFSET(DBRA_TopicHCP,0,F$217,DBR_COUNT,1),DBRA_WorkplanDate,$C296,DBRA_PlayerID,$D$3),"")</f>
        <v>0</v>
      </c>
      <c r="G296">
        <f ca="1">IFERROR(SUMIFS(OFFSET(DBRA_TopicHCP,0,G$217,DBR_COUNT,1),DBRA_WorkplanDate,$C296,DBRA_PlayerID,$D$3),"")</f>
        <v>0</v>
      </c>
      <c r="H296">
        <f ca="1">IFERROR(SUMIFS(OFFSET(DBRA_TopicHCP,0,H$217,DBR_COUNT,1),DBRA_WorkplanDate,$C296,DBRA_PlayerID,$D$3),"")</f>
        <v>0</v>
      </c>
      <c r="I296">
        <f ca="1">IFERROR(SUMIFS(OFFSET(DBRA_TopicHCP,0,I$217,DBR_COUNT,1),DBRA_WorkplanDate,$C296,DBRA_PlayerID,$D$3),"")</f>
        <v>0</v>
      </c>
      <c r="J296">
        <f ca="1">IFERROR(SUMIFS(OFFSET(DBRA_TopicHCP,0,J$217,DBR_COUNT,1),DBRA_WorkplanDate,$C296,DBRA_PlayerID,$D$3),"")</f>
        <v>0</v>
      </c>
      <c r="K296">
        <f ca="1">IFERROR(SUMIFS(OFFSET(DBRA_TopicHCP,0,K$217,DBR_COUNT,1),DBRA_WorkplanDate,$C296,DBRA_PlayerID,$D$3),"")</f>
        <v>0</v>
      </c>
      <c r="L296">
        <f ca="1">IFERROR(SUMIFS(OFFSET(DBRA_TopicHCP,0,L$217,DBR_COUNT,1),DBRA_WorkplanDate,$C296,DBRA_PlayerID,$D$3),"")</f>
        <v>0</v>
      </c>
      <c r="M296" s="47"/>
      <c r="N296">
        <f ca="1">IFERROR(SUMIFS(OFFSET(DBRA_TopicCount,0,N$217,DBR_COUNT,1),DBRA_WorkplanDate,$C296,DBRA_PlayerID,$D$3),"")</f>
        <v>0</v>
      </c>
      <c r="O296">
        <f ca="1">IFERROR(SUMIFS(OFFSET(DBRA_TopicCount,0,O$217,DBR_COUNT,1),DBRA_WorkplanDate,$C296,DBRA_PlayerID,$D$3),"")</f>
        <v>0</v>
      </c>
      <c r="P296">
        <f ca="1">IFERROR(SUMIFS(OFFSET(DBRA_TopicCount,0,P$217,DBR_COUNT,1),DBRA_WorkplanDate,$C296,DBRA_PlayerID,$D$3),"")</f>
        <v>0</v>
      </c>
      <c r="Q296">
        <f ca="1">IFERROR(SUMIFS(OFFSET(DBRA_TopicCount,0,Q$217,DBR_COUNT,1),DBRA_WorkplanDate,$C296,DBRA_PlayerID,$D$3),"")</f>
        <v>0</v>
      </c>
      <c r="R296">
        <f ca="1">IFERROR(SUMIFS(OFFSET(DBRA_TopicCount,0,R$217,DBR_COUNT,1),DBRA_WorkplanDate,$C296,DBRA_PlayerID,$D$3),"")</f>
        <v>0</v>
      </c>
      <c r="S296">
        <f ca="1">IFERROR(SUMIFS(OFFSET(DBRA_TopicCount,0,S$217,DBR_COUNT,1),DBRA_WorkplanDate,$C296,DBRA_PlayerID,$D$3),"")</f>
        <v>0</v>
      </c>
      <c r="T296">
        <f ca="1">IFERROR(SUMIFS(OFFSET(DBRA_TopicCount,0,T$217,DBR_COUNT,1),DBRA_WorkplanDate,$C296,DBRA_PlayerID,$D$3),"")</f>
        <v>0</v>
      </c>
      <c r="U296">
        <f ca="1">IFERROR(SUMIFS(OFFSET(DBRA_TopicCount,0,U$217,DBR_COUNT,1),DBRA_WorkplanDate,$C296,DBRA_PlayerID,$D$3),"")</f>
        <v>0</v>
      </c>
      <c r="V296">
        <f ca="1">IFERROR(SUMIFS(OFFSET(DBRA_TopicCount,0,V$217,DBR_COUNT,1),DBRA_WorkplanDate,$C296,DBRA_PlayerID,$D$3),"")</f>
        <v>0</v>
      </c>
      <c r="W296" s="47"/>
      <c r="X296" t="str">
        <f t="shared" ca="1" si="84"/>
        <v/>
      </c>
      <c r="Y296" t="str">
        <f t="shared" ca="1" si="76"/>
        <v/>
      </c>
      <c r="Z296" t="str">
        <f t="shared" ca="1" si="77"/>
        <v/>
      </c>
      <c r="AA296" t="str">
        <f t="shared" ca="1" si="78"/>
        <v/>
      </c>
      <c r="AB296" t="str">
        <f t="shared" ca="1" si="79"/>
        <v/>
      </c>
      <c r="AC296" t="str">
        <f t="shared" ca="1" si="80"/>
        <v/>
      </c>
      <c r="AD296" t="str">
        <f t="shared" ca="1" si="81"/>
        <v/>
      </c>
      <c r="AE296" t="str">
        <f t="shared" ca="1" si="82"/>
        <v/>
      </c>
      <c r="AF296" t="str">
        <f t="shared" ca="1" si="83"/>
        <v/>
      </c>
      <c r="AG296" s="47"/>
    </row>
    <row r="297" spans="3:33" x14ac:dyDescent="0.25">
      <c r="C297" s="118">
        <f t="shared" si="85"/>
        <v>42083</v>
      </c>
      <c r="D297">
        <f ca="1">IFERROR(SUMIFS(OFFSET(DBRA_TopicHCP,0,D$217,DBR_COUNT,1),DBRA_WorkplanDate,$C297,DBRA_PlayerID,$D$3),"")</f>
        <v>0</v>
      </c>
      <c r="E297">
        <f ca="1">IFERROR(SUMIFS(OFFSET(DBRA_TopicHCP,0,E$217,DBR_COUNT,1),DBRA_WorkplanDate,$C297,DBRA_PlayerID,$D$3),"")</f>
        <v>0</v>
      </c>
      <c r="F297">
        <f ca="1">IFERROR(SUMIFS(OFFSET(DBRA_TopicHCP,0,F$217,DBR_COUNT,1),DBRA_WorkplanDate,$C297,DBRA_PlayerID,$D$3),"")</f>
        <v>0</v>
      </c>
      <c r="G297">
        <f ca="1">IFERROR(SUMIFS(OFFSET(DBRA_TopicHCP,0,G$217,DBR_COUNT,1),DBRA_WorkplanDate,$C297,DBRA_PlayerID,$D$3),"")</f>
        <v>0</v>
      </c>
      <c r="H297">
        <f ca="1">IFERROR(SUMIFS(OFFSET(DBRA_TopicHCP,0,H$217,DBR_COUNT,1),DBRA_WorkplanDate,$C297,DBRA_PlayerID,$D$3),"")</f>
        <v>0</v>
      </c>
      <c r="I297">
        <f ca="1">IFERROR(SUMIFS(OFFSET(DBRA_TopicHCP,0,I$217,DBR_COUNT,1),DBRA_WorkplanDate,$C297,DBRA_PlayerID,$D$3),"")</f>
        <v>0</v>
      </c>
      <c r="J297">
        <f ca="1">IFERROR(SUMIFS(OFFSET(DBRA_TopicHCP,0,J$217,DBR_COUNT,1),DBRA_WorkplanDate,$C297,DBRA_PlayerID,$D$3),"")</f>
        <v>0</v>
      </c>
      <c r="K297">
        <f ca="1">IFERROR(SUMIFS(OFFSET(DBRA_TopicHCP,0,K$217,DBR_COUNT,1),DBRA_WorkplanDate,$C297,DBRA_PlayerID,$D$3),"")</f>
        <v>0</v>
      </c>
      <c r="L297">
        <f ca="1">IFERROR(SUMIFS(OFFSET(DBRA_TopicHCP,0,L$217,DBR_COUNT,1),DBRA_WorkplanDate,$C297,DBRA_PlayerID,$D$3),"")</f>
        <v>0</v>
      </c>
      <c r="M297" s="47"/>
      <c r="N297">
        <f ca="1">IFERROR(SUMIFS(OFFSET(DBRA_TopicCount,0,N$217,DBR_COUNT,1),DBRA_WorkplanDate,$C297,DBRA_PlayerID,$D$3),"")</f>
        <v>0</v>
      </c>
      <c r="O297">
        <f ca="1">IFERROR(SUMIFS(OFFSET(DBRA_TopicCount,0,O$217,DBR_COUNT,1),DBRA_WorkplanDate,$C297,DBRA_PlayerID,$D$3),"")</f>
        <v>0</v>
      </c>
      <c r="P297">
        <f ca="1">IFERROR(SUMIFS(OFFSET(DBRA_TopicCount,0,P$217,DBR_COUNT,1),DBRA_WorkplanDate,$C297,DBRA_PlayerID,$D$3),"")</f>
        <v>0</v>
      </c>
      <c r="Q297">
        <f ca="1">IFERROR(SUMIFS(OFFSET(DBRA_TopicCount,0,Q$217,DBR_COUNT,1),DBRA_WorkplanDate,$C297,DBRA_PlayerID,$D$3),"")</f>
        <v>0</v>
      </c>
      <c r="R297">
        <f ca="1">IFERROR(SUMIFS(OFFSET(DBRA_TopicCount,0,R$217,DBR_COUNT,1),DBRA_WorkplanDate,$C297,DBRA_PlayerID,$D$3),"")</f>
        <v>0</v>
      </c>
      <c r="S297">
        <f ca="1">IFERROR(SUMIFS(OFFSET(DBRA_TopicCount,0,S$217,DBR_COUNT,1),DBRA_WorkplanDate,$C297,DBRA_PlayerID,$D$3),"")</f>
        <v>0</v>
      </c>
      <c r="T297">
        <f ca="1">IFERROR(SUMIFS(OFFSET(DBRA_TopicCount,0,T$217,DBR_COUNT,1),DBRA_WorkplanDate,$C297,DBRA_PlayerID,$D$3),"")</f>
        <v>0</v>
      </c>
      <c r="U297">
        <f ca="1">IFERROR(SUMIFS(OFFSET(DBRA_TopicCount,0,U$217,DBR_COUNT,1),DBRA_WorkplanDate,$C297,DBRA_PlayerID,$D$3),"")</f>
        <v>0</v>
      </c>
      <c r="V297">
        <f ca="1">IFERROR(SUMIFS(OFFSET(DBRA_TopicCount,0,V$217,DBR_COUNT,1),DBRA_WorkplanDate,$C297,DBRA_PlayerID,$D$3),"")</f>
        <v>0</v>
      </c>
      <c r="W297" s="47"/>
      <c r="X297" t="str">
        <f t="shared" ca="1" si="84"/>
        <v/>
      </c>
      <c r="Y297" t="str">
        <f t="shared" ca="1" si="76"/>
        <v/>
      </c>
      <c r="Z297" t="str">
        <f t="shared" ca="1" si="77"/>
        <v/>
      </c>
      <c r="AA297" t="str">
        <f t="shared" ca="1" si="78"/>
        <v/>
      </c>
      <c r="AB297" t="str">
        <f t="shared" ca="1" si="79"/>
        <v/>
      </c>
      <c r="AC297" t="str">
        <f t="shared" ca="1" si="80"/>
        <v/>
      </c>
      <c r="AD297" t="str">
        <f t="shared" ca="1" si="81"/>
        <v/>
      </c>
      <c r="AE297" t="str">
        <f t="shared" ca="1" si="82"/>
        <v/>
      </c>
      <c r="AF297" t="str">
        <f t="shared" ca="1" si="83"/>
        <v/>
      </c>
      <c r="AG297" s="47"/>
    </row>
    <row r="298" spans="3:33" x14ac:dyDescent="0.25">
      <c r="C298" s="118">
        <f t="shared" si="85"/>
        <v>42084</v>
      </c>
      <c r="D298">
        <f ca="1">IFERROR(SUMIFS(OFFSET(DBRA_TopicHCP,0,D$217,DBR_COUNT,1),DBRA_WorkplanDate,$C298,DBRA_PlayerID,$D$3),"")</f>
        <v>0</v>
      </c>
      <c r="E298">
        <f ca="1">IFERROR(SUMIFS(OFFSET(DBRA_TopicHCP,0,E$217,DBR_COUNT,1),DBRA_WorkplanDate,$C298,DBRA_PlayerID,$D$3),"")</f>
        <v>0</v>
      </c>
      <c r="F298">
        <f ca="1">IFERROR(SUMIFS(OFFSET(DBRA_TopicHCP,0,F$217,DBR_COUNT,1),DBRA_WorkplanDate,$C298,DBRA_PlayerID,$D$3),"")</f>
        <v>0</v>
      </c>
      <c r="G298">
        <f ca="1">IFERROR(SUMIFS(OFFSET(DBRA_TopicHCP,0,G$217,DBR_COUNT,1),DBRA_WorkplanDate,$C298,DBRA_PlayerID,$D$3),"")</f>
        <v>0</v>
      </c>
      <c r="H298">
        <f ca="1">IFERROR(SUMIFS(OFFSET(DBRA_TopicHCP,0,H$217,DBR_COUNT,1),DBRA_WorkplanDate,$C298,DBRA_PlayerID,$D$3),"")</f>
        <v>0</v>
      </c>
      <c r="I298">
        <f ca="1">IFERROR(SUMIFS(OFFSET(DBRA_TopicHCP,0,I$217,DBR_COUNT,1),DBRA_WorkplanDate,$C298,DBRA_PlayerID,$D$3),"")</f>
        <v>0</v>
      </c>
      <c r="J298">
        <f ca="1">IFERROR(SUMIFS(OFFSET(DBRA_TopicHCP,0,J$217,DBR_COUNT,1),DBRA_WorkplanDate,$C298,DBRA_PlayerID,$D$3),"")</f>
        <v>0</v>
      </c>
      <c r="K298">
        <f ca="1">IFERROR(SUMIFS(OFFSET(DBRA_TopicHCP,0,K$217,DBR_COUNT,1),DBRA_WorkplanDate,$C298,DBRA_PlayerID,$D$3),"")</f>
        <v>0</v>
      </c>
      <c r="L298">
        <f ca="1">IFERROR(SUMIFS(OFFSET(DBRA_TopicHCP,0,L$217,DBR_COUNT,1),DBRA_WorkplanDate,$C298,DBRA_PlayerID,$D$3),"")</f>
        <v>0</v>
      </c>
      <c r="M298" s="47"/>
      <c r="N298">
        <f ca="1">IFERROR(SUMIFS(OFFSET(DBRA_TopicCount,0,N$217,DBR_COUNT,1),DBRA_WorkplanDate,$C298,DBRA_PlayerID,$D$3),"")</f>
        <v>0</v>
      </c>
      <c r="O298">
        <f ca="1">IFERROR(SUMIFS(OFFSET(DBRA_TopicCount,0,O$217,DBR_COUNT,1),DBRA_WorkplanDate,$C298,DBRA_PlayerID,$D$3),"")</f>
        <v>0</v>
      </c>
      <c r="P298">
        <f ca="1">IFERROR(SUMIFS(OFFSET(DBRA_TopicCount,0,P$217,DBR_COUNT,1),DBRA_WorkplanDate,$C298,DBRA_PlayerID,$D$3),"")</f>
        <v>0</v>
      </c>
      <c r="Q298">
        <f ca="1">IFERROR(SUMIFS(OFFSET(DBRA_TopicCount,0,Q$217,DBR_COUNT,1),DBRA_WorkplanDate,$C298,DBRA_PlayerID,$D$3),"")</f>
        <v>0</v>
      </c>
      <c r="R298">
        <f ca="1">IFERROR(SUMIFS(OFFSET(DBRA_TopicCount,0,R$217,DBR_COUNT,1),DBRA_WorkplanDate,$C298,DBRA_PlayerID,$D$3),"")</f>
        <v>0</v>
      </c>
      <c r="S298">
        <f ca="1">IFERROR(SUMIFS(OFFSET(DBRA_TopicCount,0,S$217,DBR_COUNT,1),DBRA_WorkplanDate,$C298,DBRA_PlayerID,$D$3),"")</f>
        <v>0</v>
      </c>
      <c r="T298">
        <f ca="1">IFERROR(SUMIFS(OFFSET(DBRA_TopicCount,0,T$217,DBR_COUNT,1),DBRA_WorkplanDate,$C298,DBRA_PlayerID,$D$3),"")</f>
        <v>0</v>
      </c>
      <c r="U298">
        <f ca="1">IFERROR(SUMIFS(OFFSET(DBRA_TopicCount,0,U$217,DBR_COUNT,1),DBRA_WorkplanDate,$C298,DBRA_PlayerID,$D$3),"")</f>
        <v>0</v>
      </c>
      <c r="V298">
        <f ca="1">IFERROR(SUMIFS(OFFSET(DBRA_TopicCount,0,V$217,DBR_COUNT,1),DBRA_WorkplanDate,$C298,DBRA_PlayerID,$D$3),"")</f>
        <v>0</v>
      </c>
      <c r="W298" s="47"/>
      <c r="X298" t="str">
        <f t="shared" ca="1" si="84"/>
        <v/>
      </c>
      <c r="Y298" t="str">
        <f t="shared" ca="1" si="76"/>
        <v/>
      </c>
      <c r="Z298" t="str">
        <f t="shared" ca="1" si="77"/>
        <v/>
      </c>
      <c r="AA298" t="str">
        <f t="shared" ca="1" si="78"/>
        <v/>
      </c>
      <c r="AB298" t="str">
        <f t="shared" ca="1" si="79"/>
        <v/>
      </c>
      <c r="AC298" t="str">
        <f t="shared" ca="1" si="80"/>
        <v/>
      </c>
      <c r="AD298" t="str">
        <f t="shared" ca="1" si="81"/>
        <v/>
      </c>
      <c r="AE298" t="str">
        <f t="shared" ca="1" si="82"/>
        <v/>
      </c>
      <c r="AF298" t="str">
        <f t="shared" ca="1" si="83"/>
        <v/>
      </c>
      <c r="AG298" s="47"/>
    </row>
    <row r="299" spans="3:33" x14ac:dyDescent="0.25">
      <c r="C299" s="118">
        <f t="shared" si="85"/>
        <v>42085</v>
      </c>
      <c r="D299">
        <f ca="1">IFERROR(SUMIFS(OFFSET(DBRA_TopicHCP,0,D$217,DBR_COUNT,1),DBRA_WorkplanDate,$C299,DBRA_PlayerID,$D$3),"")</f>
        <v>0</v>
      </c>
      <c r="E299">
        <f ca="1">IFERROR(SUMIFS(OFFSET(DBRA_TopicHCP,0,E$217,DBR_COUNT,1),DBRA_WorkplanDate,$C299,DBRA_PlayerID,$D$3),"")</f>
        <v>0</v>
      </c>
      <c r="F299">
        <f ca="1">IFERROR(SUMIFS(OFFSET(DBRA_TopicHCP,0,F$217,DBR_COUNT,1),DBRA_WorkplanDate,$C299,DBRA_PlayerID,$D$3),"")</f>
        <v>0</v>
      </c>
      <c r="G299">
        <f ca="1">IFERROR(SUMIFS(OFFSET(DBRA_TopicHCP,0,G$217,DBR_COUNT,1),DBRA_WorkplanDate,$C299,DBRA_PlayerID,$D$3),"")</f>
        <v>0</v>
      </c>
      <c r="H299">
        <f ca="1">IFERROR(SUMIFS(OFFSET(DBRA_TopicHCP,0,H$217,DBR_COUNT,1),DBRA_WorkplanDate,$C299,DBRA_PlayerID,$D$3),"")</f>
        <v>0</v>
      </c>
      <c r="I299">
        <f ca="1">IFERROR(SUMIFS(OFFSET(DBRA_TopicHCP,0,I$217,DBR_COUNT,1),DBRA_WorkplanDate,$C299,DBRA_PlayerID,$D$3),"")</f>
        <v>0</v>
      </c>
      <c r="J299">
        <f ca="1">IFERROR(SUMIFS(OFFSET(DBRA_TopicHCP,0,J$217,DBR_COUNT,1),DBRA_WorkplanDate,$C299,DBRA_PlayerID,$D$3),"")</f>
        <v>0</v>
      </c>
      <c r="K299">
        <f ca="1">IFERROR(SUMIFS(OFFSET(DBRA_TopicHCP,0,K$217,DBR_COUNT,1),DBRA_WorkplanDate,$C299,DBRA_PlayerID,$D$3),"")</f>
        <v>0</v>
      </c>
      <c r="L299">
        <f ca="1">IFERROR(SUMIFS(OFFSET(DBRA_TopicHCP,0,L$217,DBR_COUNT,1),DBRA_WorkplanDate,$C299,DBRA_PlayerID,$D$3),"")</f>
        <v>0</v>
      </c>
      <c r="M299" s="47"/>
      <c r="N299">
        <f ca="1">IFERROR(SUMIFS(OFFSET(DBRA_TopicCount,0,N$217,DBR_COUNT,1),DBRA_WorkplanDate,$C299,DBRA_PlayerID,$D$3),"")</f>
        <v>0</v>
      </c>
      <c r="O299">
        <f ca="1">IFERROR(SUMIFS(OFFSET(DBRA_TopicCount,0,O$217,DBR_COUNT,1),DBRA_WorkplanDate,$C299,DBRA_PlayerID,$D$3),"")</f>
        <v>0</v>
      </c>
      <c r="P299">
        <f ca="1">IFERROR(SUMIFS(OFFSET(DBRA_TopicCount,0,P$217,DBR_COUNT,1),DBRA_WorkplanDate,$C299,DBRA_PlayerID,$D$3),"")</f>
        <v>0</v>
      </c>
      <c r="Q299">
        <f ca="1">IFERROR(SUMIFS(OFFSET(DBRA_TopicCount,0,Q$217,DBR_COUNT,1),DBRA_WorkplanDate,$C299,DBRA_PlayerID,$D$3),"")</f>
        <v>0</v>
      </c>
      <c r="R299">
        <f ca="1">IFERROR(SUMIFS(OFFSET(DBRA_TopicCount,0,R$217,DBR_COUNT,1),DBRA_WorkplanDate,$C299,DBRA_PlayerID,$D$3),"")</f>
        <v>0</v>
      </c>
      <c r="S299">
        <f ca="1">IFERROR(SUMIFS(OFFSET(DBRA_TopicCount,0,S$217,DBR_COUNT,1),DBRA_WorkplanDate,$C299,DBRA_PlayerID,$D$3),"")</f>
        <v>0</v>
      </c>
      <c r="T299">
        <f ca="1">IFERROR(SUMIFS(OFFSET(DBRA_TopicCount,0,T$217,DBR_COUNT,1),DBRA_WorkplanDate,$C299,DBRA_PlayerID,$D$3),"")</f>
        <v>0</v>
      </c>
      <c r="U299">
        <f ca="1">IFERROR(SUMIFS(OFFSET(DBRA_TopicCount,0,U$217,DBR_COUNT,1),DBRA_WorkplanDate,$C299,DBRA_PlayerID,$D$3),"")</f>
        <v>0</v>
      </c>
      <c r="V299">
        <f ca="1">IFERROR(SUMIFS(OFFSET(DBRA_TopicCount,0,V$217,DBR_COUNT,1),DBRA_WorkplanDate,$C299,DBRA_PlayerID,$D$3),"")</f>
        <v>0</v>
      </c>
      <c r="W299" s="47"/>
      <c r="X299" t="str">
        <f t="shared" ca="1" si="84"/>
        <v/>
      </c>
      <c r="Y299" t="str">
        <f t="shared" ca="1" si="76"/>
        <v/>
      </c>
      <c r="Z299" t="str">
        <f t="shared" ca="1" si="77"/>
        <v/>
      </c>
      <c r="AA299" t="str">
        <f t="shared" ca="1" si="78"/>
        <v/>
      </c>
      <c r="AB299" t="str">
        <f t="shared" ca="1" si="79"/>
        <v/>
      </c>
      <c r="AC299" t="str">
        <f t="shared" ca="1" si="80"/>
        <v/>
      </c>
      <c r="AD299" t="str">
        <f t="shared" ca="1" si="81"/>
        <v/>
      </c>
      <c r="AE299" t="str">
        <f t="shared" ca="1" si="82"/>
        <v/>
      </c>
      <c r="AF299" t="str">
        <f t="shared" ca="1" si="83"/>
        <v/>
      </c>
      <c r="AG299" s="47"/>
    </row>
    <row r="300" spans="3:33" x14ac:dyDescent="0.25">
      <c r="C300" s="118">
        <f t="shared" si="85"/>
        <v>42086</v>
      </c>
      <c r="D300">
        <f ca="1">IFERROR(SUMIFS(OFFSET(DBRA_TopicHCP,0,D$217,DBR_COUNT,1),DBRA_WorkplanDate,$C300,DBRA_PlayerID,$D$3),"")</f>
        <v>0</v>
      </c>
      <c r="E300">
        <f ca="1">IFERROR(SUMIFS(OFFSET(DBRA_TopicHCP,0,E$217,DBR_COUNT,1),DBRA_WorkplanDate,$C300,DBRA_PlayerID,$D$3),"")</f>
        <v>0</v>
      </c>
      <c r="F300">
        <f ca="1">IFERROR(SUMIFS(OFFSET(DBRA_TopicHCP,0,F$217,DBR_COUNT,1),DBRA_WorkplanDate,$C300,DBRA_PlayerID,$D$3),"")</f>
        <v>0</v>
      </c>
      <c r="G300">
        <f ca="1">IFERROR(SUMIFS(OFFSET(DBRA_TopicHCP,0,G$217,DBR_COUNT,1),DBRA_WorkplanDate,$C300,DBRA_PlayerID,$D$3),"")</f>
        <v>0</v>
      </c>
      <c r="H300">
        <f ca="1">IFERROR(SUMIFS(OFFSET(DBRA_TopicHCP,0,H$217,DBR_COUNT,1),DBRA_WorkplanDate,$C300,DBRA_PlayerID,$D$3),"")</f>
        <v>0</v>
      </c>
      <c r="I300">
        <f ca="1">IFERROR(SUMIFS(OFFSET(DBRA_TopicHCP,0,I$217,DBR_COUNT,1),DBRA_WorkplanDate,$C300,DBRA_PlayerID,$D$3),"")</f>
        <v>0</v>
      </c>
      <c r="J300">
        <f ca="1">IFERROR(SUMIFS(OFFSET(DBRA_TopicHCP,0,J$217,DBR_COUNT,1),DBRA_WorkplanDate,$C300,DBRA_PlayerID,$D$3),"")</f>
        <v>0</v>
      </c>
      <c r="K300">
        <f ca="1">IFERROR(SUMIFS(OFFSET(DBRA_TopicHCP,0,K$217,DBR_COUNT,1),DBRA_WorkplanDate,$C300,DBRA_PlayerID,$D$3),"")</f>
        <v>0</v>
      </c>
      <c r="L300">
        <f ca="1">IFERROR(SUMIFS(OFFSET(DBRA_TopicHCP,0,L$217,DBR_COUNT,1),DBRA_WorkplanDate,$C300,DBRA_PlayerID,$D$3),"")</f>
        <v>0</v>
      </c>
      <c r="M300" s="47"/>
      <c r="N300">
        <f ca="1">IFERROR(SUMIFS(OFFSET(DBRA_TopicCount,0,N$217,DBR_COUNT,1),DBRA_WorkplanDate,$C300,DBRA_PlayerID,$D$3),"")</f>
        <v>0</v>
      </c>
      <c r="O300">
        <f ca="1">IFERROR(SUMIFS(OFFSET(DBRA_TopicCount,0,O$217,DBR_COUNT,1),DBRA_WorkplanDate,$C300,DBRA_PlayerID,$D$3),"")</f>
        <v>0</v>
      </c>
      <c r="P300">
        <f ca="1">IFERROR(SUMIFS(OFFSET(DBRA_TopicCount,0,P$217,DBR_COUNT,1),DBRA_WorkplanDate,$C300,DBRA_PlayerID,$D$3),"")</f>
        <v>0</v>
      </c>
      <c r="Q300">
        <f ca="1">IFERROR(SUMIFS(OFFSET(DBRA_TopicCount,0,Q$217,DBR_COUNT,1),DBRA_WorkplanDate,$C300,DBRA_PlayerID,$D$3),"")</f>
        <v>0</v>
      </c>
      <c r="R300">
        <f ca="1">IFERROR(SUMIFS(OFFSET(DBRA_TopicCount,0,R$217,DBR_COUNT,1),DBRA_WorkplanDate,$C300,DBRA_PlayerID,$D$3),"")</f>
        <v>0</v>
      </c>
      <c r="S300">
        <f ca="1">IFERROR(SUMIFS(OFFSET(DBRA_TopicCount,0,S$217,DBR_COUNT,1),DBRA_WorkplanDate,$C300,DBRA_PlayerID,$D$3),"")</f>
        <v>0</v>
      </c>
      <c r="T300">
        <f ca="1">IFERROR(SUMIFS(OFFSET(DBRA_TopicCount,0,T$217,DBR_COUNT,1),DBRA_WorkplanDate,$C300,DBRA_PlayerID,$D$3),"")</f>
        <v>0</v>
      </c>
      <c r="U300">
        <f ca="1">IFERROR(SUMIFS(OFFSET(DBRA_TopicCount,0,U$217,DBR_COUNT,1),DBRA_WorkplanDate,$C300,DBRA_PlayerID,$D$3),"")</f>
        <v>0</v>
      </c>
      <c r="V300">
        <f ca="1">IFERROR(SUMIFS(OFFSET(DBRA_TopicCount,0,V$217,DBR_COUNT,1),DBRA_WorkplanDate,$C300,DBRA_PlayerID,$D$3),"")</f>
        <v>0</v>
      </c>
      <c r="W300" s="47"/>
      <c r="X300" t="str">
        <f t="shared" ca="1" si="84"/>
        <v/>
      </c>
      <c r="Y300" t="str">
        <f t="shared" ca="1" si="76"/>
        <v/>
      </c>
      <c r="Z300" t="str">
        <f t="shared" ca="1" si="77"/>
        <v/>
      </c>
      <c r="AA300" t="str">
        <f t="shared" ca="1" si="78"/>
        <v/>
      </c>
      <c r="AB300" t="str">
        <f t="shared" ca="1" si="79"/>
        <v/>
      </c>
      <c r="AC300" t="str">
        <f t="shared" ca="1" si="80"/>
        <v/>
      </c>
      <c r="AD300" t="str">
        <f t="shared" ca="1" si="81"/>
        <v/>
      </c>
      <c r="AE300" t="str">
        <f t="shared" ca="1" si="82"/>
        <v/>
      </c>
      <c r="AF300" t="str">
        <f t="shared" ca="1" si="83"/>
        <v/>
      </c>
      <c r="AG300" s="47"/>
    </row>
    <row r="301" spans="3:33" x14ac:dyDescent="0.25">
      <c r="C301" s="118">
        <f t="shared" si="85"/>
        <v>42087</v>
      </c>
      <c r="D301">
        <f ca="1">IFERROR(SUMIFS(OFFSET(DBRA_TopicHCP,0,D$217,DBR_COUNT,1),DBRA_WorkplanDate,$C301,DBRA_PlayerID,$D$3),"")</f>
        <v>0</v>
      </c>
      <c r="E301">
        <f ca="1">IFERROR(SUMIFS(OFFSET(DBRA_TopicHCP,0,E$217,DBR_COUNT,1),DBRA_WorkplanDate,$C301,DBRA_PlayerID,$D$3),"")</f>
        <v>0</v>
      </c>
      <c r="F301">
        <f ca="1">IFERROR(SUMIFS(OFFSET(DBRA_TopicHCP,0,F$217,DBR_COUNT,1),DBRA_WorkplanDate,$C301,DBRA_PlayerID,$D$3),"")</f>
        <v>0</v>
      </c>
      <c r="G301">
        <f ca="1">IFERROR(SUMIFS(OFFSET(DBRA_TopicHCP,0,G$217,DBR_COUNT,1),DBRA_WorkplanDate,$C301,DBRA_PlayerID,$D$3),"")</f>
        <v>0</v>
      </c>
      <c r="H301">
        <f ca="1">IFERROR(SUMIFS(OFFSET(DBRA_TopicHCP,0,H$217,DBR_COUNT,1),DBRA_WorkplanDate,$C301,DBRA_PlayerID,$D$3),"")</f>
        <v>0</v>
      </c>
      <c r="I301">
        <f ca="1">IFERROR(SUMIFS(OFFSET(DBRA_TopicHCP,0,I$217,DBR_COUNT,1),DBRA_WorkplanDate,$C301,DBRA_PlayerID,$D$3),"")</f>
        <v>0</v>
      </c>
      <c r="J301">
        <f ca="1">IFERROR(SUMIFS(OFFSET(DBRA_TopicHCP,0,J$217,DBR_COUNT,1),DBRA_WorkplanDate,$C301,DBRA_PlayerID,$D$3),"")</f>
        <v>0</v>
      </c>
      <c r="K301">
        <f ca="1">IFERROR(SUMIFS(OFFSET(DBRA_TopicHCP,0,K$217,DBR_COUNT,1),DBRA_WorkplanDate,$C301,DBRA_PlayerID,$D$3),"")</f>
        <v>0</v>
      </c>
      <c r="L301">
        <f ca="1">IFERROR(SUMIFS(OFFSET(DBRA_TopicHCP,0,L$217,DBR_COUNT,1),DBRA_WorkplanDate,$C301,DBRA_PlayerID,$D$3),"")</f>
        <v>0</v>
      </c>
      <c r="M301" s="47"/>
      <c r="N301">
        <f ca="1">IFERROR(SUMIFS(OFFSET(DBRA_TopicCount,0,N$217,DBR_COUNT,1),DBRA_WorkplanDate,$C301,DBRA_PlayerID,$D$3),"")</f>
        <v>0</v>
      </c>
      <c r="O301">
        <f ca="1">IFERROR(SUMIFS(OFFSET(DBRA_TopicCount,0,O$217,DBR_COUNT,1),DBRA_WorkplanDate,$C301,DBRA_PlayerID,$D$3),"")</f>
        <v>0</v>
      </c>
      <c r="P301">
        <f ca="1">IFERROR(SUMIFS(OFFSET(DBRA_TopicCount,0,P$217,DBR_COUNT,1),DBRA_WorkplanDate,$C301,DBRA_PlayerID,$D$3),"")</f>
        <v>0</v>
      </c>
      <c r="Q301">
        <f ca="1">IFERROR(SUMIFS(OFFSET(DBRA_TopicCount,0,Q$217,DBR_COUNT,1),DBRA_WorkplanDate,$C301,DBRA_PlayerID,$D$3),"")</f>
        <v>0</v>
      </c>
      <c r="R301">
        <f ca="1">IFERROR(SUMIFS(OFFSET(DBRA_TopicCount,0,R$217,DBR_COUNT,1),DBRA_WorkplanDate,$C301,DBRA_PlayerID,$D$3),"")</f>
        <v>0</v>
      </c>
      <c r="S301">
        <f ca="1">IFERROR(SUMIFS(OFFSET(DBRA_TopicCount,0,S$217,DBR_COUNT,1),DBRA_WorkplanDate,$C301,DBRA_PlayerID,$D$3),"")</f>
        <v>0</v>
      </c>
      <c r="T301">
        <f ca="1">IFERROR(SUMIFS(OFFSET(DBRA_TopicCount,0,T$217,DBR_COUNT,1),DBRA_WorkplanDate,$C301,DBRA_PlayerID,$D$3),"")</f>
        <v>0</v>
      </c>
      <c r="U301">
        <f ca="1">IFERROR(SUMIFS(OFFSET(DBRA_TopicCount,0,U$217,DBR_COUNT,1),DBRA_WorkplanDate,$C301,DBRA_PlayerID,$D$3),"")</f>
        <v>0</v>
      </c>
      <c r="V301">
        <f ca="1">IFERROR(SUMIFS(OFFSET(DBRA_TopicCount,0,V$217,DBR_COUNT,1),DBRA_WorkplanDate,$C301,DBRA_PlayerID,$D$3),"")</f>
        <v>0</v>
      </c>
      <c r="W301" s="47"/>
      <c r="X301" t="str">
        <f t="shared" ca="1" si="84"/>
        <v/>
      </c>
      <c r="Y301" t="str">
        <f t="shared" ca="1" si="76"/>
        <v/>
      </c>
      <c r="Z301" t="str">
        <f t="shared" ca="1" si="77"/>
        <v/>
      </c>
      <c r="AA301" t="str">
        <f t="shared" ca="1" si="78"/>
        <v/>
      </c>
      <c r="AB301" t="str">
        <f t="shared" ca="1" si="79"/>
        <v/>
      </c>
      <c r="AC301" t="str">
        <f t="shared" ca="1" si="80"/>
        <v/>
      </c>
      <c r="AD301" t="str">
        <f t="shared" ca="1" si="81"/>
        <v/>
      </c>
      <c r="AE301" t="str">
        <f t="shared" ca="1" si="82"/>
        <v/>
      </c>
      <c r="AF301" t="str">
        <f t="shared" ca="1" si="83"/>
        <v/>
      </c>
      <c r="AG301" s="47"/>
    </row>
    <row r="302" spans="3:33" x14ac:dyDescent="0.25">
      <c r="C302" s="118">
        <f t="shared" si="85"/>
        <v>42088</v>
      </c>
      <c r="D302">
        <f ca="1">IFERROR(SUMIFS(OFFSET(DBRA_TopicHCP,0,D$217,DBR_COUNT,1),DBRA_WorkplanDate,$C302,DBRA_PlayerID,$D$3),"")</f>
        <v>0</v>
      </c>
      <c r="E302">
        <f ca="1">IFERROR(SUMIFS(OFFSET(DBRA_TopicHCP,0,E$217,DBR_COUNT,1),DBRA_WorkplanDate,$C302,DBRA_PlayerID,$D$3),"")</f>
        <v>0</v>
      </c>
      <c r="F302">
        <f ca="1">IFERROR(SUMIFS(OFFSET(DBRA_TopicHCP,0,F$217,DBR_COUNT,1),DBRA_WorkplanDate,$C302,DBRA_PlayerID,$D$3),"")</f>
        <v>0</v>
      </c>
      <c r="G302">
        <f ca="1">IFERROR(SUMIFS(OFFSET(DBRA_TopicHCP,0,G$217,DBR_COUNT,1),DBRA_WorkplanDate,$C302,DBRA_PlayerID,$D$3),"")</f>
        <v>0</v>
      </c>
      <c r="H302">
        <f ca="1">IFERROR(SUMIFS(OFFSET(DBRA_TopicHCP,0,H$217,DBR_COUNT,1),DBRA_WorkplanDate,$C302,DBRA_PlayerID,$D$3),"")</f>
        <v>0</v>
      </c>
      <c r="I302">
        <f ca="1">IFERROR(SUMIFS(OFFSET(DBRA_TopicHCP,0,I$217,DBR_COUNT,1),DBRA_WorkplanDate,$C302,DBRA_PlayerID,$D$3),"")</f>
        <v>0</v>
      </c>
      <c r="J302">
        <f ca="1">IFERROR(SUMIFS(OFFSET(DBRA_TopicHCP,0,J$217,DBR_COUNT,1),DBRA_WorkplanDate,$C302,DBRA_PlayerID,$D$3),"")</f>
        <v>0</v>
      </c>
      <c r="K302">
        <f ca="1">IFERROR(SUMIFS(OFFSET(DBRA_TopicHCP,0,K$217,DBR_COUNT,1),DBRA_WorkplanDate,$C302,DBRA_PlayerID,$D$3),"")</f>
        <v>0</v>
      </c>
      <c r="L302">
        <f ca="1">IFERROR(SUMIFS(OFFSET(DBRA_TopicHCP,0,L$217,DBR_COUNT,1),DBRA_WorkplanDate,$C302,DBRA_PlayerID,$D$3),"")</f>
        <v>0</v>
      </c>
      <c r="M302" s="47"/>
      <c r="N302">
        <f ca="1">IFERROR(SUMIFS(OFFSET(DBRA_TopicCount,0,N$217,DBR_COUNT,1),DBRA_WorkplanDate,$C302,DBRA_PlayerID,$D$3),"")</f>
        <v>0</v>
      </c>
      <c r="O302">
        <f ca="1">IFERROR(SUMIFS(OFFSET(DBRA_TopicCount,0,O$217,DBR_COUNT,1),DBRA_WorkplanDate,$C302,DBRA_PlayerID,$D$3),"")</f>
        <v>0</v>
      </c>
      <c r="P302">
        <f ca="1">IFERROR(SUMIFS(OFFSET(DBRA_TopicCount,0,P$217,DBR_COUNT,1),DBRA_WorkplanDate,$C302,DBRA_PlayerID,$D$3),"")</f>
        <v>0</v>
      </c>
      <c r="Q302">
        <f ca="1">IFERROR(SUMIFS(OFFSET(DBRA_TopicCount,0,Q$217,DBR_COUNT,1),DBRA_WorkplanDate,$C302,DBRA_PlayerID,$D$3),"")</f>
        <v>0</v>
      </c>
      <c r="R302">
        <f ca="1">IFERROR(SUMIFS(OFFSET(DBRA_TopicCount,0,R$217,DBR_COUNT,1),DBRA_WorkplanDate,$C302,DBRA_PlayerID,$D$3),"")</f>
        <v>0</v>
      </c>
      <c r="S302">
        <f ca="1">IFERROR(SUMIFS(OFFSET(DBRA_TopicCount,0,S$217,DBR_COUNT,1),DBRA_WorkplanDate,$C302,DBRA_PlayerID,$D$3),"")</f>
        <v>0</v>
      </c>
      <c r="T302">
        <f ca="1">IFERROR(SUMIFS(OFFSET(DBRA_TopicCount,0,T$217,DBR_COUNT,1),DBRA_WorkplanDate,$C302,DBRA_PlayerID,$D$3),"")</f>
        <v>0</v>
      </c>
      <c r="U302">
        <f ca="1">IFERROR(SUMIFS(OFFSET(DBRA_TopicCount,0,U$217,DBR_COUNT,1),DBRA_WorkplanDate,$C302,DBRA_PlayerID,$D$3),"")</f>
        <v>0</v>
      </c>
      <c r="V302">
        <f ca="1">IFERROR(SUMIFS(OFFSET(DBRA_TopicCount,0,V$217,DBR_COUNT,1),DBRA_WorkplanDate,$C302,DBRA_PlayerID,$D$3),"")</f>
        <v>0</v>
      </c>
      <c r="W302" s="47"/>
      <c r="X302" t="str">
        <f t="shared" ca="1" si="84"/>
        <v/>
      </c>
      <c r="Y302" t="str">
        <f t="shared" ca="1" si="76"/>
        <v/>
      </c>
      <c r="Z302" t="str">
        <f t="shared" ca="1" si="77"/>
        <v/>
      </c>
      <c r="AA302" t="str">
        <f t="shared" ca="1" si="78"/>
        <v/>
      </c>
      <c r="AB302" t="str">
        <f t="shared" ca="1" si="79"/>
        <v/>
      </c>
      <c r="AC302" t="str">
        <f t="shared" ca="1" si="80"/>
        <v/>
      </c>
      <c r="AD302" t="str">
        <f t="shared" ca="1" si="81"/>
        <v/>
      </c>
      <c r="AE302" t="str">
        <f t="shared" ca="1" si="82"/>
        <v/>
      </c>
      <c r="AF302" t="str">
        <f t="shared" ca="1" si="83"/>
        <v/>
      </c>
      <c r="AG302" s="47"/>
    </row>
    <row r="303" spans="3:33" x14ac:dyDescent="0.25">
      <c r="C303" s="118">
        <f t="shared" si="85"/>
        <v>42089</v>
      </c>
      <c r="D303">
        <f ca="1">IFERROR(SUMIFS(OFFSET(DBRA_TopicHCP,0,D$217,DBR_COUNT,1),DBRA_WorkplanDate,$C303,DBRA_PlayerID,$D$3),"")</f>
        <v>0</v>
      </c>
      <c r="E303">
        <f ca="1">IFERROR(SUMIFS(OFFSET(DBRA_TopicHCP,0,E$217,DBR_COUNT,1),DBRA_WorkplanDate,$C303,DBRA_PlayerID,$D$3),"")</f>
        <v>0</v>
      </c>
      <c r="F303">
        <f ca="1">IFERROR(SUMIFS(OFFSET(DBRA_TopicHCP,0,F$217,DBR_COUNT,1),DBRA_WorkplanDate,$C303,DBRA_PlayerID,$D$3),"")</f>
        <v>0</v>
      </c>
      <c r="G303">
        <f ca="1">IFERROR(SUMIFS(OFFSET(DBRA_TopicHCP,0,G$217,DBR_COUNT,1),DBRA_WorkplanDate,$C303,DBRA_PlayerID,$D$3),"")</f>
        <v>0</v>
      </c>
      <c r="H303">
        <f ca="1">IFERROR(SUMIFS(OFFSET(DBRA_TopicHCP,0,H$217,DBR_COUNT,1),DBRA_WorkplanDate,$C303,DBRA_PlayerID,$D$3),"")</f>
        <v>0</v>
      </c>
      <c r="I303">
        <f ca="1">IFERROR(SUMIFS(OFFSET(DBRA_TopicHCP,0,I$217,DBR_COUNT,1),DBRA_WorkplanDate,$C303,DBRA_PlayerID,$D$3),"")</f>
        <v>0</v>
      </c>
      <c r="J303">
        <f ca="1">IFERROR(SUMIFS(OFFSET(DBRA_TopicHCP,0,J$217,DBR_COUNT,1),DBRA_WorkplanDate,$C303,DBRA_PlayerID,$D$3),"")</f>
        <v>0</v>
      </c>
      <c r="K303">
        <f ca="1">IFERROR(SUMIFS(OFFSET(DBRA_TopicHCP,0,K$217,DBR_COUNT,1),DBRA_WorkplanDate,$C303,DBRA_PlayerID,$D$3),"")</f>
        <v>0</v>
      </c>
      <c r="L303">
        <f ca="1">IFERROR(SUMIFS(OFFSET(DBRA_TopicHCP,0,L$217,DBR_COUNT,1),DBRA_WorkplanDate,$C303,DBRA_PlayerID,$D$3),"")</f>
        <v>0</v>
      </c>
      <c r="M303" s="47"/>
      <c r="N303">
        <f ca="1">IFERROR(SUMIFS(OFFSET(DBRA_TopicCount,0,N$217,DBR_COUNT,1),DBRA_WorkplanDate,$C303,DBRA_PlayerID,$D$3),"")</f>
        <v>0</v>
      </c>
      <c r="O303">
        <f ca="1">IFERROR(SUMIFS(OFFSET(DBRA_TopicCount,0,O$217,DBR_COUNT,1),DBRA_WorkplanDate,$C303,DBRA_PlayerID,$D$3),"")</f>
        <v>0</v>
      </c>
      <c r="P303">
        <f ca="1">IFERROR(SUMIFS(OFFSET(DBRA_TopicCount,0,P$217,DBR_COUNT,1),DBRA_WorkplanDate,$C303,DBRA_PlayerID,$D$3),"")</f>
        <v>0</v>
      </c>
      <c r="Q303">
        <f ca="1">IFERROR(SUMIFS(OFFSET(DBRA_TopicCount,0,Q$217,DBR_COUNT,1),DBRA_WorkplanDate,$C303,DBRA_PlayerID,$D$3),"")</f>
        <v>0</v>
      </c>
      <c r="R303">
        <f ca="1">IFERROR(SUMIFS(OFFSET(DBRA_TopicCount,0,R$217,DBR_COUNT,1),DBRA_WorkplanDate,$C303,DBRA_PlayerID,$D$3),"")</f>
        <v>0</v>
      </c>
      <c r="S303">
        <f ca="1">IFERROR(SUMIFS(OFFSET(DBRA_TopicCount,0,S$217,DBR_COUNT,1),DBRA_WorkplanDate,$C303,DBRA_PlayerID,$D$3),"")</f>
        <v>0</v>
      </c>
      <c r="T303">
        <f ca="1">IFERROR(SUMIFS(OFFSET(DBRA_TopicCount,0,T$217,DBR_COUNT,1),DBRA_WorkplanDate,$C303,DBRA_PlayerID,$D$3),"")</f>
        <v>0</v>
      </c>
      <c r="U303">
        <f ca="1">IFERROR(SUMIFS(OFFSET(DBRA_TopicCount,0,U$217,DBR_COUNT,1),DBRA_WorkplanDate,$C303,DBRA_PlayerID,$D$3),"")</f>
        <v>0</v>
      </c>
      <c r="V303">
        <f ca="1">IFERROR(SUMIFS(OFFSET(DBRA_TopicCount,0,V$217,DBR_COUNT,1),DBRA_WorkplanDate,$C303,DBRA_PlayerID,$D$3),"")</f>
        <v>0</v>
      </c>
      <c r="W303" s="47"/>
      <c r="X303" t="str">
        <f t="shared" ca="1" si="84"/>
        <v/>
      </c>
      <c r="Y303" t="str">
        <f t="shared" ca="1" si="76"/>
        <v/>
      </c>
      <c r="Z303" t="str">
        <f t="shared" ca="1" si="77"/>
        <v/>
      </c>
      <c r="AA303" t="str">
        <f t="shared" ca="1" si="78"/>
        <v/>
      </c>
      <c r="AB303" t="str">
        <f t="shared" ca="1" si="79"/>
        <v/>
      </c>
      <c r="AC303" t="str">
        <f t="shared" ca="1" si="80"/>
        <v/>
      </c>
      <c r="AD303" t="str">
        <f t="shared" ca="1" si="81"/>
        <v/>
      </c>
      <c r="AE303" t="str">
        <f t="shared" ca="1" si="82"/>
        <v/>
      </c>
      <c r="AF303" t="str">
        <f t="shared" ca="1" si="83"/>
        <v/>
      </c>
      <c r="AG303" s="47"/>
    </row>
    <row r="304" spans="3:33" x14ac:dyDescent="0.25">
      <c r="C304" s="118">
        <f t="shared" si="85"/>
        <v>42090</v>
      </c>
      <c r="D304">
        <f ca="1">IFERROR(SUMIFS(OFFSET(DBRA_TopicHCP,0,D$217,DBR_COUNT,1),DBRA_WorkplanDate,$C304,DBRA_PlayerID,$D$3),"")</f>
        <v>0</v>
      </c>
      <c r="E304">
        <f ca="1">IFERROR(SUMIFS(OFFSET(DBRA_TopicHCP,0,E$217,DBR_COUNT,1),DBRA_WorkplanDate,$C304,DBRA_PlayerID,$D$3),"")</f>
        <v>0</v>
      </c>
      <c r="F304">
        <f ca="1">IFERROR(SUMIFS(OFFSET(DBRA_TopicHCP,0,F$217,DBR_COUNT,1),DBRA_WorkplanDate,$C304,DBRA_PlayerID,$D$3),"")</f>
        <v>0</v>
      </c>
      <c r="G304">
        <f ca="1">IFERROR(SUMIFS(OFFSET(DBRA_TopicHCP,0,G$217,DBR_COUNT,1),DBRA_WorkplanDate,$C304,DBRA_PlayerID,$D$3),"")</f>
        <v>0</v>
      </c>
      <c r="H304">
        <f ca="1">IFERROR(SUMIFS(OFFSET(DBRA_TopicHCP,0,H$217,DBR_COUNT,1),DBRA_WorkplanDate,$C304,DBRA_PlayerID,$D$3),"")</f>
        <v>0</v>
      </c>
      <c r="I304">
        <f ca="1">IFERROR(SUMIFS(OFFSET(DBRA_TopicHCP,0,I$217,DBR_COUNT,1),DBRA_WorkplanDate,$C304,DBRA_PlayerID,$D$3),"")</f>
        <v>0</v>
      </c>
      <c r="J304">
        <f ca="1">IFERROR(SUMIFS(OFFSET(DBRA_TopicHCP,0,J$217,DBR_COUNT,1),DBRA_WorkplanDate,$C304,DBRA_PlayerID,$D$3),"")</f>
        <v>0</v>
      </c>
      <c r="K304">
        <f ca="1">IFERROR(SUMIFS(OFFSET(DBRA_TopicHCP,0,K$217,DBR_COUNT,1),DBRA_WorkplanDate,$C304,DBRA_PlayerID,$D$3),"")</f>
        <v>0</v>
      </c>
      <c r="L304">
        <f ca="1">IFERROR(SUMIFS(OFFSET(DBRA_TopicHCP,0,L$217,DBR_COUNT,1),DBRA_WorkplanDate,$C304,DBRA_PlayerID,$D$3),"")</f>
        <v>0</v>
      </c>
      <c r="M304" s="47"/>
      <c r="N304">
        <f ca="1">IFERROR(SUMIFS(OFFSET(DBRA_TopicCount,0,N$217,DBR_COUNT,1),DBRA_WorkplanDate,$C304,DBRA_PlayerID,$D$3),"")</f>
        <v>0</v>
      </c>
      <c r="O304">
        <f ca="1">IFERROR(SUMIFS(OFFSET(DBRA_TopicCount,0,O$217,DBR_COUNT,1),DBRA_WorkplanDate,$C304,DBRA_PlayerID,$D$3),"")</f>
        <v>0</v>
      </c>
      <c r="P304">
        <f ca="1">IFERROR(SUMIFS(OFFSET(DBRA_TopicCount,0,P$217,DBR_COUNT,1),DBRA_WorkplanDate,$C304,DBRA_PlayerID,$D$3),"")</f>
        <v>0</v>
      </c>
      <c r="Q304">
        <f ca="1">IFERROR(SUMIFS(OFFSET(DBRA_TopicCount,0,Q$217,DBR_COUNT,1),DBRA_WorkplanDate,$C304,DBRA_PlayerID,$D$3),"")</f>
        <v>0</v>
      </c>
      <c r="R304">
        <f ca="1">IFERROR(SUMIFS(OFFSET(DBRA_TopicCount,0,R$217,DBR_COUNT,1),DBRA_WorkplanDate,$C304,DBRA_PlayerID,$D$3),"")</f>
        <v>0</v>
      </c>
      <c r="S304">
        <f ca="1">IFERROR(SUMIFS(OFFSET(DBRA_TopicCount,0,S$217,DBR_COUNT,1),DBRA_WorkplanDate,$C304,DBRA_PlayerID,$D$3),"")</f>
        <v>0</v>
      </c>
      <c r="T304">
        <f ca="1">IFERROR(SUMIFS(OFFSET(DBRA_TopicCount,0,T$217,DBR_COUNT,1),DBRA_WorkplanDate,$C304,DBRA_PlayerID,$D$3),"")</f>
        <v>0</v>
      </c>
      <c r="U304">
        <f ca="1">IFERROR(SUMIFS(OFFSET(DBRA_TopicCount,0,U$217,DBR_COUNT,1),DBRA_WorkplanDate,$C304,DBRA_PlayerID,$D$3),"")</f>
        <v>0</v>
      </c>
      <c r="V304">
        <f ca="1">IFERROR(SUMIFS(OFFSET(DBRA_TopicCount,0,V$217,DBR_COUNT,1),DBRA_WorkplanDate,$C304,DBRA_PlayerID,$D$3),"")</f>
        <v>0</v>
      </c>
      <c r="W304" s="47"/>
      <c r="X304" t="str">
        <f t="shared" ca="1" si="84"/>
        <v/>
      </c>
      <c r="Y304" t="str">
        <f t="shared" ca="1" si="76"/>
        <v/>
      </c>
      <c r="Z304" t="str">
        <f t="shared" ca="1" si="77"/>
        <v/>
      </c>
      <c r="AA304" t="str">
        <f t="shared" ca="1" si="78"/>
        <v/>
      </c>
      <c r="AB304" t="str">
        <f t="shared" ca="1" si="79"/>
        <v/>
      </c>
      <c r="AC304" t="str">
        <f t="shared" ca="1" si="80"/>
        <v/>
      </c>
      <c r="AD304" t="str">
        <f t="shared" ca="1" si="81"/>
        <v/>
      </c>
      <c r="AE304" t="str">
        <f t="shared" ca="1" si="82"/>
        <v/>
      </c>
      <c r="AF304" t="str">
        <f t="shared" ca="1" si="83"/>
        <v/>
      </c>
      <c r="AG304" s="47"/>
    </row>
    <row r="305" spans="3:33" x14ac:dyDescent="0.25">
      <c r="C305" s="118">
        <f t="shared" si="85"/>
        <v>42091</v>
      </c>
      <c r="D305">
        <f ca="1">IFERROR(SUMIFS(OFFSET(DBRA_TopicHCP,0,D$217,DBR_COUNT,1),DBRA_WorkplanDate,$C305,DBRA_PlayerID,$D$3),"")</f>
        <v>0</v>
      </c>
      <c r="E305">
        <f ca="1">IFERROR(SUMIFS(OFFSET(DBRA_TopicHCP,0,E$217,DBR_COUNT,1),DBRA_WorkplanDate,$C305,DBRA_PlayerID,$D$3),"")</f>
        <v>0</v>
      </c>
      <c r="F305">
        <f ca="1">IFERROR(SUMIFS(OFFSET(DBRA_TopicHCP,0,F$217,DBR_COUNT,1),DBRA_WorkplanDate,$C305,DBRA_PlayerID,$D$3),"")</f>
        <v>0</v>
      </c>
      <c r="G305">
        <f ca="1">IFERROR(SUMIFS(OFFSET(DBRA_TopicHCP,0,G$217,DBR_COUNT,1),DBRA_WorkplanDate,$C305,DBRA_PlayerID,$D$3),"")</f>
        <v>0</v>
      </c>
      <c r="H305">
        <f ca="1">IFERROR(SUMIFS(OFFSET(DBRA_TopicHCP,0,H$217,DBR_COUNT,1),DBRA_WorkplanDate,$C305,DBRA_PlayerID,$D$3),"")</f>
        <v>0</v>
      </c>
      <c r="I305">
        <f ca="1">IFERROR(SUMIFS(OFFSET(DBRA_TopicHCP,0,I$217,DBR_COUNT,1),DBRA_WorkplanDate,$C305,DBRA_PlayerID,$D$3),"")</f>
        <v>0</v>
      </c>
      <c r="J305">
        <f ca="1">IFERROR(SUMIFS(OFFSET(DBRA_TopicHCP,0,J$217,DBR_COUNT,1),DBRA_WorkplanDate,$C305,DBRA_PlayerID,$D$3),"")</f>
        <v>0</v>
      </c>
      <c r="K305">
        <f ca="1">IFERROR(SUMIFS(OFFSET(DBRA_TopicHCP,0,K$217,DBR_COUNT,1),DBRA_WorkplanDate,$C305,DBRA_PlayerID,$D$3),"")</f>
        <v>0</v>
      </c>
      <c r="L305">
        <f ca="1">IFERROR(SUMIFS(OFFSET(DBRA_TopicHCP,0,L$217,DBR_COUNT,1),DBRA_WorkplanDate,$C305,DBRA_PlayerID,$D$3),"")</f>
        <v>0</v>
      </c>
      <c r="M305" s="47"/>
      <c r="N305">
        <f ca="1">IFERROR(SUMIFS(OFFSET(DBRA_TopicCount,0,N$217,DBR_COUNT,1),DBRA_WorkplanDate,$C305,DBRA_PlayerID,$D$3),"")</f>
        <v>0</v>
      </c>
      <c r="O305">
        <f ca="1">IFERROR(SUMIFS(OFFSET(DBRA_TopicCount,0,O$217,DBR_COUNT,1),DBRA_WorkplanDate,$C305,DBRA_PlayerID,$D$3),"")</f>
        <v>0</v>
      </c>
      <c r="P305">
        <f ca="1">IFERROR(SUMIFS(OFFSET(DBRA_TopicCount,0,P$217,DBR_COUNT,1),DBRA_WorkplanDate,$C305,DBRA_PlayerID,$D$3),"")</f>
        <v>0</v>
      </c>
      <c r="Q305">
        <f ca="1">IFERROR(SUMIFS(OFFSET(DBRA_TopicCount,0,Q$217,DBR_COUNT,1),DBRA_WorkplanDate,$C305,DBRA_PlayerID,$D$3),"")</f>
        <v>0</v>
      </c>
      <c r="R305">
        <f ca="1">IFERROR(SUMIFS(OFFSET(DBRA_TopicCount,0,R$217,DBR_COUNT,1),DBRA_WorkplanDate,$C305,DBRA_PlayerID,$D$3),"")</f>
        <v>0</v>
      </c>
      <c r="S305">
        <f ca="1">IFERROR(SUMIFS(OFFSET(DBRA_TopicCount,0,S$217,DBR_COUNT,1),DBRA_WorkplanDate,$C305,DBRA_PlayerID,$D$3),"")</f>
        <v>0</v>
      </c>
      <c r="T305">
        <f ca="1">IFERROR(SUMIFS(OFFSET(DBRA_TopicCount,0,T$217,DBR_COUNT,1),DBRA_WorkplanDate,$C305,DBRA_PlayerID,$D$3),"")</f>
        <v>0</v>
      </c>
      <c r="U305">
        <f ca="1">IFERROR(SUMIFS(OFFSET(DBRA_TopicCount,0,U$217,DBR_COUNT,1),DBRA_WorkplanDate,$C305,DBRA_PlayerID,$D$3),"")</f>
        <v>0</v>
      </c>
      <c r="V305">
        <f ca="1">IFERROR(SUMIFS(OFFSET(DBRA_TopicCount,0,V$217,DBR_COUNT,1),DBRA_WorkplanDate,$C305,DBRA_PlayerID,$D$3),"")</f>
        <v>0</v>
      </c>
      <c r="W305" s="47"/>
      <c r="X305" t="str">
        <f t="shared" ca="1" si="84"/>
        <v/>
      </c>
      <c r="Y305" t="str">
        <f t="shared" ca="1" si="76"/>
        <v/>
      </c>
      <c r="Z305" t="str">
        <f t="shared" ca="1" si="77"/>
        <v/>
      </c>
      <c r="AA305" t="str">
        <f t="shared" ca="1" si="78"/>
        <v/>
      </c>
      <c r="AB305" t="str">
        <f t="shared" ca="1" si="79"/>
        <v/>
      </c>
      <c r="AC305" t="str">
        <f t="shared" ca="1" si="80"/>
        <v/>
      </c>
      <c r="AD305" t="str">
        <f t="shared" ca="1" si="81"/>
        <v/>
      </c>
      <c r="AE305" t="str">
        <f t="shared" ca="1" si="82"/>
        <v/>
      </c>
      <c r="AF305" t="str">
        <f t="shared" ca="1" si="83"/>
        <v/>
      </c>
      <c r="AG305" s="47"/>
    </row>
    <row r="306" spans="3:33" x14ac:dyDescent="0.25">
      <c r="C306" s="118">
        <f t="shared" si="85"/>
        <v>42092</v>
      </c>
      <c r="D306">
        <f ca="1">IFERROR(SUMIFS(OFFSET(DBRA_TopicHCP,0,D$217,DBR_COUNT,1),DBRA_WorkplanDate,$C306,DBRA_PlayerID,$D$3),"")</f>
        <v>0</v>
      </c>
      <c r="E306">
        <f ca="1">IFERROR(SUMIFS(OFFSET(DBRA_TopicHCP,0,E$217,DBR_COUNT,1),DBRA_WorkplanDate,$C306,DBRA_PlayerID,$D$3),"")</f>
        <v>0</v>
      </c>
      <c r="F306">
        <f ca="1">IFERROR(SUMIFS(OFFSET(DBRA_TopicHCP,0,F$217,DBR_COUNT,1),DBRA_WorkplanDate,$C306,DBRA_PlayerID,$D$3),"")</f>
        <v>0</v>
      </c>
      <c r="G306">
        <f ca="1">IFERROR(SUMIFS(OFFSET(DBRA_TopicHCP,0,G$217,DBR_COUNT,1),DBRA_WorkplanDate,$C306,DBRA_PlayerID,$D$3),"")</f>
        <v>0</v>
      </c>
      <c r="H306">
        <f ca="1">IFERROR(SUMIFS(OFFSET(DBRA_TopicHCP,0,H$217,DBR_COUNT,1),DBRA_WorkplanDate,$C306,DBRA_PlayerID,$D$3),"")</f>
        <v>0</v>
      </c>
      <c r="I306">
        <f ca="1">IFERROR(SUMIFS(OFFSET(DBRA_TopicHCP,0,I$217,DBR_COUNT,1),DBRA_WorkplanDate,$C306,DBRA_PlayerID,$D$3),"")</f>
        <v>0</v>
      </c>
      <c r="J306">
        <f ca="1">IFERROR(SUMIFS(OFFSET(DBRA_TopicHCP,0,J$217,DBR_COUNT,1),DBRA_WorkplanDate,$C306,DBRA_PlayerID,$D$3),"")</f>
        <v>0</v>
      </c>
      <c r="K306">
        <f ca="1">IFERROR(SUMIFS(OFFSET(DBRA_TopicHCP,0,K$217,DBR_COUNT,1),DBRA_WorkplanDate,$C306,DBRA_PlayerID,$D$3),"")</f>
        <v>0</v>
      </c>
      <c r="L306">
        <f ca="1">IFERROR(SUMIFS(OFFSET(DBRA_TopicHCP,0,L$217,DBR_COUNT,1),DBRA_WorkplanDate,$C306,DBRA_PlayerID,$D$3),"")</f>
        <v>0</v>
      </c>
      <c r="M306" s="47"/>
      <c r="N306">
        <f ca="1">IFERROR(SUMIFS(OFFSET(DBRA_TopicCount,0,N$217,DBR_COUNT,1),DBRA_WorkplanDate,$C306,DBRA_PlayerID,$D$3),"")</f>
        <v>0</v>
      </c>
      <c r="O306">
        <f ca="1">IFERROR(SUMIFS(OFFSET(DBRA_TopicCount,0,O$217,DBR_COUNT,1),DBRA_WorkplanDate,$C306,DBRA_PlayerID,$D$3),"")</f>
        <v>0</v>
      </c>
      <c r="P306">
        <f ca="1">IFERROR(SUMIFS(OFFSET(DBRA_TopicCount,0,P$217,DBR_COUNT,1),DBRA_WorkplanDate,$C306,DBRA_PlayerID,$D$3),"")</f>
        <v>0</v>
      </c>
      <c r="Q306">
        <f ca="1">IFERROR(SUMIFS(OFFSET(DBRA_TopicCount,0,Q$217,DBR_COUNT,1),DBRA_WorkplanDate,$C306,DBRA_PlayerID,$D$3),"")</f>
        <v>0</v>
      </c>
      <c r="R306">
        <f ca="1">IFERROR(SUMIFS(OFFSET(DBRA_TopicCount,0,R$217,DBR_COUNT,1),DBRA_WorkplanDate,$C306,DBRA_PlayerID,$D$3),"")</f>
        <v>0</v>
      </c>
      <c r="S306">
        <f ca="1">IFERROR(SUMIFS(OFFSET(DBRA_TopicCount,0,S$217,DBR_COUNT,1),DBRA_WorkplanDate,$C306,DBRA_PlayerID,$D$3),"")</f>
        <v>0</v>
      </c>
      <c r="T306">
        <f ca="1">IFERROR(SUMIFS(OFFSET(DBRA_TopicCount,0,T$217,DBR_COUNT,1),DBRA_WorkplanDate,$C306,DBRA_PlayerID,$D$3),"")</f>
        <v>0</v>
      </c>
      <c r="U306">
        <f ca="1">IFERROR(SUMIFS(OFFSET(DBRA_TopicCount,0,U$217,DBR_COUNT,1),DBRA_WorkplanDate,$C306,DBRA_PlayerID,$D$3),"")</f>
        <v>0</v>
      </c>
      <c r="V306">
        <f ca="1">IFERROR(SUMIFS(OFFSET(DBRA_TopicCount,0,V$217,DBR_COUNT,1),DBRA_WorkplanDate,$C306,DBRA_PlayerID,$D$3),"")</f>
        <v>0</v>
      </c>
      <c r="W306" s="47"/>
      <c r="X306" t="str">
        <f t="shared" ca="1" si="84"/>
        <v/>
      </c>
      <c r="Y306" t="str">
        <f t="shared" ca="1" si="76"/>
        <v/>
      </c>
      <c r="Z306" t="str">
        <f t="shared" ca="1" si="77"/>
        <v/>
      </c>
      <c r="AA306" t="str">
        <f t="shared" ca="1" si="78"/>
        <v/>
      </c>
      <c r="AB306" t="str">
        <f t="shared" ca="1" si="79"/>
        <v/>
      </c>
      <c r="AC306" t="str">
        <f t="shared" ca="1" si="80"/>
        <v/>
      </c>
      <c r="AD306" t="str">
        <f t="shared" ca="1" si="81"/>
        <v/>
      </c>
      <c r="AE306" t="str">
        <f t="shared" ca="1" si="82"/>
        <v/>
      </c>
      <c r="AF306" t="str">
        <f t="shared" ca="1" si="83"/>
        <v/>
      </c>
      <c r="AG306" s="47"/>
    </row>
    <row r="307" spans="3:33" x14ac:dyDescent="0.25">
      <c r="C307" s="118">
        <f t="shared" si="85"/>
        <v>42093</v>
      </c>
      <c r="D307">
        <f ca="1">IFERROR(SUMIFS(OFFSET(DBRA_TopicHCP,0,D$217,DBR_COUNT,1),DBRA_WorkplanDate,$C307,DBRA_PlayerID,$D$3),"")</f>
        <v>0</v>
      </c>
      <c r="E307">
        <f ca="1">IFERROR(SUMIFS(OFFSET(DBRA_TopicHCP,0,E$217,DBR_COUNT,1),DBRA_WorkplanDate,$C307,DBRA_PlayerID,$D$3),"")</f>
        <v>0</v>
      </c>
      <c r="F307">
        <f ca="1">IFERROR(SUMIFS(OFFSET(DBRA_TopicHCP,0,F$217,DBR_COUNT,1),DBRA_WorkplanDate,$C307,DBRA_PlayerID,$D$3),"")</f>
        <v>0</v>
      </c>
      <c r="G307">
        <f ca="1">IFERROR(SUMIFS(OFFSET(DBRA_TopicHCP,0,G$217,DBR_COUNT,1),DBRA_WorkplanDate,$C307,DBRA_PlayerID,$D$3),"")</f>
        <v>0</v>
      </c>
      <c r="H307">
        <f ca="1">IFERROR(SUMIFS(OFFSET(DBRA_TopicHCP,0,H$217,DBR_COUNT,1),DBRA_WorkplanDate,$C307,DBRA_PlayerID,$D$3),"")</f>
        <v>0</v>
      </c>
      <c r="I307">
        <f ca="1">IFERROR(SUMIFS(OFFSET(DBRA_TopicHCP,0,I$217,DBR_COUNT,1),DBRA_WorkplanDate,$C307,DBRA_PlayerID,$D$3),"")</f>
        <v>0</v>
      </c>
      <c r="J307">
        <f ca="1">IFERROR(SUMIFS(OFFSET(DBRA_TopicHCP,0,J$217,DBR_COUNT,1),DBRA_WorkplanDate,$C307,DBRA_PlayerID,$D$3),"")</f>
        <v>0</v>
      </c>
      <c r="K307">
        <f ca="1">IFERROR(SUMIFS(OFFSET(DBRA_TopicHCP,0,K$217,DBR_COUNT,1),DBRA_WorkplanDate,$C307,DBRA_PlayerID,$D$3),"")</f>
        <v>0</v>
      </c>
      <c r="L307">
        <f ca="1">IFERROR(SUMIFS(OFFSET(DBRA_TopicHCP,0,L$217,DBR_COUNT,1),DBRA_WorkplanDate,$C307,DBRA_PlayerID,$D$3),"")</f>
        <v>0</v>
      </c>
      <c r="M307" s="47"/>
      <c r="N307">
        <f ca="1">IFERROR(SUMIFS(OFFSET(DBRA_TopicCount,0,N$217,DBR_COUNT,1),DBRA_WorkplanDate,$C307,DBRA_PlayerID,$D$3),"")</f>
        <v>0</v>
      </c>
      <c r="O307">
        <f ca="1">IFERROR(SUMIFS(OFFSET(DBRA_TopicCount,0,O$217,DBR_COUNT,1),DBRA_WorkplanDate,$C307,DBRA_PlayerID,$D$3),"")</f>
        <v>0</v>
      </c>
      <c r="P307">
        <f ca="1">IFERROR(SUMIFS(OFFSET(DBRA_TopicCount,0,P$217,DBR_COUNT,1),DBRA_WorkplanDate,$C307,DBRA_PlayerID,$D$3),"")</f>
        <v>0</v>
      </c>
      <c r="Q307">
        <f ca="1">IFERROR(SUMIFS(OFFSET(DBRA_TopicCount,0,Q$217,DBR_COUNT,1),DBRA_WorkplanDate,$C307,DBRA_PlayerID,$D$3),"")</f>
        <v>0</v>
      </c>
      <c r="R307">
        <f ca="1">IFERROR(SUMIFS(OFFSET(DBRA_TopicCount,0,R$217,DBR_COUNT,1),DBRA_WorkplanDate,$C307,DBRA_PlayerID,$D$3),"")</f>
        <v>0</v>
      </c>
      <c r="S307">
        <f ca="1">IFERROR(SUMIFS(OFFSET(DBRA_TopicCount,0,S$217,DBR_COUNT,1),DBRA_WorkplanDate,$C307,DBRA_PlayerID,$D$3),"")</f>
        <v>0</v>
      </c>
      <c r="T307">
        <f ca="1">IFERROR(SUMIFS(OFFSET(DBRA_TopicCount,0,T$217,DBR_COUNT,1),DBRA_WorkplanDate,$C307,DBRA_PlayerID,$D$3),"")</f>
        <v>0</v>
      </c>
      <c r="U307">
        <f ca="1">IFERROR(SUMIFS(OFFSET(DBRA_TopicCount,0,U$217,DBR_COUNT,1),DBRA_WorkplanDate,$C307,DBRA_PlayerID,$D$3),"")</f>
        <v>0</v>
      </c>
      <c r="V307">
        <f ca="1">IFERROR(SUMIFS(OFFSET(DBRA_TopicCount,0,V$217,DBR_COUNT,1),DBRA_WorkplanDate,$C307,DBRA_PlayerID,$D$3),"")</f>
        <v>0</v>
      </c>
      <c r="W307" s="47"/>
      <c r="X307" t="str">
        <f t="shared" ca="1" si="84"/>
        <v/>
      </c>
      <c r="Y307" t="str">
        <f t="shared" ca="1" si="76"/>
        <v/>
      </c>
      <c r="Z307" t="str">
        <f t="shared" ca="1" si="77"/>
        <v/>
      </c>
      <c r="AA307" t="str">
        <f t="shared" ca="1" si="78"/>
        <v/>
      </c>
      <c r="AB307" t="str">
        <f t="shared" ca="1" si="79"/>
        <v/>
      </c>
      <c r="AC307" t="str">
        <f t="shared" ca="1" si="80"/>
        <v/>
      </c>
      <c r="AD307" t="str">
        <f t="shared" ca="1" si="81"/>
        <v/>
      </c>
      <c r="AE307" t="str">
        <f t="shared" ca="1" si="82"/>
        <v/>
      </c>
      <c r="AF307" t="str">
        <f t="shared" ca="1" si="83"/>
        <v/>
      </c>
      <c r="AG307" s="47"/>
    </row>
    <row r="308" spans="3:33" x14ac:dyDescent="0.25">
      <c r="C308" s="118">
        <f t="shared" si="85"/>
        <v>42094</v>
      </c>
      <c r="D308">
        <f ca="1">IFERROR(SUMIFS(OFFSET(DBRA_TopicHCP,0,D$217,DBR_COUNT,1),DBRA_WorkplanDate,$C308,DBRA_PlayerID,$D$3),"")</f>
        <v>0</v>
      </c>
      <c r="E308">
        <f ca="1">IFERROR(SUMIFS(OFFSET(DBRA_TopicHCP,0,E$217,DBR_COUNT,1),DBRA_WorkplanDate,$C308,DBRA_PlayerID,$D$3),"")</f>
        <v>0</v>
      </c>
      <c r="F308">
        <f ca="1">IFERROR(SUMIFS(OFFSET(DBRA_TopicHCP,0,F$217,DBR_COUNT,1),DBRA_WorkplanDate,$C308,DBRA_PlayerID,$D$3),"")</f>
        <v>0</v>
      </c>
      <c r="G308">
        <f ca="1">IFERROR(SUMIFS(OFFSET(DBRA_TopicHCP,0,G$217,DBR_COUNT,1),DBRA_WorkplanDate,$C308,DBRA_PlayerID,$D$3),"")</f>
        <v>0</v>
      </c>
      <c r="H308">
        <f ca="1">IFERROR(SUMIFS(OFFSET(DBRA_TopicHCP,0,H$217,DBR_COUNT,1),DBRA_WorkplanDate,$C308,DBRA_PlayerID,$D$3),"")</f>
        <v>0</v>
      </c>
      <c r="I308">
        <f ca="1">IFERROR(SUMIFS(OFFSET(DBRA_TopicHCP,0,I$217,DBR_COUNT,1),DBRA_WorkplanDate,$C308,DBRA_PlayerID,$D$3),"")</f>
        <v>0</v>
      </c>
      <c r="J308">
        <f ca="1">IFERROR(SUMIFS(OFFSET(DBRA_TopicHCP,0,J$217,DBR_COUNT,1),DBRA_WorkplanDate,$C308,DBRA_PlayerID,$D$3),"")</f>
        <v>0</v>
      </c>
      <c r="K308">
        <f ca="1">IFERROR(SUMIFS(OFFSET(DBRA_TopicHCP,0,K$217,DBR_COUNT,1),DBRA_WorkplanDate,$C308,DBRA_PlayerID,$D$3),"")</f>
        <v>0</v>
      </c>
      <c r="L308">
        <f ca="1">IFERROR(SUMIFS(OFFSET(DBRA_TopicHCP,0,L$217,DBR_COUNT,1),DBRA_WorkplanDate,$C308,DBRA_PlayerID,$D$3),"")</f>
        <v>0</v>
      </c>
      <c r="M308" s="47"/>
      <c r="N308">
        <f ca="1">IFERROR(SUMIFS(OFFSET(DBRA_TopicCount,0,N$217,DBR_COUNT,1),DBRA_WorkplanDate,$C308,DBRA_PlayerID,$D$3),"")</f>
        <v>0</v>
      </c>
      <c r="O308">
        <f ca="1">IFERROR(SUMIFS(OFFSET(DBRA_TopicCount,0,O$217,DBR_COUNT,1),DBRA_WorkplanDate,$C308,DBRA_PlayerID,$D$3),"")</f>
        <v>0</v>
      </c>
      <c r="P308">
        <f ca="1">IFERROR(SUMIFS(OFFSET(DBRA_TopicCount,0,P$217,DBR_COUNT,1),DBRA_WorkplanDate,$C308,DBRA_PlayerID,$D$3),"")</f>
        <v>0</v>
      </c>
      <c r="Q308">
        <f ca="1">IFERROR(SUMIFS(OFFSET(DBRA_TopicCount,0,Q$217,DBR_COUNT,1),DBRA_WorkplanDate,$C308,DBRA_PlayerID,$D$3),"")</f>
        <v>0</v>
      </c>
      <c r="R308">
        <f ca="1">IFERROR(SUMIFS(OFFSET(DBRA_TopicCount,0,R$217,DBR_COUNT,1),DBRA_WorkplanDate,$C308,DBRA_PlayerID,$D$3),"")</f>
        <v>0</v>
      </c>
      <c r="S308">
        <f ca="1">IFERROR(SUMIFS(OFFSET(DBRA_TopicCount,0,S$217,DBR_COUNT,1),DBRA_WorkplanDate,$C308,DBRA_PlayerID,$D$3),"")</f>
        <v>0</v>
      </c>
      <c r="T308">
        <f ca="1">IFERROR(SUMIFS(OFFSET(DBRA_TopicCount,0,T$217,DBR_COUNT,1),DBRA_WorkplanDate,$C308,DBRA_PlayerID,$D$3),"")</f>
        <v>0</v>
      </c>
      <c r="U308">
        <f ca="1">IFERROR(SUMIFS(OFFSET(DBRA_TopicCount,0,U$217,DBR_COUNT,1),DBRA_WorkplanDate,$C308,DBRA_PlayerID,$D$3),"")</f>
        <v>0</v>
      </c>
      <c r="V308">
        <f ca="1">IFERROR(SUMIFS(OFFSET(DBRA_TopicCount,0,V$217,DBR_COUNT,1),DBRA_WorkplanDate,$C308,DBRA_PlayerID,$D$3),"")</f>
        <v>0</v>
      </c>
      <c r="W308" s="47"/>
      <c r="X308" t="str">
        <f t="shared" ca="1" si="84"/>
        <v/>
      </c>
      <c r="Y308" t="str">
        <f t="shared" ca="1" si="76"/>
        <v/>
      </c>
      <c r="Z308" t="str">
        <f t="shared" ca="1" si="77"/>
        <v/>
      </c>
      <c r="AA308" t="str">
        <f t="shared" ca="1" si="78"/>
        <v/>
      </c>
      <c r="AB308" t="str">
        <f t="shared" ca="1" si="79"/>
        <v/>
      </c>
      <c r="AC308" t="str">
        <f t="shared" ca="1" si="80"/>
        <v/>
      </c>
      <c r="AD308" t="str">
        <f t="shared" ca="1" si="81"/>
        <v/>
      </c>
      <c r="AE308" t="str">
        <f t="shared" ca="1" si="82"/>
        <v/>
      </c>
      <c r="AF308" t="str">
        <f t="shared" ca="1" si="83"/>
        <v/>
      </c>
      <c r="AG308" s="47"/>
    </row>
    <row r="309" spans="3:33" x14ac:dyDescent="0.25">
      <c r="C309" s="118">
        <f t="shared" si="85"/>
        <v>42095</v>
      </c>
      <c r="D309">
        <f ca="1">IFERROR(SUMIFS(OFFSET(DBRA_TopicHCP,0,D$217,DBR_COUNT,1),DBRA_WorkplanDate,$C309,DBRA_PlayerID,$D$3),"")</f>
        <v>0</v>
      </c>
      <c r="E309">
        <f ca="1">IFERROR(SUMIFS(OFFSET(DBRA_TopicHCP,0,E$217,DBR_COUNT,1),DBRA_WorkplanDate,$C309,DBRA_PlayerID,$D$3),"")</f>
        <v>0</v>
      </c>
      <c r="F309">
        <f ca="1">IFERROR(SUMIFS(OFFSET(DBRA_TopicHCP,0,F$217,DBR_COUNT,1),DBRA_WorkplanDate,$C309,DBRA_PlayerID,$D$3),"")</f>
        <v>0</v>
      </c>
      <c r="G309">
        <f ca="1">IFERROR(SUMIFS(OFFSET(DBRA_TopicHCP,0,G$217,DBR_COUNT,1),DBRA_WorkplanDate,$C309,DBRA_PlayerID,$D$3),"")</f>
        <v>0</v>
      </c>
      <c r="H309">
        <f ca="1">IFERROR(SUMIFS(OFFSET(DBRA_TopicHCP,0,H$217,DBR_COUNT,1),DBRA_WorkplanDate,$C309,DBRA_PlayerID,$D$3),"")</f>
        <v>0</v>
      </c>
      <c r="I309">
        <f ca="1">IFERROR(SUMIFS(OFFSET(DBRA_TopicHCP,0,I$217,DBR_COUNT,1),DBRA_WorkplanDate,$C309,DBRA_PlayerID,$D$3),"")</f>
        <v>0</v>
      </c>
      <c r="J309">
        <f ca="1">IFERROR(SUMIFS(OFFSET(DBRA_TopicHCP,0,J$217,DBR_COUNT,1),DBRA_WorkplanDate,$C309,DBRA_PlayerID,$D$3),"")</f>
        <v>0</v>
      </c>
      <c r="K309">
        <f ca="1">IFERROR(SUMIFS(OFFSET(DBRA_TopicHCP,0,K$217,DBR_COUNT,1),DBRA_WorkplanDate,$C309,DBRA_PlayerID,$D$3),"")</f>
        <v>0</v>
      </c>
      <c r="L309">
        <f ca="1">IFERROR(SUMIFS(OFFSET(DBRA_TopicHCP,0,L$217,DBR_COUNT,1),DBRA_WorkplanDate,$C309,DBRA_PlayerID,$D$3),"")</f>
        <v>0</v>
      </c>
      <c r="M309" s="47"/>
      <c r="N309">
        <f ca="1">IFERROR(SUMIFS(OFFSET(DBRA_TopicCount,0,N$217,DBR_COUNT,1),DBRA_WorkplanDate,$C309,DBRA_PlayerID,$D$3),"")</f>
        <v>0</v>
      </c>
      <c r="O309">
        <f ca="1">IFERROR(SUMIFS(OFFSET(DBRA_TopicCount,0,O$217,DBR_COUNT,1),DBRA_WorkplanDate,$C309,DBRA_PlayerID,$D$3),"")</f>
        <v>0</v>
      </c>
      <c r="P309">
        <f ca="1">IFERROR(SUMIFS(OFFSET(DBRA_TopicCount,0,P$217,DBR_COUNT,1),DBRA_WorkplanDate,$C309,DBRA_PlayerID,$D$3),"")</f>
        <v>0</v>
      </c>
      <c r="Q309">
        <f ca="1">IFERROR(SUMIFS(OFFSET(DBRA_TopicCount,0,Q$217,DBR_COUNT,1),DBRA_WorkplanDate,$C309,DBRA_PlayerID,$D$3),"")</f>
        <v>0</v>
      </c>
      <c r="R309">
        <f ca="1">IFERROR(SUMIFS(OFFSET(DBRA_TopicCount,0,R$217,DBR_COUNT,1),DBRA_WorkplanDate,$C309,DBRA_PlayerID,$D$3),"")</f>
        <v>0</v>
      </c>
      <c r="S309">
        <f ca="1">IFERROR(SUMIFS(OFFSET(DBRA_TopicCount,0,S$217,DBR_COUNT,1),DBRA_WorkplanDate,$C309,DBRA_PlayerID,$D$3),"")</f>
        <v>0</v>
      </c>
      <c r="T309">
        <f ca="1">IFERROR(SUMIFS(OFFSET(DBRA_TopicCount,0,T$217,DBR_COUNT,1),DBRA_WorkplanDate,$C309,DBRA_PlayerID,$D$3),"")</f>
        <v>0</v>
      </c>
      <c r="U309">
        <f ca="1">IFERROR(SUMIFS(OFFSET(DBRA_TopicCount,0,U$217,DBR_COUNT,1),DBRA_WorkplanDate,$C309,DBRA_PlayerID,$D$3),"")</f>
        <v>0</v>
      </c>
      <c r="V309">
        <f ca="1">IFERROR(SUMIFS(OFFSET(DBRA_TopicCount,0,V$217,DBR_COUNT,1),DBRA_WorkplanDate,$C309,DBRA_PlayerID,$D$3),"")</f>
        <v>0</v>
      </c>
      <c r="W309" s="47"/>
      <c r="X309" t="str">
        <f t="shared" ca="1" si="84"/>
        <v/>
      </c>
      <c r="Y309" t="str">
        <f t="shared" ca="1" si="76"/>
        <v/>
      </c>
      <c r="Z309" t="str">
        <f t="shared" ca="1" si="77"/>
        <v/>
      </c>
      <c r="AA309" t="str">
        <f t="shared" ca="1" si="78"/>
        <v/>
      </c>
      <c r="AB309" t="str">
        <f t="shared" ca="1" si="79"/>
        <v/>
      </c>
      <c r="AC309" t="str">
        <f t="shared" ca="1" si="80"/>
        <v/>
      </c>
      <c r="AD309" t="str">
        <f t="shared" ca="1" si="81"/>
        <v/>
      </c>
      <c r="AE309" t="str">
        <f t="shared" ca="1" si="82"/>
        <v/>
      </c>
      <c r="AF309" t="str">
        <f t="shared" ca="1" si="83"/>
        <v/>
      </c>
      <c r="AG309" s="47"/>
    </row>
    <row r="310" spans="3:33" x14ac:dyDescent="0.25">
      <c r="C310" s="118">
        <f t="shared" si="85"/>
        <v>42096</v>
      </c>
      <c r="D310">
        <f ca="1">IFERROR(SUMIFS(OFFSET(DBRA_TopicHCP,0,D$217,DBR_COUNT,1),DBRA_WorkplanDate,$C310,DBRA_PlayerID,$D$3),"")</f>
        <v>0</v>
      </c>
      <c r="E310">
        <f ca="1">IFERROR(SUMIFS(OFFSET(DBRA_TopicHCP,0,E$217,DBR_COUNT,1),DBRA_WorkplanDate,$C310,DBRA_PlayerID,$D$3),"")</f>
        <v>0</v>
      </c>
      <c r="F310">
        <f ca="1">IFERROR(SUMIFS(OFFSET(DBRA_TopicHCP,0,F$217,DBR_COUNT,1),DBRA_WorkplanDate,$C310,DBRA_PlayerID,$D$3),"")</f>
        <v>0</v>
      </c>
      <c r="G310">
        <f ca="1">IFERROR(SUMIFS(OFFSET(DBRA_TopicHCP,0,G$217,DBR_COUNT,1),DBRA_WorkplanDate,$C310,DBRA_PlayerID,$D$3),"")</f>
        <v>0</v>
      </c>
      <c r="H310">
        <f ca="1">IFERROR(SUMIFS(OFFSET(DBRA_TopicHCP,0,H$217,DBR_COUNT,1),DBRA_WorkplanDate,$C310,DBRA_PlayerID,$D$3),"")</f>
        <v>0</v>
      </c>
      <c r="I310">
        <f ca="1">IFERROR(SUMIFS(OFFSET(DBRA_TopicHCP,0,I$217,DBR_COUNT,1),DBRA_WorkplanDate,$C310,DBRA_PlayerID,$D$3),"")</f>
        <v>0</v>
      </c>
      <c r="J310">
        <f ca="1">IFERROR(SUMIFS(OFFSET(DBRA_TopicHCP,0,J$217,DBR_COUNT,1),DBRA_WorkplanDate,$C310,DBRA_PlayerID,$D$3),"")</f>
        <v>0</v>
      </c>
      <c r="K310">
        <f ca="1">IFERROR(SUMIFS(OFFSET(DBRA_TopicHCP,0,K$217,DBR_COUNT,1),DBRA_WorkplanDate,$C310,DBRA_PlayerID,$D$3),"")</f>
        <v>0</v>
      </c>
      <c r="L310">
        <f ca="1">IFERROR(SUMIFS(OFFSET(DBRA_TopicHCP,0,L$217,DBR_COUNT,1),DBRA_WorkplanDate,$C310,DBRA_PlayerID,$D$3),"")</f>
        <v>0</v>
      </c>
      <c r="M310" s="47"/>
      <c r="N310">
        <f ca="1">IFERROR(SUMIFS(OFFSET(DBRA_TopicCount,0,N$217,DBR_COUNT,1),DBRA_WorkplanDate,$C310,DBRA_PlayerID,$D$3),"")</f>
        <v>0</v>
      </c>
      <c r="O310">
        <f ca="1">IFERROR(SUMIFS(OFFSET(DBRA_TopicCount,0,O$217,DBR_COUNT,1),DBRA_WorkplanDate,$C310,DBRA_PlayerID,$D$3),"")</f>
        <v>0</v>
      </c>
      <c r="P310">
        <f ca="1">IFERROR(SUMIFS(OFFSET(DBRA_TopicCount,0,P$217,DBR_COUNT,1),DBRA_WorkplanDate,$C310,DBRA_PlayerID,$D$3),"")</f>
        <v>0</v>
      </c>
      <c r="Q310">
        <f ca="1">IFERROR(SUMIFS(OFFSET(DBRA_TopicCount,0,Q$217,DBR_COUNT,1),DBRA_WorkplanDate,$C310,DBRA_PlayerID,$D$3),"")</f>
        <v>0</v>
      </c>
      <c r="R310">
        <f ca="1">IFERROR(SUMIFS(OFFSET(DBRA_TopicCount,0,R$217,DBR_COUNT,1),DBRA_WorkplanDate,$C310,DBRA_PlayerID,$D$3),"")</f>
        <v>0</v>
      </c>
      <c r="S310">
        <f ca="1">IFERROR(SUMIFS(OFFSET(DBRA_TopicCount,0,S$217,DBR_COUNT,1),DBRA_WorkplanDate,$C310,DBRA_PlayerID,$D$3),"")</f>
        <v>0</v>
      </c>
      <c r="T310">
        <f ca="1">IFERROR(SUMIFS(OFFSET(DBRA_TopicCount,0,T$217,DBR_COUNT,1),DBRA_WorkplanDate,$C310,DBRA_PlayerID,$D$3),"")</f>
        <v>0</v>
      </c>
      <c r="U310">
        <f ca="1">IFERROR(SUMIFS(OFFSET(DBRA_TopicCount,0,U$217,DBR_COUNT,1),DBRA_WorkplanDate,$C310,DBRA_PlayerID,$D$3),"")</f>
        <v>0</v>
      </c>
      <c r="V310">
        <f ca="1">IFERROR(SUMIFS(OFFSET(DBRA_TopicCount,0,V$217,DBR_COUNT,1),DBRA_WorkplanDate,$C310,DBRA_PlayerID,$D$3),"")</f>
        <v>0</v>
      </c>
      <c r="W310" s="47"/>
      <c r="X310" t="str">
        <f t="shared" ca="1" si="84"/>
        <v/>
      </c>
      <c r="Y310" t="str">
        <f t="shared" ca="1" si="76"/>
        <v/>
      </c>
      <c r="Z310" t="str">
        <f t="shared" ca="1" si="77"/>
        <v/>
      </c>
      <c r="AA310" t="str">
        <f t="shared" ca="1" si="78"/>
        <v/>
      </c>
      <c r="AB310" t="str">
        <f t="shared" ca="1" si="79"/>
        <v/>
      </c>
      <c r="AC310" t="str">
        <f t="shared" ca="1" si="80"/>
        <v/>
      </c>
      <c r="AD310" t="str">
        <f t="shared" ca="1" si="81"/>
        <v/>
      </c>
      <c r="AE310" t="str">
        <f t="shared" ca="1" si="82"/>
        <v/>
      </c>
      <c r="AF310" t="str">
        <f t="shared" ca="1" si="83"/>
        <v/>
      </c>
      <c r="AG310" s="47"/>
    </row>
    <row r="311" spans="3:33" x14ac:dyDescent="0.25">
      <c r="C311" s="118">
        <f t="shared" si="85"/>
        <v>42097</v>
      </c>
      <c r="D311">
        <f ca="1">IFERROR(SUMIFS(OFFSET(DBRA_TopicHCP,0,D$217,DBR_COUNT,1),DBRA_WorkplanDate,$C311,DBRA_PlayerID,$D$3),"")</f>
        <v>0</v>
      </c>
      <c r="E311">
        <f ca="1">IFERROR(SUMIFS(OFFSET(DBRA_TopicHCP,0,E$217,DBR_COUNT,1),DBRA_WorkplanDate,$C311,DBRA_PlayerID,$D$3),"")</f>
        <v>0</v>
      </c>
      <c r="F311">
        <f ca="1">IFERROR(SUMIFS(OFFSET(DBRA_TopicHCP,0,F$217,DBR_COUNT,1),DBRA_WorkplanDate,$C311,DBRA_PlayerID,$D$3),"")</f>
        <v>0</v>
      </c>
      <c r="G311">
        <f ca="1">IFERROR(SUMIFS(OFFSET(DBRA_TopicHCP,0,G$217,DBR_COUNT,1),DBRA_WorkplanDate,$C311,DBRA_PlayerID,$D$3),"")</f>
        <v>0</v>
      </c>
      <c r="H311">
        <f ca="1">IFERROR(SUMIFS(OFFSET(DBRA_TopicHCP,0,H$217,DBR_COUNT,1),DBRA_WorkplanDate,$C311,DBRA_PlayerID,$D$3),"")</f>
        <v>0</v>
      </c>
      <c r="I311">
        <f ca="1">IFERROR(SUMIFS(OFFSET(DBRA_TopicHCP,0,I$217,DBR_COUNT,1),DBRA_WorkplanDate,$C311,DBRA_PlayerID,$D$3),"")</f>
        <v>0</v>
      </c>
      <c r="J311">
        <f ca="1">IFERROR(SUMIFS(OFFSET(DBRA_TopicHCP,0,J$217,DBR_COUNT,1),DBRA_WorkplanDate,$C311,DBRA_PlayerID,$D$3),"")</f>
        <v>0</v>
      </c>
      <c r="K311">
        <f ca="1">IFERROR(SUMIFS(OFFSET(DBRA_TopicHCP,0,K$217,DBR_COUNT,1),DBRA_WorkplanDate,$C311,DBRA_PlayerID,$D$3),"")</f>
        <v>0</v>
      </c>
      <c r="L311">
        <f ca="1">IFERROR(SUMIFS(OFFSET(DBRA_TopicHCP,0,L$217,DBR_COUNT,1),DBRA_WorkplanDate,$C311,DBRA_PlayerID,$D$3),"")</f>
        <v>0</v>
      </c>
      <c r="M311" s="47"/>
      <c r="N311">
        <f ca="1">IFERROR(SUMIFS(OFFSET(DBRA_TopicCount,0,N$217,DBR_COUNT,1),DBRA_WorkplanDate,$C311,DBRA_PlayerID,$D$3),"")</f>
        <v>0</v>
      </c>
      <c r="O311">
        <f ca="1">IFERROR(SUMIFS(OFFSET(DBRA_TopicCount,0,O$217,DBR_COUNT,1),DBRA_WorkplanDate,$C311,DBRA_PlayerID,$D$3),"")</f>
        <v>0</v>
      </c>
      <c r="P311">
        <f ca="1">IFERROR(SUMIFS(OFFSET(DBRA_TopicCount,0,P$217,DBR_COUNT,1),DBRA_WorkplanDate,$C311,DBRA_PlayerID,$D$3),"")</f>
        <v>0</v>
      </c>
      <c r="Q311">
        <f ca="1">IFERROR(SUMIFS(OFFSET(DBRA_TopicCount,0,Q$217,DBR_COUNT,1),DBRA_WorkplanDate,$C311,DBRA_PlayerID,$D$3),"")</f>
        <v>0</v>
      </c>
      <c r="R311">
        <f ca="1">IFERROR(SUMIFS(OFFSET(DBRA_TopicCount,0,R$217,DBR_COUNT,1),DBRA_WorkplanDate,$C311,DBRA_PlayerID,$D$3),"")</f>
        <v>0</v>
      </c>
      <c r="S311">
        <f ca="1">IFERROR(SUMIFS(OFFSET(DBRA_TopicCount,0,S$217,DBR_COUNT,1),DBRA_WorkplanDate,$C311,DBRA_PlayerID,$D$3),"")</f>
        <v>0</v>
      </c>
      <c r="T311">
        <f ca="1">IFERROR(SUMIFS(OFFSET(DBRA_TopicCount,0,T$217,DBR_COUNT,1),DBRA_WorkplanDate,$C311,DBRA_PlayerID,$D$3),"")</f>
        <v>0</v>
      </c>
      <c r="U311">
        <f ca="1">IFERROR(SUMIFS(OFFSET(DBRA_TopicCount,0,U$217,DBR_COUNT,1),DBRA_WorkplanDate,$C311,DBRA_PlayerID,$D$3),"")</f>
        <v>0</v>
      </c>
      <c r="V311">
        <f ca="1">IFERROR(SUMIFS(OFFSET(DBRA_TopicCount,0,V$217,DBR_COUNT,1),DBRA_WorkplanDate,$C311,DBRA_PlayerID,$D$3),"")</f>
        <v>0</v>
      </c>
      <c r="W311" s="47"/>
      <c r="X311" t="str">
        <f t="shared" ca="1" si="84"/>
        <v/>
      </c>
      <c r="Y311" t="str">
        <f t="shared" ca="1" si="76"/>
        <v/>
      </c>
      <c r="Z311" t="str">
        <f t="shared" ca="1" si="77"/>
        <v/>
      </c>
      <c r="AA311" t="str">
        <f t="shared" ca="1" si="78"/>
        <v/>
      </c>
      <c r="AB311" t="str">
        <f t="shared" ca="1" si="79"/>
        <v/>
      </c>
      <c r="AC311" t="str">
        <f t="shared" ca="1" si="80"/>
        <v/>
      </c>
      <c r="AD311" t="str">
        <f t="shared" ca="1" si="81"/>
        <v/>
      </c>
      <c r="AE311" t="str">
        <f t="shared" ca="1" si="82"/>
        <v/>
      </c>
      <c r="AF311" t="str">
        <f t="shared" ca="1" si="83"/>
        <v/>
      </c>
      <c r="AG311" s="47"/>
    </row>
    <row r="312" spans="3:33" x14ac:dyDescent="0.25">
      <c r="C312" s="118">
        <f t="shared" si="85"/>
        <v>42098</v>
      </c>
      <c r="D312">
        <f ca="1">IFERROR(SUMIFS(OFFSET(DBRA_TopicHCP,0,D$217,DBR_COUNT,1),DBRA_WorkplanDate,$C312,DBRA_PlayerID,$D$3),"")</f>
        <v>0</v>
      </c>
      <c r="E312">
        <f ca="1">IFERROR(SUMIFS(OFFSET(DBRA_TopicHCP,0,E$217,DBR_COUNT,1),DBRA_WorkplanDate,$C312,DBRA_PlayerID,$D$3),"")</f>
        <v>0</v>
      </c>
      <c r="F312">
        <f ca="1">IFERROR(SUMIFS(OFFSET(DBRA_TopicHCP,0,F$217,DBR_COUNT,1),DBRA_WorkplanDate,$C312,DBRA_PlayerID,$D$3),"")</f>
        <v>0</v>
      </c>
      <c r="G312">
        <f ca="1">IFERROR(SUMIFS(OFFSET(DBRA_TopicHCP,0,G$217,DBR_COUNT,1),DBRA_WorkplanDate,$C312,DBRA_PlayerID,$D$3),"")</f>
        <v>0</v>
      </c>
      <c r="H312">
        <f ca="1">IFERROR(SUMIFS(OFFSET(DBRA_TopicHCP,0,H$217,DBR_COUNT,1),DBRA_WorkplanDate,$C312,DBRA_PlayerID,$D$3),"")</f>
        <v>0</v>
      </c>
      <c r="I312">
        <f ca="1">IFERROR(SUMIFS(OFFSET(DBRA_TopicHCP,0,I$217,DBR_COUNT,1),DBRA_WorkplanDate,$C312,DBRA_PlayerID,$D$3),"")</f>
        <v>0</v>
      </c>
      <c r="J312">
        <f ca="1">IFERROR(SUMIFS(OFFSET(DBRA_TopicHCP,0,J$217,DBR_COUNT,1),DBRA_WorkplanDate,$C312,DBRA_PlayerID,$D$3),"")</f>
        <v>0</v>
      </c>
      <c r="K312">
        <f ca="1">IFERROR(SUMIFS(OFFSET(DBRA_TopicHCP,0,K$217,DBR_COUNT,1),DBRA_WorkplanDate,$C312,DBRA_PlayerID,$D$3),"")</f>
        <v>0</v>
      </c>
      <c r="L312">
        <f ca="1">IFERROR(SUMIFS(OFFSET(DBRA_TopicHCP,0,L$217,DBR_COUNT,1),DBRA_WorkplanDate,$C312,DBRA_PlayerID,$D$3),"")</f>
        <v>0</v>
      </c>
      <c r="M312" s="47"/>
      <c r="N312">
        <f ca="1">IFERROR(SUMIFS(OFFSET(DBRA_TopicCount,0,N$217,DBR_COUNT,1),DBRA_WorkplanDate,$C312,DBRA_PlayerID,$D$3),"")</f>
        <v>0</v>
      </c>
      <c r="O312">
        <f ca="1">IFERROR(SUMIFS(OFFSET(DBRA_TopicCount,0,O$217,DBR_COUNT,1),DBRA_WorkplanDate,$C312,DBRA_PlayerID,$D$3),"")</f>
        <v>0</v>
      </c>
      <c r="P312">
        <f ca="1">IFERROR(SUMIFS(OFFSET(DBRA_TopicCount,0,P$217,DBR_COUNT,1),DBRA_WorkplanDate,$C312,DBRA_PlayerID,$D$3),"")</f>
        <v>0</v>
      </c>
      <c r="Q312">
        <f ca="1">IFERROR(SUMIFS(OFFSET(DBRA_TopicCount,0,Q$217,DBR_COUNT,1),DBRA_WorkplanDate,$C312,DBRA_PlayerID,$D$3),"")</f>
        <v>0</v>
      </c>
      <c r="R312">
        <f ca="1">IFERROR(SUMIFS(OFFSET(DBRA_TopicCount,0,R$217,DBR_COUNT,1),DBRA_WorkplanDate,$C312,DBRA_PlayerID,$D$3),"")</f>
        <v>0</v>
      </c>
      <c r="S312">
        <f ca="1">IFERROR(SUMIFS(OFFSET(DBRA_TopicCount,0,S$217,DBR_COUNT,1),DBRA_WorkplanDate,$C312,DBRA_PlayerID,$D$3),"")</f>
        <v>0</v>
      </c>
      <c r="T312">
        <f ca="1">IFERROR(SUMIFS(OFFSET(DBRA_TopicCount,0,T$217,DBR_COUNT,1),DBRA_WorkplanDate,$C312,DBRA_PlayerID,$D$3),"")</f>
        <v>0</v>
      </c>
      <c r="U312">
        <f ca="1">IFERROR(SUMIFS(OFFSET(DBRA_TopicCount,0,U$217,DBR_COUNT,1),DBRA_WorkplanDate,$C312,DBRA_PlayerID,$D$3),"")</f>
        <v>0</v>
      </c>
      <c r="V312">
        <f ca="1">IFERROR(SUMIFS(OFFSET(DBRA_TopicCount,0,V$217,DBR_COUNT,1),DBRA_WorkplanDate,$C312,DBRA_PlayerID,$D$3),"")</f>
        <v>0</v>
      </c>
      <c r="W312" s="47"/>
      <c r="X312" t="str">
        <f t="shared" ca="1" si="84"/>
        <v/>
      </c>
      <c r="Y312" t="str">
        <f t="shared" ca="1" si="76"/>
        <v/>
      </c>
      <c r="Z312" t="str">
        <f t="shared" ca="1" si="77"/>
        <v/>
      </c>
      <c r="AA312" t="str">
        <f t="shared" ca="1" si="78"/>
        <v/>
      </c>
      <c r="AB312" t="str">
        <f t="shared" ca="1" si="79"/>
        <v/>
      </c>
      <c r="AC312" t="str">
        <f t="shared" ca="1" si="80"/>
        <v/>
      </c>
      <c r="AD312" t="str">
        <f t="shared" ca="1" si="81"/>
        <v/>
      </c>
      <c r="AE312" t="str">
        <f t="shared" ca="1" si="82"/>
        <v/>
      </c>
      <c r="AF312" t="str">
        <f t="shared" ca="1" si="83"/>
        <v/>
      </c>
      <c r="AG312" s="47"/>
    </row>
    <row r="313" spans="3:33" x14ac:dyDescent="0.25">
      <c r="C313" s="118">
        <f t="shared" si="85"/>
        <v>42099</v>
      </c>
      <c r="D313">
        <f ca="1">IFERROR(SUMIFS(OFFSET(DBRA_TopicHCP,0,D$217,DBR_COUNT,1),DBRA_WorkplanDate,$C313,DBRA_PlayerID,$D$3),"")</f>
        <v>0</v>
      </c>
      <c r="E313">
        <f ca="1">IFERROR(SUMIFS(OFFSET(DBRA_TopicHCP,0,E$217,DBR_COUNT,1),DBRA_WorkplanDate,$C313,DBRA_PlayerID,$D$3),"")</f>
        <v>0</v>
      </c>
      <c r="F313">
        <f ca="1">IFERROR(SUMIFS(OFFSET(DBRA_TopicHCP,0,F$217,DBR_COUNT,1),DBRA_WorkplanDate,$C313,DBRA_PlayerID,$D$3),"")</f>
        <v>0</v>
      </c>
      <c r="G313">
        <f ca="1">IFERROR(SUMIFS(OFFSET(DBRA_TopicHCP,0,G$217,DBR_COUNT,1),DBRA_WorkplanDate,$C313,DBRA_PlayerID,$D$3),"")</f>
        <v>0</v>
      </c>
      <c r="H313">
        <f ca="1">IFERROR(SUMIFS(OFFSET(DBRA_TopicHCP,0,H$217,DBR_COUNT,1),DBRA_WorkplanDate,$C313,DBRA_PlayerID,$D$3),"")</f>
        <v>0</v>
      </c>
      <c r="I313">
        <f ca="1">IFERROR(SUMIFS(OFFSET(DBRA_TopicHCP,0,I$217,DBR_COUNT,1),DBRA_WorkplanDate,$C313,DBRA_PlayerID,$D$3),"")</f>
        <v>0</v>
      </c>
      <c r="J313">
        <f ca="1">IFERROR(SUMIFS(OFFSET(DBRA_TopicHCP,0,J$217,DBR_COUNT,1),DBRA_WorkplanDate,$C313,DBRA_PlayerID,$D$3),"")</f>
        <v>0</v>
      </c>
      <c r="K313">
        <f ca="1">IFERROR(SUMIFS(OFFSET(DBRA_TopicHCP,0,K$217,DBR_COUNT,1),DBRA_WorkplanDate,$C313,DBRA_PlayerID,$D$3),"")</f>
        <v>0</v>
      </c>
      <c r="L313">
        <f ca="1">IFERROR(SUMIFS(OFFSET(DBRA_TopicHCP,0,L$217,DBR_COUNT,1),DBRA_WorkplanDate,$C313,DBRA_PlayerID,$D$3),"")</f>
        <v>0</v>
      </c>
      <c r="M313" s="47"/>
      <c r="N313">
        <f ca="1">IFERROR(SUMIFS(OFFSET(DBRA_TopicCount,0,N$217,DBR_COUNT,1),DBRA_WorkplanDate,$C313,DBRA_PlayerID,$D$3),"")</f>
        <v>0</v>
      </c>
      <c r="O313">
        <f ca="1">IFERROR(SUMIFS(OFFSET(DBRA_TopicCount,0,O$217,DBR_COUNT,1),DBRA_WorkplanDate,$C313,DBRA_PlayerID,$D$3),"")</f>
        <v>0</v>
      </c>
      <c r="P313">
        <f ca="1">IFERROR(SUMIFS(OFFSET(DBRA_TopicCount,0,P$217,DBR_COUNT,1),DBRA_WorkplanDate,$C313,DBRA_PlayerID,$D$3),"")</f>
        <v>0</v>
      </c>
      <c r="Q313">
        <f ca="1">IFERROR(SUMIFS(OFFSET(DBRA_TopicCount,0,Q$217,DBR_COUNT,1),DBRA_WorkplanDate,$C313,DBRA_PlayerID,$D$3),"")</f>
        <v>0</v>
      </c>
      <c r="R313">
        <f ca="1">IFERROR(SUMIFS(OFFSET(DBRA_TopicCount,0,R$217,DBR_COUNT,1),DBRA_WorkplanDate,$C313,DBRA_PlayerID,$D$3),"")</f>
        <v>0</v>
      </c>
      <c r="S313">
        <f ca="1">IFERROR(SUMIFS(OFFSET(DBRA_TopicCount,0,S$217,DBR_COUNT,1),DBRA_WorkplanDate,$C313,DBRA_PlayerID,$D$3),"")</f>
        <v>0</v>
      </c>
      <c r="T313">
        <f ca="1">IFERROR(SUMIFS(OFFSET(DBRA_TopicCount,0,T$217,DBR_COUNT,1),DBRA_WorkplanDate,$C313,DBRA_PlayerID,$D$3),"")</f>
        <v>0</v>
      </c>
      <c r="U313">
        <f ca="1">IFERROR(SUMIFS(OFFSET(DBRA_TopicCount,0,U$217,DBR_COUNT,1),DBRA_WorkplanDate,$C313,DBRA_PlayerID,$D$3),"")</f>
        <v>0</v>
      </c>
      <c r="V313">
        <f ca="1">IFERROR(SUMIFS(OFFSET(DBRA_TopicCount,0,V$217,DBR_COUNT,1),DBRA_WorkplanDate,$C313,DBRA_PlayerID,$D$3),"")</f>
        <v>0</v>
      </c>
      <c r="W313" s="47"/>
      <c r="X313" t="str">
        <f t="shared" ca="1" si="84"/>
        <v/>
      </c>
      <c r="Y313" t="str">
        <f t="shared" ca="1" si="76"/>
        <v/>
      </c>
      <c r="Z313" t="str">
        <f t="shared" ca="1" si="77"/>
        <v/>
      </c>
      <c r="AA313" t="str">
        <f t="shared" ca="1" si="78"/>
        <v/>
      </c>
      <c r="AB313" t="str">
        <f t="shared" ca="1" si="79"/>
        <v/>
      </c>
      <c r="AC313" t="str">
        <f t="shared" ca="1" si="80"/>
        <v/>
      </c>
      <c r="AD313" t="str">
        <f t="shared" ca="1" si="81"/>
        <v/>
      </c>
      <c r="AE313" t="str">
        <f t="shared" ca="1" si="82"/>
        <v/>
      </c>
      <c r="AF313" t="str">
        <f t="shared" ca="1" si="83"/>
        <v/>
      </c>
      <c r="AG313" s="47"/>
    </row>
    <row r="314" spans="3:33" x14ac:dyDescent="0.25">
      <c r="C314" s="118">
        <f t="shared" si="85"/>
        <v>42100</v>
      </c>
      <c r="D314">
        <f ca="1">IFERROR(SUMIFS(OFFSET(DBRA_TopicHCP,0,D$217,DBR_COUNT,1),DBRA_WorkplanDate,$C314,DBRA_PlayerID,$D$3),"")</f>
        <v>0</v>
      </c>
      <c r="E314">
        <f ca="1">IFERROR(SUMIFS(OFFSET(DBRA_TopicHCP,0,E$217,DBR_COUNT,1),DBRA_WorkplanDate,$C314,DBRA_PlayerID,$D$3),"")</f>
        <v>0</v>
      </c>
      <c r="F314">
        <f ca="1">IFERROR(SUMIFS(OFFSET(DBRA_TopicHCP,0,F$217,DBR_COUNT,1),DBRA_WorkplanDate,$C314,DBRA_PlayerID,$D$3),"")</f>
        <v>0</v>
      </c>
      <c r="G314">
        <f ca="1">IFERROR(SUMIFS(OFFSET(DBRA_TopicHCP,0,G$217,DBR_COUNT,1),DBRA_WorkplanDate,$C314,DBRA_PlayerID,$D$3),"")</f>
        <v>0</v>
      </c>
      <c r="H314">
        <f ca="1">IFERROR(SUMIFS(OFFSET(DBRA_TopicHCP,0,H$217,DBR_COUNT,1),DBRA_WorkplanDate,$C314,DBRA_PlayerID,$D$3),"")</f>
        <v>0</v>
      </c>
      <c r="I314">
        <f ca="1">IFERROR(SUMIFS(OFFSET(DBRA_TopicHCP,0,I$217,DBR_COUNT,1),DBRA_WorkplanDate,$C314,DBRA_PlayerID,$D$3),"")</f>
        <v>0</v>
      </c>
      <c r="J314">
        <f ca="1">IFERROR(SUMIFS(OFFSET(DBRA_TopicHCP,0,J$217,DBR_COUNT,1),DBRA_WorkplanDate,$C314,DBRA_PlayerID,$D$3),"")</f>
        <v>0</v>
      </c>
      <c r="K314">
        <f ca="1">IFERROR(SUMIFS(OFFSET(DBRA_TopicHCP,0,K$217,DBR_COUNT,1),DBRA_WorkplanDate,$C314,DBRA_PlayerID,$D$3),"")</f>
        <v>0</v>
      </c>
      <c r="L314">
        <f ca="1">IFERROR(SUMIFS(OFFSET(DBRA_TopicHCP,0,L$217,DBR_COUNT,1),DBRA_WorkplanDate,$C314,DBRA_PlayerID,$D$3),"")</f>
        <v>0</v>
      </c>
      <c r="M314" s="47"/>
      <c r="N314">
        <f ca="1">IFERROR(SUMIFS(OFFSET(DBRA_TopicCount,0,N$217,DBR_COUNT,1),DBRA_WorkplanDate,$C314,DBRA_PlayerID,$D$3),"")</f>
        <v>0</v>
      </c>
      <c r="O314">
        <f ca="1">IFERROR(SUMIFS(OFFSET(DBRA_TopicCount,0,O$217,DBR_COUNT,1),DBRA_WorkplanDate,$C314,DBRA_PlayerID,$D$3),"")</f>
        <v>0</v>
      </c>
      <c r="P314">
        <f ca="1">IFERROR(SUMIFS(OFFSET(DBRA_TopicCount,0,P$217,DBR_COUNT,1),DBRA_WorkplanDate,$C314,DBRA_PlayerID,$D$3),"")</f>
        <v>0</v>
      </c>
      <c r="Q314">
        <f ca="1">IFERROR(SUMIFS(OFFSET(DBRA_TopicCount,0,Q$217,DBR_COUNT,1),DBRA_WorkplanDate,$C314,DBRA_PlayerID,$D$3),"")</f>
        <v>0</v>
      </c>
      <c r="R314">
        <f ca="1">IFERROR(SUMIFS(OFFSET(DBRA_TopicCount,0,R$217,DBR_COUNT,1),DBRA_WorkplanDate,$C314,DBRA_PlayerID,$D$3),"")</f>
        <v>0</v>
      </c>
      <c r="S314">
        <f ca="1">IFERROR(SUMIFS(OFFSET(DBRA_TopicCount,0,S$217,DBR_COUNT,1),DBRA_WorkplanDate,$C314,DBRA_PlayerID,$D$3),"")</f>
        <v>0</v>
      </c>
      <c r="T314">
        <f ca="1">IFERROR(SUMIFS(OFFSET(DBRA_TopicCount,0,T$217,DBR_COUNT,1),DBRA_WorkplanDate,$C314,DBRA_PlayerID,$D$3),"")</f>
        <v>0</v>
      </c>
      <c r="U314">
        <f ca="1">IFERROR(SUMIFS(OFFSET(DBRA_TopicCount,0,U$217,DBR_COUNT,1),DBRA_WorkplanDate,$C314,DBRA_PlayerID,$D$3),"")</f>
        <v>0</v>
      </c>
      <c r="V314">
        <f ca="1">IFERROR(SUMIFS(OFFSET(DBRA_TopicCount,0,V$217,DBR_COUNT,1),DBRA_WorkplanDate,$C314,DBRA_PlayerID,$D$3),"")</f>
        <v>0</v>
      </c>
      <c r="W314" s="47"/>
      <c r="X314" t="str">
        <f t="shared" ca="1" si="84"/>
        <v/>
      </c>
      <c r="Y314" t="str">
        <f t="shared" ca="1" si="76"/>
        <v/>
      </c>
      <c r="Z314" t="str">
        <f t="shared" ca="1" si="77"/>
        <v/>
      </c>
      <c r="AA314" t="str">
        <f t="shared" ca="1" si="78"/>
        <v/>
      </c>
      <c r="AB314" t="str">
        <f t="shared" ca="1" si="79"/>
        <v/>
      </c>
      <c r="AC314" t="str">
        <f t="shared" ca="1" si="80"/>
        <v/>
      </c>
      <c r="AD314" t="str">
        <f t="shared" ca="1" si="81"/>
        <v/>
      </c>
      <c r="AE314" t="str">
        <f t="shared" ca="1" si="82"/>
        <v/>
      </c>
      <c r="AF314" t="str">
        <f t="shared" ca="1" si="83"/>
        <v/>
      </c>
      <c r="AG314" s="47"/>
    </row>
    <row r="315" spans="3:33" x14ac:dyDescent="0.25">
      <c r="C315" s="118">
        <f t="shared" si="85"/>
        <v>42101</v>
      </c>
      <c r="D315">
        <f ca="1">IFERROR(SUMIFS(OFFSET(DBRA_TopicHCP,0,D$217,DBR_COUNT,1),DBRA_WorkplanDate,$C315,DBRA_PlayerID,$D$3),"")</f>
        <v>0</v>
      </c>
      <c r="E315">
        <f ca="1">IFERROR(SUMIFS(OFFSET(DBRA_TopicHCP,0,E$217,DBR_COUNT,1),DBRA_WorkplanDate,$C315,DBRA_PlayerID,$D$3),"")</f>
        <v>0</v>
      </c>
      <c r="F315">
        <f ca="1">IFERROR(SUMIFS(OFFSET(DBRA_TopicHCP,0,F$217,DBR_COUNT,1),DBRA_WorkplanDate,$C315,DBRA_PlayerID,$D$3),"")</f>
        <v>0</v>
      </c>
      <c r="G315">
        <f ca="1">IFERROR(SUMIFS(OFFSET(DBRA_TopicHCP,0,G$217,DBR_COUNT,1),DBRA_WorkplanDate,$C315,DBRA_PlayerID,$D$3),"")</f>
        <v>0</v>
      </c>
      <c r="H315">
        <f ca="1">IFERROR(SUMIFS(OFFSET(DBRA_TopicHCP,0,H$217,DBR_COUNT,1),DBRA_WorkplanDate,$C315,DBRA_PlayerID,$D$3),"")</f>
        <v>0</v>
      </c>
      <c r="I315">
        <f ca="1">IFERROR(SUMIFS(OFFSET(DBRA_TopicHCP,0,I$217,DBR_COUNT,1),DBRA_WorkplanDate,$C315,DBRA_PlayerID,$D$3),"")</f>
        <v>0</v>
      </c>
      <c r="J315">
        <f ca="1">IFERROR(SUMIFS(OFFSET(DBRA_TopicHCP,0,J$217,DBR_COUNT,1),DBRA_WorkplanDate,$C315,DBRA_PlayerID,$D$3),"")</f>
        <v>0</v>
      </c>
      <c r="K315">
        <f ca="1">IFERROR(SUMIFS(OFFSET(DBRA_TopicHCP,0,K$217,DBR_COUNT,1),DBRA_WorkplanDate,$C315,DBRA_PlayerID,$D$3),"")</f>
        <v>0</v>
      </c>
      <c r="L315">
        <f ca="1">IFERROR(SUMIFS(OFFSET(DBRA_TopicHCP,0,L$217,DBR_COUNT,1),DBRA_WorkplanDate,$C315,DBRA_PlayerID,$D$3),"")</f>
        <v>0</v>
      </c>
      <c r="M315" s="47"/>
      <c r="N315">
        <f ca="1">IFERROR(SUMIFS(OFFSET(DBRA_TopicCount,0,N$217,DBR_COUNT,1),DBRA_WorkplanDate,$C315,DBRA_PlayerID,$D$3),"")</f>
        <v>0</v>
      </c>
      <c r="O315">
        <f ca="1">IFERROR(SUMIFS(OFFSET(DBRA_TopicCount,0,O$217,DBR_COUNT,1),DBRA_WorkplanDate,$C315,DBRA_PlayerID,$D$3),"")</f>
        <v>0</v>
      </c>
      <c r="P315">
        <f ca="1">IFERROR(SUMIFS(OFFSET(DBRA_TopicCount,0,P$217,DBR_COUNT,1),DBRA_WorkplanDate,$C315,DBRA_PlayerID,$D$3),"")</f>
        <v>0</v>
      </c>
      <c r="Q315">
        <f ca="1">IFERROR(SUMIFS(OFFSET(DBRA_TopicCount,0,Q$217,DBR_COUNT,1),DBRA_WorkplanDate,$C315,DBRA_PlayerID,$D$3),"")</f>
        <v>0</v>
      </c>
      <c r="R315">
        <f ca="1">IFERROR(SUMIFS(OFFSET(DBRA_TopicCount,0,R$217,DBR_COUNT,1),DBRA_WorkplanDate,$C315,DBRA_PlayerID,$D$3),"")</f>
        <v>0</v>
      </c>
      <c r="S315">
        <f ca="1">IFERROR(SUMIFS(OFFSET(DBRA_TopicCount,0,S$217,DBR_COUNT,1),DBRA_WorkplanDate,$C315,DBRA_PlayerID,$D$3),"")</f>
        <v>0</v>
      </c>
      <c r="T315">
        <f ca="1">IFERROR(SUMIFS(OFFSET(DBRA_TopicCount,0,T$217,DBR_COUNT,1),DBRA_WorkplanDate,$C315,DBRA_PlayerID,$D$3),"")</f>
        <v>0</v>
      </c>
      <c r="U315">
        <f ca="1">IFERROR(SUMIFS(OFFSET(DBRA_TopicCount,0,U$217,DBR_COUNT,1),DBRA_WorkplanDate,$C315,DBRA_PlayerID,$D$3),"")</f>
        <v>0</v>
      </c>
      <c r="V315">
        <f ca="1">IFERROR(SUMIFS(OFFSET(DBRA_TopicCount,0,V$217,DBR_COUNT,1),DBRA_WorkplanDate,$C315,DBRA_PlayerID,$D$3),"")</f>
        <v>0</v>
      </c>
      <c r="W315" s="47"/>
      <c r="X315" t="str">
        <f t="shared" ca="1" si="84"/>
        <v/>
      </c>
      <c r="Y315" t="str">
        <f t="shared" ca="1" si="76"/>
        <v/>
      </c>
      <c r="Z315" t="str">
        <f t="shared" ca="1" si="77"/>
        <v/>
      </c>
      <c r="AA315" t="str">
        <f t="shared" ca="1" si="78"/>
        <v/>
      </c>
      <c r="AB315" t="str">
        <f t="shared" ca="1" si="79"/>
        <v/>
      </c>
      <c r="AC315" t="str">
        <f t="shared" ca="1" si="80"/>
        <v/>
      </c>
      <c r="AD315" t="str">
        <f t="shared" ca="1" si="81"/>
        <v/>
      </c>
      <c r="AE315" t="str">
        <f t="shared" ca="1" si="82"/>
        <v/>
      </c>
      <c r="AF315" t="str">
        <f t="shared" ca="1" si="83"/>
        <v/>
      </c>
      <c r="AG315" s="47"/>
    </row>
    <row r="316" spans="3:33" x14ac:dyDescent="0.25">
      <c r="C316" s="118">
        <f t="shared" si="85"/>
        <v>42102</v>
      </c>
      <c r="D316">
        <f ca="1">IFERROR(SUMIFS(OFFSET(DBRA_TopicHCP,0,D$217,DBR_COUNT,1),DBRA_WorkplanDate,$C316,DBRA_PlayerID,$D$3),"")</f>
        <v>0</v>
      </c>
      <c r="E316">
        <f ca="1">IFERROR(SUMIFS(OFFSET(DBRA_TopicHCP,0,E$217,DBR_COUNT,1),DBRA_WorkplanDate,$C316,DBRA_PlayerID,$D$3),"")</f>
        <v>0</v>
      </c>
      <c r="F316">
        <f ca="1">IFERROR(SUMIFS(OFFSET(DBRA_TopicHCP,0,F$217,DBR_COUNT,1),DBRA_WorkplanDate,$C316,DBRA_PlayerID,$D$3),"")</f>
        <v>0</v>
      </c>
      <c r="G316">
        <f ca="1">IFERROR(SUMIFS(OFFSET(DBRA_TopicHCP,0,G$217,DBR_COUNT,1),DBRA_WorkplanDate,$C316,DBRA_PlayerID,$D$3),"")</f>
        <v>0</v>
      </c>
      <c r="H316">
        <f ca="1">IFERROR(SUMIFS(OFFSET(DBRA_TopicHCP,0,H$217,DBR_COUNT,1),DBRA_WorkplanDate,$C316,DBRA_PlayerID,$D$3),"")</f>
        <v>0</v>
      </c>
      <c r="I316">
        <f ca="1">IFERROR(SUMIFS(OFFSET(DBRA_TopicHCP,0,I$217,DBR_COUNT,1),DBRA_WorkplanDate,$C316,DBRA_PlayerID,$D$3),"")</f>
        <v>0</v>
      </c>
      <c r="J316">
        <f ca="1">IFERROR(SUMIFS(OFFSET(DBRA_TopicHCP,0,J$217,DBR_COUNT,1),DBRA_WorkplanDate,$C316,DBRA_PlayerID,$D$3),"")</f>
        <v>0</v>
      </c>
      <c r="K316">
        <f ca="1">IFERROR(SUMIFS(OFFSET(DBRA_TopicHCP,0,K$217,DBR_COUNT,1),DBRA_WorkplanDate,$C316,DBRA_PlayerID,$D$3),"")</f>
        <v>0</v>
      </c>
      <c r="L316">
        <f ca="1">IFERROR(SUMIFS(OFFSET(DBRA_TopicHCP,0,L$217,DBR_COUNT,1),DBRA_WorkplanDate,$C316,DBRA_PlayerID,$D$3),"")</f>
        <v>0</v>
      </c>
      <c r="M316" s="47"/>
      <c r="N316">
        <f ca="1">IFERROR(SUMIFS(OFFSET(DBRA_TopicCount,0,N$217,DBR_COUNT,1),DBRA_WorkplanDate,$C316,DBRA_PlayerID,$D$3),"")</f>
        <v>0</v>
      </c>
      <c r="O316">
        <f ca="1">IFERROR(SUMIFS(OFFSET(DBRA_TopicCount,0,O$217,DBR_COUNT,1),DBRA_WorkplanDate,$C316,DBRA_PlayerID,$D$3),"")</f>
        <v>0</v>
      </c>
      <c r="P316">
        <f ca="1">IFERROR(SUMIFS(OFFSET(DBRA_TopicCount,0,P$217,DBR_COUNT,1),DBRA_WorkplanDate,$C316,DBRA_PlayerID,$D$3),"")</f>
        <v>0</v>
      </c>
      <c r="Q316">
        <f ca="1">IFERROR(SUMIFS(OFFSET(DBRA_TopicCount,0,Q$217,DBR_COUNT,1),DBRA_WorkplanDate,$C316,DBRA_PlayerID,$D$3),"")</f>
        <v>0</v>
      </c>
      <c r="R316">
        <f ca="1">IFERROR(SUMIFS(OFFSET(DBRA_TopicCount,0,R$217,DBR_COUNT,1),DBRA_WorkplanDate,$C316,DBRA_PlayerID,$D$3),"")</f>
        <v>0</v>
      </c>
      <c r="S316">
        <f ca="1">IFERROR(SUMIFS(OFFSET(DBRA_TopicCount,0,S$217,DBR_COUNT,1),DBRA_WorkplanDate,$C316,DBRA_PlayerID,$D$3),"")</f>
        <v>0</v>
      </c>
      <c r="T316">
        <f ca="1">IFERROR(SUMIFS(OFFSET(DBRA_TopicCount,0,T$217,DBR_COUNT,1),DBRA_WorkplanDate,$C316,DBRA_PlayerID,$D$3),"")</f>
        <v>0</v>
      </c>
      <c r="U316">
        <f ca="1">IFERROR(SUMIFS(OFFSET(DBRA_TopicCount,0,U$217,DBR_COUNT,1),DBRA_WorkplanDate,$C316,DBRA_PlayerID,$D$3),"")</f>
        <v>0</v>
      </c>
      <c r="V316">
        <f ca="1">IFERROR(SUMIFS(OFFSET(DBRA_TopicCount,0,V$217,DBR_COUNT,1),DBRA_WorkplanDate,$C316,DBRA_PlayerID,$D$3),"")</f>
        <v>0</v>
      </c>
      <c r="W316" s="47"/>
      <c r="X316" t="str">
        <f t="shared" ca="1" si="84"/>
        <v/>
      </c>
      <c r="Y316" t="str">
        <f t="shared" ca="1" si="76"/>
        <v/>
      </c>
      <c r="Z316" t="str">
        <f t="shared" ca="1" si="77"/>
        <v/>
      </c>
      <c r="AA316" t="str">
        <f t="shared" ca="1" si="78"/>
        <v/>
      </c>
      <c r="AB316" t="str">
        <f t="shared" ca="1" si="79"/>
        <v/>
      </c>
      <c r="AC316" t="str">
        <f t="shared" ca="1" si="80"/>
        <v/>
      </c>
      <c r="AD316" t="str">
        <f t="shared" ca="1" si="81"/>
        <v/>
      </c>
      <c r="AE316" t="str">
        <f t="shared" ca="1" si="82"/>
        <v/>
      </c>
      <c r="AF316" t="str">
        <f t="shared" ca="1" si="83"/>
        <v/>
      </c>
      <c r="AG316" s="47"/>
    </row>
    <row r="317" spans="3:33" x14ac:dyDescent="0.25">
      <c r="C317" s="118">
        <f t="shared" si="85"/>
        <v>42103</v>
      </c>
      <c r="D317">
        <f ca="1">IFERROR(SUMIFS(OFFSET(DBRA_TopicHCP,0,D$217,DBR_COUNT,1),DBRA_WorkplanDate,$C317,DBRA_PlayerID,$D$3),"")</f>
        <v>0</v>
      </c>
      <c r="E317">
        <f ca="1">IFERROR(SUMIFS(OFFSET(DBRA_TopicHCP,0,E$217,DBR_COUNT,1),DBRA_WorkplanDate,$C317,DBRA_PlayerID,$D$3),"")</f>
        <v>0</v>
      </c>
      <c r="F317">
        <f ca="1">IFERROR(SUMIFS(OFFSET(DBRA_TopicHCP,0,F$217,DBR_COUNT,1),DBRA_WorkplanDate,$C317,DBRA_PlayerID,$D$3),"")</f>
        <v>0</v>
      </c>
      <c r="G317">
        <f ca="1">IFERROR(SUMIFS(OFFSET(DBRA_TopicHCP,0,G$217,DBR_COUNT,1),DBRA_WorkplanDate,$C317,DBRA_PlayerID,$D$3),"")</f>
        <v>0</v>
      </c>
      <c r="H317">
        <f ca="1">IFERROR(SUMIFS(OFFSET(DBRA_TopicHCP,0,H$217,DBR_COUNT,1),DBRA_WorkplanDate,$C317,DBRA_PlayerID,$D$3),"")</f>
        <v>0</v>
      </c>
      <c r="I317">
        <f ca="1">IFERROR(SUMIFS(OFFSET(DBRA_TopicHCP,0,I$217,DBR_COUNT,1),DBRA_WorkplanDate,$C317,DBRA_PlayerID,$D$3),"")</f>
        <v>0</v>
      </c>
      <c r="J317">
        <f ca="1">IFERROR(SUMIFS(OFFSET(DBRA_TopicHCP,0,J$217,DBR_COUNT,1),DBRA_WorkplanDate,$C317,DBRA_PlayerID,$D$3),"")</f>
        <v>0</v>
      </c>
      <c r="K317">
        <f ca="1">IFERROR(SUMIFS(OFFSET(DBRA_TopicHCP,0,K$217,DBR_COUNT,1),DBRA_WorkplanDate,$C317,DBRA_PlayerID,$D$3),"")</f>
        <v>0</v>
      </c>
      <c r="L317">
        <f ca="1">IFERROR(SUMIFS(OFFSET(DBRA_TopicHCP,0,L$217,DBR_COUNT,1),DBRA_WorkplanDate,$C317,DBRA_PlayerID,$D$3),"")</f>
        <v>0</v>
      </c>
      <c r="M317" s="47"/>
      <c r="N317">
        <f ca="1">IFERROR(SUMIFS(OFFSET(DBRA_TopicCount,0,N$217,DBR_COUNT,1),DBRA_WorkplanDate,$C317,DBRA_PlayerID,$D$3),"")</f>
        <v>0</v>
      </c>
      <c r="O317">
        <f ca="1">IFERROR(SUMIFS(OFFSET(DBRA_TopicCount,0,O$217,DBR_COUNT,1),DBRA_WorkplanDate,$C317,DBRA_PlayerID,$D$3),"")</f>
        <v>0</v>
      </c>
      <c r="P317">
        <f ca="1">IFERROR(SUMIFS(OFFSET(DBRA_TopicCount,0,P$217,DBR_COUNT,1),DBRA_WorkplanDate,$C317,DBRA_PlayerID,$D$3),"")</f>
        <v>0</v>
      </c>
      <c r="Q317">
        <f ca="1">IFERROR(SUMIFS(OFFSET(DBRA_TopicCount,0,Q$217,DBR_COUNT,1),DBRA_WorkplanDate,$C317,DBRA_PlayerID,$D$3),"")</f>
        <v>0</v>
      </c>
      <c r="R317">
        <f ca="1">IFERROR(SUMIFS(OFFSET(DBRA_TopicCount,0,R$217,DBR_COUNT,1),DBRA_WorkplanDate,$C317,DBRA_PlayerID,$D$3),"")</f>
        <v>0</v>
      </c>
      <c r="S317">
        <f ca="1">IFERROR(SUMIFS(OFFSET(DBRA_TopicCount,0,S$217,DBR_COUNT,1),DBRA_WorkplanDate,$C317,DBRA_PlayerID,$D$3),"")</f>
        <v>0</v>
      </c>
      <c r="T317">
        <f ca="1">IFERROR(SUMIFS(OFFSET(DBRA_TopicCount,0,T$217,DBR_COUNT,1),DBRA_WorkplanDate,$C317,DBRA_PlayerID,$D$3),"")</f>
        <v>0</v>
      </c>
      <c r="U317">
        <f ca="1">IFERROR(SUMIFS(OFFSET(DBRA_TopicCount,0,U$217,DBR_COUNT,1),DBRA_WorkplanDate,$C317,DBRA_PlayerID,$D$3),"")</f>
        <v>0</v>
      </c>
      <c r="V317">
        <f ca="1">IFERROR(SUMIFS(OFFSET(DBRA_TopicCount,0,V$217,DBR_COUNT,1),DBRA_WorkplanDate,$C317,DBRA_PlayerID,$D$3),"")</f>
        <v>0</v>
      </c>
      <c r="W317" s="47"/>
      <c r="X317" t="str">
        <f t="shared" ca="1" si="84"/>
        <v/>
      </c>
      <c r="Y317" t="str">
        <f t="shared" ca="1" si="76"/>
        <v/>
      </c>
      <c r="Z317" t="str">
        <f t="shared" ca="1" si="77"/>
        <v/>
      </c>
      <c r="AA317" t="str">
        <f t="shared" ca="1" si="78"/>
        <v/>
      </c>
      <c r="AB317" t="str">
        <f t="shared" ca="1" si="79"/>
        <v/>
      </c>
      <c r="AC317" t="str">
        <f t="shared" ca="1" si="80"/>
        <v/>
      </c>
      <c r="AD317" t="str">
        <f t="shared" ca="1" si="81"/>
        <v/>
      </c>
      <c r="AE317" t="str">
        <f t="shared" ca="1" si="82"/>
        <v/>
      </c>
      <c r="AF317" t="str">
        <f t="shared" ca="1" si="83"/>
        <v/>
      </c>
      <c r="AG317" s="47"/>
    </row>
    <row r="318" spans="3:33" x14ac:dyDescent="0.25">
      <c r="C318" s="118">
        <f t="shared" si="85"/>
        <v>42104</v>
      </c>
      <c r="D318">
        <f ca="1">IFERROR(SUMIFS(OFFSET(DBRA_TopicHCP,0,D$217,DBR_COUNT,1),DBRA_WorkplanDate,$C318,DBRA_PlayerID,$D$3),"")</f>
        <v>0</v>
      </c>
      <c r="E318">
        <f ca="1">IFERROR(SUMIFS(OFFSET(DBRA_TopicHCP,0,E$217,DBR_COUNT,1),DBRA_WorkplanDate,$C318,DBRA_PlayerID,$D$3),"")</f>
        <v>0</v>
      </c>
      <c r="F318">
        <f ca="1">IFERROR(SUMIFS(OFFSET(DBRA_TopicHCP,0,F$217,DBR_COUNT,1),DBRA_WorkplanDate,$C318,DBRA_PlayerID,$D$3),"")</f>
        <v>0</v>
      </c>
      <c r="G318">
        <f ca="1">IFERROR(SUMIFS(OFFSET(DBRA_TopicHCP,0,G$217,DBR_COUNT,1),DBRA_WorkplanDate,$C318,DBRA_PlayerID,$D$3),"")</f>
        <v>0</v>
      </c>
      <c r="H318">
        <f ca="1">IFERROR(SUMIFS(OFFSET(DBRA_TopicHCP,0,H$217,DBR_COUNT,1),DBRA_WorkplanDate,$C318,DBRA_PlayerID,$D$3),"")</f>
        <v>0</v>
      </c>
      <c r="I318">
        <f ca="1">IFERROR(SUMIFS(OFFSET(DBRA_TopicHCP,0,I$217,DBR_COUNT,1),DBRA_WorkplanDate,$C318,DBRA_PlayerID,$D$3),"")</f>
        <v>0</v>
      </c>
      <c r="J318">
        <f ca="1">IFERROR(SUMIFS(OFFSET(DBRA_TopicHCP,0,J$217,DBR_COUNT,1),DBRA_WorkplanDate,$C318,DBRA_PlayerID,$D$3),"")</f>
        <v>0</v>
      </c>
      <c r="K318">
        <f ca="1">IFERROR(SUMIFS(OFFSET(DBRA_TopicHCP,0,K$217,DBR_COUNT,1),DBRA_WorkplanDate,$C318,DBRA_PlayerID,$D$3),"")</f>
        <v>0</v>
      </c>
      <c r="L318">
        <f ca="1">IFERROR(SUMIFS(OFFSET(DBRA_TopicHCP,0,L$217,DBR_COUNT,1),DBRA_WorkplanDate,$C318,DBRA_PlayerID,$D$3),"")</f>
        <v>0</v>
      </c>
      <c r="M318" s="47"/>
      <c r="N318">
        <f ca="1">IFERROR(SUMIFS(OFFSET(DBRA_TopicCount,0,N$217,DBR_COUNT,1),DBRA_WorkplanDate,$C318,DBRA_PlayerID,$D$3),"")</f>
        <v>0</v>
      </c>
      <c r="O318">
        <f ca="1">IFERROR(SUMIFS(OFFSET(DBRA_TopicCount,0,O$217,DBR_COUNT,1),DBRA_WorkplanDate,$C318,DBRA_PlayerID,$D$3),"")</f>
        <v>0</v>
      </c>
      <c r="P318">
        <f ca="1">IFERROR(SUMIFS(OFFSET(DBRA_TopicCount,0,P$217,DBR_COUNT,1),DBRA_WorkplanDate,$C318,DBRA_PlayerID,$D$3),"")</f>
        <v>0</v>
      </c>
      <c r="Q318">
        <f ca="1">IFERROR(SUMIFS(OFFSET(DBRA_TopicCount,0,Q$217,DBR_COUNT,1),DBRA_WorkplanDate,$C318,DBRA_PlayerID,$D$3),"")</f>
        <v>0</v>
      </c>
      <c r="R318">
        <f ca="1">IFERROR(SUMIFS(OFFSET(DBRA_TopicCount,0,R$217,DBR_COUNT,1),DBRA_WorkplanDate,$C318,DBRA_PlayerID,$D$3),"")</f>
        <v>0</v>
      </c>
      <c r="S318">
        <f ca="1">IFERROR(SUMIFS(OFFSET(DBRA_TopicCount,0,S$217,DBR_COUNT,1),DBRA_WorkplanDate,$C318,DBRA_PlayerID,$D$3),"")</f>
        <v>0</v>
      </c>
      <c r="T318">
        <f ca="1">IFERROR(SUMIFS(OFFSET(DBRA_TopicCount,0,T$217,DBR_COUNT,1),DBRA_WorkplanDate,$C318,DBRA_PlayerID,$D$3),"")</f>
        <v>0</v>
      </c>
      <c r="U318">
        <f ca="1">IFERROR(SUMIFS(OFFSET(DBRA_TopicCount,0,U$217,DBR_COUNT,1),DBRA_WorkplanDate,$C318,DBRA_PlayerID,$D$3),"")</f>
        <v>0</v>
      </c>
      <c r="V318">
        <f ca="1">IFERROR(SUMIFS(OFFSET(DBRA_TopicCount,0,V$217,DBR_COUNT,1),DBRA_WorkplanDate,$C318,DBRA_PlayerID,$D$3),"")</f>
        <v>0</v>
      </c>
      <c r="W318" s="47"/>
      <c r="X318" t="str">
        <f t="shared" ca="1" si="84"/>
        <v/>
      </c>
      <c r="Y318" t="str">
        <f t="shared" ca="1" si="76"/>
        <v/>
      </c>
      <c r="Z318" t="str">
        <f t="shared" ca="1" si="77"/>
        <v/>
      </c>
      <c r="AA318" t="str">
        <f t="shared" ca="1" si="78"/>
        <v/>
      </c>
      <c r="AB318" t="str">
        <f t="shared" ca="1" si="79"/>
        <v/>
      </c>
      <c r="AC318" t="str">
        <f t="shared" ca="1" si="80"/>
        <v/>
      </c>
      <c r="AD318" t="str">
        <f t="shared" ca="1" si="81"/>
        <v/>
      </c>
      <c r="AE318" t="str">
        <f t="shared" ca="1" si="82"/>
        <v/>
      </c>
      <c r="AF318" t="str">
        <f t="shared" ca="1" si="83"/>
        <v/>
      </c>
      <c r="AG318" s="47"/>
    </row>
    <row r="319" spans="3:33" x14ac:dyDescent="0.25">
      <c r="C319" s="118">
        <f t="shared" si="85"/>
        <v>42105</v>
      </c>
      <c r="D319">
        <f ca="1">IFERROR(SUMIFS(OFFSET(DBRA_TopicHCP,0,D$217,DBR_COUNT,1),DBRA_WorkplanDate,$C319,DBRA_PlayerID,$D$3),"")</f>
        <v>0</v>
      </c>
      <c r="E319">
        <f ca="1">IFERROR(SUMIFS(OFFSET(DBRA_TopicHCP,0,E$217,DBR_COUNT,1),DBRA_WorkplanDate,$C319,DBRA_PlayerID,$D$3),"")</f>
        <v>0</v>
      </c>
      <c r="F319">
        <f ca="1">IFERROR(SUMIFS(OFFSET(DBRA_TopicHCP,0,F$217,DBR_COUNT,1),DBRA_WorkplanDate,$C319,DBRA_PlayerID,$D$3),"")</f>
        <v>0</v>
      </c>
      <c r="G319">
        <f ca="1">IFERROR(SUMIFS(OFFSET(DBRA_TopicHCP,0,G$217,DBR_COUNT,1),DBRA_WorkplanDate,$C319,DBRA_PlayerID,$D$3),"")</f>
        <v>0</v>
      </c>
      <c r="H319">
        <f ca="1">IFERROR(SUMIFS(OFFSET(DBRA_TopicHCP,0,H$217,DBR_COUNT,1),DBRA_WorkplanDate,$C319,DBRA_PlayerID,$D$3),"")</f>
        <v>0</v>
      </c>
      <c r="I319">
        <f ca="1">IFERROR(SUMIFS(OFFSET(DBRA_TopicHCP,0,I$217,DBR_COUNT,1),DBRA_WorkplanDate,$C319,DBRA_PlayerID,$D$3),"")</f>
        <v>0</v>
      </c>
      <c r="J319">
        <f ca="1">IFERROR(SUMIFS(OFFSET(DBRA_TopicHCP,0,J$217,DBR_COUNT,1),DBRA_WorkplanDate,$C319,DBRA_PlayerID,$D$3),"")</f>
        <v>0</v>
      </c>
      <c r="K319">
        <f ca="1">IFERROR(SUMIFS(OFFSET(DBRA_TopicHCP,0,K$217,DBR_COUNT,1),DBRA_WorkplanDate,$C319,DBRA_PlayerID,$D$3),"")</f>
        <v>0</v>
      </c>
      <c r="L319">
        <f ca="1">IFERROR(SUMIFS(OFFSET(DBRA_TopicHCP,0,L$217,DBR_COUNT,1),DBRA_WorkplanDate,$C319,DBRA_PlayerID,$D$3),"")</f>
        <v>0</v>
      </c>
      <c r="M319" s="47"/>
      <c r="N319">
        <f ca="1">IFERROR(SUMIFS(OFFSET(DBRA_TopicCount,0,N$217,DBR_COUNT,1),DBRA_WorkplanDate,$C319,DBRA_PlayerID,$D$3),"")</f>
        <v>0</v>
      </c>
      <c r="O319">
        <f ca="1">IFERROR(SUMIFS(OFFSET(DBRA_TopicCount,0,O$217,DBR_COUNT,1),DBRA_WorkplanDate,$C319,DBRA_PlayerID,$D$3),"")</f>
        <v>0</v>
      </c>
      <c r="P319">
        <f ca="1">IFERROR(SUMIFS(OFFSET(DBRA_TopicCount,0,P$217,DBR_COUNT,1),DBRA_WorkplanDate,$C319,DBRA_PlayerID,$D$3),"")</f>
        <v>0</v>
      </c>
      <c r="Q319">
        <f ca="1">IFERROR(SUMIFS(OFFSET(DBRA_TopicCount,0,Q$217,DBR_COUNT,1),DBRA_WorkplanDate,$C319,DBRA_PlayerID,$D$3),"")</f>
        <v>0</v>
      </c>
      <c r="R319">
        <f ca="1">IFERROR(SUMIFS(OFFSET(DBRA_TopicCount,0,R$217,DBR_COUNT,1),DBRA_WorkplanDate,$C319,DBRA_PlayerID,$D$3),"")</f>
        <v>0</v>
      </c>
      <c r="S319">
        <f ca="1">IFERROR(SUMIFS(OFFSET(DBRA_TopicCount,0,S$217,DBR_COUNT,1),DBRA_WorkplanDate,$C319,DBRA_PlayerID,$D$3),"")</f>
        <v>0</v>
      </c>
      <c r="T319">
        <f ca="1">IFERROR(SUMIFS(OFFSET(DBRA_TopicCount,0,T$217,DBR_COUNT,1),DBRA_WorkplanDate,$C319,DBRA_PlayerID,$D$3),"")</f>
        <v>0</v>
      </c>
      <c r="U319">
        <f ca="1">IFERROR(SUMIFS(OFFSET(DBRA_TopicCount,0,U$217,DBR_COUNT,1),DBRA_WorkplanDate,$C319,DBRA_PlayerID,$D$3),"")</f>
        <v>0</v>
      </c>
      <c r="V319">
        <f ca="1">IFERROR(SUMIFS(OFFSET(DBRA_TopicCount,0,V$217,DBR_COUNT,1),DBRA_WorkplanDate,$C319,DBRA_PlayerID,$D$3),"")</f>
        <v>0</v>
      </c>
      <c r="W319" s="47"/>
      <c r="X319" t="str">
        <f t="shared" ca="1" si="84"/>
        <v/>
      </c>
      <c r="Y319" t="str">
        <f t="shared" ca="1" si="76"/>
        <v/>
      </c>
      <c r="Z319" t="str">
        <f t="shared" ca="1" si="77"/>
        <v/>
      </c>
      <c r="AA319" t="str">
        <f t="shared" ca="1" si="78"/>
        <v/>
      </c>
      <c r="AB319" t="str">
        <f t="shared" ca="1" si="79"/>
        <v/>
      </c>
      <c r="AC319" t="str">
        <f t="shared" ca="1" si="80"/>
        <v/>
      </c>
      <c r="AD319" t="str">
        <f t="shared" ca="1" si="81"/>
        <v/>
      </c>
      <c r="AE319" t="str">
        <f t="shared" ca="1" si="82"/>
        <v/>
      </c>
      <c r="AF319" t="str">
        <f t="shared" ca="1" si="83"/>
        <v/>
      </c>
      <c r="AG319" s="47"/>
    </row>
    <row r="320" spans="3:33" x14ac:dyDescent="0.25">
      <c r="C320" s="118">
        <f t="shared" si="85"/>
        <v>42106</v>
      </c>
      <c r="D320">
        <f ca="1">IFERROR(SUMIFS(OFFSET(DBRA_TopicHCP,0,D$217,DBR_COUNT,1),DBRA_WorkplanDate,$C320,DBRA_PlayerID,$D$3),"")</f>
        <v>0</v>
      </c>
      <c r="E320">
        <f ca="1">IFERROR(SUMIFS(OFFSET(DBRA_TopicHCP,0,E$217,DBR_COUNT,1),DBRA_WorkplanDate,$C320,DBRA_PlayerID,$D$3),"")</f>
        <v>0</v>
      </c>
      <c r="F320">
        <f ca="1">IFERROR(SUMIFS(OFFSET(DBRA_TopicHCP,0,F$217,DBR_COUNT,1),DBRA_WorkplanDate,$C320,DBRA_PlayerID,$D$3),"")</f>
        <v>0</v>
      </c>
      <c r="G320">
        <f ca="1">IFERROR(SUMIFS(OFFSET(DBRA_TopicHCP,0,G$217,DBR_COUNT,1),DBRA_WorkplanDate,$C320,DBRA_PlayerID,$D$3),"")</f>
        <v>0</v>
      </c>
      <c r="H320">
        <f ca="1">IFERROR(SUMIFS(OFFSET(DBRA_TopicHCP,0,H$217,DBR_COUNT,1),DBRA_WorkplanDate,$C320,DBRA_PlayerID,$D$3),"")</f>
        <v>0</v>
      </c>
      <c r="I320">
        <f ca="1">IFERROR(SUMIFS(OFFSET(DBRA_TopicHCP,0,I$217,DBR_COUNT,1),DBRA_WorkplanDate,$C320,DBRA_PlayerID,$D$3),"")</f>
        <v>0</v>
      </c>
      <c r="J320">
        <f ca="1">IFERROR(SUMIFS(OFFSET(DBRA_TopicHCP,0,J$217,DBR_COUNT,1),DBRA_WorkplanDate,$C320,DBRA_PlayerID,$D$3),"")</f>
        <v>0</v>
      </c>
      <c r="K320">
        <f ca="1">IFERROR(SUMIFS(OFFSET(DBRA_TopicHCP,0,K$217,DBR_COUNT,1),DBRA_WorkplanDate,$C320,DBRA_PlayerID,$D$3),"")</f>
        <v>0</v>
      </c>
      <c r="L320">
        <f ca="1">IFERROR(SUMIFS(OFFSET(DBRA_TopicHCP,0,L$217,DBR_COUNT,1),DBRA_WorkplanDate,$C320,DBRA_PlayerID,$D$3),"")</f>
        <v>0</v>
      </c>
      <c r="M320" s="47"/>
      <c r="N320">
        <f ca="1">IFERROR(SUMIFS(OFFSET(DBRA_TopicCount,0,N$217,DBR_COUNT,1),DBRA_WorkplanDate,$C320,DBRA_PlayerID,$D$3),"")</f>
        <v>0</v>
      </c>
      <c r="O320">
        <f ca="1">IFERROR(SUMIFS(OFFSET(DBRA_TopicCount,0,O$217,DBR_COUNT,1),DBRA_WorkplanDate,$C320,DBRA_PlayerID,$D$3),"")</f>
        <v>0</v>
      </c>
      <c r="P320">
        <f ca="1">IFERROR(SUMIFS(OFFSET(DBRA_TopicCount,0,P$217,DBR_COUNT,1),DBRA_WorkplanDate,$C320,DBRA_PlayerID,$D$3),"")</f>
        <v>0</v>
      </c>
      <c r="Q320">
        <f ca="1">IFERROR(SUMIFS(OFFSET(DBRA_TopicCount,0,Q$217,DBR_COUNT,1),DBRA_WorkplanDate,$C320,DBRA_PlayerID,$D$3),"")</f>
        <v>0</v>
      </c>
      <c r="R320">
        <f ca="1">IFERROR(SUMIFS(OFFSET(DBRA_TopicCount,0,R$217,DBR_COUNT,1),DBRA_WorkplanDate,$C320,DBRA_PlayerID,$D$3),"")</f>
        <v>0</v>
      </c>
      <c r="S320">
        <f ca="1">IFERROR(SUMIFS(OFFSET(DBRA_TopicCount,0,S$217,DBR_COUNT,1),DBRA_WorkplanDate,$C320,DBRA_PlayerID,$D$3),"")</f>
        <v>0</v>
      </c>
      <c r="T320">
        <f ca="1">IFERROR(SUMIFS(OFFSET(DBRA_TopicCount,0,T$217,DBR_COUNT,1),DBRA_WorkplanDate,$C320,DBRA_PlayerID,$D$3),"")</f>
        <v>0</v>
      </c>
      <c r="U320">
        <f ca="1">IFERROR(SUMIFS(OFFSET(DBRA_TopicCount,0,U$217,DBR_COUNT,1),DBRA_WorkplanDate,$C320,DBRA_PlayerID,$D$3),"")</f>
        <v>0</v>
      </c>
      <c r="V320">
        <f ca="1">IFERROR(SUMIFS(OFFSET(DBRA_TopicCount,0,V$217,DBR_COUNT,1),DBRA_WorkplanDate,$C320,DBRA_PlayerID,$D$3),"")</f>
        <v>0</v>
      </c>
      <c r="W320" s="47"/>
      <c r="X320" t="str">
        <f t="shared" ca="1" si="84"/>
        <v/>
      </c>
      <c r="Y320" t="str">
        <f t="shared" ca="1" si="76"/>
        <v/>
      </c>
      <c r="Z320" t="str">
        <f t="shared" ca="1" si="77"/>
        <v/>
      </c>
      <c r="AA320" t="str">
        <f t="shared" ca="1" si="78"/>
        <v/>
      </c>
      <c r="AB320" t="str">
        <f t="shared" ca="1" si="79"/>
        <v/>
      </c>
      <c r="AC320" t="str">
        <f t="shared" ca="1" si="80"/>
        <v/>
      </c>
      <c r="AD320" t="str">
        <f t="shared" ca="1" si="81"/>
        <v/>
      </c>
      <c r="AE320" t="str">
        <f t="shared" ca="1" si="82"/>
        <v/>
      </c>
      <c r="AF320" t="str">
        <f t="shared" ca="1" si="83"/>
        <v/>
      </c>
      <c r="AG320" s="47"/>
    </row>
    <row r="321" spans="3:33" x14ac:dyDescent="0.25">
      <c r="C321" s="118">
        <f t="shared" si="85"/>
        <v>42107</v>
      </c>
      <c r="D321">
        <f ca="1">IFERROR(SUMIFS(OFFSET(DBRA_TopicHCP,0,D$217,DBR_COUNT,1),DBRA_WorkplanDate,$C321,DBRA_PlayerID,$D$3),"")</f>
        <v>0</v>
      </c>
      <c r="E321">
        <f ca="1">IFERROR(SUMIFS(OFFSET(DBRA_TopicHCP,0,E$217,DBR_COUNT,1),DBRA_WorkplanDate,$C321,DBRA_PlayerID,$D$3),"")</f>
        <v>0</v>
      </c>
      <c r="F321">
        <f ca="1">IFERROR(SUMIFS(OFFSET(DBRA_TopicHCP,0,F$217,DBR_COUNT,1),DBRA_WorkplanDate,$C321,DBRA_PlayerID,$D$3),"")</f>
        <v>0</v>
      </c>
      <c r="G321">
        <f ca="1">IFERROR(SUMIFS(OFFSET(DBRA_TopicHCP,0,G$217,DBR_COUNT,1),DBRA_WorkplanDate,$C321,DBRA_PlayerID,$D$3),"")</f>
        <v>0</v>
      </c>
      <c r="H321">
        <f ca="1">IFERROR(SUMIFS(OFFSET(DBRA_TopicHCP,0,H$217,DBR_COUNT,1),DBRA_WorkplanDate,$C321,DBRA_PlayerID,$D$3),"")</f>
        <v>0</v>
      </c>
      <c r="I321">
        <f ca="1">IFERROR(SUMIFS(OFFSET(DBRA_TopicHCP,0,I$217,DBR_COUNT,1),DBRA_WorkplanDate,$C321,DBRA_PlayerID,$D$3),"")</f>
        <v>0</v>
      </c>
      <c r="J321">
        <f ca="1">IFERROR(SUMIFS(OFFSET(DBRA_TopicHCP,0,J$217,DBR_COUNT,1),DBRA_WorkplanDate,$C321,DBRA_PlayerID,$D$3),"")</f>
        <v>0</v>
      </c>
      <c r="K321">
        <f ca="1">IFERROR(SUMIFS(OFFSET(DBRA_TopicHCP,0,K$217,DBR_COUNT,1),DBRA_WorkplanDate,$C321,DBRA_PlayerID,$D$3),"")</f>
        <v>0</v>
      </c>
      <c r="L321">
        <f ca="1">IFERROR(SUMIFS(OFFSET(DBRA_TopicHCP,0,L$217,DBR_COUNT,1),DBRA_WorkplanDate,$C321,DBRA_PlayerID,$D$3),"")</f>
        <v>0</v>
      </c>
      <c r="M321" s="47"/>
      <c r="N321">
        <f ca="1">IFERROR(SUMIFS(OFFSET(DBRA_TopicCount,0,N$217,DBR_COUNT,1),DBRA_WorkplanDate,$C321,DBRA_PlayerID,$D$3),"")</f>
        <v>0</v>
      </c>
      <c r="O321">
        <f ca="1">IFERROR(SUMIFS(OFFSET(DBRA_TopicCount,0,O$217,DBR_COUNT,1),DBRA_WorkplanDate,$C321,DBRA_PlayerID,$D$3),"")</f>
        <v>0</v>
      </c>
      <c r="P321">
        <f ca="1">IFERROR(SUMIFS(OFFSET(DBRA_TopicCount,0,P$217,DBR_COUNT,1),DBRA_WorkplanDate,$C321,DBRA_PlayerID,$D$3),"")</f>
        <v>0</v>
      </c>
      <c r="Q321">
        <f ca="1">IFERROR(SUMIFS(OFFSET(DBRA_TopicCount,0,Q$217,DBR_COUNT,1),DBRA_WorkplanDate,$C321,DBRA_PlayerID,$D$3),"")</f>
        <v>0</v>
      </c>
      <c r="R321">
        <f ca="1">IFERROR(SUMIFS(OFFSET(DBRA_TopicCount,0,R$217,DBR_COUNT,1),DBRA_WorkplanDate,$C321,DBRA_PlayerID,$D$3),"")</f>
        <v>0</v>
      </c>
      <c r="S321">
        <f ca="1">IFERROR(SUMIFS(OFFSET(DBRA_TopicCount,0,S$217,DBR_COUNT,1),DBRA_WorkplanDate,$C321,DBRA_PlayerID,$D$3),"")</f>
        <v>0</v>
      </c>
      <c r="T321">
        <f ca="1">IFERROR(SUMIFS(OFFSET(DBRA_TopicCount,0,T$217,DBR_COUNT,1),DBRA_WorkplanDate,$C321,DBRA_PlayerID,$D$3),"")</f>
        <v>0</v>
      </c>
      <c r="U321">
        <f ca="1">IFERROR(SUMIFS(OFFSET(DBRA_TopicCount,0,U$217,DBR_COUNT,1),DBRA_WorkplanDate,$C321,DBRA_PlayerID,$D$3),"")</f>
        <v>0</v>
      </c>
      <c r="V321">
        <f ca="1">IFERROR(SUMIFS(OFFSET(DBRA_TopicCount,0,V$217,DBR_COUNT,1),DBRA_WorkplanDate,$C321,DBRA_PlayerID,$D$3),"")</f>
        <v>0</v>
      </c>
      <c r="W321" s="47"/>
      <c r="X321" t="str">
        <f t="shared" ca="1" si="84"/>
        <v/>
      </c>
      <c r="Y321" t="str">
        <f t="shared" ca="1" si="76"/>
        <v/>
      </c>
      <c r="Z321" t="str">
        <f t="shared" ca="1" si="77"/>
        <v/>
      </c>
      <c r="AA321" t="str">
        <f t="shared" ca="1" si="78"/>
        <v/>
      </c>
      <c r="AB321" t="str">
        <f t="shared" ca="1" si="79"/>
        <v/>
      </c>
      <c r="AC321" t="str">
        <f t="shared" ca="1" si="80"/>
        <v/>
      </c>
      <c r="AD321" t="str">
        <f t="shared" ca="1" si="81"/>
        <v/>
      </c>
      <c r="AE321" t="str">
        <f t="shared" ca="1" si="82"/>
        <v/>
      </c>
      <c r="AF321" t="str">
        <f t="shared" ca="1" si="83"/>
        <v/>
      </c>
      <c r="AG321" s="47"/>
    </row>
    <row r="322" spans="3:33" x14ac:dyDescent="0.25">
      <c r="C322" s="118">
        <f t="shared" si="85"/>
        <v>42108</v>
      </c>
      <c r="D322">
        <f ca="1">IFERROR(SUMIFS(OFFSET(DBRA_TopicHCP,0,D$217,DBR_COUNT,1),DBRA_WorkplanDate,$C322,DBRA_PlayerID,$D$3),"")</f>
        <v>0</v>
      </c>
      <c r="E322">
        <f ca="1">IFERROR(SUMIFS(OFFSET(DBRA_TopicHCP,0,E$217,DBR_COUNT,1),DBRA_WorkplanDate,$C322,DBRA_PlayerID,$D$3),"")</f>
        <v>0</v>
      </c>
      <c r="F322">
        <f ca="1">IFERROR(SUMIFS(OFFSET(DBRA_TopicHCP,0,F$217,DBR_COUNT,1),DBRA_WorkplanDate,$C322,DBRA_PlayerID,$D$3),"")</f>
        <v>0</v>
      </c>
      <c r="G322">
        <f ca="1">IFERROR(SUMIFS(OFFSET(DBRA_TopicHCP,0,G$217,DBR_COUNT,1),DBRA_WorkplanDate,$C322,DBRA_PlayerID,$D$3),"")</f>
        <v>0</v>
      </c>
      <c r="H322">
        <f ca="1">IFERROR(SUMIFS(OFFSET(DBRA_TopicHCP,0,H$217,DBR_COUNT,1),DBRA_WorkplanDate,$C322,DBRA_PlayerID,$D$3),"")</f>
        <v>0</v>
      </c>
      <c r="I322">
        <f ca="1">IFERROR(SUMIFS(OFFSET(DBRA_TopicHCP,0,I$217,DBR_COUNT,1),DBRA_WorkplanDate,$C322,DBRA_PlayerID,$D$3),"")</f>
        <v>0</v>
      </c>
      <c r="J322">
        <f ca="1">IFERROR(SUMIFS(OFFSET(DBRA_TopicHCP,0,J$217,DBR_COUNT,1),DBRA_WorkplanDate,$C322,DBRA_PlayerID,$D$3),"")</f>
        <v>0</v>
      </c>
      <c r="K322">
        <f ca="1">IFERROR(SUMIFS(OFFSET(DBRA_TopicHCP,0,K$217,DBR_COUNT,1),DBRA_WorkplanDate,$C322,DBRA_PlayerID,$D$3),"")</f>
        <v>0</v>
      </c>
      <c r="L322">
        <f ca="1">IFERROR(SUMIFS(OFFSET(DBRA_TopicHCP,0,L$217,DBR_COUNT,1),DBRA_WorkplanDate,$C322,DBRA_PlayerID,$D$3),"")</f>
        <v>0</v>
      </c>
      <c r="M322" s="47"/>
      <c r="N322">
        <f ca="1">IFERROR(SUMIFS(OFFSET(DBRA_TopicCount,0,N$217,DBR_COUNT,1),DBRA_WorkplanDate,$C322,DBRA_PlayerID,$D$3),"")</f>
        <v>0</v>
      </c>
      <c r="O322">
        <f ca="1">IFERROR(SUMIFS(OFFSET(DBRA_TopicCount,0,O$217,DBR_COUNT,1),DBRA_WorkplanDate,$C322,DBRA_PlayerID,$D$3),"")</f>
        <v>0</v>
      </c>
      <c r="P322">
        <f ca="1">IFERROR(SUMIFS(OFFSET(DBRA_TopicCount,0,P$217,DBR_COUNT,1),DBRA_WorkplanDate,$C322,DBRA_PlayerID,$D$3),"")</f>
        <v>0</v>
      </c>
      <c r="Q322">
        <f ca="1">IFERROR(SUMIFS(OFFSET(DBRA_TopicCount,0,Q$217,DBR_COUNT,1),DBRA_WorkplanDate,$C322,DBRA_PlayerID,$D$3),"")</f>
        <v>0</v>
      </c>
      <c r="R322">
        <f ca="1">IFERROR(SUMIFS(OFFSET(DBRA_TopicCount,0,R$217,DBR_COUNT,1),DBRA_WorkplanDate,$C322,DBRA_PlayerID,$D$3),"")</f>
        <v>0</v>
      </c>
      <c r="S322">
        <f ca="1">IFERROR(SUMIFS(OFFSET(DBRA_TopicCount,0,S$217,DBR_COUNT,1),DBRA_WorkplanDate,$C322,DBRA_PlayerID,$D$3),"")</f>
        <v>0</v>
      </c>
      <c r="T322">
        <f ca="1">IFERROR(SUMIFS(OFFSET(DBRA_TopicCount,0,T$217,DBR_COUNT,1),DBRA_WorkplanDate,$C322,DBRA_PlayerID,$D$3),"")</f>
        <v>0</v>
      </c>
      <c r="U322">
        <f ca="1">IFERROR(SUMIFS(OFFSET(DBRA_TopicCount,0,U$217,DBR_COUNT,1),DBRA_WorkplanDate,$C322,DBRA_PlayerID,$D$3),"")</f>
        <v>0</v>
      </c>
      <c r="V322">
        <f ca="1">IFERROR(SUMIFS(OFFSET(DBRA_TopicCount,0,V$217,DBR_COUNT,1),DBRA_WorkplanDate,$C322,DBRA_PlayerID,$D$3),"")</f>
        <v>0</v>
      </c>
      <c r="W322" s="47"/>
      <c r="X322" t="str">
        <f t="shared" ca="1" si="84"/>
        <v/>
      </c>
      <c r="Y322" t="str">
        <f t="shared" ca="1" si="76"/>
        <v/>
      </c>
      <c r="Z322" t="str">
        <f t="shared" ca="1" si="77"/>
        <v/>
      </c>
      <c r="AA322" t="str">
        <f t="shared" ca="1" si="78"/>
        <v/>
      </c>
      <c r="AB322" t="str">
        <f t="shared" ca="1" si="79"/>
        <v/>
      </c>
      <c r="AC322" t="str">
        <f t="shared" ca="1" si="80"/>
        <v/>
      </c>
      <c r="AD322" t="str">
        <f t="shared" ca="1" si="81"/>
        <v/>
      </c>
      <c r="AE322" t="str">
        <f t="shared" ca="1" si="82"/>
        <v/>
      </c>
      <c r="AF322" t="str">
        <f t="shared" ca="1" si="83"/>
        <v/>
      </c>
      <c r="AG322" s="47"/>
    </row>
    <row r="323" spans="3:33" x14ac:dyDescent="0.25">
      <c r="C323" s="118">
        <f t="shared" si="85"/>
        <v>42109</v>
      </c>
      <c r="D323">
        <f ca="1">IFERROR(SUMIFS(OFFSET(DBRA_TopicHCP,0,D$217,DBR_COUNT,1),DBRA_WorkplanDate,$C323,DBRA_PlayerID,$D$3),"")</f>
        <v>0</v>
      </c>
      <c r="E323">
        <f ca="1">IFERROR(SUMIFS(OFFSET(DBRA_TopicHCP,0,E$217,DBR_COUNT,1),DBRA_WorkplanDate,$C323,DBRA_PlayerID,$D$3),"")</f>
        <v>0</v>
      </c>
      <c r="F323">
        <f ca="1">IFERROR(SUMIFS(OFFSET(DBRA_TopicHCP,0,F$217,DBR_COUNT,1),DBRA_WorkplanDate,$C323,DBRA_PlayerID,$D$3),"")</f>
        <v>0</v>
      </c>
      <c r="G323">
        <f ca="1">IFERROR(SUMIFS(OFFSET(DBRA_TopicHCP,0,G$217,DBR_COUNT,1),DBRA_WorkplanDate,$C323,DBRA_PlayerID,$D$3),"")</f>
        <v>0</v>
      </c>
      <c r="H323">
        <f ca="1">IFERROR(SUMIFS(OFFSET(DBRA_TopicHCP,0,H$217,DBR_COUNT,1),DBRA_WorkplanDate,$C323,DBRA_PlayerID,$D$3),"")</f>
        <v>0</v>
      </c>
      <c r="I323">
        <f ca="1">IFERROR(SUMIFS(OFFSET(DBRA_TopicHCP,0,I$217,DBR_COUNT,1),DBRA_WorkplanDate,$C323,DBRA_PlayerID,$D$3),"")</f>
        <v>0</v>
      </c>
      <c r="J323">
        <f ca="1">IFERROR(SUMIFS(OFFSET(DBRA_TopicHCP,0,J$217,DBR_COUNT,1),DBRA_WorkplanDate,$C323,DBRA_PlayerID,$D$3),"")</f>
        <v>0</v>
      </c>
      <c r="K323">
        <f ca="1">IFERROR(SUMIFS(OFFSET(DBRA_TopicHCP,0,K$217,DBR_COUNT,1),DBRA_WorkplanDate,$C323,DBRA_PlayerID,$D$3),"")</f>
        <v>0</v>
      </c>
      <c r="L323">
        <f ca="1">IFERROR(SUMIFS(OFFSET(DBRA_TopicHCP,0,L$217,DBR_COUNT,1),DBRA_WorkplanDate,$C323,DBRA_PlayerID,$D$3),"")</f>
        <v>0</v>
      </c>
      <c r="M323" s="47"/>
      <c r="N323">
        <f ca="1">IFERROR(SUMIFS(OFFSET(DBRA_TopicCount,0,N$217,DBR_COUNT,1),DBRA_WorkplanDate,$C323,DBRA_PlayerID,$D$3),"")</f>
        <v>0</v>
      </c>
      <c r="O323">
        <f ca="1">IFERROR(SUMIFS(OFFSET(DBRA_TopicCount,0,O$217,DBR_COUNT,1),DBRA_WorkplanDate,$C323,DBRA_PlayerID,$D$3),"")</f>
        <v>0</v>
      </c>
      <c r="P323">
        <f ca="1">IFERROR(SUMIFS(OFFSET(DBRA_TopicCount,0,P$217,DBR_COUNT,1),DBRA_WorkplanDate,$C323,DBRA_PlayerID,$D$3),"")</f>
        <v>0</v>
      </c>
      <c r="Q323">
        <f ca="1">IFERROR(SUMIFS(OFFSET(DBRA_TopicCount,0,Q$217,DBR_COUNT,1),DBRA_WorkplanDate,$C323,DBRA_PlayerID,$D$3),"")</f>
        <v>0</v>
      </c>
      <c r="R323">
        <f ca="1">IFERROR(SUMIFS(OFFSET(DBRA_TopicCount,0,R$217,DBR_COUNT,1),DBRA_WorkplanDate,$C323,DBRA_PlayerID,$D$3),"")</f>
        <v>0</v>
      </c>
      <c r="S323">
        <f ca="1">IFERROR(SUMIFS(OFFSET(DBRA_TopicCount,0,S$217,DBR_COUNT,1),DBRA_WorkplanDate,$C323,DBRA_PlayerID,$D$3),"")</f>
        <v>0</v>
      </c>
      <c r="T323">
        <f ca="1">IFERROR(SUMIFS(OFFSET(DBRA_TopicCount,0,T$217,DBR_COUNT,1),DBRA_WorkplanDate,$C323,DBRA_PlayerID,$D$3),"")</f>
        <v>0</v>
      </c>
      <c r="U323">
        <f ca="1">IFERROR(SUMIFS(OFFSET(DBRA_TopicCount,0,U$217,DBR_COUNT,1),DBRA_WorkplanDate,$C323,DBRA_PlayerID,$D$3),"")</f>
        <v>0</v>
      </c>
      <c r="V323">
        <f ca="1">IFERROR(SUMIFS(OFFSET(DBRA_TopicCount,0,V$217,DBR_COUNT,1),DBRA_WorkplanDate,$C323,DBRA_PlayerID,$D$3),"")</f>
        <v>0</v>
      </c>
      <c r="W323" s="47"/>
      <c r="X323" t="str">
        <f t="shared" ca="1" si="84"/>
        <v/>
      </c>
      <c r="Y323" t="str">
        <f t="shared" ca="1" si="76"/>
        <v/>
      </c>
      <c r="Z323" t="str">
        <f t="shared" ca="1" si="77"/>
        <v/>
      </c>
      <c r="AA323" t="str">
        <f t="shared" ca="1" si="78"/>
        <v/>
      </c>
      <c r="AB323" t="str">
        <f t="shared" ca="1" si="79"/>
        <v/>
      </c>
      <c r="AC323" t="str">
        <f t="shared" ca="1" si="80"/>
        <v/>
      </c>
      <c r="AD323" t="str">
        <f t="shared" ca="1" si="81"/>
        <v/>
      </c>
      <c r="AE323" t="str">
        <f t="shared" ca="1" si="82"/>
        <v/>
      </c>
      <c r="AF323" t="str">
        <f t="shared" ca="1" si="83"/>
        <v/>
      </c>
      <c r="AG323" s="47"/>
    </row>
    <row r="324" spans="3:33" x14ac:dyDescent="0.25">
      <c r="C324" s="118">
        <f t="shared" si="85"/>
        <v>42110</v>
      </c>
      <c r="D324">
        <f ca="1">IFERROR(SUMIFS(OFFSET(DBRA_TopicHCP,0,D$217,DBR_COUNT,1),DBRA_WorkplanDate,$C324,DBRA_PlayerID,$D$3),"")</f>
        <v>0</v>
      </c>
      <c r="E324">
        <f ca="1">IFERROR(SUMIFS(OFFSET(DBRA_TopicHCP,0,E$217,DBR_COUNT,1),DBRA_WorkplanDate,$C324,DBRA_PlayerID,$D$3),"")</f>
        <v>0</v>
      </c>
      <c r="F324">
        <f ca="1">IFERROR(SUMIFS(OFFSET(DBRA_TopicHCP,0,F$217,DBR_COUNT,1),DBRA_WorkplanDate,$C324,DBRA_PlayerID,$D$3),"")</f>
        <v>0</v>
      </c>
      <c r="G324">
        <f ca="1">IFERROR(SUMIFS(OFFSET(DBRA_TopicHCP,0,G$217,DBR_COUNT,1),DBRA_WorkplanDate,$C324,DBRA_PlayerID,$D$3),"")</f>
        <v>0</v>
      </c>
      <c r="H324">
        <f ca="1">IFERROR(SUMIFS(OFFSET(DBRA_TopicHCP,0,H$217,DBR_COUNT,1),DBRA_WorkplanDate,$C324,DBRA_PlayerID,$D$3),"")</f>
        <v>0</v>
      </c>
      <c r="I324">
        <f ca="1">IFERROR(SUMIFS(OFFSET(DBRA_TopicHCP,0,I$217,DBR_COUNT,1),DBRA_WorkplanDate,$C324,DBRA_PlayerID,$D$3),"")</f>
        <v>0</v>
      </c>
      <c r="J324">
        <f ca="1">IFERROR(SUMIFS(OFFSET(DBRA_TopicHCP,0,J$217,DBR_COUNT,1),DBRA_WorkplanDate,$C324,DBRA_PlayerID,$D$3),"")</f>
        <v>0</v>
      </c>
      <c r="K324">
        <f ca="1">IFERROR(SUMIFS(OFFSET(DBRA_TopicHCP,0,K$217,DBR_COUNT,1),DBRA_WorkplanDate,$C324,DBRA_PlayerID,$D$3),"")</f>
        <v>0</v>
      </c>
      <c r="L324">
        <f ca="1">IFERROR(SUMIFS(OFFSET(DBRA_TopicHCP,0,L$217,DBR_COUNT,1),DBRA_WorkplanDate,$C324,DBRA_PlayerID,$D$3),"")</f>
        <v>0</v>
      </c>
      <c r="M324" s="47"/>
      <c r="N324">
        <f ca="1">IFERROR(SUMIFS(OFFSET(DBRA_TopicCount,0,N$217,DBR_COUNT,1),DBRA_WorkplanDate,$C324,DBRA_PlayerID,$D$3),"")</f>
        <v>0</v>
      </c>
      <c r="O324">
        <f ca="1">IFERROR(SUMIFS(OFFSET(DBRA_TopicCount,0,O$217,DBR_COUNT,1),DBRA_WorkplanDate,$C324,DBRA_PlayerID,$D$3),"")</f>
        <v>0</v>
      </c>
      <c r="P324">
        <f ca="1">IFERROR(SUMIFS(OFFSET(DBRA_TopicCount,0,P$217,DBR_COUNT,1),DBRA_WorkplanDate,$C324,DBRA_PlayerID,$D$3),"")</f>
        <v>0</v>
      </c>
      <c r="Q324">
        <f ca="1">IFERROR(SUMIFS(OFFSET(DBRA_TopicCount,0,Q$217,DBR_COUNT,1),DBRA_WorkplanDate,$C324,DBRA_PlayerID,$D$3),"")</f>
        <v>0</v>
      </c>
      <c r="R324">
        <f ca="1">IFERROR(SUMIFS(OFFSET(DBRA_TopicCount,0,R$217,DBR_COUNT,1),DBRA_WorkplanDate,$C324,DBRA_PlayerID,$D$3),"")</f>
        <v>0</v>
      </c>
      <c r="S324">
        <f ca="1">IFERROR(SUMIFS(OFFSET(DBRA_TopicCount,0,S$217,DBR_COUNT,1),DBRA_WorkplanDate,$C324,DBRA_PlayerID,$D$3),"")</f>
        <v>0</v>
      </c>
      <c r="T324">
        <f ca="1">IFERROR(SUMIFS(OFFSET(DBRA_TopicCount,0,T$217,DBR_COUNT,1),DBRA_WorkplanDate,$C324,DBRA_PlayerID,$D$3),"")</f>
        <v>0</v>
      </c>
      <c r="U324">
        <f ca="1">IFERROR(SUMIFS(OFFSET(DBRA_TopicCount,0,U$217,DBR_COUNT,1),DBRA_WorkplanDate,$C324,DBRA_PlayerID,$D$3),"")</f>
        <v>0</v>
      </c>
      <c r="V324">
        <f ca="1">IFERROR(SUMIFS(OFFSET(DBRA_TopicCount,0,V$217,DBR_COUNT,1),DBRA_WorkplanDate,$C324,DBRA_PlayerID,$D$3),"")</f>
        <v>0</v>
      </c>
      <c r="W324" s="47"/>
      <c r="X324" t="str">
        <f t="shared" ca="1" si="84"/>
        <v/>
      </c>
      <c r="Y324" t="str">
        <f t="shared" ca="1" si="76"/>
        <v/>
      </c>
      <c r="Z324" t="str">
        <f t="shared" ca="1" si="77"/>
        <v/>
      </c>
      <c r="AA324" t="str">
        <f t="shared" ca="1" si="78"/>
        <v/>
      </c>
      <c r="AB324" t="str">
        <f t="shared" ca="1" si="79"/>
        <v/>
      </c>
      <c r="AC324" t="str">
        <f t="shared" ca="1" si="80"/>
        <v/>
      </c>
      <c r="AD324" t="str">
        <f t="shared" ca="1" si="81"/>
        <v/>
      </c>
      <c r="AE324" t="str">
        <f t="shared" ca="1" si="82"/>
        <v/>
      </c>
      <c r="AF324" t="str">
        <f t="shared" ca="1" si="83"/>
        <v/>
      </c>
      <c r="AG324" s="47"/>
    </row>
    <row r="325" spans="3:33" x14ac:dyDescent="0.25">
      <c r="C325" s="118">
        <f t="shared" si="85"/>
        <v>42111</v>
      </c>
      <c r="D325">
        <f ca="1">IFERROR(SUMIFS(OFFSET(DBRA_TopicHCP,0,D$217,DBR_COUNT,1),DBRA_WorkplanDate,$C325,DBRA_PlayerID,$D$3),"")</f>
        <v>0</v>
      </c>
      <c r="E325">
        <f ca="1">IFERROR(SUMIFS(OFFSET(DBRA_TopicHCP,0,E$217,DBR_COUNT,1),DBRA_WorkplanDate,$C325,DBRA_PlayerID,$D$3),"")</f>
        <v>0</v>
      </c>
      <c r="F325">
        <f ca="1">IFERROR(SUMIFS(OFFSET(DBRA_TopicHCP,0,F$217,DBR_COUNT,1),DBRA_WorkplanDate,$C325,DBRA_PlayerID,$D$3),"")</f>
        <v>0</v>
      </c>
      <c r="G325">
        <f ca="1">IFERROR(SUMIFS(OFFSET(DBRA_TopicHCP,0,G$217,DBR_COUNT,1),DBRA_WorkplanDate,$C325,DBRA_PlayerID,$D$3),"")</f>
        <v>0</v>
      </c>
      <c r="H325">
        <f ca="1">IFERROR(SUMIFS(OFFSET(DBRA_TopicHCP,0,H$217,DBR_COUNT,1),DBRA_WorkplanDate,$C325,DBRA_PlayerID,$D$3),"")</f>
        <v>0</v>
      </c>
      <c r="I325">
        <f ca="1">IFERROR(SUMIFS(OFFSET(DBRA_TopicHCP,0,I$217,DBR_COUNT,1),DBRA_WorkplanDate,$C325,DBRA_PlayerID,$D$3),"")</f>
        <v>0</v>
      </c>
      <c r="J325">
        <f ca="1">IFERROR(SUMIFS(OFFSET(DBRA_TopicHCP,0,J$217,DBR_COUNT,1),DBRA_WorkplanDate,$C325,DBRA_PlayerID,$D$3),"")</f>
        <v>0</v>
      </c>
      <c r="K325">
        <f ca="1">IFERROR(SUMIFS(OFFSET(DBRA_TopicHCP,0,K$217,DBR_COUNT,1),DBRA_WorkplanDate,$C325,DBRA_PlayerID,$D$3),"")</f>
        <v>0</v>
      </c>
      <c r="L325">
        <f ca="1">IFERROR(SUMIFS(OFFSET(DBRA_TopicHCP,0,L$217,DBR_COUNT,1),DBRA_WorkplanDate,$C325,DBRA_PlayerID,$D$3),"")</f>
        <v>0</v>
      </c>
      <c r="M325" s="47"/>
      <c r="N325">
        <f ca="1">IFERROR(SUMIFS(OFFSET(DBRA_TopicCount,0,N$217,DBR_COUNT,1),DBRA_WorkplanDate,$C325,DBRA_PlayerID,$D$3),"")</f>
        <v>0</v>
      </c>
      <c r="O325">
        <f ca="1">IFERROR(SUMIFS(OFFSET(DBRA_TopicCount,0,O$217,DBR_COUNT,1),DBRA_WorkplanDate,$C325,DBRA_PlayerID,$D$3),"")</f>
        <v>0</v>
      </c>
      <c r="P325">
        <f ca="1">IFERROR(SUMIFS(OFFSET(DBRA_TopicCount,0,P$217,DBR_COUNT,1),DBRA_WorkplanDate,$C325,DBRA_PlayerID,$D$3),"")</f>
        <v>0</v>
      </c>
      <c r="Q325">
        <f ca="1">IFERROR(SUMIFS(OFFSET(DBRA_TopicCount,0,Q$217,DBR_COUNT,1),DBRA_WorkplanDate,$C325,DBRA_PlayerID,$D$3),"")</f>
        <v>0</v>
      </c>
      <c r="R325">
        <f ca="1">IFERROR(SUMIFS(OFFSET(DBRA_TopicCount,0,R$217,DBR_COUNT,1),DBRA_WorkplanDate,$C325,DBRA_PlayerID,$D$3),"")</f>
        <v>0</v>
      </c>
      <c r="S325">
        <f ca="1">IFERROR(SUMIFS(OFFSET(DBRA_TopicCount,0,S$217,DBR_COUNT,1),DBRA_WorkplanDate,$C325,DBRA_PlayerID,$D$3),"")</f>
        <v>0</v>
      </c>
      <c r="T325">
        <f ca="1">IFERROR(SUMIFS(OFFSET(DBRA_TopicCount,0,T$217,DBR_COUNT,1),DBRA_WorkplanDate,$C325,DBRA_PlayerID,$D$3),"")</f>
        <v>0</v>
      </c>
      <c r="U325">
        <f ca="1">IFERROR(SUMIFS(OFFSET(DBRA_TopicCount,0,U$217,DBR_COUNT,1),DBRA_WorkplanDate,$C325,DBRA_PlayerID,$D$3),"")</f>
        <v>0</v>
      </c>
      <c r="V325">
        <f ca="1">IFERROR(SUMIFS(OFFSET(DBRA_TopicCount,0,V$217,DBR_COUNT,1),DBRA_WorkplanDate,$C325,DBRA_PlayerID,$D$3),"")</f>
        <v>0</v>
      </c>
      <c r="W325" s="47"/>
      <c r="X325" t="str">
        <f t="shared" ca="1" si="84"/>
        <v/>
      </c>
      <c r="Y325" t="str">
        <f t="shared" ca="1" si="76"/>
        <v/>
      </c>
      <c r="Z325" t="str">
        <f t="shared" ca="1" si="77"/>
        <v/>
      </c>
      <c r="AA325" t="str">
        <f t="shared" ca="1" si="78"/>
        <v/>
      </c>
      <c r="AB325" t="str">
        <f t="shared" ca="1" si="79"/>
        <v/>
      </c>
      <c r="AC325" t="str">
        <f t="shared" ca="1" si="80"/>
        <v/>
      </c>
      <c r="AD325" t="str">
        <f t="shared" ca="1" si="81"/>
        <v/>
      </c>
      <c r="AE325" t="str">
        <f t="shared" ca="1" si="82"/>
        <v/>
      </c>
      <c r="AF325" t="str">
        <f t="shared" ca="1" si="83"/>
        <v/>
      </c>
      <c r="AG325" s="47"/>
    </row>
    <row r="326" spans="3:33" x14ac:dyDescent="0.25">
      <c r="C326" s="118">
        <f t="shared" si="85"/>
        <v>42112</v>
      </c>
      <c r="D326">
        <f ca="1">IFERROR(SUMIFS(OFFSET(DBRA_TopicHCP,0,D$217,DBR_COUNT,1),DBRA_WorkplanDate,$C326,DBRA_PlayerID,$D$3),"")</f>
        <v>0</v>
      </c>
      <c r="E326">
        <f ca="1">IFERROR(SUMIFS(OFFSET(DBRA_TopicHCP,0,E$217,DBR_COUNT,1),DBRA_WorkplanDate,$C326,DBRA_PlayerID,$D$3),"")</f>
        <v>0</v>
      </c>
      <c r="F326">
        <f ca="1">IFERROR(SUMIFS(OFFSET(DBRA_TopicHCP,0,F$217,DBR_COUNT,1),DBRA_WorkplanDate,$C326,DBRA_PlayerID,$D$3),"")</f>
        <v>0</v>
      </c>
      <c r="G326">
        <f ca="1">IFERROR(SUMIFS(OFFSET(DBRA_TopicHCP,0,G$217,DBR_COUNT,1),DBRA_WorkplanDate,$C326,DBRA_PlayerID,$D$3),"")</f>
        <v>0</v>
      </c>
      <c r="H326">
        <f ca="1">IFERROR(SUMIFS(OFFSET(DBRA_TopicHCP,0,H$217,DBR_COUNT,1),DBRA_WorkplanDate,$C326,DBRA_PlayerID,$D$3),"")</f>
        <v>0</v>
      </c>
      <c r="I326">
        <f ca="1">IFERROR(SUMIFS(OFFSET(DBRA_TopicHCP,0,I$217,DBR_COUNT,1),DBRA_WorkplanDate,$C326,DBRA_PlayerID,$D$3),"")</f>
        <v>0</v>
      </c>
      <c r="J326">
        <f ca="1">IFERROR(SUMIFS(OFFSET(DBRA_TopicHCP,0,J$217,DBR_COUNT,1),DBRA_WorkplanDate,$C326,DBRA_PlayerID,$D$3),"")</f>
        <v>0</v>
      </c>
      <c r="K326">
        <f ca="1">IFERROR(SUMIFS(OFFSET(DBRA_TopicHCP,0,K$217,DBR_COUNT,1),DBRA_WorkplanDate,$C326,DBRA_PlayerID,$D$3),"")</f>
        <v>0</v>
      </c>
      <c r="L326">
        <f ca="1">IFERROR(SUMIFS(OFFSET(DBRA_TopicHCP,0,L$217,DBR_COUNT,1),DBRA_WorkplanDate,$C326,DBRA_PlayerID,$D$3),"")</f>
        <v>0</v>
      </c>
      <c r="M326" s="47"/>
      <c r="N326">
        <f ca="1">IFERROR(SUMIFS(OFFSET(DBRA_TopicCount,0,N$217,DBR_COUNT,1),DBRA_WorkplanDate,$C326,DBRA_PlayerID,$D$3),"")</f>
        <v>0</v>
      </c>
      <c r="O326">
        <f ca="1">IFERROR(SUMIFS(OFFSET(DBRA_TopicCount,0,O$217,DBR_COUNT,1),DBRA_WorkplanDate,$C326,DBRA_PlayerID,$D$3),"")</f>
        <v>0</v>
      </c>
      <c r="P326">
        <f ca="1">IFERROR(SUMIFS(OFFSET(DBRA_TopicCount,0,P$217,DBR_COUNT,1),DBRA_WorkplanDate,$C326,DBRA_PlayerID,$D$3),"")</f>
        <v>0</v>
      </c>
      <c r="Q326">
        <f ca="1">IFERROR(SUMIFS(OFFSET(DBRA_TopicCount,0,Q$217,DBR_COUNT,1),DBRA_WorkplanDate,$C326,DBRA_PlayerID,$D$3),"")</f>
        <v>0</v>
      </c>
      <c r="R326">
        <f ca="1">IFERROR(SUMIFS(OFFSET(DBRA_TopicCount,0,R$217,DBR_COUNT,1),DBRA_WorkplanDate,$C326,DBRA_PlayerID,$D$3),"")</f>
        <v>0</v>
      </c>
      <c r="S326">
        <f ca="1">IFERROR(SUMIFS(OFFSET(DBRA_TopicCount,0,S$217,DBR_COUNT,1),DBRA_WorkplanDate,$C326,DBRA_PlayerID,$D$3),"")</f>
        <v>0</v>
      </c>
      <c r="T326">
        <f ca="1">IFERROR(SUMIFS(OFFSET(DBRA_TopicCount,0,T$217,DBR_COUNT,1),DBRA_WorkplanDate,$C326,DBRA_PlayerID,$D$3),"")</f>
        <v>0</v>
      </c>
      <c r="U326">
        <f ca="1">IFERROR(SUMIFS(OFFSET(DBRA_TopicCount,0,U$217,DBR_COUNT,1),DBRA_WorkplanDate,$C326,DBRA_PlayerID,$D$3),"")</f>
        <v>0</v>
      </c>
      <c r="V326">
        <f ca="1">IFERROR(SUMIFS(OFFSET(DBRA_TopicCount,0,V$217,DBR_COUNT,1),DBRA_WorkplanDate,$C326,DBRA_PlayerID,$D$3),"")</f>
        <v>0</v>
      </c>
      <c r="W326" s="47"/>
      <c r="X326" t="str">
        <f t="shared" ca="1" si="84"/>
        <v/>
      </c>
      <c r="Y326" t="str">
        <f t="shared" ca="1" si="76"/>
        <v/>
      </c>
      <c r="Z326" t="str">
        <f t="shared" ca="1" si="77"/>
        <v/>
      </c>
      <c r="AA326" t="str">
        <f t="shared" ca="1" si="78"/>
        <v/>
      </c>
      <c r="AB326" t="str">
        <f t="shared" ca="1" si="79"/>
        <v/>
      </c>
      <c r="AC326" t="str">
        <f t="shared" ca="1" si="80"/>
        <v/>
      </c>
      <c r="AD326" t="str">
        <f t="shared" ca="1" si="81"/>
        <v/>
      </c>
      <c r="AE326" t="str">
        <f t="shared" ca="1" si="82"/>
        <v/>
      </c>
      <c r="AF326" t="str">
        <f t="shared" ca="1" si="83"/>
        <v/>
      </c>
      <c r="AG326" s="47"/>
    </row>
    <row r="327" spans="3:33" x14ac:dyDescent="0.25">
      <c r="C327" s="118">
        <f t="shared" si="85"/>
        <v>42113</v>
      </c>
      <c r="D327">
        <f ca="1">IFERROR(SUMIFS(OFFSET(DBRA_TopicHCP,0,D$217,DBR_COUNT,1),DBRA_WorkplanDate,$C327,DBRA_PlayerID,$D$3),"")</f>
        <v>0</v>
      </c>
      <c r="E327">
        <f ca="1">IFERROR(SUMIFS(OFFSET(DBRA_TopicHCP,0,E$217,DBR_COUNT,1),DBRA_WorkplanDate,$C327,DBRA_PlayerID,$D$3),"")</f>
        <v>0</v>
      </c>
      <c r="F327">
        <f ca="1">IFERROR(SUMIFS(OFFSET(DBRA_TopicHCP,0,F$217,DBR_COUNT,1),DBRA_WorkplanDate,$C327,DBRA_PlayerID,$D$3),"")</f>
        <v>0</v>
      </c>
      <c r="G327">
        <f ca="1">IFERROR(SUMIFS(OFFSET(DBRA_TopicHCP,0,G$217,DBR_COUNT,1),DBRA_WorkplanDate,$C327,DBRA_PlayerID,$D$3),"")</f>
        <v>0</v>
      </c>
      <c r="H327">
        <f ca="1">IFERROR(SUMIFS(OFFSET(DBRA_TopicHCP,0,H$217,DBR_COUNT,1),DBRA_WorkplanDate,$C327,DBRA_PlayerID,$D$3),"")</f>
        <v>0</v>
      </c>
      <c r="I327">
        <f ca="1">IFERROR(SUMIFS(OFFSET(DBRA_TopicHCP,0,I$217,DBR_COUNT,1),DBRA_WorkplanDate,$C327,DBRA_PlayerID,$D$3),"")</f>
        <v>0</v>
      </c>
      <c r="J327">
        <f ca="1">IFERROR(SUMIFS(OFFSET(DBRA_TopicHCP,0,J$217,DBR_COUNT,1),DBRA_WorkplanDate,$C327,DBRA_PlayerID,$D$3),"")</f>
        <v>0</v>
      </c>
      <c r="K327">
        <f ca="1">IFERROR(SUMIFS(OFFSET(DBRA_TopicHCP,0,K$217,DBR_COUNT,1),DBRA_WorkplanDate,$C327,DBRA_PlayerID,$D$3),"")</f>
        <v>0</v>
      </c>
      <c r="L327">
        <f ca="1">IFERROR(SUMIFS(OFFSET(DBRA_TopicHCP,0,L$217,DBR_COUNT,1),DBRA_WorkplanDate,$C327,DBRA_PlayerID,$D$3),"")</f>
        <v>0</v>
      </c>
      <c r="M327" s="47"/>
      <c r="N327">
        <f ca="1">IFERROR(SUMIFS(OFFSET(DBRA_TopicCount,0,N$217,DBR_COUNT,1),DBRA_WorkplanDate,$C327,DBRA_PlayerID,$D$3),"")</f>
        <v>0</v>
      </c>
      <c r="O327">
        <f ca="1">IFERROR(SUMIFS(OFFSET(DBRA_TopicCount,0,O$217,DBR_COUNT,1),DBRA_WorkplanDate,$C327,DBRA_PlayerID,$D$3),"")</f>
        <v>0</v>
      </c>
      <c r="P327">
        <f ca="1">IFERROR(SUMIFS(OFFSET(DBRA_TopicCount,0,P$217,DBR_COUNT,1),DBRA_WorkplanDate,$C327,DBRA_PlayerID,$D$3),"")</f>
        <v>0</v>
      </c>
      <c r="Q327">
        <f ca="1">IFERROR(SUMIFS(OFFSET(DBRA_TopicCount,0,Q$217,DBR_COUNT,1),DBRA_WorkplanDate,$C327,DBRA_PlayerID,$D$3),"")</f>
        <v>0</v>
      </c>
      <c r="R327">
        <f ca="1">IFERROR(SUMIFS(OFFSET(DBRA_TopicCount,0,R$217,DBR_COUNT,1),DBRA_WorkplanDate,$C327,DBRA_PlayerID,$D$3),"")</f>
        <v>0</v>
      </c>
      <c r="S327">
        <f ca="1">IFERROR(SUMIFS(OFFSET(DBRA_TopicCount,0,S$217,DBR_COUNT,1),DBRA_WorkplanDate,$C327,DBRA_PlayerID,$D$3),"")</f>
        <v>0</v>
      </c>
      <c r="T327">
        <f ca="1">IFERROR(SUMIFS(OFFSET(DBRA_TopicCount,0,T$217,DBR_COUNT,1),DBRA_WorkplanDate,$C327,DBRA_PlayerID,$D$3),"")</f>
        <v>0</v>
      </c>
      <c r="U327">
        <f ca="1">IFERROR(SUMIFS(OFFSET(DBRA_TopicCount,0,U$217,DBR_COUNT,1),DBRA_WorkplanDate,$C327,DBRA_PlayerID,$D$3),"")</f>
        <v>0</v>
      </c>
      <c r="V327">
        <f ca="1">IFERROR(SUMIFS(OFFSET(DBRA_TopicCount,0,V$217,DBR_COUNT,1),DBRA_WorkplanDate,$C327,DBRA_PlayerID,$D$3),"")</f>
        <v>0</v>
      </c>
      <c r="W327" s="47"/>
      <c r="X327" t="str">
        <f t="shared" ca="1" si="84"/>
        <v/>
      </c>
      <c r="Y327" t="str">
        <f t="shared" ca="1" si="76"/>
        <v/>
      </c>
      <c r="Z327" t="str">
        <f t="shared" ca="1" si="77"/>
        <v/>
      </c>
      <c r="AA327" t="str">
        <f t="shared" ca="1" si="78"/>
        <v/>
      </c>
      <c r="AB327" t="str">
        <f t="shared" ca="1" si="79"/>
        <v/>
      </c>
      <c r="AC327" t="str">
        <f t="shared" ca="1" si="80"/>
        <v/>
      </c>
      <c r="AD327" t="str">
        <f t="shared" ca="1" si="81"/>
        <v/>
      </c>
      <c r="AE327" t="str">
        <f t="shared" ca="1" si="82"/>
        <v/>
      </c>
      <c r="AF327" t="str">
        <f t="shared" ca="1" si="83"/>
        <v/>
      </c>
      <c r="AG327" s="47"/>
    </row>
    <row r="328" spans="3:33" x14ac:dyDescent="0.25">
      <c r="C328" s="118">
        <f t="shared" si="85"/>
        <v>42114</v>
      </c>
      <c r="D328">
        <f ca="1">IFERROR(SUMIFS(OFFSET(DBRA_TopicHCP,0,D$217,DBR_COUNT,1),DBRA_WorkplanDate,$C328,DBRA_PlayerID,$D$3),"")</f>
        <v>0</v>
      </c>
      <c r="E328">
        <f ca="1">IFERROR(SUMIFS(OFFSET(DBRA_TopicHCP,0,E$217,DBR_COUNT,1),DBRA_WorkplanDate,$C328,DBRA_PlayerID,$D$3),"")</f>
        <v>0</v>
      </c>
      <c r="F328">
        <f ca="1">IFERROR(SUMIFS(OFFSET(DBRA_TopicHCP,0,F$217,DBR_COUNT,1),DBRA_WorkplanDate,$C328,DBRA_PlayerID,$D$3),"")</f>
        <v>0</v>
      </c>
      <c r="G328">
        <f ca="1">IFERROR(SUMIFS(OFFSET(DBRA_TopicHCP,0,G$217,DBR_COUNT,1),DBRA_WorkplanDate,$C328,DBRA_PlayerID,$D$3),"")</f>
        <v>0</v>
      </c>
      <c r="H328">
        <f ca="1">IFERROR(SUMIFS(OFFSET(DBRA_TopicHCP,0,H$217,DBR_COUNT,1),DBRA_WorkplanDate,$C328,DBRA_PlayerID,$D$3),"")</f>
        <v>0</v>
      </c>
      <c r="I328">
        <f ca="1">IFERROR(SUMIFS(OFFSET(DBRA_TopicHCP,0,I$217,DBR_COUNT,1),DBRA_WorkplanDate,$C328,DBRA_PlayerID,$D$3),"")</f>
        <v>0</v>
      </c>
      <c r="J328">
        <f ca="1">IFERROR(SUMIFS(OFFSET(DBRA_TopicHCP,0,J$217,DBR_COUNT,1),DBRA_WorkplanDate,$C328,DBRA_PlayerID,$D$3),"")</f>
        <v>0</v>
      </c>
      <c r="K328">
        <f ca="1">IFERROR(SUMIFS(OFFSET(DBRA_TopicHCP,0,K$217,DBR_COUNT,1),DBRA_WorkplanDate,$C328,DBRA_PlayerID,$D$3),"")</f>
        <v>0</v>
      </c>
      <c r="L328">
        <f ca="1">IFERROR(SUMIFS(OFFSET(DBRA_TopicHCP,0,L$217,DBR_COUNT,1),DBRA_WorkplanDate,$C328,DBRA_PlayerID,$D$3),"")</f>
        <v>0</v>
      </c>
      <c r="M328" s="47"/>
      <c r="N328">
        <f ca="1">IFERROR(SUMIFS(OFFSET(DBRA_TopicCount,0,N$217,DBR_COUNT,1),DBRA_WorkplanDate,$C328,DBRA_PlayerID,$D$3),"")</f>
        <v>0</v>
      </c>
      <c r="O328">
        <f ca="1">IFERROR(SUMIFS(OFFSET(DBRA_TopicCount,0,O$217,DBR_COUNT,1),DBRA_WorkplanDate,$C328,DBRA_PlayerID,$D$3),"")</f>
        <v>0</v>
      </c>
      <c r="P328">
        <f ca="1">IFERROR(SUMIFS(OFFSET(DBRA_TopicCount,0,P$217,DBR_COUNT,1),DBRA_WorkplanDate,$C328,DBRA_PlayerID,$D$3),"")</f>
        <v>0</v>
      </c>
      <c r="Q328">
        <f ca="1">IFERROR(SUMIFS(OFFSET(DBRA_TopicCount,0,Q$217,DBR_COUNT,1),DBRA_WorkplanDate,$C328,DBRA_PlayerID,$D$3),"")</f>
        <v>0</v>
      </c>
      <c r="R328">
        <f ca="1">IFERROR(SUMIFS(OFFSET(DBRA_TopicCount,0,R$217,DBR_COUNT,1),DBRA_WorkplanDate,$C328,DBRA_PlayerID,$D$3),"")</f>
        <v>0</v>
      </c>
      <c r="S328">
        <f ca="1">IFERROR(SUMIFS(OFFSET(DBRA_TopicCount,0,S$217,DBR_COUNT,1),DBRA_WorkplanDate,$C328,DBRA_PlayerID,$D$3),"")</f>
        <v>0</v>
      </c>
      <c r="T328">
        <f ca="1">IFERROR(SUMIFS(OFFSET(DBRA_TopicCount,0,T$217,DBR_COUNT,1),DBRA_WorkplanDate,$C328,DBRA_PlayerID,$D$3),"")</f>
        <v>0</v>
      </c>
      <c r="U328">
        <f ca="1">IFERROR(SUMIFS(OFFSET(DBRA_TopicCount,0,U$217,DBR_COUNT,1),DBRA_WorkplanDate,$C328,DBRA_PlayerID,$D$3),"")</f>
        <v>0</v>
      </c>
      <c r="V328">
        <f ca="1">IFERROR(SUMIFS(OFFSET(DBRA_TopicCount,0,V$217,DBR_COUNT,1),DBRA_WorkplanDate,$C328,DBRA_PlayerID,$D$3),"")</f>
        <v>0</v>
      </c>
      <c r="W328" s="47"/>
      <c r="X328" t="str">
        <f t="shared" ca="1" si="84"/>
        <v/>
      </c>
      <c r="Y328" t="str">
        <f t="shared" ca="1" si="76"/>
        <v/>
      </c>
      <c r="Z328" t="str">
        <f t="shared" ca="1" si="77"/>
        <v/>
      </c>
      <c r="AA328" t="str">
        <f t="shared" ca="1" si="78"/>
        <v/>
      </c>
      <c r="AB328" t="str">
        <f t="shared" ca="1" si="79"/>
        <v/>
      </c>
      <c r="AC328" t="str">
        <f t="shared" ca="1" si="80"/>
        <v/>
      </c>
      <c r="AD328" t="str">
        <f t="shared" ca="1" si="81"/>
        <v/>
      </c>
      <c r="AE328" t="str">
        <f t="shared" ca="1" si="82"/>
        <v/>
      </c>
      <c r="AF328" t="str">
        <f t="shared" ca="1" si="83"/>
        <v/>
      </c>
      <c r="AG328" s="47"/>
    </row>
    <row r="329" spans="3:33" x14ac:dyDescent="0.25">
      <c r="C329" s="118">
        <f t="shared" si="85"/>
        <v>42115</v>
      </c>
      <c r="D329">
        <f ca="1">IFERROR(SUMIFS(OFFSET(DBRA_TopicHCP,0,D$217,DBR_COUNT,1),DBRA_WorkplanDate,$C329,DBRA_PlayerID,$D$3),"")</f>
        <v>0</v>
      </c>
      <c r="E329">
        <f ca="1">IFERROR(SUMIFS(OFFSET(DBRA_TopicHCP,0,E$217,DBR_COUNT,1),DBRA_WorkplanDate,$C329,DBRA_PlayerID,$D$3),"")</f>
        <v>0</v>
      </c>
      <c r="F329">
        <f ca="1">IFERROR(SUMIFS(OFFSET(DBRA_TopicHCP,0,F$217,DBR_COUNT,1),DBRA_WorkplanDate,$C329,DBRA_PlayerID,$D$3),"")</f>
        <v>0</v>
      </c>
      <c r="G329">
        <f ca="1">IFERROR(SUMIFS(OFFSET(DBRA_TopicHCP,0,G$217,DBR_COUNT,1),DBRA_WorkplanDate,$C329,DBRA_PlayerID,$D$3),"")</f>
        <v>0</v>
      </c>
      <c r="H329">
        <f ca="1">IFERROR(SUMIFS(OFFSET(DBRA_TopicHCP,0,H$217,DBR_COUNT,1),DBRA_WorkplanDate,$C329,DBRA_PlayerID,$D$3),"")</f>
        <v>0</v>
      </c>
      <c r="I329">
        <f ca="1">IFERROR(SUMIFS(OFFSET(DBRA_TopicHCP,0,I$217,DBR_COUNT,1),DBRA_WorkplanDate,$C329,DBRA_PlayerID,$D$3),"")</f>
        <v>0</v>
      </c>
      <c r="J329">
        <f ca="1">IFERROR(SUMIFS(OFFSET(DBRA_TopicHCP,0,J$217,DBR_COUNT,1),DBRA_WorkplanDate,$C329,DBRA_PlayerID,$D$3),"")</f>
        <v>0</v>
      </c>
      <c r="K329">
        <f ca="1">IFERROR(SUMIFS(OFFSET(DBRA_TopicHCP,0,K$217,DBR_COUNT,1),DBRA_WorkplanDate,$C329,DBRA_PlayerID,$D$3),"")</f>
        <v>0</v>
      </c>
      <c r="L329">
        <f ca="1">IFERROR(SUMIFS(OFFSET(DBRA_TopicHCP,0,L$217,DBR_COUNT,1),DBRA_WorkplanDate,$C329,DBRA_PlayerID,$D$3),"")</f>
        <v>0</v>
      </c>
      <c r="M329" s="47"/>
      <c r="N329">
        <f ca="1">IFERROR(SUMIFS(OFFSET(DBRA_TopicCount,0,N$217,DBR_COUNT,1),DBRA_WorkplanDate,$C329,DBRA_PlayerID,$D$3),"")</f>
        <v>0</v>
      </c>
      <c r="O329">
        <f ca="1">IFERROR(SUMIFS(OFFSET(DBRA_TopicCount,0,O$217,DBR_COUNT,1),DBRA_WorkplanDate,$C329,DBRA_PlayerID,$D$3),"")</f>
        <v>0</v>
      </c>
      <c r="P329">
        <f ca="1">IFERROR(SUMIFS(OFFSET(DBRA_TopicCount,0,P$217,DBR_COUNT,1),DBRA_WorkplanDate,$C329,DBRA_PlayerID,$D$3),"")</f>
        <v>0</v>
      </c>
      <c r="Q329">
        <f ca="1">IFERROR(SUMIFS(OFFSET(DBRA_TopicCount,0,Q$217,DBR_COUNT,1),DBRA_WorkplanDate,$C329,DBRA_PlayerID,$D$3),"")</f>
        <v>0</v>
      </c>
      <c r="R329">
        <f ca="1">IFERROR(SUMIFS(OFFSET(DBRA_TopicCount,0,R$217,DBR_COUNT,1),DBRA_WorkplanDate,$C329,DBRA_PlayerID,$D$3),"")</f>
        <v>0</v>
      </c>
      <c r="S329">
        <f ca="1">IFERROR(SUMIFS(OFFSET(DBRA_TopicCount,0,S$217,DBR_COUNT,1),DBRA_WorkplanDate,$C329,DBRA_PlayerID,$D$3),"")</f>
        <v>0</v>
      </c>
      <c r="T329">
        <f ca="1">IFERROR(SUMIFS(OFFSET(DBRA_TopicCount,0,T$217,DBR_COUNT,1),DBRA_WorkplanDate,$C329,DBRA_PlayerID,$D$3),"")</f>
        <v>0</v>
      </c>
      <c r="U329">
        <f ca="1">IFERROR(SUMIFS(OFFSET(DBRA_TopicCount,0,U$217,DBR_COUNT,1),DBRA_WorkplanDate,$C329,DBRA_PlayerID,$D$3),"")</f>
        <v>0</v>
      </c>
      <c r="V329">
        <f ca="1">IFERROR(SUMIFS(OFFSET(DBRA_TopicCount,0,V$217,DBR_COUNT,1),DBRA_WorkplanDate,$C329,DBRA_PlayerID,$D$3),"")</f>
        <v>0</v>
      </c>
      <c r="W329" s="47"/>
      <c r="X329" t="str">
        <f t="shared" ca="1" si="84"/>
        <v/>
      </c>
      <c r="Y329" t="str">
        <f t="shared" ca="1" si="76"/>
        <v/>
      </c>
      <c r="Z329" t="str">
        <f t="shared" ca="1" si="77"/>
        <v/>
      </c>
      <c r="AA329" t="str">
        <f t="shared" ca="1" si="78"/>
        <v/>
      </c>
      <c r="AB329" t="str">
        <f t="shared" ca="1" si="79"/>
        <v/>
      </c>
      <c r="AC329" t="str">
        <f t="shared" ca="1" si="80"/>
        <v/>
      </c>
      <c r="AD329" t="str">
        <f t="shared" ca="1" si="81"/>
        <v/>
      </c>
      <c r="AE329" t="str">
        <f t="shared" ca="1" si="82"/>
        <v/>
      </c>
      <c r="AF329" t="str">
        <f t="shared" ca="1" si="83"/>
        <v/>
      </c>
      <c r="AG329" s="47"/>
    </row>
    <row r="330" spans="3:33" x14ac:dyDescent="0.25">
      <c r="C330" s="118">
        <f t="shared" si="85"/>
        <v>42116</v>
      </c>
      <c r="D330">
        <f ca="1">IFERROR(SUMIFS(OFFSET(DBRA_TopicHCP,0,D$217,DBR_COUNT,1),DBRA_WorkplanDate,$C330,DBRA_PlayerID,$D$3),"")</f>
        <v>0</v>
      </c>
      <c r="E330">
        <f ca="1">IFERROR(SUMIFS(OFFSET(DBRA_TopicHCP,0,E$217,DBR_COUNT,1),DBRA_WorkplanDate,$C330,DBRA_PlayerID,$D$3),"")</f>
        <v>0</v>
      </c>
      <c r="F330">
        <f ca="1">IFERROR(SUMIFS(OFFSET(DBRA_TopicHCP,0,F$217,DBR_COUNT,1),DBRA_WorkplanDate,$C330,DBRA_PlayerID,$D$3),"")</f>
        <v>0</v>
      </c>
      <c r="G330">
        <f ca="1">IFERROR(SUMIFS(OFFSET(DBRA_TopicHCP,0,G$217,DBR_COUNT,1),DBRA_WorkplanDate,$C330,DBRA_PlayerID,$D$3),"")</f>
        <v>0</v>
      </c>
      <c r="H330">
        <f ca="1">IFERROR(SUMIFS(OFFSET(DBRA_TopicHCP,0,H$217,DBR_COUNT,1),DBRA_WorkplanDate,$C330,DBRA_PlayerID,$D$3),"")</f>
        <v>0</v>
      </c>
      <c r="I330">
        <f ca="1">IFERROR(SUMIFS(OFFSET(DBRA_TopicHCP,0,I$217,DBR_COUNT,1),DBRA_WorkplanDate,$C330,DBRA_PlayerID,$D$3),"")</f>
        <v>0</v>
      </c>
      <c r="J330">
        <f ca="1">IFERROR(SUMIFS(OFFSET(DBRA_TopicHCP,0,J$217,DBR_COUNT,1),DBRA_WorkplanDate,$C330,DBRA_PlayerID,$D$3),"")</f>
        <v>0</v>
      </c>
      <c r="K330">
        <f ca="1">IFERROR(SUMIFS(OFFSET(DBRA_TopicHCP,0,K$217,DBR_COUNT,1),DBRA_WorkplanDate,$C330,DBRA_PlayerID,$D$3),"")</f>
        <v>0</v>
      </c>
      <c r="L330">
        <f ca="1">IFERROR(SUMIFS(OFFSET(DBRA_TopicHCP,0,L$217,DBR_COUNT,1),DBRA_WorkplanDate,$C330,DBRA_PlayerID,$D$3),"")</f>
        <v>0</v>
      </c>
      <c r="M330" s="47"/>
      <c r="N330">
        <f ca="1">IFERROR(SUMIFS(OFFSET(DBRA_TopicCount,0,N$217,DBR_COUNT,1),DBRA_WorkplanDate,$C330,DBRA_PlayerID,$D$3),"")</f>
        <v>0</v>
      </c>
      <c r="O330">
        <f ca="1">IFERROR(SUMIFS(OFFSET(DBRA_TopicCount,0,O$217,DBR_COUNT,1),DBRA_WorkplanDate,$C330,DBRA_PlayerID,$D$3),"")</f>
        <v>0</v>
      </c>
      <c r="P330">
        <f ca="1">IFERROR(SUMIFS(OFFSET(DBRA_TopicCount,0,P$217,DBR_COUNT,1),DBRA_WorkplanDate,$C330,DBRA_PlayerID,$D$3),"")</f>
        <v>0</v>
      </c>
      <c r="Q330">
        <f ca="1">IFERROR(SUMIFS(OFFSET(DBRA_TopicCount,0,Q$217,DBR_COUNT,1),DBRA_WorkplanDate,$C330,DBRA_PlayerID,$D$3),"")</f>
        <v>0</v>
      </c>
      <c r="R330">
        <f ca="1">IFERROR(SUMIFS(OFFSET(DBRA_TopicCount,0,R$217,DBR_COUNT,1),DBRA_WorkplanDate,$C330,DBRA_PlayerID,$D$3),"")</f>
        <v>0</v>
      </c>
      <c r="S330">
        <f ca="1">IFERROR(SUMIFS(OFFSET(DBRA_TopicCount,0,S$217,DBR_COUNT,1),DBRA_WorkplanDate,$C330,DBRA_PlayerID,$D$3),"")</f>
        <v>0</v>
      </c>
      <c r="T330">
        <f ca="1">IFERROR(SUMIFS(OFFSET(DBRA_TopicCount,0,T$217,DBR_COUNT,1),DBRA_WorkplanDate,$C330,DBRA_PlayerID,$D$3),"")</f>
        <v>0</v>
      </c>
      <c r="U330">
        <f ca="1">IFERROR(SUMIFS(OFFSET(DBRA_TopicCount,0,U$217,DBR_COUNT,1),DBRA_WorkplanDate,$C330,DBRA_PlayerID,$D$3),"")</f>
        <v>0</v>
      </c>
      <c r="V330">
        <f ca="1">IFERROR(SUMIFS(OFFSET(DBRA_TopicCount,0,V$217,DBR_COUNT,1),DBRA_WorkplanDate,$C330,DBRA_PlayerID,$D$3),"")</f>
        <v>0</v>
      </c>
      <c r="W330" s="47"/>
      <c r="X330" t="str">
        <f t="shared" ca="1" si="84"/>
        <v/>
      </c>
      <c r="Y330" t="str">
        <f t="shared" ca="1" si="76"/>
        <v/>
      </c>
      <c r="Z330" t="str">
        <f t="shared" ca="1" si="77"/>
        <v/>
      </c>
      <c r="AA330" t="str">
        <f t="shared" ca="1" si="78"/>
        <v/>
      </c>
      <c r="AB330" t="str">
        <f t="shared" ca="1" si="79"/>
        <v/>
      </c>
      <c r="AC330" t="str">
        <f t="shared" ca="1" si="80"/>
        <v/>
      </c>
      <c r="AD330" t="str">
        <f t="shared" ca="1" si="81"/>
        <v/>
      </c>
      <c r="AE330" t="str">
        <f t="shared" ca="1" si="82"/>
        <v/>
      </c>
      <c r="AF330" t="str">
        <f t="shared" ca="1" si="83"/>
        <v/>
      </c>
      <c r="AG330" s="47"/>
    </row>
    <row r="331" spans="3:33" x14ac:dyDescent="0.25">
      <c r="C331" s="118">
        <f t="shared" si="85"/>
        <v>42117</v>
      </c>
      <c r="D331">
        <f ca="1">IFERROR(SUMIFS(OFFSET(DBRA_TopicHCP,0,D$217,DBR_COUNT,1),DBRA_WorkplanDate,$C331,DBRA_PlayerID,$D$3),"")</f>
        <v>0</v>
      </c>
      <c r="E331">
        <f ca="1">IFERROR(SUMIFS(OFFSET(DBRA_TopicHCP,0,E$217,DBR_COUNT,1),DBRA_WorkplanDate,$C331,DBRA_PlayerID,$D$3),"")</f>
        <v>0</v>
      </c>
      <c r="F331">
        <f ca="1">IFERROR(SUMIFS(OFFSET(DBRA_TopicHCP,0,F$217,DBR_COUNT,1),DBRA_WorkplanDate,$C331,DBRA_PlayerID,$D$3),"")</f>
        <v>0</v>
      </c>
      <c r="G331">
        <f ca="1">IFERROR(SUMIFS(OFFSET(DBRA_TopicHCP,0,G$217,DBR_COUNT,1),DBRA_WorkplanDate,$C331,DBRA_PlayerID,$D$3),"")</f>
        <v>0</v>
      </c>
      <c r="H331">
        <f ca="1">IFERROR(SUMIFS(OFFSET(DBRA_TopicHCP,0,H$217,DBR_COUNT,1),DBRA_WorkplanDate,$C331,DBRA_PlayerID,$D$3),"")</f>
        <v>0</v>
      </c>
      <c r="I331">
        <f ca="1">IFERROR(SUMIFS(OFFSET(DBRA_TopicHCP,0,I$217,DBR_COUNT,1),DBRA_WorkplanDate,$C331,DBRA_PlayerID,$D$3),"")</f>
        <v>0</v>
      </c>
      <c r="J331">
        <f ca="1">IFERROR(SUMIFS(OFFSET(DBRA_TopicHCP,0,J$217,DBR_COUNT,1),DBRA_WorkplanDate,$C331,DBRA_PlayerID,$D$3),"")</f>
        <v>0</v>
      </c>
      <c r="K331">
        <f ca="1">IFERROR(SUMIFS(OFFSET(DBRA_TopicHCP,0,K$217,DBR_COUNT,1),DBRA_WorkplanDate,$C331,DBRA_PlayerID,$D$3),"")</f>
        <v>0</v>
      </c>
      <c r="L331">
        <f ca="1">IFERROR(SUMIFS(OFFSET(DBRA_TopicHCP,0,L$217,DBR_COUNT,1),DBRA_WorkplanDate,$C331,DBRA_PlayerID,$D$3),"")</f>
        <v>0</v>
      </c>
      <c r="M331" s="47"/>
      <c r="N331">
        <f ca="1">IFERROR(SUMIFS(OFFSET(DBRA_TopicCount,0,N$217,DBR_COUNT,1),DBRA_WorkplanDate,$C331,DBRA_PlayerID,$D$3),"")</f>
        <v>0</v>
      </c>
      <c r="O331">
        <f ca="1">IFERROR(SUMIFS(OFFSET(DBRA_TopicCount,0,O$217,DBR_COUNT,1),DBRA_WorkplanDate,$C331,DBRA_PlayerID,$D$3),"")</f>
        <v>0</v>
      </c>
      <c r="P331">
        <f ca="1">IFERROR(SUMIFS(OFFSET(DBRA_TopicCount,0,P$217,DBR_COUNT,1),DBRA_WorkplanDate,$C331,DBRA_PlayerID,$D$3),"")</f>
        <v>0</v>
      </c>
      <c r="Q331">
        <f ca="1">IFERROR(SUMIFS(OFFSET(DBRA_TopicCount,0,Q$217,DBR_COUNT,1),DBRA_WorkplanDate,$C331,DBRA_PlayerID,$D$3),"")</f>
        <v>0</v>
      </c>
      <c r="R331">
        <f ca="1">IFERROR(SUMIFS(OFFSET(DBRA_TopicCount,0,R$217,DBR_COUNT,1),DBRA_WorkplanDate,$C331,DBRA_PlayerID,$D$3),"")</f>
        <v>0</v>
      </c>
      <c r="S331">
        <f ca="1">IFERROR(SUMIFS(OFFSET(DBRA_TopicCount,0,S$217,DBR_COUNT,1),DBRA_WorkplanDate,$C331,DBRA_PlayerID,$D$3),"")</f>
        <v>0</v>
      </c>
      <c r="T331">
        <f ca="1">IFERROR(SUMIFS(OFFSET(DBRA_TopicCount,0,T$217,DBR_COUNT,1),DBRA_WorkplanDate,$C331,DBRA_PlayerID,$D$3),"")</f>
        <v>0</v>
      </c>
      <c r="U331">
        <f ca="1">IFERROR(SUMIFS(OFFSET(DBRA_TopicCount,0,U$217,DBR_COUNT,1),DBRA_WorkplanDate,$C331,DBRA_PlayerID,$D$3),"")</f>
        <v>0</v>
      </c>
      <c r="V331">
        <f ca="1">IFERROR(SUMIFS(OFFSET(DBRA_TopicCount,0,V$217,DBR_COUNT,1),DBRA_WorkplanDate,$C331,DBRA_PlayerID,$D$3),"")</f>
        <v>0</v>
      </c>
      <c r="W331" s="47"/>
      <c r="X331" t="str">
        <f t="shared" ca="1" si="84"/>
        <v/>
      </c>
      <c r="Y331" t="str">
        <f t="shared" ca="1" si="76"/>
        <v/>
      </c>
      <c r="Z331" t="str">
        <f t="shared" ca="1" si="77"/>
        <v/>
      </c>
      <c r="AA331" t="str">
        <f t="shared" ca="1" si="78"/>
        <v/>
      </c>
      <c r="AB331" t="str">
        <f t="shared" ca="1" si="79"/>
        <v/>
      </c>
      <c r="AC331" t="str">
        <f t="shared" ca="1" si="80"/>
        <v/>
      </c>
      <c r="AD331" t="str">
        <f t="shared" ca="1" si="81"/>
        <v/>
      </c>
      <c r="AE331" t="str">
        <f t="shared" ca="1" si="82"/>
        <v/>
      </c>
      <c r="AF331" t="str">
        <f t="shared" ca="1" si="83"/>
        <v/>
      </c>
      <c r="AG331" s="47"/>
    </row>
    <row r="332" spans="3:33" x14ac:dyDescent="0.25">
      <c r="C332" s="118">
        <f t="shared" si="85"/>
        <v>42118</v>
      </c>
      <c r="D332">
        <f ca="1">IFERROR(SUMIFS(OFFSET(DBRA_TopicHCP,0,D$217,DBR_COUNT,1),DBRA_WorkplanDate,$C332,DBRA_PlayerID,$D$3),"")</f>
        <v>0</v>
      </c>
      <c r="E332">
        <f ca="1">IFERROR(SUMIFS(OFFSET(DBRA_TopicHCP,0,E$217,DBR_COUNT,1),DBRA_WorkplanDate,$C332,DBRA_PlayerID,$D$3),"")</f>
        <v>0</v>
      </c>
      <c r="F332">
        <f ca="1">IFERROR(SUMIFS(OFFSET(DBRA_TopicHCP,0,F$217,DBR_COUNT,1),DBRA_WorkplanDate,$C332,DBRA_PlayerID,$D$3),"")</f>
        <v>0</v>
      </c>
      <c r="G332">
        <f ca="1">IFERROR(SUMIFS(OFFSET(DBRA_TopicHCP,0,G$217,DBR_COUNT,1),DBRA_WorkplanDate,$C332,DBRA_PlayerID,$D$3),"")</f>
        <v>0</v>
      </c>
      <c r="H332">
        <f ca="1">IFERROR(SUMIFS(OFFSET(DBRA_TopicHCP,0,H$217,DBR_COUNT,1),DBRA_WorkplanDate,$C332,DBRA_PlayerID,$D$3),"")</f>
        <v>0</v>
      </c>
      <c r="I332">
        <f ca="1">IFERROR(SUMIFS(OFFSET(DBRA_TopicHCP,0,I$217,DBR_COUNT,1),DBRA_WorkplanDate,$C332,DBRA_PlayerID,$D$3),"")</f>
        <v>0</v>
      </c>
      <c r="J332">
        <f ca="1">IFERROR(SUMIFS(OFFSET(DBRA_TopicHCP,0,J$217,DBR_COUNT,1),DBRA_WorkplanDate,$C332,DBRA_PlayerID,$D$3),"")</f>
        <v>0</v>
      </c>
      <c r="K332">
        <f ca="1">IFERROR(SUMIFS(OFFSET(DBRA_TopicHCP,0,K$217,DBR_COUNT,1),DBRA_WorkplanDate,$C332,DBRA_PlayerID,$D$3),"")</f>
        <v>0</v>
      </c>
      <c r="L332">
        <f ca="1">IFERROR(SUMIFS(OFFSET(DBRA_TopicHCP,0,L$217,DBR_COUNT,1),DBRA_WorkplanDate,$C332,DBRA_PlayerID,$D$3),"")</f>
        <v>0</v>
      </c>
      <c r="M332" s="47"/>
      <c r="N332">
        <f ca="1">IFERROR(SUMIFS(OFFSET(DBRA_TopicCount,0,N$217,DBR_COUNT,1),DBRA_WorkplanDate,$C332,DBRA_PlayerID,$D$3),"")</f>
        <v>0</v>
      </c>
      <c r="O332">
        <f ca="1">IFERROR(SUMIFS(OFFSET(DBRA_TopicCount,0,O$217,DBR_COUNT,1),DBRA_WorkplanDate,$C332,DBRA_PlayerID,$D$3),"")</f>
        <v>0</v>
      </c>
      <c r="P332">
        <f ca="1">IFERROR(SUMIFS(OFFSET(DBRA_TopicCount,0,P$217,DBR_COUNT,1),DBRA_WorkplanDate,$C332,DBRA_PlayerID,$D$3),"")</f>
        <v>0</v>
      </c>
      <c r="Q332">
        <f ca="1">IFERROR(SUMIFS(OFFSET(DBRA_TopicCount,0,Q$217,DBR_COUNT,1),DBRA_WorkplanDate,$C332,DBRA_PlayerID,$D$3),"")</f>
        <v>0</v>
      </c>
      <c r="R332">
        <f ca="1">IFERROR(SUMIFS(OFFSET(DBRA_TopicCount,0,R$217,DBR_COUNT,1),DBRA_WorkplanDate,$C332,DBRA_PlayerID,$D$3),"")</f>
        <v>0</v>
      </c>
      <c r="S332">
        <f ca="1">IFERROR(SUMIFS(OFFSET(DBRA_TopicCount,0,S$217,DBR_COUNT,1),DBRA_WorkplanDate,$C332,DBRA_PlayerID,$D$3),"")</f>
        <v>0</v>
      </c>
      <c r="T332">
        <f ca="1">IFERROR(SUMIFS(OFFSET(DBRA_TopicCount,0,T$217,DBR_COUNT,1),DBRA_WorkplanDate,$C332,DBRA_PlayerID,$D$3),"")</f>
        <v>0</v>
      </c>
      <c r="U332">
        <f ca="1">IFERROR(SUMIFS(OFFSET(DBRA_TopicCount,0,U$217,DBR_COUNT,1),DBRA_WorkplanDate,$C332,DBRA_PlayerID,$D$3),"")</f>
        <v>0</v>
      </c>
      <c r="V332">
        <f ca="1">IFERROR(SUMIFS(OFFSET(DBRA_TopicCount,0,V$217,DBR_COUNT,1),DBRA_WorkplanDate,$C332,DBRA_PlayerID,$D$3),"")</f>
        <v>0</v>
      </c>
      <c r="W332" s="47"/>
      <c r="X332" t="str">
        <f t="shared" ca="1" si="84"/>
        <v/>
      </c>
      <c r="Y332" t="str">
        <f t="shared" ca="1" si="76"/>
        <v/>
      </c>
      <c r="Z332" t="str">
        <f t="shared" ca="1" si="77"/>
        <v/>
      </c>
      <c r="AA332" t="str">
        <f t="shared" ca="1" si="78"/>
        <v/>
      </c>
      <c r="AB332" t="str">
        <f t="shared" ca="1" si="79"/>
        <v/>
      </c>
      <c r="AC332" t="str">
        <f t="shared" ca="1" si="80"/>
        <v/>
      </c>
      <c r="AD332" t="str">
        <f t="shared" ca="1" si="81"/>
        <v/>
      </c>
      <c r="AE332" t="str">
        <f t="shared" ca="1" si="82"/>
        <v/>
      </c>
      <c r="AF332" t="str">
        <f t="shared" ca="1" si="83"/>
        <v/>
      </c>
      <c r="AG332" s="47"/>
    </row>
    <row r="333" spans="3:33" x14ac:dyDescent="0.25">
      <c r="C333" s="118">
        <f t="shared" si="85"/>
        <v>42119</v>
      </c>
      <c r="D333">
        <f ca="1">IFERROR(SUMIFS(OFFSET(DBRA_TopicHCP,0,D$217,DBR_COUNT,1),DBRA_WorkplanDate,$C333,DBRA_PlayerID,$D$3),"")</f>
        <v>0</v>
      </c>
      <c r="E333">
        <f ca="1">IFERROR(SUMIFS(OFFSET(DBRA_TopicHCP,0,E$217,DBR_COUNT,1),DBRA_WorkplanDate,$C333,DBRA_PlayerID,$D$3),"")</f>
        <v>0</v>
      </c>
      <c r="F333">
        <f ca="1">IFERROR(SUMIFS(OFFSET(DBRA_TopicHCP,0,F$217,DBR_COUNT,1),DBRA_WorkplanDate,$C333,DBRA_PlayerID,$D$3),"")</f>
        <v>0</v>
      </c>
      <c r="G333">
        <f ca="1">IFERROR(SUMIFS(OFFSET(DBRA_TopicHCP,0,G$217,DBR_COUNT,1),DBRA_WorkplanDate,$C333,DBRA_PlayerID,$D$3),"")</f>
        <v>0</v>
      </c>
      <c r="H333">
        <f ca="1">IFERROR(SUMIFS(OFFSET(DBRA_TopicHCP,0,H$217,DBR_COUNT,1),DBRA_WorkplanDate,$C333,DBRA_PlayerID,$D$3),"")</f>
        <v>0</v>
      </c>
      <c r="I333">
        <f ca="1">IFERROR(SUMIFS(OFFSET(DBRA_TopicHCP,0,I$217,DBR_COUNT,1),DBRA_WorkplanDate,$C333,DBRA_PlayerID,$D$3),"")</f>
        <v>0</v>
      </c>
      <c r="J333">
        <f ca="1">IFERROR(SUMIFS(OFFSET(DBRA_TopicHCP,0,J$217,DBR_COUNT,1),DBRA_WorkplanDate,$C333,DBRA_PlayerID,$D$3),"")</f>
        <v>0</v>
      </c>
      <c r="K333">
        <f ca="1">IFERROR(SUMIFS(OFFSET(DBRA_TopicHCP,0,K$217,DBR_COUNT,1),DBRA_WorkplanDate,$C333,DBRA_PlayerID,$D$3),"")</f>
        <v>0</v>
      </c>
      <c r="L333">
        <f ca="1">IFERROR(SUMIFS(OFFSET(DBRA_TopicHCP,0,L$217,DBR_COUNT,1),DBRA_WorkplanDate,$C333,DBRA_PlayerID,$D$3),"")</f>
        <v>0</v>
      </c>
      <c r="M333" s="47"/>
      <c r="N333">
        <f ca="1">IFERROR(SUMIFS(OFFSET(DBRA_TopicCount,0,N$217,DBR_COUNT,1),DBRA_WorkplanDate,$C333,DBRA_PlayerID,$D$3),"")</f>
        <v>0</v>
      </c>
      <c r="O333">
        <f ca="1">IFERROR(SUMIFS(OFFSET(DBRA_TopicCount,0,O$217,DBR_COUNT,1),DBRA_WorkplanDate,$C333,DBRA_PlayerID,$D$3),"")</f>
        <v>0</v>
      </c>
      <c r="P333">
        <f ca="1">IFERROR(SUMIFS(OFFSET(DBRA_TopicCount,0,P$217,DBR_COUNT,1),DBRA_WorkplanDate,$C333,DBRA_PlayerID,$D$3),"")</f>
        <v>0</v>
      </c>
      <c r="Q333">
        <f ca="1">IFERROR(SUMIFS(OFFSET(DBRA_TopicCount,0,Q$217,DBR_COUNT,1),DBRA_WorkplanDate,$C333,DBRA_PlayerID,$D$3),"")</f>
        <v>0</v>
      </c>
      <c r="R333">
        <f ca="1">IFERROR(SUMIFS(OFFSET(DBRA_TopicCount,0,R$217,DBR_COUNT,1),DBRA_WorkplanDate,$C333,DBRA_PlayerID,$D$3),"")</f>
        <v>0</v>
      </c>
      <c r="S333">
        <f ca="1">IFERROR(SUMIFS(OFFSET(DBRA_TopicCount,0,S$217,DBR_COUNT,1),DBRA_WorkplanDate,$C333,DBRA_PlayerID,$D$3),"")</f>
        <v>0</v>
      </c>
      <c r="T333">
        <f ca="1">IFERROR(SUMIFS(OFFSET(DBRA_TopicCount,0,T$217,DBR_COUNT,1),DBRA_WorkplanDate,$C333,DBRA_PlayerID,$D$3),"")</f>
        <v>0</v>
      </c>
      <c r="U333">
        <f ca="1">IFERROR(SUMIFS(OFFSET(DBRA_TopicCount,0,U$217,DBR_COUNT,1),DBRA_WorkplanDate,$C333,DBRA_PlayerID,$D$3),"")</f>
        <v>0</v>
      </c>
      <c r="V333">
        <f ca="1">IFERROR(SUMIFS(OFFSET(DBRA_TopicCount,0,V$217,DBR_COUNT,1),DBRA_WorkplanDate,$C333,DBRA_PlayerID,$D$3),"")</f>
        <v>0</v>
      </c>
      <c r="W333" s="47"/>
      <c r="X333" t="str">
        <f t="shared" ca="1" si="84"/>
        <v/>
      </c>
      <c r="Y333" t="str">
        <f t="shared" ca="1" si="76"/>
        <v/>
      </c>
      <c r="Z333" t="str">
        <f t="shared" ca="1" si="77"/>
        <v/>
      </c>
      <c r="AA333" t="str">
        <f t="shared" ca="1" si="78"/>
        <v/>
      </c>
      <c r="AB333" t="str">
        <f t="shared" ca="1" si="79"/>
        <v/>
      </c>
      <c r="AC333" t="str">
        <f t="shared" ca="1" si="80"/>
        <v/>
      </c>
      <c r="AD333" t="str">
        <f t="shared" ca="1" si="81"/>
        <v/>
      </c>
      <c r="AE333" t="str">
        <f t="shared" ca="1" si="82"/>
        <v/>
      </c>
      <c r="AF333" t="str">
        <f t="shared" ca="1" si="83"/>
        <v/>
      </c>
      <c r="AG333" s="47"/>
    </row>
    <row r="334" spans="3:33" x14ac:dyDescent="0.25">
      <c r="C334" s="118">
        <f t="shared" si="85"/>
        <v>42120</v>
      </c>
      <c r="D334">
        <f ca="1">IFERROR(SUMIFS(OFFSET(DBRA_TopicHCP,0,D$217,DBR_COUNT,1),DBRA_WorkplanDate,$C334,DBRA_PlayerID,$D$3),"")</f>
        <v>0</v>
      </c>
      <c r="E334">
        <f ca="1">IFERROR(SUMIFS(OFFSET(DBRA_TopicHCP,0,E$217,DBR_COUNT,1),DBRA_WorkplanDate,$C334,DBRA_PlayerID,$D$3),"")</f>
        <v>0</v>
      </c>
      <c r="F334">
        <f ca="1">IFERROR(SUMIFS(OFFSET(DBRA_TopicHCP,0,F$217,DBR_COUNT,1),DBRA_WorkplanDate,$C334,DBRA_PlayerID,$D$3),"")</f>
        <v>0</v>
      </c>
      <c r="G334">
        <f ca="1">IFERROR(SUMIFS(OFFSET(DBRA_TopicHCP,0,G$217,DBR_COUNT,1),DBRA_WorkplanDate,$C334,DBRA_PlayerID,$D$3),"")</f>
        <v>0</v>
      </c>
      <c r="H334">
        <f ca="1">IFERROR(SUMIFS(OFFSET(DBRA_TopicHCP,0,H$217,DBR_COUNT,1),DBRA_WorkplanDate,$C334,DBRA_PlayerID,$D$3),"")</f>
        <v>0</v>
      </c>
      <c r="I334">
        <f ca="1">IFERROR(SUMIFS(OFFSET(DBRA_TopicHCP,0,I$217,DBR_COUNT,1),DBRA_WorkplanDate,$C334,DBRA_PlayerID,$D$3),"")</f>
        <v>0</v>
      </c>
      <c r="J334">
        <f ca="1">IFERROR(SUMIFS(OFFSET(DBRA_TopicHCP,0,J$217,DBR_COUNT,1),DBRA_WorkplanDate,$C334,DBRA_PlayerID,$D$3),"")</f>
        <v>0</v>
      </c>
      <c r="K334">
        <f ca="1">IFERROR(SUMIFS(OFFSET(DBRA_TopicHCP,0,K$217,DBR_COUNT,1),DBRA_WorkplanDate,$C334,DBRA_PlayerID,$D$3),"")</f>
        <v>0</v>
      </c>
      <c r="L334">
        <f ca="1">IFERROR(SUMIFS(OFFSET(DBRA_TopicHCP,0,L$217,DBR_COUNT,1),DBRA_WorkplanDate,$C334,DBRA_PlayerID,$D$3),"")</f>
        <v>0</v>
      </c>
      <c r="M334" s="47"/>
      <c r="N334">
        <f ca="1">IFERROR(SUMIFS(OFFSET(DBRA_TopicCount,0,N$217,DBR_COUNT,1),DBRA_WorkplanDate,$C334,DBRA_PlayerID,$D$3),"")</f>
        <v>0</v>
      </c>
      <c r="O334">
        <f ca="1">IFERROR(SUMIFS(OFFSET(DBRA_TopicCount,0,O$217,DBR_COUNT,1),DBRA_WorkplanDate,$C334,DBRA_PlayerID,$D$3),"")</f>
        <v>0</v>
      </c>
      <c r="P334">
        <f ca="1">IFERROR(SUMIFS(OFFSET(DBRA_TopicCount,0,P$217,DBR_COUNT,1),DBRA_WorkplanDate,$C334,DBRA_PlayerID,$D$3),"")</f>
        <v>0</v>
      </c>
      <c r="Q334">
        <f ca="1">IFERROR(SUMIFS(OFFSET(DBRA_TopicCount,0,Q$217,DBR_COUNT,1),DBRA_WorkplanDate,$C334,DBRA_PlayerID,$D$3),"")</f>
        <v>0</v>
      </c>
      <c r="R334">
        <f ca="1">IFERROR(SUMIFS(OFFSET(DBRA_TopicCount,0,R$217,DBR_COUNT,1),DBRA_WorkplanDate,$C334,DBRA_PlayerID,$D$3),"")</f>
        <v>0</v>
      </c>
      <c r="S334">
        <f ca="1">IFERROR(SUMIFS(OFFSET(DBRA_TopicCount,0,S$217,DBR_COUNT,1),DBRA_WorkplanDate,$C334,DBRA_PlayerID,$D$3),"")</f>
        <v>0</v>
      </c>
      <c r="T334">
        <f ca="1">IFERROR(SUMIFS(OFFSET(DBRA_TopicCount,0,T$217,DBR_COUNT,1),DBRA_WorkplanDate,$C334,DBRA_PlayerID,$D$3),"")</f>
        <v>0</v>
      </c>
      <c r="U334">
        <f ca="1">IFERROR(SUMIFS(OFFSET(DBRA_TopicCount,0,U$217,DBR_COUNT,1),DBRA_WorkplanDate,$C334,DBRA_PlayerID,$D$3),"")</f>
        <v>0</v>
      </c>
      <c r="V334">
        <f ca="1">IFERROR(SUMIFS(OFFSET(DBRA_TopicCount,0,V$217,DBR_COUNT,1),DBRA_WorkplanDate,$C334,DBRA_PlayerID,$D$3),"")</f>
        <v>0</v>
      </c>
      <c r="W334" s="47"/>
      <c r="X334" t="str">
        <f t="shared" ca="1" si="84"/>
        <v/>
      </c>
      <c r="Y334" t="str">
        <f t="shared" ca="1" si="76"/>
        <v/>
      </c>
      <c r="Z334" t="str">
        <f t="shared" ca="1" si="77"/>
        <v/>
      </c>
      <c r="AA334" t="str">
        <f t="shared" ca="1" si="78"/>
        <v/>
      </c>
      <c r="AB334" t="str">
        <f t="shared" ca="1" si="79"/>
        <v/>
      </c>
      <c r="AC334" t="str">
        <f t="shared" ca="1" si="80"/>
        <v/>
      </c>
      <c r="AD334" t="str">
        <f t="shared" ca="1" si="81"/>
        <v/>
      </c>
      <c r="AE334" t="str">
        <f t="shared" ca="1" si="82"/>
        <v/>
      </c>
      <c r="AF334" t="str">
        <f t="shared" ca="1" si="83"/>
        <v/>
      </c>
      <c r="AG334" s="47"/>
    </row>
    <row r="335" spans="3:33" x14ac:dyDescent="0.25">
      <c r="C335" s="118">
        <f t="shared" si="85"/>
        <v>42121</v>
      </c>
      <c r="D335">
        <f ca="1">IFERROR(SUMIFS(OFFSET(DBRA_TopicHCP,0,D$217,DBR_COUNT,1),DBRA_WorkplanDate,$C335,DBRA_PlayerID,$D$3),"")</f>
        <v>0</v>
      </c>
      <c r="E335">
        <f ca="1">IFERROR(SUMIFS(OFFSET(DBRA_TopicHCP,0,E$217,DBR_COUNT,1),DBRA_WorkplanDate,$C335,DBRA_PlayerID,$D$3),"")</f>
        <v>0</v>
      </c>
      <c r="F335">
        <f ca="1">IFERROR(SUMIFS(OFFSET(DBRA_TopicHCP,0,F$217,DBR_COUNT,1),DBRA_WorkplanDate,$C335,DBRA_PlayerID,$D$3),"")</f>
        <v>0</v>
      </c>
      <c r="G335">
        <f ca="1">IFERROR(SUMIFS(OFFSET(DBRA_TopicHCP,0,G$217,DBR_COUNT,1),DBRA_WorkplanDate,$C335,DBRA_PlayerID,$D$3),"")</f>
        <v>0</v>
      </c>
      <c r="H335">
        <f ca="1">IFERROR(SUMIFS(OFFSET(DBRA_TopicHCP,0,H$217,DBR_COUNT,1),DBRA_WorkplanDate,$C335,DBRA_PlayerID,$D$3),"")</f>
        <v>0</v>
      </c>
      <c r="I335">
        <f ca="1">IFERROR(SUMIFS(OFFSET(DBRA_TopicHCP,0,I$217,DBR_COUNT,1),DBRA_WorkplanDate,$C335,DBRA_PlayerID,$D$3),"")</f>
        <v>0</v>
      </c>
      <c r="J335">
        <f ca="1">IFERROR(SUMIFS(OFFSET(DBRA_TopicHCP,0,J$217,DBR_COUNT,1),DBRA_WorkplanDate,$C335,DBRA_PlayerID,$D$3),"")</f>
        <v>0</v>
      </c>
      <c r="K335">
        <f ca="1">IFERROR(SUMIFS(OFFSET(DBRA_TopicHCP,0,K$217,DBR_COUNT,1),DBRA_WorkplanDate,$C335,DBRA_PlayerID,$D$3),"")</f>
        <v>0</v>
      </c>
      <c r="L335">
        <f ca="1">IFERROR(SUMIFS(OFFSET(DBRA_TopicHCP,0,L$217,DBR_COUNT,1),DBRA_WorkplanDate,$C335,DBRA_PlayerID,$D$3),"")</f>
        <v>0</v>
      </c>
      <c r="M335" s="47"/>
      <c r="N335">
        <f ca="1">IFERROR(SUMIFS(OFFSET(DBRA_TopicCount,0,N$217,DBR_COUNT,1),DBRA_WorkplanDate,$C335,DBRA_PlayerID,$D$3),"")</f>
        <v>0</v>
      </c>
      <c r="O335">
        <f ca="1">IFERROR(SUMIFS(OFFSET(DBRA_TopicCount,0,O$217,DBR_COUNT,1),DBRA_WorkplanDate,$C335,DBRA_PlayerID,$D$3),"")</f>
        <v>0</v>
      </c>
      <c r="P335">
        <f ca="1">IFERROR(SUMIFS(OFFSET(DBRA_TopicCount,0,P$217,DBR_COUNT,1),DBRA_WorkplanDate,$C335,DBRA_PlayerID,$D$3),"")</f>
        <v>0</v>
      </c>
      <c r="Q335">
        <f ca="1">IFERROR(SUMIFS(OFFSET(DBRA_TopicCount,0,Q$217,DBR_COUNT,1),DBRA_WorkplanDate,$C335,DBRA_PlayerID,$D$3),"")</f>
        <v>0</v>
      </c>
      <c r="R335">
        <f ca="1">IFERROR(SUMIFS(OFFSET(DBRA_TopicCount,0,R$217,DBR_COUNT,1),DBRA_WorkplanDate,$C335,DBRA_PlayerID,$D$3),"")</f>
        <v>0</v>
      </c>
      <c r="S335">
        <f ca="1">IFERROR(SUMIFS(OFFSET(DBRA_TopicCount,0,S$217,DBR_COUNT,1),DBRA_WorkplanDate,$C335,DBRA_PlayerID,$D$3),"")</f>
        <v>0</v>
      </c>
      <c r="T335">
        <f ca="1">IFERROR(SUMIFS(OFFSET(DBRA_TopicCount,0,T$217,DBR_COUNT,1),DBRA_WorkplanDate,$C335,DBRA_PlayerID,$D$3),"")</f>
        <v>0</v>
      </c>
      <c r="U335">
        <f ca="1">IFERROR(SUMIFS(OFFSET(DBRA_TopicCount,0,U$217,DBR_COUNT,1),DBRA_WorkplanDate,$C335,DBRA_PlayerID,$D$3),"")</f>
        <v>0</v>
      </c>
      <c r="V335">
        <f ca="1">IFERROR(SUMIFS(OFFSET(DBRA_TopicCount,0,V$217,DBR_COUNT,1),DBRA_WorkplanDate,$C335,DBRA_PlayerID,$D$3),"")</f>
        <v>0</v>
      </c>
      <c r="W335" s="47"/>
      <c r="X335" t="str">
        <f t="shared" ca="1" si="84"/>
        <v/>
      </c>
      <c r="Y335" t="str">
        <f t="shared" ca="1" si="76"/>
        <v/>
      </c>
      <c r="Z335" t="str">
        <f t="shared" ca="1" si="77"/>
        <v/>
      </c>
      <c r="AA335" t="str">
        <f t="shared" ca="1" si="78"/>
        <v/>
      </c>
      <c r="AB335" t="str">
        <f t="shared" ca="1" si="79"/>
        <v/>
      </c>
      <c r="AC335" t="str">
        <f t="shared" ca="1" si="80"/>
        <v/>
      </c>
      <c r="AD335" t="str">
        <f t="shared" ca="1" si="81"/>
        <v/>
      </c>
      <c r="AE335" t="str">
        <f t="shared" ca="1" si="82"/>
        <v/>
      </c>
      <c r="AF335" t="str">
        <f t="shared" ca="1" si="83"/>
        <v/>
      </c>
      <c r="AG335" s="47"/>
    </row>
    <row r="336" spans="3:33" x14ac:dyDescent="0.25">
      <c r="C336" s="118">
        <f t="shared" si="85"/>
        <v>42122</v>
      </c>
      <c r="D336">
        <f ca="1">IFERROR(SUMIFS(OFFSET(DBRA_TopicHCP,0,D$217,DBR_COUNT,1),DBRA_WorkplanDate,$C336,DBRA_PlayerID,$D$3),"")</f>
        <v>0</v>
      </c>
      <c r="E336">
        <f ca="1">IFERROR(SUMIFS(OFFSET(DBRA_TopicHCP,0,E$217,DBR_COUNT,1),DBRA_WorkplanDate,$C336,DBRA_PlayerID,$D$3),"")</f>
        <v>0</v>
      </c>
      <c r="F336">
        <f ca="1">IFERROR(SUMIFS(OFFSET(DBRA_TopicHCP,0,F$217,DBR_COUNT,1),DBRA_WorkplanDate,$C336,DBRA_PlayerID,$D$3),"")</f>
        <v>0</v>
      </c>
      <c r="G336">
        <f ca="1">IFERROR(SUMIFS(OFFSET(DBRA_TopicHCP,0,G$217,DBR_COUNT,1),DBRA_WorkplanDate,$C336,DBRA_PlayerID,$D$3),"")</f>
        <v>0</v>
      </c>
      <c r="H336">
        <f ca="1">IFERROR(SUMIFS(OFFSET(DBRA_TopicHCP,0,H$217,DBR_COUNT,1),DBRA_WorkplanDate,$C336,DBRA_PlayerID,$D$3),"")</f>
        <v>0</v>
      </c>
      <c r="I336">
        <f ca="1">IFERROR(SUMIFS(OFFSET(DBRA_TopicHCP,0,I$217,DBR_COUNT,1),DBRA_WorkplanDate,$C336,DBRA_PlayerID,$D$3),"")</f>
        <v>0</v>
      </c>
      <c r="J336">
        <f ca="1">IFERROR(SUMIFS(OFFSET(DBRA_TopicHCP,0,J$217,DBR_COUNT,1),DBRA_WorkplanDate,$C336,DBRA_PlayerID,$D$3),"")</f>
        <v>0</v>
      </c>
      <c r="K336">
        <f ca="1">IFERROR(SUMIFS(OFFSET(DBRA_TopicHCP,0,K$217,DBR_COUNT,1),DBRA_WorkplanDate,$C336,DBRA_PlayerID,$D$3),"")</f>
        <v>0</v>
      </c>
      <c r="L336">
        <f ca="1">IFERROR(SUMIFS(OFFSET(DBRA_TopicHCP,0,L$217,DBR_COUNT,1),DBRA_WorkplanDate,$C336,DBRA_PlayerID,$D$3),"")</f>
        <v>0</v>
      </c>
      <c r="M336" s="47"/>
      <c r="N336">
        <f ca="1">IFERROR(SUMIFS(OFFSET(DBRA_TopicCount,0,N$217,DBR_COUNT,1),DBRA_WorkplanDate,$C336,DBRA_PlayerID,$D$3),"")</f>
        <v>0</v>
      </c>
      <c r="O336">
        <f ca="1">IFERROR(SUMIFS(OFFSET(DBRA_TopicCount,0,O$217,DBR_COUNT,1),DBRA_WorkplanDate,$C336,DBRA_PlayerID,$D$3),"")</f>
        <v>0</v>
      </c>
      <c r="P336">
        <f ca="1">IFERROR(SUMIFS(OFFSET(DBRA_TopicCount,0,P$217,DBR_COUNT,1),DBRA_WorkplanDate,$C336,DBRA_PlayerID,$D$3),"")</f>
        <v>0</v>
      </c>
      <c r="Q336">
        <f ca="1">IFERROR(SUMIFS(OFFSET(DBRA_TopicCount,0,Q$217,DBR_COUNT,1),DBRA_WorkplanDate,$C336,DBRA_PlayerID,$D$3),"")</f>
        <v>0</v>
      </c>
      <c r="R336">
        <f ca="1">IFERROR(SUMIFS(OFFSET(DBRA_TopicCount,0,R$217,DBR_COUNT,1),DBRA_WorkplanDate,$C336,DBRA_PlayerID,$D$3),"")</f>
        <v>0</v>
      </c>
      <c r="S336">
        <f ca="1">IFERROR(SUMIFS(OFFSET(DBRA_TopicCount,0,S$217,DBR_COUNT,1),DBRA_WorkplanDate,$C336,DBRA_PlayerID,$D$3),"")</f>
        <v>0</v>
      </c>
      <c r="T336">
        <f ca="1">IFERROR(SUMIFS(OFFSET(DBRA_TopicCount,0,T$217,DBR_COUNT,1),DBRA_WorkplanDate,$C336,DBRA_PlayerID,$D$3),"")</f>
        <v>0</v>
      </c>
      <c r="U336">
        <f ca="1">IFERROR(SUMIFS(OFFSET(DBRA_TopicCount,0,U$217,DBR_COUNT,1),DBRA_WorkplanDate,$C336,DBRA_PlayerID,$D$3),"")</f>
        <v>0</v>
      </c>
      <c r="V336">
        <f ca="1">IFERROR(SUMIFS(OFFSET(DBRA_TopicCount,0,V$217,DBR_COUNT,1),DBRA_WorkplanDate,$C336,DBRA_PlayerID,$D$3),"")</f>
        <v>0</v>
      </c>
      <c r="W336" s="47"/>
      <c r="X336" t="str">
        <f t="shared" ca="1" si="84"/>
        <v/>
      </c>
      <c r="Y336" t="str">
        <f t="shared" ca="1" si="76"/>
        <v/>
      </c>
      <c r="Z336" t="str">
        <f t="shared" ca="1" si="77"/>
        <v/>
      </c>
      <c r="AA336" t="str">
        <f t="shared" ca="1" si="78"/>
        <v/>
      </c>
      <c r="AB336" t="str">
        <f t="shared" ca="1" si="79"/>
        <v/>
      </c>
      <c r="AC336" t="str">
        <f t="shared" ca="1" si="80"/>
        <v/>
      </c>
      <c r="AD336" t="str">
        <f t="shared" ca="1" si="81"/>
        <v/>
      </c>
      <c r="AE336" t="str">
        <f t="shared" ca="1" si="82"/>
        <v/>
      </c>
      <c r="AF336" t="str">
        <f t="shared" ca="1" si="83"/>
        <v/>
      </c>
      <c r="AG336" s="47"/>
    </row>
    <row r="337" spans="3:33" x14ac:dyDescent="0.25">
      <c r="C337" s="118">
        <f t="shared" si="85"/>
        <v>42123</v>
      </c>
      <c r="D337">
        <f ca="1">IFERROR(SUMIFS(OFFSET(DBRA_TopicHCP,0,D$217,DBR_COUNT,1),DBRA_WorkplanDate,$C337,DBRA_PlayerID,$D$3),"")</f>
        <v>0</v>
      </c>
      <c r="E337">
        <f ca="1">IFERROR(SUMIFS(OFFSET(DBRA_TopicHCP,0,E$217,DBR_COUNT,1),DBRA_WorkplanDate,$C337,DBRA_PlayerID,$D$3),"")</f>
        <v>0</v>
      </c>
      <c r="F337">
        <f ca="1">IFERROR(SUMIFS(OFFSET(DBRA_TopicHCP,0,F$217,DBR_COUNT,1),DBRA_WorkplanDate,$C337,DBRA_PlayerID,$D$3),"")</f>
        <v>0</v>
      </c>
      <c r="G337">
        <f ca="1">IFERROR(SUMIFS(OFFSET(DBRA_TopicHCP,0,G$217,DBR_COUNT,1),DBRA_WorkplanDate,$C337,DBRA_PlayerID,$D$3),"")</f>
        <v>0</v>
      </c>
      <c r="H337">
        <f ca="1">IFERROR(SUMIFS(OFFSET(DBRA_TopicHCP,0,H$217,DBR_COUNT,1),DBRA_WorkplanDate,$C337,DBRA_PlayerID,$D$3),"")</f>
        <v>0</v>
      </c>
      <c r="I337">
        <f ca="1">IFERROR(SUMIFS(OFFSET(DBRA_TopicHCP,0,I$217,DBR_COUNT,1),DBRA_WorkplanDate,$C337,DBRA_PlayerID,$D$3),"")</f>
        <v>0</v>
      </c>
      <c r="J337">
        <f ca="1">IFERROR(SUMIFS(OFFSET(DBRA_TopicHCP,0,J$217,DBR_COUNT,1),DBRA_WorkplanDate,$C337,DBRA_PlayerID,$D$3),"")</f>
        <v>0</v>
      </c>
      <c r="K337">
        <f ca="1">IFERROR(SUMIFS(OFFSET(DBRA_TopicHCP,0,K$217,DBR_COUNT,1),DBRA_WorkplanDate,$C337,DBRA_PlayerID,$D$3),"")</f>
        <v>0</v>
      </c>
      <c r="L337">
        <f ca="1">IFERROR(SUMIFS(OFFSET(DBRA_TopicHCP,0,L$217,DBR_COUNT,1),DBRA_WorkplanDate,$C337,DBRA_PlayerID,$D$3),"")</f>
        <v>0</v>
      </c>
      <c r="M337" s="47"/>
      <c r="N337">
        <f ca="1">IFERROR(SUMIFS(OFFSET(DBRA_TopicCount,0,N$217,DBR_COUNT,1),DBRA_WorkplanDate,$C337,DBRA_PlayerID,$D$3),"")</f>
        <v>0</v>
      </c>
      <c r="O337">
        <f ca="1">IFERROR(SUMIFS(OFFSET(DBRA_TopicCount,0,O$217,DBR_COUNT,1),DBRA_WorkplanDate,$C337,DBRA_PlayerID,$D$3),"")</f>
        <v>0</v>
      </c>
      <c r="P337">
        <f ca="1">IFERROR(SUMIFS(OFFSET(DBRA_TopicCount,0,P$217,DBR_COUNT,1),DBRA_WorkplanDate,$C337,DBRA_PlayerID,$D$3),"")</f>
        <v>0</v>
      </c>
      <c r="Q337">
        <f ca="1">IFERROR(SUMIFS(OFFSET(DBRA_TopicCount,0,Q$217,DBR_COUNT,1),DBRA_WorkplanDate,$C337,DBRA_PlayerID,$D$3),"")</f>
        <v>0</v>
      </c>
      <c r="R337">
        <f ca="1">IFERROR(SUMIFS(OFFSET(DBRA_TopicCount,0,R$217,DBR_COUNT,1),DBRA_WorkplanDate,$C337,DBRA_PlayerID,$D$3),"")</f>
        <v>0</v>
      </c>
      <c r="S337">
        <f ca="1">IFERROR(SUMIFS(OFFSET(DBRA_TopicCount,0,S$217,DBR_COUNT,1),DBRA_WorkplanDate,$C337,DBRA_PlayerID,$D$3),"")</f>
        <v>0</v>
      </c>
      <c r="T337">
        <f ca="1">IFERROR(SUMIFS(OFFSET(DBRA_TopicCount,0,T$217,DBR_COUNT,1),DBRA_WorkplanDate,$C337,DBRA_PlayerID,$D$3),"")</f>
        <v>0</v>
      </c>
      <c r="U337">
        <f ca="1">IFERROR(SUMIFS(OFFSET(DBRA_TopicCount,0,U$217,DBR_COUNT,1),DBRA_WorkplanDate,$C337,DBRA_PlayerID,$D$3),"")</f>
        <v>0</v>
      </c>
      <c r="V337">
        <f ca="1">IFERROR(SUMIFS(OFFSET(DBRA_TopicCount,0,V$217,DBR_COUNT,1),DBRA_WorkplanDate,$C337,DBRA_PlayerID,$D$3),"")</f>
        <v>0</v>
      </c>
      <c r="W337" s="47"/>
      <c r="X337" t="str">
        <f t="shared" ca="1" si="84"/>
        <v/>
      </c>
      <c r="Y337" t="str">
        <f t="shared" ca="1" si="76"/>
        <v/>
      </c>
      <c r="Z337" t="str">
        <f t="shared" ca="1" si="77"/>
        <v/>
      </c>
      <c r="AA337" t="str">
        <f t="shared" ca="1" si="78"/>
        <v/>
      </c>
      <c r="AB337" t="str">
        <f t="shared" ca="1" si="79"/>
        <v/>
      </c>
      <c r="AC337" t="str">
        <f t="shared" ca="1" si="80"/>
        <v/>
      </c>
      <c r="AD337" t="str">
        <f t="shared" ca="1" si="81"/>
        <v/>
      </c>
      <c r="AE337" t="str">
        <f t="shared" ca="1" si="82"/>
        <v/>
      </c>
      <c r="AF337" t="str">
        <f t="shared" ca="1" si="83"/>
        <v/>
      </c>
      <c r="AG337" s="47"/>
    </row>
    <row r="338" spans="3:33" x14ac:dyDescent="0.25">
      <c r="C338" s="118">
        <f t="shared" si="85"/>
        <v>42124</v>
      </c>
      <c r="D338">
        <f ca="1">IFERROR(SUMIFS(OFFSET(DBRA_TopicHCP,0,D$217,DBR_COUNT,1),DBRA_WorkplanDate,$C338,DBRA_PlayerID,$D$3),"")</f>
        <v>0</v>
      </c>
      <c r="E338">
        <f ca="1">IFERROR(SUMIFS(OFFSET(DBRA_TopicHCP,0,E$217,DBR_COUNT,1),DBRA_WorkplanDate,$C338,DBRA_PlayerID,$D$3),"")</f>
        <v>0</v>
      </c>
      <c r="F338">
        <f ca="1">IFERROR(SUMIFS(OFFSET(DBRA_TopicHCP,0,F$217,DBR_COUNT,1),DBRA_WorkplanDate,$C338,DBRA_PlayerID,$D$3),"")</f>
        <v>0</v>
      </c>
      <c r="G338">
        <f ca="1">IFERROR(SUMIFS(OFFSET(DBRA_TopicHCP,0,G$217,DBR_COUNT,1),DBRA_WorkplanDate,$C338,DBRA_PlayerID,$D$3),"")</f>
        <v>0</v>
      </c>
      <c r="H338">
        <f ca="1">IFERROR(SUMIFS(OFFSET(DBRA_TopicHCP,0,H$217,DBR_COUNT,1),DBRA_WorkplanDate,$C338,DBRA_PlayerID,$D$3),"")</f>
        <v>0</v>
      </c>
      <c r="I338">
        <f ca="1">IFERROR(SUMIFS(OFFSET(DBRA_TopicHCP,0,I$217,DBR_COUNT,1),DBRA_WorkplanDate,$C338,DBRA_PlayerID,$D$3),"")</f>
        <v>0</v>
      </c>
      <c r="J338">
        <f ca="1">IFERROR(SUMIFS(OFFSET(DBRA_TopicHCP,0,J$217,DBR_COUNT,1),DBRA_WorkplanDate,$C338,DBRA_PlayerID,$D$3),"")</f>
        <v>0</v>
      </c>
      <c r="K338">
        <f ca="1">IFERROR(SUMIFS(OFFSET(DBRA_TopicHCP,0,K$217,DBR_COUNT,1),DBRA_WorkplanDate,$C338,DBRA_PlayerID,$D$3),"")</f>
        <v>0</v>
      </c>
      <c r="L338">
        <f ca="1">IFERROR(SUMIFS(OFFSET(DBRA_TopicHCP,0,L$217,DBR_COUNT,1),DBRA_WorkplanDate,$C338,DBRA_PlayerID,$D$3),"")</f>
        <v>0</v>
      </c>
      <c r="M338" s="47"/>
      <c r="N338">
        <f ca="1">IFERROR(SUMIFS(OFFSET(DBRA_TopicCount,0,N$217,DBR_COUNT,1),DBRA_WorkplanDate,$C338,DBRA_PlayerID,$D$3),"")</f>
        <v>0</v>
      </c>
      <c r="O338">
        <f ca="1">IFERROR(SUMIFS(OFFSET(DBRA_TopicCount,0,O$217,DBR_COUNT,1),DBRA_WorkplanDate,$C338,DBRA_PlayerID,$D$3),"")</f>
        <v>0</v>
      </c>
      <c r="P338">
        <f ca="1">IFERROR(SUMIFS(OFFSET(DBRA_TopicCount,0,P$217,DBR_COUNT,1),DBRA_WorkplanDate,$C338,DBRA_PlayerID,$D$3),"")</f>
        <v>0</v>
      </c>
      <c r="Q338">
        <f ca="1">IFERROR(SUMIFS(OFFSET(DBRA_TopicCount,0,Q$217,DBR_COUNT,1),DBRA_WorkplanDate,$C338,DBRA_PlayerID,$D$3),"")</f>
        <v>0</v>
      </c>
      <c r="R338">
        <f ca="1">IFERROR(SUMIFS(OFFSET(DBRA_TopicCount,0,R$217,DBR_COUNT,1),DBRA_WorkplanDate,$C338,DBRA_PlayerID,$D$3),"")</f>
        <v>0</v>
      </c>
      <c r="S338">
        <f ca="1">IFERROR(SUMIFS(OFFSET(DBRA_TopicCount,0,S$217,DBR_COUNT,1),DBRA_WorkplanDate,$C338,DBRA_PlayerID,$D$3),"")</f>
        <v>0</v>
      </c>
      <c r="T338">
        <f ca="1">IFERROR(SUMIFS(OFFSET(DBRA_TopicCount,0,T$217,DBR_COUNT,1),DBRA_WorkplanDate,$C338,DBRA_PlayerID,$D$3),"")</f>
        <v>0</v>
      </c>
      <c r="U338">
        <f ca="1">IFERROR(SUMIFS(OFFSET(DBRA_TopicCount,0,U$217,DBR_COUNT,1),DBRA_WorkplanDate,$C338,DBRA_PlayerID,$D$3),"")</f>
        <v>0</v>
      </c>
      <c r="V338">
        <f ca="1">IFERROR(SUMIFS(OFFSET(DBRA_TopicCount,0,V$217,DBR_COUNT,1),DBRA_WorkplanDate,$C338,DBRA_PlayerID,$D$3),"")</f>
        <v>0</v>
      </c>
      <c r="W338" s="47"/>
      <c r="X338" t="str">
        <f t="shared" ca="1" si="84"/>
        <v/>
      </c>
      <c r="Y338" t="str">
        <f t="shared" ca="1" si="76"/>
        <v/>
      </c>
      <c r="Z338" t="str">
        <f t="shared" ca="1" si="77"/>
        <v/>
      </c>
      <c r="AA338" t="str">
        <f t="shared" ca="1" si="78"/>
        <v/>
      </c>
      <c r="AB338" t="str">
        <f t="shared" ca="1" si="79"/>
        <v/>
      </c>
      <c r="AC338" t="str">
        <f t="shared" ca="1" si="80"/>
        <v/>
      </c>
      <c r="AD338" t="str">
        <f t="shared" ca="1" si="81"/>
        <v/>
      </c>
      <c r="AE338" t="str">
        <f t="shared" ca="1" si="82"/>
        <v/>
      </c>
      <c r="AF338" t="str">
        <f t="shared" ca="1" si="83"/>
        <v/>
      </c>
      <c r="AG338" s="47"/>
    </row>
    <row r="339" spans="3:33" x14ac:dyDescent="0.25">
      <c r="C339" s="118">
        <f t="shared" si="85"/>
        <v>42125</v>
      </c>
      <c r="D339">
        <f ca="1">IFERROR(SUMIFS(OFFSET(DBRA_TopicHCP,0,D$217,DBR_COUNT,1),DBRA_WorkplanDate,$C339,DBRA_PlayerID,$D$3),"")</f>
        <v>0</v>
      </c>
      <c r="E339">
        <f ca="1">IFERROR(SUMIFS(OFFSET(DBRA_TopicHCP,0,E$217,DBR_COUNT,1),DBRA_WorkplanDate,$C339,DBRA_PlayerID,$D$3),"")</f>
        <v>0</v>
      </c>
      <c r="F339">
        <f ca="1">IFERROR(SUMIFS(OFFSET(DBRA_TopicHCP,0,F$217,DBR_COUNT,1),DBRA_WorkplanDate,$C339,DBRA_PlayerID,$D$3),"")</f>
        <v>0</v>
      </c>
      <c r="G339">
        <f ca="1">IFERROR(SUMIFS(OFFSET(DBRA_TopicHCP,0,G$217,DBR_COUNT,1),DBRA_WorkplanDate,$C339,DBRA_PlayerID,$D$3),"")</f>
        <v>0</v>
      </c>
      <c r="H339">
        <f ca="1">IFERROR(SUMIFS(OFFSET(DBRA_TopicHCP,0,H$217,DBR_COUNT,1),DBRA_WorkplanDate,$C339,DBRA_PlayerID,$D$3),"")</f>
        <v>0</v>
      </c>
      <c r="I339">
        <f ca="1">IFERROR(SUMIFS(OFFSET(DBRA_TopicHCP,0,I$217,DBR_COUNT,1),DBRA_WorkplanDate,$C339,DBRA_PlayerID,$D$3),"")</f>
        <v>0</v>
      </c>
      <c r="J339">
        <f ca="1">IFERROR(SUMIFS(OFFSET(DBRA_TopicHCP,0,J$217,DBR_COUNT,1),DBRA_WorkplanDate,$C339,DBRA_PlayerID,$D$3),"")</f>
        <v>0</v>
      </c>
      <c r="K339">
        <f ca="1">IFERROR(SUMIFS(OFFSET(DBRA_TopicHCP,0,K$217,DBR_COUNT,1),DBRA_WorkplanDate,$C339,DBRA_PlayerID,$D$3),"")</f>
        <v>0</v>
      </c>
      <c r="L339">
        <f ca="1">IFERROR(SUMIFS(OFFSET(DBRA_TopicHCP,0,L$217,DBR_COUNT,1),DBRA_WorkplanDate,$C339,DBRA_PlayerID,$D$3),"")</f>
        <v>0</v>
      </c>
      <c r="M339" s="47"/>
      <c r="N339">
        <f ca="1">IFERROR(SUMIFS(OFFSET(DBRA_TopicCount,0,N$217,DBR_COUNT,1),DBRA_WorkplanDate,$C339,DBRA_PlayerID,$D$3),"")</f>
        <v>0</v>
      </c>
      <c r="O339">
        <f ca="1">IFERROR(SUMIFS(OFFSET(DBRA_TopicCount,0,O$217,DBR_COUNT,1),DBRA_WorkplanDate,$C339,DBRA_PlayerID,$D$3),"")</f>
        <v>0</v>
      </c>
      <c r="P339">
        <f ca="1">IFERROR(SUMIFS(OFFSET(DBRA_TopicCount,0,P$217,DBR_COUNT,1),DBRA_WorkplanDate,$C339,DBRA_PlayerID,$D$3),"")</f>
        <v>0</v>
      </c>
      <c r="Q339">
        <f ca="1">IFERROR(SUMIFS(OFFSET(DBRA_TopicCount,0,Q$217,DBR_COUNT,1),DBRA_WorkplanDate,$C339,DBRA_PlayerID,$D$3),"")</f>
        <v>0</v>
      </c>
      <c r="R339">
        <f ca="1">IFERROR(SUMIFS(OFFSET(DBRA_TopicCount,0,R$217,DBR_COUNT,1),DBRA_WorkplanDate,$C339,DBRA_PlayerID,$D$3),"")</f>
        <v>0</v>
      </c>
      <c r="S339">
        <f ca="1">IFERROR(SUMIFS(OFFSET(DBRA_TopicCount,0,S$217,DBR_COUNT,1),DBRA_WorkplanDate,$C339,DBRA_PlayerID,$D$3),"")</f>
        <v>0</v>
      </c>
      <c r="T339">
        <f ca="1">IFERROR(SUMIFS(OFFSET(DBRA_TopicCount,0,T$217,DBR_COUNT,1),DBRA_WorkplanDate,$C339,DBRA_PlayerID,$D$3),"")</f>
        <v>0</v>
      </c>
      <c r="U339">
        <f ca="1">IFERROR(SUMIFS(OFFSET(DBRA_TopicCount,0,U$217,DBR_COUNT,1),DBRA_WorkplanDate,$C339,DBRA_PlayerID,$D$3),"")</f>
        <v>0</v>
      </c>
      <c r="V339">
        <f ca="1">IFERROR(SUMIFS(OFFSET(DBRA_TopicCount,0,V$217,DBR_COUNT,1),DBRA_WorkplanDate,$C339,DBRA_PlayerID,$D$3),"")</f>
        <v>0</v>
      </c>
      <c r="W339" s="47"/>
      <c r="X339" t="str">
        <f t="shared" ca="1" si="84"/>
        <v/>
      </c>
      <c r="Y339" t="str">
        <f t="shared" ca="1" si="76"/>
        <v/>
      </c>
      <c r="Z339" t="str">
        <f t="shared" ca="1" si="77"/>
        <v/>
      </c>
      <c r="AA339" t="str">
        <f t="shared" ca="1" si="78"/>
        <v/>
      </c>
      <c r="AB339" t="str">
        <f t="shared" ca="1" si="79"/>
        <v/>
      </c>
      <c r="AC339" t="str">
        <f t="shared" ca="1" si="80"/>
        <v/>
      </c>
      <c r="AD339" t="str">
        <f t="shared" ca="1" si="81"/>
        <v/>
      </c>
      <c r="AE339" t="str">
        <f t="shared" ca="1" si="82"/>
        <v/>
      </c>
      <c r="AF339" t="str">
        <f t="shared" ca="1" si="83"/>
        <v/>
      </c>
      <c r="AG339" s="47"/>
    </row>
    <row r="340" spans="3:33" x14ac:dyDescent="0.25">
      <c r="C340" s="118">
        <f t="shared" si="85"/>
        <v>42126</v>
      </c>
      <c r="D340">
        <f ca="1">IFERROR(SUMIFS(OFFSET(DBRA_TopicHCP,0,D$217,DBR_COUNT,1),DBRA_WorkplanDate,$C340,DBRA_PlayerID,$D$3),"")</f>
        <v>0</v>
      </c>
      <c r="E340">
        <f ca="1">IFERROR(SUMIFS(OFFSET(DBRA_TopicHCP,0,E$217,DBR_COUNT,1),DBRA_WorkplanDate,$C340,DBRA_PlayerID,$D$3),"")</f>
        <v>0</v>
      </c>
      <c r="F340">
        <f ca="1">IFERROR(SUMIFS(OFFSET(DBRA_TopicHCP,0,F$217,DBR_COUNT,1),DBRA_WorkplanDate,$C340,DBRA_PlayerID,$D$3),"")</f>
        <v>0</v>
      </c>
      <c r="G340">
        <f ca="1">IFERROR(SUMIFS(OFFSET(DBRA_TopicHCP,0,G$217,DBR_COUNT,1),DBRA_WorkplanDate,$C340,DBRA_PlayerID,$D$3),"")</f>
        <v>0</v>
      </c>
      <c r="H340">
        <f ca="1">IFERROR(SUMIFS(OFFSET(DBRA_TopicHCP,0,H$217,DBR_COUNT,1),DBRA_WorkplanDate,$C340,DBRA_PlayerID,$D$3),"")</f>
        <v>0</v>
      </c>
      <c r="I340">
        <f ca="1">IFERROR(SUMIFS(OFFSET(DBRA_TopicHCP,0,I$217,DBR_COUNT,1),DBRA_WorkplanDate,$C340,DBRA_PlayerID,$D$3),"")</f>
        <v>0</v>
      </c>
      <c r="J340">
        <f ca="1">IFERROR(SUMIFS(OFFSET(DBRA_TopicHCP,0,J$217,DBR_COUNT,1),DBRA_WorkplanDate,$C340,DBRA_PlayerID,$D$3),"")</f>
        <v>0</v>
      </c>
      <c r="K340">
        <f ca="1">IFERROR(SUMIFS(OFFSET(DBRA_TopicHCP,0,K$217,DBR_COUNT,1),DBRA_WorkplanDate,$C340,DBRA_PlayerID,$D$3),"")</f>
        <v>0</v>
      </c>
      <c r="L340">
        <f ca="1">IFERROR(SUMIFS(OFFSET(DBRA_TopicHCP,0,L$217,DBR_COUNT,1),DBRA_WorkplanDate,$C340,DBRA_PlayerID,$D$3),"")</f>
        <v>0</v>
      </c>
      <c r="M340" s="47"/>
      <c r="N340">
        <f ca="1">IFERROR(SUMIFS(OFFSET(DBRA_TopicCount,0,N$217,DBR_COUNT,1),DBRA_WorkplanDate,$C340,DBRA_PlayerID,$D$3),"")</f>
        <v>0</v>
      </c>
      <c r="O340">
        <f ca="1">IFERROR(SUMIFS(OFFSET(DBRA_TopicCount,0,O$217,DBR_COUNT,1),DBRA_WorkplanDate,$C340,DBRA_PlayerID,$D$3),"")</f>
        <v>0</v>
      </c>
      <c r="P340">
        <f ca="1">IFERROR(SUMIFS(OFFSET(DBRA_TopicCount,0,P$217,DBR_COUNT,1),DBRA_WorkplanDate,$C340,DBRA_PlayerID,$D$3),"")</f>
        <v>0</v>
      </c>
      <c r="Q340">
        <f ca="1">IFERROR(SUMIFS(OFFSET(DBRA_TopicCount,0,Q$217,DBR_COUNT,1),DBRA_WorkplanDate,$C340,DBRA_PlayerID,$D$3),"")</f>
        <v>0</v>
      </c>
      <c r="R340">
        <f ca="1">IFERROR(SUMIFS(OFFSET(DBRA_TopicCount,0,R$217,DBR_COUNT,1),DBRA_WorkplanDate,$C340,DBRA_PlayerID,$D$3),"")</f>
        <v>0</v>
      </c>
      <c r="S340">
        <f ca="1">IFERROR(SUMIFS(OFFSET(DBRA_TopicCount,0,S$217,DBR_COUNT,1),DBRA_WorkplanDate,$C340,DBRA_PlayerID,$D$3),"")</f>
        <v>0</v>
      </c>
      <c r="T340">
        <f ca="1">IFERROR(SUMIFS(OFFSET(DBRA_TopicCount,0,T$217,DBR_COUNT,1),DBRA_WorkplanDate,$C340,DBRA_PlayerID,$D$3),"")</f>
        <v>0</v>
      </c>
      <c r="U340">
        <f ca="1">IFERROR(SUMIFS(OFFSET(DBRA_TopicCount,0,U$217,DBR_COUNT,1),DBRA_WorkplanDate,$C340,DBRA_PlayerID,$D$3),"")</f>
        <v>0</v>
      </c>
      <c r="V340">
        <f ca="1">IFERROR(SUMIFS(OFFSET(DBRA_TopicCount,0,V$217,DBR_COUNT,1),DBRA_WorkplanDate,$C340,DBRA_PlayerID,$D$3),"")</f>
        <v>0</v>
      </c>
      <c r="W340" s="47"/>
      <c r="X340" t="str">
        <f t="shared" ca="1" si="84"/>
        <v/>
      </c>
      <c r="Y340" t="str">
        <f t="shared" ca="1" si="76"/>
        <v/>
      </c>
      <c r="Z340" t="str">
        <f t="shared" ca="1" si="77"/>
        <v/>
      </c>
      <c r="AA340" t="str">
        <f t="shared" ca="1" si="78"/>
        <v/>
      </c>
      <c r="AB340" t="str">
        <f t="shared" ca="1" si="79"/>
        <v/>
      </c>
      <c r="AC340" t="str">
        <f t="shared" ca="1" si="80"/>
        <v/>
      </c>
      <c r="AD340" t="str">
        <f t="shared" ca="1" si="81"/>
        <v/>
      </c>
      <c r="AE340" t="str">
        <f t="shared" ca="1" si="82"/>
        <v/>
      </c>
      <c r="AF340" t="str">
        <f t="shared" ca="1" si="83"/>
        <v/>
      </c>
      <c r="AG340" s="47"/>
    </row>
    <row r="341" spans="3:33" x14ac:dyDescent="0.25">
      <c r="C341" s="118">
        <f t="shared" si="85"/>
        <v>42127</v>
      </c>
      <c r="D341">
        <f ca="1">IFERROR(SUMIFS(OFFSET(DBRA_TopicHCP,0,D$217,DBR_COUNT,1),DBRA_WorkplanDate,$C341,DBRA_PlayerID,$D$3),"")</f>
        <v>0</v>
      </c>
      <c r="E341">
        <f ca="1">IFERROR(SUMIFS(OFFSET(DBRA_TopicHCP,0,E$217,DBR_COUNT,1),DBRA_WorkplanDate,$C341,DBRA_PlayerID,$D$3),"")</f>
        <v>0</v>
      </c>
      <c r="F341">
        <f ca="1">IFERROR(SUMIFS(OFFSET(DBRA_TopicHCP,0,F$217,DBR_COUNT,1),DBRA_WorkplanDate,$C341,DBRA_PlayerID,$D$3),"")</f>
        <v>0</v>
      </c>
      <c r="G341">
        <f ca="1">IFERROR(SUMIFS(OFFSET(DBRA_TopicHCP,0,G$217,DBR_COUNT,1),DBRA_WorkplanDate,$C341,DBRA_PlayerID,$D$3),"")</f>
        <v>0</v>
      </c>
      <c r="H341">
        <f ca="1">IFERROR(SUMIFS(OFFSET(DBRA_TopicHCP,0,H$217,DBR_COUNT,1),DBRA_WorkplanDate,$C341,DBRA_PlayerID,$D$3),"")</f>
        <v>0</v>
      </c>
      <c r="I341">
        <f ca="1">IFERROR(SUMIFS(OFFSET(DBRA_TopicHCP,0,I$217,DBR_COUNT,1),DBRA_WorkplanDate,$C341,DBRA_PlayerID,$D$3),"")</f>
        <v>0</v>
      </c>
      <c r="J341">
        <f ca="1">IFERROR(SUMIFS(OFFSET(DBRA_TopicHCP,0,J$217,DBR_COUNT,1),DBRA_WorkplanDate,$C341,DBRA_PlayerID,$D$3),"")</f>
        <v>0</v>
      </c>
      <c r="K341">
        <f ca="1">IFERROR(SUMIFS(OFFSET(DBRA_TopicHCP,0,K$217,DBR_COUNT,1),DBRA_WorkplanDate,$C341,DBRA_PlayerID,$D$3),"")</f>
        <v>0</v>
      </c>
      <c r="L341">
        <f ca="1">IFERROR(SUMIFS(OFFSET(DBRA_TopicHCP,0,L$217,DBR_COUNT,1),DBRA_WorkplanDate,$C341,DBRA_PlayerID,$D$3),"")</f>
        <v>0</v>
      </c>
      <c r="M341" s="47"/>
      <c r="N341">
        <f ca="1">IFERROR(SUMIFS(OFFSET(DBRA_TopicCount,0,N$217,DBR_COUNT,1),DBRA_WorkplanDate,$C341,DBRA_PlayerID,$D$3),"")</f>
        <v>0</v>
      </c>
      <c r="O341">
        <f ca="1">IFERROR(SUMIFS(OFFSET(DBRA_TopicCount,0,O$217,DBR_COUNT,1),DBRA_WorkplanDate,$C341,DBRA_PlayerID,$D$3),"")</f>
        <v>0</v>
      </c>
      <c r="P341">
        <f ca="1">IFERROR(SUMIFS(OFFSET(DBRA_TopicCount,0,P$217,DBR_COUNT,1),DBRA_WorkplanDate,$C341,DBRA_PlayerID,$D$3),"")</f>
        <v>0</v>
      </c>
      <c r="Q341">
        <f ca="1">IFERROR(SUMIFS(OFFSET(DBRA_TopicCount,0,Q$217,DBR_COUNT,1),DBRA_WorkplanDate,$C341,DBRA_PlayerID,$D$3),"")</f>
        <v>0</v>
      </c>
      <c r="R341">
        <f ca="1">IFERROR(SUMIFS(OFFSET(DBRA_TopicCount,0,R$217,DBR_COUNT,1),DBRA_WorkplanDate,$C341,DBRA_PlayerID,$D$3),"")</f>
        <v>0</v>
      </c>
      <c r="S341">
        <f ca="1">IFERROR(SUMIFS(OFFSET(DBRA_TopicCount,0,S$217,DBR_COUNT,1),DBRA_WorkplanDate,$C341,DBRA_PlayerID,$D$3),"")</f>
        <v>0</v>
      </c>
      <c r="T341">
        <f ca="1">IFERROR(SUMIFS(OFFSET(DBRA_TopicCount,0,T$217,DBR_COUNT,1),DBRA_WorkplanDate,$C341,DBRA_PlayerID,$D$3),"")</f>
        <v>0</v>
      </c>
      <c r="U341">
        <f ca="1">IFERROR(SUMIFS(OFFSET(DBRA_TopicCount,0,U$217,DBR_COUNT,1),DBRA_WorkplanDate,$C341,DBRA_PlayerID,$D$3),"")</f>
        <v>0</v>
      </c>
      <c r="V341">
        <f ca="1">IFERROR(SUMIFS(OFFSET(DBRA_TopicCount,0,V$217,DBR_COUNT,1),DBRA_WorkplanDate,$C341,DBRA_PlayerID,$D$3),"")</f>
        <v>0</v>
      </c>
      <c r="W341" s="47"/>
      <c r="X341" t="str">
        <f t="shared" ca="1" si="84"/>
        <v/>
      </c>
      <c r="Y341" t="str">
        <f t="shared" ca="1" si="76"/>
        <v/>
      </c>
      <c r="Z341" t="str">
        <f t="shared" ca="1" si="77"/>
        <v/>
      </c>
      <c r="AA341" t="str">
        <f t="shared" ca="1" si="78"/>
        <v/>
      </c>
      <c r="AB341" t="str">
        <f t="shared" ca="1" si="79"/>
        <v/>
      </c>
      <c r="AC341" t="str">
        <f t="shared" ca="1" si="80"/>
        <v/>
      </c>
      <c r="AD341" t="str">
        <f t="shared" ca="1" si="81"/>
        <v/>
      </c>
      <c r="AE341" t="str">
        <f t="shared" ca="1" si="82"/>
        <v/>
      </c>
      <c r="AF341" t="str">
        <f t="shared" ca="1" si="83"/>
        <v/>
      </c>
      <c r="AG341" s="47"/>
    </row>
    <row r="342" spans="3:33" x14ac:dyDescent="0.25">
      <c r="C342" s="118">
        <f t="shared" si="85"/>
        <v>42128</v>
      </c>
      <c r="D342">
        <f ca="1">IFERROR(SUMIFS(OFFSET(DBRA_TopicHCP,0,D$217,DBR_COUNT,1),DBRA_WorkplanDate,$C342,DBRA_PlayerID,$D$3),"")</f>
        <v>0</v>
      </c>
      <c r="E342">
        <f ca="1">IFERROR(SUMIFS(OFFSET(DBRA_TopicHCP,0,E$217,DBR_COUNT,1),DBRA_WorkplanDate,$C342,DBRA_PlayerID,$D$3),"")</f>
        <v>0</v>
      </c>
      <c r="F342">
        <f ca="1">IFERROR(SUMIFS(OFFSET(DBRA_TopicHCP,0,F$217,DBR_COUNT,1),DBRA_WorkplanDate,$C342,DBRA_PlayerID,$D$3),"")</f>
        <v>0</v>
      </c>
      <c r="G342">
        <f ca="1">IFERROR(SUMIFS(OFFSET(DBRA_TopicHCP,0,G$217,DBR_COUNT,1),DBRA_WorkplanDate,$C342,DBRA_PlayerID,$D$3),"")</f>
        <v>0</v>
      </c>
      <c r="H342">
        <f ca="1">IFERROR(SUMIFS(OFFSET(DBRA_TopicHCP,0,H$217,DBR_COUNT,1),DBRA_WorkplanDate,$C342,DBRA_PlayerID,$D$3),"")</f>
        <v>0</v>
      </c>
      <c r="I342">
        <f ca="1">IFERROR(SUMIFS(OFFSET(DBRA_TopicHCP,0,I$217,DBR_COUNT,1),DBRA_WorkplanDate,$C342,DBRA_PlayerID,$D$3),"")</f>
        <v>0</v>
      </c>
      <c r="J342">
        <f ca="1">IFERROR(SUMIFS(OFFSET(DBRA_TopicHCP,0,J$217,DBR_COUNT,1),DBRA_WorkplanDate,$C342,DBRA_PlayerID,$D$3),"")</f>
        <v>0</v>
      </c>
      <c r="K342">
        <f ca="1">IFERROR(SUMIFS(OFFSET(DBRA_TopicHCP,0,K$217,DBR_COUNT,1),DBRA_WorkplanDate,$C342,DBRA_PlayerID,$D$3),"")</f>
        <v>0</v>
      </c>
      <c r="L342">
        <f ca="1">IFERROR(SUMIFS(OFFSET(DBRA_TopicHCP,0,L$217,DBR_COUNT,1),DBRA_WorkplanDate,$C342,DBRA_PlayerID,$D$3),"")</f>
        <v>0</v>
      </c>
      <c r="M342" s="47"/>
      <c r="N342">
        <f ca="1">IFERROR(SUMIFS(OFFSET(DBRA_TopicCount,0,N$217,DBR_COUNT,1),DBRA_WorkplanDate,$C342,DBRA_PlayerID,$D$3),"")</f>
        <v>0</v>
      </c>
      <c r="O342">
        <f ca="1">IFERROR(SUMIFS(OFFSET(DBRA_TopicCount,0,O$217,DBR_COUNT,1),DBRA_WorkplanDate,$C342,DBRA_PlayerID,$D$3),"")</f>
        <v>0</v>
      </c>
      <c r="P342">
        <f ca="1">IFERROR(SUMIFS(OFFSET(DBRA_TopicCount,0,P$217,DBR_COUNT,1),DBRA_WorkplanDate,$C342,DBRA_PlayerID,$D$3),"")</f>
        <v>0</v>
      </c>
      <c r="Q342">
        <f ca="1">IFERROR(SUMIFS(OFFSET(DBRA_TopicCount,0,Q$217,DBR_COUNT,1),DBRA_WorkplanDate,$C342,DBRA_PlayerID,$D$3),"")</f>
        <v>0</v>
      </c>
      <c r="R342">
        <f ca="1">IFERROR(SUMIFS(OFFSET(DBRA_TopicCount,0,R$217,DBR_COUNT,1),DBRA_WorkplanDate,$C342,DBRA_PlayerID,$D$3),"")</f>
        <v>0</v>
      </c>
      <c r="S342">
        <f ca="1">IFERROR(SUMIFS(OFFSET(DBRA_TopicCount,0,S$217,DBR_COUNT,1),DBRA_WorkplanDate,$C342,DBRA_PlayerID,$D$3),"")</f>
        <v>0</v>
      </c>
      <c r="T342">
        <f ca="1">IFERROR(SUMIFS(OFFSET(DBRA_TopicCount,0,T$217,DBR_COUNT,1),DBRA_WorkplanDate,$C342,DBRA_PlayerID,$D$3),"")</f>
        <v>0</v>
      </c>
      <c r="U342">
        <f ca="1">IFERROR(SUMIFS(OFFSET(DBRA_TopicCount,0,U$217,DBR_COUNT,1),DBRA_WorkplanDate,$C342,DBRA_PlayerID,$D$3),"")</f>
        <v>0</v>
      </c>
      <c r="V342">
        <f ca="1">IFERROR(SUMIFS(OFFSET(DBRA_TopicCount,0,V$217,DBR_COUNT,1),DBRA_WorkplanDate,$C342,DBRA_PlayerID,$D$3),"")</f>
        <v>0</v>
      </c>
      <c r="W342" s="47"/>
      <c r="X342" t="str">
        <f t="shared" ca="1" si="84"/>
        <v/>
      </c>
      <c r="Y342" t="str">
        <f t="shared" ca="1" si="76"/>
        <v/>
      </c>
      <c r="Z342" t="str">
        <f t="shared" ca="1" si="77"/>
        <v/>
      </c>
      <c r="AA342" t="str">
        <f t="shared" ca="1" si="78"/>
        <v/>
      </c>
      <c r="AB342" t="str">
        <f t="shared" ca="1" si="79"/>
        <v/>
      </c>
      <c r="AC342" t="str">
        <f t="shared" ca="1" si="80"/>
        <v/>
      </c>
      <c r="AD342" t="str">
        <f t="shared" ca="1" si="81"/>
        <v/>
      </c>
      <c r="AE342" t="str">
        <f t="shared" ca="1" si="82"/>
        <v/>
      </c>
      <c r="AF342" t="str">
        <f t="shared" ca="1" si="83"/>
        <v/>
      </c>
      <c r="AG342" s="47"/>
    </row>
    <row r="343" spans="3:33" x14ac:dyDescent="0.25">
      <c r="C343" s="118">
        <f t="shared" si="85"/>
        <v>42129</v>
      </c>
      <c r="D343">
        <f ca="1">IFERROR(SUMIFS(OFFSET(DBRA_TopicHCP,0,D$217,DBR_COUNT,1),DBRA_WorkplanDate,$C343,DBRA_PlayerID,$D$3),"")</f>
        <v>0</v>
      </c>
      <c r="E343">
        <f ca="1">IFERROR(SUMIFS(OFFSET(DBRA_TopicHCP,0,E$217,DBR_COUNT,1),DBRA_WorkplanDate,$C343,DBRA_PlayerID,$D$3),"")</f>
        <v>0</v>
      </c>
      <c r="F343">
        <f ca="1">IFERROR(SUMIFS(OFFSET(DBRA_TopicHCP,0,F$217,DBR_COUNT,1),DBRA_WorkplanDate,$C343,DBRA_PlayerID,$D$3),"")</f>
        <v>0</v>
      </c>
      <c r="G343">
        <f ca="1">IFERROR(SUMIFS(OFFSET(DBRA_TopicHCP,0,G$217,DBR_COUNT,1),DBRA_WorkplanDate,$C343,DBRA_PlayerID,$D$3),"")</f>
        <v>0</v>
      </c>
      <c r="H343">
        <f ca="1">IFERROR(SUMIFS(OFFSET(DBRA_TopicHCP,0,H$217,DBR_COUNT,1),DBRA_WorkplanDate,$C343,DBRA_PlayerID,$D$3),"")</f>
        <v>0</v>
      </c>
      <c r="I343">
        <f ca="1">IFERROR(SUMIFS(OFFSET(DBRA_TopicHCP,0,I$217,DBR_COUNT,1),DBRA_WorkplanDate,$C343,DBRA_PlayerID,$D$3),"")</f>
        <v>0</v>
      </c>
      <c r="J343">
        <f ca="1">IFERROR(SUMIFS(OFFSET(DBRA_TopicHCP,0,J$217,DBR_COUNT,1),DBRA_WorkplanDate,$C343,DBRA_PlayerID,$D$3),"")</f>
        <v>0</v>
      </c>
      <c r="K343">
        <f ca="1">IFERROR(SUMIFS(OFFSET(DBRA_TopicHCP,0,K$217,DBR_COUNT,1),DBRA_WorkplanDate,$C343,DBRA_PlayerID,$D$3),"")</f>
        <v>0</v>
      </c>
      <c r="L343">
        <f ca="1">IFERROR(SUMIFS(OFFSET(DBRA_TopicHCP,0,L$217,DBR_COUNT,1),DBRA_WorkplanDate,$C343,DBRA_PlayerID,$D$3),"")</f>
        <v>0</v>
      </c>
      <c r="M343" s="47"/>
      <c r="N343">
        <f ca="1">IFERROR(SUMIFS(OFFSET(DBRA_TopicCount,0,N$217,DBR_COUNT,1),DBRA_WorkplanDate,$C343,DBRA_PlayerID,$D$3),"")</f>
        <v>0</v>
      </c>
      <c r="O343">
        <f ca="1">IFERROR(SUMIFS(OFFSET(DBRA_TopicCount,0,O$217,DBR_COUNT,1),DBRA_WorkplanDate,$C343,DBRA_PlayerID,$D$3),"")</f>
        <v>0</v>
      </c>
      <c r="P343">
        <f ca="1">IFERROR(SUMIFS(OFFSET(DBRA_TopicCount,0,P$217,DBR_COUNT,1),DBRA_WorkplanDate,$C343,DBRA_PlayerID,$D$3),"")</f>
        <v>0</v>
      </c>
      <c r="Q343">
        <f ca="1">IFERROR(SUMIFS(OFFSET(DBRA_TopicCount,0,Q$217,DBR_COUNT,1),DBRA_WorkplanDate,$C343,DBRA_PlayerID,$D$3),"")</f>
        <v>0</v>
      </c>
      <c r="R343">
        <f ca="1">IFERROR(SUMIFS(OFFSET(DBRA_TopicCount,0,R$217,DBR_COUNT,1),DBRA_WorkplanDate,$C343,DBRA_PlayerID,$D$3),"")</f>
        <v>0</v>
      </c>
      <c r="S343">
        <f ca="1">IFERROR(SUMIFS(OFFSET(DBRA_TopicCount,0,S$217,DBR_COUNT,1),DBRA_WorkplanDate,$C343,DBRA_PlayerID,$D$3),"")</f>
        <v>0</v>
      </c>
      <c r="T343">
        <f ca="1">IFERROR(SUMIFS(OFFSET(DBRA_TopicCount,0,T$217,DBR_COUNT,1),DBRA_WorkplanDate,$C343,DBRA_PlayerID,$D$3),"")</f>
        <v>0</v>
      </c>
      <c r="U343">
        <f ca="1">IFERROR(SUMIFS(OFFSET(DBRA_TopicCount,0,U$217,DBR_COUNT,1),DBRA_WorkplanDate,$C343,DBRA_PlayerID,$D$3),"")</f>
        <v>0</v>
      </c>
      <c r="V343">
        <f ca="1">IFERROR(SUMIFS(OFFSET(DBRA_TopicCount,0,V$217,DBR_COUNT,1),DBRA_WorkplanDate,$C343,DBRA_PlayerID,$D$3),"")</f>
        <v>0</v>
      </c>
      <c r="W343" s="47"/>
      <c r="X343" t="str">
        <f t="shared" ca="1" si="84"/>
        <v/>
      </c>
      <c r="Y343" t="str">
        <f t="shared" ca="1" si="76"/>
        <v/>
      </c>
      <c r="Z343" t="str">
        <f t="shared" ca="1" si="77"/>
        <v/>
      </c>
      <c r="AA343" t="str">
        <f t="shared" ca="1" si="78"/>
        <v/>
      </c>
      <c r="AB343" t="str">
        <f t="shared" ca="1" si="79"/>
        <v/>
      </c>
      <c r="AC343" t="str">
        <f t="shared" ca="1" si="80"/>
        <v/>
      </c>
      <c r="AD343" t="str">
        <f t="shared" ca="1" si="81"/>
        <v/>
      </c>
      <c r="AE343" t="str">
        <f t="shared" ca="1" si="82"/>
        <v/>
      </c>
      <c r="AF343" t="str">
        <f t="shared" ca="1" si="83"/>
        <v/>
      </c>
      <c r="AG343" s="47"/>
    </row>
    <row r="344" spans="3:33" x14ac:dyDescent="0.25">
      <c r="C344" s="118">
        <f t="shared" si="85"/>
        <v>42130</v>
      </c>
      <c r="D344">
        <f ca="1">IFERROR(SUMIFS(OFFSET(DBRA_TopicHCP,0,D$217,DBR_COUNT,1),DBRA_WorkplanDate,$C344,DBRA_PlayerID,$D$3),"")</f>
        <v>0</v>
      </c>
      <c r="E344">
        <f ca="1">IFERROR(SUMIFS(OFFSET(DBRA_TopicHCP,0,E$217,DBR_COUNT,1),DBRA_WorkplanDate,$C344,DBRA_PlayerID,$D$3),"")</f>
        <v>0</v>
      </c>
      <c r="F344">
        <f ca="1">IFERROR(SUMIFS(OFFSET(DBRA_TopicHCP,0,F$217,DBR_COUNT,1),DBRA_WorkplanDate,$C344,DBRA_PlayerID,$D$3),"")</f>
        <v>0</v>
      </c>
      <c r="G344">
        <f ca="1">IFERROR(SUMIFS(OFFSET(DBRA_TopicHCP,0,G$217,DBR_COUNT,1),DBRA_WorkplanDate,$C344,DBRA_PlayerID,$D$3),"")</f>
        <v>0</v>
      </c>
      <c r="H344">
        <f ca="1">IFERROR(SUMIFS(OFFSET(DBRA_TopicHCP,0,H$217,DBR_COUNT,1),DBRA_WorkplanDate,$C344,DBRA_PlayerID,$D$3),"")</f>
        <v>0</v>
      </c>
      <c r="I344">
        <f ca="1">IFERROR(SUMIFS(OFFSET(DBRA_TopicHCP,0,I$217,DBR_COUNT,1),DBRA_WorkplanDate,$C344,DBRA_PlayerID,$D$3),"")</f>
        <v>0</v>
      </c>
      <c r="J344">
        <f ca="1">IFERROR(SUMIFS(OFFSET(DBRA_TopicHCP,0,J$217,DBR_COUNT,1),DBRA_WorkplanDate,$C344,DBRA_PlayerID,$D$3),"")</f>
        <v>0</v>
      </c>
      <c r="K344">
        <f ca="1">IFERROR(SUMIFS(OFFSET(DBRA_TopicHCP,0,K$217,DBR_COUNT,1),DBRA_WorkplanDate,$C344,DBRA_PlayerID,$D$3),"")</f>
        <v>0</v>
      </c>
      <c r="L344">
        <f ca="1">IFERROR(SUMIFS(OFFSET(DBRA_TopicHCP,0,L$217,DBR_COUNT,1),DBRA_WorkplanDate,$C344,DBRA_PlayerID,$D$3),"")</f>
        <v>0</v>
      </c>
      <c r="M344" s="47"/>
      <c r="N344">
        <f ca="1">IFERROR(SUMIFS(OFFSET(DBRA_TopicCount,0,N$217,DBR_COUNT,1),DBRA_WorkplanDate,$C344,DBRA_PlayerID,$D$3),"")</f>
        <v>0</v>
      </c>
      <c r="O344">
        <f ca="1">IFERROR(SUMIFS(OFFSET(DBRA_TopicCount,0,O$217,DBR_COUNT,1),DBRA_WorkplanDate,$C344,DBRA_PlayerID,$D$3),"")</f>
        <v>0</v>
      </c>
      <c r="P344">
        <f ca="1">IFERROR(SUMIFS(OFFSET(DBRA_TopicCount,0,P$217,DBR_COUNT,1),DBRA_WorkplanDate,$C344,DBRA_PlayerID,$D$3),"")</f>
        <v>0</v>
      </c>
      <c r="Q344">
        <f ca="1">IFERROR(SUMIFS(OFFSET(DBRA_TopicCount,0,Q$217,DBR_COUNT,1),DBRA_WorkplanDate,$C344,DBRA_PlayerID,$D$3),"")</f>
        <v>0</v>
      </c>
      <c r="R344">
        <f ca="1">IFERROR(SUMIFS(OFFSET(DBRA_TopicCount,0,R$217,DBR_COUNT,1),DBRA_WorkplanDate,$C344,DBRA_PlayerID,$D$3),"")</f>
        <v>0</v>
      </c>
      <c r="S344">
        <f ca="1">IFERROR(SUMIFS(OFFSET(DBRA_TopicCount,0,S$217,DBR_COUNT,1),DBRA_WorkplanDate,$C344,DBRA_PlayerID,$D$3),"")</f>
        <v>0</v>
      </c>
      <c r="T344">
        <f ca="1">IFERROR(SUMIFS(OFFSET(DBRA_TopicCount,0,T$217,DBR_COUNT,1),DBRA_WorkplanDate,$C344,DBRA_PlayerID,$D$3),"")</f>
        <v>0</v>
      </c>
      <c r="U344">
        <f ca="1">IFERROR(SUMIFS(OFFSET(DBRA_TopicCount,0,U$217,DBR_COUNT,1),DBRA_WorkplanDate,$C344,DBRA_PlayerID,$D$3),"")</f>
        <v>0</v>
      </c>
      <c r="V344">
        <f ca="1">IFERROR(SUMIFS(OFFSET(DBRA_TopicCount,0,V$217,DBR_COUNT,1),DBRA_WorkplanDate,$C344,DBRA_PlayerID,$D$3),"")</f>
        <v>0</v>
      </c>
      <c r="W344" s="47"/>
      <c r="X344" t="str">
        <f t="shared" ca="1" si="84"/>
        <v/>
      </c>
      <c r="Y344" t="str">
        <f t="shared" ca="1" si="76"/>
        <v/>
      </c>
      <c r="Z344" t="str">
        <f t="shared" ca="1" si="77"/>
        <v/>
      </c>
      <c r="AA344" t="str">
        <f t="shared" ca="1" si="78"/>
        <v/>
      </c>
      <c r="AB344" t="str">
        <f t="shared" ca="1" si="79"/>
        <v/>
      </c>
      <c r="AC344" t="str">
        <f t="shared" ca="1" si="80"/>
        <v/>
      </c>
      <c r="AD344" t="str">
        <f t="shared" ca="1" si="81"/>
        <v/>
      </c>
      <c r="AE344" t="str">
        <f t="shared" ca="1" si="82"/>
        <v/>
      </c>
      <c r="AF344" t="str">
        <f t="shared" ca="1" si="83"/>
        <v/>
      </c>
      <c r="AG344" s="47"/>
    </row>
    <row r="345" spans="3:33" x14ac:dyDescent="0.25">
      <c r="C345" s="118">
        <f t="shared" si="85"/>
        <v>42131</v>
      </c>
      <c r="D345">
        <f ca="1">IFERROR(SUMIFS(OFFSET(DBRA_TopicHCP,0,D$217,DBR_COUNT,1),DBRA_WorkplanDate,$C345,DBRA_PlayerID,$D$3),"")</f>
        <v>0</v>
      </c>
      <c r="E345">
        <f ca="1">IFERROR(SUMIFS(OFFSET(DBRA_TopicHCP,0,E$217,DBR_COUNT,1),DBRA_WorkplanDate,$C345,DBRA_PlayerID,$D$3),"")</f>
        <v>0</v>
      </c>
      <c r="F345">
        <f ca="1">IFERROR(SUMIFS(OFFSET(DBRA_TopicHCP,0,F$217,DBR_COUNT,1),DBRA_WorkplanDate,$C345,DBRA_PlayerID,$D$3),"")</f>
        <v>0</v>
      </c>
      <c r="G345">
        <f ca="1">IFERROR(SUMIFS(OFFSET(DBRA_TopicHCP,0,G$217,DBR_COUNT,1),DBRA_WorkplanDate,$C345,DBRA_PlayerID,$D$3),"")</f>
        <v>0</v>
      </c>
      <c r="H345">
        <f ca="1">IFERROR(SUMIFS(OFFSET(DBRA_TopicHCP,0,H$217,DBR_COUNT,1),DBRA_WorkplanDate,$C345,DBRA_PlayerID,$D$3),"")</f>
        <v>0</v>
      </c>
      <c r="I345">
        <f ca="1">IFERROR(SUMIFS(OFFSET(DBRA_TopicHCP,0,I$217,DBR_COUNT,1),DBRA_WorkplanDate,$C345,DBRA_PlayerID,$D$3),"")</f>
        <v>0</v>
      </c>
      <c r="J345">
        <f ca="1">IFERROR(SUMIFS(OFFSET(DBRA_TopicHCP,0,J$217,DBR_COUNT,1),DBRA_WorkplanDate,$C345,DBRA_PlayerID,$D$3),"")</f>
        <v>0</v>
      </c>
      <c r="K345">
        <f ca="1">IFERROR(SUMIFS(OFFSET(DBRA_TopicHCP,0,K$217,DBR_COUNT,1),DBRA_WorkplanDate,$C345,DBRA_PlayerID,$D$3),"")</f>
        <v>0</v>
      </c>
      <c r="L345">
        <f ca="1">IFERROR(SUMIFS(OFFSET(DBRA_TopicHCP,0,L$217,DBR_COUNT,1),DBRA_WorkplanDate,$C345,DBRA_PlayerID,$D$3),"")</f>
        <v>0</v>
      </c>
      <c r="M345" s="47"/>
      <c r="N345">
        <f ca="1">IFERROR(SUMIFS(OFFSET(DBRA_TopicCount,0,N$217,DBR_COUNT,1),DBRA_WorkplanDate,$C345,DBRA_PlayerID,$D$3),"")</f>
        <v>0</v>
      </c>
      <c r="O345">
        <f ca="1">IFERROR(SUMIFS(OFFSET(DBRA_TopicCount,0,O$217,DBR_COUNT,1),DBRA_WorkplanDate,$C345,DBRA_PlayerID,$D$3),"")</f>
        <v>0</v>
      </c>
      <c r="P345">
        <f ca="1">IFERROR(SUMIFS(OFFSET(DBRA_TopicCount,0,P$217,DBR_COUNT,1),DBRA_WorkplanDate,$C345,DBRA_PlayerID,$D$3),"")</f>
        <v>0</v>
      </c>
      <c r="Q345">
        <f ca="1">IFERROR(SUMIFS(OFFSET(DBRA_TopicCount,0,Q$217,DBR_COUNT,1),DBRA_WorkplanDate,$C345,DBRA_PlayerID,$D$3),"")</f>
        <v>0</v>
      </c>
      <c r="R345">
        <f ca="1">IFERROR(SUMIFS(OFFSET(DBRA_TopicCount,0,R$217,DBR_COUNT,1),DBRA_WorkplanDate,$C345,DBRA_PlayerID,$D$3),"")</f>
        <v>0</v>
      </c>
      <c r="S345">
        <f ca="1">IFERROR(SUMIFS(OFFSET(DBRA_TopicCount,0,S$217,DBR_COUNT,1),DBRA_WorkplanDate,$C345,DBRA_PlayerID,$D$3),"")</f>
        <v>0</v>
      </c>
      <c r="T345">
        <f ca="1">IFERROR(SUMIFS(OFFSET(DBRA_TopicCount,0,T$217,DBR_COUNT,1),DBRA_WorkplanDate,$C345,DBRA_PlayerID,$D$3),"")</f>
        <v>0</v>
      </c>
      <c r="U345">
        <f ca="1">IFERROR(SUMIFS(OFFSET(DBRA_TopicCount,0,U$217,DBR_COUNT,1),DBRA_WorkplanDate,$C345,DBRA_PlayerID,$D$3),"")</f>
        <v>0</v>
      </c>
      <c r="V345">
        <f ca="1">IFERROR(SUMIFS(OFFSET(DBRA_TopicCount,0,V$217,DBR_COUNT,1),DBRA_WorkplanDate,$C345,DBRA_PlayerID,$D$3),"")</f>
        <v>0</v>
      </c>
      <c r="W345" s="47"/>
      <c r="X345" t="str">
        <f t="shared" ca="1" si="84"/>
        <v/>
      </c>
      <c r="Y345" t="str">
        <f t="shared" ca="1" si="76"/>
        <v/>
      </c>
      <c r="Z345" t="str">
        <f t="shared" ca="1" si="77"/>
        <v/>
      </c>
      <c r="AA345" t="str">
        <f t="shared" ca="1" si="78"/>
        <v/>
      </c>
      <c r="AB345" t="str">
        <f t="shared" ca="1" si="79"/>
        <v/>
      </c>
      <c r="AC345" t="str">
        <f t="shared" ca="1" si="80"/>
        <v/>
      </c>
      <c r="AD345" t="str">
        <f t="shared" ca="1" si="81"/>
        <v/>
      </c>
      <c r="AE345" t="str">
        <f t="shared" ca="1" si="82"/>
        <v/>
      </c>
      <c r="AF345" t="str">
        <f t="shared" ca="1" si="83"/>
        <v/>
      </c>
      <c r="AG345" s="47"/>
    </row>
    <row r="346" spans="3:33" x14ac:dyDescent="0.25">
      <c r="C346" s="118">
        <f t="shared" si="85"/>
        <v>42132</v>
      </c>
      <c r="D346">
        <f ca="1">IFERROR(SUMIFS(OFFSET(DBRA_TopicHCP,0,D$217,DBR_COUNT,1),DBRA_WorkplanDate,$C346,DBRA_PlayerID,$D$3),"")</f>
        <v>0</v>
      </c>
      <c r="E346">
        <f ca="1">IFERROR(SUMIFS(OFFSET(DBRA_TopicHCP,0,E$217,DBR_COUNT,1),DBRA_WorkplanDate,$C346,DBRA_PlayerID,$D$3),"")</f>
        <v>0</v>
      </c>
      <c r="F346">
        <f ca="1">IFERROR(SUMIFS(OFFSET(DBRA_TopicHCP,0,F$217,DBR_COUNT,1),DBRA_WorkplanDate,$C346,DBRA_PlayerID,$D$3),"")</f>
        <v>0</v>
      </c>
      <c r="G346">
        <f ca="1">IFERROR(SUMIFS(OFFSET(DBRA_TopicHCP,0,G$217,DBR_COUNT,1),DBRA_WorkplanDate,$C346,DBRA_PlayerID,$D$3),"")</f>
        <v>0</v>
      </c>
      <c r="H346">
        <f ca="1">IFERROR(SUMIFS(OFFSET(DBRA_TopicHCP,0,H$217,DBR_COUNT,1),DBRA_WorkplanDate,$C346,DBRA_PlayerID,$D$3),"")</f>
        <v>0</v>
      </c>
      <c r="I346">
        <f ca="1">IFERROR(SUMIFS(OFFSET(DBRA_TopicHCP,0,I$217,DBR_COUNT,1),DBRA_WorkplanDate,$C346,DBRA_PlayerID,$D$3),"")</f>
        <v>0</v>
      </c>
      <c r="J346">
        <f ca="1">IFERROR(SUMIFS(OFFSET(DBRA_TopicHCP,0,J$217,DBR_COUNT,1),DBRA_WorkplanDate,$C346,DBRA_PlayerID,$D$3),"")</f>
        <v>0</v>
      </c>
      <c r="K346">
        <f ca="1">IFERROR(SUMIFS(OFFSET(DBRA_TopicHCP,0,K$217,DBR_COUNT,1),DBRA_WorkplanDate,$C346,DBRA_PlayerID,$D$3),"")</f>
        <v>0</v>
      </c>
      <c r="L346">
        <f ca="1">IFERROR(SUMIFS(OFFSET(DBRA_TopicHCP,0,L$217,DBR_COUNT,1),DBRA_WorkplanDate,$C346,DBRA_PlayerID,$D$3),"")</f>
        <v>0</v>
      </c>
      <c r="M346" s="47"/>
      <c r="N346">
        <f ca="1">IFERROR(SUMIFS(OFFSET(DBRA_TopicCount,0,N$217,DBR_COUNT,1),DBRA_WorkplanDate,$C346,DBRA_PlayerID,$D$3),"")</f>
        <v>0</v>
      </c>
      <c r="O346">
        <f ca="1">IFERROR(SUMIFS(OFFSET(DBRA_TopicCount,0,O$217,DBR_COUNT,1),DBRA_WorkplanDate,$C346,DBRA_PlayerID,$D$3),"")</f>
        <v>0</v>
      </c>
      <c r="P346">
        <f ca="1">IFERROR(SUMIFS(OFFSET(DBRA_TopicCount,0,P$217,DBR_COUNT,1),DBRA_WorkplanDate,$C346,DBRA_PlayerID,$D$3),"")</f>
        <v>0</v>
      </c>
      <c r="Q346">
        <f ca="1">IFERROR(SUMIFS(OFFSET(DBRA_TopicCount,0,Q$217,DBR_COUNT,1),DBRA_WorkplanDate,$C346,DBRA_PlayerID,$D$3),"")</f>
        <v>0</v>
      </c>
      <c r="R346">
        <f ca="1">IFERROR(SUMIFS(OFFSET(DBRA_TopicCount,0,R$217,DBR_COUNT,1),DBRA_WorkplanDate,$C346,DBRA_PlayerID,$D$3),"")</f>
        <v>0</v>
      </c>
      <c r="S346">
        <f ca="1">IFERROR(SUMIFS(OFFSET(DBRA_TopicCount,0,S$217,DBR_COUNT,1),DBRA_WorkplanDate,$C346,DBRA_PlayerID,$D$3),"")</f>
        <v>0</v>
      </c>
      <c r="T346">
        <f ca="1">IFERROR(SUMIFS(OFFSET(DBRA_TopicCount,0,T$217,DBR_COUNT,1),DBRA_WorkplanDate,$C346,DBRA_PlayerID,$D$3),"")</f>
        <v>0</v>
      </c>
      <c r="U346">
        <f ca="1">IFERROR(SUMIFS(OFFSET(DBRA_TopicCount,0,U$217,DBR_COUNT,1),DBRA_WorkplanDate,$C346,DBRA_PlayerID,$D$3),"")</f>
        <v>0</v>
      </c>
      <c r="V346">
        <f ca="1">IFERROR(SUMIFS(OFFSET(DBRA_TopicCount,0,V$217,DBR_COUNT,1),DBRA_WorkplanDate,$C346,DBRA_PlayerID,$D$3),"")</f>
        <v>0</v>
      </c>
      <c r="W346" s="47"/>
      <c r="X346" t="str">
        <f t="shared" ca="1" si="84"/>
        <v/>
      </c>
      <c r="Y346" t="str">
        <f t="shared" ca="1" si="76"/>
        <v/>
      </c>
      <c r="Z346" t="str">
        <f t="shared" ca="1" si="77"/>
        <v/>
      </c>
      <c r="AA346" t="str">
        <f t="shared" ca="1" si="78"/>
        <v/>
      </c>
      <c r="AB346" t="str">
        <f t="shared" ca="1" si="79"/>
        <v/>
      </c>
      <c r="AC346" t="str">
        <f t="shared" ca="1" si="80"/>
        <v/>
      </c>
      <c r="AD346" t="str">
        <f t="shared" ca="1" si="81"/>
        <v/>
      </c>
      <c r="AE346" t="str">
        <f t="shared" ca="1" si="82"/>
        <v/>
      </c>
      <c r="AF346" t="str">
        <f t="shared" ca="1" si="83"/>
        <v/>
      </c>
      <c r="AG346" s="47"/>
    </row>
    <row r="347" spans="3:33" x14ac:dyDescent="0.25">
      <c r="C347" s="118">
        <f t="shared" si="85"/>
        <v>42133</v>
      </c>
      <c r="D347">
        <f ca="1">IFERROR(SUMIFS(OFFSET(DBRA_TopicHCP,0,D$217,DBR_COUNT,1),DBRA_WorkplanDate,$C347,DBRA_PlayerID,$D$3),"")</f>
        <v>0</v>
      </c>
      <c r="E347">
        <f ca="1">IFERROR(SUMIFS(OFFSET(DBRA_TopicHCP,0,E$217,DBR_COUNT,1),DBRA_WorkplanDate,$C347,DBRA_PlayerID,$D$3),"")</f>
        <v>0</v>
      </c>
      <c r="F347">
        <f ca="1">IFERROR(SUMIFS(OFFSET(DBRA_TopicHCP,0,F$217,DBR_COUNT,1),DBRA_WorkplanDate,$C347,DBRA_PlayerID,$D$3),"")</f>
        <v>0</v>
      </c>
      <c r="G347">
        <f ca="1">IFERROR(SUMIFS(OFFSET(DBRA_TopicHCP,0,G$217,DBR_COUNT,1),DBRA_WorkplanDate,$C347,DBRA_PlayerID,$D$3),"")</f>
        <v>0</v>
      </c>
      <c r="H347">
        <f ca="1">IFERROR(SUMIFS(OFFSET(DBRA_TopicHCP,0,H$217,DBR_COUNT,1),DBRA_WorkplanDate,$C347,DBRA_PlayerID,$D$3),"")</f>
        <v>0</v>
      </c>
      <c r="I347">
        <f ca="1">IFERROR(SUMIFS(OFFSET(DBRA_TopicHCP,0,I$217,DBR_COUNT,1),DBRA_WorkplanDate,$C347,DBRA_PlayerID,$D$3),"")</f>
        <v>0</v>
      </c>
      <c r="J347">
        <f ca="1">IFERROR(SUMIFS(OFFSET(DBRA_TopicHCP,0,J$217,DBR_COUNT,1),DBRA_WorkplanDate,$C347,DBRA_PlayerID,$D$3),"")</f>
        <v>0</v>
      </c>
      <c r="K347">
        <f ca="1">IFERROR(SUMIFS(OFFSET(DBRA_TopicHCP,0,K$217,DBR_COUNT,1),DBRA_WorkplanDate,$C347,DBRA_PlayerID,$D$3),"")</f>
        <v>0</v>
      </c>
      <c r="L347">
        <f ca="1">IFERROR(SUMIFS(OFFSET(DBRA_TopicHCP,0,L$217,DBR_COUNT,1),DBRA_WorkplanDate,$C347,DBRA_PlayerID,$D$3),"")</f>
        <v>0</v>
      </c>
      <c r="M347" s="47"/>
      <c r="N347">
        <f ca="1">IFERROR(SUMIFS(OFFSET(DBRA_TopicCount,0,N$217,DBR_COUNT,1),DBRA_WorkplanDate,$C347,DBRA_PlayerID,$D$3),"")</f>
        <v>0</v>
      </c>
      <c r="O347">
        <f ca="1">IFERROR(SUMIFS(OFFSET(DBRA_TopicCount,0,O$217,DBR_COUNT,1),DBRA_WorkplanDate,$C347,DBRA_PlayerID,$D$3),"")</f>
        <v>0</v>
      </c>
      <c r="P347">
        <f ca="1">IFERROR(SUMIFS(OFFSET(DBRA_TopicCount,0,P$217,DBR_COUNT,1),DBRA_WorkplanDate,$C347,DBRA_PlayerID,$D$3),"")</f>
        <v>0</v>
      </c>
      <c r="Q347">
        <f ca="1">IFERROR(SUMIFS(OFFSET(DBRA_TopicCount,0,Q$217,DBR_COUNT,1),DBRA_WorkplanDate,$C347,DBRA_PlayerID,$D$3),"")</f>
        <v>0</v>
      </c>
      <c r="R347">
        <f ca="1">IFERROR(SUMIFS(OFFSET(DBRA_TopicCount,0,R$217,DBR_COUNT,1),DBRA_WorkplanDate,$C347,DBRA_PlayerID,$D$3),"")</f>
        <v>0</v>
      </c>
      <c r="S347">
        <f ca="1">IFERROR(SUMIFS(OFFSET(DBRA_TopicCount,0,S$217,DBR_COUNT,1),DBRA_WorkplanDate,$C347,DBRA_PlayerID,$D$3),"")</f>
        <v>0</v>
      </c>
      <c r="T347">
        <f ca="1">IFERROR(SUMIFS(OFFSET(DBRA_TopicCount,0,T$217,DBR_COUNT,1),DBRA_WorkplanDate,$C347,DBRA_PlayerID,$D$3),"")</f>
        <v>0</v>
      </c>
      <c r="U347">
        <f ca="1">IFERROR(SUMIFS(OFFSET(DBRA_TopicCount,0,U$217,DBR_COUNT,1),DBRA_WorkplanDate,$C347,DBRA_PlayerID,$D$3),"")</f>
        <v>0</v>
      </c>
      <c r="V347">
        <f ca="1">IFERROR(SUMIFS(OFFSET(DBRA_TopicCount,0,V$217,DBR_COUNT,1),DBRA_WorkplanDate,$C347,DBRA_PlayerID,$D$3),"")</f>
        <v>0</v>
      </c>
      <c r="W347" s="47"/>
      <c r="X347" t="str">
        <f t="shared" ca="1" si="84"/>
        <v/>
      </c>
      <c r="Y347" t="str">
        <f t="shared" ref="Y347:Y410" ca="1" si="86">IF(O347&gt;0,ROUND(E347/O347,1),"")</f>
        <v/>
      </c>
      <c r="Z347" t="str">
        <f t="shared" ref="Z347:Z410" ca="1" si="87">IF(P347&gt;0,ROUND(F347/P347,1),"")</f>
        <v/>
      </c>
      <c r="AA347" t="str">
        <f t="shared" ref="AA347:AA410" ca="1" si="88">IF(Q347&gt;0,ROUND(G347/Q347,1),"")</f>
        <v/>
      </c>
      <c r="AB347" t="str">
        <f t="shared" ref="AB347:AB410" ca="1" si="89">IF(R347&gt;0,ROUND(H347/R347,1),"")</f>
        <v/>
      </c>
      <c r="AC347" t="str">
        <f t="shared" ref="AC347:AC410" ca="1" si="90">IF(S347&gt;0,ROUND(I347/S347,1),"")</f>
        <v/>
      </c>
      <c r="AD347" t="str">
        <f t="shared" ref="AD347:AD410" ca="1" si="91">IF(T347&gt;0,ROUND(J347/T347,1),"")</f>
        <v/>
      </c>
      <c r="AE347" t="str">
        <f t="shared" ref="AE347:AE410" ca="1" si="92">IF(U347&gt;0,ROUND(K347/U347,1),"")</f>
        <v/>
      </c>
      <c r="AF347" t="str">
        <f t="shared" ref="AF347:AF410" ca="1" si="93">IF(V347&gt;0,ROUND(L347/V347,1),"")</f>
        <v/>
      </c>
      <c r="AG347" s="47"/>
    </row>
    <row r="348" spans="3:33" x14ac:dyDescent="0.25">
      <c r="C348" s="118">
        <f t="shared" si="85"/>
        <v>42134</v>
      </c>
      <c r="D348">
        <f ca="1">IFERROR(SUMIFS(OFFSET(DBRA_TopicHCP,0,D$217,DBR_COUNT,1),DBRA_WorkplanDate,$C348,DBRA_PlayerID,$D$3),"")</f>
        <v>0</v>
      </c>
      <c r="E348">
        <f ca="1">IFERROR(SUMIFS(OFFSET(DBRA_TopicHCP,0,E$217,DBR_COUNT,1),DBRA_WorkplanDate,$C348,DBRA_PlayerID,$D$3),"")</f>
        <v>0</v>
      </c>
      <c r="F348">
        <f ca="1">IFERROR(SUMIFS(OFFSET(DBRA_TopicHCP,0,F$217,DBR_COUNT,1),DBRA_WorkplanDate,$C348,DBRA_PlayerID,$D$3),"")</f>
        <v>0</v>
      </c>
      <c r="G348">
        <f ca="1">IFERROR(SUMIFS(OFFSET(DBRA_TopicHCP,0,G$217,DBR_COUNT,1),DBRA_WorkplanDate,$C348,DBRA_PlayerID,$D$3),"")</f>
        <v>0</v>
      </c>
      <c r="H348">
        <f ca="1">IFERROR(SUMIFS(OFFSET(DBRA_TopicHCP,0,H$217,DBR_COUNT,1),DBRA_WorkplanDate,$C348,DBRA_PlayerID,$D$3),"")</f>
        <v>0</v>
      </c>
      <c r="I348">
        <f ca="1">IFERROR(SUMIFS(OFFSET(DBRA_TopicHCP,0,I$217,DBR_COUNT,1),DBRA_WorkplanDate,$C348,DBRA_PlayerID,$D$3),"")</f>
        <v>0</v>
      </c>
      <c r="J348">
        <f ca="1">IFERROR(SUMIFS(OFFSET(DBRA_TopicHCP,0,J$217,DBR_COUNT,1),DBRA_WorkplanDate,$C348,DBRA_PlayerID,$D$3),"")</f>
        <v>0</v>
      </c>
      <c r="K348">
        <f ca="1">IFERROR(SUMIFS(OFFSET(DBRA_TopicHCP,0,K$217,DBR_COUNT,1),DBRA_WorkplanDate,$C348,DBRA_PlayerID,$D$3),"")</f>
        <v>0</v>
      </c>
      <c r="L348">
        <f ca="1">IFERROR(SUMIFS(OFFSET(DBRA_TopicHCP,0,L$217,DBR_COUNT,1),DBRA_WorkplanDate,$C348,DBRA_PlayerID,$D$3),"")</f>
        <v>0</v>
      </c>
      <c r="M348" s="47"/>
      <c r="N348">
        <f ca="1">IFERROR(SUMIFS(OFFSET(DBRA_TopicCount,0,N$217,DBR_COUNT,1),DBRA_WorkplanDate,$C348,DBRA_PlayerID,$D$3),"")</f>
        <v>0</v>
      </c>
      <c r="O348">
        <f ca="1">IFERROR(SUMIFS(OFFSET(DBRA_TopicCount,0,O$217,DBR_COUNT,1),DBRA_WorkplanDate,$C348,DBRA_PlayerID,$D$3),"")</f>
        <v>0</v>
      </c>
      <c r="P348">
        <f ca="1">IFERROR(SUMIFS(OFFSET(DBRA_TopicCount,0,P$217,DBR_COUNT,1),DBRA_WorkplanDate,$C348,DBRA_PlayerID,$D$3),"")</f>
        <v>0</v>
      </c>
      <c r="Q348">
        <f ca="1">IFERROR(SUMIFS(OFFSET(DBRA_TopicCount,0,Q$217,DBR_COUNT,1),DBRA_WorkplanDate,$C348,DBRA_PlayerID,$D$3),"")</f>
        <v>0</v>
      </c>
      <c r="R348">
        <f ca="1">IFERROR(SUMIFS(OFFSET(DBRA_TopicCount,0,R$217,DBR_COUNT,1),DBRA_WorkplanDate,$C348,DBRA_PlayerID,$D$3),"")</f>
        <v>0</v>
      </c>
      <c r="S348">
        <f ca="1">IFERROR(SUMIFS(OFFSET(DBRA_TopicCount,0,S$217,DBR_COUNT,1),DBRA_WorkplanDate,$C348,DBRA_PlayerID,$D$3),"")</f>
        <v>0</v>
      </c>
      <c r="T348">
        <f ca="1">IFERROR(SUMIFS(OFFSET(DBRA_TopicCount,0,T$217,DBR_COUNT,1),DBRA_WorkplanDate,$C348,DBRA_PlayerID,$D$3),"")</f>
        <v>0</v>
      </c>
      <c r="U348">
        <f ca="1">IFERROR(SUMIFS(OFFSET(DBRA_TopicCount,0,U$217,DBR_COUNT,1),DBRA_WorkplanDate,$C348,DBRA_PlayerID,$D$3),"")</f>
        <v>0</v>
      </c>
      <c r="V348">
        <f ca="1">IFERROR(SUMIFS(OFFSET(DBRA_TopicCount,0,V$217,DBR_COUNT,1),DBRA_WorkplanDate,$C348,DBRA_PlayerID,$D$3),"")</f>
        <v>0</v>
      </c>
      <c r="W348" s="47"/>
      <c r="X348" t="str">
        <f t="shared" ref="X348:X411" ca="1" si="94">IF(N348&gt;0,ROUND(D348/N348,1),"")</f>
        <v/>
      </c>
      <c r="Y348" t="str">
        <f t="shared" ca="1" si="86"/>
        <v/>
      </c>
      <c r="Z348" t="str">
        <f t="shared" ca="1" si="87"/>
        <v/>
      </c>
      <c r="AA348" t="str">
        <f t="shared" ca="1" si="88"/>
        <v/>
      </c>
      <c r="AB348" t="str">
        <f t="shared" ca="1" si="89"/>
        <v/>
      </c>
      <c r="AC348" t="str">
        <f t="shared" ca="1" si="90"/>
        <v/>
      </c>
      <c r="AD348" t="str">
        <f t="shared" ca="1" si="91"/>
        <v/>
      </c>
      <c r="AE348" t="str">
        <f t="shared" ca="1" si="92"/>
        <v/>
      </c>
      <c r="AF348" t="str">
        <f t="shared" ca="1" si="93"/>
        <v/>
      </c>
      <c r="AG348" s="47"/>
    </row>
    <row r="349" spans="3:33" x14ac:dyDescent="0.25">
      <c r="C349" s="118">
        <f t="shared" ref="C349:C412" si="95">IF((C348+1)&lt;=$A$220,C348+1,"")</f>
        <v>42135</v>
      </c>
      <c r="D349">
        <f ca="1">IFERROR(SUMIFS(OFFSET(DBRA_TopicHCP,0,D$217,DBR_COUNT,1),DBRA_WorkplanDate,$C349,DBRA_PlayerID,$D$3),"")</f>
        <v>0</v>
      </c>
      <c r="E349">
        <f ca="1">IFERROR(SUMIFS(OFFSET(DBRA_TopicHCP,0,E$217,DBR_COUNT,1),DBRA_WorkplanDate,$C349,DBRA_PlayerID,$D$3),"")</f>
        <v>0</v>
      </c>
      <c r="F349">
        <f ca="1">IFERROR(SUMIFS(OFFSET(DBRA_TopicHCP,0,F$217,DBR_COUNT,1),DBRA_WorkplanDate,$C349,DBRA_PlayerID,$D$3),"")</f>
        <v>0</v>
      </c>
      <c r="G349">
        <f ca="1">IFERROR(SUMIFS(OFFSET(DBRA_TopicHCP,0,G$217,DBR_COUNT,1),DBRA_WorkplanDate,$C349,DBRA_PlayerID,$D$3),"")</f>
        <v>0</v>
      </c>
      <c r="H349">
        <f ca="1">IFERROR(SUMIFS(OFFSET(DBRA_TopicHCP,0,H$217,DBR_COUNT,1),DBRA_WorkplanDate,$C349,DBRA_PlayerID,$D$3),"")</f>
        <v>0</v>
      </c>
      <c r="I349">
        <f ca="1">IFERROR(SUMIFS(OFFSET(DBRA_TopicHCP,0,I$217,DBR_COUNT,1),DBRA_WorkplanDate,$C349,DBRA_PlayerID,$D$3),"")</f>
        <v>0</v>
      </c>
      <c r="J349">
        <f ca="1">IFERROR(SUMIFS(OFFSET(DBRA_TopicHCP,0,J$217,DBR_COUNT,1),DBRA_WorkplanDate,$C349,DBRA_PlayerID,$D$3),"")</f>
        <v>0</v>
      </c>
      <c r="K349">
        <f ca="1">IFERROR(SUMIFS(OFFSET(DBRA_TopicHCP,0,K$217,DBR_COUNT,1),DBRA_WorkplanDate,$C349,DBRA_PlayerID,$D$3),"")</f>
        <v>0</v>
      </c>
      <c r="L349">
        <f ca="1">IFERROR(SUMIFS(OFFSET(DBRA_TopicHCP,0,L$217,DBR_COUNT,1),DBRA_WorkplanDate,$C349,DBRA_PlayerID,$D$3),"")</f>
        <v>0</v>
      </c>
      <c r="M349" s="47"/>
      <c r="N349">
        <f ca="1">IFERROR(SUMIFS(OFFSET(DBRA_TopicCount,0,N$217,DBR_COUNT,1),DBRA_WorkplanDate,$C349,DBRA_PlayerID,$D$3),"")</f>
        <v>0</v>
      </c>
      <c r="O349">
        <f ca="1">IFERROR(SUMIFS(OFFSET(DBRA_TopicCount,0,O$217,DBR_COUNT,1),DBRA_WorkplanDate,$C349,DBRA_PlayerID,$D$3),"")</f>
        <v>0</v>
      </c>
      <c r="P349">
        <f ca="1">IFERROR(SUMIFS(OFFSET(DBRA_TopicCount,0,P$217,DBR_COUNT,1),DBRA_WorkplanDate,$C349,DBRA_PlayerID,$D$3),"")</f>
        <v>0</v>
      </c>
      <c r="Q349">
        <f ca="1">IFERROR(SUMIFS(OFFSET(DBRA_TopicCount,0,Q$217,DBR_COUNT,1),DBRA_WorkplanDate,$C349,DBRA_PlayerID,$D$3),"")</f>
        <v>0</v>
      </c>
      <c r="R349">
        <f ca="1">IFERROR(SUMIFS(OFFSET(DBRA_TopicCount,0,R$217,DBR_COUNT,1),DBRA_WorkplanDate,$C349,DBRA_PlayerID,$D$3),"")</f>
        <v>0</v>
      </c>
      <c r="S349">
        <f ca="1">IFERROR(SUMIFS(OFFSET(DBRA_TopicCount,0,S$217,DBR_COUNT,1),DBRA_WorkplanDate,$C349,DBRA_PlayerID,$D$3),"")</f>
        <v>0</v>
      </c>
      <c r="T349">
        <f ca="1">IFERROR(SUMIFS(OFFSET(DBRA_TopicCount,0,T$217,DBR_COUNT,1),DBRA_WorkplanDate,$C349,DBRA_PlayerID,$D$3),"")</f>
        <v>0</v>
      </c>
      <c r="U349">
        <f ca="1">IFERROR(SUMIFS(OFFSET(DBRA_TopicCount,0,U$217,DBR_COUNT,1),DBRA_WorkplanDate,$C349,DBRA_PlayerID,$D$3),"")</f>
        <v>0</v>
      </c>
      <c r="V349">
        <f ca="1">IFERROR(SUMIFS(OFFSET(DBRA_TopicCount,0,V$217,DBR_COUNT,1),DBRA_WorkplanDate,$C349,DBRA_PlayerID,$D$3),"")</f>
        <v>0</v>
      </c>
      <c r="W349" s="47"/>
      <c r="X349" t="str">
        <f t="shared" ca="1" si="94"/>
        <v/>
      </c>
      <c r="Y349" t="str">
        <f t="shared" ca="1" si="86"/>
        <v/>
      </c>
      <c r="Z349" t="str">
        <f t="shared" ca="1" si="87"/>
        <v/>
      </c>
      <c r="AA349" t="str">
        <f t="shared" ca="1" si="88"/>
        <v/>
      </c>
      <c r="AB349" t="str">
        <f t="shared" ca="1" si="89"/>
        <v/>
      </c>
      <c r="AC349" t="str">
        <f t="shared" ca="1" si="90"/>
        <v/>
      </c>
      <c r="AD349" t="str">
        <f t="shared" ca="1" si="91"/>
        <v/>
      </c>
      <c r="AE349" t="str">
        <f t="shared" ca="1" si="92"/>
        <v/>
      </c>
      <c r="AF349" t="str">
        <f t="shared" ca="1" si="93"/>
        <v/>
      </c>
      <c r="AG349" s="47"/>
    </row>
    <row r="350" spans="3:33" x14ac:dyDescent="0.25">
      <c r="C350" s="118">
        <f t="shared" si="95"/>
        <v>42136</v>
      </c>
      <c r="D350">
        <f ca="1">IFERROR(SUMIFS(OFFSET(DBRA_TopicHCP,0,D$217,DBR_COUNT,1),DBRA_WorkplanDate,$C350,DBRA_PlayerID,$D$3),"")</f>
        <v>0</v>
      </c>
      <c r="E350">
        <f ca="1">IFERROR(SUMIFS(OFFSET(DBRA_TopicHCP,0,E$217,DBR_COUNT,1),DBRA_WorkplanDate,$C350,DBRA_PlayerID,$D$3),"")</f>
        <v>0</v>
      </c>
      <c r="F350">
        <f ca="1">IFERROR(SUMIFS(OFFSET(DBRA_TopicHCP,0,F$217,DBR_COUNT,1),DBRA_WorkplanDate,$C350,DBRA_PlayerID,$D$3),"")</f>
        <v>0</v>
      </c>
      <c r="G350">
        <f ca="1">IFERROR(SUMIFS(OFFSET(DBRA_TopicHCP,0,G$217,DBR_COUNT,1),DBRA_WorkplanDate,$C350,DBRA_PlayerID,$D$3),"")</f>
        <v>0</v>
      </c>
      <c r="H350">
        <f ca="1">IFERROR(SUMIFS(OFFSET(DBRA_TopicHCP,0,H$217,DBR_COUNT,1),DBRA_WorkplanDate,$C350,DBRA_PlayerID,$D$3),"")</f>
        <v>0</v>
      </c>
      <c r="I350">
        <f ca="1">IFERROR(SUMIFS(OFFSET(DBRA_TopicHCP,0,I$217,DBR_COUNT,1),DBRA_WorkplanDate,$C350,DBRA_PlayerID,$D$3),"")</f>
        <v>0</v>
      </c>
      <c r="J350">
        <f ca="1">IFERROR(SUMIFS(OFFSET(DBRA_TopicHCP,0,J$217,DBR_COUNT,1),DBRA_WorkplanDate,$C350,DBRA_PlayerID,$D$3),"")</f>
        <v>0</v>
      </c>
      <c r="K350">
        <f ca="1">IFERROR(SUMIFS(OFFSET(DBRA_TopicHCP,0,K$217,DBR_COUNT,1),DBRA_WorkplanDate,$C350,DBRA_PlayerID,$D$3),"")</f>
        <v>0</v>
      </c>
      <c r="L350">
        <f ca="1">IFERROR(SUMIFS(OFFSET(DBRA_TopicHCP,0,L$217,DBR_COUNT,1),DBRA_WorkplanDate,$C350,DBRA_PlayerID,$D$3),"")</f>
        <v>0</v>
      </c>
      <c r="M350" s="47"/>
      <c r="N350">
        <f ca="1">IFERROR(SUMIFS(OFFSET(DBRA_TopicCount,0,N$217,DBR_COUNT,1),DBRA_WorkplanDate,$C350,DBRA_PlayerID,$D$3),"")</f>
        <v>0</v>
      </c>
      <c r="O350">
        <f ca="1">IFERROR(SUMIFS(OFFSET(DBRA_TopicCount,0,O$217,DBR_COUNT,1),DBRA_WorkplanDate,$C350,DBRA_PlayerID,$D$3),"")</f>
        <v>0</v>
      </c>
      <c r="P350">
        <f ca="1">IFERROR(SUMIFS(OFFSET(DBRA_TopicCount,0,P$217,DBR_COUNT,1),DBRA_WorkplanDate,$C350,DBRA_PlayerID,$D$3),"")</f>
        <v>0</v>
      </c>
      <c r="Q350">
        <f ca="1">IFERROR(SUMIFS(OFFSET(DBRA_TopicCount,0,Q$217,DBR_COUNT,1),DBRA_WorkplanDate,$C350,DBRA_PlayerID,$D$3),"")</f>
        <v>0</v>
      </c>
      <c r="R350">
        <f ca="1">IFERROR(SUMIFS(OFFSET(DBRA_TopicCount,0,R$217,DBR_COUNT,1),DBRA_WorkplanDate,$C350,DBRA_PlayerID,$D$3),"")</f>
        <v>0</v>
      </c>
      <c r="S350">
        <f ca="1">IFERROR(SUMIFS(OFFSET(DBRA_TopicCount,0,S$217,DBR_COUNT,1),DBRA_WorkplanDate,$C350,DBRA_PlayerID,$D$3),"")</f>
        <v>0</v>
      </c>
      <c r="T350">
        <f ca="1">IFERROR(SUMIFS(OFFSET(DBRA_TopicCount,0,T$217,DBR_COUNT,1),DBRA_WorkplanDate,$C350,DBRA_PlayerID,$D$3),"")</f>
        <v>0</v>
      </c>
      <c r="U350">
        <f ca="1">IFERROR(SUMIFS(OFFSET(DBRA_TopicCount,0,U$217,DBR_COUNT,1),DBRA_WorkplanDate,$C350,DBRA_PlayerID,$D$3),"")</f>
        <v>0</v>
      </c>
      <c r="V350">
        <f ca="1">IFERROR(SUMIFS(OFFSET(DBRA_TopicCount,0,V$217,DBR_COUNT,1),DBRA_WorkplanDate,$C350,DBRA_PlayerID,$D$3),"")</f>
        <v>0</v>
      </c>
      <c r="W350" s="47"/>
      <c r="X350" t="str">
        <f t="shared" ca="1" si="94"/>
        <v/>
      </c>
      <c r="Y350" t="str">
        <f t="shared" ca="1" si="86"/>
        <v/>
      </c>
      <c r="Z350" t="str">
        <f t="shared" ca="1" si="87"/>
        <v/>
      </c>
      <c r="AA350" t="str">
        <f t="shared" ca="1" si="88"/>
        <v/>
      </c>
      <c r="AB350" t="str">
        <f t="shared" ca="1" si="89"/>
        <v/>
      </c>
      <c r="AC350" t="str">
        <f t="shared" ca="1" si="90"/>
        <v/>
      </c>
      <c r="AD350" t="str">
        <f t="shared" ca="1" si="91"/>
        <v/>
      </c>
      <c r="AE350" t="str">
        <f t="shared" ca="1" si="92"/>
        <v/>
      </c>
      <c r="AF350" t="str">
        <f t="shared" ca="1" si="93"/>
        <v/>
      </c>
      <c r="AG350" s="47"/>
    </row>
    <row r="351" spans="3:33" x14ac:dyDescent="0.25">
      <c r="C351" s="118">
        <f t="shared" si="95"/>
        <v>42137</v>
      </c>
      <c r="D351">
        <f ca="1">IFERROR(SUMIFS(OFFSET(DBRA_TopicHCP,0,D$217,DBR_COUNT,1),DBRA_WorkplanDate,$C351,DBRA_PlayerID,$D$3),"")</f>
        <v>0</v>
      </c>
      <c r="E351">
        <f ca="1">IFERROR(SUMIFS(OFFSET(DBRA_TopicHCP,0,E$217,DBR_COUNT,1),DBRA_WorkplanDate,$C351,DBRA_PlayerID,$D$3),"")</f>
        <v>0</v>
      </c>
      <c r="F351">
        <f ca="1">IFERROR(SUMIFS(OFFSET(DBRA_TopicHCP,0,F$217,DBR_COUNT,1),DBRA_WorkplanDate,$C351,DBRA_PlayerID,$D$3),"")</f>
        <v>0</v>
      </c>
      <c r="G351">
        <f ca="1">IFERROR(SUMIFS(OFFSET(DBRA_TopicHCP,0,G$217,DBR_COUNT,1),DBRA_WorkplanDate,$C351,DBRA_PlayerID,$D$3),"")</f>
        <v>0</v>
      </c>
      <c r="H351">
        <f ca="1">IFERROR(SUMIFS(OFFSET(DBRA_TopicHCP,0,H$217,DBR_COUNT,1),DBRA_WorkplanDate,$C351,DBRA_PlayerID,$D$3),"")</f>
        <v>0</v>
      </c>
      <c r="I351">
        <f ca="1">IFERROR(SUMIFS(OFFSET(DBRA_TopicHCP,0,I$217,DBR_COUNT,1),DBRA_WorkplanDate,$C351,DBRA_PlayerID,$D$3),"")</f>
        <v>0</v>
      </c>
      <c r="J351">
        <f ca="1">IFERROR(SUMIFS(OFFSET(DBRA_TopicHCP,0,J$217,DBR_COUNT,1),DBRA_WorkplanDate,$C351,DBRA_PlayerID,$D$3),"")</f>
        <v>0</v>
      </c>
      <c r="K351">
        <f ca="1">IFERROR(SUMIFS(OFFSET(DBRA_TopicHCP,0,K$217,DBR_COUNT,1),DBRA_WorkplanDate,$C351,DBRA_PlayerID,$D$3),"")</f>
        <v>0</v>
      </c>
      <c r="L351">
        <f ca="1">IFERROR(SUMIFS(OFFSET(DBRA_TopicHCP,0,L$217,DBR_COUNT,1),DBRA_WorkplanDate,$C351,DBRA_PlayerID,$D$3),"")</f>
        <v>0</v>
      </c>
      <c r="M351" s="47"/>
      <c r="N351">
        <f ca="1">IFERROR(SUMIFS(OFFSET(DBRA_TopicCount,0,N$217,DBR_COUNT,1),DBRA_WorkplanDate,$C351,DBRA_PlayerID,$D$3),"")</f>
        <v>0</v>
      </c>
      <c r="O351">
        <f ca="1">IFERROR(SUMIFS(OFFSET(DBRA_TopicCount,0,O$217,DBR_COUNT,1),DBRA_WorkplanDate,$C351,DBRA_PlayerID,$D$3),"")</f>
        <v>0</v>
      </c>
      <c r="P351">
        <f ca="1">IFERROR(SUMIFS(OFFSET(DBRA_TopicCount,0,P$217,DBR_COUNT,1),DBRA_WorkplanDate,$C351,DBRA_PlayerID,$D$3),"")</f>
        <v>0</v>
      </c>
      <c r="Q351">
        <f ca="1">IFERROR(SUMIFS(OFFSET(DBRA_TopicCount,0,Q$217,DBR_COUNT,1),DBRA_WorkplanDate,$C351,DBRA_PlayerID,$D$3),"")</f>
        <v>0</v>
      </c>
      <c r="R351">
        <f ca="1">IFERROR(SUMIFS(OFFSET(DBRA_TopicCount,0,R$217,DBR_COUNT,1),DBRA_WorkplanDate,$C351,DBRA_PlayerID,$D$3),"")</f>
        <v>0</v>
      </c>
      <c r="S351">
        <f ca="1">IFERROR(SUMIFS(OFFSET(DBRA_TopicCount,0,S$217,DBR_COUNT,1),DBRA_WorkplanDate,$C351,DBRA_PlayerID,$D$3),"")</f>
        <v>0</v>
      </c>
      <c r="T351">
        <f ca="1">IFERROR(SUMIFS(OFFSET(DBRA_TopicCount,0,T$217,DBR_COUNT,1),DBRA_WorkplanDate,$C351,DBRA_PlayerID,$D$3),"")</f>
        <v>0</v>
      </c>
      <c r="U351">
        <f ca="1">IFERROR(SUMIFS(OFFSET(DBRA_TopicCount,0,U$217,DBR_COUNT,1),DBRA_WorkplanDate,$C351,DBRA_PlayerID,$D$3),"")</f>
        <v>0</v>
      </c>
      <c r="V351">
        <f ca="1">IFERROR(SUMIFS(OFFSET(DBRA_TopicCount,0,V$217,DBR_COUNT,1),DBRA_WorkplanDate,$C351,DBRA_PlayerID,$D$3),"")</f>
        <v>0</v>
      </c>
      <c r="W351" s="47"/>
      <c r="X351" t="str">
        <f t="shared" ca="1" si="94"/>
        <v/>
      </c>
      <c r="Y351" t="str">
        <f t="shared" ca="1" si="86"/>
        <v/>
      </c>
      <c r="Z351" t="str">
        <f t="shared" ca="1" si="87"/>
        <v/>
      </c>
      <c r="AA351" t="str">
        <f t="shared" ca="1" si="88"/>
        <v/>
      </c>
      <c r="AB351" t="str">
        <f t="shared" ca="1" si="89"/>
        <v/>
      </c>
      <c r="AC351" t="str">
        <f t="shared" ca="1" si="90"/>
        <v/>
      </c>
      <c r="AD351" t="str">
        <f t="shared" ca="1" si="91"/>
        <v/>
      </c>
      <c r="AE351" t="str">
        <f t="shared" ca="1" si="92"/>
        <v/>
      </c>
      <c r="AF351" t="str">
        <f t="shared" ca="1" si="93"/>
        <v/>
      </c>
      <c r="AG351" s="47"/>
    </row>
    <row r="352" spans="3:33" x14ac:dyDescent="0.25">
      <c r="C352" s="118">
        <f t="shared" si="95"/>
        <v>42138</v>
      </c>
      <c r="D352">
        <f ca="1">IFERROR(SUMIFS(OFFSET(DBRA_TopicHCP,0,D$217,DBR_COUNT,1),DBRA_WorkplanDate,$C352,DBRA_PlayerID,$D$3),"")</f>
        <v>0</v>
      </c>
      <c r="E352">
        <f ca="1">IFERROR(SUMIFS(OFFSET(DBRA_TopicHCP,0,E$217,DBR_COUNT,1),DBRA_WorkplanDate,$C352,DBRA_PlayerID,$D$3),"")</f>
        <v>0</v>
      </c>
      <c r="F352">
        <f ca="1">IFERROR(SUMIFS(OFFSET(DBRA_TopicHCP,0,F$217,DBR_COUNT,1),DBRA_WorkplanDate,$C352,DBRA_PlayerID,$D$3),"")</f>
        <v>0</v>
      </c>
      <c r="G352">
        <f ca="1">IFERROR(SUMIFS(OFFSET(DBRA_TopicHCP,0,G$217,DBR_COUNT,1),DBRA_WorkplanDate,$C352,DBRA_PlayerID,$D$3),"")</f>
        <v>0</v>
      </c>
      <c r="H352">
        <f ca="1">IFERROR(SUMIFS(OFFSET(DBRA_TopicHCP,0,H$217,DBR_COUNT,1),DBRA_WorkplanDate,$C352,DBRA_PlayerID,$D$3),"")</f>
        <v>0</v>
      </c>
      <c r="I352">
        <f ca="1">IFERROR(SUMIFS(OFFSET(DBRA_TopicHCP,0,I$217,DBR_COUNT,1),DBRA_WorkplanDate,$C352,DBRA_PlayerID,$D$3),"")</f>
        <v>0</v>
      </c>
      <c r="J352">
        <f ca="1">IFERROR(SUMIFS(OFFSET(DBRA_TopicHCP,0,J$217,DBR_COUNT,1),DBRA_WorkplanDate,$C352,DBRA_PlayerID,$D$3),"")</f>
        <v>0</v>
      </c>
      <c r="K352">
        <f ca="1">IFERROR(SUMIFS(OFFSET(DBRA_TopicHCP,0,K$217,DBR_COUNT,1),DBRA_WorkplanDate,$C352,DBRA_PlayerID,$D$3),"")</f>
        <v>0</v>
      </c>
      <c r="L352">
        <f ca="1">IFERROR(SUMIFS(OFFSET(DBRA_TopicHCP,0,L$217,DBR_COUNT,1),DBRA_WorkplanDate,$C352,DBRA_PlayerID,$D$3),"")</f>
        <v>0</v>
      </c>
      <c r="M352" s="47"/>
      <c r="N352">
        <f ca="1">IFERROR(SUMIFS(OFFSET(DBRA_TopicCount,0,N$217,DBR_COUNT,1),DBRA_WorkplanDate,$C352,DBRA_PlayerID,$D$3),"")</f>
        <v>0</v>
      </c>
      <c r="O352">
        <f ca="1">IFERROR(SUMIFS(OFFSET(DBRA_TopicCount,0,O$217,DBR_COUNT,1),DBRA_WorkplanDate,$C352,DBRA_PlayerID,$D$3),"")</f>
        <v>0</v>
      </c>
      <c r="P352">
        <f ca="1">IFERROR(SUMIFS(OFFSET(DBRA_TopicCount,0,P$217,DBR_COUNT,1),DBRA_WorkplanDate,$C352,DBRA_PlayerID,$D$3),"")</f>
        <v>0</v>
      </c>
      <c r="Q352">
        <f ca="1">IFERROR(SUMIFS(OFFSET(DBRA_TopicCount,0,Q$217,DBR_COUNT,1),DBRA_WorkplanDate,$C352,DBRA_PlayerID,$D$3),"")</f>
        <v>0</v>
      </c>
      <c r="R352">
        <f ca="1">IFERROR(SUMIFS(OFFSET(DBRA_TopicCount,0,R$217,DBR_COUNT,1),DBRA_WorkplanDate,$C352,DBRA_PlayerID,$D$3),"")</f>
        <v>0</v>
      </c>
      <c r="S352">
        <f ca="1">IFERROR(SUMIFS(OFFSET(DBRA_TopicCount,0,S$217,DBR_COUNT,1),DBRA_WorkplanDate,$C352,DBRA_PlayerID,$D$3),"")</f>
        <v>0</v>
      </c>
      <c r="T352">
        <f ca="1">IFERROR(SUMIFS(OFFSET(DBRA_TopicCount,0,T$217,DBR_COUNT,1),DBRA_WorkplanDate,$C352,DBRA_PlayerID,$D$3),"")</f>
        <v>0</v>
      </c>
      <c r="U352">
        <f ca="1">IFERROR(SUMIFS(OFFSET(DBRA_TopicCount,0,U$217,DBR_COUNT,1),DBRA_WorkplanDate,$C352,DBRA_PlayerID,$D$3),"")</f>
        <v>0</v>
      </c>
      <c r="V352">
        <f ca="1">IFERROR(SUMIFS(OFFSET(DBRA_TopicCount,0,V$217,DBR_COUNT,1),DBRA_WorkplanDate,$C352,DBRA_PlayerID,$D$3),"")</f>
        <v>0</v>
      </c>
      <c r="W352" s="47"/>
      <c r="X352" t="str">
        <f t="shared" ca="1" si="94"/>
        <v/>
      </c>
      <c r="Y352" t="str">
        <f t="shared" ca="1" si="86"/>
        <v/>
      </c>
      <c r="Z352" t="str">
        <f t="shared" ca="1" si="87"/>
        <v/>
      </c>
      <c r="AA352" t="str">
        <f t="shared" ca="1" si="88"/>
        <v/>
      </c>
      <c r="AB352" t="str">
        <f t="shared" ca="1" si="89"/>
        <v/>
      </c>
      <c r="AC352" t="str">
        <f t="shared" ca="1" si="90"/>
        <v/>
      </c>
      <c r="AD352" t="str">
        <f t="shared" ca="1" si="91"/>
        <v/>
      </c>
      <c r="AE352" t="str">
        <f t="shared" ca="1" si="92"/>
        <v/>
      </c>
      <c r="AF352" t="str">
        <f t="shared" ca="1" si="93"/>
        <v/>
      </c>
      <c r="AG352" s="47"/>
    </row>
    <row r="353" spans="3:33" x14ac:dyDescent="0.25">
      <c r="C353" s="118">
        <f t="shared" si="95"/>
        <v>42139</v>
      </c>
      <c r="D353">
        <f ca="1">IFERROR(SUMIFS(OFFSET(DBRA_TopicHCP,0,D$217,DBR_COUNT,1),DBRA_WorkplanDate,$C353,DBRA_PlayerID,$D$3),"")</f>
        <v>0</v>
      </c>
      <c r="E353">
        <f ca="1">IFERROR(SUMIFS(OFFSET(DBRA_TopicHCP,0,E$217,DBR_COUNT,1),DBRA_WorkplanDate,$C353,DBRA_PlayerID,$D$3),"")</f>
        <v>0</v>
      </c>
      <c r="F353">
        <f ca="1">IFERROR(SUMIFS(OFFSET(DBRA_TopicHCP,0,F$217,DBR_COUNT,1),DBRA_WorkplanDate,$C353,DBRA_PlayerID,$D$3),"")</f>
        <v>0</v>
      </c>
      <c r="G353">
        <f ca="1">IFERROR(SUMIFS(OFFSET(DBRA_TopicHCP,0,G$217,DBR_COUNT,1),DBRA_WorkplanDate,$C353,DBRA_PlayerID,$D$3),"")</f>
        <v>0</v>
      </c>
      <c r="H353">
        <f ca="1">IFERROR(SUMIFS(OFFSET(DBRA_TopicHCP,0,H$217,DBR_COUNT,1),DBRA_WorkplanDate,$C353,DBRA_PlayerID,$D$3),"")</f>
        <v>0</v>
      </c>
      <c r="I353">
        <f ca="1">IFERROR(SUMIFS(OFFSET(DBRA_TopicHCP,0,I$217,DBR_COUNT,1),DBRA_WorkplanDate,$C353,DBRA_PlayerID,$D$3),"")</f>
        <v>0</v>
      </c>
      <c r="J353">
        <f ca="1">IFERROR(SUMIFS(OFFSET(DBRA_TopicHCP,0,J$217,DBR_COUNT,1),DBRA_WorkplanDate,$C353,DBRA_PlayerID,$D$3),"")</f>
        <v>0</v>
      </c>
      <c r="K353">
        <f ca="1">IFERROR(SUMIFS(OFFSET(DBRA_TopicHCP,0,K$217,DBR_COUNT,1),DBRA_WorkplanDate,$C353,DBRA_PlayerID,$D$3),"")</f>
        <v>0</v>
      </c>
      <c r="L353">
        <f ca="1">IFERROR(SUMIFS(OFFSET(DBRA_TopicHCP,0,L$217,DBR_COUNT,1),DBRA_WorkplanDate,$C353,DBRA_PlayerID,$D$3),"")</f>
        <v>0</v>
      </c>
      <c r="M353" s="47"/>
      <c r="N353">
        <f ca="1">IFERROR(SUMIFS(OFFSET(DBRA_TopicCount,0,N$217,DBR_COUNT,1),DBRA_WorkplanDate,$C353,DBRA_PlayerID,$D$3),"")</f>
        <v>0</v>
      </c>
      <c r="O353">
        <f ca="1">IFERROR(SUMIFS(OFFSET(DBRA_TopicCount,0,O$217,DBR_COUNT,1),DBRA_WorkplanDate,$C353,DBRA_PlayerID,$D$3),"")</f>
        <v>0</v>
      </c>
      <c r="P353">
        <f ca="1">IFERROR(SUMIFS(OFFSET(DBRA_TopicCount,0,P$217,DBR_COUNT,1),DBRA_WorkplanDate,$C353,DBRA_PlayerID,$D$3),"")</f>
        <v>0</v>
      </c>
      <c r="Q353">
        <f ca="1">IFERROR(SUMIFS(OFFSET(DBRA_TopicCount,0,Q$217,DBR_COUNT,1),DBRA_WorkplanDate,$C353,DBRA_PlayerID,$D$3),"")</f>
        <v>0</v>
      </c>
      <c r="R353">
        <f ca="1">IFERROR(SUMIFS(OFFSET(DBRA_TopicCount,0,R$217,DBR_COUNT,1),DBRA_WorkplanDate,$C353,DBRA_PlayerID,$D$3),"")</f>
        <v>0</v>
      </c>
      <c r="S353">
        <f ca="1">IFERROR(SUMIFS(OFFSET(DBRA_TopicCount,0,S$217,DBR_COUNT,1),DBRA_WorkplanDate,$C353,DBRA_PlayerID,$D$3),"")</f>
        <v>0</v>
      </c>
      <c r="T353">
        <f ca="1">IFERROR(SUMIFS(OFFSET(DBRA_TopicCount,0,T$217,DBR_COUNT,1),DBRA_WorkplanDate,$C353,DBRA_PlayerID,$D$3),"")</f>
        <v>0</v>
      </c>
      <c r="U353">
        <f ca="1">IFERROR(SUMIFS(OFFSET(DBRA_TopicCount,0,U$217,DBR_COUNT,1),DBRA_WorkplanDate,$C353,DBRA_PlayerID,$D$3),"")</f>
        <v>0</v>
      </c>
      <c r="V353">
        <f ca="1">IFERROR(SUMIFS(OFFSET(DBRA_TopicCount,0,V$217,DBR_COUNT,1),DBRA_WorkplanDate,$C353,DBRA_PlayerID,$D$3),"")</f>
        <v>0</v>
      </c>
      <c r="W353" s="47"/>
      <c r="X353" t="str">
        <f t="shared" ca="1" si="94"/>
        <v/>
      </c>
      <c r="Y353" t="str">
        <f t="shared" ca="1" si="86"/>
        <v/>
      </c>
      <c r="Z353" t="str">
        <f t="shared" ca="1" si="87"/>
        <v/>
      </c>
      <c r="AA353" t="str">
        <f t="shared" ca="1" si="88"/>
        <v/>
      </c>
      <c r="AB353" t="str">
        <f t="shared" ca="1" si="89"/>
        <v/>
      </c>
      <c r="AC353" t="str">
        <f t="shared" ca="1" si="90"/>
        <v/>
      </c>
      <c r="AD353" t="str">
        <f t="shared" ca="1" si="91"/>
        <v/>
      </c>
      <c r="AE353" t="str">
        <f t="shared" ca="1" si="92"/>
        <v/>
      </c>
      <c r="AF353" t="str">
        <f t="shared" ca="1" si="93"/>
        <v/>
      </c>
      <c r="AG353" s="47"/>
    </row>
    <row r="354" spans="3:33" x14ac:dyDescent="0.25">
      <c r="C354" s="118">
        <f t="shared" si="95"/>
        <v>42140</v>
      </c>
      <c r="D354">
        <f ca="1">IFERROR(SUMIFS(OFFSET(DBRA_TopicHCP,0,D$217,DBR_COUNT,1),DBRA_WorkplanDate,$C354,DBRA_PlayerID,$D$3),"")</f>
        <v>0</v>
      </c>
      <c r="E354">
        <f ca="1">IFERROR(SUMIFS(OFFSET(DBRA_TopicHCP,0,E$217,DBR_COUNT,1),DBRA_WorkplanDate,$C354,DBRA_PlayerID,$D$3),"")</f>
        <v>0</v>
      </c>
      <c r="F354">
        <f ca="1">IFERROR(SUMIFS(OFFSET(DBRA_TopicHCP,0,F$217,DBR_COUNT,1),DBRA_WorkplanDate,$C354,DBRA_PlayerID,$D$3),"")</f>
        <v>0</v>
      </c>
      <c r="G354">
        <f ca="1">IFERROR(SUMIFS(OFFSET(DBRA_TopicHCP,0,G$217,DBR_COUNT,1),DBRA_WorkplanDate,$C354,DBRA_PlayerID,$D$3),"")</f>
        <v>0</v>
      </c>
      <c r="H354">
        <f ca="1">IFERROR(SUMIFS(OFFSET(DBRA_TopicHCP,0,H$217,DBR_COUNT,1),DBRA_WorkplanDate,$C354,DBRA_PlayerID,$D$3),"")</f>
        <v>0</v>
      </c>
      <c r="I354">
        <f ca="1">IFERROR(SUMIFS(OFFSET(DBRA_TopicHCP,0,I$217,DBR_COUNT,1),DBRA_WorkplanDate,$C354,DBRA_PlayerID,$D$3),"")</f>
        <v>0</v>
      </c>
      <c r="J354">
        <f ca="1">IFERROR(SUMIFS(OFFSET(DBRA_TopicHCP,0,J$217,DBR_COUNT,1),DBRA_WorkplanDate,$C354,DBRA_PlayerID,$D$3),"")</f>
        <v>0</v>
      </c>
      <c r="K354">
        <f ca="1">IFERROR(SUMIFS(OFFSET(DBRA_TopicHCP,0,K$217,DBR_COUNT,1),DBRA_WorkplanDate,$C354,DBRA_PlayerID,$D$3),"")</f>
        <v>0</v>
      </c>
      <c r="L354">
        <f ca="1">IFERROR(SUMIFS(OFFSET(DBRA_TopicHCP,0,L$217,DBR_COUNT,1),DBRA_WorkplanDate,$C354,DBRA_PlayerID,$D$3),"")</f>
        <v>0</v>
      </c>
      <c r="M354" s="47"/>
      <c r="N354">
        <f ca="1">IFERROR(SUMIFS(OFFSET(DBRA_TopicCount,0,N$217,DBR_COUNT,1),DBRA_WorkplanDate,$C354,DBRA_PlayerID,$D$3),"")</f>
        <v>0</v>
      </c>
      <c r="O354">
        <f ca="1">IFERROR(SUMIFS(OFFSET(DBRA_TopicCount,0,O$217,DBR_COUNT,1),DBRA_WorkplanDate,$C354,DBRA_PlayerID,$D$3),"")</f>
        <v>0</v>
      </c>
      <c r="P354">
        <f ca="1">IFERROR(SUMIFS(OFFSET(DBRA_TopicCount,0,P$217,DBR_COUNT,1),DBRA_WorkplanDate,$C354,DBRA_PlayerID,$D$3),"")</f>
        <v>0</v>
      </c>
      <c r="Q354">
        <f ca="1">IFERROR(SUMIFS(OFFSET(DBRA_TopicCount,0,Q$217,DBR_COUNT,1),DBRA_WorkplanDate,$C354,DBRA_PlayerID,$D$3),"")</f>
        <v>0</v>
      </c>
      <c r="R354">
        <f ca="1">IFERROR(SUMIFS(OFFSET(DBRA_TopicCount,0,R$217,DBR_COUNT,1),DBRA_WorkplanDate,$C354,DBRA_PlayerID,$D$3),"")</f>
        <v>0</v>
      </c>
      <c r="S354">
        <f ca="1">IFERROR(SUMIFS(OFFSET(DBRA_TopicCount,0,S$217,DBR_COUNT,1),DBRA_WorkplanDate,$C354,DBRA_PlayerID,$D$3),"")</f>
        <v>0</v>
      </c>
      <c r="T354">
        <f ca="1">IFERROR(SUMIFS(OFFSET(DBRA_TopicCount,0,T$217,DBR_COUNT,1),DBRA_WorkplanDate,$C354,DBRA_PlayerID,$D$3),"")</f>
        <v>0</v>
      </c>
      <c r="U354">
        <f ca="1">IFERROR(SUMIFS(OFFSET(DBRA_TopicCount,0,U$217,DBR_COUNT,1),DBRA_WorkplanDate,$C354,DBRA_PlayerID,$D$3),"")</f>
        <v>0</v>
      </c>
      <c r="V354">
        <f ca="1">IFERROR(SUMIFS(OFFSET(DBRA_TopicCount,0,V$217,DBR_COUNT,1),DBRA_WorkplanDate,$C354,DBRA_PlayerID,$D$3),"")</f>
        <v>0</v>
      </c>
      <c r="W354" s="47"/>
      <c r="X354" t="str">
        <f t="shared" ca="1" si="94"/>
        <v/>
      </c>
      <c r="Y354" t="str">
        <f t="shared" ca="1" si="86"/>
        <v/>
      </c>
      <c r="Z354" t="str">
        <f t="shared" ca="1" si="87"/>
        <v/>
      </c>
      <c r="AA354" t="str">
        <f t="shared" ca="1" si="88"/>
        <v/>
      </c>
      <c r="AB354" t="str">
        <f t="shared" ca="1" si="89"/>
        <v/>
      </c>
      <c r="AC354" t="str">
        <f t="shared" ca="1" si="90"/>
        <v/>
      </c>
      <c r="AD354" t="str">
        <f t="shared" ca="1" si="91"/>
        <v/>
      </c>
      <c r="AE354" t="str">
        <f t="shared" ca="1" si="92"/>
        <v/>
      </c>
      <c r="AF354" t="str">
        <f t="shared" ca="1" si="93"/>
        <v/>
      </c>
      <c r="AG354" s="47"/>
    </row>
    <row r="355" spans="3:33" x14ac:dyDescent="0.25">
      <c r="C355" s="118">
        <f t="shared" si="95"/>
        <v>42141</v>
      </c>
      <c r="D355">
        <f ca="1">IFERROR(SUMIFS(OFFSET(DBRA_TopicHCP,0,D$217,DBR_COUNT,1),DBRA_WorkplanDate,$C355,DBRA_PlayerID,$D$3),"")</f>
        <v>0</v>
      </c>
      <c r="E355">
        <f ca="1">IFERROR(SUMIFS(OFFSET(DBRA_TopicHCP,0,E$217,DBR_COUNT,1),DBRA_WorkplanDate,$C355,DBRA_PlayerID,$D$3),"")</f>
        <v>0</v>
      </c>
      <c r="F355">
        <f ca="1">IFERROR(SUMIFS(OFFSET(DBRA_TopicHCP,0,F$217,DBR_COUNT,1),DBRA_WorkplanDate,$C355,DBRA_PlayerID,$D$3),"")</f>
        <v>0</v>
      </c>
      <c r="G355">
        <f ca="1">IFERROR(SUMIFS(OFFSET(DBRA_TopicHCP,0,G$217,DBR_COUNT,1),DBRA_WorkplanDate,$C355,DBRA_PlayerID,$D$3),"")</f>
        <v>0</v>
      </c>
      <c r="H355">
        <f ca="1">IFERROR(SUMIFS(OFFSET(DBRA_TopicHCP,0,H$217,DBR_COUNT,1),DBRA_WorkplanDate,$C355,DBRA_PlayerID,$D$3),"")</f>
        <v>0</v>
      </c>
      <c r="I355">
        <f ca="1">IFERROR(SUMIFS(OFFSET(DBRA_TopicHCP,0,I$217,DBR_COUNT,1),DBRA_WorkplanDate,$C355,DBRA_PlayerID,$D$3),"")</f>
        <v>0</v>
      </c>
      <c r="J355">
        <f ca="1">IFERROR(SUMIFS(OFFSET(DBRA_TopicHCP,0,J$217,DBR_COUNT,1),DBRA_WorkplanDate,$C355,DBRA_PlayerID,$D$3),"")</f>
        <v>0</v>
      </c>
      <c r="K355">
        <f ca="1">IFERROR(SUMIFS(OFFSET(DBRA_TopicHCP,0,K$217,DBR_COUNT,1),DBRA_WorkplanDate,$C355,DBRA_PlayerID,$D$3),"")</f>
        <v>0</v>
      </c>
      <c r="L355">
        <f ca="1">IFERROR(SUMIFS(OFFSET(DBRA_TopicHCP,0,L$217,DBR_COUNT,1),DBRA_WorkplanDate,$C355,DBRA_PlayerID,$D$3),"")</f>
        <v>0</v>
      </c>
      <c r="M355" s="47"/>
      <c r="N355">
        <f ca="1">IFERROR(SUMIFS(OFFSET(DBRA_TopicCount,0,N$217,DBR_COUNT,1),DBRA_WorkplanDate,$C355,DBRA_PlayerID,$D$3),"")</f>
        <v>0</v>
      </c>
      <c r="O355">
        <f ca="1">IFERROR(SUMIFS(OFFSET(DBRA_TopicCount,0,O$217,DBR_COUNT,1),DBRA_WorkplanDate,$C355,DBRA_PlayerID,$D$3),"")</f>
        <v>0</v>
      </c>
      <c r="P355">
        <f ca="1">IFERROR(SUMIFS(OFFSET(DBRA_TopicCount,0,P$217,DBR_COUNT,1),DBRA_WorkplanDate,$C355,DBRA_PlayerID,$D$3),"")</f>
        <v>0</v>
      </c>
      <c r="Q355">
        <f ca="1">IFERROR(SUMIFS(OFFSET(DBRA_TopicCount,0,Q$217,DBR_COUNT,1),DBRA_WorkplanDate,$C355,DBRA_PlayerID,$D$3),"")</f>
        <v>0</v>
      </c>
      <c r="R355">
        <f ca="1">IFERROR(SUMIFS(OFFSET(DBRA_TopicCount,0,R$217,DBR_COUNT,1),DBRA_WorkplanDate,$C355,DBRA_PlayerID,$D$3),"")</f>
        <v>0</v>
      </c>
      <c r="S355">
        <f ca="1">IFERROR(SUMIFS(OFFSET(DBRA_TopicCount,0,S$217,DBR_COUNT,1),DBRA_WorkplanDate,$C355,DBRA_PlayerID,$D$3),"")</f>
        <v>0</v>
      </c>
      <c r="T355">
        <f ca="1">IFERROR(SUMIFS(OFFSET(DBRA_TopicCount,0,T$217,DBR_COUNT,1),DBRA_WorkplanDate,$C355,DBRA_PlayerID,$D$3),"")</f>
        <v>0</v>
      </c>
      <c r="U355">
        <f ca="1">IFERROR(SUMIFS(OFFSET(DBRA_TopicCount,0,U$217,DBR_COUNT,1),DBRA_WorkplanDate,$C355,DBRA_PlayerID,$D$3),"")</f>
        <v>0</v>
      </c>
      <c r="V355">
        <f ca="1">IFERROR(SUMIFS(OFFSET(DBRA_TopicCount,0,V$217,DBR_COUNT,1),DBRA_WorkplanDate,$C355,DBRA_PlayerID,$D$3),"")</f>
        <v>0</v>
      </c>
      <c r="W355" s="47"/>
      <c r="X355" t="str">
        <f t="shared" ca="1" si="94"/>
        <v/>
      </c>
      <c r="Y355" t="str">
        <f t="shared" ca="1" si="86"/>
        <v/>
      </c>
      <c r="Z355" t="str">
        <f t="shared" ca="1" si="87"/>
        <v/>
      </c>
      <c r="AA355" t="str">
        <f t="shared" ca="1" si="88"/>
        <v/>
      </c>
      <c r="AB355" t="str">
        <f t="shared" ca="1" si="89"/>
        <v/>
      </c>
      <c r="AC355" t="str">
        <f t="shared" ca="1" si="90"/>
        <v/>
      </c>
      <c r="AD355" t="str">
        <f t="shared" ca="1" si="91"/>
        <v/>
      </c>
      <c r="AE355" t="str">
        <f t="shared" ca="1" si="92"/>
        <v/>
      </c>
      <c r="AF355" t="str">
        <f t="shared" ca="1" si="93"/>
        <v/>
      </c>
      <c r="AG355" s="47"/>
    </row>
    <row r="356" spans="3:33" x14ac:dyDescent="0.25">
      <c r="C356" s="118">
        <f t="shared" si="95"/>
        <v>42142</v>
      </c>
      <c r="D356">
        <f ca="1">IFERROR(SUMIFS(OFFSET(DBRA_TopicHCP,0,D$217,DBR_COUNT,1),DBRA_WorkplanDate,$C356,DBRA_PlayerID,$D$3),"")</f>
        <v>0</v>
      </c>
      <c r="E356">
        <f ca="1">IFERROR(SUMIFS(OFFSET(DBRA_TopicHCP,0,E$217,DBR_COUNT,1),DBRA_WorkplanDate,$C356,DBRA_PlayerID,$D$3),"")</f>
        <v>0</v>
      </c>
      <c r="F356">
        <f ca="1">IFERROR(SUMIFS(OFFSET(DBRA_TopicHCP,0,F$217,DBR_COUNT,1),DBRA_WorkplanDate,$C356,DBRA_PlayerID,$D$3),"")</f>
        <v>0</v>
      </c>
      <c r="G356">
        <f ca="1">IFERROR(SUMIFS(OFFSET(DBRA_TopicHCP,0,G$217,DBR_COUNT,1),DBRA_WorkplanDate,$C356,DBRA_PlayerID,$D$3),"")</f>
        <v>0</v>
      </c>
      <c r="H356">
        <f ca="1">IFERROR(SUMIFS(OFFSET(DBRA_TopicHCP,0,H$217,DBR_COUNT,1),DBRA_WorkplanDate,$C356,DBRA_PlayerID,$D$3),"")</f>
        <v>0</v>
      </c>
      <c r="I356">
        <f ca="1">IFERROR(SUMIFS(OFFSET(DBRA_TopicHCP,0,I$217,DBR_COUNT,1),DBRA_WorkplanDate,$C356,DBRA_PlayerID,$D$3),"")</f>
        <v>0</v>
      </c>
      <c r="J356">
        <f ca="1">IFERROR(SUMIFS(OFFSET(DBRA_TopicHCP,0,J$217,DBR_COUNT,1),DBRA_WorkplanDate,$C356,DBRA_PlayerID,$D$3),"")</f>
        <v>0</v>
      </c>
      <c r="K356">
        <f ca="1">IFERROR(SUMIFS(OFFSET(DBRA_TopicHCP,0,K$217,DBR_COUNT,1),DBRA_WorkplanDate,$C356,DBRA_PlayerID,$D$3),"")</f>
        <v>0</v>
      </c>
      <c r="L356">
        <f ca="1">IFERROR(SUMIFS(OFFSET(DBRA_TopicHCP,0,L$217,DBR_COUNT,1),DBRA_WorkplanDate,$C356,DBRA_PlayerID,$D$3),"")</f>
        <v>0</v>
      </c>
      <c r="M356" s="47"/>
      <c r="N356">
        <f ca="1">IFERROR(SUMIFS(OFFSET(DBRA_TopicCount,0,N$217,DBR_COUNT,1),DBRA_WorkplanDate,$C356,DBRA_PlayerID,$D$3),"")</f>
        <v>0</v>
      </c>
      <c r="O356">
        <f ca="1">IFERROR(SUMIFS(OFFSET(DBRA_TopicCount,0,O$217,DBR_COUNT,1),DBRA_WorkplanDate,$C356,DBRA_PlayerID,$D$3),"")</f>
        <v>0</v>
      </c>
      <c r="P356">
        <f ca="1">IFERROR(SUMIFS(OFFSET(DBRA_TopicCount,0,P$217,DBR_COUNT,1),DBRA_WorkplanDate,$C356,DBRA_PlayerID,$D$3),"")</f>
        <v>0</v>
      </c>
      <c r="Q356">
        <f ca="1">IFERROR(SUMIFS(OFFSET(DBRA_TopicCount,0,Q$217,DBR_COUNT,1),DBRA_WorkplanDate,$C356,DBRA_PlayerID,$D$3),"")</f>
        <v>0</v>
      </c>
      <c r="R356">
        <f ca="1">IFERROR(SUMIFS(OFFSET(DBRA_TopicCount,0,R$217,DBR_COUNT,1),DBRA_WorkplanDate,$C356,DBRA_PlayerID,$D$3),"")</f>
        <v>0</v>
      </c>
      <c r="S356">
        <f ca="1">IFERROR(SUMIFS(OFFSET(DBRA_TopicCount,0,S$217,DBR_COUNT,1),DBRA_WorkplanDate,$C356,DBRA_PlayerID,$D$3),"")</f>
        <v>0</v>
      </c>
      <c r="T356">
        <f ca="1">IFERROR(SUMIFS(OFFSET(DBRA_TopicCount,0,T$217,DBR_COUNT,1),DBRA_WorkplanDate,$C356,DBRA_PlayerID,$D$3),"")</f>
        <v>0</v>
      </c>
      <c r="U356">
        <f ca="1">IFERROR(SUMIFS(OFFSET(DBRA_TopicCount,0,U$217,DBR_COUNT,1),DBRA_WorkplanDate,$C356,DBRA_PlayerID,$D$3),"")</f>
        <v>0</v>
      </c>
      <c r="V356">
        <f ca="1">IFERROR(SUMIFS(OFFSET(DBRA_TopicCount,0,V$217,DBR_COUNT,1),DBRA_WorkplanDate,$C356,DBRA_PlayerID,$D$3),"")</f>
        <v>0</v>
      </c>
      <c r="W356" s="47"/>
      <c r="X356" t="str">
        <f t="shared" ca="1" si="94"/>
        <v/>
      </c>
      <c r="Y356" t="str">
        <f t="shared" ca="1" si="86"/>
        <v/>
      </c>
      <c r="Z356" t="str">
        <f t="shared" ca="1" si="87"/>
        <v/>
      </c>
      <c r="AA356" t="str">
        <f t="shared" ca="1" si="88"/>
        <v/>
      </c>
      <c r="AB356" t="str">
        <f t="shared" ca="1" si="89"/>
        <v/>
      </c>
      <c r="AC356" t="str">
        <f t="shared" ca="1" si="90"/>
        <v/>
      </c>
      <c r="AD356" t="str">
        <f t="shared" ca="1" si="91"/>
        <v/>
      </c>
      <c r="AE356" t="str">
        <f t="shared" ca="1" si="92"/>
        <v/>
      </c>
      <c r="AF356" t="str">
        <f t="shared" ca="1" si="93"/>
        <v/>
      </c>
      <c r="AG356" s="47"/>
    </row>
    <row r="357" spans="3:33" x14ac:dyDescent="0.25">
      <c r="C357" s="118">
        <f t="shared" si="95"/>
        <v>42143</v>
      </c>
      <c r="D357">
        <f ca="1">IFERROR(SUMIFS(OFFSET(DBRA_TopicHCP,0,D$217,DBR_COUNT,1),DBRA_WorkplanDate,$C357,DBRA_PlayerID,$D$3),"")</f>
        <v>0</v>
      </c>
      <c r="E357">
        <f ca="1">IFERROR(SUMIFS(OFFSET(DBRA_TopicHCP,0,E$217,DBR_COUNT,1),DBRA_WorkplanDate,$C357,DBRA_PlayerID,$D$3),"")</f>
        <v>0</v>
      </c>
      <c r="F357">
        <f ca="1">IFERROR(SUMIFS(OFFSET(DBRA_TopicHCP,0,F$217,DBR_COUNT,1),DBRA_WorkplanDate,$C357,DBRA_PlayerID,$D$3),"")</f>
        <v>0</v>
      </c>
      <c r="G357">
        <f ca="1">IFERROR(SUMIFS(OFFSET(DBRA_TopicHCP,0,G$217,DBR_COUNT,1),DBRA_WorkplanDate,$C357,DBRA_PlayerID,$D$3),"")</f>
        <v>0</v>
      </c>
      <c r="H357">
        <f ca="1">IFERROR(SUMIFS(OFFSET(DBRA_TopicHCP,0,H$217,DBR_COUNT,1),DBRA_WorkplanDate,$C357,DBRA_PlayerID,$D$3),"")</f>
        <v>0</v>
      </c>
      <c r="I357">
        <f ca="1">IFERROR(SUMIFS(OFFSET(DBRA_TopicHCP,0,I$217,DBR_COUNT,1),DBRA_WorkplanDate,$C357,DBRA_PlayerID,$D$3),"")</f>
        <v>0</v>
      </c>
      <c r="J357">
        <f ca="1">IFERROR(SUMIFS(OFFSET(DBRA_TopicHCP,0,J$217,DBR_COUNT,1),DBRA_WorkplanDate,$C357,DBRA_PlayerID,$D$3),"")</f>
        <v>0</v>
      </c>
      <c r="K357">
        <f ca="1">IFERROR(SUMIFS(OFFSET(DBRA_TopicHCP,0,K$217,DBR_COUNT,1),DBRA_WorkplanDate,$C357,DBRA_PlayerID,$D$3),"")</f>
        <v>0</v>
      </c>
      <c r="L357">
        <f ca="1">IFERROR(SUMIFS(OFFSET(DBRA_TopicHCP,0,L$217,DBR_COUNT,1),DBRA_WorkplanDate,$C357,DBRA_PlayerID,$D$3),"")</f>
        <v>0</v>
      </c>
      <c r="M357" s="47"/>
      <c r="N357">
        <f ca="1">IFERROR(SUMIFS(OFFSET(DBRA_TopicCount,0,N$217,DBR_COUNT,1),DBRA_WorkplanDate,$C357,DBRA_PlayerID,$D$3),"")</f>
        <v>0</v>
      </c>
      <c r="O357">
        <f ca="1">IFERROR(SUMIFS(OFFSET(DBRA_TopicCount,0,O$217,DBR_COUNT,1),DBRA_WorkplanDate,$C357,DBRA_PlayerID,$D$3),"")</f>
        <v>0</v>
      </c>
      <c r="P357">
        <f ca="1">IFERROR(SUMIFS(OFFSET(DBRA_TopicCount,0,P$217,DBR_COUNT,1),DBRA_WorkplanDate,$C357,DBRA_PlayerID,$D$3),"")</f>
        <v>0</v>
      </c>
      <c r="Q357">
        <f ca="1">IFERROR(SUMIFS(OFFSET(DBRA_TopicCount,0,Q$217,DBR_COUNT,1),DBRA_WorkplanDate,$C357,DBRA_PlayerID,$D$3),"")</f>
        <v>0</v>
      </c>
      <c r="R357">
        <f ca="1">IFERROR(SUMIFS(OFFSET(DBRA_TopicCount,0,R$217,DBR_COUNT,1),DBRA_WorkplanDate,$C357,DBRA_PlayerID,$D$3),"")</f>
        <v>0</v>
      </c>
      <c r="S357">
        <f ca="1">IFERROR(SUMIFS(OFFSET(DBRA_TopicCount,0,S$217,DBR_COUNT,1),DBRA_WorkplanDate,$C357,DBRA_PlayerID,$D$3),"")</f>
        <v>0</v>
      </c>
      <c r="T357">
        <f ca="1">IFERROR(SUMIFS(OFFSET(DBRA_TopicCount,0,T$217,DBR_COUNT,1),DBRA_WorkplanDate,$C357,DBRA_PlayerID,$D$3),"")</f>
        <v>0</v>
      </c>
      <c r="U357">
        <f ca="1">IFERROR(SUMIFS(OFFSET(DBRA_TopicCount,0,U$217,DBR_COUNT,1),DBRA_WorkplanDate,$C357,DBRA_PlayerID,$D$3),"")</f>
        <v>0</v>
      </c>
      <c r="V357">
        <f ca="1">IFERROR(SUMIFS(OFFSET(DBRA_TopicCount,0,V$217,DBR_COUNT,1),DBRA_WorkplanDate,$C357,DBRA_PlayerID,$D$3),"")</f>
        <v>0</v>
      </c>
      <c r="W357" s="47"/>
      <c r="X357" t="str">
        <f t="shared" ca="1" si="94"/>
        <v/>
      </c>
      <c r="Y357" t="str">
        <f t="shared" ca="1" si="86"/>
        <v/>
      </c>
      <c r="Z357" t="str">
        <f t="shared" ca="1" si="87"/>
        <v/>
      </c>
      <c r="AA357" t="str">
        <f t="shared" ca="1" si="88"/>
        <v/>
      </c>
      <c r="AB357" t="str">
        <f t="shared" ca="1" si="89"/>
        <v/>
      </c>
      <c r="AC357" t="str">
        <f t="shared" ca="1" si="90"/>
        <v/>
      </c>
      <c r="AD357" t="str">
        <f t="shared" ca="1" si="91"/>
        <v/>
      </c>
      <c r="AE357" t="str">
        <f t="shared" ca="1" si="92"/>
        <v/>
      </c>
      <c r="AF357" t="str">
        <f t="shared" ca="1" si="93"/>
        <v/>
      </c>
      <c r="AG357" s="47"/>
    </row>
    <row r="358" spans="3:33" x14ac:dyDescent="0.25">
      <c r="C358" s="118">
        <f t="shared" si="95"/>
        <v>42144</v>
      </c>
      <c r="D358">
        <f ca="1">IFERROR(SUMIFS(OFFSET(DBRA_TopicHCP,0,D$217,DBR_COUNT,1),DBRA_WorkplanDate,$C358,DBRA_PlayerID,$D$3),"")</f>
        <v>0</v>
      </c>
      <c r="E358">
        <f ca="1">IFERROR(SUMIFS(OFFSET(DBRA_TopicHCP,0,E$217,DBR_COUNT,1),DBRA_WorkplanDate,$C358,DBRA_PlayerID,$D$3),"")</f>
        <v>0</v>
      </c>
      <c r="F358">
        <f ca="1">IFERROR(SUMIFS(OFFSET(DBRA_TopicHCP,0,F$217,DBR_COUNT,1),DBRA_WorkplanDate,$C358,DBRA_PlayerID,$D$3),"")</f>
        <v>0</v>
      </c>
      <c r="G358">
        <f ca="1">IFERROR(SUMIFS(OFFSET(DBRA_TopicHCP,0,G$217,DBR_COUNT,1),DBRA_WorkplanDate,$C358,DBRA_PlayerID,$D$3),"")</f>
        <v>0</v>
      </c>
      <c r="H358">
        <f ca="1">IFERROR(SUMIFS(OFFSET(DBRA_TopicHCP,0,H$217,DBR_COUNT,1),DBRA_WorkplanDate,$C358,DBRA_PlayerID,$D$3),"")</f>
        <v>0</v>
      </c>
      <c r="I358">
        <f ca="1">IFERROR(SUMIFS(OFFSET(DBRA_TopicHCP,0,I$217,DBR_COUNT,1),DBRA_WorkplanDate,$C358,DBRA_PlayerID,$D$3),"")</f>
        <v>0</v>
      </c>
      <c r="J358">
        <f ca="1">IFERROR(SUMIFS(OFFSET(DBRA_TopicHCP,0,J$217,DBR_COUNT,1),DBRA_WorkplanDate,$C358,DBRA_PlayerID,$D$3),"")</f>
        <v>0</v>
      </c>
      <c r="K358">
        <f ca="1">IFERROR(SUMIFS(OFFSET(DBRA_TopicHCP,0,K$217,DBR_COUNT,1),DBRA_WorkplanDate,$C358,DBRA_PlayerID,$D$3),"")</f>
        <v>0</v>
      </c>
      <c r="L358">
        <f ca="1">IFERROR(SUMIFS(OFFSET(DBRA_TopicHCP,0,L$217,DBR_COUNT,1),DBRA_WorkplanDate,$C358,DBRA_PlayerID,$D$3),"")</f>
        <v>0</v>
      </c>
      <c r="M358" s="47"/>
      <c r="N358">
        <f ca="1">IFERROR(SUMIFS(OFFSET(DBRA_TopicCount,0,N$217,DBR_COUNT,1),DBRA_WorkplanDate,$C358,DBRA_PlayerID,$D$3),"")</f>
        <v>0</v>
      </c>
      <c r="O358">
        <f ca="1">IFERROR(SUMIFS(OFFSET(DBRA_TopicCount,0,O$217,DBR_COUNT,1),DBRA_WorkplanDate,$C358,DBRA_PlayerID,$D$3),"")</f>
        <v>0</v>
      </c>
      <c r="P358">
        <f ca="1">IFERROR(SUMIFS(OFFSET(DBRA_TopicCount,0,P$217,DBR_COUNT,1),DBRA_WorkplanDate,$C358,DBRA_PlayerID,$D$3),"")</f>
        <v>0</v>
      </c>
      <c r="Q358">
        <f ca="1">IFERROR(SUMIFS(OFFSET(DBRA_TopicCount,0,Q$217,DBR_COUNT,1),DBRA_WorkplanDate,$C358,DBRA_PlayerID,$D$3),"")</f>
        <v>0</v>
      </c>
      <c r="R358">
        <f ca="1">IFERROR(SUMIFS(OFFSET(DBRA_TopicCount,0,R$217,DBR_COUNT,1),DBRA_WorkplanDate,$C358,DBRA_PlayerID,$D$3),"")</f>
        <v>0</v>
      </c>
      <c r="S358">
        <f ca="1">IFERROR(SUMIFS(OFFSET(DBRA_TopicCount,0,S$217,DBR_COUNT,1),DBRA_WorkplanDate,$C358,DBRA_PlayerID,$D$3),"")</f>
        <v>0</v>
      </c>
      <c r="T358">
        <f ca="1">IFERROR(SUMIFS(OFFSET(DBRA_TopicCount,0,T$217,DBR_COUNT,1),DBRA_WorkplanDate,$C358,DBRA_PlayerID,$D$3),"")</f>
        <v>0</v>
      </c>
      <c r="U358">
        <f ca="1">IFERROR(SUMIFS(OFFSET(DBRA_TopicCount,0,U$217,DBR_COUNT,1),DBRA_WorkplanDate,$C358,DBRA_PlayerID,$D$3),"")</f>
        <v>0</v>
      </c>
      <c r="V358">
        <f ca="1">IFERROR(SUMIFS(OFFSET(DBRA_TopicCount,0,V$217,DBR_COUNT,1),DBRA_WorkplanDate,$C358,DBRA_PlayerID,$D$3),"")</f>
        <v>0</v>
      </c>
      <c r="W358" s="47"/>
      <c r="X358" t="str">
        <f t="shared" ca="1" si="94"/>
        <v/>
      </c>
      <c r="Y358" t="str">
        <f t="shared" ca="1" si="86"/>
        <v/>
      </c>
      <c r="Z358" t="str">
        <f t="shared" ca="1" si="87"/>
        <v/>
      </c>
      <c r="AA358" t="str">
        <f t="shared" ca="1" si="88"/>
        <v/>
      </c>
      <c r="AB358" t="str">
        <f t="shared" ca="1" si="89"/>
        <v/>
      </c>
      <c r="AC358" t="str">
        <f t="shared" ca="1" si="90"/>
        <v/>
      </c>
      <c r="AD358" t="str">
        <f t="shared" ca="1" si="91"/>
        <v/>
      </c>
      <c r="AE358" t="str">
        <f t="shared" ca="1" si="92"/>
        <v/>
      </c>
      <c r="AF358" t="str">
        <f t="shared" ca="1" si="93"/>
        <v/>
      </c>
      <c r="AG358" s="47"/>
    </row>
    <row r="359" spans="3:33" x14ac:dyDescent="0.25">
      <c r="C359" s="118">
        <f t="shared" si="95"/>
        <v>42145</v>
      </c>
      <c r="D359">
        <f ca="1">IFERROR(SUMIFS(OFFSET(DBRA_TopicHCP,0,D$217,DBR_COUNT,1),DBRA_WorkplanDate,$C359,DBRA_PlayerID,$D$3),"")</f>
        <v>0</v>
      </c>
      <c r="E359">
        <f ca="1">IFERROR(SUMIFS(OFFSET(DBRA_TopicHCP,0,E$217,DBR_COUNT,1),DBRA_WorkplanDate,$C359,DBRA_PlayerID,$D$3),"")</f>
        <v>0</v>
      </c>
      <c r="F359">
        <f ca="1">IFERROR(SUMIFS(OFFSET(DBRA_TopicHCP,0,F$217,DBR_COUNT,1),DBRA_WorkplanDate,$C359,DBRA_PlayerID,$D$3),"")</f>
        <v>0</v>
      </c>
      <c r="G359">
        <f ca="1">IFERROR(SUMIFS(OFFSET(DBRA_TopicHCP,0,G$217,DBR_COUNT,1),DBRA_WorkplanDate,$C359,DBRA_PlayerID,$D$3),"")</f>
        <v>0</v>
      </c>
      <c r="H359">
        <f ca="1">IFERROR(SUMIFS(OFFSET(DBRA_TopicHCP,0,H$217,DBR_COUNT,1),DBRA_WorkplanDate,$C359,DBRA_PlayerID,$D$3),"")</f>
        <v>0</v>
      </c>
      <c r="I359">
        <f ca="1">IFERROR(SUMIFS(OFFSET(DBRA_TopicHCP,0,I$217,DBR_COUNT,1),DBRA_WorkplanDate,$C359,DBRA_PlayerID,$D$3),"")</f>
        <v>0</v>
      </c>
      <c r="J359">
        <f ca="1">IFERROR(SUMIFS(OFFSET(DBRA_TopicHCP,0,J$217,DBR_COUNT,1),DBRA_WorkplanDate,$C359,DBRA_PlayerID,$D$3),"")</f>
        <v>0</v>
      </c>
      <c r="K359">
        <f ca="1">IFERROR(SUMIFS(OFFSET(DBRA_TopicHCP,0,K$217,DBR_COUNT,1),DBRA_WorkplanDate,$C359,DBRA_PlayerID,$D$3),"")</f>
        <v>0</v>
      </c>
      <c r="L359">
        <f ca="1">IFERROR(SUMIFS(OFFSET(DBRA_TopicHCP,0,L$217,DBR_COUNT,1),DBRA_WorkplanDate,$C359,DBRA_PlayerID,$D$3),"")</f>
        <v>0</v>
      </c>
      <c r="M359" s="47"/>
      <c r="N359">
        <f ca="1">IFERROR(SUMIFS(OFFSET(DBRA_TopicCount,0,N$217,DBR_COUNT,1),DBRA_WorkplanDate,$C359,DBRA_PlayerID,$D$3),"")</f>
        <v>0</v>
      </c>
      <c r="O359">
        <f ca="1">IFERROR(SUMIFS(OFFSET(DBRA_TopicCount,0,O$217,DBR_COUNT,1),DBRA_WorkplanDate,$C359,DBRA_PlayerID,$D$3),"")</f>
        <v>0</v>
      </c>
      <c r="P359">
        <f ca="1">IFERROR(SUMIFS(OFFSET(DBRA_TopicCount,0,P$217,DBR_COUNT,1),DBRA_WorkplanDate,$C359,DBRA_PlayerID,$D$3),"")</f>
        <v>0</v>
      </c>
      <c r="Q359">
        <f ca="1">IFERROR(SUMIFS(OFFSET(DBRA_TopicCount,0,Q$217,DBR_COUNT,1),DBRA_WorkplanDate,$C359,DBRA_PlayerID,$D$3),"")</f>
        <v>0</v>
      </c>
      <c r="R359">
        <f ca="1">IFERROR(SUMIFS(OFFSET(DBRA_TopicCount,0,R$217,DBR_COUNT,1),DBRA_WorkplanDate,$C359,DBRA_PlayerID,$D$3),"")</f>
        <v>0</v>
      </c>
      <c r="S359">
        <f ca="1">IFERROR(SUMIFS(OFFSET(DBRA_TopicCount,0,S$217,DBR_COUNT,1),DBRA_WorkplanDate,$C359,DBRA_PlayerID,$D$3),"")</f>
        <v>0</v>
      </c>
      <c r="T359">
        <f ca="1">IFERROR(SUMIFS(OFFSET(DBRA_TopicCount,0,T$217,DBR_COUNT,1),DBRA_WorkplanDate,$C359,DBRA_PlayerID,$D$3),"")</f>
        <v>0</v>
      </c>
      <c r="U359">
        <f ca="1">IFERROR(SUMIFS(OFFSET(DBRA_TopicCount,0,U$217,DBR_COUNT,1),DBRA_WorkplanDate,$C359,DBRA_PlayerID,$D$3),"")</f>
        <v>0</v>
      </c>
      <c r="V359">
        <f ca="1">IFERROR(SUMIFS(OFFSET(DBRA_TopicCount,0,V$217,DBR_COUNT,1),DBRA_WorkplanDate,$C359,DBRA_PlayerID,$D$3),"")</f>
        <v>0</v>
      </c>
      <c r="W359" s="47"/>
      <c r="X359" t="str">
        <f t="shared" ca="1" si="94"/>
        <v/>
      </c>
      <c r="Y359" t="str">
        <f t="shared" ca="1" si="86"/>
        <v/>
      </c>
      <c r="Z359" t="str">
        <f t="shared" ca="1" si="87"/>
        <v/>
      </c>
      <c r="AA359" t="str">
        <f t="shared" ca="1" si="88"/>
        <v/>
      </c>
      <c r="AB359" t="str">
        <f t="shared" ca="1" si="89"/>
        <v/>
      </c>
      <c r="AC359" t="str">
        <f t="shared" ca="1" si="90"/>
        <v/>
      </c>
      <c r="AD359" t="str">
        <f t="shared" ca="1" si="91"/>
        <v/>
      </c>
      <c r="AE359" t="str">
        <f t="shared" ca="1" si="92"/>
        <v/>
      </c>
      <c r="AF359" t="str">
        <f t="shared" ca="1" si="93"/>
        <v/>
      </c>
      <c r="AG359" s="47"/>
    </row>
    <row r="360" spans="3:33" x14ac:dyDescent="0.25">
      <c r="C360" s="118">
        <f t="shared" si="95"/>
        <v>42146</v>
      </c>
      <c r="D360">
        <f ca="1">IFERROR(SUMIFS(OFFSET(DBRA_TopicHCP,0,D$217,DBR_COUNT,1),DBRA_WorkplanDate,$C360,DBRA_PlayerID,$D$3),"")</f>
        <v>0</v>
      </c>
      <c r="E360">
        <f ca="1">IFERROR(SUMIFS(OFFSET(DBRA_TopicHCP,0,E$217,DBR_COUNT,1),DBRA_WorkplanDate,$C360,DBRA_PlayerID,$D$3),"")</f>
        <v>0</v>
      </c>
      <c r="F360">
        <f ca="1">IFERROR(SUMIFS(OFFSET(DBRA_TopicHCP,0,F$217,DBR_COUNT,1),DBRA_WorkplanDate,$C360,DBRA_PlayerID,$D$3),"")</f>
        <v>0</v>
      </c>
      <c r="G360">
        <f ca="1">IFERROR(SUMIFS(OFFSET(DBRA_TopicHCP,0,G$217,DBR_COUNT,1),DBRA_WorkplanDate,$C360,DBRA_PlayerID,$D$3),"")</f>
        <v>0</v>
      </c>
      <c r="H360">
        <f ca="1">IFERROR(SUMIFS(OFFSET(DBRA_TopicHCP,0,H$217,DBR_COUNT,1),DBRA_WorkplanDate,$C360,DBRA_PlayerID,$D$3),"")</f>
        <v>0</v>
      </c>
      <c r="I360">
        <f ca="1">IFERROR(SUMIFS(OFFSET(DBRA_TopicHCP,0,I$217,DBR_COUNT,1),DBRA_WorkplanDate,$C360,DBRA_PlayerID,$D$3),"")</f>
        <v>0</v>
      </c>
      <c r="J360">
        <f ca="1">IFERROR(SUMIFS(OFFSET(DBRA_TopicHCP,0,J$217,DBR_COUNT,1),DBRA_WorkplanDate,$C360,DBRA_PlayerID,$D$3),"")</f>
        <v>0</v>
      </c>
      <c r="K360">
        <f ca="1">IFERROR(SUMIFS(OFFSET(DBRA_TopicHCP,0,K$217,DBR_COUNT,1),DBRA_WorkplanDate,$C360,DBRA_PlayerID,$D$3),"")</f>
        <v>0</v>
      </c>
      <c r="L360">
        <f ca="1">IFERROR(SUMIFS(OFFSET(DBRA_TopicHCP,0,L$217,DBR_COUNT,1),DBRA_WorkplanDate,$C360,DBRA_PlayerID,$D$3),"")</f>
        <v>0</v>
      </c>
      <c r="M360" s="47"/>
      <c r="N360">
        <f ca="1">IFERROR(SUMIFS(OFFSET(DBRA_TopicCount,0,N$217,DBR_COUNT,1),DBRA_WorkplanDate,$C360,DBRA_PlayerID,$D$3),"")</f>
        <v>0</v>
      </c>
      <c r="O360">
        <f ca="1">IFERROR(SUMIFS(OFFSET(DBRA_TopicCount,0,O$217,DBR_COUNT,1),DBRA_WorkplanDate,$C360,DBRA_PlayerID,$D$3),"")</f>
        <v>0</v>
      </c>
      <c r="P360">
        <f ca="1">IFERROR(SUMIFS(OFFSET(DBRA_TopicCount,0,P$217,DBR_COUNT,1),DBRA_WorkplanDate,$C360,DBRA_PlayerID,$D$3),"")</f>
        <v>0</v>
      </c>
      <c r="Q360">
        <f ca="1">IFERROR(SUMIFS(OFFSET(DBRA_TopicCount,0,Q$217,DBR_COUNT,1),DBRA_WorkplanDate,$C360,DBRA_PlayerID,$D$3),"")</f>
        <v>0</v>
      </c>
      <c r="R360">
        <f ca="1">IFERROR(SUMIFS(OFFSET(DBRA_TopicCount,0,R$217,DBR_COUNT,1),DBRA_WorkplanDate,$C360,DBRA_PlayerID,$D$3),"")</f>
        <v>0</v>
      </c>
      <c r="S360">
        <f ca="1">IFERROR(SUMIFS(OFFSET(DBRA_TopicCount,0,S$217,DBR_COUNT,1),DBRA_WorkplanDate,$C360,DBRA_PlayerID,$D$3),"")</f>
        <v>0</v>
      </c>
      <c r="T360">
        <f ca="1">IFERROR(SUMIFS(OFFSET(DBRA_TopicCount,0,T$217,DBR_COUNT,1),DBRA_WorkplanDate,$C360,DBRA_PlayerID,$D$3),"")</f>
        <v>0</v>
      </c>
      <c r="U360">
        <f ca="1">IFERROR(SUMIFS(OFFSET(DBRA_TopicCount,0,U$217,DBR_COUNT,1),DBRA_WorkplanDate,$C360,DBRA_PlayerID,$D$3),"")</f>
        <v>0</v>
      </c>
      <c r="V360">
        <f ca="1">IFERROR(SUMIFS(OFFSET(DBRA_TopicCount,0,V$217,DBR_COUNT,1),DBRA_WorkplanDate,$C360,DBRA_PlayerID,$D$3),"")</f>
        <v>0</v>
      </c>
      <c r="W360" s="47"/>
      <c r="X360" t="str">
        <f t="shared" ca="1" si="94"/>
        <v/>
      </c>
      <c r="Y360" t="str">
        <f t="shared" ca="1" si="86"/>
        <v/>
      </c>
      <c r="Z360" t="str">
        <f t="shared" ca="1" si="87"/>
        <v/>
      </c>
      <c r="AA360" t="str">
        <f t="shared" ca="1" si="88"/>
        <v/>
      </c>
      <c r="AB360" t="str">
        <f t="shared" ca="1" si="89"/>
        <v/>
      </c>
      <c r="AC360" t="str">
        <f t="shared" ca="1" si="90"/>
        <v/>
      </c>
      <c r="AD360" t="str">
        <f t="shared" ca="1" si="91"/>
        <v/>
      </c>
      <c r="AE360" t="str">
        <f t="shared" ca="1" si="92"/>
        <v/>
      </c>
      <c r="AF360" t="str">
        <f t="shared" ca="1" si="93"/>
        <v/>
      </c>
      <c r="AG360" s="47"/>
    </row>
    <row r="361" spans="3:33" x14ac:dyDescent="0.25">
      <c r="C361" s="118">
        <f t="shared" si="95"/>
        <v>42147</v>
      </c>
      <c r="D361">
        <f ca="1">IFERROR(SUMIFS(OFFSET(DBRA_TopicHCP,0,D$217,DBR_COUNT,1),DBRA_WorkplanDate,$C361,DBRA_PlayerID,$D$3),"")</f>
        <v>0</v>
      </c>
      <c r="E361">
        <f ca="1">IFERROR(SUMIFS(OFFSET(DBRA_TopicHCP,0,E$217,DBR_COUNT,1),DBRA_WorkplanDate,$C361,DBRA_PlayerID,$D$3),"")</f>
        <v>0</v>
      </c>
      <c r="F361">
        <f ca="1">IFERROR(SUMIFS(OFFSET(DBRA_TopicHCP,0,F$217,DBR_COUNT,1),DBRA_WorkplanDate,$C361,DBRA_PlayerID,$D$3),"")</f>
        <v>0</v>
      </c>
      <c r="G361">
        <f ca="1">IFERROR(SUMIFS(OFFSET(DBRA_TopicHCP,0,G$217,DBR_COUNT,1),DBRA_WorkplanDate,$C361,DBRA_PlayerID,$D$3),"")</f>
        <v>0</v>
      </c>
      <c r="H361">
        <f ca="1">IFERROR(SUMIFS(OFFSET(DBRA_TopicHCP,0,H$217,DBR_COUNT,1),DBRA_WorkplanDate,$C361,DBRA_PlayerID,$D$3),"")</f>
        <v>0</v>
      </c>
      <c r="I361">
        <f ca="1">IFERROR(SUMIFS(OFFSET(DBRA_TopicHCP,0,I$217,DBR_COUNT,1),DBRA_WorkplanDate,$C361,DBRA_PlayerID,$D$3),"")</f>
        <v>0</v>
      </c>
      <c r="J361">
        <f ca="1">IFERROR(SUMIFS(OFFSET(DBRA_TopicHCP,0,J$217,DBR_COUNT,1),DBRA_WorkplanDate,$C361,DBRA_PlayerID,$D$3),"")</f>
        <v>0</v>
      </c>
      <c r="K361">
        <f ca="1">IFERROR(SUMIFS(OFFSET(DBRA_TopicHCP,0,K$217,DBR_COUNT,1),DBRA_WorkplanDate,$C361,DBRA_PlayerID,$D$3),"")</f>
        <v>0</v>
      </c>
      <c r="L361">
        <f ca="1">IFERROR(SUMIFS(OFFSET(DBRA_TopicHCP,0,L$217,DBR_COUNT,1),DBRA_WorkplanDate,$C361,DBRA_PlayerID,$D$3),"")</f>
        <v>0</v>
      </c>
      <c r="M361" s="47"/>
      <c r="N361">
        <f ca="1">IFERROR(SUMIFS(OFFSET(DBRA_TopicCount,0,N$217,DBR_COUNT,1),DBRA_WorkplanDate,$C361,DBRA_PlayerID,$D$3),"")</f>
        <v>0</v>
      </c>
      <c r="O361">
        <f ca="1">IFERROR(SUMIFS(OFFSET(DBRA_TopicCount,0,O$217,DBR_COUNT,1),DBRA_WorkplanDate,$C361,DBRA_PlayerID,$D$3),"")</f>
        <v>0</v>
      </c>
      <c r="P361">
        <f ca="1">IFERROR(SUMIFS(OFFSET(DBRA_TopicCount,0,P$217,DBR_COUNT,1),DBRA_WorkplanDate,$C361,DBRA_PlayerID,$D$3),"")</f>
        <v>0</v>
      </c>
      <c r="Q361">
        <f ca="1">IFERROR(SUMIFS(OFFSET(DBRA_TopicCount,0,Q$217,DBR_COUNT,1),DBRA_WorkplanDate,$C361,DBRA_PlayerID,$D$3),"")</f>
        <v>0</v>
      </c>
      <c r="R361">
        <f ca="1">IFERROR(SUMIFS(OFFSET(DBRA_TopicCount,0,R$217,DBR_COUNT,1),DBRA_WorkplanDate,$C361,DBRA_PlayerID,$D$3),"")</f>
        <v>0</v>
      </c>
      <c r="S361">
        <f ca="1">IFERROR(SUMIFS(OFFSET(DBRA_TopicCount,0,S$217,DBR_COUNT,1),DBRA_WorkplanDate,$C361,DBRA_PlayerID,$D$3),"")</f>
        <v>0</v>
      </c>
      <c r="T361">
        <f ca="1">IFERROR(SUMIFS(OFFSET(DBRA_TopicCount,0,T$217,DBR_COUNT,1),DBRA_WorkplanDate,$C361,DBRA_PlayerID,$D$3),"")</f>
        <v>0</v>
      </c>
      <c r="U361">
        <f ca="1">IFERROR(SUMIFS(OFFSET(DBRA_TopicCount,0,U$217,DBR_COUNT,1),DBRA_WorkplanDate,$C361,DBRA_PlayerID,$D$3),"")</f>
        <v>0</v>
      </c>
      <c r="V361">
        <f ca="1">IFERROR(SUMIFS(OFFSET(DBRA_TopicCount,0,V$217,DBR_COUNT,1),DBRA_WorkplanDate,$C361,DBRA_PlayerID,$D$3),"")</f>
        <v>0</v>
      </c>
      <c r="W361" s="47"/>
      <c r="X361" t="str">
        <f t="shared" ca="1" si="94"/>
        <v/>
      </c>
      <c r="Y361" t="str">
        <f t="shared" ca="1" si="86"/>
        <v/>
      </c>
      <c r="Z361" t="str">
        <f t="shared" ca="1" si="87"/>
        <v/>
      </c>
      <c r="AA361" t="str">
        <f t="shared" ca="1" si="88"/>
        <v/>
      </c>
      <c r="AB361" t="str">
        <f t="shared" ca="1" si="89"/>
        <v/>
      </c>
      <c r="AC361" t="str">
        <f t="shared" ca="1" si="90"/>
        <v/>
      </c>
      <c r="AD361" t="str">
        <f t="shared" ca="1" si="91"/>
        <v/>
      </c>
      <c r="AE361" t="str">
        <f t="shared" ca="1" si="92"/>
        <v/>
      </c>
      <c r="AF361" t="str">
        <f t="shared" ca="1" si="93"/>
        <v/>
      </c>
      <c r="AG361" s="47"/>
    </row>
    <row r="362" spans="3:33" x14ac:dyDescent="0.25">
      <c r="C362" s="118">
        <f t="shared" si="95"/>
        <v>42148</v>
      </c>
      <c r="D362">
        <f ca="1">IFERROR(SUMIFS(OFFSET(DBRA_TopicHCP,0,D$217,DBR_COUNT,1),DBRA_WorkplanDate,$C362,DBRA_PlayerID,$D$3),"")</f>
        <v>0</v>
      </c>
      <c r="E362">
        <f ca="1">IFERROR(SUMIFS(OFFSET(DBRA_TopicHCP,0,E$217,DBR_COUNT,1),DBRA_WorkplanDate,$C362,DBRA_PlayerID,$D$3),"")</f>
        <v>0</v>
      </c>
      <c r="F362">
        <f ca="1">IFERROR(SUMIFS(OFFSET(DBRA_TopicHCP,0,F$217,DBR_COUNT,1),DBRA_WorkplanDate,$C362,DBRA_PlayerID,$D$3),"")</f>
        <v>0</v>
      </c>
      <c r="G362">
        <f ca="1">IFERROR(SUMIFS(OFFSET(DBRA_TopicHCP,0,G$217,DBR_COUNT,1),DBRA_WorkplanDate,$C362,DBRA_PlayerID,$D$3),"")</f>
        <v>0</v>
      </c>
      <c r="H362">
        <f ca="1">IFERROR(SUMIFS(OFFSET(DBRA_TopicHCP,0,H$217,DBR_COUNT,1),DBRA_WorkplanDate,$C362,DBRA_PlayerID,$D$3),"")</f>
        <v>0</v>
      </c>
      <c r="I362">
        <f ca="1">IFERROR(SUMIFS(OFFSET(DBRA_TopicHCP,0,I$217,DBR_COUNT,1),DBRA_WorkplanDate,$C362,DBRA_PlayerID,$D$3),"")</f>
        <v>0</v>
      </c>
      <c r="J362">
        <f ca="1">IFERROR(SUMIFS(OFFSET(DBRA_TopicHCP,0,J$217,DBR_COUNT,1),DBRA_WorkplanDate,$C362,DBRA_PlayerID,$D$3),"")</f>
        <v>0</v>
      </c>
      <c r="K362">
        <f ca="1">IFERROR(SUMIFS(OFFSET(DBRA_TopicHCP,0,K$217,DBR_COUNT,1),DBRA_WorkplanDate,$C362,DBRA_PlayerID,$D$3),"")</f>
        <v>0</v>
      </c>
      <c r="L362">
        <f ca="1">IFERROR(SUMIFS(OFFSET(DBRA_TopicHCP,0,L$217,DBR_COUNT,1),DBRA_WorkplanDate,$C362,DBRA_PlayerID,$D$3),"")</f>
        <v>0</v>
      </c>
      <c r="M362" s="47"/>
      <c r="N362">
        <f ca="1">IFERROR(SUMIFS(OFFSET(DBRA_TopicCount,0,N$217,DBR_COUNT,1),DBRA_WorkplanDate,$C362,DBRA_PlayerID,$D$3),"")</f>
        <v>0</v>
      </c>
      <c r="O362">
        <f ca="1">IFERROR(SUMIFS(OFFSET(DBRA_TopicCount,0,O$217,DBR_COUNT,1),DBRA_WorkplanDate,$C362,DBRA_PlayerID,$D$3),"")</f>
        <v>0</v>
      </c>
      <c r="P362">
        <f ca="1">IFERROR(SUMIFS(OFFSET(DBRA_TopicCount,0,P$217,DBR_COUNT,1),DBRA_WorkplanDate,$C362,DBRA_PlayerID,$D$3),"")</f>
        <v>0</v>
      </c>
      <c r="Q362">
        <f ca="1">IFERROR(SUMIFS(OFFSET(DBRA_TopicCount,0,Q$217,DBR_COUNT,1),DBRA_WorkplanDate,$C362,DBRA_PlayerID,$D$3),"")</f>
        <v>0</v>
      </c>
      <c r="R362">
        <f ca="1">IFERROR(SUMIFS(OFFSET(DBRA_TopicCount,0,R$217,DBR_COUNT,1),DBRA_WorkplanDate,$C362,DBRA_PlayerID,$D$3),"")</f>
        <v>0</v>
      </c>
      <c r="S362">
        <f ca="1">IFERROR(SUMIFS(OFFSET(DBRA_TopicCount,0,S$217,DBR_COUNT,1),DBRA_WorkplanDate,$C362,DBRA_PlayerID,$D$3),"")</f>
        <v>0</v>
      </c>
      <c r="T362">
        <f ca="1">IFERROR(SUMIFS(OFFSET(DBRA_TopicCount,0,T$217,DBR_COUNT,1),DBRA_WorkplanDate,$C362,DBRA_PlayerID,$D$3),"")</f>
        <v>0</v>
      </c>
      <c r="U362">
        <f ca="1">IFERROR(SUMIFS(OFFSET(DBRA_TopicCount,0,U$217,DBR_COUNT,1),DBRA_WorkplanDate,$C362,DBRA_PlayerID,$D$3),"")</f>
        <v>0</v>
      </c>
      <c r="V362">
        <f ca="1">IFERROR(SUMIFS(OFFSET(DBRA_TopicCount,0,V$217,DBR_COUNT,1),DBRA_WorkplanDate,$C362,DBRA_PlayerID,$D$3),"")</f>
        <v>0</v>
      </c>
      <c r="W362" s="47"/>
      <c r="X362" t="str">
        <f t="shared" ca="1" si="94"/>
        <v/>
      </c>
      <c r="Y362" t="str">
        <f t="shared" ca="1" si="86"/>
        <v/>
      </c>
      <c r="Z362" t="str">
        <f t="shared" ca="1" si="87"/>
        <v/>
      </c>
      <c r="AA362" t="str">
        <f t="shared" ca="1" si="88"/>
        <v/>
      </c>
      <c r="AB362" t="str">
        <f t="shared" ca="1" si="89"/>
        <v/>
      </c>
      <c r="AC362" t="str">
        <f t="shared" ca="1" si="90"/>
        <v/>
      </c>
      <c r="AD362" t="str">
        <f t="shared" ca="1" si="91"/>
        <v/>
      </c>
      <c r="AE362" t="str">
        <f t="shared" ca="1" si="92"/>
        <v/>
      </c>
      <c r="AF362" t="str">
        <f t="shared" ca="1" si="93"/>
        <v/>
      </c>
      <c r="AG362" s="47"/>
    </row>
    <row r="363" spans="3:33" x14ac:dyDescent="0.25">
      <c r="C363" s="118">
        <f t="shared" si="95"/>
        <v>42149</v>
      </c>
      <c r="D363">
        <f ca="1">IFERROR(SUMIFS(OFFSET(DBRA_TopicHCP,0,D$217,DBR_COUNT,1),DBRA_WorkplanDate,$C363,DBRA_PlayerID,$D$3),"")</f>
        <v>0</v>
      </c>
      <c r="E363">
        <f ca="1">IFERROR(SUMIFS(OFFSET(DBRA_TopicHCP,0,E$217,DBR_COUNT,1),DBRA_WorkplanDate,$C363,DBRA_PlayerID,$D$3),"")</f>
        <v>0</v>
      </c>
      <c r="F363">
        <f ca="1">IFERROR(SUMIFS(OFFSET(DBRA_TopicHCP,0,F$217,DBR_COUNT,1),DBRA_WorkplanDate,$C363,DBRA_PlayerID,$D$3),"")</f>
        <v>0</v>
      </c>
      <c r="G363">
        <f ca="1">IFERROR(SUMIFS(OFFSET(DBRA_TopicHCP,0,G$217,DBR_COUNT,1),DBRA_WorkplanDate,$C363,DBRA_PlayerID,$D$3),"")</f>
        <v>0</v>
      </c>
      <c r="H363">
        <f ca="1">IFERROR(SUMIFS(OFFSET(DBRA_TopicHCP,0,H$217,DBR_COUNT,1),DBRA_WorkplanDate,$C363,DBRA_PlayerID,$D$3),"")</f>
        <v>0</v>
      </c>
      <c r="I363">
        <f ca="1">IFERROR(SUMIFS(OFFSET(DBRA_TopicHCP,0,I$217,DBR_COUNT,1),DBRA_WorkplanDate,$C363,DBRA_PlayerID,$D$3),"")</f>
        <v>0</v>
      </c>
      <c r="J363">
        <f ca="1">IFERROR(SUMIFS(OFFSET(DBRA_TopicHCP,0,J$217,DBR_COUNT,1),DBRA_WorkplanDate,$C363,DBRA_PlayerID,$D$3),"")</f>
        <v>0</v>
      </c>
      <c r="K363">
        <f ca="1">IFERROR(SUMIFS(OFFSET(DBRA_TopicHCP,0,K$217,DBR_COUNT,1),DBRA_WorkplanDate,$C363,DBRA_PlayerID,$D$3),"")</f>
        <v>0</v>
      </c>
      <c r="L363">
        <f ca="1">IFERROR(SUMIFS(OFFSET(DBRA_TopicHCP,0,L$217,DBR_COUNT,1),DBRA_WorkplanDate,$C363,DBRA_PlayerID,$D$3),"")</f>
        <v>0</v>
      </c>
      <c r="M363" s="47"/>
      <c r="N363">
        <f ca="1">IFERROR(SUMIFS(OFFSET(DBRA_TopicCount,0,N$217,DBR_COUNT,1),DBRA_WorkplanDate,$C363,DBRA_PlayerID,$D$3),"")</f>
        <v>0</v>
      </c>
      <c r="O363">
        <f ca="1">IFERROR(SUMIFS(OFFSET(DBRA_TopicCount,0,O$217,DBR_COUNT,1),DBRA_WorkplanDate,$C363,DBRA_PlayerID,$D$3),"")</f>
        <v>0</v>
      </c>
      <c r="P363">
        <f ca="1">IFERROR(SUMIFS(OFFSET(DBRA_TopicCount,0,P$217,DBR_COUNT,1),DBRA_WorkplanDate,$C363,DBRA_PlayerID,$D$3),"")</f>
        <v>0</v>
      </c>
      <c r="Q363">
        <f ca="1">IFERROR(SUMIFS(OFFSET(DBRA_TopicCount,0,Q$217,DBR_COUNT,1),DBRA_WorkplanDate,$C363,DBRA_PlayerID,$D$3),"")</f>
        <v>0</v>
      </c>
      <c r="R363">
        <f ca="1">IFERROR(SUMIFS(OFFSET(DBRA_TopicCount,0,R$217,DBR_COUNT,1),DBRA_WorkplanDate,$C363,DBRA_PlayerID,$D$3),"")</f>
        <v>0</v>
      </c>
      <c r="S363">
        <f ca="1">IFERROR(SUMIFS(OFFSET(DBRA_TopicCount,0,S$217,DBR_COUNT,1),DBRA_WorkplanDate,$C363,DBRA_PlayerID,$D$3),"")</f>
        <v>0</v>
      </c>
      <c r="T363">
        <f ca="1">IFERROR(SUMIFS(OFFSET(DBRA_TopicCount,0,T$217,DBR_COUNT,1),DBRA_WorkplanDate,$C363,DBRA_PlayerID,$D$3),"")</f>
        <v>0</v>
      </c>
      <c r="U363">
        <f ca="1">IFERROR(SUMIFS(OFFSET(DBRA_TopicCount,0,U$217,DBR_COUNT,1),DBRA_WorkplanDate,$C363,DBRA_PlayerID,$D$3),"")</f>
        <v>0</v>
      </c>
      <c r="V363">
        <f ca="1">IFERROR(SUMIFS(OFFSET(DBRA_TopicCount,0,V$217,DBR_COUNT,1),DBRA_WorkplanDate,$C363,DBRA_PlayerID,$D$3),"")</f>
        <v>0</v>
      </c>
      <c r="W363" s="47"/>
      <c r="X363" t="str">
        <f t="shared" ca="1" si="94"/>
        <v/>
      </c>
      <c r="Y363" t="str">
        <f t="shared" ca="1" si="86"/>
        <v/>
      </c>
      <c r="Z363" t="str">
        <f t="shared" ca="1" si="87"/>
        <v/>
      </c>
      <c r="AA363" t="str">
        <f t="shared" ca="1" si="88"/>
        <v/>
      </c>
      <c r="AB363" t="str">
        <f t="shared" ca="1" si="89"/>
        <v/>
      </c>
      <c r="AC363" t="str">
        <f t="shared" ca="1" si="90"/>
        <v/>
      </c>
      <c r="AD363" t="str">
        <f t="shared" ca="1" si="91"/>
        <v/>
      </c>
      <c r="AE363" t="str">
        <f t="shared" ca="1" si="92"/>
        <v/>
      </c>
      <c r="AF363" t="str">
        <f t="shared" ca="1" si="93"/>
        <v/>
      </c>
      <c r="AG363" s="47"/>
    </row>
    <row r="364" spans="3:33" x14ac:dyDescent="0.25">
      <c r="C364" s="118">
        <f t="shared" si="95"/>
        <v>42150</v>
      </c>
      <c r="D364">
        <f ca="1">IFERROR(SUMIFS(OFFSET(DBRA_TopicHCP,0,D$217,DBR_COUNT,1),DBRA_WorkplanDate,$C364,DBRA_PlayerID,$D$3),"")</f>
        <v>0</v>
      </c>
      <c r="E364">
        <f ca="1">IFERROR(SUMIFS(OFFSET(DBRA_TopicHCP,0,E$217,DBR_COUNT,1),DBRA_WorkplanDate,$C364,DBRA_PlayerID,$D$3),"")</f>
        <v>0</v>
      </c>
      <c r="F364">
        <f ca="1">IFERROR(SUMIFS(OFFSET(DBRA_TopicHCP,0,F$217,DBR_COUNT,1),DBRA_WorkplanDate,$C364,DBRA_PlayerID,$D$3),"")</f>
        <v>0</v>
      </c>
      <c r="G364">
        <f ca="1">IFERROR(SUMIFS(OFFSET(DBRA_TopicHCP,0,G$217,DBR_COUNT,1),DBRA_WorkplanDate,$C364,DBRA_PlayerID,$D$3),"")</f>
        <v>0</v>
      </c>
      <c r="H364">
        <f ca="1">IFERROR(SUMIFS(OFFSET(DBRA_TopicHCP,0,H$217,DBR_COUNT,1),DBRA_WorkplanDate,$C364,DBRA_PlayerID,$D$3),"")</f>
        <v>0</v>
      </c>
      <c r="I364">
        <f ca="1">IFERROR(SUMIFS(OFFSET(DBRA_TopicHCP,0,I$217,DBR_COUNT,1),DBRA_WorkplanDate,$C364,DBRA_PlayerID,$D$3),"")</f>
        <v>0</v>
      </c>
      <c r="J364">
        <f ca="1">IFERROR(SUMIFS(OFFSET(DBRA_TopicHCP,0,J$217,DBR_COUNT,1),DBRA_WorkplanDate,$C364,DBRA_PlayerID,$D$3),"")</f>
        <v>0</v>
      </c>
      <c r="K364">
        <f ca="1">IFERROR(SUMIFS(OFFSET(DBRA_TopicHCP,0,K$217,DBR_COUNT,1),DBRA_WorkplanDate,$C364,DBRA_PlayerID,$D$3),"")</f>
        <v>0</v>
      </c>
      <c r="L364">
        <f ca="1">IFERROR(SUMIFS(OFFSET(DBRA_TopicHCP,0,L$217,DBR_COUNT,1),DBRA_WorkplanDate,$C364,DBRA_PlayerID,$D$3),"")</f>
        <v>0</v>
      </c>
      <c r="M364" s="47"/>
      <c r="N364">
        <f ca="1">IFERROR(SUMIFS(OFFSET(DBRA_TopicCount,0,N$217,DBR_COUNT,1),DBRA_WorkplanDate,$C364,DBRA_PlayerID,$D$3),"")</f>
        <v>0</v>
      </c>
      <c r="O364">
        <f ca="1">IFERROR(SUMIFS(OFFSET(DBRA_TopicCount,0,O$217,DBR_COUNT,1),DBRA_WorkplanDate,$C364,DBRA_PlayerID,$D$3),"")</f>
        <v>0</v>
      </c>
      <c r="P364">
        <f ca="1">IFERROR(SUMIFS(OFFSET(DBRA_TopicCount,0,P$217,DBR_COUNT,1),DBRA_WorkplanDate,$C364,DBRA_PlayerID,$D$3),"")</f>
        <v>0</v>
      </c>
      <c r="Q364">
        <f ca="1">IFERROR(SUMIFS(OFFSET(DBRA_TopicCount,0,Q$217,DBR_COUNT,1),DBRA_WorkplanDate,$C364,DBRA_PlayerID,$D$3),"")</f>
        <v>0</v>
      </c>
      <c r="R364">
        <f ca="1">IFERROR(SUMIFS(OFFSET(DBRA_TopicCount,0,R$217,DBR_COUNT,1),DBRA_WorkplanDate,$C364,DBRA_PlayerID,$D$3),"")</f>
        <v>0</v>
      </c>
      <c r="S364">
        <f ca="1">IFERROR(SUMIFS(OFFSET(DBRA_TopicCount,0,S$217,DBR_COUNT,1),DBRA_WorkplanDate,$C364,DBRA_PlayerID,$D$3),"")</f>
        <v>0</v>
      </c>
      <c r="T364">
        <f ca="1">IFERROR(SUMIFS(OFFSET(DBRA_TopicCount,0,T$217,DBR_COUNT,1),DBRA_WorkplanDate,$C364,DBRA_PlayerID,$D$3),"")</f>
        <v>0</v>
      </c>
      <c r="U364">
        <f ca="1">IFERROR(SUMIFS(OFFSET(DBRA_TopicCount,0,U$217,DBR_COUNT,1),DBRA_WorkplanDate,$C364,DBRA_PlayerID,$D$3),"")</f>
        <v>0</v>
      </c>
      <c r="V364">
        <f ca="1">IFERROR(SUMIFS(OFFSET(DBRA_TopicCount,0,V$217,DBR_COUNT,1),DBRA_WorkplanDate,$C364,DBRA_PlayerID,$D$3),"")</f>
        <v>0</v>
      </c>
      <c r="W364" s="47"/>
      <c r="X364" t="str">
        <f t="shared" ca="1" si="94"/>
        <v/>
      </c>
      <c r="Y364" t="str">
        <f t="shared" ca="1" si="86"/>
        <v/>
      </c>
      <c r="Z364" t="str">
        <f t="shared" ca="1" si="87"/>
        <v/>
      </c>
      <c r="AA364" t="str">
        <f t="shared" ca="1" si="88"/>
        <v/>
      </c>
      <c r="AB364" t="str">
        <f t="shared" ca="1" si="89"/>
        <v/>
      </c>
      <c r="AC364" t="str">
        <f t="shared" ca="1" si="90"/>
        <v/>
      </c>
      <c r="AD364" t="str">
        <f t="shared" ca="1" si="91"/>
        <v/>
      </c>
      <c r="AE364" t="str">
        <f t="shared" ca="1" si="92"/>
        <v/>
      </c>
      <c r="AF364" t="str">
        <f t="shared" ca="1" si="93"/>
        <v/>
      </c>
      <c r="AG364" s="47"/>
    </row>
    <row r="365" spans="3:33" x14ac:dyDescent="0.25">
      <c r="C365" s="118">
        <f t="shared" si="95"/>
        <v>42151</v>
      </c>
      <c r="D365">
        <f ca="1">IFERROR(SUMIFS(OFFSET(DBRA_TopicHCP,0,D$217,DBR_COUNT,1),DBRA_WorkplanDate,$C365,DBRA_PlayerID,$D$3),"")</f>
        <v>0</v>
      </c>
      <c r="E365">
        <f ca="1">IFERROR(SUMIFS(OFFSET(DBRA_TopicHCP,0,E$217,DBR_COUNT,1),DBRA_WorkplanDate,$C365,DBRA_PlayerID,$D$3),"")</f>
        <v>0</v>
      </c>
      <c r="F365">
        <f ca="1">IFERROR(SUMIFS(OFFSET(DBRA_TopicHCP,0,F$217,DBR_COUNT,1),DBRA_WorkplanDate,$C365,DBRA_PlayerID,$D$3),"")</f>
        <v>0</v>
      </c>
      <c r="G365">
        <f ca="1">IFERROR(SUMIFS(OFFSET(DBRA_TopicHCP,0,G$217,DBR_COUNT,1),DBRA_WorkplanDate,$C365,DBRA_PlayerID,$D$3),"")</f>
        <v>0</v>
      </c>
      <c r="H365">
        <f ca="1">IFERROR(SUMIFS(OFFSET(DBRA_TopicHCP,0,H$217,DBR_COUNT,1),DBRA_WorkplanDate,$C365,DBRA_PlayerID,$D$3),"")</f>
        <v>0</v>
      </c>
      <c r="I365">
        <f ca="1">IFERROR(SUMIFS(OFFSET(DBRA_TopicHCP,0,I$217,DBR_COUNT,1),DBRA_WorkplanDate,$C365,DBRA_PlayerID,$D$3),"")</f>
        <v>0</v>
      </c>
      <c r="J365">
        <f ca="1">IFERROR(SUMIFS(OFFSET(DBRA_TopicHCP,0,J$217,DBR_COUNT,1),DBRA_WorkplanDate,$C365,DBRA_PlayerID,$D$3),"")</f>
        <v>0</v>
      </c>
      <c r="K365">
        <f ca="1">IFERROR(SUMIFS(OFFSET(DBRA_TopicHCP,0,K$217,DBR_COUNT,1),DBRA_WorkplanDate,$C365,DBRA_PlayerID,$D$3),"")</f>
        <v>0</v>
      </c>
      <c r="L365">
        <f ca="1">IFERROR(SUMIFS(OFFSET(DBRA_TopicHCP,0,L$217,DBR_COUNT,1),DBRA_WorkplanDate,$C365,DBRA_PlayerID,$D$3),"")</f>
        <v>0</v>
      </c>
      <c r="M365" s="47"/>
      <c r="N365">
        <f ca="1">IFERROR(SUMIFS(OFFSET(DBRA_TopicCount,0,N$217,DBR_COUNT,1),DBRA_WorkplanDate,$C365,DBRA_PlayerID,$D$3),"")</f>
        <v>0</v>
      </c>
      <c r="O365">
        <f ca="1">IFERROR(SUMIFS(OFFSET(DBRA_TopicCount,0,O$217,DBR_COUNT,1),DBRA_WorkplanDate,$C365,DBRA_PlayerID,$D$3),"")</f>
        <v>0</v>
      </c>
      <c r="P365">
        <f ca="1">IFERROR(SUMIFS(OFFSET(DBRA_TopicCount,0,P$217,DBR_COUNT,1),DBRA_WorkplanDate,$C365,DBRA_PlayerID,$D$3),"")</f>
        <v>0</v>
      </c>
      <c r="Q365">
        <f ca="1">IFERROR(SUMIFS(OFFSET(DBRA_TopicCount,0,Q$217,DBR_COUNT,1),DBRA_WorkplanDate,$C365,DBRA_PlayerID,$D$3),"")</f>
        <v>0</v>
      </c>
      <c r="R365">
        <f ca="1">IFERROR(SUMIFS(OFFSET(DBRA_TopicCount,0,R$217,DBR_COUNT,1),DBRA_WorkplanDate,$C365,DBRA_PlayerID,$D$3),"")</f>
        <v>0</v>
      </c>
      <c r="S365">
        <f ca="1">IFERROR(SUMIFS(OFFSET(DBRA_TopicCount,0,S$217,DBR_COUNT,1),DBRA_WorkplanDate,$C365,DBRA_PlayerID,$D$3),"")</f>
        <v>0</v>
      </c>
      <c r="T365">
        <f ca="1">IFERROR(SUMIFS(OFFSET(DBRA_TopicCount,0,T$217,DBR_COUNT,1),DBRA_WorkplanDate,$C365,DBRA_PlayerID,$D$3),"")</f>
        <v>0</v>
      </c>
      <c r="U365">
        <f ca="1">IFERROR(SUMIFS(OFFSET(DBRA_TopicCount,0,U$217,DBR_COUNT,1),DBRA_WorkplanDate,$C365,DBRA_PlayerID,$D$3),"")</f>
        <v>0</v>
      </c>
      <c r="V365">
        <f ca="1">IFERROR(SUMIFS(OFFSET(DBRA_TopicCount,0,V$217,DBR_COUNT,1),DBRA_WorkplanDate,$C365,DBRA_PlayerID,$D$3),"")</f>
        <v>0</v>
      </c>
      <c r="W365" s="47"/>
      <c r="X365" t="str">
        <f t="shared" ca="1" si="94"/>
        <v/>
      </c>
      <c r="Y365" t="str">
        <f t="shared" ca="1" si="86"/>
        <v/>
      </c>
      <c r="Z365" t="str">
        <f t="shared" ca="1" si="87"/>
        <v/>
      </c>
      <c r="AA365" t="str">
        <f t="shared" ca="1" si="88"/>
        <v/>
      </c>
      <c r="AB365" t="str">
        <f t="shared" ca="1" si="89"/>
        <v/>
      </c>
      <c r="AC365" t="str">
        <f t="shared" ca="1" si="90"/>
        <v/>
      </c>
      <c r="AD365" t="str">
        <f t="shared" ca="1" si="91"/>
        <v/>
      </c>
      <c r="AE365" t="str">
        <f t="shared" ca="1" si="92"/>
        <v/>
      </c>
      <c r="AF365" t="str">
        <f t="shared" ca="1" si="93"/>
        <v/>
      </c>
      <c r="AG365" s="47"/>
    </row>
    <row r="366" spans="3:33" x14ac:dyDescent="0.25">
      <c r="C366" s="118">
        <f t="shared" si="95"/>
        <v>42152</v>
      </c>
      <c r="D366">
        <f ca="1">IFERROR(SUMIFS(OFFSET(DBRA_TopicHCP,0,D$217,DBR_COUNT,1),DBRA_WorkplanDate,$C366,DBRA_PlayerID,$D$3),"")</f>
        <v>0</v>
      </c>
      <c r="E366">
        <f ca="1">IFERROR(SUMIFS(OFFSET(DBRA_TopicHCP,0,E$217,DBR_COUNT,1),DBRA_WorkplanDate,$C366,DBRA_PlayerID,$D$3),"")</f>
        <v>0</v>
      </c>
      <c r="F366">
        <f ca="1">IFERROR(SUMIFS(OFFSET(DBRA_TopicHCP,0,F$217,DBR_COUNT,1),DBRA_WorkplanDate,$C366,DBRA_PlayerID,$D$3),"")</f>
        <v>0</v>
      </c>
      <c r="G366">
        <f ca="1">IFERROR(SUMIFS(OFFSET(DBRA_TopicHCP,0,G$217,DBR_COUNT,1),DBRA_WorkplanDate,$C366,DBRA_PlayerID,$D$3),"")</f>
        <v>0</v>
      </c>
      <c r="H366">
        <f ca="1">IFERROR(SUMIFS(OFFSET(DBRA_TopicHCP,0,H$217,DBR_COUNT,1),DBRA_WorkplanDate,$C366,DBRA_PlayerID,$D$3),"")</f>
        <v>0</v>
      </c>
      <c r="I366">
        <f ca="1">IFERROR(SUMIFS(OFFSET(DBRA_TopicHCP,0,I$217,DBR_COUNT,1),DBRA_WorkplanDate,$C366,DBRA_PlayerID,$D$3),"")</f>
        <v>0</v>
      </c>
      <c r="J366">
        <f ca="1">IFERROR(SUMIFS(OFFSET(DBRA_TopicHCP,0,J$217,DBR_COUNT,1),DBRA_WorkplanDate,$C366,DBRA_PlayerID,$D$3),"")</f>
        <v>0</v>
      </c>
      <c r="K366">
        <f ca="1">IFERROR(SUMIFS(OFFSET(DBRA_TopicHCP,0,K$217,DBR_COUNT,1),DBRA_WorkplanDate,$C366,DBRA_PlayerID,$D$3),"")</f>
        <v>0</v>
      </c>
      <c r="L366">
        <f ca="1">IFERROR(SUMIFS(OFFSET(DBRA_TopicHCP,0,L$217,DBR_COUNT,1),DBRA_WorkplanDate,$C366,DBRA_PlayerID,$D$3),"")</f>
        <v>0</v>
      </c>
      <c r="M366" s="47"/>
      <c r="N366">
        <f ca="1">IFERROR(SUMIFS(OFFSET(DBRA_TopicCount,0,N$217,DBR_COUNT,1),DBRA_WorkplanDate,$C366,DBRA_PlayerID,$D$3),"")</f>
        <v>0</v>
      </c>
      <c r="O366">
        <f ca="1">IFERROR(SUMIFS(OFFSET(DBRA_TopicCount,0,O$217,DBR_COUNT,1),DBRA_WorkplanDate,$C366,DBRA_PlayerID,$D$3),"")</f>
        <v>0</v>
      </c>
      <c r="P366">
        <f ca="1">IFERROR(SUMIFS(OFFSET(DBRA_TopicCount,0,P$217,DBR_COUNT,1),DBRA_WorkplanDate,$C366,DBRA_PlayerID,$D$3),"")</f>
        <v>0</v>
      </c>
      <c r="Q366">
        <f ca="1">IFERROR(SUMIFS(OFFSET(DBRA_TopicCount,0,Q$217,DBR_COUNT,1),DBRA_WorkplanDate,$C366,DBRA_PlayerID,$D$3),"")</f>
        <v>0</v>
      </c>
      <c r="R366">
        <f ca="1">IFERROR(SUMIFS(OFFSET(DBRA_TopicCount,0,R$217,DBR_COUNT,1),DBRA_WorkplanDate,$C366,DBRA_PlayerID,$D$3),"")</f>
        <v>0</v>
      </c>
      <c r="S366">
        <f ca="1">IFERROR(SUMIFS(OFFSET(DBRA_TopicCount,0,S$217,DBR_COUNT,1),DBRA_WorkplanDate,$C366,DBRA_PlayerID,$D$3),"")</f>
        <v>0</v>
      </c>
      <c r="T366">
        <f ca="1">IFERROR(SUMIFS(OFFSET(DBRA_TopicCount,0,T$217,DBR_COUNT,1),DBRA_WorkplanDate,$C366,DBRA_PlayerID,$D$3),"")</f>
        <v>0</v>
      </c>
      <c r="U366">
        <f ca="1">IFERROR(SUMIFS(OFFSET(DBRA_TopicCount,0,U$217,DBR_COUNT,1),DBRA_WorkplanDate,$C366,DBRA_PlayerID,$D$3),"")</f>
        <v>0</v>
      </c>
      <c r="V366">
        <f ca="1">IFERROR(SUMIFS(OFFSET(DBRA_TopicCount,0,V$217,DBR_COUNT,1),DBRA_WorkplanDate,$C366,DBRA_PlayerID,$D$3),"")</f>
        <v>0</v>
      </c>
      <c r="W366" s="47"/>
      <c r="X366" t="str">
        <f t="shared" ca="1" si="94"/>
        <v/>
      </c>
      <c r="Y366" t="str">
        <f t="shared" ca="1" si="86"/>
        <v/>
      </c>
      <c r="Z366" t="str">
        <f t="shared" ca="1" si="87"/>
        <v/>
      </c>
      <c r="AA366" t="str">
        <f t="shared" ca="1" si="88"/>
        <v/>
      </c>
      <c r="AB366" t="str">
        <f t="shared" ca="1" si="89"/>
        <v/>
      </c>
      <c r="AC366" t="str">
        <f t="shared" ca="1" si="90"/>
        <v/>
      </c>
      <c r="AD366" t="str">
        <f t="shared" ca="1" si="91"/>
        <v/>
      </c>
      <c r="AE366" t="str">
        <f t="shared" ca="1" si="92"/>
        <v/>
      </c>
      <c r="AF366" t="str">
        <f t="shared" ca="1" si="93"/>
        <v/>
      </c>
      <c r="AG366" s="47"/>
    </row>
    <row r="367" spans="3:33" x14ac:dyDescent="0.25">
      <c r="C367" s="118">
        <f t="shared" si="95"/>
        <v>42153</v>
      </c>
      <c r="D367">
        <f ca="1">IFERROR(SUMIFS(OFFSET(DBRA_TopicHCP,0,D$217,DBR_COUNT,1),DBRA_WorkplanDate,$C367,DBRA_PlayerID,$D$3),"")</f>
        <v>0</v>
      </c>
      <c r="E367">
        <f ca="1">IFERROR(SUMIFS(OFFSET(DBRA_TopicHCP,0,E$217,DBR_COUNT,1),DBRA_WorkplanDate,$C367,DBRA_PlayerID,$D$3),"")</f>
        <v>0</v>
      </c>
      <c r="F367">
        <f ca="1">IFERROR(SUMIFS(OFFSET(DBRA_TopicHCP,0,F$217,DBR_COUNT,1),DBRA_WorkplanDate,$C367,DBRA_PlayerID,$D$3),"")</f>
        <v>0</v>
      </c>
      <c r="G367">
        <f ca="1">IFERROR(SUMIFS(OFFSET(DBRA_TopicHCP,0,G$217,DBR_COUNT,1),DBRA_WorkplanDate,$C367,DBRA_PlayerID,$D$3),"")</f>
        <v>0</v>
      </c>
      <c r="H367">
        <f ca="1">IFERROR(SUMIFS(OFFSET(DBRA_TopicHCP,0,H$217,DBR_COUNT,1),DBRA_WorkplanDate,$C367,DBRA_PlayerID,$D$3),"")</f>
        <v>0</v>
      </c>
      <c r="I367">
        <f ca="1">IFERROR(SUMIFS(OFFSET(DBRA_TopicHCP,0,I$217,DBR_COUNT,1),DBRA_WorkplanDate,$C367,DBRA_PlayerID,$D$3),"")</f>
        <v>0</v>
      </c>
      <c r="J367">
        <f ca="1">IFERROR(SUMIFS(OFFSET(DBRA_TopicHCP,0,J$217,DBR_COUNT,1),DBRA_WorkplanDate,$C367,DBRA_PlayerID,$D$3),"")</f>
        <v>0</v>
      </c>
      <c r="K367">
        <f ca="1">IFERROR(SUMIFS(OFFSET(DBRA_TopicHCP,0,K$217,DBR_COUNT,1),DBRA_WorkplanDate,$C367,DBRA_PlayerID,$D$3),"")</f>
        <v>0</v>
      </c>
      <c r="L367">
        <f ca="1">IFERROR(SUMIFS(OFFSET(DBRA_TopicHCP,0,L$217,DBR_COUNT,1),DBRA_WorkplanDate,$C367,DBRA_PlayerID,$D$3),"")</f>
        <v>0</v>
      </c>
      <c r="M367" s="47"/>
      <c r="N367">
        <f ca="1">IFERROR(SUMIFS(OFFSET(DBRA_TopicCount,0,N$217,DBR_COUNT,1),DBRA_WorkplanDate,$C367,DBRA_PlayerID,$D$3),"")</f>
        <v>0</v>
      </c>
      <c r="O367">
        <f ca="1">IFERROR(SUMIFS(OFFSET(DBRA_TopicCount,0,O$217,DBR_COUNT,1),DBRA_WorkplanDate,$C367,DBRA_PlayerID,$D$3),"")</f>
        <v>0</v>
      </c>
      <c r="P367">
        <f ca="1">IFERROR(SUMIFS(OFFSET(DBRA_TopicCount,0,P$217,DBR_COUNT,1),DBRA_WorkplanDate,$C367,DBRA_PlayerID,$D$3),"")</f>
        <v>0</v>
      </c>
      <c r="Q367">
        <f ca="1">IFERROR(SUMIFS(OFFSET(DBRA_TopicCount,0,Q$217,DBR_COUNT,1),DBRA_WorkplanDate,$C367,DBRA_PlayerID,$D$3),"")</f>
        <v>0</v>
      </c>
      <c r="R367">
        <f ca="1">IFERROR(SUMIFS(OFFSET(DBRA_TopicCount,0,R$217,DBR_COUNT,1),DBRA_WorkplanDate,$C367,DBRA_PlayerID,$D$3),"")</f>
        <v>0</v>
      </c>
      <c r="S367">
        <f ca="1">IFERROR(SUMIFS(OFFSET(DBRA_TopicCount,0,S$217,DBR_COUNT,1),DBRA_WorkplanDate,$C367,DBRA_PlayerID,$D$3),"")</f>
        <v>0</v>
      </c>
      <c r="T367">
        <f ca="1">IFERROR(SUMIFS(OFFSET(DBRA_TopicCount,0,T$217,DBR_COUNT,1),DBRA_WorkplanDate,$C367,DBRA_PlayerID,$D$3),"")</f>
        <v>0</v>
      </c>
      <c r="U367">
        <f ca="1">IFERROR(SUMIFS(OFFSET(DBRA_TopicCount,0,U$217,DBR_COUNT,1),DBRA_WorkplanDate,$C367,DBRA_PlayerID,$D$3),"")</f>
        <v>0</v>
      </c>
      <c r="V367">
        <f ca="1">IFERROR(SUMIFS(OFFSET(DBRA_TopicCount,0,V$217,DBR_COUNT,1),DBRA_WorkplanDate,$C367,DBRA_PlayerID,$D$3),"")</f>
        <v>0</v>
      </c>
      <c r="W367" s="47"/>
      <c r="X367" t="str">
        <f t="shared" ca="1" si="94"/>
        <v/>
      </c>
      <c r="Y367" t="str">
        <f t="shared" ca="1" si="86"/>
        <v/>
      </c>
      <c r="Z367" t="str">
        <f t="shared" ca="1" si="87"/>
        <v/>
      </c>
      <c r="AA367" t="str">
        <f t="shared" ca="1" si="88"/>
        <v/>
      </c>
      <c r="AB367" t="str">
        <f t="shared" ca="1" si="89"/>
        <v/>
      </c>
      <c r="AC367" t="str">
        <f t="shared" ca="1" si="90"/>
        <v/>
      </c>
      <c r="AD367" t="str">
        <f t="shared" ca="1" si="91"/>
        <v/>
      </c>
      <c r="AE367" t="str">
        <f t="shared" ca="1" si="92"/>
        <v/>
      </c>
      <c r="AF367" t="str">
        <f t="shared" ca="1" si="93"/>
        <v/>
      </c>
      <c r="AG367" s="47"/>
    </row>
    <row r="368" spans="3:33" x14ac:dyDescent="0.25">
      <c r="C368" s="118">
        <f t="shared" si="95"/>
        <v>42154</v>
      </c>
      <c r="D368">
        <f ca="1">IFERROR(SUMIFS(OFFSET(DBRA_TopicHCP,0,D$217,DBR_COUNT,1),DBRA_WorkplanDate,$C368,DBRA_PlayerID,$D$3),"")</f>
        <v>0</v>
      </c>
      <c r="E368">
        <f ca="1">IFERROR(SUMIFS(OFFSET(DBRA_TopicHCP,0,E$217,DBR_COUNT,1),DBRA_WorkplanDate,$C368,DBRA_PlayerID,$D$3),"")</f>
        <v>0</v>
      </c>
      <c r="F368">
        <f ca="1">IFERROR(SUMIFS(OFFSET(DBRA_TopicHCP,0,F$217,DBR_COUNT,1),DBRA_WorkplanDate,$C368,DBRA_PlayerID,$D$3),"")</f>
        <v>0</v>
      </c>
      <c r="G368">
        <f ca="1">IFERROR(SUMIFS(OFFSET(DBRA_TopicHCP,0,G$217,DBR_COUNT,1),DBRA_WorkplanDate,$C368,DBRA_PlayerID,$D$3),"")</f>
        <v>0</v>
      </c>
      <c r="H368">
        <f ca="1">IFERROR(SUMIFS(OFFSET(DBRA_TopicHCP,0,H$217,DBR_COUNT,1),DBRA_WorkplanDate,$C368,DBRA_PlayerID,$D$3),"")</f>
        <v>0</v>
      </c>
      <c r="I368">
        <f ca="1">IFERROR(SUMIFS(OFFSET(DBRA_TopicHCP,0,I$217,DBR_COUNT,1),DBRA_WorkplanDate,$C368,DBRA_PlayerID,$D$3),"")</f>
        <v>0</v>
      </c>
      <c r="J368">
        <f ca="1">IFERROR(SUMIFS(OFFSET(DBRA_TopicHCP,0,J$217,DBR_COUNT,1),DBRA_WorkplanDate,$C368,DBRA_PlayerID,$D$3),"")</f>
        <v>0</v>
      </c>
      <c r="K368">
        <f ca="1">IFERROR(SUMIFS(OFFSET(DBRA_TopicHCP,0,K$217,DBR_COUNT,1),DBRA_WorkplanDate,$C368,DBRA_PlayerID,$D$3),"")</f>
        <v>0</v>
      </c>
      <c r="L368">
        <f ca="1">IFERROR(SUMIFS(OFFSET(DBRA_TopicHCP,0,L$217,DBR_COUNT,1),DBRA_WorkplanDate,$C368,DBRA_PlayerID,$D$3),"")</f>
        <v>0</v>
      </c>
      <c r="M368" s="47"/>
      <c r="N368">
        <f ca="1">IFERROR(SUMIFS(OFFSET(DBRA_TopicCount,0,N$217,DBR_COUNT,1),DBRA_WorkplanDate,$C368,DBRA_PlayerID,$D$3),"")</f>
        <v>0</v>
      </c>
      <c r="O368">
        <f ca="1">IFERROR(SUMIFS(OFFSET(DBRA_TopicCount,0,O$217,DBR_COUNT,1),DBRA_WorkplanDate,$C368,DBRA_PlayerID,$D$3),"")</f>
        <v>0</v>
      </c>
      <c r="P368">
        <f ca="1">IFERROR(SUMIFS(OFFSET(DBRA_TopicCount,0,P$217,DBR_COUNT,1),DBRA_WorkplanDate,$C368,DBRA_PlayerID,$D$3),"")</f>
        <v>0</v>
      </c>
      <c r="Q368">
        <f ca="1">IFERROR(SUMIFS(OFFSET(DBRA_TopicCount,0,Q$217,DBR_COUNT,1),DBRA_WorkplanDate,$C368,DBRA_PlayerID,$D$3),"")</f>
        <v>0</v>
      </c>
      <c r="R368">
        <f ca="1">IFERROR(SUMIFS(OFFSET(DBRA_TopicCount,0,R$217,DBR_COUNT,1),DBRA_WorkplanDate,$C368,DBRA_PlayerID,$D$3),"")</f>
        <v>0</v>
      </c>
      <c r="S368">
        <f ca="1">IFERROR(SUMIFS(OFFSET(DBRA_TopicCount,0,S$217,DBR_COUNT,1),DBRA_WorkplanDate,$C368,DBRA_PlayerID,$D$3),"")</f>
        <v>0</v>
      </c>
      <c r="T368">
        <f ca="1">IFERROR(SUMIFS(OFFSET(DBRA_TopicCount,0,T$217,DBR_COUNT,1),DBRA_WorkplanDate,$C368,DBRA_PlayerID,$D$3),"")</f>
        <v>0</v>
      </c>
      <c r="U368">
        <f ca="1">IFERROR(SUMIFS(OFFSET(DBRA_TopicCount,0,U$217,DBR_COUNT,1),DBRA_WorkplanDate,$C368,DBRA_PlayerID,$D$3),"")</f>
        <v>0</v>
      </c>
      <c r="V368">
        <f ca="1">IFERROR(SUMIFS(OFFSET(DBRA_TopicCount,0,V$217,DBR_COUNT,1),DBRA_WorkplanDate,$C368,DBRA_PlayerID,$D$3),"")</f>
        <v>0</v>
      </c>
      <c r="W368" s="47"/>
      <c r="X368" t="str">
        <f t="shared" ca="1" si="94"/>
        <v/>
      </c>
      <c r="Y368" t="str">
        <f t="shared" ca="1" si="86"/>
        <v/>
      </c>
      <c r="Z368" t="str">
        <f t="shared" ca="1" si="87"/>
        <v/>
      </c>
      <c r="AA368" t="str">
        <f t="shared" ca="1" si="88"/>
        <v/>
      </c>
      <c r="AB368" t="str">
        <f t="shared" ca="1" si="89"/>
        <v/>
      </c>
      <c r="AC368" t="str">
        <f t="shared" ca="1" si="90"/>
        <v/>
      </c>
      <c r="AD368" t="str">
        <f t="shared" ca="1" si="91"/>
        <v/>
      </c>
      <c r="AE368" t="str">
        <f t="shared" ca="1" si="92"/>
        <v/>
      </c>
      <c r="AF368" t="str">
        <f t="shared" ca="1" si="93"/>
        <v/>
      </c>
      <c r="AG368" s="47"/>
    </row>
    <row r="369" spans="3:33" x14ac:dyDescent="0.25">
      <c r="C369" s="118">
        <f t="shared" si="95"/>
        <v>42155</v>
      </c>
      <c r="D369">
        <f ca="1">IFERROR(SUMIFS(OFFSET(DBRA_TopicHCP,0,D$217,DBR_COUNT,1),DBRA_WorkplanDate,$C369,DBRA_PlayerID,$D$3),"")</f>
        <v>0</v>
      </c>
      <c r="E369">
        <f ca="1">IFERROR(SUMIFS(OFFSET(DBRA_TopicHCP,0,E$217,DBR_COUNT,1),DBRA_WorkplanDate,$C369,DBRA_PlayerID,$D$3),"")</f>
        <v>0</v>
      </c>
      <c r="F369">
        <f ca="1">IFERROR(SUMIFS(OFFSET(DBRA_TopicHCP,0,F$217,DBR_COUNT,1),DBRA_WorkplanDate,$C369,DBRA_PlayerID,$D$3),"")</f>
        <v>0</v>
      </c>
      <c r="G369">
        <f ca="1">IFERROR(SUMIFS(OFFSET(DBRA_TopicHCP,0,G$217,DBR_COUNT,1),DBRA_WorkplanDate,$C369,DBRA_PlayerID,$D$3),"")</f>
        <v>0</v>
      </c>
      <c r="H369">
        <f ca="1">IFERROR(SUMIFS(OFFSET(DBRA_TopicHCP,0,H$217,DBR_COUNT,1),DBRA_WorkplanDate,$C369,DBRA_PlayerID,$D$3),"")</f>
        <v>0</v>
      </c>
      <c r="I369">
        <f ca="1">IFERROR(SUMIFS(OFFSET(DBRA_TopicHCP,0,I$217,DBR_COUNT,1),DBRA_WorkplanDate,$C369,DBRA_PlayerID,$D$3),"")</f>
        <v>0</v>
      </c>
      <c r="J369">
        <f ca="1">IFERROR(SUMIFS(OFFSET(DBRA_TopicHCP,0,J$217,DBR_COUNT,1),DBRA_WorkplanDate,$C369,DBRA_PlayerID,$D$3),"")</f>
        <v>0</v>
      </c>
      <c r="K369">
        <f ca="1">IFERROR(SUMIFS(OFFSET(DBRA_TopicHCP,0,K$217,DBR_COUNT,1),DBRA_WorkplanDate,$C369,DBRA_PlayerID,$D$3),"")</f>
        <v>0</v>
      </c>
      <c r="L369">
        <f ca="1">IFERROR(SUMIFS(OFFSET(DBRA_TopicHCP,0,L$217,DBR_COUNT,1),DBRA_WorkplanDate,$C369,DBRA_PlayerID,$D$3),"")</f>
        <v>0</v>
      </c>
      <c r="M369" s="47"/>
      <c r="N369">
        <f ca="1">IFERROR(SUMIFS(OFFSET(DBRA_TopicCount,0,N$217,DBR_COUNT,1),DBRA_WorkplanDate,$C369,DBRA_PlayerID,$D$3),"")</f>
        <v>0</v>
      </c>
      <c r="O369">
        <f ca="1">IFERROR(SUMIFS(OFFSET(DBRA_TopicCount,0,O$217,DBR_COUNT,1),DBRA_WorkplanDate,$C369,DBRA_PlayerID,$D$3),"")</f>
        <v>0</v>
      </c>
      <c r="P369">
        <f ca="1">IFERROR(SUMIFS(OFFSET(DBRA_TopicCount,0,P$217,DBR_COUNT,1),DBRA_WorkplanDate,$C369,DBRA_PlayerID,$D$3),"")</f>
        <v>0</v>
      </c>
      <c r="Q369">
        <f ca="1">IFERROR(SUMIFS(OFFSET(DBRA_TopicCount,0,Q$217,DBR_COUNT,1),DBRA_WorkplanDate,$C369,DBRA_PlayerID,$D$3),"")</f>
        <v>0</v>
      </c>
      <c r="R369">
        <f ca="1">IFERROR(SUMIFS(OFFSET(DBRA_TopicCount,0,R$217,DBR_COUNT,1),DBRA_WorkplanDate,$C369,DBRA_PlayerID,$D$3),"")</f>
        <v>0</v>
      </c>
      <c r="S369">
        <f ca="1">IFERROR(SUMIFS(OFFSET(DBRA_TopicCount,0,S$217,DBR_COUNT,1),DBRA_WorkplanDate,$C369,DBRA_PlayerID,$D$3),"")</f>
        <v>0</v>
      </c>
      <c r="T369">
        <f ca="1">IFERROR(SUMIFS(OFFSET(DBRA_TopicCount,0,T$217,DBR_COUNT,1),DBRA_WorkplanDate,$C369,DBRA_PlayerID,$D$3),"")</f>
        <v>0</v>
      </c>
      <c r="U369">
        <f ca="1">IFERROR(SUMIFS(OFFSET(DBRA_TopicCount,0,U$217,DBR_COUNT,1),DBRA_WorkplanDate,$C369,DBRA_PlayerID,$D$3),"")</f>
        <v>0</v>
      </c>
      <c r="V369">
        <f ca="1">IFERROR(SUMIFS(OFFSET(DBRA_TopicCount,0,V$217,DBR_COUNT,1),DBRA_WorkplanDate,$C369,DBRA_PlayerID,$D$3),"")</f>
        <v>0</v>
      </c>
      <c r="W369" s="47"/>
      <c r="X369" t="str">
        <f t="shared" ca="1" si="94"/>
        <v/>
      </c>
      <c r="Y369" t="str">
        <f t="shared" ca="1" si="86"/>
        <v/>
      </c>
      <c r="Z369" t="str">
        <f t="shared" ca="1" si="87"/>
        <v/>
      </c>
      <c r="AA369" t="str">
        <f t="shared" ca="1" si="88"/>
        <v/>
      </c>
      <c r="AB369" t="str">
        <f t="shared" ca="1" si="89"/>
        <v/>
      </c>
      <c r="AC369" t="str">
        <f t="shared" ca="1" si="90"/>
        <v/>
      </c>
      <c r="AD369" t="str">
        <f t="shared" ca="1" si="91"/>
        <v/>
      </c>
      <c r="AE369" t="str">
        <f t="shared" ca="1" si="92"/>
        <v/>
      </c>
      <c r="AF369" t="str">
        <f t="shared" ca="1" si="93"/>
        <v/>
      </c>
      <c r="AG369" s="47"/>
    </row>
    <row r="370" spans="3:33" x14ac:dyDescent="0.25">
      <c r="C370" s="118">
        <f t="shared" si="95"/>
        <v>42156</v>
      </c>
      <c r="D370">
        <f ca="1">IFERROR(SUMIFS(OFFSET(DBRA_TopicHCP,0,D$217,DBR_COUNT,1),DBRA_WorkplanDate,$C370,DBRA_PlayerID,$D$3),"")</f>
        <v>0</v>
      </c>
      <c r="E370">
        <f ca="1">IFERROR(SUMIFS(OFFSET(DBRA_TopicHCP,0,E$217,DBR_COUNT,1),DBRA_WorkplanDate,$C370,DBRA_PlayerID,$D$3),"")</f>
        <v>0</v>
      </c>
      <c r="F370">
        <f ca="1">IFERROR(SUMIFS(OFFSET(DBRA_TopicHCP,0,F$217,DBR_COUNT,1),DBRA_WorkplanDate,$C370,DBRA_PlayerID,$D$3),"")</f>
        <v>0</v>
      </c>
      <c r="G370">
        <f ca="1">IFERROR(SUMIFS(OFFSET(DBRA_TopicHCP,0,G$217,DBR_COUNT,1),DBRA_WorkplanDate,$C370,DBRA_PlayerID,$D$3),"")</f>
        <v>0</v>
      </c>
      <c r="H370">
        <f ca="1">IFERROR(SUMIFS(OFFSET(DBRA_TopicHCP,0,H$217,DBR_COUNT,1),DBRA_WorkplanDate,$C370,DBRA_PlayerID,$D$3),"")</f>
        <v>0</v>
      </c>
      <c r="I370">
        <f ca="1">IFERROR(SUMIFS(OFFSET(DBRA_TopicHCP,0,I$217,DBR_COUNT,1),DBRA_WorkplanDate,$C370,DBRA_PlayerID,$D$3),"")</f>
        <v>0</v>
      </c>
      <c r="J370">
        <f ca="1">IFERROR(SUMIFS(OFFSET(DBRA_TopicHCP,0,J$217,DBR_COUNT,1),DBRA_WorkplanDate,$C370,DBRA_PlayerID,$D$3),"")</f>
        <v>0</v>
      </c>
      <c r="K370">
        <f ca="1">IFERROR(SUMIFS(OFFSET(DBRA_TopicHCP,0,K$217,DBR_COUNT,1),DBRA_WorkplanDate,$C370,DBRA_PlayerID,$D$3),"")</f>
        <v>0</v>
      </c>
      <c r="L370">
        <f ca="1">IFERROR(SUMIFS(OFFSET(DBRA_TopicHCP,0,L$217,DBR_COUNT,1),DBRA_WorkplanDate,$C370,DBRA_PlayerID,$D$3),"")</f>
        <v>0</v>
      </c>
      <c r="M370" s="47"/>
      <c r="N370">
        <f ca="1">IFERROR(SUMIFS(OFFSET(DBRA_TopicCount,0,N$217,DBR_COUNT,1),DBRA_WorkplanDate,$C370,DBRA_PlayerID,$D$3),"")</f>
        <v>0</v>
      </c>
      <c r="O370">
        <f ca="1">IFERROR(SUMIFS(OFFSET(DBRA_TopicCount,0,O$217,DBR_COUNT,1),DBRA_WorkplanDate,$C370,DBRA_PlayerID,$D$3),"")</f>
        <v>0</v>
      </c>
      <c r="P370">
        <f ca="1">IFERROR(SUMIFS(OFFSET(DBRA_TopicCount,0,P$217,DBR_COUNT,1),DBRA_WorkplanDate,$C370,DBRA_PlayerID,$D$3),"")</f>
        <v>0</v>
      </c>
      <c r="Q370">
        <f ca="1">IFERROR(SUMIFS(OFFSET(DBRA_TopicCount,0,Q$217,DBR_COUNT,1),DBRA_WorkplanDate,$C370,DBRA_PlayerID,$D$3),"")</f>
        <v>0</v>
      </c>
      <c r="R370">
        <f ca="1">IFERROR(SUMIFS(OFFSET(DBRA_TopicCount,0,R$217,DBR_COUNT,1),DBRA_WorkplanDate,$C370,DBRA_PlayerID,$D$3),"")</f>
        <v>0</v>
      </c>
      <c r="S370">
        <f ca="1">IFERROR(SUMIFS(OFFSET(DBRA_TopicCount,0,S$217,DBR_COUNT,1),DBRA_WorkplanDate,$C370,DBRA_PlayerID,$D$3),"")</f>
        <v>0</v>
      </c>
      <c r="T370">
        <f ca="1">IFERROR(SUMIFS(OFFSET(DBRA_TopicCount,0,T$217,DBR_COUNT,1),DBRA_WorkplanDate,$C370,DBRA_PlayerID,$D$3),"")</f>
        <v>0</v>
      </c>
      <c r="U370">
        <f ca="1">IFERROR(SUMIFS(OFFSET(DBRA_TopicCount,0,U$217,DBR_COUNT,1),DBRA_WorkplanDate,$C370,DBRA_PlayerID,$D$3),"")</f>
        <v>0</v>
      </c>
      <c r="V370">
        <f ca="1">IFERROR(SUMIFS(OFFSET(DBRA_TopicCount,0,V$217,DBR_COUNT,1),DBRA_WorkplanDate,$C370,DBRA_PlayerID,$D$3),"")</f>
        <v>0</v>
      </c>
      <c r="W370" s="47"/>
      <c r="X370" t="str">
        <f t="shared" ca="1" si="94"/>
        <v/>
      </c>
      <c r="Y370" t="str">
        <f t="shared" ca="1" si="86"/>
        <v/>
      </c>
      <c r="Z370" t="str">
        <f t="shared" ca="1" si="87"/>
        <v/>
      </c>
      <c r="AA370" t="str">
        <f t="shared" ca="1" si="88"/>
        <v/>
      </c>
      <c r="AB370" t="str">
        <f t="shared" ca="1" si="89"/>
        <v/>
      </c>
      <c r="AC370" t="str">
        <f t="shared" ca="1" si="90"/>
        <v/>
      </c>
      <c r="AD370" t="str">
        <f t="shared" ca="1" si="91"/>
        <v/>
      </c>
      <c r="AE370" t="str">
        <f t="shared" ca="1" si="92"/>
        <v/>
      </c>
      <c r="AF370" t="str">
        <f t="shared" ca="1" si="93"/>
        <v/>
      </c>
      <c r="AG370" s="47"/>
    </row>
    <row r="371" spans="3:33" x14ac:dyDescent="0.25">
      <c r="C371" s="118">
        <f t="shared" si="95"/>
        <v>42157</v>
      </c>
      <c r="D371">
        <f ca="1">IFERROR(SUMIFS(OFFSET(DBRA_TopicHCP,0,D$217,DBR_COUNT,1),DBRA_WorkplanDate,$C371,DBRA_PlayerID,$D$3),"")</f>
        <v>0</v>
      </c>
      <c r="E371">
        <f ca="1">IFERROR(SUMIFS(OFFSET(DBRA_TopicHCP,0,E$217,DBR_COUNT,1),DBRA_WorkplanDate,$C371,DBRA_PlayerID,$D$3),"")</f>
        <v>0</v>
      </c>
      <c r="F371">
        <f ca="1">IFERROR(SUMIFS(OFFSET(DBRA_TopicHCP,0,F$217,DBR_COUNT,1),DBRA_WorkplanDate,$C371,DBRA_PlayerID,$D$3),"")</f>
        <v>0</v>
      </c>
      <c r="G371">
        <f ca="1">IFERROR(SUMIFS(OFFSET(DBRA_TopicHCP,0,G$217,DBR_COUNT,1),DBRA_WorkplanDate,$C371,DBRA_PlayerID,$D$3),"")</f>
        <v>0</v>
      </c>
      <c r="H371">
        <f ca="1">IFERROR(SUMIFS(OFFSET(DBRA_TopicHCP,0,H$217,DBR_COUNT,1),DBRA_WorkplanDate,$C371,DBRA_PlayerID,$D$3),"")</f>
        <v>0</v>
      </c>
      <c r="I371">
        <f ca="1">IFERROR(SUMIFS(OFFSET(DBRA_TopicHCP,0,I$217,DBR_COUNT,1),DBRA_WorkplanDate,$C371,DBRA_PlayerID,$D$3),"")</f>
        <v>0</v>
      </c>
      <c r="J371">
        <f ca="1">IFERROR(SUMIFS(OFFSET(DBRA_TopicHCP,0,J$217,DBR_COUNT,1),DBRA_WorkplanDate,$C371,DBRA_PlayerID,$D$3),"")</f>
        <v>0</v>
      </c>
      <c r="K371">
        <f ca="1">IFERROR(SUMIFS(OFFSET(DBRA_TopicHCP,0,K$217,DBR_COUNT,1),DBRA_WorkplanDate,$C371,DBRA_PlayerID,$D$3),"")</f>
        <v>0</v>
      </c>
      <c r="L371">
        <f ca="1">IFERROR(SUMIFS(OFFSET(DBRA_TopicHCP,0,L$217,DBR_COUNT,1),DBRA_WorkplanDate,$C371,DBRA_PlayerID,$D$3),"")</f>
        <v>0</v>
      </c>
      <c r="M371" s="47"/>
      <c r="N371">
        <f ca="1">IFERROR(SUMIFS(OFFSET(DBRA_TopicCount,0,N$217,DBR_COUNT,1),DBRA_WorkplanDate,$C371,DBRA_PlayerID,$D$3),"")</f>
        <v>0</v>
      </c>
      <c r="O371">
        <f ca="1">IFERROR(SUMIFS(OFFSET(DBRA_TopicCount,0,O$217,DBR_COUNT,1),DBRA_WorkplanDate,$C371,DBRA_PlayerID,$D$3),"")</f>
        <v>0</v>
      </c>
      <c r="P371">
        <f ca="1">IFERROR(SUMIFS(OFFSET(DBRA_TopicCount,0,P$217,DBR_COUNT,1),DBRA_WorkplanDate,$C371,DBRA_PlayerID,$D$3),"")</f>
        <v>0</v>
      </c>
      <c r="Q371">
        <f ca="1">IFERROR(SUMIFS(OFFSET(DBRA_TopicCount,0,Q$217,DBR_COUNT,1),DBRA_WorkplanDate,$C371,DBRA_PlayerID,$D$3),"")</f>
        <v>0</v>
      </c>
      <c r="R371">
        <f ca="1">IFERROR(SUMIFS(OFFSET(DBRA_TopicCount,0,R$217,DBR_COUNT,1),DBRA_WorkplanDate,$C371,DBRA_PlayerID,$D$3),"")</f>
        <v>0</v>
      </c>
      <c r="S371">
        <f ca="1">IFERROR(SUMIFS(OFFSET(DBRA_TopicCount,0,S$217,DBR_COUNT,1),DBRA_WorkplanDate,$C371,DBRA_PlayerID,$D$3),"")</f>
        <v>0</v>
      </c>
      <c r="T371">
        <f ca="1">IFERROR(SUMIFS(OFFSET(DBRA_TopicCount,0,T$217,DBR_COUNT,1),DBRA_WorkplanDate,$C371,DBRA_PlayerID,$D$3),"")</f>
        <v>0</v>
      </c>
      <c r="U371">
        <f ca="1">IFERROR(SUMIFS(OFFSET(DBRA_TopicCount,0,U$217,DBR_COUNT,1),DBRA_WorkplanDate,$C371,DBRA_PlayerID,$D$3),"")</f>
        <v>0</v>
      </c>
      <c r="V371">
        <f ca="1">IFERROR(SUMIFS(OFFSET(DBRA_TopicCount,0,V$217,DBR_COUNT,1),DBRA_WorkplanDate,$C371,DBRA_PlayerID,$D$3),"")</f>
        <v>0</v>
      </c>
      <c r="W371" s="47"/>
      <c r="X371" t="str">
        <f t="shared" ca="1" si="94"/>
        <v/>
      </c>
      <c r="Y371" t="str">
        <f t="shared" ca="1" si="86"/>
        <v/>
      </c>
      <c r="Z371" t="str">
        <f t="shared" ca="1" si="87"/>
        <v/>
      </c>
      <c r="AA371" t="str">
        <f t="shared" ca="1" si="88"/>
        <v/>
      </c>
      <c r="AB371" t="str">
        <f t="shared" ca="1" si="89"/>
        <v/>
      </c>
      <c r="AC371" t="str">
        <f t="shared" ca="1" si="90"/>
        <v/>
      </c>
      <c r="AD371" t="str">
        <f t="shared" ca="1" si="91"/>
        <v/>
      </c>
      <c r="AE371" t="str">
        <f t="shared" ca="1" si="92"/>
        <v/>
      </c>
      <c r="AF371" t="str">
        <f t="shared" ca="1" si="93"/>
        <v/>
      </c>
      <c r="AG371" s="47"/>
    </row>
    <row r="372" spans="3:33" x14ac:dyDescent="0.25">
      <c r="C372" s="118">
        <f t="shared" si="95"/>
        <v>42158</v>
      </c>
      <c r="D372">
        <f ca="1">IFERROR(SUMIFS(OFFSET(DBRA_TopicHCP,0,D$217,DBR_COUNT,1),DBRA_WorkplanDate,$C372,DBRA_PlayerID,$D$3),"")</f>
        <v>0</v>
      </c>
      <c r="E372">
        <f ca="1">IFERROR(SUMIFS(OFFSET(DBRA_TopicHCP,0,E$217,DBR_COUNT,1),DBRA_WorkplanDate,$C372,DBRA_PlayerID,$D$3),"")</f>
        <v>0</v>
      </c>
      <c r="F372">
        <f ca="1">IFERROR(SUMIFS(OFFSET(DBRA_TopicHCP,0,F$217,DBR_COUNT,1),DBRA_WorkplanDate,$C372,DBRA_PlayerID,$D$3),"")</f>
        <v>0</v>
      </c>
      <c r="G372">
        <f ca="1">IFERROR(SUMIFS(OFFSET(DBRA_TopicHCP,0,G$217,DBR_COUNT,1),DBRA_WorkplanDate,$C372,DBRA_PlayerID,$D$3),"")</f>
        <v>0</v>
      </c>
      <c r="H372">
        <f ca="1">IFERROR(SUMIFS(OFFSET(DBRA_TopicHCP,0,H$217,DBR_COUNT,1),DBRA_WorkplanDate,$C372,DBRA_PlayerID,$D$3),"")</f>
        <v>0</v>
      </c>
      <c r="I372">
        <f ca="1">IFERROR(SUMIFS(OFFSET(DBRA_TopicHCP,0,I$217,DBR_COUNT,1),DBRA_WorkplanDate,$C372,DBRA_PlayerID,$D$3),"")</f>
        <v>0</v>
      </c>
      <c r="J372">
        <f ca="1">IFERROR(SUMIFS(OFFSET(DBRA_TopicHCP,0,J$217,DBR_COUNT,1),DBRA_WorkplanDate,$C372,DBRA_PlayerID,$D$3),"")</f>
        <v>0</v>
      </c>
      <c r="K372">
        <f ca="1">IFERROR(SUMIFS(OFFSET(DBRA_TopicHCP,0,K$217,DBR_COUNT,1),DBRA_WorkplanDate,$C372,DBRA_PlayerID,$D$3),"")</f>
        <v>0</v>
      </c>
      <c r="L372">
        <f ca="1">IFERROR(SUMIFS(OFFSET(DBRA_TopicHCP,0,L$217,DBR_COUNT,1),DBRA_WorkplanDate,$C372,DBRA_PlayerID,$D$3),"")</f>
        <v>0</v>
      </c>
      <c r="M372" s="47"/>
      <c r="N372">
        <f ca="1">IFERROR(SUMIFS(OFFSET(DBRA_TopicCount,0,N$217,DBR_COUNT,1),DBRA_WorkplanDate,$C372,DBRA_PlayerID,$D$3),"")</f>
        <v>0</v>
      </c>
      <c r="O372">
        <f ca="1">IFERROR(SUMIFS(OFFSET(DBRA_TopicCount,0,O$217,DBR_COUNT,1),DBRA_WorkplanDate,$C372,DBRA_PlayerID,$D$3),"")</f>
        <v>0</v>
      </c>
      <c r="P372">
        <f ca="1">IFERROR(SUMIFS(OFFSET(DBRA_TopicCount,0,P$217,DBR_COUNT,1),DBRA_WorkplanDate,$C372,DBRA_PlayerID,$D$3),"")</f>
        <v>0</v>
      </c>
      <c r="Q372">
        <f ca="1">IFERROR(SUMIFS(OFFSET(DBRA_TopicCount,0,Q$217,DBR_COUNT,1),DBRA_WorkplanDate,$C372,DBRA_PlayerID,$D$3),"")</f>
        <v>0</v>
      </c>
      <c r="R372">
        <f ca="1">IFERROR(SUMIFS(OFFSET(DBRA_TopicCount,0,R$217,DBR_COUNT,1),DBRA_WorkplanDate,$C372,DBRA_PlayerID,$D$3),"")</f>
        <v>0</v>
      </c>
      <c r="S372">
        <f ca="1">IFERROR(SUMIFS(OFFSET(DBRA_TopicCount,0,S$217,DBR_COUNT,1),DBRA_WorkplanDate,$C372,DBRA_PlayerID,$D$3),"")</f>
        <v>0</v>
      </c>
      <c r="T372">
        <f ca="1">IFERROR(SUMIFS(OFFSET(DBRA_TopicCount,0,T$217,DBR_COUNT,1),DBRA_WorkplanDate,$C372,DBRA_PlayerID,$D$3),"")</f>
        <v>0</v>
      </c>
      <c r="U372">
        <f ca="1">IFERROR(SUMIFS(OFFSET(DBRA_TopicCount,0,U$217,DBR_COUNT,1),DBRA_WorkplanDate,$C372,DBRA_PlayerID,$D$3),"")</f>
        <v>0</v>
      </c>
      <c r="V372">
        <f ca="1">IFERROR(SUMIFS(OFFSET(DBRA_TopicCount,0,V$217,DBR_COUNT,1),DBRA_WorkplanDate,$C372,DBRA_PlayerID,$D$3),"")</f>
        <v>0</v>
      </c>
      <c r="W372" s="47"/>
      <c r="X372" t="str">
        <f t="shared" ca="1" si="94"/>
        <v/>
      </c>
      <c r="Y372" t="str">
        <f t="shared" ca="1" si="86"/>
        <v/>
      </c>
      <c r="Z372" t="str">
        <f t="shared" ca="1" si="87"/>
        <v/>
      </c>
      <c r="AA372" t="str">
        <f t="shared" ca="1" si="88"/>
        <v/>
      </c>
      <c r="AB372" t="str">
        <f t="shared" ca="1" si="89"/>
        <v/>
      </c>
      <c r="AC372" t="str">
        <f t="shared" ca="1" si="90"/>
        <v/>
      </c>
      <c r="AD372" t="str">
        <f t="shared" ca="1" si="91"/>
        <v/>
      </c>
      <c r="AE372" t="str">
        <f t="shared" ca="1" si="92"/>
        <v/>
      </c>
      <c r="AF372" t="str">
        <f t="shared" ca="1" si="93"/>
        <v/>
      </c>
      <c r="AG372" s="47"/>
    </row>
    <row r="373" spans="3:33" x14ac:dyDescent="0.25">
      <c r="C373" s="118">
        <f t="shared" si="95"/>
        <v>42159</v>
      </c>
      <c r="D373">
        <f ca="1">IFERROR(SUMIFS(OFFSET(DBRA_TopicHCP,0,D$217,DBR_COUNT,1),DBRA_WorkplanDate,$C373,DBRA_PlayerID,$D$3),"")</f>
        <v>0</v>
      </c>
      <c r="E373">
        <f ca="1">IFERROR(SUMIFS(OFFSET(DBRA_TopicHCP,0,E$217,DBR_COUNT,1),DBRA_WorkplanDate,$C373,DBRA_PlayerID,$D$3),"")</f>
        <v>0</v>
      </c>
      <c r="F373">
        <f ca="1">IFERROR(SUMIFS(OFFSET(DBRA_TopicHCP,0,F$217,DBR_COUNT,1),DBRA_WorkplanDate,$C373,DBRA_PlayerID,$D$3),"")</f>
        <v>0</v>
      </c>
      <c r="G373">
        <f ca="1">IFERROR(SUMIFS(OFFSET(DBRA_TopicHCP,0,G$217,DBR_COUNT,1),DBRA_WorkplanDate,$C373,DBRA_PlayerID,$D$3),"")</f>
        <v>0</v>
      </c>
      <c r="H373">
        <f ca="1">IFERROR(SUMIFS(OFFSET(DBRA_TopicHCP,0,H$217,DBR_COUNT,1),DBRA_WorkplanDate,$C373,DBRA_PlayerID,$D$3),"")</f>
        <v>0</v>
      </c>
      <c r="I373">
        <f ca="1">IFERROR(SUMIFS(OFFSET(DBRA_TopicHCP,0,I$217,DBR_COUNT,1),DBRA_WorkplanDate,$C373,DBRA_PlayerID,$D$3),"")</f>
        <v>0</v>
      </c>
      <c r="J373">
        <f ca="1">IFERROR(SUMIFS(OFFSET(DBRA_TopicHCP,0,J$217,DBR_COUNT,1),DBRA_WorkplanDate,$C373,DBRA_PlayerID,$D$3),"")</f>
        <v>0</v>
      </c>
      <c r="K373">
        <f ca="1">IFERROR(SUMIFS(OFFSET(DBRA_TopicHCP,0,K$217,DBR_COUNT,1),DBRA_WorkplanDate,$C373,DBRA_PlayerID,$D$3),"")</f>
        <v>0</v>
      </c>
      <c r="L373">
        <f ca="1">IFERROR(SUMIFS(OFFSET(DBRA_TopicHCP,0,L$217,DBR_COUNT,1),DBRA_WorkplanDate,$C373,DBRA_PlayerID,$D$3),"")</f>
        <v>0</v>
      </c>
      <c r="M373" s="47"/>
      <c r="N373">
        <f ca="1">IFERROR(SUMIFS(OFFSET(DBRA_TopicCount,0,N$217,DBR_COUNT,1),DBRA_WorkplanDate,$C373,DBRA_PlayerID,$D$3),"")</f>
        <v>0</v>
      </c>
      <c r="O373">
        <f ca="1">IFERROR(SUMIFS(OFFSET(DBRA_TopicCount,0,O$217,DBR_COUNT,1),DBRA_WorkplanDate,$C373,DBRA_PlayerID,$D$3),"")</f>
        <v>0</v>
      </c>
      <c r="P373">
        <f ca="1">IFERROR(SUMIFS(OFFSET(DBRA_TopicCount,0,P$217,DBR_COUNT,1),DBRA_WorkplanDate,$C373,DBRA_PlayerID,$D$3),"")</f>
        <v>0</v>
      </c>
      <c r="Q373">
        <f ca="1">IFERROR(SUMIFS(OFFSET(DBRA_TopicCount,0,Q$217,DBR_COUNT,1),DBRA_WorkplanDate,$C373,DBRA_PlayerID,$D$3),"")</f>
        <v>0</v>
      </c>
      <c r="R373">
        <f ca="1">IFERROR(SUMIFS(OFFSET(DBRA_TopicCount,0,R$217,DBR_COUNT,1),DBRA_WorkplanDate,$C373,DBRA_PlayerID,$D$3),"")</f>
        <v>0</v>
      </c>
      <c r="S373">
        <f ca="1">IFERROR(SUMIFS(OFFSET(DBRA_TopicCount,0,S$217,DBR_COUNT,1),DBRA_WorkplanDate,$C373,DBRA_PlayerID,$D$3),"")</f>
        <v>0</v>
      </c>
      <c r="T373">
        <f ca="1">IFERROR(SUMIFS(OFFSET(DBRA_TopicCount,0,T$217,DBR_COUNT,1),DBRA_WorkplanDate,$C373,DBRA_PlayerID,$D$3),"")</f>
        <v>0</v>
      </c>
      <c r="U373">
        <f ca="1">IFERROR(SUMIFS(OFFSET(DBRA_TopicCount,0,U$217,DBR_COUNT,1),DBRA_WorkplanDate,$C373,DBRA_PlayerID,$D$3),"")</f>
        <v>0</v>
      </c>
      <c r="V373">
        <f ca="1">IFERROR(SUMIFS(OFFSET(DBRA_TopicCount,0,V$217,DBR_COUNT,1),DBRA_WorkplanDate,$C373,DBRA_PlayerID,$D$3),"")</f>
        <v>0</v>
      </c>
      <c r="W373" s="47"/>
      <c r="X373" t="str">
        <f t="shared" ca="1" si="94"/>
        <v/>
      </c>
      <c r="Y373" t="str">
        <f t="shared" ca="1" si="86"/>
        <v/>
      </c>
      <c r="Z373" t="str">
        <f t="shared" ca="1" si="87"/>
        <v/>
      </c>
      <c r="AA373" t="str">
        <f t="shared" ca="1" si="88"/>
        <v/>
      </c>
      <c r="AB373" t="str">
        <f t="shared" ca="1" si="89"/>
        <v/>
      </c>
      <c r="AC373" t="str">
        <f t="shared" ca="1" si="90"/>
        <v/>
      </c>
      <c r="AD373" t="str">
        <f t="shared" ca="1" si="91"/>
        <v/>
      </c>
      <c r="AE373" t="str">
        <f t="shared" ca="1" si="92"/>
        <v/>
      </c>
      <c r="AF373" t="str">
        <f t="shared" ca="1" si="93"/>
        <v/>
      </c>
      <c r="AG373" s="47"/>
    </row>
    <row r="374" spans="3:33" x14ac:dyDescent="0.25">
      <c r="C374" s="118">
        <f t="shared" si="95"/>
        <v>42160</v>
      </c>
      <c r="D374">
        <f ca="1">IFERROR(SUMIFS(OFFSET(DBRA_TopicHCP,0,D$217,DBR_COUNT,1),DBRA_WorkplanDate,$C374,DBRA_PlayerID,$D$3),"")</f>
        <v>0</v>
      </c>
      <c r="E374">
        <f ca="1">IFERROR(SUMIFS(OFFSET(DBRA_TopicHCP,0,E$217,DBR_COUNT,1),DBRA_WorkplanDate,$C374,DBRA_PlayerID,$D$3),"")</f>
        <v>0</v>
      </c>
      <c r="F374">
        <f ca="1">IFERROR(SUMIFS(OFFSET(DBRA_TopicHCP,0,F$217,DBR_COUNT,1),DBRA_WorkplanDate,$C374,DBRA_PlayerID,$D$3),"")</f>
        <v>0</v>
      </c>
      <c r="G374">
        <f ca="1">IFERROR(SUMIFS(OFFSET(DBRA_TopicHCP,0,G$217,DBR_COUNT,1),DBRA_WorkplanDate,$C374,DBRA_PlayerID,$D$3),"")</f>
        <v>0</v>
      </c>
      <c r="H374">
        <f ca="1">IFERROR(SUMIFS(OFFSET(DBRA_TopicHCP,0,H$217,DBR_COUNT,1),DBRA_WorkplanDate,$C374,DBRA_PlayerID,$D$3),"")</f>
        <v>0</v>
      </c>
      <c r="I374">
        <f ca="1">IFERROR(SUMIFS(OFFSET(DBRA_TopicHCP,0,I$217,DBR_COUNT,1),DBRA_WorkplanDate,$C374,DBRA_PlayerID,$D$3),"")</f>
        <v>0</v>
      </c>
      <c r="J374">
        <f ca="1">IFERROR(SUMIFS(OFFSET(DBRA_TopicHCP,0,J$217,DBR_COUNT,1),DBRA_WorkplanDate,$C374,DBRA_PlayerID,$D$3),"")</f>
        <v>0</v>
      </c>
      <c r="K374">
        <f ca="1">IFERROR(SUMIFS(OFFSET(DBRA_TopicHCP,0,K$217,DBR_COUNT,1),DBRA_WorkplanDate,$C374,DBRA_PlayerID,$D$3),"")</f>
        <v>0</v>
      </c>
      <c r="L374">
        <f ca="1">IFERROR(SUMIFS(OFFSET(DBRA_TopicHCP,0,L$217,DBR_COUNT,1),DBRA_WorkplanDate,$C374,DBRA_PlayerID,$D$3),"")</f>
        <v>0</v>
      </c>
      <c r="M374" s="47"/>
      <c r="N374">
        <f ca="1">IFERROR(SUMIFS(OFFSET(DBRA_TopicCount,0,N$217,DBR_COUNT,1),DBRA_WorkplanDate,$C374,DBRA_PlayerID,$D$3),"")</f>
        <v>0</v>
      </c>
      <c r="O374">
        <f ca="1">IFERROR(SUMIFS(OFFSET(DBRA_TopicCount,0,O$217,DBR_COUNT,1),DBRA_WorkplanDate,$C374,DBRA_PlayerID,$D$3),"")</f>
        <v>0</v>
      </c>
      <c r="P374">
        <f ca="1">IFERROR(SUMIFS(OFFSET(DBRA_TopicCount,0,P$217,DBR_COUNT,1),DBRA_WorkplanDate,$C374,DBRA_PlayerID,$D$3),"")</f>
        <v>0</v>
      </c>
      <c r="Q374">
        <f ca="1">IFERROR(SUMIFS(OFFSET(DBRA_TopicCount,0,Q$217,DBR_COUNT,1),DBRA_WorkplanDate,$C374,DBRA_PlayerID,$D$3),"")</f>
        <v>0</v>
      </c>
      <c r="R374">
        <f ca="1">IFERROR(SUMIFS(OFFSET(DBRA_TopicCount,0,R$217,DBR_COUNT,1),DBRA_WorkplanDate,$C374,DBRA_PlayerID,$D$3),"")</f>
        <v>0</v>
      </c>
      <c r="S374">
        <f ca="1">IFERROR(SUMIFS(OFFSET(DBRA_TopicCount,0,S$217,DBR_COUNT,1),DBRA_WorkplanDate,$C374,DBRA_PlayerID,$D$3),"")</f>
        <v>0</v>
      </c>
      <c r="T374">
        <f ca="1">IFERROR(SUMIFS(OFFSET(DBRA_TopicCount,0,T$217,DBR_COUNT,1),DBRA_WorkplanDate,$C374,DBRA_PlayerID,$D$3),"")</f>
        <v>0</v>
      </c>
      <c r="U374">
        <f ca="1">IFERROR(SUMIFS(OFFSET(DBRA_TopicCount,0,U$217,DBR_COUNT,1),DBRA_WorkplanDate,$C374,DBRA_PlayerID,$D$3),"")</f>
        <v>0</v>
      </c>
      <c r="V374">
        <f ca="1">IFERROR(SUMIFS(OFFSET(DBRA_TopicCount,0,V$217,DBR_COUNT,1),DBRA_WorkplanDate,$C374,DBRA_PlayerID,$D$3),"")</f>
        <v>0</v>
      </c>
      <c r="W374" s="47"/>
      <c r="X374" t="str">
        <f t="shared" ca="1" si="94"/>
        <v/>
      </c>
      <c r="Y374" t="str">
        <f t="shared" ca="1" si="86"/>
        <v/>
      </c>
      <c r="Z374" t="str">
        <f t="shared" ca="1" si="87"/>
        <v/>
      </c>
      <c r="AA374" t="str">
        <f t="shared" ca="1" si="88"/>
        <v/>
      </c>
      <c r="AB374" t="str">
        <f t="shared" ca="1" si="89"/>
        <v/>
      </c>
      <c r="AC374" t="str">
        <f t="shared" ca="1" si="90"/>
        <v/>
      </c>
      <c r="AD374" t="str">
        <f t="shared" ca="1" si="91"/>
        <v/>
      </c>
      <c r="AE374" t="str">
        <f t="shared" ca="1" si="92"/>
        <v/>
      </c>
      <c r="AF374" t="str">
        <f t="shared" ca="1" si="93"/>
        <v/>
      </c>
      <c r="AG374" s="47"/>
    </row>
    <row r="375" spans="3:33" x14ac:dyDescent="0.25">
      <c r="C375" s="118">
        <f t="shared" si="95"/>
        <v>42161</v>
      </c>
      <c r="D375">
        <f ca="1">IFERROR(SUMIFS(OFFSET(DBRA_TopicHCP,0,D$217,DBR_COUNT,1),DBRA_WorkplanDate,$C375,DBRA_PlayerID,$D$3),"")</f>
        <v>0</v>
      </c>
      <c r="E375">
        <f ca="1">IFERROR(SUMIFS(OFFSET(DBRA_TopicHCP,0,E$217,DBR_COUNT,1),DBRA_WorkplanDate,$C375,DBRA_PlayerID,$D$3),"")</f>
        <v>0</v>
      </c>
      <c r="F375">
        <f ca="1">IFERROR(SUMIFS(OFFSET(DBRA_TopicHCP,0,F$217,DBR_COUNT,1),DBRA_WorkplanDate,$C375,DBRA_PlayerID,$D$3),"")</f>
        <v>0</v>
      </c>
      <c r="G375">
        <f ca="1">IFERROR(SUMIFS(OFFSET(DBRA_TopicHCP,0,G$217,DBR_COUNT,1),DBRA_WorkplanDate,$C375,DBRA_PlayerID,$D$3),"")</f>
        <v>0</v>
      </c>
      <c r="H375">
        <f ca="1">IFERROR(SUMIFS(OFFSET(DBRA_TopicHCP,0,H$217,DBR_COUNT,1),DBRA_WorkplanDate,$C375,DBRA_PlayerID,$D$3),"")</f>
        <v>0</v>
      </c>
      <c r="I375">
        <f ca="1">IFERROR(SUMIFS(OFFSET(DBRA_TopicHCP,0,I$217,DBR_COUNT,1),DBRA_WorkplanDate,$C375,DBRA_PlayerID,$D$3),"")</f>
        <v>0</v>
      </c>
      <c r="J375">
        <f ca="1">IFERROR(SUMIFS(OFFSET(DBRA_TopicHCP,0,J$217,DBR_COUNT,1),DBRA_WorkplanDate,$C375,DBRA_PlayerID,$D$3),"")</f>
        <v>0</v>
      </c>
      <c r="K375">
        <f ca="1">IFERROR(SUMIFS(OFFSET(DBRA_TopicHCP,0,K$217,DBR_COUNT,1),DBRA_WorkplanDate,$C375,DBRA_PlayerID,$D$3),"")</f>
        <v>0</v>
      </c>
      <c r="L375">
        <f ca="1">IFERROR(SUMIFS(OFFSET(DBRA_TopicHCP,0,L$217,DBR_COUNT,1),DBRA_WorkplanDate,$C375,DBRA_PlayerID,$D$3),"")</f>
        <v>0</v>
      </c>
      <c r="M375" s="47"/>
      <c r="N375">
        <f ca="1">IFERROR(SUMIFS(OFFSET(DBRA_TopicCount,0,N$217,DBR_COUNT,1),DBRA_WorkplanDate,$C375,DBRA_PlayerID,$D$3),"")</f>
        <v>0</v>
      </c>
      <c r="O375">
        <f ca="1">IFERROR(SUMIFS(OFFSET(DBRA_TopicCount,0,O$217,DBR_COUNT,1),DBRA_WorkplanDate,$C375,DBRA_PlayerID,$D$3),"")</f>
        <v>0</v>
      </c>
      <c r="P375">
        <f ca="1">IFERROR(SUMIFS(OFFSET(DBRA_TopicCount,0,P$217,DBR_COUNT,1),DBRA_WorkplanDate,$C375,DBRA_PlayerID,$D$3),"")</f>
        <v>0</v>
      </c>
      <c r="Q375">
        <f ca="1">IFERROR(SUMIFS(OFFSET(DBRA_TopicCount,0,Q$217,DBR_COUNT,1),DBRA_WorkplanDate,$C375,DBRA_PlayerID,$D$3),"")</f>
        <v>0</v>
      </c>
      <c r="R375">
        <f ca="1">IFERROR(SUMIFS(OFFSET(DBRA_TopicCount,0,R$217,DBR_COUNT,1),DBRA_WorkplanDate,$C375,DBRA_PlayerID,$D$3),"")</f>
        <v>0</v>
      </c>
      <c r="S375">
        <f ca="1">IFERROR(SUMIFS(OFFSET(DBRA_TopicCount,0,S$217,DBR_COUNT,1),DBRA_WorkplanDate,$C375,DBRA_PlayerID,$D$3),"")</f>
        <v>0</v>
      </c>
      <c r="T375">
        <f ca="1">IFERROR(SUMIFS(OFFSET(DBRA_TopicCount,0,T$217,DBR_COUNT,1),DBRA_WorkplanDate,$C375,DBRA_PlayerID,$D$3),"")</f>
        <v>0</v>
      </c>
      <c r="U375">
        <f ca="1">IFERROR(SUMIFS(OFFSET(DBRA_TopicCount,0,U$217,DBR_COUNT,1),DBRA_WorkplanDate,$C375,DBRA_PlayerID,$D$3),"")</f>
        <v>0</v>
      </c>
      <c r="V375">
        <f ca="1">IFERROR(SUMIFS(OFFSET(DBRA_TopicCount,0,V$217,DBR_COUNT,1),DBRA_WorkplanDate,$C375,DBRA_PlayerID,$D$3),"")</f>
        <v>0</v>
      </c>
      <c r="W375" s="47"/>
      <c r="X375" t="str">
        <f t="shared" ca="1" si="94"/>
        <v/>
      </c>
      <c r="Y375" t="str">
        <f t="shared" ca="1" si="86"/>
        <v/>
      </c>
      <c r="Z375" t="str">
        <f t="shared" ca="1" si="87"/>
        <v/>
      </c>
      <c r="AA375" t="str">
        <f t="shared" ca="1" si="88"/>
        <v/>
      </c>
      <c r="AB375" t="str">
        <f t="shared" ca="1" si="89"/>
        <v/>
      </c>
      <c r="AC375" t="str">
        <f t="shared" ca="1" si="90"/>
        <v/>
      </c>
      <c r="AD375" t="str">
        <f t="shared" ca="1" si="91"/>
        <v/>
      </c>
      <c r="AE375" t="str">
        <f t="shared" ca="1" si="92"/>
        <v/>
      </c>
      <c r="AF375" t="str">
        <f t="shared" ca="1" si="93"/>
        <v/>
      </c>
      <c r="AG375" s="47"/>
    </row>
    <row r="376" spans="3:33" x14ac:dyDescent="0.25">
      <c r="C376" s="118">
        <f t="shared" si="95"/>
        <v>42162</v>
      </c>
      <c r="D376">
        <f ca="1">IFERROR(SUMIFS(OFFSET(DBRA_TopicHCP,0,D$217,DBR_COUNT,1),DBRA_WorkplanDate,$C376,DBRA_PlayerID,$D$3),"")</f>
        <v>0</v>
      </c>
      <c r="E376">
        <f ca="1">IFERROR(SUMIFS(OFFSET(DBRA_TopicHCP,0,E$217,DBR_COUNT,1),DBRA_WorkplanDate,$C376,DBRA_PlayerID,$D$3),"")</f>
        <v>0</v>
      </c>
      <c r="F376">
        <f ca="1">IFERROR(SUMIFS(OFFSET(DBRA_TopicHCP,0,F$217,DBR_COUNT,1),DBRA_WorkplanDate,$C376,DBRA_PlayerID,$D$3),"")</f>
        <v>0</v>
      </c>
      <c r="G376">
        <f ca="1">IFERROR(SUMIFS(OFFSET(DBRA_TopicHCP,0,G$217,DBR_COUNT,1),DBRA_WorkplanDate,$C376,DBRA_PlayerID,$D$3),"")</f>
        <v>0</v>
      </c>
      <c r="H376">
        <f ca="1">IFERROR(SUMIFS(OFFSET(DBRA_TopicHCP,0,H$217,DBR_COUNT,1),DBRA_WorkplanDate,$C376,DBRA_PlayerID,$D$3),"")</f>
        <v>0</v>
      </c>
      <c r="I376">
        <f ca="1">IFERROR(SUMIFS(OFFSET(DBRA_TopicHCP,0,I$217,DBR_COUNT,1),DBRA_WorkplanDate,$C376,DBRA_PlayerID,$D$3),"")</f>
        <v>0</v>
      </c>
      <c r="J376">
        <f ca="1">IFERROR(SUMIFS(OFFSET(DBRA_TopicHCP,0,J$217,DBR_COUNT,1),DBRA_WorkplanDate,$C376,DBRA_PlayerID,$D$3),"")</f>
        <v>0</v>
      </c>
      <c r="K376">
        <f ca="1">IFERROR(SUMIFS(OFFSET(DBRA_TopicHCP,0,K$217,DBR_COUNT,1),DBRA_WorkplanDate,$C376,DBRA_PlayerID,$D$3),"")</f>
        <v>0</v>
      </c>
      <c r="L376">
        <f ca="1">IFERROR(SUMIFS(OFFSET(DBRA_TopicHCP,0,L$217,DBR_COUNT,1),DBRA_WorkplanDate,$C376,DBRA_PlayerID,$D$3),"")</f>
        <v>0</v>
      </c>
      <c r="M376" s="47"/>
      <c r="N376">
        <f ca="1">IFERROR(SUMIFS(OFFSET(DBRA_TopicCount,0,N$217,DBR_COUNT,1),DBRA_WorkplanDate,$C376,DBRA_PlayerID,$D$3),"")</f>
        <v>0</v>
      </c>
      <c r="O376">
        <f ca="1">IFERROR(SUMIFS(OFFSET(DBRA_TopicCount,0,O$217,DBR_COUNT,1),DBRA_WorkplanDate,$C376,DBRA_PlayerID,$D$3),"")</f>
        <v>0</v>
      </c>
      <c r="P376">
        <f ca="1">IFERROR(SUMIFS(OFFSET(DBRA_TopicCount,0,P$217,DBR_COUNT,1),DBRA_WorkplanDate,$C376,DBRA_PlayerID,$D$3),"")</f>
        <v>0</v>
      </c>
      <c r="Q376">
        <f ca="1">IFERROR(SUMIFS(OFFSET(DBRA_TopicCount,0,Q$217,DBR_COUNT,1),DBRA_WorkplanDate,$C376,DBRA_PlayerID,$D$3),"")</f>
        <v>0</v>
      </c>
      <c r="R376">
        <f ca="1">IFERROR(SUMIFS(OFFSET(DBRA_TopicCount,0,R$217,DBR_COUNT,1),DBRA_WorkplanDate,$C376,DBRA_PlayerID,$D$3),"")</f>
        <v>0</v>
      </c>
      <c r="S376">
        <f ca="1">IFERROR(SUMIFS(OFFSET(DBRA_TopicCount,0,S$217,DBR_COUNT,1),DBRA_WorkplanDate,$C376,DBRA_PlayerID,$D$3),"")</f>
        <v>0</v>
      </c>
      <c r="T376">
        <f ca="1">IFERROR(SUMIFS(OFFSET(DBRA_TopicCount,0,T$217,DBR_COUNT,1),DBRA_WorkplanDate,$C376,DBRA_PlayerID,$D$3),"")</f>
        <v>0</v>
      </c>
      <c r="U376">
        <f ca="1">IFERROR(SUMIFS(OFFSET(DBRA_TopicCount,0,U$217,DBR_COUNT,1),DBRA_WorkplanDate,$C376,DBRA_PlayerID,$D$3),"")</f>
        <v>0</v>
      </c>
      <c r="V376">
        <f ca="1">IFERROR(SUMIFS(OFFSET(DBRA_TopicCount,0,V$217,DBR_COUNT,1),DBRA_WorkplanDate,$C376,DBRA_PlayerID,$D$3),"")</f>
        <v>0</v>
      </c>
      <c r="W376" s="47"/>
      <c r="X376" t="str">
        <f t="shared" ca="1" si="94"/>
        <v/>
      </c>
      <c r="Y376" t="str">
        <f t="shared" ca="1" si="86"/>
        <v/>
      </c>
      <c r="Z376" t="str">
        <f t="shared" ca="1" si="87"/>
        <v/>
      </c>
      <c r="AA376" t="str">
        <f t="shared" ca="1" si="88"/>
        <v/>
      </c>
      <c r="AB376" t="str">
        <f t="shared" ca="1" si="89"/>
        <v/>
      </c>
      <c r="AC376" t="str">
        <f t="shared" ca="1" si="90"/>
        <v/>
      </c>
      <c r="AD376" t="str">
        <f t="shared" ca="1" si="91"/>
        <v/>
      </c>
      <c r="AE376" t="str">
        <f t="shared" ca="1" si="92"/>
        <v/>
      </c>
      <c r="AF376" t="str">
        <f t="shared" ca="1" si="93"/>
        <v/>
      </c>
      <c r="AG376" s="47"/>
    </row>
    <row r="377" spans="3:33" x14ac:dyDescent="0.25">
      <c r="C377" s="118">
        <f t="shared" si="95"/>
        <v>42163</v>
      </c>
      <c r="D377">
        <f ca="1">IFERROR(SUMIFS(OFFSET(DBRA_TopicHCP,0,D$217,DBR_COUNT,1),DBRA_WorkplanDate,$C377,DBRA_PlayerID,$D$3),"")</f>
        <v>0</v>
      </c>
      <c r="E377">
        <f ca="1">IFERROR(SUMIFS(OFFSET(DBRA_TopicHCP,0,E$217,DBR_COUNT,1),DBRA_WorkplanDate,$C377,DBRA_PlayerID,$D$3),"")</f>
        <v>0</v>
      </c>
      <c r="F377">
        <f ca="1">IFERROR(SUMIFS(OFFSET(DBRA_TopicHCP,0,F$217,DBR_COUNT,1),DBRA_WorkplanDate,$C377,DBRA_PlayerID,$D$3),"")</f>
        <v>0</v>
      </c>
      <c r="G377">
        <f ca="1">IFERROR(SUMIFS(OFFSET(DBRA_TopicHCP,0,G$217,DBR_COUNT,1),DBRA_WorkplanDate,$C377,DBRA_PlayerID,$D$3),"")</f>
        <v>0</v>
      </c>
      <c r="H377">
        <f ca="1">IFERROR(SUMIFS(OFFSET(DBRA_TopicHCP,0,H$217,DBR_COUNT,1),DBRA_WorkplanDate,$C377,DBRA_PlayerID,$D$3),"")</f>
        <v>0</v>
      </c>
      <c r="I377">
        <f ca="1">IFERROR(SUMIFS(OFFSET(DBRA_TopicHCP,0,I$217,DBR_COUNT,1),DBRA_WorkplanDate,$C377,DBRA_PlayerID,$D$3),"")</f>
        <v>0</v>
      </c>
      <c r="J377">
        <f ca="1">IFERROR(SUMIFS(OFFSET(DBRA_TopicHCP,0,J$217,DBR_COUNT,1),DBRA_WorkplanDate,$C377,DBRA_PlayerID,$D$3),"")</f>
        <v>0</v>
      </c>
      <c r="K377">
        <f ca="1">IFERROR(SUMIFS(OFFSET(DBRA_TopicHCP,0,K$217,DBR_COUNT,1),DBRA_WorkplanDate,$C377,DBRA_PlayerID,$D$3),"")</f>
        <v>0</v>
      </c>
      <c r="L377">
        <f ca="1">IFERROR(SUMIFS(OFFSET(DBRA_TopicHCP,0,L$217,DBR_COUNT,1),DBRA_WorkplanDate,$C377,DBRA_PlayerID,$D$3),"")</f>
        <v>0</v>
      </c>
      <c r="M377" s="47"/>
      <c r="N377">
        <f ca="1">IFERROR(SUMIFS(OFFSET(DBRA_TopicCount,0,N$217,DBR_COUNT,1),DBRA_WorkplanDate,$C377,DBRA_PlayerID,$D$3),"")</f>
        <v>0</v>
      </c>
      <c r="O377">
        <f ca="1">IFERROR(SUMIFS(OFFSET(DBRA_TopicCount,0,O$217,DBR_COUNT,1),DBRA_WorkplanDate,$C377,DBRA_PlayerID,$D$3),"")</f>
        <v>0</v>
      </c>
      <c r="P377">
        <f ca="1">IFERROR(SUMIFS(OFFSET(DBRA_TopicCount,0,P$217,DBR_COUNT,1),DBRA_WorkplanDate,$C377,DBRA_PlayerID,$D$3),"")</f>
        <v>0</v>
      </c>
      <c r="Q377">
        <f ca="1">IFERROR(SUMIFS(OFFSET(DBRA_TopicCount,0,Q$217,DBR_COUNT,1),DBRA_WorkplanDate,$C377,DBRA_PlayerID,$D$3),"")</f>
        <v>0</v>
      </c>
      <c r="R377">
        <f ca="1">IFERROR(SUMIFS(OFFSET(DBRA_TopicCount,0,R$217,DBR_COUNT,1),DBRA_WorkplanDate,$C377,DBRA_PlayerID,$D$3),"")</f>
        <v>0</v>
      </c>
      <c r="S377">
        <f ca="1">IFERROR(SUMIFS(OFFSET(DBRA_TopicCount,0,S$217,DBR_COUNT,1),DBRA_WorkplanDate,$C377,DBRA_PlayerID,$D$3),"")</f>
        <v>0</v>
      </c>
      <c r="T377">
        <f ca="1">IFERROR(SUMIFS(OFFSET(DBRA_TopicCount,0,T$217,DBR_COUNT,1),DBRA_WorkplanDate,$C377,DBRA_PlayerID,$D$3),"")</f>
        <v>0</v>
      </c>
      <c r="U377">
        <f ca="1">IFERROR(SUMIFS(OFFSET(DBRA_TopicCount,0,U$217,DBR_COUNT,1),DBRA_WorkplanDate,$C377,DBRA_PlayerID,$D$3),"")</f>
        <v>0</v>
      </c>
      <c r="V377">
        <f ca="1">IFERROR(SUMIFS(OFFSET(DBRA_TopicCount,0,V$217,DBR_COUNT,1),DBRA_WorkplanDate,$C377,DBRA_PlayerID,$D$3),"")</f>
        <v>0</v>
      </c>
      <c r="W377" s="47"/>
      <c r="X377" t="str">
        <f t="shared" ca="1" si="94"/>
        <v/>
      </c>
      <c r="Y377" t="str">
        <f t="shared" ca="1" si="86"/>
        <v/>
      </c>
      <c r="Z377" t="str">
        <f t="shared" ca="1" si="87"/>
        <v/>
      </c>
      <c r="AA377" t="str">
        <f t="shared" ca="1" si="88"/>
        <v/>
      </c>
      <c r="AB377" t="str">
        <f t="shared" ca="1" si="89"/>
        <v/>
      </c>
      <c r="AC377" t="str">
        <f t="shared" ca="1" si="90"/>
        <v/>
      </c>
      <c r="AD377" t="str">
        <f t="shared" ca="1" si="91"/>
        <v/>
      </c>
      <c r="AE377" t="str">
        <f t="shared" ca="1" si="92"/>
        <v/>
      </c>
      <c r="AF377" t="str">
        <f t="shared" ca="1" si="93"/>
        <v/>
      </c>
      <c r="AG377" s="47"/>
    </row>
    <row r="378" spans="3:33" x14ac:dyDescent="0.25">
      <c r="C378" s="118">
        <f t="shared" si="95"/>
        <v>42164</v>
      </c>
      <c r="D378">
        <f ca="1">IFERROR(SUMIFS(OFFSET(DBRA_TopicHCP,0,D$217,DBR_COUNT,1),DBRA_WorkplanDate,$C378,DBRA_PlayerID,$D$3),"")</f>
        <v>0</v>
      </c>
      <c r="E378">
        <f ca="1">IFERROR(SUMIFS(OFFSET(DBRA_TopicHCP,0,E$217,DBR_COUNT,1),DBRA_WorkplanDate,$C378,DBRA_PlayerID,$D$3),"")</f>
        <v>0</v>
      </c>
      <c r="F378">
        <f ca="1">IFERROR(SUMIFS(OFFSET(DBRA_TopicHCP,0,F$217,DBR_COUNT,1),DBRA_WorkplanDate,$C378,DBRA_PlayerID,$D$3),"")</f>
        <v>0</v>
      </c>
      <c r="G378">
        <f ca="1">IFERROR(SUMIFS(OFFSET(DBRA_TopicHCP,0,G$217,DBR_COUNT,1),DBRA_WorkplanDate,$C378,DBRA_PlayerID,$D$3),"")</f>
        <v>0</v>
      </c>
      <c r="H378">
        <f ca="1">IFERROR(SUMIFS(OFFSET(DBRA_TopicHCP,0,H$217,DBR_COUNT,1),DBRA_WorkplanDate,$C378,DBRA_PlayerID,$D$3),"")</f>
        <v>0</v>
      </c>
      <c r="I378">
        <f ca="1">IFERROR(SUMIFS(OFFSET(DBRA_TopicHCP,0,I$217,DBR_COUNT,1),DBRA_WorkplanDate,$C378,DBRA_PlayerID,$D$3),"")</f>
        <v>0</v>
      </c>
      <c r="J378">
        <f ca="1">IFERROR(SUMIFS(OFFSET(DBRA_TopicHCP,0,J$217,DBR_COUNT,1),DBRA_WorkplanDate,$C378,DBRA_PlayerID,$D$3),"")</f>
        <v>0</v>
      </c>
      <c r="K378">
        <f ca="1">IFERROR(SUMIFS(OFFSET(DBRA_TopicHCP,0,K$217,DBR_COUNT,1),DBRA_WorkplanDate,$C378,DBRA_PlayerID,$D$3),"")</f>
        <v>0</v>
      </c>
      <c r="L378">
        <f ca="1">IFERROR(SUMIFS(OFFSET(DBRA_TopicHCP,0,L$217,DBR_COUNT,1),DBRA_WorkplanDate,$C378,DBRA_PlayerID,$D$3),"")</f>
        <v>0</v>
      </c>
      <c r="M378" s="47"/>
      <c r="N378">
        <f ca="1">IFERROR(SUMIFS(OFFSET(DBRA_TopicCount,0,N$217,DBR_COUNT,1),DBRA_WorkplanDate,$C378,DBRA_PlayerID,$D$3),"")</f>
        <v>0</v>
      </c>
      <c r="O378">
        <f ca="1">IFERROR(SUMIFS(OFFSET(DBRA_TopicCount,0,O$217,DBR_COUNT,1),DBRA_WorkplanDate,$C378,DBRA_PlayerID,$D$3),"")</f>
        <v>0</v>
      </c>
      <c r="P378">
        <f ca="1">IFERROR(SUMIFS(OFFSET(DBRA_TopicCount,0,P$217,DBR_COUNT,1),DBRA_WorkplanDate,$C378,DBRA_PlayerID,$D$3),"")</f>
        <v>0</v>
      </c>
      <c r="Q378">
        <f ca="1">IFERROR(SUMIFS(OFFSET(DBRA_TopicCount,0,Q$217,DBR_COUNT,1),DBRA_WorkplanDate,$C378,DBRA_PlayerID,$D$3),"")</f>
        <v>0</v>
      </c>
      <c r="R378">
        <f ca="1">IFERROR(SUMIFS(OFFSET(DBRA_TopicCount,0,R$217,DBR_COUNT,1),DBRA_WorkplanDate,$C378,DBRA_PlayerID,$D$3),"")</f>
        <v>0</v>
      </c>
      <c r="S378">
        <f ca="1">IFERROR(SUMIFS(OFFSET(DBRA_TopicCount,0,S$217,DBR_COUNT,1),DBRA_WorkplanDate,$C378,DBRA_PlayerID,$D$3),"")</f>
        <v>0</v>
      </c>
      <c r="T378">
        <f ca="1">IFERROR(SUMIFS(OFFSET(DBRA_TopicCount,0,T$217,DBR_COUNT,1),DBRA_WorkplanDate,$C378,DBRA_PlayerID,$D$3),"")</f>
        <v>0</v>
      </c>
      <c r="U378">
        <f ca="1">IFERROR(SUMIFS(OFFSET(DBRA_TopicCount,0,U$217,DBR_COUNT,1),DBRA_WorkplanDate,$C378,DBRA_PlayerID,$D$3),"")</f>
        <v>0</v>
      </c>
      <c r="V378">
        <f ca="1">IFERROR(SUMIFS(OFFSET(DBRA_TopicCount,0,V$217,DBR_COUNT,1),DBRA_WorkplanDate,$C378,DBRA_PlayerID,$D$3),"")</f>
        <v>0</v>
      </c>
      <c r="W378" s="47"/>
      <c r="X378" t="str">
        <f t="shared" ca="1" si="94"/>
        <v/>
      </c>
      <c r="Y378" t="str">
        <f t="shared" ca="1" si="86"/>
        <v/>
      </c>
      <c r="Z378" t="str">
        <f t="shared" ca="1" si="87"/>
        <v/>
      </c>
      <c r="AA378" t="str">
        <f t="shared" ca="1" si="88"/>
        <v/>
      </c>
      <c r="AB378" t="str">
        <f t="shared" ca="1" si="89"/>
        <v/>
      </c>
      <c r="AC378" t="str">
        <f t="shared" ca="1" si="90"/>
        <v/>
      </c>
      <c r="AD378" t="str">
        <f t="shared" ca="1" si="91"/>
        <v/>
      </c>
      <c r="AE378" t="str">
        <f t="shared" ca="1" si="92"/>
        <v/>
      </c>
      <c r="AF378" t="str">
        <f t="shared" ca="1" si="93"/>
        <v/>
      </c>
      <c r="AG378" s="47"/>
    </row>
    <row r="379" spans="3:33" x14ac:dyDescent="0.25">
      <c r="C379" s="118">
        <f t="shared" si="95"/>
        <v>42165</v>
      </c>
      <c r="D379">
        <f ca="1">IFERROR(SUMIFS(OFFSET(DBRA_TopicHCP,0,D$217,DBR_COUNT,1),DBRA_WorkplanDate,$C379,DBRA_PlayerID,$D$3),"")</f>
        <v>0</v>
      </c>
      <c r="E379">
        <f ca="1">IFERROR(SUMIFS(OFFSET(DBRA_TopicHCP,0,E$217,DBR_COUNT,1),DBRA_WorkplanDate,$C379,DBRA_PlayerID,$D$3),"")</f>
        <v>0</v>
      </c>
      <c r="F379">
        <f ca="1">IFERROR(SUMIFS(OFFSET(DBRA_TopicHCP,0,F$217,DBR_COUNT,1),DBRA_WorkplanDate,$C379,DBRA_PlayerID,$D$3),"")</f>
        <v>0</v>
      </c>
      <c r="G379">
        <f ca="1">IFERROR(SUMIFS(OFFSET(DBRA_TopicHCP,0,G$217,DBR_COUNT,1),DBRA_WorkplanDate,$C379,DBRA_PlayerID,$D$3),"")</f>
        <v>0</v>
      </c>
      <c r="H379">
        <f ca="1">IFERROR(SUMIFS(OFFSET(DBRA_TopicHCP,0,H$217,DBR_COUNT,1),DBRA_WorkplanDate,$C379,DBRA_PlayerID,$D$3),"")</f>
        <v>0</v>
      </c>
      <c r="I379">
        <f ca="1">IFERROR(SUMIFS(OFFSET(DBRA_TopicHCP,0,I$217,DBR_COUNT,1),DBRA_WorkplanDate,$C379,DBRA_PlayerID,$D$3),"")</f>
        <v>0</v>
      </c>
      <c r="J379">
        <f ca="1">IFERROR(SUMIFS(OFFSET(DBRA_TopicHCP,0,J$217,DBR_COUNT,1),DBRA_WorkplanDate,$C379,DBRA_PlayerID,$D$3),"")</f>
        <v>0</v>
      </c>
      <c r="K379">
        <f ca="1">IFERROR(SUMIFS(OFFSET(DBRA_TopicHCP,0,K$217,DBR_COUNT,1),DBRA_WorkplanDate,$C379,DBRA_PlayerID,$D$3),"")</f>
        <v>0</v>
      </c>
      <c r="L379">
        <f ca="1">IFERROR(SUMIFS(OFFSET(DBRA_TopicHCP,0,L$217,DBR_COUNT,1),DBRA_WorkplanDate,$C379,DBRA_PlayerID,$D$3),"")</f>
        <v>0</v>
      </c>
      <c r="M379" s="47"/>
      <c r="N379">
        <f ca="1">IFERROR(SUMIFS(OFFSET(DBRA_TopicCount,0,N$217,DBR_COUNT,1),DBRA_WorkplanDate,$C379,DBRA_PlayerID,$D$3),"")</f>
        <v>0</v>
      </c>
      <c r="O379">
        <f ca="1">IFERROR(SUMIFS(OFFSET(DBRA_TopicCount,0,O$217,DBR_COUNT,1),DBRA_WorkplanDate,$C379,DBRA_PlayerID,$D$3),"")</f>
        <v>0</v>
      </c>
      <c r="P379">
        <f ca="1">IFERROR(SUMIFS(OFFSET(DBRA_TopicCount,0,P$217,DBR_COUNT,1),DBRA_WorkplanDate,$C379,DBRA_PlayerID,$D$3),"")</f>
        <v>0</v>
      </c>
      <c r="Q379">
        <f ca="1">IFERROR(SUMIFS(OFFSET(DBRA_TopicCount,0,Q$217,DBR_COUNT,1),DBRA_WorkplanDate,$C379,DBRA_PlayerID,$D$3),"")</f>
        <v>0</v>
      </c>
      <c r="R379">
        <f ca="1">IFERROR(SUMIFS(OFFSET(DBRA_TopicCount,0,R$217,DBR_COUNT,1),DBRA_WorkplanDate,$C379,DBRA_PlayerID,$D$3),"")</f>
        <v>0</v>
      </c>
      <c r="S379">
        <f ca="1">IFERROR(SUMIFS(OFFSET(DBRA_TopicCount,0,S$217,DBR_COUNT,1),DBRA_WorkplanDate,$C379,DBRA_PlayerID,$D$3),"")</f>
        <v>0</v>
      </c>
      <c r="T379">
        <f ca="1">IFERROR(SUMIFS(OFFSET(DBRA_TopicCount,0,T$217,DBR_COUNT,1),DBRA_WorkplanDate,$C379,DBRA_PlayerID,$D$3),"")</f>
        <v>0</v>
      </c>
      <c r="U379">
        <f ca="1">IFERROR(SUMIFS(OFFSET(DBRA_TopicCount,0,U$217,DBR_COUNT,1),DBRA_WorkplanDate,$C379,DBRA_PlayerID,$D$3),"")</f>
        <v>0</v>
      </c>
      <c r="V379">
        <f ca="1">IFERROR(SUMIFS(OFFSET(DBRA_TopicCount,0,V$217,DBR_COUNT,1),DBRA_WorkplanDate,$C379,DBRA_PlayerID,$D$3),"")</f>
        <v>0</v>
      </c>
      <c r="W379" s="47"/>
      <c r="X379" t="str">
        <f t="shared" ca="1" si="94"/>
        <v/>
      </c>
      <c r="Y379" t="str">
        <f t="shared" ca="1" si="86"/>
        <v/>
      </c>
      <c r="Z379" t="str">
        <f t="shared" ca="1" si="87"/>
        <v/>
      </c>
      <c r="AA379" t="str">
        <f t="shared" ca="1" si="88"/>
        <v/>
      </c>
      <c r="AB379" t="str">
        <f t="shared" ca="1" si="89"/>
        <v/>
      </c>
      <c r="AC379" t="str">
        <f t="shared" ca="1" si="90"/>
        <v/>
      </c>
      <c r="AD379" t="str">
        <f t="shared" ca="1" si="91"/>
        <v/>
      </c>
      <c r="AE379" t="str">
        <f t="shared" ca="1" si="92"/>
        <v/>
      </c>
      <c r="AF379" t="str">
        <f t="shared" ca="1" si="93"/>
        <v/>
      </c>
      <c r="AG379" s="47"/>
    </row>
    <row r="380" spans="3:33" x14ac:dyDescent="0.25">
      <c r="C380" s="118">
        <f t="shared" si="95"/>
        <v>42166</v>
      </c>
      <c r="D380">
        <f ca="1">IFERROR(SUMIFS(OFFSET(DBRA_TopicHCP,0,D$217,DBR_COUNT,1),DBRA_WorkplanDate,$C380,DBRA_PlayerID,$D$3),"")</f>
        <v>0</v>
      </c>
      <c r="E380">
        <f ca="1">IFERROR(SUMIFS(OFFSET(DBRA_TopicHCP,0,E$217,DBR_COUNT,1),DBRA_WorkplanDate,$C380,DBRA_PlayerID,$D$3),"")</f>
        <v>0</v>
      </c>
      <c r="F380">
        <f ca="1">IFERROR(SUMIFS(OFFSET(DBRA_TopicHCP,0,F$217,DBR_COUNT,1),DBRA_WorkplanDate,$C380,DBRA_PlayerID,$D$3),"")</f>
        <v>0</v>
      </c>
      <c r="G380">
        <f ca="1">IFERROR(SUMIFS(OFFSET(DBRA_TopicHCP,0,G$217,DBR_COUNT,1),DBRA_WorkplanDate,$C380,DBRA_PlayerID,$D$3),"")</f>
        <v>0</v>
      </c>
      <c r="H380">
        <f ca="1">IFERROR(SUMIFS(OFFSET(DBRA_TopicHCP,0,H$217,DBR_COUNT,1),DBRA_WorkplanDate,$C380,DBRA_PlayerID,$D$3),"")</f>
        <v>0</v>
      </c>
      <c r="I380">
        <f ca="1">IFERROR(SUMIFS(OFFSET(DBRA_TopicHCP,0,I$217,DBR_COUNT,1),DBRA_WorkplanDate,$C380,DBRA_PlayerID,$D$3),"")</f>
        <v>0</v>
      </c>
      <c r="J380">
        <f ca="1">IFERROR(SUMIFS(OFFSET(DBRA_TopicHCP,0,J$217,DBR_COUNT,1),DBRA_WorkplanDate,$C380,DBRA_PlayerID,$D$3),"")</f>
        <v>0</v>
      </c>
      <c r="K380">
        <f ca="1">IFERROR(SUMIFS(OFFSET(DBRA_TopicHCP,0,K$217,DBR_COUNT,1),DBRA_WorkplanDate,$C380,DBRA_PlayerID,$D$3),"")</f>
        <v>0</v>
      </c>
      <c r="L380">
        <f ca="1">IFERROR(SUMIFS(OFFSET(DBRA_TopicHCP,0,L$217,DBR_COUNT,1),DBRA_WorkplanDate,$C380,DBRA_PlayerID,$D$3),"")</f>
        <v>0</v>
      </c>
      <c r="M380" s="47"/>
      <c r="N380">
        <f ca="1">IFERROR(SUMIFS(OFFSET(DBRA_TopicCount,0,N$217,DBR_COUNT,1),DBRA_WorkplanDate,$C380,DBRA_PlayerID,$D$3),"")</f>
        <v>0</v>
      </c>
      <c r="O380">
        <f ca="1">IFERROR(SUMIFS(OFFSET(DBRA_TopicCount,0,O$217,DBR_COUNT,1),DBRA_WorkplanDate,$C380,DBRA_PlayerID,$D$3),"")</f>
        <v>0</v>
      </c>
      <c r="P380">
        <f ca="1">IFERROR(SUMIFS(OFFSET(DBRA_TopicCount,0,P$217,DBR_COUNT,1),DBRA_WorkplanDate,$C380,DBRA_PlayerID,$D$3),"")</f>
        <v>0</v>
      </c>
      <c r="Q380">
        <f ca="1">IFERROR(SUMIFS(OFFSET(DBRA_TopicCount,0,Q$217,DBR_COUNT,1),DBRA_WorkplanDate,$C380,DBRA_PlayerID,$D$3),"")</f>
        <v>0</v>
      </c>
      <c r="R380">
        <f ca="1">IFERROR(SUMIFS(OFFSET(DBRA_TopicCount,0,R$217,DBR_COUNT,1),DBRA_WorkplanDate,$C380,DBRA_PlayerID,$D$3),"")</f>
        <v>0</v>
      </c>
      <c r="S380">
        <f ca="1">IFERROR(SUMIFS(OFFSET(DBRA_TopicCount,0,S$217,DBR_COUNT,1),DBRA_WorkplanDate,$C380,DBRA_PlayerID,$D$3),"")</f>
        <v>0</v>
      </c>
      <c r="T380">
        <f ca="1">IFERROR(SUMIFS(OFFSET(DBRA_TopicCount,0,T$217,DBR_COUNT,1),DBRA_WorkplanDate,$C380,DBRA_PlayerID,$D$3),"")</f>
        <v>0</v>
      </c>
      <c r="U380">
        <f ca="1">IFERROR(SUMIFS(OFFSET(DBRA_TopicCount,0,U$217,DBR_COUNT,1),DBRA_WorkplanDate,$C380,DBRA_PlayerID,$D$3),"")</f>
        <v>0</v>
      </c>
      <c r="V380">
        <f ca="1">IFERROR(SUMIFS(OFFSET(DBRA_TopicCount,0,V$217,DBR_COUNT,1),DBRA_WorkplanDate,$C380,DBRA_PlayerID,$D$3),"")</f>
        <v>0</v>
      </c>
      <c r="W380" s="47"/>
      <c r="X380" t="str">
        <f t="shared" ca="1" si="94"/>
        <v/>
      </c>
      <c r="Y380" t="str">
        <f t="shared" ca="1" si="86"/>
        <v/>
      </c>
      <c r="Z380" t="str">
        <f t="shared" ca="1" si="87"/>
        <v/>
      </c>
      <c r="AA380" t="str">
        <f t="shared" ca="1" si="88"/>
        <v/>
      </c>
      <c r="AB380" t="str">
        <f t="shared" ca="1" si="89"/>
        <v/>
      </c>
      <c r="AC380" t="str">
        <f t="shared" ca="1" si="90"/>
        <v/>
      </c>
      <c r="AD380" t="str">
        <f t="shared" ca="1" si="91"/>
        <v/>
      </c>
      <c r="AE380" t="str">
        <f t="shared" ca="1" si="92"/>
        <v/>
      </c>
      <c r="AF380" t="str">
        <f t="shared" ca="1" si="93"/>
        <v/>
      </c>
      <c r="AG380" s="47"/>
    </row>
    <row r="381" spans="3:33" x14ac:dyDescent="0.25">
      <c r="C381" s="118">
        <f t="shared" si="95"/>
        <v>42167</v>
      </c>
      <c r="D381">
        <f ca="1">IFERROR(SUMIFS(OFFSET(DBRA_TopicHCP,0,D$217,DBR_COUNT,1),DBRA_WorkplanDate,$C381,DBRA_PlayerID,$D$3),"")</f>
        <v>0</v>
      </c>
      <c r="E381">
        <f ca="1">IFERROR(SUMIFS(OFFSET(DBRA_TopicHCP,0,E$217,DBR_COUNT,1),DBRA_WorkplanDate,$C381,DBRA_PlayerID,$D$3),"")</f>
        <v>0</v>
      </c>
      <c r="F381">
        <f ca="1">IFERROR(SUMIFS(OFFSET(DBRA_TopicHCP,0,F$217,DBR_COUNT,1),DBRA_WorkplanDate,$C381,DBRA_PlayerID,$D$3),"")</f>
        <v>0</v>
      </c>
      <c r="G381">
        <f ca="1">IFERROR(SUMIFS(OFFSET(DBRA_TopicHCP,0,G$217,DBR_COUNT,1),DBRA_WorkplanDate,$C381,DBRA_PlayerID,$D$3),"")</f>
        <v>0</v>
      </c>
      <c r="H381">
        <f ca="1">IFERROR(SUMIFS(OFFSET(DBRA_TopicHCP,0,H$217,DBR_COUNT,1),DBRA_WorkplanDate,$C381,DBRA_PlayerID,$D$3),"")</f>
        <v>0</v>
      </c>
      <c r="I381">
        <f ca="1">IFERROR(SUMIFS(OFFSET(DBRA_TopicHCP,0,I$217,DBR_COUNT,1),DBRA_WorkplanDate,$C381,DBRA_PlayerID,$D$3),"")</f>
        <v>0</v>
      </c>
      <c r="J381">
        <f ca="1">IFERROR(SUMIFS(OFFSET(DBRA_TopicHCP,0,J$217,DBR_COUNT,1),DBRA_WorkplanDate,$C381,DBRA_PlayerID,$D$3),"")</f>
        <v>0</v>
      </c>
      <c r="K381">
        <f ca="1">IFERROR(SUMIFS(OFFSET(DBRA_TopicHCP,0,K$217,DBR_COUNT,1),DBRA_WorkplanDate,$C381,DBRA_PlayerID,$D$3),"")</f>
        <v>0</v>
      </c>
      <c r="L381">
        <f ca="1">IFERROR(SUMIFS(OFFSET(DBRA_TopicHCP,0,L$217,DBR_COUNT,1),DBRA_WorkplanDate,$C381,DBRA_PlayerID,$D$3),"")</f>
        <v>0</v>
      </c>
      <c r="M381" s="47"/>
      <c r="N381">
        <f ca="1">IFERROR(SUMIFS(OFFSET(DBRA_TopicCount,0,N$217,DBR_COUNT,1),DBRA_WorkplanDate,$C381,DBRA_PlayerID,$D$3),"")</f>
        <v>0</v>
      </c>
      <c r="O381">
        <f ca="1">IFERROR(SUMIFS(OFFSET(DBRA_TopicCount,0,O$217,DBR_COUNT,1),DBRA_WorkplanDate,$C381,DBRA_PlayerID,$D$3),"")</f>
        <v>0</v>
      </c>
      <c r="P381">
        <f ca="1">IFERROR(SUMIFS(OFFSET(DBRA_TopicCount,0,P$217,DBR_COUNT,1),DBRA_WorkplanDate,$C381,DBRA_PlayerID,$D$3),"")</f>
        <v>0</v>
      </c>
      <c r="Q381">
        <f ca="1">IFERROR(SUMIFS(OFFSET(DBRA_TopicCount,0,Q$217,DBR_COUNT,1),DBRA_WorkplanDate,$C381,DBRA_PlayerID,$D$3),"")</f>
        <v>0</v>
      </c>
      <c r="R381">
        <f ca="1">IFERROR(SUMIFS(OFFSET(DBRA_TopicCount,0,R$217,DBR_COUNT,1),DBRA_WorkplanDate,$C381,DBRA_PlayerID,$D$3),"")</f>
        <v>0</v>
      </c>
      <c r="S381">
        <f ca="1">IFERROR(SUMIFS(OFFSET(DBRA_TopicCount,0,S$217,DBR_COUNT,1),DBRA_WorkplanDate,$C381,DBRA_PlayerID,$D$3),"")</f>
        <v>0</v>
      </c>
      <c r="T381">
        <f ca="1">IFERROR(SUMIFS(OFFSET(DBRA_TopicCount,0,T$217,DBR_COUNT,1),DBRA_WorkplanDate,$C381,DBRA_PlayerID,$D$3),"")</f>
        <v>0</v>
      </c>
      <c r="U381">
        <f ca="1">IFERROR(SUMIFS(OFFSET(DBRA_TopicCount,0,U$217,DBR_COUNT,1),DBRA_WorkplanDate,$C381,DBRA_PlayerID,$D$3),"")</f>
        <v>0</v>
      </c>
      <c r="V381">
        <f ca="1">IFERROR(SUMIFS(OFFSET(DBRA_TopicCount,0,V$217,DBR_COUNT,1),DBRA_WorkplanDate,$C381,DBRA_PlayerID,$D$3),"")</f>
        <v>0</v>
      </c>
      <c r="W381" s="47"/>
      <c r="X381" t="str">
        <f t="shared" ca="1" si="94"/>
        <v/>
      </c>
      <c r="Y381" t="str">
        <f t="shared" ca="1" si="86"/>
        <v/>
      </c>
      <c r="Z381" t="str">
        <f t="shared" ca="1" si="87"/>
        <v/>
      </c>
      <c r="AA381" t="str">
        <f t="shared" ca="1" si="88"/>
        <v/>
      </c>
      <c r="AB381" t="str">
        <f t="shared" ca="1" si="89"/>
        <v/>
      </c>
      <c r="AC381" t="str">
        <f t="shared" ca="1" si="90"/>
        <v/>
      </c>
      <c r="AD381" t="str">
        <f t="shared" ca="1" si="91"/>
        <v/>
      </c>
      <c r="AE381" t="str">
        <f t="shared" ca="1" si="92"/>
        <v/>
      </c>
      <c r="AF381" t="str">
        <f t="shared" ca="1" si="93"/>
        <v/>
      </c>
      <c r="AG381" s="47"/>
    </row>
    <row r="382" spans="3:33" x14ac:dyDescent="0.25">
      <c r="C382" s="118">
        <f t="shared" si="95"/>
        <v>42168</v>
      </c>
      <c r="D382">
        <f ca="1">IFERROR(SUMIFS(OFFSET(DBRA_TopicHCP,0,D$217,DBR_COUNT,1),DBRA_WorkplanDate,$C382,DBRA_PlayerID,$D$3),"")</f>
        <v>0</v>
      </c>
      <c r="E382">
        <f ca="1">IFERROR(SUMIFS(OFFSET(DBRA_TopicHCP,0,E$217,DBR_COUNT,1),DBRA_WorkplanDate,$C382,DBRA_PlayerID,$D$3),"")</f>
        <v>0</v>
      </c>
      <c r="F382">
        <f ca="1">IFERROR(SUMIFS(OFFSET(DBRA_TopicHCP,0,F$217,DBR_COUNT,1),DBRA_WorkplanDate,$C382,DBRA_PlayerID,$D$3),"")</f>
        <v>0</v>
      </c>
      <c r="G382">
        <f ca="1">IFERROR(SUMIFS(OFFSET(DBRA_TopicHCP,0,G$217,DBR_COUNT,1),DBRA_WorkplanDate,$C382,DBRA_PlayerID,$D$3),"")</f>
        <v>0</v>
      </c>
      <c r="H382">
        <f ca="1">IFERROR(SUMIFS(OFFSET(DBRA_TopicHCP,0,H$217,DBR_COUNT,1),DBRA_WorkplanDate,$C382,DBRA_PlayerID,$D$3),"")</f>
        <v>0</v>
      </c>
      <c r="I382">
        <f ca="1">IFERROR(SUMIFS(OFFSET(DBRA_TopicHCP,0,I$217,DBR_COUNT,1),DBRA_WorkplanDate,$C382,DBRA_PlayerID,$D$3),"")</f>
        <v>0</v>
      </c>
      <c r="J382">
        <f ca="1">IFERROR(SUMIFS(OFFSET(DBRA_TopicHCP,0,J$217,DBR_COUNT,1),DBRA_WorkplanDate,$C382,DBRA_PlayerID,$D$3),"")</f>
        <v>0</v>
      </c>
      <c r="K382">
        <f ca="1">IFERROR(SUMIFS(OFFSET(DBRA_TopicHCP,0,K$217,DBR_COUNT,1),DBRA_WorkplanDate,$C382,DBRA_PlayerID,$D$3),"")</f>
        <v>0</v>
      </c>
      <c r="L382">
        <f ca="1">IFERROR(SUMIFS(OFFSET(DBRA_TopicHCP,0,L$217,DBR_COUNT,1),DBRA_WorkplanDate,$C382,DBRA_PlayerID,$D$3),"")</f>
        <v>0</v>
      </c>
      <c r="M382" s="47"/>
      <c r="N382">
        <f ca="1">IFERROR(SUMIFS(OFFSET(DBRA_TopicCount,0,N$217,DBR_COUNT,1),DBRA_WorkplanDate,$C382,DBRA_PlayerID,$D$3),"")</f>
        <v>0</v>
      </c>
      <c r="O382">
        <f ca="1">IFERROR(SUMIFS(OFFSET(DBRA_TopicCount,0,O$217,DBR_COUNT,1),DBRA_WorkplanDate,$C382,DBRA_PlayerID,$D$3),"")</f>
        <v>0</v>
      </c>
      <c r="P382">
        <f ca="1">IFERROR(SUMIFS(OFFSET(DBRA_TopicCount,0,P$217,DBR_COUNT,1),DBRA_WorkplanDate,$C382,DBRA_PlayerID,$D$3),"")</f>
        <v>0</v>
      </c>
      <c r="Q382">
        <f ca="1">IFERROR(SUMIFS(OFFSET(DBRA_TopicCount,0,Q$217,DBR_COUNT,1),DBRA_WorkplanDate,$C382,DBRA_PlayerID,$D$3),"")</f>
        <v>0</v>
      </c>
      <c r="R382">
        <f ca="1">IFERROR(SUMIFS(OFFSET(DBRA_TopicCount,0,R$217,DBR_COUNT,1),DBRA_WorkplanDate,$C382,DBRA_PlayerID,$D$3),"")</f>
        <v>0</v>
      </c>
      <c r="S382">
        <f ca="1">IFERROR(SUMIFS(OFFSET(DBRA_TopicCount,0,S$217,DBR_COUNT,1),DBRA_WorkplanDate,$C382,DBRA_PlayerID,$D$3),"")</f>
        <v>0</v>
      </c>
      <c r="T382">
        <f ca="1">IFERROR(SUMIFS(OFFSET(DBRA_TopicCount,0,T$217,DBR_COUNT,1),DBRA_WorkplanDate,$C382,DBRA_PlayerID,$D$3),"")</f>
        <v>0</v>
      </c>
      <c r="U382">
        <f ca="1">IFERROR(SUMIFS(OFFSET(DBRA_TopicCount,0,U$217,DBR_COUNT,1),DBRA_WorkplanDate,$C382,DBRA_PlayerID,$D$3),"")</f>
        <v>0</v>
      </c>
      <c r="V382">
        <f ca="1">IFERROR(SUMIFS(OFFSET(DBRA_TopicCount,0,V$217,DBR_COUNT,1),DBRA_WorkplanDate,$C382,DBRA_PlayerID,$D$3),"")</f>
        <v>0</v>
      </c>
      <c r="W382" s="47"/>
      <c r="X382" t="str">
        <f t="shared" ca="1" si="94"/>
        <v/>
      </c>
      <c r="Y382" t="str">
        <f t="shared" ca="1" si="86"/>
        <v/>
      </c>
      <c r="Z382" t="str">
        <f t="shared" ca="1" si="87"/>
        <v/>
      </c>
      <c r="AA382" t="str">
        <f t="shared" ca="1" si="88"/>
        <v/>
      </c>
      <c r="AB382" t="str">
        <f t="shared" ca="1" si="89"/>
        <v/>
      </c>
      <c r="AC382" t="str">
        <f t="shared" ca="1" si="90"/>
        <v/>
      </c>
      <c r="AD382" t="str">
        <f t="shared" ca="1" si="91"/>
        <v/>
      </c>
      <c r="AE382" t="str">
        <f t="shared" ca="1" si="92"/>
        <v/>
      </c>
      <c r="AF382" t="str">
        <f t="shared" ca="1" si="93"/>
        <v/>
      </c>
      <c r="AG382" s="47"/>
    </row>
    <row r="383" spans="3:33" x14ac:dyDescent="0.25">
      <c r="C383" s="118">
        <f t="shared" si="95"/>
        <v>42169</v>
      </c>
      <c r="D383">
        <f ca="1">IFERROR(SUMIFS(OFFSET(DBRA_TopicHCP,0,D$217,DBR_COUNT,1),DBRA_WorkplanDate,$C383,DBRA_PlayerID,$D$3),"")</f>
        <v>0</v>
      </c>
      <c r="E383">
        <f ca="1">IFERROR(SUMIFS(OFFSET(DBRA_TopicHCP,0,E$217,DBR_COUNT,1),DBRA_WorkplanDate,$C383,DBRA_PlayerID,$D$3),"")</f>
        <v>0</v>
      </c>
      <c r="F383">
        <f ca="1">IFERROR(SUMIFS(OFFSET(DBRA_TopicHCP,0,F$217,DBR_COUNT,1),DBRA_WorkplanDate,$C383,DBRA_PlayerID,$D$3),"")</f>
        <v>0</v>
      </c>
      <c r="G383">
        <f ca="1">IFERROR(SUMIFS(OFFSET(DBRA_TopicHCP,0,G$217,DBR_COUNT,1),DBRA_WorkplanDate,$C383,DBRA_PlayerID,$D$3),"")</f>
        <v>0</v>
      </c>
      <c r="H383">
        <f ca="1">IFERROR(SUMIFS(OFFSET(DBRA_TopicHCP,0,H$217,DBR_COUNT,1),DBRA_WorkplanDate,$C383,DBRA_PlayerID,$D$3),"")</f>
        <v>0</v>
      </c>
      <c r="I383">
        <f ca="1">IFERROR(SUMIFS(OFFSET(DBRA_TopicHCP,0,I$217,DBR_COUNT,1),DBRA_WorkplanDate,$C383,DBRA_PlayerID,$D$3),"")</f>
        <v>0</v>
      </c>
      <c r="J383">
        <f ca="1">IFERROR(SUMIFS(OFFSET(DBRA_TopicHCP,0,J$217,DBR_COUNT,1),DBRA_WorkplanDate,$C383,DBRA_PlayerID,$D$3),"")</f>
        <v>0</v>
      </c>
      <c r="K383">
        <f ca="1">IFERROR(SUMIFS(OFFSET(DBRA_TopicHCP,0,K$217,DBR_COUNT,1),DBRA_WorkplanDate,$C383,DBRA_PlayerID,$D$3),"")</f>
        <v>0</v>
      </c>
      <c r="L383">
        <f ca="1">IFERROR(SUMIFS(OFFSET(DBRA_TopicHCP,0,L$217,DBR_COUNT,1),DBRA_WorkplanDate,$C383,DBRA_PlayerID,$D$3),"")</f>
        <v>0</v>
      </c>
      <c r="M383" s="47"/>
      <c r="N383">
        <f ca="1">IFERROR(SUMIFS(OFFSET(DBRA_TopicCount,0,N$217,DBR_COUNT,1),DBRA_WorkplanDate,$C383,DBRA_PlayerID,$D$3),"")</f>
        <v>0</v>
      </c>
      <c r="O383">
        <f ca="1">IFERROR(SUMIFS(OFFSET(DBRA_TopicCount,0,O$217,DBR_COUNT,1),DBRA_WorkplanDate,$C383,DBRA_PlayerID,$D$3),"")</f>
        <v>0</v>
      </c>
      <c r="P383">
        <f ca="1">IFERROR(SUMIFS(OFFSET(DBRA_TopicCount,0,P$217,DBR_COUNT,1),DBRA_WorkplanDate,$C383,DBRA_PlayerID,$D$3),"")</f>
        <v>0</v>
      </c>
      <c r="Q383">
        <f ca="1">IFERROR(SUMIFS(OFFSET(DBRA_TopicCount,0,Q$217,DBR_COUNT,1),DBRA_WorkplanDate,$C383,DBRA_PlayerID,$D$3),"")</f>
        <v>0</v>
      </c>
      <c r="R383">
        <f ca="1">IFERROR(SUMIFS(OFFSET(DBRA_TopicCount,0,R$217,DBR_COUNT,1),DBRA_WorkplanDate,$C383,DBRA_PlayerID,$D$3),"")</f>
        <v>0</v>
      </c>
      <c r="S383">
        <f ca="1">IFERROR(SUMIFS(OFFSET(DBRA_TopicCount,0,S$217,DBR_COUNT,1),DBRA_WorkplanDate,$C383,DBRA_PlayerID,$D$3),"")</f>
        <v>0</v>
      </c>
      <c r="T383">
        <f ca="1">IFERROR(SUMIFS(OFFSET(DBRA_TopicCount,0,T$217,DBR_COUNT,1),DBRA_WorkplanDate,$C383,DBRA_PlayerID,$D$3),"")</f>
        <v>0</v>
      </c>
      <c r="U383">
        <f ca="1">IFERROR(SUMIFS(OFFSET(DBRA_TopicCount,0,U$217,DBR_COUNT,1),DBRA_WorkplanDate,$C383,DBRA_PlayerID,$D$3),"")</f>
        <v>0</v>
      </c>
      <c r="V383">
        <f ca="1">IFERROR(SUMIFS(OFFSET(DBRA_TopicCount,0,V$217,DBR_COUNT,1),DBRA_WorkplanDate,$C383,DBRA_PlayerID,$D$3),"")</f>
        <v>0</v>
      </c>
      <c r="W383" s="47"/>
      <c r="X383" t="str">
        <f t="shared" ca="1" si="94"/>
        <v/>
      </c>
      <c r="Y383" t="str">
        <f t="shared" ca="1" si="86"/>
        <v/>
      </c>
      <c r="Z383" t="str">
        <f t="shared" ca="1" si="87"/>
        <v/>
      </c>
      <c r="AA383" t="str">
        <f t="shared" ca="1" si="88"/>
        <v/>
      </c>
      <c r="AB383" t="str">
        <f t="shared" ca="1" si="89"/>
        <v/>
      </c>
      <c r="AC383" t="str">
        <f t="shared" ca="1" si="90"/>
        <v/>
      </c>
      <c r="AD383" t="str">
        <f t="shared" ca="1" si="91"/>
        <v/>
      </c>
      <c r="AE383" t="str">
        <f t="shared" ca="1" si="92"/>
        <v/>
      </c>
      <c r="AF383" t="str">
        <f t="shared" ca="1" si="93"/>
        <v/>
      </c>
      <c r="AG383" s="47"/>
    </row>
    <row r="384" spans="3:33" x14ac:dyDescent="0.25">
      <c r="C384" s="118">
        <f t="shared" si="95"/>
        <v>42170</v>
      </c>
      <c r="D384">
        <f ca="1">IFERROR(SUMIFS(OFFSET(DBRA_TopicHCP,0,D$217,DBR_COUNT,1),DBRA_WorkplanDate,$C384,DBRA_PlayerID,$D$3),"")</f>
        <v>0</v>
      </c>
      <c r="E384">
        <f ca="1">IFERROR(SUMIFS(OFFSET(DBRA_TopicHCP,0,E$217,DBR_COUNT,1),DBRA_WorkplanDate,$C384,DBRA_PlayerID,$D$3),"")</f>
        <v>0</v>
      </c>
      <c r="F384">
        <f ca="1">IFERROR(SUMIFS(OFFSET(DBRA_TopicHCP,0,F$217,DBR_COUNT,1),DBRA_WorkplanDate,$C384,DBRA_PlayerID,$D$3),"")</f>
        <v>0</v>
      </c>
      <c r="G384">
        <f ca="1">IFERROR(SUMIFS(OFFSET(DBRA_TopicHCP,0,G$217,DBR_COUNT,1),DBRA_WorkplanDate,$C384,DBRA_PlayerID,$D$3),"")</f>
        <v>0</v>
      </c>
      <c r="H384">
        <f ca="1">IFERROR(SUMIFS(OFFSET(DBRA_TopicHCP,0,H$217,DBR_COUNT,1),DBRA_WorkplanDate,$C384,DBRA_PlayerID,$D$3),"")</f>
        <v>0</v>
      </c>
      <c r="I384">
        <f ca="1">IFERROR(SUMIFS(OFFSET(DBRA_TopicHCP,0,I$217,DBR_COUNT,1),DBRA_WorkplanDate,$C384,DBRA_PlayerID,$D$3),"")</f>
        <v>0</v>
      </c>
      <c r="J384">
        <f ca="1">IFERROR(SUMIFS(OFFSET(DBRA_TopicHCP,0,J$217,DBR_COUNT,1),DBRA_WorkplanDate,$C384,DBRA_PlayerID,$D$3),"")</f>
        <v>0</v>
      </c>
      <c r="K384">
        <f ca="1">IFERROR(SUMIFS(OFFSET(DBRA_TopicHCP,0,K$217,DBR_COUNT,1),DBRA_WorkplanDate,$C384,DBRA_PlayerID,$D$3),"")</f>
        <v>0</v>
      </c>
      <c r="L384">
        <f ca="1">IFERROR(SUMIFS(OFFSET(DBRA_TopicHCP,0,L$217,DBR_COUNT,1),DBRA_WorkplanDate,$C384,DBRA_PlayerID,$D$3),"")</f>
        <v>0</v>
      </c>
      <c r="M384" s="47"/>
      <c r="N384">
        <f ca="1">IFERROR(SUMIFS(OFFSET(DBRA_TopicCount,0,N$217,DBR_COUNT,1),DBRA_WorkplanDate,$C384,DBRA_PlayerID,$D$3),"")</f>
        <v>0</v>
      </c>
      <c r="O384">
        <f ca="1">IFERROR(SUMIFS(OFFSET(DBRA_TopicCount,0,O$217,DBR_COUNT,1),DBRA_WorkplanDate,$C384,DBRA_PlayerID,$D$3),"")</f>
        <v>0</v>
      </c>
      <c r="P384">
        <f ca="1">IFERROR(SUMIFS(OFFSET(DBRA_TopicCount,0,P$217,DBR_COUNT,1),DBRA_WorkplanDate,$C384,DBRA_PlayerID,$D$3),"")</f>
        <v>0</v>
      </c>
      <c r="Q384">
        <f ca="1">IFERROR(SUMIFS(OFFSET(DBRA_TopicCount,0,Q$217,DBR_COUNT,1),DBRA_WorkplanDate,$C384,DBRA_PlayerID,$D$3),"")</f>
        <v>0</v>
      </c>
      <c r="R384">
        <f ca="1">IFERROR(SUMIFS(OFFSET(DBRA_TopicCount,0,R$217,DBR_COUNT,1),DBRA_WorkplanDate,$C384,DBRA_PlayerID,$D$3),"")</f>
        <v>0</v>
      </c>
      <c r="S384">
        <f ca="1">IFERROR(SUMIFS(OFFSET(DBRA_TopicCount,0,S$217,DBR_COUNT,1),DBRA_WorkplanDate,$C384,DBRA_PlayerID,$D$3),"")</f>
        <v>0</v>
      </c>
      <c r="T384">
        <f ca="1">IFERROR(SUMIFS(OFFSET(DBRA_TopicCount,0,T$217,DBR_COUNT,1),DBRA_WorkplanDate,$C384,DBRA_PlayerID,$D$3),"")</f>
        <v>0</v>
      </c>
      <c r="U384">
        <f ca="1">IFERROR(SUMIFS(OFFSET(DBRA_TopicCount,0,U$217,DBR_COUNT,1),DBRA_WorkplanDate,$C384,DBRA_PlayerID,$D$3),"")</f>
        <v>0</v>
      </c>
      <c r="V384">
        <f ca="1">IFERROR(SUMIFS(OFFSET(DBRA_TopicCount,0,V$217,DBR_COUNT,1),DBRA_WorkplanDate,$C384,DBRA_PlayerID,$D$3),"")</f>
        <v>0</v>
      </c>
      <c r="W384" s="47"/>
      <c r="X384" t="str">
        <f t="shared" ca="1" si="94"/>
        <v/>
      </c>
      <c r="Y384" t="str">
        <f t="shared" ca="1" si="86"/>
        <v/>
      </c>
      <c r="Z384" t="str">
        <f t="shared" ca="1" si="87"/>
        <v/>
      </c>
      <c r="AA384" t="str">
        <f t="shared" ca="1" si="88"/>
        <v/>
      </c>
      <c r="AB384" t="str">
        <f t="shared" ca="1" si="89"/>
        <v/>
      </c>
      <c r="AC384" t="str">
        <f t="shared" ca="1" si="90"/>
        <v/>
      </c>
      <c r="AD384" t="str">
        <f t="shared" ca="1" si="91"/>
        <v/>
      </c>
      <c r="AE384" t="str">
        <f t="shared" ca="1" si="92"/>
        <v/>
      </c>
      <c r="AF384" t="str">
        <f t="shared" ca="1" si="93"/>
        <v/>
      </c>
      <c r="AG384" s="47"/>
    </row>
    <row r="385" spans="3:33" x14ac:dyDescent="0.25">
      <c r="C385" s="118">
        <f t="shared" si="95"/>
        <v>42171</v>
      </c>
      <c r="D385">
        <f ca="1">IFERROR(SUMIFS(OFFSET(DBRA_TopicHCP,0,D$217,DBR_COUNT,1),DBRA_WorkplanDate,$C385,DBRA_PlayerID,$D$3),"")</f>
        <v>0</v>
      </c>
      <c r="E385">
        <f ca="1">IFERROR(SUMIFS(OFFSET(DBRA_TopicHCP,0,E$217,DBR_COUNT,1),DBRA_WorkplanDate,$C385,DBRA_PlayerID,$D$3),"")</f>
        <v>0</v>
      </c>
      <c r="F385">
        <f ca="1">IFERROR(SUMIFS(OFFSET(DBRA_TopicHCP,0,F$217,DBR_COUNT,1),DBRA_WorkplanDate,$C385,DBRA_PlayerID,$D$3),"")</f>
        <v>0</v>
      </c>
      <c r="G385">
        <f ca="1">IFERROR(SUMIFS(OFFSET(DBRA_TopicHCP,0,G$217,DBR_COUNT,1),DBRA_WorkplanDate,$C385,DBRA_PlayerID,$D$3),"")</f>
        <v>0</v>
      </c>
      <c r="H385">
        <f ca="1">IFERROR(SUMIFS(OFFSET(DBRA_TopicHCP,0,H$217,DBR_COUNT,1),DBRA_WorkplanDate,$C385,DBRA_PlayerID,$D$3),"")</f>
        <v>0</v>
      </c>
      <c r="I385">
        <f ca="1">IFERROR(SUMIFS(OFFSET(DBRA_TopicHCP,0,I$217,DBR_COUNT,1),DBRA_WorkplanDate,$C385,DBRA_PlayerID,$D$3),"")</f>
        <v>0</v>
      </c>
      <c r="J385">
        <f ca="1">IFERROR(SUMIFS(OFFSET(DBRA_TopicHCP,0,J$217,DBR_COUNT,1),DBRA_WorkplanDate,$C385,DBRA_PlayerID,$D$3),"")</f>
        <v>0</v>
      </c>
      <c r="K385">
        <f ca="1">IFERROR(SUMIFS(OFFSET(DBRA_TopicHCP,0,K$217,DBR_COUNT,1),DBRA_WorkplanDate,$C385,DBRA_PlayerID,$D$3),"")</f>
        <v>0</v>
      </c>
      <c r="L385">
        <f ca="1">IFERROR(SUMIFS(OFFSET(DBRA_TopicHCP,0,L$217,DBR_COUNT,1),DBRA_WorkplanDate,$C385,DBRA_PlayerID,$D$3),"")</f>
        <v>0</v>
      </c>
      <c r="M385" s="47"/>
      <c r="N385">
        <f ca="1">IFERROR(SUMIFS(OFFSET(DBRA_TopicCount,0,N$217,DBR_COUNT,1),DBRA_WorkplanDate,$C385,DBRA_PlayerID,$D$3),"")</f>
        <v>0</v>
      </c>
      <c r="O385">
        <f ca="1">IFERROR(SUMIFS(OFFSET(DBRA_TopicCount,0,O$217,DBR_COUNT,1),DBRA_WorkplanDate,$C385,DBRA_PlayerID,$D$3),"")</f>
        <v>0</v>
      </c>
      <c r="P385">
        <f ca="1">IFERROR(SUMIFS(OFFSET(DBRA_TopicCount,0,P$217,DBR_COUNT,1),DBRA_WorkplanDate,$C385,DBRA_PlayerID,$D$3),"")</f>
        <v>0</v>
      </c>
      <c r="Q385">
        <f ca="1">IFERROR(SUMIFS(OFFSET(DBRA_TopicCount,0,Q$217,DBR_COUNT,1),DBRA_WorkplanDate,$C385,DBRA_PlayerID,$D$3),"")</f>
        <v>0</v>
      </c>
      <c r="R385">
        <f ca="1">IFERROR(SUMIFS(OFFSET(DBRA_TopicCount,0,R$217,DBR_COUNT,1),DBRA_WorkplanDate,$C385,DBRA_PlayerID,$D$3),"")</f>
        <v>0</v>
      </c>
      <c r="S385">
        <f ca="1">IFERROR(SUMIFS(OFFSET(DBRA_TopicCount,0,S$217,DBR_COUNT,1),DBRA_WorkplanDate,$C385,DBRA_PlayerID,$D$3),"")</f>
        <v>0</v>
      </c>
      <c r="T385">
        <f ca="1">IFERROR(SUMIFS(OFFSET(DBRA_TopicCount,0,T$217,DBR_COUNT,1),DBRA_WorkplanDate,$C385,DBRA_PlayerID,$D$3),"")</f>
        <v>0</v>
      </c>
      <c r="U385">
        <f ca="1">IFERROR(SUMIFS(OFFSET(DBRA_TopicCount,0,U$217,DBR_COUNT,1),DBRA_WorkplanDate,$C385,DBRA_PlayerID,$D$3),"")</f>
        <v>0</v>
      </c>
      <c r="V385">
        <f ca="1">IFERROR(SUMIFS(OFFSET(DBRA_TopicCount,0,V$217,DBR_COUNT,1),DBRA_WorkplanDate,$C385,DBRA_PlayerID,$D$3),"")</f>
        <v>0</v>
      </c>
      <c r="W385" s="47"/>
      <c r="X385" t="str">
        <f t="shared" ca="1" si="94"/>
        <v/>
      </c>
      <c r="Y385" t="str">
        <f t="shared" ca="1" si="86"/>
        <v/>
      </c>
      <c r="Z385" t="str">
        <f t="shared" ca="1" si="87"/>
        <v/>
      </c>
      <c r="AA385" t="str">
        <f t="shared" ca="1" si="88"/>
        <v/>
      </c>
      <c r="AB385" t="str">
        <f t="shared" ca="1" si="89"/>
        <v/>
      </c>
      <c r="AC385" t="str">
        <f t="shared" ca="1" si="90"/>
        <v/>
      </c>
      <c r="AD385" t="str">
        <f t="shared" ca="1" si="91"/>
        <v/>
      </c>
      <c r="AE385" t="str">
        <f t="shared" ca="1" si="92"/>
        <v/>
      </c>
      <c r="AF385" t="str">
        <f t="shared" ca="1" si="93"/>
        <v/>
      </c>
      <c r="AG385" s="47"/>
    </row>
    <row r="386" spans="3:33" x14ac:dyDescent="0.25">
      <c r="C386" s="118">
        <f t="shared" si="95"/>
        <v>42172</v>
      </c>
      <c r="D386">
        <f ca="1">IFERROR(SUMIFS(OFFSET(DBRA_TopicHCP,0,D$217,DBR_COUNT,1),DBRA_WorkplanDate,$C386,DBRA_PlayerID,$D$3),"")</f>
        <v>0</v>
      </c>
      <c r="E386">
        <f ca="1">IFERROR(SUMIFS(OFFSET(DBRA_TopicHCP,0,E$217,DBR_COUNT,1),DBRA_WorkplanDate,$C386,DBRA_PlayerID,$D$3),"")</f>
        <v>0</v>
      </c>
      <c r="F386">
        <f ca="1">IFERROR(SUMIFS(OFFSET(DBRA_TopicHCP,0,F$217,DBR_COUNT,1),DBRA_WorkplanDate,$C386,DBRA_PlayerID,$D$3),"")</f>
        <v>0</v>
      </c>
      <c r="G386">
        <f ca="1">IFERROR(SUMIFS(OFFSET(DBRA_TopicHCP,0,G$217,DBR_COUNT,1),DBRA_WorkplanDate,$C386,DBRA_PlayerID,$D$3),"")</f>
        <v>0</v>
      </c>
      <c r="H386">
        <f ca="1">IFERROR(SUMIFS(OFFSET(DBRA_TopicHCP,0,H$217,DBR_COUNT,1),DBRA_WorkplanDate,$C386,DBRA_PlayerID,$D$3),"")</f>
        <v>0</v>
      </c>
      <c r="I386">
        <f ca="1">IFERROR(SUMIFS(OFFSET(DBRA_TopicHCP,0,I$217,DBR_COUNT,1),DBRA_WorkplanDate,$C386,DBRA_PlayerID,$D$3),"")</f>
        <v>0</v>
      </c>
      <c r="J386">
        <f ca="1">IFERROR(SUMIFS(OFFSET(DBRA_TopicHCP,0,J$217,DBR_COUNT,1),DBRA_WorkplanDate,$C386,DBRA_PlayerID,$D$3),"")</f>
        <v>0</v>
      </c>
      <c r="K386">
        <f ca="1">IFERROR(SUMIFS(OFFSET(DBRA_TopicHCP,0,K$217,DBR_COUNT,1),DBRA_WorkplanDate,$C386,DBRA_PlayerID,$D$3),"")</f>
        <v>0</v>
      </c>
      <c r="L386">
        <f ca="1">IFERROR(SUMIFS(OFFSET(DBRA_TopicHCP,0,L$217,DBR_COUNT,1),DBRA_WorkplanDate,$C386,DBRA_PlayerID,$D$3),"")</f>
        <v>0</v>
      </c>
      <c r="M386" s="47"/>
      <c r="N386">
        <f ca="1">IFERROR(SUMIFS(OFFSET(DBRA_TopicCount,0,N$217,DBR_COUNT,1),DBRA_WorkplanDate,$C386,DBRA_PlayerID,$D$3),"")</f>
        <v>0</v>
      </c>
      <c r="O386">
        <f ca="1">IFERROR(SUMIFS(OFFSET(DBRA_TopicCount,0,O$217,DBR_COUNT,1),DBRA_WorkplanDate,$C386,DBRA_PlayerID,$D$3),"")</f>
        <v>0</v>
      </c>
      <c r="P386">
        <f ca="1">IFERROR(SUMIFS(OFFSET(DBRA_TopicCount,0,P$217,DBR_COUNT,1),DBRA_WorkplanDate,$C386,DBRA_PlayerID,$D$3),"")</f>
        <v>0</v>
      </c>
      <c r="Q386">
        <f ca="1">IFERROR(SUMIFS(OFFSET(DBRA_TopicCount,0,Q$217,DBR_COUNT,1),DBRA_WorkplanDate,$C386,DBRA_PlayerID,$D$3),"")</f>
        <v>0</v>
      </c>
      <c r="R386">
        <f ca="1">IFERROR(SUMIFS(OFFSET(DBRA_TopicCount,0,R$217,DBR_COUNT,1),DBRA_WorkplanDate,$C386,DBRA_PlayerID,$D$3),"")</f>
        <v>0</v>
      </c>
      <c r="S386">
        <f ca="1">IFERROR(SUMIFS(OFFSET(DBRA_TopicCount,0,S$217,DBR_COUNT,1),DBRA_WorkplanDate,$C386,DBRA_PlayerID,$D$3),"")</f>
        <v>0</v>
      </c>
      <c r="T386">
        <f ca="1">IFERROR(SUMIFS(OFFSET(DBRA_TopicCount,0,T$217,DBR_COUNT,1),DBRA_WorkplanDate,$C386,DBRA_PlayerID,$D$3),"")</f>
        <v>0</v>
      </c>
      <c r="U386">
        <f ca="1">IFERROR(SUMIFS(OFFSET(DBRA_TopicCount,0,U$217,DBR_COUNT,1),DBRA_WorkplanDate,$C386,DBRA_PlayerID,$D$3),"")</f>
        <v>0</v>
      </c>
      <c r="V386">
        <f ca="1">IFERROR(SUMIFS(OFFSET(DBRA_TopicCount,0,V$217,DBR_COUNT,1),DBRA_WorkplanDate,$C386,DBRA_PlayerID,$D$3),"")</f>
        <v>0</v>
      </c>
      <c r="W386" s="47"/>
      <c r="X386" t="str">
        <f t="shared" ca="1" si="94"/>
        <v/>
      </c>
      <c r="Y386" t="str">
        <f t="shared" ca="1" si="86"/>
        <v/>
      </c>
      <c r="Z386" t="str">
        <f t="shared" ca="1" si="87"/>
        <v/>
      </c>
      <c r="AA386" t="str">
        <f t="shared" ca="1" si="88"/>
        <v/>
      </c>
      <c r="AB386" t="str">
        <f t="shared" ca="1" si="89"/>
        <v/>
      </c>
      <c r="AC386" t="str">
        <f t="shared" ca="1" si="90"/>
        <v/>
      </c>
      <c r="AD386" t="str">
        <f t="shared" ca="1" si="91"/>
        <v/>
      </c>
      <c r="AE386" t="str">
        <f t="shared" ca="1" si="92"/>
        <v/>
      </c>
      <c r="AF386" t="str">
        <f t="shared" ca="1" si="93"/>
        <v/>
      </c>
      <c r="AG386" s="47"/>
    </row>
    <row r="387" spans="3:33" x14ac:dyDescent="0.25">
      <c r="C387" s="118">
        <f t="shared" si="95"/>
        <v>42173</v>
      </c>
      <c r="D387">
        <f ca="1">IFERROR(SUMIFS(OFFSET(DBRA_TopicHCP,0,D$217,DBR_COUNT,1),DBRA_WorkplanDate,$C387,DBRA_PlayerID,$D$3),"")</f>
        <v>0</v>
      </c>
      <c r="E387">
        <f ca="1">IFERROR(SUMIFS(OFFSET(DBRA_TopicHCP,0,E$217,DBR_COUNT,1),DBRA_WorkplanDate,$C387,DBRA_PlayerID,$D$3),"")</f>
        <v>0</v>
      </c>
      <c r="F387">
        <f ca="1">IFERROR(SUMIFS(OFFSET(DBRA_TopicHCP,0,F$217,DBR_COUNT,1),DBRA_WorkplanDate,$C387,DBRA_PlayerID,$D$3),"")</f>
        <v>0</v>
      </c>
      <c r="G387">
        <f ca="1">IFERROR(SUMIFS(OFFSET(DBRA_TopicHCP,0,G$217,DBR_COUNT,1),DBRA_WorkplanDate,$C387,DBRA_PlayerID,$D$3),"")</f>
        <v>0</v>
      </c>
      <c r="H387">
        <f ca="1">IFERROR(SUMIFS(OFFSET(DBRA_TopicHCP,0,H$217,DBR_COUNT,1),DBRA_WorkplanDate,$C387,DBRA_PlayerID,$D$3),"")</f>
        <v>0</v>
      </c>
      <c r="I387">
        <f ca="1">IFERROR(SUMIFS(OFFSET(DBRA_TopicHCP,0,I$217,DBR_COUNT,1),DBRA_WorkplanDate,$C387,DBRA_PlayerID,$D$3),"")</f>
        <v>0</v>
      </c>
      <c r="J387">
        <f ca="1">IFERROR(SUMIFS(OFFSET(DBRA_TopicHCP,0,J$217,DBR_COUNT,1),DBRA_WorkplanDate,$C387,DBRA_PlayerID,$D$3),"")</f>
        <v>0</v>
      </c>
      <c r="K387">
        <f ca="1">IFERROR(SUMIFS(OFFSET(DBRA_TopicHCP,0,K$217,DBR_COUNT,1),DBRA_WorkplanDate,$C387,DBRA_PlayerID,$D$3),"")</f>
        <v>0</v>
      </c>
      <c r="L387">
        <f ca="1">IFERROR(SUMIFS(OFFSET(DBRA_TopicHCP,0,L$217,DBR_COUNT,1),DBRA_WorkplanDate,$C387,DBRA_PlayerID,$D$3),"")</f>
        <v>0</v>
      </c>
      <c r="M387" s="47"/>
      <c r="N387">
        <f ca="1">IFERROR(SUMIFS(OFFSET(DBRA_TopicCount,0,N$217,DBR_COUNT,1),DBRA_WorkplanDate,$C387,DBRA_PlayerID,$D$3),"")</f>
        <v>0</v>
      </c>
      <c r="O387">
        <f ca="1">IFERROR(SUMIFS(OFFSET(DBRA_TopicCount,0,O$217,DBR_COUNT,1),DBRA_WorkplanDate,$C387,DBRA_PlayerID,$D$3),"")</f>
        <v>0</v>
      </c>
      <c r="P387">
        <f ca="1">IFERROR(SUMIFS(OFFSET(DBRA_TopicCount,0,P$217,DBR_COUNT,1),DBRA_WorkplanDate,$C387,DBRA_PlayerID,$D$3),"")</f>
        <v>0</v>
      </c>
      <c r="Q387">
        <f ca="1">IFERROR(SUMIFS(OFFSET(DBRA_TopicCount,0,Q$217,DBR_COUNT,1),DBRA_WorkplanDate,$C387,DBRA_PlayerID,$D$3),"")</f>
        <v>0</v>
      </c>
      <c r="R387">
        <f ca="1">IFERROR(SUMIFS(OFFSET(DBRA_TopicCount,0,R$217,DBR_COUNT,1),DBRA_WorkplanDate,$C387,DBRA_PlayerID,$D$3),"")</f>
        <v>0</v>
      </c>
      <c r="S387">
        <f ca="1">IFERROR(SUMIFS(OFFSET(DBRA_TopicCount,0,S$217,DBR_COUNT,1),DBRA_WorkplanDate,$C387,DBRA_PlayerID,$D$3),"")</f>
        <v>0</v>
      </c>
      <c r="T387">
        <f ca="1">IFERROR(SUMIFS(OFFSET(DBRA_TopicCount,0,T$217,DBR_COUNT,1),DBRA_WorkplanDate,$C387,DBRA_PlayerID,$D$3),"")</f>
        <v>0</v>
      </c>
      <c r="U387">
        <f ca="1">IFERROR(SUMIFS(OFFSET(DBRA_TopicCount,0,U$217,DBR_COUNT,1),DBRA_WorkplanDate,$C387,DBRA_PlayerID,$D$3),"")</f>
        <v>0</v>
      </c>
      <c r="V387">
        <f ca="1">IFERROR(SUMIFS(OFFSET(DBRA_TopicCount,0,V$217,DBR_COUNT,1),DBRA_WorkplanDate,$C387,DBRA_PlayerID,$D$3),"")</f>
        <v>0</v>
      </c>
      <c r="W387" s="47"/>
      <c r="X387" t="str">
        <f t="shared" ca="1" si="94"/>
        <v/>
      </c>
      <c r="Y387" t="str">
        <f t="shared" ca="1" si="86"/>
        <v/>
      </c>
      <c r="Z387" t="str">
        <f t="shared" ca="1" si="87"/>
        <v/>
      </c>
      <c r="AA387" t="str">
        <f t="shared" ca="1" si="88"/>
        <v/>
      </c>
      <c r="AB387" t="str">
        <f t="shared" ca="1" si="89"/>
        <v/>
      </c>
      <c r="AC387" t="str">
        <f t="shared" ca="1" si="90"/>
        <v/>
      </c>
      <c r="AD387" t="str">
        <f t="shared" ca="1" si="91"/>
        <v/>
      </c>
      <c r="AE387" t="str">
        <f t="shared" ca="1" si="92"/>
        <v/>
      </c>
      <c r="AF387" t="str">
        <f t="shared" ca="1" si="93"/>
        <v/>
      </c>
      <c r="AG387" s="47"/>
    </row>
    <row r="388" spans="3:33" x14ac:dyDescent="0.25">
      <c r="C388" s="118">
        <f t="shared" si="95"/>
        <v>42174</v>
      </c>
      <c r="D388">
        <f ca="1">IFERROR(SUMIFS(OFFSET(DBRA_TopicHCP,0,D$217,DBR_COUNT,1),DBRA_WorkplanDate,$C388,DBRA_PlayerID,$D$3),"")</f>
        <v>0</v>
      </c>
      <c r="E388">
        <f ca="1">IFERROR(SUMIFS(OFFSET(DBRA_TopicHCP,0,E$217,DBR_COUNT,1),DBRA_WorkplanDate,$C388,DBRA_PlayerID,$D$3),"")</f>
        <v>0</v>
      </c>
      <c r="F388">
        <f ca="1">IFERROR(SUMIFS(OFFSET(DBRA_TopicHCP,0,F$217,DBR_COUNT,1),DBRA_WorkplanDate,$C388,DBRA_PlayerID,$D$3),"")</f>
        <v>0</v>
      </c>
      <c r="G388">
        <f ca="1">IFERROR(SUMIFS(OFFSET(DBRA_TopicHCP,0,G$217,DBR_COUNT,1),DBRA_WorkplanDate,$C388,DBRA_PlayerID,$D$3),"")</f>
        <v>0</v>
      </c>
      <c r="H388">
        <f ca="1">IFERROR(SUMIFS(OFFSET(DBRA_TopicHCP,0,H$217,DBR_COUNT,1),DBRA_WorkplanDate,$C388,DBRA_PlayerID,$D$3),"")</f>
        <v>0</v>
      </c>
      <c r="I388">
        <f ca="1">IFERROR(SUMIFS(OFFSET(DBRA_TopicHCP,0,I$217,DBR_COUNT,1),DBRA_WorkplanDate,$C388,DBRA_PlayerID,$D$3),"")</f>
        <v>0</v>
      </c>
      <c r="J388">
        <f ca="1">IFERROR(SUMIFS(OFFSET(DBRA_TopicHCP,0,J$217,DBR_COUNT,1),DBRA_WorkplanDate,$C388,DBRA_PlayerID,$D$3),"")</f>
        <v>0</v>
      </c>
      <c r="K388">
        <f ca="1">IFERROR(SUMIFS(OFFSET(DBRA_TopicHCP,0,K$217,DBR_COUNT,1),DBRA_WorkplanDate,$C388,DBRA_PlayerID,$D$3),"")</f>
        <v>0</v>
      </c>
      <c r="L388">
        <f ca="1">IFERROR(SUMIFS(OFFSET(DBRA_TopicHCP,0,L$217,DBR_COUNT,1),DBRA_WorkplanDate,$C388,DBRA_PlayerID,$D$3),"")</f>
        <v>0</v>
      </c>
      <c r="M388" s="47"/>
      <c r="N388">
        <f ca="1">IFERROR(SUMIFS(OFFSET(DBRA_TopicCount,0,N$217,DBR_COUNT,1),DBRA_WorkplanDate,$C388,DBRA_PlayerID,$D$3),"")</f>
        <v>0</v>
      </c>
      <c r="O388">
        <f ca="1">IFERROR(SUMIFS(OFFSET(DBRA_TopicCount,0,O$217,DBR_COUNT,1),DBRA_WorkplanDate,$C388,DBRA_PlayerID,$D$3),"")</f>
        <v>0</v>
      </c>
      <c r="P388">
        <f ca="1">IFERROR(SUMIFS(OFFSET(DBRA_TopicCount,0,P$217,DBR_COUNT,1),DBRA_WorkplanDate,$C388,DBRA_PlayerID,$D$3),"")</f>
        <v>0</v>
      </c>
      <c r="Q388">
        <f ca="1">IFERROR(SUMIFS(OFFSET(DBRA_TopicCount,0,Q$217,DBR_COUNT,1),DBRA_WorkplanDate,$C388,DBRA_PlayerID,$D$3),"")</f>
        <v>0</v>
      </c>
      <c r="R388">
        <f ca="1">IFERROR(SUMIFS(OFFSET(DBRA_TopicCount,0,R$217,DBR_COUNT,1),DBRA_WorkplanDate,$C388,DBRA_PlayerID,$D$3),"")</f>
        <v>0</v>
      </c>
      <c r="S388">
        <f ca="1">IFERROR(SUMIFS(OFFSET(DBRA_TopicCount,0,S$217,DBR_COUNT,1),DBRA_WorkplanDate,$C388,DBRA_PlayerID,$D$3),"")</f>
        <v>0</v>
      </c>
      <c r="T388">
        <f ca="1">IFERROR(SUMIFS(OFFSET(DBRA_TopicCount,0,T$217,DBR_COUNT,1),DBRA_WorkplanDate,$C388,DBRA_PlayerID,$D$3),"")</f>
        <v>0</v>
      </c>
      <c r="U388">
        <f ca="1">IFERROR(SUMIFS(OFFSET(DBRA_TopicCount,0,U$217,DBR_COUNT,1),DBRA_WorkplanDate,$C388,DBRA_PlayerID,$D$3),"")</f>
        <v>0</v>
      </c>
      <c r="V388">
        <f ca="1">IFERROR(SUMIFS(OFFSET(DBRA_TopicCount,0,V$217,DBR_COUNT,1),DBRA_WorkplanDate,$C388,DBRA_PlayerID,$D$3),"")</f>
        <v>0</v>
      </c>
      <c r="W388" s="47"/>
      <c r="X388" t="str">
        <f t="shared" ca="1" si="94"/>
        <v/>
      </c>
      <c r="Y388" t="str">
        <f t="shared" ca="1" si="86"/>
        <v/>
      </c>
      <c r="Z388" t="str">
        <f t="shared" ca="1" si="87"/>
        <v/>
      </c>
      <c r="AA388" t="str">
        <f t="shared" ca="1" si="88"/>
        <v/>
      </c>
      <c r="AB388" t="str">
        <f t="shared" ca="1" si="89"/>
        <v/>
      </c>
      <c r="AC388" t="str">
        <f t="shared" ca="1" si="90"/>
        <v/>
      </c>
      <c r="AD388" t="str">
        <f t="shared" ca="1" si="91"/>
        <v/>
      </c>
      <c r="AE388" t="str">
        <f t="shared" ca="1" si="92"/>
        <v/>
      </c>
      <c r="AF388" t="str">
        <f t="shared" ca="1" si="93"/>
        <v/>
      </c>
      <c r="AG388" s="47"/>
    </row>
    <row r="389" spans="3:33" x14ac:dyDescent="0.25">
      <c r="C389" s="118">
        <f t="shared" si="95"/>
        <v>42175</v>
      </c>
      <c r="D389">
        <f ca="1">IFERROR(SUMIFS(OFFSET(DBRA_TopicHCP,0,D$217,DBR_COUNT,1),DBRA_WorkplanDate,$C389,DBRA_PlayerID,$D$3),"")</f>
        <v>0</v>
      </c>
      <c r="E389">
        <f ca="1">IFERROR(SUMIFS(OFFSET(DBRA_TopicHCP,0,E$217,DBR_COUNT,1),DBRA_WorkplanDate,$C389,DBRA_PlayerID,$D$3),"")</f>
        <v>0</v>
      </c>
      <c r="F389">
        <f ca="1">IFERROR(SUMIFS(OFFSET(DBRA_TopicHCP,0,F$217,DBR_COUNT,1),DBRA_WorkplanDate,$C389,DBRA_PlayerID,$D$3),"")</f>
        <v>0</v>
      </c>
      <c r="G389">
        <f ca="1">IFERROR(SUMIFS(OFFSET(DBRA_TopicHCP,0,G$217,DBR_COUNT,1),DBRA_WorkplanDate,$C389,DBRA_PlayerID,$D$3),"")</f>
        <v>0</v>
      </c>
      <c r="H389">
        <f ca="1">IFERROR(SUMIFS(OFFSET(DBRA_TopicHCP,0,H$217,DBR_COUNT,1),DBRA_WorkplanDate,$C389,DBRA_PlayerID,$D$3),"")</f>
        <v>0</v>
      </c>
      <c r="I389">
        <f ca="1">IFERROR(SUMIFS(OFFSET(DBRA_TopicHCP,0,I$217,DBR_COUNT,1),DBRA_WorkplanDate,$C389,DBRA_PlayerID,$D$3),"")</f>
        <v>0</v>
      </c>
      <c r="J389">
        <f ca="1">IFERROR(SUMIFS(OFFSET(DBRA_TopicHCP,0,J$217,DBR_COUNT,1),DBRA_WorkplanDate,$C389,DBRA_PlayerID,$D$3),"")</f>
        <v>0</v>
      </c>
      <c r="K389">
        <f ca="1">IFERROR(SUMIFS(OFFSET(DBRA_TopicHCP,0,K$217,DBR_COUNT,1),DBRA_WorkplanDate,$C389,DBRA_PlayerID,$D$3),"")</f>
        <v>0</v>
      </c>
      <c r="L389">
        <f ca="1">IFERROR(SUMIFS(OFFSET(DBRA_TopicHCP,0,L$217,DBR_COUNT,1),DBRA_WorkplanDate,$C389,DBRA_PlayerID,$D$3),"")</f>
        <v>0</v>
      </c>
      <c r="M389" s="47"/>
      <c r="N389">
        <f ca="1">IFERROR(SUMIFS(OFFSET(DBRA_TopicCount,0,N$217,DBR_COUNT,1),DBRA_WorkplanDate,$C389,DBRA_PlayerID,$D$3),"")</f>
        <v>0</v>
      </c>
      <c r="O389">
        <f ca="1">IFERROR(SUMIFS(OFFSET(DBRA_TopicCount,0,O$217,DBR_COUNT,1),DBRA_WorkplanDate,$C389,DBRA_PlayerID,$D$3),"")</f>
        <v>0</v>
      </c>
      <c r="P389">
        <f ca="1">IFERROR(SUMIFS(OFFSET(DBRA_TopicCount,0,P$217,DBR_COUNT,1),DBRA_WorkplanDate,$C389,DBRA_PlayerID,$D$3),"")</f>
        <v>0</v>
      </c>
      <c r="Q389">
        <f ca="1">IFERROR(SUMIFS(OFFSET(DBRA_TopicCount,0,Q$217,DBR_COUNT,1),DBRA_WorkplanDate,$C389,DBRA_PlayerID,$D$3),"")</f>
        <v>0</v>
      </c>
      <c r="R389">
        <f ca="1">IFERROR(SUMIFS(OFFSET(DBRA_TopicCount,0,R$217,DBR_COUNT,1),DBRA_WorkplanDate,$C389,DBRA_PlayerID,$D$3),"")</f>
        <v>0</v>
      </c>
      <c r="S389">
        <f ca="1">IFERROR(SUMIFS(OFFSET(DBRA_TopicCount,0,S$217,DBR_COUNT,1),DBRA_WorkplanDate,$C389,DBRA_PlayerID,$D$3),"")</f>
        <v>0</v>
      </c>
      <c r="T389">
        <f ca="1">IFERROR(SUMIFS(OFFSET(DBRA_TopicCount,0,T$217,DBR_COUNT,1),DBRA_WorkplanDate,$C389,DBRA_PlayerID,$D$3),"")</f>
        <v>0</v>
      </c>
      <c r="U389">
        <f ca="1">IFERROR(SUMIFS(OFFSET(DBRA_TopicCount,0,U$217,DBR_COUNT,1),DBRA_WorkplanDate,$C389,DBRA_PlayerID,$D$3),"")</f>
        <v>0</v>
      </c>
      <c r="V389">
        <f ca="1">IFERROR(SUMIFS(OFFSET(DBRA_TopicCount,0,V$217,DBR_COUNT,1),DBRA_WorkplanDate,$C389,DBRA_PlayerID,$D$3),"")</f>
        <v>0</v>
      </c>
      <c r="W389" s="47"/>
      <c r="X389" t="str">
        <f t="shared" ca="1" si="94"/>
        <v/>
      </c>
      <c r="Y389" t="str">
        <f t="shared" ca="1" si="86"/>
        <v/>
      </c>
      <c r="Z389" t="str">
        <f t="shared" ca="1" si="87"/>
        <v/>
      </c>
      <c r="AA389" t="str">
        <f t="shared" ca="1" si="88"/>
        <v/>
      </c>
      <c r="AB389" t="str">
        <f t="shared" ca="1" si="89"/>
        <v/>
      </c>
      <c r="AC389" t="str">
        <f t="shared" ca="1" si="90"/>
        <v/>
      </c>
      <c r="AD389" t="str">
        <f t="shared" ca="1" si="91"/>
        <v/>
      </c>
      <c r="AE389" t="str">
        <f t="shared" ca="1" si="92"/>
        <v/>
      </c>
      <c r="AF389" t="str">
        <f t="shared" ca="1" si="93"/>
        <v/>
      </c>
      <c r="AG389" s="47"/>
    </row>
    <row r="390" spans="3:33" x14ac:dyDescent="0.25">
      <c r="C390" s="118">
        <f t="shared" si="95"/>
        <v>42176</v>
      </c>
      <c r="D390">
        <f ca="1">IFERROR(SUMIFS(OFFSET(DBRA_TopicHCP,0,D$217,DBR_COUNT,1),DBRA_WorkplanDate,$C390,DBRA_PlayerID,$D$3),"")</f>
        <v>0</v>
      </c>
      <c r="E390">
        <f ca="1">IFERROR(SUMIFS(OFFSET(DBRA_TopicHCP,0,E$217,DBR_COUNT,1),DBRA_WorkplanDate,$C390,DBRA_PlayerID,$D$3),"")</f>
        <v>0</v>
      </c>
      <c r="F390">
        <f ca="1">IFERROR(SUMIFS(OFFSET(DBRA_TopicHCP,0,F$217,DBR_COUNT,1),DBRA_WorkplanDate,$C390,DBRA_PlayerID,$D$3),"")</f>
        <v>0</v>
      </c>
      <c r="G390">
        <f ca="1">IFERROR(SUMIFS(OFFSET(DBRA_TopicHCP,0,G$217,DBR_COUNT,1),DBRA_WorkplanDate,$C390,DBRA_PlayerID,$D$3),"")</f>
        <v>0</v>
      </c>
      <c r="H390">
        <f ca="1">IFERROR(SUMIFS(OFFSET(DBRA_TopicHCP,0,H$217,DBR_COUNT,1),DBRA_WorkplanDate,$C390,DBRA_PlayerID,$D$3),"")</f>
        <v>0</v>
      </c>
      <c r="I390">
        <f ca="1">IFERROR(SUMIFS(OFFSET(DBRA_TopicHCP,0,I$217,DBR_COUNT,1),DBRA_WorkplanDate,$C390,DBRA_PlayerID,$D$3),"")</f>
        <v>0</v>
      </c>
      <c r="J390">
        <f ca="1">IFERROR(SUMIFS(OFFSET(DBRA_TopicHCP,0,J$217,DBR_COUNT,1),DBRA_WorkplanDate,$C390,DBRA_PlayerID,$D$3),"")</f>
        <v>0</v>
      </c>
      <c r="K390">
        <f ca="1">IFERROR(SUMIFS(OFFSET(DBRA_TopicHCP,0,K$217,DBR_COUNT,1),DBRA_WorkplanDate,$C390,DBRA_PlayerID,$D$3),"")</f>
        <v>0</v>
      </c>
      <c r="L390">
        <f ca="1">IFERROR(SUMIFS(OFFSET(DBRA_TopicHCP,0,L$217,DBR_COUNT,1),DBRA_WorkplanDate,$C390,DBRA_PlayerID,$D$3),"")</f>
        <v>0</v>
      </c>
      <c r="M390" s="47"/>
      <c r="N390">
        <f ca="1">IFERROR(SUMIFS(OFFSET(DBRA_TopicCount,0,N$217,DBR_COUNT,1),DBRA_WorkplanDate,$C390,DBRA_PlayerID,$D$3),"")</f>
        <v>0</v>
      </c>
      <c r="O390">
        <f ca="1">IFERROR(SUMIFS(OFFSET(DBRA_TopicCount,0,O$217,DBR_COUNT,1),DBRA_WorkplanDate,$C390,DBRA_PlayerID,$D$3),"")</f>
        <v>0</v>
      </c>
      <c r="P390">
        <f ca="1">IFERROR(SUMIFS(OFFSET(DBRA_TopicCount,0,P$217,DBR_COUNT,1),DBRA_WorkplanDate,$C390,DBRA_PlayerID,$D$3),"")</f>
        <v>0</v>
      </c>
      <c r="Q390">
        <f ca="1">IFERROR(SUMIFS(OFFSET(DBRA_TopicCount,0,Q$217,DBR_COUNT,1),DBRA_WorkplanDate,$C390,DBRA_PlayerID,$D$3),"")</f>
        <v>0</v>
      </c>
      <c r="R390">
        <f ca="1">IFERROR(SUMIFS(OFFSET(DBRA_TopicCount,0,R$217,DBR_COUNT,1),DBRA_WorkplanDate,$C390,DBRA_PlayerID,$D$3),"")</f>
        <v>0</v>
      </c>
      <c r="S390">
        <f ca="1">IFERROR(SUMIFS(OFFSET(DBRA_TopicCount,0,S$217,DBR_COUNT,1),DBRA_WorkplanDate,$C390,DBRA_PlayerID,$D$3),"")</f>
        <v>0</v>
      </c>
      <c r="T390">
        <f ca="1">IFERROR(SUMIFS(OFFSET(DBRA_TopicCount,0,T$217,DBR_COUNT,1),DBRA_WorkplanDate,$C390,DBRA_PlayerID,$D$3),"")</f>
        <v>0</v>
      </c>
      <c r="U390">
        <f ca="1">IFERROR(SUMIFS(OFFSET(DBRA_TopicCount,0,U$217,DBR_COUNT,1),DBRA_WorkplanDate,$C390,DBRA_PlayerID,$D$3),"")</f>
        <v>0</v>
      </c>
      <c r="V390">
        <f ca="1">IFERROR(SUMIFS(OFFSET(DBRA_TopicCount,0,V$217,DBR_COUNT,1),DBRA_WorkplanDate,$C390,DBRA_PlayerID,$D$3),"")</f>
        <v>0</v>
      </c>
      <c r="W390" s="47"/>
      <c r="X390" t="str">
        <f t="shared" ca="1" si="94"/>
        <v/>
      </c>
      <c r="Y390" t="str">
        <f t="shared" ca="1" si="86"/>
        <v/>
      </c>
      <c r="Z390" t="str">
        <f t="shared" ca="1" si="87"/>
        <v/>
      </c>
      <c r="AA390" t="str">
        <f t="shared" ca="1" si="88"/>
        <v/>
      </c>
      <c r="AB390" t="str">
        <f t="shared" ca="1" si="89"/>
        <v/>
      </c>
      <c r="AC390" t="str">
        <f t="shared" ca="1" si="90"/>
        <v/>
      </c>
      <c r="AD390" t="str">
        <f t="shared" ca="1" si="91"/>
        <v/>
      </c>
      <c r="AE390" t="str">
        <f t="shared" ca="1" si="92"/>
        <v/>
      </c>
      <c r="AF390" t="str">
        <f t="shared" ca="1" si="93"/>
        <v/>
      </c>
      <c r="AG390" s="47"/>
    </row>
    <row r="391" spans="3:33" x14ac:dyDescent="0.25">
      <c r="C391" s="118">
        <f t="shared" si="95"/>
        <v>42177</v>
      </c>
      <c r="D391">
        <f ca="1">IFERROR(SUMIFS(OFFSET(DBRA_TopicHCP,0,D$217,DBR_COUNT,1),DBRA_WorkplanDate,$C391,DBRA_PlayerID,$D$3),"")</f>
        <v>0</v>
      </c>
      <c r="E391">
        <f ca="1">IFERROR(SUMIFS(OFFSET(DBRA_TopicHCP,0,E$217,DBR_COUNT,1),DBRA_WorkplanDate,$C391,DBRA_PlayerID,$D$3),"")</f>
        <v>0</v>
      </c>
      <c r="F391">
        <f ca="1">IFERROR(SUMIFS(OFFSET(DBRA_TopicHCP,0,F$217,DBR_COUNT,1),DBRA_WorkplanDate,$C391,DBRA_PlayerID,$D$3),"")</f>
        <v>0</v>
      </c>
      <c r="G391">
        <f ca="1">IFERROR(SUMIFS(OFFSET(DBRA_TopicHCP,0,G$217,DBR_COUNT,1),DBRA_WorkplanDate,$C391,DBRA_PlayerID,$D$3),"")</f>
        <v>0</v>
      </c>
      <c r="H391">
        <f ca="1">IFERROR(SUMIFS(OFFSET(DBRA_TopicHCP,0,H$217,DBR_COUNT,1),DBRA_WorkplanDate,$C391,DBRA_PlayerID,$D$3),"")</f>
        <v>0</v>
      </c>
      <c r="I391">
        <f ca="1">IFERROR(SUMIFS(OFFSET(DBRA_TopicHCP,0,I$217,DBR_COUNT,1),DBRA_WorkplanDate,$C391,DBRA_PlayerID,$D$3),"")</f>
        <v>0</v>
      </c>
      <c r="J391">
        <f ca="1">IFERROR(SUMIFS(OFFSET(DBRA_TopicHCP,0,J$217,DBR_COUNT,1),DBRA_WorkplanDate,$C391,DBRA_PlayerID,$D$3),"")</f>
        <v>0</v>
      </c>
      <c r="K391">
        <f ca="1">IFERROR(SUMIFS(OFFSET(DBRA_TopicHCP,0,K$217,DBR_COUNT,1),DBRA_WorkplanDate,$C391,DBRA_PlayerID,$D$3),"")</f>
        <v>0</v>
      </c>
      <c r="L391">
        <f ca="1">IFERROR(SUMIFS(OFFSET(DBRA_TopicHCP,0,L$217,DBR_COUNT,1),DBRA_WorkplanDate,$C391,DBRA_PlayerID,$D$3),"")</f>
        <v>0</v>
      </c>
      <c r="M391" s="47"/>
      <c r="N391">
        <f ca="1">IFERROR(SUMIFS(OFFSET(DBRA_TopicCount,0,N$217,DBR_COUNT,1),DBRA_WorkplanDate,$C391,DBRA_PlayerID,$D$3),"")</f>
        <v>0</v>
      </c>
      <c r="O391">
        <f ca="1">IFERROR(SUMIFS(OFFSET(DBRA_TopicCount,0,O$217,DBR_COUNT,1),DBRA_WorkplanDate,$C391,DBRA_PlayerID,$D$3),"")</f>
        <v>0</v>
      </c>
      <c r="P391">
        <f ca="1">IFERROR(SUMIFS(OFFSET(DBRA_TopicCount,0,P$217,DBR_COUNT,1),DBRA_WorkplanDate,$C391,DBRA_PlayerID,$D$3),"")</f>
        <v>0</v>
      </c>
      <c r="Q391">
        <f ca="1">IFERROR(SUMIFS(OFFSET(DBRA_TopicCount,0,Q$217,DBR_COUNT,1),DBRA_WorkplanDate,$C391,DBRA_PlayerID,$D$3),"")</f>
        <v>0</v>
      </c>
      <c r="R391">
        <f ca="1">IFERROR(SUMIFS(OFFSET(DBRA_TopicCount,0,R$217,DBR_COUNT,1),DBRA_WorkplanDate,$C391,DBRA_PlayerID,$D$3),"")</f>
        <v>0</v>
      </c>
      <c r="S391">
        <f ca="1">IFERROR(SUMIFS(OFFSET(DBRA_TopicCount,0,S$217,DBR_COUNT,1),DBRA_WorkplanDate,$C391,DBRA_PlayerID,$D$3),"")</f>
        <v>0</v>
      </c>
      <c r="T391">
        <f ca="1">IFERROR(SUMIFS(OFFSET(DBRA_TopicCount,0,T$217,DBR_COUNT,1),DBRA_WorkplanDate,$C391,DBRA_PlayerID,$D$3),"")</f>
        <v>0</v>
      </c>
      <c r="U391">
        <f ca="1">IFERROR(SUMIFS(OFFSET(DBRA_TopicCount,0,U$217,DBR_COUNT,1),DBRA_WorkplanDate,$C391,DBRA_PlayerID,$D$3),"")</f>
        <v>0</v>
      </c>
      <c r="V391">
        <f ca="1">IFERROR(SUMIFS(OFFSET(DBRA_TopicCount,0,V$217,DBR_COUNT,1),DBRA_WorkplanDate,$C391,DBRA_PlayerID,$D$3),"")</f>
        <v>0</v>
      </c>
      <c r="W391" s="47"/>
      <c r="X391" t="str">
        <f t="shared" ca="1" si="94"/>
        <v/>
      </c>
      <c r="Y391" t="str">
        <f t="shared" ca="1" si="86"/>
        <v/>
      </c>
      <c r="Z391" t="str">
        <f t="shared" ca="1" si="87"/>
        <v/>
      </c>
      <c r="AA391" t="str">
        <f t="shared" ca="1" si="88"/>
        <v/>
      </c>
      <c r="AB391" t="str">
        <f t="shared" ca="1" si="89"/>
        <v/>
      </c>
      <c r="AC391" t="str">
        <f t="shared" ca="1" si="90"/>
        <v/>
      </c>
      <c r="AD391" t="str">
        <f t="shared" ca="1" si="91"/>
        <v/>
      </c>
      <c r="AE391" t="str">
        <f t="shared" ca="1" si="92"/>
        <v/>
      </c>
      <c r="AF391" t="str">
        <f t="shared" ca="1" si="93"/>
        <v/>
      </c>
      <c r="AG391" s="47"/>
    </row>
    <row r="392" spans="3:33" x14ac:dyDescent="0.25">
      <c r="C392" s="118">
        <f t="shared" si="95"/>
        <v>42178</v>
      </c>
      <c r="D392">
        <f ca="1">IFERROR(SUMIFS(OFFSET(DBRA_TopicHCP,0,D$217,DBR_COUNT,1),DBRA_WorkplanDate,$C392,DBRA_PlayerID,$D$3),"")</f>
        <v>0</v>
      </c>
      <c r="E392">
        <f ca="1">IFERROR(SUMIFS(OFFSET(DBRA_TopicHCP,0,E$217,DBR_COUNT,1),DBRA_WorkplanDate,$C392,DBRA_PlayerID,$D$3),"")</f>
        <v>0</v>
      </c>
      <c r="F392">
        <f ca="1">IFERROR(SUMIFS(OFFSET(DBRA_TopicHCP,0,F$217,DBR_COUNT,1),DBRA_WorkplanDate,$C392,DBRA_PlayerID,$D$3),"")</f>
        <v>0</v>
      </c>
      <c r="G392">
        <f ca="1">IFERROR(SUMIFS(OFFSET(DBRA_TopicHCP,0,G$217,DBR_COUNT,1),DBRA_WorkplanDate,$C392,DBRA_PlayerID,$D$3),"")</f>
        <v>0</v>
      </c>
      <c r="H392">
        <f ca="1">IFERROR(SUMIFS(OFFSET(DBRA_TopicHCP,0,H$217,DBR_COUNT,1),DBRA_WorkplanDate,$C392,DBRA_PlayerID,$D$3),"")</f>
        <v>0</v>
      </c>
      <c r="I392">
        <f ca="1">IFERROR(SUMIFS(OFFSET(DBRA_TopicHCP,0,I$217,DBR_COUNT,1),DBRA_WorkplanDate,$C392,DBRA_PlayerID,$D$3),"")</f>
        <v>0</v>
      </c>
      <c r="J392">
        <f ca="1">IFERROR(SUMIFS(OFFSET(DBRA_TopicHCP,0,J$217,DBR_COUNT,1),DBRA_WorkplanDate,$C392,DBRA_PlayerID,$D$3),"")</f>
        <v>0</v>
      </c>
      <c r="K392">
        <f ca="1">IFERROR(SUMIFS(OFFSET(DBRA_TopicHCP,0,K$217,DBR_COUNT,1),DBRA_WorkplanDate,$C392,DBRA_PlayerID,$D$3),"")</f>
        <v>0</v>
      </c>
      <c r="L392">
        <f ca="1">IFERROR(SUMIFS(OFFSET(DBRA_TopicHCP,0,L$217,DBR_COUNT,1),DBRA_WorkplanDate,$C392,DBRA_PlayerID,$D$3),"")</f>
        <v>0</v>
      </c>
      <c r="M392" s="47"/>
      <c r="N392">
        <f ca="1">IFERROR(SUMIFS(OFFSET(DBRA_TopicCount,0,N$217,DBR_COUNT,1),DBRA_WorkplanDate,$C392,DBRA_PlayerID,$D$3),"")</f>
        <v>0</v>
      </c>
      <c r="O392">
        <f ca="1">IFERROR(SUMIFS(OFFSET(DBRA_TopicCount,0,O$217,DBR_COUNT,1),DBRA_WorkplanDate,$C392,DBRA_PlayerID,$D$3),"")</f>
        <v>0</v>
      </c>
      <c r="P392">
        <f ca="1">IFERROR(SUMIFS(OFFSET(DBRA_TopicCount,0,P$217,DBR_COUNT,1),DBRA_WorkplanDate,$C392,DBRA_PlayerID,$D$3),"")</f>
        <v>0</v>
      </c>
      <c r="Q392">
        <f ca="1">IFERROR(SUMIFS(OFFSET(DBRA_TopicCount,0,Q$217,DBR_COUNT,1),DBRA_WorkplanDate,$C392,DBRA_PlayerID,$D$3),"")</f>
        <v>0</v>
      </c>
      <c r="R392">
        <f ca="1">IFERROR(SUMIFS(OFFSET(DBRA_TopicCount,0,R$217,DBR_COUNT,1),DBRA_WorkplanDate,$C392,DBRA_PlayerID,$D$3),"")</f>
        <v>0</v>
      </c>
      <c r="S392">
        <f ca="1">IFERROR(SUMIFS(OFFSET(DBRA_TopicCount,0,S$217,DBR_COUNT,1),DBRA_WorkplanDate,$C392,DBRA_PlayerID,$D$3),"")</f>
        <v>0</v>
      </c>
      <c r="T392">
        <f ca="1">IFERROR(SUMIFS(OFFSET(DBRA_TopicCount,0,T$217,DBR_COUNT,1),DBRA_WorkplanDate,$C392,DBRA_PlayerID,$D$3),"")</f>
        <v>0</v>
      </c>
      <c r="U392">
        <f ca="1">IFERROR(SUMIFS(OFFSET(DBRA_TopicCount,0,U$217,DBR_COUNT,1),DBRA_WorkplanDate,$C392,DBRA_PlayerID,$D$3),"")</f>
        <v>0</v>
      </c>
      <c r="V392">
        <f ca="1">IFERROR(SUMIFS(OFFSET(DBRA_TopicCount,0,V$217,DBR_COUNT,1),DBRA_WorkplanDate,$C392,DBRA_PlayerID,$D$3),"")</f>
        <v>0</v>
      </c>
      <c r="W392" s="47"/>
      <c r="X392" t="str">
        <f t="shared" ca="1" si="94"/>
        <v/>
      </c>
      <c r="Y392" t="str">
        <f t="shared" ca="1" si="86"/>
        <v/>
      </c>
      <c r="Z392" t="str">
        <f t="shared" ca="1" si="87"/>
        <v/>
      </c>
      <c r="AA392" t="str">
        <f t="shared" ca="1" si="88"/>
        <v/>
      </c>
      <c r="AB392" t="str">
        <f t="shared" ca="1" si="89"/>
        <v/>
      </c>
      <c r="AC392" t="str">
        <f t="shared" ca="1" si="90"/>
        <v/>
      </c>
      <c r="AD392" t="str">
        <f t="shared" ca="1" si="91"/>
        <v/>
      </c>
      <c r="AE392" t="str">
        <f t="shared" ca="1" si="92"/>
        <v/>
      </c>
      <c r="AF392" t="str">
        <f t="shared" ca="1" si="93"/>
        <v/>
      </c>
      <c r="AG392" s="47"/>
    </row>
    <row r="393" spans="3:33" x14ac:dyDescent="0.25">
      <c r="C393" s="118">
        <f t="shared" si="95"/>
        <v>42179</v>
      </c>
      <c r="D393">
        <f ca="1">IFERROR(SUMIFS(OFFSET(DBRA_TopicHCP,0,D$217,DBR_COUNT,1),DBRA_WorkplanDate,$C393,DBRA_PlayerID,$D$3),"")</f>
        <v>0</v>
      </c>
      <c r="E393">
        <f ca="1">IFERROR(SUMIFS(OFFSET(DBRA_TopicHCP,0,E$217,DBR_COUNT,1),DBRA_WorkplanDate,$C393,DBRA_PlayerID,$D$3),"")</f>
        <v>0</v>
      </c>
      <c r="F393">
        <f ca="1">IFERROR(SUMIFS(OFFSET(DBRA_TopicHCP,0,F$217,DBR_COUNT,1),DBRA_WorkplanDate,$C393,DBRA_PlayerID,$D$3),"")</f>
        <v>0</v>
      </c>
      <c r="G393">
        <f ca="1">IFERROR(SUMIFS(OFFSET(DBRA_TopicHCP,0,G$217,DBR_COUNT,1),DBRA_WorkplanDate,$C393,DBRA_PlayerID,$D$3),"")</f>
        <v>0</v>
      </c>
      <c r="H393">
        <f ca="1">IFERROR(SUMIFS(OFFSET(DBRA_TopicHCP,0,H$217,DBR_COUNT,1),DBRA_WorkplanDate,$C393,DBRA_PlayerID,$D$3),"")</f>
        <v>0</v>
      </c>
      <c r="I393">
        <f ca="1">IFERROR(SUMIFS(OFFSET(DBRA_TopicHCP,0,I$217,DBR_COUNT,1),DBRA_WorkplanDate,$C393,DBRA_PlayerID,$D$3),"")</f>
        <v>0</v>
      </c>
      <c r="J393">
        <f ca="1">IFERROR(SUMIFS(OFFSET(DBRA_TopicHCP,0,J$217,DBR_COUNT,1),DBRA_WorkplanDate,$C393,DBRA_PlayerID,$D$3),"")</f>
        <v>0</v>
      </c>
      <c r="K393">
        <f ca="1">IFERROR(SUMIFS(OFFSET(DBRA_TopicHCP,0,K$217,DBR_COUNT,1),DBRA_WorkplanDate,$C393,DBRA_PlayerID,$D$3),"")</f>
        <v>0</v>
      </c>
      <c r="L393">
        <f ca="1">IFERROR(SUMIFS(OFFSET(DBRA_TopicHCP,0,L$217,DBR_COUNT,1),DBRA_WorkplanDate,$C393,DBRA_PlayerID,$D$3),"")</f>
        <v>0</v>
      </c>
      <c r="M393" s="47"/>
      <c r="N393">
        <f ca="1">IFERROR(SUMIFS(OFFSET(DBRA_TopicCount,0,N$217,DBR_COUNT,1),DBRA_WorkplanDate,$C393,DBRA_PlayerID,$D$3),"")</f>
        <v>0</v>
      </c>
      <c r="O393">
        <f ca="1">IFERROR(SUMIFS(OFFSET(DBRA_TopicCount,0,O$217,DBR_COUNT,1),DBRA_WorkplanDate,$C393,DBRA_PlayerID,$D$3),"")</f>
        <v>0</v>
      </c>
      <c r="P393">
        <f ca="1">IFERROR(SUMIFS(OFFSET(DBRA_TopicCount,0,P$217,DBR_COUNT,1),DBRA_WorkplanDate,$C393,DBRA_PlayerID,$D$3),"")</f>
        <v>0</v>
      </c>
      <c r="Q393">
        <f ca="1">IFERROR(SUMIFS(OFFSET(DBRA_TopicCount,0,Q$217,DBR_COUNT,1),DBRA_WorkplanDate,$C393,DBRA_PlayerID,$D$3),"")</f>
        <v>0</v>
      </c>
      <c r="R393">
        <f ca="1">IFERROR(SUMIFS(OFFSET(DBRA_TopicCount,0,R$217,DBR_COUNT,1),DBRA_WorkplanDate,$C393,DBRA_PlayerID,$D$3),"")</f>
        <v>0</v>
      </c>
      <c r="S393">
        <f ca="1">IFERROR(SUMIFS(OFFSET(DBRA_TopicCount,0,S$217,DBR_COUNT,1),DBRA_WorkplanDate,$C393,DBRA_PlayerID,$D$3),"")</f>
        <v>0</v>
      </c>
      <c r="T393">
        <f ca="1">IFERROR(SUMIFS(OFFSET(DBRA_TopicCount,0,T$217,DBR_COUNT,1),DBRA_WorkplanDate,$C393,DBRA_PlayerID,$D$3),"")</f>
        <v>0</v>
      </c>
      <c r="U393">
        <f ca="1">IFERROR(SUMIFS(OFFSET(DBRA_TopicCount,0,U$217,DBR_COUNT,1),DBRA_WorkplanDate,$C393,DBRA_PlayerID,$D$3),"")</f>
        <v>0</v>
      </c>
      <c r="V393">
        <f ca="1">IFERROR(SUMIFS(OFFSET(DBRA_TopicCount,0,V$217,DBR_COUNT,1),DBRA_WorkplanDate,$C393,DBRA_PlayerID,$D$3),"")</f>
        <v>0</v>
      </c>
      <c r="W393" s="47"/>
      <c r="X393" t="str">
        <f t="shared" ca="1" si="94"/>
        <v/>
      </c>
      <c r="Y393" t="str">
        <f t="shared" ca="1" si="86"/>
        <v/>
      </c>
      <c r="Z393" t="str">
        <f t="shared" ca="1" si="87"/>
        <v/>
      </c>
      <c r="AA393" t="str">
        <f t="shared" ca="1" si="88"/>
        <v/>
      </c>
      <c r="AB393" t="str">
        <f t="shared" ca="1" si="89"/>
        <v/>
      </c>
      <c r="AC393" t="str">
        <f t="shared" ca="1" si="90"/>
        <v/>
      </c>
      <c r="AD393" t="str">
        <f t="shared" ca="1" si="91"/>
        <v/>
      </c>
      <c r="AE393" t="str">
        <f t="shared" ca="1" si="92"/>
        <v/>
      </c>
      <c r="AF393" t="str">
        <f t="shared" ca="1" si="93"/>
        <v/>
      </c>
      <c r="AG393" s="47"/>
    </row>
    <row r="394" spans="3:33" x14ac:dyDescent="0.25">
      <c r="C394" s="118">
        <f t="shared" si="95"/>
        <v>42180</v>
      </c>
      <c r="D394">
        <f ca="1">IFERROR(SUMIFS(OFFSET(DBRA_TopicHCP,0,D$217,DBR_COUNT,1),DBRA_WorkplanDate,$C394,DBRA_PlayerID,$D$3),"")</f>
        <v>0</v>
      </c>
      <c r="E394">
        <f ca="1">IFERROR(SUMIFS(OFFSET(DBRA_TopicHCP,0,E$217,DBR_COUNT,1),DBRA_WorkplanDate,$C394,DBRA_PlayerID,$D$3),"")</f>
        <v>0</v>
      </c>
      <c r="F394">
        <f ca="1">IFERROR(SUMIFS(OFFSET(DBRA_TopicHCP,0,F$217,DBR_COUNT,1),DBRA_WorkplanDate,$C394,DBRA_PlayerID,$D$3),"")</f>
        <v>0</v>
      </c>
      <c r="G394">
        <f ca="1">IFERROR(SUMIFS(OFFSET(DBRA_TopicHCP,0,G$217,DBR_COUNT,1),DBRA_WorkplanDate,$C394,DBRA_PlayerID,$D$3),"")</f>
        <v>0</v>
      </c>
      <c r="H394">
        <f ca="1">IFERROR(SUMIFS(OFFSET(DBRA_TopicHCP,0,H$217,DBR_COUNT,1),DBRA_WorkplanDate,$C394,DBRA_PlayerID,$D$3),"")</f>
        <v>0</v>
      </c>
      <c r="I394">
        <f ca="1">IFERROR(SUMIFS(OFFSET(DBRA_TopicHCP,0,I$217,DBR_COUNT,1),DBRA_WorkplanDate,$C394,DBRA_PlayerID,$D$3),"")</f>
        <v>0</v>
      </c>
      <c r="J394">
        <f ca="1">IFERROR(SUMIFS(OFFSET(DBRA_TopicHCP,0,J$217,DBR_COUNT,1),DBRA_WorkplanDate,$C394,DBRA_PlayerID,$D$3),"")</f>
        <v>0</v>
      </c>
      <c r="K394">
        <f ca="1">IFERROR(SUMIFS(OFFSET(DBRA_TopicHCP,0,K$217,DBR_COUNT,1),DBRA_WorkplanDate,$C394,DBRA_PlayerID,$D$3),"")</f>
        <v>0</v>
      </c>
      <c r="L394">
        <f ca="1">IFERROR(SUMIFS(OFFSET(DBRA_TopicHCP,0,L$217,DBR_COUNT,1),DBRA_WorkplanDate,$C394,DBRA_PlayerID,$D$3),"")</f>
        <v>0</v>
      </c>
      <c r="M394" s="47"/>
      <c r="N394">
        <f ca="1">IFERROR(SUMIFS(OFFSET(DBRA_TopicCount,0,N$217,DBR_COUNT,1),DBRA_WorkplanDate,$C394,DBRA_PlayerID,$D$3),"")</f>
        <v>0</v>
      </c>
      <c r="O394">
        <f ca="1">IFERROR(SUMIFS(OFFSET(DBRA_TopicCount,0,O$217,DBR_COUNT,1),DBRA_WorkplanDate,$C394,DBRA_PlayerID,$D$3),"")</f>
        <v>0</v>
      </c>
      <c r="P394">
        <f ca="1">IFERROR(SUMIFS(OFFSET(DBRA_TopicCount,0,P$217,DBR_COUNT,1),DBRA_WorkplanDate,$C394,DBRA_PlayerID,$D$3),"")</f>
        <v>0</v>
      </c>
      <c r="Q394">
        <f ca="1">IFERROR(SUMIFS(OFFSET(DBRA_TopicCount,0,Q$217,DBR_COUNT,1),DBRA_WorkplanDate,$C394,DBRA_PlayerID,$D$3),"")</f>
        <v>0</v>
      </c>
      <c r="R394">
        <f ca="1">IFERROR(SUMIFS(OFFSET(DBRA_TopicCount,0,R$217,DBR_COUNT,1),DBRA_WorkplanDate,$C394,DBRA_PlayerID,$D$3),"")</f>
        <v>0</v>
      </c>
      <c r="S394">
        <f ca="1">IFERROR(SUMIFS(OFFSET(DBRA_TopicCount,0,S$217,DBR_COUNT,1),DBRA_WorkplanDate,$C394,DBRA_PlayerID,$D$3),"")</f>
        <v>0</v>
      </c>
      <c r="T394">
        <f ca="1">IFERROR(SUMIFS(OFFSET(DBRA_TopicCount,0,T$217,DBR_COUNT,1),DBRA_WorkplanDate,$C394,DBRA_PlayerID,$D$3),"")</f>
        <v>0</v>
      </c>
      <c r="U394">
        <f ca="1">IFERROR(SUMIFS(OFFSET(DBRA_TopicCount,0,U$217,DBR_COUNT,1),DBRA_WorkplanDate,$C394,DBRA_PlayerID,$D$3),"")</f>
        <v>0</v>
      </c>
      <c r="V394">
        <f ca="1">IFERROR(SUMIFS(OFFSET(DBRA_TopicCount,0,V$217,DBR_COUNT,1),DBRA_WorkplanDate,$C394,DBRA_PlayerID,$D$3),"")</f>
        <v>0</v>
      </c>
      <c r="W394" s="47"/>
      <c r="X394" t="str">
        <f t="shared" ca="1" si="94"/>
        <v/>
      </c>
      <c r="Y394" t="str">
        <f t="shared" ca="1" si="86"/>
        <v/>
      </c>
      <c r="Z394" t="str">
        <f t="shared" ca="1" si="87"/>
        <v/>
      </c>
      <c r="AA394" t="str">
        <f t="shared" ca="1" si="88"/>
        <v/>
      </c>
      <c r="AB394" t="str">
        <f t="shared" ca="1" si="89"/>
        <v/>
      </c>
      <c r="AC394" t="str">
        <f t="shared" ca="1" si="90"/>
        <v/>
      </c>
      <c r="AD394" t="str">
        <f t="shared" ca="1" si="91"/>
        <v/>
      </c>
      <c r="AE394" t="str">
        <f t="shared" ca="1" si="92"/>
        <v/>
      </c>
      <c r="AF394" t="str">
        <f t="shared" ca="1" si="93"/>
        <v/>
      </c>
      <c r="AG394" s="47"/>
    </row>
    <row r="395" spans="3:33" x14ac:dyDescent="0.25">
      <c r="C395" s="118">
        <f t="shared" si="95"/>
        <v>42181</v>
      </c>
      <c r="D395">
        <f ca="1">IFERROR(SUMIFS(OFFSET(DBRA_TopicHCP,0,D$217,DBR_COUNT,1),DBRA_WorkplanDate,$C395,DBRA_PlayerID,$D$3),"")</f>
        <v>0</v>
      </c>
      <c r="E395">
        <f ca="1">IFERROR(SUMIFS(OFFSET(DBRA_TopicHCP,0,E$217,DBR_COUNT,1),DBRA_WorkplanDate,$C395,DBRA_PlayerID,$D$3),"")</f>
        <v>0</v>
      </c>
      <c r="F395">
        <f ca="1">IFERROR(SUMIFS(OFFSET(DBRA_TopicHCP,0,F$217,DBR_COUNT,1),DBRA_WorkplanDate,$C395,DBRA_PlayerID,$D$3),"")</f>
        <v>0</v>
      </c>
      <c r="G395">
        <f ca="1">IFERROR(SUMIFS(OFFSET(DBRA_TopicHCP,0,G$217,DBR_COUNT,1),DBRA_WorkplanDate,$C395,DBRA_PlayerID,$D$3),"")</f>
        <v>0</v>
      </c>
      <c r="H395">
        <f ca="1">IFERROR(SUMIFS(OFFSET(DBRA_TopicHCP,0,H$217,DBR_COUNT,1),DBRA_WorkplanDate,$C395,DBRA_PlayerID,$D$3),"")</f>
        <v>0</v>
      </c>
      <c r="I395">
        <f ca="1">IFERROR(SUMIFS(OFFSET(DBRA_TopicHCP,0,I$217,DBR_COUNT,1),DBRA_WorkplanDate,$C395,DBRA_PlayerID,$D$3),"")</f>
        <v>0</v>
      </c>
      <c r="J395">
        <f ca="1">IFERROR(SUMIFS(OFFSET(DBRA_TopicHCP,0,J$217,DBR_COUNT,1),DBRA_WorkplanDate,$C395,DBRA_PlayerID,$D$3),"")</f>
        <v>0</v>
      </c>
      <c r="K395">
        <f ca="1">IFERROR(SUMIFS(OFFSET(DBRA_TopicHCP,0,K$217,DBR_COUNT,1),DBRA_WorkplanDate,$C395,DBRA_PlayerID,$D$3),"")</f>
        <v>0</v>
      </c>
      <c r="L395">
        <f ca="1">IFERROR(SUMIFS(OFFSET(DBRA_TopicHCP,0,L$217,DBR_COUNT,1),DBRA_WorkplanDate,$C395,DBRA_PlayerID,$D$3),"")</f>
        <v>0</v>
      </c>
      <c r="M395" s="47"/>
      <c r="N395">
        <f ca="1">IFERROR(SUMIFS(OFFSET(DBRA_TopicCount,0,N$217,DBR_COUNT,1),DBRA_WorkplanDate,$C395,DBRA_PlayerID,$D$3),"")</f>
        <v>0</v>
      </c>
      <c r="O395">
        <f ca="1">IFERROR(SUMIFS(OFFSET(DBRA_TopicCount,0,O$217,DBR_COUNT,1),DBRA_WorkplanDate,$C395,DBRA_PlayerID,$D$3),"")</f>
        <v>0</v>
      </c>
      <c r="P395">
        <f ca="1">IFERROR(SUMIFS(OFFSET(DBRA_TopicCount,0,P$217,DBR_COUNT,1),DBRA_WorkplanDate,$C395,DBRA_PlayerID,$D$3),"")</f>
        <v>0</v>
      </c>
      <c r="Q395">
        <f ca="1">IFERROR(SUMIFS(OFFSET(DBRA_TopicCount,0,Q$217,DBR_COUNT,1),DBRA_WorkplanDate,$C395,DBRA_PlayerID,$D$3),"")</f>
        <v>0</v>
      </c>
      <c r="R395">
        <f ca="1">IFERROR(SUMIFS(OFFSET(DBRA_TopicCount,0,R$217,DBR_COUNT,1),DBRA_WorkplanDate,$C395,DBRA_PlayerID,$D$3),"")</f>
        <v>0</v>
      </c>
      <c r="S395">
        <f ca="1">IFERROR(SUMIFS(OFFSET(DBRA_TopicCount,0,S$217,DBR_COUNT,1),DBRA_WorkplanDate,$C395,DBRA_PlayerID,$D$3),"")</f>
        <v>0</v>
      </c>
      <c r="T395">
        <f ca="1">IFERROR(SUMIFS(OFFSET(DBRA_TopicCount,0,T$217,DBR_COUNT,1),DBRA_WorkplanDate,$C395,DBRA_PlayerID,$D$3),"")</f>
        <v>0</v>
      </c>
      <c r="U395">
        <f ca="1">IFERROR(SUMIFS(OFFSET(DBRA_TopicCount,0,U$217,DBR_COUNT,1),DBRA_WorkplanDate,$C395,DBRA_PlayerID,$D$3),"")</f>
        <v>0</v>
      </c>
      <c r="V395">
        <f ca="1">IFERROR(SUMIFS(OFFSET(DBRA_TopicCount,0,V$217,DBR_COUNT,1),DBRA_WorkplanDate,$C395,DBRA_PlayerID,$D$3),"")</f>
        <v>0</v>
      </c>
      <c r="W395" s="47"/>
      <c r="X395" t="str">
        <f t="shared" ca="1" si="94"/>
        <v/>
      </c>
      <c r="Y395" t="str">
        <f t="shared" ca="1" si="86"/>
        <v/>
      </c>
      <c r="Z395" t="str">
        <f t="shared" ca="1" si="87"/>
        <v/>
      </c>
      <c r="AA395" t="str">
        <f t="shared" ca="1" si="88"/>
        <v/>
      </c>
      <c r="AB395" t="str">
        <f t="shared" ca="1" si="89"/>
        <v/>
      </c>
      <c r="AC395" t="str">
        <f t="shared" ca="1" si="90"/>
        <v/>
      </c>
      <c r="AD395" t="str">
        <f t="shared" ca="1" si="91"/>
        <v/>
      </c>
      <c r="AE395" t="str">
        <f t="shared" ca="1" si="92"/>
        <v/>
      </c>
      <c r="AF395" t="str">
        <f t="shared" ca="1" si="93"/>
        <v/>
      </c>
      <c r="AG395" s="47"/>
    </row>
    <row r="396" spans="3:33" x14ac:dyDescent="0.25">
      <c r="C396" s="118">
        <f t="shared" si="95"/>
        <v>42182</v>
      </c>
      <c r="D396">
        <f ca="1">IFERROR(SUMIFS(OFFSET(DBRA_TopicHCP,0,D$217,DBR_COUNT,1),DBRA_WorkplanDate,$C396,DBRA_PlayerID,$D$3),"")</f>
        <v>0</v>
      </c>
      <c r="E396">
        <f ca="1">IFERROR(SUMIFS(OFFSET(DBRA_TopicHCP,0,E$217,DBR_COUNT,1),DBRA_WorkplanDate,$C396,DBRA_PlayerID,$D$3),"")</f>
        <v>0</v>
      </c>
      <c r="F396">
        <f ca="1">IFERROR(SUMIFS(OFFSET(DBRA_TopicHCP,0,F$217,DBR_COUNT,1),DBRA_WorkplanDate,$C396,DBRA_PlayerID,$D$3),"")</f>
        <v>0</v>
      </c>
      <c r="G396">
        <f ca="1">IFERROR(SUMIFS(OFFSET(DBRA_TopicHCP,0,G$217,DBR_COUNT,1),DBRA_WorkplanDate,$C396,DBRA_PlayerID,$D$3),"")</f>
        <v>0</v>
      </c>
      <c r="H396">
        <f ca="1">IFERROR(SUMIFS(OFFSET(DBRA_TopicHCP,0,H$217,DBR_COUNT,1),DBRA_WorkplanDate,$C396,DBRA_PlayerID,$D$3),"")</f>
        <v>0</v>
      </c>
      <c r="I396">
        <f ca="1">IFERROR(SUMIFS(OFFSET(DBRA_TopicHCP,0,I$217,DBR_COUNT,1),DBRA_WorkplanDate,$C396,DBRA_PlayerID,$D$3),"")</f>
        <v>0</v>
      </c>
      <c r="J396">
        <f ca="1">IFERROR(SUMIFS(OFFSET(DBRA_TopicHCP,0,J$217,DBR_COUNT,1),DBRA_WorkplanDate,$C396,DBRA_PlayerID,$D$3),"")</f>
        <v>0</v>
      </c>
      <c r="K396">
        <f ca="1">IFERROR(SUMIFS(OFFSET(DBRA_TopicHCP,0,K$217,DBR_COUNT,1),DBRA_WorkplanDate,$C396,DBRA_PlayerID,$D$3),"")</f>
        <v>0</v>
      </c>
      <c r="L396">
        <f ca="1">IFERROR(SUMIFS(OFFSET(DBRA_TopicHCP,0,L$217,DBR_COUNT,1),DBRA_WorkplanDate,$C396,DBRA_PlayerID,$D$3),"")</f>
        <v>0</v>
      </c>
      <c r="M396" s="47"/>
      <c r="N396">
        <f ca="1">IFERROR(SUMIFS(OFFSET(DBRA_TopicCount,0,N$217,DBR_COUNT,1),DBRA_WorkplanDate,$C396,DBRA_PlayerID,$D$3),"")</f>
        <v>0</v>
      </c>
      <c r="O396">
        <f ca="1">IFERROR(SUMIFS(OFFSET(DBRA_TopicCount,0,O$217,DBR_COUNT,1),DBRA_WorkplanDate,$C396,DBRA_PlayerID,$D$3),"")</f>
        <v>0</v>
      </c>
      <c r="P396">
        <f ca="1">IFERROR(SUMIFS(OFFSET(DBRA_TopicCount,0,P$217,DBR_COUNT,1),DBRA_WorkplanDate,$C396,DBRA_PlayerID,$D$3),"")</f>
        <v>0</v>
      </c>
      <c r="Q396">
        <f ca="1">IFERROR(SUMIFS(OFFSET(DBRA_TopicCount,0,Q$217,DBR_COUNT,1),DBRA_WorkplanDate,$C396,DBRA_PlayerID,$D$3),"")</f>
        <v>0</v>
      </c>
      <c r="R396">
        <f ca="1">IFERROR(SUMIFS(OFFSET(DBRA_TopicCount,0,R$217,DBR_COUNT,1),DBRA_WorkplanDate,$C396,DBRA_PlayerID,$D$3),"")</f>
        <v>0</v>
      </c>
      <c r="S396">
        <f ca="1">IFERROR(SUMIFS(OFFSET(DBRA_TopicCount,0,S$217,DBR_COUNT,1),DBRA_WorkplanDate,$C396,DBRA_PlayerID,$D$3),"")</f>
        <v>0</v>
      </c>
      <c r="T396">
        <f ca="1">IFERROR(SUMIFS(OFFSET(DBRA_TopicCount,0,T$217,DBR_COUNT,1),DBRA_WorkplanDate,$C396,DBRA_PlayerID,$D$3),"")</f>
        <v>0</v>
      </c>
      <c r="U396">
        <f ca="1">IFERROR(SUMIFS(OFFSET(DBRA_TopicCount,0,U$217,DBR_COUNT,1),DBRA_WorkplanDate,$C396,DBRA_PlayerID,$D$3),"")</f>
        <v>0</v>
      </c>
      <c r="V396">
        <f ca="1">IFERROR(SUMIFS(OFFSET(DBRA_TopicCount,0,V$217,DBR_COUNT,1),DBRA_WorkplanDate,$C396,DBRA_PlayerID,$D$3),"")</f>
        <v>0</v>
      </c>
      <c r="W396" s="47"/>
      <c r="X396" t="str">
        <f t="shared" ca="1" si="94"/>
        <v/>
      </c>
      <c r="Y396" t="str">
        <f t="shared" ca="1" si="86"/>
        <v/>
      </c>
      <c r="Z396" t="str">
        <f t="shared" ca="1" si="87"/>
        <v/>
      </c>
      <c r="AA396" t="str">
        <f t="shared" ca="1" si="88"/>
        <v/>
      </c>
      <c r="AB396" t="str">
        <f t="shared" ca="1" si="89"/>
        <v/>
      </c>
      <c r="AC396" t="str">
        <f t="shared" ca="1" si="90"/>
        <v/>
      </c>
      <c r="AD396" t="str">
        <f t="shared" ca="1" si="91"/>
        <v/>
      </c>
      <c r="AE396" t="str">
        <f t="shared" ca="1" si="92"/>
        <v/>
      </c>
      <c r="AF396" t="str">
        <f t="shared" ca="1" si="93"/>
        <v/>
      </c>
      <c r="AG396" s="47"/>
    </row>
    <row r="397" spans="3:33" x14ac:dyDescent="0.25">
      <c r="C397" s="118">
        <f t="shared" si="95"/>
        <v>42183</v>
      </c>
      <c r="D397">
        <f ca="1">IFERROR(SUMIFS(OFFSET(DBRA_TopicHCP,0,D$217,DBR_COUNT,1),DBRA_WorkplanDate,$C397,DBRA_PlayerID,$D$3),"")</f>
        <v>0</v>
      </c>
      <c r="E397">
        <f ca="1">IFERROR(SUMIFS(OFFSET(DBRA_TopicHCP,0,E$217,DBR_COUNT,1),DBRA_WorkplanDate,$C397,DBRA_PlayerID,$D$3),"")</f>
        <v>0</v>
      </c>
      <c r="F397">
        <f ca="1">IFERROR(SUMIFS(OFFSET(DBRA_TopicHCP,0,F$217,DBR_COUNT,1),DBRA_WorkplanDate,$C397,DBRA_PlayerID,$D$3),"")</f>
        <v>0</v>
      </c>
      <c r="G397">
        <f ca="1">IFERROR(SUMIFS(OFFSET(DBRA_TopicHCP,0,G$217,DBR_COUNT,1),DBRA_WorkplanDate,$C397,DBRA_PlayerID,$D$3),"")</f>
        <v>0</v>
      </c>
      <c r="H397">
        <f ca="1">IFERROR(SUMIFS(OFFSET(DBRA_TopicHCP,0,H$217,DBR_COUNT,1),DBRA_WorkplanDate,$C397,DBRA_PlayerID,$D$3),"")</f>
        <v>0</v>
      </c>
      <c r="I397">
        <f ca="1">IFERROR(SUMIFS(OFFSET(DBRA_TopicHCP,0,I$217,DBR_COUNT,1),DBRA_WorkplanDate,$C397,DBRA_PlayerID,$D$3),"")</f>
        <v>0</v>
      </c>
      <c r="J397">
        <f ca="1">IFERROR(SUMIFS(OFFSET(DBRA_TopicHCP,0,J$217,DBR_COUNT,1),DBRA_WorkplanDate,$C397,DBRA_PlayerID,$D$3),"")</f>
        <v>0</v>
      </c>
      <c r="K397">
        <f ca="1">IFERROR(SUMIFS(OFFSET(DBRA_TopicHCP,0,K$217,DBR_COUNT,1),DBRA_WorkplanDate,$C397,DBRA_PlayerID,$D$3),"")</f>
        <v>0</v>
      </c>
      <c r="L397">
        <f ca="1">IFERROR(SUMIFS(OFFSET(DBRA_TopicHCP,0,L$217,DBR_COUNT,1),DBRA_WorkplanDate,$C397,DBRA_PlayerID,$D$3),"")</f>
        <v>0</v>
      </c>
      <c r="M397" s="47"/>
      <c r="N397">
        <f ca="1">IFERROR(SUMIFS(OFFSET(DBRA_TopicCount,0,N$217,DBR_COUNT,1),DBRA_WorkplanDate,$C397,DBRA_PlayerID,$D$3),"")</f>
        <v>0</v>
      </c>
      <c r="O397">
        <f ca="1">IFERROR(SUMIFS(OFFSET(DBRA_TopicCount,0,O$217,DBR_COUNT,1),DBRA_WorkplanDate,$C397,DBRA_PlayerID,$D$3),"")</f>
        <v>0</v>
      </c>
      <c r="P397">
        <f ca="1">IFERROR(SUMIFS(OFFSET(DBRA_TopicCount,0,P$217,DBR_COUNT,1),DBRA_WorkplanDate,$C397,DBRA_PlayerID,$D$3),"")</f>
        <v>0</v>
      </c>
      <c r="Q397">
        <f ca="1">IFERROR(SUMIFS(OFFSET(DBRA_TopicCount,0,Q$217,DBR_COUNT,1),DBRA_WorkplanDate,$C397,DBRA_PlayerID,$D$3),"")</f>
        <v>0</v>
      </c>
      <c r="R397">
        <f ca="1">IFERROR(SUMIFS(OFFSET(DBRA_TopicCount,0,R$217,DBR_COUNT,1),DBRA_WorkplanDate,$C397,DBRA_PlayerID,$D$3),"")</f>
        <v>0</v>
      </c>
      <c r="S397">
        <f ca="1">IFERROR(SUMIFS(OFFSET(DBRA_TopicCount,0,S$217,DBR_COUNT,1),DBRA_WorkplanDate,$C397,DBRA_PlayerID,$D$3),"")</f>
        <v>0</v>
      </c>
      <c r="T397">
        <f ca="1">IFERROR(SUMIFS(OFFSET(DBRA_TopicCount,0,T$217,DBR_COUNT,1),DBRA_WorkplanDate,$C397,DBRA_PlayerID,$D$3),"")</f>
        <v>0</v>
      </c>
      <c r="U397">
        <f ca="1">IFERROR(SUMIFS(OFFSET(DBRA_TopicCount,0,U$217,DBR_COUNT,1),DBRA_WorkplanDate,$C397,DBRA_PlayerID,$D$3),"")</f>
        <v>0</v>
      </c>
      <c r="V397">
        <f ca="1">IFERROR(SUMIFS(OFFSET(DBRA_TopicCount,0,V$217,DBR_COUNT,1),DBRA_WorkplanDate,$C397,DBRA_PlayerID,$D$3),"")</f>
        <v>0</v>
      </c>
      <c r="W397" s="47"/>
      <c r="X397" t="str">
        <f t="shared" ca="1" si="94"/>
        <v/>
      </c>
      <c r="Y397" t="str">
        <f t="shared" ca="1" si="86"/>
        <v/>
      </c>
      <c r="Z397" t="str">
        <f t="shared" ca="1" si="87"/>
        <v/>
      </c>
      <c r="AA397" t="str">
        <f t="shared" ca="1" si="88"/>
        <v/>
      </c>
      <c r="AB397" t="str">
        <f t="shared" ca="1" si="89"/>
        <v/>
      </c>
      <c r="AC397" t="str">
        <f t="shared" ca="1" si="90"/>
        <v/>
      </c>
      <c r="AD397" t="str">
        <f t="shared" ca="1" si="91"/>
        <v/>
      </c>
      <c r="AE397" t="str">
        <f t="shared" ca="1" si="92"/>
        <v/>
      </c>
      <c r="AF397" t="str">
        <f t="shared" ca="1" si="93"/>
        <v/>
      </c>
      <c r="AG397" s="47"/>
    </row>
    <row r="398" spans="3:33" x14ac:dyDescent="0.25">
      <c r="C398" s="118">
        <f t="shared" si="95"/>
        <v>42184</v>
      </c>
      <c r="D398">
        <f ca="1">IFERROR(SUMIFS(OFFSET(DBRA_TopicHCP,0,D$217,DBR_COUNT,1),DBRA_WorkplanDate,$C398,DBRA_PlayerID,$D$3),"")</f>
        <v>0</v>
      </c>
      <c r="E398">
        <f ca="1">IFERROR(SUMIFS(OFFSET(DBRA_TopicHCP,0,E$217,DBR_COUNT,1),DBRA_WorkplanDate,$C398,DBRA_PlayerID,$D$3),"")</f>
        <v>0</v>
      </c>
      <c r="F398">
        <f ca="1">IFERROR(SUMIFS(OFFSET(DBRA_TopicHCP,0,F$217,DBR_COUNT,1),DBRA_WorkplanDate,$C398,DBRA_PlayerID,$D$3),"")</f>
        <v>0</v>
      </c>
      <c r="G398">
        <f ca="1">IFERROR(SUMIFS(OFFSET(DBRA_TopicHCP,0,G$217,DBR_COUNT,1),DBRA_WorkplanDate,$C398,DBRA_PlayerID,$D$3),"")</f>
        <v>0</v>
      </c>
      <c r="H398">
        <f ca="1">IFERROR(SUMIFS(OFFSET(DBRA_TopicHCP,0,H$217,DBR_COUNT,1),DBRA_WorkplanDate,$C398,DBRA_PlayerID,$D$3),"")</f>
        <v>0</v>
      </c>
      <c r="I398">
        <f ca="1">IFERROR(SUMIFS(OFFSET(DBRA_TopicHCP,0,I$217,DBR_COUNT,1),DBRA_WorkplanDate,$C398,DBRA_PlayerID,$D$3),"")</f>
        <v>0</v>
      </c>
      <c r="J398">
        <f ca="1">IFERROR(SUMIFS(OFFSET(DBRA_TopicHCP,0,J$217,DBR_COUNT,1),DBRA_WorkplanDate,$C398,DBRA_PlayerID,$D$3),"")</f>
        <v>0</v>
      </c>
      <c r="K398">
        <f ca="1">IFERROR(SUMIFS(OFFSET(DBRA_TopicHCP,0,K$217,DBR_COUNT,1),DBRA_WorkplanDate,$C398,DBRA_PlayerID,$D$3),"")</f>
        <v>0</v>
      </c>
      <c r="L398">
        <f ca="1">IFERROR(SUMIFS(OFFSET(DBRA_TopicHCP,0,L$217,DBR_COUNT,1),DBRA_WorkplanDate,$C398,DBRA_PlayerID,$D$3),"")</f>
        <v>0</v>
      </c>
      <c r="M398" s="47"/>
      <c r="N398">
        <f ca="1">IFERROR(SUMIFS(OFFSET(DBRA_TopicCount,0,N$217,DBR_COUNT,1),DBRA_WorkplanDate,$C398,DBRA_PlayerID,$D$3),"")</f>
        <v>0</v>
      </c>
      <c r="O398">
        <f ca="1">IFERROR(SUMIFS(OFFSET(DBRA_TopicCount,0,O$217,DBR_COUNT,1),DBRA_WorkplanDate,$C398,DBRA_PlayerID,$D$3),"")</f>
        <v>0</v>
      </c>
      <c r="P398">
        <f ca="1">IFERROR(SUMIFS(OFFSET(DBRA_TopicCount,0,P$217,DBR_COUNT,1),DBRA_WorkplanDate,$C398,DBRA_PlayerID,$D$3),"")</f>
        <v>0</v>
      </c>
      <c r="Q398">
        <f ca="1">IFERROR(SUMIFS(OFFSET(DBRA_TopicCount,0,Q$217,DBR_COUNT,1),DBRA_WorkplanDate,$C398,DBRA_PlayerID,$D$3),"")</f>
        <v>0</v>
      </c>
      <c r="R398">
        <f ca="1">IFERROR(SUMIFS(OFFSET(DBRA_TopicCount,0,R$217,DBR_COUNT,1),DBRA_WorkplanDate,$C398,DBRA_PlayerID,$D$3),"")</f>
        <v>0</v>
      </c>
      <c r="S398">
        <f ca="1">IFERROR(SUMIFS(OFFSET(DBRA_TopicCount,0,S$217,DBR_COUNT,1),DBRA_WorkplanDate,$C398,DBRA_PlayerID,$D$3),"")</f>
        <v>0</v>
      </c>
      <c r="T398">
        <f ca="1">IFERROR(SUMIFS(OFFSET(DBRA_TopicCount,0,T$217,DBR_COUNT,1),DBRA_WorkplanDate,$C398,DBRA_PlayerID,$D$3),"")</f>
        <v>0</v>
      </c>
      <c r="U398">
        <f ca="1">IFERROR(SUMIFS(OFFSET(DBRA_TopicCount,0,U$217,DBR_COUNT,1),DBRA_WorkplanDate,$C398,DBRA_PlayerID,$D$3),"")</f>
        <v>0</v>
      </c>
      <c r="V398">
        <f ca="1">IFERROR(SUMIFS(OFFSET(DBRA_TopicCount,0,V$217,DBR_COUNT,1),DBRA_WorkplanDate,$C398,DBRA_PlayerID,$D$3),"")</f>
        <v>0</v>
      </c>
      <c r="W398" s="47"/>
      <c r="X398" t="str">
        <f t="shared" ca="1" si="94"/>
        <v/>
      </c>
      <c r="Y398" t="str">
        <f t="shared" ca="1" si="86"/>
        <v/>
      </c>
      <c r="Z398" t="str">
        <f t="shared" ca="1" si="87"/>
        <v/>
      </c>
      <c r="AA398" t="str">
        <f t="shared" ca="1" si="88"/>
        <v/>
      </c>
      <c r="AB398" t="str">
        <f t="shared" ca="1" si="89"/>
        <v/>
      </c>
      <c r="AC398" t="str">
        <f t="shared" ca="1" si="90"/>
        <v/>
      </c>
      <c r="AD398" t="str">
        <f t="shared" ca="1" si="91"/>
        <v/>
      </c>
      <c r="AE398" t="str">
        <f t="shared" ca="1" si="92"/>
        <v/>
      </c>
      <c r="AF398" t="str">
        <f t="shared" ca="1" si="93"/>
        <v/>
      </c>
      <c r="AG398" s="47"/>
    </row>
    <row r="399" spans="3:33" x14ac:dyDescent="0.25">
      <c r="C399" s="118">
        <f t="shared" si="95"/>
        <v>42185</v>
      </c>
      <c r="D399">
        <f ca="1">IFERROR(SUMIFS(OFFSET(DBRA_TopicHCP,0,D$217,DBR_COUNT,1),DBRA_WorkplanDate,$C399,DBRA_PlayerID,$D$3),"")</f>
        <v>0</v>
      </c>
      <c r="E399">
        <f ca="1">IFERROR(SUMIFS(OFFSET(DBRA_TopicHCP,0,E$217,DBR_COUNT,1),DBRA_WorkplanDate,$C399,DBRA_PlayerID,$D$3),"")</f>
        <v>0</v>
      </c>
      <c r="F399">
        <f ca="1">IFERROR(SUMIFS(OFFSET(DBRA_TopicHCP,0,F$217,DBR_COUNT,1),DBRA_WorkplanDate,$C399,DBRA_PlayerID,$D$3),"")</f>
        <v>0</v>
      </c>
      <c r="G399">
        <f ca="1">IFERROR(SUMIFS(OFFSET(DBRA_TopicHCP,0,G$217,DBR_COUNT,1),DBRA_WorkplanDate,$C399,DBRA_PlayerID,$D$3),"")</f>
        <v>0</v>
      </c>
      <c r="H399">
        <f ca="1">IFERROR(SUMIFS(OFFSET(DBRA_TopicHCP,0,H$217,DBR_COUNT,1),DBRA_WorkplanDate,$C399,DBRA_PlayerID,$D$3),"")</f>
        <v>0</v>
      </c>
      <c r="I399">
        <f ca="1">IFERROR(SUMIFS(OFFSET(DBRA_TopicHCP,0,I$217,DBR_COUNT,1),DBRA_WorkplanDate,$C399,DBRA_PlayerID,$D$3),"")</f>
        <v>0</v>
      </c>
      <c r="J399">
        <f ca="1">IFERROR(SUMIFS(OFFSET(DBRA_TopicHCP,0,J$217,DBR_COUNT,1),DBRA_WorkplanDate,$C399,DBRA_PlayerID,$D$3),"")</f>
        <v>0</v>
      </c>
      <c r="K399">
        <f ca="1">IFERROR(SUMIFS(OFFSET(DBRA_TopicHCP,0,K$217,DBR_COUNT,1),DBRA_WorkplanDate,$C399,DBRA_PlayerID,$D$3),"")</f>
        <v>0</v>
      </c>
      <c r="L399">
        <f ca="1">IFERROR(SUMIFS(OFFSET(DBRA_TopicHCP,0,L$217,DBR_COUNT,1),DBRA_WorkplanDate,$C399,DBRA_PlayerID,$D$3),"")</f>
        <v>0</v>
      </c>
      <c r="M399" s="47"/>
      <c r="N399">
        <f ca="1">IFERROR(SUMIFS(OFFSET(DBRA_TopicCount,0,N$217,DBR_COUNT,1),DBRA_WorkplanDate,$C399,DBRA_PlayerID,$D$3),"")</f>
        <v>0</v>
      </c>
      <c r="O399">
        <f ca="1">IFERROR(SUMIFS(OFFSET(DBRA_TopicCount,0,O$217,DBR_COUNT,1),DBRA_WorkplanDate,$C399,DBRA_PlayerID,$D$3),"")</f>
        <v>0</v>
      </c>
      <c r="P399">
        <f ca="1">IFERROR(SUMIFS(OFFSET(DBRA_TopicCount,0,P$217,DBR_COUNT,1),DBRA_WorkplanDate,$C399,DBRA_PlayerID,$D$3),"")</f>
        <v>0</v>
      </c>
      <c r="Q399">
        <f ca="1">IFERROR(SUMIFS(OFFSET(DBRA_TopicCount,0,Q$217,DBR_COUNT,1),DBRA_WorkplanDate,$C399,DBRA_PlayerID,$D$3),"")</f>
        <v>0</v>
      </c>
      <c r="R399">
        <f ca="1">IFERROR(SUMIFS(OFFSET(DBRA_TopicCount,0,R$217,DBR_COUNT,1),DBRA_WorkplanDate,$C399,DBRA_PlayerID,$D$3),"")</f>
        <v>0</v>
      </c>
      <c r="S399">
        <f ca="1">IFERROR(SUMIFS(OFFSET(DBRA_TopicCount,0,S$217,DBR_COUNT,1),DBRA_WorkplanDate,$C399,DBRA_PlayerID,$D$3),"")</f>
        <v>0</v>
      </c>
      <c r="T399">
        <f ca="1">IFERROR(SUMIFS(OFFSET(DBRA_TopicCount,0,T$217,DBR_COUNT,1),DBRA_WorkplanDate,$C399,DBRA_PlayerID,$D$3),"")</f>
        <v>0</v>
      </c>
      <c r="U399">
        <f ca="1">IFERROR(SUMIFS(OFFSET(DBRA_TopicCount,0,U$217,DBR_COUNT,1),DBRA_WorkplanDate,$C399,DBRA_PlayerID,$D$3),"")</f>
        <v>0</v>
      </c>
      <c r="V399">
        <f ca="1">IFERROR(SUMIFS(OFFSET(DBRA_TopicCount,0,V$217,DBR_COUNT,1),DBRA_WorkplanDate,$C399,DBRA_PlayerID,$D$3),"")</f>
        <v>0</v>
      </c>
      <c r="W399" s="47"/>
      <c r="X399" t="str">
        <f t="shared" ca="1" si="94"/>
        <v/>
      </c>
      <c r="Y399" t="str">
        <f t="shared" ca="1" si="86"/>
        <v/>
      </c>
      <c r="Z399" t="str">
        <f t="shared" ca="1" si="87"/>
        <v/>
      </c>
      <c r="AA399" t="str">
        <f t="shared" ca="1" si="88"/>
        <v/>
      </c>
      <c r="AB399" t="str">
        <f t="shared" ca="1" si="89"/>
        <v/>
      </c>
      <c r="AC399" t="str">
        <f t="shared" ca="1" si="90"/>
        <v/>
      </c>
      <c r="AD399" t="str">
        <f t="shared" ca="1" si="91"/>
        <v/>
      </c>
      <c r="AE399" t="str">
        <f t="shared" ca="1" si="92"/>
        <v/>
      </c>
      <c r="AF399" t="str">
        <f t="shared" ca="1" si="93"/>
        <v/>
      </c>
      <c r="AG399" s="47"/>
    </row>
    <row r="400" spans="3:33" x14ac:dyDescent="0.25">
      <c r="C400" s="118">
        <f t="shared" si="95"/>
        <v>42186</v>
      </c>
      <c r="D400">
        <f ca="1">IFERROR(SUMIFS(OFFSET(DBRA_TopicHCP,0,D$217,DBR_COUNT,1),DBRA_WorkplanDate,$C400,DBRA_PlayerID,$D$3),"")</f>
        <v>0</v>
      </c>
      <c r="E400">
        <f ca="1">IFERROR(SUMIFS(OFFSET(DBRA_TopicHCP,0,E$217,DBR_COUNT,1),DBRA_WorkplanDate,$C400,DBRA_PlayerID,$D$3),"")</f>
        <v>0</v>
      </c>
      <c r="F400">
        <f ca="1">IFERROR(SUMIFS(OFFSET(DBRA_TopicHCP,0,F$217,DBR_COUNT,1),DBRA_WorkplanDate,$C400,DBRA_PlayerID,$D$3),"")</f>
        <v>0</v>
      </c>
      <c r="G400">
        <f ca="1">IFERROR(SUMIFS(OFFSET(DBRA_TopicHCP,0,G$217,DBR_COUNT,1),DBRA_WorkplanDate,$C400,DBRA_PlayerID,$D$3),"")</f>
        <v>0</v>
      </c>
      <c r="H400">
        <f ca="1">IFERROR(SUMIFS(OFFSET(DBRA_TopicHCP,0,H$217,DBR_COUNT,1),DBRA_WorkplanDate,$C400,DBRA_PlayerID,$D$3),"")</f>
        <v>0</v>
      </c>
      <c r="I400">
        <f ca="1">IFERROR(SUMIFS(OFFSET(DBRA_TopicHCP,0,I$217,DBR_COUNT,1),DBRA_WorkplanDate,$C400,DBRA_PlayerID,$D$3),"")</f>
        <v>0</v>
      </c>
      <c r="J400">
        <f ca="1">IFERROR(SUMIFS(OFFSET(DBRA_TopicHCP,0,J$217,DBR_COUNT,1),DBRA_WorkplanDate,$C400,DBRA_PlayerID,$D$3),"")</f>
        <v>0</v>
      </c>
      <c r="K400">
        <f ca="1">IFERROR(SUMIFS(OFFSET(DBRA_TopicHCP,0,K$217,DBR_COUNT,1),DBRA_WorkplanDate,$C400,DBRA_PlayerID,$D$3),"")</f>
        <v>0</v>
      </c>
      <c r="L400">
        <f ca="1">IFERROR(SUMIFS(OFFSET(DBRA_TopicHCP,0,L$217,DBR_COUNT,1),DBRA_WorkplanDate,$C400,DBRA_PlayerID,$D$3),"")</f>
        <v>0</v>
      </c>
      <c r="M400" s="47"/>
      <c r="N400">
        <f ca="1">IFERROR(SUMIFS(OFFSET(DBRA_TopicCount,0,N$217,DBR_COUNT,1),DBRA_WorkplanDate,$C400,DBRA_PlayerID,$D$3),"")</f>
        <v>0</v>
      </c>
      <c r="O400">
        <f ca="1">IFERROR(SUMIFS(OFFSET(DBRA_TopicCount,0,O$217,DBR_COUNT,1),DBRA_WorkplanDate,$C400,DBRA_PlayerID,$D$3),"")</f>
        <v>0</v>
      </c>
      <c r="P400">
        <f ca="1">IFERROR(SUMIFS(OFFSET(DBRA_TopicCount,0,P$217,DBR_COUNT,1),DBRA_WorkplanDate,$C400,DBRA_PlayerID,$D$3),"")</f>
        <v>0</v>
      </c>
      <c r="Q400">
        <f ca="1">IFERROR(SUMIFS(OFFSET(DBRA_TopicCount,0,Q$217,DBR_COUNT,1),DBRA_WorkplanDate,$C400,DBRA_PlayerID,$D$3),"")</f>
        <v>0</v>
      </c>
      <c r="R400">
        <f ca="1">IFERROR(SUMIFS(OFFSET(DBRA_TopicCount,0,R$217,DBR_COUNT,1),DBRA_WorkplanDate,$C400,DBRA_PlayerID,$D$3),"")</f>
        <v>0</v>
      </c>
      <c r="S400">
        <f ca="1">IFERROR(SUMIFS(OFFSET(DBRA_TopicCount,0,S$217,DBR_COUNT,1),DBRA_WorkplanDate,$C400,DBRA_PlayerID,$D$3),"")</f>
        <v>0</v>
      </c>
      <c r="T400">
        <f ca="1">IFERROR(SUMIFS(OFFSET(DBRA_TopicCount,0,T$217,DBR_COUNT,1),DBRA_WorkplanDate,$C400,DBRA_PlayerID,$D$3),"")</f>
        <v>0</v>
      </c>
      <c r="U400">
        <f ca="1">IFERROR(SUMIFS(OFFSET(DBRA_TopicCount,0,U$217,DBR_COUNT,1),DBRA_WorkplanDate,$C400,DBRA_PlayerID,$D$3),"")</f>
        <v>0</v>
      </c>
      <c r="V400">
        <f ca="1">IFERROR(SUMIFS(OFFSET(DBRA_TopicCount,0,V$217,DBR_COUNT,1),DBRA_WorkplanDate,$C400,DBRA_PlayerID,$D$3),"")</f>
        <v>0</v>
      </c>
      <c r="W400" s="47"/>
      <c r="X400" t="str">
        <f t="shared" ca="1" si="94"/>
        <v/>
      </c>
      <c r="Y400" t="str">
        <f t="shared" ca="1" si="86"/>
        <v/>
      </c>
      <c r="Z400" t="str">
        <f t="shared" ca="1" si="87"/>
        <v/>
      </c>
      <c r="AA400" t="str">
        <f t="shared" ca="1" si="88"/>
        <v/>
      </c>
      <c r="AB400" t="str">
        <f t="shared" ca="1" si="89"/>
        <v/>
      </c>
      <c r="AC400" t="str">
        <f t="shared" ca="1" si="90"/>
        <v/>
      </c>
      <c r="AD400" t="str">
        <f t="shared" ca="1" si="91"/>
        <v/>
      </c>
      <c r="AE400" t="str">
        <f t="shared" ca="1" si="92"/>
        <v/>
      </c>
      <c r="AF400" t="str">
        <f t="shared" ca="1" si="93"/>
        <v/>
      </c>
      <c r="AG400" s="47"/>
    </row>
    <row r="401" spans="3:33" x14ac:dyDescent="0.25">
      <c r="C401" s="118">
        <f t="shared" si="95"/>
        <v>42187</v>
      </c>
      <c r="D401">
        <f ca="1">IFERROR(SUMIFS(OFFSET(DBRA_TopicHCP,0,D$217,DBR_COUNT,1),DBRA_WorkplanDate,$C401,DBRA_PlayerID,$D$3),"")</f>
        <v>0</v>
      </c>
      <c r="E401">
        <f ca="1">IFERROR(SUMIFS(OFFSET(DBRA_TopicHCP,0,E$217,DBR_COUNT,1),DBRA_WorkplanDate,$C401,DBRA_PlayerID,$D$3),"")</f>
        <v>0</v>
      </c>
      <c r="F401">
        <f ca="1">IFERROR(SUMIFS(OFFSET(DBRA_TopicHCP,0,F$217,DBR_COUNT,1),DBRA_WorkplanDate,$C401,DBRA_PlayerID,$D$3),"")</f>
        <v>0</v>
      </c>
      <c r="G401">
        <f ca="1">IFERROR(SUMIFS(OFFSET(DBRA_TopicHCP,0,G$217,DBR_COUNT,1),DBRA_WorkplanDate,$C401,DBRA_PlayerID,$D$3),"")</f>
        <v>0</v>
      </c>
      <c r="H401">
        <f ca="1">IFERROR(SUMIFS(OFFSET(DBRA_TopicHCP,0,H$217,DBR_COUNT,1),DBRA_WorkplanDate,$C401,DBRA_PlayerID,$D$3),"")</f>
        <v>0</v>
      </c>
      <c r="I401">
        <f ca="1">IFERROR(SUMIFS(OFFSET(DBRA_TopicHCP,0,I$217,DBR_COUNT,1),DBRA_WorkplanDate,$C401,DBRA_PlayerID,$D$3),"")</f>
        <v>0</v>
      </c>
      <c r="J401">
        <f ca="1">IFERROR(SUMIFS(OFFSET(DBRA_TopicHCP,0,J$217,DBR_COUNT,1),DBRA_WorkplanDate,$C401,DBRA_PlayerID,$D$3),"")</f>
        <v>0</v>
      </c>
      <c r="K401">
        <f ca="1">IFERROR(SUMIFS(OFFSET(DBRA_TopicHCP,0,K$217,DBR_COUNT,1),DBRA_WorkplanDate,$C401,DBRA_PlayerID,$D$3),"")</f>
        <v>0</v>
      </c>
      <c r="L401">
        <f ca="1">IFERROR(SUMIFS(OFFSET(DBRA_TopicHCP,0,L$217,DBR_COUNT,1),DBRA_WorkplanDate,$C401,DBRA_PlayerID,$D$3),"")</f>
        <v>0</v>
      </c>
      <c r="M401" s="47"/>
      <c r="N401">
        <f ca="1">IFERROR(SUMIFS(OFFSET(DBRA_TopicCount,0,N$217,DBR_COUNT,1),DBRA_WorkplanDate,$C401,DBRA_PlayerID,$D$3),"")</f>
        <v>0</v>
      </c>
      <c r="O401">
        <f ca="1">IFERROR(SUMIFS(OFFSET(DBRA_TopicCount,0,O$217,DBR_COUNT,1),DBRA_WorkplanDate,$C401,DBRA_PlayerID,$D$3),"")</f>
        <v>0</v>
      </c>
      <c r="P401">
        <f ca="1">IFERROR(SUMIFS(OFFSET(DBRA_TopicCount,0,P$217,DBR_COUNT,1),DBRA_WorkplanDate,$C401,DBRA_PlayerID,$D$3),"")</f>
        <v>0</v>
      </c>
      <c r="Q401">
        <f ca="1">IFERROR(SUMIFS(OFFSET(DBRA_TopicCount,0,Q$217,DBR_COUNT,1),DBRA_WorkplanDate,$C401,DBRA_PlayerID,$D$3),"")</f>
        <v>0</v>
      </c>
      <c r="R401">
        <f ca="1">IFERROR(SUMIFS(OFFSET(DBRA_TopicCount,0,R$217,DBR_COUNT,1),DBRA_WorkplanDate,$C401,DBRA_PlayerID,$D$3),"")</f>
        <v>0</v>
      </c>
      <c r="S401">
        <f ca="1">IFERROR(SUMIFS(OFFSET(DBRA_TopicCount,0,S$217,DBR_COUNT,1),DBRA_WorkplanDate,$C401,DBRA_PlayerID,$D$3),"")</f>
        <v>0</v>
      </c>
      <c r="T401">
        <f ca="1">IFERROR(SUMIFS(OFFSET(DBRA_TopicCount,0,T$217,DBR_COUNT,1),DBRA_WorkplanDate,$C401,DBRA_PlayerID,$D$3),"")</f>
        <v>0</v>
      </c>
      <c r="U401">
        <f ca="1">IFERROR(SUMIFS(OFFSET(DBRA_TopicCount,0,U$217,DBR_COUNT,1),DBRA_WorkplanDate,$C401,DBRA_PlayerID,$D$3),"")</f>
        <v>0</v>
      </c>
      <c r="V401">
        <f ca="1">IFERROR(SUMIFS(OFFSET(DBRA_TopicCount,0,V$217,DBR_COUNT,1),DBRA_WorkplanDate,$C401,DBRA_PlayerID,$D$3),"")</f>
        <v>0</v>
      </c>
      <c r="W401" s="47"/>
      <c r="X401" t="str">
        <f t="shared" ca="1" si="94"/>
        <v/>
      </c>
      <c r="Y401" t="str">
        <f t="shared" ca="1" si="86"/>
        <v/>
      </c>
      <c r="Z401" t="str">
        <f t="shared" ca="1" si="87"/>
        <v/>
      </c>
      <c r="AA401" t="str">
        <f t="shared" ca="1" si="88"/>
        <v/>
      </c>
      <c r="AB401" t="str">
        <f t="shared" ca="1" si="89"/>
        <v/>
      </c>
      <c r="AC401" t="str">
        <f t="shared" ca="1" si="90"/>
        <v/>
      </c>
      <c r="AD401" t="str">
        <f t="shared" ca="1" si="91"/>
        <v/>
      </c>
      <c r="AE401" t="str">
        <f t="shared" ca="1" si="92"/>
        <v/>
      </c>
      <c r="AF401" t="str">
        <f t="shared" ca="1" si="93"/>
        <v/>
      </c>
      <c r="AG401" s="47"/>
    </row>
    <row r="402" spans="3:33" x14ac:dyDescent="0.25">
      <c r="C402" s="118">
        <f t="shared" si="95"/>
        <v>42188</v>
      </c>
      <c r="D402">
        <f ca="1">IFERROR(SUMIFS(OFFSET(DBRA_TopicHCP,0,D$217,DBR_COUNT,1),DBRA_WorkplanDate,$C402,DBRA_PlayerID,$D$3),"")</f>
        <v>0</v>
      </c>
      <c r="E402">
        <f ca="1">IFERROR(SUMIFS(OFFSET(DBRA_TopicHCP,0,E$217,DBR_COUNT,1),DBRA_WorkplanDate,$C402,DBRA_PlayerID,$D$3),"")</f>
        <v>0</v>
      </c>
      <c r="F402">
        <f ca="1">IFERROR(SUMIFS(OFFSET(DBRA_TopicHCP,0,F$217,DBR_COUNT,1),DBRA_WorkplanDate,$C402,DBRA_PlayerID,$D$3),"")</f>
        <v>0</v>
      </c>
      <c r="G402">
        <f ca="1">IFERROR(SUMIFS(OFFSET(DBRA_TopicHCP,0,G$217,DBR_COUNT,1),DBRA_WorkplanDate,$C402,DBRA_PlayerID,$D$3),"")</f>
        <v>0</v>
      </c>
      <c r="H402">
        <f ca="1">IFERROR(SUMIFS(OFFSET(DBRA_TopicHCP,0,H$217,DBR_COUNT,1),DBRA_WorkplanDate,$C402,DBRA_PlayerID,$D$3),"")</f>
        <v>0</v>
      </c>
      <c r="I402">
        <f ca="1">IFERROR(SUMIFS(OFFSET(DBRA_TopicHCP,0,I$217,DBR_COUNT,1),DBRA_WorkplanDate,$C402,DBRA_PlayerID,$D$3),"")</f>
        <v>0</v>
      </c>
      <c r="J402">
        <f ca="1">IFERROR(SUMIFS(OFFSET(DBRA_TopicHCP,0,J$217,DBR_COUNT,1),DBRA_WorkplanDate,$C402,DBRA_PlayerID,$D$3),"")</f>
        <v>0</v>
      </c>
      <c r="K402">
        <f ca="1">IFERROR(SUMIFS(OFFSET(DBRA_TopicHCP,0,K$217,DBR_COUNT,1),DBRA_WorkplanDate,$C402,DBRA_PlayerID,$D$3),"")</f>
        <v>0</v>
      </c>
      <c r="L402">
        <f ca="1">IFERROR(SUMIFS(OFFSET(DBRA_TopicHCP,0,L$217,DBR_COUNT,1),DBRA_WorkplanDate,$C402,DBRA_PlayerID,$D$3),"")</f>
        <v>0</v>
      </c>
      <c r="M402" s="47"/>
      <c r="N402">
        <f ca="1">IFERROR(SUMIFS(OFFSET(DBRA_TopicCount,0,N$217,DBR_COUNT,1),DBRA_WorkplanDate,$C402,DBRA_PlayerID,$D$3),"")</f>
        <v>0</v>
      </c>
      <c r="O402">
        <f ca="1">IFERROR(SUMIFS(OFFSET(DBRA_TopicCount,0,O$217,DBR_COUNT,1),DBRA_WorkplanDate,$C402,DBRA_PlayerID,$D$3),"")</f>
        <v>0</v>
      </c>
      <c r="P402">
        <f ca="1">IFERROR(SUMIFS(OFFSET(DBRA_TopicCount,0,P$217,DBR_COUNT,1),DBRA_WorkplanDate,$C402,DBRA_PlayerID,$D$3),"")</f>
        <v>0</v>
      </c>
      <c r="Q402">
        <f ca="1">IFERROR(SUMIFS(OFFSET(DBRA_TopicCount,0,Q$217,DBR_COUNT,1),DBRA_WorkplanDate,$C402,DBRA_PlayerID,$D$3),"")</f>
        <v>0</v>
      </c>
      <c r="R402">
        <f ca="1">IFERROR(SUMIFS(OFFSET(DBRA_TopicCount,0,R$217,DBR_COUNT,1),DBRA_WorkplanDate,$C402,DBRA_PlayerID,$D$3),"")</f>
        <v>0</v>
      </c>
      <c r="S402">
        <f ca="1">IFERROR(SUMIFS(OFFSET(DBRA_TopicCount,0,S$217,DBR_COUNT,1),DBRA_WorkplanDate,$C402,DBRA_PlayerID,$D$3),"")</f>
        <v>0</v>
      </c>
      <c r="T402">
        <f ca="1">IFERROR(SUMIFS(OFFSET(DBRA_TopicCount,0,T$217,DBR_COUNT,1),DBRA_WorkplanDate,$C402,DBRA_PlayerID,$D$3),"")</f>
        <v>0</v>
      </c>
      <c r="U402">
        <f ca="1">IFERROR(SUMIFS(OFFSET(DBRA_TopicCount,0,U$217,DBR_COUNT,1),DBRA_WorkplanDate,$C402,DBRA_PlayerID,$D$3),"")</f>
        <v>0</v>
      </c>
      <c r="V402">
        <f ca="1">IFERROR(SUMIFS(OFFSET(DBRA_TopicCount,0,V$217,DBR_COUNT,1),DBRA_WorkplanDate,$C402,DBRA_PlayerID,$D$3),"")</f>
        <v>0</v>
      </c>
      <c r="W402" s="47"/>
      <c r="X402" t="str">
        <f t="shared" ca="1" si="94"/>
        <v/>
      </c>
      <c r="Y402" t="str">
        <f t="shared" ca="1" si="86"/>
        <v/>
      </c>
      <c r="Z402" t="str">
        <f t="shared" ca="1" si="87"/>
        <v/>
      </c>
      <c r="AA402" t="str">
        <f t="shared" ca="1" si="88"/>
        <v/>
      </c>
      <c r="AB402" t="str">
        <f t="shared" ca="1" si="89"/>
        <v/>
      </c>
      <c r="AC402" t="str">
        <f t="shared" ca="1" si="90"/>
        <v/>
      </c>
      <c r="AD402" t="str">
        <f t="shared" ca="1" si="91"/>
        <v/>
      </c>
      <c r="AE402" t="str">
        <f t="shared" ca="1" si="92"/>
        <v/>
      </c>
      <c r="AF402" t="str">
        <f t="shared" ca="1" si="93"/>
        <v/>
      </c>
      <c r="AG402" s="47"/>
    </row>
    <row r="403" spans="3:33" x14ac:dyDescent="0.25">
      <c r="C403" s="118">
        <f t="shared" si="95"/>
        <v>42189</v>
      </c>
      <c r="D403">
        <f ca="1">IFERROR(SUMIFS(OFFSET(DBRA_TopicHCP,0,D$217,DBR_COUNT,1),DBRA_WorkplanDate,$C403,DBRA_PlayerID,$D$3),"")</f>
        <v>0</v>
      </c>
      <c r="E403">
        <f ca="1">IFERROR(SUMIFS(OFFSET(DBRA_TopicHCP,0,E$217,DBR_COUNT,1),DBRA_WorkplanDate,$C403,DBRA_PlayerID,$D$3),"")</f>
        <v>0</v>
      </c>
      <c r="F403">
        <f ca="1">IFERROR(SUMIFS(OFFSET(DBRA_TopicHCP,0,F$217,DBR_COUNT,1),DBRA_WorkplanDate,$C403,DBRA_PlayerID,$D$3),"")</f>
        <v>0</v>
      </c>
      <c r="G403">
        <f ca="1">IFERROR(SUMIFS(OFFSET(DBRA_TopicHCP,0,G$217,DBR_COUNT,1),DBRA_WorkplanDate,$C403,DBRA_PlayerID,$D$3),"")</f>
        <v>0</v>
      </c>
      <c r="H403">
        <f ca="1">IFERROR(SUMIFS(OFFSET(DBRA_TopicHCP,0,H$217,DBR_COUNT,1),DBRA_WorkplanDate,$C403,DBRA_PlayerID,$D$3),"")</f>
        <v>0</v>
      </c>
      <c r="I403">
        <f ca="1">IFERROR(SUMIFS(OFFSET(DBRA_TopicHCP,0,I$217,DBR_COUNT,1),DBRA_WorkplanDate,$C403,DBRA_PlayerID,$D$3),"")</f>
        <v>0</v>
      </c>
      <c r="J403">
        <f ca="1">IFERROR(SUMIFS(OFFSET(DBRA_TopicHCP,0,J$217,DBR_COUNT,1),DBRA_WorkplanDate,$C403,DBRA_PlayerID,$D$3),"")</f>
        <v>0</v>
      </c>
      <c r="K403">
        <f ca="1">IFERROR(SUMIFS(OFFSET(DBRA_TopicHCP,0,K$217,DBR_COUNT,1),DBRA_WorkplanDate,$C403,DBRA_PlayerID,$D$3),"")</f>
        <v>0</v>
      </c>
      <c r="L403">
        <f ca="1">IFERROR(SUMIFS(OFFSET(DBRA_TopicHCP,0,L$217,DBR_COUNT,1),DBRA_WorkplanDate,$C403,DBRA_PlayerID,$D$3),"")</f>
        <v>0</v>
      </c>
      <c r="M403" s="47"/>
      <c r="N403">
        <f ca="1">IFERROR(SUMIFS(OFFSET(DBRA_TopicCount,0,N$217,DBR_COUNT,1),DBRA_WorkplanDate,$C403,DBRA_PlayerID,$D$3),"")</f>
        <v>0</v>
      </c>
      <c r="O403">
        <f ca="1">IFERROR(SUMIFS(OFFSET(DBRA_TopicCount,0,O$217,DBR_COUNT,1),DBRA_WorkplanDate,$C403,DBRA_PlayerID,$D$3),"")</f>
        <v>0</v>
      </c>
      <c r="P403">
        <f ca="1">IFERROR(SUMIFS(OFFSET(DBRA_TopicCount,0,P$217,DBR_COUNT,1),DBRA_WorkplanDate,$C403,DBRA_PlayerID,$D$3),"")</f>
        <v>0</v>
      </c>
      <c r="Q403">
        <f ca="1">IFERROR(SUMIFS(OFFSET(DBRA_TopicCount,0,Q$217,DBR_COUNT,1),DBRA_WorkplanDate,$C403,DBRA_PlayerID,$D$3),"")</f>
        <v>0</v>
      </c>
      <c r="R403">
        <f ca="1">IFERROR(SUMIFS(OFFSET(DBRA_TopicCount,0,R$217,DBR_COUNT,1),DBRA_WorkplanDate,$C403,DBRA_PlayerID,$D$3),"")</f>
        <v>0</v>
      </c>
      <c r="S403">
        <f ca="1">IFERROR(SUMIFS(OFFSET(DBRA_TopicCount,0,S$217,DBR_COUNT,1),DBRA_WorkplanDate,$C403,DBRA_PlayerID,$D$3),"")</f>
        <v>0</v>
      </c>
      <c r="T403">
        <f ca="1">IFERROR(SUMIFS(OFFSET(DBRA_TopicCount,0,T$217,DBR_COUNT,1),DBRA_WorkplanDate,$C403,DBRA_PlayerID,$D$3),"")</f>
        <v>0</v>
      </c>
      <c r="U403">
        <f ca="1">IFERROR(SUMIFS(OFFSET(DBRA_TopicCount,0,U$217,DBR_COUNT,1),DBRA_WorkplanDate,$C403,DBRA_PlayerID,$D$3),"")</f>
        <v>0</v>
      </c>
      <c r="V403">
        <f ca="1">IFERROR(SUMIFS(OFFSET(DBRA_TopicCount,0,V$217,DBR_COUNT,1),DBRA_WorkplanDate,$C403,DBRA_PlayerID,$D$3),"")</f>
        <v>0</v>
      </c>
      <c r="W403" s="47"/>
      <c r="X403" t="str">
        <f t="shared" ca="1" si="94"/>
        <v/>
      </c>
      <c r="Y403" t="str">
        <f t="shared" ca="1" si="86"/>
        <v/>
      </c>
      <c r="Z403" t="str">
        <f t="shared" ca="1" si="87"/>
        <v/>
      </c>
      <c r="AA403" t="str">
        <f t="shared" ca="1" si="88"/>
        <v/>
      </c>
      <c r="AB403" t="str">
        <f t="shared" ca="1" si="89"/>
        <v/>
      </c>
      <c r="AC403" t="str">
        <f t="shared" ca="1" si="90"/>
        <v/>
      </c>
      <c r="AD403" t="str">
        <f t="shared" ca="1" si="91"/>
        <v/>
      </c>
      <c r="AE403" t="str">
        <f t="shared" ca="1" si="92"/>
        <v/>
      </c>
      <c r="AF403" t="str">
        <f t="shared" ca="1" si="93"/>
        <v/>
      </c>
      <c r="AG403" s="47"/>
    </row>
    <row r="404" spans="3:33" x14ac:dyDescent="0.25">
      <c r="C404" s="118">
        <f t="shared" si="95"/>
        <v>42190</v>
      </c>
      <c r="D404">
        <f ca="1">IFERROR(SUMIFS(OFFSET(DBRA_TopicHCP,0,D$217,DBR_COUNT,1),DBRA_WorkplanDate,$C404,DBRA_PlayerID,$D$3),"")</f>
        <v>0</v>
      </c>
      <c r="E404">
        <f ca="1">IFERROR(SUMIFS(OFFSET(DBRA_TopicHCP,0,E$217,DBR_COUNT,1),DBRA_WorkplanDate,$C404,DBRA_PlayerID,$D$3),"")</f>
        <v>0</v>
      </c>
      <c r="F404">
        <f ca="1">IFERROR(SUMIFS(OFFSET(DBRA_TopicHCP,0,F$217,DBR_COUNT,1),DBRA_WorkplanDate,$C404,DBRA_PlayerID,$D$3),"")</f>
        <v>0</v>
      </c>
      <c r="G404">
        <f ca="1">IFERROR(SUMIFS(OFFSET(DBRA_TopicHCP,0,G$217,DBR_COUNT,1),DBRA_WorkplanDate,$C404,DBRA_PlayerID,$D$3),"")</f>
        <v>0</v>
      </c>
      <c r="H404">
        <f ca="1">IFERROR(SUMIFS(OFFSET(DBRA_TopicHCP,0,H$217,DBR_COUNT,1),DBRA_WorkplanDate,$C404,DBRA_PlayerID,$D$3),"")</f>
        <v>0</v>
      </c>
      <c r="I404">
        <f ca="1">IFERROR(SUMIFS(OFFSET(DBRA_TopicHCP,0,I$217,DBR_COUNT,1),DBRA_WorkplanDate,$C404,DBRA_PlayerID,$D$3),"")</f>
        <v>0</v>
      </c>
      <c r="J404">
        <f ca="1">IFERROR(SUMIFS(OFFSET(DBRA_TopicHCP,0,J$217,DBR_COUNT,1),DBRA_WorkplanDate,$C404,DBRA_PlayerID,$D$3),"")</f>
        <v>0</v>
      </c>
      <c r="K404">
        <f ca="1">IFERROR(SUMIFS(OFFSET(DBRA_TopicHCP,0,K$217,DBR_COUNT,1),DBRA_WorkplanDate,$C404,DBRA_PlayerID,$D$3),"")</f>
        <v>0</v>
      </c>
      <c r="L404">
        <f ca="1">IFERROR(SUMIFS(OFFSET(DBRA_TopicHCP,0,L$217,DBR_COUNT,1),DBRA_WorkplanDate,$C404,DBRA_PlayerID,$D$3),"")</f>
        <v>0</v>
      </c>
      <c r="M404" s="47"/>
      <c r="N404">
        <f ca="1">IFERROR(SUMIFS(OFFSET(DBRA_TopicCount,0,N$217,DBR_COUNT,1),DBRA_WorkplanDate,$C404,DBRA_PlayerID,$D$3),"")</f>
        <v>0</v>
      </c>
      <c r="O404">
        <f ca="1">IFERROR(SUMIFS(OFFSET(DBRA_TopicCount,0,O$217,DBR_COUNT,1),DBRA_WorkplanDate,$C404,DBRA_PlayerID,$D$3),"")</f>
        <v>0</v>
      </c>
      <c r="P404">
        <f ca="1">IFERROR(SUMIFS(OFFSET(DBRA_TopicCount,0,P$217,DBR_COUNT,1),DBRA_WorkplanDate,$C404,DBRA_PlayerID,$D$3),"")</f>
        <v>0</v>
      </c>
      <c r="Q404">
        <f ca="1">IFERROR(SUMIFS(OFFSET(DBRA_TopicCount,0,Q$217,DBR_COUNT,1),DBRA_WorkplanDate,$C404,DBRA_PlayerID,$D$3),"")</f>
        <v>0</v>
      </c>
      <c r="R404">
        <f ca="1">IFERROR(SUMIFS(OFFSET(DBRA_TopicCount,0,R$217,DBR_COUNT,1),DBRA_WorkplanDate,$C404,DBRA_PlayerID,$D$3),"")</f>
        <v>0</v>
      </c>
      <c r="S404">
        <f ca="1">IFERROR(SUMIFS(OFFSET(DBRA_TopicCount,0,S$217,DBR_COUNT,1),DBRA_WorkplanDate,$C404,DBRA_PlayerID,$D$3),"")</f>
        <v>0</v>
      </c>
      <c r="T404">
        <f ca="1">IFERROR(SUMIFS(OFFSET(DBRA_TopicCount,0,T$217,DBR_COUNT,1),DBRA_WorkplanDate,$C404,DBRA_PlayerID,$D$3),"")</f>
        <v>0</v>
      </c>
      <c r="U404">
        <f ca="1">IFERROR(SUMIFS(OFFSET(DBRA_TopicCount,0,U$217,DBR_COUNT,1),DBRA_WorkplanDate,$C404,DBRA_PlayerID,$D$3),"")</f>
        <v>0</v>
      </c>
      <c r="V404">
        <f ca="1">IFERROR(SUMIFS(OFFSET(DBRA_TopicCount,0,V$217,DBR_COUNT,1),DBRA_WorkplanDate,$C404,DBRA_PlayerID,$D$3),"")</f>
        <v>0</v>
      </c>
      <c r="W404" s="47"/>
      <c r="X404" t="str">
        <f t="shared" ca="1" si="94"/>
        <v/>
      </c>
      <c r="Y404" t="str">
        <f t="shared" ca="1" si="86"/>
        <v/>
      </c>
      <c r="Z404" t="str">
        <f t="shared" ca="1" si="87"/>
        <v/>
      </c>
      <c r="AA404" t="str">
        <f t="shared" ca="1" si="88"/>
        <v/>
      </c>
      <c r="AB404" t="str">
        <f t="shared" ca="1" si="89"/>
        <v/>
      </c>
      <c r="AC404" t="str">
        <f t="shared" ca="1" si="90"/>
        <v/>
      </c>
      <c r="AD404" t="str">
        <f t="shared" ca="1" si="91"/>
        <v/>
      </c>
      <c r="AE404" t="str">
        <f t="shared" ca="1" si="92"/>
        <v/>
      </c>
      <c r="AF404" t="str">
        <f t="shared" ca="1" si="93"/>
        <v/>
      </c>
      <c r="AG404" s="47"/>
    </row>
    <row r="405" spans="3:33" x14ac:dyDescent="0.25">
      <c r="C405" s="118">
        <f t="shared" si="95"/>
        <v>42191</v>
      </c>
      <c r="D405">
        <f ca="1">IFERROR(SUMIFS(OFFSET(DBRA_TopicHCP,0,D$217,DBR_COUNT,1),DBRA_WorkplanDate,$C405,DBRA_PlayerID,$D$3),"")</f>
        <v>0</v>
      </c>
      <c r="E405">
        <f ca="1">IFERROR(SUMIFS(OFFSET(DBRA_TopicHCP,0,E$217,DBR_COUNT,1),DBRA_WorkplanDate,$C405,DBRA_PlayerID,$D$3),"")</f>
        <v>0</v>
      </c>
      <c r="F405">
        <f ca="1">IFERROR(SUMIFS(OFFSET(DBRA_TopicHCP,0,F$217,DBR_COUNT,1),DBRA_WorkplanDate,$C405,DBRA_PlayerID,$D$3),"")</f>
        <v>0</v>
      </c>
      <c r="G405">
        <f ca="1">IFERROR(SUMIFS(OFFSET(DBRA_TopicHCP,0,G$217,DBR_COUNT,1),DBRA_WorkplanDate,$C405,DBRA_PlayerID,$D$3),"")</f>
        <v>0</v>
      </c>
      <c r="H405">
        <f ca="1">IFERROR(SUMIFS(OFFSET(DBRA_TopicHCP,0,H$217,DBR_COUNT,1),DBRA_WorkplanDate,$C405,DBRA_PlayerID,$D$3),"")</f>
        <v>0</v>
      </c>
      <c r="I405">
        <f ca="1">IFERROR(SUMIFS(OFFSET(DBRA_TopicHCP,0,I$217,DBR_COUNT,1),DBRA_WorkplanDate,$C405,DBRA_PlayerID,$D$3),"")</f>
        <v>0</v>
      </c>
      <c r="J405">
        <f ca="1">IFERROR(SUMIFS(OFFSET(DBRA_TopicHCP,0,J$217,DBR_COUNT,1),DBRA_WorkplanDate,$C405,DBRA_PlayerID,$D$3),"")</f>
        <v>0</v>
      </c>
      <c r="K405">
        <f ca="1">IFERROR(SUMIFS(OFFSET(DBRA_TopicHCP,0,K$217,DBR_COUNT,1),DBRA_WorkplanDate,$C405,DBRA_PlayerID,$D$3),"")</f>
        <v>0</v>
      </c>
      <c r="L405">
        <f ca="1">IFERROR(SUMIFS(OFFSET(DBRA_TopicHCP,0,L$217,DBR_COUNT,1),DBRA_WorkplanDate,$C405,DBRA_PlayerID,$D$3),"")</f>
        <v>0</v>
      </c>
      <c r="M405" s="47"/>
      <c r="N405">
        <f ca="1">IFERROR(SUMIFS(OFFSET(DBRA_TopicCount,0,N$217,DBR_COUNT,1),DBRA_WorkplanDate,$C405,DBRA_PlayerID,$D$3),"")</f>
        <v>0</v>
      </c>
      <c r="O405">
        <f ca="1">IFERROR(SUMIFS(OFFSET(DBRA_TopicCount,0,O$217,DBR_COUNT,1),DBRA_WorkplanDate,$C405,DBRA_PlayerID,$D$3),"")</f>
        <v>0</v>
      </c>
      <c r="P405">
        <f ca="1">IFERROR(SUMIFS(OFFSET(DBRA_TopicCount,0,P$217,DBR_COUNT,1),DBRA_WorkplanDate,$C405,DBRA_PlayerID,$D$3),"")</f>
        <v>0</v>
      </c>
      <c r="Q405">
        <f ca="1">IFERROR(SUMIFS(OFFSET(DBRA_TopicCount,0,Q$217,DBR_COUNT,1),DBRA_WorkplanDate,$C405,DBRA_PlayerID,$D$3),"")</f>
        <v>0</v>
      </c>
      <c r="R405">
        <f ca="1">IFERROR(SUMIFS(OFFSET(DBRA_TopicCount,0,R$217,DBR_COUNT,1),DBRA_WorkplanDate,$C405,DBRA_PlayerID,$D$3),"")</f>
        <v>0</v>
      </c>
      <c r="S405">
        <f ca="1">IFERROR(SUMIFS(OFFSET(DBRA_TopicCount,0,S$217,DBR_COUNT,1),DBRA_WorkplanDate,$C405,DBRA_PlayerID,$D$3),"")</f>
        <v>0</v>
      </c>
      <c r="T405">
        <f ca="1">IFERROR(SUMIFS(OFFSET(DBRA_TopicCount,0,T$217,DBR_COUNT,1),DBRA_WorkplanDate,$C405,DBRA_PlayerID,$D$3),"")</f>
        <v>0</v>
      </c>
      <c r="U405">
        <f ca="1">IFERROR(SUMIFS(OFFSET(DBRA_TopicCount,0,U$217,DBR_COUNT,1),DBRA_WorkplanDate,$C405,DBRA_PlayerID,$D$3),"")</f>
        <v>0</v>
      </c>
      <c r="V405">
        <f ca="1">IFERROR(SUMIFS(OFFSET(DBRA_TopicCount,0,V$217,DBR_COUNT,1),DBRA_WorkplanDate,$C405,DBRA_PlayerID,$D$3),"")</f>
        <v>0</v>
      </c>
      <c r="W405" s="47"/>
      <c r="X405" t="str">
        <f t="shared" ca="1" si="94"/>
        <v/>
      </c>
      <c r="Y405" t="str">
        <f t="shared" ca="1" si="86"/>
        <v/>
      </c>
      <c r="Z405" t="str">
        <f t="shared" ca="1" si="87"/>
        <v/>
      </c>
      <c r="AA405" t="str">
        <f t="shared" ca="1" si="88"/>
        <v/>
      </c>
      <c r="AB405" t="str">
        <f t="shared" ca="1" si="89"/>
        <v/>
      </c>
      <c r="AC405" t="str">
        <f t="shared" ca="1" si="90"/>
        <v/>
      </c>
      <c r="AD405" t="str">
        <f t="shared" ca="1" si="91"/>
        <v/>
      </c>
      <c r="AE405" t="str">
        <f t="shared" ca="1" si="92"/>
        <v/>
      </c>
      <c r="AF405" t="str">
        <f t="shared" ca="1" si="93"/>
        <v/>
      </c>
      <c r="AG405" s="47"/>
    </row>
    <row r="406" spans="3:33" x14ac:dyDescent="0.25">
      <c r="C406" s="118">
        <f t="shared" si="95"/>
        <v>42192</v>
      </c>
      <c r="D406">
        <f ca="1">IFERROR(SUMIFS(OFFSET(DBRA_TopicHCP,0,D$217,DBR_COUNT,1),DBRA_WorkplanDate,$C406,DBRA_PlayerID,$D$3),"")</f>
        <v>0</v>
      </c>
      <c r="E406">
        <f ca="1">IFERROR(SUMIFS(OFFSET(DBRA_TopicHCP,0,E$217,DBR_COUNT,1),DBRA_WorkplanDate,$C406,DBRA_PlayerID,$D$3),"")</f>
        <v>0</v>
      </c>
      <c r="F406">
        <f ca="1">IFERROR(SUMIFS(OFFSET(DBRA_TopicHCP,0,F$217,DBR_COUNT,1),DBRA_WorkplanDate,$C406,DBRA_PlayerID,$D$3),"")</f>
        <v>0</v>
      </c>
      <c r="G406">
        <f ca="1">IFERROR(SUMIFS(OFFSET(DBRA_TopicHCP,0,G$217,DBR_COUNT,1),DBRA_WorkplanDate,$C406,DBRA_PlayerID,$D$3),"")</f>
        <v>0</v>
      </c>
      <c r="H406">
        <f ca="1">IFERROR(SUMIFS(OFFSET(DBRA_TopicHCP,0,H$217,DBR_COUNT,1),DBRA_WorkplanDate,$C406,DBRA_PlayerID,$D$3),"")</f>
        <v>0</v>
      </c>
      <c r="I406">
        <f ca="1">IFERROR(SUMIFS(OFFSET(DBRA_TopicHCP,0,I$217,DBR_COUNT,1),DBRA_WorkplanDate,$C406,DBRA_PlayerID,$D$3),"")</f>
        <v>0</v>
      </c>
      <c r="J406">
        <f ca="1">IFERROR(SUMIFS(OFFSET(DBRA_TopicHCP,0,J$217,DBR_COUNT,1),DBRA_WorkplanDate,$C406,DBRA_PlayerID,$D$3),"")</f>
        <v>0</v>
      </c>
      <c r="K406">
        <f ca="1">IFERROR(SUMIFS(OFFSET(DBRA_TopicHCP,0,K$217,DBR_COUNT,1),DBRA_WorkplanDate,$C406,DBRA_PlayerID,$D$3),"")</f>
        <v>0</v>
      </c>
      <c r="L406">
        <f ca="1">IFERROR(SUMIFS(OFFSET(DBRA_TopicHCP,0,L$217,DBR_COUNT,1),DBRA_WorkplanDate,$C406,DBRA_PlayerID,$D$3),"")</f>
        <v>0</v>
      </c>
      <c r="M406" s="47"/>
      <c r="N406">
        <f ca="1">IFERROR(SUMIFS(OFFSET(DBRA_TopicCount,0,N$217,DBR_COUNT,1),DBRA_WorkplanDate,$C406,DBRA_PlayerID,$D$3),"")</f>
        <v>0</v>
      </c>
      <c r="O406">
        <f ca="1">IFERROR(SUMIFS(OFFSET(DBRA_TopicCount,0,O$217,DBR_COUNT,1),DBRA_WorkplanDate,$C406,DBRA_PlayerID,$D$3),"")</f>
        <v>0</v>
      </c>
      <c r="P406">
        <f ca="1">IFERROR(SUMIFS(OFFSET(DBRA_TopicCount,0,P$217,DBR_COUNT,1),DBRA_WorkplanDate,$C406,DBRA_PlayerID,$D$3),"")</f>
        <v>0</v>
      </c>
      <c r="Q406">
        <f ca="1">IFERROR(SUMIFS(OFFSET(DBRA_TopicCount,0,Q$217,DBR_COUNT,1),DBRA_WorkplanDate,$C406,DBRA_PlayerID,$D$3),"")</f>
        <v>0</v>
      </c>
      <c r="R406">
        <f ca="1">IFERROR(SUMIFS(OFFSET(DBRA_TopicCount,0,R$217,DBR_COUNT,1),DBRA_WorkplanDate,$C406,DBRA_PlayerID,$D$3),"")</f>
        <v>0</v>
      </c>
      <c r="S406">
        <f ca="1">IFERROR(SUMIFS(OFFSET(DBRA_TopicCount,0,S$217,DBR_COUNT,1),DBRA_WorkplanDate,$C406,DBRA_PlayerID,$D$3),"")</f>
        <v>0</v>
      </c>
      <c r="T406">
        <f ca="1">IFERROR(SUMIFS(OFFSET(DBRA_TopicCount,0,T$217,DBR_COUNT,1),DBRA_WorkplanDate,$C406,DBRA_PlayerID,$D$3),"")</f>
        <v>0</v>
      </c>
      <c r="U406">
        <f ca="1">IFERROR(SUMIFS(OFFSET(DBRA_TopicCount,0,U$217,DBR_COUNT,1),DBRA_WorkplanDate,$C406,DBRA_PlayerID,$D$3),"")</f>
        <v>0</v>
      </c>
      <c r="V406">
        <f ca="1">IFERROR(SUMIFS(OFFSET(DBRA_TopicCount,0,V$217,DBR_COUNT,1),DBRA_WorkplanDate,$C406,DBRA_PlayerID,$D$3),"")</f>
        <v>0</v>
      </c>
      <c r="W406" s="47"/>
      <c r="X406" t="str">
        <f t="shared" ca="1" si="94"/>
        <v/>
      </c>
      <c r="Y406" t="str">
        <f t="shared" ca="1" si="86"/>
        <v/>
      </c>
      <c r="Z406" t="str">
        <f t="shared" ca="1" si="87"/>
        <v/>
      </c>
      <c r="AA406" t="str">
        <f t="shared" ca="1" si="88"/>
        <v/>
      </c>
      <c r="AB406" t="str">
        <f t="shared" ca="1" si="89"/>
        <v/>
      </c>
      <c r="AC406" t="str">
        <f t="shared" ca="1" si="90"/>
        <v/>
      </c>
      <c r="AD406" t="str">
        <f t="shared" ca="1" si="91"/>
        <v/>
      </c>
      <c r="AE406" t="str">
        <f t="shared" ca="1" si="92"/>
        <v/>
      </c>
      <c r="AF406" t="str">
        <f t="shared" ca="1" si="93"/>
        <v/>
      </c>
      <c r="AG406" s="47"/>
    </row>
    <row r="407" spans="3:33" x14ac:dyDescent="0.25">
      <c r="C407" s="118">
        <f t="shared" si="95"/>
        <v>42193</v>
      </c>
      <c r="D407">
        <f ca="1">IFERROR(SUMIFS(OFFSET(DBRA_TopicHCP,0,D$217,DBR_COUNT,1),DBRA_WorkplanDate,$C407,DBRA_PlayerID,$D$3),"")</f>
        <v>0</v>
      </c>
      <c r="E407">
        <f ca="1">IFERROR(SUMIFS(OFFSET(DBRA_TopicHCP,0,E$217,DBR_COUNT,1),DBRA_WorkplanDate,$C407,DBRA_PlayerID,$D$3),"")</f>
        <v>0</v>
      </c>
      <c r="F407">
        <f ca="1">IFERROR(SUMIFS(OFFSET(DBRA_TopicHCP,0,F$217,DBR_COUNT,1),DBRA_WorkplanDate,$C407,DBRA_PlayerID,$D$3),"")</f>
        <v>0</v>
      </c>
      <c r="G407">
        <f ca="1">IFERROR(SUMIFS(OFFSET(DBRA_TopicHCP,0,G$217,DBR_COUNT,1),DBRA_WorkplanDate,$C407,DBRA_PlayerID,$D$3),"")</f>
        <v>0</v>
      </c>
      <c r="H407">
        <f ca="1">IFERROR(SUMIFS(OFFSET(DBRA_TopicHCP,0,H$217,DBR_COUNT,1),DBRA_WorkplanDate,$C407,DBRA_PlayerID,$D$3),"")</f>
        <v>0</v>
      </c>
      <c r="I407">
        <f ca="1">IFERROR(SUMIFS(OFFSET(DBRA_TopicHCP,0,I$217,DBR_COUNT,1),DBRA_WorkplanDate,$C407,DBRA_PlayerID,$D$3),"")</f>
        <v>0</v>
      </c>
      <c r="J407">
        <f ca="1">IFERROR(SUMIFS(OFFSET(DBRA_TopicHCP,0,J$217,DBR_COUNT,1),DBRA_WorkplanDate,$C407,DBRA_PlayerID,$D$3),"")</f>
        <v>0</v>
      </c>
      <c r="K407">
        <f ca="1">IFERROR(SUMIFS(OFFSET(DBRA_TopicHCP,0,K$217,DBR_COUNT,1),DBRA_WorkplanDate,$C407,DBRA_PlayerID,$D$3),"")</f>
        <v>0</v>
      </c>
      <c r="L407">
        <f ca="1">IFERROR(SUMIFS(OFFSET(DBRA_TopicHCP,0,L$217,DBR_COUNT,1),DBRA_WorkplanDate,$C407,DBRA_PlayerID,$D$3),"")</f>
        <v>0</v>
      </c>
      <c r="M407" s="47"/>
      <c r="N407">
        <f ca="1">IFERROR(SUMIFS(OFFSET(DBRA_TopicCount,0,N$217,DBR_COUNT,1),DBRA_WorkplanDate,$C407,DBRA_PlayerID,$D$3),"")</f>
        <v>0</v>
      </c>
      <c r="O407">
        <f ca="1">IFERROR(SUMIFS(OFFSET(DBRA_TopicCount,0,O$217,DBR_COUNT,1),DBRA_WorkplanDate,$C407,DBRA_PlayerID,$D$3),"")</f>
        <v>0</v>
      </c>
      <c r="P407">
        <f ca="1">IFERROR(SUMIFS(OFFSET(DBRA_TopicCount,0,P$217,DBR_COUNT,1),DBRA_WorkplanDate,$C407,DBRA_PlayerID,$D$3),"")</f>
        <v>0</v>
      </c>
      <c r="Q407">
        <f ca="1">IFERROR(SUMIFS(OFFSET(DBRA_TopicCount,0,Q$217,DBR_COUNT,1),DBRA_WorkplanDate,$C407,DBRA_PlayerID,$D$3),"")</f>
        <v>0</v>
      </c>
      <c r="R407">
        <f ca="1">IFERROR(SUMIFS(OFFSET(DBRA_TopicCount,0,R$217,DBR_COUNT,1),DBRA_WorkplanDate,$C407,DBRA_PlayerID,$D$3),"")</f>
        <v>0</v>
      </c>
      <c r="S407">
        <f ca="1">IFERROR(SUMIFS(OFFSET(DBRA_TopicCount,0,S$217,DBR_COUNT,1),DBRA_WorkplanDate,$C407,DBRA_PlayerID,$D$3),"")</f>
        <v>0</v>
      </c>
      <c r="T407">
        <f ca="1">IFERROR(SUMIFS(OFFSET(DBRA_TopicCount,0,T$217,DBR_COUNT,1),DBRA_WorkplanDate,$C407,DBRA_PlayerID,$D$3),"")</f>
        <v>0</v>
      </c>
      <c r="U407">
        <f ca="1">IFERROR(SUMIFS(OFFSET(DBRA_TopicCount,0,U$217,DBR_COUNT,1),DBRA_WorkplanDate,$C407,DBRA_PlayerID,$D$3),"")</f>
        <v>0</v>
      </c>
      <c r="V407">
        <f ca="1">IFERROR(SUMIFS(OFFSET(DBRA_TopicCount,0,V$217,DBR_COUNT,1),DBRA_WorkplanDate,$C407,DBRA_PlayerID,$D$3),"")</f>
        <v>0</v>
      </c>
      <c r="W407" s="47"/>
      <c r="X407" t="str">
        <f t="shared" ca="1" si="94"/>
        <v/>
      </c>
      <c r="Y407" t="str">
        <f t="shared" ca="1" si="86"/>
        <v/>
      </c>
      <c r="Z407" t="str">
        <f t="shared" ca="1" si="87"/>
        <v/>
      </c>
      <c r="AA407" t="str">
        <f t="shared" ca="1" si="88"/>
        <v/>
      </c>
      <c r="AB407" t="str">
        <f t="shared" ca="1" si="89"/>
        <v/>
      </c>
      <c r="AC407" t="str">
        <f t="shared" ca="1" si="90"/>
        <v/>
      </c>
      <c r="AD407" t="str">
        <f t="shared" ca="1" si="91"/>
        <v/>
      </c>
      <c r="AE407" t="str">
        <f t="shared" ca="1" si="92"/>
        <v/>
      </c>
      <c r="AF407" t="str">
        <f t="shared" ca="1" si="93"/>
        <v/>
      </c>
      <c r="AG407" s="47"/>
    </row>
    <row r="408" spans="3:33" x14ac:dyDescent="0.25">
      <c r="C408" s="118">
        <f t="shared" si="95"/>
        <v>42194</v>
      </c>
      <c r="D408">
        <f ca="1">IFERROR(SUMIFS(OFFSET(DBRA_TopicHCP,0,D$217,DBR_COUNT,1),DBRA_WorkplanDate,$C408,DBRA_PlayerID,$D$3),"")</f>
        <v>0</v>
      </c>
      <c r="E408">
        <f ca="1">IFERROR(SUMIFS(OFFSET(DBRA_TopicHCP,0,E$217,DBR_COUNT,1),DBRA_WorkplanDate,$C408,DBRA_PlayerID,$D$3),"")</f>
        <v>0</v>
      </c>
      <c r="F408">
        <f ca="1">IFERROR(SUMIFS(OFFSET(DBRA_TopicHCP,0,F$217,DBR_COUNT,1),DBRA_WorkplanDate,$C408,DBRA_PlayerID,$D$3),"")</f>
        <v>0</v>
      </c>
      <c r="G408">
        <f ca="1">IFERROR(SUMIFS(OFFSET(DBRA_TopicHCP,0,G$217,DBR_COUNT,1),DBRA_WorkplanDate,$C408,DBRA_PlayerID,$D$3),"")</f>
        <v>0</v>
      </c>
      <c r="H408">
        <f ca="1">IFERROR(SUMIFS(OFFSET(DBRA_TopicHCP,0,H$217,DBR_COUNT,1),DBRA_WorkplanDate,$C408,DBRA_PlayerID,$D$3),"")</f>
        <v>0</v>
      </c>
      <c r="I408">
        <f ca="1">IFERROR(SUMIFS(OFFSET(DBRA_TopicHCP,0,I$217,DBR_COUNT,1),DBRA_WorkplanDate,$C408,DBRA_PlayerID,$D$3),"")</f>
        <v>0</v>
      </c>
      <c r="J408">
        <f ca="1">IFERROR(SUMIFS(OFFSET(DBRA_TopicHCP,0,J$217,DBR_COUNT,1),DBRA_WorkplanDate,$C408,DBRA_PlayerID,$D$3),"")</f>
        <v>0</v>
      </c>
      <c r="K408">
        <f ca="1">IFERROR(SUMIFS(OFFSET(DBRA_TopicHCP,0,K$217,DBR_COUNT,1),DBRA_WorkplanDate,$C408,DBRA_PlayerID,$D$3),"")</f>
        <v>0</v>
      </c>
      <c r="L408">
        <f ca="1">IFERROR(SUMIFS(OFFSET(DBRA_TopicHCP,0,L$217,DBR_COUNT,1),DBRA_WorkplanDate,$C408,DBRA_PlayerID,$D$3),"")</f>
        <v>0</v>
      </c>
      <c r="M408" s="47"/>
      <c r="N408">
        <f ca="1">IFERROR(SUMIFS(OFFSET(DBRA_TopicCount,0,N$217,DBR_COUNT,1),DBRA_WorkplanDate,$C408,DBRA_PlayerID,$D$3),"")</f>
        <v>0</v>
      </c>
      <c r="O408">
        <f ca="1">IFERROR(SUMIFS(OFFSET(DBRA_TopicCount,0,O$217,DBR_COUNT,1),DBRA_WorkplanDate,$C408,DBRA_PlayerID,$D$3),"")</f>
        <v>0</v>
      </c>
      <c r="P408">
        <f ca="1">IFERROR(SUMIFS(OFFSET(DBRA_TopicCount,0,P$217,DBR_COUNT,1),DBRA_WorkplanDate,$C408,DBRA_PlayerID,$D$3),"")</f>
        <v>0</v>
      </c>
      <c r="Q408">
        <f ca="1">IFERROR(SUMIFS(OFFSET(DBRA_TopicCount,0,Q$217,DBR_COUNT,1),DBRA_WorkplanDate,$C408,DBRA_PlayerID,$D$3),"")</f>
        <v>0</v>
      </c>
      <c r="R408">
        <f ca="1">IFERROR(SUMIFS(OFFSET(DBRA_TopicCount,0,R$217,DBR_COUNT,1),DBRA_WorkplanDate,$C408,DBRA_PlayerID,$D$3),"")</f>
        <v>0</v>
      </c>
      <c r="S408">
        <f ca="1">IFERROR(SUMIFS(OFFSET(DBRA_TopicCount,0,S$217,DBR_COUNT,1),DBRA_WorkplanDate,$C408,DBRA_PlayerID,$D$3),"")</f>
        <v>0</v>
      </c>
      <c r="T408">
        <f ca="1">IFERROR(SUMIFS(OFFSET(DBRA_TopicCount,0,T$217,DBR_COUNT,1),DBRA_WorkplanDate,$C408,DBRA_PlayerID,$D$3),"")</f>
        <v>0</v>
      </c>
      <c r="U408">
        <f ca="1">IFERROR(SUMIFS(OFFSET(DBRA_TopicCount,0,U$217,DBR_COUNT,1),DBRA_WorkplanDate,$C408,DBRA_PlayerID,$D$3),"")</f>
        <v>0</v>
      </c>
      <c r="V408">
        <f ca="1">IFERROR(SUMIFS(OFFSET(DBRA_TopicCount,0,V$217,DBR_COUNT,1),DBRA_WorkplanDate,$C408,DBRA_PlayerID,$D$3),"")</f>
        <v>0</v>
      </c>
      <c r="W408" s="47"/>
      <c r="X408" t="str">
        <f t="shared" ca="1" si="94"/>
        <v/>
      </c>
      <c r="Y408" t="str">
        <f t="shared" ca="1" si="86"/>
        <v/>
      </c>
      <c r="Z408" t="str">
        <f t="shared" ca="1" si="87"/>
        <v/>
      </c>
      <c r="AA408" t="str">
        <f t="shared" ca="1" si="88"/>
        <v/>
      </c>
      <c r="AB408" t="str">
        <f t="shared" ca="1" si="89"/>
        <v/>
      </c>
      <c r="AC408" t="str">
        <f t="shared" ca="1" si="90"/>
        <v/>
      </c>
      <c r="AD408" t="str">
        <f t="shared" ca="1" si="91"/>
        <v/>
      </c>
      <c r="AE408" t="str">
        <f t="shared" ca="1" si="92"/>
        <v/>
      </c>
      <c r="AF408" t="str">
        <f t="shared" ca="1" si="93"/>
        <v/>
      </c>
      <c r="AG408" s="47"/>
    </row>
    <row r="409" spans="3:33" x14ac:dyDescent="0.25">
      <c r="C409" s="118">
        <f t="shared" si="95"/>
        <v>42195</v>
      </c>
      <c r="D409">
        <f ca="1">IFERROR(SUMIFS(OFFSET(DBRA_TopicHCP,0,D$217,DBR_COUNT,1),DBRA_WorkplanDate,$C409,DBRA_PlayerID,$D$3),"")</f>
        <v>0</v>
      </c>
      <c r="E409">
        <f ca="1">IFERROR(SUMIFS(OFFSET(DBRA_TopicHCP,0,E$217,DBR_COUNT,1),DBRA_WorkplanDate,$C409,DBRA_PlayerID,$D$3),"")</f>
        <v>0</v>
      </c>
      <c r="F409">
        <f ca="1">IFERROR(SUMIFS(OFFSET(DBRA_TopicHCP,0,F$217,DBR_COUNT,1),DBRA_WorkplanDate,$C409,DBRA_PlayerID,$D$3),"")</f>
        <v>0</v>
      </c>
      <c r="G409">
        <f ca="1">IFERROR(SUMIFS(OFFSET(DBRA_TopicHCP,0,G$217,DBR_COUNT,1),DBRA_WorkplanDate,$C409,DBRA_PlayerID,$D$3),"")</f>
        <v>0</v>
      </c>
      <c r="H409">
        <f ca="1">IFERROR(SUMIFS(OFFSET(DBRA_TopicHCP,0,H$217,DBR_COUNT,1),DBRA_WorkplanDate,$C409,DBRA_PlayerID,$D$3),"")</f>
        <v>0</v>
      </c>
      <c r="I409">
        <f ca="1">IFERROR(SUMIFS(OFFSET(DBRA_TopicHCP,0,I$217,DBR_COUNT,1),DBRA_WorkplanDate,$C409,DBRA_PlayerID,$D$3),"")</f>
        <v>0</v>
      </c>
      <c r="J409">
        <f ca="1">IFERROR(SUMIFS(OFFSET(DBRA_TopicHCP,0,J$217,DBR_COUNT,1),DBRA_WorkplanDate,$C409,DBRA_PlayerID,$D$3),"")</f>
        <v>0</v>
      </c>
      <c r="K409">
        <f ca="1">IFERROR(SUMIFS(OFFSET(DBRA_TopicHCP,0,K$217,DBR_COUNT,1),DBRA_WorkplanDate,$C409,DBRA_PlayerID,$D$3),"")</f>
        <v>0</v>
      </c>
      <c r="L409">
        <f ca="1">IFERROR(SUMIFS(OFFSET(DBRA_TopicHCP,0,L$217,DBR_COUNT,1),DBRA_WorkplanDate,$C409,DBRA_PlayerID,$D$3),"")</f>
        <v>0</v>
      </c>
      <c r="M409" s="47"/>
      <c r="N409">
        <f ca="1">IFERROR(SUMIFS(OFFSET(DBRA_TopicCount,0,N$217,DBR_COUNT,1),DBRA_WorkplanDate,$C409,DBRA_PlayerID,$D$3),"")</f>
        <v>0</v>
      </c>
      <c r="O409">
        <f ca="1">IFERROR(SUMIFS(OFFSET(DBRA_TopicCount,0,O$217,DBR_COUNT,1),DBRA_WorkplanDate,$C409,DBRA_PlayerID,$D$3),"")</f>
        <v>0</v>
      </c>
      <c r="P409">
        <f ca="1">IFERROR(SUMIFS(OFFSET(DBRA_TopicCount,0,P$217,DBR_COUNT,1),DBRA_WorkplanDate,$C409,DBRA_PlayerID,$D$3),"")</f>
        <v>0</v>
      </c>
      <c r="Q409">
        <f ca="1">IFERROR(SUMIFS(OFFSET(DBRA_TopicCount,0,Q$217,DBR_COUNT,1),DBRA_WorkplanDate,$C409,DBRA_PlayerID,$D$3),"")</f>
        <v>0</v>
      </c>
      <c r="R409">
        <f ca="1">IFERROR(SUMIFS(OFFSET(DBRA_TopicCount,0,R$217,DBR_COUNT,1),DBRA_WorkplanDate,$C409,DBRA_PlayerID,$D$3),"")</f>
        <v>0</v>
      </c>
      <c r="S409">
        <f ca="1">IFERROR(SUMIFS(OFFSET(DBRA_TopicCount,0,S$217,DBR_COUNT,1),DBRA_WorkplanDate,$C409,DBRA_PlayerID,$D$3),"")</f>
        <v>0</v>
      </c>
      <c r="T409">
        <f ca="1">IFERROR(SUMIFS(OFFSET(DBRA_TopicCount,0,T$217,DBR_COUNT,1),DBRA_WorkplanDate,$C409,DBRA_PlayerID,$D$3),"")</f>
        <v>0</v>
      </c>
      <c r="U409">
        <f ca="1">IFERROR(SUMIFS(OFFSET(DBRA_TopicCount,0,U$217,DBR_COUNT,1),DBRA_WorkplanDate,$C409,DBRA_PlayerID,$D$3),"")</f>
        <v>0</v>
      </c>
      <c r="V409">
        <f ca="1">IFERROR(SUMIFS(OFFSET(DBRA_TopicCount,0,V$217,DBR_COUNT,1),DBRA_WorkplanDate,$C409,DBRA_PlayerID,$D$3),"")</f>
        <v>0</v>
      </c>
      <c r="W409" s="47"/>
      <c r="X409" t="str">
        <f t="shared" ca="1" si="94"/>
        <v/>
      </c>
      <c r="Y409" t="str">
        <f t="shared" ca="1" si="86"/>
        <v/>
      </c>
      <c r="Z409" t="str">
        <f t="shared" ca="1" si="87"/>
        <v/>
      </c>
      <c r="AA409" t="str">
        <f t="shared" ca="1" si="88"/>
        <v/>
      </c>
      <c r="AB409" t="str">
        <f t="shared" ca="1" si="89"/>
        <v/>
      </c>
      <c r="AC409" t="str">
        <f t="shared" ca="1" si="90"/>
        <v/>
      </c>
      <c r="AD409" t="str">
        <f t="shared" ca="1" si="91"/>
        <v/>
      </c>
      <c r="AE409" t="str">
        <f t="shared" ca="1" si="92"/>
        <v/>
      </c>
      <c r="AF409" t="str">
        <f t="shared" ca="1" si="93"/>
        <v/>
      </c>
      <c r="AG409" s="47"/>
    </row>
    <row r="410" spans="3:33" x14ac:dyDescent="0.25">
      <c r="C410" s="118">
        <f t="shared" si="95"/>
        <v>42196</v>
      </c>
      <c r="D410">
        <f ca="1">IFERROR(SUMIFS(OFFSET(DBRA_TopicHCP,0,D$217,DBR_COUNT,1),DBRA_WorkplanDate,$C410,DBRA_PlayerID,$D$3),"")</f>
        <v>0</v>
      </c>
      <c r="E410">
        <f ca="1">IFERROR(SUMIFS(OFFSET(DBRA_TopicHCP,0,E$217,DBR_COUNT,1),DBRA_WorkplanDate,$C410,DBRA_PlayerID,$D$3),"")</f>
        <v>0</v>
      </c>
      <c r="F410">
        <f ca="1">IFERROR(SUMIFS(OFFSET(DBRA_TopicHCP,0,F$217,DBR_COUNT,1),DBRA_WorkplanDate,$C410,DBRA_PlayerID,$D$3),"")</f>
        <v>0</v>
      </c>
      <c r="G410">
        <f ca="1">IFERROR(SUMIFS(OFFSET(DBRA_TopicHCP,0,G$217,DBR_COUNT,1),DBRA_WorkplanDate,$C410,DBRA_PlayerID,$D$3),"")</f>
        <v>0</v>
      </c>
      <c r="H410">
        <f ca="1">IFERROR(SUMIFS(OFFSET(DBRA_TopicHCP,0,H$217,DBR_COUNT,1),DBRA_WorkplanDate,$C410,DBRA_PlayerID,$D$3),"")</f>
        <v>0</v>
      </c>
      <c r="I410">
        <f ca="1">IFERROR(SUMIFS(OFFSET(DBRA_TopicHCP,0,I$217,DBR_COUNT,1),DBRA_WorkplanDate,$C410,DBRA_PlayerID,$D$3),"")</f>
        <v>0</v>
      </c>
      <c r="J410">
        <f ca="1">IFERROR(SUMIFS(OFFSET(DBRA_TopicHCP,0,J$217,DBR_COUNT,1),DBRA_WorkplanDate,$C410,DBRA_PlayerID,$D$3),"")</f>
        <v>0</v>
      </c>
      <c r="K410">
        <f ca="1">IFERROR(SUMIFS(OFFSET(DBRA_TopicHCP,0,K$217,DBR_COUNT,1),DBRA_WorkplanDate,$C410,DBRA_PlayerID,$D$3),"")</f>
        <v>0</v>
      </c>
      <c r="L410">
        <f ca="1">IFERROR(SUMIFS(OFFSET(DBRA_TopicHCP,0,L$217,DBR_COUNT,1),DBRA_WorkplanDate,$C410,DBRA_PlayerID,$D$3),"")</f>
        <v>0</v>
      </c>
      <c r="M410" s="47"/>
      <c r="N410">
        <f ca="1">IFERROR(SUMIFS(OFFSET(DBRA_TopicCount,0,N$217,DBR_COUNT,1),DBRA_WorkplanDate,$C410,DBRA_PlayerID,$D$3),"")</f>
        <v>0</v>
      </c>
      <c r="O410">
        <f ca="1">IFERROR(SUMIFS(OFFSET(DBRA_TopicCount,0,O$217,DBR_COUNT,1),DBRA_WorkplanDate,$C410,DBRA_PlayerID,$D$3),"")</f>
        <v>0</v>
      </c>
      <c r="P410">
        <f ca="1">IFERROR(SUMIFS(OFFSET(DBRA_TopicCount,0,P$217,DBR_COUNT,1),DBRA_WorkplanDate,$C410,DBRA_PlayerID,$D$3),"")</f>
        <v>0</v>
      </c>
      <c r="Q410">
        <f ca="1">IFERROR(SUMIFS(OFFSET(DBRA_TopicCount,0,Q$217,DBR_COUNT,1),DBRA_WorkplanDate,$C410,DBRA_PlayerID,$D$3),"")</f>
        <v>0</v>
      </c>
      <c r="R410">
        <f ca="1">IFERROR(SUMIFS(OFFSET(DBRA_TopicCount,0,R$217,DBR_COUNT,1),DBRA_WorkplanDate,$C410,DBRA_PlayerID,$D$3),"")</f>
        <v>0</v>
      </c>
      <c r="S410">
        <f ca="1">IFERROR(SUMIFS(OFFSET(DBRA_TopicCount,0,S$217,DBR_COUNT,1),DBRA_WorkplanDate,$C410,DBRA_PlayerID,$D$3),"")</f>
        <v>0</v>
      </c>
      <c r="T410">
        <f ca="1">IFERROR(SUMIFS(OFFSET(DBRA_TopicCount,0,T$217,DBR_COUNT,1),DBRA_WorkplanDate,$C410,DBRA_PlayerID,$D$3),"")</f>
        <v>0</v>
      </c>
      <c r="U410">
        <f ca="1">IFERROR(SUMIFS(OFFSET(DBRA_TopicCount,0,U$217,DBR_COUNT,1),DBRA_WorkplanDate,$C410,DBRA_PlayerID,$D$3),"")</f>
        <v>0</v>
      </c>
      <c r="V410">
        <f ca="1">IFERROR(SUMIFS(OFFSET(DBRA_TopicCount,0,V$217,DBR_COUNT,1),DBRA_WorkplanDate,$C410,DBRA_PlayerID,$D$3),"")</f>
        <v>0</v>
      </c>
      <c r="W410" s="47"/>
      <c r="X410" t="str">
        <f t="shared" ca="1" si="94"/>
        <v/>
      </c>
      <c r="Y410" t="str">
        <f t="shared" ca="1" si="86"/>
        <v/>
      </c>
      <c r="Z410" t="str">
        <f t="shared" ca="1" si="87"/>
        <v/>
      </c>
      <c r="AA410" t="str">
        <f t="shared" ca="1" si="88"/>
        <v/>
      </c>
      <c r="AB410" t="str">
        <f t="shared" ca="1" si="89"/>
        <v/>
      </c>
      <c r="AC410" t="str">
        <f t="shared" ca="1" si="90"/>
        <v/>
      </c>
      <c r="AD410" t="str">
        <f t="shared" ca="1" si="91"/>
        <v/>
      </c>
      <c r="AE410" t="str">
        <f t="shared" ca="1" si="92"/>
        <v/>
      </c>
      <c r="AF410" t="str">
        <f t="shared" ca="1" si="93"/>
        <v/>
      </c>
      <c r="AG410" s="47"/>
    </row>
    <row r="411" spans="3:33" x14ac:dyDescent="0.25">
      <c r="C411" s="118">
        <f t="shared" si="95"/>
        <v>42197</v>
      </c>
      <c r="D411">
        <f ca="1">IFERROR(SUMIFS(OFFSET(DBRA_TopicHCP,0,D$217,DBR_COUNT,1),DBRA_WorkplanDate,$C411,DBRA_PlayerID,$D$3),"")</f>
        <v>0</v>
      </c>
      <c r="E411">
        <f ca="1">IFERROR(SUMIFS(OFFSET(DBRA_TopicHCP,0,E$217,DBR_COUNT,1),DBRA_WorkplanDate,$C411,DBRA_PlayerID,$D$3),"")</f>
        <v>0</v>
      </c>
      <c r="F411">
        <f ca="1">IFERROR(SUMIFS(OFFSET(DBRA_TopicHCP,0,F$217,DBR_COUNT,1),DBRA_WorkplanDate,$C411,DBRA_PlayerID,$D$3),"")</f>
        <v>0</v>
      </c>
      <c r="G411">
        <f ca="1">IFERROR(SUMIFS(OFFSET(DBRA_TopicHCP,0,G$217,DBR_COUNT,1),DBRA_WorkplanDate,$C411,DBRA_PlayerID,$D$3),"")</f>
        <v>0</v>
      </c>
      <c r="H411">
        <f ca="1">IFERROR(SUMIFS(OFFSET(DBRA_TopicHCP,0,H$217,DBR_COUNT,1),DBRA_WorkplanDate,$C411,DBRA_PlayerID,$D$3),"")</f>
        <v>0</v>
      </c>
      <c r="I411">
        <f ca="1">IFERROR(SUMIFS(OFFSET(DBRA_TopicHCP,0,I$217,DBR_COUNT,1),DBRA_WorkplanDate,$C411,DBRA_PlayerID,$D$3),"")</f>
        <v>0</v>
      </c>
      <c r="J411">
        <f ca="1">IFERROR(SUMIFS(OFFSET(DBRA_TopicHCP,0,J$217,DBR_COUNT,1),DBRA_WorkplanDate,$C411,DBRA_PlayerID,$D$3),"")</f>
        <v>0</v>
      </c>
      <c r="K411">
        <f ca="1">IFERROR(SUMIFS(OFFSET(DBRA_TopicHCP,0,K$217,DBR_COUNT,1),DBRA_WorkplanDate,$C411,DBRA_PlayerID,$D$3),"")</f>
        <v>0</v>
      </c>
      <c r="L411">
        <f ca="1">IFERROR(SUMIFS(OFFSET(DBRA_TopicHCP,0,L$217,DBR_COUNT,1),DBRA_WorkplanDate,$C411,DBRA_PlayerID,$D$3),"")</f>
        <v>0</v>
      </c>
      <c r="M411" s="47"/>
      <c r="N411">
        <f ca="1">IFERROR(SUMIFS(OFFSET(DBRA_TopicCount,0,N$217,DBR_COUNT,1),DBRA_WorkplanDate,$C411,DBRA_PlayerID,$D$3),"")</f>
        <v>0</v>
      </c>
      <c r="O411">
        <f ca="1">IFERROR(SUMIFS(OFFSET(DBRA_TopicCount,0,O$217,DBR_COUNT,1),DBRA_WorkplanDate,$C411,DBRA_PlayerID,$D$3),"")</f>
        <v>0</v>
      </c>
      <c r="P411">
        <f ca="1">IFERROR(SUMIFS(OFFSET(DBRA_TopicCount,0,P$217,DBR_COUNT,1),DBRA_WorkplanDate,$C411,DBRA_PlayerID,$D$3),"")</f>
        <v>0</v>
      </c>
      <c r="Q411">
        <f ca="1">IFERROR(SUMIFS(OFFSET(DBRA_TopicCount,0,Q$217,DBR_COUNT,1),DBRA_WorkplanDate,$C411,DBRA_PlayerID,$D$3),"")</f>
        <v>0</v>
      </c>
      <c r="R411">
        <f ca="1">IFERROR(SUMIFS(OFFSET(DBRA_TopicCount,0,R$217,DBR_COUNT,1),DBRA_WorkplanDate,$C411,DBRA_PlayerID,$D$3),"")</f>
        <v>0</v>
      </c>
      <c r="S411">
        <f ca="1">IFERROR(SUMIFS(OFFSET(DBRA_TopicCount,0,S$217,DBR_COUNT,1),DBRA_WorkplanDate,$C411,DBRA_PlayerID,$D$3),"")</f>
        <v>0</v>
      </c>
      <c r="T411">
        <f ca="1">IFERROR(SUMIFS(OFFSET(DBRA_TopicCount,0,T$217,DBR_COUNT,1),DBRA_WorkplanDate,$C411,DBRA_PlayerID,$D$3),"")</f>
        <v>0</v>
      </c>
      <c r="U411">
        <f ca="1">IFERROR(SUMIFS(OFFSET(DBRA_TopicCount,0,U$217,DBR_COUNT,1),DBRA_WorkplanDate,$C411,DBRA_PlayerID,$D$3),"")</f>
        <v>0</v>
      </c>
      <c r="V411">
        <f ca="1">IFERROR(SUMIFS(OFFSET(DBRA_TopicCount,0,V$217,DBR_COUNT,1),DBRA_WorkplanDate,$C411,DBRA_PlayerID,$D$3),"")</f>
        <v>0</v>
      </c>
      <c r="W411" s="47"/>
      <c r="X411" t="str">
        <f t="shared" ca="1" si="94"/>
        <v/>
      </c>
      <c r="Y411" t="str">
        <f t="shared" ref="Y411:Y474" ca="1" si="96">IF(O411&gt;0,ROUND(E411/O411,1),"")</f>
        <v/>
      </c>
      <c r="Z411" t="str">
        <f t="shared" ref="Z411:Z474" ca="1" si="97">IF(P411&gt;0,ROUND(F411/P411,1),"")</f>
        <v/>
      </c>
      <c r="AA411" t="str">
        <f t="shared" ref="AA411:AA474" ca="1" si="98">IF(Q411&gt;0,ROUND(G411/Q411,1),"")</f>
        <v/>
      </c>
      <c r="AB411" t="str">
        <f t="shared" ref="AB411:AB474" ca="1" si="99">IF(R411&gt;0,ROUND(H411/R411,1),"")</f>
        <v/>
      </c>
      <c r="AC411" t="str">
        <f t="shared" ref="AC411:AC474" ca="1" si="100">IF(S411&gt;0,ROUND(I411/S411,1),"")</f>
        <v/>
      </c>
      <c r="AD411" t="str">
        <f t="shared" ref="AD411:AD474" ca="1" si="101">IF(T411&gt;0,ROUND(J411/T411,1),"")</f>
        <v/>
      </c>
      <c r="AE411" t="str">
        <f t="shared" ref="AE411:AE474" ca="1" si="102">IF(U411&gt;0,ROUND(K411/U411,1),"")</f>
        <v/>
      </c>
      <c r="AF411" t="str">
        <f t="shared" ref="AF411:AF474" ca="1" si="103">IF(V411&gt;0,ROUND(L411/V411,1),"")</f>
        <v/>
      </c>
      <c r="AG411" s="47"/>
    </row>
    <row r="412" spans="3:33" x14ac:dyDescent="0.25">
      <c r="C412" s="118">
        <f t="shared" si="95"/>
        <v>42198</v>
      </c>
      <c r="D412">
        <f ca="1">IFERROR(SUMIFS(OFFSET(DBRA_TopicHCP,0,D$217,DBR_COUNT,1),DBRA_WorkplanDate,$C412,DBRA_PlayerID,$D$3),"")</f>
        <v>0</v>
      </c>
      <c r="E412">
        <f ca="1">IFERROR(SUMIFS(OFFSET(DBRA_TopicHCP,0,E$217,DBR_COUNT,1),DBRA_WorkplanDate,$C412,DBRA_PlayerID,$D$3),"")</f>
        <v>0</v>
      </c>
      <c r="F412">
        <f ca="1">IFERROR(SUMIFS(OFFSET(DBRA_TopicHCP,0,F$217,DBR_COUNT,1),DBRA_WorkplanDate,$C412,DBRA_PlayerID,$D$3),"")</f>
        <v>0</v>
      </c>
      <c r="G412">
        <f ca="1">IFERROR(SUMIFS(OFFSET(DBRA_TopicHCP,0,G$217,DBR_COUNT,1),DBRA_WorkplanDate,$C412,DBRA_PlayerID,$D$3),"")</f>
        <v>0</v>
      </c>
      <c r="H412">
        <f ca="1">IFERROR(SUMIFS(OFFSET(DBRA_TopicHCP,0,H$217,DBR_COUNT,1),DBRA_WorkplanDate,$C412,DBRA_PlayerID,$D$3),"")</f>
        <v>0</v>
      </c>
      <c r="I412">
        <f ca="1">IFERROR(SUMIFS(OFFSET(DBRA_TopicHCP,0,I$217,DBR_COUNT,1),DBRA_WorkplanDate,$C412,DBRA_PlayerID,$D$3),"")</f>
        <v>0</v>
      </c>
      <c r="J412">
        <f ca="1">IFERROR(SUMIFS(OFFSET(DBRA_TopicHCP,0,J$217,DBR_COUNT,1),DBRA_WorkplanDate,$C412,DBRA_PlayerID,$D$3),"")</f>
        <v>0</v>
      </c>
      <c r="K412">
        <f ca="1">IFERROR(SUMIFS(OFFSET(DBRA_TopicHCP,0,K$217,DBR_COUNT,1),DBRA_WorkplanDate,$C412,DBRA_PlayerID,$D$3),"")</f>
        <v>0</v>
      </c>
      <c r="L412">
        <f ca="1">IFERROR(SUMIFS(OFFSET(DBRA_TopicHCP,0,L$217,DBR_COUNT,1),DBRA_WorkplanDate,$C412,DBRA_PlayerID,$D$3),"")</f>
        <v>0</v>
      </c>
      <c r="M412" s="47"/>
      <c r="N412">
        <f ca="1">IFERROR(SUMIFS(OFFSET(DBRA_TopicCount,0,N$217,DBR_COUNT,1),DBRA_WorkplanDate,$C412,DBRA_PlayerID,$D$3),"")</f>
        <v>0</v>
      </c>
      <c r="O412">
        <f ca="1">IFERROR(SUMIFS(OFFSET(DBRA_TopicCount,0,O$217,DBR_COUNT,1),DBRA_WorkplanDate,$C412,DBRA_PlayerID,$D$3),"")</f>
        <v>0</v>
      </c>
      <c r="P412">
        <f ca="1">IFERROR(SUMIFS(OFFSET(DBRA_TopicCount,0,P$217,DBR_COUNT,1),DBRA_WorkplanDate,$C412,DBRA_PlayerID,$D$3),"")</f>
        <v>0</v>
      </c>
      <c r="Q412">
        <f ca="1">IFERROR(SUMIFS(OFFSET(DBRA_TopicCount,0,Q$217,DBR_COUNT,1),DBRA_WorkplanDate,$C412,DBRA_PlayerID,$D$3),"")</f>
        <v>0</v>
      </c>
      <c r="R412">
        <f ca="1">IFERROR(SUMIFS(OFFSET(DBRA_TopicCount,0,R$217,DBR_COUNT,1),DBRA_WorkplanDate,$C412,DBRA_PlayerID,$D$3),"")</f>
        <v>0</v>
      </c>
      <c r="S412">
        <f ca="1">IFERROR(SUMIFS(OFFSET(DBRA_TopicCount,0,S$217,DBR_COUNT,1),DBRA_WorkplanDate,$C412,DBRA_PlayerID,$D$3),"")</f>
        <v>0</v>
      </c>
      <c r="T412">
        <f ca="1">IFERROR(SUMIFS(OFFSET(DBRA_TopicCount,0,T$217,DBR_COUNT,1),DBRA_WorkplanDate,$C412,DBRA_PlayerID,$D$3),"")</f>
        <v>0</v>
      </c>
      <c r="U412">
        <f ca="1">IFERROR(SUMIFS(OFFSET(DBRA_TopicCount,0,U$217,DBR_COUNT,1),DBRA_WorkplanDate,$C412,DBRA_PlayerID,$D$3),"")</f>
        <v>0</v>
      </c>
      <c r="V412">
        <f ca="1">IFERROR(SUMIFS(OFFSET(DBRA_TopicCount,0,V$217,DBR_COUNT,1),DBRA_WorkplanDate,$C412,DBRA_PlayerID,$D$3),"")</f>
        <v>0</v>
      </c>
      <c r="W412" s="47"/>
      <c r="X412" t="str">
        <f t="shared" ref="X412:X475" ca="1" si="104">IF(N412&gt;0,ROUND(D412/N412,1),"")</f>
        <v/>
      </c>
      <c r="Y412" t="str">
        <f t="shared" ca="1" si="96"/>
        <v/>
      </c>
      <c r="Z412" t="str">
        <f t="shared" ca="1" si="97"/>
        <v/>
      </c>
      <c r="AA412" t="str">
        <f t="shared" ca="1" si="98"/>
        <v/>
      </c>
      <c r="AB412" t="str">
        <f t="shared" ca="1" si="99"/>
        <v/>
      </c>
      <c r="AC412" t="str">
        <f t="shared" ca="1" si="100"/>
        <v/>
      </c>
      <c r="AD412" t="str">
        <f t="shared" ca="1" si="101"/>
        <v/>
      </c>
      <c r="AE412" t="str">
        <f t="shared" ca="1" si="102"/>
        <v/>
      </c>
      <c r="AF412" t="str">
        <f t="shared" ca="1" si="103"/>
        <v/>
      </c>
      <c r="AG412" s="47"/>
    </row>
    <row r="413" spans="3:33" x14ac:dyDescent="0.25">
      <c r="C413" s="118">
        <f t="shared" ref="C413:C476" si="105">IF((C412+1)&lt;=$A$220,C412+1,"")</f>
        <v>42199</v>
      </c>
      <c r="D413">
        <f ca="1">IFERROR(SUMIFS(OFFSET(DBRA_TopicHCP,0,D$217,DBR_COUNT,1),DBRA_WorkplanDate,$C413,DBRA_PlayerID,$D$3),"")</f>
        <v>0</v>
      </c>
      <c r="E413">
        <f ca="1">IFERROR(SUMIFS(OFFSET(DBRA_TopicHCP,0,E$217,DBR_COUNT,1),DBRA_WorkplanDate,$C413,DBRA_PlayerID,$D$3),"")</f>
        <v>0</v>
      </c>
      <c r="F413">
        <f ca="1">IFERROR(SUMIFS(OFFSET(DBRA_TopicHCP,0,F$217,DBR_COUNT,1),DBRA_WorkplanDate,$C413,DBRA_PlayerID,$D$3),"")</f>
        <v>0</v>
      </c>
      <c r="G413">
        <f ca="1">IFERROR(SUMIFS(OFFSET(DBRA_TopicHCP,0,G$217,DBR_COUNT,1),DBRA_WorkplanDate,$C413,DBRA_PlayerID,$D$3),"")</f>
        <v>0</v>
      </c>
      <c r="H413">
        <f ca="1">IFERROR(SUMIFS(OFFSET(DBRA_TopicHCP,0,H$217,DBR_COUNT,1),DBRA_WorkplanDate,$C413,DBRA_PlayerID,$D$3),"")</f>
        <v>0</v>
      </c>
      <c r="I413">
        <f ca="1">IFERROR(SUMIFS(OFFSET(DBRA_TopicHCP,0,I$217,DBR_COUNT,1),DBRA_WorkplanDate,$C413,DBRA_PlayerID,$D$3),"")</f>
        <v>0</v>
      </c>
      <c r="J413">
        <f ca="1">IFERROR(SUMIFS(OFFSET(DBRA_TopicHCP,0,J$217,DBR_COUNT,1),DBRA_WorkplanDate,$C413,DBRA_PlayerID,$D$3),"")</f>
        <v>0</v>
      </c>
      <c r="K413">
        <f ca="1">IFERROR(SUMIFS(OFFSET(DBRA_TopicHCP,0,K$217,DBR_COUNT,1),DBRA_WorkplanDate,$C413,DBRA_PlayerID,$D$3),"")</f>
        <v>0</v>
      </c>
      <c r="L413">
        <f ca="1">IFERROR(SUMIFS(OFFSET(DBRA_TopicHCP,0,L$217,DBR_COUNT,1),DBRA_WorkplanDate,$C413,DBRA_PlayerID,$D$3),"")</f>
        <v>0</v>
      </c>
      <c r="M413" s="47"/>
      <c r="N413">
        <f ca="1">IFERROR(SUMIFS(OFFSET(DBRA_TopicCount,0,N$217,DBR_COUNT,1),DBRA_WorkplanDate,$C413,DBRA_PlayerID,$D$3),"")</f>
        <v>0</v>
      </c>
      <c r="O413">
        <f ca="1">IFERROR(SUMIFS(OFFSET(DBRA_TopicCount,0,O$217,DBR_COUNT,1),DBRA_WorkplanDate,$C413,DBRA_PlayerID,$D$3),"")</f>
        <v>0</v>
      </c>
      <c r="P413">
        <f ca="1">IFERROR(SUMIFS(OFFSET(DBRA_TopicCount,0,P$217,DBR_COUNT,1),DBRA_WorkplanDate,$C413,DBRA_PlayerID,$D$3),"")</f>
        <v>0</v>
      </c>
      <c r="Q413">
        <f ca="1">IFERROR(SUMIFS(OFFSET(DBRA_TopicCount,0,Q$217,DBR_COUNT,1),DBRA_WorkplanDate,$C413,DBRA_PlayerID,$D$3),"")</f>
        <v>0</v>
      </c>
      <c r="R413">
        <f ca="1">IFERROR(SUMIFS(OFFSET(DBRA_TopicCount,0,R$217,DBR_COUNT,1),DBRA_WorkplanDate,$C413,DBRA_PlayerID,$D$3),"")</f>
        <v>0</v>
      </c>
      <c r="S413">
        <f ca="1">IFERROR(SUMIFS(OFFSET(DBRA_TopicCount,0,S$217,DBR_COUNT,1),DBRA_WorkplanDate,$C413,DBRA_PlayerID,$D$3),"")</f>
        <v>0</v>
      </c>
      <c r="T413">
        <f ca="1">IFERROR(SUMIFS(OFFSET(DBRA_TopicCount,0,T$217,DBR_COUNT,1),DBRA_WorkplanDate,$C413,DBRA_PlayerID,$D$3),"")</f>
        <v>0</v>
      </c>
      <c r="U413">
        <f ca="1">IFERROR(SUMIFS(OFFSET(DBRA_TopicCount,0,U$217,DBR_COUNT,1),DBRA_WorkplanDate,$C413,DBRA_PlayerID,$D$3),"")</f>
        <v>0</v>
      </c>
      <c r="V413">
        <f ca="1">IFERROR(SUMIFS(OFFSET(DBRA_TopicCount,0,V$217,DBR_COUNT,1),DBRA_WorkplanDate,$C413,DBRA_PlayerID,$D$3),"")</f>
        <v>0</v>
      </c>
      <c r="W413" s="47"/>
      <c r="X413" t="str">
        <f t="shared" ca="1" si="104"/>
        <v/>
      </c>
      <c r="Y413" t="str">
        <f t="shared" ca="1" si="96"/>
        <v/>
      </c>
      <c r="Z413" t="str">
        <f t="shared" ca="1" si="97"/>
        <v/>
      </c>
      <c r="AA413" t="str">
        <f t="shared" ca="1" si="98"/>
        <v/>
      </c>
      <c r="AB413" t="str">
        <f t="shared" ca="1" si="99"/>
        <v/>
      </c>
      <c r="AC413" t="str">
        <f t="shared" ca="1" si="100"/>
        <v/>
      </c>
      <c r="AD413" t="str">
        <f t="shared" ca="1" si="101"/>
        <v/>
      </c>
      <c r="AE413" t="str">
        <f t="shared" ca="1" si="102"/>
        <v/>
      </c>
      <c r="AF413" t="str">
        <f t="shared" ca="1" si="103"/>
        <v/>
      </c>
      <c r="AG413" s="47"/>
    </row>
    <row r="414" spans="3:33" x14ac:dyDescent="0.25">
      <c r="C414" s="118">
        <f t="shared" si="105"/>
        <v>42200</v>
      </c>
      <c r="D414">
        <f ca="1">IFERROR(SUMIFS(OFFSET(DBRA_TopicHCP,0,D$217,DBR_COUNT,1),DBRA_WorkplanDate,$C414,DBRA_PlayerID,$D$3),"")</f>
        <v>0</v>
      </c>
      <c r="E414">
        <f ca="1">IFERROR(SUMIFS(OFFSET(DBRA_TopicHCP,0,E$217,DBR_COUNT,1),DBRA_WorkplanDate,$C414,DBRA_PlayerID,$D$3),"")</f>
        <v>0</v>
      </c>
      <c r="F414">
        <f ca="1">IFERROR(SUMIFS(OFFSET(DBRA_TopicHCP,0,F$217,DBR_COUNT,1),DBRA_WorkplanDate,$C414,DBRA_PlayerID,$D$3),"")</f>
        <v>0</v>
      </c>
      <c r="G414">
        <f ca="1">IFERROR(SUMIFS(OFFSET(DBRA_TopicHCP,0,G$217,DBR_COUNT,1),DBRA_WorkplanDate,$C414,DBRA_PlayerID,$D$3),"")</f>
        <v>0</v>
      </c>
      <c r="H414">
        <f ca="1">IFERROR(SUMIFS(OFFSET(DBRA_TopicHCP,0,H$217,DBR_COUNT,1),DBRA_WorkplanDate,$C414,DBRA_PlayerID,$D$3),"")</f>
        <v>0</v>
      </c>
      <c r="I414">
        <f ca="1">IFERROR(SUMIFS(OFFSET(DBRA_TopicHCP,0,I$217,DBR_COUNT,1),DBRA_WorkplanDate,$C414,DBRA_PlayerID,$D$3),"")</f>
        <v>0</v>
      </c>
      <c r="J414">
        <f ca="1">IFERROR(SUMIFS(OFFSET(DBRA_TopicHCP,0,J$217,DBR_COUNT,1),DBRA_WorkplanDate,$C414,DBRA_PlayerID,$D$3),"")</f>
        <v>0</v>
      </c>
      <c r="K414">
        <f ca="1">IFERROR(SUMIFS(OFFSET(DBRA_TopicHCP,0,K$217,DBR_COUNT,1),DBRA_WorkplanDate,$C414,DBRA_PlayerID,$D$3),"")</f>
        <v>0</v>
      </c>
      <c r="L414">
        <f ca="1">IFERROR(SUMIFS(OFFSET(DBRA_TopicHCP,0,L$217,DBR_COUNT,1),DBRA_WorkplanDate,$C414,DBRA_PlayerID,$D$3),"")</f>
        <v>0</v>
      </c>
      <c r="M414" s="47"/>
      <c r="N414">
        <f ca="1">IFERROR(SUMIFS(OFFSET(DBRA_TopicCount,0,N$217,DBR_COUNT,1),DBRA_WorkplanDate,$C414,DBRA_PlayerID,$D$3),"")</f>
        <v>0</v>
      </c>
      <c r="O414">
        <f ca="1">IFERROR(SUMIFS(OFFSET(DBRA_TopicCount,0,O$217,DBR_COUNT,1),DBRA_WorkplanDate,$C414,DBRA_PlayerID,$D$3),"")</f>
        <v>0</v>
      </c>
      <c r="P414">
        <f ca="1">IFERROR(SUMIFS(OFFSET(DBRA_TopicCount,0,P$217,DBR_COUNT,1),DBRA_WorkplanDate,$C414,DBRA_PlayerID,$D$3),"")</f>
        <v>0</v>
      </c>
      <c r="Q414">
        <f ca="1">IFERROR(SUMIFS(OFFSET(DBRA_TopicCount,0,Q$217,DBR_COUNT,1),DBRA_WorkplanDate,$C414,DBRA_PlayerID,$D$3),"")</f>
        <v>0</v>
      </c>
      <c r="R414">
        <f ca="1">IFERROR(SUMIFS(OFFSET(DBRA_TopicCount,0,R$217,DBR_COUNT,1),DBRA_WorkplanDate,$C414,DBRA_PlayerID,$D$3),"")</f>
        <v>0</v>
      </c>
      <c r="S414">
        <f ca="1">IFERROR(SUMIFS(OFFSET(DBRA_TopicCount,0,S$217,DBR_COUNT,1),DBRA_WorkplanDate,$C414,DBRA_PlayerID,$D$3),"")</f>
        <v>0</v>
      </c>
      <c r="T414">
        <f ca="1">IFERROR(SUMIFS(OFFSET(DBRA_TopicCount,0,T$217,DBR_COUNT,1),DBRA_WorkplanDate,$C414,DBRA_PlayerID,$D$3),"")</f>
        <v>0</v>
      </c>
      <c r="U414">
        <f ca="1">IFERROR(SUMIFS(OFFSET(DBRA_TopicCount,0,U$217,DBR_COUNT,1),DBRA_WorkplanDate,$C414,DBRA_PlayerID,$D$3),"")</f>
        <v>0</v>
      </c>
      <c r="V414">
        <f ca="1">IFERROR(SUMIFS(OFFSET(DBRA_TopicCount,0,V$217,DBR_COUNT,1),DBRA_WorkplanDate,$C414,DBRA_PlayerID,$D$3),"")</f>
        <v>0</v>
      </c>
      <c r="W414" s="47"/>
      <c r="X414" t="str">
        <f t="shared" ca="1" si="104"/>
        <v/>
      </c>
      <c r="Y414" t="str">
        <f t="shared" ca="1" si="96"/>
        <v/>
      </c>
      <c r="Z414" t="str">
        <f t="shared" ca="1" si="97"/>
        <v/>
      </c>
      <c r="AA414" t="str">
        <f t="shared" ca="1" si="98"/>
        <v/>
      </c>
      <c r="AB414" t="str">
        <f t="shared" ca="1" si="99"/>
        <v/>
      </c>
      <c r="AC414" t="str">
        <f t="shared" ca="1" si="100"/>
        <v/>
      </c>
      <c r="AD414" t="str">
        <f t="shared" ca="1" si="101"/>
        <v/>
      </c>
      <c r="AE414" t="str">
        <f t="shared" ca="1" si="102"/>
        <v/>
      </c>
      <c r="AF414" t="str">
        <f t="shared" ca="1" si="103"/>
        <v/>
      </c>
      <c r="AG414" s="47"/>
    </row>
    <row r="415" spans="3:33" x14ac:dyDescent="0.25">
      <c r="C415" s="118">
        <f t="shared" si="105"/>
        <v>42201</v>
      </c>
      <c r="D415">
        <f ca="1">IFERROR(SUMIFS(OFFSET(DBRA_TopicHCP,0,D$217,DBR_COUNT,1),DBRA_WorkplanDate,$C415,DBRA_PlayerID,$D$3),"")</f>
        <v>0</v>
      </c>
      <c r="E415">
        <f ca="1">IFERROR(SUMIFS(OFFSET(DBRA_TopicHCP,0,E$217,DBR_COUNT,1),DBRA_WorkplanDate,$C415,DBRA_PlayerID,$D$3),"")</f>
        <v>0</v>
      </c>
      <c r="F415">
        <f ca="1">IFERROR(SUMIFS(OFFSET(DBRA_TopicHCP,0,F$217,DBR_COUNT,1),DBRA_WorkplanDate,$C415,DBRA_PlayerID,$D$3),"")</f>
        <v>0</v>
      </c>
      <c r="G415">
        <f ca="1">IFERROR(SUMIFS(OFFSET(DBRA_TopicHCP,0,G$217,DBR_COUNT,1),DBRA_WorkplanDate,$C415,DBRA_PlayerID,$D$3),"")</f>
        <v>0</v>
      </c>
      <c r="H415">
        <f ca="1">IFERROR(SUMIFS(OFFSET(DBRA_TopicHCP,0,H$217,DBR_COUNT,1),DBRA_WorkplanDate,$C415,DBRA_PlayerID,$D$3),"")</f>
        <v>0</v>
      </c>
      <c r="I415">
        <f ca="1">IFERROR(SUMIFS(OFFSET(DBRA_TopicHCP,0,I$217,DBR_COUNT,1),DBRA_WorkplanDate,$C415,DBRA_PlayerID,$D$3),"")</f>
        <v>0</v>
      </c>
      <c r="J415">
        <f ca="1">IFERROR(SUMIFS(OFFSET(DBRA_TopicHCP,0,J$217,DBR_COUNT,1),DBRA_WorkplanDate,$C415,DBRA_PlayerID,$D$3),"")</f>
        <v>0</v>
      </c>
      <c r="K415">
        <f ca="1">IFERROR(SUMIFS(OFFSET(DBRA_TopicHCP,0,K$217,DBR_COUNT,1),DBRA_WorkplanDate,$C415,DBRA_PlayerID,$D$3),"")</f>
        <v>0</v>
      </c>
      <c r="L415">
        <f ca="1">IFERROR(SUMIFS(OFFSET(DBRA_TopicHCP,0,L$217,DBR_COUNT,1),DBRA_WorkplanDate,$C415,DBRA_PlayerID,$D$3),"")</f>
        <v>0</v>
      </c>
      <c r="M415" s="47"/>
      <c r="N415">
        <f ca="1">IFERROR(SUMIFS(OFFSET(DBRA_TopicCount,0,N$217,DBR_COUNT,1),DBRA_WorkplanDate,$C415,DBRA_PlayerID,$D$3),"")</f>
        <v>0</v>
      </c>
      <c r="O415">
        <f ca="1">IFERROR(SUMIFS(OFFSET(DBRA_TopicCount,0,O$217,DBR_COUNT,1),DBRA_WorkplanDate,$C415,DBRA_PlayerID,$D$3),"")</f>
        <v>0</v>
      </c>
      <c r="P415">
        <f ca="1">IFERROR(SUMIFS(OFFSET(DBRA_TopicCount,0,P$217,DBR_COUNT,1),DBRA_WorkplanDate,$C415,DBRA_PlayerID,$D$3),"")</f>
        <v>0</v>
      </c>
      <c r="Q415">
        <f ca="1">IFERROR(SUMIFS(OFFSET(DBRA_TopicCount,0,Q$217,DBR_COUNT,1),DBRA_WorkplanDate,$C415,DBRA_PlayerID,$D$3),"")</f>
        <v>0</v>
      </c>
      <c r="R415">
        <f ca="1">IFERROR(SUMIFS(OFFSET(DBRA_TopicCount,0,R$217,DBR_COUNT,1),DBRA_WorkplanDate,$C415,DBRA_PlayerID,$D$3),"")</f>
        <v>0</v>
      </c>
      <c r="S415">
        <f ca="1">IFERROR(SUMIFS(OFFSET(DBRA_TopicCount,0,S$217,DBR_COUNT,1),DBRA_WorkplanDate,$C415,DBRA_PlayerID,$D$3),"")</f>
        <v>0</v>
      </c>
      <c r="T415">
        <f ca="1">IFERROR(SUMIFS(OFFSET(DBRA_TopicCount,0,T$217,DBR_COUNT,1),DBRA_WorkplanDate,$C415,DBRA_PlayerID,$D$3),"")</f>
        <v>0</v>
      </c>
      <c r="U415">
        <f ca="1">IFERROR(SUMIFS(OFFSET(DBRA_TopicCount,0,U$217,DBR_COUNT,1),DBRA_WorkplanDate,$C415,DBRA_PlayerID,$D$3),"")</f>
        <v>0</v>
      </c>
      <c r="V415">
        <f ca="1">IFERROR(SUMIFS(OFFSET(DBRA_TopicCount,0,V$217,DBR_COUNT,1),DBRA_WorkplanDate,$C415,DBRA_PlayerID,$D$3),"")</f>
        <v>0</v>
      </c>
      <c r="W415" s="47"/>
      <c r="X415" t="str">
        <f t="shared" ca="1" si="104"/>
        <v/>
      </c>
      <c r="Y415" t="str">
        <f t="shared" ca="1" si="96"/>
        <v/>
      </c>
      <c r="Z415" t="str">
        <f t="shared" ca="1" si="97"/>
        <v/>
      </c>
      <c r="AA415" t="str">
        <f t="shared" ca="1" si="98"/>
        <v/>
      </c>
      <c r="AB415" t="str">
        <f t="shared" ca="1" si="99"/>
        <v/>
      </c>
      <c r="AC415" t="str">
        <f t="shared" ca="1" si="100"/>
        <v/>
      </c>
      <c r="AD415" t="str">
        <f t="shared" ca="1" si="101"/>
        <v/>
      </c>
      <c r="AE415" t="str">
        <f t="shared" ca="1" si="102"/>
        <v/>
      </c>
      <c r="AF415" t="str">
        <f t="shared" ca="1" si="103"/>
        <v/>
      </c>
      <c r="AG415" s="47"/>
    </row>
    <row r="416" spans="3:33" x14ac:dyDescent="0.25">
      <c r="C416" s="118">
        <f t="shared" si="105"/>
        <v>42202</v>
      </c>
      <c r="D416">
        <f ca="1">IFERROR(SUMIFS(OFFSET(DBRA_TopicHCP,0,D$217,DBR_COUNT,1),DBRA_WorkplanDate,$C416,DBRA_PlayerID,$D$3),"")</f>
        <v>0</v>
      </c>
      <c r="E416">
        <f ca="1">IFERROR(SUMIFS(OFFSET(DBRA_TopicHCP,0,E$217,DBR_COUNT,1),DBRA_WorkplanDate,$C416,DBRA_PlayerID,$D$3),"")</f>
        <v>0</v>
      </c>
      <c r="F416">
        <f ca="1">IFERROR(SUMIFS(OFFSET(DBRA_TopicHCP,0,F$217,DBR_COUNT,1),DBRA_WorkplanDate,$C416,DBRA_PlayerID,$D$3),"")</f>
        <v>0</v>
      </c>
      <c r="G416">
        <f ca="1">IFERROR(SUMIFS(OFFSET(DBRA_TopicHCP,0,G$217,DBR_COUNT,1),DBRA_WorkplanDate,$C416,DBRA_PlayerID,$D$3),"")</f>
        <v>0</v>
      </c>
      <c r="H416">
        <f ca="1">IFERROR(SUMIFS(OFFSET(DBRA_TopicHCP,0,H$217,DBR_COUNT,1),DBRA_WorkplanDate,$C416,DBRA_PlayerID,$D$3),"")</f>
        <v>0</v>
      </c>
      <c r="I416">
        <f ca="1">IFERROR(SUMIFS(OFFSET(DBRA_TopicHCP,0,I$217,DBR_COUNT,1),DBRA_WorkplanDate,$C416,DBRA_PlayerID,$D$3),"")</f>
        <v>0</v>
      </c>
      <c r="J416">
        <f ca="1">IFERROR(SUMIFS(OFFSET(DBRA_TopicHCP,0,J$217,DBR_COUNT,1),DBRA_WorkplanDate,$C416,DBRA_PlayerID,$D$3),"")</f>
        <v>0</v>
      </c>
      <c r="K416">
        <f ca="1">IFERROR(SUMIFS(OFFSET(DBRA_TopicHCP,0,K$217,DBR_COUNT,1),DBRA_WorkplanDate,$C416,DBRA_PlayerID,$D$3),"")</f>
        <v>0</v>
      </c>
      <c r="L416">
        <f ca="1">IFERROR(SUMIFS(OFFSET(DBRA_TopicHCP,0,L$217,DBR_COUNT,1),DBRA_WorkplanDate,$C416,DBRA_PlayerID,$D$3),"")</f>
        <v>0</v>
      </c>
      <c r="M416" s="47"/>
      <c r="N416">
        <f ca="1">IFERROR(SUMIFS(OFFSET(DBRA_TopicCount,0,N$217,DBR_COUNT,1),DBRA_WorkplanDate,$C416,DBRA_PlayerID,$D$3),"")</f>
        <v>0</v>
      </c>
      <c r="O416">
        <f ca="1">IFERROR(SUMIFS(OFFSET(DBRA_TopicCount,0,O$217,DBR_COUNT,1),DBRA_WorkplanDate,$C416,DBRA_PlayerID,$D$3),"")</f>
        <v>0</v>
      </c>
      <c r="P416">
        <f ca="1">IFERROR(SUMIFS(OFFSET(DBRA_TopicCount,0,P$217,DBR_COUNT,1),DBRA_WorkplanDate,$C416,DBRA_PlayerID,$D$3),"")</f>
        <v>0</v>
      </c>
      <c r="Q416">
        <f ca="1">IFERROR(SUMIFS(OFFSET(DBRA_TopicCount,0,Q$217,DBR_COUNT,1),DBRA_WorkplanDate,$C416,DBRA_PlayerID,$D$3),"")</f>
        <v>0</v>
      </c>
      <c r="R416">
        <f ca="1">IFERROR(SUMIFS(OFFSET(DBRA_TopicCount,0,R$217,DBR_COUNT,1),DBRA_WorkplanDate,$C416,DBRA_PlayerID,$D$3),"")</f>
        <v>0</v>
      </c>
      <c r="S416">
        <f ca="1">IFERROR(SUMIFS(OFFSET(DBRA_TopicCount,0,S$217,DBR_COUNT,1),DBRA_WorkplanDate,$C416,DBRA_PlayerID,$D$3),"")</f>
        <v>0</v>
      </c>
      <c r="T416">
        <f ca="1">IFERROR(SUMIFS(OFFSET(DBRA_TopicCount,0,T$217,DBR_COUNT,1),DBRA_WorkplanDate,$C416,DBRA_PlayerID,$D$3),"")</f>
        <v>0</v>
      </c>
      <c r="U416">
        <f ca="1">IFERROR(SUMIFS(OFFSET(DBRA_TopicCount,0,U$217,DBR_COUNT,1),DBRA_WorkplanDate,$C416,DBRA_PlayerID,$D$3),"")</f>
        <v>0</v>
      </c>
      <c r="V416">
        <f ca="1">IFERROR(SUMIFS(OFFSET(DBRA_TopicCount,0,V$217,DBR_COUNT,1),DBRA_WorkplanDate,$C416,DBRA_PlayerID,$D$3),"")</f>
        <v>0</v>
      </c>
      <c r="W416" s="47"/>
      <c r="X416" t="str">
        <f t="shared" ca="1" si="104"/>
        <v/>
      </c>
      <c r="Y416" t="str">
        <f t="shared" ca="1" si="96"/>
        <v/>
      </c>
      <c r="Z416" t="str">
        <f t="shared" ca="1" si="97"/>
        <v/>
      </c>
      <c r="AA416" t="str">
        <f t="shared" ca="1" si="98"/>
        <v/>
      </c>
      <c r="AB416" t="str">
        <f t="shared" ca="1" si="99"/>
        <v/>
      </c>
      <c r="AC416" t="str">
        <f t="shared" ca="1" si="100"/>
        <v/>
      </c>
      <c r="AD416" t="str">
        <f t="shared" ca="1" si="101"/>
        <v/>
      </c>
      <c r="AE416" t="str">
        <f t="shared" ca="1" si="102"/>
        <v/>
      </c>
      <c r="AF416" t="str">
        <f t="shared" ca="1" si="103"/>
        <v/>
      </c>
      <c r="AG416" s="47"/>
    </row>
    <row r="417" spans="3:33" x14ac:dyDescent="0.25">
      <c r="C417" s="118">
        <f t="shared" si="105"/>
        <v>42203</v>
      </c>
      <c r="D417">
        <f ca="1">IFERROR(SUMIFS(OFFSET(DBRA_TopicHCP,0,D$217,DBR_COUNT,1),DBRA_WorkplanDate,$C417,DBRA_PlayerID,$D$3),"")</f>
        <v>0</v>
      </c>
      <c r="E417">
        <f ca="1">IFERROR(SUMIFS(OFFSET(DBRA_TopicHCP,0,E$217,DBR_COUNT,1),DBRA_WorkplanDate,$C417,DBRA_PlayerID,$D$3),"")</f>
        <v>0</v>
      </c>
      <c r="F417">
        <f ca="1">IFERROR(SUMIFS(OFFSET(DBRA_TopicHCP,0,F$217,DBR_COUNT,1),DBRA_WorkplanDate,$C417,DBRA_PlayerID,$D$3),"")</f>
        <v>0</v>
      </c>
      <c r="G417">
        <f ca="1">IFERROR(SUMIFS(OFFSET(DBRA_TopicHCP,0,G$217,DBR_COUNT,1),DBRA_WorkplanDate,$C417,DBRA_PlayerID,$D$3),"")</f>
        <v>0</v>
      </c>
      <c r="H417">
        <f ca="1">IFERROR(SUMIFS(OFFSET(DBRA_TopicHCP,0,H$217,DBR_COUNT,1),DBRA_WorkplanDate,$C417,DBRA_PlayerID,$D$3),"")</f>
        <v>0</v>
      </c>
      <c r="I417">
        <f ca="1">IFERROR(SUMIFS(OFFSET(DBRA_TopicHCP,0,I$217,DBR_COUNT,1),DBRA_WorkplanDate,$C417,DBRA_PlayerID,$D$3),"")</f>
        <v>0</v>
      </c>
      <c r="J417">
        <f ca="1">IFERROR(SUMIFS(OFFSET(DBRA_TopicHCP,0,J$217,DBR_COUNT,1),DBRA_WorkplanDate,$C417,DBRA_PlayerID,$D$3),"")</f>
        <v>0</v>
      </c>
      <c r="K417">
        <f ca="1">IFERROR(SUMIFS(OFFSET(DBRA_TopicHCP,0,K$217,DBR_COUNT,1),DBRA_WorkplanDate,$C417,DBRA_PlayerID,$D$3),"")</f>
        <v>0</v>
      </c>
      <c r="L417">
        <f ca="1">IFERROR(SUMIFS(OFFSET(DBRA_TopicHCP,0,L$217,DBR_COUNT,1),DBRA_WorkplanDate,$C417,DBRA_PlayerID,$D$3),"")</f>
        <v>0</v>
      </c>
      <c r="M417" s="47"/>
      <c r="N417">
        <f ca="1">IFERROR(SUMIFS(OFFSET(DBRA_TopicCount,0,N$217,DBR_COUNT,1),DBRA_WorkplanDate,$C417,DBRA_PlayerID,$D$3),"")</f>
        <v>0</v>
      </c>
      <c r="O417">
        <f ca="1">IFERROR(SUMIFS(OFFSET(DBRA_TopicCount,0,O$217,DBR_COUNT,1),DBRA_WorkplanDate,$C417,DBRA_PlayerID,$D$3),"")</f>
        <v>0</v>
      </c>
      <c r="P417">
        <f ca="1">IFERROR(SUMIFS(OFFSET(DBRA_TopicCount,0,P$217,DBR_COUNT,1),DBRA_WorkplanDate,$C417,DBRA_PlayerID,$D$3),"")</f>
        <v>0</v>
      </c>
      <c r="Q417">
        <f ca="1">IFERROR(SUMIFS(OFFSET(DBRA_TopicCount,0,Q$217,DBR_COUNT,1),DBRA_WorkplanDate,$C417,DBRA_PlayerID,$D$3),"")</f>
        <v>0</v>
      </c>
      <c r="R417">
        <f ca="1">IFERROR(SUMIFS(OFFSET(DBRA_TopicCount,0,R$217,DBR_COUNT,1),DBRA_WorkplanDate,$C417,DBRA_PlayerID,$D$3),"")</f>
        <v>0</v>
      </c>
      <c r="S417">
        <f ca="1">IFERROR(SUMIFS(OFFSET(DBRA_TopicCount,0,S$217,DBR_COUNT,1),DBRA_WorkplanDate,$C417,DBRA_PlayerID,$D$3),"")</f>
        <v>0</v>
      </c>
      <c r="T417">
        <f ca="1">IFERROR(SUMIFS(OFFSET(DBRA_TopicCount,0,T$217,DBR_COUNT,1),DBRA_WorkplanDate,$C417,DBRA_PlayerID,$D$3),"")</f>
        <v>0</v>
      </c>
      <c r="U417">
        <f ca="1">IFERROR(SUMIFS(OFFSET(DBRA_TopicCount,0,U$217,DBR_COUNT,1),DBRA_WorkplanDate,$C417,DBRA_PlayerID,$D$3),"")</f>
        <v>0</v>
      </c>
      <c r="V417">
        <f ca="1">IFERROR(SUMIFS(OFFSET(DBRA_TopicCount,0,V$217,DBR_COUNT,1),DBRA_WorkplanDate,$C417,DBRA_PlayerID,$D$3),"")</f>
        <v>0</v>
      </c>
      <c r="W417" s="47"/>
      <c r="X417" t="str">
        <f t="shared" ca="1" si="104"/>
        <v/>
      </c>
      <c r="Y417" t="str">
        <f t="shared" ca="1" si="96"/>
        <v/>
      </c>
      <c r="Z417" t="str">
        <f t="shared" ca="1" si="97"/>
        <v/>
      </c>
      <c r="AA417" t="str">
        <f t="shared" ca="1" si="98"/>
        <v/>
      </c>
      <c r="AB417" t="str">
        <f t="shared" ca="1" si="99"/>
        <v/>
      </c>
      <c r="AC417" t="str">
        <f t="shared" ca="1" si="100"/>
        <v/>
      </c>
      <c r="AD417" t="str">
        <f t="shared" ca="1" si="101"/>
        <v/>
      </c>
      <c r="AE417" t="str">
        <f t="shared" ca="1" si="102"/>
        <v/>
      </c>
      <c r="AF417" t="str">
        <f t="shared" ca="1" si="103"/>
        <v/>
      </c>
      <c r="AG417" s="47"/>
    </row>
    <row r="418" spans="3:33" x14ac:dyDescent="0.25">
      <c r="C418" s="118">
        <f t="shared" si="105"/>
        <v>42204</v>
      </c>
      <c r="D418">
        <f ca="1">IFERROR(SUMIFS(OFFSET(DBRA_TopicHCP,0,D$217,DBR_COUNT,1),DBRA_WorkplanDate,$C418,DBRA_PlayerID,$D$3),"")</f>
        <v>0</v>
      </c>
      <c r="E418">
        <f ca="1">IFERROR(SUMIFS(OFFSET(DBRA_TopicHCP,0,E$217,DBR_COUNT,1),DBRA_WorkplanDate,$C418,DBRA_PlayerID,$D$3),"")</f>
        <v>0</v>
      </c>
      <c r="F418">
        <f ca="1">IFERROR(SUMIFS(OFFSET(DBRA_TopicHCP,0,F$217,DBR_COUNT,1),DBRA_WorkplanDate,$C418,DBRA_PlayerID,$D$3),"")</f>
        <v>0</v>
      </c>
      <c r="G418">
        <f ca="1">IFERROR(SUMIFS(OFFSET(DBRA_TopicHCP,0,G$217,DBR_COUNT,1),DBRA_WorkplanDate,$C418,DBRA_PlayerID,$D$3),"")</f>
        <v>0</v>
      </c>
      <c r="H418">
        <f ca="1">IFERROR(SUMIFS(OFFSET(DBRA_TopicHCP,0,H$217,DBR_COUNT,1),DBRA_WorkplanDate,$C418,DBRA_PlayerID,$D$3),"")</f>
        <v>0</v>
      </c>
      <c r="I418">
        <f ca="1">IFERROR(SUMIFS(OFFSET(DBRA_TopicHCP,0,I$217,DBR_COUNT,1),DBRA_WorkplanDate,$C418,DBRA_PlayerID,$D$3),"")</f>
        <v>0</v>
      </c>
      <c r="J418">
        <f ca="1">IFERROR(SUMIFS(OFFSET(DBRA_TopicHCP,0,J$217,DBR_COUNT,1),DBRA_WorkplanDate,$C418,DBRA_PlayerID,$D$3),"")</f>
        <v>0</v>
      </c>
      <c r="K418">
        <f ca="1">IFERROR(SUMIFS(OFFSET(DBRA_TopicHCP,0,K$217,DBR_COUNT,1),DBRA_WorkplanDate,$C418,DBRA_PlayerID,$D$3),"")</f>
        <v>0</v>
      </c>
      <c r="L418">
        <f ca="1">IFERROR(SUMIFS(OFFSET(DBRA_TopicHCP,0,L$217,DBR_COUNT,1),DBRA_WorkplanDate,$C418,DBRA_PlayerID,$D$3),"")</f>
        <v>0</v>
      </c>
      <c r="M418" s="47"/>
      <c r="N418">
        <f ca="1">IFERROR(SUMIFS(OFFSET(DBRA_TopicCount,0,N$217,DBR_COUNT,1),DBRA_WorkplanDate,$C418,DBRA_PlayerID,$D$3),"")</f>
        <v>0</v>
      </c>
      <c r="O418">
        <f ca="1">IFERROR(SUMIFS(OFFSET(DBRA_TopicCount,0,O$217,DBR_COUNT,1),DBRA_WorkplanDate,$C418,DBRA_PlayerID,$D$3),"")</f>
        <v>0</v>
      </c>
      <c r="P418">
        <f ca="1">IFERROR(SUMIFS(OFFSET(DBRA_TopicCount,0,P$217,DBR_COUNT,1),DBRA_WorkplanDate,$C418,DBRA_PlayerID,$D$3),"")</f>
        <v>0</v>
      </c>
      <c r="Q418">
        <f ca="1">IFERROR(SUMIFS(OFFSET(DBRA_TopicCount,0,Q$217,DBR_COUNT,1),DBRA_WorkplanDate,$C418,DBRA_PlayerID,$D$3),"")</f>
        <v>0</v>
      </c>
      <c r="R418">
        <f ca="1">IFERROR(SUMIFS(OFFSET(DBRA_TopicCount,0,R$217,DBR_COUNT,1),DBRA_WorkplanDate,$C418,DBRA_PlayerID,$D$3),"")</f>
        <v>0</v>
      </c>
      <c r="S418">
        <f ca="1">IFERROR(SUMIFS(OFFSET(DBRA_TopicCount,0,S$217,DBR_COUNT,1),DBRA_WorkplanDate,$C418,DBRA_PlayerID,$D$3),"")</f>
        <v>0</v>
      </c>
      <c r="T418">
        <f ca="1">IFERROR(SUMIFS(OFFSET(DBRA_TopicCount,0,T$217,DBR_COUNT,1),DBRA_WorkplanDate,$C418,DBRA_PlayerID,$D$3),"")</f>
        <v>0</v>
      </c>
      <c r="U418">
        <f ca="1">IFERROR(SUMIFS(OFFSET(DBRA_TopicCount,0,U$217,DBR_COUNT,1),DBRA_WorkplanDate,$C418,DBRA_PlayerID,$D$3),"")</f>
        <v>0</v>
      </c>
      <c r="V418">
        <f ca="1">IFERROR(SUMIFS(OFFSET(DBRA_TopicCount,0,V$217,DBR_COUNT,1),DBRA_WorkplanDate,$C418,DBRA_PlayerID,$D$3),"")</f>
        <v>0</v>
      </c>
      <c r="W418" s="47"/>
      <c r="X418" t="str">
        <f t="shared" ca="1" si="104"/>
        <v/>
      </c>
      <c r="Y418" t="str">
        <f t="shared" ca="1" si="96"/>
        <v/>
      </c>
      <c r="Z418" t="str">
        <f t="shared" ca="1" si="97"/>
        <v/>
      </c>
      <c r="AA418" t="str">
        <f t="shared" ca="1" si="98"/>
        <v/>
      </c>
      <c r="AB418" t="str">
        <f t="shared" ca="1" si="99"/>
        <v/>
      </c>
      <c r="AC418" t="str">
        <f t="shared" ca="1" si="100"/>
        <v/>
      </c>
      <c r="AD418" t="str">
        <f t="shared" ca="1" si="101"/>
        <v/>
      </c>
      <c r="AE418" t="str">
        <f t="shared" ca="1" si="102"/>
        <v/>
      </c>
      <c r="AF418" t="str">
        <f t="shared" ca="1" si="103"/>
        <v/>
      </c>
      <c r="AG418" s="47"/>
    </row>
    <row r="419" spans="3:33" x14ac:dyDescent="0.25">
      <c r="C419" s="118">
        <f t="shared" si="105"/>
        <v>42205</v>
      </c>
      <c r="D419">
        <f ca="1">IFERROR(SUMIFS(OFFSET(DBRA_TopicHCP,0,D$217,DBR_COUNT,1),DBRA_WorkplanDate,$C419,DBRA_PlayerID,$D$3),"")</f>
        <v>0</v>
      </c>
      <c r="E419">
        <f ca="1">IFERROR(SUMIFS(OFFSET(DBRA_TopicHCP,0,E$217,DBR_COUNT,1),DBRA_WorkplanDate,$C419,DBRA_PlayerID,$D$3),"")</f>
        <v>0</v>
      </c>
      <c r="F419">
        <f ca="1">IFERROR(SUMIFS(OFFSET(DBRA_TopicHCP,0,F$217,DBR_COUNT,1),DBRA_WorkplanDate,$C419,DBRA_PlayerID,$D$3),"")</f>
        <v>0</v>
      </c>
      <c r="G419">
        <f ca="1">IFERROR(SUMIFS(OFFSET(DBRA_TopicHCP,0,G$217,DBR_COUNT,1),DBRA_WorkplanDate,$C419,DBRA_PlayerID,$D$3),"")</f>
        <v>0</v>
      </c>
      <c r="H419">
        <f ca="1">IFERROR(SUMIFS(OFFSET(DBRA_TopicHCP,0,H$217,DBR_COUNT,1),DBRA_WorkplanDate,$C419,DBRA_PlayerID,$D$3),"")</f>
        <v>0</v>
      </c>
      <c r="I419">
        <f ca="1">IFERROR(SUMIFS(OFFSET(DBRA_TopicHCP,0,I$217,DBR_COUNT,1),DBRA_WorkplanDate,$C419,DBRA_PlayerID,$D$3),"")</f>
        <v>0</v>
      </c>
      <c r="J419">
        <f ca="1">IFERROR(SUMIFS(OFFSET(DBRA_TopicHCP,0,J$217,DBR_COUNT,1),DBRA_WorkplanDate,$C419,DBRA_PlayerID,$D$3),"")</f>
        <v>0</v>
      </c>
      <c r="K419">
        <f ca="1">IFERROR(SUMIFS(OFFSET(DBRA_TopicHCP,0,K$217,DBR_COUNT,1),DBRA_WorkplanDate,$C419,DBRA_PlayerID,$D$3),"")</f>
        <v>0</v>
      </c>
      <c r="L419">
        <f ca="1">IFERROR(SUMIFS(OFFSET(DBRA_TopicHCP,0,L$217,DBR_COUNT,1),DBRA_WorkplanDate,$C419,DBRA_PlayerID,$D$3),"")</f>
        <v>0</v>
      </c>
      <c r="M419" s="47"/>
      <c r="N419">
        <f ca="1">IFERROR(SUMIFS(OFFSET(DBRA_TopicCount,0,N$217,DBR_COUNT,1),DBRA_WorkplanDate,$C419,DBRA_PlayerID,$D$3),"")</f>
        <v>0</v>
      </c>
      <c r="O419">
        <f ca="1">IFERROR(SUMIFS(OFFSET(DBRA_TopicCount,0,O$217,DBR_COUNT,1),DBRA_WorkplanDate,$C419,DBRA_PlayerID,$D$3),"")</f>
        <v>0</v>
      </c>
      <c r="P419">
        <f ca="1">IFERROR(SUMIFS(OFFSET(DBRA_TopicCount,0,P$217,DBR_COUNT,1),DBRA_WorkplanDate,$C419,DBRA_PlayerID,$D$3),"")</f>
        <v>0</v>
      </c>
      <c r="Q419">
        <f ca="1">IFERROR(SUMIFS(OFFSET(DBRA_TopicCount,0,Q$217,DBR_COUNT,1),DBRA_WorkplanDate,$C419,DBRA_PlayerID,$D$3),"")</f>
        <v>0</v>
      </c>
      <c r="R419">
        <f ca="1">IFERROR(SUMIFS(OFFSET(DBRA_TopicCount,0,R$217,DBR_COUNT,1),DBRA_WorkplanDate,$C419,DBRA_PlayerID,$D$3),"")</f>
        <v>0</v>
      </c>
      <c r="S419">
        <f ca="1">IFERROR(SUMIFS(OFFSET(DBRA_TopicCount,0,S$217,DBR_COUNT,1),DBRA_WorkplanDate,$C419,DBRA_PlayerID,$D$3),"")</f>
        <v>0</v>
      </c>
      <c r="T419">
        <f ca="1">IFERROR(SUMIFS(OFFSET(DBRA_TopicCount,0,T$217,DBR_COUNT,1),DBRA_WorkplanDate,$C419,DBRA_PlayerID,$D$3),"")</f>
        <v>0</v>
      </c>
      <c r="U419">
        <f ca="1">IFERROR(SUMIFS(OFFSET(DBRA_TopicCount,0,U$217,DBR_COUNT,1),DBRA_WorkplanDate,$C419,DBRA_PlayerID,$D$3),"")</f>
        <v>0</v>
      </c>
      <c r="V419">
        <f ca="1">IFERROR(SUMIFS(OFFSET(DBRA_TopicCount,0,V$217,DBR_COUNT,1),DBRA_WorkplanDate,$C419,DBRA_PlayerID,$D$3),"")</f>
        <v>0</v>
      </c>
      <c r="W419" s="47"/>
      <c r="X419" t="str">
        <f t="shared" ca="1" si="104"/>
        <v/>
      </c>
      <c r="Y419" t="str">
        <f t="shared" ca="1" si="96"/>
        <v/>
      </c>
      <c r="Z419" t="str">
        <f t="shared" ca="1" si="97"/>
        <v/>
      </c>
      <c r="AA419" t="str">
        <f t="shared" ca="1" si="98"/>
        <v/>
      </c>
      <c r="AB419" t="str">
        <f t="shared" ca="1" si="99"/>
        <v/>
      </c>
      <c r="AC419" t="str">
        <f t="shared" ca="1" si="100"/>
        <v/>
      </c>
      <c r="AD419" t="str">
        <f t="shared" ca="1" si="101"/>
        <v/>
      </c>
      <c r="AE419" t="str">
        <f t="shared" ca="1" si="102"/>
        <v/>
      </c>
      <c r="AF419" t="str">
        <f t="shared" ca="1" si="103"/>
        <v/>
      </c>
      <c r="AG419" s="47"/>
    </row>
    <row r="420" spans="3:33" x14ac:dyDescent="0.25">
      <c r="C420" s="118">
        <f t="shared" si="105"/>
        <v>42206</v>
      </c>
      <c r="D420">
        <f ca="1">IFERROR(SUMIFS(OFFSET(DBRA_TopicHCP,0,D$217,DBR_COUNT,1),DBRA_WorkplanDate,$C420,DBRA_PlayerID,$D$3),"")</f>
        <v>0</v>
      </c>
      <c r="E420">
        <f ca="1">IFERROR(SUMIFS(OFFSET(DBRA_TopicHCP,0,E$217,DBR_COUNT,1),DBRA_WorkplanDate,$C420,DBRA_PlayerID,$D$3),"")</f>
        <v>0</v>
      </c>
      <c r="F420">
        <f ca="1">IFERROR(SUMIFS(OFFSET(DBRA_TopicHCP,0,F$217,DBR_COUNT,1),DBRA_WorkplanDate,$C420,DBRA_PlayerID,$D$3),"")</f>
        <v>0</v>
      </c>
      <c r="G420">
        <f ca="1">IFERROR(SUMIFS(OFFSET(DBRA_TopicHCP,0,G$217,DBR_COUNT,1),DBRA_WorkplanDate,$C420,DBRA_PlayerID,$D$3),"")</f>
        <v>0</v>
      </c>
      <c r="H420">
        <f ca="1">IFERROR(SUMIFS(OFFSET(DBRA_TopicHCP,0,H$217,DBR_COUNT,1),DBRA_WorkplanDate,$C420,DBRA_PlayerID,$D$3),"")</f>
        <v>0</v>
      </c>
      <c r="I420">
        <f ca="1">IFERROR(SUMIFS(OFFSET(DBRA_TopicHCP,0,I$217,DBR_COUNT,1),DBRA_WorkplanDate,$C420,DBRA_PlayerID,$D$3),"")</f>
        <v>0</v>
      </c>
      <c r="J420">
        <f ca="1">IFERROR(SUMIFS(OFFSET(DBRA_TopicHCP,0,J$217,DBR_COUNT,1),DBRA_WorkplanDate,$C420,DBRA_PlayerID,$D$3),"")</f>
        <v>0</v>
      </c>
      <c r="K420">
        <f ca="1">IFERROR(SUMIFS(OFFSET(DBRA_TopicHCP,0,K$217,DBR_COUNT,1),DBRA_WorkplanDate,$C420,DBRA_PlayerID,$D$3),"")</f>
        <v>0</v>
      </c>
      <c r="L420">
        <f ca="1">IFERROR(SUMIFS(OFFSET(DBRA_TopicHCP,0,L$217,DBR_COUNT,1),DBRA_WorkplanDate,$C420,DBRA_PlayerID,$D$3),"")</f>
        <v>0</v>
      </c>
      <c r="M420" s="47"/>
      <c r="N420">
        <f ca="1">IFERROR(SUMIFS(OFFSET(DBRA_TopicCount,0,N$217,DBR_COUNT,1),DBRA_WorkplanDate,$C420,DBRA_PlayerID,$D$3),"")</f>
        <v>0</v>
      </c>
      <c r="O420">
        <f ca="1">IFERROR(SUMIFS(OFFSET(DBRA_TopicCount,0,O$217,DBR_COUNT,1),DBRA_WorkplanDate,$C420,DBRA_PlayerID,$D$3),"")</f>
        <v>0</v>
      </c>
      <c r="P420">
        <f ca="1">IFERROR(SUMIFS(OFFSET(DBRA_TopicCount,0,P$217,DBR_COUNT,1),DBRA_WorkplanDate,$C420,DBRA_PlayerID,$D$3),"")</f>
        <v>0</v>
      </c>
      <c r="Q420">
        <f ca="1">IFERROR(SUMIFS(OFFSET(DBRA_TopicCount,0,Q$217,DBR_COUNT,1),DBRA_WorkplanDate,$C420,DBRA_PlayerID,$D$3),"")</f>
        <v>0</v>
      </c>
      <c r="R420">
        <f ca="1">IFERROR(SUMIFS(OFFSET(DBRA_TopicCount,0,R$217,DBR_COUNT,1),DBRA_WorkplanDate,$C420,DBRA_PlayerID,$D$3),"")</f>
        <v>0</v>
      </c>
      <c r="S420">
        <f ca="1">IFERROR(SUMIFS(OFFSET(DBRA_TopicCount,0,S$217,DBR_COUNT,1),DBRA_WorkplanDate,$C420,DBRA_PlayerID,$D$3),"")</f>
        <v>0</v>
      </c>
      <c r="T420">
        <f ca="1">IFERROR(SUMIFS(OFFSET(DBRA_TopicCount,0,T$217,DBR_COUNT,1),DBRA_WorkplanDate,$C420,DBRA_PlayerID,$D$3),"")</f>
        <v>0</v>
      </c>
      <c r="U420">
        <f ca="1">IFERROR(SUMIFS(OFFSET(DBRA_TopicCount,0,U$217,DBR_COUNT,1),DBRA_WorkplanDate,$C420,DBRA_PlayerID,$D$3),"")</f>
        <v>0</v>
      </c>
      <c r="V420">
        <f ca="1">IFERROR(SUMIFS(OFFSET(DBRA_TopicCount,0,V$217,DBR_COUNT,1),DBRA_WorkplanDate,$C420,DBRA_PlayerID,$D$3),"")</f>
        <v>0</v>
      </c>
      <c r="W420" s="47"/>
      <c r="X420" t="str">
        <f t="shared" ca="1" si="104"/>
        <v/>
      </c>
      <c r="Y420" t="str">
        <f t="shared" ca="1" si="96"/>
        <v/>
      </c>
      <c r="Z420" t="str">
        <f t="shared" ca="1" si="97"/>
        <v/>
      </c>
      <c r="AA420" t="str">
        <f t="shared" ca="1" si="98"/>
        <v/>
      </c>
      <c r="AB420" t="str">
        <f t="shared" ca="1" si="99"/>
        <v/>
      </c>
      <c r="AC420" t="str">
        <f t="shared" ca="1" si="100"/>
        <v/>
      </c>
      <c r="AD420" t="str">
        <f t="shared" ca="1" si="101"/>
        <v/>
      </c>
      <c r="AE420" t="str">
        <f t="shared" ca="1" si="102"/>
        <v/>
      </c>
      <c r="AF420" t="str">
        <f t="shared" ca="1" si="103"/>
        <v/>
      </c>
      <c r="AG420" s="47"/>
    </row>
    <row r="421" spans="3:33" x14ac:dyDescent="0.25">
      <c r="C421" s="118">
        <f t="shared" si="105"/>
        <v>42207</v>
      </c>
      <c r="D421">
        <f ca="1">IFERROR(SUMIFS(OFFSET(DBRA_TopicHCP,0,D$217,DBR_COUNT,1),DBRA_WorkplanDate,$C421,DBRA_PlayerID,$D$3),"")</f>
        <v>0</v>
      </c>
      <c r="E421">
        <f ca="1">IFERROR(SUMIFS(OFFSET(DBRA_TopicHCP,0,E$217,DBR_COUNT,1),DBRA_WorkplanDate,$C421,DBRA_PlayerID,$D$3),"")</f>
        <v>0</v>
      </c>
      <c r="F421">
        <f ca="1">IFERROR(SUMIFS(OFFSET(DBRA_TopicHCP,0,F$217,DBR_COUNT,1),DBRA_WorkplanDate,$C421,DBRA_PlayerID,$D$3),"")</f>
        <v>0</v>
      </c>
      <c r="G421">
        <f ca="1">IFERROR(SUMIFS(OFFSET(DBRA_TopicHCP,0,G$217,DBR_COUNT,1),DBRA_WorkplanDate,$C421,DBRA_PlayerID,$D$3),"")</f>
        <v>0</v>
      </c>
      <c r="H421">
        <f ca="1">IFERROR(SUMIFS(OFFSET(DBRA_TopicHCP,0,H$217,DBR_COUNT,1),DBRA_WorkplanDate,$C421,DBRA_PlayerID,$D$3),"")</f>
        <v>0</v>
      </c>
      <c r="I421">
        <f ca="1">IFERROR(SUMIFS(OFFSET(DBRA_TopicHCP,0,I$217,DBR_COUNT,1),DBRA_WorkplanDate,$C421,DBRA_PlayerID,$D$3),"")</f>
        <v>0</v>
      </c>
      <c r="J421">
        <f ca="1">IFERROR(SUMIFS(OFFSET(DBRA_TopicHCP,0,J$217,DBR_COUNT,1),DBRA_WorkplanDate,$C421,DBRA_PlayerID,$D$3),"")</f>
        <v>0</v>
      </c>
      <c r="K421">
        <f ca="1">IFERROR(SUMIFS(OFFSET(DBRA_TopicHCP,0,K$217,DBR_COUNT,1),DBRA_WorkplanDate,$C421,DBRA_PlayerID,$D$3),"")</f>
        <v>0</v>
      </c>
      <c r="L421">
        <f ca="1">IFERROR(SUMIFS(OFFSET(DBRA_TopicHCP,0,L$217,DBR_COUNT,1),DBRA_WorkplanDate,$C421,DBRA_PlayerID,$D$3),"")</f>
        <v>0</v>
      </c>
      <c r="M421" s="47"/>
      <c r="N421">
        <f ca="1">IFERROR(SUMIFS(OFFSET(DBRA_TopicCount,0,N$217,DBR_COUNT,1),DBRA_WorkplanDate,$C421,DBRA_PlayerID,$D$3),"")</f>
        <v>0</v>
      </c>
      <c r="O421">
        <f ca="1">IFERROR(SUMIFS(OFFSET(DBRA_TopicCount,0,O$217,DBR_COUNT,1),DBRA_WorkplanDate,$C421,DBRA_PlayerID,$D$3),"")</f>
        <v>0</v>
      </c>
      <c r="P421">
        <f ca="1">IFERROR(SUMIFS(OFFSET(DBRA_TopicCount,0,P$217,DBR_COUNT,1),DBRA_WorkplanDate,$C421,DBRA_PlayerID,$D$3),"")</f>
        <v>0</v>
      </c>
      <c r="Q421">
        <f ca="1">IFERROR(SUMIFS(OFFSET(DBRA_TopicCount,0,Q$217,DBR_COUNT,1),DBRA_WorkplanDate,$C421,DBRA_PlayerID,$D$3),"")</f>
        <v>0</v>
      </c>
      <c r="R421">
        <f ca="1">IFERROR(SUMIFS(OFFSET(DBRA_TopicCount,0,R$217,DBR_COUNT,1),DBRA_WorkplanDate,$C421,DBRA_PlayerID,$D$3),"")</f>
        <v>0</v>
      </c>
      <c r="S421">
        <f ca="1">IFERROR(SUMIFS(OFFSET(DBRA_TopicCount,0,S$217,DBR_COUNT,1),DBRA_WorkplanDate,$C421,DBRA_PlayerID,$D$3),"")</f>
        <v>0</v>
      </c>
      <c r="T421">
        <f ca="1">IFERROR(SUMIFS(OFFSET(DBRA_TopicCount,0,T$217,DBR_COUNT,1),DBRA_WorkplanDate,$C421,DBRA_PlayerID,$D$3),"")</f>
        <v>0</v>
      </c>
      <c r="U421">
        <f ca="1">IFERROR(SUMIFS(OFFSET(DBRA_TopicCount,0,U$217,DBR_COUNT,1),DBRA_WorkplanDate,$C421,DBRA_PlayerID,$D$3),"")</f>
        <v>0</v>
      </c>
      <c r="V421">
        <f ca="1">IFERROR(SUMIFS(OFFSET(DBRA_TopicCount,0,V$217,DBR_COUNT,1),DBRA_WorkplanDate,$C421,DBRA_PlayerID,$D$3),"")</f>
        <v>0</v>
      </c>
      <c r="W421" s="47"/>
      <c r="X421" t="str">
        <f t="shared" ca="1" si="104"/>
        <v/>
      </c>
      <c r="Y421" t="str">
        <f t="shared" ca="1" si="96"/>
        <v/>
      </c>
      <c r="Z421" t="str">
        <f t="shared" ca="1" si="97"/>
        <v/>
      </c>
      <c r="AA421" t="str">
        <f t="shared" ca="1" si="98"/>
        <v/>
      </c>
      <c r="AB421" t="str">
        <f t="shared" ca="1" si="99"/>
        <v/>
      </c>
      <c r="AC421" t="str">
        <f t="shared" ca="1" si="100"/>
        <v/>
      </c>
      <c r="AD421" t="str">
        <f t="shared" ca="1" si="101"/>
        <v/>
      </c>
      <c r="AE421" t="str">
        <f t="shared" ca="1" si="102"/>
        <v/>
      </c>
      <c r="AF421" t="str">
        <f t="shared" ca="1" si="103"/>
        <v/>
      </c>
      <c r="AG421" s="47"/>
    </row>
    <row r="422" spans="3:33" x14ac:dyDescent="0.25">
      <c r="C422" s="118">
        <f t="shared" si="105"/>
        <v>42208</v>
      </c>
      <c r="D422">
        <f ca="1">IFERROR(SUMIFS(OFFSET(DBRA_TopicHCP,0,D$217,DBR_COUNT,1),DBRA_WorkplanDate,$C422,DBRA_PlayerID,$D$3),"")</f>
        <v>0</v>
      </c>
      <c r="E422">
        <f ca="1">IFERROR(SUMIFS(OFFSET(DBRA_TopicHCP,0,E$217,DBR_COUNT,1),DBRA_WorkplanDate,$C422,DBRA_PlayerID,$D$3),"")</f>
        <v>0</v>
      </c>
      <c r="F422">
        <f ca="1">IFERROR(SUMIFS(OFFSET(DBRA_TopicHCP,0,F$217,DBR_COUNT,1),DBRA_WorkplanDate,$C422,DBRA_PlayerID,$D$3),"")</f>
        <v>0</v>
      </c>
      <c r="G422">
        <f ca="1">IFERROR(SUMIFS(OFFSET(DBRA_TopicHCP,0,G$217,DBR_COUNT,1),DBRA_WorkplanDate,$C422,DBRA_PlayerID,$D$3),"")</f>
        <v>0</v>
      </c>
      <c r="H422">
        <f ca="1">IFERROR(SUMIFS(OFFSET(DBRA_TopicHCP,0,H$217,DBR_COUNT,1),DBRA_WorkplanDate,$C422,DBRA_PlayerID,$D$3),"")</f>
        <v>0</v>
      </c>
      <c r="I422">
        <f ca="1">IFERROR(SUMIFS(OFFSET(DBRA_TopicHCP,0,I$217,DBR_COUNT,1),DBRA_WorkplanDate,$C422,DBRA_PlayerID,$D$3),"")</f>
        <v>0</v>
      </c>
      <c r="J422">
        <f ca="1">IFERROR(SUMIFS(OFFSET(DBRA_TopicHCP,0,J$217,DBR_COUNT,1),DBRA_WorkplanDate,$C422,DBRA_PlayerID,$D$3),"")</f>
        <v>0</v>
      </c>
      <c r="K422">
        <f ca="1">IFERROR(SUMIFS(OFFSET(DBRA_TopicHCP,0,K$217,DBR_COUNT,1),DBRA_WorkplanDate,$C422,DBRA_PlayerID,$D$3),"")</f>
        <v>0</v>
      </c>
      <c r="L422">
        <f ca="1">IFERROR(SUMIFS(OFFSET(DBRA_TopicHCP,0,L$217,DBR_COUNT,1),DBRA_WorkplanDate,$C422,DBRA_PlayerID,$D$3),"")</f>
        <v>0</v>
      </c>
      <c r="M422" s="47"/>
      <c r="N422">
        <f ca="1">IFERROR(SUMIFS(OFFSET(DBRA_TopicCount,0,N$217,DBR_COUNT,1),DBRA_WorkplanDate,$C422,DBRA_PlayerID,$D$3),"")</f>
        <v>0</v>
      </c>
      <c r="O422">
        <f ca="1">IFERROR(SUMIFS(OFFSET(DBRA_TopicCount,0,O$217,DBR_COUNT,1),DBRA_WorkplanDate,$C422,DBRA_PlayerID,$D$3),"")</f>
        <v>0</v>
      </c>
      <c r="P422">
        <f ca="1">IFERROR(SUMIFS(OFFSET(DBRA_TopicCount,0,P$217,DBR_COUNT,1),DBRA_WorkplanDate,$C422,DBRA_PlayerID,$D$3),"")</f>
        <v>0</v>
      </c>
      <c r="Q422">
        <f ca="1">IFERROR(SUMIFS(OFFSET(DBRA_TopicCount,0,Q$217,DBR_COUNT,1),DBRA_WorkplanDate,$C422,DBRA_PlayerID,$D$3),"")</f>
        <v>0</v>
      </c>
      <c r="R422">
        <f ca="1">IFERROR(SUMIFS(OFFSET(DBRA_TopicCount,0,R$217,DBR_COUNT,1),DBRA_WorkplanDate,$C422,DBRA_PlayerID,$D$3),"")</f>
        <v>0</v>
      </c>
      <c r="S422">
        <f ca="1">IFERROR(SUMIFS(OFFSET(DBRA_TopicCount,0,S$217,DBR_COUNT,1),DBRA_WorkplanDate,$C422,DBRA_PlayerID,$D$3),"")</f>
        <v>0</v>
      </c>
      <c r="T422">
        <f ca="1">IFERROR(SUMIFS(OFFSET(DBRA_TopicCount,0,T$217,DBR_COUNT,1),DBRA_WorkplanDate,$C422,DBRA_PlayerID,$D$3),"")</f>
        <v>0</v>
      </c>
      <c r="U422">
        <f ca="1">IFERROR(SUMIFS(OFFSET(DBRA_TopicCount,0,U$217,DBR_COUNT,1),DBRA_WorkplanDate,$C422,DBRA_PlayerID,$D$3),"")</f>
        <v>0</v>
      </c>
      <c r="V422">
        <f ca="1">IFERROR(SUMIFS(OFFSET(DBRA_TopicCount,0,V$217,DBR_COUNT,1),DBRA_WorkplanDate,$C422,DBRA_PlayerID,$D$3),"")</f>
        <v>0</v>
      </c>
      <c r="W422" s="47"/>
      <c r="X422" t="str">
        <f t="shared" ca="1" si="104"/>
        <v/>
      </c>
      <c r="Y422" t="str">
        <f t="shared" ca="1" si="96"/>
        <v/>
      </c>
      <c r="Z422" t="str">
        <f t="shared" ca="1" si="97"/>
        <v/>
      </c>
      <c r="AA422" t="str">
        <f t="shared" ca="1" si="98"/>
        <v/>
      </c>
      <c r="AB422" t="str">
        <f t="shared" ca="1" si="99"/>
        <v/>
      </c>
      <c r="AC422" t="str">
        <f t="shared" ca="1" si="100"/>
        <v/>
      </c>
      <c r="AD422" t="str">
        <f t="shared" ca="1" si="101"/>
        <v/>
      </c>
      <c r="AE422" t="str">
        <f t="shared" ca="1" si="102"/>
        <v/>
      </c>
      <c r="AF422" t="str">
        <f t="shared" ca="1" si="103"/>
        <v/>
      </c>
      <c r="AG422" s="47"/>
    </row>
    <row r="423" spans="3:33" x14ac:dyDescent="0.25">
      <c r="C423" s="118">
        <f t="shared" si="105"/>
        <v>42209</v>
      </c>
      <c r="D423">
        <f ca="1">IFERROR(SUMIFS(OFFSET(DBRA_TopicHCP,0,D$217,DBR_COUNT,1),DBRA_WorkplanDate,$C423,DBRA_PlayerID,$D$3),"")</f>
        <v>0</v>
      </c>
      <c r="E423">
        <f ca="1">IFERROR(SUMIFS(OFFSET(DBRA_TopicHCP,0,E$217,DBR_COUNT,1),DBRA_WorkplanDate,$C423,DBRA_PlayerID,$D$3),"")</f>
        <v>0</v>
      </c>
      <c r="F423">
        <f ca="1">IFERROR(SUMIFS(OFFSET(DBRA_TopicHCP,0,F$217,DBR_COUNT,1),DBRA_WorkplanDate,$C423,DBRA_PlayerID,$D$3),"")</f>
        <v>0</v>
      </c>
      <c r="G423">
        <f ca="1">IFERROR(SUMIFS(OFFSET(DBRA_TopicHCP,0,G$217,DBR_COUNT,1),DBRA_WorkplanDate,$C423,DBRA_PlayerID,$D$3),"")</f>
        <v>0</v>
      </c>
      <c r="H423">
        <f ca="1">IFERROR(SUMIFS(OFFSET(DBRA_TopicHCP,0,H$217,DBR_COUNT,1),DBRA_WorkplanDate,$C423,DBRA_PlayerID,$D$3),"")</f>
        <v>0</v>
      </c>
      <c r="I423">
        <f ca="1">IFERROR(SUMIFS(OFFSET(DBRA_TopicHCP,0,I$217,DBR_COUNT,1),DBRA_WorkplanDate,$C423,DBRA_PlayerID,$D$3),"")</f>
        <v>0</v>
      </c>
      <c r="J423">
        <f ca="1">IFERROR(SUMIFS(OFFSET(DBRA_TopicHCP,0,J$217,DBR_COUNT,1),DBRA_WorkplanDate,$C423,DBRA_PlayerID,$D$3),"")</f>
        <v>0</v>
      </c>
      <c r="K423">
        <f ca="1">IFERROR(SUMIFS(OFFSET(DBRA_TopicHCP,0,K$217,DBR_COUNT,1),DBRA_WorkplanDate,$C423,DBRA_PlayerID,$D$3),"")</f>
        <v>0</v>
      </c>
      <c r="L423">
        <f ca="1">IFERROR(SUMIFS(OFFSET(DBRA_TopicHCP,0,L$217,DBR_COUNT,1),DBRA_WorkplanDate,$C423,DBRA_PlayerID,$D$3),"")</f>
        <v>0</v>
      </c>
      <c r="M423" s="47"/>
      <c r="N423">
        <f ca="1">IFERROR(SUMIFS(OFFSET(DBRA_TopicCount,0,N$217,DBR_COUNT,1),DBRA_WorkplanDate,$C423,DBRA_PlayerID,$D$3),"")</f>
        <v>0</v>
      </c>
      <c r="O423">
        <f ca="1">IFERROR(SUMIFS(OFFSET(DBRA_TopicCount,0,O$217,DBR_COUNT,1),DBRA_WorkplanDate,$C423,DBRA_PlayerID,$D$3),"")</f>
        <v>0</v>
      </c>
      <c r="P423">
        <f ca="1">IFERROR(SUMIFS(OFFSET(DBRA_TopicCount,0,P$217,DBR_COUNT,1),DBRA_WorkplanDate,$C423,DBRA_PlayerID,$D$3),"")</f>
        <v>0</v>
      </c>
      <c r="Q423">
        <f ca="1">IFERROR(SUMIFS(OFFSET(DBRA_TopicCount,0,Q$217,DBR_COUNT,1),DBRA_WorkplanDate,$C423,DBRA_PlayerID,$D$3),"")</f>
        <v>0</v>
      </c>
      <c r="R423">
        <f ca="1">IFERROR(SUMIFS(OFFSET(DBRA_TopicCount,0,R$217,DBR_COUNT,1),DBRA_WorkplanDate,$C423,DBRA_PlayerID,$D$3),"")</f>
        <v>0</v>
      </c>
      <c r="S423">
        <f ca="1">IFERROR(SUMIFS(OFFSET(DBRA_TopicCount,0,S$217,DBR_COUNT,1),DBRA_WorkplanDate,$C423,DBRA_PlayerID,$D$3),"")</f>
        <v>0</v>
      </c>
      <c r="T423">
        <f ca="1">IFERROR(SUMIFS(OFFSET(DBRA_TopicCount,0,T$217,DBR_COUNT,1),DBRA_WorkplanDate,$C423,DBRA_PlayerID,$D$3),"")</f>
        <v>0</v>
      </c>
      <c r="U423">
        <f ca="1">IFERROR(SUMIFS(OFFSET(DBRA_TopicCount,0,U$217,DBR_COUNT,1),DBRA_WorkplanDate,$C423,DBRA_PlayerID,$D$3),"")</f>
        <v>0</v>
      </c>
      <c r="V423">
        <f ca="1">IFERROR(SUMIFS(OFFSET(DBRA_TopicCount,0,V$217,DBR_COUNT,1),DBRA_WorkplanDate,$C423,DBRA_PlayerID,$D$3),"")</f>
        <v>0</v>
      </c>
      <c r="W423" s="47"/>
      <c r="X423" t="str">
        <f t="shared" ca="1" si="104"/>
        <v/>
      </c>
      <c r="Y423" t="str">
        <f t="shared" ca="1" si="96"/>
        <v/>
      </c>
      <c r="Z423" t="str">
        <f t="shared" ca="1" si="97"/>
        <v/>
      </c>
      <c r="AA423" t="str">
        <f t="shared" ca="1" si="98"/>
        <v/>
      </c>
      <c r="AB423" t="str">
        <f t="shared" ca="1" si="99"/>
        <v/>
      </c>
      <c r="AC423" t="str">
        <f t="shared" ca="1" si="100"/>
        <v/>
      </c>
      <c r="AD423" t="str">
        <f t="shared" ca="1" si="101"/>
        <v/>
      </c>
      <c r="AE423" t="str">
        <f t="shared" ca="1" si="102"/>
        <v/>
      </c>
      <c r="AF423" t="str">
        <f t="shared" ca="1" si="103"/>
        <v/>
      </c>
      <c r="AG423" s="47"/>
    </row>
    <row r="424" spans="3:33" x14ac:dyDescent="0.25">
      <c r="C424" s="118">
        <f t="shared" si="105"/>
        <v>42210</v>
      </c>
      <c r="D424">
        <f ca="1">IFERROR(SUMIFS(OFFSET(DBRA_TopicHCP,0,D$217,DBR_COUNT,1),DBRA_WorkplanDate,$C424,DBRA_PlayerID,$D$3),"")</f>
        <v>0</v>
      </c>
      <c r="E424">
        <f ca="1">IFERROR(SUMIFS(OFFSET(DBRA_TopicHCP,0,E$217,DBR_COUNT,1),DBRA_WorkplanDate,$C424,DBRA_PlayerID,$D$3),"")</f>
        <v>0</v>
      </c>
      <c r="F424">
        <f ca="1">IFERROR(SUMIFS(OFFSET(DBRA_TopicHCP,0,F$217,DBR_COUNT,1),DBRA_WorkplanDate,$C424,DBRA_PlayerID,$D$3),"")</f>
        <v>0</v>
      </c>
      <c r="G424">
        <f ca="1">IFERROR(SUMIFS(OFFSET(DBRA_TopicHCP,0,G$217,DBR_COUNT,1),DBRA_WorkplanDate,$C424,DBRA_PlayerID,$D$3),"")</f>
        <v>0</v>
      </c>
      <c r="H424">
        <f ca="1">IFERROR(SUMIFS(OFFSET(DBRA_TopicHCP,0,H$217,DBR_COUNT,1),DBRA_WorkplanDate,$C424,DBRA_PlayerID,$D$3),"")</f>
        <v>0</v>
      </c>
      <c r="I424">
        <f ca="1">IFERROR(SUMIFS(OFFSET(DBRA_TopicHCP,0,I$217,DBR_COUNT,1),DBRA_WorkplanDate,$C424,DBRA_PlayerID,$D$3),"")</f>
        <v>0</v>
      </c>
      <c r="J424">
        <f ca="1">IFERROR(SUMIFS(OFFSET(DBRA_TopicHCP,0,J$217,DBR_COUNT,1),DBRA_WorkplanDate,$C424,DBRA_PlayerID,$D$3),"")</f>
        <v>0</v>
      </c>
      <c r="K424">
        <f ca="1">IFERROR(SUMIFS(OFFSET(DBRA_TopicHCP,0,K$217,DBR_COUNT,1),DBRA_WorkplanDate,$C424,DBRA_PlayerID,$D$3),"")</f>
        <v>0</v>
      </c>
      <c r="L424">
        <f ca="1">IFERROR(SUMIFS(OFFSET(DBRA_TopicHCP,0,L$217,DBR_COUNT,1),DBRA_WorkplanDate,$C424,DBRA_PlayerID,$D$3),"")</f>
        <v>0</v>
      </c>
      <c r="M424" s="47"/>
      <c r="N424">
        <f ca="1">IFERROR(SUMIFS(OFFSET(DBRA_TopicCount,0,N$217,DBR_COUNT,1),DBRA_WorkplanDate,$C424,DBRA_PlayerID,$D$3),"")</f>
        <v>0</v>
      </c>
      <c r="O424">
        <f ca="1">IFERROR(SUMIFS(OFFSET(DBRA_TopicCount,0,O$217,DBR_COUNT,1),DBRA_WorkplanDate,$C424,DBRA_PlayerID,$D$3),"")</f>
        <v>0</v>
      </c>
      <c r="P424">
        <f ca="1">IFERROR(SUMIFS(OFFSET(DBRA_TopicCount,0,P$217,DBR_COUNT,1),DBRA_WorkplanDate,$C424,DBRA_PlayerID,$D$3),"")</f>
        <v>0</v>
      </c>
      <c r="Q424">
        <f ca="1">IFERROR(SUMIFS(OFFSET(DBRA_TopicCount,0,Q$217,DBR_COUNT,1),DBRA_WorkplanDate,$C424,DBRA_PlayerID,$D$3),"")</f>
        <v>0</v>
      </c>
      <c r="R424">
        <f ca="1">IFERROR(SUMIFS(OFFSET(DBRA_TopicCount,0,R$217,DBR_COUNT,1),DBRA_WorkplanDate,$C424,DBRA_PlayerID,$D$3),"")</f>
        <v>0</v>
      </c>
      <c r="S424">
        <f ca="1">IFERROR(SUMIFS(OFFSET(DBRA_TopicCount,0,S$217,DBR_COUNT,1),DBRA_WorkplanDate,$C424,DBRA_PlayerID,$D$3),"")</f>
        <v>0</v>
      </c>
      <c r="T424">
        <f ca="1">IFERROR(SUMIFS(OFFSET(DBRA_TopicCount,0,T$217,DBR_COUNT,1),DBRA_WorkplanDate,$C424,DBRA_PlayerID,$D$3),"")</f>
        <v>0</v>
      </c>
      <c r="U424">
        <f ca="1">IFERROR(SUMIFS(OFFSET(DBRA_TopicCount,0,U$217,DBR_COUNT,1),DBRA_WorkplanDate,$C424,DBRA_PlayerID,$D$3),"")</f>
        <v>0</v>
      </c>
      <c r="V424">
        <f ca="1">IFERROR(SUMIFS(OFFSET(DBRA_TopicCount,0,V$217,DBR_COUNT,1),DBRA_WorkplanDate,$C424,DBRA_PlayerID,$D$3),"")</f>
        <v>0</v>
      </c>
      <c r="W424" s="47"/>
      <c r="X424" t="str">
        <f t="shared" ca="1" si="104"/>
        <v/>
      </c>
      <c r="Y424" t="str">
        <f t="shared" ca="1" si="96"/>
        <v/>
      </c>
      <c r="Z424" t="str">
        <f t="shared" ca="1" si="97"/>
        <v/>
      </c>
      <c r="AA424" t="str">
        <f t="shared" ca="1" si="98"/>
        <v/>
      </c>
      <c r="AB424" t="str">
        <f t="shared" ca="1" si="99"/>
        <v/>
      </c>
      <c r="AC424" t="str">
        <f t="shared" ca="1" si="100"/>
        <v/>
      </c>
      <c r="AD424" t="str">
        <f t="shared" ca="1" si="101"/>
        <v/>
      </c>
      <c r="AE424" t="str">
        <f t="shared" ca="1" si="102"/>
        <v/>
      </c>
      <c r="AF424" t="str">
        <f t="shared" ca="1" si="103"/>
        <v/>
      </c>
      <c r="AG424" s="47"/>
    </row>
    <row r="425" spans="3:33" x14ac:dyDescent="0.25">
      <c r="C425" s="118">
        <f t="shared" si="105"/>
        <v>42211</v>
      </c>
      <c r="D425">
        <f ca="1">IFERROR(SUMIFS(OFFSET(DBRA_TopicHCP,0,D$217,DBR_COUNT,1),DBRA_WorkplanDate,$C425,DBRA_PlayerID,$D$3),"")</f>
        <v>0</v>
      </c>
      <c r="E425">
        <f ca="1">IFERROR(SUMIFS(OFFSET(DBRA_TopicHCP,0,E$217,DBR_COUNT,1),DBRA_WorkplanDate,$C425,DBRA_PlayerID,$D$3),"")</f>
        <v>0</v>
      </c>
      <c r="F425">
        <f ca="1">IFERROR(SUMIFS(OFFSET(DBRA_TopicHCP,0,F$217,DBR_COUNT,1),DBRA_WorkplanDate,$C425,DBRA_PlayerID,$D$3),"")</f>
        <v>0</v>
      </c>
      <c r="G425">
        <f ca="1">IFERROR(SUMIFS(OFFSET(DBRA_TopicHCP,0,G$217,DBR_COUNT,1),DBRA_WorkplanDate,$C425,DBRA_PlayerID,$D$3),"")</f>
        <v>0</v>
      </c>
      <c r="H425">
        <f ca="1">IFERROR(SUMIFS(OFFSET(DBRA_TopicHCP,0,H$217,DBR_COUNT,1),DBRA_WorkplanDate,$C425,DBRA_PlayerID,$D$3),"")</f>
        <v>0</v>
      </c>
      <c r="I425">
        <f ca="1">IFERROR(SUMIFS(OFFSET(DBRA_TopicHCP,0,I$217,DBR_COUNT,1),DBRA_WorkplanDate,$C425,DBRA_PlayerID,$D$3),"")</f>
        <v>0</v>
      </c>
      <c r="J425">
        <f ca="1">IFERROR(SUMIFS(OFFSET(DBRA_TopicHCP,0,J$217,DBR_COUNT,1),DBRA_WorkplanDate,$C425,DBRA_PlayerID,$D$3),"")</f>
        <v>0</v>
      </c>
      <c r="K425">
        <f ca="1">IFERROR(SUMIFS(OFFSET(DBRA_TopicHCP,0,K$217,DBR_COUNT,1),DBRA_WorkplanDate,$C425,DBRA_PlayerID,$D$3),"")</f>
        <v>0</v>
      </c>
      <c r="L425">
        <f ca="1">IFERROR(SUMIFS(OFFSET(DBRA_TopicHCP,0,L$217,DBR_COUNT,1),DBRA_WorkplanDate,$C425,DBRA_PlayerID,$D$3),"")</f>
        <v>0</v>
      </c>
      <c r="M425" s="47"/>
      <c r="N425">
        <f ca="1">IFERROR(SUMIFS(OFFSET(DBRA_TopicCount,0,N$217,DBR_COUNT,1),DBRA_WorkplanDate,$C425,DBRA_PlayerID,$D$3),"")</f>
        <v>0</v>
      </c>
      <c r="O425">
        <f ca="1">IFERROR(SUMIFS(OFFSET(DBRA_TopicCount,0,O$217,DBR_COUNT,1),DBRA_WorkplanDate,$C425,DBRA_PlayerID,$D$3),"")</f>
        <v>0</v>
      </c>
      <c r="P425">
        <f ca="1">IFERROR(SUMIFS(OFFSET(DBRA_TopicCount,0,P$217,DBR_COUNT,1),DBRA_WorkplanDate,$C425,DBRA_PlayerID,$D$3),"")</f>
        <v>0</v>
      </c>
      <c r="Q425">
        <f ca="1">IFERROR(SUMIFS(OFFSET(DBRA_TopicCount,0,Q$217,DBR_COUNT,1),DBRA_WorkplanDate,$C425,DBRA_PlayerID,$D$3),"")</f>
        <v>0</v>
      </c>
      <c r="R425">
        <f ca="1">IFERROR(SUMIFS(OFFSET(DBRA_TopicCount,0,R$217,DBR_COUNT,1),DBRA_WorkplanDate,$C425,DBRA_PlayerID,$D$3),"")</f>
        <v>0</v>
      </c>
      <c r="S425">
        <f ca="1">IFERROR(SUMIFS(OFFSET(DBRA_TopicCount,0,S$217,DBR_COUNT,1),DBRA_WorkplanDate,$C425,DBRA_PlayerID,$D$3),"")</f>
        <v>0</v>
      </c>
      <c r="T425">
        <f ca="1">IFERROR(SUMIFS(OFFSET(DBRA_TopicCount,0,T$217,DBR_COUNT,1),DBRA_WorkplanDate,$C425,DBRA_PlayerID,$D$3),"")</f>
        <v>0</v>
      </c>
      <c r="U425">
        <f ca="1">IFERROR(SUMIFS(OFFSET(DBRA_TopicCount,0,U$217,DBR_COUNT,1),DBRA_WorkplanDate,$C425,DBRA_PlayerID,$D$3),"")</f>
        <v>0</v>
      </c>
      <c r="V425">
        <f ca="1">IFERROR(SUMIFS(OFFSET(DBRA_TopicCount,0,V$217,DBR_COUNT,1),DBRA_WorkplanDate,$C425,DBRA_PlayerID,$D$3),"")</f>
        <v>0</v>
      </c>
      <c r="W425" s="47"/>
      <c r="X425" t="str">
        <f t="shared" ca="1" si="104"/>
        <v/>
      </c>
      <c r="Y425" t="str">
        <f t="shared" ca="1" si="96"/>
        <v/>
      </c>
      <c r="Z425" t="str">
        <f t="shared" ca="1" si="97"/>
        <v/>
      </c>
      <c r="AA425" t="str">
        <f t="shared" ca="1" si="98"/>
        <v/>
      </c>
      <c r="AB425" t="str">
        <f t="shared" ca="1" si="99"/>
        <v/>
      </c>
      <c r="AC425" t="str">
        <f t="shared" ca="1" si="100"/>
        <v/>
      </c>
      <c r="AD425" t="str">
        <f t="shared" ca="1" si="101"/>
        <v/>
      </c>
      <c r="AE425" t="str">
        <f t="shared" ca="1" si="102"/>
        <v/>
      </c>
      <c r="AF425" t="str">
        <f t="shared" ca="1" si="103"/>
        <v/>
      </c>
      <c r="AG425" s="47"/>
    </row>
    <row r="426" spans="3:33" x14ac:dyDescent="0.25">
      <c r="C426" s="118">
        <f t="shared" si="105"/>
        <v>42212</v>
      </c>
      <c r="D426">
        <f ca="1">IFERROR(SUMIFS(OFFSET(DBRA_TopicHCP,0,D$217,DBR_COUNT,1),DBRA_WorkplanDate,$C426,DBRA_PlayerID,$D$3),"")</f>
        <v>0</v>
      </c>
      <c r="E426">
        <f ca="1">IFERROR(SUMIFS(OFFSET(DBRA_TopicHCP,0,E$217,DBR_COUNT,1),DBRA_WorkplanDate,$C426,DBRA_PlayerID,$D$3),"")</f>
        <v>0</v>
      </c>
      <c r="F426">
        <f ca="1">IFERROR(SUMIFS(OFFSET(DBRA_TopicHCP,0,F$217,DBR_COUNT,1),DBRA_WorkplanDate,$C426,DBRA_PlayerID,$D$3),"")</f>
        <v>0</v>
      </c>
      <c r="G426">
        <f ca="1">IFERROR(SUMIFS(OFFSET(DBRA_TopicHCP,0,G$217,DBR_COUNT,1),DBRA_WorkplanDate,$C426,DBRA_PlayerID,$D$3),"")</f>
        <v>0</v>
      </c>
      <c r="H426">
        <f ca="1">IFERROR(SUMIFS(OFFSET(DBRA_TopicHCP,0,H$217,DBR_COUNT,1),DBRA_WorkplanDate,$C426,DBRA_PlayerID,$D$3),"")</f>
        <v>0</v>
      </c>
      <c r="I426">
        <f ca="1">IFERROR(SUMIFS(OFFSET(DBRA_TopicHCP,0,I$217,DBR_COUNT,1),DBRA_WorkplanDate,$C426,DBRA_PlayerID,$D$3),"")</f>
        <v>0</v>
      </c>
      <c r="J426">
        <f ca="1">IFERROR(SUMIFS(OFFSET(DBRA_TopicHCP,0,J$217,DBR_COUNT,1),DBRA_WorkplanDate,$C426,DBRA_PlayerID,$D$3),"")</f>
        <v>0</v>
      </c>
      <c r="K426">
        <f ca="1">IFERROR(SUMIFS(OFFSET(DBRA_TopicHCP,0,K$217,DBR_COUNT,1),DBRA_WorkplanDate,$C426,DBRA_PlayerID,$D$3),"")</f>
        <v>0</v>
      </c>
      <c r="L426">
        <f ca="1">IFERROR(SUMIFS(OFFSET(DBRA_TopicHCP,0,L$217,DBR_COUNT,1),DBRA_WorkplanDate,$C426,DBRA_PlayerID,$D$3),"")</f>
        <v>0</v>
      </c>
      <c r="M426" s="47"/>
      <c r="N426">
        <f ca="1">IFERROR(SUMIFS(OFFSET(DBRA_TopicCount,0,N$217,DBR_COUNT,1),DBRA_WorkplanDate,$C426,DBRA_PlayerID,$D$3),"")</f>
        <v>0</v>
      </c>
      <c r="O426">
        <f ca="1">IFERROR(SUMIFS(OFFSET(DBRA_TopicCount,0,O$217,DBR_COUNT,1),DBRA_WorkplanDate,$C426,DBRA_PlayerID,$D$3),"")</f>
        <v>0</v>
      </c>
      <c r="P426">
        <f ca="1">IFERROR(SUMIFS(OFFSET(DBRA_TopicCount,0,P$217,DBR_COUNT,1),DBRA_WorkplanDate,$C426,DBRA_PlayerID,$D$3),"")</f>
        <v>0</v>
      </c>
      <c r="Q426">
        <f ca="1">IFERROR(SUMIFS(OFFSET(DBRA_TopicCount,0,Q$217,DBR_COUNT,1),DBRA_WorkplanDate,$C426,DBRA_PlayerID,$D$3),"")</f>
        <v>0</v>
      </c>
      <c r="R426">
        <f ca="1">IFERROR(SUMIFS(OFFSET(DBRA_TopicCount,0,R$217,DBR_COUNT,1),DBRA_WorkplanDate,$C426,DBRA_PlayerID,$D$3),"")</f>
        <v>0</v>
      </c>
      <c r="S426">
        <f ca="1">IFERROR(SUMIFS(OFFSET(DBRA_TopicCount,0,S$217,DBR_COUNT,1),DBRA_WorkplanDate,$C426,DBRA_PlayerID,$D$3),"")</f>
        <v>0</v>
      </c>
      <c r="T426">
        <f ca="1">IFERROR(SUMIFS(OFFSET(DBRA_TopicCount,0,T$217,DBR_COUNT,1),DBRA_WorkplanDate,$C426,DBRA_PlayerID,$D$3),"")</f>
        <v>0</v>
      </c>
      <c r="U426">
        <f ca="1">IFERROR(SUMIFS(OFFSET(DBRA_TopicCount,0,U$217,DBR_COUNT,1),DBRA_WorkplanDate,$C426,DBRA_PlayerID,$D$3),"")</f>
        <v>0</v>
      </c>
      <c r="V426">
        <f ca="1">IFERROR(SUMIFS(OFFSET(DBRA_TopicCount,0,V$217,DBR_COUNT,1),DBRA_WorkplanDate,$C426,DBRA_PlayerID,$D$3),"")</f>
        <v>0</v>
      </c>
      <c r="W426" s="47"/>
      <c r="X426" t="str">
        <f t="shared" ca="1" si="104"/>
        <v/>
      </c>
      <c r="Y426" t="str">
        <f t="shared" ca="1" si="96"/>
        <v/>
      </c>
      <c r="Z426" t="str">
        <f t="shared" ca="1" si="97"/>
        <v/>
      </c>
      <c r="AA426" t="str">
        <f t="shared" ca="1" si="98"/>
        <v/>
      </c>
      <c r="AB426" t="str">
        <f t="shared" ca="1" si="99"/>
        <v/>
      </c>
      <c r="AC426" t="str">
        <f t="shared" ca="1" si="100"/>
        <v/>
      </c>
      <c r="AD426" t="str">
        <f t="shared" ca="1" si="101"/>
        <v/>
      </c>
      <c r="AE426" t="str">
        <f t="shared" ca="1" si="102"/>
        <v/>
      </c>
      <c r="AF426" t="str">
        <f t="shared" ca="1" si="103"/>
        <v/>
      </c>
      <c r="AG426" s="47"/>
    </row>
    <row r="427" spans="3:33" x14ac:dyDescent="0.25">
      <c r="C427" s="118">
        <f t="shared" si="105"/>
        <v>42213</v>
      </c>
      <c r="D427">
        <f ca="1">IFERROR(SUMIFS(OFFSET(DBRA_TopicHCP,0,D$217,DBR_COUNT,1),DBRA_WorkplanDate,$C427,DBRA_PlayerID,$D$3),"")</f>
        <v>0</v>
      </c>
      <c r="E427">
        <f ca="1">IFERROR(SUMIFS(OFFSET(DBRA_TopicHCP,0,E$217,DBR_COUNT,1),DBRA_WorkplanDate,$C427,DBRA_PlayerID,$D$3),"")</f>
        <v>0</v>
      </c>
      <c r="F427">
        <f ca="1">IFERROR(SUMIFS(OFFSET(DBRA_TopicHCP,0,F$217,DBR_COUNT,1),DBRA_WorkplanDate,$C427,DBRA_PlayerID,$D$3),"")</f>
        <v>0</v>
      </c>
      <c r="G427">
        <f ca="1">IFERROR(SUMIFS(OFFSET(DBRA_TopicHCP,0,G$217,DBR_COUNT,1),DBRA_WorkplanDate,$C427,DBRA_PlayerID,$D$3),"")</f>
        <v>0</v>
      </c>
      <c r="H427">
        <f ca="1">IFERROR(SUMIFS(OFFSET(DBRA_TopicHCP,0,H$217,DBR_COUNT,1),DBRA_WorkplanDate,$C427,DBRA_PlayerID,$D$3),"")</f>
        <v>0</v>
      </c>
      <c r="I427">
        <f ca="1">IFERROR(SUMIFS(OFFSET(DBRA_TopicHCP,0,I$217,DBR_COUNT,1),DBRA_WorkplanDate,$C427,DBRA_PlayerID,$D$3),"")</f>
        <v>0</v>
      </c>
      <c r="J427">
        <f ca="1">IFERROR(SUMIFS(OFFSET(DBRA_TopicHCP,0,J$217,DBR_COUNT,1),DBRA_WorkplanDate,$C427,DBRA_PlayerID,$D$3),"")</f>
        <v>0</v>
      </c>
      <c r="K427">
        <f ca="1">IFERROR(SUMIFS(OFFSET(DBRA_TopicHCP,0,K$217,DBR_COUNT,1),DBRA_WorkplanDate,$C427,DBRA_PlayerID,$D$3),"")</f>
        <v>0</v>
      </c>
      <c r="L427">
        <f ca="1">IFERROR(SUMIFS(OFFSET(DBRA_TopicHCP,0,L$217,DBR_COUNT,1),DBRA_WorkplanDate,$C427,DBRA_PlayerID,$D$3),"")</f>
        <v>0</v>
      </c>
      <c r="M427" s="47"/>
      <c r="N427">
        <f ca="1">IFERROR(SUMIFS(OFFSET(DBRA_TopicCount,0,N$217,DBR_COUNT,1),DBRA_WorkplanDate,$C427,DBRA_PlayerID,$D$3),"")</f>
        <v>0</v>
      </c>
      <c r="O427">
        <f ca="1">IFERROR(SUMIFS(OFFSET(DBRA_TopicCount,0,O$217,DBR_COUNT,1),DBRA_WorkplanDate,$C427,DBRA_PlayerID,$D$3),"")</f>
        <v>0</v>
      </c>
      <c r="P427">
        <f ca="1">IFERROR(SUMIFS(OFFSET(DBRA_TopicCount,0,P$217,DBR_COUNT,1),DBRA_WorkplanDate,$C427,DBRA_PlayerID,$D$3),"")</f>
        <v>0</v>
      </c>
      <c r="Q427">
        <f ca="1">IFERROR(SUMIFS(OFFSET(DBRA_TopicCount,0,Q$217,DBR_COUNT,1),DBRA_WorkplanDate,$C427,DBRA_PlayerID,$D$3),"")</f>
        <v>0</v>
      </c>
      <c r="R427">
        <f ca="1">IFERROR(SUMIFS(OFFSET(DBRA_TopicCount,0,R$217,DBR_COUNT,1),DBRA_WorkplanDate,$C427,DBRA_PlayerID,$D$3),"")</f>
        <v>0</v>
      </c>
      <c r="S427">
        <f ca="1">IFERROR(SUMIFS(OFFSET(DBRA_TopicCount,0,S$217,DBR_COUNT,1),DBRA_WorkplanDate,$C427,DBRA_PlayerID,$D$3),"")</f>
        <v>0</v>
      </c>
      <c r="T427">
        <f ca="1">IFERROR(SUMIFS(OFFSET(DBRA_TopicCount,0,T$217,DBR_COUNT,1),DBRA_WorkplanDate,$C427,DBRA_PlayerID,$D$3),"")</f>
        <v>0</v>
      </c>
      <c r="U427">
        <f ca="1">IFERROR(SUMIFS(OFFSET(DBRA_TopicCount,0,U$217,DBR_COUNT,1),DBRA_WorkplanDate,$C427,DBRA_PlayerID,$D$3),"")</f>
        <v>0</v>
      </c>
      <c r="V427">
        <f ca="1">IFERROR(SUMIFS(OFFSET(DBRA_TopicCount,0,V$217,DBR_COUNT,1),DBRA_WorkplanDate,$C427,DBRA_PlayerID,$D$3),"")</f>
        <v>0</v>
      </c>
      <c r="W427" s="47"/>
      <c r="X427" t="str">
        <f t="shared" ca="1" si="104"/>
        <v/>
      </c>
      <c r="Y427" t="str">
        <f t="shared" ca="1" si="96"/>
        <v/>
      </c>
      <c r="Z427" t="str">
        <f t="shared" ca="1" si="97"/>
        <v/>
      </c>
      <c r="AA427" t="str">
        <f t="shared" ca="1" si="98"/>
        <v/>
      </c>
      <c r="AB427" t="str">
        <f t="shared" ca="1" si="99"/>
        <v/>
      </c>
      <c r="AC427" t="str">
        <f t="shared" ca="1" si="100"/>
        <v/>
      </c>
      <c r="AD427" t="str">
        <f t="shared" ca="1" si="101"/>
        <v/>
      </c>
      <c r="AE427" t="str">
        <f t="shared" ca="1" si="102"/>
        <v/>
      </c>
      <c r="AF427" t="str">
        <f t="shared" ca="1" si="103"/>
        <v/>
      </c>
      <c r="AG427" s="47"/>
    </row>
    <row r="428" spans="3:33" x14ac:dyDescent="0.25">
      <c r="C428" s="118">
        <f t="shared" si="105"/>
        <v>42214</v>
      </c>
      <c r="D428">
        <f ca="1">IFERROR(SUMIFS(OFFSET(DBRA_TopicHCP,0,D$217,DBR_COUNT,1),DBRA_WorkplanDate,$C428,DBRA_PlayerID,$D$3),"")</f>
        <v>0</v>
      </c>
      <c r="E428">
        <f ca="1">IFERROR(SUMIFS(OFFSET(DBRA_TopicHCP,0,E$217,DBR_COUNT,1),DBRA_WorkplanDate,$C428,DBRA_PlayerID,$D$3),"")</f>
        <v>0</v>
      </c>
      <c r="F428">
        <f ca="1">IFERROR(SUMIFS(OFFSET(DBRA_TopicHCP,0,F$217,DBR_COUNT,1),DBRA_WorkplanDate,$C428,DBRA_PlayerID,$D$3),"")</f>
        <v>0</v>
      </c>
      <c r="G428">
        <f ca="1">IFERROR(SUMIFS(OFFSET(DBRA_TopicHCP,0,G$217,DBR_COUNT,1),DBRA_WorkplanDate,$C428,DBRA_PlayerID,$D$3),"")</f>
        <v>0</v>
      </c>
      <c r="H428">
        <f ca="1">IFERROR(SUMIFS(OFFSET(DBRA_TopicHCP,0,H$217,DBR_COUNT,1),DBRA_WorkplanDate,$C428,DBRA_PlayerID,$D$3),"")</f>
        <v>0</v>
      </c>
      <c r="I428">
        <f ca="1">IFERROR(SUMIFS(OFFSET(DBRA_TopicHCP,0,I$217,DBR_COUNT,1),DBRA_WorkplanDate,$C428,DBRA_PlayerID,$D$3),"")</f>
        <v>0</v>
      </c>
      <c r="J428">
        <f ca="1">IFERROR(SUMIFS(OFFSET(DBRA_TopicHCP,0,J$217,DBR_COUNT,1),DBRA_WorkplanDate,$C428,DBRA_PlayerID,$D$3),"")</f>
        <v>0</v>
      </c>
      <c r="K428">
        <f ca="1">IFERROR(SUMIFS(OFFSET(DBRA_TopicHCP,0,K$217,DBR_COUNT,1),DBRA_WorkplanDate,$C428,DBRA_PlayerID,$D$3),"")</f>
        <v>0</v>
      </c>
      <c r="L428">
        <f ca="1">IFERROR(SUMIFS(OFFSET(DBRA_TopicHCP,0,L$217,DBR_COUNT,1),DBRA_WorkplanDate,$C428,DBRA_PlayerID,$D$3),"")</f>
        <v>0</v>
      </c>
      <c r="M428" s="47"/>
      <c r="N428">
        <f ca="1">IFERROR(SUMIFS(OFFSET(DBRA_TopicCount,0,N$217,DBR_COUNT,1),DBRA_WorkplanDate,$C428,DBRA_PlayerID,$D$3),"")</f>
        <v>0</v>
      </c>
      <c r="O428">
        <f ca="1">IFERROR(SUMIFS(OFFSET(DBRA_TopicCount,0,O$217,DBR_COUNT,1),DBRA_WorkplanDate,$C428,DBRA_PlayerID,$D$3),"")</f>
        <v>0</v>
      </c>
      <c r="P428">
        <f ca="1">IFERROR(SUMIFS(OFFSET(DBRA_TopicCount,0,P$217,DBR_COUNT,1),DBRA_WorkplanDate,$C428,DBRA_PlayerID,$D$3),"")</f>
        <v>0</v>
      </c>
      <c r="Q428">
        <f ca="1">IFERROR(SUMIFS(OFFSET(DBRA_TopicCount,0,Q$217,DBR_COUNT,1),DBRA_WorkplanDate,$C428,DBRA_PlayerID,$D$3),"")</f>
        <v>0</v>
      </c>
      <c r="R428">
        <f ca="1">IFERROR(SUMIFS(OFFSET(DBRA_TopicCount,0,R$217,DBR_COUNT,1),DBRA_WorkplanDate,$C428,DBRA_PlayerID,$D$3),"")</f>
        <v>0</v>
      </c>
      <c r="S428">
        <f ca="1">IFERROR(SUMIFS(OFFSET(DBRA_TopicCount,0,S$217,DBR_COUNT,1),DBRA_WorkplanDate,$C428,DBRA_PlayerID,$D$3),"")</f>
        <v>0</v>
      </c>
      <c r="T428">
        <f ca="1">IFERROR(SUMIFS(OFFSET(DBRA_TopicCount,0,T$217,DBR_COUNT,1),DBRA_WorkplanDate,$C428,DBRA_PlayerID,$D$3),"")</f>
        <v>0</v>
      </c>
      <c r="U428">
        <f ca="1">IFERROR(SUMIFS(OFFSET(DBRA_TopicCount,0,U$217,DBR_COUNT,1),DBRA_WorkplanDate,$C428,DBRA_PlayerID,$D$3),"")</f>
        <v>0</v>
      </c>
      <c r="V428">
        <f ca="1">IFERROR(SUMIFS(OFFSET(DBRA_TopicCount,0,V$217,DBR_COUNT,1),DBRA_WorkplanDate,$C428,DBRA_PlayerID,$D$3),"")</f>
        <v>0</v>
      </c>
      <c r="W428" s="47"/>
      <c r="X428" t="str">
        <f t="shared" ca="1" si="104"/>
        <v/>
      </c>
      <c r="Y428" t="str">
        <f t="shared" ca="1" si="96"/>
        <v/>
      </c>
      <c r="Z428" t="str">
        <f t="shared" ca="1" si="97"/>
        <v/>
      </c>
      <c r="AA428" t="str">
        <f t="shared" ca="1" si="98"/>
        <v/>
      </c>
      <c r="AB428" t="str">
        <f t="shared" ca="1" si="99"/>
        <v/>
      </c>
      <c r="AC428" t="str">
        <f t="shared" ca="1" si="100"/>
        <v/>
      </c>
      <c r="AD428" t="str">
        <f t="shared" ca="1" si="101"/>
        <v/>
      </c>
      <c r="AE428" t="str">
        <f t="shared" ca="1" si="102"/>
        <v/>
      </c>
      <c r="AF428" t="str">
        <f t="shared" ca="1" si="103"/>
        <v/>
      </c>
      <c r="AG428" s="47"/>
    </row>
    <row r="429" spans="3:33" x14ac:dyDescent="0.25">
      <c r="C429" s="118">
        <f t="shared" si="105"/>
        <v>42215</v>
      </c>
      <c r="D429">
        <f ca="1">IFERROR(SUMIFS(OFFSET(DBRA_TopicHCP,0,D$217,DBR_COUNT,1),DBRA_WorkplanDate,$C429,DBRA_PlayerID,$D$3),"")</f>
        <v>0</v>
      </c>
      <c r="E429">
        <f ca="1">IFERROR(SUMIFS(OFFSET(DBRA_TopicHCP,0,E$217,DBR_COUNT,1),DBRA_WorkplanDate,$C429,DBRA_PlayerID,$D$3),"")</f>
        <v>0</v>
      </c>
      <c r="F429">
        <f ca="1">IFERROR(SUMIFS(OFFSET(DBRA_TopicHCP,0,F$217,DBR_COUNT,1),DBRA_WorkplanDate,$C429,DBRA_PlayerID,$D$3),"")</f>
        <v>0</v>
      </c>
      <c r="G429">
        <f ca="1">IFERROR(SUMIFS(OFFSET(DBRA_TopicHCP,0,G$217,DBR_COUNT,1),DBRA_WorkplanDate,$C429,DBRA_PlayerID,$D$3),"")</f>
        <v>0</v>
      </c>
      <c r="H429">
        <f ca="1">IFERROR(SUMIFS(OFFSET(DBRA_TopicHCP,0,H$217,DBR_COUNT,1),DBRA_WorkplanDate,$C429,DBRA_PlayerID,$D$3),"")</f>
        <v>0</v>
      </c>
      <c r="I429">
        <f ca="1">IFERROR(SUMIFS(OFFSET(DBRA_TopicHCP,0,I$217,DBR_COUNT,1),DBRA_WorkplanDate,$C429,DBRA_PlayerID,$D$3),"")</f>
        <v>0</v>
      </c>
      <c r="J429">
        <f ca="1">IFERROR(SUMIFS(OFFSET(DBRA_TopicHCP,0,J$217,DBR_COUNT,1),DBRA_WorkplanDate,$C429,DBRA_PlayerID,$D$3),"")</f>
        <v>0</v>
      </c>
      <c r="K429">
        <f ca="1">IFERROR(SUMIFS(OFFSET(DBRA_TopicHCP,0,K$217,DBR_COUNT,1),DBRA_WorkplanDate,$C429,DBRA_PlayerID,$D$3),"")</f>
        <v>0</v>
      </c>
      <c r="L429">
        <f ca="1">IFERROR(SUMIFS(OFFSET(DBRA_TopicHCP,0,L$217,DBR_COUNT,1),DBRA_WorkplanDate,$C429,DBRA_PlayerID,$D$3),"")</f>
        <v>0</v>
      </c>
      <c r="M429" s="47"/>
      <c r="N429">
        <f ca="1">IFERROR(SUMIFS(OFFSET(DBRA_TopicCount,0,N$217,DBR_COUNT,1),DBRA_WorkplanDate,$C429,DBRA_PlayerID,$D$3),"")</f>
        <v>0</v>
      </c>
      <c r="O429">
        <f ca="1">IFERROR(SUMIFS(OFFSET(DBRA_TopicCount,0,O$217,DBR_COUNT,1),DBRA_WorkplanDate,$C429,DBRA_PlayerID,$D$3),"")</f>
        <v>0</v>
      </c>
      <c r="P429">
        <f ca="1">IFERROR(SUMIFS(OFFSET(DBRA_TopicCount,0,P$217,DBR_COUNT,1),DBRA_WorkplanDate,$C429,DBRA_PlayerID,$D$3),"")</f>
        <v>0</v>
      </c>
      <c r="Q429">
        <f ca="1">IFERROR(SUMIFS(OFFSET(DBRA_TopicCount,0,Q$217,DBR_COUNT,1),DBRA_WorkplanDate,$C429,DBRA_PlayerID,$D$3),"")</f>
        <v>0</v>
      </c>
      <c r="R429">
        <f ca="1">IFERROR(SUMIFS(OFFSET(DBRA_TopicCount,0,R$217,DBR_COUNT,1),DBRA_WorkplanDate,$C429,DBRA_PlayerID,$D$3),"")</f>
        <v>0</v>
      </c>
      <c r="S429">
        <f ca="1">IFERROR(SUMIFS(OFFSET(DBRA_TopicCount,0,S$217,DBR_COUNT,1),DBRA_WorkplanDate,$C429,DBRA_PlayerID,$D$3),"")</f>
        <v>0</v>
      </c>
      <c r="T429">
        <f ca="1">IFERROR(SUMIFS(OFFSET(DBRA_TopicCount,0,T$217,DBR_COUNT,1),DBRA_WorkplanDate,$C429,DBRA_PlayerID,$D$3),"")</f>
        <v>0</v>
      </c>
      <c r="U429">
        <f ca="1">IFERROR(SUMIFS(OFFSET(DBRA_TopicCount,0,U$217,DBR_COUNT,1),DBRA_WorkplanDate,$C429,DBRA_PlayerID,$D$3),"")</f>
        <v>0</v>
      </c>
      <c r="V429">
        <f ca="1">IFERROR(SUMIFS(OFFSET(DBRA_TopicCount,0,V$217,DBR_COUNT,1),DBRA_WorkplanDate,$C429,DBRA_PlayerID,$D$3),"")</f>
        <v>0</v>
      </c>
      <c r="W429" s="47"/>
      <c r="X429" t="str">
        <f t="shared" ca="1" si="104"/>
        <v/>
      </c>
      <c r="Y429" t="str">
        <f t="shared" ca="1" si="96"/>
        <v/>
      </c>
      <c r="Z429" t="str">
        <f t="shared" ca="1" si="97"/>
        <v/>
      </c>
      <c r="AA429" t="str">
        <f t="shared" ca="1" si="98"/>
        <v/>
      </c>
      <c r="AB429" t="str">
        <f t="shared" ca="1" si="99"/>
        <v/>
      </c>
      <c r="AC429" t="str">
        <f t="shared" ca="1" si="100"/>
        <v/>
      </c>
      <c r="AD429" t="str">
        <f t="shared" ca="1" si="101"/>
        <v/>
      </c>
      <c r="AE429" t="str">
        <f t="shared" ca="1" si="102"/>
        <v/>
      </c>
      <c r="AF429" t="str">
        <f t="shared" ca="1" si="103"/>
        <v/>
      </c>
      <c r="AG429" s="47"/>
    </row>
    <row r="430" spans="3:33" x14ac:dyDescent="0.25">
      <c r="C430" s="118">
        <f t="shared" si="105"/>
        <v>42216</v>
      </c>
      <c r="D430">
        <f ca="1">IFERROR(SUMIFS(OFFSET(DBRA_TopicHCP,0,D$217,DBR_COUNT,1),DBRA_WorkplanDate,$C430,DBRA_PlayerID,$D$3),"")</f>
        <v>0</v>
      </c>
      <c r="E430">
        <f ca="1">IFERROR(SUMIFS(OFFSET(DBRA_TopicHCP,0,E$217,DBR_COUNT,1),DBRA_WorkplanDate,$C430,DBRA_PlayerID,$D$3),"")</f>
        <v>0</v>
      </c>
      <c r="F430">
        <f ca="1">IFERROR(SUMIFS(OFFSET(DBRA_TopicHCP,0,F$217,DBR_COUNT,1),DBRA_WorkplanDate,$C430,DBRA_PlayerID,$D$3),"")</f>
        <v>0</v>
      </c>
      <c r="G430">
        <f ca="1">IFERROR(SUMIFS(OFFSET(DBRA_TopicHCP,0,G$217,DBR_COUNT,1),DBRA_WorkplanDate,$C430,DBRA_PlayerID,$D$3),"")</f>
        <v>0</v>
      </c>
      <c r="H430">
        <f ca="1">IFERROR(SUMIFS(OFFSET(DBRA_TopicHCP,0,H$217,DBR_COUNT,1),DBRA_WorkplanDate,$C430,DBRA_PlayerID,$D$3),"")</f>
        <v>0</v>
      </c>
      <c r="I430">
        <f ca="1">IFERROR(SUMIFS(OFFSET(DBRA_TopicHCP,0,I$217,DBR_COUNT,1),DBRA_WorkplanDate,$C430,DBRA_PlayerID,$D$3),"")</f>
        <v>0</v>
      </c>
      <c r="J430">
        <f ca="1">IFERROR(SUMIFS(OFFSET(DBRA_TopicHCP,0,J$217,DBR_COUNT,1),DBRA_WorkplanDate,$C430,DBRA_PlayerID,$D$3),"")</f>
        <v>0</v>
      </c>
      <c r="K430">
        <f ca="1">IFERROR(SUMIFS(OFFSET(DBRA_TopicHCP,0,K$217,DBR_COUNT,1),DBRA_WorkplanDate,$C430,DBRA_PlayerID,$D$3),"")</f>
        <v>0</v>
      </c>
      <c r="L430">
        <f ca="1">IFERROR(SUMIFS(OFFSET(DBRA_TopicHCP,0,L$217,DBR_COUNT,1),DBRA_WorkplanDate,$C430,DBRA_PlayerID,$D$3),"")</f>
        <v>0</v>
      </c>
      <c r="M430" s="47"/>
      <c r="N430">
        <f ca="1">IFERROR(SUMIFS(OFFSET(DBRA_TopicCount,0,N$217,DBR_COUNT,1),DBRA_WorkplanDate,$C430,DBRA_PlayerID,$D$3),"")</f>
        <v>0</v>
      </c>
      <c r="O430">
        <f ca="1">IFERROR(SUMIFS(OFFSET(DBRA_TopicCount,0,O$217,DBR_COUNT,1),DBRA_WorkplanDate,$C430,DBRA_PlayerID,$D$3),"")</f>
        <v>0</v>
      </c>
      <c r="P430">
        <f ca="1">IFERROR(SUMIFS(OFFSET(DBRA_TopicCount,0,P$217,DBR_COUNT,1),DBRA_WorkplanDate,$C430,DBRA_PlayerID,$D$3),"")</f>
        <v>0</v>
      </c>
      <c r="Q430">
        <f ca="1">IFERROR(SUMIFS(OFFSET(DBRA_TopicCount,0,Q$217,DBR_COUNT,1),DBRA_WorkplanDate,$C430,DBRA_PlayerID,$D$3),"")</f>
        <v>0</v>
      </c>
      <c r="R430">
        <f ca="1">IFERROR(SUMIFS(OFFSET(DBRA_TopicCount,0,R$217,DBR_COUNT,1),DBRA_WorkplanDate,$C430,DBRA_PlayerID,$D$3),"")</f>
        <v>0</v>
      </c>
      <c r="S430">
        <f ca="1">IFERROR(SUMIFS(OFFSET(DBRA_TopicCount,0,S$217,DBR_COUNT,1),DBRA_WorkplanDate,$C430,DBRA_PlayerID,$D$3),"")</f>
        <v>0</v>
      </c>
      <c r="T430">
        <f ca="1">IFERROR(SUMIFS(OFFSET(DBRA_TopicCount,0,T$217,DBR_COUNT,1),DBRA_WorkplanDate,$C430,DBRA_PlayerID,$D$3),"")</f>
        <v>0</v>
      </c>
      <c r="U430">
        <f ca="1">IFERROR(SUMIFS(OFFSET(DBRA_TopicCount,0,U$217,DBR_COUNT,1),DBRA_WorkplanDate,$C430,DBRA_PlayerID,$D$3),"")</f>
        <v>0</v>
      </c>
      <c r="V430">
        <f ca="1">IFERROR(SUMIFS(OFFSET(DBRA_TopicCount,0,V$217,DBR_COUNT,1),DBRA_WorkplanDate,$C430,DBRA_PlayerID,$D$3),"")</f>
        <v>0</v>
      </c>
      <c r="W430" s="47"/>
      <c r="X430" t="str">
        <f t="shared" ca="1" si="104"/>
        <v/>
      </c>
      <c r="Y430" t="str">
        <f t="shared" ca="1" si="96"/>
        <v/>
      </c>
      <c r="Z430" t="str">
        <f t="shared" ca="1" si="97"/>
        <v/>
      </c>
      <c r="AA430" t="str">
        <f t="shared" ca="1" si="98"/>
        <v/>
      </c>
      <c r="AB430" t="str">
        <f t="shared" ca="1" si="99"/>
        <v/>
      </c>
      <c r="AC430" t="str">
        <f t="shared" ca="1" si="100"/>
        <v/>
      </c>
      <c r="AD430" t="str">
        <f t="shared" ca="1" si="101"/>
        <v/>
      </c>
      <c r="AE430" t="str">
        <f t="shared" ca="1" si="102"/>
        <v/>
      </c>
      <c r="AF430" t="str">
        <f t="shared" ca="1" si="103"/>
        <v/>
      </c>
      <c r="AG430" s="47"/>
    </row>
    <row r="431" spans="3:33" x14ac:dyDescent="0.25">
      <c r="C431" s="118">
        <f t="shared" si="105"/>
        <v>42217</v>
      </c>
      <c r="D431">
        <f ca="1">IFERROR(SUMIFS(OFFSET(DBRA_TopicHCP,0,D$217,DBR_COUNT,1),DBRA_WorkplanDate,$C431,DBRA_PlayerID,$D$3),"")</f>
        <v>0</v>
      </c>
      <c r="E431">
        <f ca="1">IFERROR(SUMIFS(OFFSET(DBRA_TopicHCP,0,E$217,DBR_COUNT,1),DBRA_WorkplanDate,$C431,DBRA_PlayerID,$D$3),"")</f>
        <v>0</v>
      </c>
      <c r="F431">
        <f ca="1">IFERROR(SUMIFS(OFFSET(DBRA_TopicHCP,0,F$217,DBR_COUNT,1),DBRA_WorkplanDate,$C431,DBRA_PlayerID,$D$3),"")</f>
        <v>0</v>
      </c>
      <c r="G431">
        <f ca="1">IFERROR(SUMIFS(OFFSET(DBRA_TopicHCP,0,G$217,DBR_COUNT,1),DBRA_WorkplanDate,$C431,DBRA_PlayerID,$D$3),"")</f>
        <v>0</v>
      </c>
      <c r="H431">
        <f ca="1">IFERROR(SUMIFS(OFFSET(DBRA_TopicHCP,0,H$217,DBR_COUNT,1),DBRA_WorkplanDate,$C431,DBRA_PlayerID,$D$3),"")</f>
        <v>0</v>
      </c>
      <c r="I431">
        <f ca="1">IFERROR(SUMIFS(OFFSET(DBRA_TopicHCP,0,I$217,DBR_COUNT,1),DBRA_WorkplanDate,$C431,DBRA_PlayerID,$D$3),"")</f>
        <v>0</v>
      </c>
      <c r="J431">
        <f ca="1">IFERROR(SUMIFS(OFFSET(DBRA_TopicHCP,0,J$217,DBR_COUNT,1),DBRA_WorkplanDate,$C431,DBRA_PlayerID,$D$3),"")</f>
        <v>0</v>
      </c>
      <c r="K431">
        <f ca="1">IFERROR(SUMIFS(OFFSET(DBRA_TopicHCP,0,K$217,DBR_COUNT,1),DBRA_WorkplanDate,$C431,DBRA_PlayerID,$D$3),"")</f>
        <v>0</v>
      </c>
      <c r="L431">
        <f ca="1">IFERROR(SUMIFS(OFFSET(DBRA_TopicHCP,0,L$217,DBR_COUNT,1),DBRA_WorkplanDate,$C431,DBRA_PlayerID,$D$3),"")</f>
        <v>0</v>
      </c>
      <c r="M431" s="47"/>
      <c r="N431">
        <f ca="1">IFERROR(SUMIFS(OFFSET(DBRA_TopicCount,0,N$217,DBR_COUNT,1),DBRA_WorkplanDate,$C431,DBRA_PlayerID,$D$3),"")</f>
        <v>0</v>
      </c>
      <c r="O431">
        <f ca="1">IFERROR(SUMIFS(OFFSET(DBRA_TopicCount,0,O$217,DBR_COUNT,1),DBRA_WorkplanDate,$C431,DBRA_PlayerID,$D$3),"")</f>
        <v>0</v>
      </c>
      <c r="P431">
        <f ca="1">IFERROR(SUMIFS(OFFSET(DBRA_TopicCount,0,P$217,DBR_COUNT,1),DBRA_WorkplanDate,$C431,DBRA_PlayerID,$D$3),"")</f>
        <v>0</v>
      </c>
      <c r="Q431">
        <f ca="1">IFERROR(SUMIFS(OFFSET(DBRA_TopicCount,0,Q$217,DBR_COUNT,1),DBRA_WorkplanDate,$C431,DBRA_PlayerID,$D$3),"")</f>
        <v>0</v>
      </c>
      <c r="R431">
        <f ca="1">IFERROR(SUMIFS(OFFSET(DBRA_TopicCount,0,R$217,DBR_COUNT,1),DBRA_WorkplanDate,$C431,DBRA_PlayerID,$D$3),"")</f>
        <v>0</v>
      </c>
      <c r="S431">
        <f ca="1">IFERROR(SUMIFS(OFFSET(DBRA_TopicCount,0,S$217,DBR_COUNT,1),DBRA_WorkplanDate,$C431,DBRA_PlayerID,$D$3),"")</f>
        <v>0</v>
      </c>
      <c r="T431">
        <f ca="1">IFERROR(SUMIFS(OFFSET(DBRA_TopicCount,0,T$217,DBR_COUNT,1),DBRA_WorkplanDate,$C431,DBRA_PlayerID,$D$3),"")</f>
        <v>0</v>
      </c>
      <c r="U431">
        <f ca="1">IFERROR(SUMIFS(OFFSET(DBRA_TopicCount,0,U$217,DBR_COUNT,1),DBRA_WorkplanDate,$C431,DBRA_PlayerID,$D$3),"")</f>
        <v>0</v>
      </c>
      <c r="V431">
        <f ca="1">IFERROR(SUMIFS(OFFSET(DBRA_TopicCount,0,V$217,DBR_COUNT,1),DBRA_WorkplanDate,$C431,DBRA_PlayerID,$D$3),"")</f>
        <v>0</v>
      </c>
      <c r="W431" s="47"/>
      <c r="X431" t="str">
        <f t="shared" ca="1" si="104"/>
        <v/>
      </c>
      <c r="Y431" t="str">
        <f t="shared" ca="1" si="96"/>
        <v/>
      </c>
      <c r="Z431" t="str">
        <f t="shared" ca="1" si="97"/>
        <v/>
      </c>
      <c r="AA431" t="str">
        <f t="shared" ca="1" si="98"/>
        <v/>
      </c>
      <c r="AB431" t="str">
        <f t="shared" ca="1" si="99"/>
        <v/>
      </c>
      <c r="AC431" t="str">
        <f t="shared" ca="1" si="100"/>
        <v/>
      </c>
      <c r="AD431" t="str">
        <f t="shared" ca="1" si="101"/>
        <v/>
      </c>
      <c r="AE431" t="str">
        <f t="shared" ca="1" si="102"/>
        <v/>
      </c>
      <c r="AF431" t="str">
        <f t="shared" ca="1" si="103"/>
        <v/>
      </c>
      <c r="AG431" s="47"/>
    </row>
    <row r="432" spans="3:33" x14ac:dyDescent="0.25">
      <c r="C432" s="118">
        <f t="shared" si="105"/>
        <v>42218</v>
      </c>
      <c r="D432">
        <f ca="1">IFERROR(SUMIFS(OFFSET(DBRA_TopicHCP,0,D$217,DBR_COUNT,1),DBRA_WorkplanDate,$C432,DBRA_PlayerID,$D$3),"")</f>
        <v>0</v>
      </c>
      <c r="E432">
        <f ca="1">IFERROR(SUMIFS(OFFSET(DBRA_TopicHCP,0,E$217,DBR_COUNT,1),DBRA_WorkplanDate,$C432,DBRA_PlayerID,$D$3),"")</f>
        <v>0</v>
      </c>
      <c r="F432">
        <f ca="1">IFERROR(SUMIFS(OFFSET(DBRA_TopicHCP,0,F$217,DBR_COUNT,1),DBRA_WorkplanDate,$C432,DBRA_PlayerID,$D$3),"")</f>
        <v>0</v>
      </c>
      <c r="G432">
        <f ca="1">IFERROR(SUMIFS(OFFSET(DBRA_TopicHCP,0,G$217,DBR_COUNT,1),DBRA_WorkplanDate,$C432,DBRA_PlayerID,$D$3),"")</f>
        <v>0</v>
      </c>
      <c r="H432">
        <f ca="1">IFERROR(SUMIFS(OFFSET(DBRA_TopicHCP,0,H$217,DBR_COUNT,1),DBRA_WorkplanDate,$C432,DBRA_PlayerID,$D$3),"")</f>
        <v>0</v>
      </c>
      <c r="I432">
        <f ca="1">IFERROR(SUMIFS(OFFSET(DBRA_TopicHCP,0,I$217,DBR_COUNT,1),DBRA_WorkplanDate,$C432,DBRA_PlayerID,$D$3),"")</f>
        <v>0</v>
      </c>
      <c r="J432">
        <f ca="1">IFERROR(SUMIFS(OFFSET(DBRA_TopicHCP,0,J$217,DBR_COUNT,1),DBRA_WorkplanDate,$C432,DBRA_PlayerID,$D$3),"")</f>
        <v>0</v>
      </c>
      <c r="K432">
        <f ca="1">IFERROR(SUMIFS(OFFSET(DBRA_TopicHCP,0,K$217,DBR_COUNT,1),DBRA_WorkplanDate,$C432,DBRA_PlayerID,$D$3),"")</f>
        <v>0</v>
      </c>
      <c r="L432">
        <f ca="1">IFERROR(SUMIFS(OFFSET(DBRA_TopicHCP,0,L$217,DBR_COUNT,1),DBRA_WorkplanDate,$C432,DBRA_PlayerID,$D$3),"")</f>
        <v>0</v>
      </c>
      <c r="M432" s="47"/>
      <c r="N432">
        <f ca="1">IFERROR(SUMIFS(OFFSET(DBRA_TopicCount,0,N$217,DBR_COUNT,1),DBRA_WorkplanDate,$C432,DBRA_PlayerID,$D$3),"")</f>
        <v>0</v>
      </c>
      <c r="O432">
        <f ca="1">IFERROR(SUMIFS(OFFSET(DBRA_TopicCount,0,O$217,DBR_COUNT,1),DBRA_WorkplanDate,$C432,DBRA_PlayerID,$D$3),"")</f>
        <v>0</v>
      </c>
      <c r="P432">
        <f ca="1">IFERROR(SUMIFS(OFFSET(DBRA_TopicCount,0,P$217,DBR_COUNT,1),DBRA_WorkplanDate,$C432,DBRA_PlayerID,$D$3),"")</f>
        <v>0</v>
      </c>
      <c r="Q432">
        <f ca="1">IFERROR(SUMIFS(OFFSET(DBRA_TopicCount,0,Q$217,DBR_COUNT,1),DBRA_WorkplanDate,$C432,DBRA_PlayerID,$D$3),"")</f>
        <v>0</v>
      </c>
      <c r="R432">
        <f ca="1">IFERROR(SUMIFS(OFFSET(DBRA_TopicCount,0,R$217,DBR_COUNT,1),DBRA_WorkplanDate,$C432,DBRA_PlayerID,$D$3),"")</f>
        <v>0</v>
      </c>
      <c r="S432">
        <f ca="1">IFERROR(SUMIFS(OFFSET(DBRA_TopicCount,0,S$217,DBR_COUNT,1),DBRA_WorkplanDate,$C432,DBRA_PlayerID,$D$3),"")</f>
        <v>0</v>
      </c>
      <c r="T432">
        <f ca="1">IFERROR(SUMIFS(OFFSET(DBRA_TopicCount,0,T$217,DBR_COUNT,1),DBRA_WorkplanDate,$C432,DBRA_PlayerID,$D$3),"")</f>
        <v>0</v>
      </c>
      <c r="U432">
        <f ca="1">IFERROR(SUMIFS(OFFSET(DBRA_TopicCount,0,U$217,DBR_COUNT,1),DBRA_WorkplanDate,$C432,DBRA_PlayerID,$D$3),"")</f>
        <v>0</v>
      </c>
      <c r="V432">
        <f ca="1">IFERROR(SUMIFS(OFFSET(DBRA_TopicCount,0,V$217,DBR_COUNT,1),DBRA_WorkplanDate,$C432,DBRA_PlayerID,$D$3),"")</f>
        <v>0</v>
      </c>
      <c r="W432" s="47"/>
      <c r="X432" t="str">
        <f t="shared" ca="1" si="104"/>
        <v/>
      </c>
      <c r="Y432" t="str">
        <f t="shared" ca="1" si="96"/>
        <v/>
      </c>
      <c r="Z432" t="str">
        <f t="shared" ca="1" si="97"/>
        <v/>
      </c>
      <c r="AA432" t="str">
        <f t="shared" ca="1" si="98"/>
        <v/>
      </c>
      <c r="AB432" t="str">
        <f t="shared" ca="1" si="99"/>
        <v/>
      </c>
      <c r="AC432" t="str">
        <f t="shared" ca="1" si="100"/>
        <v/>
      </c>
      <c r="AD432" t="str">
        <f t="shared" ca="1" si="101"/>
        <v/>
      </c>
      <c r="AE432" t="str">
        <f t="shared" ca="1" si="102"/>
        <v/>
      </c>
      <c r="AF432" t="str">
        <f t="shared" ca="1" si="103"/>
        <v/>
      </c>
      <c r="AG432" s="47"/>
    </row>
    <row r="433" spans="3:33" x14ac:dyDescent="0.25">
      <c r="C433" s="118">
        <f t="shared" si="105"/>
        <v>42219</v>
      </c>
      <c r="D433">
        <f ca="1">IFERROR(SUMIFS(OFFSET(DBRA_TopicHCP,0,D$217,DBR_COUNT,1),DBRA_WorkplanDate,$C433,DBRA_PlayerID,$D$3),"")</f>
        <v>0</v>
      </c>
      <c r="E433">
        <f ca="1">IFERROR(SUMIFS(OFFSET(DBRA_TopicHCP,0,E$217,DBR_COUNT,1),DBRA_WorkplanDate,$C433,DBRA_PlayerID,$D$3),"")</f>
        <v>0</v>
      </c>
      <c r="F433">
        <f ca="1">IFERROR(SUMIFS(OFFSET(DBRA_TopicHCP,0,F$217,DBR_COUNT,1),DBRA_WorkplanDate,$C433,DBRA_PlayerID,$D$3),"")</f>
        <v>0</v>
      </c>
      <c r="G433">
        <f ca="1">IFERROR(SUMIFS(OFFSET(DBRA_TopicHCP,0,G$217,DBR_COUNT,1),DBRA_WorkplanDate,$C433,DBRA_PlayerID,$D$3),"")</f>
        <v>0</v>
      </c>
      <c r="H433">
        <f ca="1">IFERROR(SUMIFS(OFFSET(DBRA_TopicHCP,0,H$217,DBR_COUNT,1),DBRA_WorkplanDate,$C433,DBRA_PlayerID,$D$3),"")</f>
        <v>0</v>
      </c>
      <c r="I433">
        <f ca="1">IFERROR(SUMIFS(OFFSET(DBRA_TopicHCP,0,I$217,DBR_COUNT,1),DBRA_WorkplanDate,$C433,DBRA_PlayerID,$D$3),"")</f>
        <v>0</v>
      </c>
      <c r="J433">
        <f ca="1">IFERROR(SUMIFS(OFFSET(DBRA_TopicHCP,0,J$217,DBR_COUNT,1),DBRA_WorkplanDate,$C433,DBRA_PlayerID,$D$3),"")</f>
        <v>0</v>
      </c>
      <c r="K433">
        <f ca="1">IFERROR(SUMIFS(OFFSET(DBRA_TopicHCP,0,K$217,DBR_COUNT,1),DBRA_WorkplanDate,$C433,DBRA_PlayerID,$D$3),"")</f>
        <v>0</v>
      </c>
      <c r="L433">
        <f ca="1">IFERROR(SUMIFS(OFFSET(DBRA_TopicHCP,0,L$217,DBR_COUNT,1),DBRA_WorkplanDate,$C433,DBRA_PlayerID,$D$3),"")</f>
        <v>0</v>
      </c>
      <c r="M433" s="47"/>
      <c r="N433">
        <f ca="1">IFERROR(SUMIFS(OFFSET(DBRA_TopicCount,0,N$217,DBR_COUNT,1),DBRA_WorkplanDate,$C433,DBRA_PlayerID,$D$3),"")</f>
        <v>0</v>
      </c>
      <c r="O433">
        <f ca="1">IFERROR(SUMIFS(OFFSET(DBRA_TopicCount,0,O$217,DBR_COUNT,1),DBRA_WorkplanDate,$C433,DBRA_PlayerID,$D$3),"")</f>
        <v>0</v>
      </c>
      <c r="P433">
        <f ca="1">IFERROR(SUMIFS(OFFSET(DBRA_TopicCount,0,P$217,DBR_COUNT,1),DBRA_WorkplanDate,$C433,DBRA_PlayerID,$D$3),"")</f>
        <v>0</v>
      </c>
      <c r="Q433">
        <f ca="1">IFERROR(SUMIFS(OFFSET(DBRA_TopicCount,0,Q$217,DBR_COUNT,1),DBRA_WorkplanDate,$C433,DBRA_PlayerID,$D$3),"")</f>
        <v>0</v>
      </c>
      <c r="R433">
        <f ca="1">IFERROR(SUMIFS(OFFSET(DBRA_TopicCount,0,R$217,DBR_COUNT,1),DBRA_WorkplanDate,$C433,DBRA_PlayerID,$D$3),"")</f>
        <v>0</v>
      </c>
      <c r="S433">
        <f ca="1">IFERROR(SUMIFS(OFFSET(DBRA_TopicCount,0,S$217,DBR_COUNT,1),DBRA_WorkplanDate,$C433,DBRA_PlayerID,$D$3),"")</f>
        <v>0</v>
      </c>
      <c r="T433">
        <f ca="1">IFERROR(SUMIFS(OFFSET(DBRA_TopicCount,0,T$217,DBR_COUNT,1),DBRA_WorkplanDate,$C433,DBRA_PlayerID,$D$3),"")</f>
        <v>0</v>
      </c>
      <c r="U433">
        <f ca="1">IFERROR(SUMIFS(OFFSET(DBRA_TopicCount,0,U$217,DBR_COUNT,1),DBRA_WorkplanDate,$C433,DBRA_PlayerID,$D$3),"")</f>
        <v>0</v>
      </c>
      <c r="V433">
        <f ca="1">IFERROR(SUMIFS(OFFSET(DBRA_TopicCount,0,V$217,DBR_COUNT,1),DBRA_WorkplanDate,$C433,DBRA_PlayerID,$D$3),"")</f>
        <v>0</v>
      </c>
      <c r="W433" s="47"/>
      <c r="X433" t="str">
        <f t="shared" ca="1" si="104"/>
        <v/>
      </c>
      <c r="Y433" t="str">
        <f t="shared" ca="1" si="96"/>
        <v/>
      </c>
      <c r="Z433" t="str">
        <f t="shared" ca="1" si="97"/>
        <v/>
      </c>
      <c r="AA433" t="str">
        <f t="shared" ca="1" si="98"/>
        <v/>
      </c>
      <c r="AB433" t="str">
        <f t="shared" ca="1" si="99"/>
        <v/>
      </c>
      <c r="AC433" t="str">
        <f t="shared" ca="1" si="100"/>
        <v/>
      </c>
      <c r="AD433" t="str">
        <f t="shared" ca="1" si="101"/>
        <v/>
      </c>
      <c r="AE433" t="str">
        <f t="shared" ca="1" si="102"/>
        <v/>
      </c>
      <c r="AF433" t="str">
        <f t="shared" ca="1" si="103"/>
        <v/>
      </c>
      <c r="AG433" s="47"/>
    </row>
    <row r="434" spans="3:33" x14ac:dyDescent="0.25">
      <c r="C434" s="118">
        <f t="shared" si="105"/>
        <v>42220</v>
      </c>
      <c r="D434">
        <f ca="1">IFERROR(SUMIFS(OFFSET(DBRA_TopicHCP,0,D$217,DBR_COUNT,1),DBRA_WorkplanDate,$C434,DBRA_PlayerID,$D$3),"")</f>
        <v>0</v>
      </c>
      <c r="E434">
        <f ca="1">IFERROR(SUMIFS(OFFSET(DBRA_TopicHCP,0,E$217,DBR_COUNT,1),DBRA_WorkplanDate,$C434,DBRA_PlayerID,$D$3),"")</f>
        <v>0</v>
      </c>
      <c r="F434">
        <f ca="1">IFERROR(SUMIFS(OFFSET(DBRA_TopicHCP,0,F$217,DBR_COUNT,1),DBRA_WorkplanDate,$C434,DBRA_PlayerID,$D$3),"")</f>
        <v>0</v>
      </c>
      <c r="G434">
        <f ca="1">IFERROR(SUMIFS(OFFSET(DBRA_TopicHCP,0,G$217,DBR_COUNT,1),DBRA_WorkplanDate,$C434,DBRA_PlayerID,$D$3),"")</f>
        <v>0</v>
      </c>
      <c r="H434">
        <f ca="1">IFERROR(SUMIFS(OFFSET(DBRA_TopicHCP,0,H$217,DBR_COUNT,1),DBRA_WorkplanDate,$C434,DBRA_PlayerID,$D$3),"")</f>
        <v>0</v>
      </c>
      <c r="I434">
        <f ca="1">IFERROR(SUMIFS(OFFSET(DBRA_TopicHCP,0,I$217,DBR_COUNT,1),DBRA_WorkplanDate,$C434,DBRA_PlayerID,$D$3),"")</f>
        <v>0</v>
      </c>
      <c r="J434">
        <f ca="1">IFERROR(SUMIFS(OFFSET(DBRA_TopicHCP,0,J$217,DBR_COUNT,1),DBRA_WorkplanDate,$C434,DBRA_PlayerID,$D$3),"")</f>
        <v>0</v>
      </c>
      <c r="K434">
        <f ca="1">IFERROR(SUMIFS(OFFSET(DBRA_TopicHCP,0,K$217,DBR_COUNT,1),DBRA_WorkplanDate,$C434,DBRA_PlayerID,$D$3),"")</f>
        <v>0</v>
      </c>
      <c r="L434">
        <f ca="1">IFERROR(SUMIFS(OFFSET(DBRA_TopicHCP,0,L$217,DBR_COUNT,1),DBRA_WorkplanDate,$C434,DBRA_PlayerID,$D$3),"")</f>
        <v>0</v>
      </c>
      <c r="M434" s="47"/>
      <c r="N434">
        <f ca="1">IFERROR(SUMIFS(OFFSET(DBRA_TopicCount,0,N$217,DBR_COUNT,1),DBRA_WorkplanDate,$C434,DBRA_PlayerID,$D$3),"")</f>
        <v>0</v>
      </c>
      <c r="O434">
        <f ca="1">IFERROR(SUMIFS(OFFSET(DBRA_TopicCount,0,O$217,DBR_COUNT,1),DBRA_WorkplanDate,$C434,DBRA_PlayerID,$D$3),"")</f>
        <v>0</v>
      </c>
      <c r="P434">
        <f ca="1">IFERROR(SUMIFS(OFFSET(DBRA_TopicCount,0,P$217,DBR_COUNT,1),DBRA_WorkplanDate,$C434,DBRA_PlayerID,$D$3),"")</f>
        <v>0</v>
      </c>
      <c r="Q434">
        <f ca="1">IFERROR(SUMIFS(OFFSET(DBRA_TopicCount,0,Q$217,DBR_COUNT,1),DBRA_WorkplanDate,$C434,DBRA_PlayerID,$D$3),"")</f>
        <v>0</v>
      </c>
      <c r="R434">
        <f ca="1">IFERROR(SUMIFS(OFFSET(DBRA_TopicCount,0,R$217,DBR_COUNT,1),DBRA_WorkplanDate,$C434,DBRA_PlayerID,$D$3),"")</f>
        <v>0</v>
      </c>
      <c r="S434">
        <f ca="1">IFERROR(SUMIFS(OFFSET(DBRA_TopicCount,0,S$217,DBR_COUNT,1),DBRA_WorkplanDate,$C434,DBRA_PlayerID,$D$3),"")</f>
        <v>0</v>
      </c>
      <c r="T434">
        <f ca="1">IFERROR(SUMIFS(OFFSET(DBRA_TopicCount,0,T$217,DBR_COUNT,1),DBRA_WorkplanDate,$C434,DBRA_PlayerID,$D$3),"")</f>
        <v>0</v>
      </c>
      <c r="U434">
        <f ca="1">IFERROR(SUMIFS(OFFSET(DBRA_TopicCount,0,U$217,DBR_COUNT,1),DBRA_WorkplanDate,$C434,DBRA_PlayerID,$D$3),"")</f>
        <v>0</v>
      </c>
      <c r="V434">
        <f ca="1">IFERROR(SUMIFS(OFFSET(DBRA_TopicCount,0,V$217,DBR_COUNT,1),DBRA_WorkplanDate,$C434,DBRA_PlayerID,$D$3),"")</f>
        <v>0</v>
      </c>
      <c r="W434" s="47"/>
      <c r="X434" t="str">
        <f t="shared" ca="1" si="104"/>
        <v/>
      </c>
      <c r="Y434" t="str">
        <f t="shared" ca="1" si="96"/>
        <v/>
      </c>
      <c r="Z434" t="str">
        <f t="shared" ca="1" si="97"/>
        <v/>
      </c>
      <c r="AA434" t="str">
        <f t="shared" ca="1" si="98"/>
        <v/>
      </c>
      <c r="AB434" t="str">
        <f t="shared" ca="1" si="99"/>
        <v/>
      </c>
      <c r="AC434" t="str">
        <f t="shared" ca="1" si="100"/>
        <v/>
      </c>
      <c r="AD434" t="str">
        <f t="shared" ca="1" si="101"/>
        <v/>
      </c>
      <c r="AE434" t="str">
        <f t="shared" ca="1" si="102"/>
        <v/>
      </c>
      <c r="AF434" t="str">
        <f t="shared" ca="1" si="103"/>
        <v/>
      </c>
      <c r="AG434" s="47"/>
    </row>
    <row r="435" spans="3:33" x14ac:dyDescent="0.25">
      <c r="C435" s="118">
        <f t="shared" si="105"/>
        <v>42221</v>
      </c>
      <c r="D435">
        <f ca="1">IFERROR(SUMIFS(OFFSET(DBRA_TopicHCP,0,D$217,DBR_COUNT,1),DBRA_WorkplanDate,$C435,DBRA_PlayerID,$D$3),"")</f>
        <v>0</v>
      </c>
      <c r="E435">
        <f ca="1">IFERROR(SUMIFS(OFFSET(DBRA_TopicHCP,0,E$217,DBR_COUNT,1),DBRA_WorkplanDate,$C435,DBRA_PlayerID,$D$3),"")</f>
        <v>0</v>
      </c>
      <c r="F435">
        <f ca="1">IFERROR(SUMIFS(OFFSET(DBRA_TopicHCP,0,F$217,DBR_COUNT,1),DBRA_WorkplanDate,$C435,DBRA_PlayerID,$D$3),"")</f>
        <v>0</v>
      </c>
      <c r="G435">
        <f ca="1">IFERROR(SUMIFS(OFFSET(DBRA_TopicHCP,0,G$217,DBR_COUNT,1),DBRA_WorkplanDate,$C435,DBRA_PlayerID,$D$3),"")</f>
        <v>0</v>
      </c>
      <c r="H435">
        <f ca="1">IFERROR(SUMIFS(OFFSET(DBRA_TopicHCP,0,H$217,DBR_COUNT,1),DBRA_WorkplanDate,$C435,DBRA_PlayerID,$D$3),"")</f>
        <v>0</v>
      </c>
      <c r="I435">
        <f ca="1">IFERROR(SUMIFS(OFFSET(DBRA_TopicHCP,0,I$217,DBR_COUNT,1),DBRA_WorkplanDate,$C435,DBRA_PlayerID,$D$3),"")</f>
        <v>0</v>
      </c>
      <c r="J435">
        <f ca="1">IFERROR(SUMIFS(OFFSET(DBRA_TopicHCP,0,J$217,DBR_COUNT,1),DBRA_WorkplanDate,$C435,DBRA_PlayerID,$D$3),"")</f>
        <v>0</v>
      </c>
      <c r="K435">
        <f ca="1">IFERROR(SUMIFS(OFFSET(DBRA_TopicHCP,0,K$217,DBR_COUNT,1),DBRA_WorkplanDate,$C435,DBRA_PlayerID,$D$3),"")</f>
        <v>0</v>
      </c>
      <c r="L435">
        <f ca="1">IFERROR(SUMIFS(OFFSET(DBRA_TopicHCP,0,L$217,DBR_COUNT,1),DBRA_WorkplanDate,$C435,DBRA_PlayerID,$D$3),"")</f>
        <v>0</v>
      </c>
      <c r="M435" s="47"/>
      <c r="N435">
        <f ca="1">IFERROR(SUMIFS(OFFSET(DBRA_TopicCount,0,N$217,DBR_COUNT,1),DBRA_WorkplanDate,$C435,DBRA_PlayerID,$D$3),"")</f>
        <v>0</v>
      </c>
      <c r="O435">
        <f ca="1">IFERROR(SUMIFS(OFFSET(DBRA_TopicCount,0,O$217,DBR_COUNT,1),DBRA_WorkplanDate,$C435,DBRA_PlayerID,$D$3),"")</f>
        <v>0</v>
      </c>
      <c r="P435">
        <f ca="1">IFERROR(SUMIFS(OFFSET(DBRA_TopicCount,0,P$217,DBR_COUNT,1),DBRA_WorkplanDate,$C435,DBRA_PlayerID,$D$3),"")</f>
        <v>0</v>
      </c>
      <c r="Q435">
        <f ca="1">IFERROR(SUMIFS(OFFSET(DBRA_TopicCount,0,Q$217,DBR_COUNT,1),DBRA_WorkplanDate,$C435,DBRA_PlayerID,$D$3),"")</f>
        <v>0</v>
      </c>
      <c r="R435">
        <f ca="1">IFERROR(SUMIFS(OFFSET(DBRA_TopicCount,0,R$217,DBR_COUNT,1),DBRA_WorkplanDate,$C435,DBRA_PlayerID,$D$3),"")</f>
        <v>0</v>
      </c>
      <c r="S435">
        <f ca="1">IFERROR(SUMIFS(OFFSET(DBRA_TopicCount,0,S$217,DBR_COUNT,1),DBRA_WorkplanDate,$C435,DBRA_PlayerID,$D$3),"")</f>
        <v>0</v>
      </c>
      <c r="T435">
        <f ca="1">IFERROR(SUMIFS(OFFSET(DBRA_TopicCount,0,T$217,DBR_COUNT,1),DBRA_WorkplanDate,$C435,DBRA_PlayerID,$D$3),"")</f>
        <v>0</v>
      </c>
      <c r="U435">
        <f ca="1">IFERROR(SUMIFS(OFFSET(DBRA_TopicCount,0,U$217,DBR_COUNT,1),DBRA_WorkplanDate,$C435,DBRA_PlayerID,$D$3),"")</f>
        <v>0</v>
      </c>
      <c r="V435">
        <f ca="1">IFERROR(SUMIFS(OFFSET(DBRA_TopicCount,0,V$217,DBR_COUNT,1),DBRA_WorkplanDate,$C435,DBRA_PlayerID,$D$3),"")</f>
        <v>0</v>
      </c>
      <c r="W435" s="47"/>
      <c r="X435" t="str">
        <f t="shared" ca="1" si="104"/>
        <v/>
      </c>
      <c r="Y435" t="str">
        <f t="shared" ca="1" si="96"/>
        <v/>
      </c>
      <c r="Z435" t="str">
        <f t="shared" ca="1" si="97"/>
        <v/>
      </c>
      <c r="AA435" t="str">
        <f t="shared" ca="1" si="98"/>
        <v/>
      </c>
      <c r="AB435" t="str">
        <f t="shared" ca="1" si="99"/>
        <v/>
      </c>
      <c r="AC435" t="str">
        <f t="shared" ca="1" si="100"/>
        <v/>
      </c>
      <c r="AD435" t="str">
        <f t="shared" ca="1" si="101"/>
        <v/>
      </c>
      <c r="AE435" t="str">
        <f t="shared" ca="1" si="102"/>
        <v/>
      </c>
      <c r="AF435" t="str">
        <f t="shared" ca="1" si="103"/>
        <v/>
      </c>
      <c r="AG435" s="47"/>
    </row>
    <row r="436" spans="3:33" x14ac:dyDescent="0.25">
      <c r="C436" s="118">
        <f t="shared" si="105"/>
        <v>42222</v>
      </c>
      <c r="D436">
        <f ca="1">IFERROR(SUMIFS(OFFSET(DBRA_TopicHCP,0,D$217,DBR_COUNT,1),DBRA_WorkplanDate,$C436,DBRA_PlayerID,$D$3),"")</f>
        <v>0</v>
      </c>
      <c r="E436">
        <f ca="1">IFERROR(SUMIFS(OFFSET(DBRA_TopicHCP,0,E$217,DBR_COUNT,1),DBRA_WorkplanDate,$C436,DBRA_PlayerID,$D$3),"")</f>
        <v>0</v>
      </c>
      <c r="F436">
        <f ca="1">IFERROR(SUMIFS(OFFSET(DBRA_TopicHCP,0,F$217,DBR_COUNT,1),DBRA_WorkplanDate,$C436,DBRA_PlayerID,$D$3),"")</f>
        <v>0</v>
      </c>
      <c r="G436">
        <f ca="1">IFERROR(SUMIFS(OFFSET(DBRA_TopicHCP,0,G$217,DBR_COUNT,1),DBRA_WorkplanDate,$C436,DBRA_PlayerID,$D$3),"")</f>
        <v>0</v>
      </c>
      <c r="H436">
        <f ca="1">IFERROR(SUMIFS(OFFSET(DBRA_TopicHCP,0,H$217,DBR_COUNT,1),DBRA_WorkplanDate,$C436,DBRA_PlayerID,$D$3),"")</f>
        <v>0</v>
      </c>
      <c r="I436">
        <f ca="1">IFERROR(SUMIFS(OFFSET(DBRA_TopicHCP,0,I$217,DBR_COUNT,1),DBRA_WorkplanDate,$C436,DBRA_PlayerID,$D$3),"")</f>
        <v>0</v>
      </c>
      <c r="J436">
        <f ca="1">IFERROR(SUMIFS(OFFSET(DBRA_TopicHCP,0,J$217,DBR_COUNT,1),DBRA_WorkplanDate,$C436,DBRA_PlayerID,$D$3),"")</f>
        <v>0</v>
      </c>
      <c r="K436">
        <f ca="1">IFERROR(SUMIFS(OFFSET(DBRA_TopicHCP,0,K$217,DBR_COUNT,1),DBRA_WorkplanDate,$C436,DBRA_PlayerID,$D$3),"")</f>
        <v>0</v>
      </c>
      <c r="L436">
        <f ca="1">IFERROR(SUMIFS(OFFSET(DBRA_TopicHCP,0,L$217,DBR_COUNT,1),DBRA_WorkplanDate,$C436,DBRA_PlayerID,$D$3),"")</f>
        <v>0</v>
      </c>
      <c r="M436" s="47"/>
      <c r="N436">
        <f ca="1">IFERROR(SUMIFS(OFFSET(DBRA_TopicCount,0,N$217,DBR_COUNT,1),DBRA_WorkplanDate,$C436,DBRA_PlayerID,$D$3),"")</f>
        <v>0</v>
      </c>
      <c r="O436">
        <f ca="1">IFERROR(SUMIFS(OFFSET(DBRA_TopicCount,0,O$217,DBR_COUNT,1),DBRA_WorkplanDate,$C436,DBRA_PlayerID,$D$3),"")</f>
        <v>0</v>
      </c>
      <c r="P436">
        <f ca="1">IFERROR(SUMIFS(OFFSET(DBRA_TopicCount,0,P$217,DBR_COUNT,1),DBRA_WorkplanDate,$C436,DBRA_PlayerID,$D$3),"")</f>
        <v>0</v>
      </c>
      <c r="Q436">
        <f ca="1">IFERROR(SUMIFS(OFFSET(DBRA_TopicCount,0,Q$217,DBR_COUNT,1),DBRA_WorkplanDate,$C436,DBRA_PlayerID,$D$3),"")</f>
        <v>0</v>
      </c>
      <c r="R436">
        <f ca="1">IFERROR(SUMIFS(OFFSET(DBRA_TopicCount,0,R$217,DBR_COUNT,1),DBRA_WorkplanDate,$C436,DBRA_PlayerID,$D$3),"")</f>
        <v>0</v>
      </c>
      <c r="S436">
        <f ca="1">IFERROR(SUMIFS(OFFSET(DBRA_TopicCount,0,S$217,DBR_COUNT,1),DBRA_WorkplanDate,$C436,DBRA_PlayerID,$D$3),"")</f>
        <v>0</v>
      </c>
      <c r="T436">
        <f ca="1">IFERROR(SUMIFS(OFFSET(DBRA_TopicCount,0,T$217,DBR_COUNT,1),DBRA_WorkplanDate,$C436,DBRA_PlayerID,$D$3),"")</f>
        <v>0</v>
      </c>
      <c r="U436">
        <f ca="1">IFERROR(SUMIFS(OFFSET(DBRA_TopicCount,0,U$217,DBR_COUNT,1),DBRA_WorkplanDate,$C436,DBRA_PlayerID,$D$3),"")</f>
        <v>0</v>
      </c>
      <c r="V436">
        <f ca="1">IFERROR(SUMIFS(OFFSET(DBRA_TopicCount,0,V$217,DBR_COUNT,1),DBRA_WorkplanDate,$C436,DBRA_PlayerID,$D$3),"")</f>
        <v>0</v>
      </c>
      <c r="W436" s="47"/>
      <c r="X436" t="str">
        <f t="shared" ca="1" si="104"/>
        <v/>
      </c>
      <c r="Y436" t="str">
        <f t="shared" ca="1" si="96"/>
        <v/>
      </c>
      <c r="Z436" t="str">
        <f t="shared" ca="1" si="97"/>
        <v/>
      </c>
      <c r="AA436" t="str">
        <f t="shared" ca="1" si="98"/>
        <v/>
      </c>
      <c r="AB436" t="str">
        <f t="shared" ca="1" si="99"/>
        <v/>
      </c>
      <c r="AC436" t="str">
        <f t="shared" ca="1" si="100"/>
        <v/>
      </c>
      <c r="AD436" t="str">
        <f t="shared" ca="1" si="101"/>
        <v/>
      </c>
      <c r="AE436" t="str">
        <f t="shared" ca="1" si="102"/>
        <v/>
      </c>
      <c r="AF436" t="str">
        <f t="shared" ca="1" si="103"/>
        <v/>
      </c>
      <c r="AG436" s="47"/>
    </row>
    <row r="437" spans="3:33" x14ac:dyDescent="0.25">
      <c r="C437" s="118">
        <f t="shared" si="105"/>
        <v>42223</v>
      </c>
      <c r="D437">
        <f ca="1">IFERROR(SUMIFS(OFFSET(DBRA_TopicHCP,0,D$217,DBR_COUNT,1),DBRA_WorkplanDate,$C437,DBRA_PlayerID,$D$3),"")</f>
        <v>0</v>
      </c>
      <c r="E437">
        <f ca="1">IFERROR(SUMIFS(OFFSET(DBRA_TopicHCP,0,E$217,DBR_COUNT,1),DBRA_WorkplanDate,$C437,DBRA_PlayerID,$D$3),"")</f>
        <v>0</v>
      </c>
      <c r="F437">
        <f ca="1">IFERROR(SUMIFS(OFFSET(DBRA_TopicHCP,0,F$217,DBR_COUNT,1),DBRA_WorkplanDate,$C437,DBRA_PlayerID,$D$3),"")</f>
        <v>0</v>
      </c>
      <c r="G437">
        <f ca="1">IFERROR(SUMIFS(OFFSET(DBRA_TopicHCP,0,G$217,DBR_COUNT,1),DBRA_WorkplanDate,$C437,DBRA_PlayerID,$D$3),"")</f>
        <v>0</v>
      </c>
      <c r="H437">
        <f ca="1">IFERROR(SUMIFS(OFFSET(DBRA_TopicHCP,0,H$217,DBR_COUNT,1),DBRA_WorkplanDate,$C437,DBRA_PlayerID,$D$3),"")</f>
        <v>0</v>
      </c>
      <c r="I437">
        <f ca="1">IFERROR(SUMIFS(OFFSET(DBRA_TopicHCP,0,I$217,DBR_COUNT,1),DBRA_WorkplanDate,$C437,DBRA_PlayerID,$D$3),"")</f>
        <v>0</v>
      </c>
      <c r="J437">
        <f ca="1">IFERROR(SUMIFS(OFFSET(DBRA_TopicHCP,0,J$217,DBR_COUNT,1),DBRA_WorkplanDate,$C437,DBRA_PlayerID,$D$3),"")</f>
        <v>0</v>
      </c>
      <c r="K437">
        <f ca="1">IFERROR(SUMIFS(OFFSET(DBRA_TopicHCP,0,K$217,DBR_COUNT,1),DBRA_WorkplanDate,$C437,DBRA_PlayerID,$D$3),"")</f>
        <v>0</v>
      </c>
      <c r="L437">
        <f ca="1">IFERROR(SUMIFS(OFFSET(DBRA_TopicHCP,0,L$217,DBR_COUNT,1),DBRA_WorkplanDate,$C437,DBRA_PlayerID,$D$3),"")</f>
        <v>0</v>
      </c>
      <c r="M437" s="47"/>
      <c r="N437">
        <f ca="1">IFERROR(SUMIFS(OFFSET(DBRA_TopicCount,0,N$217,DBR_COUNT,1),DBRA_WorkplanDate,$C437,DBRA_PlayerID,$D$3),"")</f>
        <v>0</v>
      </c>
      <c r="O437">
        <f ca="1">IFERROR(SUMIFS(OFFSET(DBRA_TopicCount,0,O$217,DBR_COUNT,1),DBRA_WorkplanDate,$C437,DBRA_PlayerID,$D$3),"")</f>
        <v>0</v>
      </c>
      <c r="P437">
        <f ca="1">IFERROR(SUMIFS(OFFSET(DBRA_TopicCount,0,P$217,DBR_COUNT,1),DBRA_WorkplanDate,$C437,DBRA_PlayerID,$D$3),"")</f>
        <v>0</v>
      </c>
      <c r="Q437">
        <f ca="1">IFERROR(SUMIFS(OFFSET(DBRA_TopicCount,0,Q$217,DBR_COUNT,1),DBRA_WorkplanDate,$C437,DBRA_PlayerID,$D$3),"")</f>
        <v>0</v>
      </c>
      <c r="R437">
        <f ca="1">IFERROR(SUMIFS(OFFSET(DBRA_TopicCount,0,R$217,DBR_COUNT,1),DBRA_WorkplanDate,$C437,DBRA_PlayerID,$D$3),"")</f>
        <v>0</v>
      </c>
      <c r="S437">
        <f ca="1">IFERROR(SUMIFS(OFFSET(DBRA_TopicCount,0,S$217,DBR_COUNT,1),DBRA_WorkplanDate,$C437,DBRA_PlayerID,$D$3),"")</f>
        <v>0</v>
      </c>
      <c r="T437">
        <f ca="1">IFERROR(SUMIFS(OFFSET(DBRA_TopicCount,0,T$217,DBR_COUNT,1),DBRA_WorkplanDate,$C437,DBRA_PlayerID,$D$3),"")</f>
        <v>0</v>
      </c>
      <c r="U437">
        <f ca="1">IFERROR(SUMIFS(OFFSET(DBRA_TopicCount,0,U$217,DBR_COUNT,1),DBRA_WorkplanDate,$C437,DBRA_PlayerID,$D$3),"")</f>
        <v>0</v>
      </c>
      <c r="V437">
        <f ca="1">IFERROR(SUMIFS(OFFSET(DBRA_TopicCount,0,V$217,DBR_COUNT,1),DBRA_WorkplanDate,$C437,DBRA_PlayerID,$D$3),"")</f>
        <v>0</v>
      </c>
      <c r="W437" s="47"/>
      <c r="X437" t="str">
        <f t="shared" ca="1" si="104"/>
        <v/>
      </c>
      <c r="Y437" t="str">
        <f t="shared" ca="1" si="96"/>
        <v/>
      </c>
      <c r="Z437" t="str">
        <f t="shared" ca="1" si="97"/>
        <v/>
      </c>
      <c r="AA437" t="str">
        <f t="shared" ca="1" si="98"/>
        <v/>
      </c>
      <c r="AB437" t="str">
        <f t="shared" ca="1" si="99"/>
        <v/>
      </c>
      <c r="AC437" t="str">
        <f t="shared" ca="1" si="100"/>
        <v/>
      </c>
      <c r="AD437" t="str">
        <f t="shared" ca="1" si="101"/>
        <v/>
      </c>
      <c r="AE437" t="str">
        <f t="shared" ca="1" si="102"/>
        <v/>
      </c>
      <c r="AF437" t="str">
        <f t="shared" ca="1" si="103"/>
        <v/>
      </c>
      <c r="AG437" s="47"/>
    </row>
    <row r="438" spans="3:33" x14ac:dyDescent="0.25">
      <c r="C438" s="118">
        <f t="shared" si="105"/>
        <v>42224</v>
      </c>
      <c r="D438">
        <f ca="1">IFERROR(SUMIFS(OFFSET(DBRA_TopicHCP,0,D$217,DBR_COUNT,1),DBRA_WorkplanDate,$C438,DBRA_PlayerID,$D$3),"")</f>
        <v>0</v>
      </c>
      <c r="E438">
        <f ca="1">IFERROR(SUMIFS(OFFSET(DBRA_TopicHCP,0,E$217,DBR_COUNT,1),DBRA_WorkplanDate,$C438,DBRA_PlayerID,$D$3),"")</f>
        <v>0</v>
      </c>
      <c r="F438">
        <f ca="1">IFERROR(SUMIFS(OFFSET(DBRA_TopicHCP,0,F$217,DBR_COUNT,1),DBRA_WorkplanDate,$C438,DBRA_PlayerID,$D$3),"")</f>
        <v>0</v>
      </c>
      <c r="G438">
        <f ca="1">IFERROR(SUMIFS(OFFSET(DBRA_TopicHCP,0,G$217,DBR_COUNT,1),DBRA_WorkplanDate,$C438,DBRA_PlayerID,$D$3),"")</f>
        <v>0</v>
      </c>
      <c r="H438">
        <f ca="1">IFERROR(SUMIFS(OFFSET(DBRA_TopicHCP,0,H$217,DBR_COUNT,1),DBRA_WorkplanDate,$C438,DBRA_PlayerID,$D$3),"")</f>
        <v>0</v>
      </c>
      <c r="I438">
        <f ca="1">IFERROR(SUMIFS(OFFSET(DBRA_TopicHCP,0,I$217,DBR_COUNT,1),DBRA_WorkplanDate,$C438,DBRA_PlayerID,$D$3),"")</f>
        <v>0</v>
      </c>
      <c r="J438">
        <f ca="1">IFERROR(SUMIFS(OFFSET(DBRA_TopicHCP,0,J$217,DBR_COUNT,1),DBRA_WorkplanDate,$C438,DBRA_PlayerID,$D$3),"")</f>
        <v>0</v>
      </c>
      <c r="K438">
        <f ca="1">IFERROR(SUMIFS(OFFSET(DBRA_TopicHCP,0,K$217,DBR_COUNT,1),DBRA_WorkplanDate,$C438,DBRA_PlayerID,$D$3),"")</f>
        <v>0</v>
      </c>
      <c r="L438">
        <f ca="1">IFERROR(SUMIFS(OFFSET(DBRA_TopicHCP,0,L$217,DBR_COUNT,1),DBRA_WorkplanDate,$C438,DBRA_PlayerID,$D$3),"")</f>
        <v>0</v>
      </c>
      <c r="M438" s="47"/>
      <c r="N438">
        <f ca="1">IFERROR(SUMIFS(OFFSET(DBRA_TopicCount,0,N$217,DBR_COUNT,1),DBRA_WorkplanDate,$C438,DBRA_PlayerID,$D$3),"")</f>
        <v>0</v>
      </c>
      <c r="O438">
        <f ca="1">IFERROR(SUMIFS(OFFSET(DBRA_TopicCount,0,O$217,DBR_COUNT,1),DBRA_WorkplanDate,$C438,DBRA_PlayerID,$D$3),"")</f>
        <v>0</v>
      </c>
      <c r="P438">
        <f ca="1">IFERROR(SUMIFS(OFFSET(DBRA_TopicCount,0,P$217,DBR_COUNT,1),DBRA_WorkplanDate,$C438,DBRA_PlayerID,$D$3),"")</f>
        <v>0</v>
      </c>
      <c r="Q438">
        <f ca="1">IFERROR(SUMIFS(OFFSET(DBRA_TopicCount,0,Q$217,DBR_COUNT,1),DBRA_WorkplanDate,$C438,DBRA_PlayerID,$D$3),"")</f>
        <v>0</v>
      </c>
      <c r="R438">
        <f ca="1">IFERROR(SUMIFS(OFFSET(DBRA_TopicCount,0,R$217,DBR_COUNT,1),DBRA_WorkplanDate,$C438,DBRA_PlayerID,$D$3),"")</f>
        <v>0</v>
      </c>
      <c r="S438">
        <f ca="1">IFERROR(SUMIFS(OFFSET(DBRA_TopicCount,0,S$217,DBR_COUNT,1),DBRA_WorkplanDate,$C438,DBRA_PlayerID,$D$3),"")</f>
        <v>0</v>
      </c>
      <c r="T438">
        <f ca="1">IFERROR(SUMIFS(OFFSET(DBRA_TopicCount,0,T$217,DBR_COUNT,1),DBRA_WorkplanDate,$C438,DBRA_PlayerID,$D$3),"")</f>
        <v>0</v>
      </c>
      <c r="U438">
        <f ca="1">IFERROR(SUMIFS(OFFSET(DBRA_TopicCount,0,U$217,DBR_COUNT,1),DBRA_WorkplanDate,$C438,DBRA_PlayerID,$D$3),"")</f>
        <v>0</v>
      </c>
      <c r="V438">
        <f ca="1">IFERROR(SUMIFS(OFFSET(DBRA_TopicCount,0,V$217,DBR_COUNT,1),DBRA_WorkplanDate,$C438,DBRA_PlayerID,$D$3),"")</f>
        <v>0</v>
      </c>
      <c r="W438" s="47"/>
      <c r="X438" t="str">
        <f t="shared" ca="1" si="104"/>
        <v/>
      </c>
      <c r="Y438" t="str">
        <f t="shared" ca="1" si="96"/>
        <v/>
      </c>
      <c r="Z438" t="str">
        <f t="shared" ca="1" si="97"/>
        <v/>
      </c>
      <c r="AA438" t="str">
        <f t="shared" ca="1" si="98"/>
        <v/>
      </c>
      <c r="AB438" t="str">
        <f t="shared" ca="1" si="99"/>
        <v/>
      </c>
      <c r="AC438" t="str">
        <f t="shared" ca="1" si="100"/>
        <v/>
      </c>
      <c r="AD438" t="str">
        <f t="shared" ca="1" si="101"/>
        <v/>
      </c>
      <c r="AE438" t="str">
        <f t="shared" ca="1" si="102"/>
        <v/>
      </c>
      <c r="AF438" t="str">
        <f t="shared" ca="1" si="103"/>
        <v/>
      </c>
      <c r="AG438" s="47"/>
    </row>
    <row r="439" spans="3:33" x14ac:dyDescent="0.25">
      <c r="C439" s="118">
        <f t="shared" si="105"/>
        <v>42225</v>
      </c>
      <c r="D439">
        <f ca="1">IFERROR(SUMIFS(OFFSET(DBRA_TopicHCP,0,D$217,DBR_COUNT,1),DBRA_WorkplanDate,$C439,DBRA_PlayerID,$D$3),"")</f>
        <v>0</v>
      </c>
      <c r="E439">
        <f ca="1">IFERROR(SUMIFS(OFFSET(DBRA_TopicHCP,0,E$217,DBR_COUNT,1),DBRA_WorkplanDate,$C439,DBRA_PlayerID,$D$3),"")</f>
        <v>0</v>
      </c>
      <c r="F439">
        <f ca="1">IFERROR(SUMIFS(OFFSET(DBRA_TopicHCP,0,F$217,DBR_COUNT,1),DBRA_WorkplanDate,$C439,DBRA_PlayerID,$D$3),"")</f>
        <v>0</v>
      </c>
      <c r="G439">
        <f ca="1">IFERROR(SUMIFS(OFFSET(DBRA_TopicHCP,0,G$217,DBR_COUNT,1),DBRA_WorkplanDate,$C439,DBRA_PlayerID,$D$3),"")</f>
        <v>0</v>
      </c>
      <c r="H439">
        <f ca="1">IFERROR(SUMIFS(OFFSET(DBRA_TopicHCP,0,H$217,DBR_COUNT,1),DBRA_WorkplanDate,$C439,DBRA_PlayerID,$D$3),"")</f>
        <v>0</v>
      </c>
      <c r="I439">
        <f ca="1">IFERROR(SUMIFS(OFFSET(DBRA_TopicHCP,0,I$217,DBR_COUNT,1),DBRA_WorkplanDate,$C439,DBRA_PlayerID,$D$3),"")</f>
        <v>0</v>
      </c>
      <c r="J439">
        <f ca="1">IFERROR(SUMIFS(OFFSET(DBRA_TopicHCP,0,J$217,DBR_COUNT,1),DBRA_WorkplanDate,$C439,DBRA_PlayerID,$D$3),"")</f>
        <v>0</v>
      </c>
      <c r="K439">
        <f ca="1">IFERROR(SUMIFS(OFFSET(DBRA_TopicHCP,0,K$217,DBR_COUNT,1),DBRA_WorkplanDate,$C439,DBRA_PlayerID,$D$3),"")</f>
        <v>0</v>
      </c>
      <c r="L439">
        <f ca="1">IFERROR(SUMIFS(OFFSET(DBRA_TopicHCP,0,L$217,DBR_COUNT,1),DBRA_WorkplanDate,$C439,DBRA_PlayerID,$D$3),"")</f>
        <v>0</v>
      </c>
      <c r="M439" s="47"/>
      <c r="N439">
        <f ca="1">IFERROR(SUMIFS(OFFSET(DBRA_TopicCount,0,N$217,DBR_COUNT,1),DBRA_WorkplanDate,$C439,DBRA_PlayerID,$D$3),"")</f>
        <v>0</v>
      </c>
      <c r="O439">
        <f ca="1">IFERROR(SUMIFS(OFFSET(DBRA_TopicCount,0,O$217,DBR_COUNT,1),DBRA_WorkplanDate,$C439,DBRA_PlayerID,$D$3),"")</f>
        <v>0</v>
      </c>
      <c r="P439">
        <f ca="1">IFERROR(SUMIFS(OFFSET(DBRA_TopicCount,0,P$217,DBR_COUNT,1),DBRA_WorkplanDate,$C439,DBRA_PlayerID,$D$3),"")</f>
        <v>0</v>
      </c>
      <c r="Q439">
        <f ca="1">IFERROR(SUMIFS(OFFSET(DBRA_TopicCount,0,Q$217,DBR_COUNT,1),DBRA_WorkplanDate,$C439,DBRA_PlayerID,$D$3),"")</f>
        <v>0</v>
      </c>
      <c r="R439">
        <f ca="1">IFERROR(SUMIFS(OFFSET(DBRA_TopicCount,0,R$217,DBR_COUNT,1),DBRA_WorkplanDate,$C439,DBRA_PlayerID,$D$3),"")</f>
        <v>0</v>
      </c>
      <c r="S439">
        <f ca="1">IFERROR(SUMIFS(OFFSET(DBRA_TopicCount,0,S$217,DBR_COUNT,1),DBRA_WorkplanDate,$C439,DBRA_PlayerID,$D$3),"")</f>
        <v>0</v>
      </c>
      <c r="T439">
        <f ca="1">IFERROR(SUMIFS(OFFSET(DBRA_TopicCount,0,T$217,DBR_COUNT,1),DBRA_WorkplanDate,$C439,DBRA_PlayerID,$D$3),"")</f>
        <v>0</v>
      </c>
      <c r="U439">
        <f ca="1">IFERROR(SUMIFS(OFFSET(DBRA_TopicCount,0,U$217,DBR_COUNT,1),DBRA_WorkplanDate,$C439,DBRA_PlayerID,$D$3),"")</f>
        <v>0</v>
      </c>
      <c r="V439">
        <f ca="1">IFERROR(SUMIFS(OFFSET(DBRA_TopicCount,0,V$217,DBR_COUNT,1),DBRA_WorkplanDate,$C439,DBRA_PlayerID,$D$3),"")</f>
        <v>0</v>
      </c>
      <c r="W439" s="47"/>
      <c r="X439" t="str">
        <f t="shared" ca="1" si="104"/>
        <v/>
      </c>
      <c r="Y439" t="str">
        <f t="shared" ca="1" si="96"/>
        <v/>
      </c>
      <c r="Z439" t="str">
        <f t="shared" ca="1" si="97"/>
        <v/>
      </c>
      <c r="AA439" t="str">
        <f t="shared" ca="1" si="98"/>
        <v/>
      </c>
      <c r="AB439" t="str">
        <f t="shared" ca="1" si="99"/>
        <v/>
      </c>
      <c r="AC439" t="str">
        <f t="shared" ca="1" si="100"/>
        <v/>
      </c>
      <c r="AD439" t="str">
        <f t="shared" ca="1" si="101"/>
        <v/>
      </c>
      <c r="AE439" t="str">
        <f t="shared" ca="1" si="102"/>
        <v/>
      </c>
      <c r="AF439" t="str">
        <f t="shared" ca="1" si="103"/>
        <v/>
      </c>
      <c r="AG439" s="47"/>
    </row>
    <row r="440" spans="3:33" x14ac:dyDescent="0.25">
      <c r="C440" s="118">
        <f t="shared" si="105"/>
        <v>42226</v>
      </c>
      <c r="D440">
        <f ca="1">IFERROR(SUMIFS(OFFSET(DBRA_TopicHCP,0,D$217,DBR_COUNT,1),DBRA_WorkplanDate,$C440,DBRA_PlayerID,$D$3),"")</f>
        <v>0</v>
      </c>
      <c r="E440">
        <f ca="1">IFERROR(SUMIFS(OFFSET(DBRA_TopicHCP,0,E$217,DBR_COUNT,1),DBRA_WorkplanDate,$C440,DBRA_PlayerID,$D$3),"")</f>
        <v>0</v>
      </c>
      <c r="F440">
        <f ca="1">IFERROR(SUMIFS(OFFSET(DBRA_TopicHCP,0,F$217,DBR_COUNT,1),DBRA_WorkplanDate,$C440,DBRA_PlayerID,$D$3),"")</f>
        <v>0</v>
      </c>
      <c r="G440">
        <f ca="1">IFERROR(SUMIFS(OFFSET(DBRA_TopicHCP,0,G$217,DBR_COUNT,1),DBRA_WorkplanDate,$C440,DBRA_PlayerID,$D$3),"")</f>
        <v>0</v>
      </c>
      <c r="H440">
        <f ca="1">IFERROR(SUMIFS(OFFSET(DBRA_TopicHCP,0,H$217,DBR_COUNT,1),DBRA_WorkplanDate,$C440,DBRA_PlayerID,$D$3),"")</f>
        <v>0</v>
      </c>
      <c r="I440">
        <f ca="1">IFERROR(SUMIFS(OFFSET(DBRA_TopicHCP,0,I$217,DBR_COUNT,1),DBRA_WorkplanDate,$C440,DBRA_PlayerID,$D$3),"")</f>
        <v>0</v>
      </c>
      <c r="J440">
        <f ca="1">IFERROR(SUMIFS(OFFSET(DBRA_TopicHCP,0,J$217,DBR_COUNT,1),DBRA_WorkplanDate,$C440,DBRA_PlayerID,$D$3),"")</f>
        <v>0</v>
      </c>
      <c r="K440">
        <f ca="1">IFERROR(SUMIFS(OFFSET(DBRA_TopicHCP,0,K$217,DBR_COUNT,1),DBRA_WorkplanDate,$C440,DBRA_PlayerID,$D$3),"")</f>
        <v>0</v>
      </c>
      <c r="L440">
        <f ca="1">IFERROR(SUMIFS(OFFSET(DBRA_TopicHCP,0,L$217,DBR_COUNT,1),DBRA_WorkplanDate,$C440,DBRA_PlayerID,$D$3),"")</f>
        <v>0</v>
      </c>
      <c r="M440" s="47"/>
      <c r="N440">
        <f ca="1">IFERROR(SUMIFS(OFFSET(DBRA_TopicCount,0,N$217,DBR_COUNT,1),DBRA_WorkplanDate,$C440,DBRA_PlayerID,$D$3),"")</f>
        <v>0</v>
      </c>
      <c r="O440">
        <f ca="1">IFERROR(SUMIFS(OFFSET(DBRA_TopicCount,0,O$217,DBR_COUNT,1),DBRA_WorkplanDate,$C440,DBRA_PlayerID,$D$3),"")</f>
        <v>0</v>
      </c>
      <c r="P440">
        <f ca="1">IFERROR(SUMIFS(OFFSET(DBRA_TopicCount,0,P$217,DBR_COUNT,1),DBRA_WorkplanDate,$C440,DBRA_PlayerID,$D$3),"")</f>
        <v>0</v>
      </c>
      <c r="Q440">
        <f ca="1">IFERROR(SUMIFS(OFFSET(DBRA_TopicCount,0,Q$217,DBR_COUNT,1),DBRA_WorkplanDate,$C440,DBRA_PlayerID,$D$3),"")</f>
        <v>0</v>
      </c>
      <c r="R440">
        <f ca="1">IFERROR(SUMIFS(OFFSET(DBRA_TopicCount,0,R$217,DBR_COUNT,1),DBRA_WorkplanDate,$C440,DBRA_PlayerID,$D$3),"")</f>
        <v>0</v>
      </c>
      <c r="S440">
        <f ca="1">IFERROR(SUMIFS(OFFSET(DBRA_TopicCount,0,S$217,DBR_COUNT,1),DBRA_WorkplanDate,$C440,DBRA_PlayerID,$D$3),"")</f>
        <v>0</v>
      </c>
      <c r="T440">
        <f ca="1">IFERROR(SUMIFS(OFFSET(DBRA_TopicCount,0,T$217,DBR_COUNT,1),DBRA_WorkplanDate,$C440,DBRA_PlayerID,$D$3),"")</f>
        <v>0</v>
      </c>
      <c r="U440">
        <f ca="1">IFERROR(SUMIFS(OFFSET(DBRA_TopicCount,0,U$217,DBR_COUNT,1),DBRA_WorkplanDate,$C440,DBRA_PlayerID,$D$3),"")</f>
        <v>0</v>
      </c>
      <c r="V440">
        <f ca="1">IFERROR(SUMIFS(OFFSET(DBRA_TopicCount,0,V$217,DBR_COUNT,1),DBRA_WorkplanDate,$C440,DBRA_PlayerID,$D$3),"")</f>
        <v>0</v>
      </c>
      <c r="W440" s="47"/>
      <c r="X440" t="str">
        <f t="shared" ca="1" si="104"/>
        <v/>
      </c>
      <c r="Y440" t="str">
        <f t="shared" ca="1" si="96"/>
        <v/>
      </c>
      <c r="Z440" t="str">
        <f t="shared" ca="1" si="97"/>
        <v/>
      </c>
      <c r="AA440" t="str">
        <f t="shared" ca="1" si="98"/>
        <v/>
      </c>
      <c r="AB440" t="str">
        <f t="shared" ca="1" si="99"/>
        <v/>
      </c>
      <c r="AC440" t="str">
        <f t="shared" ca="1" si="100"/>
        <v/>
      </c>
      <c r="AD440" t="str">
        <f t="shared" ca="1" si="101"/>
        <v/>
      </c>
      <c r="AE440" t="str">
        <f t="shared" ca="1" si="102"/>
        <v/>
      </c>
      <c r="AF440" t="str">
        <f t="shared" ca="1" si="103"/>
        <v/>
      </c>
      <c r="AG440" s="47"/>
    </row>
    <row r="441" spans="3:33" x14ac:dyDescent="0.25">
      <c r="C441" s="118">
        <f t="shared" si="105"/>
        <v>42227</v>
      </c>
      <c r="D441">
        <f ca="1">IFERROR(SUMIFS(OFFSET(DBRA_TopicHCP,0,D$217,DBR_COUNT,1),DBRA_WorkplanDate,$C441,DBRA_PlayerID,$D$3),"")</f>
        <v>0</v>
      </c>
      <c r="E441">
        <f ca="1">IFERROR(SUMIFS(OFFSET(DBRA_TopicHCP,0,E$217,DBR_COUNT,1),DBRA_WorkplanDate,$C441,DBRA_PlayerID,$D$3),"")</f>
        <v>0</v>
      </c>
      <c r="F441">
        <f ca="1">IFERROR(SUMIFS(OFFSET(DBRA_TopicHCP,0,F$217,DBR_COUNT,1),DBRA_WorkplanDate,$C441,DBRA_PlayerID,$D$3),"")</f>
        <v>0</v>
      </c>
      <c r="G441">
        <f ca="1">IFERROR(SUMIFS(OFFSET(DBRA_TopicHCP,0,G$217,DBR_COUNT,1),DBRA_WorkplanDate,$C441,DBRA_PlayerID,$D$3),"")</f>
        <v>0</v>
      </c>
      <c r="H441">
        <f ca="1">IFERROR(SUMIFS(OFFSET(DBRA_TopicHCP,0,H$217,DBR_COUNT,1),DBRA_WorkplanDate,$C441,DBRA_PlayerID,$D$3),"")</f>
        <v>0</v>
      </c>
      <c r="I441">
        <f ca="1">IFERROR(SUMIFS(OFFSET(DBRA_TopicHCP,0,I$217,DBR_COUNT,1),DBRA_WorkplanDate,$C441,DBRA_PlayerID,$D$3),"")</f>
        <v>0</v>
      </c>
      <c r="J441">
        <f ca="1">IFERROR(SUMIFS(OFFSET(DBRA_TopicHCP,0,J$217,DBR_COUNT,1),DBRA_WorkplanDate,$C441,DBRA_PlayerID,$D$3),"")</f>
        <v>0</v>
      </c>
      <c r="K441">
        <f ca="1">IFERROR(SUMIFS(OFFSET(DBRA_TopicHCP,0,K$217,DBR_COUNT,1),DBRA_WorkplanDate,$C441,DBRA_PlayerID,$D$3),"")</f>
        <v>0</v>
      </c>
      <c r="L441">
        <f ca="1">IFERROR(SUMIFS(OFFSET(DBRA_TopicHCP,0,L$217,DBR_COUNT,1),DBRA_WorkplanDate,$C441,DBRA_PlayerID,$D$3),"")</f>
        <v>0</v>
      </c>
      <c r="M441" s="47"/>
      <c r="N441">
        <f ca="1">IFERROR(SUMIFS(OFFSET(DBRA_TopicCount,0,N$217,DBR_COUNT,1),DBRA_WorkplanDate,$C441,DBRA_PlayerID,$D$3),"")</f>
        <v>0</v>
      </c>
      <c r="O441">
        <f ca="1">IFERROR(SUMIFS(OFFSET(DBRA_TopicCount,0,O$217,DBR_COUNT,1),DBRA_WorkplanDate,$C441,DBRA_PlayerID,$D$3),"")</f>
        <v>0</v>
      </c>
      <c r="P441">
        <f ca="1">IFERROR(SUMIFS(OFFSET(DBRA_TopicCount,0,P$217,DBR_COUNT,1),DBRA_WorkplanDate,$C441,DBRA_PlayerID,$D$3),"")</f>
        <v>0</v>
      </c>
      <c r="Q441">
        <f ca="1">IFERROR(SUMIFS(OFFSET(DBRA_TopicCount,0,Q$217,DBR_COUNT,1),DBRA_WorkplanDate,$C441,DBRA_PlayerID,$D$3),"")</f>
        <v>0</v>
      </c>
      <c r="R441">
        <f ca="1">IFERROR(SUMIFS(OFFSET(DBRA_TopicCount,0,R$217,DBR_COUNT,1),DBRA_WorkplanDate,$C441,DBRA_PlayerID,$D$3),"")</f>
        <v>0</v>
      </c>
      <c r="S441">
        <f ca="1">IFERROR(SUMIFS(OFFSET(DBRA_TopicCount,0,S$217,DBR_COUNT,1),DBRA_WorkplanDate,$C441,DBRA_PlayerID,$D$3),"")</f>
        <v>0</v>
      </c>
      <c r="T441">
        <f ca="1">IFERROR(SUMIFS(OFFSET(DBRA_TopicCount,0,T$217,DBR_COUNT,1),DBRA_WorkplanDate,$C441,DBRA_PlayerID,$D$3),"")</f>
        <v>0</v>
      </c>
      <c r="U441">
        <f ca="1">IFERROR(SUMIFS(OFFSET(DBRA_TopicCount,0,U$217,DBR_COUNT,1),DBRA_WorkplanDate,$C441,DBRA_PlayerID,$D$3),"")</f>
        <v>0</v>
      </c>
      <c r="V441">
        <f ca="1">IFERROR(SUMIFS(OFFSET(DBRA_TopicCount,0,V$217,DBR_COUNT,1),DBRA_WorkplanDate,$C441,DBRA_PlayerID,$D$3),"")</f>
        <v>0</v>
      </c>
      <c r="W441" s="47"/>
      <c r="X441" t="str">
        <f t="shared" ca="1" si="104"/>
        <v/>
      </c>
      <c r="Y441" t="str">
        <f t="shared" ca="1" si="96"/>
        <v/>
      </c>
      <c r="Z441" t="str">
        <f t="shared" ca="1" si="97"/>
        <v/>
      </c>
      <c r="AA441" t="str">
        <f t="shared" ca="1" si="98"/>
        <v/>
      </c>
      <c r="AB441" t="str">
        <f t="shared" ca="1" si="99"/>
        <v/>
      </c>
      <c r="AC441" t="str">
        <f t="shared" ca="1" si="100"/>
        <v/>
      </c>
      <c r="AD441" t="str">
        <f t="shared" ca="1" si="101"/>
        <v/>
      </c>
      <c r="AE441" t="str">
        <f t="shared" ca="1" si="102"/>
        <v/>
      </c>
      <c r="AF441" t="str">
        <f t="shared" ca="1" si="103"/>
        <v/>
      </c>
      <c r="AG441" s="47"/>
    </row>
    <row r="442" spans="3:33" x14ac:dyDescent="0.25">
      <c r="C442" s="118">
        <f t="shared" si="105"/>
        <v>42228</v>
      </c>
      <c r="D442">
        <f ca="1">IFERROR(SUMIFS(OFFSET(DBRA_TopicHCP,0,D$217,DBR_COUNT,1),DBRA_WorkplanDate,$C442,DBRA_PlayerID,$D$3),"")</f>
        <v>0</v>
      </c>
      <c r="E442">
        <f ca="1">IFERROR(SUMIFS(OFFSET(DBRA_TopicHCP,0,E$217,DBR_COUNT,1),DBRA_WorkplanDate,$C442,DBRA_PlayerID,$D$3),"")</f>
        <v>0</v>
      </c>
      <c r="F442">
        <f ca="1">IFERROR(SUMIFS(OFFSET(DBRA_TopicHCP,0,F$217,DBR_COUNT,1),DBRA_WorkplanDate,$C442,DBRA_PlayerID,$D$3),"")</f>
        <v>0</v>
      </c>
      <c r="G442">
        <f ca="1">IFERROR(SUMIFS(OFFSET(DBRA_TopicHCP,0,G$217,DBR_COUNT,1),DBRA_WorkplanDate,$C442,DBRA_PlayerID,$D$3),"")</f>
        <v>0</v>
      </c>
      <c r="H442">
        <f ca="1">IFERROR(SUMIFS(OFFSET(DBRA_TopicHCP,0,H$217,DBR_COUNT,1),DBRA_WorkplanDate,$C442,DBRA_PlayerID,$D$3),"")</f>
        <v>0</v>
      </c>
      <c r="I442">
        <f ca="1">IFERROR(SUMIFS(OFFSET(DBRA_TopicHCP,0,I$217,DBR_COUNT,1),DBRA_WorkplanDate,$C442,DBRA_PlayerID,$D$3),"")</f>
        <v>0</v>
      </c>
      <c r="J442">
        <f ca="1">IFERROR(SUMIFS(OFFSET(DBRA_TopicHCP,0,J$217,DBR_COUNT,1),DBRA_WorkplanDate,$C442,DBRA_PlayerID,$D$3),"")</f>
        <v>0</v>
      </c>
      <c r="K442">
        <f ca="1">IFERROR(SUMIFS(OFFSET(DBRA_TopicHCP,0,K$217,DBR_COUNT,1),DBRA_WorkplanDate,$C442,DBRA_PlayerID,$D$3),"")</f>
        <v>0</v>
      </c>
      <c r="L442">
        <f ca="1">IFERROR(SUMIFS(OFFSET(DBRA_TopicHCP,0,L$217,DBR_COUNT,1),DBRA_WorkplanDate,$C442,DBRA_PlayerID,$D$3),"")</f>
        <v>0</v>
      </c>
      <c r="M442" s="47"/>
      <c r="N442">
        <f ca="1">IFERROR(SUMIFS(OFFSET(DBRA_TopicCount,0,N$217,DBR_COUNT,1),DBRA_WorkplanDate,$C442,DBRA_PlayerID,$D$3),"")</f>
        <v>0</v>
      </c>
      <c r="O442">
        <f ca="1">IFERROR(SUMIFS(OFFSET(DBRA_TopicCount,0,O$217,DBR_COUNT,1),DBRA_WorkplanDate,$C442,DBRA_PlayerID,$D$3),"")</f>
        <v>0</v>
      </c>
      <c r="P442">
        <f ca="1">IFERROR(SUMIFS(OFFSET(DBRA_TopicCount,0,P$217,DBR_COUNT,1),DBRA_WorkplanDate,$C442,DBRA_PlayerID,$D$3),"")</f>
        <v>0</v>
      </c>
      <c r="Q442">
        <f ca="1">IFERROR(SUMIFS(OFFSET(DBRA_TopicCount,0,Q$217,DBR_COUNT,1),DBRA_WorkplanDate,$C442,DBRA_PlayerID,$D$3),"")</f>
        <v>0</v>
      </c>
      <c r="R442">
        <f ca="1">IFERROR(SUMIFS(OFFSET(DBRA_TopicCount,0,R$217,DBR_COUNT,1),DBRA_WorkplanDate,$C442,DBRA_PlayerID,$D$3),"")</f>
        <v>0</v>
      </c>
      <c r="S442">
        <f ca="1">IFERROR(SUMIFS(OFFSET(DBRA_TopicCount,0,S$217,DBR_COUNT,1),DBRA_WorkplanDate,$C442,DBRA_PlayerID,$D$3),"")</f>
        <v>0</v>
      </c>
      <c r="T442">
        <f ca="1">IFERROR(SUMIFS(OFFSET(DBRA_TopicCount,0,T$217,DBR_COUNT,1),DBRA_WorkplanDate,$C442,DBRA_PlayerID,$D$3),"")</f>
        <v>0</v>
      </c>
      <c r="U442">
        <f ca="1">IFERROR(SUMIFS(OFFSET(DBRA_TopicCount,0,U$217,DBR_COUNT,1),DBRA_WorkplanDate,$C442,DBRA_PlayerID,$D$3),"")</f>
        <v>0</v>
      </c>
      <c r="V442">
        <f ca="1">IFERROR(SUMIFS(OFFSET(DBRA_TopicCount,0,V$217,DBR_COUNT,1),DBRA_WorkplanDate,$C442,DBRA_PlayerID,$D$3),"")</f>
        <v>0</v>
      </c>
      <c r="W442" s="47"/>
      <c r="X442" t="str">
        <f t="shared" ca="1" si="104"/>
        <v/>
      </c>
      <c r="Y442" t="str">
        <f t="shared" ca="1" si="96"/>
        <v/>
      </c>
      <c r="Z442" t="str">
        <f t="shared" ca="1" si="97"/>
        <v/>
      </c>
      <c r="AA442" t="str">
        <f t="shared" ca="1" si="98"/>
        <v/>
      </c>
      <c r="AB442" t="str">
        <f t="shared" ca="1" si="99"/>
        <v/>
      </c>
      <c r="AC442" t="str">
        <f t="shared" ca="1" si="100"/>
        <v/>
      </c>
      <c r="AD442" t="str">
        <f t="shared" ca="1" si="101"/>
        <v/>
      </c>
      <c r="AE442" t="str">
        <f t="shared" ca="1" si="102"/>
        <v/>
      </c>
      <c r="AF442" t="str">
        <f t="shared" ca="1" si="103"/>
        <v/>
      </c>
      <c r="AG442" s="47"/>
    </row>
    <row r="443" spans="3:33" x14ac:dyDescent="0.25">
      <c r="C443" s="118">
        <f t="shared" si="105"/>
        <v>42229</v>
      </c>
      <c r="D443">
        <f ca="1">IFERROR(SUMIFS(OFFSET(DBRA_TopicHCP,0,D$217,DBR_COUNT,1),DBRA_WorkplanDate,$C443,DBRA_PlayerID,$D$3),"")</f>
        <v>0</v>
      </c>
      <c r="E443">
        <f ca="1">IFERROR(SUMIFS(OFFSET(DBRA_TopicHCP,0,E$217,DBR_COUNT,1),DBRA_WorkplanDate,$C443,DBRA_PlayerID,$D$3),"")</f>
        <v>0</v>
      </c>
      <c r="F443">
        <f ca="1">IFERROR(SUMIFS(OFFSET(DBRA_TopicHCP,0,F$217,DBR_COUNT,1),DBRA_WorkplanDate,$C443,DBRA_PlayerID,$D$3),"")</f>
        <v>0</v>
      </c>
      <c r="G443">
        <f ca="1">IFERROR(SUMIFS(OFFSET(DBRA_TopicHCP,0,G$217,DBR_COUNT,1),DBRA_WorkplanDate,$C443,DBRA_PlayerID,$D$3),"")</f>
        <v>0</v>
      </c>
      <c r="H443">
        <f ca="1">IFERROR(SUMIFS(OFFSET(DBRA_TopicHCP,0,H$217,DBR_COUNT,1),DBRA_WorkplanDate,$C443,DBRA_PlayerID,$D$3),"")</f>
        <v>0</v>
      </c>
      <c r="I443">
        <f ca="1">IFERROR(SUMIFS(OFFSET(DBRA_TopicHCP,0,I$217,DBR_COUNT,1),DBRA_WorkplanDate,$C443,DBRA_PlayerID,$D$3),"")</f>
        <v>0</v>
      </c>
      <c r="J443">
        <f ca="1">IFERROR(SUMIFS(OFFSET(DBRA_TopicHCP,0,J$217,DBR_COUNT,1),DBRA_WorkplanDate,$C443,DBRA_PlayerID,$D$3),"")</f>
        <v>0</v>
      </c>
      <c r="K443">
        <f ca="1">IFERROR(SUMIFS(OFFSET(DBRA_TopicHCP,0,K$217,DBR_COUNT,1),DBRA_WorkplanDate,$C443,DBRA_PlayerID,$D$3),"")</f>
        <v>0</v>
      </c>
      <c r="L443">
        <f ca="1">IFERROR(SUMIFS(OFFSET(DBRA_TopicHCP,0,L$217,DBR_COUNT,1),DBRA_WorkplanDate,$C443,DBRA_PlayerID,$D$3),"")</f>
        <v>0</v>
      </c>
      <c r="M443" s="47"/>
      <c r="N443">
        <f ca="1">IFERROR(SUMIFS(OFFSET(DBRA_TopicCount,0,N$217,DBR_COUNT,1),DBRA_WorkplanDate,$C443,DBRA_PlayerID,$D$3),"")</f>
        <v>0</v>
      </c>
      <c r="O443">
        <f ca="1">IFERROR(SUMIFS(OFFSET(DBRA_TopicCount,0,O$217,DBR_COUNT,1),DBRA_WorkplanDate,$C443,DBRA_PlayerID,$D$3),"")</f>
        <v>0</v>
      </c>
      <c r="P443">
        <f ca="1">IFERROR(SUMIFS(OFFSET(DBRA_TopicCount,0,P$217,DBR_COUNT,1),DBRA_WorkplanDate,$C443,DBRA_PlayerID,$D$3),"")</f>
        <v>0</v>
      </c>
      <c r="Q443">
        <f ca="1">IFERROR(SUMIFS(OFFSET(DBRA_TopicCount,0,Q$217,DBR_COUNT,1),DBRA_WorkplanDate,$C443,DBRA_PlayerID,$D$3),"")</f>
        <v>0</v>
      </c>
      <c r="R443">
        <f ca="1">IFERROR(SUMIFS(OFFSET(DBRA_TopicCount,0,R$217,DBR_COUNT,1),DBRA_WorkplanDate,$C443,DBRA_PlayerID,$D$3),"")</f>
        <v>0</v>
      </c>
      <c r="S443">
        <f ca="1">IFERROR(SUMIFS(OFFSET(DBRA_TopicCount,0,S$217,DBR_COUNT,1),DBRA_WorkplanDate,$C443,DBRA_PlayerID,$D$3),"")</f>
        <v>0</v>
      </c>
      <c r="T443">
        <f ca="1">IFERROR(SUMIFS(OFFSET(DBRA_TopicCount,0,T$217,DBR_COUNT,1),DBRA_WorkplanDate,$C443,DBRA_PlayerID,$D$3),"")</f>
        <v>0</v>
      </c>
      <c r="U443">
        <f ca="1">IFERROR(SUMIFS(OFFSET(DBRA_TopicCount,0,U$217,DBR_COUNT,1),DBRA_WorkplanDate,$C443,DBRA_PlayerID,$D$3),"")</f>
        <v>0</v>
      </c>
      <c r="V443">
        <f ca="1">IFERROR(SUMIFS(OFFSET(DBRA_TopicCount,0,V$217,DBR_COUNT,1),DBRA_WorkplanDate,$C443,DBRA_PlayerID,$D$3),"")</f>
        <v>0</v>
      </c>
      <c r="W443" s="47"/>
      <c r="X443" t="str">
        <f t="shared" ca="1" si="104"/>
        <v/>
      </c>
      <c r="Y443" t="str">
        <f t="shared" ca="1" si="96"/>
        <v/>
      </c>
      <c r="Z443" t="str">
        <f t="shared" ca="1" si="97"/>
        <v/>
      </c>
      <c r="AA443" t="str">
        <f t="shared" ca="1" si="98"/>
        <v/>
      </c>
      <c r="AB443" t="str">
        <f t="shared" ca="1" si="99"/>
        <v/>
      </c>
      <c r="AC443" t="str">
        <f t="shared" ca="1" si="100"/>
        <v/>
      </c>
      <c r="AD443" t="str">
        <f t="shared" ca="1" si="101"/>
        <v/>
      </c>
      <c r="AE443" t="str">
        <f t="shared" ca="1" si="102"/>
        <v/>
      </c>
      <c r="AF443" t="str">
        <f t="shared" ca="1" si="103"/>
        <v/>
      </c>
      <c r="AG443" s="47"/>
    </row>
    <row r="444" spans="3:33" x14ac:dyDescent="0.25">
      <c r="C444" s="118">
        <f t="shared" si="105"/>
        <v>42230</v>
      </c>
      <c r="D444">
        <f ca="1">IFERROR(SUMIFS(OFFSET(DBRA_TopicHCP,0,D$217,DBR_COUNT,1),DBRA_WorkplanDate,$C444,DBRA_PlayerID,$D$3),"")</f>
        <v>0</v>
      </c>
      <c r="E444">
        <f ca="1">IFERROR(SUMIFS(OFFSET(DBRA_TopicHCP,0,E$217,DBR_COUNT,1),DBRA_WorkplanDate,$C444,DBRA_PlayerID,$D$3),"")</f>
        <v>0</v>
      </c>
      <c r="F444">
        <f ca="1">IFERROR(SUMIFS(OFFSET(DBRA_TopicHCP,0,F$217,DBR_COUNT,1),DBRA_WorkplanDate,$C444,DBRA_PlayerID,$D$3),"")</f>
        <v>0</v>
      </c>
      <c r="G444">
        <f ca="1">IFERROR(SUMIFS(OFFSET(DBRA_TopicHCP,0,G$217,DBR_COUNT,1),DBRA_WorkplanDate,$C444,DBRA_PlayerID,$D$3),"")</f>
        <v>0</v>
      </c>
      <c r="H444">
        <f ca="1">IFERROR(SUMIFS(OFFSET(DBRA_TopicHCP,0,H$217,DBR_COUNT,1),DBRA_WorkplanDate,$C444,DBRA_PlayerID,$D$3),"")</f>
        <v>0</v>
      </c>
      <c r="I444">
        <f ca="1">IFERROR(SUMIFS(OFFSET(DBRA_TopicHCP,0,I$217,DBR_COUNT,1),DBRA_WorkplanDate,$C444,DBRA_PlayerID,$D$3),"")</f>
        <v>0</v>
      </c>
      <c r="J444">
        <f ca="1">IFERROR(SUMIFS(OFFSET(DBRA_TopicHCP,0,J$217,DBR_COUNT,1),DBRA_WorkplanDate,$C444,DBRA_PlayerID,$D$3),"")</f>
        <v>0</v>
      </c>
      <c r="K444">
        <f ca="1">IFERROR(SUMIFS(OFFSET(DBRA_TopicHCP,0,K$217,DBR_COUNT,1),DBRA_WorkplanDate,$C444,DBRA_PlayerID,$D$3),"")</f>
        <v>0</v>
      </c>
      <c r="L444">
        <f ca="1">IFERROR(SUMIFS(OFFSET(DBRA_TopicHCP,0,L$217,DBR_COUNT,1),DBRA_WorkplanDate,$C444,DBRA_PlayerID,$D$3),"")</f>
        <v>0</v>
      </c>
      <c r="M444" s="47"/>
      <c r="N444">
        <f ca="1">IFERROR(SUMIFS(OFFSET(DBRA_TopicCount,0,N$217,DBR_COUNT,1),DBRA_WorkplanDate,$C444,DBRA_PlayerID,$D$3),"")</f>
        <v>0</v>
      </c>
      <c r="O444">
        <f ca="1">IFERROR(SUMIFS(OFFSET(DBRA_TopicCount,0,O$217,DBR_COUNT,1),DBRA_WorkplanDate,$C444,DBRA_PlayerID,$D$3),"")</f>
        <v>0</v>
      </c>
      <c r="P444">
        <f ca="1">IFERROR(SUMIFS(OFFSET(DBRA_TopicCount,0,P$217,DBR_COUNT,1),DBRA_WorkplanDate,$C444,DBRA_PlayerID,$D$3),"")</f>
        <v>0</v>
      </c>
      <c r="Q444">
        <f ca="1">IFERROR(SUMIFS(OFFSET(DBRA_TopicCount,0,Q$217,DBR_COUNT,1),DBRA_WorkplanDate,$C444,DBRA_PlayerID,$D$3),"")</f>
        <v>0</v>
      </c>
      <c r="R444">
        <f ca="1">IFERROR(SUMIFS(OFFSET(DBRA_TopicCount,0,R$217,DBR_COUNT,1),DBRA_WorkplanDate,$C444,DBRA_PlayerID,$D$3),"")</f>
        <v>0</v>
      </c>
      <c r="S444">
        <f ca="1">IFERROR(SUMIFS(OFFSET(DBRA_TopicCount,0,S$217,DBR_COUNT,1),DBRA_WorkplanDate,$C444,DBRA_PlayerID,$D$3),"")</f>
        <v>0</v>
      </c>
      <c r="T444">
        <f ca="1">IFERROR(SUMIFS(OFFSET(DBRA_TopicCount,0,T$217,DBR_COUNT,1),DBRA_WorkplanDate,$C444,DBRA_PlayerID,$D$3),"")</f>
        <v>0</v>
      </c>
      <c r="U444">
        <f ca="1">IFERROR(SUMIFS(OFFSET(DBRA_TopicCount,0,U$217,DBR_COUNT,1),DBRA_WorkplanDate,$C444,DBRA_PlayerID,$D$3),"")</f>
        <v>0</v>
      </c>
      <c r="V444">
        <f ca="1">IFERROR(SUMIFS(OFFSET(DBRA_TopicCount,0,V$217,DBR_COUNT,1),DBRA_WorkplanDate,$C444,DBRA_PlayerID,$D$3),"")</f>
        <v>0</v>
      </c>
      <c r="W444" s="47"/>
      <c r="X444" t="str">
        <f t="shared" ca="1" si="104"/>
        <v/>
      </c>
      <c r="Y444" t="str">
        <f t="shared" ca="1" si="96"/>
        <v/>
      </c>
      <c r="Z444" t="str">
        <f t="shared" ca="1" si="97"/>
        <v/>
      </c>
      <c r="AA444" t="str">
        <f t="shared" ca="1" si="98"/>
        <v/>
      </c>
      <c r="AB444" t="str">
        <f t="shared" ca="1" si="99"/>
        <v/>
      </c>
      <c r="AC444" t="str">
        <f t="shared" ca="1" si="100"/>
        <v/>
      </c>
      <c r="AD444" t="str">
        <f t="shared" ca="1" si="101"/>
        <v/>
      </c>
      <c r="AE444" t="str">
        <f t="shared" ca="1" si="102"/>
        <v/>
      </c>
      <c r="AF444" t="str">
        <f t="shared" ca="1" si="103"/>
        <v/>
      </c>
      <c r="AG444" s="47"/>
    </row>
    <row r="445" spans="3:33" x14ac:dyDescent="0.25">
      <c r="C445" s="118">
        <f t="shared" si="105"/>
        <v>42231</v>
      </c>
      <c r="D445">
        <f ca="1">IFERROR(SUMIFS(OFFSET(DBRA_TopicHCP,0,D$217,DBR_COUNT,1),DBRA_WorkplanDate,$C445,DBRA_PlayerID,$D$3),"")</f>
        <v>0</v>
      </c>
      <c r="E445">
        <f ca="1">IFERROR(SUMIFS(OFFSET(DBRA_TopicHCP,0,E$217,DBR_COUNT,1),DBRA_WorkplanDate,$C445,DBRA_PlayerID,$D$3),"")</f>
        <v>0</v>
      </c>
      <c r="F445">
        <f ca="1">IFERROR(SUMIFS(OFFSET(DBRA_TopicHCP,0,F$217,DBR_COUNT,1),DBRA_WorkplanDate,$C445,DBRA_PlayerID,$D$3),"")</f>
        <v>0</v>
      </c>
      <c r="G445">
        <f ca="1">IFERROR(SUMIFS(OFFSET(DBRA_TopicHCP,0,G$217,DBR_COUNT,1),DBRA_WorkplanDate,$C445,DBRA_PlayerID,$D$3),"")</f>
        <v>0</v>
      </c>
      <c r="H445">
        <f ca="1">IFERROR(SUMIFS(OFFSET(DBRA_TopicHCP,0,H$217,DBR_COUNT,1),DBRA_WorkplanDate,$C445,DBRA_PlayerID,$D$3),"")</f>
        <v>0</v>
      </c>
      <c r="I445">
        <f ca="1">IFERROR(SUMIFS(OFFSET(DBRA_TopicHCP,0,I$217,DBR_COUNT,1),DBRA_WorkplanDate,$C445,DBRA_PlayerID,$D$3),"")</f>
        <v>0</v>
      </c>
      <c r="J445">
        <f ca="1">IFERROR(SUMIFS(OFFSET(DBRA_TopicHCP,0,J$217,DBR_COUNT,1),DBRA_WorkplanDate,$C445,DBRA_PlayerID,$D$3),"")</f>
        <v>0</v>
      </c>
      <c r="K445">
        <f ca="1">IFERROR(SUMIFS(OFFSET(DBRA_TopicHCP,0,K$217,DBR_COUNT,1),DBRA_WorkplanDate,$C445,DBRA_PlayerID,$D$3),"")</f>
        <v>0</v>
      </c>
      <c r="L445">
        <f ca="1">IFERROR(SUMIFS(OFFSET(DBRA_TopicHCP,0,L$217,DBR_COUNT,1),DBRA_WorkplanDate,$C445,DBRA_PlayerID,$D$3),"")</f>
        <v>0</v>
      </c>
      <c r="M445" s="47"/>
      <c r="N445">
        <f ca="1">IFERROR(SUMIFS(OFFSET(DBRA_TopicCount,0,N$217,DBR_COUNT,1),DBRA_WorkplanDate,$C445,DBRA_PlayerID,$D$3),"")</f>
        <v>0</v>
      </c>
      <c r="O445">
        <f ca="1">IFERROR(SUMIFS(OFFSET(DBRA_TopicCount,0,O$217,DBR_COUNT,1),DBRA_WorkplanDate,$C445,DBRA_PlayerID,$D$3),"")</f>
        <v>0</v>
      </c>
      <c r="P445">
        <f ca="1">IFERROR(SUMIFS(OFFSET(DBRA_TopicCount,0,P$217,DBR_COUNT,1),DBRA_WorkplanDate,$C445,DBRA_PlayerID,$D$3),"")</f>
        <v>0</v>
      </c>
      <c r="Q445">
        <f ca="1">IFERROR(SUMIFS(OFFSET(DBRA_TopicCount,0,Q$217,DBR_COUNT,1),DBRA_WorkplanDate,$C445,DBRA_PlayerID,$D$3),"")</f>
        <v>0</v>
      </c>
      <c r="R445">
        <f ca="1">IFERROR(SUMIFS(OFFSET(DBRA_TopicCount,0,R$217,DBR_COUNT,1),DBRA_WorkplanDate,$C445,DBRA_PlayerID,$D$3),"")</f>
        <v>0</v>
      </c>
      <c r="S445">
        <f ca="1">IFERROR(SUMIFS(OFFSET(DBRA_TopicCount,0,S$217,DBR_COUNT,1),DBRA_WorkplanDate,$C445,DBRA_PlayerID,$D$3),"")</f>
        <v>0</v>
      </c>
      <c r="T445">
        <f ca="1">IFERROR(SUMIFS(OFFSET(DBRA_TopicCount,0,T$217,DBR_COUNT,1),DBRA_WorkplanDate,$C445,DBRA_PlayerID,$D$3),"")</f>
        <v>0</v>
      </c>
      <c r="U445">
        <f ca="1">IFERROR(SUMIFS(OFFSET(DBRA_TopicCount,0,U$217,DBR_COUNT,1),DBRA_WorkplanDate,$C445,DBRA_PlayerID,$D$3),"")</f>
        <v>0</v>
      </c>
      <c r="V445">
        <f ca="1">IFERROR(SUMIFS(OFFSET(DBRA_TopicCount,0,V$217,DBR_COUNT,1),DBRA_WorkplanDate,$C445,DBRA_PlayerID,$D$3),"")</f>
        <v>0</v>
      </c>
      <c r="W445" s="47"/>
      <c r="X445" t="str">
        <f t="shared" ca="1" si="104"/>
        <v/>
      </c>
      <c r="Y445" t="str">
        <f t="shared" ca="1" si="96"/>
        <v/>
      </c>
      <c r="Z445" t="str">
        <f t="shared" ca="1" si="97"/>
        <v/>
      </c>
      <c r="AA445" t="str">
        <f t="shared" ca="1" si="98"/>
        <v/>
      </c>
      <c r="AB445" t="str">
        <f t="shared" ca="1" si="99"/>
        <v/>
      </c>
      <c r="AC445" t="str">
        <f t="shared" ca="1" si="100"/>
        <v/>
      </c>
      <c r="AD445" t="str">
        <f t="shared" ca="1" si="101"/>
        <v/>
      </c>
      <c r="AE445" t="str">
        <f t="shared" ca="1" si="102"/>
        <v/>
      </c>
      <c r="AF445" t="str">
        <f t="shared" ca="1" si="103"/>
        <v/>
      </c>
      <c r="AG445" s="47"/>
    </row>
    <row r="446" spans="3:33" x14ac:dyDescent="0.25">
      <c r="C446" s="118">
        <f t="shared" si="105"/>
        <v>42232</v>
      </c>
      <c r="D446">
        <f ca="1">IFERROR(SUMIFS(OFFSET(DBRA_TopicHCP,0,D$217,DBR_COUNT,1),DBRA_WorkplanDate,$C446,DBRA_PlayerID,$D$3),"")</f>
        <v>0</v>
      </c>
      <c r="E446">
        <f ca="1">IFERROR(SUMIFS(OFFSET(DBRA_TopicHCP,0,E$217,DBR_COUNT,1),DBRA_WorkplanDate,$C446,DBRA_PlayerID,$D$3),"")</f>
        <v>0</v>
      </c>
      <c r="F446">
        <f ca="1">IFERROR(SUMIFS(OFFSET(DBRA_TopicHCP,0,F$217,DBR_COUNT,1),DBRA_WorkplanDate,$C446,DBRA_PlayerID,$D$3),"")</f>
        <v>0</v>
      </c>
      <c r="G446">
        <f ca="1">IFERROR(SUMIFS(OFFSET(DBRA_TopicHCP,0,G$217,DBR_COUNT,1),DBRA_WorkplanDate,$C446,DBRA_PlayerID,$D$3),"")</f>
        <v>0</v>
      </c>
      <c r="H446">
        <f ca="1">IFERROR(SUMIFS(OFFSET(DBRA_TopicHCP,0,H$217,DBR_COUNT,1),DBRA_WorkplanDate,$C446,DBRA_PlayerID,$D$3),"")</f>
        <v>0</v>
      </c>
      <c r="I446">
        <f ca="1">IFERROR(SUMIFS(OFFSET(DBRA_TopicHCP,0,I$217,DBR_COUNT,1),DBRA_WorkplanDate,$C446,DBRA_PlayerID,$D$3),"")</f>
        <v>0</v>
      </c>
      <c r="J446">
        <f ca="1">IFERROR(SUMIFS(OFFSET(DBRA_TopicHCP,0,J$217,DBR_COUNT,1),DBRA_WorkplanDate,$C446,DBRA_PlayerID,$D$3),"")</f>
        <v>0</v>
      </c>
      <c r="K446">
        <f ca="1">IFERROR(SUMIFS(OFFSET(DBRA_TopicHCP,0,K$217,DBR_COUNT,1),DBRA_WorkplanDate,$C446,DBRA_PlayerID,$D$3),"")</f>
        <v>0</v>
      </c>
      <c r="L446">
        <f ca="1">IFERROR(SUMIFS(OFFSET(DBRA_TopicHCP,0,L$217,DBR_COUNT,1),DBRA_WorkplanDate,$C446,DBRA_PlayerID,$D$3),"")</f>
        <v>0</v>
      </c>
      <c r="M446" s="47"/>
      <c r="N446">
        <f ca="1">IFERROR(SUMIFS(OFFSET(DBRA_TopicCount,0,N$217,DBR_COUNT,1),DBRA_WorkplanDate,$C446,DBRA_PlayerID,$D$3),"")</f>
        <v>0</v>
      </c>
      <c r="O446">
        <f ca="1">IFERROR(SUMIFS(OFFSET(DBRA_TopicCount,0,O$217,DBR_COUNT,1),DBRA_WorkplanDate,$C446,DBRA_PlayerID,$D$3),"")</f>
        <v>0</v>
      </c>
      <c r="P446">
        <f ca="1">IFERROR(SUMIFS(OFFSET(DBRA_TopicCount,0,P$217,DBR_COUNT,1),DBRA_WorkplanDate,$C446,DBRA_PlayerID,$D$3),"")</f>
        <v>0</v>
      </c>
      <c r="Q446">
        <f ca="1">IFERROR(SUMIFS(OFFSET(DBRA_TopicCount,0,Q$217,DBR_COUNT,1),DBRA_WorkplanDate,$C446,DBRA_PlayerID,$D$3),"")</f>
        <v>0</v>
      </c>
      <c r="R446">
        <f ca="1">IFERROR(SUMIFS(OFFSET(DBRA_TopicCount,0,R$217,DBR_COUNT,1),DBRA_WorkplanDate,$C446,DBRA_PlayerID,$D$3),"")</f>
        <v>0</v>
      </c>
      <c r="S446">
        <f ca="1">IFERROR(SUMIFS(OFFSET(DBRA_TopicCount,0,S$217,DBR_COUNT,1),DBRA_WorkplanDate,$C446,DBRA_PlayerID,$D$3),"")</f>
        <v>0</v>
      </c>
      <c r="T446">
        <f ca="1">IFERROR(SUMIFS(OFFSET(DBRA_TopicCount,0,T$217,DBR_COUNT,1),DBRA_WorkplanDate,$C446,DBRA_PlayerID,$D$3),"")</f>
        <v>0</v>
      </c>
      <c r="U446">
        <f ca="1">IFERROR(SUMIFS(OFFSET(DBRA_TopicCount,0,U$217,DBR_COUNT,1),DBRA_WorkplanDate,$C446,DBRA_PlayerID,$D$3),"")</f>
        <v>0</v>
      </c>
      <c r="V446">
        <f ca="1">IFERROR(SUMIFS(OFFSET(DBRA_TopicCount,0,V$217,DBR_COUNT,1),DBRA_WorkplanDate,$C446,DBRA_PlayerID,$D$3),"")</f>
        <v>0</v>
      </c>
      <c r="W446" s="47"/>
      <c r="X446" t="str">
        <f t="shared" ca="1" si="104"/>
        <v/>
      </c>
      <c r="Y446" t="str">
        <f t="shared" ca="1" si="96"/>
        <v/>
      </c>
      <c r="Z446" t="str">
        <f t="shared" ca="1" si="97"/>
        <v/>
      </c>
      <c r="AA446" t="str">
        <f t="shared" ca="1" si="98"/>
        <v/>
      </c>
      <c r="AB446" t="str">
        <f t="shared" ca="1" si="99"/>
        <v/>
      </c>
      <c r="AC446" t="str">
        <f t="shared" ca="1" si="100"/>
        <v/>
      </c>
      <c r="AD446" t="str">
        <f t="shared" ca="1" si="101"/>
        <v/>
      </c>
      <c r="AE446" t="str">
        <f t="shared" ca="1" si="102"/>
        <v/>
      </c>
      <c r="AF446" t="str">
        <f t="shared" ca="1" si="103"/>
        <v/>
      </c>
      <c r="AG446" s="47"/>
    </row>
    <row r="447" spans="3:33" x14ac:dyDescent="0.25">
      <c r="C447" s="118">
        <f t="shared" si="105"/>
        <v>42233</v>
      </c>
      <c r="D447">
        <f ca="1">IFERROR(SUMIFS(OFFSET(DBRA_TopicHCP,0,D$217,DBR_COUNT,1),DBRA_WorkplanDate,$C447,DBRA_PlayerID,$D$3),"")</f>
        <v>0</v>
      </c>
      <c r="E447">
        <f ca="1">IFERROR(SUMIFS(OFFSET(DBRA_TopicHCP,0,E$217,DBR_COUNT,1),DBRA_WorkplanDate,$C447,DBRA_PlayerID,$D$3),"")</f>
        <v>0</v>
      </c>
      <c r="F447">
        <f ca="1">IFERROR(SUMIFS(OFFSET(DBRA_TopicHCP,0,F$217,DBR_COUNT,1),DBRA_WorkplanDate,$C447,DBRA_PlayerID,$D$3),"")</f>
        <v>0</v>
      </c>
      <c r="G447">
        <f ca="1">IFERROR(SUMIFS(OFFSET(DBRA_TopicHCP,0,G$217,DBR_COUNT,1),DBRA_WorkplanDate,$C447,DBRA_PlayerID,$D$3),"")</f>
        <v>0</v>
      </c>
      <c r="H447">
        <f ca="1">IFERROR(SUMIFS(OFFSET(DBRA_TopicHCP,0,H$217,DBR_COUNT,1),DBRA_WorkplanDate,$C447,DBRA_PlayerID,$D$3),"")</f>
        <v>0</v>
      </c>
      <c r="I447">
        <f ca="1">IFERROR(SUMIFS(OFFSET(DBRA_TopicHCP,0,I$217,DBR_COUNT,1),DBRA_WorkplanDate,$C447,DBRA_PlayerID,$D$3),"")</f>
        <v>0</v>
      </c>
      <c r="J447">
        <f ca="1">IFERROR(SUMIFS(OFFSET(DBRA_TopicHCP,0,J$217,DBR_COUNT,1),DBRA_WorkplanDate,$C447,DBRA_PlayerID,$D$3),"")</f>
        <v>0</v>
      </c>
      <c r="K447">
        <f ca="1">IFERROR(SUMIFS(OFFSET(DBRA_TopicHCP,0,K$217,DBR_COUNT,1),DBRA_WorkplanDate,$C447,DBRA_PlayerID,$D$3),"")</f>
        <v>0</v>
      </c>
      <c r="L447">
        <f ca="1">IFERROR(SUMIFS(OFFSET(DBRA_TopicHCP,0,L$217,DBR_COUNT,1),DBRA_WorkplanDate,$C447,DBRA_PlayerID,$D$3),"")</f>
        <v>0</v>
      </c>
      <c r="M447" s="47"/>
      <c r="N447">
        <f ca="1">IFERROR(SUMIFS(OFFSET(DBRA_TopicCount,0,N$217,DBR_COUNT,1),DBRA_WorkplanDate,$C447,DBRA_PlayerID,$D$3),"")</f>
        <v>0</v>
      </c>
      <c r="O447">
        <f ca="1">IFERROR(SUMIFS(OFFSET(DBRA_TopicCount,0,O$217,DBR_COUNT,1),DBRA_WorkplanDate,$C447,DBRA_PlayerID,$D$3),"")</f>
        <v>0</v>
      </c>
      <c r="P447">
        <f ca="1">IFERROR(SUMIFS(OFFSET(DBRA_TopicCount,0,P$217,DBR_COUNT,1),DBRA_WorkplanDate,$C447,DBRA_PlayerID,$D$3),"")</f>
        <v>0</v>
      </c>
      <c r="Q447">
        <f ca="1">IFERROR(SUMIFS(OFFSET(DBRA_TopicCount,0,Q$217,DBR_COUNT,1),DBRA_WorkplanDate,$C447,DBRA_PlayerID,$D$3),"")</f>
        <v>0</v>
      </c>
      <c r="R447">
        <f ca="1">IFERROR(SUMIFS(OFFSET(DBRA_TopicCount,0,R$217,DBR_COUNT,1),DBRA_WorkplanDate,$C447,DBRA_PlayerID,$D$3),"")</f>
        <v>0</v>
      </c>
      <c r="S447">
        <f ca="1">IFERROR(SUMIFS(OFFSET(DBRA_TopicCount,0,S$217,DBR_COUNT,1),DBRA_WorkplanDate,$C447,DBRA_PlayerID,$D$3),"")</f>
        <v>0</v>
      </c>
      <c r="T447">
        <f ca="1">IFERROR(SUMIFS(OFFSET(DBRA_TopicCount,0,T$217,DBR_COUNT,1),DBRA_WorkplanDate,$C447,DBRA_PlayerID,$D$3),"")</f>
        <v>0</v>
      </c>
      <c r="U447">
        <f ca="1">IFERROR(SUMIFS(OFFSET(DBRA_TopicCount,0,U$217,DBR_COUNT,1),DBRA_WorkplanDate,$C447,DBRA_PlayerID,$D$3),"")</f>
        <v>0</v>
      </c>
      <c r="V447">
        <f ca="1">IFERROR(SUMIFS(OFFSET(DBRA_TopicCount,0,V$217,DBR_COUNT,1),DBRA_WorkplanDate,$C447,DBRA_PlayerID,$D$3),"")</f>
        <v>0</v>
      </c>
      <c r="W447" s="47"/>
      <c r="X447" t="str">
        <f t="shared" ca="1" si="104"/>
        <v/>
      </c>
      <c r="Y447" t="str">
        <f t="shared" ca="1" si="96"/>
        <v/>
      </c>
      <c r="Z447" t="str">
        <f t="shared" ca="1" si="97"/>
        <v/>
      </c>
      <c r="AA447" t="str">
        <f t="shared" ca="1" si="98"/>
        <v/>
      </c>
      <c r="AB447" t="str">
        <f t="shared" ca="1" si="99"/>
        <v/>
      </c>
      <c r="AC447" t="str">
        <f t="shared" ca="1" si="100"/>
        <v/>
      </c>
      <c r="AD447" t="str">
        <f t="shared" ca="1" si="101"/>
        <v/>
      </c>
      <c r="AE447" t="str">
        <f t="shared" ca="1" si="102"/>
        <v/>
      </c>
      <c r="AF447" t="str">
        <f t="shared" ca="1" si="103"/>
        <v/>
      </c>
      <c r="AG447" s="47"/>
    </row>
    <row r="448" spans="3:33" x14ac:dyDescent="0.25">
      <c r="C448" s="118">
        <f t="shared" si="105"/>
        <v>42234</v>
      </c>
      <c r="D448">
        <f ca="1">IFERROR(SUMIFS(OFFSET(DBRA_TopicHCP,0,D$217,DBR_COUNT,1),DBRA_WorkplanDate,$C448,DBRA_PlayerID,$D$3),"")</f>
        <v>0</v>
      </c>
      <c r="E448">
        <f ca="1">IFERROR(SUMIFS(OFFSET(DBRA_TopicHCP,0,E$217,DBR_COUNT,1),DBRA_WorkplanDate,$C448,DBRA_PlayerID,$D$3),"")</f>
        <v>0</v>
      </c>
      <c r="F448">
        <f ca="1">IFERROR(SUMIFS(OFFSET(DBRA_TopicHCP,0,F$217,DBR_COUNT,1),DBRA_WorkplanDate,$C448,DBRA_PlayerID,$D$3),"")</f>
        <v>0</v>
      </c>
      <c r="G448">
        <f ca="1">IFERROR(SUMIFS(OFFSET(DBRA_TopicHCP,0,G$217,DBR_COUNT,1),DBRA_WorkplanDate,$C448,DBRA_PlayerID,$D$3),"")</f>
        <v>0</v>
      </c>
      <c r="H448">
        <f ca="1">IFERROR(SUMIFS(OFFSET(DBRA_TopicHCP,0,H$217,DBR_COUNT,1),DBRA_WorkplanDate,$C448,DBRA_PlayerID,$D$3),"")</f>
        <v>0</v>
      </c>
      <c r="I448">
        <f ca="1">IFERROR(SUMIFS(OFFSET(DBRA_TopicHCP,0,I$217,DBR_COUNT,1),DBRA_WorkplanDate,$C448,DBRA_PlayerID,$D$3),"")</f>
        <v>0</v>
      </c>
      <c r="J448">
        <f ca="1">IFERROR(SUMIFS(OFFSET(DBRA_TopicHCP,0,J$217,DBR_COUNT,1),DBRA_WorkplanDate,$C448,DBRA_PlayerID,$D$3),"")</f>
        <v>0</v>
      </c>
      <c r="K448">
        <f ca="1">IFERROR(SUMIFS(OFFSET(DBRA_TopicHCP,0,K$217,DBR_COUNT,1),DBRA_WorkplanDate,$C448,DBRA_PlayerID,$D$3),"")</f>
        <v>0</v>
      </c>
      <c r="L448">
        <f ca="1">IFERROR(SUMIFS(OFFSET(DBRA_TopicHCP,0,L$217,DBR_COUNT,1),DBRA_WorkplanDate,$C448,DBRA_PlayerID,$D$3),"")</f>
        <v>0</v>
      </c>
      <c r="M448" s="47"/>
      <c r="N448">
        <f ca="1">IFERROR(SUMIFS(OFFSET(DBRA_TopicCount,0,N$217,DBR_COUNT,1),DBRA_WorkplanDate,$C448,DBRA_PlayerID,$D$3),"")</f>
        <v>0</v>
      </c>
      <c r="O448">
        <f ca="1">IFERROR(SUMIFS(OFFSET(DBRA_TopicCount,0,O$217,DBR_COUNT,1),DBRA_WorkplanDate,$C448,DBRA_PlayerID,$D$3),"")</f>
        <v>0</v>
      </c>
      <c r="P448">
        <f ca="1">IFERROR(SUMIFS(OFFSET(DBRA_TopicCount,0,P$217,DBR_COUNT,1),DBRA_WorkplanDate,$C448,DBRA_PlayerID,$D$3),"")</f>
        <v>0</v>
      </c>
      <c r="Q448">
        <f ca="1">IFERROR(SUMIFS(OFFSET(DBRA_TopicCount,0,Q$217,DBR_COUNT,1),DBRA_WorkplanDate,$C448,DBRA_PlayerID,$D$3),"")</f>
        <v>0</v>
      </c>
      <c r="R448">
        <f ca="1">IFERROR(SUMIFS(OFFSET(DBRA_TopicCount,0,R$217,DBR_COUNT,1),DBRA_WorkplanDate,$C448,DBRA_PlayerID,$D$3),"")</f>
        <v>0</v>
      </c>
      <c r="S448">
        <f ca="1">IFERROR(SUMIFS(OFFSET(DBRA_TopicCount,0,S$217,DBR_COUNT,1),DBRA_WorkplanDate,$C448,DBRA_PlayerID,$D$3),"")</f>
        <v>0</v>
      </c>
      <c r="T448">
        <f ca="1">IFERROR(SUMIFS(OFFSET(DBRA_TopicCount,0,T$217,DBR_COUNT,1),DBRA_WorkplanDate,$C448,DBRA_PlayerID,$D$3),"")</f>
        <v>0</v>
      </c>
      <c r="U448">
        <f ca="1">IFERROR(SUMIFS(OFFSET(DBRA_TopicCount,0,U$217,DBR_COUNT,1),DBRA_WorkplanDate,$C448,DBRA_PlayerID,$D$3),"")</f>
        <v>0</v>
      </c>
      <c r="V448">
        <f ca="1">IFERROR(SUMIFS(OFFSET(DBRA_TopicCount,0,V$217,DBR_COUNT,1),DBRA_WorkplanDate,$C448,DBRA_PlayerID,$D$3),"")</f>
        <v>0</v>
      </c>
      <c r="W448" s="47"/>
      <c r="X448" t="str">
        <f t="shared" ca="1" si="104"/>
        <v/>
      </c>
      <c r="Y448" t="str">
        <f t="shared" ca="1" si="96"/>
        <v/>
      </c>
      <c r="Z448" t="str">
        <f t="shared" ca="1" si="97"/>
        <v/>
      </c>
      <c r="AA448" t="str">
        <f t="shared" ca="1" si="98"/>
        <v/>
      </c>
      <c r="AB448" t="str">
        <f t="shared" ca="1" si="99"/>
        <v/>
      </c>
      <c r="AC448" t="str">
        <f t="shared" ca="1" si="100"/>
        <v/>
      </c>
      <c r="AD448" t="str">
        <f t="shared" ca="1" si="101"/>
        <v/>
      </c>
      <c r="AE448" t="str">
        <f t="shared" ca="1" si="102"/>
        <v/>
      </c>
      <c r="AF448" t="str">
        <f t="shared" ca="1" si="103"/>
        <v/>
      </c>
      <c r="AG448" s="47"/>
    </row>
    <row r="449" spans="3:33" x14ac:dyDescent="0.25">
      <c r="C449" s="118">
        <f t="shared" si="105"/>
        <v>42235</v>
      </c>
      <c r="D449">
        <f ca="1">IFERROR(SUMIFS(OFFSET(DBRA_TopicHCP,0,D$217,DBR_COUNT,1),DBRA_WorkplanDate,$C449,DBRA_PlayerID,$D$3),"")</f>
        <v>0</v>
      </c>
      <c r="E449">
        <f ca="1">IFERROR(SUMIFS(OFFSET(DBRA_TopicHCP,0,E$217,DBR_COUNT,1),DBRA_WorkplanDate,$C449,DBRA_PlayerID,$D$3),"")</f>
        <v>0</v>
      </c>
      <c r="F449">
        <f ca="1">IFERROR(SUMIFS(OFFSET(DBRA_TopicHCP,0,F$217,DBR_COUNT,1),DBRA_WorkplanDate,$C449,DBRA_PlayerID,$D$3),"")</f>
        <v>0</v>
      </c>
      <c r="G449">
        <f ca="1">IFERROR(SUMIFS(OFFSET(DBRA_TopicHCP,0,G$217,DBR_COUNT,1),DBRA_WorkplanDate,$C449,DBRA_PlayerID,$D$3),"")</f>
        <v>0</v>
      </c>
      <c r="H449">
        <f ca="1">IFERROR(SUMIFS(OFFSET(DBRA_TopicHCP,0,H$217,DBR_COUNT,1),DBRA_WorkplanDate,$C449,DBRA_PlayerID,$D$3),"")</f>
        <v>0</v>
      </c>
      <c r="I449">
        <f ca="1">IFERROR(SUMIFS(OFFSET(DBRA_TopicHCP,0,I$217,DBR_COUNT,1),DBRA_WorkplanDate,$C449,DBRA_PlayerID,$D$3),"")</f>
        <v>0</v>
      </c>
      <c r="J449">
        <f ca="1">IFERROR(SUMIFS(OFFSET(DBRA_TopicHCP,0,J$217,DBR_COUNT,1),DBRA_WorkplanDate,$C449,DBRA_PlayerID,$D$3),"")</f>
        <v>0</v>
      </c>
      <c r="K449">
        <f ca="1">IFERROR(SUMIFS(OFFSET(DBRA_TopicHCP,0,K$217,DBR_COUNT,1),DBRA_WorkplanDate,$C449,DBRA_PlayerID,$D$3),"")</f>
        <v>0</v>
      </c>
      <c r="L449">
        <f ca="1">IFERROR(SUMIFS(OFFSET(DBRA_TopicHCP,0,L$217,DBR_COUNT,1),DBRA_WorkplanDate,$C449,DBRA_PlayerID,$D$3),"")</f>
        <v>0</v>
      </c>
      <c r="M449" s="47"/>
      <c r="N449">
        <f ca="1">IFERROR(SUMIFS(OFFSET(DBRA_TopicCount,0,N$217,DBR_COUNT,1),DBRA_WorkplanDate,$C449,DBRA_PlayerID,$D$3),"")</f>
        <v>0</v>
      </c>
      <c r="O449">
        <f ca="1">IFERROR(SUMIFS(OFFSET(DBRA_TopicCount,0,O$217,DBR_COUNT,1),DBRA_WorkplanDate,$C449,DBRA_PlayerID,$D$3),"")</f>
        <v>0</v>
      </c>
      <c r="P449">
        <f ca="1">IFERROR(SUMIFS(OFFSET(DBRA_TopicCount,0,P$217,DBR_COUNT,1),DBRA_WorkplanDate,$C449,DBRA_PlayerID,$D$3),"")</f>
        <v>0</v>
      </c>
      <c r="Q449">
        <f ca="1">IFERROR(SUMIFS(OFFSET(DBRA_TopicCount,0,Q$217,DBR_COUNT,1),DBRA_WorkplanDate,$C449,DBRA_PlayerID,$D$3),"")</f>
        <v>0</v>
      </c>
      <c r="R449">
        <f ca="1">IFERROR(SUMIFS(OFFSET(DBRA_TopicCount,0,R$217,DBR_COUNT,1),DBRA_WorkplanDate,$C449,DBRA_PlayerID,$D$3),"")</f>
        <v>0</v>
      </c>
      <c r="S449">
        <f ca="1">IFERROR(SUMIFS(OFFSET(DBRA_TopicCount,0,S$217,DBR_COUNT,1),DBRA_WorkplanDate,$C449,DBRA_PlayerID,$D$3),"")</f>
        <v>0</v>
      </c>
      <c r="T449">
        <f ca="1">IFERROR(SUMIFS(OFFSET(DBRA_TopicCount,0,T$217,DBR_COUNT,1),DBRA_WorkplanDate,$C449,DBRA_PlayerID,$D$3),"")</f>
        <v>0</v>
      </c>
      <c r="U449">
        <f ca="1">IFERROR(SUMIFS(OFFSET(DBRA_TopicCount,0,U$217,DBR_COUNT,1),DBRA_WorkplanDate,$C449,DBRA_PlayerID,$D$3),"")</f>
        <v>0</v>
      </c>
      <c r="V449">
        <f ca="1">IFERROR(SUMIFS(OFFSET(DBRA_TopicCount,0,V$217,DBR_COUNT,1),DBRA_WorkplanDate,$C449,DBRA_PlayerID,$D$3),"")</f>
        <v>0</v>
      </c>
      <c r="W449" s="47"/>
      <c r="X449" t="str">
        <f t="shared" ca="1" si="104"/>
        <v/>
      </c>
      <c r="Y449" t="str">
        <f t="shared" ca="1" si="96"/>
        <v/>
      </c>
      <c r="Z449" t="str">
        <f t="shared" ca="1" si="97"/>
        <v/>
      </c>
      <c r="AA449" t="str">
        <f t="shared" ca="1" si="98"/>
        <v/>
      </c>
      <c r="AB449" t="str">
        <f t="shared" ca="1" si="99"/>
        <v/>
      </c>
      <c r="AC449" t="str">
        <f t="shared" ca="1" si="100"/>
        <v/>
      </c>
      <c r="AD449" t="str">
        <f t="shared" ca="1" si="101"/>
        <v/>
      </c>
      <c r="AE449" t="str">
        <f t="shared" ca="1" si="102"/>
        <v/>
      </c>
      <c r="AF449" t="str">
        <f t="shared" ca="1" si="103"/>
        <v/>
      </c>
      <c r="AG449" s="47"/>
    </row>
    <row r="450" spans="3:33" x14ac:dyDescent="0.25">
      <c r="C450" s="118">
        <f t="shared" si="105"/>
        <v>42236</v>
      </c>
      <c r="D450">
        <f ca="1">IFERROR(SUMIFS(OFFSET(DBRA_TopicHCP,0,D$217,DBR_COUNT,1),DBRA_WorkplanDate,$C450,DBRA_PlayerID,$D$3),"")</f>
        <v>0</v>
      </c>
      <c r="E450">
        <f ca="1">IFERROR(SUMIFS(OFFSET(DBRA_TopicHCP,0,E$217,DBR_COUNT,1),DBRA_WorkplanDate,$C450,DBRA_PlayerID,$D$3),"")</f>
        <v>0</v>
      </c>
      <c r="F450">
        <f ca="1">IFERROR(SUMIFS(OFFSET(DBRA_TopicHCP,0,F$217,DBR_COUNT,1),DBRA_WorkplanDate,$C450,DBRA_PlayerID,$D$3),"")</f>
        <v>0</v>
      </c>
      <c r="G450">
        <f ca="1">IFERROR(SUMIFS(OFFSET(DBRA_TopicHCP,0,G$217,DBR_COUNT,1),DBRA_WorkplanDate,$C450,DBRA_PlayerID,$D$3),"")</f>
        <v>0</v>
      </c>
      <c r="H450">
        <f ca="1">IFERROR(SUMIFS(OFFSET(DBRA_TopicHCP,0,H$217,DBR_COUNT,1),DBRA_WorkplanDate,$C450,DBRA_PlayerID,$D$3),"")</f>
        <v>0</v>
      </c>
      <c r="I450">
        <f ca="1">IFERROR(SUMIFS(OFFSET(DBRA_TopicHCP,0,I$217,DBR_COUNT,1),DBRA_WorkplanDate,$C450,DBRA_PlayerID,$D$3),"")</f>
        <v>0</v>
      </c>
      <c r="J450">
        <f ca="1">IFERROR(SUMIFS(OFFSET(DBRA_TopicHCP,0,J$217,DBR_COUNT,1),DBRA_WorkplanDate,$C450,DBRA_PlayerID,$D$3),"")</f>
        <v>0</v>
      </c>
      <c r="K450">
        <f ca="1">IFERROR(SUMIFS(OFFSET(DBRA_TopicHCP,0,K$217,DBR_COUNT,1),DBRA_WorkplanDate,$C450,DBRA_PlayerID,$D$3),"")</f>
        <v>0</v>
      </c>
      <c r="L450">
        <f ca="1">IFERROR(SUMIFS(OFFSET(DBRA_TopicHCP,0,L$217,DBR_COUNT,1),DBRA_WorkplanDate,$C450,DBRA_PlayerID,$D$3),"")</f>
        <v>0</v>
      </c>
      <c r="M450" s="47"/>
      <c r="N450">
        <f ca="1">IFERROR(SUMIFS(OFFSET(DBRA_TopicCount,0,N$217,DBR_COUNT,1),DBRA_WorkplanDate,$C450,DBRA_PlayerID,$D$3),"")</f>
        <v>0</v>
      </c>
      <c r="O450">
        <f ca="1">IFERROR(SUMIFS(OFFSET(DBRA_TopicCount,0,O$217,DBR_COUNT,1),DBRA_WorkplanDate,$C450,DBRA_PlayerID,$D$3),"")</f>
        <v>0</v>
      </c>
      <c r="P450">
        <f ca="1">IFERROR(SUMIFS(OFFSET(DBRA_TopicCount,0,P$217,DBR_COUNT,1),DBRA_WorkplanDate,$C450,DBRA_PlayerID,$D$3),"")</f>
        <v>0</v>
      </c>
      <c r="Q450">
        <f ca="1">IFERROR(SUMIFS(OFFSET(DBRA_TopicCount,0,Q$217,DBR_COUNT,1),DBRA_WorkplanDate,$C450,DBRA_PlayerID,$D$3),"")</f>
        <v>0</v>
      </c>
      <c r="R450">
        <f ca="1">IFERROR(SUMIFS(OFFSET(DBRA_TopicCount,0,R$217,DBR_COUNT,1),DBRA_WorkplanDate,$C450,DBRA_PlayerID,$D$3),"")</f>
        <v>0</v>
      </c>
      <c r="S450">
        <f ca="1">IFERROR(SUMIFS(OFFSET(DBRA_TopicCount,0,S$217,DBR_COUNT,1),DBRA_WorkplanDate,$C450,DBRA_PlayerID,$D$3),"")</f>
        <v>0</v>
      </c>
      <c r="T450">
        <f ca="1">IFERROR(SUMIFS(OFFSET(DBRA_TopicCount,0,T$217,DBR_COUNT,1),DBRA_WorkplanDate,$C450,DBRA_PlayerID,$D$3),"")</f>
        <v>0</v>
      </c>
      <c r="U450">
        <f ca="1">IFERROR(SUMIFS(OFFSET(DBRA_TopicCount,0,U$217,DBR_COUNT,1),DBRA_WorkplanDate,$C450,DBRA_PlayerID,$D$3),"")</f>
        <v>0</v>
      </c>
      <c r="V450">
        <f ca="1">IFERROR(SUMIFS(OFFSET(DBRA_TopicCount,0,V$217,DBR_COUNT,1),DBRA_WorkplanDate,$C450,DBRA_PlayerID,$D$3),"")</f>
        <v>0</v>
      </c>
      <c r="W450" s="47"/>
      <c r="X450" t="str">
        <f t="shared" ca="1" si="104"/>
        <v/>
      </c>
      <c r="Y450" t="str">
        <f t="shared" ca="1" si="96"/>
        <v/>
      </c>
      <c r="Z450" t="str">
        <f t="shared" ca="1" si="97"/>
        <v/>
      </c>
      <c r="AA450" t="str">
        <f t="shared" ca="1" si="98"/>
        <v/>
      </c>
      <c r="AB450" t="str">
        <f t="shared" ca="1" si="99"/>
        <v/>
      </c>
      <c r="AC450" t="str">
        <f t="shared" ca="1" si="100"/>
        <v/>
      </c>
      <c r="AD450" t="str">
        <f t="shared" ca="1" si="101"/>
        <v/>
      </c>
      <c r="AE450" t="str">
        <f t="shared" ca="1" si="102"/>
        <v/>
      </c>
      <c r="AF450" t="str">
        <f t="shared" ca="1" si="103"/>
        <v/>
      </c>
      <c r="AG450" s="47"/>
    </row>
    <row r="451" spans="3:33" x14ac:dyDescent="0.25">
      <c r="C451" s="118">
        <f t="shared" si="105"/>
        <v>42237</v>
      </c>
      <c r="D451">
        <f ca="1">IFERROR(SUMIFS(OFFSET(DBRA_TopicHCP,0,D$217,DBR_COUNT,1),DBRA_WorkplanDate,$C451,DBRA_PlayerID,$D$3),"")</f>
        <v>0</v>
      </c>
      <c r="E451">
        <f ca="1">IFERROR(SUMIFS(OFFSET(DBRA_TopicHCP,0,E$217,DBR_COUNT,1),DBRA_WorkplanDate,$C451,DBRA_PlayerID,$D$3),"")</f>
        <v>0</v>
      </c>
      <c r="F451">
        <f ca="1">IFERROR(SUMIFS(OFFSET(DBRA_TopicHCP,0,F$217,DBR_COUNT,1),DBRA_WorkplanDate,$C451,DBRA_PlayerID,$D$3),"")</f>
        <v>0</v>
      </c>
      <c r="G451">
        <f ca="1">IFERROR(SUMIFS(OFFSET(DBRA_TopicHCP,0,G$217,DBR_COUNT,1),DBRA_WorkplanDate,$C451,DBRA_PlayerID,$D$3),"")</f>
        <v>0</v>
      </c>
      <c r="H451">
        <f ca="1">IFERROR(SUMIFS(OFFSET(DBRA_TopicHCP,0,H$217,DBR_COUNT,1),DBRA_WorkplanDate,$C451,DBRA_PlayerID,$D$3),"")</f>
        <v>0</v>
      </c>
      <c r="I451">
        <f ca="1">IFERROR(SUMIFS(OFFSET(DBRA_TopicHCP,0,I$217,DBR_COUNT,1),DBRA_WorkplanDate,$C451,DBRA_PlayerID,$D$3),"")</f>
        <v>0</v>
      </c>
      <c r="J451">
        <f ca="1">IFERROR(SUMIFS(OFFSET(DBRA_TopicHCP,0,J$217,DBR_COUNT,1),DBRA_WorkplanDate,$C451,DBRA_PlayerID,$D$3),"")</f>
        <v>0</v>
      </c>
      <c r="K451">
        <f ca="1">IFERROR(SUMIFS(OFFSET(DBRA_TopicHCP,0,K$217,DBR_COUNT,1),DBRA_WorkplanDate,$C451,DBRA_PlayerID,$D$3),"")</f>
        <v>0</v>
      </c>
      <c r="L451">
        <f ca="1">IFERROR(SUMIFS(OFFSET(DBRA_TopicHCP,0,L$217,DBR_COUNT,1),DBRA_WorkplanDate,$C451,DBRA_PlayerID,$D$3),"")</f>
        <v>0</v>
      </c>
      <c r="M451" s="47"/>
      <c r="N451">
        <f ca="1">IFERROR(SUMIFS(OFFSET(DBRA_TopicCount,0,N$217,DBR_COUNT,1),DBRA_WorkplanDate,$C451,DBRA_PlayerID,$D$3),"")</f>
        <v>0</v>
      </c>
      <c r="O451">
        <f ca="1">IFERROR(SUMIFS(OFFSET(DBRA_TopicCount,0,O$217,DBR_COUNT,1),DBRA_WorkplanDate,$C451,DBRA_PlayerID,$D$3),"")</f>
        <v>0</v>
      </c>
      <c r="P451">
        <f ca="1">IFERROR(SUMIFS(OFFSET(DBRA_TopicCount,0,P$217,DBR_COUNT,1),DBRA_WorkplanDate,$C451,DBRA_PlayerID,$D$3),"")</f>
        <v>0</v>
      </c>
      <c r="Q451">
        <f ca="1">IFERROR(SUMIFS(OFFSET(DBRA_TopicCount,0,Q$217,DBR_COUNT,1),DBRA_WorkplanDate,$C451,DBRA_PlayerID,$D$3),"")</f>
        <v>0</v>
      </c>
      <c r="R451">
        <f ca="1">IFERROR(SUMIFS(OFFSET(DBRA_TopicCount,0,R$217,DBR_COUNT,1),DBRA_WorkplanDate,$C451,DBRA_PlayerID,$D$3),"")</f>
        <v>0</v>
      </c>
      <c r="S451">
        <f ca="1">IFERROR(SUMIFS(OFFSET(DBRA_TopicCount,0,S$217,DBR_COUNT,1),DBRA_WorkplanDate,$C451,DBRA_PlayerID,$D$3),"")</f>
        <v>0</v>
      </c>
      <c r="T451">
        <f ca="1">IFERROR(SUMIFS(OFFSET(DBRA_TopicCount,0,T$217,DBR_COUNT,1),DBRA_WorkplanDate,$C451,DBRA_PlayerID,$D$3),"")</f>
        <v>0</v>
      </c>
      <c r="U451">
        <f ca="1">IFERROR(SUMIFS(OFFSET(DBRA_TopicCount,0,U$217,DBR_COUNT,1),DBRA_WorkplanDate,$C451,DBRA_PlayerID,$D$3),"")</f>
        <v>0</v>
      </c>
      <c r="V451">
        <f ca="1">IFERROR(SUMIFS(OFFSET(DBRA_TopicCount,0,V$217,DBR_COUNT,1),DBRA_WorkplanDate,$C451,DBRA_PlayerID,$D$3),"")</f>
        <v>0</v>
      </c>
      <c r="W451" s="47"/>
      <c r="X451" t="str">
        <f t="shared" ca="1" si="104"/>
        <v/>
      </c>
      <c r="Y451" t="str">
        <f t="shared" ca="1" si="96"/>
        <v/>
      </c>
      <c r="Z451" t="str">
        <f t="shared" ca="1" si="97"/>
        <v/>
      </c>
      <c r="AA451" t="str">
        <f t="shared" ca="1" si="98"/>
        <v/>
      </c>
      <c r="AB451" t="str">
        <f t="shared" ca="1" si="99"/>
        <v/>
      </c>
      <c r="AC451" t="str">
        <f t="shared" ca="1" si="100"/>
        <v/>
      </c>
      <c r="AD451" t="str">
        <f t="shared" ca="1" si="101"/>
        <v/>
      </c>
      <c r="AE451" t="str">
        <f t="shared" ca="1" si="102"/>
        <v/>
      </c>
      <c r="AF451" t="str">
        <f t="shared" ca="1" si="103"/>
        <v/>
      </c>
      <c r="AG451" s="47"/>
    </row>
    <row r="452" spans="3:33" x14ac:dyDescent="0.25">
      <c r="C452" s="118">
        <f t="shared" si="105"/>
        <v>42238</v>
      </c>
      <c r="D452">
        <f ca="1">IFERROR(SUMIFS(OFFSET(DBRA_TopicHCP,0,D$217,DBR_COUNT,1),DBRA_WorkplanDate,$C452,DBRA_PlayerID,$D$3),"")</f>
        <v>0</v>
      </c>
      <c r="E452">
        <f ca="1">IFERROR(SUMIFS(OFFSET(DBRA_TopicHCP,0,E$217,DBR_COUNT,1),DBRA_WorkplanDate,$C452,DBRA_PlayerID,$D$3),"")</f>
        <v>0</v>
      </c>
      <c r="F452">
        <f ca="1">IFERROR(SUMIFS(OFFSET(DBRA_TopicHCP,0,F$217,DBR_COUNT,1),DBRA_WorkplanDate,$C452,DBRA_PlayerID,$D$3),"")</f>
        <v>0</v>
      </c>
      <c r="G452">
        <f ca="1">IFERROR(SUMIFS(OFFSET(DBRA_TopicHCP,0,G$217,DBR_COUNT,1),DBRA_WorkplanDate,$C452,DBRA_PlayerID,$D$3),"")</f>
        <v>0</v>
      </c>
      <c r="H452">
        <f ca="1">IFERROR(SUMIFS(OFFSET(DBRA_TopicHCP,0,H$217,DBR_COUNT,1),DBRA_WorkplanDate,$C452,DBRA_PlayerID,$D$3),"")</f>
        <v>0</v>
      </c>
      <c r="I452">
        <f ca="1">IFERROR(SUMIFS(OFFSET(DBRA_TopicHCP,0,I$217,DBR_COUNT,1),DBRA_WorkplanDate,$C452,DBRA_PlayerID,$D$3),"")</f>
        <v>0</v>
      </c>
      <c r="J452">
        <f ca="1">IFERROR(SUMIFS(OFFSET(DBRA_TopicHCP,0,J$217,DBR_COUNT,1),DBRA_WorkplanDate,$C452,DBRA_PlayerID,$D$3),"")</f>
        <v>0</v>
      </c>
      <c r="K452">
        <f ca="1">IFERROR(SUMIFS(OFFSET(DBRA_TopicHCP,0,K$217,DBR_COUNT,1),DBRA_WorkplanDate,$C452,DBRA_PlayerID,$D$3),"")</f>
        <v>0</v>
      </c>
      <c r="L452">
        <f ca="1">IFERROR(SUMIFS(OFFSET(DBRA_TopicHCP,0,L$217,DBR_COUNT,1),DBRA_WorkplanDate,$C452,DBRA_PlayerID,$D$3),"")</f>
        <v>0</v>
      </c>
      <c r="M452" s="47"/>
      <c r="N452">
        <f ca="1">IFERROR(SUMIFS(OFFSET(DBRA_TopicCount,0,N$217,DBR_COUNT,1),DBRA_WorkplanDate,$C452,DBRA_PlayerID,$D$3),"")</f>
        <v>0</v>
      </c>
      <c r="O452">
        <f ca="1">IFERROR(SUMIFS(OFFSET(DBRA_TopicCount,0,O$217,DBR_COUNT,1),DBRA_WorkplanDate,$C452,DBRA_PlayerID,$D$3),"")</f>
        <v>0</v>
      </c>
      <c r="P452">
        <f ca="1">IFERROR(SUMIFS(OFFSET(DBRA_TopicCount,0,P$217,DBR_COUNT,1),DBRA_WorkplanDate,$C452,DBRA_PlayerID,$D$3),"")</f>
        <v>0</v>
      </c>
      <c r="Q452">
        <f ca="1">IFERROR(SUMIFS(OFFSET(DBRA_TopicCount,0,Q$217,DBR_COUNT,1),DBRA_WorkplanDate,$C452,DBRA_PlayerID,$D$3),"")</f>
        <v>0</v>
      </c>
      <c r="R452">
        <f ca="1">IFERROR(SUMIFS(OFFSET(DBRA_TopicCount,0,R$217,DBR_COUNT,1),DBRA_WorkplanDate,$C452,DBRA_PlayerID,$D$3),"")</f>
        <v>0</v>
      </c>
      <c r="S452">
        <f ca="1">IFERROR(SUMIFS(OFFSET(DBRA_TopicCount,0,S$217,DBR_COUNT,1),DBRA_WorkplanDate,$C452,DBRA_PlayerID,$D$3),"")</f>
        <v>0</v>
      </c>
      <c r="T452">
        <f ca="1">IFERROR(SUMIFS(OFFSET(DBRA_TopicCount,0,T$217,DBR_COUNT,1),DBRA_WorkplanDate,$C452,DBRA_PlayerID,$D$3),"")</f>
        <v>0</v>
      </c>
      <c r="U452">
        <f ca="1">IFERROR(SUMIFS(OFFSET(DBRA_TopicCount,0,U$217,DBR_COUNT,1),DBRA_WorkplanDate,$C452,DBRA_PlayerID,$D$3),"")</f>
        <v>0</v>
      </c>
      <c r="V452">
        <f ca="1">IFERROR(SUMIFS(OFFSET(DBRA_TopicCount,0,V$217,DBR_COUNT,1),DBRA_WorkplanDate,$C452,DBRA_PlayerID,$D$3),"")</f>
        <v>0</v>
      </c>
      <c r="W452" s="47"/>
      <c r="X452" t="str">
        <f t="shared" ca="1" si="104"/>
        <v/>
      </c>
      <c r="Y452" t="str">
        <f t="shared" ca="1" si="96"/>
        <v/>
      </c>
      <c r="Z452" t="str">
        <f t="shared" ca="1" si="97"/>
        <v/>
      </c>
      <c r="AA452" t="str">
        <f t="shared" ca="1" si="98"/>
        <v/>
      </c>
      <c r="AB452" t="str">
        <f t="shared" ca="1" si="99"/>
        <v/>
      </c>
      <c r="AC452" t="str">
        <f t="shared" ca="1" si="100"/>
        <v/>
      </c>
      <c r="AD452" t="str">
        <f t="shared" ca="1" si="101"/>
        <v/>
      </c>
      <c r="AE452" t="str">
        <f t="shared" ca="1" si="102"/>
        <v/>
      </c>
      <c r="AF452" t="str">
        <f t="shared" ca="1" si="103"/>
        <v/>
      </c>
      <c r="AG452" s="47"/>
    </row>
    <row r="453" spans="3:33" x14ac:dyDescent="0.25">
      <c r="C453" s="118">
        <f t="shared" si="105"/>
        <v>42239</v>
      </c>
      <c r="D453">
        <f ca="1">IFERROR(SUMIFS(OFFSET(DBRA_TopicHCP,0,D$217,DBR_COUNT,1),DBRA_WorkplanDate,$C453,DBRA_PlayerID,$D$3),"")</f>
        <v>0</v>
      </c>
      <c r="E453">
        <f ca="1">IFERROR(SUMIFS(OFFSET(DBRA_TopicHCP,0,E$217,DBR_COUNT,1),DBRA_WorkplanDate,$C453,DBRA_PlayerID,$D$3),"")</f>
        <v>0</v>
      </c>
      <c r="F453">
        <f ca="1">IFERROR(SUMIFS(OFFSET(DBRA_TopicHCP,0,F$217,DBR_COUNT,1),DBRA_WorkplanDate,$C453,DBRA_PlayerID,$D$3),"")</f>
        <v>0</v>
      </c>
      <c r="G453">
        <f ca="1">IFERROR(SUMIFS(OFFSET(DBRA_TopicHCP,0,G$217,DBR_COUNT,1),DBRA_WorkplanDate,$C453,DBRA_PlayerID,$D$3),"")</f>
        <v>0</v>
      </c>
      <c r="H453">
        <f ca="1">IFERROR(SUMIFS(OFFSET(DBRA_TopicHCP,0,H$217,DBR_COUNT,1),DBRA_WorkplanDate,$C453,DBRA_PlayerID,$D$3),"")</f>
        <v>0</v>
      </c>
      <c r="I453">
        <f ca="1">IFERROR(SUMIFS(OFFSET(DBRA_TopicHCP,0,I$217,DBR_COUNT,1),DBRA_WorkplanDate,$C453,DBRA_PlayerID,$D$3),"")</f>
        <v>0</v>
      </c>
      <c r="J453">
        <f ca="1">IFERROR(SUMIFS(OFFSET(DBRA_TopicHCP,0,J$217,DBR_COUNT,1),DBRA_WorkplanDate,$C453,DBRA_PlayerID,$D$3),"")</f>
        <v>0</v>
      </c>
      <c r="K453">
        <f ca="1">IFERROR(SUMIFS(OFFSET(DBRA_TopicHCP,0,K$217,DBR_COUNT,1),DBRA_WorkplanDate,$C453,DBRA_PlayerID,$D$3),"")</f>
        <v>0</v>
      </c>
      <c r="L453">
        <f ca="1">IFERROR(SUMIFS(OFFSET(DBRA_TopicHCP,0,L$217,DBR_COUNT,1),DBRA_WorkplanDate,$C453,DBRA_PlayerID,$D$3),"")</f>
        <v>0</v>
      </c>
      <c r="M453" s="47"/>
      <c r="N453">
        <f ca="1">IFERROR(SUMIFS(OFFSET(DBRA_TopicCount,0,N$217,DBR_COUNT,1),DBRA_WorkplanDate,$C453,DBRA_PlayerID,$D$3),"")</f>
        <v>0</v>
      </c>
      <c r="O453">
        <f ca="1">IFERROR(SUMIFS(OFFSET(DBRA_TopicCount,0,O$217,DBR_COUNT,1),DBRA_WorkplanDate,$C453,DBRA_PlayerID,$D$3),"")</f>
        <v>0</v>
      </c>
      <c r="P453">
        <f ca="1">IFERROR(SUMIFS(OFFSET(DBRA_TopicCount,0,P$217,DBR_COUNT,1),DBRA_WorkplanDate,$C453,DBRA_PlayerID,$D$3),"")</f>
        <v>0</v>
      </c>
      <c r="Q453">
        <f ca="1">IFERROR(SUMIFS(OFFSET(DBRA_TopicCount,0,Q$217,DBR_COUNT,1),DBRA_WorkplanDate,$C453,DBRA_PlayerID,$D$3),"")</f>
        <v>0</v>
      </c>
      <c r="R453">
        <f ca="1">IFERROR(SUMIFS(OFFSET(DBRA_TopicCount,0,R$217,DBR_COUNT,1),DBRA_WorkplanDate,$C453,DBRA_PlayerID,$D$3),"")</f>
        <v>0</v>
      </c>
      <c r="S453">
        <f ca="1">IFERROR(SUMIFS(OFFSET(DBRA_TopicCount,0,S$217,DBR_COUNT,1),DBRA_WorkplanDate,$C453,DBRA_PlayerID,$D$3),"")</f>
        <v>0</v>
      </c>
      <c r="T453">
        <f ca="1">IFERROR(SUMIFS(OFFSET(DBRA_TopicCount,0,T$217,DBR_COUNT,1),DBRA_WorkplanDate,$C453,DBRA_PlayerID,$D$3),"")</f>
        <v>0</v>
      </c>
      <c r="U453">
        <f ca="1">IFERROR(SUMIFS(OFFSET(DBRA_TopicCount,0,U$217,DBR_COUNT,1),DBRA_WorkplanDate,$C453,DBRA_PlayerID,$D$3),"")</f>
        <v>0</v>
      </c>
      <c r="V453">
        <f ca="1">IFERROR(SUMIFS(OFFSET(DBRA_TopicCount,0,V$217,DBR_COUNT,1),DBRA_WorkplanDate,$C453,DBRA_PlayerID,$D$3),"")</f>
        <v>0</v>
      </c>
      <c r="W453" s="47"/>
      <c r="X453" t="str">
        <f t="shared" ca="1" si="104"/>
        <v/>
      </c>
      <c r="Y453" t="str">
        <f t="shared" ca="1" si="96"/>
        <v/>
      </c>
      <c r="Z453" t="str">
        <f t="shared" ca="1" si="97"/>
        <v/>
      </c>
      <c r="AA453" t="str">
        <f t="shared" ca="1" si="98"/>
        <v/>
      </c>
      <c r="AB453" t="str">
        <f t="shared" ca="1" si="99"/>
        <v/>
      </c>
      <c r="AC453" t="str">
        <f t="shared" ca="1" si="100"/>
        <v/>
      </c>
      <c r="AD453" t="str">
        <f t="shared" ca="1" si="101"/>
        <v/>
      </c>
      <c r="AE453" t="str">
        <f t="shared" ca="1" si="102"/>
        <v/>
      </c>
      <c r="AF453" t="str">
        <f t="shared" ca="1" si="103"/>
        <v/>
      </c>
      <c r="AG453" s="47"/>
    </row>
    <row r="454" spans="3:33" x14ac:dyDescent="0.25">
      <c r="C454" s="118">
        <f t="shared" si="105"/>
        <v>42240</v>
      </c>
      <c r="D454">
        <f ca="1">IFERROR(SUMIFS(OFFSET(DBRA_TopicHCP,0,D$217,DBR_COUNT,1),DBRA_WorkplanDate,$C454,DBRA_PlayerID,$D$3),"")</f>
        <v>0</v>
      </c>
      <c r="E454">
        <f ca="1">IFERROR(SUMIFS(OFFSET(DBRA_TopicHCP,0,E$217,DBR_COUNT,1),DBRA_WorkplanDate,$C454,DBRA_PlayerID,$D$3),"")</f>
        <v>0</v>
      </c>
      <c r="F454">
        <f ca="1">IFERROR(SUMIFS(OFFSET(DBRA_TopicHCP,0,F$217,DBR_COUNT,1),DBRA_WorkplanDate,$C454,DBRA_PlayerID,$D$3),"")</f>
        <v>0</v>
      </c>
      <c r="G454">
        <f ca="1">IFERROR(SUMIFS(OFFSET(DBRA_TopicHCP,0,G$217,DBR_COUNT,1),DBRA_WorkplanDate,$C454,DBRA_PlayerID,$D$3),"")</f>
        <v>0</v>
      </c>
      <c r="H454">
        <f ca="1">IFERROR(SUMIFS(OFFSET(DBRA_TopicHCP,0,H$217,DBR_COUNT,1),DBRA_WorkplanDate,$C454,DBRA_PlayerID,$D$3),"")</f>
        <v>0</v>
      </c>
      <c r="I454">
        <f ca="1">IFERROR(SUMIFS(OFFSET(DBRA_TopicHCP,0,I$217,DBR_COUNT,1),DBRA_WorkplanDate,$C454,DBRA_PlayerID,$D$3),"")</f>
        <v>0</v>
      </c>
      <c r="J454">
        <f ca="1">IFERROR(SUMIFS(OFFSET(DBRA_TopicHCP,0,J$217,DBR_COUNT,1),DBRA_WorkplanDate,$C454,DBRA_PlayerID,$D$3),"")</f>
        <v>0</v>
      </c>
      <c r="K454">
        <f ca="1">IFERROR(SUMIFS(OFFSET(DBRA_TopicHCP,0,K$217,DBR_COUNT,1),DBRA_WorkplanDate,$C454,DBRA_PlayerID,$D$3),"")</f>
        <v>0</v>
      </c>
      <c r="L454">
        <f ca="1">IFERROR(SUMIFS(OFFSET(DBRA_TopicHCP,0,L$217,DBR_COUNT,1),DBRA_WorkplanDate,$C454,DBRA_PlayerID,$D$3),"")</f>
        <v>0</v>
      </c>
      <c r="M454" s="47"/>
      <c r="N454">
        <f ca="1">IFERROR(SUMIFS(OFFSET(DBRA_TopicCount,0,N$217,DBR_COUNT,1),DBRA_WorkplanDate,$C454,DBRA_PlayerID,$D$3),"")</f>
        <v>0</v>
      </c>
      <c r="O454">
        <f ca="1">IFERROR(SUMIFS(OFFSET(DBRA_TopicCount,0,O$217,DBR_COUNT,1),DBRA_WorkplanDate,$C454,DBRA_PlayerID,$D$3),"")</f>
        <v>0</v>
      </c>
      <c r="P454">
        <f ca="1">IFERROR(SUMIFS(OFFSET(DBRA_TopicCount,0,P$217,DBR_COUNT,1),DBRA_WorkplanDate,$C454,DBRA_PlayerID,$D$3),"")</f>
        <v>0</v>
      </c>
      <c r="Q454">
        <f ca="1">IFERROR(SUMIFS(OFFSET(DBRA_TopicCount,0,Q$217,DBR_COUNT,1),DBRA_WorkplanDate,$C454,DBRA_PlayerID,$D$3),"")</f>
        <v>0</v>
      </c>
      <c r="R454">
        <f ca="1">IFERROR(SUMIFS(OFFSET(DBRA_TopicCount,0,R$217,DBR_COUNT,1),DBRA_WorkplanDate,$C454,DBRA_PlayerID,$D$3),"")</f>
        <v>0</v>
      </c>
      <c r="S454">
        <f ca="1">IFERROR(SUMIFS(OFFSET(DBRA_TopicCount,0,S$217,DBR_COUNT,1),DBRA_WorkplanDate,$C454,DBRA_PlayerID,$D$3),"")</f>
        <v>0</v>
      </c>
      <c r="T454">
        <f ca="1">IFERROR(SUMIFS(OFFSET(DBRA_TopicCount,0,T$217,DBR_COUNT,1),DBRA_WorkplanDate,$C454,DBRA_PlayerID,$D$3),"")</f>
        <v>0</v>
      </c>
      <c r="U454">
        <f ca="1">IFERROR(SUMIFS(OFFSET(DBRA_TopicCount,0,U$217,DBR_COUNT,1),DBRA_WorkplanDate,$C454,DBRA_PlayerID,$D$3),"")</f>
        <v>0</v>
      </c>
      <c r="V454">
        <f ca="1">IFERROR(SUMIFS(OFFSET(DBRA_TopicCount,0,V$217,DBR_COUNT,1),DBRA_WorkplanDate,$C454,DBRA_PlayerID,$D$3),"")</f>
        <v>0</v>
      </c>
      <c r="W454" s="47"/>
      <c r="X454" t="str">
        <f t="shared" ca="1" si="104"/>
        <v/>
      </c>
      <c r="Y454" t="str">
        <f t="shared" ca="1" si="96"/>
        <v/>
      </c>
      <c r="Z454" t="str">
        <f t="shared" ca="1" si="97"/>
        <v/>
      </c>
      <c r="AA454" t="str">
        <f t="shared" ca="1" si="98"/>
        <v/>
      </c>
      <c r="AB454" t="str">
        <f t="shared" ca="1" si="99"/>
        <v/>
      </c>
      <c r="AC454" t="str">
        <f t="shared" ca="1" si="100"/>
        <v/>
      </c>
      <c r="AD454" t="str">
        <f t="shared" ca="1" si="101"/>
        <v/>
      </c>
      <c r="AE454" t="str">
        <f t="shared" ca="1" si="102"/>
        <v/>
      </c>
      <c r="AF454" t="str">
        <f t="shared" ca="1" si="103"/>
        <v/>
      </c>
      <c r="AG454" s="47"/>
    </row>
    <row r="455" spans="3:33" x14ac:dyDescent="0.25">
      <c r="C455" s="118">
        <f t="shared" si="105"/>
        <v>42241</v>
      </c>
      <c r="D455">
        <f ca="1">IFERROR(SUMIFS(OFFSET(DBRA_TopicHCP,0,D$217,DBR_COUNT,1),DBRA_WorkplanDate,$C455,DBRA_PlayerID,$D$3),"")</f>
        <v>0</v>
      </c>
      <c r="E455">
        <f ca="1">IFERROR(SUMIFS(OFFSET(DBRA_TopicHCP,0,E$217,DBR_COUNT,1),DBRA_WorkplanDate,$C455,DBRA_PlayerID,$D$3),"")</f>
        <v>0</v>
      </c>
      <c r="F455">
        <f ca="1">IFERROR(SUMIFS(OFFSET(DBRA_TopicHCP,0,F$217,DBR_COUNT,1),DBRA_WorkplanDate,$C455,DBRA_PlayerID,$D$3),"")</f>
        <v>0</v>
      </c>
      <c r="G455">
        <f ca="1">IFERROR(SUMIFS(OFFSET(DBRA_TopicHCP,0,G$217,DBR_COUNT,1),DBRA_WorkplanDate,$C455,DBRA_PlayerID,$D$3),"")</f>
        <v>0</v>
      </c>
      <c r="H455">
        <f ca="1">IFERROR(SUMIFS(OFFSET(DBRA_TopicHCP,0,H$217,DBR_COUNT,1),DBRA_WorkplanDate,$C455,DBRA_PlayerID,$D$3),"")</f>
        <v>0</v>
      </c>
      <c r="I455">
        <f ca="1">IFERROR(SUMIFS(OFFSET(DBRA_TopicHCP,0,I$217,DBR_COUNT,1),DBRA_WorkplanDate,$C455,DBRA_PlayerID,$D$3),"")</f>
        <v>0</v>
      </c>
      <c r="J455">
        <f ca="1">IFERROR(SUMIFS(OFFSET(DBRA_TopicHCP,0,J$217,DBR_COUNT,1),DBRA_WorkplanDate,$C455,DBRA_PlayerID,$D$3),"")</f>
        <v>0</v>
      </c>
      <c r="K455">
        <f ca="1">IFERROR(SUMIFS(OFFSET(DBRA_TopicHCP,0,K$217,DBR_COUNT,1),DBRA_WorkplanDate,$C455,DBRA_PlayerID,$D$3),"")</f>
        <v>0</v>
      </c>
      <c r="L455">
        <f ca="1">IFERROR(SUMIFS(OFFSET(DBRA_TopicHCP,0,L$217,DBR_COUNT,1),DBRA_WorkplanDate,$C455,DBRA_PlayerID,$D$3),"")</f>
        <v>0</v>
      </c>
      <c r="M455" s="47"/>
      <c r="N455">
        <f ca="1">IFERROR(SUMIFS(OFFSET(DBRA_TopicCount,0,N$217,DBR_COUNT,1),DBRA_WorkplanDate,$C455,DBRA_PlayerID,$D$3),"")</f>
        <v>0</v>
      </c>
      <c r="O455">
        <f ca="1">IFERROR(SUMIFS(OFFSET(DBRA_TopicCount,0,O$217,DBR_COUNT,1),DBRA_WorkplanDate,$C455,DBRA_PlayerID,$D$3),"")</f>
        <v>0</v>
      </c>
      <c r="P455">
        <f ca="1">IFERROR(SUMIFS(OFFSET(DBRA_TopicCount,0,P$217,DBR_COUNT,1),DBRA_WorkplanDate,$C455,DBRA_PlayerID,$D$3),"")</f>
        <v>0</v>
      </c>
      <c r="Q455">
        <f ca="1">IFERROR(SUMIFS(OFFSET(DBRA_TopicCount,0,Q$217,DBR_COUNT,1),DBRA_WorkplanDate,$C455,DBRA_PlayerID,$D$3),"")</f>
        <v>0</v>
      </c>
      <c r="R455">
        <f ca="1">IFERROR(SUMIFS(OFFSET(DBRA_TopicCount,0,R$217,DBR_COUNT,1),DBRA_WorkplanDate,$C455,DBRA_PlayerID,$D$3),"")</f>
        <v>0</v>
      </c>
      <c r="S455">
        <f ca="1">IFERROR(SUMIFS(OFFSET(DBRA_TopicCount,0,S$217,DBR_COUNT,1),DBRA_WorkplanDate,$C455,DBRA_PlayerID,$D$3),"")</f>
        <v>0</v>
      </c>
      <c r="T455">
        <f ca="1">IFERROR(SUMIFS(OFFSET(DBRA_TopicCount,0,T$217,DBR_COUNT,1),DBRA_WorkplanDate,$C455,DBRA_PlayerID,$D$3),"")</f>
        <v>0</v>
      </c>
      <c r="U455">
        <f ca="1">IFERROR(SUMIFS(OFFSET(DBRA_TopicCount,0,U$217,DBR_COUNT,1),DBRA_WorkplanDate,$C455,DBRA_PlayerID,$D$3),"")</f>
        <v>0</v>
      </c>
      <c r="V455">
        <f ca="1">IFERROR(SUMIFS(OFFSET(DBRA_TopicCount,0,V$217,DBR_COUNT,1),DBRA_WorkplanDate,$C455,DBRA_PlayerID,$D$3),"")</f>
        <v>0</v>
      </c>
      <c r="W455" s="47"/>
      <c r="X455" t="str">
        <f t="shared" ca="1" si="104"/>
        <v/>
      </c>
      <c r="Y455" t="str">
        <f t="shared" ca="1" si="96"/>
        <v/>
      </c>
      <c r="Z455" t="str">
        <f t="shared" ca="1" si="97"/>
        <v/>
      </c>
      <c r="AA455" t="str">
        <f t="shared" ca="1" si="98"/>
        <v/>
      </c>
      <c r="AB455" t="str">
        <f t="shared" ca="1" si="99"/>
        <v/>
      </c>
      <c r="AC455" t="str">
        <f t="shared" ca="1" si="100"/>
        <v/>
      </c>
      <c r="AD455" t="str">
        <f t="shared" ca="1" si="101"/>
        <v/>
      </c>
      <c r="AE455" t="str">
        <f t="shared" ca="1" si="102"/>
        <v/>
      </c>
      <c r="AF455" t="str">
        <f t="shared" ca="1" si="103"/>
        <v/>
      </c>
      <c r="AG455" s="47"/>
    </row>
    <row r="456" spans="3:33" x14ac:dyDescent="0.25">
      <c r="C456" s="118">
        <f t="shared" si="105"/>
        <v>42242</v>
      </c>
      <c r="D456">
        <f ca="1">IFERROR(SUMIFS(OFFSET(DBRA_TopicHCP,0,D$217,DBR_COUNT,1),DBRA_WorkplanDate,$C456,DBRA_PlayerID,$D$3),"")</f>
        <v>0</v>
      </c>
      <c r="E456">
        <f ca="1">IFERROR(SUMIFS(OFFSET(DBRA_TopicHCP,0,E$217,DBR_COUNT,1),DBRA_WorkplanDate,$C456,DBRA_PlayerID,$D$3),"")</f>
        <v>0</v>
      </c>
      <c r="F456">
        <f ca="1">IFERROR(SUMIFS(OFFSET(DBRA_TopicHCP,0,F$217,DBR_COUNT,1),DBRA_WorkplanDate,$C456,DBRA_PlayerID,$D$3),"")</f>
        <v>0</v>
      </c>
      <c r="G456">
        <f ca="1">IFERROR(SUMIFS(OFFSET(DBRA_TopicHCP,0,G$217,DBR_COUNT,1),DBRA_WorkplanDate,$C456,DBRA_PlayerID,$D$3),"")</f>
        <v>0</v>
      </c>
      <c r="H456">
        <f ca="1">IFERROR(SUMIFS(OFFSET(DBRA_TopicHCP,0,H$217,DBR_COUNT,1),DBRA_WorkplanDate,$C456,DBRA_PlayerID,$D$3),"")</f>
        <v>0</v>
      </c>
      <c r="I456">
        <f ca="1">IFERROR(SUMIFS(OFFSET(DBRA_TopicHCP,0,I$217,DBR_COUNT,1),DBRA_WorkplanDate,$C456,DBRA_PlayerID,$D$3),"")</f>
        <v>0</v>
      </c>
      <c r="J456">
        <f ca="1">IFERROR(SUMIFS(OFFSET(DBRA_TopicHCP,0,J$217,DBR_COUNT,1),DBRA_WorkplanDate,$C456,DBRA_PlayerID,$D$3),"")</f>
        <v>0</v>
      </c>
      <c r="K456">
        <f ca="1">IFERROR(SUMIFS(OFFSET(DBRA_TopicHCP,0,K$217,DBR_COUNT,1),DBRA_WorkplanDate,$C456,DBRA_PlayerID,$D$3),"")</f>
        <v>0</v>
      </c>
      <c r="L456">
        <f ca="1">IFERROR(SUMIFS(OFFSET(DBRA_TopicHCP,0,L$217,DBR_COUNT,1),DBRA_WorkplanDate,$C456,DBRA_PlayerID,$D$3),"")</f>
        <v>0</v>
      </c>
      <c r="M456" s="47"/>
      <c r="N456">
        <f ca="1">IFERROR(SUMIFS(OFFSET(DBRA_TopicCount,0,N$217,DBR_COUNT,1),DBRA_WorkplanDate,$C456,DBRA_PlayerID,$D$3),"")</f>
        <v>0</v>
      </c>
      <c r="O456">
        <f ca="1">IFERROR(SUMIFS(OFFSET(DBRA_TopicCount,0,O$217,DBR_COUNT,1),DBRA_WorkplanDate,$C456,DBRA_PlayerID,$D$3),"")</f>
        <v>0</v>
      </c>
      <c r="P456">
        <f ca="1">IFERROR(SUMIFS(OFFSET(DBRA_TopicCount,0,P$217,DBR_COUNT,1),DBRA_WorkplanDate,$C456,DBRA_PlayerID,$D$3),"")</f>
        <v>0</v>
      </c>
      <c r="Q456">
        <f ca="1">IFERROR(SUMIFS(OFFSET(DBRA_TopicCount,0,Q$217,DBR_COUNT,1),DBRA_WorkplanDate,$C456,DBRA_PlayerID,$D$3),"")</f>
        <v>0</v>
      </c>
      <c r="R456">
        <f ca="1">IFERROR(SUMIFS(OFFSET(DBRA_TopicCount,0,R$217,DBR_COUNT,1),DBRA_WorkplanDate,$C456,DBRA_PlayerID,$D$3),"")</f>
        <v>0</v>
      </c>
      <c r="S456">
        <f ca="1">IFERROR(SUMIFS(OFFSET(DBRA_TopicCount,0,S$217,DBR_COUNT,1),DBRA_WorkplanDate,$C456,DBRA_PlayerID,$D$3),"")</f>
        <v>0</v>
      </c>
      <c r="T456">
        <f ca="1">IFERROR(SUMIFS(OFFSET(DBRA_TopicCount,0,T$217,DBR_COUNT,1),DBRA_WorkplanDate,$C456,DBRA_PlayerID,$D$3),"")</f>
        <v>0</v>
      </c>
      <c r="U456">
        <f ca="1">IFERROR(SUMIFS(OFFSET(DBRA_TopicCount,0,U$217,DBR_COUNT,1),DBRA_WorkplanDate,$C456,DBRA_PlayerID,$D$3),"")</f>
        <v>0</v>
      </c>
      <c r="V456">
        <f ca="1">IFERROR(SUMIFS(OFFSET(DBRA_TopicCount,0,V$217,DBR_COUNT,1),DBRA_WorkplanDate,$C456,DBRA_PlayerID,$D$3),"")</f>
        <v>0</v>
      </c>
      <c r="W456" s="47"/>
      <c r="X456" t="str">
        <f t="shared" ca="1" si="104"/>
        <v/>
      </c>
      <c r="Y456" t="str">
        <f t="shared" ca="1" si="96"/>
        <v/>
      </c>
      <c r="Z456" t="str">
        <f t="shared" ca="1" si="97"/>
        <v/>
      </c>
      <c r="AA456" t="str">
        <f t="shared" ca="1" si="98"/>
        <v/>
      </c>
      <c r="AB456" t="str">
        <f t="shared" ca="1" si="99"/>
        <v/>
      </c>
      <c r="AC456" t="str">
        <f t="shared" ca="1" si="100"/>
        <v/>
      </c>
      <c r="AD456" t="str">
        <f t="shared" ca="1" si="101"/>
        <v/>
      </c>
      <c r="AE456" t="str">
        <f t="shared" ca="1" si="102"/>
        <v/>
      </c>
      <c r="AF456" t="str">
        <f t="shared" ca="1" si="103"/>
        <v/>
      </c>
      <c r="AG456" s="47"/>
    </row>
    <row r="457" spans="3:33" x14ac:dyDescent="0.25">
      <c r="C457" s="118">
        <f t="shared" si="105"/>
        <v>42243</v>
      </c>
      <c r="D457">
        <f ca="1">IFERROR(SUMIFS(OFFSET(DBRA_TopicHCP,0,D$217,DBR_COUNT,1),DBRA_WorkplanDate,$C457,DBRA_PlayerID,$D$3),"")</f>
        <v>0</v>
      </c>
      <c r="E457">
        <f ca="1">IFERROR(SUMIFS(OFFSET(DBRA_TopicHCP,0,E$217,DBR_COUNT,1),DBRA_WorkplanDate,$C457,DBRA_PlayerID,$D$3),"")</f>
        <v>0</v>
      </c>
      <c r="F457">
        <f ca="1">IFERROR(SUMIFS(OFFSET(DBRA_TopicHCP,0,F$217,DBR_COUNT,1),DBRA_WorkplanDate,$C457,DBRA_PlayerID,$D$3),"")</f>
        <v>0</v>
      </c>
      <c r="G457">
        <f ca="1">IFERROR(SUMIFS(OFFSET(DBRA_TopicHCP,0,G$217,DBR_COUNT,1),DBRA_WorkplanDate,$C457,DBRA_PlayerID,$D$3),"")</f>
        <v>0</v>
      </c>
      <c r="H457">
        <f ca="1">IFERROR(SUMIFS(OFFSET(DBRA_TopicHCP,0,H$217,DBR_COUNT,1),DBRA_WorkplanDate,$C457,DBRA_PlayerID,$D$3),"")</f>
        <v>0</v>
      </c>
      <c r="I457">
        <f ca="1">IFERROR(SUMIFS(OFFSET(DBRA_TopicHCP,0,I$217,DBR_COUNT,1),DBRA_WorkplanDate,$C457,DBRA_PlayerID,$D$3),"")</f>
        <v>0</v>
      </c>
      <c r="J457">
        <f ca="1">IFERROR(SUMIFS(OFFSET(DBRA_TopicHCP,0,J$217,DBR_COUNT,1),DBRA_WorkplanDate,$C457,DBRA_PlayerID,$D$3),"")</f>
        <v>0</v>
      </c>
      <c r="K457">
        <f ca="1">IFERROR(SUMIFS(OFFSET(DBRA_TopicHCP,0,K$217,DBR_COUNT,1),DBRA_WorkplanDate,$C457,DBRA_PlayerID,$D$3),"")</f>
        <v>0</v>
      </c>
      <c r="L457">
        <f ca="1">IFERROR(SUMIFS(OFFSET(DBRA_TopicHCP,0,L$217,DBR_COUNT,1),DBRA_WorkplanDate,$C457,DBRA_PlayerID,$D$3),"")</f>
        <v>0</v>
      </c>
      <c r="M457" s="47"/>
      <c r="N457">
        <f ca="1">IFERROR(SUMIFS(OFFSET(DBRA_TopicCount,0,N$217,DBR_COUNT,1),DBRA_WorkplanDate,$C457,DBRA_PlayerID,$D$3),"")</f>
        <v>0</v>
      </c>
      <c r="O457">
        <f ca="1">IFERROR(SUMIFS(OFFSET(DBRA_TopicCount,0,O$217,DBR_COUNT,1),DBRA_WorkplanDate,$C457,DBRA_PlayerID,$D$3),"")</f>
        <v>0</v>
      </c>
      <c r="P457">
        <f ca="1">IFERROR(SUMIFS(OFFSET(DBRA_TopicCount,0,P$217,DBR_COUNT,1),DBRA_WorkplanDate,$C457,DBRA_PlayerID,$D$3),"")</f>
        <v>0</v>
      </c>
      <c r="Q457">
        <f ca="1">IFERROR(SUMIFS(OFFSET(DBRA_TopicCount,0,Q$217,DBR_COUNT,1),DBRA_WorkplanDate,$C457,DBRA_PlayerID,$D$3),"")</f>
        <v>0</v>
      </c>
      <c r="R457">
        <f ca="1">IFERROR(SUMIFS(OFFSET(DBRA_TopicCount,0,R$217,DBR_COUNT,1),DBRA_WorkplanDate,$C457,DBRA_PlayerID,$D$3),"")</f>
        <v>0</v>
      </c>
      <c r="S457">
        <f ca="1">IFERROR(SUMIFS(OFFSET(DBRA_TopicCount,0,S$217,DBR_COUNT,1),DBRA_WorkplanDate,$C457,DBRA_PlayerID,$D$3),"")</f>
        <v>0</v>
      </c>
      <c r="T457">
        <f ca="1">IFERROR(SUMIFS(OFFSET(DBRA_TopicCount,0,T$217,DBR_COUNT,1),DBRA_WorkplanDate,$C457,DBRA_PlayerID,$D$3),"")</f>
        <v>0</v>
      </c>
      <c r="U457">
        <f ca="1">IFERROR(SUMIFS(OFFSET(DBRA_TopicCount,0,U$217,DBR_COUNT,1),DBRA_WorkplanDate,$C457,DBRA_PlayerID,$D$3),"")</f>
        <v>0</v>
      </c>
      <c r="V457">
        <f ca="1">IFERROR(SUMIFS(OFFSET(DBRA_TopicCount,0,V$217,DBR_COUNT,1),DBRA_WorkplanDate,$C457,DBRA_PlayerID,$D$3),"")</f>
        <v>0</v>
      </c>
      <c r="W457" s="47"/>
      <c r="X457" t="str">
        <f t="shared" ca="1" si="104"/>
        <v/>
      </c>
      <c r="Y457" t="str">
        <f t="shared" ca="1" si="96"/>
        <v/>
      </c>
      <c r="Z457" t="str">
        <f t="shared" ca="1" si="97"/>
        <v/>
      </c>
      <c r="AA457" t="str">
        <f t="shared" ca="1" si="98"/>
        <v/>
      </c>
      <c r="AB457" t="str">
        <f t="shared" ca="1" si="99"/>
        <v/>
      </c>
      <c r="AC457" t="str">
        <f t="shared" ca="1" si="100"/>
        <v/>
      </c>
      <c r="AD457" t="str">
        <f t="shared" ca="1" si="101"/>
        <v/>
      </c>
      <c r="AE457" t="str">
        <f t="shared" ca="1" si="102"/>
        <v/>
      </c>
      <c r="AF457" t="str">
        <f t="shared" ca="1" si="103"/>
        <v/>
      </c>
      <c r="AG457" s="47"/>
    </row>
    <row r="458" spans="3:33" x14ac:dyDescent="0.25">
      <c r="C458" s="118">
        <f t="shared" si="105"/>
        <v>42244</v>
      </c>
      <c r="D458">
        <f ca="1">IFERROR(SUMIFS(OFFSET(DBRA_TopicHCP,0,D$217,DBR_COUNT,1),DBRA_WorkplanDate,$C458,DBRA_PlayerID,$D$3),"")</f>
        <v>0</v>
      </c>
      <c r="E458">
        <f ca="1">IFERROR(SUMIFS(OFFSET(DBRA_TopicHCP,0,E$217,DBR_COUNT,1),DBRA_WorkplanDate,$C458,DBRA_PlayerID,$D$3),"")</f>
        <v>0</v>
      </c>
      <c r="F458">
        <f ca="1">IFERROR(SUMIFS(OFFSET(DBRA_TopicHCP,0,F$217,DBR_COUNT,1),DBRA_WorkplanDate,$C458,DBRA_PlayerID,$D$3),"")</f>
        <v>0</v>
      </c>
      <c r="G458">
        <f ca="1">IFERROR(SUMIFS(OFFSET(DBRA_TopicHCP,0,G$217,DBR_COUNT,1),DBRA_WorkplanDate,$C458,DBRA_PlayerID,$D$3),"")</f>
        <v>0</v>
      </c>
      <c r="H458">
        <f ca="1">IFERROR(SUMIFS(OFFSET(DBRA_TopicHCP,0,H$217,DBR_COUNT,1),DBRA_WorkplanDate,$C458,DBRA_PlayerID,$D$3),"")</f>
        <v>0</v>
      </c>
      <c r="I458">
        <f ca="1">IFERROR(SUMIFS(OFFSET(DBRA_TopicHCP,0,I$217,DBR_COUNT,1),DBRA_WorkplanDate,$C458,DBRA_PlayerID,$D$3),"")</f>
        <v>0</v>
      </c>
      <c r="J458">
        <f ca="1">IFERROR(SUMIFS(OFFSET(DBRA_TopicHCP,0,J$217,DBR_COUNT,1),DBRA_WorkplanDate,$C458,DBRA_PlayerID,$D$3),"")</f>
        <v>0</v>
      </c>
      <c r="K458">
        <f ca="1">IFERROR(SUMIFS(OFFSET(DBRA_TopicHCP,0,K$217,DBR_COUNT,1),DBRA_WorkplanDate,$C458,DBRA_PlayerID,$D$3),"")</f>
        <v>0</v>
      </c>
      <c r="L458">
        <f ca="1">IFERROR(SUMIFS(OFFSET(DBRA_TopicHCP,0,L$217,DBR_COUNT,1),DBRA_WorkplanDate,$C458,DBRA_PlayerID,$D$3),"")</f>
        <v>0</v>
      </c>
      <c r="M458" s="47"/>
      <c r="N458">
        <f ca="1">IFERROR(SUMIFS(OFFSET(DBRA_TopicCount,0,N$217,DBR_COUNT,1),DBRA_WorkplanDate,$C458,DBRA_PlayerID,$D$3),"")</f>
        <v>0</v>
      </c>
      <c r="O458">
        <f ca="1">IFERROR(SUMIFS(OFFSET(DBRA_TopicCount,0,O$217,DBR_COUNT,1),DBRA_WorkplanDate,$C458,DBRA_PlayerID,$D$3),"")</f>
        <v>0</v>
      </c>
      <c r="P458">
        <f ca="1">IFERROR(SUMIFS(OFFSET(DBRA_TopicCount,0,P$217,DBR_COUNT,1),DBRA_WorkplanDate,$C458,DBRA_PlayerID,$D$3),"")</f>
        <v>0</v>
      </c>
      <c r="Q458">
        <f ca="1">IFERROR(SUMIFS(OFFSET(DBRA_TopicCount,0,Q$217,DBR_COUNT,1),DBRA_WorkplanDate,$C458,DBRA_PlayerID,$D$3),"")</f>
        <v>0</v>
      </c>
      <c r="R458">
        <f ca="1">IFERROR(SUMIFS(OFFSET(DBRA_TopicCount,0,R$217,DBR_COUNT,1),DBRA_WorkplanDate,$C458,DBRA_PlayerID,$D$3),"")</f>
        <v>0</v>
      </c>
      <c r="S458">
        <f ca="1">IFERROR(SUMIFS(OFFSET(DBRA_TopicCount,0,S$217,DBR_COUNT,1),DBRA_WorkplanDate,$C458,DBRA_PlayerID,$D$3),"")</f>
        <v>0</v>
      </c>
      <c r="T458">
        <f ca="1">IFERROR(SUMIFS(OFFSET(DBRA_TopicCount,0,T$217,DBR_COUNT,1),DBRA_WorkplanDate,$C458,DBRA_PlayerID,$D$3),"")</f>
        <v>0</v>
      </c>
      <c r="U458">
        <f ca="1">IFERROR(SUMIFS(OFFSET(DBRA_TopicCount,0,U$217,DBR_COUNT,1),DBRA_WorkplanDate,$C458,DBRA_PlayerID,$D$3),"")</f>
        <v>0</v>
      </c>
      <c r="V458">
        <f ca="1">IFERROR(SUMIFS(OFFSET(DBRA_TopicCount,0,V$217,DBR_COUNT,1),DBRA_WorkplanDate,$C458,DBRA_PlayerID,$D$3),"")</f>
        <v>0</v>
      </c>
      <c r="W458" s="47"/>
      <c r="X458" t="str">
        <f t="shared" ca="1" si="104"/>
        <v/>
      </c>
      <c r="Y458" t="str">
        <f t="shared" ca="1" si="96"/>
        <v/>
      </c>
      <c r="Z458" t="str">
        <f t="shared" ca="1" si="97"/>
        <v/>
      </c>
      <c r="AA458" t="str">
        <f t="shared" ca="1" si="98"/>
        <v/>
      </c>
      <c r="AB458" t="str">
        <f t="shared" ca="1" si="99"/>
        <v/>
      </c>
      <c r="AC458" t="str">
        <f t="shared" ca="1" si="100"/>
        <v/>
      </c>
      <c r="AD458" t="str">
        <f t="shared" ca="1" si="101"/>
        <v/>
      </c>
      <c r="AE458" t="str">
        <f t="shared" ca="1" si="102"/>
        <v/>
      </c>
      <c r="AF458" t="str">
        <f t="shared" ca="1" si="103"/>
        <v/>
      </c>
      <c r="AG458" s="47"/>
    </row>
    <row r="459" spans="3:33" x14ac:dyDescent="0.25">
      <c r="C459" s="118">
        <f t="shared" si="105"/>
        <v>42245</v>
      </c>
      <c r="D459">
        <f ca="1">IFERROR(SUMIFS(OFFSET(DBRA_TopicHCP,0,D$217,DBR_COUNT,1),DBRA_WorkplanDate,$C459,DBRA_PlayerID,$D$3),"")</f>
        <v>0</v>
      </c>
      <c r="E459">
        <f ca="1">IFERROR(SUMIFS(OFFSET(DBRA_TopicHCP,0,E$217,DBR_COUNT,1),DBRA_WorkplanDate,$C459,DBRA_PlayerID,$D$3),"")</f>
        <v>0</v>
      </c>
      <c r="F459">
        <f ca="1">IFERROR(SUMIFS(OFFSET(DBRA_TopicHCP,0,F$217,DBR_COUNT,1),DBRA_WorkplanDate,$C459,DBRA_PlayerID,$D$3),"")</f>
        <v>0</v>
      </c>
      <c r="G459">
        <f ca="1">IFERROR(SUMIFS(OFFSET(DBRA_TopicHCP,0,G$217,DBR_COUNT,1),DBRA_WorkplanDate,$C459,DBRA_PlayerID,$D$3),"")</f>
        <v>0</v>
      </c>
      <c r="H459">
        <f ca="1">IFERROR(SUMIFS(OFFSET(DBRA_TopicHCP,0,H$217,DBR_COUNT,1),DBRA_WorkplanDate,$C459,DBRA_PlayerID,$D$3),"")</f>
        <v>0</v>
      </c>
      <c r="I459">
        <f ca="1">IFERROR(SUMIFS(OFFSET(DBRA_TopicHCP,0,I$217,DBR_COUNT,1),DBRA_WorkplanDate,$C459,DBRA_PlayerID,$D$3),"")</f>
        <v>0</v>
      </c>
      <c r="J459">
        <f ca="1">IFERROR(SUMIFS(OFFSET(DBRA_TopicHCP,0,J$217,DBR_COUNT,1),DBRA_WorkplanDate,$C459,DBRA_PlayerID,$D$3),"")</f>
        <v>0</v>
      </c>
      <c r="K459">
        <f ca="1">IFERROR(SUMIFS(OFFSET(DBRA_TopicHCP,0,K$217,DBR_COUNT,1),DBRA_WorkplanDate,$C459,DBRA_PlayerID,$D$3),"")</f>
        <v>0</v>
      </c>
      <c r="L459">
        <f ca="1">IFERROR(SUMIFS(OFFSET(DBRA_TopicHCP,0,L$217,DBR_COUNT,1),DBRA_WorkplanDate,$C459,DBRA_PlayerID,$D$3),"")</f>
        <v>0</v>
      </c>
      <c r="M459" s="47"/>
      <c r="N459">
        <f ca="1">IFERROR(SUMIFS(OFFSET(DBRA_TopicCount,0,N$217,DBR_COUNT,1),DBRA_WorkplanDate,$C459,DBRA_PlayerID,$D$3),"")</f>
        <v>0</v>
      </c>
      <c r="O459">
        <f ca="1">IFERROR(SUMIFS(OFFSET(DBRA_TopicCount,0,O$217,DBR_COUNT,1),DBRA_WorkplanDate,$C459,DBRA_PlayerID,$D$3),"")</f>
        <v>0</v>
      </c>
      <c r="P459">
        <f ca="1">IFERROR(SUMIFS(OFFSET(DBRA_TopicCount,0,P$217,DBR_COUNT,1),DBRA_WorkplanDate,$C459,DBRA_PlayerID,$D$3),"")</f>
        <v>0</v>
      </c>
      <c r="Q459">
        <f ca="1">IFERROR(SUMIFS(OFFSET(DBRA_TopicCount,0,Q$217,DBR_COUNT,1),DBRA_WorkplanDate,$C459,DBRA_PlayerID,$D$3),"")</f>
        <v>0</v>
      </c>
      <c r="R459">
        <f ca="1">IFERROR(SUMIFS(OFFSET(DBRA_TopicCount,0,R$217,DBR_COUNT,1),DBRA_WorkplanDate,$C459,DBRA_PlayerID,$D$3),"")</f>
        <v>0</v>
      </c>
      <c r="S459">
        <f ca="1">IFERROR(SUMIFS(OFFSET(DBRA_TopicCount,0,S$217,DBR_COUNT,1),DBRA_WorkplanDate,$C459,DBRA_PlayerID,$D$3),"")</f>
        <v>0</v>
      </c>
      <c r="T459">
        <f ca="1">IFERROR(SUMIFS(OFFSET(DBRA_TopicCount,0,T$217,DBR_COUNT,1),DBRA_WorkplanDate,$C459,DBRA_PlayerID,$D$3),"")</f>
        <v>0</v>
      </c>
      <c r="U459">
        <f ca="1">IFERROR(SUMIFS(OFFSET(DBRA_TopicCount,0,U$217,DBR_COUNT,1),DBRA_WorkplanDate,$C459,DBRA_PlayerID,$D$3),"")</f>
        <v>0</v>
      </c>
      <c r="V459">
        <f ca="1">IFERROR(SUMIFS(OFFSET(DBRA_TopicCount,0,V$217,DBR_COUNT,1),DBRA_WorkplanDate,$C459,DBRA_PlayerID,$D$3),"")</f>
        <v>0</v>
      </c>
      <c r="W459" s="47"/>
      <c r="X459" t="str">
        <f t="shared" ca="1" si="104"/>
        <v/>
      </c>
      <c r="Y459" t="str">
        <f t="shared" ca="1" si="96"/>
        <v/>
      </c>
      <c r="Z459" t="str">
        <f t="shared" ca="1" si="97"/>
        <v/>
      </c>
      <c r="AA459" t="str">
        <f t="shared" ca="1" si="98"/>
        <v/>
      </c>
      <c r="AB459" t="str">
        <f t="shared" ca="1" si="99"/>
        <v/>
      </c>
      <c r="AC459" t="str">
        <f t="shared" ca="1" si="100"/>
        <v/>
      </c>
      <c r="AD459" t="str">
        <f t="shared" ca="1" si="101"/>
        <v/>
      </c>
      <c r="AE459" t="str">
        <f t="shared" ca="1" si="102"/>
        <v/>
      </c>
      <c r="AF459" t="str">
        <f t="shared" ca="1" si="103"/>
        <v/>
      </c>
      <c r="AG459" s="47"/>
    </row>
    <row r="460" spans="3:33" x14ac:dyDescent="0.25">
      <c r="C460" s="118">
        <f t="shared" si="105"/>
        <v>42246</v>
      </c>
      <c r="D460">
        <f ca="1">IFERROR(SUMIFS(OFFSET(DBRA_TopicHCP,0,D$217,DBR_COUNT,1),DBRA_WorkplanDate,$C460,DBRA_PlayerID,$D$3),"")</f>
        <v>0</v>
      </c>
      <c r="E460">
        <f ca="1">IFERROR(SUMIFS(OFFSET(DBRA_TopicHCP,0,E$217,DBR_COUNT,1),DBRA_WorkplanDate,$C460,DBRA_PlayerID,$D$3),"")</f>
        <v>0</v>
      </c>
      <c r="F460">
        <f ca="1">IFERROR(SUMIFS(OFFSET(DBRA_TopicHCP,0,F$217,DBR_COUNT,1),DBRA_WorkplanDate,$C460,DBRA_PlayerID,$D$3),"")</f>
        <v>0</v>
      </c>
      <c r="G460">
        <f ca="1">IFERROR(SUMIFS(OFFSET(DBRA_TopicHCP,0,G$217,DBR_COUNT,1),DBRA_WorkplanDate,$C460,DBRA_PlayerID,$D$3),"")</f>
        <v>0</v>
      </c>
      <c r="H460">
        <f ca="1">IFERROR(SUMIFS(OFFSET(DBRA_TopicHCP,0,H$217,DBR_COUNT,1),DBRA_WorkplanDate,$C460,DBRA_PlayerID,$D$3),"")</f>
        <v>0</v>
      </c>
      <c r="I460">
        <f ca="1">IFERROR(SUMIFS(OFFSET(DBRA_TopicHCP,0,I$217,DBR_COUNT,1),DBRA_WorkplanDate,$C460,DBRA_PlayerID,$D$3),"")</f>
        <v>0</v>
      </c>
      <c r="J460">
        <f ca="1">IFERROR(SUMIFS(OFFSET(DBRA_TopicHCP,0,J$217,DBR_COUNT,1),DBRA_WorkplanDate,$C460,DBRA_PlayerID,$D$3),"")</f>
        <v>0</v>
      </c>
      <c r="K460">
        <f ca="1">IFERROR(SUMIFS(OFFSET(DBRA_TopicHCP,0,K$217,DBR_COUNT,1),DBRA_WorkplanDate,$C460,DBRA_PlayerID,$D$3),"")</f>
        <v>0</v>
      </c>
      <c r="L460">
        <f ca="1">IFERROR(SUMIFS(OFFSET(DBRA_TopicHCP,0,L$217,DBR_COUNT,1),DBRA_WorkplanDate,$C460,DBRA_PlayerID,$D$3),"")</f>
        <v>0</v>
      </c>
      <c r="M460" s="47"/>
      <c r="N460">
        <f ca="1">IFERROR(SUMIFS(OFFSET(DBRA_TopicCount,0,N$217,DBR_COUNT,1),DBRA_WorkplanDate,$C460,DBRA_PlayerID,$D$3),"")</f>
        <v>0</v>
      </c>
      <c r="O460">
        <f ca="1">IFERROR(SUMIFS(OFFSET(DBRA_TopicCount,0,O$217,DBR_COUNT,1),DBRA_WorkplanDate,$C460,DBRA_PlayerID,$D$3),"")</f>
        <v>0</v>
      </c>
      <c r="P460">
        <f ca="1">IFERROR(SUMIFS(OFFSET(DBRA_TopicCount,0,P$217,DBR_COUNT,1),DBRA_WorkplanDate,$C460,DBRA_PlayerID,$D$3),"")</f>
        <v>0</v>
      </c>
      <c r="Q460">
        <f ca="1">IFERROR(SUMIFS(OFFSET(DBRA_TopicCount,0,Q$217,DBR_COUNT,1),DBRA_WorkplanDate,$C460,DBRA_PlayerID,$D$3),"")</f>
        <v>0</v>
      </c>
      <c r="R460">
        <f ca="1">IFERROR(SUMIFS(OFFSET(DBRA_TopicCount,0,R$217,DBR_COUNT,1),DBRA_WorkplanDate,$C460,DBRA_PlayerID,$D$3),"")</f>
        <v>0</v>
      </c>
      <c r="S460">
        <f ca="1">IFERROR(SUMIFS(OFFSET(DBRA_TopicCount,0,S$217,DBR_COUNT,1),DBRA_WorkplanDate,$C460,DBRA_PlayerID,$D$3),"")</f>
        <v>0</v>
      </c>
      <c r="T460">
        <f ca="1">IFERROR(SUMIFS(OFFSET(DBRA_TopicCount,0,T$217,DBR_COUNT,1),DBRA_WorkplanDate,$C460,DBRA_PlayerID,$D$3),"")</f>
        <v>0</v>
      </c>
      <c r="U460">
        <f ca="1">IFERROR(SUMIFS(OFFSET(DBRA_TopicCount,0,U$217,DBR_COUNT,1),DBRA_WorkplanDate,$C460,DBRA_PlayerID,$D$3),"")</f>
        <v>0</v>
      </c>
      <c r="V460">
        <f ca="1">IFERROR(SUMIFS(OFFSET(DBRA_TopicCount,0,V$217,DBR_COUNT,1),DBRA_WorkplanDate,$C460,DBRA_PlayerID,$D$3),"")</f>
        <v>0</v>
      </c>
      <c r="W460" s="47"/>
      <c r="X460" t="str">
        <f t="shared" ca="1" si="104"/>
        <v/>
      </c>
      <c r="Y460" t="str">
        <f t="shared" ca="1" si="96"/>
        <v/>
      </c>
      <c r="Z460" t="str">
        <f t="shared" ca="1" si="97"/>
        <v/>
      </c>
      <c r="AA460" t="str">
        <f t="shared" ca="1" si="98"/>
        <v/>
      </c>
      <c r="AB460" t="str">
        <f t="shared" ca="1" si="99"/>
        <v/>
      </c>
      <c r="AC460" t="str">
        <f t="shared" ca="1" si="100"/>
        <v/>
      </c>
      <c r="AD460" t="str">
        <f t="shared" ca="1" si="101"/>
        <v/>
      </c>
      <c r="AE460" t="str">
        <f t="shared" ca="1" si="102"/>
        <v/>
      </c>
      <c r="AF460" t="str">
        <f t="shared" ca="1" si="103"/>
        <v/>
      </c>
      <c r="AG460" s="47"/>
    </row>
    <row r="461" spans="3:33" x14ac:dyDescent="0.25">
      <c r="C461" s="118">
        <f t="shared" si="105"/>
        <v>42247</v>
      </c>
      <c r="D461">
        <f ca="1">IFERROR(SUMIFS(OFFSET(DBRA_TopicHCP,0,D$217,DBR_COUNT,1),DBRA_WorkplanDate,$C461,DBRA_PlayerID,$D$3),"")</f>
        <v>0</v>
      </c>
      <c r="E461">
        <f ca="1">IFERROR(SUMIFS(OFFSET(DBRA_TopicHCP,0,E$217,DBR_COUNT,1),DBRA_WorkplanDate,$C461,DBRA_PlayerID,$D$3),"")</f>
        <v>0</v>
      </c>
      <c r="F461">
        <f ca="1">IFERROR(SUMIFS(OFFSET(DBRA_TopicHCP,0,F$217,DBR_COUNT,1),DBRA_WorkplanDate,$C461,DBRA_PlayerID,$D$3),"")</f>
        <v>0</v>
      </c>
      <c r="G461">
        <f ca="1">IFERROR(SUMIFS(OFFSET(DBRA_TopicHCP,0,G$217,DBR_COUNT,1),DBRA_WorkplanDate,$C461,DBRA_PlayerID,$D$3),"")</f>
        <v>0</v>
      </c>
      <c r="H461">
        <f ca="1">IFERROR(SUMIFS(OFFSET(DBRA_TopicHCP,0,H$217,DBR_COUNT,1),DBRA_WorkplanDate,$C461,DBRA_PlayerID,$D$3),"")</f>
        <v>0</v>
      </c>
      <c r="I461">
        <f ca="1">IFERROR(SUMIFS(OFFSET(DBRA_TopicHCP,0,I$217,DBR_COUNT,1),DBRA_WorkplanDate,$C461,DBRA_PlayerID,$D$3),"")</f>
        <v>0</v>
      </c>
      <c r="J461">
        <f ca="1">IFERROR(SUMIFS(OFFSET(DBRA_TopicHCP,0,J$217,DBR_COUNT,1),DBRA_WorkplanDate,$C461,DBRA_PlayerID,$D$3),"")</f>
        <v>0</v>
      </c>
      <c r="K461">
        <f ca="1">IFERROR(SUMIFS(OFFSET(DBRA_TopicHCP,0,K$217,DBR_COUNT,1),DBRA_WorkplanDate,$C461,DBRA_PlayerID,$D$3),"")</f>
        <v>0</v>
      </c>
      <c r="L461">
        <f ca="1">IFERROR(SUMIFS(OFFSET(DBRA_TopicHCP,0,L$217,DBR_COUNT,1),DBRA_WorkplanDate,$C461,DBRA_PlayerID,$D$3),"")</f>
        <v>0</v>
      </c>
      <c r="M461" s="47"/>
      <c r="N461">
        <f ca="1">IFERROR(SUMIFS(OFFSET(DBRA_TopicCount,0,N$217,DBR_COUNT,1),DBRA_WorkplanDate,$C461,DBRA_PlayerID,$D$3),"")</f>
        <v>0</v>
      </c>
      <c r="O461">
        <f ca="1">IFERROR(SUMIFS(OFFSET(DBRA_TopicCount,0,O$217,DBR_COUNT,1),DBRA_WorkplanDate,$C461,DBRA_PlayerID,$D$3),"")</f>
        <v>0</v>
      </c>
      <c r="P461">
        <f ca="1">IFERROR(SUMIFS(OFFSET(DBRA_TopicCount,0,P$217,DBR_COUNT,1),DBRA_WorkplanDate,$C461,DBRA_PlayerID,$D$3),"")</f>
        <v>0</v>
      </c>
      <c r="Q461">
        <f ca="1">IFERROR(SUMIFS(OFFSET(DBRA_TopicCount,0,Q$217,DBR_COUNT,1),DBRA_WorkplanDate,$C461,DBRA_PlayerID,$D$3),"")</f>
        <v>0</v>
      </c>
      <c r="R461">
        <f ca="1">IFERROR(SUMIFS(OFFSET(DBRA_TopicCount,0,R$217,DBR_COUNT,1),DBRA_WorkplanDate,$C461,DBRA_PlayerID,$D$3),"")</f>
        <v>0</v>
      </c>
      <c r="S461">
        <f ca="1">IFERROR(SUMIFS(OFFSET(DBRA_TopicCount,0,S$217,DBR_COUNT,1),DBRA_WorkplanDate,$C461,DBRA_PlayerID,$D$3),"")</f>
        <v>0</v>
      </c>
      <c r="T461">
        <f ca="1">IFERROR(SUMIFS(OFFSET(DBRA_TopicCount,0,T$217,DBR_COUNT,1),DBRA_WorkplanDate,$C461,DBRA_PlayerID,$D$3),"")</f>
        <v>0</v>
      </c>
      <c r="U461">
        <f ca="1">IFERROR(SUMIFS(OFFSET(DBRA_TopicCount,0,U$217,DBR_COUNT,1),DBRA_WorkplanDate,$C461,DBRA_PlayerID,$D$3),"")</f>
        <v>0</v>
      </c>
      <c r="V461">
        <f ca="1">IFERROR(SUMIFS(OFFSET(DBRA_TopicCount,0,V$217,DBR_COUNT,1),DBRA_WorkplanDate,$C461,DBRA_PlayerID,$D$3),"")</f>
        <v>0</v>
      </c>
      <c r="W461" s="47"/>
      <c r="X461" t="str">
        <f t="shared" ca="1" si="104"/>
        <v/>
      </c>
      <c r="Y461" t="str">
        <f t="shared" ca="1" si="96"/>
        <v/>
      </c>
      <c r="Z461" t="str">
        <f t="shared" ca="1" si="97"/>
        <v/>
      </c>
      <c r="AA461" t="str">
        <f t="shared" ca="1" si="98"/>
        <v/>
      </c>
      <c r="AB461" t="str">
        <f t="shared" ca="1" si="99"/>
        <v/>
      </c>
      <c r="AC461" t="str">
        <f t="shared" ca="1" si="100"/>
        <v/>
      </c>
      <c r="AD461" t="str">
        <f t="shared" ca="1" si="101"/>
        <v/>
      </c>
      <c r="AE461" t="str">
        <f t="shared" ca="1" si="102"/>
        <v/>
      </c>
      <c r="AF461" t="str">
        <f t="shared" ca="1" si="103"/>
        <v/>
      </c>
      <c r="AG461" s="47"/>
    </row>
    <row r="462" spans="3:33" x14ac:dyDescent="0.25">
      <c r="C462" s="118">
        <f t="shared" si="105"/>
        <v>42248</v>
      </c>
      <c r="D462">
        <f ca="1">IFERROR(SUMIFS(OFFSET(DBRA_TopicHCP,0,D$217,DBR_COUNT,1),DBRA_WorkplanDate,$C462,DBRA_PlayerID,$D$3),"")</f>
        <v>0</v>
      </c>
      <c r="E462">
        <f ca="1">IFERROR(SUMIFS(OFFSET(DBRA_TopicHCP,0,E$217,DBR_COUNT,1),DBRA_WorkplanDate,$C462,DBRA_PlayerID,$D$3),"")</f>
        <v>0</v>
      </c>
      <c r="F462">
        <f ca="1">IFERROR(SUMIFS(OFFSET(DBRA_TopicHCP,0,F$217,DBR_COUNT,1),DBRA_WorkplanDate,$C462,DBRA_PlayerID,$D$3),"")</f>
        <v>0</v>
      </c>
      <c r="G462">
        <f ca="1">IFERROR(SUMIFS(OFFSET(DBRA_TopicHCP,0,G$217,DBR_COUNT,1),DBRA_WorkplanDate,$C462,DBRA_PlayerID,$D$3),"")</f>
        <v>0</v>
      </c>
      <c r="H462">
        <f ca="1">IFERROR(SUMIFS(OFFSET(DBRA_TopicHCP,0,H$217,DBR_COUNT,1),DBRA_WorkplanDate,$C462,DBRA_PlayerID,$D$3),"")</f>
        <v>0</v>
      </c>
      <c r="I462">
        <f ca="1">IFERROR(SUMIFS(OFFSET(DBRA_TopicHCP,0,I$217,DBR_COUNT,1),DBRA_WorkplanDate,$C462,DBRA_PlayerID,$D$3),"")</f>
        <v>0</v>
      </c>
      <c r="J462">
        <f ca="1">IFERROR(SUMIFS(OFFSET(DBRA_TopicHCP,0,J$217,DBR_COUNT,1),DBRA_WorkplanDate,$C462,DBRA_PlayerID,$D$3),"")</f>
        <v>0</v>
      </c>
      <c r="K462">
        <f ca="1">IFERROR(SUMIFS(OFFSET(DBRA_TopicHCP,0,K$217,DBR_COUNT,1),DBRA_WorkplanDate,$C462,DBRA_PlayerID,$D$3),"")</f>
        <v>0</v>
      </c>
      <c r="L462">
        <f ca="1">IFERROR(SUMIFS(OFFSET(DBRA_TopicHCP,0,L$217,DBR_COUNT,1),DBRA_WorkplanDate,$C462,DBRA_PlayerID,$D$3),"")</f>
        <v>0</v>
      </c>
      <c r="M462" s="47"/>
      <c r="N462">
        <f ca="1">IFERROR(SUMIFS(OFFSET(DBRA_TopicCount,0,N$217,DBR_COUNT,1),DBRA_WorkplanDate,$C462,DBRA_PlayerID,$D$3),"")</f>
        <v>0</v>
      </c>
      <c r="O462">
        <f ca="1">IFERROR(SUMIFS(OFFSET(DBRA_TopicCount,0,O$217,DBR_COUNT,1),DBRA_WorkplanDate,$C462,DBRA_PlayerID,$D$3),"")</f>
        <v>0</v>
      </c>
      <c r="P462">
        <f ca="1">IFERROR(SUMIFS(OFFSET(DBRA_TopicCount,0,P$217,DBR_COUNT,1),DBRA_WorkplanDate,$C462,DBRA_PlayerID,$D$3),"")</f>
        <v>0</v>
      </c>
      <c r="Q462">
        <f ca="1">IFERROR(SUMIFS(OFFSET(DBRA_TopicCount,0,Q$217,DBR_COUNT,1),DBRA_WorkplanDate,$C462,DBRA_PlayerID,$D$3),"")</f>
        <v>0</v>
      </c>
      <c r="R462">
        <f ca="1">IFERROR(SUMIFS(OFFSET(DBRA_TopicCount,0,R$217,DBR_COUNT,1),DBRA_WorkplanDate,$C462,DBRA_PlayerID,$D$3),"")</f>
        <v>0</v>
      </c>
      <c r="S462">
        <f ca="1">IFERROR(SUMIFS(OFFSET(DBRA_TopicCount,0,S$217,DBR_COUNT,1),DBRA_WorkplanDate,$C462,DBRA_PlayerID,$D$3),"")</f>
        <v>0</v>
      </c>
      <c r="T462">
        <f ca="1">IFERROR(SUMIFS(OFFSET(DBRA_TopicCount,0,T$217,DBR_COUNT,1),DBRA_WorkplanDate,$C462,DBRA_PlayerID,$D$3),"")</f>
        <v>0</v>
      </c>
      <c r="U462">
        <f ca="1">IFERROR(SUMIFS(OFFSET(DBRA_TopicCount,0,U$217,DBR_COUNT,1),DBRA_WorkplanDate,$C462,DBRA_PlayerID,$D$3),"")</f>
        <v>0</v>
      </c>
      <c r="V462">
        <f ca="1">IFERROR(SUMIFS(OFFSET(DBRA_TopicCount,0,V$217,DBR_COUNT,1),DBRA_WorkplanDate,$C462,DBRA_PlayerID,$D$3),"")</f>
        <v>0</v>
      </c>
      <c r="W462" s="47"/>
      <c r="X462" t="str">
        <f t="shared" ca="1" si="104"/>
        <v/>
      </c>
      <c r="Y462" t="str">
        <f t="shared" ca="1" si="96"/>
        <v/>
      </c>
      <c r="Z462" t="str">
        <f t="shared" ca="1" si="97"/>
        <v/>
      </c>
      <c r="AA462" t="str">
        <f t="shared" ca="1" si="98"/>
        <v/>
      </c>
      <c r="AB462" t="str">
        <f t="shared" ca="1" si="99"/>
        <v/>
      </c>
      <c r="AC462" t="str">
        <f t="shared" ca="1" si="100"/>
        <v/>
      </c>
      <c r="AD462" t="str">
        <f t="shared" ca="1" si="101"/>
        <v/>
      </c>
      <c r="AE462" t="str">
        <f t="shared" ca="1" si="102"/>
        <v/>
      </c>
      <c r="AF462" t="str">
        <f t="shared" ca="1" si="103"/>
        <v/>
      </c>
      <c r="AG462" s="47"/>
    </row>
    <row r="463" spans="3:33" x14ac:dyDescent="0.25">
      <c r="C463" s="118">
        <f t="shared" si="105"/>
        <v>42249</v>
      </c>
      <c r="D463">
        <f ca="1">IFERROR(SUMIFS(OFFSET(DBRA_TopicHCP,0,D$217,DBR_COUNT,1),DBRA_WorkplanDate,$C463,DBRA_PlayerID,$D$3),"")</f>
        <v>0</v>
      </c>
      <c r="E463">
        <f ca="1">IFERROR(SUMIFS(OFFSET(DBRA_TopicHCP,0,E$217,DBR_COUNT,1),DBRA_WorkplanDate,$C463,DBRA_PlayerID,$D$3),"")</f>
        <v>0</v>
      </c>
      <c r="F463">
        <f ca="1">IFERROR(SUMIFS(OFFSET(DBRA_TopicHCP,0,F$217,DBR_COUNT,1),DBRA_WorkplanDate,$C463,DBRA_PlayerID,$D$3),"")</f>
        <v>0</v>
      </c>
      <c r="G463">
        <f ca="1">IFERROR(SUMIFS(OFFSET(DBRA_TopicHCP,0,G$217,DBR_COUNT,1),DBRA_WorkplanDate,$C463,DBRA_PlayerID,$D$3),"")</f>
        <v>0</v>
      </c>
      <c r="H463">
        <f ca="1">IFERROR(SUMIFS(OFFSET(DBRA_TopicHCP,0,H$217,DBR_COUNT,1),DBRA_WorkplanDate,$C463,DBRA_PlayerID,$D$3),"")</f>
        <v>0</v>
      </c>
      <c r="I463">
        <f ca="1">IFERROR(SUMIFS(OFFSET(DBRA_TopicHCP,0,I$217,DBR_COUNT,1),DBRA_WorkplanDate,$C463,DBRA_PlayerID,$D$3),"")</f>
        <v>0</v>
      </c>
      <c r="J463">
        <f ca="1">IFERROR(SUMIFS(OFFSET(DBRA_TopicHCP,0,J$217,DBR_COUNT,1),DBRA_WorkplanDate,$C463,DBRA_PlayerID,$D$3),"")</f>
        <v>0</v>
      </c>
      <c r="K463">
        <f ca="1">IFERROR(SUMIFS(OFFSET(DBRA_TopicHCP,0,K$217,DBR_COUNT,1),DBRA_WorkplanDate,$C463,DBRA_PlayerID,$D$3),"")</f>
        <v>0</v>
      </c>
      <c r="L463">
        <f ca="1">IFERROR(SUMIFS(OFFSET(DBRA_TopicHCP,0,L$217,DBR_COUNT,1),DBRA_WorkplanDate,$C463,DBRA_PlayerID,$D$3),"")</f>
        <v>0</v>
      </c>
      <c r="M463" s="47"/>
      <c r="N463">
        <f ca="1">IFERROR(SUMIFS(OFFSET(DBRA_TopicCount,0,N$217,DBR_COUNT,1),DBRA_WorkplanDate,$C463,DBRA_PlayerID,$D$3),"")</f>
        <v>0</v>
      </c>
      <c r="O463">
        <f ca="1">IFERROR(SUMIFS(OFFSET(DBRA_TopicCount,0,O$217,DBR_COUNT,1),DBRA_WorkplanDate,$C463,DBRA_PlayerID,$D$3),"")</f>
        <v>0</v>
      </c>
      <c r="P463">
        <f ca="1">IFERROR(SUMIFS(OFFSET(DBRA_TopicCount,0,P$217,DBR_COUNT,1),DBRA_WorkplanDate,$C463,DBRA_PlayerID,$D$3),"")</f>
        <v>0</v>
      </c>
      <c r="Q463">
        <f ca="1">IFERROR(SUMIFS(OFFSET(DBRA_TopicCount,0,Q$217,DBR_COUNT,1),DBRA_WorkplanDate,$C463,DBRA_PlayerID,$D$3),"")</f>
        <v>0</v>
      </c>
      <c r="R463">
        <f ca="1">IFERROR(SUMIFS(OFFSET(DBRA_TopicCount,0,R$217,DBR_COUNT,1),DBRA_WorkplanDate,$C463,DBRA_PlayerID,$D$3),"")</f>
        <v>0</v>
      </c>
      <c r="S463">
        <f ca="1">IFERROR(SUMIFS(OFFSET(DBRA_TopicCount,0,S$217,DBR_COUNT,1),DBRA_WorkplanDate,$C463,DBRA_PlayerID,$D$3),"")</f>
        <v>0</v>
      </c>
      <c r="T463">
        <f ca="1">IFERROR(SUMIFS(OFFSET(DBRA_TopicCount,0,T$217,DBR_COUNT,1),DBRA_WorkplanDate,$C463,DBRA_PlayerID,$D$3),"")</f>
        <v>0</v>
      </c>
      <c r="U463">
        <f ca="1">IFERROR(SUMIFS(OFFSET(DBRA_TopicCount,0,U$217,DBR_COUNT,1),DBRA_WorkplanDate,$C463,DBRA_PlayerID,$D$3),"")</f>
        <v>0</v>
      </c>
      <c r="V463">
        <f ca="1">IFERROR(SUMIFS(OFFSET(DBRA_TopicCount,0,V$217,DBR_COUNT,1),DBRA_WorkplanDate,$C463,DBRA_PlayerID,$D$3),"")</f>
        <v>0</v>
      </c>
      <c r="W463" s="47"/>
      <c r="X463" t="str">
        <f t="shared" ca="1" si="104"/>
        <v/>
      </c>
      <c r="Y463" t="str">
        <f t="shared" ca="1" si="96"/>
        <v/>
      </c>
      <c r="Z463" t="str">
        <f t="shared" ca="1" si="97"/>
        <v/>
      </c>
      <c r="AA463" t="str">
        <f t="shared" ca="1" si="98"/>
        <v/>
      </c>
      <c r="AB463" t="str">
        <f t="shared" ca="1" si="99"/>
        <v/>
      </c>
      <c r="AC463" t="str">
        <f t="shared" ca="1" si="100"/>
        <v/>
      </c>
      <c r="AD463" t="str">
        <f t="shared" ca="1" si="101"/>
        <v/>
      </c>
      <c r="AE463" t="str">
        <f t="shared" ca="1" si="102"/>
        <v/>
      </c>
      <c r="AF463" t="str">
        <f t="shared" ca="1" si="103"/>
        <v/>
      </c>
      <c r="AG463" s="47"/>
    </row>
    <row r="464" spans="3:33" x14ac:dyDescent="0.25">
      <c r="C464" s="118">
        <f t="shared" si="105"/>
        <v>42250</v>
      </c>
      <c r="D464">
        <f ca="1">IFERROR(SUMIFS(OFFSET(DBRA_TopicHCP,0,D$217,DBR_COUNT,1),DBRA_WorkplanDate,$C464,DBRA_PlayerID,$D$3),"")</f>
        <v>0</v>
      </c>
      <c r="E464">
        <f ca="1">IFERROR(SUMIFS(OFFSET(DBRA_TopicHCP,0,E$217,DBR_COUNT,1),DBRA_WorkplanDate,$C464,DBRA_PlayerID,$D$3),"")</f>
        <v>0</v>
      </c>
      <c r="F464">
        <f ca="1">IFERROR(SUMIFS(OFFSET(DBRA_TopicHCP,0,F$217,DBR_COUNT,1),DBRA_WorkplanDate,$C464,DBRA_PlayerID,$D$3),"")</f>
        <v>0</v>
      </c>
      <c r="G464">
        <f ca="1">IFERROR(SUMIFS(OFFSET(DBRA_TopicHCP,0,G$217,DBR_COUNT,1),DBRA_WorkplanDate,$C464,DBRA_PlayerID,$D$3),"")</f>
        <v>0</v>
      </c>
      <c r="H464">
        <f ca="1">IFERROR(SUMIFS(OFFSET(DBRA_TopicHCP,0,H$217,DBR_COUNT,1),DBRA_WorkplanDate,$C464,DBRA_PlayerID,$D$3),"")</f>
        <v>0</v>
      </c>
      <c r="I464">
        <f ca="1">IFERROR(SUMIFS(OFFSET(DBRA_TopicHCP,0,I$217,DBR_COUNT,1),DBRA_WorkplanDate,$C464,DBRA_PlayerID,$D$3),"")</f>
        <v>0</v>
      </c>
      <c r="J464">
        <f ca="1">IFERROR(SUMIFS(OFFSET(DBRA_TopicHCP,0,J$217,DBR_COUNT,1),DBRA_WorkplanDate,$C464,DBRA_PlayerID,$D$3),"")</f>
        <v>0</v>
      </c>
      <c r="K464">
        <f ca="1">IFERROR(SUMIFS(OFFSET(DBRA_TopicHCP,0,K$217,DBR_COUNT,1),DBRA_WorkplanDate,$C464,DBRA_PlayerID,$D$3),"")</f>
        <v>0</v>
      </c>
      <c r="L464">
        <f ca="1">IFERROR(SUMIFS(OFFSET(DBRA_TopicHCP,0,L$217,DBR_COUNT,1),DBRA_WorkplanDate,$C464,DBRA_PlayerID,$D$3),"")</f>
        <v>0</v>
      </c>
      <c r="M464" s="47"/>
      <c r="N464">
        <f ca="1">IFERROR(SUMIFS(OFFSET(DBRA_TopicCount,0,N$217,DBR_COUNT,1),DBRA_WorkplanDate,$C464,DBRA_PlayerID,$D$3),"")</f>
        <v>0</v>
      </c>
      <c r="O464">
        <f ca="1">IFERROR(SUMIFS(OFFSET(DBRA_TopicCount,0,O$217,DBR_COUNT,1),DBRA_WorkplanDate,$C464,DBRA_PlayerID,$D$3),"")</f>
        <v>0</v>
      </c>
      <c r="P464">
        <f ca="1">IFERROR(SUMIFS(OFFSET(DBRA_TopicCount,0,P$217,DBR_COUNT,1),DBRA_WorkplanDate,$C464,DBRA_PlayerID,$D$3),"")</f>
        <v>0</v>
      </c>
      <c r="Q464">
        <f ca="1">IFERROR(SUMIFS(OFFSET(DBRA_TopicCount,0,Q$217,DBR_COUNT,1),DBRA_WorkplanDate,$C464,DBRA_PlayerID,$D$3),"")</f>
        <v>0</v>
      </c>
      <c r="R464">
        <f ca="1">IFERROR(SUMIFS(OFFSET(DBRA_TopicCount,0,R$217,DBR_COUNT,1),DBRA_WorkplanDate,$C464,DBRA_PlayerID,$D$3),"")</f>
        <v>0</v>
      </c>
      <c r="S464">
        <f ca="1">IFERROR(SUMIFS(OFFSET(DBRA_TopicCount,0,S$217,DBR_COUNT,1),DBRA_WorkplanDate,$C464,DBRA_PlayerID,$D$3),"")</f>
        <v>0</v>
      </c>
      <c r="T464">
        <f ca="1">IFERROR(SUMIFS(OFFSET(DBRA_TopicCount,0,T$217,DBR_COUNT,1),DBRA_WorkplanDate,$C464,DBRA_PlayerID,$D$3),"")</f>
        <v>0</v>
      </c>
      <c r="U464">
        <f ca="1">IFERROR(SUMIFS(OFFSET(DBRA_TopicCount,0,U$217,DBR_COUNT,1),DBRA_WorkplanDate,$C464,DBRA_PlayerID,$D$3),"")</f>
        <v>0</v>
      </c>
      <c r="V464">
        <f ca="1">IFERROR(SUMIFS(OFFSET(DBRA_TopicCount,0,V$217,DBR_COUNT,1),DBRA_WorkplanDate,$C464,DBRA_PlayerID,$D$3),"")</f>
        <v>0</v>
      </c>
      <c r="W464" s="47"/>
      <c r="X464" t="str">
        <f t="shared" ca="1" si="104"/>
        <v/>
      </c>
      <c r="Y464" t="str">
        <f t="shared" ca="1" si="96"/>
        <v/>
      </c>
      <c r="Z464" t="str">
        <f t="shared" ca="1" si="97"/>
        <v/>
      </c>
      <c r="AA464" t="str">
        <f t="shared" ca="1" si="98"/>
        <v/>
      </c>
      <c r="AB464" t="str">
        <f t="shared" ca="1" si="99"/>
        <v/>
      </c>
      <c r="AC464" t="str">
        <f t="shared" ca="1" si="100"/>
        <v/>
      </c>
      <c r="AD464" t="str">
        <f t="shared" ca="1" si="101"/>
        <v/>
      </c>
      <c r="AE464" t="str">
        <f t="shared" ca="1" si="102"/>
        <v/>
      </c>
      <c r="AF464" t="str">
        <f t="shared" ca="1" si="103"/>
        <v/>
      </c>
      <c r="AG464" s="47"/>
    </row>
    <row r="465" spans="3:33" x14ac:dyDescent="0.25">
      <c r="C465" s="118">
        <f t="shared" si="105"/>
        <v>42251</v>
      </c>
      <c r="D465">
        <f ca="1">IFERROR(SUMIFS(OFFSET(DBRA_TopicHCP,0,D$217,DBR_COUNT,1),DBRA_WorkplanDate,$C465,DBRA_PlayerID,$D$3),"")</f>
        <v>0</v>
      </c>
      <c r="E465">
        <f ca="1">IFERROR(SUMIFS(OFFSET(DBRA_TopicHCP,0,E$217,DBR_COUNT,1),DBRA_WorkplanDate,$C465,DBRA_PlayerID,$D$3),"")</f>
        <v>0</v>
      </c>
      <c r="F465">
        <f ca="1">IFERROR(SUMIFS(OFFSET(DBRA_TopicHCP,0,F$217,DBR_COUNT,1),DBRA_WorkplanDate,$C465,DBRA_PlayerID,$D$3),"")</f>
        <v>0</v>
      </c>
      <c r="G465">
        <f ca="1">IFERROR(SUMIFS(OFFSET(DBRA_TopicHCP,0,G$217,DBR_COUNT,1),DBRA_WorkplanDate,$C465,DBRA_PlayerID,$D$3),"")</f>
        <v>0</v>
      </c>
      <c r="H465">
        <f ca="1">IFERROR(SUMIFS(OFFSET(DBRA_TopicHCP,0,H$217,DBR_COUNT,1),DBRA_WorkplanDate,$C465,DBRA_PlayerID,$D$3),"")</f>
        <v>0</v>
      </c>
      <c r="I465">
        <f ca="1">IFERROR(SUMIFS(OFFSET(DBRA_TopicHCP,0,I$217,DBR_COUNT,1),DBRA_WorkplanDate,$C465,DBRA_PlayerID,$D$3),"")</f>
        <v>0</v>
      </c>
      <c r="J465">
        <f ca="1">IFERROR(SUMIFS(OFFSET(DBRA_TopicHCP,0,J$217,DBR_COUNT,1),DBRA_WorkplanDate,$C465,DBRA_PlayerID,$D$3),"")</f>
        <v>0</v>
      </c>
      <c r="K465">
        <f ca="1">IFERROR(SUMIFS(OFFSET(DBRA_TopicHCP,0,K$217,DBR_COUNT,1),DBRA_WorkplanDate,$C465,DBRA_PlayerID,$D$3),"")</f>
        <v>0</v>
      </c>
      <c r="L465">
        <f ca="1">IFERROR(SUMIFS(OFFSET(DBRA_TopicHCP,0,L$217,DBR_COUNT,1),DBRA_WorkplanDate,$C465,DBRA_PlayerID,$D$3),"")</f>
        <v>0</v>
      </c>
      <c r="M465" s="47"/>
      <c r="N465">
        <f ca="1">IFERROR(SUMIFS(OFFSET(DBRA_TopicCount,0,N$217,DBR_COUNT,1),DBRA_WorkplanDate,$C465,DBRA_PlayerID,$D$3),"")</f>
        <v>0</v>
      </c>
      <c r="O465">
        <f ca="1">IFERROR(SUMIFS(OFFSET(DBRA_TopicCount,0,O$217,DBR_COUNT,1),DBRA_WorkplanDate,$C465,DBRA_PlayerID,$D$3),"")</f>
        <v>0</v>
      </c>
      <c r="P465">
        <f ca="1">IFERROR(SUMIFS(OFFSET(DBRA_TopicCount,0,P$217,DBR_COUNT,1),DBRA_WorkplanDate,$C465,DBRA_PlayerID,$D$3),"")</f>
        <v>0</v>
      </c>
      <c r="Q465">
        <f ca="1">IFERROR(SUMIFS(OFFSET(DBRA_TopicCount,0,Q$217,DBR_COUNT,1),DBRA_WorkplanDate,$C465,DBRA_PlayerID,$D$3),"")</f>
        <v>0</v>
      </c>
      <c r="R465">
        <f ca="1">IFERROR(SUMIFS(OFFSET(DBRA_TopicCount,0,R$217,DBR_COUNT,1),DBRA_WorkplanDate,$C465,DBRA_PlayerID,$D$3),"")</f>
        <v>0</v>
      </c>
      <c r="S465">
        <f ca="1">IFERROR(SUMIFS(OFFSET(DBRA_TopicCount,0,S$217,DBR_COUNT,1),DBRA_WorkplanDate,$C465,DBRA_PlayerID,$D$3),"")</f>
        <v>0</v>
      </c>
      <c r="T465">
        <f ca="1">IFERROR(SUMIFS(OFFSET(DBRA_TopicCount,0,T$217,DBR_COUNT,1),DBRA_WorkplanDate,$C465,DBRA_PlayerID,$D$3),"")</f>
        <v>0</v>
      </c>
      <c r="U465">
        <f ca="1">IFERROR(SUMIFS(OFFSET(DBRA_TopicCount,0,U$217,DBR_COUNT,1),DBRA_WorkplanDate,$C465,DBRA_PlayerID,$D$3),"")</f>
        <v>0</v>
      </c>
      <c r="V465">
        <f ca="1">IFERROR(SUMIFS(OFFSET(DBRA_TopicCount,0,V$217,DBR_COUNT,1),DBRA_WorkplanDate,$C465,DBRA_PlayerID,$D$3),"")</f>
        <v>0</v>
      </c>
      <c r="W465" s="47"/>
      <c r="X465" t="str">
        <f t="shared" ca="1" si="104"/>
        <v/>
      </c>
      <c r="Y465" t="str">
        <f t="shared" ca="1" si="96"/>
        <v/>
      </c>
      <c r="Z465" t="str">
        <f t="shared" ca="1" si="97"/>
        <v/>
      </c>
      <c r="AA465" t="str">
        <f t="shared" ca="1" si="98"/>
        <v/>
      </c>
      <c r="AB465" t="str">
        <f t="shared" ca="1" si="99"/>
        <v/>
      </c>
      <c r="AC465" t="str">
        <f t="shared" ca="1" si="100"/>
        <v/>
      </c>
      <c r="AD465" t="str">
        <f t="shared" ca="1" si="101"/>
        <v/>
      </c>
      <c r="AE465" t="str">
        <f t="shared" ca="1" si="102"/>
        <v/>
      </c>
      <c r="AF465" t="str">
        <f t="shared" ca="1" si="103"/>
        <v/>
      </c>
      <c r="AG465" s="47"/>
    </row>
    <row r="466" spans="3:33" x14ac:dyDescent="0.25">
      <c r="C466" s="118">
        <f t="shared" si="105"/>
        <v>42252</v>
      </c>
      <c r="D466">
        <f ca="1">IFERROR(SUMIFS(OFFSET(DBRA_TopicHCP,0,D$217,DBR_COUNT,1),DBRA_WorkplanDate,$C466,DBRA_PlayerID,$D$3),"")</f>
        <v>0</v>
      </c>
      <c r="E466">
        <f ca="1">IFERROR(SUMIFS(OFFSET(DBRA_TopicHCP,0,E$217,DBR_COUNT,1),DBRA_WorkplanDate,$C466,DBRA_PlayerID,$D$3),"")</f>
        <v>0</v>
      </c>
      <c r="F466">
        <f ca="1">IFERROR(SUMIFS(OFFSET(DBRA_TopicHCP,0,F$217,DBR_COUNT,1),DBRA_WorkplanDate,$C466,DBRA_PlayerID,$D$3),"")</f>
        <v>0</v>
      </c>
      <c r="G466">
        <f ca="1">IFERROR(SUMIFS(OFFSET(DBRA_TopicHCP,0,G$217,DBR_COUNT,1),DBRA_WorkplanDate,$C466,DBRA_PlayerID,$D$3),"")</f>
        <v>0</v>
      </c>
      <c r="H466">
        <f ca="1">IFERROR(SUMIFS(OFFSET(DBRA_TopicHCP,0,H$217,DBR_COUNT,1),DBRA_WorkplanDate,$C466,DBRA_PlayerID,$D$3),"")</f>
        <v>0</v>
      </c>
      <c r="I466">
        <f ca="1">IFERROR(SUMIFS(OFFSET(DBRA_TopicHCP,0,I$217,DBR_COUNT,1),DBRA_WorkplanDate,$C466,DBRA_PlayerID,$D$3),"")</f>
        <v>0</v>
      </c>
      <c r="J466">
        <f ca="1">IFERROR(SUMIFS(OFFSET(DBRA_TopicHCP,0,J$217,DBR_COUNT,1),DBRA_WorkplanDate,$C466,DBRA_PlayerID,$D$3),"")</f>
        <v>0</v>
      </c>
      <c r="K466">
        <f ca="1">IFERROR(SUMIFS(OFFSET(DBRA_TopicHCP,0,K$217,DBR_COUNT,1),DBRA_WorkplanDate,$C466,DBRA_PlayerID,$D$3),"")</f>
        <v>0</v>
      </c>
      <c r="L466">
        <f ca="1">IFERROR(SUMIFS(OFFSET(DBRA_TopicHCP,0,L$217,DBR_COUNT,1),DBRA_WorkplanDate,$C466,DBRA_PlayerID,$D$3),"")</f>
        <v>0</v>
      </c>
      <c r="M466" s="47"/>
      <c r="N466">
        <f ca="1">IFERROR(SUMIFS(OFFSET(DBRA_TopicCount,0,N$217,DBR_COUNT,1),DBRA_WorkplanDate,$C466,DBRA_PlayerID,$D$3),"")</f>
        <v>0</v>
      </c>
      <c r="O466">
        <f ca="1">IFERROR(SUMIFS(OFFSET(DBRA_TopicCount,0,O$217,DBR_COUNT,1),DBRA_WorkplanDate,$C466,DBRA_PlayerID,$D$3),"")</f>
        <v>0</v>
      </c>
      <c r="P466">
        <f ca="1">IFERROR(SUMIFS(OFFSET(DBRA_TopicCount,0,P$217,DBR_COUNT,1),DBRA_WorkplanDate,$C466,DBRA_PlayerID,$D$3),"")</f>
        <v>0</v>
      </c>
      <c r="Q466">
        <f ca="1">IFERROR(SUMIFS(OFFSET(DBRA_TopicCount,0,Q$217,DBR_COUNT,1),DBRA_WorkplanDate,$C466,DBRA_PlayerID,$D$3),"")</f>
        <v>0</v>
      </c>
      <c r="R466">
        <f ca="1">IFERROR(SUMIFS(OFFSET(DBRA_TopicCount,0,R$217,DBR_COUNT,1),DBRA_WorkplanDate,$C466,DBRA_PlayerID,$D$3),"")</f>
        <v>0</v>
      </c>
      <c r="S466">
        <f ca="1">IFERROR(SUMIFS(OFFSET(DBRA_TopicCount,0,S$217,DBR_COUNT,1),DBRA_WorkplanDate,$C466,DBRA_PlayerID,$D$3),"")</f>
        <v>0</v>
      </c>
      <c r="T466">
        <f ca="1">IFERROR(SUMIFS(OFFSET(DBRA_TopicCount,0,T$217,DBR_COUNT,1),DBRA_WorkplanDate,$C466,DBRA_PlayerID,$D$3),"")</f>
        <v>0</v>
      </c>
      <c r="U466">
        <f ca="1">IFERROR(SUMIFS(OFFSET(DBRA_TopicCount,0,U$217,DBR_COUNT,1),DBRA_WorkplanDate,$C466,DBRA_PlayerID,$D$3),"")</f>
        <v>0</v>
      </c>
      <c r="V466">
        <f ca="1">IFERROR(SUMIFS(OFFSET(DBRA_TopicCount,0,V$217,DBR_COUNT,1),DBRA_WorkplanDate,$C466,DBRA_PlayerID,$D$3),"")</f>
        <v>0</v>
      </c>
      <c r="W466" s="47"/>
      <c r="X466" t="str">
        <f t="shared" ca="1" si="104"/>
        <v/>
      </c>
      <c r="Y466" t="str">
        <f t="shared" ca="1" si="96"/>
        <v/>
      </c>
      <c r="Z466" t="str">
        <f t="shared" ca="1" si="97"/>
        <v/>
      </c>
      <c r="AA466" t="str">
        <f t="shared" ca="1" si="98"/>
        <v/>
      </c>
      <c r="AB466" t="str">
        <f t="shared" ca="1" si="99"/>
        <v/>
      </c>
      <c r="AC466" t="str">
        <f t="shared" ca="1" si="100"/>
        <v/>
      </c>
      <c r="AD466" t="str">
        <f t="shared" ca="1" si="101"/>
        <v/>
      </c>
      <c r="AE466" t="str">
        <f t="shared" ca="1" si="102"/>
        <v/>
      </c>
      <c r="AF466" t="str">
        <f t="shared" ca="1" si="103"/>
        <v/>
      </c>
      <c r="AG466" s="47"/>
    </row>
    <row r="467" spans="3:33" x14ac:dyDescent="0.25">
      <c r="C467" s="118">
        <f t="shared" si="105"/>
        <v>42253</v>
      </c>
      <c r="D467">
        <f ca="1">IFERROR(SUMIFS(OFFSET(DBRA_TopicHCP,0,D$217,DBR_COUNT,1),DBRA_WorkplanDate,$C467,DBRA_PlayerID,$D$3),"")</f>
        <v>0</v>
      </c>
      <c r="E467">
        <f ca="1">IFERROR(SUMIFS(OFFSET(DBRA_TopicHCP,0,E$217,DBR_COUNT,1),DBRA_WorkplanDate,$C467,DBRA_PlayerID,$D$3),"")</f>
        <v>0</v>
      </c>
      <c r="F467">
        <f ca="1">IFERROR(SUMIFS(OFFSET(DBRA_TopicHCP,0,F$217,DBR_COUNT,1),DBRA_WorkplanDate,$C467,DBRA_PlayerID,$D$3),"")</f>
        <v>0</v>
      </c>
      <c r="G467">
        <f ca="1">IFERROR(SUMIFS(OFFSET(DBRA_TopicHCP,0,G$217,DBR_COUNT,1),DBRA_WorkplanDate,$C467,DBRA_PlayerID,$D$3),"")</f>
        <v>0</v>
      </c>
      <c r="H467">
        <f ca="1">IFERROR(SUMIFS(OFFSET(DBRA_TopicHCP,0,H$217,DBR_COUNT,1),DBRA_WorkplanDate,$C467,DBRA_PlayerID,$D$3),"")</f>
        <v>0</v>
      </c>
      <c r="I467">
        <f ca="1">IFERROR(SUMIFS(OFFSET(DBRA_TopicHCP,0,I$217,DBR_COUNT,1),DBRA_WorkplanDate,$C467,DBRA_PlayerID,$D$3),"")</f>
        <v>0</v>
      </c>
      <c r="J467">
        <f ca="1">IFERROR(SUMIFS(OFFSET(DBRA_TopicHCP,0,J$217,DBR_COUNT,1),DBRA_WorkplanDate,$C467,DBRA_PlayerID,$D$3),"")</f>
        <v>0</v>
      </c>
      <c r="K467">
        <f ca="1">IFERROR(SUMIFS(OFFSET(DBRA_TopicHCP,0,K$217,DBR_COUNT,1),DBRA_WorkplanDate,$C467,DBRA_PlayerID,$D$3),"")</f>
        <v>0</v>
      </c>
      <c r="L467">
        <f ca="1">IFERROR(SUMIFS(OFFSET(DBRA_TopicHCP,0,L$217,DBR_COUNT,1),DBRA_WorkplanDate,$C467,DBRA_PlayerID,$D$3),"")</f>
        <v>0</v>
      </c>
      <c r="M467" s="47"/>
      <c r="N467">
        <f ca="1">IFERROR(SUMIFS(OFFSET(DBRA_TopicCount,0,N$217,DBR_COUNT,1),DBRA_WorkplanDate,$C467,DBRA_PlayerID,$D$3),"")</f>
        <v>0</v>
      </c>
      <c r="O467">
        <f ca="1">IFERROR(SUMIFS(OFFSET(DBRA_TopicCount,0,O$217,DBR_COUNT,1),DBRA_WorkplanDate,$C467,DBRA_PlayerID,$D$3),"")</f>
        <v>0</v>
      </c>
      <c r="P467">
        <f ca="1">IFERROR(SUMIFS(OFFSET(DBRA_TopicCount,0,P$217,DBR_COUNT,1),DBRA_WorkplanDate,$C467,DBRA_PlayerID,$D$3),"")</f>
        <v>0</v>
      </c>
      <c r="Q467">
        <f ca="1">IFERROR(SUMIFS(OFFSET(DBRA_TopicCount,0,Q$217,DBR_COUNT,1),DBRA_WorkplanDate,$C467,DBRA_PlayerID,$D$3),"")</f>
        <v>0</v>
      </c>
      <c r="R467">
        <f ca="1">IFERROR(SUMIFS(OFFSET(DBRA_TopicCount,0,R$217,DBR_COUNT,1),DBRA_WorkplanDate,$C467,DBRA_PlayerID,$D$3),"")</f>
        <v>0</v>
      </c>
      <c r="S467">
        <f ca="1">IFERROR(SUMIFS(OFFSET(DBRA_TopicCount,0,S$217,DBR_COUNT,1),DBRA_WorkplanDate,$C467,DBRA_PlayerID,$D$3),"")</f>
        <v>0</v>
      </c>
      <c r="T467">
        <f ca="1">IFERROR(SUMIFS(OFFSET(DBRA_TopicCount,0,T$217,DBR_COUNT,1),DBRA_WorkplanDate,$C467,DBRA_PlayerID,$D$3),"")</f>
        <v>0</v>
      </c>
      <c r="U467">
        <f ca="1">IFERROR(SUMIFS(OFFSET(DBRA_TopicCount,0,U$217,DBR_COUNT,1),DBRA_WorkplanDate,$C467,DBRA_PlayerID,$D$3),"")</f>
        <v>0</v>
      </c>
      <c r="V467">
        <f ca="1">IFERROR(SUMIFS(OFFSET(DBRA_TopicCount,0,V$217,DBR_COUNT,1),DBRA_WorkplanDate,$C467,DBRA_PlayerID,$D$3),"")</f>
        <v>0</v>
      </c>
      <c r="W467" s="47"/>
      <c r="X467" t="str">
        <f t="shared" ca="1" si="104"/>
        <v/>
      </c>
      <c r="Y467" t="str">
        <f t="shared" ca="1" si="96"/>
        <v/>
      </c>
      <c r="Z467" t="str">
        <f t="shared" ca="1" si="97"/>
        <v/>
      </c>
      <c r="AA467" t="str">
        <f t="shared" ca="1" si="98"/>
        <v/>
      </c>
      <c r="AB467" t="str">
        <f t="shared" ca="1" si="99"/>
        <v/>
      </c>
      <c r="AC467" t="str">
        <f t="shared" ca="1" si="100"/>
        <v/>
      </c>
      <c r="AD467" t="str">
        <f t="shared" ca="1" si="101"/>
        <v/>
      </c>
      <c r="AE467" t="str">
        <f t="shared" ca="1" si="102"/>
        <v/>
      </c>
      <c r="AF467" t="str">
        <f t="shared" ca="1" si="103"/>
        <v/>
      </c>
      <c r="AG467" s="47"/>
    </row>
    <row r="468" spans="3:33" x14ac:dyDescent="0.25">
      <c r="C468" s="118">
        <f t="shared" si="105"/>
        <v>42254</v>
      </c>
      <c r="D468">
        <f ca="1">IFERROR(SUMIFS(OFFSET(DBRA_TopicHCP,0,D$217,DBR_COUNT,1),DBRA_WorkplanDate,$C468,DBRA_PlayerID,$D$3),"")</f>
        <v>0</v>
      </c>
      <c r="E468">
        <f ca="1">IFERROR(SUMIFS(OFFSET(DBRA_TopicHCP,0,E$217,DBR_COUNT,1),DBRA_WorkplanDate,$C468,DBRA_PlayerID,$D$3),"")</f>
        <v>0</v>
      </c>
      <c r="F468">
        <f ca="1">IFERROR(SUMIFS(OFFSET(DBRA_TopicHCP,0,F$217,DBR_COUNT,1),DBRA_WorkplanDate,$C468,DBRA_PlayerID,$D$3),"")</f>
        <v>0</v>
      </c>
      <c r="G468">
        <f ca="1">IFERROR(SUMIFS(OFFSET(DBRA_TopicHCP,0,G$217,DBR_COUNT,1),DBRA_WorkplanDate,$C468,DBRA_PlayerID,$D$3),"")</f>
        <v>0</v>
      </c>
      <c r="H468">
        <f ca="1">IFERROR(SUMIFS(OFFSET(DBRA_TopicHCP,0,H$217,DBR_COUNT,1),DBRA_WorkplanDate,$C468,DBRA_PlayerID,$D$3),"")</f>
        <v>0</v>
      </c>
      <c r="I468">
        <f ca="1">IFERROR(SUMIFS(OFFSET(DBRA_TopicHCP,0,I$217,DBR_COUNT,1),DBRA_WorkplanDate,$C468,DBRA_PlayerID,$D$3),"")</f>
        <v>0</v>
      </c>
      <c r="J468">
        <f ca="1">IFERROR(SUMIFS(OFFSET(DBRA_TopicHCP,0,J$217,DBR_COUNT,1),DBRA_WorkplanDate,$C468,DBRA_PlayerID,$D$3),"")</f>
        <v>0</v>
      </c>
      <c r="K468">
        <f ca="1">IFERROR(SUMIFS(OFFSET(DBRA_TopicHCP,0,K$217,DBR_COUNT,1),DBRA_WorkplanDate,$C468,DBRA_PlayerID,$D$3),"")</f>
        <v>0</v>
      </c>
      <c r="L468">
        <f ca="1">IFERROR(SUMIFS(OFFSET(DBRA_TopicHCP,0,L$217,DBR_COUNT,1),DBRA_WorkplanDate,$C468,DBRA_PlayerID,$D$3),"")</f>
        <v>0</v>
      </c>
      <c r="M468" s="47"/>
      <c r="N468">
        <f ca="1">IFERROR(SUMIFS(OFFSET(DBRA_TopicCount,0,N$217,DBR_COUNT,1),DBRA_WorkplanDate,$C468,DBRA_PlayerID,$D$3),"")</f>
        <v>0</v>
      </c>
      <c r="O468">
        <f ca="1">IFERROR(SUMIFS(OFFSET(DBRA_TopicCount,0,O$217,DBR_COUNT,1),DBRA_WorkplanDate,$C468,DBRA_PlayerID,$D$3),"")</f>
        <v>0</v>
      </c>
      <c r="P468">
        <f ca="1">IFERROR(SUMIFS(OFFSET(DBRA_TopicCount,0,P$217,DBR_COUNT,1),DBRA_WorkplanDate,$C468,DBRA_PlayerID,$D$3),"")</f>
        <v>0</v>
      </c>
      <c r="Q468">
        <f ca="1">IFERROR(SUMIFS(OFFSET(DBRA_TopicCount,0,Q$217,DBR_COUNT,1),DBRA_WorkplanDate,$C468,DBRA_PlayerID,$D$3),"")</f>
        <v>0</v>
      </c>
      <c r="R468">
        <f ca="1">IFERROR(SUMIFS(OFFSET(DBRA_TopicCount,0,R$217,DBR_COUNT,1),DBRA_WorkplanDate,$C468,DBRA_PlayerID,$D$3),"")</f>
        <v>0</v>
      </c>
      <c r="S468">
        <f ca="1">IFERROR(SUMIFS(OFFSET(DBRA_TopicCount,0,S$217,DBR_COUNT,1),DBRA_WorkplanDate,$C468,DBRA_PlayerID,$D$3),"")</f>
        <v>0</v>
      </c>
      <c r="T468">
        <f ca="1">IFERROR(SUMIFS(OFFSET(DBRA_TopicCount,0,T$217,DBR_COUNT,1),DBRA_WorkplanDate,$C468,DBRA_PlayerID,$D$3),"")</f>
        <v>0</v>
      </c>
      <c r="U468">
        <f ca="1">IFERROR(SUMIFS(OFFSET(DBRA_TopicCount,0,U$217,DBR_COUNT,1),DBRA_WorkplanDate,$C468,DBRA_PlayerID,$D$3),"")</f>
        <v>0</v>
      </c>
      <c r="V468">
        <f ca="1">IFERROR(SUMIFS(OFFSET(DBRA_TopicCount,0,V$217,DBR_COUNT,1),DBRA_WorkplanDate,$C468,DBRA_PlayerID,$D$3),"")</f>
        <v>0</v>
      </c>
      <c r="W468" s="47"/>
      <c r="X468" t="str">
        <f t="shared" ca="1" si="104"/>
        <v/>
      </c>
      <c r="Y468" t="str">
        <f t="shared" ca="1" si="96"/>
        <v/>
      </c>
      <c r="Z468" t="str">
        <f t="shared" ca="1" si="97"/>
        <v/>
      </c>
      <c r="AA468" t="str">
        <f t="shared" ca="1" si="98"/>
        <v/>
      </c>
      <c r="AB468" t="str">
        <f t="shared" ca="1" si="99"/>
        <v/>
      </c>
      <c r="AC468" t="str">
        <f t="shared" ca="1" si="100"/>
        <v/>
      </c>
      <c r="AD468" t="str">
        <f t="shared" ca="1" si="101"/>
        <v/>
      </c>
      <c r="AE468" t="str">
        <f t="shared" ca="1" si="102"/>
        <v/>
      </c>
      <c r="AF468" t="str">
        <f t="shared" ca="1" si="103"/>
        <v/>
      </c>
      <c r="AG468" s="47"/>
    </row>
    <row r="469" spans="3:33" x14ac:dyDescent="0.25">
      <c r="C469" s="118">
        <f t="shared" si="105"/>
        <v>42255</v>
      </c>
      <c r="D469">
        <f ca="1">IFERROR(SUMIFS(OFFSET(DBRA_TopicHCP,0,D$217,DBR_COUNT,1),DBRA_WorkplanDate,$C469,DBRA_PlayerID,$D$3),"")</f>
        <v>0</v>
      </c>
      <c r="E469">
        <f ca="1">IFERROR(SUMIFS(OFFSET(DBRA_TopicHCP,0,E$217,DBR_COUNT,1),DBRA_WorkplanDate,$C469,DBRA_PlayerID,$D$3),"")</f>
        <v>0</v>
      </c>
      <c r="F469">
        <f ca="1">IFERROR(SUMIFS(OFFSET(DBRA_TopicHCP,0,F$217,DBR_COUNT,1),DBRA_WorkplanDate,$C469,DBRA_PlayerID,$D$3),"")</f>
        <v>0</v>
      </c>
      <c r="G469">
        <f ca="1">IFERROR(SUMIFS(OFFSET(DBRA_TopicHCP,0,G$217,DBR_COUNT,1),DBRA_WorkplanDate,$C469,DBRA_PlayerID,$D$3),"")</f>
        <v>0</v>
      </c>
      <c r="H469">
        <f ca="1">IFERROR(SUMIFS(OFFSET(DBRA_TopicHCP,0,H$217,DBR_COUNT,1),DBRA_WorkplanDate,$C469,DBRA_PlayerID,$D$3),"")</f>
        <v>0</v>
      </c>
      <c r="I469">
        <f ca="1">IFERROR(SUMIFS(OFFSET(DBRA_TopicHCP,0,I$217,DBR_COUNT,1),DBRA_WorkplanDate,$C469,DBRA_PlayerID,$D$3),"")</f>
        <v>0</v>
      </c>
      <c r="J469">
        <f ca="1">IFERROR(SUMIFS(OFFSET(DBRA_TopicHCP,0,J$217,DBR_COUNT,1),DBRA_WorkplanDate,$C469,DBRA_PlayerID,$D$3),"")</f>
        <v>0</v>
      </c>
      <c r="K469">
        <f ca="1">IFERROR(SUMIFS(OFFSET(DBRA_TopicHCP,0,K$217,DBR_COUNT,1),DBRA_WorkplanDate,$C469,DBRA_PlayerID,$D$3),"")</f>
        <v>0</v>
      </c>
      <c r="L469">
        <f ca="1">IFERROR(SUMIFS(OFFSET(DBRA_TopicHCP,0,L$217,DBR_COUNT,1),DBRA_WorkplanDate,$C469,DBRA_PlayerID,$D$3),"")</f>
        <v>0</v>
      </c>
      <c r="M469" s="47"/>
      <c r="N469">
        <f ca="1">IFERROR(SUMIFS(OFFSET(DBRA_TopicCount,0,N$217,DBR_COUNT,1),DBRA_WorkplanDate,$C469,DBRA_PlayerID,$D$3),"")</f>
        <v>0</v>
      </c>
      <c r="O469">
        <f ca="1">IFERROR(SUMIFS(OFFSET(DBRA_TopicCount,0,O$217,DBR_COUNT,1),DBRA_WorkplanDate,$C469,DBRA_PlayerID,$D$3),"")</f>
        <v>0</v>
      </c>
      <c r="P469">
        <f ca="1">IFERROR(SUMIFS(OFFSET(DBRA_TopicCount,0,P$217,DBR_COUNT,1),DBRA_WorkplanDate,$C469,DBRA_PlayerID,$D$3),"")</f>
        <v>0</v>
      </c>
      <c r="Q469">
        <f ca="1">IFERROR(SUMIFS(OFFSET(DBRA_TopicCount,0,Q$217,DBR_COUNT,1),DBRA_WorkplanDate,$C469,DBRA_PlayerID,$D$3),"")</f>
        <v>0</v>
      </c>
      <c r="R469">
        <f ca="1">IFERROR(SUMIFS(OFFSET(DBRA_TopicCount,0,R$217,DBR_COUNT,1),DBRA_WorkplanDate,$C469,DBRA_PlayerID,$D$3),"")</f>
        <v>0</v>
      </c>
      <c r="S469">
        <f ca="1">IFERROR(SUMIFS(OFFSET(DBRA_TopicCount,0,S$217,DBR_COUNT,1),DBRA_WorkplanDate,$C469,DBRA_PlayerID,$D$3),"")</f>
        <v>0</v>
      </c>
      <c r="T469">
        <f ca="1">IFERROR(SUMIFS(OFFSET(DBRA_TopicCount,0,T$217,DBR_COUNT,1),DBRA_WorkplanDate,$C469,DBRA_PlayerID,$D$3),"")</f>
        <v>0</v>
      </c>
      <c r="U469">
        <f ca="1">IFERROR(SUMIFS(OFFSET(DBRA_TopicCount,0,U$217,DBR_COUNT,1),DBRA_WorkplanDate,$C469,DBRA_PlayerID,$D$3),"")</f>
        <v>0</v>
      </c>
      <c r="V469">
        <f ca="1">IFERROR(SUMIFS(OFFSET(DBRA_TopicCount,0,V$217,DBR_COUNT,1),DBRA_WorkplanDate,$C469,DBRA_PlayerID,$D$3),"")</f>
        <v>0</v>
      </c>
      <c r="W469" s="47"/>
      <c r="X469" t="str">
        <f t="shared" ca="1" si="104"/>
        <v/>
      </c>
      <c r="Y469" t="str">
        <f t="shared" ca="1" si="96"/>
        <v/>
      </c>
      <c r="Z469" t="str">
        <f t="shared" ca="1" si="97"/>
        <v/>
      </c>
      <c r="AA469" t="str">
        <f t="shared" ca="1" si="98"/>
        <v/>
      </c>
      <c r="AB469" t="str">
        <f t="shared" ca="1" si="99"/>
        <v/>
      </c>
      <c r="AC469" t="str">
        <f t="shared" ca="1" si="100"/>
        <v/>
      </c>
      <c r="AD469" t="str">
        <f t="shared" ca="1" si="101"/>
        <v/>
      </c>
      <c r="AE469" t="str">
        <f t="shared" ca="1" si="102"/>
        <v/>
      </c>
      <c r="AF469" t="str">
        <f t="shared" ca="1" si="103"/>
        <v/>
      </c>
      <c r="AG469" s="47"/>
    </row>
    <row r="470" spans="3:33" x14ac:dyDescent="0.25">
      <c r="C470" s="118">
        <f t="shared" si="105"/>
        <v>42256</v>
      </c>
      <c r="D470">
        <f ca="1">IFERROR(SUMIFS(OFFSET(DBRA_TopicHCP,0,D$217,DBR_COUNT,1),DBRA_WorkplanDate,$C470,DBRA_PlayerID,$D$3),"")</f>
        <v>0</v>
      </c>
      <c r="E470">
        <f ca="1">IFERROR(SUMIFS(OFFSET(DBRA_TopicHCP,0,E$217,DBR_COUNT,1),DBRA_WorkplanDate,$C470,DBRA_PlayerID,$D$3),"")</f>
        <v>0</v>
      </c>
      <c r="F470">
        <f ca="1">IFERROR(SUMIFS(OFFSET(DBRA_TopicHCP,0,F$217,DBR_COUNT,1),DBRA_WorkplanDate,$C470,DBRA_PlayerID,$D$3),"")</f>
        <v>0</v>
      </c>
      <c r="G470">
        <f ca="1">IFERROR(SUMIFS(OFFSET(DBRA_TopicHCP,0,G$217,DBR_COUNT,1),DBRA_WorkplanDate,$C470,DBRA_PlayerID,$D$3),"")</f>
        <v>0</v>
      </c>
      <c r="H470">
        <f ca="1">IFERROR(SUMIFS(OFFSET(DBRA_TopicHCP,0,H$217,DBR_COUNT,1),DBRA_WorkplanDate,$C470,DBRA_PlayerID,$D$3),"")</f>
        <v>0</v>
      </c>
      <c r="I470">
        <f ca="1">IFERROR(SUMIFS(OFFSET(DBRA_TopicHCP,0,I$217,DBR_COUNT,1),DBRA_WorkplanDate,$C470,DBRA_PlayerID,$D$3),"")</f>
        <v>0</v>
      </c>
      <c r="J470">
        <f ca="1">IFERROR(SUMIFS(OFFSET(DBRA_TopicHCP,0,J$217,DBR_COUNT,1),DBRA_WorkplanDate,$C470,DBRA_PlayerID,$D$3),"")</f>
        <v>0</v>
      </c>
      <c r="K470">
        <f ca="1">IFERROR(SUMIFS(OFFSET(DBRA_TopicHCP,0,K$217,DBR_COUNT,1),DBRA_WorkplanDate,$C470,DBRA_PlayerID,$D$3),"")</f>
        <v>0</v>
      </c>
      <c r="L470">
        <f ca="1">IFERROR(SUMIFS(OFFSET(DBRA_TopicHCP,0,L$217,DBR_COUNT,1),DBRA_WorkplanDate,$C470,DBRA_PlayerID,$D$3),"")</f>
        <v>0</v>
      </c>
      <c r="M470" s="47"/>
      <c r="N470">
        <f ca="1">IFERROR(SUMIFS(OFFSET(DBRA_TopicCount,0,N$217,DBR_COUNT,1),DBRA_WorkplanDate,$C470,DBRA_PlayerID,$D$3),"")</f>
        <v>0</v>
      </c>
      <c r="O470">
        <f ca="1">IFERROR(SUMIFS(OFFSET(DBRA_TopicCount,0,O$217,DBR_COUNT,1),DBRA_WorkplanDate,$C470,DBRA_PlayerID,$D$3),"")</f>
        <v>0</v>
      </c>
      <c r="P470">
        <f ca="1">IFERROR(SUMIFS(OFFSET(DBRA_TopicCount,0,P$217,DBR_COUNT,1),DBRA_WorkplanDate,$C470,DBRA_PlayerID,$D$3),"")</f>
        <v>0</v>
      </c>
      <c r="Q470">
        <f ca="1">IFERROR(SUMIFS(OFFSET(DBRA_TopicCount,0,Q$217,DBR_COUNT,1),DBRA_WorkplanDate,$C470,DBRA_PlayerID,$D$3),"")</f>
        <v>0</v>
      </c>
      <c r="R470">
        <f ca="1">IFERROR(SUMIFS(OFFSET(DBRA_TopicCount,0,R$217,DBR_COUNT,1),DBRA_WorkplanDate,$C470,DBRA_PlayerID,$D$3),"")</f>
        <v>0</v>
      </c>
      <c r="S470">
        <f ca="1">IFERROR(SUMIFS(OFFSET(DBRA_TopicCount,0,S$217,DBR_COUNT,1),DBRA_WorkplanDate,$C470,DBRA_PlayerID,$D$3),"")</f>
        <v>0</v>
      </c>
      <c r="T470">
        <f ca="1">IFERROR(SUMIFS(OFFSET(DBRA_TopicCount,0,T$217,DBR_COUNT,1),DBRA_WorkplanDate,$C470,DBRA_PlayerID,$D$3),"")</f>
        <v>0</v>
      </c>
      <c r="U470">
        <f ca="1">IFERROR(SUMIFS(OFFSET(DBRA_TopicCount,0,U$217,DBR_COUNT,1),DBRA_WorkplanDate,$C470,DBRA_PlayerID,$D$3),"")</f>
        <v>0</v>
      </c>
      <c r="V470">
        <f ca="1">IFERROR(SUMIFS(OFFSET(DBRA_TopicCount,0,V$217,DBR_COUNT,1),DBRA_WorkplanDate,$C470,DBRA_PlayerID,$D$3),"")</f>
        <v>0</v>
      </c>
      <c r="W470" s="47"/>
      <c r="X470" t="str">
        <f t="shared" ca="1" si="104"/>
        <v/>
      </c>
      <c r="Y470" t="str">
        <f t="shared" ca="1" si="96"/>
        <v/>
      </c>
      <c r="Z470" t="str">
        <f t="shared" ca="1" si="97"/>
        <v/>
      </c>
      <c r="AA470" t="str">
        <f t="shared" ca="1" si="98"/>
        <v/>
      </c>
      <c r="AB470" t="str">
        <f t="shared" ca="1" si="99"/>
        <v/>
      </c>
      <c r="AC470" t="str">
        <f t="shared" ca="1" si="100"/>
        <v/>
      </c>
      <c r="AD470" t="str">
        <f t="shared" ca="1" si="101"/>
        <v/>
      </c>
      <c r="AE470" t="str">
        <f t="shared" ca="1" si="102"/>
        <v/>
      </c>
      <c r="AF470" t="str">
        <f t="shared" ca="1" si="103"/>
        <v/>
      </c>
      <c r="AG470" s="47"/>
    </row>
    <row r="471" spans="3:33" x14ac:dyDescent="0.25">
      <c r="C471" s="118">
        <f t="shared" si="105"/>
        <v>42257</v>
      </c>
      <c r="D471">
        <f ca="1">IFERROR(SUMIFS(OFFSET(DBRA_TopicHCP,0,D$217,DBR_COUNT,1),DBRA_WorkplanDate,$C471,DBRA_PlayerID,$D$3),"")</f>
        <v>0</v>
      </c>
      <c r="E471">
        <f ca="1">IFERROR(SUMIFS(OFFSET(DBRA_TopicHCP,0,E$217,DBR_COUNT,1),DBRA_WorkplanDate,$C471,DBRA_PlayerID,$D$3),"")</f>
        <v>0</v>
      </c>
      <c r="F471">
        <f ca="1">IFERROR(SUMIFS(OFFSET(DBRA_TopicHCP,0,F$217,DBR_COUNT,1),DBRA_WorkplanDate,$C471,DBRA_PlayerID,$D$3),"")</f>
        <v>0</v>
      </c>
      <c r="G471">
        <f ca="1">IFERROR(SUMIFS(OFFSET(DBRA_TopicHCP,0,G$217,DBR_COUNT,1),DBRA_WorkplanDate,$C471,DBRA_PlayerID,$D$3),"")</f>
        <v>0</v>
      </c>
      <c r="H471">
        <f ca="1">IFERROR(SUMIFS(OFFSET(DBRA_TopicHCP,0,H$217,DBR_COUNT,1),DBRA_WorkplanDate,$C471,DBRA_PlayerID,$D$3),"")</f>
        <v>0</v>
      </c>
      <c r="I471">
        <f ca="1">IFERROR(SUMIFS(OFFSET(DBRA_TopicHCP,0,I$217,DBR_COUNT,1),DBRA_WorkplanDate,$C471,DBRA_PlayerID,$D$3),"")</f>
        <v>0</v>
      </c>
      <c r="J471">
        <f ca="1">IFERROR(SUMIFS(OFFSET(DBRA_TopicHCP,0,J$217,DBR_COUNT,1),DBRA_WorkplanDate,$C471,DBRA_PlayerID,$D$3),"")</f>
        <v>0</v>
      </c>
      <c r="K471">
        <f ca="1">IFERROR(SUMIFS(OFFSET(DBRA_TopicHCP,0,K$217,DBR_COUNT,1),DBRA_WorkplanDate,$C471,DBRA_PlayerID,$D$3),"")</f>
        <v>0</v>
      </c>
      <c r="L471">
        <f ca="1">IFERROR(SUMIFS(OFFSET(DBRA_TopicHCP,0,L$217,DBR_COUNT,1),DBRA_WorkplanDate,$C471,DBRA_PlayerID,$D$3),"")</f>
        <v>0</v>
      </c>
      <c r="M471" s="47"/>
      <c r="N471">
        <f ca="1">IFERROR(SUMIFS(OFFSET(DBRA_TopicCount,0,N$217,DBR_COUNT,1),DBRA_WorkplanDate,$C471,DBRA_PlayerID,$D$3),"")</f>
        <v>0</v>
      </c>
      <c r="O471">
        <f ca="1">IFERROR(SUMIFS(OFFSET(DBRA_TopicCount,0,O$217,DBR_COUNT,1),DBRA_WorkplanDate,$C471,DBRA_PlayerID,$D$3),"")</f>
        <v>0</v>
      </c>
      <c r="P471">
        <f ca="1">IFERROR(SUMIFS(OFFSET(DBRA_TopicCount,0,P$217,DBR_COUNT,1),DBRA_WorkplanDate,$C471,DBRA_PlayerID,$D$3),"")</f>
        <v>0</v>
      </c>
      <c r="Q471">
        <f ca="1">IFERROR(SUMIFS(OFFSET(DBRA_TopicCount,0,Q$217,DBR_COUNT,1),DBRA_WorkplanDate,$C471,DBRA_PlayerID,$D$3),"")</f>
        <v>0</v>
      </c>
      <c r="R471">
        <f ca="1">IFERROR(SUMIFS(OFFSET(DBRA_TopicCount,0,R$217,DBR_COUNT,1),DBRA_WorkplanDate,$C471,DBRA_PlayerID,$D$3),"")</f>
        <v>0</v>
      </c>
      <c r="S471">
        <f ca="1">IFERROR(SUMIFS(OFFSET(DBRA_TopicCount,0,S$217,DBR_COUNT,1),DBRA_WorkplanDate,$C471,DBRA_PlayerID,$D$3),"")</f>
        <v>0</v>
      </c>
      <c r="T471">
        <f ca="1">IFERROR(SUMIFS(OFFSET(DBRA_TopicCount,0,T$217,DBR_COUNT,1),DBRA_WorkplanDate,$C471,DBRA_PlayerID,$D$3),"")</f>
        <v>0</v>
      </c>
      <c r="U471">
        <f ca="1">IFERROR(SUMIFS(OFFSET(DBRA_TopicCount,0,U$217,DBR_COUNT,1),DBRA_WorkplanDate,$C471,DBRA_PlayerID,$D$3),"")</f>
        <v>0</v>
      </c>
      <c r="V471">
        <f ca="1">IFERROR(SUMIFS(OFFSET(DBRA_TopicCount,0,V$217,DBR_COUNT,1),DBRA_WorkplanDate,$C471,DBRA_PlayerID,$D$3),"")</f>
        <v>0</v>
      </c>
      <c r="W471" s="47"/>
      <c r="X471" t="str">
        <f t="shared" ca="1" si="104"/>
        <v/>
      </c>
      <c r="Y471" t="str">
        <f t="shared" ca="1" si="96"/>
        <v/>
      </c>
      <c r="Z471" t="str">
        <f t="shared" ca="1" si="97"/>
        <v/>
      </c>
      <c r="AA471" t="str">
        <f t="shared" ca="1" si="98"/>
        <v/>
      </c>
      <c r="AB471" t="str">
        <f t="shared" ca="1" si="99"/>
        <v/>
      </c>
      <c r="AC471" t="str">
        <f t="shared" ca="1" si="100"/>
        <v/>
      </c>
      <c r="AD471" t="str">
        <f t="shared" ca="1" si="101"/>
        <v/>
      </c>
      <c r="AE471" t="str">
        <f t="shared" ca="1" si="102"/>
        <v/>
      </c>
      <c r="AF471" t="str">
        <f t="shared" ca="1" si="103"/>
        <v/>
      </c>
      <c r="AG471" s="47"/>
    </row>
    <row r="472" spans="3:33" x14ac:dyDescent="0.25">
      <c r="C472" s="118">
        <f t="shared" si="105"/>
        <v>42258</v>
      </c>
      <c r="D472">
        <f ca="1">IFERROR(SUMIFS(OFFSET(DBRA_TopicHCP,0,D$217,DBR_COUNT,1),DBRA_WorkplanDate,$C472,DBRA_PlayerID,$D$3),"")</f>
        <v>0</v>
      </c>
      <c r="E472">
        <f ca="1">IFERROR(SUMIFS(OFFSET(DBRA_TopicHCP,0,E$217,DBR_COUNT,1),DBRA_WorkplanDate,$C472,DBRA_PlayerID,$D$3),"")</f>
        <v>0</v>
      </c>
      <c r="F472">
        <f ca="1">IFERROR(SUMIFS(OFFSET(DBRA_TopicHCP,0,F$217,DBR_COUNT,1),DBRA_WorkplanDate,$C472,DBRA_PlayerID,$D$3),"")</f>
        <v>0</v>
      </c>
      <c r="G472">
        <f ca="1">IFERROR(SUMIFS(OFFSET(DBRA_TopicHCP,0,G$217,DBR_COUNT,1),DBRA_WorkplanDate,$C472,DBRA_PlayerID,$D$3),"")</f>
        <v>0</v>
      </c>
      <c r="H472">
        <f ca="1">IFERROR(SUMIFS(OFFSET(DBRA_TopicHCP,0,H$217,DBR_COUNT,1),DBRA_WorkplanDate,$C472,DBRA_PlayerID,$D$3),"")</f>
        <v>0</v>
      </c>
      <c r="I472">
        <f ca="1">IFERROR(SUMIFS(OFFSET(DBRA_TopicHCP,0,I$217,DBR_COUNT,1),DBRA_WorkplanDate,$C472,DBRA_PlayerID,$D$3),"")</f>
        <v>0</v>
      </c>
      <c r="J472">
        <f ca="1">IFERROR(SUMIFS(OFFSET(DBRA_TopicHCP,0,J$217,DBR_COUNT,1),DBRA_WorkplanDate,$C472,DBRA_PlayerID,$D$3),"")</f>
        <v>0</v>
      </c>
      <c r="K472">
        <f ca="1">IFERROR(SUMIFS(OFFSET(DBRA_TopicHCP,0,K$217,DBR_COUNT,1),DBRA_WorkplanDate,$C472,DBRA_PlayerID,$D$3),"")</f>
        <v>0</v>
      </c>
      <c r="L472">
        <f ca="1">IFERROR(SUMIFS(OFFSET(DBRA_TopicHCP,0,L$217,DBR_COUNT,1),DBRA_WorkplanDate,$C472,DBRA_PlayerID,$D$3),"")</f>
        <v>0</v>
      </c>
      <c r="M472" s="47"/>
      <c r="N472">
        <f ca="1">IFERROR(SUMIFS(OFFSET(DBRA_TopicCount,0,N$217,DBR_COUNT,1),DBRA_WorkplanDate,$C472,DBRA_PlayerID,$D$3),"")</f>
        <v>0</v>
      </c>
      <c r="O472">
        <f ca="1">IFERROR(SUMIFS(OFFSET(DBRA_TopicCount,0,O$217,DBR_COUNT,1),DBRA_WorkplanDate,$C472,DBRA_PlayerID,$D$3),"")</f>
        <v>0</v>
      </c>
      <c r="P472">
        <f ca="1">IFERROR(SUMIFS(OFFSET(DBRA_TopicCount,0,P$217,DBR_COUNT,1),DBRA_WorkplanDate,$C472,DBRA_PlayerID,$D$3),"")</f>
        <v>0</v>
      </c>
      <c r="Q472">
        <f ca="1">IFERROR(SUMIFS(OFFSET(DBRA_TopicCount,0,Q$217,DBR_COUNT,1),DBRA_WorkplanDate,$C472,DBRA_PlayerID,$D$3),"")</f>
        <v>0</v>
      </c>
      <c r="R472">
        <f ca="1">IFERROR(SUMIFS(OFFSET(DBRA_TopicCount,0,R$217,DBR_COUNT,1),DBRA_WorkplanDate,$C472,DBRA_PlayerID,$D$3),"")</f>
        <v>0</v>
      </c>
      <c r="S472">
        <f ca="1">IFERROR(SUMIFS(OFFSET(DBRA_TopicCount,0,S$217,DBR_COUNT,1),DBRA_WorkplanDate,$C472,DBRA_PlayerID,$D$3),"")</f>
        <v>0</v>
      </c>
      <c r="T472">
        <f ca="1">IFERROR(SUMIFS(OFFSET(DBRA_TopicCount,0,T$217,DBR_COUNT,1),DBRA_WorkplanDate,$C472,DBRA_PlayerID,$D$3),"")</f>
        <v>0</v>
      </c>
      <c r="U472">
        <f ca="1">IFERROR(SUMIFS(OFFSET(DBRA_TopicCount,0,U$217,DBR_COUNT,1),DBRA_WorkplanDate,$C472,DBRA_PlayerID,$D$3),"")</f>
        <v>0</v>
      </c>
      <c r="V472">
        <f ca="1">IFERROR(SUMIFS(OFFSET(DBRA_TopicCount,0,V$217,DBR_COUNT,1),DBRA_WorkplanDate,$C472,DBRA_PlayerID,$D$3),"")</f>
        <v>0</v>
      </c>
      <c r="W472" s="47"/>
      <c r="X472" t="str">
        <f t="shared" ca="1" si="104"/>
        <v/>
      </c>
      <c r="Y472" t="str">
        <f t="shared" ca="1" si="96"/>
        <v/>
      </c>
      <c r="Z472" t="str">
        <f t="shared" ca="1" si="97"/>
        <v/>
      </c>
      <c r="AA472" t="str">
        <f t="shared" ca="1" si="98"/>
        <v/>
      </c>
      <c r="AB472" t="str">
        <f t="shared" ca="1" si="99"/>
        <v/>
      </c>
      <c r="AC472" t="str">
        <f t="shared" ca="1" si="100"/>
        <v/>
      </c>
      <c r="AD472" t="str">
        <f t="shared" ca="1" si="101"/>
        <v/>
      </c>
      <c r="AE472" t="str">
        <f t="shared" ca="1" si="102"/>
        <v/>
      </c>
      <c r="AF472" t="str">
        <f t="shared" ca="1" si="103"/>
        <v/>
      </c>
      <c r="AG472" s="47"/>
    </row>
    <row r="473" spans="3:33" x14ac:dyDescent="0.25">
      <c r="C473" s="118">
        <f t="shared" si="105"/>
        <v>42259</v>
      </c>
      <c r="D473">
        <f ca="1">IFERROR(SUMIFS(OFFSET(DBRA_TopicHCP,0,D$217,DBR_COUNT,1),DBRA_WorkplanDate,$C473,DBRA_PlayerID,$D$3),"")</f>
        <v>0</v>
      </c>
      <c r="E473">
        <f ca="1">IFERROR(SUMIFS(OFFSET(DBRA_TopicHCP,0,E$217,DBR_COUNT,1),DBRA_WorkplanDate,$C473,DBRA_PlayerID,$D$3),"")</f>
        <v>0</v>
      </c>
      <c r="F473">
        <f ca="1">IFERROR(SUMIFS(OFFSET(DBRA_TopicHCP,0,F$217,DBR_COUNT,1),DBRA_WorkplanDate,$C473,DBRA_PlayerID,$D$3),"")</f>
        <v>0</v>
      </c>
      <c r="G473">
        <f ca="1">IFERROR(SUMIFS(OFFSET(DBRA_TopicHCP,0,G$217,DBR_COUNT,1),DBRA_WorkplanDate,$C473,DBRA_PlayerID,$D$3),"")</f>
        <v>0</v>
      </c>
      <c r="H473">
        <f ca="1">IFERROR(SUMIFS(OFFSET(DBRA_TopicHCP,0,H$217,DBR_COUNT,1),DBRA_WorkplanDate,$C473,DBRA_PlayerID,$D$3),"")</f>
        <v>0</v>
      </c>
      <c r="I473">
        <f ca="1">IFERROR(SUMIFS(OFFSET(DBRA_TopicHCP,0,I$217,DBR_COUNT,1),DBRA_WorkplanDate,$C473,DBRA_PlayerID,$D$3),"")</f>
        <v>0</v>
      </c>
      <c r="J473">
        <f ca="1">IFERROR(SUMIFS(OFFSET(DBRA_TopicHCP,0,J$217,DBR_COUNT,1),DBRA_WorkplanDate,$C473,DBRA_PlayerID,$D$3),"")</f>
        <v>0</v>
      </c>
      <c r="K473">
        <f ca="1">IFERROR(SUMIFS(OFFSET(DBRA_TopicHCP,0,K$217,DBR_COUNT,1),DBRA_WorkplanDate,$C473,DBRA_PlayerID,$D$3),"")</f>
        <v>0</v>
      </c>
      <c r="L473">
        <f ca="1">IFERROR(SUMIFS(OFFSET(DBRA_TopicHCP,0,L$217,DBR_COUNT,1),DBRA_WorkplanDate,$C473,DBRA_PlayerID,$D$3),"")</f>
        <v>0</v>
      </c>
      <c r="M473" s="47"/>
      <c r="N473">
        <f ca="1">IFERROR(SUMIFS(OFFSET(DBRA_TopicCount,0,N$217,DBR_COUNT,1),DBRA_WorkplanDate,$C473,DBRA_PlayerID,$D$3),"")</f>
        <v>0</v>
      </c>
      <c r="O473">
        <f ca="1">IFERROR(SUMIFS(OFFSET(DBRA_TopicCount,0,O$217,DBR_COUNT,1),DBRA_WorkplanDate,$C473,DBRA_PlayerID,$D$3),"")</f>
        <v>0</v>
      </c>
      <c r="P473">
        <f ca="1">IFERROR(SUMIFS(OFFSET(DBRA_TopicCount,0,P$217,DBR_COUNT,1),DBRA_WorkplanDate,$C473,DBRA_PlayerID,$D$3),"")</f>
        <v>0</v>
      </c>
      <c r="Q473">
        <f ca="1">IFERROR(SUMIFS(OFFSET(DBRA_TopicCount,0,Q$217,DBR_COUNT,1),DBRA_WorkplanDate,$C473,DBRA_PlayerID,$D$3),"")</f>
        <v>0</v>
      </c>
      <c r="R473">
        <f ca="1">IFERROR(SUMIFS(OFFSET(DBRA_TopicCount,0,R$217,DBR_COUNT,1),DBRA_WorkplanDate,$C473,DBRA_PlayerID,$D$3),"")</f>
        <v>0</v>
      </c>
      <c r="S473">
        <f ca="1">IFERROR(SUMIFS(OFFSET(DBRA_TopicCount,0,S$217,DBR_COUNT,1),DBRA_WorkplanDate,$C473,DBRA_PlayerID,$D$3),"")</f>
        <v>0</v>
      </c>
      <c r="T473">
        <f ca="1">IFERROR(SUMIFS(OFFSET(DBRA_TopicCount,0,T$217,DBR_COUNT,1),DBRA_WorkplanDate,$C473,DBRA_PlayerID,$D$3),"")</f>
        <v>0</v>
      </c>
      <c r="U473">
        <f ca="1">IFERROR(SUMIFS(OFFSET(DBRA_TopicCount,0,U$217,DBR_COUNT,1),DBRA_WorkplanDate,$C473,DBRA_PlayerID,$D$3),"")</f>
        <v>0</v>
      </c>
      <c r="V473">
        <f ca="1">IFERROR(SUMIFS(OFFSET(DBRA_TopicCount,0,V$217,DBR_COUNT,1),DBRA_WorkplanDate,$C473,DBRA_PlayerID,$D$3),"")</f>
        <v>0</v>
      </c>
      <c r="W473" s="47"/>
      <c r="X473" t="str">
        <f t="shared" ca="1" si="104"/>
        <v/>
      </c>
      <c r="Y473" t="str">
        <f t="shared" ca="1" si="96"/>
        <v/>
      </c>
      <c r="Z473" t="str">
        <f t="shared" ca="1" si="97"/>
        <v/>
      </c>
      <c r="AA473" t="str">
        <f t="shared" ca="1" si="98"/>
        <v/>
      </c>
      <c r="AB473" t="str">
        <f t="shared" ca="1" si="99"/>
        <v/>
      </c>
      <c r="AC473" t="str">
        <f t="shared" ca="1" si="100"/>
        <v/>
      </c>
      <c r="AD473" t="str">
        <f t="shared" ca="1" si="101"/>
        <v/>
      </c>
      <c r="AE473" t="str">
        <f t="shared" ca="1" si="102"/>
        <v/>
      </c>
      <c r="AF473" t="str">
        <f t="shared" ca="1" si="103"/>
        <v/>
      </c>
      <c r="AG473" s="47"/>
    </row>
    <row r="474" spans="3:33" x14ac:dyDescent="0.25">
      <c r="C474" s="118">
        <f t="shared" si="105"/>
        <v>42260</v>
      </c>
      <c r="D474">
        <f ca="1">IFERROR(SUMIFS(OFFSET(DBRA_TopicHCP,0,D$217,DBR_COUNT,1),DBRA_WorkplanDate,$C474,DBRA_PlayerID,$D$3),"")</f>
        <v>0</v>
      </c>
      <c r="E474">
        <f ca="1">IFERROR(SUMIFS(OFFSET(DBRA_TopicHCP,0,E$217,DBR_COUNT,1),DBRA_WorkplanDate,$C474,DBRA_PlayerID,$D$3),"")</f>
        <v>0</v>
      </c>
      <c r="F474">
        <f ca="1">IFERROR(SUMIFS(OFFSET(DBRA_TopicHCP,0,F$217,DBR_COUNT,1),DBRA_WorkplanDate,$C474,DBRA_PlayerID,$D$3),"")</f>
        <v>0</v>
      </c>
      <c r="G474">
        <f ca="1">IFERROR(SUMIFS(OFFSET(DBRA_TopicHCP,0,G$217,DBR_COUNT,1),DBRA_WorkplanDate,$C474,DBRA_PlayerID,$D$3),"")</f>
        <v>0</v>
      </c>
      <c r="H474">
        <f ca="1">IFERROR(SUMIFS(OFFSET(DBRA_TopicHCP,0,H$217,DBR_COUNT,1),DBRA_WorkplanDate,$C474,DBRA_PlayerID,$D$3),"")</f>
        <v>0</v>
      </c>
      <c r="I474">
        <f ca="1">IFERROR(SUMIFS(OFFSET(DBRA_TopicHCP,0,I$217,DBR_COUNT,1),DBRA_WorkplanDate,$C474,DBRA_PlayerID,$D$3),"")</f>
        <v>0</v>
      </c>
      <c r="J474">
        <f ca="1">IFERROR(SUMIFS(OFFSET(DBRA_TopicHCP,0,J$217,DBR_COUNT,1),DBRA_WorkplanDate,$C474,DBRA_PlayerID,$D$3),"")</f>
        <v>0</v>
      </c>
      <c r="K474">
        <f ca="1">IFERROR(SUMIFS(OFFSET(DBRA_TopicHCP,0,K$217,DBR_COUNT,1),DBRA_WorkplanDate,$C474,DBRA_PlayerID,$D$3),"")</f>
        <v>0</v>
      </c>
      <c r="L474">
        <f ca="1">IFERROR(SUMIFS(OFFSET(DBRA_TopicHCP,0,L$217,DBR_COUNT,1),DBRA_WorkplanDate,$C474,DBRA_PlayerID,$D$3),"")</f>
        <v>0</v>
      </c>
      <c r="M474" s="47"/>
      <c r="N474">
        <f ca="1">IFERROR(SUMIFS(OFFSET(DBRA_TopicCount,0,N$217,DBR_COUNT,1),DBRA_WorkplanDate,$C474,DBRA_PlayerID,$D$3),"")</f>
        <v>0</v>
      </c>
      <c r="O474">
        <f ca="1">IFERROR(SUMIFS(OFFSET(DBRA_TopicCount,0,O$217,DBR_COUNT,1),DBRA_WorkplanDate,$C474,DBRA_PlayerID,$D$3),"")</f>
        <v>0</v>
      </c>
      <c r="P474">
        <f ca="1">IFERROR(SUMIFS(OFFSET(DBRA_TopicCount,0,P$217,DBR_COUNT,1),DBRA_WorkplanDate,$C474,DBRA_PlayerID,$D$3),"")</f>
        <v>0</v>
      </c>
      <c r="Q474">
        <f ca="1">IFERROR(SUMIFS(OFFSET(DBRA_TopicCount,0,Q$217,DBR_COUNT,1),DBRA_WorkplanDate,$C474,DBRA_PlayerID,$D$3),"")</f>
        <v>0</v>
      </c>
      <c r="R474">
        <f ca="1">IFERROR(SUMIFS(OFFSET(DBRA_TopicCount,0,R$217,DBR_COUNT,1),DBRA_WorkplanDate,$C474,DBRA_PlayerID,$D$3),"")</f>
        <v>0</v>
      </c>
      <c r="S474">
        <f ca="1">IFERROR(SUMIFS(OFFSET(DBRA_TopicCount,0,S$217,DBR_COUNT,1),DBRA_WorkplanDate,$C474,DBRA_PlayerID,$D$3),"")</f>
        <v>0</v>
      </c>
      <c r="T474">
        <f ca="1">IFERROR(SUMIFS(OFFSET(DBRA_TopicCount,0,T$217,DBR_COUNT,1),DBRA_WorkplanDate,$C474,DBRA_PlayerID,$D$3),"")</f>
        <v>0</v>
      </c>
      <c r="U474">
        <f ca="1">IFERROR(SUMIFS(OFFSET(DBRA_TopicCount,0,U$217,DBR_COUNT,1),DBRA_WorkplanDate,$C474,DBRA_PlayerID,$D$3),"")</f>
        <v>0</v>
      </c>
      <c r="V474">
        <f ca="1">IFERROR(SUMIFS(OFFSET(DBRA_TopicCount,0,V$217,DBR_COUNT,1),DBRA_WorkplanDate,$C474,DBRA_PlayerID,$D$3),"")</f>
        <v>0</v>
      </c>
      <c r="W474" s="47"/>
      <c r="X474" t="str">
        <f t="shared" ca="1" si="104"/>
        <v/>
      </c>
      <c r="Y474" t="str">
        <f t="shared" ca="1" si="96"/>
        <v/>
      </c>
      <c r="Z474" t="str">
        <f t="shared" ca="1" si="97"/>
        <v/>
      </c>
      <c r="AA474" t="str">
        <f t="shared" ca="1" si="98"/>
        <v/>
      </c>
      <c r="AB474" t="str">
        <f t="shared" ca="1" si="99"/>
        <v/>
      </c>
      <c r="AC474" t="str">
        <f t="shared" ca="1" si="100"/>
        <v/>
      </c>
      <c r="AD474" t="str">
        <f t="shared" ca="1" si="101"/>
        <v/>
      </c>
      <c r="AE474" t="str">
        <f t="shared" ca="1" si="102"/>
        <v/>
      </c>
      <c r="AF474" t="str">
        <f t="shared" ca="1" si="103"/>
        <v/>
      </c>
      <c r="AG474" s="47"/>
    </row>
    <row r="475" spans="3:33" x14ac:dyDescent="0.25">
      <c r="C475" s="118">
        <f t="shared" si="105"/>
        <v>42261</v>
      </c>
      <c r="D475">
        <f ca="1">IFERROR(SUMIFS(OFFSET(DBRA_TopicHCP,0,D$217,DBR_COUNT,1),DBRA_WorkplanDate,$C475,DBRA_PlayerID,$D$3),"")</f>
        <v>0</v>
      </c>
      <c r="E475">
        <f ca="1">IFERROR(SUMIFS(OFFSET(DBRA_TopicHCP,0,E$217,DBR_COUNT,1),DBRA_WorkplanDate,$C475,DBRA_PlayerID,$D$3),"")</f>
        <v>0</v>
      </c>
      <c r="F475">
        <f ca="1">IFERROR(SUMIFS(OFFSET(DBRA_TopicHCP,0,F$217,DBR_COUNT,1),DBRA_WorkplanDate,$C475,DBRA_PlayerID,$D$3),"")</f>
        <v>0</v>
      </c>
      <c r="G475">
        <f ca="1">IFERROR(SUMIFS(OFFSET(DBRA_TopicHCP,0,G$217,DBR_COUNT,1),DBRA_WorkplanDate,$C475,DBRA_PlayerID,$D$3),"")</f>
        <v>0</v>
      </c>
      <c r="H475">
        <f ca="1">IFERROR(SUMIFS(OFFSET(DBRA_TopicHCP,0,H$217,DBR_COUNT,1),DBRA_WorkplanDate,$C475,DBRA_PlayerID,$D$3),"")</f>
        <v>0</v>
      </c>
      <c r="I475">
        <f ca="1">IFERROR(SUMIFS(OFFSET(DBRA_TopicHCP,0,I$217,DBR_COUNT,1),DBRA_WorkplanDate,$C475,DBRA_PlayerID,$D$3),"")</f>
        <v>0</v>
      </c>
      <c r="J475">
        <f ca="1">IFERROR(SUMIFS(OFFSET(DBRA_TopicHCP,0,J$217,DBR_COUNT,1),DBRA_WorkplanDate,$C475,DBRA_PlayerID,$D$3),"")</f>
        <v>0</v>
      </c>
      <c r="K475">
        <f ca="1">IFERROR(SUMIFS(OFFSET(DBRA_TopicHCP,0,K$217,DBR_COUNT,1),DBRA_WorkplanDate,$C475,DBRA_PlayerID,$D$3),"")</f>
        <v>0</v>
      </c>
      <c r="L475">
        <f ca="1">IFERROR(SUMIFS(OFFSET(DBRA_TopicHCP,0,L$217,DBR_COUNT,1),DBRA_WorkplanDate,$C475,DBRA_PlayerID,$D$3),"")</f>
        <v>0</v>
      </c>
      <c r="M475" s="47"/>
      <c r="N475">
        <f ca="1">IFERROR(SUMIFS(OFFSET(DBRA_TopicCount,0,N$217,DBR_COUNT,1),DBRA_WorkplanDate,$C475,DBRA_PlayerID,$D$3),"")</f>
        <v>0</v>
      </c>
      <c r="O475">
        <f ca="1">IFERROR(SUMIFS(OFFSET(DBRA_TopicCount,0,O$217,DBR_COUNT,1),DBRA_WorkplanDate,$C475,DBRA_PlayerID,$D$3),"")</f>
        <v>0</v>
      </c>
      <c r="P475">
        <f ca="1">IFERROR(SUMIFS(OFFSET(DBRA_TopicCount,0,P$217,DBR_COUNT,1),DBRA_WorkplanDate,$C475,DBRA_PlayerID,$D$3),"")</f>
        <v>0</v>
      </c>
      <c r="Q475">
        <f ca="1">IFERROR(SUMIFS(OFFSET(DBRA_TopicCount,0,Q$217,DBR_COUNT,1),DBRA_WorkplanDate,$C475,DBRA_PlayerID,$D$3),"")</f>
        <v>0</v>
      </c>
      <c r="R475">
        <f ca="1">IFERROR(SUMIFS(OFFSET(DBRA_TopicCount,0,R$217,DBR_COUNT,1),DBRA_WorkplanDate,$C475,DBRA_PlayerID,$D$3),"")</f>
        <v>0</v>
      </c>
      <c r="S475">
        <f ca="1">IFERROR(SUMIFS(OFFSET(DBRA_TopicCount,0,S$217,DBR_COUNT,1),DBRA_WorkplanDate,$C475,DBRA_PlayerID,$D$3),"")</f>
        <v>0</v>
      </c>
      <c r="T475">
        <f ca="1">IFERROR(SUMIFS(OFFSET(DBRA_TopicCount,0,T$217,DBR_COUNT,1),DBRA_WorkplanDate,$C475,DBRA_PlayerID,$D$3),"")</f>
        <v>0</v>
      </c>
      <c r="U475">
        <f ca="1">IFERROR(SUMIFS(OFFSET(DBRA_TopicCount,0,U$217,DBR_COUNT,1),DBRA_WorkplanDate,$C475,DBRA_PlayerID,$D$3),"")</f>
        <v>0</v>
      </c>
      <c r="V475">
        <f ca="1">IFERROR(SUMIFS(OFFSET(DBRA_TopicCount,0,V$217,DBR_COUNT,1),DBRA_WorkplanDate,$C475,DBRA_PlayerID,$D$3),"")</f>
        <v>0</v>
      </c>
      <c r="W475" s="47"/>
      <c r="X475" t="str">
        <f t="shared" ca="1" si="104"/>
        <v/>
      </c>
      <c r="Y475" t="str">
        <f t="shared" ref="Y475:Y538" ca="1" si="106">IF(O475&gt;0,ROUND(E475/O475,1),"")</f>
        <v/>
      </c>
      <c r="Z475" t="str">
        <f t="shared" ref="Z475:Z538" ca="1" si="107">IF(P475&gt;0,ROUND(F475/P475,1),"")</f>
        <v/>
      </c>
      <c r="AA475" t="str">
        <f t="shared" ref="AA475:AA538" ca="1" si="108">IF(Q475&gt;0,ROUND(G475/Q475,1),"")</f>
        <v/>
      </c>
      <c r="AB475" t="str">
        <f t="shared" ref="AB475:AB538" ca="1" si="109">IF(R475&gt;0,ROUND(H475/R475,1),"")</f>
        <v/>
      </c>
      <c r="AC475" t="str">
        <f t="shared" ref="AC475:AC538" ca="1" si="110">IF(S475&gt;0,ROUND(I475/S475,1),"")</f>
        <v/>
      </c>
      <c r="AD475" t="str">
        <f t="shared" ref="AD475:AD538" ca="1" si="111">IF(T475&gt;0,ROUND(J475/T475,1),"")</f>
        <v/>
      </c>
      <c r="AE475" t="str">
        <f t="shared" ref="AE475:AE538" ca="1" si="112">IF(U475&gt;0,ROUND(K475/U475,1),"")</f>
        <v/>
      </c>
      <c r="AF475" t="str">
        <f t="shared" ref="AF475:AF538" ca="1" si="113">IF(V475&gt;0,ROUND(L475/V475,1),"")</f>
        <v/>
      </c>
      <c r="AG475" s="47"/>
    </row>
    <row r="476" spans="3:33" x14ac:dyDescent="0.25">
      <c r="C476" s="118">
        <f t="shared" si="105"/>
        <v>42262</v>
      </c>
      <c r="D476">
        <f ca="1">IFERROR(SUMIFS(OFFSET(DBRA_TopicHCP,0,D$217,DBR_COUNT,1),DBRA_WorkplanDate,$C476,DBRA_PlayerID,$D$3),"")</f>
        <v>0</v>
      </c>
      <c r="E476">
        <f ca="1">IFERROR(SUMIFS(OFFSET(DBRA_TopicHCP,0,E$217,DBR_COUNT,1),DBRA_WorkplanDate,$C476,DBRA_PlayerID,$D$3),"")</f>
        <v>0</v>
      </c>
      <c r="F476">
        <f ca="1">IFERROR(SUMIFS(OFFSET(DBRA_TopicHCP,0,F$217,DBR_COUNT,1),DBRA_WorkplanDate,$C476,DBRA_PlayerID,$D$3),"")</f>
        <v>0</v>
      </c>
      <c r="G476">
        <f ca="1">IFERROR(SUMIFS(OFFSET(DBRA_TopicHCP,0,G$217,DBR_COUNT,1),DBRA_WorkplanDate,$C476,DBRA_PlayerID,$D$3),"")</f>
        <v>0</v>
      </c>
      <c r="H476">
        <f ca="1">IFERROR(SUMIFS(OFFSET(DBRA_TopicHCP,0,H$217,DBR_COUNT,1),DBRA_WorkplanDate,$C476,DBRA_PlayerID,$D$3),"")</f>
        <v>0</v>
      </c>
      <c r="I476">
        <f ca="1">IFERROR(SUMIFS(OFFSET(DBRA_TopicHCP,0,I$217,DBR_COUNT,1),DBRA_WorkplanDate,$C476,DBRA_PlayerID,$D$3),"")</f>
        <v>0</v>
      </c>
      <c r="J476">
        <f ca="1">IFERROR(SUMIFS(OFFSET(DBRA_TopicHCP,0,J$217,DBR_COUNT,1),DBRA_WorkplanDate,$C476,DBRA_PlayerID,$D$3),"")</f>
        <v>0</v>
      </c>
      <c r="K476">
        <f ca="1">IFERROR(SUMIFS(OFFSET(DBRA_TopicHCP,0,K$217,DBR_COUNT,1),DBRA_WorkplanDate,$C476,DBRA_PlayerID,$D$3),"")</f>
        <v>0</v>
      </c>
      <c r="L476">
        <f ca="1">IFERROR(SUMIFS(OFFSET(DBRA_TopicHCP,0,L$217,DBR_COUNT,1),DBRA_WorkplanDate,$C476,DBRA_PlayerID,$D$3),"")</f>
        <v>0</v>
      </c>
      <c r="M476" s="47"/>
      <c r="N476">
        <f ca="1">IFERROR(SUMIFS(OFFSET(DBRA_TopicCount,0,N$217,DBR_COUNT,1),DBRA_WorkplanDate,$C476,DBRA_PlayerID,$D$3),"")</f>
        <v>0</v>
      </c>
      <c r="O476">
        <f ca="1">IFERROR(SUMIFS(OFFSET(DBRA_TopicCount,0,O$217,DBR_COUNT,1),DBRA_WorkplanDate,$C476,DBRA_PlayerID,$D$3),"")</f>
        <v>0</v>
      </c>
      <c r="P476">
        <f ca="1">IFERROR(SUMIFS(OFFSET(DBRA_TopicCount,0,P$217,DBR_COUNT,1),DBRA_WorkplanDate,$C476,DBRA_PlayerID,$D$3),"")</f>
        <v>0</v>
      </c>
      <c r="Q476">
        <f ca="1">IFERROR(SUMIFS(OFFSET(DBRA_TopicCount,0,Q$217,DBR_COUNT,1),DBRA_WorkplanDate,$C476,DBRA_PlayerID,$D$3),"")</f>
        <v>0</v>
      </c>
      <c r="R476">
        <f ca="1">IFERROR(SUMIFS(OFFSET(DBRA_TopicCount,0,R$217,DBR_COUNT,1),DBRA_WorkplanDate,$C476,DBRA_PlayerID,$D$3),"")</f>
        <v>0</v>
      </c>
      <c r="S476">
        <f ca="1">IFERROR(SUMIFS(OFFSET(DBRA_TopicCount,0,S$217,DBR_COUNT,1),DBRA_WorkplanDate,$C476,DBRA_PlayerID,$D$3),"")</f>
        <v>0</v>
      </c>
      <c r="T476">
        <f ca="1">IFERROR(SUMIFS(OFFSET(DBRA_TopicCount,0,T$217,DBR_COUNT,1),DBRA_WorkplanDate,$C476,DBRA_PlayerID,$D$3),"")</f>
        <v>0</v>
      </c>
      <c r="U476">
        <f ca="1">IFERROR(SUMIFS(OFFSET(DBRA_TopicCount,0,U$217,DBR_COUNT,1),DBRA_WorkplanDate,$C476,DBRA_PlayerID,$D$3),"")</f>
        <v>0</v>
      </c>
      <c r="V476">
        <f ca="1">IFERROR(SUMIFS(OFFSET(DBRA_TopicCount,0,V$217,DBR_COUNT,1),DBRA_WorkplanDate,$C476,DBRA_PlayerID,$D$3),"")</f>
        <v>0</v>
      </c>
      <c r="W476" s="47"/>
      <c r="X476" t="str">
        <f t="shared" ref="X476:X539" ca="1" si="114">IF(N476&gt;0,ROUND(D476/N476,1),"")</f>
        <v/>
      </c>
      <c r="Y476" t="str">
        <f t="shared" ca="1" si="106"/>
        <v/>
      </c>
      <c r="Z476" t="str">
        <f t="shared" ca="1" si="107"/>
        <v/>
      </c>
      <c r="AA476" t="str">
        <f t="shared" ca="1" si="108"/>
        <v/>
      </c>
      <c r="AB476" t="str">
        <f t="shared" ca="1" si="109"/>
        <v/>
      </c>
      <c r="AC476" t="str">
        <f t="shared" ca="1" si="110"/>
        <v/>
      </c>
      <c r="AD476" t="str">
        <f t="shared" ca="1" si="111"/>
        <v/>
      </c>
      <c r="AE476" t="str">
        <f t="shared" ca="1" si="112"/>
        <v/>
      </c>
      <c r="AF476" t="str">
        <f t="shared" ca="1" si="113"/>
        <v/>
      </c>
      <c r="AG476" s="47"/>
    </row>
    <row r="477" spans="3:33" x14ac:dyDescent="0.25">
      <c r="C477" s="118">
        <f t="shared" ref="C477:C540" si="115">IF((C476+1)&lt;=$A$220,C476+1,"")</f>
        <v>42263</v>
      </c>
      <c r="D477">
        <f ca="1">IFERROR(SUMIFS(OFFSET(DBRA_TopicHCP,0,D$217,DBR_COUNT,1),DBRA_WorkplanDate,$C477,DBRA_PlayerID,$D$3),"")</f>
        <v>0</v>
      </c>
      <c r="E477">
        <f ca="1">IFERROR(SUMIFS(OFFSET(DBRA_TopicHCP,0,E$217,DBR_COUNT,1),DBRA_WorkplanDate,$C477,DBRA_PlayerID,$D$3),"")</f>
        <v>0</v>
      </c>
      <c r="F477">
        <f ca="1">IFERROR(SUMIFS(OFFSET(DBRA_TopicHCP,0,F$217,DBR_COUNT,1),DBRA_WorkplanDate,$C477,DBRA_PlayerID,$D$3),"")</f>
        <v>0</v>
      </c>
      <c r="G477">
        <f ca="1">IFERROR(SUMIFS(OFFSET(DBRA_TopicHCP,0,G$217,DBR_COUNT,1),DBRA_WorkplanDate,$C477,DBRA_PlayerID,$D$3),"")</f>
        <v>0</v>
      </c>
      <c r="H477">
        <f ca="1">IFERROR(SUMIFS(OFFSET(DBRA_TopicHCP,0,H$217,DBR_COUNT,1),DBRA_WorkplanDate,$C477,DBRA_PlayerID,$D$3),"")</f>
        <v>0</v>
      </c>
      <c r="I477">
        <f ca="1">IFERROR(SUMIFS(OFFSET(DBRA_TopicHCP,0,I$217,DBR_COUNT,1),DBRA_WorkplanDate,$C477,DBRA_PlayerID,$D$3),"")</f>
        <v>0</v>
      </c>
      <c r="J477">
        <f ca="1">IFERROR(SUMIFS(OFFSET(DBRA_TopicHCP,0,J$217,DBR_COUNT,1),DBRA_WorkplanDate,$C477,DBRA_PlayerID,$D$3),"")</f>
        <v>0</v>
      </c>
      <c r="K477">
        <f ca="1">IFERROR(SUMIFS(OFFSET(DBRA_TopicHCP,0,K$217,DBR_COUNT,1),DBRA_WorkplanDate,$C477,DBRA_PlayerID,$D$3),"")</f>
        <v>0</v>
      </c>
      <c r="L477">
        <f ca="1">IFERROR(SUMIFS(OFFSET(DBRA_TopicHCP,0,L$217,DBR_COUNT,1),DBRA_WorkplanDate,$C477,DBRA_PlayerID,$D$3),"")</f>
        <v>0</v>
      </c>
      <c r="M477" s="47"/>
      <c r="N477">
        <f ca="1">IFERROR(SUMIFS(OFFSET(DBRA_TopicCount,0,N$217,DBR_COUNT,1),DBRA_WorkplanDate,$C477,DBRA_PlayerID,$D$3),"")</f>
        <v>0</v>
      </c>
      <c r="O477">
        <f ca="1">IFERROR(SUMIFS(OFFSET(DBRA_TopicCount,0,O$217,DBR_COUNT,1),DBRA_WorkplanDate,$C477,DBRA_PlayerID,$D$3),"")</f>
        <v>0</v>
      </c>
      <c r="P477">
        <f ca="1">IFERROR(SUMIFS(OFFSET(DBRA_TopicCount,0,P$217,DBR_COUNT,1),DBRA_WorkplanDate,$C477,DBRA_PlayerID,$D$3),"")</f>
        <v>0</v>
      </c>
      <c r="Q477">
        <f ca="1">IFERROR(SUMIFS(OFFSET(DBRA_TopicCount,0,Q$217,DBR_COUNT,1),DBRA_WorkplanDate,$C477,DBRA_PlayerID,$D$3),"")</f>
        <v>0</v>
      </c>
      <c r="R477">
        <f ca="1">IFERROR(SUMIFS(OFFSET(DBRA_TopicCount,0,R$217,DBR_COUNT,1),DBRA_WorkplanDate,$C477,DBRA_PlayerID,$D$3),"")</f>
        <v>0</v>
      </c>
      <c r="S477">
        <f ca="1">IFERROR(SUMIFS(OFFSET(DBRA_TopicCount,0,S$217,DBR_COUNT,1),DBRA_WorkplanDate,$C477,DBRA_PlayerID,$D$3),"")</f>
        <v>0</v>
      </c>
      <c r="T477">
        <f ca="1">IFERROR(SUMIFS(OFFSET(DBRA_TopicCount,0,T$217,DBR_COUNT,1),DBRA_WorkplanDate,$C477,DBRA_PlayerID,$D$3),"")</f>
        <v>0</v>
      </c>
      <c r="U477">
        <f ca="1">IFERROR(SUMIFS(OFFSET(DBRA_TopicCount,0,U$217,DBR_COUNT,1),DBRA_WorkplanDate,$C477,DBRA_PlayerID,$D$3),"")</f>
        <v>0</v>
      </c>
      <c r="V477">
        <f ca="1">IFERROR(SUMIFS(OFFSET(DBRA_TopicCount,0,V$217,DBR_COUNT,1),DBRA_WorkplanDate,$C477,DBRA_PlayerID,$D$3),"")</f>
        <v>0</v>
      </c>
      <c r="W477" s="47"/>
      <c r="X477" t="str">
        <f t="shared" ca="1" si="114"/>
        <v/>
      </c>
      <c r="Y477" t="str">
        <f t="shared" ca="1" si="106"/>
        <v/>
      </c>
      <c r="Z477" t="str">
        <f t="shared" ca="1" si="107"/>
        <v/>
      </c>
      <c r="AA477" t="str">
        <f t="shared" ca="1" si="108"/>
        <v/>
      </c>
      <c r="AB477" t="str">
        <f t="shared" ca="1" si="109"/>
        <v/>
      </c>
      <c r="AC477" t="str">
        <f t="shared" ca="1" si="110"/>
        <v/>
      </c>
      <c r="AD477" t="str">
        <f t="shared" ca="1" si="111"/>
        <v/>
      </c>
      <c r="AE477" t="str">
        <f t="shared" ca="1" si="112"/>
        <v/>
      </c>
      <c r="AF477" t="str">
        <f t="shared" ca="1" si="113"/>
        <v/>
      </c>
      <c r="AG477" s="47"/>
    </row>
    <row r="478" spans="3:33" x14ac:dyDescent="0.25">
      <c r="C478" s="118">
        <f t="shared" si="115"/>
        <v>42264</v>
      </c>
      <c r="D478">
        <f ca="1">IFERROR(SUMIFS(OFFSET(DBRA_TopicHCP,0,D$217,DBR_COUNT,1),DBRA_WorkplanDate,$C478,DBRA_PlayerID,$D$3),"")</f>
        <v>0</v>
      </c>
      <c r="E478">
        <f ca="1">IFERROR(SUMIFS(OFFSET(DBRA_TopicHCP,0,E$217,DBR_COUNT,1),DBRA_WorkplanDate,$C478,DBRA_PlayerID,$D$3),"")</f>
        <v>0</v>
      </c>
      <c r="F478">
        <f ca="1">IFERROR(SUMIFS(OFFSET(DBRA_TopicHCP,0,F$217,DBR_COUNT,1),DBRA_WorkplanDate,$C478,DBRA_PlayerID,$D$3),"")</f>
        <v>0</v>
      </c>
      <c r="G478">
        <f ca="1">IFERROR(SUMIFS(OFFSET(DBRA_TopicHCP,0,G$217,DBR_COUNT,1),DBRA_WorkplanDate,$C478,DBRA_PlayerID,$D$3),"")</f>
        <v>0</v>
      </c>
      <c r="H478">
        <f ca="1">IFERROR(SUMIFS(OFFSET(DBRA_TopicHCP,0,H$217,DBR_COUNT,1),DBRA_WorkplanDate,$C478,DBRA_PlayerID,$D$3),"")</f>
        <v>0</v>
      </c>
      <c r="I478">
        <f ca="1">IFERROR(SUMIFS(OFFSET(DBRA_TopicHCP,0,I$217,DBR_COUNT,1),DBRA_WorkplanDate,$C478,DBRA_PlayerID,$D$3),"")</f>
        <v>0</v>
      </c>
      <c r="J478">
        <f ca="1">IFERROR(SUMIFS(OFFSET(DBRA_TopicHCP,0,J$217,DBR_COUNT,1),DBRA_WorkplanDate,$C478,DBRA_PlayerID,$D$3),"")</f>
        <v>0</v>
      </c>
      <c r="K478">
        <f ca="1">IFERROR(SUMIFS(OFFSET(DBRA_TopicHCP,0,K$217,DBR_COUNT,1),DBRA_WorkplanDate,$C478,DBRA_PlayerID,$D$3),"")</f>
        <v>0</v>
      </c>
      <c r="L478">
        <f ca="1">IFERROR(SUMIFS(OFFSET(DBRA_TopicHCP,0,L$217,DBR_COUNT,1),DBRA_WorkplanDate,$C478,DBRA_PlayerID,$D$3),"")</f>
        <v>0</v>
      </c>
      <c r="M478" s="47"/>
      <c r="N478">
        <f ca="1">IFERROR(SUMIFS(OFFSET(DBRA_TopicCount,0,N$217,DBR_COUNT,1),DBRA_WorkplanDate,$C478,DBRA_PlayerID,$D$3),"")</f>
        <v>0</v>
      </c>
      <c r="O478">
        <f ca="1">IFERROR(SUMIFS(OFFSET(DBRA_TopicCount,0,O$217,DBR_COUNT,1),DBRA_WorkplanDate,$C478,DBRA_PlayerID,$D$3),"")</f>
        <v>0</v>
      </c>
      <c r="P478">
        <f ca="1">IFERROR(SUMIFS(OFFSET(DBRA_TopicCount,0,P$217,DBR_COUNT,1),DBRA_WorkplanDate,$C478,DBRA_PlayerID,$D$3),"")</f>
        <v>0</v>
      </c>
      <c r="Q478">
        <f ca="1">IFERROR(SUMIFS(OFFSET(DBRA_TopicCount,0,Q$217,DBR_COUNT,1),DBRA_WorkplanDate,$C478,DBRA_PlayerID,$D$3),"")</f>
        <v>0</v>
      </c>
      <c r="R478">
        <f ca="1">IFERROR(SUMIFS(OFFSET(DBRA_TopicCount,0,R$217,DBR_COUNT,1),DBRA_WorkplanDate,$C478,DBRA_PlayerID,$D$3),"")</f>
        <v>0</v>
      </c>
      <c r="S478">
        <f ca="1">IFERROR(SUMIFS(OFFSET(DBRA_TopicCount,0,S$217,DBR_COUNT,1),DBRA_WorkplanDate,$C478,DBRA_PlayerID,$D$3),"")</f>
        <v>0</v>
      </c>
      <c r="T478">
        <f ca="1">IFERROR(SUMIFS(OFFSET(DBRA_TopicCount,0,T$217,DBR_COUNT,1),DBRA_WorkplanDate,$C478,DBRA_PlayerID,$D$3),"")</f>
        <v>0</v>
      </c>
      <c r="U478">
        <f ca="1">IFERROR(SUMIFS(OFFSET(DBRA_TopicCount,0,U$217,DBR_COUNT,1),DBRA_WorkplanDate,$C478,DBRA_PlayerID,$D$3),"")</f>
        <v>0</v>
      </c>
      <c r="V478">
        <f ca="1">IFERROR(SUMIFS(OFFSET(DBRA_TopicCount,0,V$217,DBR_COUNT,1),DBRA_WorkplanDate,$C478,DBRA_PlayerID,$D$3),"")</f>
        <v>0</v>
      </c>
      <c r="W478" s="47"/>
      <c r="X478" t="str">
        <f t="shared" ca="1" si="114"/>
        <v/>
      </c>
      <c r="Y478" t="str">
        <f t="shared" ca="1" si="106"/>
        <v/>
      </c>
      <c r="Z478" t="str">
        <f t="shared" ca="1" si="107"/>
        <v/>
      </c>
      <c r="AA478" t="str">
        <f t="shared" ca="1" si="108"/>
        <v/>
      </c>
      <c r="AB478" t="str">
        <f t="shared" ca="1" si="109"/>
        <v/>
      </c>
      <c r="AC478" t="str">
        <f t="shared" ca="1" si="110"/>
        <v/>
      </c>
      <c r="AD478" t="str">
        <f t="shared" ca="1" si="111"/>
        <v/>
      </c>
      <c r="AE478" t="str">
        <f t="shared" ca="1" si="112"/>
        <v/>
      </c>
      <c r="AF478" t="str">
        <f t="shared" ca="1" si="113"/>
        <v/>
      </c>
      <c r="AG478" s="47"/>
    </row>
    <row r="479" spans="3:33" x14ac:dyDescent="0.25">
      <c r="C479" s="118">
        <f t="shared" si="115"/>
        <v>42265</v>
      </c>
      <c r="D479">
        <f ca="1">IFERROR(SUMIFS(OFFSET(DBRA_TopicHCP,0,D$217,DBR_COUNT,1),DBRA_WorkplanDate,$C479,DBRA_PlayerID,$D$3),"")</f>
        <v>0</v>
      </c>
      <c r="E479">
        <f ca="1">IFERROR(SUMIFS(OFFSET(DBRA_TopicHCP,0,E$217,DBR_COUNT,1),DBRA_WorkplanDate,$C479,DBRA_PlayerID,$D$3),"")</f>
        <v>0</v>
      </c>
      <c r="F479">
        <f ca="1">IFERROR(SUMIFS(OFFSET(DBRA_TopicHCP,0,F$217,DBR_COUNT,1),DBRA_WorkplanDate,$C479,DBRA_PlayerID,$D$3),"")</f>
        <v>0</v>
      </c>
      <c r="G479">
        <f ca="1">IFERROR(SUMIFS(OFFSET(DBRA_TopicHCP,0,G$217,DBR_COUNT,1),DBRA_WorkplanDate,$C479,DBRA_PlayerID,$D$3),"")</f>
        <v>0</v>
      </c>
      <c r="H479">
        <f ca="1">IFERROR(SUMIFS(OFFSET(DBRA_TopicHCP,0,H$217,DBR_COUNT,1),DBRA_WorkplanDate,$C479,DBRA_PlayerID,$D$3),"")</f>
        <v>0</v>
      </c>
      <c r="I479">
        <f ca="1">IFERROR(SUMIFS(OFFSET(DBRA_TopicHCP,0,I$217,DBR_COUNT,1),DBRA_WorkplanDate,$C479,DBRA_PlayerID,$D$3),"")</f>
        <v>0</v>
      </c>
      <c r="J479">
        <f ca="1">IFERROR(SUMIFS(OFFSET(DBRA_TopicHCP,0,J$217,DBR_COUNT,1),DBRA_WorkplanDate,$C479,DBRA_PlayerID,$D$3),"")</f>
        <v>0</v>
      </c>
      <c r="K479">
        <f ca="1">IFERROR(SUMIFS(OFFSET(DBRA_TopicHCP,0,K$217,DBR_COUNT,1),DBRA_WorkplanDate,$C479,DBRA_PlayerID,$D$3),"")</f>
        <v>0</v>
      </c>
      <c r="L479">
        <f ca="1">IFERROR(SUMIFS(OFFSET(DBRA_TopicHCP,0,L$217,DBR_COUNT,1),DBRA_WorkplanDate,$C479,DBRA_PlayerID,$D$3),"")</f>
        <v>0</v>
      </c>
      <c r="M479" s="47"/>
      <c r="N479">
        <f ca="1">IFERROR(SUMIFS(OFFSET(DBRA_TopicCount,0,N$217,DBR_COUNT,1),DBRA_WorkplanDate,$C479,DBRA_PlayerID,$D$3),"")</f>
        <v>0</v>
      </c>
      <c r="O479">
        <f ca="1">IFERROR(SUMIFS(OFFSET(DBRA_TopicCount,0,O$217,DBR_COUNT,1),DBRA_WorkplanDate,$C479,DBRA_PlayerID,$D$3),"")</f>
        <v>0</v>
      </c>
      <c r="P479">
        <f ca="1">IFERROR(SUMIFS(OFFSET(DBRA_TopicCount,0,P$217,DBR_COUNT,1),DBRA_WorkplanDate,$C479,DBRA_PlayerID,$D$3),"")</f>
        <v>0</v>
      </c>
      <c r="Q479">
        <f ca="1">IFERROR(SUMIFS(OFFSET(DBRA_TopicCount,0,Q$217,DBR_COUNT,1),DBRA_WorkplanDate,$C479,DBRA_PlayerID,$D$3),"")</f>
        <v>0</v>
      </c>
      <c r="R479">
        <f ca="1">IFERROR(SUMIFS(OFFSET(DBRA_TopicCount,0,R$217,DBR_COUNT,1),DBRA_WorkplanDate,$C479,DBRA_PlayerID,$D$3),"")</f>
        <v>0</v>
      </c>
      <c r="S479">
        <f ca="1">IFERROR(SUMIFS(OFFSET(DBRA_TopicCount,0,S$217,DBR_COUNT,1),DBRA_WorkplanDate,$C479,DBRA_PlayerID,$D$3),"")</f>
        <v>0</v>
      </c>
      <c r="T479">
        <f ca="1">IFERROR(SUMIFS(OFFSET(DBRA_TopicCount,0,T$217,DBR_COUNT,1),DBRA_WorkplanDate,$C479,DBRA_PlayerID,$D$3),"")</f>
        <v>0</v>
      </c>
      <c r="U479">
        <f ca="1">IFERROR(SUMIFS(OFFSET(DBRA_TopicCount,0,U$217,DBR_COUNT,1),DBRA_WorkplanDate,$C479,DBRA_PlayerID,$D$3),"")</f>
        <v>0</v>
      </c>
      <c r="V479">
        <f ca="1">IFERROR(SUMIFS(OFFSET(DBRA_TopicCount,0,V$217,DBR_COUNT,1),DBRA_WorkplanDate,$C479,DBRA_PlayerID,$D$3),"")</f>
        <v>0</v>
      </c>
      <c r="W479" s="47"/>
      <c r="X479" t="str">
        <f t="shared" ca="1" si="114"/>
        <v/>
      </c>
      <c r="Y479" t="str">
        <f t="shared" ca="1" si="106"/>
        <v/>
      </c>
      <c r="Z479" t="str">
        <f t="shared" ca="1" si="107"/>
        <v/>
      </c>
      <c r="AA479" t="str">
        <f t="shared" ca="1" si="108"/>
        <v/>
      </c>
      <c r="AB479" t="str">
        <f t="shared" ca="1" si="109"/>
        <v/>
      </c>
      <c r="AC479" t="str">
        <f t="shared" ca="1" si="110"/>
        <v/>
      </c>
      <c r="AD479" t="str">
        <f t="shared" ca="1" si="111"/>
        <v/>
      </c>
      <c r="AE479" t="str">
        <f t="shared" ca="1" si="112"/>
        <v/>
      </c>
      <c r="AF479" t="str">
        <f t="shared" ca="1" si="113"/>
        <v/>
      </c>
      <c r="AG479" s="47"/>
    </row>
    <row r="480" spans="3:33" x14ac:dyDescent="0.25">
      <c r="C480" s="118">
        <f t="shared" si="115"/>
        <v>42266</v>
      </c>
      <c r="D480">
        <f ca="1">IFERROR(SUMIFS(OFFSET(DBRA_TopicHCP,0,D$217,DBR_COUNT,1),DBRA_WorkplanDate,$C480,DBRA_PlayerID,$D$3),"")</f>
        <v>0</v>
      </c>
      <c r="E480">
        <f ca="1">IFERROR(SUMIFS(OFFSET(DBRA_TopicHCP,0,E$217,DBR_COUNT,1),DBRA_WorkplanDate,$C480,DBRA_PlayerID,$D$3),"")</f>
        <v>0</v>
      </c>
      <c r="F480">
        <f ca="1">IFERROR(SUMIFS(OFFSET(DBRA_TopicHCP,0,F$217,DBR_COUNT,1),DBRA_WorkplanDate,$C480,DBRA_PlayerID,$D$3),"")</f>
        <v>0</v>
      </c>
      <c r="G480">
        <f ca="1">IFERROR(SUMIFS(OFFSET(DBRA_TopicHCP,0,G$217,DBR_COUNT,1),DBRA_WorkplanDate,$C480,DBRA_PlayerID,$D$3),"")</f>
        <v>0</v>
      </c>
      <c r="H480">
        <f ca="1">IFERROR(SUMIFS(OFFSET(DBRA_TopicHCP,0,H$217,DBR_COUNT,1),DBRA_WorkplanDate,$C480,DBRA_PlayerID,$D$3),"")</f>
        <v>0</v>
      </c>
      <c r="I480">
        <f ca="1">IFERROR(SUMIFS(OFFSET(DBRA_TopicHCP,0,I$217,DBR_COUNT,1),DBRA_WorkplanDate,$C480,DBRA_PlayerID,$D$3),"")</f>
        <v>0</v>
      </c>
      <c r="J480">
        <f ca="1">IFERROR(SUMIFS(OFFSET(DBRA_TopicHCP,0,J$217,DBR_COUNT,1),DBRA_WorkplanDate,$C480,DBRA_PlayerID,$D$3),"")</f>
        <v>0</v>
      </c>
      <c r="K480">
        <f ca="1">IFERROR(SUMIFS(OFFSET(DBRA_TopicHCP,0,K$217,DBR_COUNT,1),DBRA_WorkplanDate,$C480,DBRA_PlayerID,$D$3),"")</f>
        <v>0</v>
      </c>
      <c r="L480">
        <f ca="1">IFERROR(SUMIFS(OFFSET(DBRA_TopicHCP,0,L$217,DBR_COUNT,1),DBRA_WorkplanDate,$C480,DBRA_PlayerID,$D$3),"")</f>
        <v>0</v>
      </c>
      <c r="M480" s="47"/>
      <c r="N480">
        <f ca="1">IFERROR(SUMIFS(OFFSET(DBRA_TopicCount,0,N$217,DBR_COUNT,1),DBRA_WorkplanDate,$C480,DBRA_PlayerID,$D$3),"")</f>
        <v>0</v>
      </c>
      <c r="O480">
        <f ca="1">IFERROR(SUMIFS(OFFSET(DBRA_TopicCount,0,O$217,DBR_COUNT,1),DBRA_WorkplanDate,$C480,DBRA_PlayerID,$D$3),"")</f>
        <v>0</v>
      </c>
      <c r="P480">
        <f ca="1">IFERROR(SUMIFS(OFFSET(DBRA_TopicCount,0,P$217,DBR_COUNT,1),DBRA_WorkplanDate,$C480,DBRA_PlayerID,$D$3),"")</f>
        <v>0</v>
      </c>
      <c r="Q480">
        <f ca="1">IFERROR(SUMIFS(OFFSET(DBRA_TopicCount,0,Q$217,DBR_COUNT,1),DBRA_WorkplanDate,$C480,DBRA_PlayerID,$D$3),"")</f>
        <v>0</v>
      </c>
      <c r="R480">
        <f ca="1">IFERROR(SUMIFS(OFFSET(DBRA_TopicCount,0,R$217,DBR_COUNT,1),DBRA_WorkplanDate,$C480,DBRA_PlayerID,$D$3),"")</f>
        <v>0</v>
      </c>
      <c r="S480">
        <f ca="1">IFERROR(SUMIFS(OFFSET(DBRA_TopicCount,0,S$217,DBR_COUNT,1),DBRA_WorkplanDate,$C480,DBRA_PlayerID,$D$3),"")</f>
        <v>0</v>
      </c>
      <c r="T480">
        <f ca="1">IFERROR(SUMIFS(OFFSET(DBRA_TopicCount,0,T$217,DBR_COUNT,1),DBRA_WorkplanDate,$C480,DBRA_PlayerID,$D$3),"")</f>
        <v>0</v>
      </c>
      <c r="U480">
        <f ca="1">IFERROR(SUMIFS(OFFSET(DBRA_TopicCount,0,U$217,DBR_COUNT,1),DBRA_WorkplanDate,$C480,DBRA_PlayerID,$D$3),"")</f>
        <v>0</v>
      </c>
      <c r="V480">
        <f ca="1">IFERROR(SUMIFS(OFFSET(DBRA_TopicCount,0,V$217,DBR_COUNT,1),DBRA_WorkplanDate,$C480,DBRA_PlayerID,$D$3),"")</f>
        <v>0</v>
      </c>
      <c r="W480" s="47"/>
      <c r="X480" t="str">
        <f t="shared" ca="1" si="114"/>
        <v/>
      </c>
      <c r="Y480" t="str">
        <f t="shared" ca="1" si="106"/>
        <v/>
      </c>
      <c r="Z480" t="str">
        <f t="shared" ca="1" si="107"/>
        <v/>
      </c>
      <c r="AA480" t="str">
        <f t="shared" ca="1" si="108"/>
        <v/>
      </c>
      <c r="AB480" t="str">
        <f t="shared" ca="1" si="109"/>
        <v/>
      </c>
      <c r="AC480" t="str">
        <f t="shared" ca="1" si="110"/>
        <v/>
      </c>
      <c r="AD480" t="str">
        <f t="shared" ca="1" si="111"/>
        <v/>
      </c>
      <c r="AE480" t="str">
        <f t="shared" ca="1" si="112"/>
        <v/>
      </c>
      <c r="AF480" t="str">
        <f t="shared" ca="1" si="113"/>
        <v/>
      </c>
      <c r="AG480" s="47"/>
    </row>
    <row r="481" spans="3:33" x14ac:dyDescent="0.25">
      <c r="C481" s="118">
        <f t="shared" si="115"/>
        <v>42267</v>
      </c>
      <c r="D481">
        <f ca="1">IFERROR(SUMIFS(OFFSET(DBRA_TopicHCP,0,D$217,DBR_COUNT,1),DBRA_WorkplanDate,$C481,DBRA_PlayerID,$D$3),"")</f>
        <v>0</v>
      </c>
      <c r="E481">
        <f ca="1">IFERROR(SUMIFS(OFFSET(DBRA_TopicHCP,0,E$217,DBR_COUNT,1),DBRA_WorkplanDate,$C481,DBRA_PlayerID,$D$3),"")</f>
        <v>0</v>
      </c>
      <c r="F481">
        <f ca="1">IFERROR(SUMIFS(OFFSET(DBRA_TopicHCP,0,F$217,DBR_COUNT,1),DBRA_WorkplanDate,$C481,DBRA_PlayerID,$D$3),"")</f>
        <v>0</v>
      </c>
      <c r="G481">
        <f ca="1">IFERROR(SUMIFS(OFFSET(DBRA_TopicHCP,0,G$217,DBR_COUNT,1),DBRA_WorkplanDate,$C481,DBRA_PlayerID,$D$3),"")</f>
        <v>0</v>
      </c>
      <c r="H481">
        <f ca="1">IFERROR(SUMIFS(OFFSET(DBRA_TopicHCP,0,H$217,DBR_COUNT,1),DBRA_WorkplanDate,$C481,DBRA_PlayerID,$D$3),"")</f>
        <v>0</v>
      </c>
      <c r="I481">
        <f ca="1">IFERROR(SUMIFS(OFFSET(DBRA_TopicHCP,0,I$217,DBR_COUNT,1),DBRA_WorkplanDate,$C481,DBRA_PlayerID,$D$3),"")</f>
        <v>0</v>
      </c>
      <c r="J481">
        <f ca="1">IFERROR(SUMIFS(OFFSET(DBRA_TopicHCP,0,J$217,DBR_COUNT,1),DBRA_WorkplanDate,$C481,DBRA_PlayerID,$D$3),"")</f>
        <v>0</v>
      </c>
      <c r="K481">
        <f ca="1">IFERROR(SUMIFS(OFFSET(DBRA_TopicHCP,0,K$217,DBR_COUNT,1),DBRA_WorkplanDate,$C481,DBRA_PlayerID,$D$3),"")</f>
        <v>0</v>
      </c>
      <c r="L481">
        <f ca="1">IFERROR(SUMIFS(OFFSET(DBRA_TopicHCP,0,L$217,DBR_COUNT,1),DBRA_WorkplanDate,$C481,DBRA_PlayerID,$D$3),"")</f>
        <v>0</v>
      </c>
      <c r="M481" s="47"/>
      <c r="N481">
        <f ca="1">IFERROR(SUMIFS(OFFSET(DBRA_TopicCount,0,N$217,DBR_COUNT,1),DBRA_WorkplanDate,$C481,DBRA_PlayerID,$D$3),"")</f>
        <v>0</v>
      </c>
      <c r="O481">
        <f ca="1">IFERROR(SUMIFS(OFFSET(DBRA_TopicCount,0,O$217,DBR_COUNT,1),DBRA_WorkplanDate,$C481,DBRA_PlayerID,$D$3),"")</f>
        <v>0</v>
      </c>
      <c r="P481">
        <f ca="1">IFERROR(SUMIFS(OFFSET(DBRA_TopicCount,0,P$217,DBR_COUNT,1),DBRA_WorkplanDate,$C481,DBRA_PlayerID,$D$3),"")</f>
        <v>0</v>
      </c>
      <c r="Q481">
        <f ca="1">IFERROR(SUMIFS(OFFSET(DBRA_TopicCount,0,Q$217,DBR_COUNT,1),DBRA_WorkplanDate,$C481,DBRA_PlayerID,$D$3),"")</f>
        <v>0</v>
      </c>
      <c r="R481">
        <f ca="1">IFERROR(SUMIFS(OFFSET(DBRA_TopicCount,0,R$217,DBR_COUNT,1),DBRA_WorkplanDate,$C481,DBRA_PlayerID,$D$3),"")</f>
        <v>0</v>
      </c>
      <c r="S481">
        <f ca="1">IFERROR(SUMIFS(OFFSET(DBRA_TopicCount,0,S$217,DBR_COUNT,1),DBRA_WorkplanDate,$C481,DBRA_PlayerID,$D$3),"")</f>
        <v>0</v>
      </c>
      <c r="T481">
        <f ca="1">IFERROR(SUMIFS(OFFSET(DBRA_TopicCount,0,T$217,DBR_COUNT,1),DBRA_WorkplanDate,$C481,DBRA_PlayerID,$D$3),"")</f>
        <v>0</v>
      </c>
      <c r="U481">
        <f ca="1">IFERROR(SUMIFS(OFFSET(DBRA_TopicCount,0,U$217,DBR_COUNT,1),DBRA_WorkplanDate,$C481,DBRA_PlayerID,$D$3),"")</f>
        <v>0</v>
      </c>
      <c r="V481">
        <f ca="1">IFERROR(SUMIFS(OFFSET(DBRA_TopicCount,0,V$217,DBR_COUNT,1),DBRA_WorkplanDate,$C481,DBRA_PlayerID,$D$3),"")</f>
        <v>0</v>
      </c>
      <c r="W481" s="47"/>
      <c r="X481" t="str">
        <f t="shared" ca="1" si="114"/>
        <v/>
      </c>
      <c r="Y481" t="str">
        <f t="shared" ca="1" si="106"/>
        <v/>
      </c>
      <c r="Z481" t="str">
        <f t="shared" ca="1" si="107"/>
        <v/>
      </c>
      <c r="AA481" t="str">
        <f t="shared" ca="1" si="108"/>
        <v/>
      </c>
      <c r="AB481" t="str">
        <f t="shared" ca="1" si="109"/>
        <v/>
      </c>
      <c r="AC481" t="str">
        <f t="shared" ca="1" si="110"/>
        <v/>
      </c>
      <c r="AD481" t="str">
        <f t="shared" ca="1" si="111"/>
        <v/>
      </c>
      <c r="AE481" t="str">
        <f t="shared" ca="1" si="112"/>
        <v/>
      </c>
      <c r="AF481" t="str">
        <f t="shared" ca="1" si="113"/>
        <v/>
      </c>
      <c r="AG481" s="47"/>
    </row>
    <row r="482" spans="3:33" x14ac:dyDescent="0.25">
      <c r="C482" s="118">
        <f t="shared" si="115"/>
        <v>42268</v>
      </c>
      <c r="D482">
        <f ca="1">IFERROR(SUMIFS(OFFSET(DBRA_TopicHCP,0,D$217,DBR_COUNT,1),DBRA_WorkplanDate,$C482,DBRA_PlayerID,$D$3),"")</f>
        <v>0</v>
      </c>
      <c r="E482">
        <f ca="1">IFERROR(SUMIFS(OFFSET(DBRA_TopicHCP,0,E$217,DBR_COUNT,1),DBRA_WorkplanDate,$C482,DBRA_PlayerID,$D$3),"")</f>
        <v>0</v>
      </c>
      <c r="F482">
        <f ca="1">IFERROR(SUMIFS(OFFSET(DBRA_TopicHCP,0,F$217,DBR_COUNT,1),DBRA_WorkplanDate,$C482,DBRA_PlayerID,$D$3),"")</f>
        <v>0</v>
      </c>
      <c r="G482">
        <f ca="1">IFERROR(SUMIFS(OFFSET(DBRA_TopicHCP,0,G$217,DBR_COUNT,1),DBRA_WorkplanDate,$C482,DBRA_PlayerID,$D$3),"")</f>
        <v>0</v>
      </c>
      <c r="H482">
        <f ca="1">IFERROR(SUMIFS(OFFSET(DBRA_TopicHCP,0,H$217,DBR_COUNT,1),DBRA_WorkplanDate,$C482,DBRA_PlayerID,$D$3),"")</f>
        <v>0</v>
      </c>
      <c r="I482">
        <f ca="1">IFERROR(SUMIFS(OFFSET(DBRA_TopicHCP,0,I$217,DBR_COUNT,1),DBRA_WorkplanDate,$C482,DBRA_PlayerID,$D$3),"")</f>
        <v>0</v>
      </c>
      <c r="J482">
        <f ca="1">IFERROR(SUMIFS(OFFSET(DBRA_TopicHCP,0,J$217,DBR_COUNT,1),DBRA_WorkplanDate,$C482,DBRA_PlayerID,$D$3),"")</f>
        <v>0</v>
      </c>
      <c r="K482">
        <f ca="1">IFERROR(SUMIFS(OFFSET(DBRA_TopicHCP,0,K$217,DBR_COUNT,1),DBRA_WorkplanDate,$C482,DBRA_PlayerID,$D$3),"")</f>
        <v>0</v>
      </c>
      <c r="L482">
        <f ca="1">IFERROR(SUMIFS(OFFSET(DBRA_TopicHCP,0,L$217,DBR_COUNT,1),DBRA_WorkplanDate,$C482,DBRA_PlayerID,$D$3),"")</f>
        <v>0</v>
      </c>
      <c r="M482" s="47"/>
      <c r="N482">
        <f ca="1">IFERROR(SUMIFS(OFFSET(DBRA_TopicCount,0,N$217,DBR_COUNT,1),DBRA_WorkplanDate,$C482,DBRA_PlayerID,$D$3),"")</f>
        <v>0</v>
      </c>
      <c r="O482">
        <f ca="1">IFERROR(SUMIFS(OFFSET(DBRA_TopicCount,0,O$217,DBR_COUNT,1),DBRA_WorkplanDate,$C482,DBRA_PlayerID,$D$3),"")</f>
        <v>0</v>
      </c>
      <c r="P482">
        <f ca="1">IFERROR(SUMIFS(OFFSET(DBRA_TopicCount,0,P$217,DBR_COUNT,1),DBRA_WorkplanDate,$C482,DBRA_PlayerID,$D$3),"")</f>
        <v>0</v>
      </c>
      <c r="Q482">
        <f ca="1">IFERROR(SUMIFS(OFFSET(DBRA_TopicCount,0,Q$217,DBR_COUNT,1),DBRA_WorkplanDate,$C482,DBRA_PlayerID,$D$3),"")</f>
        <v>0</v>
      </c>
      <c r="R482">
        <f ca="1">IFERROR(SUMIFS(OFFSET(DBRA_TopicCount,0,R$217,DBR_COUNT,1),DBRA_WorkplanDate,$C482,DBRA_PlayerID,$D$3),"")</f>
        <v>0</v>
      </c>
      <c r="S482">
        <f ca="1">IFERROR(SUMIFS(OFFSET(DBRA_TopicCount,0,S$217,DBR_COUNT,1),DBRA_WorkplanDate,$C482,DBRA_PlayerID,$D$3),"")</f>
        <v>0</v>
      </c>
      <c r="T482">
        <f ca="1">IFERROR(SUMIFS(OFFSET(DBRA_TopicCount,0,T$217,DBR_COUNT,1),DBRA_WorkplanDate,$C482,DBRA_PlayerID,$D$3),"")</f>
        <v>0</v>
      </c>
      <c r="U482">
        <f ca="1">IFERROR(SUMIFS(OFFSET(DBRA_TopicCount,0,U$217,DBR_COUNT,1),DBRA_WorkplanDate,$C482,DBRA_PlayerID,$D$3),"")</f>
        <v>0</v>
      </c>
      <c r="V482">
        <f ca="1">IFERROR(SUMIFS(OFFSET(DBRA_TopicCount,0,V$217,DBR_COUNT,1),DBRA_WorkplanDate,$C482,DBRA_PlayerID,$D$3),"")</f>
        <v>0</v>
      </c>
      <c r="W482" s="47"/>
      <c r="X482" t="str">
        <f t="shared" ca="1" si="114"/>
        <v/>
      </c>
      <c r="Y482" t="str">
        <f t="shared" ca="1" si="106"/>
        <v/>
      </c>
      <c r="Z482" t="str">
        <f t="shared" ca="1" si="107"/>
        <v/>
      </c>
      <c r="AA482" t="str">
        <f t="shared" ca="1" si="108"/>
        <v/>
      </c>
      <c r="AB482" t="str">
        <f t="shared" ca="1" si="109"/>
        <v/>
      </c>
      <c r="AC482" t="str">
        <f t="shared" ca="1" si="110"/>
        <v/>
      </c>
      <c r="AD482" t="str">
        <f t="shared" ca="1" si="111"/>
        <v/>
      </c>
      <c r="AE482" t="str">
        <f t="shared" ca="1" si="112"/>
        <v/>
      </c>
      <c r="AF482" t="str">
        <f t="shared" ca="1" si="113"/>
        <v/>
      </c>
      <c r="AG482" s="47"/>
    </row>
    <row r="483" spans="3:33" x14ac:dyDescent="0.25">
      <c r="C483" s="118">
        <f t="shared" si="115"/>
        <v>42269</v>
      </c>
      <c r="D483">
        <f ca="1">IFERROR(SUMIFS(OFFSET(DBRA_TopicHCP,0,D$217,DBR_COUNT,1),DBRA_WorkplanDate,$C483,DBRA_PlayerID,$D$3),"")</f>
        <v>0</v>
      </c>
      <c r="E483">
        <f ca="1">IFERROR(SUMIFS(OFFSET(DBRA_TopicHCP,0,E$217,DBR_COUNT,1),DBRA_WorkplanDate,$C483,DBRA_PlayerID,$D$3),"")</f>
        <v>0</v>
      </c>
      <c r="F483">
        <f ca="1">IFERROR(SUMIFS(OFFSET(DBRA_TopicHCP,0,F$217,DBR_COUNT,1),DBRA_WorkplanDate,$C483,DBRA_PlayerID,$D$3),"")</f>
        <v>0</v>
      </c>
      <c r="G483">
        <f ca="1">IFERROR(SUMIFS(OFFSET(DBRA_TopicHCP,0,G$217,DBR_COUNT,1),DBRA_WorkplanDate,$C483,DBRA_PlayerID,$D$3),"")</f>
        <v>0</v>
      </c>
      <c r="H483">
        <f ca="1">IFERROR(SUMIFS(OFFSET(DBRA_TopicHCP,0,H$217,DBR_COUNT,1),DBRA_WorkplanDate,$C483,DBRA_PlayerID,$D$3),"")</f>
        <v>0</v>
      </c>
      <c r="I483">
        <f ca="1">IFERROR(SUMIFS(OFFSET(DBRA_TopicHCP,0,I$217,DBR_COUNT,1),DBRA_WorkplanDate,$C483,DBRA_PlayerID,$D$3),"")</f>
        <v>0</v>
      </c>
      <c r="J483">
        <f ca="1">IFERROR(SUMIFS(OFFSET(DBRA_TopicHCP,0,J$217,DBR_COUNT,1),DBRA_WorkplanDate,$C483,DBRA_PlayerID,$D$3),"")</f>
        <v>0</v>
      </c>
      <c r="K483">
        <f ca="1">IFERROR(SUMIFS(OFFSET(DBRA_TopicHCP,0,K$217,DBR_COUNT,1),DBRA_WorkplanDate,$C483,DBRA_PlayerID,$D$3),"")</f>
        <v>0</v>
      </c>
      <c r="L483">
        <f ca="1">IFERROR(SUMIFS(OFFSET(DBRA_TopicHCP,0,L$217,DBR_COUNT,1),DBRA_WorkplanDate,$C483,DBRA_PlayerID,$D$3),"")</f>
        <v>0</v>
      </c>
      <c r="M483" s="47"/>
      <c r="N483">
        <f ca="1">IFERROR(SUMIFS(OFFSET(DBRA_TopicCount,0,N$217,DBR_COUNT,1),DBRA_WorkplanDate,$C483,DBRA_PlayerID,$D$3),"")</f>
        <v>0</v>
      </c>
      <c r="O483">
        <f ca="1">IFERROR(SUMIFS(OFFSET(DBRA_TopicCount,0,O$217,DBR_COUNT,1),DBRA_WorkplanDate,$C483,DBRA_PlayerID,$D$3),"")</f>
        <v>0</v>
      </c>
      <c r="P483">
        <f ca="1">IFERROR(SUMIFS(OFFSET(DBRA_TopicCount,0,P$217,DBR_COUNT,1),DBRA_WorkplanDate,$C483,DBRA_PlayerID,$D$3),"")</f>
        <v>0</v>
      </c>
      <c r="Q483">
        <f ca="1">IFERROR(SUMIFS(OFFSET(DBRA_TopicCount,0,Q$217,DBR_COUNT,1),DBRA_WorkplanDate,$C483,DBRA_PlayerID,$D$3),"")</f>
        <v>0</v>
      </c>
      <c r="R483">
        <f ca="1">IFERROR(SUMIFS(OFFSET(DBRA_TopicCount,0,R$217,DBR_COUNT,1),DBRA_WorkplanDate,$C483,DBRA_PlayerID,$D$3),"")</f>
        <v>0</v>
      </c>
      <c r="S483">
        <f ca="1">IFERROR(SUMIFS(OFFSET(DBRA_TopicCount,0,S$217,DBR_COUNT,1),DBRA_WorkplanDate,$C483,DBRA_PlayerID,$D$3),"")</f>
        <v>0</v>
      </c>
      <c r="T483">
        <f ca="1">IFERROR(SUMIFS(OFFSET(DBRA_TopicCount,0,T$217,DBR_COUNT,1),DBRA_WorkplanDate,$C483,DBRA_PlayerID,$D$3),"")</f>
        <v>0</v>
      </c>
      <c r="U483">
        <f ca="1">IFERROR(SUMIFS(OFFSET(DBRA_TopicCount,0,U$217,DBR_COUNT,1),DBRA_WorkplanDate,$C483,DBRA_PlayerID,$D$3),"")</f>
        <v>0</v>
      </c>
      <c r="V483">
        <f ca="1">IFERROR(SUMIFS(OFFSET(DBRA_TopicCount,0,V$217,DBR_COUNT,1),DBRA_WorkplanDate,$C483,DBRA_PlayerID,$D$3),"")</f>
        <v>0</v>
      </c>
      <c r="W483" s="47"/>
      <c r="X483" t="str">
        <f t="shared" ca="1" si="114"/>
        <v/>
      </c>
      <c r="Y483" t="str">
        <f t="shared" ca="1" si="106"/>
        <v/>
      </c>
      <c r="Z483" t="str">
        <f t="shared" ca="1" si="107"/>
        <v/>
      </c>
      <c r="AA483" t="str">
        <f t="shared" ca="1" si="108"/>
        <v/>
      </c>
      <c r="AB483" t="str">
        <f t="shared" ca="1" si="109"/>
        <v/>
      </c>
      <c r="AC483" t="str">
        <f t="shared" ca="1" si="110"/>
        <v/>
      </c>
      <c r="AD483" t="str">
        <f t="shared" ca="1" si="111"/>
        <v/>
      </c>
      <c r="AE483" t="str">
        <f t="shared" ca="1" si="112"/>
        <v/>
      </c>
      <c r="AF483" t="str">
        <f t="shared" ca="1" si="113"/>
        <v/>
      </c>
      <c r="AG483" s="47"/>
    </row>
    <row r="484" spans="3:33" x14ac:dyDescent="0.25">
      <c r="C484" s="118">
        <f t="shared" si="115"/>
        <v>42270</v>
      </c>
      <c r="D484">
        <f ca="1">IFERROR(SUMIFS(OFFSET(DBRA_TopicHCP,0,D$217,DBR_COUNT,1),DBRA_WorkplanDate,$C484,DBRA_PlayerID,$D$3),"")</f>
        <v>0</v>
      </c>
      <c r="E484">
        <f ca="1">IFERROR(SUMIFS(OFFSET(DBRA_TopicHCP,0,E$217,DBR_COUNT,1),DBRA_WorkplanDate,$C484,DBRA_PlayerID,$D$3),"")</f>
        <v>0</v>
      </c>
      <c r="F484">
        <f ca="1">IFERROR(SUMIFS(OFFSET(DBRA_TopicHCP,0,F$217,DBR_COUNT,1),DBRA_WorkplanDate,$C484,DBRA_PlayerID,$D$3),"")</f>
        <v>0</v>
      </c>
      <c r="G484">
        <f ca="1">IFERROR(SUMIFS(OFFSET(DBRA_TopicHCP,0,G$217,DBR_COUNT,1),DBRA_WorkplanDate,$C484,DBRA_PlayerID,$D$3),"")</f>
        <v>0</v>
      </c>
      <c r="H484">
        <f ca="1">IFERROR(SUMIFS(OFFSET(DBRA_TopicHCP,0,H$217,DBR_COUNT,1),DBRA_WorkplanDate,$C484,DBRA_PlayerID,$D$3),"")</f>
        <v>0</v>
      </c>
      <c r="I484">
        <f ca="1">IFERROR(SUMIFS(OFFSET(DBRA_TopicHCP,0,I$217,DBR_COUNT,1),DBRA_WorkplanDate,$C484,DBRA_PlayerID,$D$3),"")</f>
        <v>0</v>
      </c>
      <c r="J484">
        <f ca="1">IFERROR(SUMIFS(OFFSET(DBRA_TopicHCP,0,J$217,DBR_COUNT,1),DBRA_WorkplanDate,$C484,DBRA_PlayerID,$D$3),"")</f>
        <v>0</v>
      </c>
      <c r="K484">
        <f ca="1">IFERROR(SUMIFS(OFFSET(DBRA_TopicHCP,0,K$217,DBR_COUNT,1),DBRA_WorkplanDate,$C484,DBRA_PlayerID,$D$3),"")</f>
        <v>0</v>
      </c>
      <c r="L484">
        <f ca="1">IFERROR(SUMIFS(OFFSET(DBRA_TopicHCP,0,L$217,DBR_COUNT,1),DBRA_WorkplanDate,$C484,DBRA_PlayerID,$D$3),"")</f>
        <v>0</v>
      </c>
      <c r="M484" s="47"/>
      <c r="N484">
        <f ca="1">IFERROR(SUMIFS(OFFSET(DBRA_TopicCount,0,N$217,DBR_COUNT,1),DBRA_WorkplanDate,$C484,DBRA_PlayerID,$D$3),"")</f>
        <v>0</v>
      </c>
      <c r="O484">
        <f ca="1">IFERROR(SUMIFS(OFFSET(DBRA_TopicCount,0,O$217,DBR_COUNT,1),DBRA_WorkplanDate,$C484,DBRA_PlayerID,$D$3),"")</f>
        <v>0</v>
      </c>
      <c r="P484">
        <f ca="1">IFERROR(SUMIFS(OFFSET(DBRA_TopicCount,0,P$217,DBR_COUNT,1),DBRA_WorkplanDate,$C484,DBRA_PlayerID,$D$3),"")</f>
        <v>0</v>
      </c>
      <c r="Q484">
        <f ca="1">IFERROR(SUMIFS(OFFSET(DBRA_TopicCount,0,Q$217,DBR_COUNT,1),DBRA_WorkplanDate,$C484,DBRA_PlayerID,$D$3),"")</f>
        <v>0</v>
      </c>
      <c r="R484">
        <f ca="1">IFERROR(SUMIFS(OFFSET(DBRA_TopicCount,0,R$217,DBR_COUNT,1),DBRA_WorkplanDate,$C484,DBRA_PlayerID,$D$3),"")</f>
        <v>0</v>
      </c>
      <c r="S484">
        <f ca="1">IFERROR(SUMIFS(OFFSET(DBRA_TopicCount,0,S$217,DBR_COUNT,1),DBRA_WorkplanDate,$C484,DBRA_PlayerID,$D$3),"")</f>
        <v>0</v>
      </c>
      <c r="T484">
        <f ca="1">IFERROR(SUMIFS(OFFSET(DBRA_TopicCount,0,T$217,DBR_COUNT,1),DBRA_WorkplanDate,$C484,DBRA_PlayerID,$D$3),"")</f>
        <v>0</v>
      </c>
      <c r="U484">
        <f ca="1">IFERROR(SUMIFS(OFFSET(DBRA_TopicCount,0,U$217,DBR_COUNT,1),DBRA_WorkplanDate,$C484,DBRA_PlayerID,$D$3),"")</f>
        <v>0</v>
      </c>
      <c r="V484">
        <f ca="1">IFERROR(SUMIFS(OFFSET(DBRA_TopicCount,0,V$217,DBR_COUNT,1),DBRA_WorkplanDate,$C484,DBRA_PlayerID,$D$3),"")</f>
        <v>0</v>
      </c>
      <c r="W484" s="47"/>
      <c r="X484" t="str">
        <f t="shared" ca="1" si="114"/>
        <v/>
      </c>
      <c r="Y484" t="str">
        <f t="shared" ca="1" si="106"/>
        <v/>
      </c>
      <c r="Z484" t="str">
        <f t="shared" ca="1" si="107"/>
        <v/>
      </c>
      <c r="AA484" t="str">
        <f t="shared" ca="1" si="108"/>
        <v/>
      </c>
      <c r="AB484" t="str">
        <f t="shared" ca="1" si="109"/>
        <v/>
      </c>
      <c r="AC484" t="str">
        <f t="shared" ca="1" si="110"/>
        <v/>
      </c>
      <c r="AD484" t="str">
        <f t="shared" ca="1" si="111"/>
        <v/>
      </c>
      <c r="AE484" t="str">
        <f t="shared" ca="1" si="112"/>
        <v/>
      </c>
      <c r="AF484" t="str">
        <f t="shared" ca="1" si="113"/>
        <v/>
      </c>
      <c r="AG484" s="47"/>
    </row>
    <row r="485" spans="3:33" x14ac:dyDescent="0.25">
      <c r="C485" s="118">
        <f t="shared" si="115"/>
        <v>42271</v>
      </c>
      <c r="D485">
        <f ca="1">IFERROR(SUMIFS(OFFSET(DBRA_TopicHCP,0,D$217,DBR_COUNT,1),DBRA_WorkplanDate,$C485,DBRA_PlayerID,$D$3),"")</f>
        <v>0</v>
      </c>
      <c r="E485">
        <f ca="1">IFERROR(SUMIFS(OFFSET(DBRA_TopicHCP,0,E$217,DBR_COUNT,1),DBRA_WorkplanDate,$C485,DBRA_PlayerID,$D$3),"")</f>
        <v>0</v>
      </c>
      <c r="F485">
        <f ca="1">IFERROR(SUMIFS(OFFSET(DBRA_TopicHCP,0,F$217,DBR_COUNT,1),DBRA_WorkplanDate,$C485,DBRA_PlayerID,$D$3),"")</f>
        <v>0</v>
      </c>
      <c r="G485">
        <f ca="1">IFERROR(SUMIFS(OFFSET(DBRA_TopicHCP,0,G$217,DBR_COUNT,1),DBRA_WorkplanDate,$C485,DBRA_PlayerID,$D$3),"")</f>
        <v>0</v>
      </c>
      <c r="H485">
        <f ca="1">IFERROR(SUMIFS(OFFSET(DBRA_TopicHCP,0,H$217,DBR_COUNT,1),DBRA_WorkplanDate,$C485,DBRA_PlayerID,$D$3),"")</f>
        <v>0</v>
      </c>
      <c r="I485">
        <f ca="1">IFERROR(SUMIFS(OFFSET(DBRA_TopicHCP,0,I$217,DBR_COUNT,1),DBRA_WorkplanDate,$C485,DBRA_PlayerID,$D$3),"")</f>
        <v>0</v>
      </c>
      <c r="J485">
        <f ca="1">IFERROR(SUMIFS(OFFSET(DBRA_TopicHCP,0,J$217,DBR_COUNT,1),DBRA_WorkplanDate,$C485,DBRA_PlayerID,$D$3),"")</f>
        <v>0</v>
      </c>
      <c r="K485">
        <f ca="1">IFERROR(SUMIFS(OFFSET(DBRA_TopicHCP,0,K$217,DBR_COUNT,1),DBRA_WorkplanDate,$C485,DBRA_PlayerID,$D$3),"")</f>
        <v>0</v>
      </c>
      <c r="L485">
        <f ca="1">IFERROR(SUMIFS(OFFSET(DBRA_TopicHCP,0,L$217,DBR_COUNT,1),DBRA_WorkplanDate,$C485,DBRA_PlayerID,$D$3),"")</f>
        <v>0</v>
      </c>
      <c r="M485" s="47"/>
      <c r="N485">
        <f ca="1">IFERROR(SUMIFS(OFFSET(DBRA_TopicCount,0,N$217,DBR_COUNT,1),DBRA_WorkplanDate,$C485,DBRA_PlayerID,$D$3),"")</f>
        <v>0</v>
      </c>
      <c r="O485">
        <f ca="1">IFERROR(SUMIFS(OFFSET(DBRA_TopicCount,0,O$217,DBR_COUNT,1),DBRA_WorkplanDate,$C485,DBRA_PlayerID,$D$3),"")</f>
        <v>0</v>
      </c>
      <c r="P485">
        <f ca="1">IFERROR(SUMIFS(OFFSET(DBRA_TopicCount,0,P$217,DBR_COUNT,1),DBRA_WorkplanDate,$C485,DBRA_PlayerID,$D$3),"")</f>
        <v>0</v>
      </c>
      <c r="Q485">
        <f ca="1">IFERROR(SUMIFS(OFFSET(DBRA_TopicCount,0,Q$217,DBR_COUNT,1),DBRA_WorkplanDate,$C485,DBRA_PlayerID,$D$3),"")</f>
        <v>0</v>
      </c>
      <c r="R485">
        <f ca="1">IFERROR(SUMIFS(OFFSET(DBRA_TopicCount,0,R$217,DBR_COUNT,1),DBRA_WorkplanDate,$C485,DBRA_PlayerID,$D$3),"")</f>
        <v>0</v>
      </c>
      <c r="S485">
        <f ca="1">IFERROR(SUMIFS(OFFSET(DBRA_TopicCount,0,S$217,DBR_COUNT,1),DBRA_WorkplanDate,$C485,DBRA_PlayerID,$D$3),"")</f>
        <v>0</v>
      </c>
      <c r="T485">
        <f ca="1">IFERROR(SUMIFS(OFFSET(DBRA_TopicCount,0,T$217,DBR_COUNT,1),DBRA_WorkplanDate,$C485,DBRA_PlayerID,$D$3),"")</f>
        <v>0</v>
      </c>
      <c r="U485">
        <f ca="1">IFERROR(SUMIFS(OFFSET(DBRA_TopicCount,0,U$217,DBR_COUNT,1),DBRA_WorkplanDate,$C485,DBRA_PlayerID,$D$3),"")</f>
        <v>0</v>
      </c>
      <c r="V485">
        <f ca="1">IFERROR(SUMIFS(OFFSET(DBRA_TopicCount,0,V$217,DBR_COUNT,1),DBRA_WorkplanDate,$C485,DBRA_PlayerID,$D$3),"")</f>
        <v>0</v>
      </c>
      <c r="W485" s="47"/>
      <c r="X485" t="str">
        <f t="shared" ca="1" si="114"/>
        <v/>
      </c>
      <c r="Y485" t="str">
        <f t="shared" ca="1" si="106"/>
        <v/>
      </c>
      <c r="Z485" t="str">
        <f t="shared" ca="1" si="107"/>
        <v/>
      </c>
      <c r="AA485" t="str">
        <f t="shared" ca="1" si="108"/>
        <v/>
      </c>
      <c r="AB485" t="str">
        <f t="shared" ca="1" si="109"/>
        <v/>
      </c>
      <c r="AC485" t="str">
        <f t="shared" ca="1" si="110"/>
        <v/>
      </c>
      <c r="AD485" t="str">
        <f t="shared" ca="1" si="111"/>
        <v/>
      </c>
      <c r="AE485" t="str">
        <f t="shared" ca="1" si="112"/>
        <v/>
      </c>
      <c r="AF485" t="str">
        <f t="shared" ca="1" si="113"/>
        <v/>
      </c>
      <c r="AG485" s="47"/>
    </row>
    <row r="486" spans="3:33" x14ac:dyDescent="0.25">
      <c r="C486" s="118">
        <f t="shared" si="115"/>
        <v>42272</v>
      </c>
      <c r="D486">
        <f ca="1">IFERROR(SUMIFS(OFFSET(DBRA_TopicHCP,0,D$217,DBR_COUNT,1),DBRA_WorkplanDate,$C486,DBRA_PlayerID,$D$3),"")</f>
        <v>0</v>
      </c>
      <c r="E486">
        <f ca="1">IFERROR(SUMIFS(OFFSET(DBRA_TopicHCP,0,E$217,DBR_COUNT,1),DBRA_WorkplanDate,$C486,DBRA_PlayerID,$D$3),"")</f>
        <v>0</v>
      </c>
      <c r="F486">
        <f ca="1">IFERROR(SUMIFS(OFFSET(DBRA_TopicHCP,0,F$217,DBR_COUNT,1),DBRA_WorkplanDate,$C486,DBRA_PlayerID,$D$3),"")</f>
        <v>0</v>
      </c>
      <c r="G486">
        <f ca="1">IFERROR(SUMIFS(OFFSET(DBRA_TopicHCP,0,G$217,DBR_COUNT,1),DBRA_WorkplanDate,$C486,DBRA_PlayerID,$D$3),"")</f>
        <v>0</v>
      </c>
      <c r="H486">
        <f ca="1">IFERROR(SUMIFS(OFFSET(DBRA_TopicHCP,0,H$217,DBR_COUNT,1),DBRA_WorkplanDate,$C486,DBRA_PlayerID,$D$3),"")</f>
        <v>0</v>
      </c>
      <c r="I486">
        <f ca="1">IFERROR(SUMIFS(OFFSET(DBRA_TopicHCP,0,I$217,DBR_COUNT,1),DBRA_WorkplanDate,$C486,DBRA_PlayerID,$D$3),"")</f>
        <v>0</v>
      </c>
      <c r="J486">
        <f ca="1">IFERROR(SUMIFS(OFFSET(DBRA_TopicHCP,0,J$217,DBR_COUNT,1),DBRA_WorkplanDate,$C486,DBRA_PlayerID,$D$3),"")</f>
        <v>0</v>
      </c>
      <c r="K486">
        <f ca="1">IFERROR(SUMIFS(OFFSET(DBRA_TopicHCP,0,K$217,DBR_COUNT,1),DBRA_WorkplanDate,$C486,DBRA_PlayerID,$D$3),"")</f>
        <v>0</v>
      </c>
      <c r="L486">
        <f ca="1">IFERROR(SUMIFS(OFFSET(DBRA_TopicHCP,0,L$217,DBR_COUNT,1),DBRA_WorkplanDate,$C486,DBRA_PlayerID,$D$3),"")</f>
        <v>0</v>
      </c>
      <c r="M486" s="47"/>
      <c r="N486">
        <f ca="1">IFERROR(SUMIFS(OFFSET(DBRA_TopicCount,0,N$217,DBR_COUNT,1),DBRA_WorkplanDate,$C486,DBRA_PlayerID,$D$3),"")</f>
        <v>0</v>
      </c>
      <c r="O486">
        <f ca="1">IFERROR(SUMIFS(OFFSET(DBRA_TopicCount,0,O$217,DBR_COUNT,1),DBRA_WorkplanDate,$C486,DBRA_PlayerID,$D$3),"")</f>
        <v>0</v>
      </c>
      <c r="P486">
        <f ca="1">IFERROR(SUMIFS(OFFSET(DBRA_TopicCount,0,P$217,DBR_COUNT,1),DBRA_WorkplanDate,$C486,DBRA_PlayerID,$D$3),"")</f>
        <v>0</v>
      </c>
      <c r="Q486">
        <f ca="1">IFERROR(SUMIFS(OFFSET(DBRA_TopicCount,0,Q$217,DBR_COUNT,1),DBRA_WorkplanDate,$C486,DBRA_PlayerID,$D$3),"")</f>
        <v>0</v>
      </c>
      <c r="R486">
        <f ca="1">IFERROR(SUMIFS(OFFSET(DBRA_TopicCount,0,R$217,DBR_COUNT,1),DBRA_WorkplanDate,$C486,DBRA_PlayerID,$D$3),"")</f>
        <v>0</v>
      </c>
      <c r="S486">
        <f ca="1">IFERROR(SUMIFS(OFFSET(DBRA_TopicCount,0,S$217,DBR_COUNT,1),DBRA_WorkplanDate,$C486,DBRA_PlayerID,$D$3),"")</f>
        <v>0</v>
      </c>
      <c r="T486">
        <f ca="1">IFERROR(SUMIFS(OFFSET(DBRA_TopicCount,0,T$217,DBR_COUNT,1),DBRA_WorkplanDate,$C486,DBRA_PlayerID,$D$3),"")</f>
        <v>0</v>
      </c>
      <c r="U486">
        <f ca="1">IFERROR(SUMIFS(OFFSET(DBRA_TopicCount,0,U$217,DBR_COUNT,1),DBRA_WorkplanDate,$C486,DBRA_PlayerID,$D$3),"")</f>
        <v>0</v>
      </c>
      <c r="V486">
        <f ca="1">IFERROR(SUMIFS(OFFSET(DBRA_TopicCount,0,V$217,DBR_COUNT,1),DBRA_WorkplanDate,$C486,DBRA_PlayerID,$D$3),"")</f>
        <v>0</v>
      </c>
      <c r="W486" s="47"/>
      <c r="X486" t="str">
        <f t="shared" ca="1" si="114"/>
        <v/>
      </c>
      <c r="Y486" t="str">
        <f t="shared" ca="1" si="106"/>
        <v/>
      </c>
      <c r="Z486" t="str">
        <f t="shared" ca="1" si="107"/>
        <v/>
      </c>
      <c r="AA486" t="str">
        <f t="shared" ca="1" si="108"/>
        <v/>
      </c>
      <c r="AB486" t="str">
        <f t="shared" ca="1" si="109"/>
        <v/>
      </c>
      <c r="AC486" t="str">
        <f t="shared" ca="1" si="110"/>
        <v/>
      </c>
      <c r="AD486" t="str">
        <f t="shared" ca="1" si="111"/>
        <v/>
      </c>
      <c r="AE486" t="str">
        <f t="shared" ca="1" si="112"/>
        <v/>
      </c>
      <c r="AF486" t="str">
        <f t="shared" ca="1" si="113"/>
        <v/>
      </c>
      <c r="AG486" s="47"/>
    </row>
    <row r="487" spans="3:33" x14ac:dyDescent="0.25">
      <c r="C487" s="118">
        <f t="shared" si="115"/>
        <v>42273</v>
      </c>
      <c r="D487">
        <f ca="1">IFERROR(SUMIFS(OFFSET(DBRA_TopicHCP,0,D$217,DBR_COUNT,1),DBRA_WorkplanDate,$C487,DBRA_PlayerID,$D$3),"")</f>
        <v>0</v>
      </c>
      <c r="E487">
        <f ca="1">IFERROR(SUMIFS(OFFSET(DBRA_TopicHCP,0,E$217,DBR_COUNT,1),DBRA_WorkplanDate,$C487,DBRA_PlayerID,$D$3),"")</f>
        <v>0</v>
      </c>
      <c r="F487">
        <f ca="1">IFERROR(SUMIFS(OFFSET(DBRA_TopicHCP,0,F$217,DBR_COUNT,1),DBRA_WorkplanDate,$C487,DBRA_PlayerID,$D$3),"")</f>
        <v>0</v>
      </c>
      <c r="G487">
        <f ca="1">IFERROR(SUMIFS(OFFSET(DBRA_TopicHCP,0,G$217,DBR_COUNT,1),DBRA_WorkplanDate,$C487,DBRA_PlayerID,$D$3),"")</f>
        <v>0</v>
      </c>
      <c r="H487">
        <f ca="1">IFERROR(SUMIFS(OFFSET(DBRA_TopicHCP,0,H$217,DBR_COUNT,1),DBRA_WorkplanDate,$C487,DBRA_PlayerID,$D$3),"")</f>
        <v>0</v>
      </c>
      <c r="I487">
        <f ca="1">IFERROR(SUMIFS(OFFSET(DBRA_TopicHCP,0,I$217,DBR_COUNT,1),DBRA_WorkplanDate,$C487,DBRA_PlayerID,$D$3),"")</f>
        <v>0</v>
      </c>
      <c r="J487">
        <f ca="1">IFERROR(SUMIFS(OFFSET(DBRA_TopicHCP,0,J$217,DBR_COUNT,1),DBRA_WorkplanDate,$C487,DBRA_PlayerID,$D$3),"")</f>
        <v>0</v>
      </c>
      <c r="K487">
        <f ca="1">IFERROR(SUMIFS(OFFSET(DBRA_TopicHCP,0,K$217,DBR_COUNT,1),DBRA_WorkplanDate,$C487,DBRA_PlayerID,$D$3),"")</f>
        <v>0</v>
      </c>
      <c r="L487">
        <f ca="1">IFERROR(SUMIFS(OFFSET(DBRA_TopicHCP,0,L$217,DBR_COUNT,1),DBRA_WorkplanDate,$C487,DBRA_PlayerID,$D$3),"")</f>
        <v>0</v>
      </c>
      <c r="M487" s="47"/>
      <c r="N487">
        <f ca="1">IFERROR(SUMIFS(OFFSET(DBRA_TopicCount,0,N$217,DBR_COUNT,1),DBRA_WorkplanDate,$C487,DBRA_PlayerID,$D$3),"")</f>
        <v>0</v>
      </c>
      <c r="O487">
        <f ca="1">IFERROR(SUMIFS(OFFSET(DBRA_TopicCount,0,O$217,DBR_COUNT,1),DBRA_WorkplanDate,$C487,DBRA_PlayerID,$D$3),"")</f>
        <v>0</v>
      </c>
      <c r="P487">
        <f ca="1">IFERROR(SUMIFS(OFFSET(DBRA_TopicCount,0,P$217,DBR_COUNT,1),DBRA_WorkplanDate,$C487,DBRA_PlayerID,$D$3),"")</f>
        <v>0</v>
      </c>
      <c r="Q487">
        <f ca="1">IFERROR(SUMIFS(OFFSET(DBRA_TopicCount,0,Q$217,DBR_COUNT,1),DBRA_WorkplanDate,$C487,DBRA_PlayerID,$D$3),"")</f>
        <v>0</v>
      </c>
      <c r="R487">
        <f ca="1">IFERROR(SUMIFS(OFFSET(DBRA_TopicCount,0,R$217,DBR_COUNT,1),DBRA_WorkplanDate,$C487,DBRA_PlayerID,$D$3),"")</f>
        <v>0</v>
      </c>
      <c r="S487">
        <f ca="1">IFERROR(SUMIFS(OFFSET(DBRA_TopicCount,0,S$217,DBR_COUNT,1),DBRA_WorkplanDate,$C487,DBRA_PlayerID,$D$3),"")</f>
        <v>0</v>
      </c>
      <c r="T487">
        <f ca="1">IFERROR(SUMIFS(OFFSET(DBRA_TopicCount,0,T$217,DBR_COUNT,1),DBRA_WorkplanDate,$C487,DBRA_PlayerID,$D$3),"")</f>
        <v>0</v>
      </c>
      <c r="U487">
        <f ca="1">IFERROR(SUMIFS(OFFSET(DBRA_TopicCount,0,U$217,DBR_COUNT,1),DBRA_WorkplanDate,$C487,DBRA_PlayerID,$D$3),"")</f>
        <v>0</v>
      </c>
      <c r="V487">
        <f ca="1">IFERROR(SUMIFS(OFFSET(DBRA_TopicCount,0,V$217,DBR_COUNT,1),DBRA_WorkplanDate,$C487,DBRA_PlayerID,$D$3),"")</f>
        <v>0</v>
      </c>
      <c r="W487" s="47"/>
      <c r="X487" t="str">
        <f t="shared" ca="1" si="114"/>
        <v/>
      </c>
      <c r="Y487" t="str">
        <f t="shared" ca="1" si="106"/>
        <v/>
      </c>
      <c r="Z487" t="str">
        <f t="shared" ca="1" si="107"/>
        <v/>
      </c>
      <c r="AA487" t="str">
        <f t="shared" ca="1" si="108"/>
        <v/>
      </c>
      <c r="AB487" t="str">
        <f t="shared" ca="1" si="109"/>
        <v/>
      </c>
      <c r="AC487" t="str">
        <f t="shared" ca="1" si="110"/>
        <v/>
      </c>
      <c r="AD487" t="str">
        <f t="shared" ca="1" si="111"/>
        <v/>
      </c>
      <c r="AE487" t="str">
        <f t="shared" ca="1" si="112"/>
        <v/>
      </c>
      <c r="AF487" t="str">
        <f t="shared" ca="1" si="113"/>
        <v/>
      </c>
      <c r="AG487" s="47"/>
    </row>
    <row r="488" spans="3:33" x14ac:dyDescent="0.25">
      <c r="C488" s="118">
        <f t="shared" si="115"/>
        <v>42274</v>
      </c>
      <c r="D488">
        <f ca="1">IFERROR(SUMIFS(OFFSET(DBRA_TopicHCP,0,D$217,DBR_COUNT,1),DBRA_WorkplanDate,$C488,DBRA_PlayerID,$D$3),"")</f>
        <v>0</v>
      </c>
      <c r="E488">
        <f ca="1">IFERROR(SUMIFS(OFFSET(DBRA_TopicHCP,0,E$217,DBR_COUNT,1),DBRA_WorkplanDate,$C488,DBRA_PlayerID,$D$3),"")</f>
        <v>0</v>
      </c>
      <c r="F488">
        <f ca="1">IFERROR(SUMIFS(OFFSET(DBRA_TopicHCP,0,F$217,DBR_COUNT,1),DBRA_WorkplanDate,$C488,DBRA_PlayerID,$D$3),"")</f>
        <v>0</v>
      </c>
      <c r="G488">
        <f ca="1">IFERROR(SUMIFS(OFFSET(DBRA_TopicHCP,0,G$217,DBR_COUNT,1),DBRA_WorkplanDate,$C488,DBRA_PlayerID,$D$3),"")</f>
        <v>0</v>
      </c>
      <c r="H488">
        <f ca="1">IFERROR(SUMIFS(OFFSET(DBRA_TopicHCP,0,H$217,DBR_COUNT,1),DBRA_WorkplanDate,$C488,DBRA_PlayerID,$D$3),"")</f>
        <v>0</v>
      </c>
      <c r="I488">
        <f ca="1">IFERROR(SUMIFS(OFFSET(DBRA_TopicHCP,0,I$217,DBR_COUNT,1),DBRA_WorkplanDate,$C488,DBRA_PlayerID,$D$3),"")</f>
        <v>0</v>
      </c>
      <c r="J488">
        <f ca="1">IFERROR(SUMIFS(OFFSET(DBRA_TopicHCP,0,J$217,DBR_COUNT,1),DBRA_WorkplanDate,$C488,DBRA_PlayerID,$D$3),"")</f>
        <v>0</v>
      </c>
      <c r="K488">
        <f ca="1">IFERROR(SUMIFS(OFFSET(DBRA_TopicHCP,0,K$217,DBR_COUNT,1),DBRA_WorkplanDate,$C488,DBRA_PlayerID,$D$3),"")</f>
        <v>0</v>
      </c>
      <c r="L488">
        <f ca="1">IFERROR(SUMIFS(OFFSET(DBRA_TopicHCP,0,L$217,DBR_COUNT,1),DBRA_WorkplanDate,$C488,DBRA_PlayerID,$D$3),"")</f>
        <v>0</v>
      </c>
      <c r="M488" s="47"/>
      <c r="N488">
        <f ca="1">IFERROR(SUMIFS(OFFSET(DBRA_TopicCount,0,N$217,DBR_COUNT,1),DBRA_WorkplanDate,$C488,DBRA_PlayerID,$D$3),"")</f>
        <v>0</v>
      </c>
      <c r="O488">
        <f ca="1">IFERROR(SUMIFS(OFFSET(DBRA_TopicCount,0,O$217,DBR_COUNT,1),DBRA_WorkplanDate,$C488,DBRA_PlayerID,$D$3),"")</f>
        <v>0</v>
      </c>
      <c r="P488">
        <f ca="1">IFERROR(SUMIFS(OFFSET(DBRA_TopicCount,0,P$217,DBR_COUNT,1),DBRA_WorkplanDate,$C488,DBRA_PlayerID,$D$3),"")</f>
        <v>0</v>
      </c>
      <c r="Q488">
        <f ca="1">IFERROR(SUMIFS(OFFSET(DBRA_TopicCount,0,Q$217,DBR_COUNT,1),DBRA_WorkplanDate,$C488,DBRA_PlayerID,$D$3),"")</f>
        <v>0</v>
      </c>
      <c r="R488">
        <f ca="1">IFERROR(SUMIFS(OFFSET(DBRA_TopicCount,0,R$217,DBR_COUNT,1),DBRA_WorkplanDate,$C488,DBRA_PlayerID,$D$3),"")</f>
        <v>0</v>
      </c>
      <c r="S488">
        <f ca="1">IFERROR(SUMIFS(OFFSET(DBRA_TopicCount,0,S$217,DBR_COUNT,1),DBRA_WorkplanDate,$C488,DBRA_PlayerID,$D$3),"")</f>
        <v>0</v>
      </c>
      <c r="T488">
        <f ca="1">IFERROR(SUMIFS(OFFSET(DBRA_TopicCount,0,T$217,DBR_COUNT,1),DBRA_WorkplanDate,$C488,DBRA_PlayerID,$D$3),"")</f>
        <v>0</v>
      </c>
      <c r="U488">
        <f ca="1">IFERROR(SUMIFS(OFFSET(DBRA_TopicCount,0,U$217,DBR_COUNT,1),DBRA_WorkplanDate,$C488,DBRA_PlayerID,$D$3),"")</f>
        <v>0</v>
      </c>
      <c r="V488">
        <f ca="1">IFERROR(SUMIFS(OFFSET(DBRA_TopicCount,0,V$217,DBR_COUNT,1),DBRA_WorkplanDate,$C488,DBRA_PlayerID,$D$3),"")</f>
        <v>0</v>
      </c>
      <c r="W488" s="47"/>
      <c r="X488" t="str">
        <f t="shared" ca="1" si="114"/>
        <v/>
      </c>
      <c r="Y488" t="str">
        <f t="shared" ca="1" si="106"/>
        <v/>
      </c>
      <c r="Z488" t="str">
        <f t="shared" ca="1" si="107"/>
        <v/>
      </c>
      <c r="AA488" t="str">
        <f t="shared" ca="1" si="108"/>
        <v/>
      </c>
      <c r="AB488" t="str">
        <f t="shared" ca="1" si="109"/>
        <v/>
      </c>
      <c r="AC488" t="str">
        <f t="shared" ca="1" si="110"/>
        <v/>
      </c>
      <c r="AD488" t="str">
        <f t="shared" ca="1" si="111"/>
        <v/>
      </c>
      <c r="AE488" t="str">
        <f t="shared" ca="1" si="112"/>
        <v/>
      </c>
      <c r="AF488" t="str">
        <f t="shared" ca="1" si="113"/>
        <v/>
      </c>
      <c r="AG488" s="47"/>
    </row>
    <row r="489" spans="3:33" x14ac:dyDescent="0.25">
      <c r="C489" s="118">
        <f t="shared" si="115"/>
        <v>42275</v>
      </c>
      <c r="D489">
        <f ca="1">IFERROR(SUMIFS(OFFSET(DBRA_TopicHCP,0,D$217,DBR_COUNT,1),DBRA_WorkplanDate,$C489,DBRA_PlayerID,$D$3),"")</f>
        <v>0</v>
      </c>
      <c r="E489">
        <f ca="1">IFERROR(SUMIFS(OFFSET(DBRA_TopicHCP,0,E$217,DBR_COUNT,1),DBRA_WorkplanDate,$C489,DBRA_PlayerID,$D$3),"")</f>
        <v>0</v>
      </c>
      <c r="F489">
        <f ca="1">IFERROR(SUMIFS(OFFSET(DBRA_TopicHCP,0,F$217,DBR_COUNT,1),DBRA_WorkplanDate,$C489,DBRA_PlayerID,$D$3),"")</f>
        <v>0</v>
      </c>
      <c r="G489">
        <f ca="1">IFERROR(SUMIFS(OFFSET(DBRA_TopicHCP,0,G$217,DBR_COUNT,1),DBRA_WorkplanDate,$C489,DBRA_PlayerID,$D$3),"")</f>
        <v>0</v>
      </c>
      <c r="H489">
        <f ca="1">IFERROR(SUMIFS(OFFSET(DBRA_TopicHCP,0,H$217,DBR_COUNT,1),DBRA_WorkplanDate,$C489,DBRA_PlayerID,$D$3),"")</f>
        <v>0</v>
      </c>
      <c r="I489">
        <f ca="1">IFERROR(SUMIFS(OFFSET(DBRA_TopicHCP,0,I$217,DBR_COUNT,1),DBRA_WorkplanDate,$C489,DBRA_PlayerID,$D$3),"")</f>
        <v>0</v>
      </c>
      <c r="J489">
        <f ca="1">IFERROR(SUMIFS(OFFSET(DBRA_TopicHCP,0,J$217,DBR_COUNT,1),DBRA_WorkplanDate,$C489,DBRA_PlayerID,$D$3),"")</f>
        <v>0</v>
      </c>
      <c r="K489">
        <f ca="1">IFERROR(SUMIFS(OFFSET(DBRA_TopicHCP,0,K$217,DBR_COUNT,1),DBRA_WorkplanDate,$C489,DBRA_PlayerID,$D$3),"")</f>
        <v>0</v>
      </c>
      <c r="L489">
        <f ca="1">IFERROR(SUMIFS(OFFSET(DBRA_TopicHCP,0,L$217,DBR_COUNT,1),DBRA_WorkplanDate,$C489,DBRA_PlayerID,$D$3),"")</f>
        <v>0</v>
      </c>
      <c r="M489" s="47"/>
      <c r="N489">
        <f ca="1">IFERROR(SUMIFS(OFFSET(DBRA_TopicCount,0,N$217,DBR_COUNT,1),DBRA_WorkplanDate,$C489,DBRA_PlayerID,$D$3),"")</f>
        <v>0</v>
      </c>
      <c r="O489">
        <f ca="1">IFERROR(SUMIFS(OFFSET(DBRA_TopicCount,0,O$217,DBR_COUNT,1),DBRA_WorkplanDate,$C489,DBRA_PlayerID,$D$3),"")</f>
        <v>0</v>
      </c>
      <c r="P489">
        <f ca="1">IFERROR(SUMIFS(OFFSET(DBRA_TopicCount,0,P$217,DBR_COUNT,1),DBRA_WorkplanDate,$C489,DBRA_PlayerID,$D$3),"")</f>
        <v>0</v>
      </c>
      <c r="Q489">
        <f ca="1">IFERROR(SUMIFS(OFFSET(DBRA_TopicCount,0,Q$217,DBR_COUNT,1),DBRA_WorkplanDate,$C489,DBRA_PlayerID,$D$3),"")</f>
        <v>0</v>
      </c>
      <c r="R489">
        <f ca="1">IFERROR(SUMIFS(OFFSET(DBRA_TopicCount,0,R$217,DBR_COUNT,1),DBRA_WorkplanDate,$C489,DBRA_PlayerID,$D$3),"")</f>
        <v>0</v>
      </c>
      <c r="S489">
        <f ca="1">IFERROR(SUMIFS(OFFSET(DBRA_TopicCount,0,S$217,DBR_COUNT,1),DBRA_WorkplanDate,$C489,DBRA_PlayerID,$D$3),"")</f>
        <v>0</v>
      </c>
      <c r="T489">
        <f ca="1">IFERROR(SUMIFS(OFFSET(DBRA_TopicCount,0,T$217,DBR_COUNT,1),DBRA_WorkplanDate,$C489,DBRA_PlayerID,$D$3),"")</f>
        <v>0</v>
      </c>
      <c r="U489">
        <f ca="1">IFERROR(SUMIFS(OFFSET(DBRA_TopicCount,0,U$217,DBR_COUNT,1),DBRA_WorkplanDate,$C489,DBRA_PlayerID,$D$3),"")</f>
        <v>0</v>
      </c>
      <c r="V489">
        <f ca="1">IFERROR(SUMIFS(OFFSET(DBRA_TopicCount,0,V$217,DBR_COUNT,1),DBRA_WorkplanDate,$C489,DBRA_PlayerID,$D$3),"")</f>
        <v>0</v>
      </c>
      <c r="W489" s="47"/>
      <c r="X489" t="str">
        <f t="shared" ca="1" si="114"/>
        <v/>
      </c>
      <c r="Y489" t="str">
        <f t="shared" ca="1" si="106"/>
        <v/>
      </c>
      <c r="Z489" t="str">
        <f t="shared" ca="1" si="107"/>
        <v/>
      </c>
      <c r="AA489" t="str">
        <f t="shared" ca="1" si="108"/>
        <v/>
      </c>
      <c r="AB489" t="str">
        <f t="shared" ca="1" si="109"/>
        <v/>
      </c>
      <c r="AC489" t="str">
        <f t="shared" ca="1" si="110"/>
        <v/>
      </c>
      <c r="AD489" t="str">
        <f t="shared" ca="1" si="111"/>
        <v/>
      </c>
      <c r="AE489" t="str">
        <f t="shared" ca="1" si="112"/>
        <v/>
      </c>
      <c r="AF489" t="str">
        <f t="shared" ca="1" si="113"/>
        <v/>
      </c>
      <c r="AG489" s="47"/>
    </row>
    <row r="490" spans="3:33" x14ac:dyDescent="0.25">
      <c r="C490" s="118">
        <f t="shared" si="115"/>
        <v>42276</v>
      </c>
      <c r="D490">
        <f ca="1">IFERROR(SUMIFS(OFFSET(DBRA_TopicHCP,0,D$217,DBR_COUNT,1),DBRA_WorkplanDate,$C490,DBRA_PlayerID,$D$3),"")</f>
        <v>0</v>
      </c>
      <c r="E490">
        <f ca="1">IFERROR(SUMIFS(OFFSET(DBRA_TopicHCP,0,E$217,DBR_COUNT,1),DBRA_WorkplanDate,$C490,DBRA_PlayerID,$D$3),"")</f>
        <v>0</v>
      </c>
      <c r="F490">
        <f ca="1">IFERROR(SUMIFS(OFFSET(DBRA_TopicHCP,0,F$217,DBR_COUNT,1),DBRA_WorkplanDate,$C490,DBRA_PlayerID,$D$3),"")</f>
        <v>0</v>
      </c>
      <c r="G490">
        <f ca="1">IFERROR(SUMIFS(OFFSET(DBRA_TopicHCP,0,G$217,DBR_COUNT,1),DBRA_WorkplanDate,$C490,DBRA_PlayerID,$D$3),"")</f>
        <v>0</v>
      </c>
      <c r="H490">
        <f ca="1">IFERROR(SUMIFS(OFFSET(DBRA_TopicHCP,0,H$217,DBR_COUNT,1),DBRA_WorkplanDate,$C490,DBRA_PlayerID,$D$3),"")</f>
        <v>0</v>
      </c>
      <c r="I490">
        <f ca="1">IFERROR(SUMIFS(OFFSET(DBRA_TopicHCP,0,I$217,DBR_COUNT,1),DBRA_WorkplanDate,$C490,DBRA_PlayerID,$D$3),"")</f>
        <v>0</v>
      </c>
      <c r="J490">
        <f ca="1">IFERROR(SUMIFS(OFFSET(DBRA_TopicHCP,0,J$217,DBR_COUNT,1),DBRA_WorkplanDate,$C490,DBRA_PlayerID,$D$3),"")</f>
        <v>0</v>
      </c>
      <c r="K490">
        <f ca="1">IFERROR(SUMIFS(OFFSET(DBRA_TopicHCP,0,K$217,DBR_COUNT,1),DBRA_WorkplanDate,$C490,DBRA_PlayerID,$D$3),"")</f>
        <v>0</v>
      </c>
      <c r="L490">
        <f ca="1">IFERROR(SUMIFS(OFFSET(DBRA_TopicHCP,0,L$217,DBR_COUNT,1),DBRA_WorkplanDate,$C490,DBRA_PlayerID,$D$3),"")</f>
        <v>0</v>
      </c>
      <c r="M490" s="47"/>
      <c r="N490">
        <f ca="1">IFERROR(SUMIFS(OFFSET(DBRA_TopicCount,0,N$217,DBR_COUNT,1),DBRA_WorkplanDate,$C490,DBRA_PlayerID,$D$3),"")</f>
        <v>0</v>
      </c>
      <c r="O490">
        <f ca="1">IFERROR(SUMIFS(OFFSET(DBRA_TopicCount,0,O$217,DBR_COUNT,1),DBRA_WorkplanDate,$C490,DBRA_PlayerID,$D$3),"")</f>
        <v>0</v>
      </c>
      <c r="P490">
        <f ca="1">IFERROR(SUMIFS(OFFSET(DBRA_TopicCount,0,P$217,DBR_COUNT,1),DBRA_WorkplanDate,$C490,DBRA_PlayerID,$D$3),"")</f>
        <v>0</v>
      </c>
      <c r="Q490">
        <f ca="1">IFERROR(SUMIFS(OFFSET(DBRA_TopicCount,0,Q$217,DBR_COUNT,1),DBRA_WorkplanDate,$C490,DBRA_PlayerID,$D$3),"")</f>
        <v>0</v>
      </c>
      <c r="R490">
        <f ca="1">IFERROR(SUMIFS(OFFSET(DBRA_TopicCount,0,R$217,DBR_COUNT,1),DBRA_WorkplanDate,$C490,DBRA_PlayerID,$D$3),"")</f>
        <v>0</v>
      </c>
      <c r="S490">
        <f ca="1">IFERROR(SUMIFS(OFFSET(DBRA_TopicCount,0,S$217,DBR_COUNT,1),DBRA_WorkplanDate,$C490,DBRA_PlayerID,$D$3),"")</f>
        <v>0</v>
      </c>
      <c r="T490">
        <f ca="1">IFERROR(SUMIFS(OFFSET(DBRA_TopicCount,0,T$217,DBR_COUNT,1),DBRA_WorkplanDate,$C490,DBRA_PlayerID,$D$3),"")</f>
        <v>0</v>
      </c>
      <c r="U490">
        <f ca="1">IFERROR(SUMIFS(OFFSET(DBRA_TopicCount,0,U$217,DBR_COUNT,1),DBRA_WorkplanDate,$C490,DBRA_PlayerID,$D$3),"")</f>
        <v>0</v>
      </c>
      <c r="V490">
        <f ca="1">IFERROR(SUMIFS(OFFSET(DBRA_TopicCount,0,V$217,DBR_COUNT,1),DBRA_WorkplanDate,$C490,DBRA_PlayerID,$D$3),"")</f>
        <v>0</v>
      </c>
      <c r="W490" s="47"/>
      <c r="X490" t="str">
        <f t="shared" ca="1" si="114"/>
        <v/>
      </c>
      <c r="Y490" t="str">
        <f t="shared" ca="1" si="106"/>
        <v/>
      </c>
      <c r="Z490" t="str">
        <f t="shared" ca="1" si="107"/>
        <v/>
      </c>
      <c r="AA490" t="str">
        <f t="shared" ca="1" si="108"/>
        <v/>
      </c>
      <c r="AB490" t="str">
        <f t="shared" ca="1" si="109"/>
        <v/>
      </c>
      <c r="AC490" t="str">
        <f t="shared" ca="1" si="110"/>
        <v/>
      </c>
      <c r="AD490" t="str">
        <f t="shared" ca="1" si="111"/>
        <v/>
      </c>
      <c r="AE490" t="str">
        <f t="shared" ca="1" si="112"/>
        <v/>
      </c>
      <c r="AF490" t="str">
        <f t="shared" ca="1" si="113"/>
        <v/>
      </c>
      <c r="AG490" s="47"/>
    </row>
    <row r="491" spans="3:33" x14ac:dyDescent="0.25">
      <c r="C491" s="118">
        <f t="shared" si="115"/>
        <v>42277</v>
      </c>
      <c r="D491">
        <f ca="1">IFERROR(SUMIFS(OFFSET(DBRA_TopicHCP,0,D$217,DBR_COUNT,1),DBRA_WorkplanDate,$C491,DBRA_PlayerID,$D$3),"")</f>
        <v>0</v>
      </c>
      <c r="E491">
        <f ca="1">IFERROR(SUMIFS(OFFSET(DBRA_TopicHCP,0,E$217,DBR_COUNT,1),DBRA_WorkplanDate,$C491,DBRA_PlayerID,$D$3),"")</f>
        <v>0</v>
      </c>
      <c r="F491">
        <f ca="1">IFERROR(SUMIFS(OFFSET(DBRA_TopicHCP,0,F$217,DBR_COUNT,1),DBRA_WorkplanDate,$C491,DBRA_PlayerID,$D$3),"")</f>
        <v>0</v>
      </c>
      <c r="G491">
        <f ca="1">IFERROR(SUMIFS(OFFSET(DBRA_TopicHCP,0,G$217,DBR_COUNT,1),DBRA_WorkplanDate,$C491,DBRA_PlayerID,$D$3),"")</f>
        <v>0</v>
      </c>
      <c r="H491">
        <f ca="1">IFERROR(SUMIFS(OFFSET(DBRA_TopicHCP,0,H$217,DBR_COUNT,1),DBRA_WorkplanDate,$C491,DBRA_PlayerID,$D$3),"")</f>
        <v>0</v>
      </c>
      <c r="I491">
        <f ca="1">IFERROR(SUMIFS(OFFSET(DBRA_TopicHCP,0,I$217,DBR_COUNT,1),DBRA_WorkplanDate,$C491,DBRA_PlayerID,$D$3),"")</f>
        <v>0</v>
      </c>
      <c r="J491">
        <f ca="1">IFERROR(SUMIFS(OFFSET(DBRA_TopicHCP,0,J$217,DBR_COUNT,1),DBRA_WorkplanDate,$C491,DBRA_PlayerID,$D$3),"")</f>
        <v>0</v>
      </c>
      <c r="K491">
        <f ca="1">IFERROR(SUMIFS(OFFSET(DBRA_TopicHCP,0,K$217,DBR_COUNT,1),DBRA_WorkplanDate,$C491,DBRA_PlayerID,$D$3),"")</f>
        <v>0</v>
      </c>
      <c r="L491">
        <f ca="1">IFERROR(SUMIFS(OFFSET(DBRA_TopicHCP,0,L$217,DBR_COUNT,1),DBRA_WorkplanDate,$C491,DBRA_PlayerID,$D$3),"")</f>
        <v>0</v>
      </c>
      <c r="M491" s="47"/>
      <c r="N491">
        <f ca="1">IFERROR(SUMIFS(OFFSET(DBRA_TopicCount,0,N$217,DBR_COUNT,1),DBRA_WorkplanDate,$C491,DBRA_PlayerID,$D$3),"")</f>
        <v>0</v>
      </c>
      <c r="O491">
        <f ca="1">IFERROR(SUMIFS(OFFSET(DBRA_TopicCount,0,O$217,DBR_COUNT,1),DBRA_WorkplanDate,$C491,DBRA_PlayerID,$D$3),"")</f>
        <v>0</v>
      </c>
      <c r="P491">
        <f ca="1">IFERROR(SUMIFS(OFFSET(DBRA_TopicCount,0,P$217,DBR_COUNT,1),DBRA_WorkplanDate,$C491,DBRA_PlayerID,$D$3),"")</f>
        <v>0</v>
      </c>
      <c r="Q491">
        <f ca="1">IFERROR(SUMIFS(OFFSET(DBRA_TopicCount,0,Q$217,DBR_COUNT,1),DBRA_WorkplanDate,$C491,DBRA_PlayerID,$D$3),"")</f>
        <v>0</v>
      </c>
      <c r="R491">
        <f ca="1">IFERROR(SUMIFS(OFFSET(DBRA_TopicCount,0,R$217,DBR_COUNT,1),DBRA_WorkplanDate,$C491,DBRA_PlayerID,$D$3),"")</f>
        <v>0</v>
      </c>
      <c r="S491">
        <f ca="1">IFERROR(SUMIFS(OFFSET(DBRA_TopicCount,0,S$217,DBR_COUNT,1),DBRA_WorkplanDate,$C491,DBRA_PlayerID,$D$3),"")</f>
        <v>0</v>
      </c>
      <c r="T491">
        <f ca="1">IFERROR(SUMIFS(OFFSET(DBRA_TopicCount,0,T$217,DBR_COUNT,1),DBRA_WorkplanDate,$C491,DBRA_PlayerID,$D$3),"")</f>
        <v>0</v>
      </c>
      <c r="U491">
        <f ca="1">IFERROR(SUMIFS(OFFSET(DBRA_TopicCount,0,U$217,DBR_COUNT,1),DBRA_WorkplanDate,$C491,DBRA_PlayerID,$D$3),"")</f>
        <v>0</v>
      </c>
      <c r="V491">
        <f ca="1">IFERROR(SUMIFS(OFFSET(DBRA_TopicCount,0,V$217,DBR_COUNT,1),DBRA_WorkplanDate,$C491,DBRA_PlayerID,$D$3),"")</f>
        <v>0</v>
      </c>
      <c r="W491" s="47"/>
      <c r="X491" t="str">
        <f t="shared" ca="1" si="114"/>
        <v/>
      </c>
      <c r="Y491" t="str">
        <f t="shared" ca="1" si="106"/>
        <v/>
      </c>
      <c r="Z491" t="str">
        <f t="shared" ca="1" si="107"/>
        <v/>
      </c>
      <c r="AA491" t="str">
        <f t="shared" ca="1" si="108"/>
        <v/>
      </c>
      <c r="AB491" t="str">
        <f t="shared" ca="1" si="109"/>
        <v/>
      </c>
      <c r="AC491" t="str">
        <f t="shared" ca="1" si="110"/>
        <v/>
      </c>
      <c r="AD491" t="str">
        <f t="shared" ca="1" si="111"/>
        <v/>
      </c>
      <c r="AE491" t="str">
        <f t="shared" ca="1" si="112"/>
        <v/>
      </c>
      <c r="AF491" t="str">
        <f t="shared" ca="1" si="113"/>
        <v/>
      </c>
      <c r="AG491" s="47"/>
    </row>
    <row r="492" spans="3:33" x14ac:dyDescent="0.25">
      <c r="C492" s="118">
        <f t="shared" si="115"/>
        <v>42278</v>
      </c>
      <c r="D492">
        <f ca="1">IFERROR(SUMIFS(OFFSET(DBRA_TopicHCP,0,D$217,DBR_COUNT,1),DBRA_WorkplanDate,$C492,DBRA_PlayerID,$D$3),"")</f>
        <v>0</v>
      </c>
      <c r="E492">
        <f ca="1">IFERROR(SUMIFS(OFFSET(DBRA_TopicHCP,0,E$217,DBR_COUNT,1),DBRA_WorkplanDate,$C492,DBRA_PlayerID,$D$3),"")</f>
        <v>0</v>
      </c>
      <c r="F492">
        <f ca="1">IFERROR(SUMIFS(OFFSET(DBRA_TopicHCP,0,F$217,DBR_COUNT,1),DBRA_WorkplanDate,$C492,DBRA_PlayerID,$D$3),"")</f>
        <v>0</v>
      </c>
      <c r="G492">
        <f ca="1">IFERROR(SUMIFS(OFFSET(DBRA_TopicHCP,0,G$217,DBR_COUNT,1),DBRA_WorkplanDate,$C492,DBRA_PlayerID,$D$3),"")</f>
        <v>0</v>
      </c>
      <c r="H492">
        <f ca="1">IFERROR(SUMIFS(OFFSET(DBRA_TopicHCP,0,H$217,DBR_COUNT,1),DBRA_WorkplanDate,$C492,DBRA_PlayerID,$D$3),"")</f>
        <v>0</v>
      </c>
      <c r="I492">
        <f ca="1">IFERROR(SUMIFS(OFFSET(DBRA_TopicHCP,0,I$217,DBR_COUNT,1),DBRA_WorkplanDate,$C492,DBRA_PlayerID,$D$3),"")</f>
        <v>0</v>
      </c>
      <c r="J492">
        <f ca="1">IFERROR(SUMIFS(OFFSET(DBRA_TopicHCP,0,J$217,DBR_COUNT,1),DBRA_WorkplanDate,$C492,DBRA_PlayerID,$D$3),"")</f>
        <v>0</v>
      </c>
      <c r="K492">
        <f ca="1">IFERROR(SUMIFS(OFFSET(DBRA_TopicHCP,0,K$217,DBR_COUNT,1),DBRA_WorkplanDate,$C492,DBRA_PlayerID,$D$3),"")</f>
        <v>0</v>
      </c>
      <c r="L492">
        <f ca="1">IFERROR(SUMIFS(OFFSET(DBRA_TopicHCP,0,L$217,DBR_COUNT,1),DBRA_WorkplanDate,$C492,DBRA_PlayerID,$D$3),"")</f>
        <v>0</v>
      </c>
      <c r="M492" s="47"/>
      <c r="N492">
        <f ca="1">IFERROR(SUMIFS(OFFSET(DBRA_TopicCount,0,N$217,DBR_COUNT,1),DBRA_WorkplanDate,$C492,DBRA_PlayerID,$D$3),"")</f>
        <v>0</v>
      </c>
      <c r="O492">
        <f ca="1">IFERROR(SUMIFS(OFFSET(DBRA_TopicCount,0,O$217,DBR_COUNT,1),DBRA_WorkplanDate,$C492,DBRA_PlayerID,$D$3),"")</f>
        <v>0</v>
      </c>
      <c r="P492">
        <f ca="1">IFERROR(SUMIFS(OFFSET(DBRA_TopicCount,0,P$217,DBR_COUNT,1),DBRA_WorkplanDate,$C492,DBRA_PlayerID,$D$3),"")</f>
        <v>0</v>
      </c>
      <c r="Q492">
        <f ca="1">IFERROR(SUMIFS(OFFSET(DBRA_TopicCount,0,Q$217,DBR_COUNT,1),DBRA_WorkplanDate,$C492,DBRA_PlayerID,$D$3),"")</f>
        <v>0</v>
      </c>
      <c r="R492">
        <f ca="1">IFERROR(SUMIFS(OFFSET(DBRA_TopicCount,0,R$217,DBR_COUNT,1),DBRA_WorkplanDate,$C492,DBRA_PlayerID,$D$3),"")</f>
        <v>0</v>
      </c>
      <c r="S492">
        <f ca="1">IFERROR(SUMIFS(OFFSET(DBRA_TopicCount,0,S$217,DBR_COUNT,1),DBRA_WorkplanDate,$C492,DBRA_PlayerID,$D$3),"")</f>
        <v>0</v>
      </c>
      <c r="T492">
        <f ca="1">IFERROR(SUMIFS(OFFSET(DBRA_TopicCount,0,T$217,DBR_COUNT,1),DBRA_WorkplanDate,$C492,DBRA_PlayerID,$D$3),"")</f>
        <v>0</v>
      </c>
      <c r="U492">
        <f ca="1">IFERROR(SUMIFS(OFFSET(DBRA_TopicCount,0,U$217,DBR_COUNT,1),DBRA_WorkplanDate,$C492,DBRA_PlayerID,$D$3),"")</f>
        <v>0</v>
      </c>
      <c r="V492">
        <f ca="1">IFERROR(SUMIFS(OFFSET(DBRA_TopicCount,0,V$217,DBR_COUNT,1),DBRA_WorkplanDate,$C492,DBRA_PlayerID,$D$3),"")</f>
        <v>0</v>
      </c>
      <c r="W492" s="47"/>
      <c r="X492" t="str">
        <f t="shared" ca="1" si="114"/>
        <v/>
      </c>
      <c r="Y492" t="str">
        <f t="shared" ca="1" si="106"/>
        <v/>
      </c>
      <c r="Z492" t="str">
        <f t="shared" ca="1" si="107"/>
        <v/>
      </c>
      <c r="AA492" t="str">
        <f t="shared" ca="1" si="108"/>
        <v/>
      </c>
      <c r="AB492" t="str">
        <f t="shared" ca="1" si="109"/>
        <v/>
      </c>
      <c r="AC492" t="str">
        <f t="shared" ca="1" si="110"/>
        <v/>
      </c>
      <c r="AD492" t="str">
        <f t="shared" ca="1" si="111"/>
        <v/>
      </c>
      <c r="AE492" t="str">
        <f t="shared" ca="1" si="112"/>
        <v/>
      </c>
      <c r="AF492" t="str">
        <f t="shared" ca="1" si="113"/>
        <v/>
      </c>
      <c r="AG492" s="47"/>
    </row>
    <row r="493" spans="3:33" x14ac:dyDescent="0.25">
      <c r="C493" s="118">
        <f t="shared" si="115"/>
        <v>42279</v>
      </c>
      <c r="D493">
        <f ca="1">IFERROR(SUMIFS(OFFSET(DBRA_TopicHCP,0,D$217,DBR_COUNT,1),DBRA_WorkplanDate,$C493,DBRA_PlayerID,$D$3),"")</f>
        <v>0</v>
      </c>
      <c r="E493">
        <f ca="1">IFERROR(SUMIFS(OFFSET(DBRA_TopicHCP,0,E$217,DBR_COUNT,1),DBRA_WorkplanDate,$C493,DBRA_PlayerID,$D$3),"")</f>
        <v>0</v>
      </c>
      <c r="F493">
        <f ca="1">IFERROR(SUMIFS(OFFSET(DBRA_TopicHCP,0,F$217,DBR_COUNT,1),DBRA_WorkplanDate,$C493,DBRA_PlayerID,$D$3),"")</f>
        <v>0</v>
      </c>
      <c r="G493">
        <f ca="1">IFERROR(SUMIFS(OFFSET(DBRA_TopicHCP,0,G$217,DBR_COUNT,1),DBRA_WorkplanDate,$C493,DBRA_PlayerID,$D$3),"")</f>
        <v>0</v>
      </c>
      <c r="H493">
        <f ca="1">IFERROR(SUMIFS(OFFSET(DBRA_TopicHCP,0,H$217,DBR_COUNT,1),DBRA_WorkplanDate,$C493,DBRA_PlayerID,$D$3),"")</f>
        <v>0</v>
      </c>
      <c r="I493">
        <f ca="1">IFERROR(SUMIFS(OFFSET(DBRA_TopicHCP,0,I$217,DBR_COUNT,1),DBRA_WorkplanDate,$C493,DBRA_PlayerID,$D$3),"")</f>
        <v>0</v>
      </c>
      <c r="J493">
        <f ca="1">IFERROR(SUMIFS(OFFSET(DBRA_TopicHCP,0,J$217,DBR_COUNT,1),DBRA_WorkplanDate,$C493,DBRA_PlayerID,$D$3),"")</f>
        <v>0</v>
      </c>
      <c r="K493">
        <f ca="1">IFERROR(SUMIFS(OFFSET(DBRA_TopicHCP,0,K$217,DBR_COUNT,1),DBRA_WorkplanDate,$C493,DBRA_PlayerID,$D$3),"")</f>
        <v>0</v>
      </c>
      <c r="L493">
        <f ca="1">IFERROR(SUMIFS(OFFSET(DBRA_TopicHCP,0,L$217,DBR_COUNT,1),DBRA_WorkplanDate,$C493,DBRA_PlayerID,$D$3),"")</f>
        <v>0</v>
      </c>
      <c r="M493" s="47"/>
      <c r="N493">
        <f ca="1">IFERROR(SUMIFS(OFFSET(DBRA_TopicCount,0,N$217,DBR_COUNT,1),DBRA_WorkplanDate,$C493,DBRA_PlayerID,$D$3),"")</f>
        <v>0</v>
      </c>
      <c r="O493">
        <f ca="1">IFERROR(SUMIFS(OFFSET(DBRA_TopicCount,0,O$217,DBR_COUNT,1),DBRA_WorkplanDate,$C493,DBRA_PlayerID,$D$3),"")</f>
        <v>0</v>
      </c>
      <c r="P493">
        <f ca="1">IFERROR(SUMIFS(OFFSET(DBRA_TopicCount,0,P$217,DBR_COUNT,1),DBRA_WorkplanDate,$C493,DBRA_PlayerID,$D$3),"")</f>
        <v>0</v>
      </c>
      <c r="Q493">
        <f ca="1">IFERROR(SUMIFS(OFFSET(DBRA_TopicCount,0,Q$217,DBR_COUNT,1),DBRA_WorkplanDate,$C493,DBRA_PlayerID,$D$3),"")</f>
        <v>0</v>
      </c>
      <c r="R493">
        <f ca="1">IFERROR(SUMIFS(OFFSET(DBRA_TopicCount,0,R$217,DBR_COUNT,1),DBRA_WorkplanDate,$C493,DBRA_PlayerID,$D$3),"")</f>
        <v>0</v>
      </c>
      <c r="S493">
        <f ca="1">IFERROR(SUMIFS(OFFSET(DBRA_TopicCount,0,S$217,DBR_COUNT,1),DBRA_WorkplanDate,$C493,DBRA_PlayerID,$D$3),"")</f>
        <v>0</v>
      </c>
      <c r="T493">
        <f ca="1">IFERROR(SUMIFS(OFFSET(DBRA_TopicCount,0,T$217,DBR_COUNT,1),DBRA_WorkplanDate,$C493,DBRA_PlayerID,$D$3),"")</f>
        <v>0</v>
      </c>
      <c r="U493">
        <f ca="1">IFERROR(SUMIFS(OFFSET(DBRA_TopicCount,0,U$217,DBR_COUNT,1),DBRA_WorkplanDate,$C493,DBRA_PlayerID,$D$3),"")</f>
        <v>0</v>
      </c>
      <c r="V493">
        <f ca="1">IFERROR(SUMIFS(OFFSET(DBRA_TopicCount,0,V$217,DBR_COUNT,1),DBRA_WorkplanDate,$C493,DBRA_PlayerID,$D$3),"")</f>
        <v>0</v>
      </c>
      <c r="W493" s="47"/>
      <c r="X493" t="str">
        <f t="shared" ca="1" si="114"/>
        <v/>
      </c>
      <c r="Y493" t="str">
        <f t="shared" ca="1" si="106"/>
        <v/>
      </c>
      <c r="Z493" t="str">
        <f t="shared" ca="1" si="107"/>
        <v/>
      </c>
      <c r="AA493" t="str">
        <f t="shared" ca="1" si="108"/>
        <v/>
      </c>
      <c r="AB493" t="str">
        <f t="shared" ca="1" si="109"/>
        <v/>
      </c>
      <c r="AC493" t="str">
        <f t="shared" ca="1" si="110"/>
        <v/>
      </c>
      <c r="AD493" t="str">
        <f t="shared" ca="1" si="111"/>
        <v/>
      </c>
      <c r="AE493" t="str">
        <f t="shared" ca="1" si="112"/>
        <v/>
      </c>
      <c r="AF493" t="str">
        <f t="shared" ca="1" si="113"/>
        <v/>
      </c>
      <c r="AG493" s="47"/>
    </row>
    <row r="494" spans="3:33" x14ac:dyDescent="0.25">
      <c r="C494" s="118">
        <f t="shared" si="115"/>
        <v>42280</v>
      </c>
      <c r="D494">
        <f ca="1">IFERROR(SUMIFS(OFFSET(DBRA_TopicHCP,0,D$217,DBR_COUNT,1),DBRA_WorkplanDate,$C494,DBRA_PlayerID,$D$3),"")</f>
        <v>0</v>
      </c>
      <c r="E494">
        <f ca="1">IFERROR(SUMIFS(OFFSET(DBRA_TopicHCP,0,E$217,DBR_COUNT,1),DBRA_WorkplanDate,$C494,DBRA_PlayerID,$D$3),"")</f>
        <v>0</v>
      </c>
      <c r="F494">
        <f ca="1">IFERROR(SUMIFS(OFFSET(DBRA_TopicHCP,0,F$217,DBR_COUNT,1),DBRA_WorkplanDate,$C494,DBRA_PlayerID,$D$3),"")</f>
        <v>0</v>
      </c>
      <c r="G494">
        <f ca="1">IFERROR(SUMIFS(OFFSET(DBRA_TopicHCP,0,G$217,DBR_COUNT,1),DBRA_WorkplanDate,$C494,DBRA_PlayerID,$D$3),"")</f>
        <v>0</v>
      </c>
      <c r="H494">
        <f ca="1">IFERROR(SUMIFS(OFFSET(DBRA_TopicHCP,0,H$217,DBR_COUNT,1),DBRA_WorkplanDate,$C494,DBRA_PlayerID,$D$3),"")</f>
        <v>0</v>
      </c>
      <c r="I494">
        <f ca="1">IFERROR(SUMIFS(OFFSET(DBRA_TopicHCP,0,I$217,DBR_COUNT,1),DBRA_WorkplanDate,$C494,DBRA_PlayerID,$D$3),"")</f>
        <v>0</v>
      </c>
      <c r="J494">
        <f ca="1">IFERROR(SUMIFS(OFFSET(DBRA_TopicHCP,0,J$217,DBR_COUNT,1),DBRA_WorkplanDate,$C494,DBRA_PlayerID,$D$3),"")</f>
        <v>0</v>
      </c>
      <c r="K494">
        <f ca="1">IFERROR(SUMIFS(OFFSET(DBRA_TopicHCP,0,K$217,DBR_COUNT,1),DBRA_WorkplanDate,$C494,DBRA_PlayerID,$D$3),"")</f>
        <v>0</v>
      </c>
      <c r="L494">
        <f ca="1">IFERROR(SUMIFS(OFFSET(DBRA_TopicHCP,0,L$217,DBR_COUNT,1),DBRA_WorkplanDate,$C494,DBRA_PlayerID,$D$3),"")</f>
        <v>0</v>
      </c>
      <c r="M494" s="47"/>
      <c r="N494">
        <f ca="1">IFERROR(SUMIFS(OFFSET(DBRA_TopicCount,0,N$217,DBR_COUNT,1),DBRA_WorkplanDate,$C494,DBRA_PlayerID,$D$3),"")</f>
        <v>0</v>
      </c>
      <c r="O494">
        <f ca="1">IFERROR(SUMIFS(OFFSET(DBRA_TopicCount,0,O$217,DBR_COUNT,1),DBRA_WorkplanDate,$C494,DBRA_PlayerID,$D$3),"")</f>
        <v>0</v>
      </c>
      <c r="P494">
        <f ca="1">IFERROR(SUMIFS(OFFSET(DBRA_TopicCount,0,P$217,DBR_COUNT,1),DBRA_WorkplanDate,$C494,DBRA_PlayerID,$D$3),"")</f>
        <v>0</v>
      </c>
      <c r="Q494">
        <f ca="1">IFERROR(SUMIFS(OFFSET(DBRA_TopicCount,0,Q$217,DBR_COUNT,1),DBRA_WorkplanDate,$C494,DBRA_PlayerID,$D$3),"")</f>
        <v>0</v>
      </c>
      <c r="R494">
        <f ca="1">IFERROR(SUMIFS(OFFSET(DBRA_TopicCount,0,R$217,DBR_COUNT,1),DBRA_WorkplanDate,$C494,DBRA_PlayerID,$D$3),"")</f>
        <v>0</v>
      </c>
      <c r="S494">
        <f ca="1">IFERROR(SUMIFS(OFFSET(DBRA_TopicCount,0,S$217,DBR_COUNT,1),DBRA_WorkplanDate,$C494,DBRA_PlayerID,$D$3),"")</f>
        <v>0</v>
      </c>
      <c r="T494">
        <f ca="1">IFERROR(SUMIFS(OFFSET(DBRA_TopicCount,0,T$217,DBR_COUNT,1),DBRA_WorkplanDate,$C494,DBRA_PlayerID,$D$3),"")</f>
        <v>0</v>
      </c>
      <c r="U494">
        <f ca="1">IFERROR(SUMIFS(OFFSET(DBRA_TopicCount,0,U$217,DBR_COUNT,1),DBRA_WorkplanDate,$C494,DBRA_PlayerID,$D$3),"")</f>
        <v>0</v>
      </c>
      <c r="V494">
        <f ca="1">IFERROR(SUMIFS(OFFSET(DBRA_TopicCount,0,V$217,DBR_COUNT,1),DBRA_WorkplanDate,$C494,DBRA_PlayerID,$D$3),"")</f>
        <v>0</v>
      </c>
      <c r="W494" s="47"/>
      <c r="X494" t="str">
        <f t="shared" ca="1" si="114"/>
        <v/>
      </c>
      <c r="Y494" t="str">
        <f t="shared" ca="1" si="106"/>
        <v/>
      </c>
      <c r="Z494" t="str">
        <f t="shared" ca="1" si="107"/>
        <v/>
      </c>
      <c r="AA494" t="str">
        <f t="shared" ca="1" si="108"/>
        <v/>
      </c>
      <c r="AB494" t="str">
        <f t="shared" ca="1" si="109"/>
        <v/>
      </c>
      <c r="AC494" t="str">
        <f t="shared" ca="1" si="110"/>
        <v/>
      </c>
      <c r="AD494" t="str">
        <f t="shared" ca="1" si="111"/>
        <v/>
      </c>
      <c r="AE494" t="str">
        <f t="shared" ca="1" si="112"/>
        <v/>
      </c>
      <c r="AF494" t="str">
        <f t="shared" ca="1" si="113"/>
        <v/>
      </c>
      <c r="AG494" s="47"/>
    </row>
    <row r="495" spans="3:33" x14ac:dyDescent="0.25">
      <c r="C495" s="118">
        <f t="shared" si="115"/>
        <v>42281</v>
      </c>
      <c r="D495">
        <f ca="1">IFERROR(SUMIFS(OFFSET(DBRA_TopicHCP,0,D$217,DBR_COUNT,1),DBRA_WorkplanDate,$C495,DBRA_PlayerID,$D$3),"")</f>
        <v>0</v>
      </c>
      <c r="E495">
        <f ca="1">IFERROR(SUMIFS(OFFSET(DBRA_TopicHCP,0,E$217,DBR_COUNT,1),DBRA_WorkplanDate,$C495,DBRA_PlayerID,$D$3),"")</f>
        <v>0</v>
      </c>
      <c r="F495">
        <f ca="1">IFERROR(SUMIFS(OFFSET(DBRA_TopicHCP,0,F$217,DBR_COUNT,1),DBRA_WorkplanDate,$C495,DBRA_PlayerID,$D$3),"")</f>
        <v>0</v>
      </c>
      <c r="G495">
        <f ca="1">IFERROR(SUMIFS(OFFSET(DBRA_TopicHCP,0,G$217,DBR_COUNT,1),DBRA_WorkplanDate,$C495,DBRA_PlayerID,$D$3),"")</f>
        <v>0</v>
      </c>
      <c r="H495">
        <f ca="1">IFERROR(SUMIFS(OFFSET(DBRA_TopicHCP,0,H$217,DBR_COUNT,1),DBRA_WorkplanDate,$C495,DBRA_PlayerID,$D$3),"")</f>
        <v>0</v>
      </c>
      <c r="I495">
        <f ca="1">IFERROR(SUMIFS(OFFSET(DBRA_TopicHCP,0,I$217,DBR_COUNT,1),DBRA_WorkplanDate,$C495,DBRA_PlayerID,$D$3),"")</f>
        <v>0</v>
      </c>
      <c r="J495">
        <f ca="1">IFERROR(SUMIFS(OFFSET(DBRA_TopicHCP,0,J$217,DBR_COUNT,1),DBRA_WorkplanDate,$C495,DBRA_PlayerID,$D$3),"")</f>
        <v>0</v>
      </c>
      <c r="K495">
        <f ca="1">IFERROR(SUMIFS(OFFSET(DBRA_TopicHCP,0,K$217,DBR_COUNT,1),DBRA_WorkplanDate,$C495,DBRA_PlayerID,$D$3),"")</f>
        <v>0</v>
      </c>
      <c r="L495">
        <f ca="1">IFERROR(SUMIFS(OFFSET(DBRA_TopicHCP,0,L$217,DBR_COUNT,1),DBRA_WorkplanDate,$C495,DBRA_PlayerID,$D$3),"")</f>
        <v>0</v>
      </c>
      <c r="M495" s="47"/>
      <c r="N495">
        <f ca="1">IFERROR(SUMIFS(OFFSET(DBRA_TopicCount,0,N$217,DBR_COUNT,1),DBRA_WorkplanDate,$C495,DBRA_PlayerID,$D$3),"")</f>
        <v>0</v>
      </c>
      <c r="O495">
        <f ca="1">IFERROR(SUMIFS(OFFSET(DBRA_TopicCount,0,O$217,DBR_COUNT,1),DBRA_WorkplanDate,$C495,DBRA_PlayerID,$D$3),"")</f>
        <v>0</v>
      </c>
      <c r="P495">
        <f ca="1">IFERROR(SUMIFS(OFFSET(DBRA_TopicCount,0,P$217,DBR_COUNT,1),DBRA_WorkplanDate,$C495,DBRA_PlayerID,$D$3),"")</f>
        <v>0</v>
      </c>
      <c r="Q495">
        <f ca="1">IFERROR(SUMIFS(OFFSET(DBRA_TopicCount,0,Q$217,DBR_COUNT,1),DBRA_WorkplanDate,$C495,DBRA_PlayerID,$D$3),"")</f>
        <v>0</v>
      </c>
      <c r="R495">
        <f ca="1">IFERROR(SUMIFS(OFFSET(DBRA_TopicCount,0,R$217,DBR_COUNT,1),DBRA_WorkplanDate,$C495,DBRA_PlayerID,$D$3),"")</f>
        <v>0</v>
      </c>
      <c r="S495">
        <f ca="1">IFERROR(SUMIFS(OFFSET(DBRA_TopicCount,0,S$217,DBR_COUNT,1),DBRA_WorkplanDate,$C495,DBRA_PlayerID,$D$3),"")</f>
        <v>0</v>
      </c>
      <c r="T495">
        <f ca="1">IFERROR(SUMIFS(OFFSET(DBRA_TopicCount,0,T$217,DBR_COUNT,1),DBRA_WorkplanDate,$C495,DBRA_PlayerID,$D$3),"")</f>
        <v>0</v>
      </c>
      <c r="U495">
        <f ca="1">IFERROR(SUMIFS(OFFSET(DBRA_TopicCount,0,U$217,DBR_COUNT,1),DBRA_WorkplanDate,$C495,DBRA_PlayerID,$D$3),"")</f>
        <v>0</v>
      </c>
      <c r="V495">
        <f ca="1">IFERROR(SUMIFS(OFFSET(DBRA_TopicCount,0,V$217,DBR_COUNT,1),DBRA_WorkplanDate,$C495,DBRA_PlayerID,$D$3),"")</f>
        <v>0</v>
      </c>
      <c r="W495" s="47"/>
      <c r="X495" t="str">
        <f t="shared" ca="1" si="114"/>
        <v/>
      </c>
      <c r="Y495" t="str">
        <f t="shared" ca="1" si="106"/>
        <v/>
      </c>
      <c r="Z495" t="str">
        <f t="shared" ca="1" si="107"/>
        <v/>
      </c>
      <c r="AA495" t="str">
        <f t="shared" ca="1" si="108"/>
        <v/>
      </c>
      <c r="AB495" t="str">
        <f t="shared" ca="1" si="109"/>
        <v/>
      </c>
      <c r="AC495" t="str">
        <f t="shared" ca="1" si="110"/>
        <v/>
      </c>
      <c r="AD495" t="str">
        <f t="shared" ca="1" si="111"/>
        <v/>
      </c>
      <c r="AE495" t="str">
        <f t="shared" ca="1" si="112"/>
        <v/>
      </c>
      <c r="AF495" t="str">
        <f t="shared" ca="1" si="113"/>
        <v/>
      </c>
      <c r="AG495" s="47"/>
    </row>
    <row r="496" spans="3:33" x14ac:dyDescent="0.25">
      <c r="C496" s="118">
        <f t="shared" si="115"/>
        <v>42282</v>
      </c>
      <c r="D496">
        <f ca="1">IFERROR(SUMIFS(OFFSET(DBRA_TopicHCP,0,D$217,DBR_COUNT,1),DBRA_WorkplanDate,$C496,DBRA_PlayerID,$D$3),"")</f>
        <v>0</v>
      </c>
      <c r="E496">
        <f ca="1">IFERROR(SUMIFS(OFFSET(DBRA_TopicHCP,0,E$217,DBR_COUNT,1),DBRA_WorkplanDate,$C496,DBRA_PlayerID,$D$3),"")</f>
        <v>0</v>
      </c>
      <c r="F496">
        <f ca="1">IFERROR(SUMIFS(OFFSET(DBRA_TopicHCP,0,F$217,DBR_COUNT,1),DBRA_WorkplanDate,$C496,DBRA_PlayerID,$D$3),"")</f>
        <v>0</v>
      </c>
      <c r="G496">
        <f ca="1">IFERROR(SUMIFS(OFFSET(DBRA_TopicHCP,0,G$217,DBR_COUNT,1),DBRA_WorkplanDate,$C496,DBRA_PlayerID,$D$3),"")</f>
        <v>0</v>
      </c>
      <c r="H496">
        <f ca="1">IFERROR(SUMIFS(OFFSET(DBRA_TopicHCP,0,H$217,DBR_COUNT,1),DBRA_WorkplanDate,$C496,DBRA_PlayerID,$D$3),"")</f>
        <v>0</v>
      </c>
      <c r="I496">
        <f ca="1">IFERROR(SUMIFS(OFFSET(DBRA_TopicHCP,0,I$217,DBR_COUNT,1),DBRA_WorkplanDate,$C496,DBRA_PlayerID,$D$3),"")</f>
        <v>0</v>
      </c>
      <c r="J496">
        <f ca="1">IFERROR(SUMIFS(OFFSET(DBRA_TopicHCP,0,J$217,DBR_COUNT,1),DBRA_WorkplanDate,$C496,DBRA_PlayerID,$D$3),"")</f>
        <v>0</v>
      </c>
      <c r="K496">
        <f ca="1">IFERROR(SUMIFS(OFFSET(DBRA_TopicHCP,0,K$217,DBR_COUNT,1),DBRA_WorkplanDate,$C496,DBRA_PlayerID,$D$3),"")</f>
        <v>0</v>
      </c>
      <c r="L496">
        <f ca="1">IFERROR(SUMIFS(OFFSET(DBRA_TopicHCP,0,L$217,DBR_COUNT,1),DBRA_WorkplanDate,$C496,DBRA_PlayerID,$D$3),"")</f>
        <v>0</v>
      </c>
      <c r="M496" s="47"/>
      <c r="N496">
        <f ca="1">IFERROR(SUMIFS(OFFSET(DBRA_TopicCount,0,N$217,DBR_COUNT,1),DBRA_WorkplanDate,$C496,DBRA_PlayerID,$D$3),"")</f>
        <v>0</v>
      </c>
      <c r="O496">
        <f ca="1">IFERROR(SUMIFS(OFFSET(DBRA_TopicCount,0,O$217,DBR_COUNT,1),DBRA_WorkplanDate,$C496,DBRA_PlayerID,$D$3),"")</f>
        <v>0</v>
      </c>
      <c r="P496">
        <f ca="1">IFERROR(SUMIFS(OFFSET(DBRA_TopicCount,0,P$217,DBR_COUNT,1),DBRA_WorkplanDate,$C496,DBRA_PlayerID,$D$3),"")</f>
        <v>0</v>
      </c>
      <c r="Q496">
        <f ca="1">IFERROR(SUMIFS(OFFSET(DBRA_TopicCount,0,Q$217,DBR_COUNT,1),DBRA_WorkplanDate,$C496,DBRA_PlayerID,$D$3),"")</f>
        <v>0</v>
      </c>
      <c r="R496">
        <f ca="1">IFERROR(SUMIFS(OFFSET(DBRA_TopicCount,0,R$217,DBR_COUNT,1),DBRA_WorkplanDate,$C496,DBRA_PlayerID,$D$3),"")</f>
        <v>0</v>
      </c>
      <c r="S496">
        <f ca="1">IFERROR(SUMIFS(OFFSET(DBRA_TopicCount,0,S$217,DBR_COUNT,1),DBRA_WorkplanDate,$C496,DBRA_PlayerID,$D$3),"")</f>
        <v>0</v>
      </c>
      <c r="T496">
        <f ca="1">IFERROR(SUMIFS(OFFSET(DBRA_TopicCount,0,T$217,DBR_COUNT,1),DBRA_WorkplanDate,$C496,DBRA_PlayerID,$D$3),"")</f>
        <v>0</v>
      </c>
      <c r="U496">
        <f ca="1">IFERROR(SUMIFS(OFFSET(DBRA_TopicCount,0,U$217,DBR_COUNT,1),DBRA_WorkplanDate,$C496,DBRA_PlayerID,$D$3),"")</f>
        <v>0</v>
      </c>
      <c r="V496">
        <f ca="1">IFERROR(SUMIFS(OFFSET(DBRA_TopicCount,0,V$217,DBR_COUNT,1),DBRA_WorkplanDate,$C496,DBRA_PlayerID,$D$3),"")</f>
        <v>0</v>
      </c>
      <c r="W496" s="47"/>
      <c r="X496" t="str">
        <f t="shared" ca="1" si="114"/>
        <v/>
      </c>
      <c r="Y496" t="str">
        <f t="shared" ca="1" si="106"/>
        <v/>
      </c>
      <c r="Z496" t="str">
        <f t="shared" ca="1" si="107"/>
        <v/>
      </c>
      <c r="AA496" t="str">
        <f t="shared" ca="1" si="108"/>
        <v/>
      </c>
      <c r="AB496" t="str">
        <f t="shared" ca="1" si="109"/>
        <v/>
      </c>
      <c r="AC496" t="str">
        <f t="shared" ca="1" si="110"/>
        <v/>
      </c>
      <c r="AD496" t="str">
        <f t="shared" ca="1" si="111"/>
        <v/>
      </c>
      <c r="AE496" t="str">
        <f t="shared" ca="1" si="112"/>
        <v/>
      </c>
      <c r="AF496" t="str">
        <f t="shared" ca="1" si="113"/>
        <v/>
      </c>
      <c r="AG496" s="47"/>
    </row>
    <row r="497" spans="3:33" x14ac:dyDescent="0.25">
      <c r="C497" s="118">
        <f t="shared" si="115"/>
        <v>42283</v>
      </c>
      <c r="D497">
        <f ca="1">IFERROR(SUMIFS(OFFSET(DBRA_TopicHCP,0,D$217,DBR_COUNT,1),DBRA_WorkplanDate,$C497,DBRA_PlayerID,$D$3),"")</f>
        <v>0</v>
      </c>
      <c r="E497">
        <f ca="1">IFERROR(SUMIFS(OFFSET(DBRA_TopicHCP,0,E$217,DBR_COUNT,1),DBRA_WorkplanDate,$C497,DBRA_PlayerID,$D$3),"")</f>
        <v>0</v>
      </c>
      <c r="F497">
        <f ca="1">IFERROR(SUMIFS(OFFSET(DBRA_TopicHCP,0,F$217,DBR_COUNT,1),DBRA_WorkplanDate,$C497,DBRA_PlayerID,$D$3),"")</f>
        <v>0</v>
      </c>
      <c r="G497">
        <f ca="1">IFERROR(SUMIFS(OFFSET(DBRA_TopicHCP,0,G$217,DBR_COUNT,1),DBRA_WorkplanDate,$C497,DBRA_PlayerID,$D$3),"")</f>
        <v>0</v>
      </c>
      <c r="H497">
        <f ca="1">IFERROR(SUMIFS(OFFSET(DBRA_TopicHCP,0,H$217,DBR_COUNT,1),DBRA_WorkplanDate,$C497,DBRA_PlayerID,$D$3),"")</f>
        <v>0</v>
      </c>
      <c r="I497">
        <f ca="1">IFERROR(SUMIFS(OFFSET(DBRA_TopicHCP,0,I$217,DBR_COUNT,1),DBRA_WorkplanDate,$C497,DBRA_PlayerID,$D$3),"")</f>
        <v>0</v>
      </c>
      <c r="J497">
        <f ca="1">IFERROR(SUMIFS(OFFSET(DBRA_TopicHCP,0,J$217,DBR_COUNT,1),DBRA_WorkplanDate,$C497,DBRA_PlayerID,$D$3),"")</f>
        <v>0</v>
      </c>
      <c r="K497">
        <f ca="1">IFERROR(SUMIFS(OFFSET(DBRA_TopicHCP,0,K$217,DBR_COUNT,1),DBRA_WorkplanDate,$C497,DBRA_PlayerID,$D$3),"")</f>
        <v>0</v>
      </c>
      <c r="L497">
        <f ca="1">IFERROR(SUMIFS(OFFSET(DBRA_TopicHCP,0,L$217,DBR_COUNT,1),DBRA_WorkplanDate,$C497,DBRA_PlayerID,$D$3),"")</f>
        <v>0</v>
      </c>
      <c r="M497" s="47"/>
      <c r="N497">
        <f ca="1">IFERROR(SUMIFS(OFFSET(DBRA_TopicCount,0,N$217,DBR_COUNT,1),DBRA_WorkplanDate,$C497,DBRA_PlayerID,$D$3),"")</f>
        <v>0</v>
      </c>
      <c r="O497">
        <f ca="1">IFERROR(SUMIFS(OFFSET(DBRA_TopicCount,0,O$217,DBR_COUNT,1),DBRA_WorkplanDate,$C497,DBRA_PlayerID,$D$3),"")</f>
        <v>0</v>
      </c>
      <c r="P497">
        <f ca="1">IFERROR(SUMIFS(OFFSET(DBRA_TopicCount,0,P$217,DBR_COUNT,1),DBRA_WorkplanDate,$C497,DBRA_PlayerID,$D$3),"")</f>
        <v>0</v>
      </c>
      <c r="Q497">
        <f ca="1">IFERROR(SUMIFS(OFFSET(DBRA_TopicCount,0,Q$217,DBR_COUNT,1),DBRA_WorkplanDate,$C497,DBRA_PlayerID,$D$3),"")</f>
        <v>0</v>
      </c>
      <c r="R497">
        <f ca="1">IFERROR(SUMIFS(OFFSET(DBRA_TopicCount,0,R$217,DBR_COUNT,1),DBRA_WorkplanDate,$C497,DBRA_PlayerID,$D$3),"")</f>
        <v>0</v>
      </c>
      <c r="S497">
        <f ca="1">IFERROR(SUMIFS(OFFSET(DBRA_TopicCount,0,S$217,DBR_COUNT,1),DBRA_WorkplanDate,$C497,DBRA_PlayerID,$D$3),"")</f>
        <v>0</v>
      </c>
      <c r="T497">
        <f ca="1">IFERROR(SUMIFS(OFFSET(DBRA_TopicCount,0,T$217,DBR_COUNT,1),DBRA_WorkplanDate,$C497,DBRA_PlayerID,$D$3),"")</f>
        <v>0</v>
      </c>
      <c r="U497">
        <f ca="1">IFERROR(SUMIFS(OFFSET(DBRA_TopicCount,0,U$217,DBR_COUNT,1),DBRA_WorkplanDate,$C497,DBRA_PlayerID,$D$3),"")</f>
        <v>0</v>
      </c>
      <c r="V497">
        <f ca="1">IFERROR(SUMIFS(OFFSET(DBRA_TopicCount,0,V$217,DBR_COUNT,1),DBRA_WorkplanDate,$C497,DBRA_PlayerID,$D$3),"")</f>
        <v>0</v>
      </c>
      <c r="W497" s="47"/>
      <c r="X497" t="str">
        <f t="shared" ca="1" si="114"/>
        <v/>
      </c>
      <c r="Y497" t="str">
        <f t="shared" ca="1" si="106"/>
        <v/>
      </c>
      <c r="Z497" t="str">
        <f t="shared" ca="1" si="107"/>
        <v/>
      </c>
      <c r="AA497" t="str">
        <f t="shared" ca="1" si="108"/>
        <v/>
      </c>
      <c r="AB497" t="str">
        <f t="shared" ca="1" si="109"/>
        <v/>
      </c>
      <c r="AC497" t="str">
        <f t="shared" ca="1" si="110"/>
        <v/>
      </c>
      <c r="AD497" t="str">
        <f t="shared" ca="1" si="111"/>
        <v/>
      </c>
      <c r="AE497" t="str">
        <f t="shared" ca="1" si="112"/>
        <v/>
      </c>
      <c r="AF497" t="str">
        <f t="shared" ca="1" si="113"/>
        <v/>
      </c>
      <c r="AG497" s="47"/>
    </row>
    <row r="498" spans="3:33" x14ac:dyDescent="0.25">
      <c r="C498" s="118">
        <f t="shared" si="115"/>
        <v>42284</v>
      </c>
      <c r="D498">
        <f ca="1">IFERROR(SUMIFS(OFFSET(DBRA_TopicHCP,0,D$217,DBR_COUNT,1),DBRA_WorkplanDate,$C498,DBRA_PlayerID,$D$3),"")</f>
        <v>0</v>
      </c>
      <c r="E498">
        <f ca="1">IFERROR(SUMIFS(OFFSET(DBRA_TopicHCP,0,E$217,DBR_COUNT,1),DBRA_WorkplanDate,$C498,DBRA_PlayerID,$D$3),"")</f>
        <v>0</v>
      </c>
      <c r="F498">
        <f ca="1">IFERROR(SUMIFS(OFFSET(DBRA_TopicHCP,0,F$217,DBR_COUNT,1),DBRA_WorkplanDate,$C498,DBRA_PlayerID,$D$3),"")</f>
        <v>0</v>
      </c>
      <c r="G498">
        <f ca="1">IFERROR(SUMIFS(OFFSET(DBRA_TopicHCP,0,G$217,DBR_COUNT,1),DBRA_WorkplanDate,$C498,DBRA_PlayerID,$D$3),"")</f>
        <v>0</v>
      </c>
      <c r="H498">
        <f ca="1">IFERROR(SUMIFS(OFFSET(DBRA_TopicHCP,0,H$217,DBR_COUNT,1),DBRA_WorkplanDate,$C498,DBRA_PlayerID,$D$3),"")</f>
        <v>0</v>
      </c>
      <c r="I498">
        <f ca="1">IFERROR(SUMIFS(OFFSET(DBRA_TopicHCP,0,I$217,DBR_COUNT,1),DBRA_WorkplanDate,$C498,DBRA_PlayerID,$D$3),"")</f>
        <v>0</v>
      </c>
      <c r="J498">
        <f ca="1">IFERROR(SUMIFS(OFFSET(DBRA_TopicHCP,0,J$217,DBR_COUNT,1),DBRA_WorkplanDate,$C498,DBRA_PlayerID,$D$3),"")</f>
        <v>0</v>
      </c>
      <c r="K498">
        <f ca="1">IFERROR(SUMIFS(OFFSET(DBRA_TopicHCP,0,K$217,DBR_COUNT,1),DBRA_WorkplanDate,$C498,DBRA_PlayerID,$D$3),"")</f>
        <v>0</v>
      </c>
      <c r="L498">
        <f ca="1">IFERROR(SUMIFS(OFFSET(DBRA_TopicHCP,0,L$217,DBR_COUNT,1),DBRA_WorkplanDate,$C498,DBRA_PlayerID,$D$3),"")</f>
        <v>0</v>
      </c>
      <c r="M498" s="47"/>
      <c r="N498">
        <f ca="1">IFERROR(SUMIFS(OFFSET(DBRA_TopicCount,0,N$217,DBR_COUNT,1),DBRA_WorkplanDate,$C498,DBRA_PlayerID,$D$3),"")</f>
        <v>0</v>
      </c>
      <c r="O498">
        <f ca="1">IFERROR(SUMIFS(OFFSET(DBRA_TopicCount,0,O$217,DBR_COUNT,1),DBRA_WorkplanDate,$C498,DBRA_PlayerID,$D$3),"")</f>
        <v>0</v>
      </c>
      <c r="P498">
        <f ca="1">IFERROR(SUMIFS(OFFSET(DBRA_TopicCount,0,P$217,DBR_COUNT,1),DBRA_WorkplanDate,$C498,DBRA_PlayerID,$D$3),"")</f>
        <v>0</v>
      </c>
      <c r="Q498">
        <f ca="1">IFERROR(SUMIFS(OFFSET(DBRA_TopicCount,0,Q$217,DBR_COUNT,1),DBRA_WorkplanDate,$C498,DBRA_PlayerID,$D$3),"")</f>
        <v>0</v>
      </c>
      <c r="R498">
        <f ca="1">IFERROR(SUMIFS(OFFSET(DBRA_TopicCount,0,R$217,DBR_COUNT,1),DBRA_WorkplanDate,$C498,DBRA_PlayerID,$D$3),"")</f>
        <v>0</v>
      </c>
      <c r="S498">
        <f ca="1">IFERROR(SUMIFS(OFFSET(DBRA_TopicCount,0,S$217,DBR_COUNT,1),DBRA_WorkplanDate,$C498,DBRA_PlayerID,$D$3),"")</f>
        <v>0</v>
      </c>
      <c r="T498">
        <f ca="1">IFERROR(SUMIFS(OFFSET(DBRA_TopicCount,0,T$217,DBR_COUNT,1),DBRA_WorkplanDate,$C498,DBRA_PlayerID,$D$3),"")</f>
        <v>0</v>
      </c>
      <c r="U498">
        <f ca="1">IFERROR(SUMIFS(OFFSET(DBRA_TopicCount,0,U$217,DBR_COUNT,1),DBRA_WorkplanDate,$C498,DBRA_PlayerID,$D$3),"")</f>
        <v>0</v>
      </c>
      <c r="V498">
        <f ca="1">IFERROR(SUMIFS(OFFSET(DBRA_TopicCount,0,V$217,DBR_COUNT,1),DBRA_WorkplanDate,$C498,DBRA_PlayerID,$D$3),"")</f>
        <v>0</v>
      </c>
      <c r="W498" s="47"/>
      <c r="X498" t="str">
        <f t="shared" ca="1" si="114"/>
        <v/>
      </c>
      <c r="Y498" t="str">
        <f t="shared" ca="1" si="106"/>
        <v/>
      </c>
      <c r="Z498" t="str">
        <f t="shared" ca="1" si="107"/>
        <v/>
      </c>
      <c r="AA498" t="str">
        <f t="shared" ca="1" si="108"/>
        <v/>
      </c>
      <c r="AB498" t="str">
        <f t="shared" ca="1" si="109"/>
        <v/>
      </c>
      <c r="AC498" t="str">
        <f t="shared" ca="1" si="110"/>
        <v/>
      </c>
      <c r="AD498" t="str">
        <f t="shared" ca="1" si="111"/>
        <v/>
      </c>
      <c r="AE498" t="str">
        <f t="shared" ca="1" si="112"/>
        <v/>
      </c>
      <c r="AF498" t="str">
        <f t="shared" ca="1" si="113"/>
        <v/>
      </c>
      <c r="AG498" s="47"/>
    </row>
    <row r="499" spans="3:33" x14ac:dyDescent="0.25">
      <c r="C499" s="118">
        <f t="shared" si="115"/>
        <v>42285</v>
      </c>
      <c r="D499">
        <f ca="1">IFERROR(SUMIFS(OFFSET(DBRA_TopicHCP,0,D$217,DBR_COUNT,1),DBRA_WorkplanDate,$C499,DBRA_PlayerID,$D$3),"")</f>
        <v>0</v>
      </c>
      <c r="E499">
        <f ca="1">IFERROR(SUMIFS(OFFSET(DBRA_TopicHCP,0,E$217,DBR_COUNT,1),DBRA_WorkplanDate,$C499,DBRA_PlayerID,$D$3),"")</f>
        <v>0</v>
      </c>
      <c r="F499">
        <f ca="1">IFERROR(SUMIFS(OFFSET(DBRA_TopicHCP,0,F$217,DBR_COUNT,1),DBRA_WorkplanDate,$C499,DBRA_PlayerID,$D$3),"")</f>
        <v>0</v>
      </c>
      <c r="G499">
        <f ca="1">IFERROR(SUMIFS(OFFSET(DBRA_TopicHCP,0,G$217,DBR_COUNT,1),DBRA_WorkplanDate,$C499,DBRA_PlayerID,$D$3),"")</f>
        <v>0</v>
      </c>
      <c r="H499">
        <f ca="1">IFERROR(SUMIFS(OFFSET(DBRA_TopicHCP,0,H$217,DBR_COUNT,1),DBRA_WorkplanDate,$C499,DBRA_PlayerID,$D$3),"")</f>
        <v>0</v>
      </c>
      <c r="I499">
        <f ca="1">IFERROR(SUMIFS(OFFSET(DBRA_TopicHCP,0,I$217,DBR_COUNT,1),DBRA_WorkplanDate,$C499,DBRA_PlayerID,$D$3),"")</f>
        <v>0</v>
      </c>
      <c r="J499">
        <f ca="1">IFERROR(SUMIFS(OFFSET(DBRA_TopicHCP,0,J$217,DBR_COUNT,1),DBRA_WorkplanDate,$C499,DBRA_PlayerID,$D$3),"")</f>
        <v>0</v>
      </c>
      <c r="K499">
        <f ca="1">IFERROR(SUMIFS(OFFSET(DBRA_TopicHCP,0,K$217,DBR_COUNT,1),DBRA_WorkplanDate,$C499,DBRA_PlayerID,$D$3),"")</f>
        <v>0</v>
      </c>
      <c r="L499">
        <f ca="1">IFERROR(SUMIFS(OFFSET(DBRA_TopicHCP,0,L$217,DBR_COUNT,1),DBRA_WorkplanDate,$C499,DBRA_PlayerID,$D$3),"")</f>
        <v>0</v>
      </c>
      <c r="M499" s="47"/>
      <c r="N499">
        <f ca="1">IFERROR(SUMIFS(OFFSET(DBRA_TopicCount,0,N$217,DBR_COUNT,1),DBRA_WorkplanDate,$C499,DBRA_PlayerID,$D$3),"")</f>
        <v>0</v>
      </c>
      <c r="O499">
        <f ca="1">IFERROR(SUMIFS(OFFSET(DBRA_TopicCount,0,O$217,DBR_COUNT,1),DBRA_WorkplanDate,$C499,DBRA_PlayerID,$D$3),"")</f>
        <v>0</v>
      </c>
      <c r="P499">
        <f ca="1">IFERROR(SUMIFS(OFFSET(DBRA_TopicCount,0,P$217,DBR_COUNT,1),DBRA_WorkplanDate,$C499,DBRA_PlayerID,$D$3),"")</f>
        <v>0</v>
      </c>
      <c r="Q499">
        <f ca="1">IFERROR(SUMIFS(OFFSET(DBRA_TopicCount,0,Q$217,DBR_COUNT,1),DBRA_WorkplanDate,$C499,DBRA_PlayerID,$D$3),"")</f>
        <v>0</v>
      </c>
      <c r="R499">
        <f ca="1">IFERROR(SUMIFS(OFFSET(DBRA_TopicCount,0,R$217,DBR_COUNT,1),DBRA_WorkplanDate,$C499,DBRA_PlayerID,$D$3),"")</f>
        <v>0</v>
      </c>
      <c r="S499">
        <f ca="1">IFERROR(SUMIFS(OFFSET(DBRA_TopicCount,0,S$217,DBR_COUNT,1),DBRA_WorkplanDate,$C499,DBRA_PlayerID,$D$3),"")</f>
        <v>0</v>
      </c>
      <c r="T499">
        <f ca="1">IFERROR(SUMIFS(OFFSET(DBRA_TopicCount,0,T$217,DBR_COUNT,1),DBRA_WorkplanDate,$C499,DBRA_PlayerID,$D$3),"")</f>
        <v>0</v>
      </c>
      <c r="U499">
        <f ca="1">IFERROR(SUMIFS(OFFSET(DBRA_TopicCount,0,U$217,DBR_COUNT,1),DBRA_WorkplanDate,$C499,DBRA_PlayerID,$D$3),"")</f>
        <v>0</v>
      </c>
      <c r="V499">
        <f ca="1">IFERROR(SUMIFS(OFFSET(DBRA_TopicCount,0,V$217,DBR_COUNT,1),DBRA_WorkplanDate,$C499,DBRA_PlayerID,$D$3),"")</f>
        <v>0</v>
      </c>
      <c r="W499" s="47"/>
      <c r="X499" t="str">
        <f t="shared" ca="1" si="114"/>
        <v/>
      </c>
      <c r="Y499" t="str">
        <f t="shared" ca="1" si="106"/>
        <v/>
      </c>
      <c r="Z499" t="str">
        <f t="shared" ca="1" si="107"/>
        <v/>
      </c>
      <c r="AA499" t="str">
        <f t="shared" ca="1" si="108"/>
        <v/>
      </c>
      <c r="AB499" t="str">
        <f t="shared" ca="1" si="109"/>
        <v/>
      </c>
      <c r="AC499" t="str">
        <f t="shared" ca="1" si="110"/>
        <v/>
      </c>
      <c r="AD499" t="str">
        <f t="shared" ca="1" si="111"/>
        <v/>
      </c>
      <c r="AE499" t="str">
        <f t="shared" ca="1" si="112"/>
        <v/>
      </c>
      <c r="AF499" t="str">
        <f t="shared" ca="1" si="113"/>
        <v/>
      </c>
      <c r="AG499" s="47"/>
    </row>
    <row r="500" spans="3:33" x14ac:dyDescent="0.25">
      <c r="C500" s="118">
        <f t="shared" si="115"/>
        <v>42286</v>
      </c>
      <c r="D500">
        <f ca="1">IFERROR(SUMIFS(OFFSET(DBRA_TopicHCP,0,D$217,DBR_COUNT,1),DBRA_WorkplanDate,$C500,DBRA_PlayerID,$D$3),"")</f>
        <v>0</v>
      </c>
      <c r="E500">
        <f ca="1">IFERROR(SUMIFS(OFFSET(DBRA_TopicHCP,0,E$217,DBR_COUNT,1),DBRA_WorkplanDate,$C500,DBRA_PlayerID,$D$3),"")</f>
        <v>0</v>
      </c>
      <c r="F500">
        <f ca="1">IFERROR(SUMIFS(OFFSET(DBRA_TopicHCP,0,F$217,DBR_COUNT,1),DBRA_WorkplanDate,$C500,DBRA_PlayerID,$D$3),"")</f>
        <v>0</v>
      </c>
      <c r="G500">
        <f ca="1">IFERROR(SUMIFS(OFFSET(DBRA_TopicHCP,0,G$217,DBR_COUNT,1),DBRA_WorkplanDate,$C500,DBRA_PlayerID,$D$3),"")</f>
        <v>0</v>
      </c>
      <c r="H500">
        <f ca="1">IFERROR(SUMIFS(OFFSET(DBRA_TopicHCP,0,H$217,DBR_COUNT,1),DBRA_WorkplanDate,$C500,DBRA_PlayerID,$D$3),"")</f>
        <v>0</v>
      </c>
      <c r="I500">
        <f ca="1">IFERROR(SUMIFS(OFFSET(DBRA_TopicHCP,0,I$217,DBR_COUNT,1),DBRA_WorkplanDate,$C500,DBRA_PlayerID,$D$3),"")</f>
        <v>0</v>
      </c>
      <c r="J500">
        <f ca="1">IFERROR(SUMIFS(OFFSET(DBRA_TopicHCP,0,J$217,DBR_COUNT,1),DBRA_WorkplanDate,$C500,DBRA_PlayerID,$D$3),"")</f>
        <v>0</v>
      </c>
      <c r="K500">
        <f ca="1">IFERROR(SUMIFS(OFFSET(DBRA_TopicHCP,0,K$217,DBR_COUNT,1),DBRA_WorkplanDate,$C500,DBRA_PlayerID,$D$3),"")</f>
        <v>0</v>
      </c>
      <c r="L500">
        <f ca="1">IFERROR(SUMIFS(OFFSET(DBRA_TopicHCP,0,L$217,DBR_COUNT,1),DBRA_WorkplanDate,$C500,DBRA_PlayerID,$D$3),"")</f>
        <v>0</v>
      </c>
      <c r="M500" s="47"/>
      <c r="N500">
        <f ca="1">IFERROR(SUMIFS(OFFSET(DBRA_TopicCount,0,N$217,DBR_COUNT,1),DBRA_WorkplanDate,$C500,DBRA_PlayerID,$D$3),"")</f>
        <v>0</v>
      </c>
      <c r="O500">
        <f ca="1">IFERROR(SUMIFS(OFFSET(DBRA_TopicCount,0,O$217,DBR_COUNT,1),DBRA_WorkplanDate,$C500,DBRA_PlayerID,$D$3),"")</f>
        <v>0</v>
      </c>
      <c r="P500">
        <f ca="1">IFERROR(SUMIFS(OFFSET(DBRA_TopicCount,0,P$217,DBR_COUNT,1),DBRA_WorkplanDate,$C500,DBRA_PlayerID,$D$3),"")</f>
        <v>0</v>
      </c>
      <c r="Q500">
        <f ca="1">IFERROR(SUMIFS(OFFSET(DBRA_TopicCount,0,Q$217,DBR_COUNT,1),DBRA_WorkplanDate,$C500,DBRA_PlayerID,$D$3),"")</f>
        <v>0</v>
      </c>
      <c r="R500">
        <f ca="1">IFERROR(SUMIFS(OFFSET(DBRA_TopicCount,0,R$217,DBR_COUNT,1),DBRA_WorkplanDate,$C500,DBRA_PlayerID,$D$3),"")</f>
        <v>0</v>
      </c>
      <c r="S500">
        <f ca="1">IFERROR(SUMIFS(OFFSET(DBRA_TopicCount,0,S$217,DBR_COUNT,1),DBRA_WorkplanDate,$C500,DBRA_PlayerID,$D$3),"")</f>
        <v>0</v>
      </c>
      <c r="T500">
        <f ca="1">IFERROR(SUMIFS(OFFSET(DBRA_TopicCount,0,T$217,DBR_COUNT,1),DBRA_WorkplanDate,$C500,DBRA_PlayerID,$D$3),"")</f>
        <v>0</v>
      </c>
      <c r="U500">
        <f ca="1">IFERROR(SUMIFS(OFFSET(DBRA_TopicCount,0,U$217,DBR_COUNT,1),DBRA_WorkplanDate,$C500,DBRA_PlayerID,$D$3),"")</f>
        <v>0</v>
      </c>
      <c r="V500">
        <f ca="1">IFERROR(SUMIFS(OFFSET(DBRA_TopicCount,0,V$217,DBR_COUNT,1),DBRA_WorkplanDate,$C500,DBRA_PlayerID,$D$3),"")</f>
        <v>0</v>
      </c>
      <c r="W500" s="47"/>
      <c r="X500" t="str">
        <f t="shared" ca="1" si="114"/>
        <v/>
      </c>
      <c r="Y500" t="str">
        <f t="shared" ca="1" si="106"/>
        <v/>
      </c>
      <c r="Z500" t="str">
        <f t="shared" ca="1" si="107"/>
        <v/>
      </c>
      <c r="AA500" t="str">
        <f t="shared" ca="1" si="108"/>
        <v/>
      </c>
      <c r="AB500" t="str">
        <f t="shared" ca="1" si="109"/>
        <v/>
      </c>
      <c r="AC500" t="str">
        <f t="shared" ca="1" si="110"/>
        <v/>
      </c>
      <c r="AD500" t="str">
        <f t="shared" ca="1" si="111"/>
        <v/>
      </c>
      <c r="AE500" t="str">
        <f t="shared" ca="1" si="112"/>
        <v/>
      </c>
      <c r="AF500" t="str">
        <f t="shared" ca="1" si="113"/>
        <v/>
      </c>
      <c r="AG500" s="47"/>
    </row>
    <row r="501" spans="3:33" x14ac:dyDescent="0.25">
      <c r="C501" s="118">
        <f t="shared" si="115"/>
        <v>42287</v>
      </c>
      <c r="D501">
        <f ca="1">IFERROR(SUMIFS(OFFSET(DBRA_TopicHCP,0,D$217,DBR_COUNT,1),DBRA_WorkplanDate,$C501,DBRA_PlayerID,$D$3),"")</f>
        <v>0</v>
      </c>
      <c r="E501">
        <f ca="1">IFERROR(SUMIFS(OFFSET(DBRA_TopicHCP,0,E$217,DBR_COUNT,1),DBRA_WorkplanDate,$C501,DBRA_PlayerID,$D$3),"")</f>
        <v>0</v>
      </c>
      <c r="F501">
        <f ca="1">IFERROR(SUMIFS(OFFSET(DBRA_TopicHCP,0,F$217,DBR_COUNT,1),DBRA_WorkplanDate,$C501,DBRA_PlayerID,$D$3),"")</f>
        <v>0</v>
      </c>
      <c r="G501">
        <f ca="1">IFERROR(SUMIFS(OFFSET(DBRA_TopicHCP,0,G$217,DBR_COUNT,1),DBRA_WorkplanDate,$C501,DBRA_PlayerID,$D$3),"")</f>
        <v>0</v>
      </c>
      <c r="H501">
        <f ca="1">IFERROR(SUMIFS(OFFSET(DBRA_TopicHCP,0,H$217,DBR_COUNT,1),DBRA_WorkplanDate,$C501,DBRA_PlayerID,$D$3),"")</f>
        <v>0</v>
      </c>
      <c r="I501">
        <f ca="1">IFERROR(SUMIFS(OFFSET(DBRA_TopicHCP,0,I$217,DBR_COUNT,1),DBRA_WorkplanDate,$C501,DBRA_PlayerID,$D$3),"")</f>
        <v>0</v>
      </c>
      <c r="J501">
        <f ca="1">IFERROR(SUMIFS(OFFSET(DBRA_TopicHCP,0,J$217,DBR_COUNT,1),DBRA_WorkplanDate,$C501,DBRA_PlayerID,$D$3),"")</f>
        <v>0</v>
      </c>
      <c r="K501">
        <f ca="1">IFERROR(SUMIFS(OFFSET(DBRA_TopicHCP,0,K$217,DBR_COUNT,1),DBRA_WorkplanDate,$C501,DBRA_PlayerID,$D$3),"")</f>
        <v>0</v>
      </c>
      <c r="L501">
        <f ca="1">IFERROR(SUMIFS(OFFSET(DBRA_TopicHCP,0,L$217,DBR_COUNT,1),DBRA_WorkplanDate,$C501,DBRA_PlayerID,$D$3),"")</f>
        <v>0</v>
      </c>
      <c r="M501" s="47"/>
      <c r="N501">
        <f ca="1">IFERROR(SUMIFS(OFFSET(DBRA_TopicCount,0,N$217,DBR_COUNT,1),DBRA_WorkplanDate,$C501,DBRA_PlayerID,$D$3),"")</f>
        <v>0</v>
      </c>
      <c r="O501">
        <f ca="1">IFERROR(SUMIFS(OFFSET(DBRA_TopicCount,0,O$217,DBR_COUNT,1),DBRA_WorkplanDate,$C501,DBRA_PlayerID,$D$3),"")</f>
        <v>0</v>
      </c>
      <c r="P501">
        <f ca="1">IFERROR(SUMIFS(OFFSET(DBRA_TopicCount,0,P$217,DBR_COUNT,1),DBRA_WorkplanDate,$C501,DBRA_PlayerID,$D$3),"")</f>
        <v>0</v>
      </c>
      <c r="Q501">
        <f ca="1">IFERROR(SUMIFS(OFFSET(DBRA_TopicCount,0,Q$217,DBR_COUNT,1),DBRA_WorkplanDate,$C501,DBRA_PlayerID,$D$3),"")</f>
        <v>0</v>
      </c>
      <c r="R501">
        <f ca="1">IFERROR(SUMIFS(OFFSET(DBRA_TopicCount,0,R$217,DBR_COUNT,1),DBRA_WorkplanDate,$C501,DBRA_PlayerID,$D$3),"")</f>
        <v>0</v>
      </c>
      <c r="S501">
        <f ca="1">IFERROR(SUMIFS(OFFSET(DBRA_TopicCount,0,S$217,DBR_COUNT,1),DBRA_WorkplanDate,$C501,DBRA_PlayerID,$D$3),"")</f>
        <v>0</v>
      </c>
      <c r="T501">
        <f ca="1">IFERROR(SUMIFS(OFFSET(DBRA_TopicCount,0,T$217,DBR_COUNT,1),DBRA_WorkplanDate,$C501,DBRA_PlayerID,$D$3),"")</f>
        <v>0</v>
      </c>
      <c r="U501">
        <f ca="1">IFERROR(SUMIFS(OFFSET(DBRA_TopicCount,0,U$217,DBR_COUNT,1),DBRA_WorkplanDate,$C501,DBRA_PlayerID,$D$3),"")</f>
        <v>0</v>
      </c>
      <c r="V501">
        <f ca="1">IFERROR(SUMIFS(OFFSET(DBRA_TopicCount,0,V$217,DBR_COUNT,1),DBRA_WorkplanDate,$C501,DBRA_PlayerID,$D$3),"")</f>
        <v>0</v>
      </c>
      <c r="W501" s="47"/>
      <c r="X501" t="str">
        <f t="shared" ca="1" si="114"/>
        <v/>
      </c>
      <c r="Y501" t="str">
        <f t="shared" ca="1" si="106"/>
        <v/>
      </c>
      <c r="Z501" t="str">
        <f t="shared" ca="1" si="107"/>
        <v/>
      </c>
      <c r="AA501" t="str">
        <f t="shared" ca="1" si="108"/>
        <v/>
      </c>
      <c r="AB501" t="str">
        <f t="shared" ca="1" si="109"/>
        <v/>
      </c>
      <c r="AC501" t="str">
        <f t="shared" ca="1" si="110"/>
        <v/>
      </c>
      <c r="AD501" t="str">
        <f t="shared" ca="1" si="111"/>
        <v/>
      </c>
      <c r="AE501" t="str">
        <f t="shared" ca="1" si="112"/>
        <v/>
      </c>
      <c r="AF501" t="str">
        <f t="shared" ca="1" si="113"/>
        <v/>
      </c>
      <c r="AG501" s="47"/>
    </row>
    <row r="502" spans="3:33" x14ac:dyDescent="0.25">
      <c r="C502" s="118">
        <f t="shared" si="115"/>
        <v>42288</v>
      </c>
      <c r="D502">
        <f ca="1">IFERROR(SUMIFS(OFFSET(DBRA_TopicHCP,0,D$217,DBR_COUNT,1),DBRA_WorkplanDate,$C502,DBRA_PlayerID,$D$3),"")</f>
        <v>0</v>
      </c>
      <c r="E502">
        <f ca="1">IFERROR(SUMIFS(OFFSET(DBRA_TopicHCP,0,E$217,DBR_COUNT,1),DBRA_WorkplanDate,$C502,DBRA_PlayerID,$D$3),"")</f>
        <v>0</v>
      </c>
      <c r="F502">
        <f ca="1">IFERROR(SUMIFS(OFFSET(DBRA_TopicHCP,0,F$217,DBR_COUNT,1),DBRA_WorkplanDate,$C502,DBRA_PlayerID,$D$3),"")</f>
        <v>0</v>
      </c>
      <c r="G502">
        <f ca="1">IFERROR(SUMIFS(OFFSET(DBRA_TopicHCP,0,G$217,DBR_COUNT,1),DBRA_WorkplanDate,$C502,DBRA_PlayerID,$D$3),"")</f>
        <v>0</v>
      </c>
      <c r="H502">
        <f ca="1">IFERROR(SUMIFS(OFFSET(DBRA_TopicHCP,0,H$217,DBR_COUNT,1),DBRA_WorkplanDate,$C502,DBRA_PlayerID,$D$3),"")</f>
        <v>0</v>
      </c>
      <c r="I502">
        <f ca="1">IFERROR(SUMIFS(OFFSET(DBRA_TopicHCP,0,I$217,DBR_COUNT,1),DBRA_WorkplanDate,$C502,DBRA_PlayerID,$D$3),"")</f>
        <v>0</v>
      </c>
      <c r="J502">
        <f ca="1">IFERROR(SUMIFS(OFFSET(DBRA_TopicHCP,0,J$217,DBR_COUNT,1),DBRA_WorkplanDate,$C502,DBRA_PlayerID,$D$3),"")</f>
        <v>0</v>
      </c>
      <c r="K502">
        <f ca="1">IFERROR(SUMIFS(OFFSET(DBRA_TopicHCP,0,K$217,DBR_COUNT,1),DBRA_WorkplanDate,$C502,DBRA_PlayerID,$D$3),"")</f>
        <v>0</v>
      </c>
      <c r="L502">
        <f ca="1">IFERROR(SUMIFS(OFFSET(DBRA_TopicHCP,0,L$217,DBR_COUNT,1),DBRA_WorkplanDate,$C502,DBRA_PlayerID,$D$3),"")</f>
        <v>0</v>
      </c>
      <c r="M502" s="47"/>
      <c r="N502">
        <f ca="1">IFERROR(SUMIFS(OFFSET(DBRA_TopicCount,0,N$217,DBR_COUNT,1),DBRA_WorkplanDate,$C502,DBRA_PlayerID,$D$3),"")</f>
        <v>0</v>
      </c>
      <c r="O502">
        <f ca="1">IFERROR(SUMIFS(OFFSET(DBRA_TopicCount,0,O$217,DBR_COUNT,1),DBRA_WorkplanDate,$C502,DBRA_PlayerID,$D$3),"")</f>
        <v>0</v>
      </c>
      <c r="P502">
        <f ca="1">IFERROR(SUMIFS(OFFSET(DBRA_TopicCount,0,P$217,DBR_COUNT,1),DBRA_WorkplanDate,$C502,DBRA_PlayerID,$D$3),"")</f>
        <v>0</v>
      </c>
      <c r="Q502">
        <f ca="1">IFERROR(SUMIFS(OFFSET(DBRA_TopicCount,0,Q$217,DBR_COUNT,1),DBRA_WorkplanDate,$C502,DBRA_PlayerID,$D$3),"")</f>
        <v>0</v>
      </c>
      <c r="R502">
        <f ca="1">IFERROR(SUMIFS(OFFSET(DBRA_TopicCount,0,R$217,DBR_COUNT,1),DBRA_WorkplanDate,$C502,DBRA_PlayerID,$D$3),"")</f>
        <v>0</v>
      </c>
      <c r="S502">
        <f ca="1">IFERROR(SUMIFS(OFFSET(DBRA_TopicCount,0,S$217,DBR_COUNT,1),DBRA_WorkplanDate,$C502,DBRA_PlayerID,$D$3),"")</f>
        <v>0</v>
      </c>
      <c r="T502">
        <f ca="1">IFERROR(SUMIFS(OFFSET(DBRA_TopicCount,0,T$217,DBR_COUNT,1),DBRA_WorkplanDate,$C502,DBRA_PlayerID,$D$3),"")</f>
        <v>0</v>
      </c>
      <c r="U502">
        <f ca="1">IFERROR(SUMIFS(OFFSET(DBRA_TopicCount,0,U$217,DBR_COUNT,1),DBRA_WorkplanDate,$C502,DBRA_PlayerID,$D$3),"")</f>
        <v>0</v>
      </c>
      <c r="V502">
        <f ca="1">IFERROR(SUMIFS(OFFSET(DBRA_TopicCount,0,V$217,DBR_COUNT,1),DBRA_WorkplanDate,$C502,DBRA_PlayerID,$D$3),"")</f>
        <v>0</v>
      </c>
      <c r="W502" s="47"/>
      <c r="X502" t="str">
        <f t="shared" ca="1" si="114"/>
        <v/>
      </c>
      <c r="Y502" t="str">
        <f t="shared" ca="1" si="106"/>
        <v/>
      </c>
      <c r="Z502" t="str">
        <f t="shared" ca="1" si="107"/>
        <v/>
      </c>
      <c r="AA502" t="str">
        <f t="shared" ca="1" si="108"/>
        <v/>
      </c>
      <c r="AB502" t="str">
        <f t="shared" ca="1" si="109"/>
        <v/>
      </c>
      <c r="AC502" t="str">
        <f t="shared" ca="1" si="110"/>
        <v/>
      </c>
      <c r="AD502" t="str">
        <f t="shared" ca="1" si="111"/>
        <v/>
      </c>
      <c r="AE502" t="str">
        <f t="shared" ca="1" si="112"/>
        <v/>
      </c>
      <c r="AF502" t="str">
        <f t="shared" ca="1" si="113"/>
        <v/>
      </c>
      <c r="AG502" s="47"/>
    </row>
    <row r="503" spans="3:33" x14ac:dyDescent="0.25">
      <c r="C503" s="118">
        <f t="shared" si="115"/>
        <v>42289</v>
      </c>
      <c r="D503">
        <f ca="1">IFERROR(SUMIFS(OFFSET(DBRA_TopicHCP,0,D$217,DBR_COUNT,1),DBRA_WorkplanDate,$C503,DBRA_PlayerID,$D$3),"")</f>
        <v>0</v>
      </c>
      <c r="E503">
        <f ca="1">IFERROR(SUMIFS(OFFSET(DBRA_TopicHCP,0,E$217,DBR_COUNT,1),DBRA_WorkplanDate,$C503,DBRA_PlayerID,$D$3),"")</f>
        <v>0</v>
      </c>
      <c r="F503">
        <f ca="1">IFERROR(SUMIFS(OFFSET(DBRA_TopicHCP,0,F$217,DBR_COUNT,1),DBRA_WorkplanDate,$C503,DBRA_PlayerID,$D$3),"")</f>
        <v>0</v>
      </c>
      <c r="G503">
        <f ca="1">IFERROR(SUMIFS(OFFSET(DBRA_TopicHCP,0,G$217,DBR_COUNT,1),DBRA_WorkplanDate,$C503,DBRA_PlayerID,$D$3),"")</f>
        <v>0</v>
      </c>
      <c r="H503">
        <f ca="1">IFERROR(SUMIFS(OFFSET(DBRA_TopicHCP,0,H$217,DBR_COUNT,1),DBRA_WorkplanDate,$C503,DBRA_PlayerID,$D$3),"")</f>
        <v>0</v>
      </c>
      <c r="I503">
        <f ca="1">IFERROR(SUMIFS(OFFSET(DBRA_TopicHCP,0,I$217,DBR_COUNT,1),DBRA_WorkplanDate,$C503,DBRA_PlayerID,$D$3),"")</f>
        <v>0</v>
      </c>
      <c r="J503">
        <f ca="1">IFERROR(SUMIFS(OFFSET(DBRA_TopicHCP,0,J$217,DBR_COUNT,1),DBRA_WorkplanDate,$C503,DBRA_PlayerID,$D$3),"")</f>
        <v>0</v>
      </c>
      <c r="K503">
        <f ca="1">IFERROR(SUMIFS(OFFSET(DBRA_TopicHCP,0,K$217,DBR_COUNT,1),DBRA_WorkplanDate,$C503,DBRA_PlayerID,$D$3),"")</f>
        <v>0</v>
      </c>
      <c r="L503">
        <f ca="1">IFERROR(SUMIFS(OFFSET(DBRA_TopicHCP,0,L$217,DBR_COUNT,1),DBRA_WorkplanDate,$C503,DBRA_PlayerID,$D$3),"")</f>
        <v>0</v>
      </c>
      <c r="M503" s="47"/>
      <c r="N503">
        <f ca="1">IFERROR(SUMIFS(OFFSET(DBRA_TopicCount,0,N$217,DBR_COUNT,1),DBRA_WorkplanDate,$C503,DBRA_PlayerID,$D$3),"")</f>
        <v>0</v>
      </c>
      <c r="O503">
        <f ca="1">IFERROR(SUMIFS(OFFSET(DBRA_TopicCount,0,O$217,DBR_COUNT,1),DBRA_WorkplanDate,$C503,DBRA_PlayerID,$D$3),"")</f>
        <v>0</v>
      </c>
      <c r="P503">
        <f ca="1">IFERROR(SUMIFS(OFFSET(DBRA_TopicCount,0,P$217,DBR_COUNT,1),DBRA_WorkplanDate,$C503,DBRA_PlayerID,$D$3),"")</f>
        <v>0</v>
      </c>
      <c r="Q503">
        <f ca="1">IFERROR(SUMIFS(OFFSET(DBRA_TopicCount,0,Q$217,DBR_COUNT,1),DBRA_WorkplanDate,$C503,DBRA_PlayerID,$D$3),"")</f>
        <v>0</v>
      </c>
      <c r="R503">
        <f ca="1">IFERROR(SUMIFS(OFFSET(DBRA_TopicCount,0,R$217,DBR_COUNT,1),DBRA_WorkplanDate,$C503,DBRA_PlayerID,$D$3),"")</f>
        <v>0</v>
      </c>
      <c r="S503">
        <f ca="1">IFERROR(SUMIFS(OFFSET(DBRA_TopicCount,0,S$217,DBR_COUNT,1),DBRA_WorkplanDate,$C503,DBRA_PlayerID,$D$3),"")</f>
        <v>0</v>
      </c>
      <c r="T503">
        <f ca="1">IFERROR(SUMIFS(OFFSET(DBRA_TopicCount,0,T$217,DBR_COUNT,1),DBRA_WorkplanDate,$C503,DBRA_PlayerID,$D$3),"")</f>
        <v>0</v>
      </c>
      <c r="U503">
        <f ca="1">IFERROR(SUMIFS(OFFSET(DBRA_TopicCount,0,U$217,DBR_COUNT,1),DBRA_WorkplanDate,$C503,DBRA_PlayerID,$D$3),"")</f>
        <v>0</v>
      </c>
      <c r="V503">
        <f ca="1">IFERROR(SUMIFS(OFFSET(DBRA_TopicCount,0,V$217,DBR_COUNT,1),DBRA_WorkplanDate,$C503,DBRA_PlayerID,$D$3),"")</f>
        <v>0</v>
      </c>
      <c r="W503" s="47"/>
      <c r="X503" t="str">
        <f t="shared" ca="1" si="114"/>
        <v/>
      </c>
      <c r="Y503" t="str">
        <f t="shared" ca="1" si="106"/>
        <v/>
      </c>
      <c r="Z503" t="str">
        <f t="shared" ca="1" si="107"/>
        <v/>
      </c>
      <c r="AA503" t="str">
        <f t="shared" ca="1" si="108"/>
        <v/>
      </c>
      <c r="AB503" t="str">
        <f t="shared" ca="1" si="109"/>
        <v/>
      </c>
      <c r="AC503" t="str">
        <f t="shared" ca="1" si="110"/>
        <v/>
      </c>
      <c r="AD503" t="str">
        <f t="shared" ca="1" si="111"/>
        <v/>
      </c>
      <c r="AE503" t="str">
        <f t="shared" ca="1" si="112"/>
        <v/>
      </c>
      <c r="AF503" t="str">
        <f t="shared" ca="1" si="113"/>
        <v/>
      </c>
      <c r="AG503" s="47"/>
    </row>
    <row r="504" spans="3:33" x14ac:dyDescent="0.25">
      <c r="C504" s="118">
        <f t="shared" si="115"/>
        <v>42290</v>
      </c>
      <c r="D504">
        <f ca="1">IFERROR(SUMIFS(OFFSET(DBRA_TopicHCP,0,D$217,DBR_COUNT,1),DBRA_WorkplanDate,$C504,DBRA_PlayerID,$D$3),"")</f>
        <v>0</v>
      </c>
      <c r="E504">
        <f ca="1">IFERROR(SUMIFS(OFFSET(DBRA_TopicHCP,0,E$217,DBR_COUNT,1),DBRA_WorkplanDate,$C504,DBRA_PlayerID,$D$3),"")</f>
        <v>0</v>
      </c>
      <c r="F504">
        <f ca="1">IFERROR(SUMIFS(OFFSET(DBRA_TopicHCP,0,F$217,DBR_COUNT,1),DBRA_WorkplanDate,$C504,DBRA_PlayerID,$D$3),"")</f>
        <v>0</v>
      </c>
      <c r="G504">
        <f ca="1">IFERROR(SUMIFS(OFFSET(DBRA_TopicHCP,0,G$217,DBR_COUNT,1),DBRA_WorkplanDate,$C504,DBRA_PlayerID,$D$3),"")</f>
        <v>0</v>
      </c>
      <c r="H504">
        <f ca="1">IFERROR(SUMIFS(OFFSET(DBRA_TopicHCP,0,H$217,DBR_COUNT,1),DBRA_WorkplanDate,$C504,DBRA_PlayerID,$D$3),"")</f>
        <v>0</v>
      </c>
      <c r="I504">
        <f ca="1">IFERROR(SUMIFS(OFFSET(DBRA_TopicHCP,0,I$217,DBR_COUNT,1),DBRA_WorkplanDate,$C504,DBRA_PlayerID,$D$3),"")</f>
        <v>0</v>
      </c>
      <c r="J504">
        <f ca="1">IFERROR(SUMIFS(OFFSET(DBRA_TopicHCP,0,J$217,DBR_COUNT,1),DBRA_WorkplanDate,$C504,DBRA_PlayerID,$D$3),"")</f>
        <v>0</v>
      </c>
      <c r="K504">
        <f ca="1">IFERROR(SUMIFS(OFFSET(DBRA_TopicHCP,0,K$217,DBR_COUNT,1),DBRA_WorkplanDate,$C504,DBRA_PlayerID,$D$3),"")</f>
        <v>0</v>
      </c>
      <c r="L504">
        <f ca="1">IFERROR(SUMIFS(OFFSET(DBRA_TopicHCP,0,L$217,DBR_COUNT,1),DBRA_WorkplanDate,$C504,DBRA_PlayerID,$D$3),"")</f>
        <v>0</v>
      </c>
      <c r="M504" s="47"/>
      <c r="N504">
        <f ca="1">IFERROR(SUMIFS(OFFSET(DBRA_TopicCount,0,N$217,DBR_COUNT,1),DBRA_WorkplanDate,$C504,DBRA_PlayerID,$D$3),"")</f>
        <v>0</v>
      </c>
      <c r="O504">
        <f ca="1">IFERROR(SUMIFS(OFFSET(DBRA_TopicCount,0,O$217,DBR_COUNT,1),DBRA_WorkplanDate,$C504,DBRA_PlayerID,$D$3),"")</f>
        <v>0</v>
      </c>
      <c r="P504">
        <f ca="1">IFERROR(SUMIFS(OFFSET(DBRA_TopicCount,0,P$217,DBR_COUNT,1),DBRA_WorkplanDate,$C504,DBRA_PlayerID,$D$3),"")</f>
        <v>0</v>
      </c>
      <c r="Q504">
        <f ca="1">IFERROR(SUMIFS(OFFSET(DBRA_TopicCount,0,Q$217,DBR_COUNT,1),DBRA_WorkplanDate,$C504,DBRA_PlayerID,$D$3),"")</f>
        <v>0</v>
      </c>
      <c r="R504">
        <f ca="1">IFERROR(SUMIFS(OFFSET(DBRA_TopicCount,0,R$217,DBR_COUNT,1),DBRA_WorkplanDate,$C504,DBRA_PlayerID,$D$3),"")</f>
        <v>0</v>
      </c>
      <c r="S504">
        <f ca="1">IFERROR(SUMIFS(OFFSET(DBRA_TopicCount,0,S$217,DBR_COUNT,1),DBRA_WorkplanDate,$C504,DBRA_PlayerID,$D$3),"")</f>
        <v>0</v>
      </c>
      <c r="T504">
        <f ca="1">IFERROR(SUMIFS(OFFSET(DBRA_TopicCount,0,T$217,DBR_COUNT,1),DBRA_WorkplanDate,$C504,DBRA_PlayerID,$D$3),"")</f>
        <v>0</v>
      </c>
      <c r="U504">
        <f ca="1">IFERROR(SUMIFS(OFFSET(DBRA_TopicCount,0,U$217,DBR_COUNT,1),DBRA_WorkplanDate,$C504,DBRA_PlayerID,$D$3),"")</f>
        <v>0</v>
      </c>
      <c r="V504">
        <f ca="1">IFERROR(SUMIFS(OFFSET(DBRA_TopicCount,0,V$217,DBR_COUNT,1),DBRA_WorkplanDate,$C504,DBRA_PlayerID,$D$3),"")</f>
        <v>0</v>
      </c>
      <c r="W504" s="47"/>
      <c r="X504" t="str">
        <f t="shared" ca="1" si="114"/>
        <v/>
      </c>
      <c r="Y504" t="str">
        <f t="shared" ca="1" si="106"/>
        <v/>
      </c>
      <c r="Z504" t="str">
        <f t="shared" ca="1" si="107"/>
        <v/>
      </c>
      <c r="AA504" t="str">
        <f t="shared" ca="1" si="108"/>
        <v/>
      </c>
      <c r="AB504" t="str">
        <f t="shared" ca="1" si="109"/>
        <v/>
      </c>
      <c r="AC504" t="str">
        <f t="shared" ca="1" si="110"/>
        <v/>
      </c>
      <c r="AD504" t="str">
        <f t="shared" ca="1" si="111"/>
        <v/>
      </c>
      <c r="AE504" t="str">
        <f t="shared" ca="1" si="112"/>
        <v/>
      </c>
      <c r="AF504" t="str">
        <f t="shared" ca="1" si="113"/>
        <v/>
      </c>
      <c r="AG504" s="47"/>
    </row>
    <row r="505" spans="3:33" x14ac:dyDescent="0.25">
      <c r="C505" s="118">
        <f t="shared" si="115"/>
        <v>42291</v>
      </c>
      <c r="D505">
        <f ca="1">IFERROR(SUMIFS(OFFSET(DBRA_TopicHCP,0,D$217,DBR_COUNT,1),DBRA_WorkplanDate,$C505,DBRA_PlayerID,$D$3),"")</f>
        <v>0</v>
      </c>
      <c r="E505">
        <f ca="1">IFERROR(SUMIFS(OFFSET(DBRA_TopicHCP,0,E$217,DBR_COUNT,1),DBRA_WorkplanDate,$C505,DBRA_PlayerID,$D$3),"")</f>
        <v>0</v>
      </c>
      <c r="F505">
        <f ca="1">IFERROR(SUMIFS(OFFSET(DBRA_TopicHCP,0,F$217,DBR_COUNT,1),DBRA_WorkplanDate,$C505,DBRA_PlayerID,$D$3),"")</f>
        <v>0</v>
      </c>
      <c r="G505">
        <f ca="1">IFERROR(SUMIFS(OFFSET(DBRA_TopicHCP,0,G$217,DBR_COUNT,1),DBRA_WorkplanDate,$C505,DBRA_PlayerID,$D$3),"")</f>
        <v>0</v>
      </c>
      <c r="H505">
        <f ca="1">IFERROR(SUMIFS(OFFSET(DBRA_TopicHCP,0,H$217,DBR_COUNT,1),DBRA_WorkplanDate,$C505,DBRA_PlayerID,$D$3),"")</f>
        <v>0</v>
      </c>
      <c r="I505">
        <f ca="1">IFERROR(SUMIFS(OFFSET(DBRA_TopicHCP,0,I$217,DBR_COUNT,1),DBRA_WorkplanDate,$C505,DBRA_PlayerID,$D$3),"")</f>
        <v>0</v>
      </c>
      <c r="J505">
        <f ca="1">IFERROR(SUMIFS(OFFSET(DBRA_TopicHCP,0,J$217,DBR_COUNT,1),DBRA_WorkplanDate,$C505,DBRA_PlayerID,$D$3),"")</f>
        <v>0</v>
      </c>
      <c r="K505">
        <f ca="1">IFERROR(SUMIFS(OFFSET(DBRA_TopicHCP,0,K$217,DBR_COUNT,1),DBRA_WorkplanDate,$C505,DBRA_PlayerID,$D$3),"")</f>
        <v>0</v>
      </c>
      <c r="L505">
        <f ca="1">IFERROR(SUMIFS(OFFSET(DBRA_TopicHCP,0,L$217,DBR_COUNT,1),DBRA_WorkplanDate,$C505,DBRA_PlayerID,$D$3),"")</f>
        <v>0</v>
      </c>
      <c r="M505" s="47"/>
      <c r="N505">
        <f ca="1">IFERROR(SUMIFS(OFFSET(DBRA_TopicCount,0,N$217,DBR_COUNT,1),DBRA_WorkplanDate,$C505,DBRA_PlayerID,$D$3),"")</f>
        <v>0</v>
      </c>
      <c r="O505">
        <f ca="1">IFERROR(SUMIFS(OFFSET(DBRA_TopicCount,0,O$217,DBR_COUNT,1),DBRA_WorkplanDate,$C505,DBRA_PlayerID,$D$3),"")</f>
        <v>0</v>
      </c>
      <c r="P505">
        <f ca="1">IFERROR(SUMIFS(OFFSET(DBRA_TopicCount,0,P$217,DBR_COUNT,1),DBRA_WorkplanDate,$C505,DBRA_PlayerID,$D$3),"")</f>
        <v>0</v>
      </c>
      <c r="Q505">
        <f ca="1">IFERROR(SUMIFS(OFFSET(DBRA_TopicCount,0,Q$217,DBR_COUNT,1),DBRA_WorkplanDate,$C505,DBRA_PlayerID,$D$3),"")</f>
        <v>0</v>
      </c>
      <c r="R505">
        <f ca="1">IFERROR(SUMIFS(OFFSET(DBRA_TopicCount,0,R$217,DBR_COUNT,1),DBRA_WorkplanDate,$C505,DBRA_PlayerID,$D$3),"")</f>
        <v>0</v>
      </c>
      <c r="S505">
        <f ca="1">IFERROR(SUMIFS(OFFSET(DBRA_TopicCount,0,S$217,DBR_COUNT,1),DBRA_WorkplanDate,$C505,DBRA_PlayerID,$D$3),"")</f>
        <v>0</v>
      </c>
      <c r="T505">
        <f ca="1">IFERROR(SUMIFS(OFFSET(DBRA_TopicCount,0,T$217,DBR_COUNT,1),DBRA_WorkplanDate,$C505,DBRA_PlayerID,$D$3),"")</f>
        <v>0</v>
      </c>
      <c r="U505">
        <f ca="1">IFERROR(SUMIFS(OFFSET(DBRA_TopicCount,0,U$217,DBR_COUNT,1),DBRA_WorkplanDate,$C505,DBRA_PlayerID,$D$3),"")</f>
        <v>0</v>
      </c>
      <c r="V505">
        <f ca="1">IFERROR(SUMIFS(OFFSET(DBRA_TopicCount,0,V$217,DBR_COUNT,1),DBRA_WorkplanDate,$C505,DBRA_PlayerID,$D$3),"")</f>
        <v>0</v>
      </c>
      <c r="W505" s="47"/>
      <c r="X505" t="str">
        <f t="shared" ca="1" si="114"/>
        <v/>
      </c>
      <c r="Y505" t="str">
        <f t="shared" ca="1" si="106"/>
        <v/>
      </c>
      <c r="Z505" t="str">
        <f t="shared" ca="1" si="107"/>
        <v/>
      </c>
      <c r="AA505" t="str">
        <f t="shared" ca="1" si="108"/>
        <v/>
      </c>
      <c r="AB505" t="str">
        <f t="shared" ca="1" si="109"/>
        <v/>
      </c>
      <c r="AC505" t="str">
        <f t="shared" ca="1" si="110"/>
        <v/>
      </c>
      <c r="AD505" t="str">
        <f t="shared" ca="1" si="111"/>
        <v/>
      </c>
      <c r="AE505" t="str">
        <f t="shared" ca="1" si="112"/>
        <v/>
      </c>
      <c r="AF505" t="str">
        <f t="shared" ca="1" si="113"/>
        <v/>
      </c>
      <c r="AG505" s="47"/>
    </row>
    <row r="506" spans="3:33" x14ac:dyDescent="0.25">
      <c r="C506" s="118">
        <f t="shared" si="115"/>
        <v>42292</v>
      </c>
      <c r="D506">
        <f ca="1">IFERROR(SUMIFS(OFFSET(DBRA_TopicHCP,0,D$217,DBR_COUNT,1),DBRA_WorkplanDate,$C506,DBRA_PlayerID,$D$3),"")</f>
        <v>0</v>
      </c>
      <c r="E506">
        <f ca="1">IFERROR(SUMIFS(OFFSET(DBRA_TopicHCP,0,E$217,DBR_COUNT,1),DBRA_WorkplanDate,$C506,DBRA_PlayerID,$D$3),"")</f>
        <v>0</v>
      </c>
      <c r="F506">
        <f ca="1">IFERROR(SUMIFS(OFFSET(DBRA_TopicHCP,0,F$217,DBR_COUNT,1),DBRA_WorkplanDate,$C506,DBRA_PlayerID,$D$3),"")</f>
        <v>0</v>
      </c>
      <c r="G506">
        <f ca="1">IFERROR(SUMIFS(OFFSET(DBRA_TopicHCP,0,G$217,DBR_COUNT,1),DBRA_WorkplanDate,$C506,DBRA_PlayerID,$D$3),"")</f>
        <v>0</v>
      </c>
      <c r="H506">
        <f ca="1">IFERROR(SUMIFS(OFFSET(DBRA_TopicHCP,0,H$217,DBR_COUNT,1),DBRA_WorkplanDate,$C506,DBRA_PlayerID,$D$3),"")</f>
        <v>0</v>
      </c>
      <c r="I506">
        <f ca="1">IFERROR(SUMIFS(OFFSET(DBRA_TopicHCP,0,I$217,DBR_COUNT,1),DBRA_WorkplanDate,$C506,DBRA_PlayerID,$D$3),"")</f>
        <v>0</v>
      </c>
      <c r="J506">
        <f ca="1">IFERROR(SUMIFS(OFFSET(DBRA_TopicHCP,0,J$217,DBR_COUNT,1),DBRA_WorkplanDate,$C506,DBRA_PlayerID,$D$3),"")</f>
        <v>0</v>
      </c>
      <c r="K506">
        <f ca="1">IFERROR(SUMIFS(OFFSET(DBRA_TopicHCP,0,K$217,DBR_COUNT,1),DBRA_WorkplanDate,$C506,DBRA_PlayerID,$D$3),"")</f>
        <v>0</v>
      </c>
      <c r="L506">
        <f ca="1">IFERROR(SUMIFS(OFFSET(DBRA_TopicHCP,0,L$217,DBR_COUNT,1),DBRA_WorkplanDate,$C506,DBRA_PlayerID,$D$3),"")</f>
        <v>0</v>
      </c>
      <c r="M506" s="47"/>
      <c r="N506">
        <f ca="1">IFERROR(SUMIFS(OFFSET(DBRA_TopicCount,0,N$217,DBR_COUNT,1),DBRA_WorkplanDate,$C506,DBRA_PlayerID,$D$3),"")</f>
        <v>0</v>
      </c>
      <c r="O506">
        <f ca="1">IFERROR(SUMIFS(OFFSET(DBRA_TopicCount,0,O$217,DBR_COUNT,1),DBRA_WorkplanDate,$C506,DBRA_PlayerID,$D$3),"")</f>
        <v>0</v>
      </c>
      <c r="P506">
        <f ca="1">IFERROR(SUMIFS(OFFSET(DBRA_TopicCount,0,P$217,DBR_COUNT,1),DBRA_WorkplanDate,$C506,DBRA_PlayerID,$D$3),"")</f>
        <v>0</v>
      </c>
      <c r="Q506">
        <f ca="1">IFERROR(SUMIFS(OFFSET(DBRA_TopicCount,0,Q$217,DBR_COUNT,1),DBRA_WorkplanDate,$C506,DBRA_PlayerID,$D$3),"")</f>
        <v>0</v>
      </c>
      <c r="R506">
        <f ca="1">IFERROR(SUMIFS(OFFSET(DBRA_TopicCount,0,R$217,DBR_COUNT,1),DBRA_WorkplanDate,$C506,DBRA_PlayerID,$D$3),"")</f>
        <v>0</v>
      </c>
      <c r="S506">
        <f ca="1">IFERROR(SUMIFS(OFFSET(DBRA_TopicCount,0,S$217,DBR_COUNT,1),DBRA_WorkplanDate,$C506,DBRA_PlayerID,$D$3),"")</f>
        <v>0</v>
      </c>
      <c r="T506">
        <f ca="1">IFERROR(SUMIFS(OFFSET(DBRA_TopicCount,0,T$217,DBR_COUNT,1),DBRA_WorkplanDate,$C506,DBRA_PlayerID,$D$3),"")</f>
        <v>0</v>
      </c>
      <c r="U506">
        <f ca="1">IFERROR(SUMIFS(OFFSET(DBRA_TopicCount,0,U$217,DBR_COUNT,1),DBRA_WorkplanDate,$C506,DBRA_PlayerID,$D$3),"")</f>
        <v>0</v>
      </c>
      <c r="V506">
        <f ca="1">IFERROR(SUMIFS(OFFSET(DBRA_TopicCount,0,V$217,DBR_COUNT,1),DBRA_WorkplanDate,$C506,DBRA_PlayerID,$D$3),"")</f>
        <v>0</v>
      </c>
      <c r="W506" s="47"/>
      <c r="X506" t="str">
        <f t="shared" ca="1" si="114"/>
        <v/>
      </c>
      <c r="Y506" t="str">
        <f t="shared" ca="1" si="106"/>
        <v/>
      </c>
      <c r="Z506" t="str">
        <f t="shared" ca="1" si="107"/>
        <v/>
      </c>
      <c r="AA506" t="str">
        <f t="shared" ca="1" si="108"/>
        <v/>
      </c>
      <c r="AB506" t="str">
        <f t="shared" ca="1" si="109"/>
        <v/>
      </c>
      <c r="AC506" t="str">
        <f t="shared" ca="1" si="110"/>
        <v/>
      </c>
      <c r="AD506" t="str">
        <f t="shared" ca="1" si="111"/>
        <v/>
      </c>
      <c r="AE506" t="str">
        <f t="shared" ca="1" si="112"/>
        <v/>
      </c>
      <c r="AF506" t="str">
        <f t="shared" ca="1" si="113"/>
        <v/>
      </c>
      <c r="AG506" s="47"/>
    </row>
    <row r="507" spans="3:33" x14ac:dyDescent="0.25">
      <c r="C507" s="118">
        <f t="shared" si="115"/>
        <v>42293</v>
      </c>
      <c r="D507">
        <f ca="1">IFERROR(SUMIFS(OFFSET(DBRA_TopicHCP,0,D$217,DBR_COUNT,1),DBRA_WorkplanDate,$C507,DBRA_PlayerID,$D$3),"")</f>
        <v>0</v>
      </c>
      <c r="E507">
        <f ca="1">IFERROR(SUMIFS(OFFSET(DBRA_TopicHCP,0,E$217,DBR_COUNT,1),DBRA_WorkplanDate,$C507,DBRA_PlayerID,$D$3),"")</f>
        <v>0</v>
      </c>
      <c r="F507">
        <f ca="1">IFERROR(SUMIFS(OFFSET(DBRA_TopicHCP,0,F$217,DBR_COUNT,1),DBRA_WorkplanDate,$C507,DBRA_PlayerID,$D$3),"")</f>
        <v>0</v>
      </c>
      <c r="G507">
        <f ca="1">IFERROR(SUMIFS(OFFSET(DBRA_TopicHCP,0,G$217,DBR_COUNT,1),DBRA_WorkplanDate,$C507,DBRA_PlayerID,$D$3),"")</f>
        <v>0</v>
      </c>
      <c r="H507">
        <f ca="1">IFERROR(SUMIFS(OFFSET(DBRA_TopicHCP,0,H$217,DBR_COUNT,1),DBRA_WorkplanDate,$C507,DBRA_PlayerID,$D$3),"")</f>
        <v>0</v>
      </c>
      <c r="I507">
        <f ca="1">IFERROR(SUMIFS(OFFSET(DBRA_TopicHCP,0,I$217,DBR_COUNT,1),DBRA_WorkplanDate,$C507,DBRA_PlayerID,$D$3),"")</f>
        <v>0</v>
      </c>
      <c r="J507">
        <f ca="1">IFERROR(SUMIFS(OFFSET(DBRA_TopicHCP,0,J$217,DBR_COUNT,1),DBRA_WorkplanDate,$C507,DBRA_PlayerID,$D$3),"")</f>
        <v>0</v>
      </c>
      <c r="K507">
        <f ca="1">IFERROR(SUMIFS(OFFSET(DBRA_TopicHCP,0,K$217,DBR_COUNT,1),DBRA_WorkplanDate,$C507,DBRA_PlayerID,$D$3),"")</f>
        <v>0</v>
      </c>
      <c r="L507">
        <f ca="1">IFERROR(SUMIFS(OFFSET(DBRA_TopicHCP,0,L$217,DBR_COUNT,1),DBRA_WorkplanDate,$C507,DBRA_PlayerID,$D$3),"")</f>
        <v>0</v>
      </c>
      <c r="M507" s="47"/>
      <c r="N507">
        <f ca="1">IFERROR(SUMIFS(OFFSET(DBRA_TopicCount,0,N$217,DBR_COUNT,1),DBRA_WorkplanDate,$C507,DBRA_PlayerID,$D$3),"")</f>
        <v>0</v>
      </c>
      <c r="O507">
        <f ca="1">IFERROR(SUMIFS(OFFSET(DBRA_TopicCount,0,O$217,DBR_COUNT,1),DBRA_WorkplanDate,$C507,DBRA_PlayerID,$D$3),"")</f>
        <v>0</v>
      </c>
      <c r="P507">
        <f ca="1">IFERROR(SUMIFS(OFFSET(DBRA_TopicCount,0,P$217,DBR_COUNT,1),DBRA_WorkplanDate,$C507,DBRA_PlayerID,$D$3),"")</f>
        <v>0</v>
      </c>
      <c r="Q507">
        <f ca="1">IFERROR(SUMIFS(OFFSET(DBRA_TopicCount,0,Q$217,DBR_COUNT,1),DBRA_WorkplanDate,$C507,DBRA_PlayerID,$D$3),"")</f>
        <v>0</v>
      </c>
      <c r="R507">
        <f ca="1">IFERROR(SUMIFS(OFFSET(DBRA_TopicCount,0,R$217,DBR_COUNT,1),DBRA_WorkplanDate,$C507,DBRA_PlayerID,$D$3),"")</f>
        <v>0</v>
      </c>
      <c r="S507">
        <f ca="1">IFERROR(SUMIFS(OFFSET(DBRA_TopicCount,0,S$217,DBR_COUNT,1),DBRA_WorkplanDate,$C507,DBRA_PlayerID,$D$3),"")</f>
        <v>0</v>
      </c>
      <c r="T507">
        <f ca="1">IFERROR(SUMIFS(OFFSET(DBRA_TopicCount,0,T$217,DBR_COUNT,1),DBRA_WorkplanDate,$C507,DBRA_PlayerID,$D$3),"")</f>
        <v>0</v>
      </c>
      <c r="U507">
        <f ca="1">IFERROR(SUMIFS(OFFSET(DBRA_TopicCount,0,U$217,DBR_COUNT,1),DBRA_WorkplanDate,$C507,DBRA_PlayerID,$D$3),"")</f>
        <v>0</v>
      </c>
      <c r="V507">
        <f ca="1">IFERROR(SUMIFS(OFFSET(DBRA_TopicCount,0,V$217,DBR_COUNT,1),DBRA_WorkplanDate,$C507,DBRA_PlayerID,$D$3),"")</f>
        <v>0</v>
      </c>
      <c r="W507" s="47"/>
      <c r="X507" t="str">
        <f t="shared" ca="1" si="114"/>
        <v/>
      </c>
      <c r="Y507" t="str">
        <f t="shared" ca="1" si="106"/>
        <v/>
      </c>
      <c r="Z507" t="str">
        <f t="shared" ca="1" si="107"/>
        <v/>
      </c>
      <c r="AA507" t="str">
        <f t="shared" ca="1" si="108"/>
        <v/>
      </c>
      <c r="AB507" t="str">
        <f t="shared" ca="1" si="109"/>
        <v/>
      </c>
      <c r="AC507" t="str">
        <f t="shared" ca="1" si="110"/>
        <v/>
      </c>
      <c r="AD507" t="str">
        <f t="shared" ca="1" si="111"/>
        <v/>
      </c>
      <c r="AE507" t="str">
        <f t="shared" ca="1" si="112"/>
        <v/>
      </c>
      <c r="AF507" t="str">
        <f t="shared" ca="1" si="113"/>
        <v/>
      </c>
      <c r="AG507" s="47"/>
    </row>
    <row r="508" spans="3:33" x14ac:dyDescent="0.25">
      <c r="C508" s="118">
        <f t="shared" si="115"/>
        <v>42294</v>
      </c>
      <c r="D508">
        <f ca="1">IFERROR(SUMIFS(OFFSET(DBRA_TopicHCP,0,D$217,DBR_COUNT,1),DBRA_WorkplanDate,$C508,DBRA_PlayerID,$D$3),"")</f>
        <v>0</v>
      </c>
      <c r="E508">
        <f ca="1">IFERROR(SUMIFS(OFFSET(DBRA_TopicHCP,0,E$217,DBR_COUNT,1),DBRA_WorkplanDate,$C508,DBRA_PlayerID,$D$3),"")</f>
        <v>0</v>
      </c>
      <c r="F508">
        <f ca="1">IFERROR(SUMIFS(OFFSET(DBRA_TopicHCP,0,F$217,DBR_COUNT,1),DBRA_WorkplanDate,$C508,DBRA_PlayerID,$D$3),"")</f>
        <v>0</v>
      </c>
      <c r="G508">
        <f ca="1">IFERROR(SUMIFS(OFFSET(DBRA_TopicHCP,0,G$217,DBR_COUNT,1),DBRA_WorkplanDate,$C508,DBRA_PlayerID,$D$3),"")</f>
        <v>0</v>
      </c>
      <c r="H508">
        <f ca="1">IFERROR(SUMIFS(OFFSET(DBRA_TopicHCP,0,H$217,DBR_COUNT,1),DBRA_WorkplanDate,$C508,DBRA_PlayerID,$D$3),"")</f>
        <v>0</v>
      </c>
      <c r="I508">
        <f ca="1">IFERROR(SUMIFS(OFFSET(DBRA_TopicHCP,0,I$217,DBR_COUNT,1),DBRA_WorkplanDate,$C508,DBRA_PlayerID,$D$3),"")</f>
        <v>0</v>
      </c>
      <c r="J508">
        <f ca="1">IFERROR(SUMIFS(OFFSET(DBRA_TopicHCP,0,J$217,DBR_COUNT,1),DBRA_WorkplanDate,$C508,DBRA_PlayerID,$D$3),"")</f>
        <v>0</v>
      </c>
      <c r="K508">
        <f ca="1">IFERROR(SUMIFS(OFFSET(DBRA_TopicHCP,0,K$217,DBR_COUNT,1),DBRA_WorkplanDate,$C508,DBRA_PlayerID,$D$3),"")</f>
        <v>0</v>
      </c>
      <c r="L508">
        <f ca="1">IFERROR(SUMIFS(OFFSET(DBRA_TopicHCP,0,L$217,DBR_COUNT,1),DBRA_WorkplanDate,$C508,DBRA_PlayerID,$D$3),"")</f>
        <v>0</v>
      </c>
      <c r="M508" s="47"/>
      <c r="N508">
        <f ca="1">IFERROR(SUMIFS(OFFSET(DBRA_TopicCount,0,N$217,DBR_COUNT,1),DBRA_WorkplanDate,$C508,DBRA_PlayerID,$D$3),"")</f>
        <v>0</v>
      </c>
      <c r="O508">
        <f ca="1">IFERROR(SUMIFS(OFFSET(DBRA_TopicCount,0,O$217,DBR_COUNT,1),DBRA_WorkplanDate,$C508,DBRA_PlayerID,$D$3),"")</f>
        <v>0</v>
      </c>
      <c r="P508">
        <f ca="1">IFERROR(SUMIFS(OFFSET(DBRA_TopicCount,0,P$217,DBR_COUNT,1),DBRA_WorkplanDate,$C508,DBRA_PlayerID,$D$3),"")</f>
        <v>0</v>
      </c>
      <c r="Q508">
        <f ca="1">IFERROR(SUMIFS(OFFSET(DBRA_TopicCount,0,Q$217,DBR_COUNT,1),DBRA_WorkplanDate,$C508,DBRA_PlayerID,$D$3),"")</f>
        <v>0</v>
      </c>
      <c r="R508">
        <f ca="1">IFERROR(SUMIFS(OFFSET(DBRA_TopicCount,0,R$217,DBR_COUNT,1),DBRA_WorkplanDate,$C508,DBRA_PlayerID,$D$3),"")</f>
        <v>0</v>
      </c>
      <c r="S508">
        <f ca="1">IFERROR(SUMIFS(OFFSET(DBRA_TopicCount,0,S$217,DBR_COUNT,1),DBRA_WorkplanDate,$C508,DBRA_PlayerID,$D$3),"")</f>
        <v>0</v>
      </c>
      <c r="T508">
        <f ca="1">IFERROR(SUMIFS(OFFSET(DBRA_TopicCount,0,T$217,DBR_COUNT,1),DBRA_WorkplanDate,$C508,DBRA_PlayerID,$D$3),"")</f>
        <v>0</v>
      </c>
      <c r="U508">
        <f ca="1">IFERROR(SUMIFS(OFFSET(DBRA_TopicCount,0,U$217,DBR_COUNT,1),DBRA_WorkplanDate,$C508,DBRA_PlayerID,$D$3),"")</f>
        <v>0</v>
      </c>
      <c r="V508">
        <f ca="1">IFERROR(SUMIFS(OFFSET(DBRA_TopicCount,0,V$217,DBR_COUNT,1),DBRA_WorkplanDate,$C508,DBRA_PlayerID,$D$3),"")</f>
        <v>0</v>
      </c>
      <c r="W508" s="47"/>
      <c r="X508" t="str">
        <f t="shared" ca="1" si="114"/>
        <v/>
      </c>
      <c r="Y508" t="str">
        <f t="shared" ca="1" si="106"/>
        <v/>
      </c>
      <c r="Z508" t="str">
        <f t="shared" ca="1" si="107"/>
        <v/>
      </c>
      <c r="AA508" t="str">
        <f t="shared" ca="1" si="108"/>
        <v/>
      </c>
      <c r="AB508" t="str">
        <f t="shared" ca="1" si="109"/>
        <v/>
      </c>
      <c r="AC508" t="str">
        <f t="shared" ca="1" si="110"/>
        <v/>
      </c>
      <c r="AD508" t="str">
        <f t="shared" ca="1" si="111"/>
        <v/>
      </c>
      <c r="AE508" t="str">
        <f t="shared" ca="1" si="112"/>
        <v/>
      </c>
      <c r="AF508" t="str">
        <f t="shared" ca="1" si="113"/>
        <v/>
      </c>
      <c r="AG508" s="47"/>
    </row>
    <row r="509" spans="3:33" x14ac:dyDescent="0.25">
      <c r="C509" s="118">
        <f t="shared" si="115"/>
        <v>42295</v>
      </c>
      <c r="D509">
        <f ca="1">IFERROR(SUMIFS(OFFSET(DBRA_TopicHCP,0,D$217,DBR_COUNT,1),DBRA_WorkplanDate,$C509,DBRA_PlayerID,$D$3),"")</f>
        <v>0</v>
      </c>
      <c r="E509">
        <f ca="1">IFERROR(SUMIFS(OFFSET(DBRA_TopicHCP,0,E$217,DBR_COUNT,1),DBRA_WorkplanDate,$C509,DBRA_PlayerID,$D$3),"")</f>
        <v>0</v>
      </c>
      <c r="F509">
        <f ca="1">IFERROR(SUMIFS(OFFSET(DBRA_TopicHCP,0,F$217,DBR_COUNT,1),DBRA_WorkplanDate,$C509,DBRA_PlayerID,$D$3),"")</f>
        <v>0</v>
      </c>
      <c r="G509">
        <f ca="1">IFERROR(SUMIFS(OFFSET(DBRA_TopicHCP,0,G$217,DBR_COUNT,1),DBRA_WorkplanDate,$C509,DBRA_PlayerID,$D$3),"")</f>
        <v>0</v>
      </c>
      <c r="H509">
        <f ca="1">IFERROR(SUMIFS(OFFSET(DBRA_TopicHCP,0,H$217,DBR_COUNT,1),DBRA_WorkplanDate,$C509,DBRA_PlayerID,$D$3),"")</f>
        <v>0</v>
      </c>
      <c r="I509">
        <f ca="1">IFERROR(SUMIFS(OFFSET(DBRA_TopicHCP,0,I$217,DBR_COUNT,1),DBRA_WorkplanDate,$C509,DBRA_PlayerID,$D$3),"")</f>
        <v>0</v>
      </c>
      <c r="J509">
        <f ca="1">IFERROR(SUMIFS(OFFSET(DBRA_TopicHCP,0,J$217,DBR_COUNT,1),DBRA_WorkplanDate,$C509,DBRA_PlayerID,$D$3),"")</f>
        <v>0</v>
      </c>
      <c r="K509">
        <f ca="1">IFERROR(SUMIFS(OFFSET(DBRA_TopicHCP,0,K$217,DBR_COUNT,1),DBRA_WorkplanDate,$C509,DBRA_PlayerID,$D$3),"")</f>
        <v>0</v>
      </c>
      <c r="L509">
        <f ca="1">IFERROR(SUMIFS(OFFSET(DBRA_TopicHCP,0,L$217,DBR_COUNT,1),DBRA_WorkplanDate,$C509,DBRA_PlayerID,$D$3),"")</f>
        <v>0</v>
      </c>
      <c r="M509" s="47"/>
      <c r="N509">
        <f ca="1">IFERROR(SUMIFS(OFFSET(DBRA_TopicCount,0,N$217,DBR_COUNT,1),DBRA_WorkplanDate,$C509,DBRA_PlayerID,$D$3),"")</f>
        <v>0</v>
      </c>
      <c r="O509">
        <f ca="1">IFERROR(SUMIFS(OFFSET(DBRA_TopicCount,0,O$217,DBR_COUNT,1),DBRA_WorkplanDate,$C509,DBRA_PlayerID,$D$3),"")</f>
        <v>0</v>
      </c>
      <c r="P509">
        <f ca="1">IFERROR(SUMIFS(OFFSET(DBRA_TopicCount,0,P$217,DBR_COUNT,1),DBRA_WorkplanDate,$C509,DBRA_PlayerID,$D$3),"")</f>
        <v>0</v>
      </c>
      <c r="Q509">
        <f ca="1">IFERROR(SUMIFS(OFFSET(DBRA_TopicCount,0,Q$217,DBR_COUNT,1),DBRA_WorkplanDate,$C509,DBRA_PlayerID,$D$3),"")</f>
        <v>0</v>
      </c>
      <c r="R509">
        <f ca="1">IFERROR(SUMIFS(OFFSET(DBRA_TopicCount,0,R$217,DBR_COUNT,1),DBRA_WorkplanDate,$C509,DBRA_PlayerID,$D$3),"")</f>
        <v>0</v>
      </c>
      <c r="S509">
        <f ca="1">IFERROR(SUMIFS(OFFSET(DBRA_TopicCount,0,S$217,DBR_COUNT,1),DBRA_WorkplanDate,$C509,DBRA_PlayerID,$D$3),"")</f>
        <v>0</v>
      </c>
      <c r="T509">
        <f ca="1">IFERROR(SUMIFS(OFFSET(DBRA_TopicCount,0,T$217,DBR_COUNT,1),DBRA_WorkplanDate,$C509,DBRA_PlayerID,$D$3),"")</f>
        <v>0</v>
      </c>
      <c r="U509">
        <f ca="1">IFERROR(SUMIFS(OFFSET(DBRA_TopicCount,0,U$217,DBR_COUNT,1),DBRA_WorkplanDate,$C509,DBRA_PlayerID,$D$3),"")</f>
        <v>0</v>
      </c>
      <c r="V509">
        <f ca="1">IFERROR(SUMIFS(OFFSET(DBRA_TopicCount,0,V$217,DBR_COUNT,1),DBRA_WorkplanDate,$C509,DBRA_PlayerID,$D$3),"")</f>
        <v>0</v>
      </c>
      <c r="W509" s="47"/>
      <c r="X509" t="str">
        <f t="shared" ca="1" si="114"/>
        <v/>
      </c>
      <c r="Y509" t="str">
        <f t="shared" ca="1" si="106"/>
        <v/>
      </c>
      <c r="Z509" t="str">
        <f t="shared" ca="1" si="107"/>
        <v/>
      </c>
      <c r="AA509" t="str">
        <f t="shared" ca="1" si="108"/>
        <v/>
      </c>
      <c r="AB509" t="str">
        <f t="shared" ca="1" si="109"/>
        <v/>
      </c>
      <c r="AC509" t="str">
        <f t="shared" ca="1" si="110"/>
        <v/>
      </c>
      <c r="AD509" t="str">
        <f t="shared" ca="1" si="111"/>
        <v/>
      </c>
      <c r="AE509" t="str">
        <f t="shared" ca="1" si="112"/>
        <v/>
      </c>
      <c r="AF509" t="str">
        <f t="shared" ca="1" si="113"/>
        <v/>
      </c>
      <c r="AG509" s="47"/>
    </row>
    <row r="510" spans="3:33" x14ac:dyDescent="0.25">
      <c r="C510" s="118">
        <f t="shared" si="115"/>
        <v>42296</v>
      </c>
      <c r="D510">
        <f ca="1">IFERROR(SUMIFS(OFFSET(DBRA_TopicHCP,0,D$217,DBR_COUNT,1),DBRA_WorkplanDate,$C510,DBRA_PlayerID,$D$3),"")</f>
        <v>0</v>
      </c>
      <c r="E510">
        <f ca="1">IFERROR(SUMIFS(OFFSET(DBRA_TopicHCP,0,E$217,DBR_COUNT,1),DBRA_WorkplanDate,$C510,DBRA_PlayerID,$D$3),"")</f>
        <v>0</v>
      </c>
      <c r="F510">
        <f ca="1">IFERROR(SUMIFS(OFFSET(DBRA_TopicHCP,0,F$217,DBR_COUNT,1),DBRA_WorkplanDate,$C510,DBRA_PlayerID,$D$3),"")</f>
        <v>0</v>
      </c>
      <c r="G510">
        <f ca="1">IFERROR(SUMIFS(OFFSET(DBRA_TopicHCP,0,G$217,DBR_COUNT,1),DBRA_WorkplanDate,$C510,DBRA_PlayerID,$D$3),"")</f>
        <v>0</v>
      </c>
      <c r="H510">
        <f ca="1">IFERROR(SUMIFS(OFFSET(DBRA_TopicHCP,0,H$217,DBR_COUNT,1),DBRA_WorkplanDate,$C510,DBRA_PlayerID,$D$3),"")</f>
        <v>0</v>
      </c>
      <c r="I510">
        <f ca="1">IFERROR(SUMIFS(OFFSET(DBRA_TopicHCP,0,I$217,DBR_COUNT,1),DBRA_WorkplanDate,$C510,DBRA_PlayerID,$D$3),"")</f>
        <v>0</v>
      </c>
      <c r="J510">
        <f ca="1">IFERROR(SUMIFS(OFFSET(DBRA_TopicHCP,0,J$217,DBR_COUNT,1),DBRA_WorkplanDate,$C510,DBRA_PlayerID,$D$3),"")</f>
        <v>0</v>
      </c>
      <c r="K510">
        <f ca="1">IFERROR(SUMIFS(OFFSET(DBRA_TopicHCP,0,K$217,DBR_COUNT,1),DBRA_WorkplanDate,$C510,DBRA_PlayerID,$D$3),"")</f>
        <v>0</v>
      </c>
      <c r="L510">
        <f ca="1">IFERROR(SUMIFS(OFFSET(DBRA_TopicHCP,0,L$217,DBR_COUNT,1),DBRA_WorkplanDate,$C510,DBRA_PlayerID,$D$3),"")</f>
        <v>0</v>
      </c>
      <c r="M510" s="47"/>
      <c r="N510">
        <f ca="1">IFERROR(SUMIFS(OFFSET(DBRA_TopicCount,0,N$217,DBR_COUNT,1),DBRA_WorkplanDate,$C510,DBRA_PlayerID,$D$3),"")</f>
        <v>0</v>
      </c>
      <c r="O510">
        <f ca="1">IFERROR(SUMIFS(OFFSET(DBRA_TopicCount,0,O$217,DBR_COUNT,1),DBRA_WorkplanDate,$C510,DBRA_PlayerID,$D$3),"")</f>
        <v>0</v>
      </c>
      <c r="P510">
        <f ca="1">IFERROR(SUMIFS(OFFSET(DBRA_TopicCount,0,P$217,DBR_COUNT,1),DBRA_WorkplanDate,$C510,DBRA_PlayerID,$D$3),"")</f>
        <v>0</v>
      </c>
      <c r="Q510">
        <f ca="1">IFERROR(SUMIFS(OFFSET(DBRA_TopicCount,0,Q$217,DBR_COUNT,1),DBRA_WorkplanDate,$C510,DBRA_PlayerID,$D$3),"")</f>
        <v>0</v>
      </c>
      <c r="R510">
        <f ca="1">IFERROR(SUMIFS(OFFSET(DBRA_TopicCount,0,R$217,DBR_COUNT,1),DBRA_WorkplanDate,$C510,DBRA_PlayerID,$D$3),"")</f>
        <v>0</v>
      </c>
      <c r="S510">
        <f ca="1">IFERROR(SUMIFS(OFFSET(DBRA_TopicCount,0,S$217,DBR_COUNT,1),DBRA_WorkplanDate,$C510,DBRA_PlayerID,$D$3),"")</f>
        <v>0</v>
      </c>
      <c r="T510">
        <f ca="1">IFERROR(SUMIFS(OFFSET(DBRA_TopicCount,0,T$217,DBR_COUNT,1),DBRA_WorkplanDate,$C510,DBRA_PlayerID,$D$3),"")</f>
        <v>0</v>
      </c>
      <c r="U510">
        <f ca="1">IFERROR(SUMIFS(OFFSET(DBRA_TopicCount,0,U$217,DBR_COUNT,1),DBRA_WorkplanDate,$C510,DBRA_PlayerID,$D$3),"")</f>
        <v>0</v>
      </c>
      <c r="V510">
        <f ca="1">IFERROR(SUMIFS(OFFSET(DBRA_TopicCount,0,V$217,DBR_COUNT,1),DBRA_WorkplanDate,$C510,DBRA_PlayerID,$D$3),"")</f>
        <v>0</v>
      </c>
      <c r="W510" s="47"/>
      <c r="X510" t="str">
        <f t="shared" ca="1" si="114"/>
        <v/>
      </c>
      <c r="Y510" t="str">
        <f t="shared" ca="1" si="106"/>
        <v/>
      </c>
      <c r="Z510" t="str">
        <f t="shared" ca="1" si="107"/>
        <v/>
      </c>
      <c r="AA510" t="str">
        <f t="shared" ca="1" si="108"/>
        <v/>
      </c>
      <c r="AB510" t="str">
        <f t="shared" ca="1" si="109"/>
        <v/>
      </c>
      <c r="AC510" t="str">
        <f t="shared" ca="1" si="110"/>
        <v/>
      </c>
      <c r="AD510" t="str">
        <f t="shared" ca="1" si="111"/>
        <v/>
      </c>
      <c r="AE510" t="str">
        <f t="shared" ca="1" si="112"/>
        <v/>
      </c>
      <c r="AF510" t="str">
        <f t="shared" ca="1" si="113"/>
        <v/>
      </c>
      <c r="AG510" s="47"/>
    </row>
    <row r="511" spans="3:33" x14ac:dyDescent="0.25">
      <c r="C511" s="118">
        <f t="shared" si="115"/>
        <v>42297</v>
      </c>
      <c r="D511">
        <f ca="1">IFERROR(SUMIFS(OFFSET(DBRA_TopicHCP,0,D$217,DBR_COUNT,1),DBRA_WorkplanDate,$C511,DBRA_PlayerID,$D$3),"")</f>
        <v>0</v>
      </c>
      <c r="E511">
        <f ca="1">IFERROR(SUMIFS(OFFSET(DBRA_TopicHCP,0,E$217,DBR_COUNT,1),DBRA_WorkplanDate,$C511,DBRA_PlayerID,$D$3),"")</f>
        <v>0</v>
      </c>
      <c r="F511">
        <f ca="1">IFERROR(SUMIFS(OFFSET(DBRA_TopicHCP,0,F$217,DBR_COUNT,1),DBRA_WorkplanDate,$C511,DBRA_PlayerID,$D$3),"")</f>
        <v>0</v>
      </c>
      <c r="G511">
        <f ca="1">IFERROR(SUMIFS(OFFSET(DBRA_TopicHCP,0,G$217,DBR_COUNT,1),DBRA_WorkplanDate,$C511,DBRA_PlayerID,$D$3),"")</f>
        <v>0</v>
      </c>
      <c r="H511">
        <f ca="1">IFERROR(SUMIFS(OFFSET(DBRA_TopicHCP,0,H$217,DBR_COUNT,1),DBRA_WorkplanDate,$C511,DBRA_PlayerID,$D$3),"")</f>
        <v>0</v>
      </c>
      <c r="I511">
        <f ca="1">IFERROR(SUMIFS(OFFSET(DBRA_TopicHCP,0,I$217,DBR_COUNT,1),DBRA_WorkplanDate,$C511,DBRA_PlayerID,$D$3),"")</f>
        <v>0</v>
      </c>
      <c r="J511">
        <f ca="1">IFERROR(SUMIFS(OFFSET(DBRA_TopicHCP,0,J$217,DBR_COUNT,1),DBRA_WorkplanDate,$C511,DBRA_PlayerID,$D$3),"")</f>
        <v>0</v>
      </c>
      <c r="K511">
        <f ca="1">IFERROR(SUMIFS(OFFSET(DBRA_TopicHCP,0,K$217,DBR_COUNT,1),DBRA_WorkplanDate,$C511,DBRA_PlayerID,$D$3),"")</f>
        <v>0</v>
      </c>
      <c r="L511">
        <f ca="1">IFERROR(SUMIFS(OFFSET(DBRA_TopicHCP,0,L$217,DBR_COUNT,1),DBRA_WorkplanDate,$C511,DBRA_PlayerID,$D$3),"")</f>
        <v>0</v>
      </c>
      <c r="M511" s="47"/>
      <c r="N511">
        <f ca="1">IFERROR(SUMIFS(OFFSET(DBRA_TopicCount,0,N$217,DBR_COUNT,1),DBRA_WorkplanDate,$C511,DBRA_PlayerID,$D$3),"")</f>
        <v>0</v>
      </c>
      <c r="O511">
        <f ca="1">IFERROR(SUMIFS(OFFSET(DBRA_TopicCount,0,O$217,DBR_COUNT,1),DBRA_WorkplanDate,$C511,DBRA_PlayerID,$D$3),"")</f>
        <v>0</v>
      </c>
      <c r="P511">
        <f ca="1">IFERROR(SUMIFS(OFFSET(DBRA_TopicCount,0,P$217,DBR_COUNT,1),DBRA_WorkplanDate,$C511,DBRA_PlayerID,$D$3),"")</f>
        <v>0</v>
      </c>
      <c r="Q511">
        <f ca="1">IFERROR(SUMIFS(OFFSET(DBRA_TopicCount,0,Q$217,DBR_COUNT,1),DBRA_WorkplanDate,$C511,DBRA_PlayerID,$D$3),"")</f>
        <v>0</v>
      </c>
      <c r="R511">
        <f ca="1">IFERROR(SUMIFS(OFFSET(DBRA_TopicCount,0,R$217,DBR_COUNT,1),DBRA_WorkplanDate,$C511,DBRA_PlayerID,$D$3),"")</f>
        <v>0</v>
      </c>
      <c r="S511">
        <f ca="1">IFERROR(SUMIFS(OFFSET(DBRA_TopicCount,0,S$217,DBR_COUNT,1),DBRA_WorkplanDate,$C511,DBRA_PlayerID,$D$3),"")</f>
        <v>0</v>
      </c>
      <c r="T511">
        <f ca="1">IFERROR(SUMIFS(OFFSET(DBRA_TopicCount,0,T$217,DBR_COUNT,1),DBRA_WorkplanDate,$C511,DBRA_PlayerID,$D$3),"")</f>
        <v>0</v>
      </c>
      <c r="U511">
        <f ca="1">IFERROR(SUMIFS(OFFSET(DBRA_TopicCount,0,U$217,DBR_COUNT,1),DBRA_WorkplanDate,$C511,DBRA_PlayerID,$D$3),"")</f>
        <v>0</v>
      </c>
      <c r="V511">
        <f ca="1">IFERROR(SUMIFS(OFFSET(DBRA_TopicCount,0,V$217,DBR_COUNT,1),DBRA_WorkplanDate,$C511,DBRA_PlayerID,$D$3),"")</f>
        <v>0</v>
      </c>
      <c r="W511" s="47"/>
      <c r="X511" t="str">
        <f t="shared" ca="1" si="114"/>
        <v/>
      </c>
      <c r="Y511" t="str">
        <f t="shared" ca="1" si="106"/>
        <v/>
      </c>
      <c r="Z511" t="str">
        <f t="shared" ca="1" si="107"/>
        <v/>
      </c>
      <c r="AA511" t="str">
        <f t="shared" ca="1" si="108"/>
        <v/>
      </c>
      <c r="AB511" t="str">
        <f t="shared" ca="1" si="109"/>
        <v/>
      </c>
      <c r="AC511" t="str">
        <f t="shared" ca="1" si="110"/>
        <v/>
      </c>
      <c r="AD511" t="str">
        <f t="shared" ca="1" si="111"/>
        <v/>
      </c>
      <c r="AE511" t="str">
        <f t="shared" ca="1" si="112"/>
        <v/>
      </c>
      <c r="AF511" t="str">
        <f t="shared" ca="1" si="113"/>
        <v/>
      </c>
      <c r="AG511" s="47"/>
    </row>
    <row r="512" spans="3:33" x14ac:dyDescent="0.25">
      <c r="C512" s="118">
        <f t="shared" si="115"/>
        <v>42298</v>
      </c>
      <c r="D512">
        <f ca="1">IFERROR(SUMIFS(OFFSET(DBRA_TopicHCP,0,D$217,DBR_COUNT,1),DBRA_WorkplanDate,$C512,DBRA_PlayerID,$D$3),"")</f>
        <v>0</v>
      </c>
      <c r="E512">
        <f ca="1">IFERROR(SUMIFS(OFFSET(DBRA_TopicHCP,0,E$217,DBR_COUNT,1),DBRA_WorkplanDate,$C512,DBRA_PlayerID,$D$3),"")</f>
        <v>0</v>
      </c>
      <c r="F512">
        <f ca="1">IFERROR(SUMIFS(OFFSET(DBRA_TopicHCP,0,F$217,DBR_COUNT,1),DBRA_WorkplanDate,$C512,DBRA_PlayerID,$D$3),"")</f>
        <v>0</v>
      </c>
      <c r="G512">
        <f ca="1">IFERROR(SUMIFS(OFFSET(DBRA_TopicHCP,0,G$217,DBR_COUNT,1),DBRA_WorkplanDate,$C512,DBRA_PlayerID,$D$3),"")</f>
        <v>0</v>
      </c>
      <c r="H512">
        <f ca="1">IFERROR(SUMIFS(OFFSET(DBRA_TopicHCP,0,H$217,DBR_COUNT,1),DBRA_WorkplanDate,$C512,DBRA_PlayerID,$D$3),"")</f>
        <v>0</v>
      </c>
      <c r="I512">
        <f ca="1">IFERROR(SUMIFS(OFFSET(DBRA_TopicHCP,0,I$217,DBR_COUNT,1),DBRA_WorkplanDate,$C512,DBRA_PlayerID,$D$3),"")</f>
        <v>0</v>
      </c>
      <c r="J512">
        <f ca="1">IFERROR(SUMIFS(OFFSET(DBRA_TopicHCP,0,J$217,DBR_COUNT,1),DBRA_WorkplanDate,$C512,DBRA_PlayerID,$D$3),"")</f>
        <v>0</v>
      </c>
      <c r="K512">
        <f ca="1">IFERROR(SUMIFS(OFFSET(DBRA_TopicHCP,0,K$217,DBR_COUNT,1),DBRA_WorkplanDate,$C512,DBRA_PlayerID,$D$3),"")</f>
        <v>0</v>
      </c>
      <c r="L512">
        <f ca="1">IFERROR(SUMIFS(OFFSET(DBRA_TopicHCP,0,L$217,DBR_COUNT,1),DBRA_WorkplanDate,$C512,DBRA_PlayerID,$D$3),"")</f>
        <v>0</v>
      </c>
      <c r="M512" s="47"/>
      <c r="N512">
        <f ca="1">IFERROR(SUMIFS(OFFSET(DBRA_TopicCount,0,N$217,DBR_COUNT,1),DBRA_WorkplanDate,$C512,DBRA_PlayerID,$D$3),"")</f>
        <v>0</v>
      </c>
      <c r="O512">
        <f ca="1">IFERROR(SUMIFS(OFFSET(DBRA_TopicCount,0,O$217,DBR_COUNT,1),DBRA_WorkplanDate,$C512,DBRA_PlayerID,$D$3),"")</f>
        <v>0</v>
      </c>
      <c r="P512">
        <f ca="1">IFERROR(SUMIFS(OFFSET(DBRA_TopicCount,0,P$217,DBR_COUNT,1),DBRA_WorkplanDate,$C512,DBRA_PlayerID,$D$3),"")</f>
        <v>0</v>
      </c>
      <c r="Q512">
        <f ca="1">IFERROR(SUMIFS(OFFSET(DBRA_TopicCount,0,Q$217,DBR_COUNT,1),DBRA_WorkplanDate,$C512,DBRA_PlayerID,$D$3),"")</f>
        <v>0</v>
      </c>
      <c r="R512">
        <f ca="1">IFERROR(SUMIFS(OFFSET(DBRA_TopicCount,0,R$217,DBR_COUNT,1),DBRA_WorkplanDate,$C512,DBRA_PlayerID,$D$3),"")</f>
        <v>0</v>
      </c>
      <c r="S512">
        <f ca="1">IFERROR(SUMIFS(OFFSET(DBRA_TopicCount,0,S$217,DBR_COUNT,1),DBRA_WorkplanDate,$C512,DBRA_PlayerID,$D$3),"")</f>
        <v>0</v>
      </c>
      <c r="T512">
        <f ca="1">IFERROR(SUMIFS(OFFSET(DBRA_TopicCount,0,T$217,DBR_COUNT,1),DBRA_WorkplanDate,$C512,DBRA_PlayerID,$D$3),"")</f>
        <v>0</v>
      </c>
      <c r="U512">
        <f ca="1">IFERROR(SUMIFS(OFFSET(DBRA_TopicCount,0,U$217,DBR_COUNT,1),DBRA_WorkplanDate,$C512,DBRA_PlayerID,$D$3),"")</f>
        <v>0</v>
      </c>
      <c r="V512">
        <f ca="1">IFERROR(SUMIFS(OFFSET(DBRA_TopicCount,0,V$217,DBR_COUNT,1),DBRA_WorkplanDate,$C512,DBRA_PlayerID,$D$3),"")</f>
        <v>0</v>
      </c>
      <c r="W512" s="47"/>
      <c r="X512" t="str">
        <f t="shared" ca="1" si="114"/>
        <v/>
      </c>
      <c r="Y512" t="str">
        <f t="shared" ca="1" si="106"/>
        <v/>
      </c>
      <c r="Z512" t="str">
        <f t="shared" ca="1" si="107"/>
        <v/>
      </c>
      <c r="AA512" t="str">
        <f t="shared" ca="1" si="108"/>
        <v/>
      </c>
      <c r="AB512" t="str">
        <f t="shared" ca="1" si="109"/>
        <v/>
      </c>
      <c r="AC512" t="str">
        <f t="shared" ca="1" si="110"/>
        <v/>
      </c>
      <c r="AD512" t="str">
        <f t="shared" ca="1" si="111"/>
        <v/>
      </c>
      <c r="AE512" t="str">
        <f t="shared" ca="1" si="112"/>
        <v/>
      </c>
      <c r="AF512" t="str">
        <f t="shared" ca="1" si="113"/>
        <v/>
      </c>
      <c r="AG512" s="47"/>
    </row>
    <row r="513" spans="3:33" x14ac:dyDescent="0.25">
      <c r="C513" s="118">
        <f t="shared" si="115"/>
        <v>42299</v>
      </c>
      <c r="D513">
        <f ca="1">IFERROR(SUMIFS(OFFSET(DBRA_TopicHCP,0,D$217,DBR_COUNT,1),DBRA_WorkplanDate,$C513,DBRA_PlayerID,$D$3),"")</f>
        <v>0</v>
      </c>
      <c r="E513">
        <f ca="1">IFERROR(SUMIFS(OFFSET(DBRA_TopicHCP,0,E$217,DBR_COUNT,1),DBRA_WorkplanDate,$C513,DBRA_PlayerID,$D$3),"")</f>
        <v>0</v>
      </c>
      <c r="F513">
        <f ca="1">IFERROR(SUMIFS(OFFSET(DBRA_TopicHCP,0,F$217,DBR_COUNT,1),DBRA_WorkplanDate,$C513,DBRA_PlayerID,$D$3),"")</f>
        <v>0</v>
      </c>
      <c r="G513">
        <f ca="1">IFERROR(SUMIFS(OFFSET(DBRA_TopicHCP,0,G$217,DBR_COUNT,1),DBRA_WorkplanDate,$C513,DBRA_PlayerID,$D$3),"")</f>
        <v>0</v>
      </c>
      <c r="H513">
        <f ca="1">IFERROR(SUMIFS(OFFSET(DBRA_TopicHCP,0,H$217,DBR_COUNT,1),DBRA_WorkplanDate,$C513,DBRA_PlayerID,$D$3),"")</f>
        <v>0</v>
      </c>
      <c r="I513">
        <f ca="1">IFERROR(SUMIFS(OFFSET(DBRA_TopicHCP,0,I$217,DBR_COUNT,1),DBRA_WorkplanDate,$C513,DBRA_PlayerID,$D$3),"")</f>
        <v>0</v>
      </c>
      <c r="J513">
        <f ca="1">IFERROR(SUMIFS(OFFSET(DBRA_TopicHCP,0,J$217,DBR_COUNT,1),DBRA_WorkplanDate,$C513,DBRA_PlayerID,$D$3),"")</f>
        <v>0</v>
      </c>
      <c r="K513">
        <f ca="1">IFERROR(SUMIFS(OFFSET(DBRA_TopicHCP,0,K$217,DBR_COUNT,1),DBRA_WorkplanDate,$C513,DBRA_PlayerID,$D$3),"")</f>
        <v>0</v>
      </c>
      <c r="L513">
        <f ca="1">IFERROR(SUMIFS(OFFSET(DBRA_TopicHCP,0,L$217,DBR_COUNT,1),DBRA_WorkplanDate,$C513,DBRA_PlayerID,$D$3),"")</f>
        <v>0</v>
      </c>
      <c r="M513" s="47"/>
      <c r="N513">
        <f ca="1">IFERROR(SUMIFS(OFFSET(DBRA_TopicCount,0,N$217,DBR_COUNT,1),DBRA_WorkplanDate,$C513,DBRA_PlayerID,$D$3),"")</f>
        <v>0</v>
      </c>
      <c r="O513">
        <f ca="1">IFERROR(SUMIFS(OFFSET(DBRA_TopicCount,0,O$217,DBR_COUNT,1),DBRA_WorkplanDate,$C513,DBRA_PlayerID,$D$3),"")</f>
        <v>0</v>
      </c>
      <c r="P513">
        <f ca="1">IFERROR(SUMIFS(OFFSET(DBRA_TopicCount,0,P$217,DBR_COUNT,1),DBRA_WorkplanDate,$C513,DBRA_PlayerID,$D$3),"")</f>
        <v>0</v>
      </c>
      <c r="Q513">
        <f ca="1">IFERROR(SUMIFS(OFFSET(DBRA_TopicCount,0,Q$217,DBR_COUNT,1),DBRA_WorkplanDate,$C513,DBRA_PlayerID,$D$3),"")</f>
        <v>0</v>
      </c>
      <c r="R513">
        <f ca="1">IFERROR(SUMIFS(OFFSET(DBRA_TopicCount,0,R$217,DBR_COUNT,1),DBRA_WorkplanDate,$C513,DBRA_PlayerID,$D$3),"")</f>
        <v>0</v>
      </c>
      <c r="S513">
        <f ca="1">IFERROR(SUMIFS(OFFSET(DBRA_TopicCount,0,S$217,DBR_COUNT,1),DBRA_WorkplanDate,$C513,DBRA_PlayerID,$D$3),"")</f>
        <v>0</v>
      </c>
      <c r="T513">
        <f ca="1">IFERROR(SUMIFS(OFFSET(DBRA_TopicCount,0,T$217,DBR_COUNT,1),DBRA_WorkplanDate,$C513,DBRA_PlayerID,$D$3),"")</f>
        <v>0</v>
      </c>
      <c r="U513">
        <f ca="1">IFERROR(SUMIFS(OFFSET(DBRA_TopicCount,0,U$217,DBR_COUNT,1),DBRA_WorkplanDate,$C513,DBRA_PlayerID,$D$3),"")</f>
        <v>0</v>
      </c>
      <c r="V513">
        <f ca="1">IFERROR(SUMIFS(OFFSET(DBRA_TopicCount,0,V$217,DBR_COUNT,1),DBRA_WorkplanDate,$C513,DBRA_PlayerID,$D$3),"")</f>
        <v>0</v>
      </c>
      <c r="W513" s="47"/>
      <c r="X513" t="str">
        <f t="shared" ca="1" si="114"/>
        <v/>
      </c>
      <c r="Y513" t="str">
        <f t="shared" ca="1" si="106"/>
        <v/>
      </c>
      <c r="Z513" t="str">
        <f t="shared" ca="1" si="107"/>
        <v/>
      </c>
      <c r="AA513" t="str">
        <f t="shared" ca="1" si="108"/>
        <v/>
      </c>
      <c r="AB513" t="str">
        <f t="shared" ca="1" si="109"/>
        <v/>
      </c>
      <c r="AC513" t="str">
        <f t="shared" ca="1" si="110"/>
        <v/>
      </c>
      <c r="AD513" t="str">
        <f t="shared" ca="1" si="111"/>
        <v/>
      </c>
      <c r="AE513" t="str">
        <f t="shared" ca="1" si="112"/>
        <v/>
      </c>
      <c r="AF513" t="str">
        <f t="shared" ca="1" si="113"/>
        <v/>
      </c>
      <c r="AG513" s="47"/>
    </row>
    <row r="514" spans="3:33" x14ac:dyDescent="0.25">
      <c r="C514" s="118">
        <f t="shared" si="115"/>
        <v>42300</v>
      </c>
      <c r="D514">
        <f ca="1">IFERROR(SUMIFS(OFFSET(DBRA_TopicHCP,0,D$217,DBR_COUNT,1),DBRA_WorkplanDate,$C514,DBRA_PlayerID,$D$3),"")</f>
        <v>0</v>
      </c>
      <c r="E514">
        <f ca="1">IFERROR(SUMIFS(OFFSET(DBRA_TopicHCP,0,E$217,DBR_COUNT,1),DBRA_WorkplanDate,$C514,DBRA_PlayerID,$D$3),"")</f>
        <v>0</v>
      </c>
      <c r="F514">
        <f ca="1">IFERROR(SUMIFS(OFFSET(DBRA_TopicHCP,0,F$217,DBR_COUNT,1),DBRA_WorkplanDate,$C514,DBRA_PlayerID,$D$3),"")</f>
        <v>0</v>
      </c>
      <c r="G514">
        <f ca="1">IFERROR(SUMIFS(OFFSET(DBRA_TopicHCP,0,G$217,DBR_COUNT,1),DBRA_WorkplanDate,$C514,DBRA_PlayerID,$D$3),"")</f>
        <v>0</v>
      </c>
      <c r="H514">
        <f ca="1">IFERROR(SUMIFS(OFFSET(DBRA_TopicHCP,0,H$217,DBR_COUNT,1),DBRA_WorkplanDate,$C514,DBRA_PlayerID,$D$3),"")</f>
        <v>0</v>
      </c>
      <c r="I514">
        <f ca="1">IFERROR(SUMIFS(OFFSET(DBRA_TopicHCP,0,I$217,DBR_COUNT,1),DBRA_WorkplanDate,$C514,DBRA_PlayerID,$D$3),"")</f>
        <v>0</v>
      </c>
      <c r="J514">
        <f ca="1">IFERROR(SUMIFS(OFFSET(DBRA_TopicHCP,0,J$217,DBR_COUNT,1),DBRA_WorkplanDate,$C514,DBRA_PlayerID,$D$3),"")</f>
        <v>0</v>
      </c>
      <c r="K514">
        <f ca="1">IFERROR(SUMIFS(OFFSET(DBRA_TopicHCP,0,K$217,DBR_COUNT,1),DBRA_WorkplanDate,$C514,DBRA_PlayerID,$D$3),"")</f>
        <v>0</v>
      </c>
      <c r="L514">
        <f ca="1">IFERROR(SUMIFS(OFFSET(DBRA_TopicHCP,0,L$217,DBR_COUNT,1),DBRA_WorkplanDate,$C514,DBRA_PlayerID,$D$3),"")</f>
        <v>0</v>
      </c>
      <c r="M514" s="47"/>
      <c r="N514">
        <f ca="1">IFERROR(SUMIFS(OFFSET(DBRA_TopicCount,0,N$217,DBR_COUNT,1),DBRA_WorkplanDate,$C514,DBRA_PlayerID,$D$3),"")</f>
        <v>0</v>
      </c>
      <c r="O514">
        <f ca="1">IFERROR(SUMIFS(OFFSET(DBRA_TopicCount,0,O$217,DBR_COUNT,1),DBRA_WorkplanDate,$C514,DBRA_PlayerID,$D$3),"")</f>
        <v>0</v>
      </c>
      <c r="P514">
        <f ca="1">IFERROR(SUMIFS(OFFSET(DBRA_TopicCount,0,P$217,DBR_COUNT,1),DBRA_WorkplanDate,$C514,DBRA_PlayerID,$D$3),"")</f>
        <v>0</v>
      </c>
      <c r="Q514">
        <f ca="1">IFERROR(SUMIFS(OFFSET(DBRA_TopicCount,0,Q$217,DBR_COUNT,1),DBRA_WorkplanDate,$C514,DBRA_PlayerID,$D$3),"")</f>
        <v>0</v>
      </c>
      <c r="R514">
        <f ca="1">IFERROR(SUMIFS(OFFSET(DBRA_TopicCount,0,R$217,DBR_COUNT,1),DBRA_WorkplanDate,$C514,DBRA_PlayerID,$D$3),"")</f>
        <v>0</v>
      </c>
      <c r="S514">
        <f ca="1">IFERROR(SUMIFS(OFFSET(DBRA_TopicCount,0,S$217,DBR_COUNT,1),DBRA_WorkplanDate,$C514,DBRA_PlayerID,$D$3),"")</f>
        <v>0</v>
      </c>
      <c r="T514">
        <f ca="1">IFERROR(SUMIFS(OFFSET(DBRA_TopicCount,0,T$217,DBR_COUNT,1),DBRA_WorkplanDate,$C514,DBRA_PlayerID,$D$3),"")</f>
        <v>0</v>
      </c>
      <c r="U514">
        <f ca="1">IFERROR(SUMIFS(OFFSET(DBRA_TopicCount,0,U$217,DBR_COUNT,1),DBRA_WorkplanDate,$C514,DBRA_PlayerID,$D$3),"")</f>
        <v>0</v>
      </c>
      <c r="V514">
        <f ca="1">IFERROR(SUMIFS(OFFSET(DBRA_TopicCount,0,V$217,DBR_COUNT,1),DBRA_WorkplanDate,$C514,DBRA_PlayerID,$D$3),"")</f>
        <v>0</v>
      </c>
      <c r="W514" s="47"/>
      <c r="X514" t="str">
        <f t="shared" ca="1" si="114"/>
        <v/>
      </c>
      <c r="Y514" t="str">
        <f t="shared" ca="1" si="106"/>
        <v/>
      </c>
      <c r="Z514" t="str">
        <f t="shared" ca="1" si="107"/>
        <v/>
      </c>
      <c r="AA514" t="str">
        <f t="shared" ca="1" si="108"/>
        <v/>
      </c>
      <c r="AB514" t="str">
        <f t="shared" ca="1" si="109"/>
        <v/>
      </c>
      <c r="AC514" t="str">
        <f t="shared" ca="1" si="110"/>
        <v/>
      </c>
      <c r="AD514" t="str">
        <f t="shared" ca="1" si="111"/>
        <v/>
      </c>
      <c r="AE514" t="str">
        <f t="shared" ca="1" si="112"/>
        <v/>
      </c>
      <c r="AF514" t="str">
        <f t="shared" ca="1" si="113"/>
        <v/>
      </c>
      <c r="AG514" s="47"/>
    </row>
    <row r="515" spans="3:33" x14ac:dyDescent="0.25">
      <c r="C515" s="118">
        <f t="shared" si="115"/>
        <v>42301</v>
      </c>
      <c r="D515">
        <f ca="1">IFERROR(SUMIFS(OFFSET(DBRA_TopicHCP,0,D$217,DBR_COUNT,1),DBRA_WorkplanDate,$C515,DBRA_PlayerID,$D$3),"")</f>
        <v>0</v>
      </c>
      <c r="E515">
        <f ca="1">IFERROR(SUMIFS(OFFSET(DBRA_TopicHCP,0,E$217,DBR_COUNT,1),DBRA_WorkplanDate,$C515,DBRA_PlayerID,$D$3),"")</f>
        <v>0</v>
      </c>
      <c r="F515">
        <f ca="1">IFERROR(SUMIFS(OFFSET(DBRA_TopicHCP,0,F$217,DBR_COUNT,1),DBRA_WorkplanDate,$C515,DBRA_PlayerID,$D$3),"")</f>
        <v>0</v>
      </c>
      <c r="G515">
        <f ca="1">IFERROR(SUMIFS(OFFSET(DBRA_TopicHCP,0,G$217,DBR_COUNT,1),DBRA_WorkplanDate,$C515,DBRA_PlayerID,$D$3),"")</f>
        <v>0</v>
      </c>
      <c r="H515">
        <f ca="1">IFERROR(SUMIFS(OFFSET(DBRA_TopicHCP,0,H$217,DBR_COUNT,1),DBRA_WorkplanDate,$C515,DBRA_PlayerID,$D$3),"")</f>
        <v>0</v>
      </c>
      <c r="I515">
        <f ca="1">IFERROR(SUMIFS(OFFSET(DBRA_TopicHCP,0,I$217,DBR_COUNT,1),DBRA_WorkplanDate,$C515,DBRA_PlayerID,$D$3),"")</f>
        <v>0</v>
      </c>
      <c r="J515">
        <f ca="1">IFERROR(SUMIFS(OFFSET(DBRA_TopicHCP,0,J$217,DBR_COUNT,1),DBRA_WorkplanDate,$C515,DBRA_PlayerID,$D$3),"")</f>
        <v>0</v>
      </c>
      <c r="K515">
        <f ca="1">IFERROR(SUMIFS(OFFSET(DBRA_TopicHCP,0,K$217,DBR_COUNT,1),DBRA_WorkplanDate,$C515,DBRA_PlayerID,$D$3),"")</f>
        <v>0</v>
      </c>
      <c r="L515">
        <f ca="1">IFERROR(SUMIFS(OFFSET(DBRA_TopicHCP,0,L$217,DBR_COUNT,1),DBRA_WorkplanDate,$C515,DBRA_PlayerID,$D$3),"")</f>
        <v>0</v>
      </c>
      <c r="M515" s="47"/>
      <c r="N515">
        <f ca="1">IFERROR(SUMIFS(OFFSET(DBRA_TopicCount,0,N$217,DBR_COUNT,1),DBRA_WorkplanDate,$C515,DBRA_PlayerID,$D$3),"")</f>
        <v>0</v>
      </c>
      <c r="O515">
        <f ca="1">IFERROR(SUMIFS(OFFSET(DBRA_TopicCount,0,O$217,DBR_COUNT,1),DBRA_WorkplanDate,$C515,DBRA_PlayerID,$D$3),"")</f>
        <v>0</v>
      </c>
      <c r="P515">
        <f ca="1">IFERROR(SUMIFS(OFFSET(DBRA_TopicCount,0,P$217,DBR_COUNT,1),DBRA_WorkplanDate,$C515,DBRA_PlayerID,$D$3),"")</f>
        <v>0</v>
      </c>
      <c r="Q515">
        <f ca="1">IFERROR(SUMIFS(OFFSET(DBRA_TopicCount,0,Q$217,DBR_COUNT,1),DBRA_WorkplanDate,$C515,DBRA_PlayerID,$D$3),"")</f>
        <v>0</v>
      </c>
      <c r="R515">
        <f ca="1">IFERROR(SUMIFS(OFFSET(DBRA_TopicCount,0,R$217,DBR_COUNT,1),DBRA_WorkplanDate,$C515,DBRA_PlayerID,$D$3),"")</f>
        <v>0</v>
      </c>
      <c r="S515">
        <f ca="1">IFERROR(SUMIFS(OFFSET(DBRA_TopicCount,0,S$217,DBR_COUNT,1),DBRA_WorkplanDate,$C515,DBRA_PlayerID,$D$3),"")</f>
        <v>0</v>
      </c>
      <c r="T515">
        <f ca="1">IFERROR(SUMIFS(OFFSET(DBRA_TopicCount,0,T$217,DBR_COUNT,1),DBRA_WorkplanDate,$C515,DBRA_PlayerID,$D$3),"")</f>
        <v>0</v>
      </c>
      <c r="U515">
        <f ca="1">IFERROR(SUMIFS(OFFSET(DBRA_TopicCount,0,U$217,DBR_COUNT,1),DBRA_WorkplanDate,$C515,DBRA_PlayerID,$D$3),"")</f>
        <v>0</v>
      </c>
      <c r="V515">
        <f ca="1">IFERROR(SUMIFS(OFFSET(DBRA_TopicCount,0,V$217,DBR_COUNT,1),DBRA_WorkplanDate,$C515,DBRA_PlayerID,$D$3),"")</f>
        <v>0</v>
      </c>
      <c r="W515" s="47"/>
      <c r="X515" t="str">
        <f t="shared" ca="1" si="114"/>
        <v/>
      </c>
      <c r="Y515" t="str">
        <f t="shared" ca="1" si="106"/>
        <v/>
      </c>
      <c r="Z515" t="str">
        <f t="shared" ca="1" si="107"/>
        <v/>
      </c>
      <c r="AA515" t="str">
        <f t="shared" ca="1" si="108"/>
        <v/>
      </c>
      <c r="AB515" t="str">
        <f t="shared" ca="1" si="109"/>
        <v/>
      </c>
      <c r="AC515" t="str">
        <f t="shared" ca="1" si="110"/>
        <v/>
      </c>
      <c r="AD515" t="str">
        <f t="shared" ca="1" si="111"/>
        <v/>
      </c>
      <c r="AE515" t="str">
        <f t="shared" ca="1" si="112"/>
        <v/>
      </c>
      <c r="AF515" t="str">
        <f t="shared" ca="1" si="113"/>
        <v/>
      </c>
      <c r="AG515" s="47"/>
    </row>
    <row r="516" spans="3:33" x14ac:dyDescent="0.25">
      <c r="C516" s="118">
        <f t="shared" si="115"/>
        <v>42302</v>
      </c>
      <c r="D516">
        <f ca="1">IFERROR(SUMIFS(OFFSET(DBRA_TopicHCP,0,D$217,DBR_COUNT,1),DBRA_WorkplanDate,$C516,DBRA_PlayerID,$D$3),"")</f>
        <v>0</v>
      </c>
      <c r="E516">
        <f ca="1">IFERROR(SUMIFS(OFFSET(DBRA_TopicHCP,0,E$217,DBR_COUNT,1),DBRA_WorkplanDate,$C516,DBRA_PlayerID,$D$3),"")</f>
        <v>0</v>
      </c>
      <c r="F516">
        <f ca="1">IFERROR(SUMIFS(OFFSET(DBRA_TopicHCP,0,F$217,DBR_COUNT,1),DBRA_WorkplanDate,$C516,DBRA_PlayerID,$D$3),"")</f>
        <v>0</v>
      </c>
      <c r="G516">
        <f ca="1">IFERROR(SUMIFS(OFFSET(DBRA_TopicHCP,0,G$217,DBR_COUNT,1),DBRA_WorkplanDate,$C516,DBRA_PlayerID,$D$3),"")</f>
        <v>0</v>
      </c>
      <c r="H516">
        <f ca="1">IFERROR(SUMIFS(OFFSET(DBRA_TopicHCP,0,H$217,DBR_COUNT,1),DBRA_WorkplanDate,$C516,DBRA_PlayerID,$D$3),"")</f>
        <v>0</v>
      </c>
      <c r="I516">
        <f ca="1">IFERROR(SUMIFS(OFFSET(DBRA_TopicHCP,0,I$217,DBR_COUNT,1),DBRA_WorkplanDate,$C516,DBRA_PlayerID,$D$3),"")</f>
        <v>0</v>
      </c>
      <c r="J516">
        <f ca="1">IFERROR(SUMIFS(OFFSET(DBRA_TopicHCP,0,J$217,DBR_COUNT,1),DBRA_WorkplanDate,$C516,DBRA_PlayerID,$D$3),"")</f>
        <v>0</v>
      </c>
      <c r="K516">
        <f ca="1">IFERROR(SUMIFS(OFFSET(DBRA_TopicHCP,0,K$217,DBR_COUNT,1),DBRA_WorkplanDate,$C516,DBRA_PlayerID,$D$3),"")</f>
        <v>0</v>
      </c>
      <c r="L516">
        <f ca="1">IFERROR(SUMIFS(OFFSET(DBRA_TopicHCP,0,L$217,DBR_COUNT,1),DBRA_WorkplanDate,$C516,DBRA_PlayerID,$D$3),"")</f>
        <v>0</v>
      </c>
      <c r="M516" s="47"/>
      <c r="N516">
        <f ca="1">IFERROR(SUMIFS(OFFSET(DBRA_TopicCount,0,N$217,DBR_COUNT,1),DBRA_WorkplanDate,$C516,DBRA_PlayerID,$D$3),"")</f>
        <v>0</v>
      </c>
      <c r="O516">
        <f ca="1">IFERROR(SUMIFS(OFFSET(DBRA_TopicCount,0,O$217,DBR_COUNT,1),DBRA_WorkplanDate,$C516,DBRA_PlayerID,$D$3),"")</f>
        <v>0</v>
      </c>
      <c r="P516">
        <f ca="1">IFERROR(SUMIFS(OFFSET(DBRA_TopicCount,0,P$217,DBR_COUNT,1),DBRA_WorkplanDate,$C516,DBRA_PlayerID,$D$3),"")</f>
        <v>0</v>
      </c>
      <c r="Q516">
        <f ca="1">IFERROR(SUMIFS(OFFSET(DBRA_TopicCount,0,Q$217,DBR_COUNT,1),DBRA_WorkplanDate,$C516,DBRA_PlayerID,$D$3),"")</f>
        <v>0</v>
      </c>
      <c r="R516">
        <f ca="1">IFERROR(SUMIFS(OFFSET(DBRA_TopicCount,0,R$217,DBR_COUNT,1),DBRA_WorkplanDate,$C516,DBRA_PlayerID,$D$3),"")</f>
        <v>0</v>
      </c>
      <c r="S516">
        <f ca="1">IFERROR(SUMIFS(OFFSET(DBRA_TopicCount,0,S$217,DBR_COUNT,1),DBRA_WorkplanDate,$C516,DBRA_PlayerID,$D$3),"")</f>
        <v>0</v>
      </c>
      <c r="T516">
        <f ca="1">IFERROR(SUMIFS(OFFSET(DBRA_TopicCount,0,T$217,DBR_COUNT,1),DBRA_WorkplanDate,$C516,DBRA_PlayerID,$D$3),"")</f>
        <v>0</v>
      </c>
      <c r="U516">
        <f ca="1">IFERROR(SUMIFS(OFFSET(DBRA_TopicCount,0,U$217,DBR_COUNT,1),DBRA_WorkplanDate,$C516,DBRA_PlayerID,$D$3),"")</f>
        <v>0</v>
      </c>
      <c r="V516">
        <f ca="1">IFERROR(SUMIFS(OFFSET(DBRA_TopicCount,0,V$217,DBR_COUNT,1),DBRA_WorkplanDate,$C516,DBRA_PlayerID,$D$3),"")</f>
        <v>0</v>
      </c>
      <c r="W516" s="47"/>
      <c r="X516" t="str">
        <f t="shared" ca="1" si="114"/>
        <v/>
      </c>
      <c r="Y516" t="str">
        <f t="shared" ca="1" si="106"/>
        <v/>
      </c>
      <c r="Z516" t="str">
        <f t="shared" ca="1" si="107"/>
        <v/>
      </c>
      <c r="AA516" t="str">
        <f t="shared" ca="1" si="108"/>
        <v/>
      </c>
      <c r="AB516" t="str">
        <f t="shared" ca="1" si="109"/>
        <v/>
      </c>
      <c r="AC516" t="str">
        <f t="shared" ca="1" si="110"/>
        <v/>
      </c>
      <c r="AD516" t="str">
        <f t="shared" ca="1" si="111"/>
        <v/>
      </c>
      <c r="AE516" t="str">
        <f t="shared" ca="1" si="112"/>
        <v/>
      </c>
      <c r="AF516" t="str">
        <f t="shared" ca="1" si="113"/>
        <v/>
      </c>
      <c r="AG516" s="47"/>
    </row>
    <row r="517" spans="3:33" x14ac:dyDescent="0.25">
      <c r="C517" s="118">
        <f t="shared" si="115"/>
        <v>42303</v>
      </c>
      <c r="D517">
        <f ca="1">IFERROR(SUMIFS(OFFSET(DBRA_TopicHCP,0,D$217,DBR_COUNT,1),DBRA_WorkplanDate,$C517,DBRA_PlayerID,$D$3),"")</f>
        <v>0</v>
      </c>
      <c r="E517">
        <f ca="1">IFERROR(SUMIFS(OFFSET(DBRA_TopicHCP,0,E$217,DBR_COUNT,1),DBRA_WorkplanDate,$C517,DBRA_PlayerID,$D$3),"")</f>
        <v>0</v>
      </c>
      <c r="F517">
        <f ca="1">IFERROR(SUMIFS(OFFSET(DBRA_TopicHCP,0,F$217,DBR_COUNT,1),DBRA_WorkplanDate,$C517,DBRA_PlayerID,$D$3),"")</f>
        <v>0</v>
      </c>
      <c r="G517">
        <f ca="1">IFERROR(SUMIFS(OFFSET(DBRA_TopicHCP,0,G$217,DBR_COUNT,1),DBRA_WorkplanDate,$C517,DBRA_PlayerID,$D$3),"")</f>
        <v>0</v>
      </c>
      <c r="H517">
        <f ca="1">IFERROR(SUMIFS(OFFSET(DBRA_TopicHCP,0,H$217,DBR_COUNT,1),DBRA_WorkplanDate,$C517,DBRA_PlayerID,$D$3),"")</f>
        <v>0</v>
      </c>
      <c r="I517">
        <f ca="1">IFERROR(SUMIFS(OFFSET(DBRA_TopicHCP,0,I$217,DBR_COUNT,1),DBRA_WorkplanDate,$C517,DBRA_PlayerID,$D$3),"")</f>
        <v>0</v>
      </c>
      <c r="J517">
        <f ca="1">IFERROR(SUMIFS(OFFSET(DBRA_TopicHCP,0,J$217,DBR_COUNT,1),DBRA_WorkplanDate,$C517,DBRA_PlayerID,$D$3),"")</f>
        <v>0</v>
      </c>
      <c r="K517">
        <f ca="1">IFERROR(SUMIFS(OFFSET(DBRA_TopicHCP,0,K$217,DBR_COUNT,1),DBRA_WorkplanDate,$C517,DBRA_PlayerID,$D$3),"")</f>
        <v>0</v>
      </c>
      <c r="L517">
        <f ca="1">IFERROR(SUMIFS(OFFSET(DBRA_TopicHCP,0,L$217,DBR_COUNT,1),DBRA_WorkplanDate,$C517,DBRA_PlayerID,$D$3),"")</f>
        <v>0</v>
      </c>
      <c r="M517" s="47"/>
      <c r="N517">
        <f ca="1">IFERROR(SUMIFS(OFFSET(DBRA_TopicCount,0,N$217,DBR_COUNT,1),DBRA_WorkplanDate,$C517,DBRA_PlayerID,$D$3),"")</f>
        <v>0</v>
      </c>
      <c r="O517">
        <f ca="1">IFERROR(SUMIFS(OFFSET(DBRA_TopicCount,0,O$217,DBR_COUNT,1),DBRA_WorkplanDate,$C517,DBRA_PlayerID,$D$3),"")</f>
        <v>0</v>
      </c>
      <c r="P517">
        <f ca="1">IFERROR(SUMIFS(OFFSET(DBRA_TopicCount,0,P$217,DBR_COUNT,1),DBRA_WorkplanDate,$C517,DBRA_PlayerID,$D$3),"")</f>
        <v>0</v>
      </c>
      <c r="Q517">
        <f ca="1">IFERROR(SUMIFS(OFFSET(DBRA_TopicCount,0,Q$217,DBR_COUNT,1),DBRA_WorkplanDate,$C517,DBRA_PlayerID,$D$3),"")</f>
        <v>0</v>
      </c>
      <c r="R517">
        <f ca="1">IFERROR(SUMIFS(OFFSET(DBRA_TopicCount,0,R$217,DBR_COUNT,1),DBRA_WorkplanDate,$C517,DBRA_PlayerID,$D$3),"")</f>
        <v>0</v>
      </c>
      <c r="S517">
        <f ca="1">IFERROR(SUMIFS(OFFSET(DBRA_TopicCount,0,S$217,DBR_COUNT,1),DBRA_WorkplanDate,$C517,DBRA_PlayerID,$D$3),"")</f>
        <v>0</v>
      </c>
      <c r="T517">
        <f ca="1">IFERROR(SUMIFS(OFFSET(DBRA_TopicCount,0,T$217,DBR_COUNT,1),DBRA_WorkplanDate,$C517,DBRA_PlayerID,$D$3),"")</f>
        <v>0</v>
      </c>
      <c r="U517">
        <f ca="1">IFERROR(SUMIFS(OFFSET(DBRA_TopicCount,0,U$217,DBR_COUNT,1),DBRA_WorkplanDate,$C517,DBRA_PlayerID,$D$3),"")</f>
        <v>0</v>
      </c>
      <c r="V517">
        <f ca="1">IFERROR(SUMIFS(OFFSET(DBRA_TopicCount,0,V$217,DBR_COUNT,1),DBRA_WorkplanDate,$C517,DBRA_PlayerID,$D$3),"")</f>
        <v>0</v>
      </c>
      <c r="W517" s="47"/>
      <c r="X517" t="str">
        <f t="shared" ca="1" si="114"/>
        <v/>
      </c>
      <c r="Y517" t="str">
        <f t="shared" ca="1" si="106"/>
        <v/>
      </c>
      <c r="Z517" t="str">
        <f t="shared" ca="1" si="107"/>
        <v/>
      </c>
      <c r="AA517" t="str">
        <f t="shared" ca="1" si="108"/>
        <v/>
      </c>
      <c r="AB517" t="str">
        <f t="shared" ca="1" si="109"/>
        <v/>
      </c>
      <c r="AC517" t="str">
        <f t="shared" ca="1" si="110"/>
        <v/>
      </c>
      <c r="AD517" t="str">
        <f t="shared" ca="1" si="111"/>
        <v/>
      </c>
      <c r="AE517" t="str">
        <f t="shared" ca="1" si="112"/>
        <v/>
      </c>
      <c r="AF517" t="str">
        <f t="shared" ca="1" si="113"/>
        <v/>
      </c>
      <c r="AG517" s="47"/>
    </row>
    <row r="518" spans="3:33" x14ac:dyDescent="0.25">
      <c r="C518" s="118">
        <f t="shared" si="115"/>
        <v>42304</v>
      </c>
      <c r="D518">
        <f ca="1">IFERROR(SUMIFS(OFFSET(DBRA_TopicHCP,0,D$217,DBR_COUNT,1),DBRA_WorkplanDate,$C518,DBRA_PlayerID,$D$3),"")</f>
        <v>0</v>
      </c>
      <c r="E518">
        <f ca="1">IFERROR(SUMIFS(OFFSET(DBRA_TopicHCP,0,E$217,DBR_COUNT,1),DBRA_WorkplanDate,$C518,DBRA_PlayerID,$D$3),"")</f>
        <v>0</v>
      </c>
      <c r="F518">
        <f ca="1">IFERROR(SUMIFS(OFFSET(DBRA_TopicHCP,0,F$217,DBR_COUNT,1),DBRA_WorkplanDate,$C518,DBRA_PlayerID,$D$3),"")</f>
        <v>0</v>
      </c>
      <c r="G518">
        <f ca="1">IFERROR(SUMIFS(OFFSET(DBRA_TopicHCP,0,G$217,DBR_COUNT,1),DBRA_WorkplanDate,$C518,DBRA_PlayerID,$D$3),"")</f>
        <v>0</v>
      </c>
      <c r="H518">
        <f ca="1">IFERROR(SUMIFS(OFFSET(DBRA_TopicHCP,0,H$217,DBR_COUNT,1),DBRA_WorkplanDate,$C518,DBRA_PlayerID,$D$3),"")</f>
        <v>0</v>
      </c>
      <c r="I518">
        <f ca="1">IFERROR(SUMIFS(OFFSET(DBRA_TopicHCP,0,I$217,DBR_COUNT,1),DBRA_WorkplanDate,$C518,DBRA_PlayerID,$D$3),"")</f>
        <v>0</v>
      </c>
      <c r="J518">
        <f ca="1">IFERROR(SUMIFS(OFFSET(DBRA_TopicHCP,0,J$217,DBR_COUNT,1),DBRA_WorkplanDate,$C518,DBRA_PlayerID,$D$3),"")</f>
        <v>0</v>
      </c>
      <c r="K518">
        <f ca="1">IFERROR(SUMIFS(OFFSET(DBRA_TopicHCP,0,K$217,DBR_COUNT,1),DBRA_WorkplanDate,$C518,DBRA_PlayerID,$D$3),"")</f>
        <v>0</v>
      </c>
      <c r="L518">
        <f ca="1">IFERROR(SUMIFS(OFFSET(DBRA_TopicHCP,0,L$217,DBR_COUNT,1),DBRA_WorkplanDate,$C518,DBRA_PlayerID,$D$3),"")</f>
        <v>0</v>
      </c>
      <c r="M518" s="47"/>
      <c r="N518">
        <f ca="1">IFERROR(SUMIFS(OFFSET(DBRA_TopicCount,0,N$217,DBR_COUNT,1),DBRA_WorkplanDate,$C518,DBRA_PlayerID,$D$3),"")</f>
        <v>0</v>
      </c>
      <c r="O518">
        <f ca="1">IFERROR(SUMIFS(OFFSET(DBRA_TopicCount,0,O$217,DBR_COUNT,1),DBRA_WorkplanDate,$C518,DBRA_PlayerID,$D$3),"")</f>
        <v>0</v>
      </c>
      <c r="P518">
        <f ca="1">IFERROR(SUMIFS(OFFSET(DBRA_TopicCount,0,P$217,DBR_COUNT,1),DBRA_WorkplanDate,$C518,DBRA_PlayerID,$D$3),"")</f>
        <v>0</v>
      </c>
      <c r="Q518">
        <f ca="1">IFERROR(SUMIFS(OFFSET(DBRA_TopicCount,0,Q$217,DBR_COUNT,1),DBRA_WorkplanDate,$C518,DBRA_PlayerID,$D$3),"")</f>
        <v>0</v>
      </c>
      <c r="R518">
        <f ca="1">IFERROR(SUMIFS(OFFSET(DBRA_TopicCount,0,R$217,DBR_COUNT,1),DBRA_WorkplanDate,$C518,DBRA_PlayerID,$D$3),"")</f>
        <v>0</v>
      </c>
      <c r="S518">
        <f ca="1">IFERROR(SUMIFS(OFFSET(DBRA_TopicCount,0,S$217,DBR_COUNT,1),DBRA_WorkplanDate,$C518,DBRA_PlayerID,$D$3),"")</f>
        <v>0</v>
      </c>
      <c r="T518">
        <f ca="1">IFERROR(SUMIFS(OFFSET(DBRA_TopicCount,0,T$217,DBR_COUNT,1),DBRA_WorkplanDate,$C518,DBRA_PlayerID,$D$3),"")</f>
        <v>0</v>
      </c>
      <c r="U518">
        <f ca="1">IFERROR(SUMIFS(OFFSET(DBRA_TopicCount,0,U$217,DBR_COUNT,1),DBRA_WorkplanDate,$C518,DBRA_PlayerID,$D$3),"")</f>
        <v>0</v>
      </c>
      <c r="V518">
        <f ca="1">IFERROR(SUMIFS(OFFSET(DBRA_TopicCount,0,V$217,DBR_COUNT,1),DBRA_WorkplanDate,$C518,DBRA_PlayerID,$D$3),"")</f>
        <v>0</v>
      </c>
      <c r="W518" s="47"/>
      <c r="X518" t="str">
        <f t="shared" ca="1" si="114"/>
        <v/>
      </c>
      <c r="Y518" t="str">
        <f t="shared" ca="1" si="106"/>
        <v/>
      </c>
      <c r="Z518" t="str">
        <f t="shared" ca="1" si="107"/>
        <v/>
      </c>
      <c r="AA518" t="str">
        <f t="shared" ca="1" si="108"/>
        <v/>
      </c>
      <c r="AB518" t="str">
        <f t="shared" ca="1" si="109"/>
        <v/>
      </c>
      <c r="AC518" t="str">
        <f t="shared" ca="1" si="110"/>
        <v/>
      </c>
      <c r="AD518" t="str">
        <f t="shared" ca="1" si="111"/>
        <v/>
      </c>
      <c r="AE518" t="str">
        <f t="shared" ca="1" si="112"/>
        <v/>
      </c>
      <c r="AF518" t="str">
        <f t="shared" ca="1" si="113"/>
        <v/>
      </c>
      <c r="AG518" s="47"/>
    </row>
    <row r="519" spans="3:33" x14ac:dyDescent="0.25">
      <c r="C519" s="118">
        <f t="shared" si="115"/>
        <v>42305</v>
      </c>
      <c r="D519">
        <f ca="1">IFERROR(SUMIFS(OFFSET(DBRA_TopicHCP,0,D$217,DBR_COUNT,1),DBRA_WorkplanDate,$C519,DBRA_PlayerID,$D$3),"")</f>
        <v>0</v>
      </c>
      <c r="E519">
        <f ca="1">IFERROR(SUMIFS(OFFSET(DBRA_TopicHCP,0,E$217,DBR_COUNT,1),DBRA_WorkplanDate,$C519,DBRA_PlayerID,$D$3),"")</f>
        <v>0</v>
      </c>
      <c r="F519">
        <f ca="1">IFERROR(SUMIFS(OFFSET(DBRA_TopicHCP,0,F$217,DBR_COUNT,1),DBRA_WorkplanDate,$C519,DBRA_PlayerID,$D$3),"")</f>
        <v>0</v>
      </c>
      <c r="G519">
        <f ca="1">IFERROR(SUMIFS(OFFSET(DBRA_TopicHCP,0,G$217,DBR_COUNT,1),DBRA_WorkplanDate,$C519,DBRA_PlayerID,$D$3),"")</f>
        <v>0</v>
      </c>
      <c r="H519">
        <f ca="1">IFERROR(SUMIFS(OFFSET(DBRA_TopicHCP,0,H$217,DBR_COUNT,1),DBRA_WorkplanDate,$C519,DBRA_PlayerID,$D$3),"")</f>
        <v>0</v>
      </c>
      <c r="I519">
        <f ca="1">IFERROR(SUMIFS(OFFSET(DBRA_TopicHCP,0,I$217,DBR_COUNT,1),DBRA_WorkplanDate,$C519,DBRA_PlayerID,$D$3),"")</f>
        <v>0</v>
      </c>
      <c r="J519">
        <f ca="1">IFERROR(SUMIFS(OFFSET(DBRA_TopicHCP,0,J$217,DBR_COUNT,1),DBRA_WorkplanDate,$C519,DBRA_PlayerID,$D$3),"")</f>
        <v>0</v>
      </c>
      <c r="K519">
        <f ca="1">IFERROR(SUMIFS(OFFSET(DBRA_TopicHCP,0,K$217,DBR_COUNT,1),DBRA_WorkplanDate,$C519,DBRA_PlayerID,$D$3),"")</f>
        <v>0</v>
      </c>
      <c r="L519">
        <f ca="1">IFERROR(SUMIFS(OFFSET(DBRA_TopicHCP,0,L$217,DBR_COUNT,1),DBRA_WorkplanDate,$C519,DBRA_PlayerID,$D$3),"")</f>
        <v>0</v>
      </c>
      <c r="M519" s="47"/>
      <c r="N519">
        <f ca="1">IFERROR(SUMIFS(OFFSET(DBRA_TopicCount,0,N$217,DBR_COUNT,1),DBRA_WorkplanDate,$C519,DBRA_PlayerID,$D$3),"")</f>
        <v>0</v>
      </c>
      <c r="O519">
        <f ca="1">IFERROR(SUMIFS(OFFSET(DBRA_TopicCount,0,O$217,DBR_COUNT,1),DBRA_WorkplanDate,$C519,DBRA_PlayerID,$D$3),"")</f>
        <v>0</v>
      </c>
      <c r="P519">
        <f ca="1">IFERROR(SUMIFS(OFFSET(DBRA_TopicCount,0,P$217,DBR_COUNT,1),DBRA_WorkplanDate,$C519,DBRA_PlayerID,$D$3),"")</f>
        <v>0</v>
      </c>
      <c r="Q519">
        <f ca="1">IFERROR(SUMIFS(OFFSET(DBRA_TopicCount,0,Q$217,DBR_COUNT,1),DBRA_WorkplanDate,$C519,DBRA_PlayerID,$D$3),"")</f>
        <v>0</v>
      </c>
      <c r="R519">
        <f ca="1">IFERROR(SUMIFS(OFFSET(DBRA_TopicCount,0,R$217,DBR_COUNT,1),DBRA_WorkplanDate,$C519,DBRA_PlayerID,$D$3),"")</f>
        <v>0</v>
      </c>
      <c r="S519">
        <f ca="1">IFERROR(SUMIFS(OFFSET(DBRA_TopicCount,0,S$217,DBR_COUNT,1),DBRA_WorkplanDate,$C519,DBRA_PlayerID,$D$3),"")</f>
        <v>0</v>
      </c>
      <c r="T519">
        <f ca="1">IFERROR(SUMIFS(OFFSET(DBRA_TopicCount,0,T$217,DBR_COUNT,1),DBRA_WorkplanDate,$C519,DBRA_PlayerID,$D$3),"")</f>
        <v>0</v>
      </c>
      <c r="U519">
        <f ca="1">IFERROR(SUMIFS(OFFSET(DBRA_TopicCount,0,U$217,DBR_COUNT,1),DBRA_WorkplanDate,$C519,DBRA_PlayerID,$D$3),"")</f>
        <v>0</v>
      </c>
      <c r="V519">
        <f ca="1">IFERROR(SUMIFS(OFFSET(DBRA_TopicCount,0,V$217,DBR_COUNT,1),DBRA_WorkplanDate,$C519,DBRA_PlayerID,$D$3),"")</f>
        <v>0</v>
      </c>
      <c r="W519" s="47"/>
      <c r="X519" t="str">
        <f t="shared" ca="1" si="114"/>
        <v/>
      </c>
      <c r="Y519" t="str">
        <f t="shared" ca="1" si="106"/>
        <v/>
      </c>
      <c r="Z519" t="str">
        <f t="shared" ca="1" si="107"/>
        <v/>
      </c>
      <c r="AA519" t="str">
        <f t="shared" ca="1" si="108"/>
        <v/>
      </c>
      <c r="AB519" t="str">
        <f t="shared" ca="1" si="109"/>
        <v/>
      </c>
      <c r="AC519" t="str">
        <f t="shared" ca="1" si="110"/>
        <v/>
      </c>
      <c r="AD519" t="str">
        <f t="shared" ca="1" si="111"/>
        <v/>
      </c>
      <c r="AE519" t="str">
        <f t="shared" ca="1" si="112"/>
        <v/>
      </c>
      <c r="AF519" t="str">
        <f t="shared" ca="1" si="113"/>
        <v/>
      </c>
      <c r="AG519" s="47"/>
    </row>
    <row r="520" spans="3:33" x14ac:dyDescent="0.25">
      <c r="C520" s="118">
        <f t="shared" si="115"/>
        <v>42306</v>
      </c>
      <c r="D520">
        <f ca="1">IFERROR(SUMIFS(OFFSET(DBRA_TopicHCP,0,D$217,DBR_COUNT,1),DBRA_WorkplanDate,$C520,DBRA_PlayerID,$D$3),"")</f>
        <v>0</v>
      </c>
      <c r="E520">
        <f ca="1">IFERROR(SUMIFS(OFFSET(DBRA_TopicHCP,0,E$217,DBR_COUNT,1),DBRA_WorkplanDate,$C520,DBRA_PlayerID,$D$3),"")</f>
        <v>0</v>
      </c>
      <c r="F520">
        <f ca="1">IFERROR(SUMIFS(OFFSET(DBRA_TopicHCP,0,F$217,DBR_COUNT,1),DBRA_WorkplanDate,$C520,DBRA_PlayerID,$D$3),"")</f>
        <v>0</v>
      </c>
      <c r="G520">
        <f ca="1">IFERROR(SUMIFS(OFFSET(DBRA_TopicHCP,0,G$217,DBR_COUNT,1),DBRA_WorkplanDate,$C520,DBRA_PlayerID,$D$3),"")</f>
        <v>0</v>
      </c>
      <c r="H520">
        <f ca="1">IFERROR(SUMIFS(OFFSET(DBRA_TopicHCP,0,H$217,DBR_COUNT,1),DBRA_WorkplanDate,$C520,DBRA_PlayerID,$D$3),"")</f>
        <v>0</v>
      </c>
      <c r="I520">
        <f ca="1">IFERROR(SUMIFS(OFFSET(DBRA_TopicHCP,0,I$217,DBR_COUNT,1),DBRA_WorkplanDate,$C520,DBRA_PlayerID,$D$3),"")</f>
        <v>0</v>
      </c>
      <c r="J520">
        <f ca="1">IFERROR(SUMIFS(OFFSET(DBRA_TopicHCP,0,J$217,DBR_COUNT,1),DBRA_WorkplanDate,$C520,DBRA_PlayerID,$D$3),"")</f>
        <v>0</v>
      </c>
      <c r="K520">
        <f ca="1">IFERROR(SUMIFS(OFFSET(DBRA_TopicHCP,0,K$217,DBR_COUNT,1),DBRA_WorkplanDate,$C520,DBRA_PlayerID,$D$3),"")</f>
        <v>0</v>
      </c>
      <c r="L520">
        <f ca="1">IFERROR(SUMIFS(OFFSET(DBRA_TopicHCP,0,L$217,DBR_COUNT,1),DBRA_WorkplanDate,$C520,DBRA_PlayerID,$D$3),"")</f>
        <v>0</v>
      </c>
      <c r="M520" s="47"/>
      <c r="N520">
        <f ca="1">IFERROR(SUMIFS(OFFSET(DBRA_TopicCount,0,N$217,DBR_COUNT,1),DBRA_WorkplanDate,$C520,DBRA_PlayerID,$D$3),"")</f>
        <v>0</v>
      </c>
      <c r="O520">
        <f ca="1">IFERROR(SUMIFS(OFFSET(DBRA_TopicCount,0,O$217,DBR_COUNT,1),DBRA_WorkplanDate,$C520,DBRA_PlayerID,$D$3),"")</f>
        <v>0</v>
      </c>
      <c r="P520">
        <f ca="1">IFERROR(SUMIFS(OFFSET(DBRA_TopicCount,0,P$217,DBR_COUNT,1),DBRA_WorkplanDate,$C520,DBRA_PlayerID,$D$3),"")</f>
        <v>0</v>
      </c>
      <c r="Q520">
        <f ca="1">IFERROR(SUMIFS(OFFSET(DBRA_TopicCount,0,Q$217,DBR_COUNT,1),DBRA_WorkplanDate,$C520,DBRA_PlayerID,$D$3),"")</f>
        <v>0</v>
      </c>
      <c r="R520">
        <f ca="1">IFERROR(SUMIFS(OFFSET(DBRA_TopicCount,0,R$217,DBR_COUNT,1),DBRA_WorkplanDate,$C520,DBRA_PlayerID,$D$3),"")</f>
        <v>0</v>
      </c>
      <c r="S520">
        <f ca="1">IFERROR(SUMIFS(OFFSET(DBRA_TopicCount,0,S$217,DBR_COUNT,1),DBRA_WorkplanDate,$C520,DBRA_PlayerID,$D$3),"")</f>
        <v>0</v>
      </c>
      <c r="T520">
        <f ca="1">IFERROR(SUMIFS(OFFSET(DBRA_TopicCount,0,T$217,DBR_COUNT,1),DBRA_WorkplanDate,$C520,DBRA_PlayerID,$D$3),"")</f>
        <v>0</v>
      </c>
      <c r="U520">
        <f ca="1">IFERROR(SUMIFS(OFFSET(DBRA_TopicCount,0,U$217,DBR_COUNT,1),DBRA_WorkplanDate,$C520,DBRA_PlayerID,$D$3),"")</f>
        <v>0</v>
      </c>
      <c r="V520">
        <f ca="1">IFERROR(SUMIFS(OFFSET(DBRA_TopicCount,0,V$217,DBR_COUNT,1),DBRA_WorkplanDate,$C520,DBRA_PlayerID,$D$3),"")</f>
        <v>0</v>
      </c>
      <c r="W520" s="47"/>
      <c r="X520" t="str">
        <f t="shared" ca="1" si="114"/>
        <v/>
      </c>
      <c r="Y520" t="str">
        <f t="shared" ca="1" si="106"/>
        <v/>
      </c>
      <c r="Z520" t="str">
        <f t="shared" ca="1" si="107"/>
        <v/>
      </c>
      <c r="AA520" t="str">
        <f t="shared" ca="1" si="108"/>
        <v/>
      </c>
      <c r="AB520" t="str">
        <f t="shared" ca="1" si="109"/>
        <v/>
      </c>
      <c r="AC520" t="str">
        <f t="shared" ca="1" si="110"/>
        <v/>
      </c>
      <c r="AD520" t="str">
        <f t="shared" ca="1" si="111"/>
        <v/>
      </c>
      <c r="AE520" t="str">
        <f t="shared" ca="1" si="112"/>
        <v/>
      </c>
      <c r="AF520" t="str">
        <f t="shared" ca="1" si="113"/>
        <v/>
      </c>
      <c r="AG520" s="47"/>
    </row>
    <row r="521" spans="3:33" x14ac:dyDescent="0.25">
      <c r="C521" s="118">
        <f t="shared" si="115"/>
        <v>42307</v>
      </c>
      <c r="D521">
        <f ca="1">IFERROR(SUMIFS(OFFSET(DBRA_TopicHCP,0,D$217,DBR_COUNT,1),DBRA_WorkplanDate,$C521,DBRA_PlayerID,$D$3),"")</f>
        <v>0</v>
      </c>
      <c r="E521">
        <f ca="1">IFERROR(SUMIFS(OFFSET(DBRA_TopicHCP,0,E$217,DBR_COUNT,1),DBRA_WorkplanDate,$C521,DBRA_PlayerID,$D$3),"")</f>
        <v>0</v>
      </c>
      <c r="F521">
        <f ca="1">IFERROR(SUMIFS(OFFSET(DBRA_TopicHCP,0,F$217,DBR_COUNT,1),DBRA_WorkplanDate,$C521,DBRA_PlayerID,$D$3),"")</f>
        <v>0</v>
      </c>
      <c r="G521">
        <f ca="1">IFERROR(SUMIFS(OFFSET(DBRA_TopicHCP,0,G$217,DBR_COUNT,1),DBRA_WorkplanDate,$C521,DBRA_PlayerID,$D$3),"")</f>
        <v>0</v>
      </c>
      <c r="H521">
        <f ca="1">IFERROR(SUMIFS(OFFSET(DBRA_TopicHCP,0,H$217,DBR_COUNT,1),DBRA_WorkplanDate,$C521,DBRA_PlayerID,$D$3),"")</f>
        <v>0</v>
      </c>
      <c r="I521">
        <f ca="1">IFERROR(SUMIFS(OFFSET(DBRA_TopicHCP,0,I$217,DBR_COUNT,1),DBRA_WorkplanDate,$C521,DBRA_PlayerID,$D$3),"")</f>
        <v>0</v>
      </c>
      <c r="J521">
        <f ca="1">IFERROR(SUMIFS(OFFSET(DBRA_TopicHCP,0,J$217,DBR_COUNT,1),DBRA_WorkplanDate,$C521,DBRA_PlayerID,$D$3),"")</f>
        <v>0</v>
      </c>
      <c r="K521">
        <f ca="1">IFERROR(SUMIFS(OFFSET(DBRA_TopicHCP,0,K$217,DBR_COUNT,1),DBRA_WorkplanDate,$C521,DBRA_PlayerID,$D$3),"")</f>
        <v>0</v>
      </c>
      <c r="L521">
        <f ca="1">IFERROR(SUMIFS(OFFSET(DBRA_TopicHCP,0,L$217,DBR_COUNT,1),DBRA_WorkplanDate,$C521,DBRA_PlayerID,$D$3),"")</f>
        <v>0</v>
      </c>
      <c r="M521" s="47"/>
      <c r="N521">
        <f ca="1">IFERROR(SUMIFS(OFFSET(DBRA_TopicCount,0,N$217,DBR_COUNT,1),DBRA_WorkplanDate,$C521,DBRA_PlayerID,$D$3),"")</f>
        <v>0</v>
      </c>
      <c r="O521">
        <f ca="1">IFERROR(SUMIFS(OFFSET(DBRA_TopicCount,0,O$217,DBR_COUNT,1),DBRA_WorkplanDate,$C521,DBRA_PlayerID,$D$3),"")</f>
        <v>0</v>
      </c>
      <c r="P521">
        <f ca="1">IFERROR(SUMIFS(OFFSET(DBRA_TopicCount,0,P$217,DBR_COUNT,1),DBRA_WorkplanDate,$C521,DBRA_PlayerID,$D$3),"")</f>
        <v>0</v>
      </c>
      <c r="Q521">
        <f ca="1">IFERROR(SUMIFS(OFFSET(DBRA_TopicCount,0,Q$217,DBR_COUNT,1),DBRA_WorkplanDate,$C521,DBRA_PlayerID,$D$3),"")</f>
        <v>0</v>
      </c>
      <c r="R521">
        <f ca="1">IFERROR(SUMIFS(OFFSET(DBRA_TopicCount,0,R$217,DBR_COUNT,1),DBRA_WorkplanDate,$C521,DBRA_PlayerID,$D$3),"")</f>
        <v>0</v>
      </c>
      <c r="S521">
        <f ca="1">IFERROR(SUMIFS(OFFSET(DBRA_TopicCount,0,S$217,DBR_COUNT,1),DBRA_WorkplanDate,$C521,DBRA_PlayerID,$D$3),"")</f>
        <v>0</v>
      </c>
      <c r="T521">
        <f ca="1">IFERROR(SUMIFS(OFFSET(DBRA_TopicCount,0,T$217,DBR_COUNT,1),DBRA_WorkplanDate,$C521,DBRA_PlayerID,$D$3),"")</f>
        <v>0</v>
      </c>
      <c r="U521">
        <f ca="1">IFERROR(SUMIFS(OFFSET(DBRA_TopicCount,0,U$217,DBR_COUNT,1),DBRA_WorkplanDate,$C521,DBRA_PlayerID,$D$3),"")</f>
        <v>0</v>
      </c>
      <c r="V521">
        <f ca="1">IFERROR(SUMIFS(OFFSET(DBRA_TopicCount,0,V$217,DBR_COUNT,1),DBRA_WorkplanDate,$C521,DBRA_PlayerID,$D$3),"")</f>
        <v>0</v>
      </c>
      <c r="W521" s="47"/>
      <c r="X521" t="str">
        <f t="shared" ca="1" si="114"/>
        <v/>
      </c>
      <c r="Y521" t="str">
        <f t="shared" ca="1" si="106"/>
        <v/>
      </c>
      <c r="Z521" t="str">
        <f t="shared" ca="1" si="107"/>
        <v/>
      </c>
      <c r="AA521" t="str">
        <f t="shared" ca="1" si="108"/>
        <v/>
      </c>
      <c r="AB521" t="str">
        <f t="shared" ca="1" si="109"/>
        <v/>
      </c>
      <c r="AC521" t="str">
        <f t="shared" ca="1" si="110"/>
        <v/>
      </c>
      <c r="AD521" t="str">
        <f t="shared" ca="1" si="111"/>
        <v/>
      </c>
      <c r="AE521" t="str">
        <f t="shared" ca="1" si="112"/>
        <v/>
      </c>
      <c r="AF521" t="str">
        <f t="shared" ca="1" si="113"/>
        <v/>
      </c>
      <c r="AG521" s="47"/>
    </row>
    <row r="522" spans="3:33" x14ac:dyDescent="0.25">
      <c r="C522" s="118">
        <f t="shared" si="115"/>
        <v>42308</v>
      </c>
      <c r="D522">
        <f ca="1">IFERROR(SUMIFS(OFFSET(DBRA_TopicHCP,0,D$217,DBR_COUNT,1),DBRA_WorkplanDate,$C522,DBRA_PlayerID,$D$3),"")</f>
        <v>0</v>
      </c>
      <c r="E522">
        <f ca="1">IFERROR(SUMIFS(OFFSET(DBRA_TopicHCP,0,E$217,DBR_COUNT,1),DBRA_WorkplanDate,$C522,DBRA_PlayerID,$D$3),"")</f>
        <v>0</v>
      </c>
      <c r="F522">
        <f ca="1">IFERROR(SUMIFS(OFFSET(DBRA_TopicHCP,0,F$217,DBR_COUNT,1),DBRA_WorkplanDate,$C522,DBRA_PlayerID,$D$3),"")</f>
        <v>0</v>
      </c>
      <c r="G522">
        <f ca="1">IFERROR(SUMIFS(OFFSET(DBRA_TopicHCP,0,G$217,DBR_COUNT,1),DBRA_WorkplanDate,$C522,DBRA_PlayerID,$D$3),"")</f>
        <v>0</v>
      </c>
      <c r="H522">
        <f ca="1">IFERROR(SUMIFS(OFFSET(DBRA_TopicHCP,0,H$217,DBR_COUNT,1),DBRA_WorkplanDate,$C522,DBRA_PlayerID,$D$3),"")</f>
        <v>0</v>
      </c>
      <c r="I522">
        <f ca="1">IFERROR(SUMIFS(OFFSET(DBRA_TopicHCP,0,I$217,DBR_COUNT,1),DBRA_WorkplanDate,$C522,DBRA_PlayerID,$D$3),"")</f>
        <v>0</v>
      </c>
      <c r="J522">
        <f ca="1">IFERROR(SUMIFS(OFFSET(DBRA_TopicHCP,0,J$217,DBR_COUNT,1),DBRA_WorkplanDate,$C522,DBRA_PlayerID,$D$3),"")</f>
        <v>0</v>
      </c>
      <c r="K522">
        <f ca="1">IFERROR(SUMIFS(OFFSET(DBRA_TopicHCP,0,K$217,DBR_COUNT,1),DBRA_WorkplanDate,$C522,DBRA_PlayerID,$D$3),"")</f>
        <v>0</v>
      </c>
      <c r="L522">
        <f ca="1">IFERROR(SUMIFS(OFFSET(DBRA_TopicHCP,0,L$217,DBR_COUNT,1),DBRA_WorkplanDate,$C522,DBRA_PlayerID,$D$3),"")</f>
        <v>0</v>
      </c>
      <c r="M522" s="47"/>
      <c r="N522">
        <f ca="1">IFERROR(SUMIFS(OFFSET(DBRA_TopicCount,0,N$217,DBR_COUNT,1),DBRA_WorkplanDate,$C522,DBRA_PlayerID,$D$3),"")</f>
        <v>0</v>
      </c>
      <c r="O522">
        <f ca="1">IFERROR(SUMIFS(OFFSET(DBRA_TopicCount,0,O$217,DBR_COUNT,1),DBRA_WorkplanDate,$C522,DBRA_PlayerID,$D$3),"")</f>
        <v>0</v>
      </c>
      <c r="P522">
        <f ca="1">IFERROR(SUMIFS(OFFSET(DBRA_TopicCount,0,P$217,DBR_COUNT,1),DBRA_WorkplanDate,$C522,DBRA_PlayerID,$D$3),"")</f>
        <v>0</v>
      </c>
      <c r="Q522">
        <f ca="1">IFERROR(SUMIFS(OFFSET(DBRA_TopicCount,0,Q$217,DBR_COUNT,1),DBRA_WorkplanDate,$C522,DBRA_PlayerID,$D$3),"")</f>
        <v>0</v>
      </c>
      <c r="R522">
        <f ca="1">IFERROR(SUMIFS(OFFSET(DBRA_TopicCount,0,R$217,DBR_COUNT,1),DBRA_WorkplanDate,$C522,DBRA_PlayerID,$D$3),"")</f>
        <v>0</v>
      </c>
      <c r="S522">
        <f ca="1">IFERROR(SUMIFS(OFFSET(DBRA_TopicCount,0,S$217,DBR_COUNT,1),DBRA_WorkplanDate,$C522,DBRA_PlayerID,$D$3),"")</f>
        <v>0</v>
      </c>
      <c r="T522">
        <f ca="1">IFERROR(SUMIFS(OFFSET(DBRA_TopicCount,0,T$217,DBR_COUNT,1),DBRA_WorkplanDate,$C522,DBRA_PlayerID,$D$3),"")</f>
        <v>0</v>
      </c>
      <c r="U522">
        <f ca="1">IFERROR(SUMIFS(OFFSET(DBRA_TopicCount,0,U$217,DBR_COUNT,1),DBRA_WorkplanDate,$C522,DBRA_PlayerID,$D$3),"")</f>
        <v>0</v>
      </c>
      <c r="V522">
        <f ca="1">IFERROR(SUMIFS(OFFSET(DBRA_TopicCount,0,V$217,DBR_COUNT,1),DBRA_WorkplanDate,$C522,DBRA_PlayerID,$D$3),"")</f>
        <v>0</v>
      </c>
      <c r="W522" s="47"/>
      <c r="X522" t="str">
        <f t="shared" ca="1" si="114"/>
        <v/>
      </c>
      <c r="Y522" t="str">
        <f t="shared" ca="1" si="106"/>
        <v/>
      </c>
      <c r="Z522" t="str">
        <f t="shared" ca="1" si="107"/>
        <v/>
      </c>
      <c r="AA522" t="str">
        <f t="shared" ca="1" si="108"/>
        <v/>
      </c>
      <c r="AB522" t="str">
        <f t="shared" ca="1" si="109"/>
        <v/>
      </c>
      <c r="AC522" t="str">
        <f t="shared" ca="1" si="110"/>
        <v/>
      </c>
      <c r="AD522" t="str">
        <f t="shared" ca="1" si="111"/>
        <v/>
      </c>
      <c r="AE522" t="str">
        <f t="shared" ca="1" si="112"/>
        <v/>
      </c>
      <c r="AF522" t="str">
        <f t="shared" ca="1" si="113"/>
        <v/>
      </c>
      <c r="AG522" s="47"/>
    </row>
    <row r="523" spans="3:33" x14ac:dyDescent="0.25">
      <c r="C523" s="118">
        <f t="shared" si="115"/>
        <v>42309</v>
      </c>
      <c r="D523">
        <f ca="1">IFERROR(SUMIFS(OFFSET(DBRA_TopicHCP,0,D$217,DBR_COUNT,1),DBRA_WorkplanDate,$C523,DBRA_PlayerID,$D$3),"")</f>
        <v>0</v>
      </c>
      <c r="E523">
        <f ca="1">IFERROR(SUMIFS(OFFSET(DBRA_TopicHCP,0,E$217,DBR_COUNT,1),DBRA_WorkplanDate,$C523,DBRA_PlayerID,$D$3),"")</f>
        <v>0</v>
      </c>
      <c r="F523">
        <f ca="1">IFERROR(SUMIFS(OFFSET(DBRA_TopicHCP,0,F$217,DBR_COUNT,1),DBRA_WorkplanDate,$C523,DBRA_PlayerID,$D$3),"")</f>
        <v>0</v>
      </c>
      <c r="G523">
        <f ca="1">IFERROR(SUMIFS(OFFSET(DBRA_TopicHCP,0,G$217,DBR_COUNT,1),DBRA_WorkplanDate,$C523,DBRA_PlayerID,$D$3),"")</f>
        <v>0</v>
      </c>
      <c r="H523">
        <f ca="1">IFERROR(SUMIFS(OFFSET(DBRA_TopicHCP,0,H$217,DBR_COUNT,1),DBRA_WorkplanDate,$C523,DBRA_PlayerID,$D$3),"")</f>
        <v>0</v>
      </c>
      <c r="I523">
        <f ca="1">IFERROR(SUMIFS(OFFSET(DBRA_TopicHCP,0,I$217,DBR_COUNT,1),DBRA_WorkplanDate,$C523,DBRA_PlayerID,$D$3),"")</f>
        <v>0</v>
      </c>
      <c r="J523">
        <f ca="1">IFERROR(SUMIFS(OFFSET(DBRA_TopicHCP,0,J$217,DBR_COUNT,1),DBRA_WorkplanDate,$C523,DBRA_PlayerID,$D$3),"")</f>
        <v>0</v>
      </c>
      <c r="K523">
        <f ca="1">IFERROR(SUMIFS(OFFSET(DBRA_TopicHCP,0,K$217,DBR_COUNT,1),DBRA_WorkplanDate,$C523,DBRA_PlayerID,$D$3),"")</f>
        <v>0</v>
      </c>
      <c r="L523">
        <f ca="1">IFERROR(SUMIFS(OFFSET(DBRA_TopicHCP,0,L$217,DBR_COUNT,1),DBRA_WorkplanDate,$C523,DBRA_PlayerID,$D$3),"")</f>
        <v>0</v>
      </c>
      <c r="M523" s="47"/>
      <c r="N523">
        <f ca="1">IFERROR(SUMIFS(OFFSET(DBRA_TopicCount,0,N$217,DBR_COUNT,1),DBRA_WorkplanDate,$C523,DBRA_PlayerID,$D$3),"")</f>
        <v>0</v>
      </c>
      <c r="O523">
        <f ca="1">IFERROR(SUMIFS(OFFSET(DBRA_TopicCount,0,O$217,DBR_COUNT,1),DBRA_WorkplanDate,$C523,DBRA_PlayerID,$D$3),"")</f>
        <v>0</v>
      </c>
      <c r="P523">
        <f ca="1">IFERROR(SUMIFS(OFFSET(DBRA_TopicCount,0,P$217,DBR_COUNT,1),DBRA_WorkplanDate,$C523,DBRA_PlayerID,$D$3),"")</f>
        <v>0</v>
      </c>
      <c r="Q523">
        <f ca="1">IFERROR(SUMIFS(OFFSET(DBRA_TopicCount,0,Q$217,DBR_COUNT,1),DBRA_WorkplanDate,$C523,DBRA_PlayerID,$D$3),"")</f>
        <v>0</v>
      </c>
      <c r="R523">
        <f ca="1">IFERROR(SUMIFS(OFFSET(DBRA_TopicCount,0,R$217,DBR_COUNT,1),DBRA_WorkplanDate,$C523,DBRA_PlayerID,$D$3),"")</f>
        <v>0</v>
      </c>
      <c r="S523">
        <f ca="1">IFERROR(SUMIFS(OFFSET(DBRA_TopicCount,0,S$217,DBR_COUNT,1),DBRA_WorkplanDate,$C523,DBRA_PlayerID,$D$3),"")</f>
        <v>0</v>
      </c>
      <c r="T523">
        <f ca="1">IFERROR(SUMIFS(OFFSET(DBRA_TopicCount,0,T$217,DBR_COUNT,1),DBRA_WorkplanDate,$C523,DBRA_PlayerID,$D$3),"")</f>
        <v>0</v>
      </c>
      <c r="U523">
        <f ca="1">IFERROR(SUMIFS(OFFSET(DBRA_TopicCount,0,U$217,DBR_COUNT,1),DBRA_WorkplanDate,$C523,DBRA_PlayerID,$D$3),"")</f>
        <v>0</v>
      </c>
      <c r="V523">
        <f ca="1">IFERROR(SUMIFS(OFFSET(DBRA_TopicCount,0,V$217,DBR_COUNT,1),DBRA_WorkplanDate,$C523,DBRA_PlayerID,$D$3),"")</f>
        <v>0</v>
      </c>
      <c r="W523" s="47"/>
      <c r="X523" t="str">
        <f t="shared" ca="1" si="114"/>
        <v/>
      </c>
      <c r="Y523" t="str">
        <f t="shared" ca="1" si="106"/>
        <v/>
      </c>
      <c r="Z523" t="str">
        <f t="shared" ca="1" si="107"/>
        <v/>
      </c>
      <c r="AA523" t="str">
        <f t="shared" ca="1" si="108"/>
        <v/>
      </c>
      <c r="AB523" t="str">
        <f t="shared" ca="1" si="109"/>
        <v/>
      </c>
      <c r="AC523" t="str">
        <f t="shared" ca="1" si="110"/>
        <v/>
      </c>
      <c r="AD523" t="str">
        <f t="shared" ca="1" si="111"/>
        <v/>
      </c>
      <c r="AE523" t="str">
        <f t="shared" ca="1" si="112"/>
        <v/>
      </c>
      <c r="AF523" t="str">
        <f t="shared" ca="1" si="113"/>
        <v/>
      </c>
      <c r="AG523" s="47"/>
    </row>
    <row r="524" spans="3:33" x14ac:dyDescent="0.25">
      <c r="C524" s="118">
        <f t="shared" si="115"/>
        <v>42310</v>
      </c>
      <c r="D524">
        <f ca="1">IFERROR(SUMIFS(OFFSET(DBRA_TopicHCP,0,D$217,DBR_COUNT,1),DBRA_WorkplanDate,$C524,DBRA_PlayerID,$D$3),"")</f>
        <v>0</v>
      </c>
      <c r="E524">
        <f ca="1">IFERROR(SUMIFS(OFFSET(DBRA_TopicHCP,0,E$217,DBR_COUNT,1),DBRA_WorkplanDate,$C524,DBRA_PlayerID,$D$3),"")</f>
        <v>0</v>
      </c>
      <c r="F524">
        <f ca="1">IFERROR(SUMIFS(OFFSET(DBRA_TopicHCP,0,F$217,DBR_COUNT,1),DBRA_WorkplanDate,$C524,DBRA_PlayerID,$D$3),"")</f>
        <v>0</v>
      </c>
      <c r="G524">
        <f ca="1">IFERROR(SUMIFS(OFFSET(DBRA_TopicHCP,0,G$217,DBR_COUNT,1),DBRA_WorkplanDate,$C524,DBRA_PlayerID,$D$3),"")</f>
        <v>0</v>
      </c>
      <c r="H524">
        <f ca="1">IFERROR(SUMIFS(OFFSET(DBRA_TopicHCP,0,H$217,DBR_COUNT,1),DBRA_WorkplanDate,$C524,DBRA_PlayerID,$D$3),"")</f>
        <v>0</v>
      </c>
      <c r="I524">
        <f ca="1">IFERROR(SUMIFS(OFFSET(DBRA_TopicHCP,0,I$217,DBR_COUNT,1),DBRA_WorkplanDate,$C524,DBRA_PlayerID,$D$3),"")</f>
        <v>0</v>
      </c>
      <c r="J524">
        <f ca="1">IFERROR(SUMIFS(OFFSET(DBRA_TopicHCP,0,J$217,DBR_COUNT,1),DBRA_WorkplanDate,$C524,DBRA_PlayerID,$D$3),"")</f>
        <v>0</v>
      </c>
      <c r="K524">
        <f ca="1">IFERROR(SUMIFS(OFFSET(DBRA_TopicHCP,0,K$217,DBR_COUNT,1),DBRA_WorkplanDate,$C524,DBRA_PlayerID,$D$3),"")</f>
        <v>0</v>
      </c>
      <c r="L524">
        <f ca="1">IFERROR(SUMIFS(OFFSET(DBRA_TopicHCP,0,L$217,DBR_COUNT,1),DBRA_WorkplanDate,$C524,DBRA_PlayerID,$D$3),"")</f>
        <v>0</v>
      </c>
      <c r="M524" s="47"/>
      <c r="N524">
        <f ca="1">IFERROR(SUMIFS(OFFSET(DBRA_TopicCount,0,N$217,DBR_COUNT,1),DBRA_WorkplanDate,$C524,DBRA_PlayerID,$D$3),"")</f>
        <v>0</v>
      </c>
      <c r="O524">
        <f ca="1">IFERROR(SUMIFS(OFFSET(DBRA_TopicCount,0,O$217,DBR_COUNT,1),DBRA_WorkplanDate,$C524,DBRA_PlayerID,$D$3),"")</f>
        <v>0</v>
      </c>
      <c r="P524">
        <f ca="1">IFERROR(SUMIFS(OFFSET(DBRA_TopicCount,0,P$217,DBR_COUNT,1),DBRA_WorkplanDate,$C524,DBRA_PlayerID,$D$3),"")</f>
        <v>0</v>
      </c>
      <c r="Q524">
        <f ca="1">IFERROR(SUMIFS(OFFSET(DBRA_TopicCount,0,Q$217,DBR_COUNT,1),DBRA_WorkplanDate,$C524,DBRA_PlayerID,$D$3),"")</f>
        <v>0</v>
      </c>
      <c r="R524">
        <f ca="1">IFERROR(SUMIFS(OFFSET(DBRA_TopicCount,0,R$217,DBR_COUNT,1),DBRA_WorkplanDate,$C524,DBRA_PlayerID,$D$3),"")</f>
        <v>0</v>
      </c>
      <c r="S524">
        <f ca="1">IFERROR(SUMIFS(OFFSET(DBRA_TopicCount,0,S$217,DBR_COUNT,1),DBRA_WorkplanDate,$C524,DBRA_PlayerID,$D$3),"")</f>
        <v>0</v>
      </c>
      <c r="T524">
        <f ca="1">IFERROR(SUMIFS(OFFSET(DBRA_TopicCount,0,T$217,DBR_COUNT,1),DBRA_WorkplanDate,$C524,DBRA_PlayerID,$D$3),"")</f>
        <v>0</v>
      </c>
      <c r="U524">
        <f ca="1">IFERROR(SUMIFS(OFFSET(DBRA_TopicCount,0,U$217,DBR_COUNT,1),DBRA_WorkplanDate,$C524,DBRA_PlayerID,$D$3),"")</f>
        <v>0</v>
      </c>
      <c r="V524">
        <f ca="1">IFERROR(SUMIFS(OFFSET(DBRA_TopicCount,0,V$217,DBR_COUNT,1),DBRA_WorkplanDate,$C524,DBRA_PlayerID,$D$3),"")</f>
        <v>0</v>
      </c>
      <c r="W524" s="47"/>
      <c r="X524" t="str">
        <f t="shared" ca="1" si="114"/>
        <v/>
      </c>
      <c r="Y524" t="str">
        <f t="shared" ca="1" si="106"/>
        <v/>
      </c>
      <c r="Z524" t="str">
        <f t="shared" ca="1" si="107"/>
        <v/>
      </c>
      <c r="AA524" t="str">
        <f t="shared" ca="1" si="108"/>
        <v/>
      </c>
      <c r="AB524" t="str">
        <f t="shared" ca="1" si="109"/>
        <v/>
      </c>
      <c r="AC524" t="str">
        <f t="shared" ca="1" si="110"/>
        <v/>
      </c>
      <c r="AD524" t="str">
        <f t="shared" ca="1" si="111"/>
        <v/>
      </c>
      <c r="AE524" t="str">
        <f t="shared" ca="1" si="112"/>
        <v/>
      </c>
      <c r="AF524" t="str">
        <f t="shared" ca="1" si="113"/>
        <v/>
      </c>
      <c r="AG524" s="47"/>
    </row>
    <row r="525" spans="3:33" x14ac:dyDescent="0.25">
      <c r="C525" s="118">
        <f t="shared" si="115"/>
        <v>42311</v>
      </c>
      <c r="D525">
        <f ca="1">IFERROR(SUMIFS(OFFSET(DBRA_TopicHCP,0,D$217,DBR_COUNT,1),DBRA_WorkplanDate,$C525,DBRA_PlayerID,$D$3),"")</f>
        <v>0</v>
      </c>
      <c r="E525">
        <f ca="1">IFERROR(SUMIFS(OFFSET(DBRA_TopicHCP,0,E$217,DBR_COUNT,1),DBRA_WorkplanDate,$C525,DBRA_PlayerID,$D$3),"")</f>
        <v>0</v>
      </c>
      <c r="F525">
        <f ca="1">IFERROR(SUMIFS(OFFSET(DBRA_TopicHCP,0,F$217,DBR_COUNT,1),DBRA_WorkplanDate,$C525,DBRA_PlayerID,$D$3),"")</f>
        <v>0</v>
      </c>
      <c r="G525">
        <f ca="1">IFERROR(SUMIFS(OFFSET(DBRA_TopicHCP,0,G$217,DBR_COUNT,1),DBRA_WorkplanDate,$C525,DBRA_PlayerID,$D$3),"")</f>
        <v>0</v>
      </c>
      <c r="H525">
        <f ca="1">IFERROR(SUMIFS(OFFSET(DBRA_TopicHCP,0,H$217,DBR_COUNT,1),DBRA_WorkplanDate,$C525,DBRA_PlayerID,$D$3),"")</f>
        <v>0</v>
      </c>
      <c r="I525">
        <f ca="1">IFERROR(SUMIFS(OFFSET(DBRA_TopicHCP,0,I$217,DBR_COUNT,1),DBRA_WorkplanDate,$C525,DBRA_PlayerID,$D$3),"")</f>
        <v>0</v>
      </c>
      <c r="J525">
        <f ca="1">IFERROR(SUMIFS(OFFSET(DBRA_TopicHCP,0,J$217,DBR_COUNT,1),DBRA_WorkplanDate,$C525,DBRA_PlayerID,$D$3),"")</f>
        <v>0</v>
      </c>
      <c r="K525">
        <f ca="1">IFERROR(SUMIFS(OFFSET(DBRA_TopicHCP,0,K$217,DBR_COUNT,1),DBRA_WorkplanDate,$C525,DBRA_PlayerID,$D$3),"")</f>
        <v>0</v>
      </c>
      <c r="L525">
        <f ca="1">IFERROR(SUMIFS(OFFSET(DBRA_TopicHCP,0,L$217,DBR_COUNT,1),DBRA_WorkplanDate,$C525,DBRA_PlayerID,$D$3),"")</f>
        <v>0</v>
      </c>
      <c r="M525" s="47"/>
      <c r="N525">
        <f ca="1">IFERROR(SUMIFS(OFFSET(DBRA_TopicCount,0,N$217,DBR_COUNT,1),DBRA_WorkplanDate,$C525,DBRA_PlayerID,$D$3),"")</f>
        <v>0</v>
      </c>
      <c r="O525">
        <f ca="1">IFERROR(SUMIFS(OFFSET(DBRA_TopicCount,0,O$217,DBR_COUNT,1),DBRA_WorkplanDate,$C525,DBRA_PlayerID,$D$3),"")</f>
        <v>0</v>
      </c>
      <c r="P525">
        <f ca="1">IFERROR(SUMIFS(OFFSET(DBRA_TopicCount,0,P$217,DBR_COUNT,1),DBRA_WorkplanDate,$C525,DBRA_PlayerID,$D$3),"")</f>
        <v>0</v>
      </c>
      <c r="Q525">
        <f ca="1">IFERROR(SUMIFS(OFFSET(DBRA_TopicCount,0,Q$217,DBR_COUNT,1),DBRA_WorkplanDate,$C525,DBRA_PlayerID,$D$3),"")</f>
        <v>0</v>
      </c>
      <c r="R525">
        <f ca="1">IFERROR(SUMIFS(OFFSET(DBRA_TopicCount,0,R$217,DBR_COUNT,1),DBRA_WorkplanDate,$C525,DBRA_PlayerID,$D$3),"")</f>
        <v>0</v>
      </c>
      <c r="S525">
        <f ca="1">IFERROR(SUMIFS(OFFSET(DBRA_TopicCount,0,S$217,DBR_COUNT,1),DBRA_WorkplanDate,$C525,DBRA_PlayerID,$D$3),"")</f>
        <v>0</v>
      </c>
      <c r="T525">
        <f ca="1">IFERROR(SUMIFS(OFFSET(DBRA_TopicCount,0,T$217,DBR_COUNT,1),DBRA_WorkplanDate,$C525,DBRA_PlayerID,$D$3),"")</f>
        <v>0</v>
      </c>
      <c r="U525">
        <f ca="1">IFERROR(SUMIFS(OFFSET(DBRA_TopicCount,0,U$217,DBR_COUNT,1),DBRA_WorkplanDate,$C525,DBRA_PlayerID,$D$3),"")</f>
        <v>0</v>
      </c>
      <c r="V525">
        <f ca="1">IFERROR(SUMIFS(OFFSET(DBRA_TopicCount,0,V$217,DBR_COUNT,1),DBRA_WorkplanDate,$C525,DBRA_PlayerID,$D$3),"")</f>
        <v>0</v>
      </c>
      <c r="W525" s="47"/>
      <c r="X525" t="str">
        <f t="shared" ca="1" si="114"/>
        <v/>
      </c>
      <c r="Y525" t="str">
        <f t="shared" ca="1" si="106"/>
        <v/>
      </c>
      <c r="Z525" t="str">
        <f t="shared" ca="1" si="107"/>
        <v/>
      </c>
      <c r="AA525" t="str">
        <f t="shared" ca="1" si="108"/>
        <v/>
      </c>
      <c r="AB525" t="str">
        <f t="shared" ca="1" si="109"/>
        <v/>
      </c>
      <c r="AC525" t="str">
        <f t="shared" ca="1" si="110"/>
        <v/>
      </c>
      <c r="AD525" t="str">
        <f t="shared" ca="1" si="111"/>
        <v/>
      </c>
      <c r="AE525" t="str">
        <f t="shared" ca="1" si="112"/>
        <v/>
      </c>
      <c r="AF525" t="str">
        <f t="shared" ca="1" si="113"/>
        <v/>
      </c>
      <c r="AG525" s="47"/>
    </row>
    <row r="526" spans="3:33" x14ac:dyDescent="0.25">
      <c r="C526" s="118">
        <f t="shared" si="115"/>
        <v>42312</v>
      </c>
      <c r="D526">
        <f ca="1">IFERROR(SUMIFS(OFFSET(DBRA_TopicHCP,0,D$217,DBR_COUNT,1),DBRA_WorkplanDate,$C526,DBRA_PlayerID,$D$3),"")</f>
        <v>0</v>
      </c>
      <c r="E526">
        <f ca="1">IFERROR(SUMIFS(OFFSET(DBRA_TopicHCP,0,E$217,DBR_COUNT,1),DBRA_WorkplanDate,$C526,DBRA_PlayerID,$D$3),"")</f>
        <v>0</v>
      </c>
      <c r="F526">
        <f ca="1">IFERROR(SUMIFS(OFFSET(DBRA_TopicHCP,0,F$217,DBR_COUNT,1),DBRA_WorkplanDate,$C526,DBRA_PlayerID,$D$3),"")</f>
        <v>0</v>
      </c>
      <c r="G526">
        <f ca="1">IFERROR(SUMIFS(OFFSET(DBRA_TopicHCP,0,G$217,DBR_COUNT,1),DBRA_WorkplanDate,$C526,DBRA_PlayerID,$D$3),"")</f>
        <v>0</v>
      </c>
      <c r="H526">
        <f ca="1">IFERROR(SUMIFS(OFFSET(DBRA_TopicHCP,0,H$217,DBR_COUNT,1),DBRA_WorkplanDate,$C526,DBRA_PlayerID,$D$3),"")</f>
        <v>0</v>
      </c>
      <c r="I526">
        <f ca="1">IFERROR(SUMIFS(OFFSET(DBRA_TopicHCP,0,I$217,DBR_COUNT,1),DBRA_WorkplanDate,$C526,DBRA_PlayerID,$D$3),"")</f>
        <v>0</v>
      </c>
      <c r="J526">
        <f ca="1">IFERROR(SUMIFS(OFFSET(DBRA_TopicHCP,0,J$217,DBR_COUNT,1),DBRA_WorkplanDate,$C526,DBRA_PlayerID,$D$3),"")</f>
        <v>0</v>
      </c>
      <c r="K526">
        <f ca="1">IFERROR(SUMIFS(OFFSET(DBRA_TopicHCP,0,K$217,DBR_COUNT,1),DBRA_WorkplanDate,$C526,DBRA_PlayerID,$D$3),"")</f>
        <v>0</v>
      </c>
      <c r="L526">
        <f ca="1">IFERROR(SUMIFS(OFFSET(DBRA_TopicHCP,0,L$217,DBR_COUNT,1),DBRA_WorkplanDate,$C526,DBRA_PlayerID,$D$3),"")</f>
        <v>0</v>
      </c>
      <c r="M526" s="47"/>
      <c r="N526">
        <f ca="1">IFERROR(SUMIFS(OFFSET(DBRA_TopicCount,0,N$217,DBR_COUNT,1),DBRA_WorkplanDate,$C526,DBRA_PlayerID,$D$3),"")</f>
        <v>0</v>
      </c>
      <c r="O526">
        <f ca="1">IFERROR(SUMIFS(OFFSET(DBRA_TopicCount,0,O$217,DBR_COUNT,1),DBRA_WorkplanDate,$C526,DBRA_PlayerID,$D$3),"")</f>
        <v>0</v>
      </c>
      <c r="P526">
        <f ca="1">IFERROR(SUMIFS(OFFSET(DBRA_TopicCount,0,P$217,DBR_COUNT,1),DBRA_WorkplanDate,$C526,DBRA_PlayerID,$D$3),"")</f>
        <v>0</v>
      </c>
      <c r="Q526">
        <f ca="1">IFERROR(SUMIFS(OFFSET(DBRA_TopicCount,0,Q$217,DBR_COUNT,1),DBRA_WorkplanDate,$C526,DBRA_PlayerID,$D$3),"")</f>
        <v>0</v>
      </c>
      <c r="R526">
        <f ca="1">IFERROR(SUMIFS(OFFSET(DBRA_TopicCount,0,R$217,DBR_COUNT,1),DBRA_WorkplanDate,$C526,DBRA_PlayerID,$D$3),"")</f>
        <v>0</v>
      </c>
      <c r="S526">
        <f ca="1">IFERROR(SUMIFS(OFFSET(DBRA_TopicCount,0,S$217,DBR_COUNT,1),DBRA_WorkplanDate,$C526,DBRA_PlayerID,$D$3),"")</f>
        <v>0</v>
      </c>
      <c r="T526">
        <f ca="1">IFERROR(SUMIFS(OFFSET(DBRA_TopicCount,0,T$217,DBR_COUNT,1),DBRA_WorkplanDate,$C526,DBRA_PlayerID,$D$3),"")</f>
        <v>0</v>
      </c>
      <c r="U526">
        <f ca="1">IFERROR(SUMIFS(OFFSET(DBRA_TopicCount,0,U$217,DBR_COUNT,1),DBRA_WorkplanDate,$C526,DBRA_PlayerID,$D$3),"")</f>
        <v>0</v>
      </c>
      <c r="V526">
        <f ca="1">IFERROR(SUMIFS(OFFSET(DBRA_TopicCount,0,V$217,DBR_COUNT,1),DBRA_WorkplanDate,$C526,DBRA_PlayerID,$D$3),"")</f>
        <v>0</v>
      </c>
      <c r="W526" s="47"/>
      <c r="X526" t="str">
        <f t="shared" ca="1" si="114"/>
        <v/>
      </c>
      <c r="Y526" t="str">
        <f t="shared" ca="1" si="106"/>
        <v/>
      </c>
      <c r="Z526" t="str">
        <f t="shared" ca="1" si="107"/>
        <v/>
      </c>
      <c r="AA526" t="str">
        <f t="shared" ca="1" si="108"/>
        <v/>
      </c>
      <c r="AB526" t="str">
        <f t="shared" ca="1" si="109"/>
        <v/>
      </c>
      <c r="AC526" t="str">
        <f t="shared" ca="1" si="110"/>
        <v/>
      </c>
      <c r="AD526" t="str">
        <f t="shared" ca="1" si="111"/>
        <v/>
      </c>
      <c r="AE526" t="str">
        <f t="shared" ca="1" si="112"/>
        <v/>
      </c>
      <c r="AF526" t="str">
        <f t="shared" ca="1" si="113"/>
        <v/>
      </c>
      <c r="AG526" s="47"/>
    </row>
    <row r="527" spans="3:33" x14ac:dyDescent="0.25">
      <c r="C527" s="118">
        <f t="shared" si="115"/>
        <v>42313</v>
      </c>
      <c r="D527">
        <f ca="1">IFERROR(SUMIFS(OFFSET(DBRA_TopicHCP,0,D$217,DBR_COUNT,1),DBRA_WorkplanDate,$C527,DBRA_PlayerID,$D$3),"")</f>
        <v>0</v>
      </c>
      <c r="E527">
        <f ca="1">IFERROR(SUMIFS(OFFSET(DBRA_TopicHCP,0,E$217,DBR_COUNT,1),DBRA_WorkplanDate,$C527,DBRA_PlayerID,$D$3),"")</f>
        <v>0</v>
      </c>
      <c r="F527">
        <f ca="1">IFERROR(SUMIFS(OFFSET(DBRA_TopicHCP,0,F$217,DBR_COUNT,1),DBRA_WorkplanDate,$C527,DBRA_PlayerID,$D$3),"")</f>
        <v>0</v>
      </c>
      <c r="G527">
        <f ca="1">IFERROR(SUMIFS(OFFSET(DBRA_TopicHCP,0,G$217,DBR_COUNT,1),DBRA_WorkplanDate,$C527,DBRA_PlayerID,$D$3),"")</f>
        <v>0</v>
      </c>
      <c r="H527">
        <f ca="1">IFERROR(SUMIFS(OFFSET(DBRA_TopicHCP,0,H$217,DBR_COUNT,1),DBRA_WorkplanDate,$C527,DBRA_PlayerID,$D$3),"")</f>
        <v>0</v>
      </c>
      <c r="I527">
        <f ca="1">IFERROR(SUMIFS(OFFSET(DBRA_TopicHCP,0,I$217,DBR_COUNT,1),DBRA_WorkplanDate,$C527,DBRA_PlayerID,$D$3),"")</f>
        <v>0</v>
      </c>
      <c r="J527">
        <f ca="1">IFERROR(SUMIFS(OFFSET(DBRA_TopicHCP,0,J$217,DBR_COUNT,1),DBRA_WorkplanDate,$C527,DBRA_PlayerID,$D$3),"")</f>
        <v>0</v>
      </c>
      <c r="K527">
        <f ca="1">IFERROR(SUMIFS(OFFSET(DBRA_TopicHCP,0,K$217,DBR_COUNT,1),DBRA_WorkplanDate,$C527,DBRA_PlayerID,$D$3),"")</f>
        <v>0</v>
      </c>
      <c r="L527">
        <f ca="1">IFERROR(SUMIFS(OFFSET(DBRA_TopicHCP,0,L$217,DBR_COUNT,1),DBRA_WorkplanDate,$C527,DBRA_PlayerID,$D$3),"")</f>
        <v>0</v>
      </c>
      <c r="M527" s="47"/>
      <c r="N527">
        <f ca="1">IFERROR(SUMIFS(OFFSET(DBRA_TopicCount,0,N$217,DBR_COUNT,1),DBRA_WorkplanDate,$C527,DBRA_PlayerID,$D$3),"")</f>
        <v>0</v>
      </c>
      <c r="O527">
        <f ca="1">IFERROR(SUMIFS(OFFSET(DBRA_TopicCount,0,O$217,DBR_COUNT,1),DBRA_WorkplanDate,$C527,DBRA_PlayerID,$D$3),"")</f>
        <v>0</v>
      </c>
      <c r="P527">
        <f ca="1">IFERROR(SUMIFS(OFFSET(DBRA_TopicCount,0,P$217,DBR_COUNT,1),DBRA_WorkplanDate,$C527,DBRA_PlayerID,$D$3),"")</f>
        <v>0</v>
      </c>
      <c r="Q527">
        <f ca="1">IFERROR(SUMIFS(OFFSET(DBRA_TopicCount,0,Q$217,DBR_COUNT,1),DBRA_WorkplanDate,$C527,DBRA_PlayerID,$D$3),"")</f>
        <v>0</v>
      </c>
      <c r="R527">
        <f ca="1">IFERROR(SUMIFS(OFFSET(DBRA_TopicCount,0,R$217,DBR_COUNT,1),DBRA_WorkplanDate,$C527,DBRA_PlayerID,$D$3),"")</f>
        <v>0</v>
      </c>
      <c r="S527">
        <f ca="1">IFERROR(SUMIFS(OFFSET(DBRA_TopicCount,0,S$217,DBR_COUNT,1),DBRA_WorkplanDate,$C527,DBRA_PlayerID,$D$3),"")</f>
        <v>0</v>
      </c>
      <c r="T527">
        <f ca="1">IFERROR(SUMIFS(OFFSET(DBRA_TopicCount,0,T$217,DBR_COUNT,1),DBRA_WorkplanDate,$C527,DBRA_PlayerID,$D$3),"")</f>
        <v>0</v>
      </c>
      <c r="U527">
        <f ca="1">IFERROR(SUMIFS(OFFSET(DBRA_TopicCount,0,U$217,DBR_COUNT,1),DBRA_WorkplanDate,$C527,DBRA_PlayerID,$D$3),"")</f>
        <v>0</v>
      </c>
      <c r="V527">
        <f ca="1">IFERROR(SUMIFS(OFFSET(DBRA_TopicCount,0,V$217,DBR_COUNT,1),DBRA_WorkplanDate,$C527,DBRA_PlayerID,$D$3),"")</f>
        <v>0</v>
      </c>
      <c r="W527" s="47"/>
      <c r="X527" t="str">
        <f t="shared" ca="1" si="114"/>
        <v/>
      </c>
      <c r="Y527" t="str">
        <f t="shared" ca="1" si="106"/>
        <v/>
      </c>
      <c r="Z527" t="str">
        <f t="shared" ca="1" si="107"/>
        <v/>
      </c>
      <c r="AA527" t="str">
        <f t="shared" ca="1" si="108"/>
        <v/>
      </c>
      <c r="AB527" t="str">
        <f t="shared" ca="1" si="109"/>
        <v/>
      </c>
      <c r="AC527" t="str">
        <f t="shared" ca="1" si="110"/>
        <v/>
      </c>
      <c r="AD527" t="str">
        <f t="shared" ca="1" si="111"/>
        <v/>
      </c>
      <c r="AE527" t="str">
        <f t="shared" ca="1" si="112"/>
        <v/>
      </c>
      <c r="AF527" t="str">
        <f t="shared" ca="1" si="113"/>
        <v/>
      </c>
      <c r="AG527" s="47"/>
    </row>
    <row r="528" spans="3:33" x14ac:dyDescent="0.25">
      <c r="C528" s="118">
        <f t="shared" si="115"/>
        <v>42314</v>
      </c>
      <c r="D528">
        <f ca="1">IFERROR(SUMIFS(OFFSET(DBRA_TopicHCP,0,D$217,DBR_COUNT,1),DBRA_WorkplanDate,$C528,DBRA_PlayerID,$D$3),"")</f>
        <v>0</v>
      </c>
      <c r="E528">
        <f ca="1">IFERROR(SUMIFS(OFFSET(DBRA_TopicHCP,0,E$217,DBR_COUNT,1),DBRA_WorkplanDate,$C528,DBRA_PlayerID,$D$3),"")</f>
        <v>0</v>
      </c>
      <c r="F528">
        <f ca="1">IFERROR(SUMIFS(OFFSET(DBRA_TopicHCP,0,F$217,DBR_COUNT,1),DBRA_WorkplanDate,$C528,DBRA_PlayerID,$D$3),"")</f>
        <v>0</v>
      </c>
      <c r="G528">
        <f ca="1">IFERROR(SUMIFS(OFFSET(DBRA_TopicHCP,0,G$217,DBR_COUNT,1),DBRA_WorkplanDate,$C528,DBRA_PlayerID,$D$3),"")</f>
        <v>0</v>
      </c>
      <c r="H528">
        <f ca="1">IFERROR(SUMIFS(OFFSET(DBRA_TopicHCP,0,H$217,DBR_COUNT,1),DBRA_WorkplanDate,$C528,DBRA_PlayerID,$D$3),"")</f>
        <v>0</v>
      </c>
      <c r="I528">
        <f ca="1">IFERROR(SUMIFS(OFFSET(DBRA_TopicHCP,0,I$217,DBR_COUNT,1),DBRA_WorkplanDate,$C528,DBRA_PlayerID,$D$3),"")</f>
        <v>0</v>
      </c>
      <c r="J528">
        <f ca="1">IFERROR(SUMIFS(OFFSET(DBRA_TopicHCP,0,J$217,DBR_COUNT,1),DBRA_WorkplanDate,$C528,DBRA_PlayerID,$D$3),"")</f>
        <v>0</v>
      </c>
      <c r="K528">
        <f ca="1">IFERROR(SUMIFS(OFFSET(DBRA_TopicHCP,0,K$217,DBR_COUNT,1),DBRA_WorkplanDate,$C528,DBRA_PlayerID,$D$3),"")</f>
        <v>0</v>
      </c>
      <c r="L528">
        <f ca="1">IFERROR(SUMIFS(OFFSET(DBRA_TopicHCP,0,L$217,DBR_COUNT,1),DBRA_WorkplanDate,$C528,DBRA_PlayerID,$D$3),"")</f>
        <v>0</v>
      </c>
      <c r="M528" s="47"/>
      <c r="N528">
        <f ca="1">IFERROR(SUMIFS(OFFSET(DBRA_TopicCount,0,N$217,DBR_COUNT,1),DBRA_WorkplanDate,$C528,DBRA_PlayerID,$D$3),"")</f>
        <v>0</v>
      </c>
      <c r="O528">
        <f ca="1">IFERROR(SUMIFS(OFFSET(DBRA_TopicCount,0,O$217,DBR_COUNT,1),DBRA_WorkplanDate,$C528,DBRA_PlayerID,$D$3),"")</f>
        <v>0</v>
      </c>
      <c r="P528">
        <f ca="1">IFERROR(SUMIFS(OFFSET(DBRA_TopicCount,0,P$217,DBR_COUNT,1),DBRA_WorkplanDate,$C528,DBRA_PlayerID,$D$3),"")</f>
        <v>0</v>
      </c>
      <c r="Q528">
        <f ca="1">IFERROR(SUMIFS(OFFSET(DBRA_TopicCount,0,Q$217,DBR_COUNT,1),DBRA_WorkplanDate,$C528,DBRA_PlayerID,$D$3),"")</f>
        <v>0</v>
      </c>
      <c r="R528">
        <f ca="1">IFERROR(SUMIFS(OFFSET(DBRA_TopicCount,0,R$217,DBR_COUNT,1),DBRA_WorkplanDate,$C528,DBRA_PlayerID,$D$3),"")</f>
        <v>0</v>
      </c>
      <c r="S528">
        <f ca="1">IFERROR(SUMIFS(OFFSET(DBRA_TopicCount,0,S$217,DBR_COUNT,1),DBRA_WorkplanDate,$C528,DBRA_PlayerID,$D$3),"")</f>
        <v>0</v>
      </c>
      <c r="T528">
        <f ca="1">IFERROR(SUMIFS(OFFSET(DBRA_TopicCount,0,T$217,DBR_COUNT,1),DBRA_WorkplanDate,$C528,DBRA_PlayerID,$D$3),"")</f>
        <v>0</v>
      </c>
      <c r="U528">
        <f ca="1">IFERROR(SUMIFS(OFFSET(DBRA_TopicCount,0,U$217,DBR_COUNT,1),DBRA_WorkplanDate,$C528,DBRA_PlayerID,$D$3),"")</f>
        <v>0</v>
      </c>
      <c r="V528">
        <f ca="1">IFERROR(SUMIFS(OFFSET(DBRA_TopicCount,0,V$217,DBR_COUNT,1),DBRA_WorkplanDate,$C528,DBRA_PlayerID,$D$3),"")</f>
        <v>0</v>
      </c>
      <c r="W528" s="47"/>
      <c r="X528" t="str">
        <f t="shared" ca="1" si="114"/>
        <v/>
      </c>
      <c r="Y528" t="str">
        <f t="shared" ca="1" si="106"/>
        <v/>
      </c>
      <c r="Z528" t="str">
        <f t="shared" ca="1" si="107"/>
        <v/>
      </c>
      <c r="AA528" t="str">
        <f t="shared" ca="1" si="108"/>
        <v/>
      </c>
      <c r="AB528" t="str">
        <f t="shared" ca="1" si="109"/>
        <v/>
      </c>
      <c r="AC528" t="str">
        <f t="shared" ca="1" si="110"/>
        <v/>
      </c>
      <c r="AD528" t="str">
        <f t="shared" ca="1" si="111"/>
        <v/>
      </c>
      <c r="AE528" t="str">
        <f t="shared" ca="1" si="112"/>
        <v/>
      </c>
      <c r="AF528" t="str">
        <f t="shared" ca="1" si="113"/>
        <v/>
      </c>
      <c r="AG528" s="47"/>
    </row>
    <row r="529" spans="3:33" x14ac:dyDescent="0.25">
      <c r="C529" s="118">
        <f t="shared" si="115"/>
        <v>42315</v>
      </c>
      <c r="D529">
        <f ca="1">IFERROR(SUMIFS(OFFSET(DBRA_TopicHCP,0,D$217,DBR_COUNT,1),DBRA_WorkplanDate,$C529,DBRA_PlayerID,$D$3),"")</f>
        <v>0</v>
      </c>
      <c r="E529">
        <f ca="1">IFERROR(SUMIFS(OFFSET(DBRA_TopicHCP,0,E$217,DBR_COUNT,1),DBRA_WorkplanDate,$C529,DBRA_PlayerID,$D$3),"")</f>
        <v>0</v>
      </c>
      <c r="F529">
        <f ca="1">IFERROR(SUMIFS(OFFSET(DBRA_TopicHCP,0,F$217,DBR_COUNT,1),DBRA_WorkplanDate,$C529,DBRA_PlayerID,$D$3),"")</f>
        <v>0</v>
      </c>
      <c r="G529">
        <f ca="1">IFERROR(SUMIFS(OFFSET(DBRA_TopicHCP,0,G$217,DBR_COUNT,1),DBRA_WorkplanDate,$C529,DBRA_PlayerID,$D$3),"")</f>
        <v>0</v>
      </c>
      <c r="H529">
        <f ca="1">IFERROR(SUMIFS(OFFSET(DBRA_TopicHCP,0,H$217,DBR_COUNT,1),DBRA_WorkplanDate,$C529,DBRA_PlayerID,$D$3),"")</f>
        <v>0</v>
      </c>
      <c r="I529">
        <f ca="1">IFERROR(SUMIFS(OFFSET(DBRA_TopicHCP,0,I$217,DBR_COUNT,1),DBRA_WorkplanDate,$C529,DBRA_PlayerID,$D$3),"")</f>
        <v>0</v>
      </c>
      <c r="J529">
        <f ca="1">IFERROR(SUMIFS(OFFSET(DBRA_TopicHCP,0,J$217,DBR_COUNT,1),DBRA_WorkplanDate,$C529,DBRA_PlayerID,$D$3),"")</f>
        <v>0</v>
      </c>
      <c r="K529">
        <f ca="1">IFERROR(SUMIFS(OFFSET(DBRA_TopicHCP,0,K$217,DBR_COUNT,1),DBRA_WorkplanDate,$C529,DBRA_PlayerID,$D$3),"")</f>
        <v>0</v>
      </c>
      <c r="L529">
        <f ca="1">IFERROR(SUMIFS(OFFSET(DBRA_TopicHCP,0,L$217,DBR_COUNT,1),DBRA_WorkplanDate,$C529,DBRA_PlayerID,$D$3),"")</f>
        <v>0</v>
      </c>
      <c r="M529" s="47"/>
      <c r="N529">
        <f ca="1">IFERROR(SUMIFS(OFFSET(DBRA_TopicCount,0,N$217,DBR_COUNT,1),DBRA_WorkplanDate,$C529,DBRA_PlayerID,$D$3),"")</f>
        <v>0</v>
      </c>
      <c r="O529">
        <f ca="1">IFERROR(SUMIFS(OFFSET(DBRA_TopicCount,0,O$217,DBR_COUNT,1),DBRA_WorkplanDate,$C529,DBRA_PlayerID,$D$3),"")</f>
        <v>0</v>
      </c>
      <c r="P529">
        <f ca="1">IFERROR(SUMIFS(OFFSET(DBRA_TopicCount,0,P$217,DBR_COUNT,1),DBRA_WorkplanDate,$C529,DBRA_PlayerID,$D$3),"")</f>
        <v>0</v>
      </c>
      <c r="Q529">
        <f ca="1">IFERROR(SUMIFS(OFFSET(DBRA_TopicCount,0,Q$217,DBR_COUNT,1),DBRA_WorkplanDate,$C529,DBRA_PlayerID,$D$3),"")</f>
        <v>0</v>
      </c>
      <c r="R529">
        <f ca="1">IFERROR(SUMIFS(OFFSET(DBRA_TopicCount,0,R$217,DBR_COUNT,1),DBRA_WorkplanDate,$C529,DBRA_PlayerID,$D$3),"")</f>
        <v>0</v>
      </c>
      <c r="S529">
        <f ca="1">IFERROR(SUMIFS(OFFSET(DBRA_TopicCount,0,S$217,DBR_COUNT,1),DBRA_WorkplanDate,$C529,DBRA_PlayerID,$D$3),"")</f>
        <v>0</v>
      </c>
      <c r="T529">
        <f ca="1">IFERROR(SUMIFS(OFFSET(DBRA_TopicCount,0,T$217,DBR_COUNT,1),DBRA_WorkplanDate,$C529,DBRA_PlayerID,$D$3),"")</f>
        <v>0</v>
      </c>
      <c r="U529">
        <f ca="1">IFERROR(SUMIFS(OFFSET(DBRA_TopicCount,0,U$217,DBR_COUNT,1),DBRA_WorkplanDate,$C529,DBRA_PlayerID,$D$3),"")</f>
        <v>0</v>
      </c>
      <c r="V529">
        <f ca="1">IFERROR(SUMIFS(OFFSET(DBRA_TopicCount,0,V$217,DBR_COUNT,1),DBRA_WorkplanDate,$C529,DBRA_PlayerID,$D$3),"")</f>
        <v>0</v>
      </c>
      <c r="W529" s="47"/>
      <c r="X529" t="str">
        <f t="shared" ca="1" si="114"/>
        <v/>
      </c>
      <c r="Y529" t="str">
        <f t="shared" ca="1" si="106"/>
        <v/>
      </c>
      <c r="Z529" t="str">
        <f t="shared" ca="1" si="107"/>
        <v/>
      </c>
      <c r="AA529" t="str">
        <f t="shared" ca="1" si="108"/>
        <v/>
      </c>
      <c r="AB529" t="str">
        <f t="shared" ca="1" si="109"/>
        <v/>
      </c>
      <c r="AC529" t="str">
        <f t="shared" ca="1" si="110"/>
        <v/>
      </c>
      <c r="AD529" t="str">
        <f t="shared" ca="1" si="111"/>
        <v/>
      </c>
      <c r="AE529" t="str">
        <f t="shared" ca="1" si="112"/>
        <v/>
      </c>
      <c r="AF529" t="str">
        <f t="shared" ca="1" si="113"/>
        <v/>
      </c>
      <c r="AG529" s="47"/>
    </row>
    <row r="530" spans="3:33" x14ac:dyDescent="0.25">
      <c r="C530" s="118">
        <f t="shared" si="115"/>
        <v>42316</v>
      </c>
      <c r="D530">
        <f ca="1">IFERROR(SUMIFS(OFFSET(DBRA_TopicHCP,0,D$217,DBR_COUNT,1),DBRA_WorkplanDate,$C530,DBRA_PlayerID,$D$3),"")</f>
        <v>0</v>
      </c>
      <c r="E530">
        <f ca="1">IFERROR(SUMIFS(OFFSET(DBRA_TopicHCP,0,E$217,DBR_COUNT,1),DBRA_WorkplanDate,$C530,DBRA_PlayerID,$D$3),"")</f>
        <v>0</v>
      </c>
      <c r="F530">
        <f ca="1">IFERROR(SUMIFS(OFFSET(DBRA_TopicHCP,0,F$217,DBR_COUNT,1),DBRA_WorkplanDate,$C530,DBRA_PlayerID,$D$3),"")</f>
        <v>0</v>
      </c>
      <c r="G530">
        <f ca="1">IFERROR(SUMIFS(OFFSET(DBRA_TopicHCP,0,G$217,DBR_COUNT,1),DBRA_WorkplanDate,$C530,DBRA_PlayerID,$D$3),"")</f>
        <v>0</v>
      </c>
      <c r="H530">
        <f ca="1">IFERROR(SUMIFS(OFFSET(DBRA_TopicHCP,0,H$217,DBR_COUNT,1),DBRA_WorkplanDate,$C530,DBRA_PlayerID,$D$3),"")</f>
        <v>0</v>
      </c>
      <c r="I530">
        <f ca="1">IFERROR(SUMIFS(OFFSET(DBRA_TopicHCP,0,I$217,DBR_COUNT,1),DBRA_WorkplanDate,$C530,DBRA_PlayerID,$D$3),"")</f>
        <v>0</v>
      </c>
      <c r="J530">
        <f ca="1">IFERROR(SUMIFS(OFFSET(DBRA_TopicHCP,0,J$217,DBR_COUNT,1),DBRA_WorkplanDate,$C530,DBRA_PlayerID,$D$3),"")</f>
        <v>0</v>
      </c>
      <c r="K530">
        <f ca="1">IFERROR(SUMIFS(OFFSET(DBRA_TopicHCP,0,K$217,DBR_COUNT,1),DBRA_WorkplanDate,$C530,DBRA_PlayerID,$D$3),"")</f>
        <v>0</v>
      </c>
      <c r="L530">
        <f ca="1">IFERROR(SUMIFS(OFFSET(DBRA_TopicHCP,0,L$217,DBR_COUNT,1),DBRA_WorkplanDate,$C530,DBRA_PlayerID,$D$3),"")</f>
        <v>0</v>
      </c>
      <c r="M530" s="47"/>
      <c r="N530">
        <f ca="1">IFERROR(SUMIFS(OFFSET(DBRA_TopicCount,0,N$217,DBR_COUNT,1),DBRA_WorkplanDate,$C530,DBRA_PlayerID,$D$3),"")</f>
        <v>0</v>
      </c>
      <c r="O530">
        <f ca="1">IFERROR(SUMIFS(OFFSET(DBRA_TopicCount,0,O$217,DBR_COUNT,1),DBRA_WorkplanDate,$C530,DBRA_PlayerID,$D$3),"")</f>
        <v>0</v>
      </c>
      <c r="P530">
        <f ca="1">IFERROR(SUMIFS(OFFSET(DBRA_TopicCount,0,P$217,DBR_COUNT,1),DBRA_WorkplanDate,$C530,DBRA_PlayerID,$D$3),"")</f>
        <v>0</v>
      </c>
      <c r="Q530">
        <f ca="1">IFERROR(SUMIFS(OFFSET(DBRA_TopicCount,0,Q$217,DBR_COUNT,1),DBRA_WorkplanDate,$C530,DBRA_PlayerID,$D$3),"")</f>
        <v>0</v>
      </c>
      <c r="R530">
        <f ca="1">IFERROR(SUMIFS(OFFSET(DBRA_TopicCount,0,R$217,DBR_COUNT,1),DBRA_WorkplanDate,$C530,DBRA_PlayerID,$D$3),"")</f>
        <v>0</v>
      </c>
      <c r="S530">
        <f ca="1">IFERROR(SUMIFS(OFFSET(DBRA_TopicCount,0,S$217,DBR_COUNT,1),DBRA_WorkplanDate,$C530,DBRA_PlayerID,$D$3),"")</f>
        <v>0</v>
      </c>
      <c r="T530">
        <f ca="1">IFERROR(SUMIFS(OFFSET(DBRA_TopicCount,0,T$217,DBR_COUNT,1),DBRA_WorkplanDate,$C530,DBRA_PlayerID,$D$3),"")</f>
        <v>0</v>
      </c>
      <c r="U530">
        <f ca="1">IFERROR(SUMIFS(OFFSET(DBRA_TopicCount,0,U$217,DBR_COUNT,1),DBRA_WorkplanDate,$C530,DBRA_PlayerID,$D$3),"")</f>
        <v>0</v>
      </c>
      <c r="V530">
        <f ca="1">IFERROR(SUMIFS(OFFSET(DBRA_TopicCount,0,V$217,DBR_COUNT,1),DBRA_WorkplanDate,$C530,DBRA_PlayerID,$D$3),"")</f>
        <v>0</v>
      </c>
      <c r="W530" s="47"/>
      <c r="X530" t="str">
        <f t="shared" ca="1" si="114"/>
        <v/>
      </c>
      <c r="Y530" t="str">
        <f t="shared" ca="1" si="106"/>
        <v/>
      </c>
      <c r="Z530" t="str">
        <f t="shared" ca="1" si="107"/>
        <v/>
      </c>
      <c r="AA530" t="str">
        <f t="shared" ca="1" si="108"/>
        <v/>
      </c>
      <c r="AB530" t="str">
        <f t="shared" ca="1" si="109"/>
        <v/>
      </c>
      <c r="AC530" t="str">
        <f t="shared" ca="1" si="110"/>
        <v/>
      </c>
      <c r="AD530" t="str">
        <f t="shared" ca="1" si="111"/>
        <v/>
      </c>
      <c r="AE530" t="str">
        <f t="shared" ca="1" si="112"/>
        <v/>
      </c>
      <c r="AF530" t="str">
        <f t="shared" ca="1" si="113"/>
        <v/>
      </c>
      <c r="AG530" s="47"/>
    </row>
    <row r="531" spans="3:33" x14ac:dyDescent="0.25">
      <c r="C531" s="118">
        <f t="shared" si="115"/>
        <v>42317</v>
      </c>
      <c r="D531">
        <f ca="1">IFERROR(SUMIFS(OFFSET(DBRA_TopicHCP,0,D$217,DBR_COUNT,1),DBRA_WorkplanDate,$C531,DBRA_PlayerID,$D$3),"")</f>
        <v>0</v>
      </c>
      <c r="E531">
        <f ca="1">IFERROR(SUMIFS(OFFSET(DBRA_TopicHCP,0,E$217,DBR_COUNT,1),DBRA_WorkplanDate,$C531,DBRA_PlayerID,$D$3),"")</f>
        <v>0</v>
      </c>
      <c r="F531">
        <f ca="1">IFERROR(SUMIFS(OFFSET(DBRA_TopicHCP,0,F$217,DBR_COUNT,1),DBRA_WorkplanDate,$C531,DBRA_PlayerID,$D$3),"")</f>
        <v>0</v>
      </c>
      <c r="G531">
        <f ca="1">IFERROR(SUMIFS(OFFSET(DBRA_TopicHCP,0,G$217,DBR_COUNT,1),DBRA_WorkplanDate,$C531,DBRA_PlayerID,$D$3),"")</f>
        <v>0</v>
      </c>
      <c r="H531">
        <f ca="1">IFERROR(SUMIFS(OFFSET(DBRA_TopicHCP,0,H$217,DBR_COUNT,1),DBRA_WorkplanDate,$C531,DBRA_PlayerID,$D$3),"")</f>
        <v>0</v>
      </c>
      <c r="I531">
        <f ca="1">IFERROR(SUMIFS(OFFSET(DBRA_TopicHCP,0,I$217,DBR_COUNT,1),DBRA_WorkplanDate,$C531,DBRA_PlayerID,$D$3),"")</f>
        <v>0</v>
      </c>
      <c r="J531">
        <f ca="1">IFERROR(SUMIFS(OFFSET(DBRA_TopicHCP,0,J$217,DBR_COUNT,1),DBRA_WorkplanDate,$C531,DBRA_PlayerID,$D$3),"")</f>
        <v>0</v>
      </c>
      <c r="K531">
        <f ca="1">IFERROR(SUMIFS(OFFSET(DBRA_TopicHCP,0,K$217,DBR_COUNT,1),DBRA_WorkplanDate,$C531,DBRA_PlayerID,$D$3),"")</f>
        <v>0</v>
      </c>
      <c r="L531">
        <f ca="1">IFERROR(SUMIFS(OFFSET(DBRA_TopicHCP,0,L$217,DBR_COUNT,1),DBRA_WorkplanDate,$C531,DBRA_PlayerID,$D$3),"")</f>
        <v>0</v>
      </c>
      <c r="M531" s="47"/>
      <c r="N531">
        <f ca="1">IFERROR(SUMIFS(OFFSET(DBRA_TopicCount,0,N$217,DBR_COUNT,1),DBRA_WorkplanDate,$C531,DBRA_PlayerID,$D$3),"")</f>
        <v>0</v>
      </c>
      <c r="O531">
        <f ca="1">IFERROR(SUMIFS(OFFSET(DBRA_TopicCount,0,O$217,DBR_COUNT,1),DBRA_WorkplanDate,$C531,DBRA_PlayerID,$D$3),"")</f>
        <v>0</v>
      </c>
      <c r="P531">
        <f ca="1">IFERROR(SUMIFS(OFFSET(DBRA_TopicCount,0,P$217,DBR_COUNT,1),DBRA_WorkplanDate,$C531,DBRA_PlayerID,$D$3),"")</f>
        <v>0</v>
      </c>
      <c r="Q531">
        <f ca="1">IFERROR(SUMIFS(OFFSET(DBRA_TopicCount,0,Q$217,DBR_COUNT,1),DBRA_WorkplanDate,$C531,DBRA_PlayerID,$D$3),"")</f>
        <v>0</v>
      </c>
      <c r="R531">
        <f ca="1">IFERROR(SUMIFS(OFFSET(DBRA_TopicCount,0,R$217,DBR_COUNT,1),DBRA_WorkplanDate,$C531,DBRA_PlayerID,$D$3),"")</f>
        <v>0</v>
      </c>
      <c r="S531">
        <f ca="1">IFERROR(SUMIFS(OFFSET(DBRA_TopicCount,0,S$217,DBR_COUNT,1),DBRA_WorkplanDate,$C531,DBRA_PlayerID,$D$3),"")</f>
        <v>0</v>
      </c>
      <c r="T531">
        <f ca="1">IFERROR(SUMIFS(OFFSET(DBRA_TopicCount,0,T$217,DBR_COUNT,1),DBRA_WorkplanDate,$C531,DBRA_PlayerID,$D$3),"")</f>
        <v>0</v>
      </c>
      <c r="U531">
        <f ca="1">IFERROR(SUMIFS(OFFSET(DBRA_TopicCount,0,U$217,DBR_COUNT,1),DBRA_WorkplanDate,$C531,DBRA_PlayerID,$D$3),"")</f>
        <v>0</v>
      </c>
      <c r="V531">
        <f ca="1">IFERROR(SUMIFS(OFFSET(DBRA_TopicCount,0,V$217,DBR_COUNT,1),DBRA_WorkplanDate,$C531,DBRA_PlayerID,$D$3),"")</f>
        <v>0</v>
      </c>
      <c r="W531" s="47"/>
      <c r="X531" t="str">
        <f t="shared" ca="1" si="114"/>
        <v/>
      </c>
      <c r="Y531" t="str">
        <f t="shared" ca="1" si="106"/>
        <v/>
      </c>
      <c r="Z531" t="str">
        <f t="shared" ca="1" si="107"/>
        <v/>
      </c>
      <c r="AA531" t="str">
        <f t="shared" ca="1" si="108"/>
        <v/>
      </c>
      <c r="AB531" t="str">
        <f t="shared" ca="1" si="109"/>
        <v/>
      </c>
      <c r="AC531" t="str">
        <f t="shared" ca="1" si="110"/>
        <v/>
      </c>
      <c r="AD531" t="str">
        <f t="shared" ca="1" si="111"/>
        <v/>
      </c>
      <c r="AE531" t="str">
        <f t="shared" ca="1" si="112"/>
        <v/>
      </c>
      <c r="AF531" t="str">
        <f t="shared" ca="1" si="113"/>
        <v/>
      </c>
      <c r="AG531" s="47"/>
    </row>
    <row r="532" spans="3:33" x14ac:dyDescent="0.25">
      <c r="C532" s="118">
        <f t="shared" si="115"/>
        <v>42318</v>
      </c>
      <c r="D532">
        <f ca="1">IFERROR(SUMIFS(OFFSET(DBRA_TopicHCP,0,D$217,DBR_COUNT,1),DBRA_WorkplanDate,$C532,DBRA_PlayerID,$D$3),"")</f>
        <v>0</v>
      </c>
      <c r="E532">
        <f ca="1">IFERROR(SUMIFS(OFFSET(DBRA_TopicHCP,0,E$217,DBR_COUNT,1),DBRA_WorkplanDate,$C532,DBRA_PlayerID,$D$3),"")</f>
        <v>0</v>
      </c>
      <c r="F532">
        <f ca="1">IFERROR(SUMIFS(OFFSET(DBRA_TopicHCP,0,F$217,DBR_COUNT,1),DBRA_WorkplanDate,$C532,DBRA_PlayerID,$D$3),"")</f>
        <v>0</v>
      </c>
      <c r="G532">
        <f ca="1">IFERROR(SUMIFS(OFFSET(DBRA_TopicHCP,0,G$217,DBR_COUNT,1),DBRA_WorkplanDate,$C532,DBRA_PlayerID,$D$3),"")</f>
        <v>0</v>
      </c>
      <c r="H532">
        <f ca="1">IFERROR(SUMIFS(OFFSET(DBRA_TopicHCP,0,H$217,DBR_COUNT,1),DBRA_WorkplanDate,$C532,DBRA_PlayerID,$D$3),"")</f>
        <v>0</v>
      </c>
      <c r="I532">
        <f ca="1">IFERROR(SUMIFS(OFFSET(DBRA_TopicHCP,0,I$217,DBR_COUNT,1),DBRA_WorkplanDate,$C532,DBRA_PlayerID,$D$3),"")</f>
        <v>0</v>
      </c>
      <c r="J532">
        <f ca="1">IFERROR(SUMIFS(OFFSET(DBRA_TopicHCP,0,J$217,DBR_COUNT,1),DBRA_WorkplanDate,$C532,DBRA_PlayerID,$D$3),"")</f>
        <v>0</v>
      </c>
      <c r="K532">
        <f ca="1">IFERROR(SUMIFS(OFFSET(DBRA_TopicHCP,0,K$217,DBR_COUNT,1),DBRA_WorkplanDate,$C532,DBRA_PlayerID,$D$3),"")</f>
        <v>0</v>
      </c>
      <c r="L532">
        <f ca="1">IFERROR(SUMIFS(OFFSET(DBRA_TopicHCP,0,L$217,DBR_COUNT,1),DBRA_WorkplanDate,$C532,DBRA_PlayerID,$D$3),"")</f>
        <v>0</v>
      </c>
      <c r="M532" s="47"/>
      <c r="N532">
        <f ca="1">IFERROR(SUMIFS(OFFSET(DBRA_TopicCount,0,N$217,DBR_COUNT,1),DBRA_WorkplanDate,$C532,DBRA_PlayerID,$D$3),"")</f>
        <v>0</v>
      </c>
      <c r="O532">
        <f ca="1">IFERROR(SUMIFS(OFFSET(DBRA_TopicCount,0,O$217,DBR_COUNT,1),DBRA_WorkplanDate,$C532,DBRA_PlayerID,$D$3),"")</f>
        <v>0</v>
      </c>
      <c r="P532">
        <f ca="1">IFERROR(SUMIFS(OFFSET(DBRA_TopicCount,0,P$217,DBR_COUNT,1),DBRA_WorkplanDate,$C532,DBRA_PlayerID,$D$3),"")</f>
        <v>0</v>
      </c>
      <c r="Q532">
        <f ca="1">IFERROR(SUMIFS(OFFSET(DBRA_TopicCount,0,Q$217,DBR_COUNT,1),DBRA_WorkplanDate,$C532,DBRA_PlayerID,$D$3),"")</f>
        <v>0</v>
      </c>
      <c r="R532">
        <f ca="1">IFERROR(SUMIFS(OFFSET(DBRA_TopicCount,0,R$217,DBR_COUNT,1),DBRA_WorkplanDate,$C532,DBRA_PlayerID,$D$3),"")</f>
        <v>0</v>
      </c>
      <c r="S532">
        <f ca="1">IFERROR(SUMIFS(OFFSET(DBRA_TopicCount,0,S$217,DBR_COUNT,1),DBRA_WorkplanDate,$C532,DBRA_PlayerID,$D$3),"")</f>
        <v>0</v>
      </c>
      <c r="T532">
        <f ca="1">IFERROR(SUMIFS(OFFSET(DBRA_TopicCount,0,T$217,DBR_COUNT,1),DBRA_WorkplanDate,$C532,DBRA_PlayerID,$D$3),"")</f>
        <v>0</v>
      </c>
      <c r="U532">
        <f ca="1">IFERROR(SUMIFS(OFFSET(DBRA_TopicCount,0,U$217,DBR_COUNT,1),DBRA_WorkplanDate,$C532,DBRA_PlayerID,$D$3),"")</f>
        <v>0</v>
      </c>
      <c r="V532">
        <f ca="1">IFERROR(SUMIFS(OFFSET(DBRA_TopicCount,0,V$217,DBR_COUNT,1),DBRA_WorkplanDate,$C532,DBRA_PlayerID,$D$3),"")</f>
        <v>0</v>
      </c>
      <c r="W532" s="47"/>
      <c r="X532" t="str">
        <f t="shared" ca="1" si="114"/>
        <v/>
      </c>
      <c r="Y532" t="str">
        <f t="shared" ca="1" si="106"/>
        <v/>
      </c>
      <c r="Z532" t="str">
        <f t="shared" ca="1" si="107"/>
        <v/>
      </c>
      <c r="AA532" t="str">
        <f t="shared" ca="1" si="108"/>
        <v/>
      </c>
      <c r="AB532" t="str">
        <f t="shared" ca="1" si="109"/>
        <v/>
      </c>
      <c r="AC532" t="str">
        <f t="shared" ca="1" si="110"/>
        <v/>
      </c>
      <c r="AD532" t="str">
        <f t="shared" ca="1" si="111"/>
        <v/>
      </c>
      <c r="AE532" t="str">
        <f t="shared" ca="1" si="112"/>
        <v/>
      </c>
      <c r="AF532" t="str">
        <f t="shared" ca="1" si="113"/>
        <v/>
      </c>
      <c r="AG532" s="47"/>
    </row>
    <row r="533" spans="3:33" x14ac:dyDescent="0.25">
      <c r="C533" s="118">
        <f t="shared" si="115"/>
        <v>42319</v>
      </c>
      <c r="D533">
        <f ca="1">IFERROR(SUMIFS(OFFSET(DBRA_TopicHCP,0,D$217,DBR_COUNT,1),DBRA_WorkplanDate,$C533,DBRA_PlayerID,$D$3),"")</f>
        <v>0</v>
      </c>
      <c r="E533">
        <f ca="1">IFERROR(SUMIFS(OFFSET(DBRA_TopicHCP,0,E$217,DBR_COUNT,1),DBRA_WorkplanDate,$C533,DBRA_PlayerID,$D$3),"")</f>
        <v>0</v>
      </c>
      <c r="F533">
        <f ca="1">IFERROR(SUMIFS(OFFSET(DBRA_TopicHCP,0,F$217,DBR_COUNT,1),DBRA_WorkplanDate,$C533,DBRA_PlayerID,$D$3),"")</f>
        <v>0</v>
      </c>
      <c r="G533">
        <f ca="1">IFERROR(SUMIFS(OFFSET(DBRA_TopicHCP,0,G$217,DBR_COUNT,1),DBRA_WorkplanDate,$C533,DBRA_PlayerID,$D$3),"")</f>
        <v>0</v>
      </c>
      <c r="H533">
        <f ca="1">IFERROR(SUMIFS(OFFSET(DBRA_TopicHCP,0,H$217,DBR_COUNT,1),DBRA_WorkplanDate,$C533,DBRA_PlayerID,$D$3),"")</f>
        <v>0</v>
      </c>
      <c r="I533">
        <f ca="1">IFERROR(SUMIFS(OFFSET(DBRA_TopicHCP,0,I$217,DBR_COUNT,1),DBRA_WorkplanDate,$C533,DBRA_PlayerID,$D$3),"")</f>
        <v>0</v>
      </c>
      <c r="J533">
        <f ca="1">IFERROR(SUMIFS(OFFSET(DBRA_TopicHCP,0,J$217,DBR_COUNT,1),DBRA_WorkplanDate,$C533,DBRA_PlayerID,$D$3),"")</f>
        <v>0</v>
      </c>
      <c r="K533">
        <f ca="1">IFERROR(SUMIFS(OFFSET(DBRA_TopicHCP,0,K$217,DBR_COUNT,1),DBRA_WorkplanDate,$C533,DBRA_PlayerID,$D$3),"")</f>
        <v>0</v>
      </c>
      <c r="L533">
        <f ca="1">IFERROR(SUMIFS(OFFSET(DBRA_TopicHCP,0,L$217,DBR_COUNT,1),DBRA_WorkplanDate,$C533,DBRA_PlayerID,$D$3),"")</f>
        <v>0</v>
      </c>
      <c r="M533" s="47"/>
      <c r="N533">
        <f ca="1">IFERROR(SUMIFS(OFFSET(DBRA_TopicCount,0,N$217,DBR_COUNT,1),DBRA_WorkplanDate,$C533,DBRA_PlayerID,$D$3),"")</f>
        <v>0</v>
      </c>
      <c r="O533">
        <f ca="1">IFERROR(SUMIFS(OFFSET(DBRA_TopicCount,0,O$217,DBR_COUNT,1),DBRA_WorkplanDate,$C533,DBRA_PlayerID,$D$3),"")</f>
        <v>0</v>
      </c>
      <c r="P533">
        <f ca="1">IFERROR(SUMIFS(OFFSET(DBRA_TopicCount,0,P$217,DBR_COUNT,1),DBRA_WorkplanDate,$C533,DBRA_PlayerID,$D$3),"")</f>
        <v>0</v>
      </c>
      <c r="Q533">
        <f ca="1">IFERROR(SUMIFS(OFFSET(DBRA_TopicCount,0,Q$217,DBR_COUNT,1),DBRA_WorkplanDate,$C533,DBRA_PlayerID,$D$3),"")</f>
        <v>0</v>
      </c>
      <c r="R533">
        <f ca="1">IFERROR(SUMIFS(OFFSET(DBRA_TopicCount,0,R$217,DBR_COUNT,1),DBRA_WorkplanDate,$C533,DBRA_PlayerID,$D$3),"")</f>
        <v>0</v>
      </c>
      <c r="S533">
        <f ca="1">IFERROR(SUMIFS(OFFSET(DBRA_TopicCount,0,S$217,DBR_COUNT,1),DBRA_WorkplanDate,$C533,DBRA_PlayerID,$D$3),"")</f>
        <v>0</v>
      </c>
      <c r="T533">
        <f ca="1">IFERROR(SUMIFS(OFFSET(DBRA_TopicCount,0,T$217,DBR_COUNT,1),DBRA_WorkplanDate,$C533,DBRA_PlayerID,$D$3),"")</f>
        <v>0</v>
      </c>
      <c r="U533">
        <f ca="1">IFERROR(SUMIFS(OFFSET(DBRA_TopicCount,0,U$217,DBR_COUNT,1),DBRA_WorkplanDate,$C533,DBRA_PlayerID,$D$3),"")</f>
        <v>0</v>
      </c>
      <c r="V533">
        <f ca="1">IFERROR(SUMIFS(OFFSET(DBRA_TopicCount,0,V$217,DBR_COUNT,1),DBRA_WorkplanDate,$C533,DBRA_PlayerID,$D$3),"")</f>
        <v>0</v>
      </c>
      <c r="W533" s="47"/>
      <c r="X533" t="str">
        <f t="shared" ca="1" si="114"/>
        <v/>
      </c>
      <c r="Y533" t="str">
        <f t="shared" ca="1" si="106"/>
        <v/>
      </c>
      <c r="Z533" t="str">
        <f t="shared" ca="1" si="107"/>
        <v/>
      </c>
      <c r="AA533" t="str">
        <f t="shared" ca="1" si="108"/>
        <v/>
      </c>
      <c r="AB533" t="str">
        <f t="shared" ca="1" si="109"/>
        <v/>
      </c>
      <c r="AC533" t="str">
        <f t="shared" ca="1" si="110"/>
        <v/>
      </c>
      <c r="AD533" t="str">
        <f t="shared" ca="1" si="111"/>
        <v/>
      </c>
      <c r="AE533" t="str">
        <f t="shared" ca="1" si="112"/>
        <v/>
      </c>
      <c r="AF533" t="str">
        <f t="shared" ca="1" si="113"/>
        <v/>
      </c>
      <c r="AG533" s="47"/>
    </row>
    <row r="534" spans="3:33" x14ac:dyDescent="0.25">
      <c r="C534" s="118">
        <f t="shared" si="115"/>
        <v>42320</v>
      </c>
      <c r="D534">
        <f ca="1">IFERROR(SUMIFS(OFFSET(DBRA_TopicHCP,0,D$217,DBR_COUNT,1),DBRA_WorkplanDate,$C534,DBRA_PlayerID,$D$3),"")</f>
        <v>0</v>
      </c>
      <c r="E534">
        <f ca="1">IFERROR(SUMIFS(OFFSET(DBRA_TopicHCP,0,E$217,DBR_COUNT,1),DBRA_WorkplanDate,$C534,DBRA_PlayerID,$D$3),"")</f>
        <v>0</v>
      </c>
      <c r="F534">
        <f ca="1">IFERROR(SUMIFS(OFFSET(DBRA_TopicHCP,0,F$217,DBR_COUNT,1),DBRA_WorkplanDate,$C534,DBRA_PlayerID,$D$3),"")</f>
        <v>0</v>
      </c>
      <c r="G534">
        <f ca="1">IFERROR(SUMIFS(OFFSET(DBRA_TopicHCP,0,G$217,DBR_COUNT,1),DBRA_WorkplanDate,$C534,DBRA_PlayerID,$D$3),"")</f>
        <v>0</v>
      </c>
      <c r="H534">
        <f ca="1">IFERROR(SUMIFS(OFFSET(DBRA_TopicHCP,0,H$217,DBR_COUNT,1),DBRA_WorkplanDate,$C534,DBRA_PlayerID,$D$3),"")</f>
        <v>0</v>
      </c>
      <c r="I534">
        <f ca="1">IFERROR(SUMIFS(OFFSET(DBRA_TopicHCP,0,I$217,DBR_COUNT,1),DBRA_WorkplanDate,$C534,DBRA_PlayerID,$D$3),"")</f>
        <v>0</v>
      </c>
      <c r="J534">
        <f ca="1">IFERROR(SUMIFS(OFFSET(DBRA_TopicHCP,0,J$217,DBR_COUNT,1),DBRA_WorkplanDate,$C534,DBRA_PlayerID,$D$3),"")</f>
        <v>0</v>
      </c>
      <c r="K534">
        <f ca="1">IFERROR(SUMIFS(OFFSET(DBRA_TopicHCP,0,K$217,DBR_COUNT,1),DBRA_WorkplanDate,$C534,DBRA_PlayerID,$D$3),"")</f>
        <v>0</v>
      </c>
      <c r="L534">
        <f ca="1">IFERROR(SUMIFS(OFFSET(DBRA_TopicHCP,0,L$217,DBR_COUNT,1),DBRA_WorkplanDate,$C534,DBRA_PlayerID,$D$3),"")</f>
        <v>0</v>
      </c>
      <c r="M534" s="47"/>
      <c r="N534">
        <f ca="1">IFERROR(SUMIFS(OFFSET(DBRA_TopicCount,0,N$217,DBR_COUNT,1),DBRA_WorkplanDate,$C534,DBRA_PlayerID,$D$3),"")</f>
        <v>0</v>
      </c>
      <c r="O534">
        <f ca="1">IFERROR(SUMIFS(OFFSET(DBRA_TopicCount,0,O$217,DBR_COUNT,1),DBRA_WorkplanDate,$C534,DBRA_PlayerID,$D$3),"")</f>
        <v>0</v>
      </c>
      <c r="P534">
        <f ca="1">IFERROR(SUMIFS(OFFSET(DBRA_TopicCount,0,P$217,DBR_COUNT,1),DBRA_WorkplanDate,$C534,DBRA_PlayerID,$D$3),"")</f>
        <v>0</v>
      </c>
      <c r="Q534">
        <f ca="1">IFERROR(SUMIFS(OFFSET(DBRA_TopicCount,0,Q$217,DBR_COUNT,1),DBRA_WorkplanDate,$C534,DBRA_PlayerID,$D$3),"")</f>
        <v>0</v>
      </c>
      <c r="R534">
        <f ca="1">IFERROR(SUMIFS(OFFSET(DBRA_TopicCount,0,R$217,DBR_COUNT,1),DBRA_WorkplanDate,$C534,DBRA_PlayerID,$D$3),"")</f>
        <v>0</v>
      </c>
      <c r="S534">
        <f ca="1">IFERROR(SUMIFS(OFFSET(DBRA_TopicCount,0,S$217,DBR_COUNT,1),DBRA_WorkplanDate,$C534,DBRA_PlayerID,$D$3),"")</f>
        <v>0</v>
      </c>
      <c r="T534">
        <f ca="1">IFERROR(SUMIFS(OFFSET(DBRA_TopicCount,0,T$217,DBR_COUNT,1),DBRA_WorkplanDate,$C534,DBRA_PlayerID,$D$3),"")</f>
        <v>0</v>
      </c>
      <c r="U534">
        <f ca="1">IFERROR(SUMIFS(OFFSET(DBRA_TopicCount,0,U$217,DBR_COUNT,1),DBRA_WorkplanDate,$C534,DBRA_PlayerID,$D$3),"")</f>
        <v>0</v>
      </c>
      <c r="V534">
        <f ca="1">IFERROR(SUMIFS(OFFSET(DBRA_TopicCount,0,V$217,DBR_COUNT,1),DBRA_WorkplanDate,$C534,DBRA_PlayerID,$D$3),"")</f>
        <v>0</v>
      </c>
      <c r="W534" s="47"/>
      <c r="X534" t="str">
        <f t="shared" ca="1" si="114"/>
        <v/>
      </c>
      <c r="Y534" t="str">
        <f t="shared" ca="1" si="106"/>
        <v/>
      </c>
      <c r="Z534" t="str">
        <f t="shared" ca="1" si="107"/>
        <v/>
      </c>
      <c r="AA534" t="str">
        <f t="shared" ca="1" si="108"/>
        <v/>
      </c>
      <c r="AB534" t="str">
        <f t="shared" ca="1" si="109"/>
        <v/>
      </c>
      <c r="AC534" t="str">
        <f t="shared" ca="1" si="110"/>
        <v/>
      </c>
      <c r="AD534" t="str">
        <f t="shared" ca="1" si="111"/>
        <v/>
      </c>
      <c r="AE534" t="str">
        <f t="shared" ca="1" si="112"/>
        <v/>
      </c>
      <c r="AF534" t="str">
        <f t="shared" ca="1" si="113"/>
        <v/>
      </c>
      <c r="AG534" s="47"/>
    </row>
    <row r="535" spans="3:33" x14ac:dyDescent="0.25">
      <c r="C535" s="118">
        <f t="shared" si="115"/>
        <v>42321</v>
      </c>
      <c r="D535">
        <f ca="1">IFERROR(SUMIFS(OFFSET(DBRA_TopicHCP,0,D$217,DBR_COUNT,1),DBRA_WorkplanDate,$C535,DBRA_PlayerID,$D$3),"")</f>
        <v>0</v>
      </c>
      <c r="E535">
        <f ca="1">IFERROR(SUMIFS(OFFSET(DBRA_TopicHCP,0,E$217,DBR_COUNT,1),DBRA_WorkplanDate,$C535,DBRA_PlayerID,$D$3),"")</f>
        <v>0</v>
      </c>
      <c r="F535">
        <f ca="1">IFERROR(SUMIFS(OFFSET(DBRA_TopicHCP,0,F$217,DBR_COUNT,1),DBRA_WorkplanDate,$C535,DBRA_PlayerID,$D$3),"")</f>
        <v>0</v>
      </c>
      <c r="G535">
        <f ca="1">IFERROR(SUMIFS(OFFSET(DBRA_TopicHCP,0,G$217,DBR_COUNT,1),DBRA_WorkplanDate,$C535,DBRA_PlayerID,$D$3),"")</f>
        <v>0</v>
      </c>
      <c r="H535">
        <f ca="1">IFERROR(SUMIFS(OFFSET(DBRA_TopicHCP,0,H$217,DBR_COUNT,1),DBRA_WorkplanDate,$C535,DBRA_PlayerID,$D$3),"")</f>
        <v>0</v>
      </c>
      <c r="I535">
        <f ca="1">IFERROR(SUMIFS(OFFSET(DBRA_TopicHCP,0,I$217,DBR_COUNT,1),DBRA_WorkplanDate,$C535,DBRA_PlayerID,$D$3),"")</f>
        <v>0</v>
      </c>
      <c r="J535">
        <f ca="1">IFERROR(SUMIFS(OFFSET(DBRA_TopicHCP,0,J$217,DBR_COUNT,1),DBRA_WorkplanDate,$C535,DBRA_PlayerID,$D$3),"")</f>
        <v>0</v>
      </c>
      <c r="K535">
        <f ca="1">IFERROR(SUMIFS(OFFSET(DBRA_TopicHCP,0,K$217,DBR_COUNT,1),DBRA_WorkplanDate,$C535,DBRA_PlayerID,$D$3),"")</f>
        <v>0</v>
      </c>
      <c r="L535">
        <f ca="1">IFERROR(SUMIFS(OFFSET(DBRA_TopicHCP,0,L$217,DBR_COUNT,1),DBRA_WorkplanDate,$C535,DBRA_PlayerID,$D$3),"")</f>
        <v>0</v>
      </c>
      <c r="M535" s="47"/>
      <c r="N535">
        <f ca="1">IFERROR(SUMIFS(OFFSET(DBRA_TopicCount,0,N$217,DBR_COUNT,1),DBRA_WorkplanDate,$C535,DBRA_PlayerID,$D$3),"")</f>
        <v>0</v>
      </c>
      <c r="O535">
        <f ca="1">IFERROR(SUMIFS(OFFSET(DBRA_TopicCount,0,O$217,DBR_COUNT,1),DBRA_WorkplanDate,$C535,DBRA_PlayerID,$D$3),"")</f>
        <v>0</v>
      </c>
      <c r="P535">
        <f ca="1">IFERROR(SUMIFS(OFFSET(DBRA_TopicCount,0,P$217,DBR_COUNT,1),DBRA_WorkplanDate,$C535,DBRA_PlayerID,$D$3),"")</f>
        <v>0</v>
      </c>
      <c r="Q535">
        <f ca="1">IFERROR(SUMIFS(OFFSET(DBRA_TopicCount,0,Q$217,DBR_COUNT,1),DBRA_WorkplanDate,$C535,DBRA_PlayerID,$D$3),"")</f>
        <v>0</v>
      </c>
      <c r="R535">
        <f ca="1">IFERROR(SUMIFS(OFFSET(DBRA_TopicCount,0,R$217,DBR_COUNT,1),DBRA_WorkplanDate,$C535,DBRA_PlayerID,$D$3),"")</f>
        <v>0</v>
      </c>
      <c r="S535">
        <f ca="1">IFERROR(SUMIFS(OFFSET(DBRA_TopicCount,0,S$217,DBR_COUNT,1),DBRA_WorkplanDate,$C535,DBRA_PlayerID,$D$3),"")</f>
        <v>0</v>
      </c>
      <c r="T535">
        <f ca="1">IFERROR(SUMIFS(OFFSET(DBRA_TopicCount,0,T$217,DBR_COUNT,1),DBRA_WorkplanDate,$C535,DBRA_PlayerID,$D$3),"")</f>
        <v>0</v>
      </c>
      <c r="U535">
        <f ca="1">IFERROR(SUMIFS(OFFSET(DBRA_TopicCount,0,U$217,DBR_COUNT,1),DBRA_WorkplanDate,$C535,DBRA_PlayerID,$D$3),"")</f>
        <v>0</v>
      </c>
      <c r="V535">
        <f ca="1">IFERROR(SUMIFS(OFFSET(DBRA_TopicCount,0,V$217,DBR_COUNT,1),DBRA_WorkplanDate,$C535,DBRA_PlayerID,$D$3),"")</f>
        <v>0</v>
      </c>
      <c r="W535" s="47"/>
      <c r="X535" t="str">
        <f t="shared" ca="1" si="114"/>
        <v/>
      </c>
      <c r="Y535" t="str">
        <f t="shared" ca="1" si="106"/>
        <v/>
      </c>
      <c r="Z535" t="str">
        <f t="shared" ca="1" si="107"/>
        <v/>
      </c>
      <c r="AA535" t="str">
        <f t="shared" ca="1" si="108"/>
        <v/>
      </c>
      <c r="AB535" t="str">
        <f t="shared" ca="1" si="109"/>
        <v/>
      </c>
      <c r="AC535" t="str">
        <f t="shared" ca="1" si="110"/>
        <v/>
      </c>
      <c r="AD535" t="str">
        <f t="shared" ca="1" si="111"/>
        <v/>
      </c>
      <c r="AE535" t="str">
        <f t="shared" ca="1" si="112"/>
        <v/>
      </c>
      <c r="AF535" t="str">
        <f t="shared" ca="1" si="113"/>
        <v/>
      </c>
      <c r="AG535" s="47"/>
    </row>
    <row r="536" spans="3:33" x14ac:dyDescent="0.25">
      <c r="C536" s="118">
        <f t="shared" si="115"/>
        <v>42322</v>
      </c>
      <c r="D536">
        <f ca="1">IFERROR(SUMIFS(OFFSET(DBRA_TopicHCP,0,D$217,DBR_COUNT,1),DBRA_WorkplanDate,$C536,DBRA_PlayerID,$D$3),"")</f>
        <v>0</v>
      </c>
      <c r="E536">
        <f ca="1">IFERROR(SUMIFS(OFFSET(DBRA_TopicHCP,0,E$217,DBR_COUNT,1),DBRA_WorkplanDate,$C536,DBRA_PlayerID,$D$3),"")</f>
        <v>0</v>
      </c>
      <c r="F536">
        <f ca="1">IFERROR(SUMIFS(OFFSET(DBRA_TopicHCP,0,F$217,DBR_COUNT,1),DBRA_WorkplanDate,$C536,DBRA_PlayerID,$D$3),"")</f>
        <v>0</v>
      </c>
      <c r="G536">
        <f ca="1">IFERROR(SUMIFS(OFFSET(DBRA_TopicHCP,0,G$217,DBR_COUNT,1),DBRA_WorkplanDate,$C536,DBRA_PlayerID,$D$3),"")</f>
        <v>0</v>
      </c>
      <c r="H536">
        <f ca="1">IFERROR(SUMIFS(OFFSET(DBRA_TopicHCP,0,H$217,DBR_COUNT,1),DBRA_WorkplanDate,$C536,DBRA_PlayerID,$D$3),"")</f>
        <v>0</v>
      </c>
      <c r="I536">
        <f ca="1">IFERROR(SUMIFS(OFFSET(DBRA_TopicHCP,0,I$217,DBR_COUNT,1),DBRA_WorkplanDate,$C536,DBRA_PlayerID,$D$3),"")</f>
        <v>0</v>
      </c>
      <c r="J536">
        <f ca="1">IFERROR(SUMIFS(OFFSET(DBRA_TopicHCP,0,J$217,DBR_COUNT,1),DBRA_WorkplanDate,$C536,DBRA_PlayerID,$D$3),"")</f>
        <v>0</v>
      </c>
      <c r="K536">
        <f ca="1">IFERROR(SUMIFS(OFFSET(DBRA_TopicHCP,0,K$217,DBR_COUNT,1),DBRA_WorkplanDate,$C536,DBRA_PlayerID,$D$3),"")</f>
        <v>0</v>
      </c>
      <c r="L536">
        <f ca="1">IFERROR(SUMIFS(OFFSET(DBRA_TopicHCP,0,L$217,DBR_COUNT,1),DBRA_WorkplanDate,$C536,DBRA_PlayerID,$D$3),"")</f>
        <v>0</v>
      </c>
      <c r="M536" s="47"/>
      <c r="N536">
        <f ca="1">IFERROR(SUMIFS(OFFSET(DBRA_TopicCount,0,N$217,DBR_COUNT,1),DBRA_WorkplanDate,$C536,DBRA_PlayerID,$D$3),"")</f>
        <v>0</v>
      </c>
      <c r="O536">
        <f ca="1">IFERROR(SUMIFS(OFFSET(DBRA_TopicCount,0,O$217,DBR_COUNT,1),DBRA_WorkplanDate,$C536,DBRA_PlayerID,$D$3),"")</f>
        <v>0</v>
      </c>
      <c r="P536">
        <f ca="1">IFERROR(SUMIFS(OFFSET(DBRA_TopicCount,0,P$217,DBR_COUNT,1),DBRA_WorkplanDate,$C536,DBRA_PlayerID,$D$3),"")</f>
        <v>0</v>
      </c>
      <c r="Q536">
        <f ca="1">IFERROR(SUMIFS(OFFSET(DBRA_TopicCount,0,Q$217,DBR_COUNT,1),DBRA_WorkplanDate,$C536,DBRA_PlayerID,$D$3),"")</f>
        <v>0</v>
      </c>
      <c r="R536">
        <f ca="1">IFERROR(SUMIFS(OFFSET(DBRA_TopicCount,0,R$217,DBR_COUNT,1),DBRA_WorkplanDate,$C536,DBRA_PlayerID,$D$3),"")</f>
        <v>0</v>
      </c>
      <c r="S536">
        <f ca="1">IFERROR(SUMIFS(OFFSET(DBRA_TopicCount,0,S$217,DBR_COUNT,1),DBRA_WorkplanDate,$C536,DBRA_PlayerID,$D$3),"")</f>
        <v>0</v>
      </c>
      <c r="T536">
        <f ca="1">IFERROR(SUMIFS(OFFSET(DBRA_TopicCount,0,T$217,DBR_COUNT,1),DBRA_WorkplanDate,$C536,DBRA_PlayerID,$D$3),"")</f>
        <v>0</v>
      </c>
      <c r="U536">
        <f ca="1">IFERROR(SUMIFS(OFFSET(DBRA_TopicCount,0,U$217,DBR_COUNT,1),DBRA_WorkplanDate,$C536,DBRA_PlayerID,$D$3),"")</f>
        <v>0</v>
      </c>
      <c r="V536">
        <f ca="1">IFERROR(SUMIFS(OFFSET(DBRA_TopicCount,0,V$217,DBR_COUNT,1),DBRA_WorkplanDate,$C536,DBRA_PlayerID,$D$3),"")</f>
        <v>0</v>
      </c>
      <c r="W536" s="47"/>
      <c r="X536" t="str">
        <f t="shared" ca="1" si="114"/>
        <v/>
      </c>
      <c r="Y536" t="str">
        <f t="shared" ca="1" si="106"/>
        <v/>
      </c>
      <c r="Z536" t="str">
        <f t="shared" ca="1" si="107"/>
        <v/>
      </c>
      <c r="AA536" t="str">
        <f t="shared" ca="1" si="108"/>
        <v/>
      </c>
      <c r="AB536" t="str">
        <f t="shared" ca="1" si="109"/>
        <v/>
      </c>
      <c r="AC536" t="str">
        <f t="shared" ca="1" si="110"/>
        <v/>
      </c>
      <c r="AD536" t="str">
        <f t="shared" ca="1" si="111"/>
        <v/>
      </c>
      <c r="AE536" t="str">
        <f t="shared" ca="1" si="112"/>
        <v/>
      </c>
      <c r="AF536" t="str">
        <f t="shared" ca="1" si="113"/>
        <v/>
      </c>
      <c r="AG536" s="47"/>
    </row>
    <row r="537" spans="3:33" x14ac:dyDescent="0.25">
      <c r="C537" s="118">
        <f t="shared" si="115"/>
        <v>42323</v>
      </c>
      <c r="D537">
        <f ca="1">IFERROR(SUMIFS(OFFSET(DBRA_TopicHCP,0,D$217,DBR_COUNT,1),DBRA_WorkplanDate,$C537,DBRA_PlayerID,$D$3),"")</f>
        <v>0</v>
      </c>
      <c r="E537">
        <f ca="1">IFERROR(SUMIFS(OFFSET(DBRA_TopicHCP,0,E$217,DBR_COUNT,1),DBRA_WorkplanDate,$C537,DBRA_PlayerID,$D$3),"")</f>
        <v>0</v>
      </c>
      <c r="F537">
        <f ca="1">IFERROR(SUMIFS(OFFSET(DBRA_TopicHCP,0,F$217,DBR_COUNT,1),DBRA_WorkplanDate,$C537,DBRA_PlayerID,$D$3),"")</f>
        <v>0</v>
      </c>
      <c r="G537">
        <f ca="1">IFERROR(SUMIFS(OFFSET(DBRA_TopicHCP,0,G$217,DBR_COUNT,1),DBRA_WorkplanDate,$C537,DBRA_PlayerID,$D$3),"")</f>
        <v>0</v>
      </c>
      <c r="H537">
        <f ca="1">IFERROR(SUMIFS(OFFSET(DBRA_TopicHCP,0,H$217,DBR_COUNT,1),DBRA_WorkplanDate,$C537,DBRA_PlayerID,$D$3),"")</f>
        <v>0</v>
      </c>
      <c r="I537">
        <f ca="1">IFERROR(SUMIFS(OFFSET(DBRA_TopicHCP,0,I$217,DBR_COUNT,1),DBRA_WorkplanDate,$C537,DBRA_PlayerID,$D$3),"")</f>
        <v>0</v>
      </c>
      <c r="J537">
        <f ca="1">IFERROR(SUMIFS(OFFSET(DBRA_TopicHCP,0,J$217,DBR_COUNT,1),DBRA_WorkplanDate,$C537,DBRA_PlayerID,$D$3),"")</f>
        <v>0</v>
      </c>
      <c r="K537">
        <f ca="1">IFERROR(SUMIFS(OFFSET(DBRA_TopicHCP,0,K$217,DBR_COUNT,1),DBRA_WorkplanDate,$C537,DBRA_PlayerID,$D$3),"")</f>
        <v>0</v>
      </c>
      <c r="L537">
        <f ca="1">IFERROR(SUMIFS(OFFSET(DBRA_TopicHCP,0,L$217,DBR_COUNT,1),DBRA_WorkplanDate,$C537,DBRA_PlayerID,$D$3),"")</f>
        <v>0</v>
      </c>
      <c r="M537" s="47"/>
      <c r="N537">
        <f ca="1">IFERROR(SUMIFS(OFFSET(DBRA_TopicCount,0,N$217,DBR_COUNT,1),DBRA_WorkplanDate,$C537,DBRA_PlayerID,$D$3),"")</f>
        <v>0</v>
      </c>
      <c r="O537">
        <f ca="1">IFERROR(SUMIFS(OFFSET(DBRA_TopicCount,0,O$217,DBR_COUNT,1),DBRA_WorkplanDate,$C537,DBRA_PlayerID,$D$3),"")</f>
        <v>0</v>
      </c>
      <c r="P537">
        <f ca="1">IFERROR(SUMIFS(OFFSET(DBRA_TopicCount,0,P$217,DBR_COUNT,1),DBRA_WorkplanDate,$C537,DBRA_PlayerID,$D$3),"")</f>
        <v>0</v>
      </c>
      <c r="Q537">
        <f ca="1">IFERROR(SUMIFS(OFFSET(DBRA_TopicCount,0,Q$217,DBR_COUNT,1),DBRA_WorkplanDate,$C537,DBRA_PlayerID,$D$3),"")</f>
        <v>0</v>
      </c>
      <c r="R537">
        <f ca="1">IFERROR(SUMIFS(OFFSET(DBRA_TopicCount,0,R$217,DBR_COUNT,1),DBRA_WorkplanDate,$C537,DBRA_PlayerID,$D$3),"")</f>
        <v>0</v>
      </c>
      <c r="S537">
        <f ca="1">IFERROR(SUMIFS(OFFSET(DBRA_TopicCount,0,S$217,DBR_COUNT,1),DBRA_WorkplanDate,$C537,DBRA_PlayerID,$D$3),"")</f>
        <v>0</v>
      </c>
      <c r="T537">
        <f ca="1">IFERROR(SUMIFS(OFFSET(DBRA_TopicCount,0,T$217,DBR_COUNT,1),DBRA_WorkplanDate,$C537,DBRA_PlayerID,$D$3),"")</f>
        <v>0</v>
      </c>
      <c r="U537">
        <f ca="1">IFERROR(SUMIFS(OFFSET(DBRA_TopicCount,0,U$217,DBR_COUNT,1),DBRA_WorkplanDate,$C537,DBRA_PlayerID,$D$3),"")</f>
        <v>0</v>
      </c>
      <c r="V537">
        <f ca="1">IFERROR(SUMIFS(OFFSET(DBRA_TopicCount,0,V$217,DBR_COUNT,1),DBRA_WorkplanDate,$C537,DBRA_PlayerID,$D$3),"")</f>
        <v>0</v>
      </c>
      <c r="W537" s="47"/>
      <c r="X537" t="str">
        <f t="shared" ca="1" si="114"/>
        <v/>
      </c>
      <c r="Y537" t="str">
        <f t="shared" ca="1" si="106"/>
        <v/>
      </c>
      <c r="Z537" t="str">
        <f t="shared" ca="1" si="107"/>
        <v/>
      </c>
      <c r="AA537" t="str">
        <f t="shared" ca="1" si="108"/>
        <v/>
      </c>
      <c r="AB537" t="str">
        <f t="shared" ca="1" si="109"/>
        <v/>
      </c>
      <c r="AC537" t="str">
        <f t="shared" ca="1" si="110"/>
        <v/>
      </c>
      <c r="AD537" t="str">
        <f t="shared" ca="1" si="111"/>
        <v/>
      </c>
      <c r="AE537" t="str">
        <f t="shared" ca="1" si="112"/>
        <v/>
      </c>
      <c r="AF537" t="str">
        <f t="shared" ca="1" si="113"/>
        <v/>
      </c>
      <c r="AG537" s="47"/>
    </row>
    <row r="538" spans="3:33" x14ac:dyDescent="0.25">
      <c r="C538" s="118">
        <f t="shared" si="115"/>
        <v>42324</v>
      </c>
      <c r="D538">
        <f ca="1">IFERROR(SUMIFS(OFFSET(DBRA_TopicHCP,0,D$217,DBR_COUNT,1),DBRA_WorkplanDate,$C538,DBRA_PlayerID,$D$3),"")</f>
        <v>0</v>
      </c>
      <c r="E538">
        <f ca="1">IFERROR(SUMIFS(OFFSET(DBRA_TopicHCP,0,E$217,DBR_COUNT,1),DBRA_WorkplanDate,$C538,DBRA_PlayerID,$D$3),"")</f>
        <v>0</v>
      </c>
      <c r="F538">
        <f ca="1">IFERROR(SUMIFS(OFFSET(DBRA_TopicHCP,0,F$217,DBR_COUNT,1),DBRA_WorkplanDate,$C538,DBRA_PlayerID,$D$3),"")</f>
        <v>0</v>
      </c>
      <c r="G538">
        <f ca="1">IFERROR(SUMIFS(OFFSET(DBRA_TopicHCP,0,G$217,DBR_COUNT,1),DBRA_WorkplanDate,$C538,DBRA_PlayerID,$D$3),"")</f>
        <v>0</v>
      </c>
      <c r="H538">
        <f ca="1">IFERROR(SUMIFS(OFFSET(DBRA_TopicHCP,0,H$217,DBR_COUNT,1),DBRA_WorkplanDate,$C538,DBRA_PlayerID,$D$3),"")</f>
        <v>0</v>
      </c>
      <c r="I538">
        <f ca="1">IFERROR(SUMIFS(OFFSET(DBRA_TopicHCP,0,I$217,DBR_COUNT,1),DBRA_WorkplanDate,$C538,DBRA_PlayerID,$D$3),"")</f>
        <v>0</v>
      </c>
      <c r="J538">
        <f ca="1">IFERROR(SUMIFS(OFFSET(DBRA_TopicHCP,0,J$217,DBR_COUNT,1),DBRA_WorkplanDate,$C538,DBRA_PlayerID,$D$3),"")</f>
        <v>0</v>
      </c>
      <c r="K538">
        <f ca="1">IFERROR(SUMIFS(OFFSET(DBRA_TopicHCP,0,K$217,DBR_COUNT,1),DBRA_WorkplanDate,$C538,DBRA_PlayerID,$D$3),"")</f>
        <v>0</v>
      </c>
      <c r="L538">
        <f ca="1">IFERROR(SUMIFS(OFFSET(DBRA_TopicHCP,0,L$217,DBR_COUNT,1),DBRA_WorkplanDate,$C538,DBRA_PlayerID,$D$3),"")</f>
        <v>0</v>
      </c>
      <c r="M538" s="47"/>
      <c r="N538">
        <f ca="1">IFERROR(SUMIFS(OFFSET(DBRA_TopicCount,0,N$217,DBR_COUNT,1),DBRA_WorkplanDate,$C538,DBRA_PlayerID,$D$3),"")</f>
        <v>0</v>
      </c>
      <c r="O538">
        <f ca="1">IFERROR(SUMIFS(OFFSET(DBRA_TopicCount,0,O$217,DBR_COUNT,1),DBRA_WorkplanDate,$C538,DBRA_PlayerID,$D$3),"")</f>
        <v>0</v>
      </c>
      <c r="P538">
        <f ca="1">IFERROR(SUMIFS(OFFSET(DBRA_TopicCount,0,P$217,DBR_COUNT,1),DBRA_WorkplanDate,$C538,DBRA_PlayerID,$D$3),"")</f>
        <v>0</v>
      </c>
      <c r="Q538">
        <f ca="1">IFERROR(SUMIFS(OFFSET(DBRA_TopicCount,0,Q$217,DBR_COUNT,1),DBRA_WorkplanDate,$C538,DBRA_PlayerID,$D$3),"")</f>
        <v>0</v>
      </c>
      <c r="R538">
        <f ca="1">IFERROR(SUMIFS(OFFSET(DBRA_TopicCount,0,R$217,DBR_COUNT,1),DBRA_WorkplanDate,$C538,DBRA_PlayerID,$D$3),"")</f>
        <v>0</v>
      </c>
      <c r="S538">
        <f ca="1">IFERROR(SUMIFS(OFFSET(DBRA_TopicCount,0,S$217,DBR_COUNT,1),DBRA_WorkplanDate,$C538,DBRA_PlayerID,$D$3),"")</f>
        <v>0</v>
      </c>
      <c r="T538">
        <f ca="1">IFERROR(SUMIFS(OFFSET(DBRA_TopicCount,0,T$217,DBR_COUNT,1),DBRA_WorkplanDate,$C538,DBRA_PlayerID,$D$3),"")</f>
        <v>0</v>
      </c>
      <c r="U538">
        <f ca="1">IFERROR(SUMIFS(OFFSET(DBRA_TopicCount,0,U$217,DBR_COUNT,1),DBRA_WorkplanDate,$C538,DBRA_PlayerID,$D$3),"")</f>
        <v>0</v>
      </c>
      <c r="V538">
        <f ca="1">IFERROR(SUMIFS(OFFSET(DBRA_TopicCount,0,V$217,DBR_COUNT,1),DBRA_WorkplanDate,$C538,DBRA_PlayerID,$D$3),"")</f>
        <v>0</v>
      </c>
      <c r="W538" s="47"/>
      <c r="X538" t="str">
        <f t="shared" ca="1" si="114"/>
        <v/>
      </c>
      <c r="Y538" t="str">
        <f t="shared" ca="1" si="106"/>
        <v/>
      </c>
      <c r="Z538" t="str">
        <f t="shared" ca="1" si="107"/>
        <v/>
      </c>
      <c r="AA538" t="str">
        <f t="shared" ca="1" si="108"/>
        <v/>
      </c>
      <c r="AB538" t="str">
        <f t="shared" ca="1" si="109"/>
        <v/>
      </c>
      <c r="AC538" t="str">
        <f t="shared" ca="1" si="110"/>
        <v/>
      </c>
      <c r="AD538" t="str">
        <f t="shared" ca="1" si="111"/>
        <v/>
      </c>
      <c r="AE538" t="str">
        <f t="shared" ca="1" si="112"/>
        <v/>
      </c>
      <c r="AF538" t="str">
        <f t="shared" ca="1" si="113"/>
        <v/>
      </c>
      <c r="AG538" s="47"/>
    </row>
    <row r="539" spans="3:33" x14ac:dyDescent="0.25">
      <c r="C539" s="118">
        <f t="shared" si="115"/>
        <v>42325</v>
      </c>
      <c r="D539">
        <f ca="1">IFERROR(SUMIFS(OFFSET(DBRA_TopicHCP,0,D$217,DBR_COUNT,1),DBRA_WorkplanDate,$C539,DBRA_PlayerID,$D$3),"")</f>
        <v>0</v>
      </c>
      <c r="E539">
        <f ca="1">IFERROR(SUMIFS(OFFSET(DBRA_TopicHCP,0,E$217,DBR_COUNT,1),DBRA_WorkplanDate,$C539,DBRA_PlayerID,$D$3),"")</f>
        <v>0</v>
      </c>
      <c r="F539">
        <f ca="1">IFERROR(SUMIFS(OFFSET(DBRA_TopicHCP,0,F$217,DBR_COUNT,1),DBRA_WorkplanDate,$C539,DBRA_PlayerID,$D$3),"")</f>
        <v>0</v>
      </c>
      <c r="G539">
        <f ca="1">IFERROR(SUMIFS(OFFSET(DBRA_TopicHCP,0,G$217,DBR_COUNT,1),DBRA_WorkplanDate,$C539,DBRA_PlayerID,$D$3),"")</f>
        <v>0</v>
      </c>
      <c r="H539">
        <f ca="1">IFERROR(SUMIFS(OFFSET(DBRA_TopicHCP,0,H$217,DBR_COUNT,1),DBRA_WorkplanDate,$C539,DBRA_PlayerID,$D$3),"")</f>
        <v>0</v>
      </c>
      <c r="I539">
        <f ca="1">IFERROR(SUMIFS(OFFSET(DBRA_TopicHCP,0,I$217,DBR_COUNT,1),DBRA_WorkplanDate,$C539,DBRA_PlayerID,$D$3),"")</f>
        <v>0</v>
      </c>
      <c r="J539">
        <f ca="1">IFERROR(SUMIFS(OFFSET(DBRA_TopicHCP,0,J$217,DBR_COUNT,1),DBRA_WorkplanDate,$C539,DBRA_PlayerID,$D$3),"")</f>
        <v>0</v>
      </c>
      <c r="K539">
        <f ca="1">IFERROR(SUMIFS(OFFSET(DBRA_TopicHCP,0,K$217,DBR_COUNT,1),DBRA_WorkplanDate,$C539,DBRA_PlayerID,$D$3),"")</f>
        <v>0</v>
      </c>
      <c r="L539">
        <f ca="1">IFERROR(SUMIFS(OFFSET(DBRA_TopicHCP,0,L$217,DBR_COUNT,1),DBRA_WorkplanDate,$C539,DBRA_PlayerID,$D$3),"")</f>
        <v>0</v>
      </c>
      <c r="M539" s="47"/>
      <c r="N539">
        <f ca="1">IFERROR(SUMIFS(OFFSET(DBRA_TopicCount,0,N$217,DBR_COUNT,1),DBRA_WorkplanDate,$C539,DBRA_PlayerID,$D$3),"")</f>
        <v>0</v>
      </c>
      <c r="O539">
        <f ca="1">IFERROR(SUMIFS(OFFSET(DBRA_TopicCount,0,O$217,DBR_COUNT,1),DBRA_WorkplanDate,$C539,DBRA_PlayerID,$D$3),"")</f>
        <v>0</v>
      </c>
      <c r="P539">
        <f ca="1">IFERROR(SUMIFS(OFFSET(DBRA_TopicCount,0,P$217,DBR_COUNT,1),DBRA_WorkplanDate,$C539,DBRA_PlayerID,$D$3),"")</f>
        <v>0</v>
      </c>
      <c r="Q539">
        <f ca="1">IFERROR(SUMIFS(OFFSET(DBRA_TopicCount,0,Q$217,DBR_COUNT,1),DBRA_WorkplanDate,$C539,DBRA_PlayerID,$D$3),"")</f>
        <v>0</v>
      </c>
      <c r="R539">
        <f ca="1">IFERROR(SUMIFS(OFFSET(DBRA_TopicCount,0,R$217,DBR_COUNT,1),DBRA_WorkplanDate,$C539,DBRA_PlayerID,$D$3),"")</f>
        <v>0</v>
      </c>
      <c r="S539">
        <f ca="1">IFERROR(SUMIFS(OFFSET(DBRA_TopicCount,0,S$217,DBR_COUNT,1),DBRA_WorkplanDate,$C539,DBRA_PlayerID,$D$3),"")</f>
        <v>0</v>
      </c>
      <c r="T539">
        <f ca="1">IFERROR(SUMIFS(OFFSET(DBRA_TopicCount,0,T$217,DBR_COUNT,1),DBRA_WorkplanDate,$C539,DBRA_PlayerID,$D$3),"")</f>
        <v>0</v>
      </c>
      <c r="U539">
        <f ca="1">IFERROR(SUMIFS(OFFSET(DBRA_TopicCount,0,U$217,DBR_COUNT,1),DBRA_WorkplanDate,$C539,DBRA_PlayerID,$D$3),"")</f>
        <v>0</v>
      </c>
      <c r="V539">
        <f ca="1">IFERROR(SUMIFS(OFFSET(DBRA_TopicCount,0,V$217,DBR_COUNT,1),DBRA_WorkplanDate,$C539,DBRA_PlayerID,$D$3),"")</f>
        <v>0</v>
      </c>
      <c r="W539" s="47"/>
      <c r="X539" t="str">
        <f t="shared" ca="1" si="114"/>
        <v/>
      </c>
      <c r="Y539" t="str">
        <f t="shared" ref="Y539:Y584" ca="1" si="116">IF(O539&gt;0,ROUND(E539/O539,1),"")</f>
        <v/>
      </c>
      <c r="Z539" t="str">
        <f t="shared" ref="Z539:Z584" ca="1" si="117">IF(P539&gt;0,ROUND(F539/P539,1),"")</f>
        <v/>
      </c>
      <c r="AA539" t="str">
        <f t="shared" ref="AA539:AA584" ca="1" si="118">IF(Q539&gt;0,ROUND(G539/Q539,1),"")</f>
        <v/>
      </c>
      <c r="AB539" t="str">
        <f t="shared" ref="AB539:AB584" ca="1" si="119">IF(R539&gt;0,ROUND(H539/R539,1),"")</f>
        <v/>
      </c>
      <c r="AC539" t="str">
        <f t="shared" ref="AC539:AC584" ca="1" si="120">IF(S539&gt;0,ROUND(I539/S539,1),"")</f>
        <v/>
      </c>
      <c r="AD539" t="str">
        <f t="shared" ref="AD539:AD584" ca="1" si="121">IF(T539&gt;0,ROUND(J539/T539,1),"")</f>
        <v/>
      </c>
      <c r="AE539" t="str">
        <f t="shared" ref="AE539:AE584" ca="1" si="122">IF(U539&gt;0,ROUND(K539/U539,1),"")</f>
        <v/>
      </c>
      <c r="AF539" t="str">
        <f t="shared" ref="AF539:AF584" ca="1" si="123">IF(V539&gt;0,ROUND(L539/V539,1),"")</f>
        <v/>
      </c>
      <c r="AG539" s="47"/>
    </row>
    <row r="540" spans="3:33" x14ac:dyDescent="0.25">
      <c r="C540" s="118">
        <f t="shared" si="115"/>
        <v>42326</v>
      </c>
      <c r="D540">
        <f ca="1">IFERROR(SUMIFS(OFFSET(DBRA_TopicHCP,0,D$217,DBR_COUNT,1),DBRA_WorkplanDate,$C540,DBRA_PlayerID,$D$3),"")</f>
        <v>0</v>
      </c>
      <c r="E540">
        <f ca="1">IFERROR(SUMIFS(OFFSET(DBRA_TopicHCP,0,E$217,DBR_COUNT,1),DBRA_WorkplanDate,$C540,DBRA_PlayerID,$D$3),"")</f>
        <v>0</v>
      </c>
      <c r="F540">
        <f ca="1">IFERROR(SUMIFS(OFFSET(DBRA_TopicHCP,0,F$217,DBR_COUNT,1),DBRA_WorkplanDate,$C540,DBRA_PlayerID,$D$3),"")</f>
        <v>0</v>
      </c>
      <c r="G540">
        <f ca="1">IFERROR(SUMIFS(OFFSET(DBRA_TopicHCP,0,G$217,DBR_COUNT,1),DBRA_WorkplanDate,$C540,DBRA_PlayerID,$D$3),"")</f>
        <v>0</v>
      </c>
      <c r="H540">
        <f ca="1">IFERROR(SUMIFS(OFFSET(DBRA_TopicHCP,0,H$217,DBR_COUNT,1),DBRA_WorkplanDate,$C540,DBRA_PlayerID,$D$3),"")</f>
        <v>0</v>
      </c>
      <c r="I540">
        <f ca="1">IFERROR(SUMIFS(OFFSET(DBRA_TopicHCP,0,I$217,DBR_COUNT,1),DBRA_WorkplanDate,$C540,DBRA_PlayerID,$D$3),"")</f>
        <v>0</v>
      </c>
      <c r="J540">
        <f ca="1">IFERROR(SUMIFS(OFFSET(DBRA_TopicHCP,0,J$217,DBR_COUNT,1),DBRA_WorkplanDate,$C540,DBRA_PlayerID,$D$3),"")</f>
        <v>0</v>
      </c>
      <c r="K540">
        <f ca="1">IFERROR(SUMIFS(OFFSET(DBRA_TopicHCP,0,K$217,DBR_COUNT,1),DBRA_WorkplanDate,$C540,DBRA_PlayerID,$D$3),"")</f>
        <v>0</v>
      </c>
      <c r="L540">
        <f ca="1">IFERROR(SUMIFS(OFFSET(DBRA_TopicHCP,0,L$217,DBR_COUNT,1),DBRA_WorkplanDate,$C540,DBRA_PlayerID,$D$3),"")</f>
        <v>0</v>
      </c>
      <c r="M540" s="47"/>
      <c r="N540">
        <f ca="1">IFERROR(SUMIFS(OFFSET(DBRA_TopicCount,0,N$217,DBR_COUNT,1),DBRA_WorkplanDate,$C540,DBRA_PlayerID,$D$3),"")</f>
        <v>0</v>
      </c>
      <c r="O540">
        <f ca="1">IFERROR(SUMIFS(OFFSET(DBRA_TopicCount,0,O$217,DBR_COUNT,1),DBRA_WorkplanDate,$C540,DBRA_PlayerID,$D$3),"")</f>
        <v>0</v>
      </c>
      <c r="P540">
        <f ca="1">IFERROR(SUMIFS(OFFSET(DBRA_TopicCount,0,P$217,DBR_COUNT,1),DBRA_WorkplanDate,$C540,DBRA_PlayerID,$D$3),"")</f>
        <v>0</v>
      </c>
      <c r="Q540">
        <f ca="1">IFERROR(SUMIFS(OFFSET(DBRA_TopicCount,0,Q$217,DBR_COUNT,1),DBRA_WorkplanDate,$C540,DBRA_PlayerID,$D$3),"")</f>
        <v>0</v>
      </c>
      <c r="R540">
        <f ca="1">IFERROR(SUMIFS(OFFSET(DBRA_TopicCount,0,R$217,DBR_COUNT,1),DBRA_WorkplanDate,$C540,DBRA_PlayerID,$D$3),"")</f>
        <v>0</v>
      </c>
      <c r="S540">
        <f ca="1">IFERROR(SUMIFS(OFFSET(DBRA_TopicCount,0,S$217,DBR_COUNT,1),DBRA_WorkplanDate,$C540,DBRA_PlayerID,$D$3),"")</f>
        <v>0</v>
      </c>
      <c r="T540">
        <f ca="1">IFERROR(SUMIFS(OFFSET(DBRA_TopicCount,0,T$217,DBR_COUNT,1),DBRA_WorkplanDate,$C540,DBRA_PlayerID,$D$3),"")</f>
        <v>0</v>
      </c>
      <c r="U540">
        <f ca="1">IFERROR(SUMIFS(OFFSET(DBRA_TopicCount,0,U$217,DBR_COUNT,1),DBRA_WorkplanDate,$C540,DBRA_PlayerID,$D$3),"")</f>
        <v>0</v>
      </c>
      <c r="V540">
        <f ca="1">IFERROR(SUMIFS(OFFSET(DBRA_TopicCount,0,V$217,DBR_COUNT,1),DBRA_WorkplanDate,$C540,DBRA_PlayerID,$D$3),"")</f>
        <v>0</v>
      </c>
      <c r="W540" s="47"/>
      <c r="X540" t="str">
        <f t="shared" ref="X540:X584" ca="1" si="124">IF(N540&gt;0,ROUND(D540/N540,1),"")</f>
        <v/>
      </c>
      <c r="Y540" t="str">
        <f t="shared" ca="1" si="116"/>
        <v/>
      </c>
      <c r="Z540" t="str">
        <f t="shared" ca="1" si="117"/>
        <v/>
      </c>
      <c r="AA540" t="str">
        <f t="shared" ca="1" si="118"/>
        <v/>
      </c>
      <c r="AB540" t="str">
        <f t="shared" ca="1" si="119"/>
        <v/>
      </c>
      <c r="AC540" t="str">
        <f t="shared" ca="1" si="120"/>
        <v/>
      </c>
      <c r="AD540" t="str">
        <f t="shared" ca="1" si="121"/>
        <v/>
      </c>
      <c r="AE540" t="str">
        <f t="shared" ca="1" si="122"/>
        <v/>
      </c>
      <c r="AF540" t="str">
        <f t="shared" ca="1" si="123"/>
        <v/>
      </c>
      <c r="AG540" s="47"/>
    </row>
    <row r="541" spans="3:33" x14ac:dyDescent="0.25">
      <c r="C541" s="118">
        <f t="shared" ref="C541:C582" si="125">IF((C540+1)&lt;=$A$220,C540+1,"")</f>
        <v>42327</v>
      </c>
      <c r="D541">
        <f ca="1">IFERROR(SUMIFS(OFFSET(DBRA_TopicHCP,0,D$217,DBR_COUNT,1),DBRA_WorkplanDate,$C541,DBRA_PlayerID,$D$3),"")</f>
        <v>0</v>
      </c>
      <c r="E541">
        <f ca="1">IFERROR(SUMIFS(OFFSET(DBRA_TopicHCP,0,E$217,DBR_COUNT,1),DBRA_WorkplanDate,$C541,DBRA_PlayerID,$D$3),"")</f>
        <v>0</v>
      </c>
      <c r="F541">
        <f ca="1">IFERROR(SUMIFS(OFFSET(DBRA_TopicHCP,0,F$217,DBR_COUNT,1),DBRA_WorkplanDate,$C541,DBRA_PlayerID,$D$3),"")</f>
        <v>0</v>
      </c>
      <c r="G541">
        <f ca="1">IFERROR(SUMIFS(OFFSET(DBRA_TopicHCP,0,G$217,DBR_COUNT,1),DBRA_WorkplanDate,$C541,DBRA_PlayerID,$D$3),"")</f>
        <v>0</v>
      </c>
      <c r="H541">
        <f ca="1">IFERROR(SUMIFS(OFFSET(DBRA_TopicHCP,0,H$217,DBR_COUNT,1),DBRA_WorkplanDate,$C541,DBRA_PlayerID,$D$3),"")</f>
        <v>0</v>
      </c>
      <c r="I541">
        <f ca="1">IFERROR(SUMIFS(OFFSET(DBRA_TopicHCP,0,I$217,DBR_COUNT,1),DBRA_WorkplanDate,$C541,DBRA_PlayerID,$D$3),"")</f>
        <v>0</v>
      </c>
      <c r="J541">
        <f ca="1">IFERROR(SUMIFS(OFFSET(DBRA_TopicHCP,0,J$217,DBR_COUNT,1),DBRA_WorkplanDate,$C541,DBRA_PlayerID,$D$3),"")</f>
        <v>0</v>
      </c>
      <c r="K541">
        <f ca="1">IFERROR(SUMIFS(OFFSET(DBRA_TopicHCP,0,K$217,DBR_COUNT,1),DBRA_WorkplanDate,$C541,DBRA_PlayerID,$D$3),"")</f>
        <v>0</v>
      </c>
      <c r="L541">
        <f ca="1">IFERROR(SUMIFS(OFFSET(DBRA_TopicHCP,0,L$217,DBR_COUNT,1),DBRA_WorkplanDate,$C541,DBRA_PlayerID,$D$3),"")</f>
        <v>0</v>
      </c>
      <c r="M541" s="47"/>
      <c r="N541">
        <f ca="1">IFERROR(SUMIFS(OFFSET(DBRA_TopicCount,0,N$217,DBR_COUNT,1),DBRA_WorkplanDate,$C541,DBRA_PlayerID,$D$3),"")</f>
        <v>0</v>
      </c>
      <c r="O541">
        <f ca="1">IFERROR(SUMIFS(OFFSET(DBRA_TopicCount,0,O$217,DBR_COUNT,1),DBRA_WorkplanDate,$C541,DBRA_PlayerID,$D$3),"")</f>
        <v>0</v>
      </c>
      <c r="P541">
        <f ca="1">IFERROR(SUMIFS(OFFSET(DBRA_TopicCount,0,P$217,DBR_COUNT,1),DBRA_WorkplanDate,$C541,DBRA_PlayerID,$D$3),"")</f>
        <v>0</v>
      </c>
      <c r="Q541">
        <f ca="1">IFERROR(SUMIFS(OFFSET(DBRA_TopicCount,0,Q$217,DBR_COUNT,1),DBRA_WorkplanDate,$C541,DBRA_PlayerID,$D$3),"")</f>
        <v>0</v>
      </c>
      <c r="R541">
        <f ca="1">IFERROR(SUMIFS(OFFSET(DBRA_TopicCount,0,R$217,DBR_COUNT,1),DBRA_WorkplanDate,$C541,DBRA_PlayerID,$D$3),"")</f>
        <v>0</v>
      </c>
      <c r="S541">
        <f ca="1">IFERROR(SUMIFS(OFFSET(DBRA_TopicCount,0,S$217,DBR_COUNT,1),DBRA_WorkplanDate,$C541,DBRA_PlayerID,$D$3),"")</f>
        <v>0</v>
      </c>
      <c r="T541">
        <f ca="1">IFERROR(SUMIFS(OFFSET(DBRA_TopicCount,0,T$217,DBR_COUNT,1),DBRA_WorkplanDate,$C541,DBRA_PlayerID,$D$3),"")</f>
        <v>0</v>
      </c>
      <c r="U541">
        <f ca="1">IFERROR(SUMIFS(OFFSET(DBRA_TopicCount,0,U$217,DBR_COUNT,1),DBRA_WorkplanDate,$C541,DBRA_PlayerID,$D$3),"")</f>
        <v>0</v>
      </c>
      <c r="V541">
        <f ca="1">IFERROR(SUMIFS(OFFSET(DBRA_TopicCount,0,V$217,DBR_COUNT,1),DBRA_WorkplanDate,$C541,DBRA_PlayerID,$D$3),"")</f>
        <v>0</v>
      </c>
      <c r="W541" s="47"/>
      <c r="X541" t="str">
        <f t="shared" ca="1" si="124"/>
        <v/>
      </c>
      <c r="Y541" t="str">
        <f t="shared" ca="1" si="116"/>
        <v/>
      </c>
      <c r="Z541" t="str">
        <f t="shared" ca="1" si="117"/>
        <v/>
      </c>
      <c r="AA541" t="str">
        <f t="shared" ca="1" si="118"/>
        <v/>
      </c>
      <c r="AB541" t="str">
        <f t="shared" ca="1" si="119"/>
        <v/>
      </c>
      <c r="AC541" t="str">
        <f t="shared" ca="1" si="120"/>
        <v/>
      </c>
      <c r="AD541" t="str">
        <f t="shared" ca="1" si="121"/>
        <v/>
      </c>
      <c r="AE541" t="str">
        <f t="shared" ca="1" si="122"/>
        <v/>
      </c>
      <c r="AF541" t="str">
        <f t="shared" ca="1" si="123"/>
        <v/>
      </c>
      <c r="AG541" s="47"/>
    </row>
    <row r="542" spans="3:33" x14ac:dyDescent="0.25">
      <c r="C542" s="118">
        <f t="shared" si="125"/>
        <v>42328</v>
      </c>
      <c r="D542">
        <f ca="1">IFERROR(SUMIFS(OFFSET(DBRA_TopicHCP,0,D$217,DBR_COUNT,1),DBRA_WorkplanDate,$C542,DBRA_PlayerID,$D$3),"")</f>
        <v>0</v>
      </c>
      <c r="E542">
        <f ca="1">IFERROR(SUMIFS(OFFSET(DBRA_TopicHCP,0,E$217,DBR_COUNT,1),DBRA_WorkplanDate,$C542,DBRA_PlayerID,$D$3),"")</f>
        <v>0</v>
      </c>
      <c r="F542">
        <f ca="1">IFERROR(SUMIFS(OFFSET(DBRA_TopicHCP,0,F$217,DBR_COUNT,1),DBRA_WorkplanDate,$C542,DBRA_PlayerID,$D$3),"")</f>
        <v>0</v>
      </c>
      <c r="G542">
        <f ca="1">IFERROR(SUMIFS(OFFSET(DBRA_TopicHCP,0,G$217,DBR_COUNT,1),DBRA_WorkplanDate,$C542,DBRA_PlayerID,$D$3),"")</f>
        <v>0</v>
      </c>
      <c r="H542">
        <f ca="1">IFERROR(SUMIFS(OFFSET(DBRA_TopicHCP,0,H$217,DBR_COUNT,1),DBRA_WorkplanDate,$C542,DBRA_PlayerID,$D$3),"")</f>
        <v>0</v>
      </c>
      <c r="I542">
        <f ca="1">IFERROR(SUMIFS(OFFSET(DBRA_TopicHCP,0,I$217,DBR_COUNT,1),DBRA_WorkplanDate,$C542,DBRA_PlayerID,$D$3),"")</f>
        <v>0</v>
      </c>
      <c r="J542">
        <f ca="1">IFERROR(SUMIFS(OFFSET(DBRA_TopicHCP,0,J$217,DBR_COUNT,1),DBRA_WorkplanDate,$C542,DBRA_PlayerID,$D$3),"")</f>
        <v>0</v>
      </c>
      <c r="K542">
        <f ca="1">IFERROR(SUMIFS(OFFSET(DBRA_TopicHCP,0,K$217,DBR_COUNT,1),DBRA_WorkplanDate,$C542,DBRA_PlayerID,$D$3),"")</f>
        <v>0</v>
      </c>
      <c r="L542">
        <f ca="1">IFERROR(SUMIFS(OFFSET(DBRA_TopicHCP,0,L$217,DBR_COUNT,1),DBRA_WorkplanDate,$C542,DBRA_PlayerID,$D$3),"")</f>
        <v>0</v>
      </c>
      <c r="M542" s="47"/>
      <c r="N542">
        <f ca="1">IFERROR(SUMIFS(OFFSET(DBRA_TopicCount,0,N$217,DBR_COUNT,1),DBRA_WorkplanDate,$C542,DBRA_PlayerID,$D$3),"")</f>
        <v>0</v>
      </c>
      <c r="O542">
        <f ca="1">IFERROR(SUMIFS(OFFSET(DBRA_TopicCount,0,O$217,DBR_COUNT,1),DBRA_WorkplanDate,$C542,DBRA_PlayerID,$D$3),"")</f>
        <v>0</v>
      </c>
      <c r="P542">
        <f ca="1">IFERROR(SUMIFS(OFFSET(DBRA_TopicCount,0,P$217,DBR_COUNT,1),DBRA_WorkplanDate,$C542,DBRA_PlayerID,$D$3),"")</f>
        <v>0</v>
      </c>
      <c r="Q542">
        <f ca="1">IFERROR(SUMIFS(OFFSET(DBRA_TopicCount,0,Q$217,DBR_COUNT,1),DBRA_WorkplanDate,$C542,DBRA_PlayerID,$D$3),"")</f>
        <v>0</v>
      </c>
      <c r="R542">
        <f ca="1">IFERROR(SUMIFS(OFFSET(DBRA_TopicCount,0,R$217,DBR_COUNT,1),DBRA_WorkplanDate,$C542,DBRA_PlayerID,$D$3),"")</f>
        <v>0</v>
      </c>
      <c r="S542">
        <f ca="1">IFERROR(SUMIFS(OFFSET(DBRA_TopicCount,0,S$217,DBR_COUNT,1),DBRA_WorkplanDate,$C542,DBRA_PlayerID,$D$3),"")</f>
        <v>0</v>
      </c>
      <c r="T542">
        <f ca="1">IFERROR(SUMIFS(OFFSET(DBRA_TopicCount,0,T$217,DBR_COUNT,1),DBRA_WorkplanDate,$C542,DBRA_PlayerID,$D$3),"")</f>
        <v>0</v>
      </c>
      <c r="U542">
        <f ca="1">IFERROR(SUMIFS(OFFSET(DBRA_TopicCount,0,U$217,DBR_COUNT,1),DBRA_WorkplanDate,$C542,DBRA_PlayerID,$D$3),"")</f>
        <v>0</v>
      </c>
      <c r="V542">
        <f ca="1">IFERROR(SUMIFS(OFFSET(DBRA_TopicCount,0,V$217,DBR_COUNT,1),DBRA_WorkplanDate,$C542,DBRA_PlayerID,$D$3),"")</f>
        <v>0</v>
      </c>
      <c r="W542" s="47"/>
      <c r="X542" t="str">
        <f t="shared" ca="1" si="124"/>
        <v/>
      </c>
      <c r="Y542" t="str">
        <f t="shared" ca="1" si="116"/>
        <v/>
      </c>
      <c r="Z542" t="str">
        <f t="shared" ca="1" si="117"/>
        <v/>
      </c>
      <c r="AA542" t="str">
        <f t="shared" ca="1" si="118"/>
        <v/>
      </c>
      <c r="AB542" t="str">
        <f t="shared" ca="1" si="119"/>
        <v/>
      </c>
      <c r="AC542" t="str">
        <f t="shared" ca="1" si="120"/>
        <v/>
      </c>
      <c r="AD542" t="str">
        <f t="shared" ca="1" si="121"/>
        <v/>
      </c>
      <c r="AE542" t="str">
        <f t="shared" ca="1" si="122"/>
        <v/>
      </c>
      <c r="AF542" t="str">
        <f t="shared" ca="1" si="123"/>
        <v/>
      </c>
      <c r="AG542" s="47"/>
    </row>
    <row r="543" spans="3:33" x14ac:dyDescent="0.25">
      <c r="C543" s="118">
        <f t="shared" si="125"/>
        <v>42329</v>
      </c>
      <c r="D543">
        <f ca="1">IFERROR(SUMIFS(OFFSET(DBRA_TopicHCP,0,D$217,DBR_COUNT,1),DBRA_WorkplanDate,$C543,DBRA_PlayerID,$D$3),"")</f>
        <v>0</v>
      </c>
      <c r="E543">
        <f ca="1">IFERROR(SUMIFS(OFFSET(DBRA_TopicHCP,0,E$217,DBR_COUNT,1),DBRA_WorkplanDate,$C543,DBRA_PlayerID,$D$3),"")</f>
        <v>0</v>
      </c>
      <c r="F543">
        <f ca="1">IFERROR(SUMIFS(OFFSET(DBRA_TopicHCP,0,F$217,DBR_COUNT,1),DBRA_WorkplanDate,$C543,DBRA_PlayerID,$D$3),"")</f>
        <v>0</v>
      </c>
      <c r="G543">
        <f ca="1">IFERROR(SUMIFS(OFFSET(DBRA_TopicHCP,0,G$217,DBR_COUNT,1),DBRA_WorkplanDate,$C543,DBRA_PlayerID,$D$3),"")</f>
        <v>0</v>
      </c>
      <c r="H543">
        <f ca="1">IFERROR(SUMIFS(OFFSET(DBRA_TopicHCP,0,H$217,DBR_COUNT,1),DBRA_WorkplanDate,$C543,DBRA_PlayerID,$D$3),"")</f>
        <v>0</v>
      </c>
      <c r="I543">
        <f ca="1">IFERROR(SUMIFS(OFFSET(DBRA_TopicHCP,0,I$217,DBR_COUNT,1),DBRA_WorkplanDate,$C543,DBRA_PlayerID,$D$3),"")</f>
        <v>0</v>
      </c>
      <c r="J543">
        <f ca="1">IFERROR(SUMIFS(OFFSET(DBRA_TopicHCP,0,J$217,DBR_COUNT,1),DBRA_WorkplanDate,$C543,DBRA_PlayerID,$D$3),"")</f>
        <v>0</v>
      </c>
      <c r="K543">
        <f ca="1">IFERROR(SUMIFS(OFFSET(DBRA_TopicHCP,0,K$217,DBR_COUNT,1),DBRA_WorkplanDate,$C543,DBRA_PlayerID,$D$3),"")</f>
        <v>0</v>
      </c>
      <c r="L543">
        <f ca="1">IFERROR(SUMIFS(OFFSET(DBRA_TopicHCP,0,L$217,DBR_COUNT,1),DBRA_WorkplanDate,$C543,DBRA_PlayerID,$D$3),"")</f>
        <v>0</v>
      </c>
      <c r="M543" s="47"/>
      <c r="N543">
        <f ca="1">IFERROR(SUMIFS(OFFSET(DBRA_TopicCount,0,N$217,DBR_COUNT,1),DBRA_WorkplanDate,$C543,DBRA_PlayerID,$D$3),"")</f>
        <v>0</v>
      </c>
      <c r="O543">
        <f ca="1">IFERROR(SUMIFS(OFFSET(DBRA_TopicCount,0,O$217,DBR_COUNT,1),DBRA_WorkplanDate,$C543,DBRA_PlayerID,$D$3),"")</f>
        <v>0</v>
      </c>
      <c r="P543">
        <f ca="1">IFERROR(SUMIFS(OFFSET(DBRA_TopicCount,0,P$217,DBR_COUNT,1),DBRA_WorkplanDate,$C543,DBRA_PlayerID,$D$3),"")</f>
        <v>0</v>
      </c>
      <c r="Q543">
        <f ca="1">IFERROR(SUMIFS(OFFSET(DBRA_TopicCount,0,Q$217,DBR_COUNT,1),DBRA_WorkplanDate,$C543,DBRA_PlayerID,$D$3),"")</f>
        <v>0</v>
      </c>
      <c r="R543">
        <f ca="1">IFERROR(SUMIFS(OFFSET(DBRA_TopicCount,0,R$217,DBR_COUNT,1),DBRA_WorkplanDate,$C543,DBRA_PlayerID,$D$3),"")</f>
        <v>0</v>
      </c>
      <c r="S543">
        <f ca="1">IFERROR(SUMIFS(OFFSET(DBRA_TopicCount,0,S$217,DBR_COUNT,1),DBRA_WorkplanDate,$C543,DBRA_PlayerID,$D$3),"")</f>
        <v>0</v>
      </c>
      <c r="T543">
        <f ca="1">IFERROR(SUMIFS(OFFSET(DBRA_TopicCount,0,T$217,DBR_COUNT,1),DBRA_WorkplanDate,$C543,DBRA_PlayerID,$D$3),"")</f>
        <v>0</v>
      </c>
      <c r="U543">
        <f ca="1">IFERROR(SUMIFS(OFFSET(DBRA_TopicCount,0,U$217,DBR_COUNT,1),DBRA_WorkplanDate,$C543,DBRA_PlayerID,$D$3),"")</f>
        <v>0</v>
      </c>
      <c r="V543">
        <f ca="1">IFERROR(SUMIFS(OFFSET(DBRA_TopicCount,0,V$217,DBR_COUNT,1),DBRA_WorkplanDate,$C543,DBRA_PlayerID,$D$3),"")</f>
        <v>0</v>
      </c>
      <c r="W543" s="47"/>
      <c r="X543" t="str">
        <f t="shared" ca="1" si="124"/>
        <v/>
      </c>
      <c r="Y543" t="str">
        <f t="shared" ca="1" si="116"/>
        <v/>
      </c>
      <c r="Z543" t="str">
        <f t="shared" ca="1" si="117"/>
        <v/>
      </c>
      <c r="AA543" t="str">
        <f t="shared" ca="1" si="118"/>
        <v/>
      </c>
      <c r="AB543" t="str">
        <f t="shared" ca="1" si="119"/>
        <v/>
      </c>
      <c r="AC543" t="str">
        <f t="shared" ca="1" si="120"/>
        <v/>
      </c>
      <c r="AD543" t="str">
        <f t="shared" ca="1" si="121"/>
        <v/>
      </c>
      <c r="AE543" t="str">
        <f t="shared" ca="1" si="122"/>
        <v/>
      </c>
      <c r="AF543" t="str">
        <f t="shared" ca="1" si="123"/>
        <v/>
      </c>
      <c r="AG543" s="47"/>
    </row>
    <row r="544" spans="3:33" x14ac:dyDescent="0.25">
      <c r="C544" s="118">
        <f t="shared" si="125"/>
        <v>42330</v>
      </c>
      <c r="D544">
        <f ca="1">IFERROR(SUMIFS(OFFSET(DBRA_TopicHCP,0,D$217,DBR_COUNT,1),DBRA_WorkplanDate,$C544,DBRA_PlayerID,$D$3),"")</f>
        <v>0</v>
      </c>
      <c r="E544">
        <f ca="1">IFERROR(SUMIFS(OFFSET(DBRA_TopicHCP,0,E$217,DBR_COUNT,1),DBRA_WorkplanDate,$C544,DBRA_PlayerID,$D$3),"")</f>
        <v>0</v>
      </c>
      <c r="F544">
        <f ca="1">IFERROR(SUMIFS(OFFSET(DBRA_TopicHCP,0,F$217,DBR_COUNT,1),DBRA_WorkplanDate,$C544,DBRA_PlayerID,$D$3),"")</f>
        <v>0</v>
      </c>
      <c r="G544">
        <f ca="1">IFERROR(SUMIFS(OFFSET(DBRA_TopicHCP,0,G$217,DBR_COUNT,1),DBRA_WorkplanDate,$C544,DBRA_PlayerID,$D$3),"")</f>
        <v>0</v>
      </c>
      <c r="H544">
        <f ca="1">IFERROR(SUMIFS(OFFSET(DBRA_TopicHCP,0,H$217,DBR_COUNT,1),DBRA_WorkplanDate,$C544,DBRA_PlayerID,$D$3),"")</f>
        <v>0</v>
      </c>
      <c r="I544">
        <f ca="1">IFERROR(SUMIFS(OFFSET(DBRA_TopicHCP,0,I$217,DBR_COUNT,1),DBRA_WorkplanDate,$C544,DBRA_PlayerID,$D$3),"")</f>
        <v>0</v>
      </c>
      <c r="J544">
        <f ca="1">IFERROR(SUMIFS(OFFSET(DBRA_TopicHCP,0,J$217,DBR_COUNT,1),DBRA_WorkplanDate,$C544,DBRA_PlayerID,$D$3),"")</f>
        <v>0</v>
      </c>
      <c r="K544">
        <f ca="1">IFERROR(SUMIFS(OFFSET(DBRA_TopicHCP,0,K$217,DBR_COUNT,1),DBRA_WorkplanDate,$C544,DBRA_PlayerID,$D$3),"")</f>
        <v>0</v>
      </c>
      <c r="L544">
        <f ca="1">IFERROR(SUMIFS(OFFSET(DBRA_TopicHCP,0,L$217,DBR_COUNT,1),DBRA_WorkplanDate,$C544,DBRA_PlayerID,$D$3),"")</f>
        <v>0</v>
      </c>
      <c r="M544" s="47"/>
      <c r="N544">
        <f ca="1">IFERROR(SUMIFS(OFFSET(DBRA_TopicCount,0,N$217,DBR_COUNT,1),DBRA_WorkplanDate,$C544,DBRA_PlayerID,$D$3),"")</f>
        <v>0</v>
      </c>
      <c r="O544">
        <f ca="1">IFERROR(SUMIFS(OFFSET(DBRA_TopicCount,0,O$217,DBR_COUNT,1),DBRA_WorkplanDate,$C544,DBRA_PlayerID,$D$3),"")</f>
        <v>0</v>
      </c>
      <c r="P544">
        <f ca="1">IFERROR(SUMIFS(OFFSET(DBRA_TopicCount,0,P$217,DBR_COUNT,1),DBRA_WorkplanDate,$C544,DBRA_PlayerID,$D$3),"")</f>
        <v>0</v>
      </c>
      <c r="Q544">
        <f ca="1">IFERROR(SUMIFS(OFFSET(DBRA_TopicCount,0,Q$217,DBR_COUNT,1),DBRA_WorkplanDate,$C544,DBRA_PlayerID,$D$3),"")</f>
        <v>0</v>
      </c>
      <c r="R544">
        <f ca="1">IFERROR(SUMIFS(OFFSET(DBRA_TopicCount,0,R$217,DBR_COUNT,1),DBRA_WorkplanDate,$C544,DBRA_PlayerID,$D$3),"")</f>
        <v>0</v>
      </c>
      <c r="S544">
        <f ca="1">IFERROR(SUMIFS(OFFSET(DBRA_TopicCount,0,S$217,DBR_COUNT,1),DBRA_WorkplanDate,$C544,DBRA_PlayerID,$D$3),"")</f>
        <v>0</v>
      </c>
      <c r="T544">
        <f ca="1">IFERROR(SUMIFS(OFFSET(DBRA_TopicCount,0,T$217,DBR_COUNT,1),DBRA_WorkplanDate,$C544,DBRA_PlayerID,$D$3),"")</f>
        <v>0</v>
      </c>
      <c r="U544">
        <f ca="1">IFERROR(SUMIFS(OFFSET(DBRA_TopicCount,0,U$217,DBR_COUNT,1),DBRA_WorkplanDate,$C544,DBRA_PlayerID,$D$3),"")</f>
        <v>0</v>
      </c>
      <c r="V544">
        <f ca="1">IFERROR(SUMIFS(OFFSET(DBRA_TopicCount,0,V$217,DBR_COUNT,1),DBRA_WorkplanDate,$C544,DBRA_PlayerID,$D$3),"")</f>
        <v>0</v>
      </c>
      <c r="W544" s="47"/>
      <c r="X544" t="str">
        <f t="shared" ca="1" si="124"/>
        <v/>
      </c>
      <c r="Y544" t="str">
        <f t="shared" ca="1" si="116"/>
        <v/>
      </c>
      <c r="Z544" t="str">
        <f t="shared" ca="1" si="117"/>
        <v/>
      </c>
      <c r="AA544" t="str">
        <f t="shared" ca="1" si="118"/>
        <v/>
      </c>
      <c r="AB544" t="str">
        <f t="shared" ca="1" si="119"/>
        <v/>
      </c>
      <c r="AC544" t="str">
        <f t="shared" ca="1" si="120"/>
        <v/>
      </c>
      <c r="AD544" t="str">
        <f t="shared" ca="1" si="121"/>
        <v/>
      </c>
      <c r="AE544" t="str">
        <f t="shared" ca="1" si="122"/>
        <v/>
      </c>
      <c r="AF544" t="str">
        <f t="shared" ca="1" si="123"/>
        <v/>
      </c>
      <c r="AG544" s="47"/>
    </row>
    <row r="545" spans="3:33" x14ac:dyDescent="0.25">
      <c r="C545" s="118">
        <f t="shared" si="125"/>
        <v>42331</v>
      </c>
      <c r="D545">
        <f ca="1">IFERROR(SUMIFS(OFFSET(DBRA_TopicHCP,0,D$217,DBR_COUNT,1),DBRA_WorkplanDate,$C545,DBRA_PlayerID,$D$3),"")</f>
        <v>0</v>
      </c>
      <c r="E545">
        <f ca="1">IFERROR(SUMIFS(OFFSET(DBRA_TopicHCP,0,E$217,DBR_COUNT,1),DBRA_WorkplanDate,$C545,DBRA_PlayerID,$D$3),"")</f>
        <v>0</v>
      </c>
      <c r="F545">
        <f ca="1">IFERROR(SUMIFS(OFFSET(DBRA_TopicHCP,0,F$217,DBR_COUNT,1),DBRA_WorkplanDate,$C545,DBRA_PlayerID,$D$3),"")</f>
        <v>0</v>
      </c>
      <c r="G545">
        <f ca="1">IFERROR(SUMIFS(OFFSET(DBRA_TopicHCP,0,G$217,DBR_COUNT,1),DBRA_WorkplanDate,$C545,DBRA_PlayerID,$D$3),"")</f>
        <v>0</v>
      </c>
      <c r="H545">
        <f ca="1">IFERROR(SUMIFS(OFFSET(DBRA_TopicHCP,0,H$217,DBR_COUNT,1),DBRA_WorkplanDate,$C545,DBRA_PlayerID,$D$3),"")</f>
        <v>0</v>
      </c>
      <c r="I545">
        <f ca="1">IFERROR(SUMIFS(OFFSET(DBRA_TopicHCP,0,I$217,DBR_COUNT,1),DBRA_WorkplanDate,$C545,DBRA_PlayerID,$D$3),"")</f>
        <v>0</v>
      </c>
      <c r="J545">
        <f ca="1">IFERROR(SUMIFS(OFFSET(DBRA_TopicHCP,0,J$217,DBR_COUNT,1),DBRA_WorkplanDate,$C545,DBRA_PlayerID,$D$3),"")</f>
        <v>0</v>
      </c>
      <c r="K545">
        <f ca="1">IFERROR(SUMIFS(OFFSET(DBRA_TopicHCP,0,K$217,DBR_COUNT,1),DBRA_WorkplanDate,$C545,DBRA_PlayerID,$D$3),"")</f>
        <v>0</v>
      </c>
      <c r="L545">
        <f ca="1">IFERROR(SUMIFS(OFFSET(DBRA_TopicHCP,0,L$217,DBR_COUNT,1),DBRA_WorkplanDate,$C545,DBRA_PlayerID,$D$3),"")</f>
        <v>0</v>
      </c>
      <c r="M545" s="47"/>
      <c r="N545">
        <f ca="1">IFERROR(SUMIFS(OFFSET(DBRA_TopicCount,0,N$217,DBR_COUNT,1),DBRA_WorkplanDate,$C545,DBRA_PlayerID,$D$3),"")</f>
        <v>0</v>
      </c>
      <c r="O545">
        <f ca="1">IFERROR(SUMIFS(OFFSET(DBRA_TopicCount,0,O$217,DBR_COUNT,1),DBRA_WorkplanDate,$C545,DBRA_PlayerID,$D$3),"")</f>
        <v>0</v>
      </c>
      <c r="P545">
        <f ca="1">IFERROR(SUMIFS(OFFSET(DBRA_TopicCount,0,P$217,DBR_COUNT,1),DBRA_WorkplanDate,$C545,DBRA_PlayerID,$D$3),"")</f>
        <v>0</v>
      </c>
      <c r="Q545">
        <f ca="1">IFERROR(SUMIFS(OFFSET(DBRA_TopicCount,0,Q$217,DBR_COUNT,1),DBRA_WorkplanDate,$C545,DBRA_PlayerID,$D$3),"")</f>
        <v>0</v>
      </c>
      <c r="R545">
        <f ca="1">IFERROR(SUMIFS(OFFSET(DBRA_TopicCount,0,R$217,DBR_COUNT,1),DBRA_WorkplanDate,$C545,DBRA_PlayerID,$D$3),"")</f>
        <v>0</v>
      </c>
      <c r="S545">
        <f ca="1">IFERROR(SUMIFS(OFFSET(DBRA_TopicCount,0,S$217,DBR_COUNT,1),DBRA_WorkplanDate,$C545,DBRA_PlayerID,$D$3),"")</f>
        <v>0</v>
      </c>
      <c r="T545">
        <f ca="1">IFERROR(SUMIFS(OFFSET(DBRA_TopicCount,0,T$217,DBR_COUNT,1),DBRA_WorkplanDate,$C545,DBRA_PlayerID,$D$3),"")</f>
        <v>0</v>
      </c>
      <c r="U545">
        <f ca="1">IFERROR(SUMIFS(OFFSET(DBRA_TopicCount,0,U$217,DBR_COUNT,1),DBRA_WorkplanDate,$C545,DBRA_PlayerID,$D$3),"")</f>
        <v>0</v>
      </c>
      <c r="V545">
        <f ca="1">IFERROR(SUMIFS(OFFSET(DBRA_TopicCount,0,V$217,DBR_COUNT,1),DBRA_WorkplanDate,$C545,DBRA_PlayerID,$D$3),"")</f>
        <v>0</v>
      </c>
      <c r="W545" s="47"/>
      <c r="X545" t="str">
        <f t="shared" ca="1" si="124"/>
        <v/>
      </c>
      <c r="Y545" t="str">
        <f t="shared" ca="1" si="116"/>
        <v/>
      </c>
      <c r="Z545" t="str">
        <f t="shared" ca="1" si="117"/>
        <v/>
      </c>
      <c r="AA545" t="str">
        <f t="shared" ca="1" si="118"/>
        <v/>
      </c>
      <c r="AB545" t="str">
        <f t="shared" ca="1" si="119"/>
        <v/>
      </c>
      <c r="AC545" t="str">
        <f t="shared" ca="1" si="120"/>
        <v/>
      </c>
      <c r="AD545" t="str">
        <f t="shared" ca="1" si="121"/>
        <v/>
      </c>
      <c r="AE545" t="str">
        <f t="shared" ca="1" si="122"/>
        <v/>
      </c>
      <c r="AF545" t="str">
        <f t="shared" ca="1" si="123"/>
        <v/>
      </c>
      <c r="AG545" s="47"/>
    </row>
    <row r="546" spans="3:33" x14ac:dyDescent="0.25">
      <c r="C546" s="118">
        <f t="shared" si="125"/>
        <v>42332</v>
      </c>
      <c r="D546">
        <f ca="1">IFERROR(SUMIFS(OFFSET(DBRA_TopicHCP,0,D$217,DBR_COUNT,1),DBRA_WorkplanDate,$C546,DBRA_PlayerID,$D$3),"")</f>
        <v>0</v>
      </c>
      <c r="E546">
        <f ca="1">IFERROR(SUMIFS(OFFSET(DBRA_TopicHCP,0,E$217,DBR_COUNT,1),DBRA_WorkplanDate,$C546,DBRA_PlayerID,$D$3),"")</f>
        <v>0</v>
      </c>
      <c r="F546">
        <f ca="1">IFERROR(SUMIFS(OFFSET(DBRA_TopicHCP,0,F$217,DBR_COUNT,1),DBRA_WorkplanDate,$C546,DBRA_PlayerID,$D$3),"")</f>
        <v>0</v>
      </c>
      <c r="G546">
        <f ca="1">IFERROR(SUMIFS(OFFSET(DBRA_TopicHCP,0,G$217,DBR_COUNT,1),DBRA_WorkplanDate,$C546,DBRA_PlayerID,$D$3),"")</f>
        <v>0</v>
      </c>
      <c r="H546">
        <f ca="1">IFERROR(SUMIFS(OFFSET(DBRA_TopicHCP,0,H$217,DBR_COUNT,1),DBRA_WorkplanDate,$C546,DBRA_PlayerID,$D$3),"")</f>
        <v>0</v>
      </c>
      <c r="I546">
        <f ca="1">IFERROR(SUMIFS(OFFSET(DBRA_TopicHCP,0,I$217,DBR_COUNT,1),DBRA_WorkplanDate,$C546,DBRA_PlayerID,$D$3),"")</f>
        <v>0</v>
      </c>
      <c r="J546">
        <f ca="1">IFERROR(SUMIFS(OFFSET(DBRA_TopicHCP,0,J$217,DBR_COUNT,1),DBRA_WorkplanDate,$C546,DBRA_PlayerID,$D$3),"")</f>
        <v>0</v>
      </c>
      <c r="K546">
        <f ca="1">IFERROR(SUMIFS(OFFSET(DBRA_TopicHCP,0,K$217,DBR_COUNT,1),DBRA_WorkplanDate,$C546,DBRA_PlayerID,$D$3),"")</f>
        <v>0</v>
      </c>
      <c r="L546">
        <f ca="1">IFERROR(SUMIFS(OFFSET(DBRA_TopicHCP,0,L$217,DBR_COUNT,1),DBRA_WorkplanDate,$C546,DBRA_PlayerID,$D$3),"")</f>
        <v>0</v>
      </c>
      <c r="M546" s="47"/>
      <c r="N546">
        <f ca="1">IFERROR(SUMIFS(OFFSET(DBRA_TopicCount,0,N$217,DBR_COUNT,1),DBRA_WorkplanDate,$C546,DBRA_PlayerID,$D$3),"")</f>
        <v>0</v>
      </c>
      <c r="O546">
        <f ca="1">IFERROR(SUMIFS(OFFSET(DBRA_TopicCount,0,O$217,DBR_COUNT,1),DBRA_WorkplanDate,$C546,DBRA_PlayerID,$D$3),"")</f>
        <v>0</v>
      </c>
      <c r="P546">
        <f ca="1">IFERROR(SUMIFS(OFFSET(DBRA_TopicCount,0,P$217,DBR_COUNT,1),DBRA_WorkplanDate,$C546,DBRA_PlayerID,$D$3),"")</f>
        <v>0</v>
      </c>
      <c r="Q546">
        <f ca="1">IFERROR(SUMIFS(OFFSET(DBRA_TopicCount,0,Q$217,DBR_COUNT,1),DBRA_WorkplanDate,$C546,DBRA_PlayerID,$D$3),"")</f>
        <v>0</v>
      </c>
      <c r="R546">
        <f ca="1">IFERROR(SUMIFS(OFFSET(DBRA_TopicCount,0,R$217,DBR_COUNT,1),DBRA_WorkplanDate,$C546,DBRA_PlayerID,$D$3),"")</f>
        <v>0</v>
      </c>
      <c r="S546">
        <f ca="1">IFERROR(SUMIFS(OFFSET(DBRA_TopicCount,0,S$217,DBR_COUNT,1),DBRA_WorkplanDate,$C546,DBRA_PlayerID,$D$3),"")</f>
        <v>0</v>
      </c>
      <c r="T546">
        <f ca="1">IFERROR(SUMIFS(OFFSET(DBRA_TopicCount,0,T$217,DBR_COUNT,1),DBRA_WorkplanDate,$C546,DBRA_PlayerID,$D$3),"")</f>
        <v>0</v>
      </c>
      <c r="U546">
        <f ca="1">IFERROR(SUMIFS(OFFSET(DBRA_TopicCount,0,U$217,DBR_COUNT,1),DBRA_WorkplanDate,$C546,DBRA_PlayerID,$D$3),"")</f>
        <v>0</v>
      </c>
      <c r="V546">
        <f ca="1">IFERROR(SUMIFS(OFFSET(DBRA_TopicCount,0,V$217,DBR_COUNT,1),DBRA_WorkplanDate,$C546,DBRA_PlayerID,$D$3),"")</f>
        <v>0</v>
      </c>
      <c r="W546" s="47"/>
      <c r="X546" t="str">
        <f t="shared" ca="1" si="124"/>
        <v/>
      </c>
      <c r="Y546" t="str">
        <f t="shared" ca="1" si="116"/>
        <v/>
      </c>
      <c r="Z546" t="str">
        <f t="shared" ca="1" si="117"/>
        <v/>
      </c>
      <c r="AA546" t="str">
        <f t="shared" ca="1" si="118"/>
        <v/>
      </c>
      <c r="AB546" t="str">
        <f t="shared" ca="1" si="119"/>
        <v/>
      </c>
      <c r="AC546" t="str">
        <f t="shared" ca="1" si="120"/>
        <v/>
      </c>
      <c r="AD546" t="str">
        <f t="shared" ca="1" si="121"/>
        <v/>
      </c>
      <c r="AE546" t="str">
        <f t="shared" ca="1" si="122"/>
        <v/>
      </c>
      <c r="AF546" t="str">
        <f t="shared" ca="1" si="123"/>
        <v/>
      </c>
      <c r="AG546" s="47"/>
    </row>
    <row r="547" spans="3:33" x14ac:dyDescent="0.25">
      <c r="C547" s="118">
        <f t="shared" si="125"/>
        <v>42333</v>
      </c>
      <c r="D547">
        <f ca="1">IFERROR(SUMIFS(OFFSET(DBRA_TopicHCP,0,D$217,DBR_COUNT,1),DBRA_WorkplanDate,$C547,DBRA_PlayerID,$D$3),"")</f>
        <v>0</v>
      </c>
      <c r="E547">
        <f ca="1">IFERROR(SUMIFS(OFFSET(DBRA_TopicHCP,0,E$217,DBR_COUNT,1),DBRA_WorkplanDate,$C547,DBRA_PlayerID,$D$3),"")</f>
        <v>0</v>
      </c>
      <c r="F547">
        <f ca="1">IFERROR(SUMIFS(OFFSET(DBRA_TopicHCP,0,F$217,DBR_COUNT,1),DBRA_WorkplanDate,$C547,DBRA_PlayerID,$D$3),"")</f>
        <v>0</v>
      </c>
      <c r="G547">
        <f ca="1">IFERROR(SUMIFS(OFFSET(DBRA_TopicHCP,0,G$217,DBR_COUNT,1),DBRA_WorkplanDate,$C547,DBRA_PlayerID,$D$3),"")</f>
        <v>0</v>
      </c>
      <c r="H547">
        <f ca="1">IFERROR(SUMIFS(OFFSET(DBRA_TopicHCP,0,H$217,DBR_COUNT,1),DBRA_WorkplanDate,$C547,DBRA_PlayerID,$D$3),"")</f>
        <v>0</v>
      </c>
      <c r="I547">
        <f ca="1">IFERROR(SUMIFS(OFFSET(DBRA_TopicHCP,0,I$217,DBR_COUNT,1),DBRA_WorkplanDate,$C547,DBRA_PlayerID,$D$3),"")</f>
        <v>0</v>
      </c>
      <c r="J547">
        <f ca="1">IFERROR(SUMIFS(OFFSET(DBRA_TopicHCP,0,J$217,DBR_COUNT,1),DBRA_WorkplanDate,$C547,DBRA_PlayerID,$D$3),"")</f>
        <v>0</v>
      </c>
      <c r="K547">
        <f ca="1">IFERROR(SUMIFS(OFFSET(DBRA_TopicHCP,0,K$217,DBR_COUNT,1),DBRA_WorkplanDate,$C547,DBRA_PlayerID,$D$3),"")</f>
        <v>0</v>
      </c>
      <c r="L547">
        <f ca="1">IFERROR(SUMIFS(OFFSET(DBRA_TopicHCP,0,L$217,DBR_COUNT,1),DBRA_WorkplanDate,$C547,DBRA_PlayerID,$D$3),"")</f>
        <v>0</v>
      </c>
      <c r="M547" s="47"/>
      <c r="N547">
        <f ca="1">IFERROR(SUMIFS(OFFSET(DBRA_TopicCount,0,N$217,DBR_COUNT,1),DBRA_WorkplanDate,$C547,DBRA_PlayerID,$D$3),"")</f>
        <v>0</v>
      </c>
      <c r="O547">
        <f ca="1">IFERROR(SUMIFS(OFFSET(DBRA_TopicCount,0,O$217,DBR_COUNT,1),DBRA_WorkplanDate,$C547,DBRA_PlayerID,$D$3),"")</f>
        <v>0</v>
      </c>
      <c r="P547">
        <f ca="1">IFERROR(SUMIFS(OFFSET(DBRA_TopicCount,0,P$217,DBR_COUNT,1),DBRA_WorkplanDate,$C547,DBRA_PlayerID,$D$3),"")</f>
        <v>0</v>
      </c>
      <c r="Q547">
        <f ca="1">IFERROR(SUMIFS(OFFSET(DBRA_TopicCount,0,Q$217,DBR_COUNT,1),DBRA_WorkplanDate,$C547,DBRA_PlayerID,$D$3),"")</f>
        <v>0</v>
      </c>
      <c r="R547">
        <f ca="1">IFERROR(SUMIFS(OFFSET(DBRA_TopicCount,0,R$217,DBR_COUNT,1),DBRA_WorkplanDate,$C547,DBRA_PlayerID,$D$3),"")</f>
        <v>0</v>
      </c>
      <c r="S547">
        <f ca="1">IFERROR(SUMIFS(OFFSET(DBRA_TopicCount,0,S$217,DBR_COUNT,1),DBRA_WorkplanDate,$C547,DBRA_PlayerID,$D$3),"")</f>
        <v>0</v>
      </c>
      <c r="T547">
        <f ca="1">IFERROR(SUMIFS(OFFSET(DBRA_TopicCount,0,T$217,DBR_COUNT,1),DBRA_WorkplanDate,$C547,DBRA_PlayerID,$D$3),"")</f>
        <v>0</v>
      </c>
      <c r="U547">
        <f ca="1">IFERROR(SUMIFS(OFFSET(DBRA_TopicCount,0,U$217,DBR_COUNT,1),DBRA_WorkplanDate,$C547,DBRA_PlayerID,$D$3),"")</f>
        <v>0</v>
      </c>
      <c r="V547">
        <f ca="1">IFERROR(SUMIFS(OFFSET(DBRA_TopicCount,0,V$217,DBR_COUNT,1),DBRA_WorkplanDate,$C547,DBRA_PlayerID,$D$3),"")</f>
        <v>0</v>
      </c>
      <c r="W547" s="47"/>
      <c r="X547" t="str">
        <f t="shared" ca="1" si="124"/>
        <v/>
      </c>
      <c r="Y547" t="str">
        <f t="shared" ca="1" si="116"/>
        <v/>
      </c>
      <c r="Z547" t="str">
        <f t="shared" ca="1" si="117"/>
        <v/>
      </c>
      <c r="AA547" t="str">
        <f t="shared" ca="1" si="118"/>
        <v/>
      </c>
      <c r="AB547" t="str">
        <f t="shared" ca="1" si="119"/>
        <v/>
      </c>
      <c r="AC547" t="str">
        <f t="shared" ca="1" si="120"/>
        <v/>
      </c>
      <c r="AD547" t="str">
        <f t="shared" ca="1" si="121"/>
        <v/>
      </c>
      <c r="AE547" t="str">
        <f t="shared" ca="1" si="122"/>
        <v/>
      </c>
      <c r="AF547" t="str">
        <f t="shared" ca="1" si="123"/>
        <v/>
      </c>
      <c r="AG547" s="47"/>
    </row>
    <row r="548" spans="3:33" x14ac:dyDescent="0.25">
      <c r="C548" s="118">
        <f t="shared" si="125"/>
        <v>42334</v>
      </c>
      <c r="D548">
        <f ca="1">IFERROR(SUMIFS(OFFSET(DBRA_TopicHCP,0,D$217,DBR_COUNT,1),DBRA_WorkplanDate,$C548,DBRA_PlayerID,$D$3),"")</f>
        <v>0</v>
      </c>
      <c r="E548">
        <f ca="1">IFERROR(SUMIFS(OFFSET(DBRA_TopicHCP,0,E$217,DBR_COUNT,1),DBRA_WorkplanDate,$C548,DBRA_PlayerID,$D$3),"")</f>
        <v>0</v>
      </c>
      <c r="F548">
        <f ca="1">IFERROR(SUMIFS(OFFSET(DBRA_TopicHCP,0,F$217,DBR_COUNT,1),DBRA_WorkplanDate,$C548,DBRA_PlayerID,$D$3),"")</f>
        <v>0</v>
      </c>
      <c r="G548">
        <f ca="1">IFERROR(SUMIFS(OFFSET(DBRA_TopicHCP,0,G$217,DBR_COUNT,1),DBRA_WorkplanDate,$C548,DBRA_PlayerID,$D$3),"")</f>
        <v>0</v>
      </c>
      <c r="H548">
        <f ca="1">IFERROR(SUMIFS(OFFSET(DBRA_TopicHCP,0,H$217,DBR_COUNT,1),DBRA_WorkplanDate,$C548,DBRA_PlayerID,$D$3),"")</f>
        <v>0</v>
      </c>
      <c r="I548">
        <f ca="1">IFERROR(SUMIFS(OFFSET(DBRA_TopicHCP,0,I$217,DBR_COUNT,1),DBRA_WorkplanDate,$C548,DBRA_PlayerID,$D$3),"")</f>
        <v>0</v>
      </c>
      <c r="J548">
        <f ca="1">IFERROR(SUMIFS(OFFSET(DBRA_TopicHCP,0,J$217,DBR_COUNT,1),DBRA_WorkplanDate,$C548,DBRA_PlayerID,$D$3),"")</f>
        <v>0</v>
      </c>
      <c r="K548">
        <f ca="1">IFERROR(SUMIFS(OFFSET(DBRA_TopicHCP,0,K$217,DBR_COUNT,1),DBRA_WorkplanDate,$C548,DBRA_PlayerID,$D$3),"")</f>
        <v>0</v>
      </c>
      <c r="L548">
        <f ca="1">IFERROR(SUMIFS(OFFSET(DBRA_TopicHCP,0,L$217,DBR_COUNT,1),DBRA_WorkplanDate,$C548,DBRA_PlayerID,$D$3),"")</f>
        <v>0</v>
      </c>
      <c r="M548" s="47"/>
      <c r="N548">
        <f ca="1">IFERROR(SUMIFS(OFFSET(DBRA_TopicCount,0,N$217,DBR_COUNT,1),DBRA_WorkplanDate,$C548,DBRA_PlayerID,$D$3),"")</f>
        <v>0</v>
      </c>
      <c r="O548">
        <f ca="1">IFERROR(SUMIFS(OFFSET(DBRA_TopicCount,0,O$217,DBR_COUNT,1),DBRA_WorkplanDate,$C548,DBRA_PlayerID,$D$3),"")</f>
        <v>0</v>
      </c>
      <c r="P548">
        <f ca="1">IFERROR(SUMIFS(OFFSET(DBRA_TopicCount,0,P$217,DBR_COUNT,1),DBRA_WorkplanDate,$C548,DBRA_PlayerID,$D$3),"")</f>
        <v>0</v>
      </c>
      <c r="Q548">
        <f ca="1">IFERROR(SUMIFS(OFFSET(DBRA_TopicCount,0,Q$217,DBR_COUNT,1),DBRA_WorkplanDate,$C548,DBRA_PlayerID,$D$3),"")</f>
        <v>0</v>
      </c>
      <c r="R548">
        <f ca="1">IFERROR(SUMIFS(OFFSET(DBRA_TopicCount,0,R$217,DBR_COUNT,1),DBRA_WorkplanDate,$C548,DBRA_PlayerID,$D$3),"")</f>
        <v>0</v>
      </c>
      <c r="S548">
        <f ca="1">IFERROR(SUMIFS(OFFSET(DBRA_TopicCount,0,S$217,DBR_COUNT,1),DBRA_WorkplanDate,$C548,DBRA_PlayerID,$D$3),"")</f>
        <v>0</v>
      </c>
      <c r="T548">
        <f ca="1">IFERROR(SUMIFS(OFFSET(DBRA_TopicCount,0,T$217,DBR_COUNT,1),DBRA_WorkplanDate,$C548,DBRA_PlayerID,$D$3),"")</f>
        <v>0</v>
      </c>
      <c r="U548">
        <f ca="1">IFERROR(SUMIFS(OFFSET(DBRA_TopicCount,0,U$217,DBR_COUNT,1),DBRA_WorkplanDate,$C548,DBRA_PlayerID,$D$3),"")</f>
        <v>0</v>
      </c>
      <c r="V548">
        <f ca="1">IFERROR(SUMIFS(OFFSET(DBRA_TopicCount,0,V$217,DBR_COUNT,1),DBRA_WorkplanDate,$C548,DBRA_PlayerID,$D$3),"")</f>
        <v>0</v>
      </c>
      <c r="W548" s="47"/>
      <c r="X548" t="str">
        <f t="shared" ca="1" si="124"/>
        <v/>
      </c>
      <c r="Y548" t="str">
        <f t="shared" ca="1" si="116"/>
        <v/>
      </c>
      <c r="Z548" t="str">
        <f t="shared" ca="1" si="117"/>
        <v/>
      </c>
      <c r="AA548" t="str">
        <f t="shared" ca="1" si="118"/>
        <v/>
      </c>
      <c r="AB548" t="str">
        <f t="shared" ca="1" si="119"/>
        <v/>
      </c>
      <c r="AC548" t="str">
        <f t="shared" ca="1" si="120"/>
        <v/>
      </c>
      <c r="AD548" t="str">
        <f t="shared" ca="1" si="121"/>
        <v/>
      </c>
      <c r="AE548" t="str">
        <f t="shared" ca="1" si="122"/>
        <v/>
      </c>
      <c r="AF548" t="str">
        <f t="shared" ca="1" si="123"/>
        <v/>
      </c>
      <c r="AG548" s="47"/>
    </row>
    <row r="549" spans="3:33" x14ac:dyDescent="0.25">
      <c r="C549" s="118">
        <f t="shared" si="125"/>
        <v>42335</v>
      </c>
      <c r="D549">
        <f ca="1">IFERROR(SUMIFS(OFFSET(DBRA_TopicHCP,0,D$217,DBR_COUNT,1),DBRA_WorkplanDate,$C549,DBRA_PlayerID,$D$3),"")</f>
        <v>0</v>
      </c>
      <c r="E549">
        <f ca="1">IFERROR(SUMIFS(OFFSET(DBRA_TopicHCP,0,E$217,DBR_COUNT,1),DBRA_WorkplanDate,$C549,DBRA_PlayerID,$D$3),"")</f>
        <v>0</v>
      </c>
      <c r="F549">
        <f ca="1">IFERROR(SUMIFS(OFFSET(DBRA_TopicHCP,0,F$217,DBR_COUNT,1),DBRA_WorkplanDate,$C549,DBRA_PlayerID,$D$3),"")</f>
        <v>0</v>
      </c>
      <c r="G549">
        <f ca="1">IFERROR(SUMIFS(OFFSET(DBRA_TopicHCP,0,G$217,DBR_COUNT,1),DBRA_WorkplanDate,$C549,DBRA_PlayerID,$D$3),"")</f>
        <v>0</v>
      </c>
      <c r="H549">
        <f ca="1">IFERROR(SUMIFS(OFFSET(DBRA_TopicHCP,0,H$217,DBR_COUNT,1),DBRA_WorkplanDate,$C549,DBRA_PlayerID,$D$3),"")</f>
        <v>0</v>
      </c>
      <c r="I549">
        <f ca="1">IFERROR(SUMIFS(OFFSET(DBRA_TopicHCP,0,I$217,DBR_COUNT,1),DBRA_WorkplanDate,$C549,DBRA_PlayerID,$D$3),"")</f>
        <v>0</v>
      </c>
      <c r="J549">
        <f ca="1">IFERROR(SUMIFS(OFFSET(DBRA_TopicHCP,0,J$217,DBR_COUNT,1),DBRA_WorkplanDate,$C549,DBRA_PlayerID,$D$3),"")</f>
        <v>0</v>
      </c>
      <c r="K549">
        <f ca="1">IFERROR(SUMIFS(OFFSET(DBRA_TopicHCP,0,K$217,DBR_COUNT,1),DBRA_WorkplanDate,$C549,DBRA_PlayerID,$D$3),"")</f>
        <v>0</v>
      </c>
      <c r="L549">
        <f ca="1">IFERROR(SUMIFS(OFFSET(DBRA_TopicHCP,0,L$217,DBR_COUNT,1),DBRA_WorkplanDate,$C549,DBRA_PlayerID,$D$3),"")</f>
        <v>0</v>
      </c>
      <c r="M549" s="47"/>
      <c r="N549">
        <f ca="1">IFERROR(SUMIFS(OFFSET(DBRA_TopicCount,0,N$217,DBR_COUNT,1),DBRA_WorkplanDate,$C549,DBRA_PlayerID,$D$3),"")</f>
        <v>0</v>
      </c>
      <c r="O549">
        <f ca="1">IFERROR(SUMIFS(OFFSET(DBRA_TopicCount,0,O$217,DBR_COUNT,1),DBRA_WorkplanDate,$C549,DBRA_PlayerID,$D$3),"")</f>
        <v>0</v>
      </c>
      <c r="P549">
        <f ca="1">IFERROR(SUMIFS(OFFSET(DBRA_TopicCount,0,P$217,DBR_COUNT,1),DBRA_WorkplanDate,$C549,DBRA_PlayerID,$D$3),"")</f>
        <v>0</v>
      </c>
      <c r="Q549">
        <f ca="1">IFERROR(SUMIFS(OFFSET(DBRA_TopicCount,0,Q$217,DBR_COUNT,1),DBRA_WorkplanDate,$C549,DBRA_PlayerID,$D$3),"")</f>
        <v>0</v>
      </c>
      <c r="R549">
        <f ca="1">IFERROR(SUMIFS(OFFSET(DBRA_TopicCount,0,R$217,DBR_COUNT,1),DBRA_WorkplanDate,$C549,DBRA_PlayerID,$D$3),"")</f>
        <v>0</v>
      </c>
      <c r="S549">
        <f ca="1">IFERROR(SUMIFS(OFFSET(DBRA_TopicCount,0,S$217,DBR_COUNT,1),DBRA_WorkplanDate,$C549,DBRA_PlayerID,$D$3),"")</f>
        <v>0</v>
      </c>
      <c r="T549">
        <f ca="1">IFERROR(SUMIFS(OFFSET(DBRA_TopicCount,0,T$217,DBR_COUNT,1),DBRA_WorkplanDate,$C549,DBRA_PlayerID,$D$3),"")</f>
        <v>0</v>
      </c>
      <c r="U549">
        <f ca="1">IFERROR(SUMIFS(OFFSET(DBRA_TopicCount,0,U$217,DBR_COUNT,1),DBRA_WorkplanDate,$C549,DBRA_PlayerID,$D$3),"")</f>
        <v>0</v>
      </c>
      <c r="V549">
        <f ca="1">IFERROR(SUMIFS(OFFSET(DBRA_TopicCount,0,V$217,DBR_COUNT,1),DBRA_WorkplanDate,$C549,DBRA_PlayerID,$D$3),"")</f>
        <v>0</v>
      </c>
      <c r="W549" s="47"/>
      <c r="X549" t="str">
        <f t="shared" ca="1" si="124"/>
        <v/>
      </c>
      <c r="Y549" t="str">
        <f t="shared" ca="1" si="116"/>
        <v/>
      </c>
      <c r="Z549" t="str">
        <f t="shared" ca="1" si="117"/>
        <v/>
      </c>
      <c r="AA549" t="str">
        <f t="shared" ca="1" si="118"/>
        <v/>
      </c>
      <c r="AB549" t="str">
        <f t="shared" ca="1" si="119"/>
        <v/>
      </c>
      <c r="AC549" t="str">
        <f t="shared" ca="1" si="120"/>
        <v/>
      </c>
      <c r="AD549" t="str">
        <f t="shared" ca="1" si="121"/>
        <v/>
      </c>
      <c r="AE549" t="str">
        <f t="shared" ca="1" si="122"/>
        <v/>
      </c>
      <c r="AF549" t="str">
        <f t="shared" ca="1" si="123"/>
        <v/>
      </c>
      <c r="AG549" s="47"/>
    </row>
    <row r="550" spans="3:33" x14ac:dyDescent="0.25">
      <c r="C550" s="118">
        <f t="shared" si="125"/>
        <v>42336</v>
      </c>
      <c r="D550">
        <f ca="1">IFERROR(SUMIFS(OFFSET(DBRA_TopicHCP,0,D$217,DBR_COUNT,1),DBRA_WorkplanDate,$C550,DBRA_PlayerID,$D$3),"")</f>
        <v>0</v>
      </c>
      <c r="E550">
        <f ca="1">IFERROR(SUMIFS(OFFSET(DBRA_TopicHCP,0,E$217,DBR_COUNT,1),DBRA_WorkplanDate,$C550,DBRA_PlayerID,$D$3),"")</f>
        <v>0</v>
      </c>
      <c r="F550">
        <f ca="1">IFERROR(SUMIFS(OFFSET(DBRA_TopicHCP,0,F$217,DBR_COUNT,1),DBRA_WorkplanDate,$C550,DBRA_PlayerID,$D$3),"")</f>
        <v>0</v>
      </c>
      <c r="G550">
        <f ca="1">IFERROR(SUMIFS(OFFSET(DBRA_TopicHCP,0,G$217,DBR_COUNT,1),DBRA_WorkplanDate,$C550,DBRA_PlayerID,$D$3),"")</f>
        <v>0</v>
      </c>
      <c r="H550">
        <f ca="1">IFERROR(SUMIFS(OFFSET(DBRA_TopicHCP,0,H$217,DBR_COUNT,1),DBRA_WorkplanDate,$C550,DBRA_PlayerID,$D$3),"")</f>
        <v>0</v>
      </c>
      <c r="I550">
        <f ca="1">IFERROR(SUMIFS(OFFSET(DBRA_TopicHCP,0,I$217,DBR_COUNT,1),DBRA_WorkplanDate,$C550,DBRA_PlayerID,$D$3),"")</f>
        <v>0</v>
      </c>
      <c r="J550">
        <f ca="1">IFERROR(SUMIFS(OFFSET(DBRA_TopicHCP,0,J$217,DBR_COUNT,1),DBRA_WorkplanDate,$C550,DBRA_PlayerID,$D$3),"")</f>
        <v>0</v>
      </c>
      <c r="K550">
        <f ca="1">IFERROR(SUMIFS(OFFSET(DBRA_TopicHCP,0,K$217,DBR_COUNT,1),DBRA_WorkplanDate,$C550,DBRA_PlayerID,$D$3),"")</f>
        <v>0</v>
      </c>
      <c r="L550">
        <f ca="1">IFERROR(SUMIFS(OFFSET(DBRA_TopicHCP,0,L$217,DBR_COUNT,1),DBRA_WorkplanDate,$C550,DBRA_PlayerID,$D$3),"")</f>
        <v>0</v>
      </c>
      <c r="M550" s="47"/>
      <c r="N550">
        <f ca="1">IFERROR(SUMIFS(OFFSET(DBRA_TopicCount,0,N$217,DBR_COUNT,1),DBRA_WorkplanDate,$C550,DBRA_PlayerID,$D$3),"")</f>
        <v>0</v>
      </c>
      <c r="O550">
        <f ca="1">IFERROR(SUMIFS(OFFSET(DBRA_TopicCount,0,O$217,DBR_COUNT,1),DBRA_WorkplanDate,$C550,DBRA_PlayerID,$D$3),"")</f>
        <v>0</v>
      </c>
      <c r="P550">
        <f ca="1">IFERROR(SUMIFS(OFFSET(DBRA_TopicCount,0,P$217,DBR_COUNT,1),DBRA_WorkplanDate,$C550,DBRA_PlayerID,$D$3),"")</f>
        <v>0</v>
      </c>
      <c r="Q550">
        <f ca="1">IFERROR(SUMIFS(OFFSET(DBRA_TopicCount,0,Q$217,DBR_COUNT,1),DBRA_WorkplanDate,$C550,DBRA_PlayerID,$D$3),"")</f>
        <v>0</v>
      </c>
      <c r="R550">
        <f ca="1">IFERROR(SUMIFS(OFFSET(DBRA_TopicCount,0,R$217,DBR_COUNT,1),DBRA_WorkplanDate,$C550,DBRA_PlayerID,$D$3),"")</f>
        <v>0</v>
      </c>
      <c r="S550">
        <f ca="1">IFERROR(SUMIFS(OFFSET(DBRA_TopicCount,0,S$217,DBR_COUNT,1),DBRA_WorkplanDate,$C550,DBRA_PlayerID,$D$3),"")</f>
        <v>0</v>
      </c>
      <c r="T550">
        <f ca="1">IFERROR(SUMIFS(OFFSET(DBRA_TopicCount,0,T$217,DBR_COUNT,1),DBRA_WorkplanDate,$C550,DBRA_PlayerID,$D$3),"")</f>
        <v>0</v>
      </c>
      <c r="U550">
        <f ca="1">IFERROR(SUMIFS(OFFSET(DBRA_TopicCount,0,U$217,DBR_COUNT,1),DBRA_WorkplanDate,$C550,DBRA_PlayerID,$D$3),"")</f>
        <v>0</v>
      </c>
      <c r="V550">
        <f ca="1">IFERROR(SUMIFS(OFFSET(DBRA_TopicCount,0,V$217,DBR_COUNT,1),DBRA_WorkplanDate,$C550,DBRA_PlayerID,$D$3),"")</f>
        <v>0</v>
      </c>
      <c r="W550" s="47"/>
      <c r="X550" t="str">
        <f t="shared" ca="1" si="124"/>
        <v/>
      </c>
      <c r="Y550" t="str">
        <f t="shared" ca="1" si="116"/>
        <v/>
      </c>
      <c r="Z550" t="str">
        <f t="shared" ca="1" si="117"/>
        <v/>
      </c>
      <c r="AA550" t="str">
        <f t="shared" ca="1" si="118"/>
        <v/>
      </c>
      <c r="AB550" t="str">
        <f t="shared" ca="1" si="119"/>
        <v/>
      </c>
      <c r="AC550" t="str">
        <f t="shared" ca="1" si="120"/>
        <v/>
      </c>
      <c r="AD550" t="str">
        <f t="shared" ca="1" si="121"/>
        <v/>
      </c>
      <c r="AE550" t="str">
        <f t="shared" ca="1" si="122"/>
        <v/>
      </c>
      <c r="AF550" t="str">
        <f t="shared" ca="1" si="123"/>
        <v/>
      </c>
      <c r="AG550" s="47"/>
    </row>
    <row r="551" spans="3:33" x14ac:dyDescent="0.25">
      <c r="C551" s="118">
        <f t="shared" si="125"/>
        <v>42337</v>
      </c>
      <c r="D551">
        <f ca="1">IFERROR(SUMIFS(OFFSET(DBRA_TopicHCP,0,D$217,DBR_COUNT,1),DBRA_WorkplanDate,$C551,DBRA_PlayerID,$D$3),"")</f>
        <v>0</v>
      </c>
      <c r="E551">
        <f ca="1">IFERROR(SUMIFS(OFFSET(DBRA_TopicHCP,0,E$217,DBR_COUNT,1),DBRA_WorkplanDate,$C551,DBRA_PlayerID,$D$3),"")</f>
        <v>0</v>
      </c>
      <c r="F551">
        <f ca="1">IFERROR(SUMIFS(OFFSET(DBRA_TopicHCP,0,F$217,DBR_COUNT,1),DBRA_WorkplanDate,$C551,DBRA_PlayerID,$D$3),"")</f>
        <v>0</v>
      </c>
      <c r="G551">
        <f ca="1">IFERROR(SUMIFS(OFFSET(DBRA_TopicHCP,0,G$217,DBR_COUNT,1),DBRA_WorkplanDate,$C551,DBRA_PlayerID,$D$3),"")</f>
        <v>0</v>
      </c>
      <c r="H551">
        <f ca="1">IFERROR(SUMIFS(OFFSET(DBRA_TopicHCP,0,H$217,DBR_COUNT,1),DBRA_WorkplanDate,$C551,DBRA_PlayerID,$D$3),"")</f>
        <v>0</v>
      </c>
      <c r="I551">
        <f ca="1">IFERROR(SUMIFS(OFFSET(DBRA_TopicHCP,0,I$217,DBR_COUNT,1),DBRA_WorkplanDate,$C551,DBRA_PlayerID,$D$3),"")</f>
        <v>0</v>
      </c>
      <c r="J551">
        <f ca="1">IFERROR(SUMIFS(OFFSET(DBRA_TopicHCP,0,J$217,DBR_COUNT,1),DBRA_WorkplanDate,$C551,DBRA_PlayerID,$D$3),"")</f>
        <v>0</v>
      </c>
      <c r="K551">
        <f ca="1">IFERROR(SUMIFS(OFFSET(DBRA_TopicHCP,0,K$217,DBR_COUNT,1),DBRA_WorkplanDate,$C551,DBRA_PlayerID,$D$3),"")</f>
        <v>0</v>
      </c>
      <c r="L551">
        <f ca="1">IFERROR(SUMIFS(OFFSET(DBRA_TopicHCP,0,L$217,DBR_COUNT,1),DBRA_WorkplanDate,$C551,DBRA_PlayerID,$D$3),"")</f>
        <v>0</v>
      </c>
      <c r="M551" s="47"/>
      <c r="N551">
        <f ca="1">IFERROR(SUMIFS(OFFSET(DBRA_TopicCount,0,N$217,DBR_COUNT,1),DBRA_WorkplanDate,$C551,DBRA_PlayerID,$D$3),"")</f>
        <v>0</v>
      </c>
      <c r="O551">
        <f ca="1">IFERROR(SUMIFS(OFFSET(DBRA_TopicCount,0,O$217,DBR_COUNT,1),DBRA_WorkplanDate,$C551,DBRA_PlayerID,$D$3),"")</f>
        <v>0</v>
      </c>
      <c r="P551">
        <f ca="1">IFERROR(SUMIFS(OFFSET(DBRA_TopicCount,0,P$217,DBR_COUNT,1),DBRA_WorkplanDate,$C551,DBRA_PlayerID,$D$3),"")</f>
        <v>0</v>
      </c>
      <c r="Q551">
        <f ca="1">IFERROR(SUMIFS(OFFSET(DBRA_TopicCount,0,Q$217,DBR_COUNT,1),DBRA_WorkplanDate,$C551,DBRA_PlayerID,$D$3),"")</f>
        <v>0</v>
      </c>
      <c r="R551">
        <f ca="1">IFERROR(SUMIFS(OFFSET(DBRA_TopicCount,0,R$217,DBR_COUNT,1),DBRA_WorkplanDate,$C551,DBRA_PlayerID,$D$3),"")</f>
        <v>0</v>
      </c>
      <c r="S551">
        <f ca="1">IFERROR(SUMIFS(OFFSET(DBRA_TopicCount,0,S$217,DBR_COUNT,1),DBRA_WorkplanDate,$C551,DBRA_PlayerID,$D$3),"")</f>
        <v>0</v>
      </c>
      <c r="T551">
        <f ca="1">IFERROR(SUMIFS(OFFSET(DBRA_TopicCount,0,T$217,DBR_COUNT,1),DBRA_WorkplanDate,$C551,DBRA_PlayerID,$D$3),"")</f>
        <v>0</v>
      </c>
      <c r="U551">
        <f ca="1">IFERROR(SUMIFS(OFFSET(DBRA_TopicCount,0,U$217,DBR_COUNT,1),DBRA_WorkplanDate,$C551,DBRA_PlayerID,$D$3),"")</f>
        <v>0</v>
      </c>
      <c r="V551">
        <f ca="1">IFERROR(SUMIFS(OFFSET(DBRA_TopicCount,0,V$217,DBR_COUNT,1),DBRA_WorkplanDate,$C551,DBRA_PlayerID,$D$3),"")</f>
        <v>0</v>
      </c>
      <c r="W551" s="47"/>
      <c r="X551" t="str">
        <f t="shared" ca="1" si="124"/>
        <v/>
      </c>
      <c r="Y551" t="str">
        <f t="shared" ca="1" si="116"/>
        <v/>
      </c>
      <c r="Z551" t="str">
        <f t="shared" ca="1" si="117"/>
        <v/>
      </c>
      <c r="AA551" t="str">
        <f t="shared" ca="1" si="118"/>
        <v/>
      </c>
      <c r="AB551" t="str">
        <f t="shared" ca="1" si="119"/>
        <v/>
      </c>
      <c r="AC551" t="str">
        <f t="shared" ca="1" si="120"/>
        <v/>
      </c>
      <c r="AD551" t="str">
        <f t="shared" ca="1" si="121"/>
        <v/>
      </c>
      <c r="AE551" t="str">
        <f t="shared" ca="1" si="122"/>
        <v/>
      </c>
      <c r="AF551" t="str">
        <f t="shared" ca="1" si="123"/>
        <v/>
      </c>
      <c r="AG551" s="47"/>
    </row>
    <row r="552" spans="3:33" x14ac:dyDescent="0.25">
      <c r="C552" s="118">
        <f t="shared" si="125"/>
        <v>42338</v>
      </c>
      <c r="D552">
        <f ca="1">IFERROR(SUMIFS(OFFSET(DBRA_TopicHCP,0,D$217,DBR_COUNT,1),DBRA_WorkplanDate,$C552,DBRA_PlayerID,$D$3),"")</f>
        <v>0</v>
      </c>
      <c r="E552">
        <f ca="1">IFERROR(SUMIFS(OFFSET(DBRA_TopicHCP,0,E$217,DBR_COUNT,1),DBRA_WorkplanDate,$C552,DBRA_PlayerID,$D$3),"")</f>
        <v>0</v>
      </c>
      <c r="F552">
        <f ca="1">IFERROR(SUMIFS(OFFSET(DBRA_TopicHCP,0,F$217,DBR_COUNT,1),DBRA_WorkplanDate,$C552,DBRA_PlayerID,$D$3),"")</f>
        <v>0</v>
      </c>
      <c r="G552">
        <f ca="1">IFERROR(SUMIFS(OFFSET(DBRA_TopicHCP,0,G$217,DBR_COUNT,1),DBRA_WorkplanDate,$C552,DBRA_PlayerID,$D$3),"")</f>
        <v>0</v>
      </c>
      <c r="H552">
        <f ca="1">IFERROR(SUMIFS(OFFSET(DBRA_TopicHCP,0,H$217,DBR_COUNT,1),DBRA_WorkplanDate,$C552,DBRA_PlayerID,$D$3),"")</f>
        <v>0</v>
      </c>
      <c r="I552">
        <f ca="1">IFERROR(SUMIFS(OFFSET(DBRA_TopicHCP,0,I$217,DBR_COUNT,1),DBRA_WorkplanDate,$C552,DBRA_PlayerID,$D$3),"")</f>
        <v>0</v>
      </c>
      <c r="J552">
        <f ca="1">IFERROR(SUMIFS(OFFSET(DBRA_TopicHCP,0,J$217,DBR_COUNT,1),DBRA_WorkplanDate,$C552,DBRA_PlayerID,$D$3),"")</f>
        <v>0</v>
      </c>
      <c r="K552">
        <f ca="1">IFERROR(SUMIFS(OFFSET(DBRA_TopicHCP,0,K$217,DBR_COUNT,1),DBRA_WorkplanDate,$C552,DBRA_PlayerID,$D$3),"")</f>
        <v>0</v>
      </c>
      <c r="L552">
        <f ca="1">IFERROR(SUMIFS(OFFSET(DBRA_TopicHCP,0,L$217,DBR_COUNT,1),DBRA_WorkplanDate,$C552,DBRA_PlayerID,$D$3),"")</f>
        <v>0</v>
      </c>
      <c r="M552" s="47"/>
      <c r="N552">
        <f ca="1">IFERROR(SUMIFS(OFFSET(DBRA_TopicCount,0,N$217,DBR_COUNT,1),DBRA_WorkplanDate,$C552,DBRA_PlayerID,$D$3),"")</f>
        <v>0</v>
      </c>
      <c r="O552">
        <f ca="1">IFERROR(SUMIFS(OFFSET(DBRA_TopicCount,0,O$217,DBR_COUNT,1),DBRA_WorkplanDate,$C552,DBRA_PlayerID,$D$3),"")</f>
        <v>0</v>
      </c>
      <c r="P552">
        <f ca="1">IFERROR(SUMIFS(OFFSET(DBRA_TopicCount,0,P$217,DBR_COUNT,1),DBRA_WorkplanDate,$C552,DBRA_PlayerID,$D$3),"")</f>
        <v>0</v>
      </c>
      <c r="Q552">
        <f ca="1">IFERROR(SUMIFS(OFFSET(DBRA_TopicCount,0,Q$217,DBR_COUNT,1),DBRA_WorkplanDate,$C552,DBRA_PlayerID,$D$3),"")</f>
        <v>0</v>
      </c>
      <c r="R552">
        <f ca="1">IFERROR(SUMIFS(OFFSET(DBRA_TopicCount,0,R$217,DBR_COUNT,1),DBRA_WorkplanDate,$C552,DBRA_PlayerID,$D$3),"")</f>
        <v>0</v>
      </c>
      <c r="S552">
        <f ca="1">IFERROR(SUMIFS(OFFSET(DBRA_TopicCount,0,S$217,DBR_COUNT,1),DBRA_WorkplanDate,$C552,DBRA_PlayerID,$D$3),"")</f>
        <v>0</v>
      </c>
      <c r="T552">
        <f ca="1">IFERROR(SUMIFS(OFFSET(DBRA_TopicCount,0,T$217,DBR_COUNT,1),DBRA_WorkplanDate,$C552,DBRA_PlayerID,$D$3),"")</f>
        <v>0</v>
      </c>
      <c r="U552">
        <f ca="1">IFERROR(SUMIFS(OFFSET(DBRA_TopicCount,0,U$217,DBR_COUNT,1),DBRA_WorkplanDate,$C552,DBRA_PlayerID,$D$3),"")</f>
        <v>0</v>
      </c>
      <c r="V552">
        <f ca="1">IFERROR(SUMIFS(OFFSET(DBRA_TopicCount,0,V$217,DBR_COUNT,1),DBRA_WorkplanDate,$C552,DBRA_PlayerID,$D$3),"")</f>
        <v>0</v>
      </c>
      <c r="W552" s="47"/>
      <c r="X552" t="str">
        <f t="shared" ca="1" si="124"/>
        <v/>
      </c>
      <c r="Y552" t="str">
        <f t="shared" ca="1" si="116"/>
        <v/>
      </c>
      <c r="Z552" t="str">
        <f t="shared" ca="1" si="117"/>
        <v/>
      </c>
      <c r="AA552" t="str">
        <f t="shared" ca="1" si="118"/>
        <v/>
      </c>
      <c r="AB552" t="str">
        <f t="shared" ca="1" si="119"/>
        <v/>
      </c>
      <c r="AC552" t="str">
        <f t="shared" ca="1" si="120"/>
        <v/>
      </c>
      <c r="AD552" t="str">
        <f t="shared" ca="1" si="121"/>
        <v/>
      </c>
      <c r="AE552" t="str">
        <f t="shared" ca="1" si="122"/>
        <v/>
      </c>
      <c r="AF552" t="str">
        <f t="shared" ca="1" si="123"/>
        <v/>
      </c>
      <c r="AG552" s="47"/>
    </row>
    <row r="553" spans="3:33" x14ac:dyDescent="0.25">
      <c r="C553" s="118">
        <f t="shared" si="125"/>
        <v>42339</v>
      </c>
      <c r="D553">
        <f ca="1">IFERROR(SUMIFS(OFFSET(DBRA_TopicHCP,0,D$217,DBR_COUNT,1),DBRA_WorkplanDate,$C553,DBRA_PlayerID,$D$3),"")</f>
        <v>0</v>
      </c>
      <c r="E553">
        <f ca="1">IFERROR(SUMIFS(OFFSET(DBRA_TopicHCP,0,E$217,DBR_COUNT,1),DBRA_WorkplanDate,$C553,DBRA_PlayerID,$D$3),"")</f>
        <v>0</v>
      </c>
      <c r="F553">
        <f ca="1">IFERROR(SUMIFS(OFFSET(DBRA_TopicHCP,0,F$217,DBR_COUNT,1),DBRA_WorkplanDate,$C553,DBRA_PlayerID,$D$3),"")</f>
        <v>0</v>
      </c>
      <c r="G553">
        <f ca="1">IFERROR(SUMIFS(OFFSET(DBRA_TopicHCP,0,G$217,DBR_COUNT,1),DBRA_WorkplanDate,$C553,DBRA_PlayerID,$D$3),"")</f>
        <v>0</v>
      </c>
      <c r="H553">
        <f ca="1">IFERROR(SUMIFS(OFFSET(DBRA_TopicHCP,0,H$217,DBR_COUNT,1),DBRA_WorkplanDate,$C553,DBRA_PlayerID,$D$3),"")</f>
        <v>0</v>
      </c>
      <c r="I553">
        <f ca="1">IFERROR(SUMIFS(OFFSET(DBRA_TopicHCP,0,I$217,DBR_COUNT,1),DBRA_WorkplanDate,$C553,DBRA_PlayerID,$D$3),"")</f>
        <v>0</v>
      </c>
      <c r="J553">
        <f ca="1">IFERROR(SUMIFS(OFFSET(DBRA_TopicHCP,0,J$217,DBR_COUNT,1),DBRA_WorkplanDate,$C553,DBRA_PlayerID,$D$3),"")</f>
        <v>0</v>
      </c>
      <c r="K553">
        <f ca="1">IFERROR(SUMIFS(OFFSET(DBRA_TopicHCP,0,K$217,DBR_COUNT,1),DBRA_WorkplanDate,$C553,DBRA_PlayerID,$D$3),"")</f>
        <v>0</v>
      </c>
      <c r="L553">
        <f ca="1">IFERROR(SUMIFS(OFFSET(DBRA_TopicHCP,0,L$217,DBR_COUNT,1),DBRA_WorkplanDate,$C553,DBRA_PlayerID,$D$3),"")</f>
        <v>0</v>
      </c>
      <c r="M553" s="47"/>
      <c r="N553">
        <f ca="1">IFERROR(SUMIFS(OFFSET(DBRA_TopicCount,0,N$217,DBR_COUNT,1),DBRA_WorkplanDate,$C553,DBRA_PlayerID,$D$3),"")</f>
        <v>0</v>
      </c>
      <c r="O553">
        <f ca="1">IFERROR(SUMIFS(OFFSET(DBRA_TopicCount,0,O$217,DBR_COUNT,1),DBRA_WorkplanDate,$C553,DBRA_PlayerID,$D$3),"")</f>
        <v>0</v>
      </c>
      <c r="P553">
        <f ca="1">IFERROR(SUMIFS(OFFSET(DBRA_TopicCount,0,P$217,DBR_COUNT,1),DBRA_WorkplanDate,$C553,DBRA_PlayerID,$D$3),"")</f>
        <v>0</v>
      </c>
      <c r="Q553">
        <f ca="1">IFERROR(SUMIFS(OFFSET(DBRA_TopicCount,0,Q$217,DBR_COUNT,1),DBRA_WorkplanDate,$C553,DBRA_PlayerID,$D$3),"")</f>
        <v>0</v>
      </c>
      <c r="R553">
        <f ca="1">IFERROR(SUMIFS(OFFSET(DBRA_TopicCount,0,R$217,DBR_COUNT,1),DBRA_WorkplanDate,$C553,DBRA_PlayerID,$D$3),"")</f>
        <v>0</v>
      </c>
      <c r="S553">
        <f ca="1">IFERROR(SUMIFS(OFFSET(DBRA_TopicCount,0,S$217,DBR_COUNT,1),DBRA_WorkplanDate,$C553,DBRA_PlayerID,$D$3),"")</f>
        <v>0</v>
      </c>
      <c r="T553">
        <f ca="1">IFERROR(SUMIFS(OFFSET(DBRA_TopicCount,0,T$217,DBR_COUNT,1),DBRA_WorkplanDate,$C553,DBRA_PlayerID,$D$3),"")</f>
        <v>0</v>
      </c>
      <c r="U553">
        <f ca="1">IFERROR(SUMIFS(OFFSET(DBRA_TopicCount,0,U$217,DBR_COUNT,1),DBRA_WorkplanDate,$C553,DBRA_PlayerID,$D$3),"")</f>
        <v>0</v>
      </c>
      <c r="V553">
        <f ca="1">IFERROR(SUMIFS(OFFSET(DBRA_TopicCount,0,V$217,DBR_COUNT,1),DBRA_WorkplanDate,$C553,DBRA_PlayerID,$D$3),"")</f>
        <v>0</v>
      </c>
      <c r="W553" s="47"/>
      <c r="X553" t="str">
        <f t="shared" ca="1" si="124"/>
        <v/>
      </c>
      <c r="Y553" t="str">
        <f t="shared" ca="1" si="116"/>
        <v/>
      </c>
      <c r="Z553" t="str">
        <f t="shared" ca="1" si="117"/>
        <v/>
      </c>
      <c r="AA553" t="str">
        <f t="shared" ca="1" si="118"/>
        <v/>
      </c>
      <c r="AB553" t="str">
        <f t="shared" ca="1" si="119"/>
        <v/>
      </c>
      <c r="AC553" t="str">
        <f t="shared" ca="1" si="120"/>
        <v/>
      </c>
      <c r="AD553" t="str">
        <f t="shared" ca="1" si="121"/>
        <v/>
      </c>
      <c r="AE553" t="str">
        <f t="shared" ca="1" si="122"/>
        <v/>
      </c>
      <c r="AF553" t="str">
        <f t="shared" ca="1" si="123"/>
        <v/>
      </c>
      <c r="AG553" s="47"/>
    </row>
    <row r="554" spans="3:33" x14ac:dyDescent="0.25">
      <c r="C554" s="118">
        <f t="shared" si="125"/>
        <v>42340</v>
      </c>
      <c r="D554">
        <f ca="1">IFERROR(SUMIFS(OFFSET(DBRA_TopicHCP,0,D$217,DBR_COUNT,1),DBRA_WorkplanDate,$C554,DBRA_PlayerID,$D$3),"")</f>
        <v>0</v>
      </c>
      <c r="E554">
        <f ca="1">IFERROR(SUMIFS(OFFSET(DBRA_TopicHCP,0,E$217,DBR_COUNT,1),DBRA_WorkplanDate,$C554,DBRA_PlayerID,$D$3),"")</f>
        <v>0</v>
      </c>
      <c r="F554">
        <f ca="1">IFERROR(SUMIFS(OFFSET(DBRA_TopicHCP,0,F$217,DBR_COUNT,1),DBRA_WorkplanDate,$C554,DBRA_PlayerID,$D$3),"")</f>
        <v>0</v>
      </c>
      <c r="G554">
        <f ca="1">IFERROR(SUMIFS(OFFSET(DBRA_TopicHCP,0,G$217,DBR_COUNT,1),DBRA_WorkplanDate,$C554,DBRA_PlayerID,$D$3),"")</f>
        <v>0</v>
      </c>
      <c r="H554">
        <f ca="1">IFERROR(SUMIFS(OFFSET(DBRA_TopicHCP,0,H$217,DBR_COUNT,1),DBRA_WorkplanDate,$C554,DBRA_PlayerID,$D$3),"")</f>
        <v>0</v>
      </c>
      <c r="I554">
        <f ca="1">IFERROR(SUMIFS(OFFSET(DBRA_TopicHCP,0,I$217,DBR_COUNT,1),DBRA_WorkplanDate,$C554,DBRA_PlayerID,$D$3),"")</f>
        <v>0</v>
      </c>
      <c r="J554">
        <f ca="1">IFERROR(SUMIFS(OFFSET(DBRA_TopicHCP,0,J$217,DBR_COUNT,1),DBRA_WorkplanDate,$C554,DBRA_PlayerID,$D$3),"")</f>
        <v>0</v>
      </c>
      <c r="K554">
        <f ca="1">IFERROR(SUMIFS(OFFSET(DBRA_TopicHCP,0,K$217,DBR_COUNT,1),DBRA_WorkplanDate,$C554,DBRA_PlayerID,$D$3),"")</f>
        <v>0</v>
      </c>
      <c r="L554">
        <f ca="1">IFERROR(SUMIFS(OFFSET(DBRA_TopicHCP,0,L$217,DBR_COUNT,1),DBRA_WorkplanDate,$C554,DBRA_PlayerID,$D$3),"")</f>
        <v>0</v>
      </c>
      <c r="M554" s="47"/>
      <c r="N554">
        <f ca="1">IFERROR(SUMIFS(OFFSET(DBRA_TopicCount,0,N$217,DBR_COUNT,1),DBRA_WorkplanDate,$C554,DBRA_PlayerID,$D$3),"")</f>
        <v>0</v>
      </c>
      <c r="O554">
        <f ca="1">IFERROR(SUMIFS(OFFSET(DBRA_TopicCount,0,O$217,DBR_COUNT,1),DBRA_WorkplanDate,$C554,DBRA_PlayerID,$D$3),"")</f>
        <v>0</v>
      </c>
      <c r="P554">
        <f ca="1">IFERROR(SUMIFS(OFFSET(DBRA_TopicCount,0,P$217,DBR_COUNT,1),DBRA_WorkplanDate,$C554,DBRA_PlayerID,$D$3),"")</f>
        <v>0</v>
      </c>
      <c r="Q554">
        <f ca="1">IFERROR(SUMIFS(OFFSET(DBRA_TopicCount,0,Q$217,DBR_COUNT,1),DBRA_WorkplanDate,$C554,DBRA_PlayerID,$D$3),"")</f>
        <v>0</v>
      </c>
      <c r="R554">
        <f ca="1">IFERROR(SUMIFS(OFFSET(DBRA_TopicCount,0,R$217,DBR_COUNT,1),DBRA_WorkplanDate,$C554,DBRA_PlayerID,$D$3),"")</f>
        <v>0</v>
      </c>
      <c r="S554">
        <f ca="1">IFERROR(SUMIFS(OFFSET(DBRA_TopicCount,0,S$217,DBR_COUNT,1),DBRA_WorkplanDate,$C554,DBRA_PlayerID,$D$3),"")</f>
        <v>0</v>
      </c>
      <c r="T554">
        <f ca="1">IFERROR(SUMIFS(OFFSET(DBRA_TopicCount,0,T$217,DBR_COUNT,1),DBRA_WorkplanDate,$C554,DBRA_PlayerID,$D$3),"")</f>
        <v>0</v>
      </c>
      <c r="U554">
        <f ca="1">IFERROR(SUMIFS(OFFSET(DBRA_TopicCount,0,U$217,DBR_COUNT,1),DBRA_WorkplanDate,$C554,DBRA_PlayerID,$D$3),"")</f>
        <v>0</v>
      </c>
      <c r="V554">
        <f ca="1">IFERROR(SUMIFS(OFFSET(DBRA_TopicCount,0,V$217,DBR_COUNT,1),DBRA_WorkplanDate,$C554,DBRA_PlayerID,$D$3),"")</f>
        <v>0</v>
      </c>
      <c r="W554" s="47"/>
      <c r="X554" t="str">
        <f t="shared" ca="1" si="124"/>
        <v/>
      </c>
      <c r="Y554" t="str">
        <f t="shared" ca="1" si="116"/>
        <v/>
      </c>
      <c r="Z554" t="str">
        <f t="shared" ca="1" si="117"/>
        <v/>
      </c>
      <c r="AA554" t="str">
        <f t="shared" ca="1" si="118"/>
        <v/>
      </c>
      <c r="AB554" t="str">
        <f t="shared" ca="1" si="119"/>
        <v/>
      </c>
      <c r="AC554" t="str">
        <f t="shared" ca="1" si="120"/>
        <v/>
      </c>
      <c r="AD554" t="str">
        <f t="shared" ca="1" si="121"/>
        <v/>
      </c>
      <c r="AE554" t="str">
        <f t="shared" ca="1" si="122"/>
        <v/>
      </c>
      <c r="AF554" t="str">
        <f t="shared" ca="1" si="123"/>
        <v/>
      </c>
      <c r="AG554" s="47"/>
    </row>
    <row r="555" spans="3:33" x14ac:dyDescent="0.25">
      <c r="C555" s="118">
        <f t="shared" si="125"/>
        <v>42341</v>
      </c>
      <c r="D555">
        <f ca="1">IFERROR(SUMIFS(OFFSET(DBRA_TopicHCP,0,D$217,DBR_COUNT,1),DBRA_WorkplanDate,$C555,DBRA_PlayerID,$D$3),"")</f>
        <v>0</v>
      </c>
      <c r="E555">
        <f ca="1">IFERROR(SUMIFS(OFFSET(DBRA_TopicHCP,0,E$217,DBR_COUNT,1),DBRA_WorkplanDate,$C555,DBRA_PlayerID,$D$3),"")</f>
        <v>0</v>
      </c>
      <c r="F555">
        <f ca="1">IFERROR(SUMIFS(OFFSET(DBRA_TopicHCP,0,F$217,DBR_COUNT,1),DBRA_WorkplanDate,$C555,DBRA_PlayerID,$D$3),"")</f>
        <v>0</v>
      </c>
      <c r="G555">
        <f ca="1">IFERROR(SUMIFS(OFFSET(DBRA_TopicHCP,0,G$217,DBR_COUNT,1),DBRA_WorkplanDate,$C555,DBRA_PlayerID,$D$3),"")</f>
        <v>0</v>
      </c>
      <c r="H555">
        <f ca="1">IFERROR(SUMIFS(OFFSET(DBRA_TopicHCP,0,H$217,DBR_COUNT,1),DBRA_WorkplanDate,$C555,DBRA_PlayerID,$D$3),"")</f>
        <v>0</v>
      </c>
      <c r="I555">
        <f ca="1">IFERROR(SUMIFS(OFFSET(DBRA_TopicHCP,0,I$217,DBR_COUNT,1),DBRA_WorkplanDate,$C555,DBRA_PlayerID,$D$3),"")</f>
        <v>0</v>
      </c>
      <c r="J555">
        <f ca="1">IFERROR(SUMIFS(OFFSET(DBRA_TopicHCP,0,J$217,DBR_COUNT,1),DBRA_WorkplanDate,$C555,DBRA_PlayerID,$D$3),"")</f>
        <v>0</v>
      </c>
      <c r="K555">
        <f ca="1">IFERROR(SUMIFS(OFFSET(DBRA_TopicHCP,0,K$217,DBR_COUNT,1),DBRA_WorkplanDate,$C555,DBRA_PlayerID,$D$3),"")</f>
        <v>0</v>
      </c>
      <c r="L555">
        <f ca="1">IFERROR(SUMIFS(OFFSET(DBRA_TopicHCP,0,L$217,DBR_COUNT,1),DBRA_WorkplanDate,$C555,DBRA_PlayerID,$D$3),"")</f>
        <v>0</v>
      </c>
      <c r="M555" s="47"/>
      <c r="N555">
        <f ca="1">IFERROR(SUMIFS(OFFSET(DBRA_TopicCount,0,N$217,DBR_COUNT,1),DBRA_WorkplanDate,$C555,DBRA_PlayerID,$D$3),"")</f>
        <v>0</v>
      </c>
      <c r="O555">
        <f ca="1">IFERROR(SUMIFS(OFFSET(DBRA_TopicCount,0,O$217,DBR_COUNT,1),DBRA_WorkplanDate,$C555,DBRA_PlayerID,$D$3),"")</f>
        <v>0</v>
      </c>
      <c r="P555">
        <f ca="1">IFERROR(SUMIFS(OFFSET(DBRA_TopicCount,0,P$217,DBR_COUNT,1),DBRA_WorkplanDate,$C555,DBRA_PlayerID,$D$3),"")</f>
        <v>0</v>
      </c>
      <c r="Q555">
        <f ca="1">IFERROR(SUMIFS(OFFSET(DBRA_TopicCount,0,Q$217,DBR_COUNT,1),DBRA_WorkplanDate,$C555,DBRA_PlayerID,$D$3),"")</f>
        <v>0</v>
      </c>
      <c r="R555">
        <f ca="1">IFERROR(SUMIFS(OFFSET(DBRA_TopicCount,0,R$217,DBR_COUNT,1),DBRA_WorkplanDate,$C555,DBRA_PlayerID,$D$3),"")</f>
        <v>0</v>
      </c>
      <c r="S555">
        <f ca="1">IFERROR(SUMIFS(OFFSET(DBRA_TopicCount,0,S$217,DBR_COUNT,1),DBRA_WorkplanDate,$C555,DBRA_PlayerID,$D$3),"")</f>
        <v>0</v>
      </c>
      <c r="T555">
        <f ca="1">IFERROR(SUMIFS(OFFSET(DBRA_TopicCount,0,T$217,DBR_COUNT,1),DBRA_WorkplanDate,$C555,DBRA_PlayerID,$D$3),"")</f>
        <v>0</v>
      </c>
      <c r="U555">
        <f ca="1">IFERROR(SUMIFS(OFFSET(DBRA_TopicCount,0,U$217,DBR_COUNT,1),DBRA_WorkplanDate,$C555,DBRA_PlayerID,$D$3),"")</f>
        <v>0</v>
      </c>
      <c r="V555">
        <f ca="1">IFERROR(SUMIFS(OFFSET(DBRA_TopicCount,0,V$217,DBR_COUNT,1),DBRA_WorkplanDate,$C555,DBRA_PlayerID,$D$3),"")</f>
        <v>0</v>
      </c>
      <c r="W555" s="47"/>
      <c r="X555" t="str">
        <f t="shared" ca="1" si="124"/>
        <v/>
      </c>
      <c r="Y555" t="str">
        <f t="shared" ca="1" si="116"/>
        <v/>
      </c>
      <c r="Z555" t="str">
        <f t="shared" ca="1" si="117"/>
        <v/>
      </c>
      <c r="AA555" t="str">
        <f t="shared" ca="1" si="118"/>
        <v/>
      </c>
      <c r="AB555" t="str">
        <f t="shared" ca="1" si="119"/>
        <v/>
      </c>
      <c r="AC555" t="str">
        <f t="shared" ca="1" si="120"/>
        <v/>
      </c>
      <c r="AD555" t="str">
        <f t="shared" ca="1" si="121"/>
        <v/>
      </c>
      <c r="AE555" t="str">
        <f t="shared" ca="1" si="122"/>
        <v/>
      </c>
      <c r="AF555" t="str">
        <f t="shared" ca="1" si="123"/>
        <v/>
      </c>
      <c r="AG555" s="47"/>
    </row>
    <row r="556" spans="3:33" x14ac:dyDescent="0.25">
      <c r="C556" s="118">
        <f t="shared" si="125"/>
        <v>42342</v>
      </c>
      <c r="D556">
        <f ca="1">IFERROR(SUMIFS(OFFSET(DBRA_TopicHCP,0,D$217,DBR_COUNT,1),DBRA_WorkplanDate,$C556,DBRA_PlayerID,$D$3),"")</f>
        <v>0</v>
      </c>
      <c r="E556">
        <f ca="1">IFERROR(SUMIFS(OFFSET(DBRA_TopicHCP,0,E$217,DBR_COUNT,1),DBRA_WorkplanDate,$C556,DBRA_PlayerID,$D$3),"")</f>
        <v>0</v>
      </c>
      <c r="F556">
        <f ca="1">IFERROR(SUMIFS(OFFSET(DBRA_TopicHCP,0,F$217,DBR_COUNT,1),DBRA_WorkplanDate,$C556,DBRA_PlayerID,$D$3),"")</f>
        <v>0</v>
      </c>
      <c r="G556">
        <f ca="1">IFERROR(SUMIFS(OFFSET(DBRA_TopicHCP,0,G$217,DBR_COUNT,1),DBRA_WorkplanDate,$C556,DBRA_PlayerID,$D$3),"")</f>
        <v>0</v>
      </c>
      <c r="H556">
        <f ca="1">IFERROR(SUMIFS(OFFSET(DBRA_TopicHCP,0,H$217,DBR_COUNT,1),DBRA_WorkplanDate,$C556,DBRA_PlayerID,$D$3),"")</f>
        <v>0</v>
      </c>
      <c r="I556">
        <f ca="1">IFERROR(SUMIFS(OFFSET(DBRA_TopicHCP,0,I$217,DBR_COUNT,1),DBRA_WorkplanDate,$C556,DBRA_PlayerID,$D$3),"")</f>
        <v>0</v>
      </c>
      <c r="J556">
        <f ca="1">IFERROR(SUMIFS(OFFSET(DBRA_TopicHCP,0,J$217,DBR_COUNT,1),DBRA_WorkplanDate,$C556,DBRA_PlayerID,$D$3),"")</f>
        <v>0</v>
      </c>
      <c r="K556">
        <f ca="1">IFERROR(SUMIFS(OFFSET(DBRA_TopicHCP,0,K$217,DBR_COUNT,1),DBRA_WorkplanDate,$C556,DBRA_PlayerID,$D$3),"")</f>
        <v>0</v>
      </c>
      <c r="L556">
        <f ca="1">IFERROR(SUMIFS(OFFSET(DBRA_TopicHCP,0,L$217,DBR_COUNT,1),DBRA_WorkplanDate,$C556,DBRA_PlayerID,$D$3),"")</f>
        <v>0</v>
      </c>
      <c r="M556" s="47"/>
      <c r="N556">
        <f ca="1">IFERROR(SUMIFS(OFFSET(DBRA_TopicCount,0,N$217,DBR_COUNT,1),DBRA_WorkplanDate,$C556,DBRA_PlayerID,$D$3),"")</f>
        <v>0</v>
      </c>
      <c r="O556">
        <f ca="1">IFERROR(SUMIFS(OFFSET(DBRA_TopicCount,0,O$217,DBR_COUNT,1),DBRA_WorkplanDate,$C556,DBRA_PlayerID,$D$3),"")</f>
        <v>0</v>
      </c>
      <c r="P556">
        <f ca="1">IFERROR(SUMIFS(OFFSET(DBRA_TopicCount,0,P$217,DBR_COUNT,1),DBRA_WorkplanDate,$C556,DBRA_PlayerID,$D$3),"")</f>
        <v>0</v>
      </c>
      <c r="Q556">
        <f ca="1">IFERROR(SUMIFS(OFFSET(DBRA_TopicCount,0,Q$217,DBR_COUNT,1),DBRA_WorkplanDate,$C556,DBRA_PlayerID,$D$3),"")</f>
        <v>0</v>
      </c>
      <c r="R556">
        <f ca="1">IFERROR(SUMIFS(OFFSET(DBRA_TopicCount,0,R$217,DBR_COUNT,1),DBRA_WorkplanDate,$C556,DBRA_PlayerID,$D$3),"")</f>
        <v>0</v>
      </c>
      <c r="S556">
        <f ca="1">IFERROR(SUMIFS(OFFSET(DBRA_TopicCount,0,S$217,DBR_COUNT,1),DBRA_WorkplanDate,$C556,DBRA_PlayerID,$D$3),"")</f>
        <v>0</v>
      </c>
      <c r="T556">
        <f ca="1">IFERROR(SUMIFS(OFFSET(DBRA_TopicCount,0,T$217,DBR_COUNT,1),DBRA_WorkplanDate,$C556,DBRA_PlayerID,$D$3),"")</f>
        <v>0</v>
      </c>
      <c r="U556">
        <f ca="1">IFERROR(SUMIFS(OFFSET(DBRA_TopicCount,0,U$217,DBR_COUNT,1),DBRA_WorkplanDate,$C556,DBRA_PlayerID,$D$3),"")</f>
        <v>0</v>
      </c>
      <c r="V556">
        <f ca="1">IFERROR(SUMIFS(OFFSET(DBRA_TopicCount,0,V$217,DBR_COUNT,1),DBRA_WorkplanDate,$C556,DBRA_PlayerID,$D$3),"")</f>
        <v>0</v>
      </c>
      <c r="W556" s="47"/>
      <c r="X556" t="str">
        <f t="shared" ca="1" si="124"/>
        <v/>
      </c>
      <c r="Y556" t="str">
        <f t="shared" ca="1" si="116"/>
        <v/>
      </c>
      <c r="Z556" t="str">
        <f t="shared" ca="1" si="117"/>
        <v/>
      </c>
      <c r="AA556" t="str">
        <f t="shared" ca="1" si="118"/>
        <v/>
      </c>
      <c r="AB556" t="str">
        <f t="shared" ca="1" si="119"/>
        <v/>
      </c>
      <c r="AC556" t="str">
        <f t="shared" ca="1" si="120"/>
        <v/>
      </c>
      <c r="AD556" t="str">
        <f t="shared" ca="1" si="121"/>
        <v/>
      </c>
      <c r="AE556" t="str">
        <f t="shared" ca="1" si="122"/>
        <v/>
      </c>
      <c r="AF556" t="str">
        <f t="shared" ca="1" si="123"/>
        <v/>
      </c>
      <c r="AG556" s="47"/>
    </row>
    <row r="557" spans="3:33" x14ac:dyDescent="0.25">
      <c r="C557" s="118">
        <f t="shared" si="125"/>
        <v>42343</v>
      </c>
      <c r="D557">
        <f ca="1">IFERROR(SUMIFS(OFFSET(DBRA_TopicHCP,0,D$217,DBR_COUNT,1),DBRA_WorkplanDate,$C557,DBRA_PlayerID,$D$3),"")</f>
        <v>0</v>
      </c>
      <c r="E557">
        <f ca="1">IFERROR(SUMIFS(OFFSET(DBRA_TopicHCP,0,E$217,DBR_COUNT,1),DBRA_WorkplanDate,$C557,DBRA_PlayerID,$D$3),"")</f>
        <v>0</v>
      </c>
      <c r="F557">
        <f ca="1">IFERROR(SUMIFS(OFFSET(DBRA_TopicHCP,0,F$217,DBR_COUNT,1),DBRA_WorkplanDate,$C557,DBRA_PlayerID,$D$3),"")</f>
        <v>0</v>
      </c>
      <c r="G557">
        <f ca="1">IFERROR(SUMIFS(OFFSET(DBRA_TopicHCP,0,G$217,DBR_COUNT,1),DBRA_WorkplanDate,$C557,DBRA_PlayerID,$D$3),"")</f>
        <v>0</v>
      </c>
      <c r="H557">
        <f ca="1">IFERROR(SUMIFS(OFFSET(DBRA_TopicHCP,0,H$217,DBR_COUNT,1),DBRA_WorkplanDate,$C557,DBRA_PlayerID,$D$3),"")</f>
        <v>0</v>
      </c>
      <c r="I557">
        <f ca="1">IFERROR(SUMIFS(OFFSET(DBRA_TopicHCP,0,I$217,DBR_COUNT,1),DBRA_WorkplanDate,$C557,DBRA_PlayerID,$D$3),"")</f>
        <v>0</v>
      </c>
      <c r="J557">
        <f ca="1">IFERROR(SUMIFS(OFFSET(DBRA_TopicHCP,0,J$217,DBR_COUNT,1),DBRA_WorkplanDate,$C557,DBRA_PlayerID,$D$3),"")</f>
        <v>0</v>
      </c>
      <c r="K557">
        <f ca="1">IFERROR(SUMIFS(OFFSET(DBRA_TopicHCP,0,K$217,DBR_COUNT,1),DBRA_WorkplanDate,$C557,DBRA_PlayerID,$D$3),"")</f>
        <v>0</v>
      </c>
      <c r="L557">
        <f ca="1">IFERROR(SUMIFS(OFFSET(DBRA_TopicHCP,0,L$217,DBR_COUNT,1),DBRA_WorkplanDate,$C557,DBRA_PlayerID,$D$3),"")</f>
        <v>0</v>
      </c>
      <c r="M557" s="47"/>
      <c r="N557">
        <f ca="1">IFERROR(SUMIFS(OFFSET(DBRA_TopicCount,0,N$217,DBR_COUNT,1),DBRA_WorkplanDate,$C557,DBRA_PlayerID,$D$3),"")</f>
        <v>0</v>
      </c>
      <c r="O557">
        <f ca="1">IFERROR(SUMIFS(OFFSET(DBRA_TopicCount,0,O$217,DBR_COUNT,1),DBRA_WorkplanDate,$C557,DBRA_PlayerID,$D$3),"")</f>
        <v>0</v>
      </c>
      <c r="P557">
        <f ca="1">IFERROR(SUMIFS(OFFSET(DBRA_TopicCount,0,P$217,DBR_COUNT,1),DBRA_WorkplanDate,$C557,DBRA_PlayerID,$D$3),"")</f>
        <v>0</v>
      </c>
      <c r="Q557">
        <f ca="1">IFERROR(SUMIFS(OFFSET(DBRA_TopicCount,0,Q$217,DBR_COUNT,1),DBRA_WorkplanDate,$C557,DBRA_PlayerID,$D$3),"")</f>
        <v>0</v>
      </c>
      <c r="R557">
        <f ca="1">IFERROR(SUMIFS(OFFSET(DBRA_TopicCount,0,R$217,DBR_COUNT,1),DBRA_WorkplanDate,$C557,DBRA_PlayerID,$D$3),"")</f>
        <v>0</v>
      </c>
      <c r="S557">
        <f ca="1">IFERROR(SUMIFS(OFFSET(DBRA_TopicCount,0,S$217,DBR_COUNT,1),DBRA_WorkplanDate,$C557,DBRA_PlayerID,$D$3),"")</f>
        <v>0</v>
      </c>
      <c r="T557">
        <f ca="1">IFERROR(SUMIFS(OFFSET(DBRA_TopicCount,0,T$217,DBR_COUNT,1),DBRA_WorkplanDate,$C557,DBRA_PlayerID,$D$3),"")</f>
        <v>0</v>
      </c>
      <c r="U557">
        <f ca="1">IFERROR(SUMIFS(OFFSET(DBRA_TopicCount,0,U$217,DBR_COUNT,1),DBRA_WorkplanDate,$C557,DBRA_PlayerID,$D$3),"")</f>
        <v>0</v>
      </c>
      <c r="V557">
        <f ca="1">IFERROR(SUMIFS(OFFSET(DBRA_TopicCount,0,V$217,DBR_COUNT,1),DBRA_WorkplanDate,$C557,DBRA_PlayerID,$D$3),"")</f>
        <v>0</v>
      </c>
      <c r="W557" s="47"/>
      <c r="X557" t="str">
        <f t="shared" ca="1" si="124"/>
        <v/>
      </c>
      <c r="Y557" t="str">
        <f t="shared" ca="1" si="116"/>
        <v/>
      </c>
      <c r="Z557" t="str">
        <f t="shared" ca="1" si="117"/>
        <v/>
      </c>
      <c r="AA557" t="str">
        <f t="shared" ca="1" si="118"/>
        <v/>
      </c>
      <c r="AB557" t="str">
        <f t="shared" ca="1" si="119"/>
        <v/>
      </c>
      <c r="AC557" t="str">
        <f t="shared" ca="1" si="120"/>
        <v/>
      </c>
      <c r="AD557" t="str">
        <f t="shared" ca="1" si="121"/>
        <v/>
      </c>
      <c r="AE557" t="str">
        <f t="shared" ca="1" si="122"/>
        <v/>
      </c>
      <c r="AF557" t="str">
        <f t="shared" ca="1" si="123"/>
        <v/>
      </c>
      <c r="AG557" s="47"/>
    </row>
    <row r="558" spans="3:33" x14ac:dyDescent="0.25">
      <c r="C558" s="118">
        <f t="shared" si="125"/>
        <v>42344</v>
      </c>
      <c r="D558">
        <f ca="1">IFERROR(SUMIFS(OFFSET(DBRA_TopicHCP,0,D$217,DBR_COUNT,1),DBRA_WorkplanDate,$C558,DBRA_PlayerID,$D$3),"")</f>
        <v>0</v>
      </c>
      <c r="E558">
        <f ca="1">IFERROR(SUMIFS(OFFSET(DBRA_TopicHCP,0,E$217,DBR_COUNT,1),DBRA_WorkplanDate,$C558,DBRA_PlayerID,$D$3),"")</f>
        <v>0</v>
      </c>
      <c r="F558">
        <f ca="1">IFERROR(SUMIFS(OFFSET(DBRA_TopicHCP,0,F$217,DBR_COUNT,1),DBRA_WorkplanDate,$C558,DBRA_PlayerID,$D$3),"")</f>
        <v>0</v>
      </c>
      <c r="G558">
        <f ca="1">IFERROR(SUMIFS(OFFSET(DBRA_TopicHCP,0,G$217,DBR_COUNT,1),DBRA_WorkplanDate,$C558,DBRA_PlayerID,$D$3),"")</f>
        <v>0</v>
      </c>
      <c r="H558">
        <f ca="1">IFERROR(SUMIFS(OFFSET(DBRA_TopicHCP,0,H$217,DBR_COUNT,1),DBRA_WorkplanDate,$C558,DBRA_PlayerID,$D$3),"")</f>
        <v>0</v>
      </c>
      <c r="I558">
        <f ca="1">IFERROR(SUMIFS(OFFSET(DBRA_TopicHCP,0,I$217,DBR_COUNT,1),DBRA_WorkplanDate,$C558,DBRA_PlayerID,$D$3),"")</f>
        <v>0</v>
      </c>
      <c r="J558">
        <f ca="1">IFERROR(SUMIFS(OFFSET(DBRA_TopicHCP,0,J$217,DBR_COUNT,1),DBRA_WorkplanDate,$C558,DBRA_PlayerID,$D$3),"")</f>
        <v>0</v>
      </c>
      <c r="K558">
        <f ca="1">IFERROR(SUMIFS(OFFSET(DBRA_TopicHCP,0,K$217,DBR_COUNT,1),DBRA_WorkplanDate,$C558,DBRA_PlayerID,$D$3),"")</f>
        <v>0</v>
      </c>
      <c r="L558">
        <f ca="1">IFERROR(SUMIFS(OFFSET(DBRA_TopicHCP,0,L$217,DBR_COUNT,1),DBRA_WorkplanDate,$C558,DBRA_PlayerID,$D$3),"")</f>
        <v>0</v>
      </c>
      <c r="M558" s="47"/>
      <c r="N558">
        <f ca="1">IFERROR(SUMIFS(OFFSET(DBRA_TopicCount,0,N$217,DBR_COUNT,1),DBRA_WorkplanDate,$C558,DBRA_PlayerID,$D$3),"")</f>
        <v>0</v>
      </c>
      <c r="O558">
        <f ca="1">IFERROR(SUMIFS(OFFSET(DBRA_TopicCount,0,O$217,DBR_COUNT,1),DBRA_WorkplanDate,$C558,DBRA_PlayerID,$D$3),"")</f>
        <v>0</v>
      </c>
      <c r="P558">
        <f ca="1">IFERROR(SUMIFS(OFFSET(DBRA_TopicCount,0,P$217,DBR_COUNT,1),DBRA_WorkplanDate,$C558,DBRA_PlayerID,$D$3),"")</f>
        <v>0</v>
      </c>
      <c r="Q558">
        <f ca="1">IFERROR(SUMIFS(OFFSET(DBRA_TopicCount,0,Q$217,DBR_COUNT,1),DBRA_WorkplanDate,$C558,DBRA_PlayerID,$D$3),"")</f>
        <v>0</v>
      </c>
      <c r="R558">
        <f ca="1">IFERROR(SUMIFS(OFFSET(DBRA_TopicCount,0,R$217,DBR_COUNT,1),DBRA_WorkplanDate,$C558,DBRA_PlayerID,$D$3),"")</f>
        <v>0</v>
      </c>
      <c r="S558">
        <f ca="1">IFERROR(SUMIFS(OFFSET(DBRA_TopicCount,0,S$217,DBR_COUNT,1),DBRA_WorkplanDate,$C558,DBRA_PlayerID,$D$3),"")</f>
        <v>0</v>
      </c>
      <c r="T558">
        <f ca="1">IFERROR(SUMIFS(OFFSET(DBRA_TopicCount,0,T$217,DBR_COUNT,1),DBRA_WorkplanDate,$C558,DBRA_PlayerID,$D$3),"")</f>
        <v>0</v>
      </c>
      <c r="U558">
        <f ca="1">IFERROR(SUMIFS(OFFSET(DBRA_TopicCount,0,U$217,DBR_COUNT,1),DBRA_WorkplanDate,$C558,DBRA_PlayerID,$D$3),"")</f>
        <v>0</v>
      </c>
      <c r="V558">
        <f ca="1">IFERROR(SUMIFS(OFFSET(DBRA_TopicCount,0,V$217,DBR_COUNT,1),DBRA_WorkplanDate,$C558,DBRA_PlayerID,$D$3),"")</f>
        <v>0</v>
      </c>
      <c r="W558" s="47"/>
      <c r="X558" t="str">
        <f t="shared" ca="1" si="124"/>
        <v/>
      </c>
      <c r="Y558" t="str">
        <f t="shared" ca="1" si="116"/>
        <v/>
      </c>
      <c r="Z558" t="str">
        <f t="shared" ca="1" si="117"/>
        <v/>
      </c>
      <c r="AA558" t="str">
        <f t="shared" ca="1" si="118"/>
        <v/>
      </c>
      <c r="AB558" t="str">
        <f t="shared" ca="1" si="119"/>
        <v/>
      </c>
      <c r="AC558" t="str">
        <f t="shared" ca="1" si="120"/>
        <v/>
      </c>
      <c r="AD558" t="str">
        <f t="shared" ca="1" si="121"/>
        <v/>
      </c>
      <c r="AE558" t="str">
        <f t="shared" ca="1" si="122"/>
        <v/>
      </c>
      <c r="AF558" t="str">
        <f t="shared" ca="1" si="123"/>
        <v/>
      </c>
      <c r="AG558" s="47"/>
    </row>
    <row r="559" spans="3:33" x14ac:dyDescent="0.25">
      <c r="C559" s="118">
        <f t="shared" si="125"/>
        <v>42345</v>
      </c>
      <c r="D559">
        <f ca="1">IFERROR(SUMIFS(OFFSET(DBRA_TopicHCP,0,D$217,DBR_COUNT,1),DBRA_WorkplanDate,$C559,DBRA_PlayerID,$D$3),"")</f>
        <v>0</v>
      </c>
      <c r="E559">
        <f ca="1">IFERROR(SUMIFS(OFFSET(DBRA_TopicHCP,0,E$217,DBR_COUNT,1),DBRA_WorkplanDate,$C559,DBRA_PlayerID,$D$3),"")</f>
        <v>0</v>
      </c>
      <c r="F559">
        <f ca="1">IFERROR(SUMIFS(OFFSET(DBRA_TopicHCP,0,F$217,DBR_COUNT,1),DBRA_WorkplanDate,$C559,DBRA_PlayerID,$D$3),"")</f>
        <v>0</v>
      </c>
      <c r="G559">
        <f ca="1">IFERROR(SUMIFS(OFFSET(DBRA_TopicHCP,0,G$217,DBR_COUNT,1),DBRA_WorkplanDate,$C559,DBRA_PlayerID,$D$3),"")</f>
        <v>0</v>
      </c>
      <c r="H559">
        <f ca="1">IFERROR(SUMIFS(OFFSET(DBRA_TopicHCP,0,H$217,DBR_COUNT,1),DBRA_WorkplanDate,$C559,DBRA_PlayerID,$D$3),"")</f>
        <v>0</v>
      </c>
      <c r="I559">
        <f ca="1">IFERROR(SUMIFS(OFFSET(DBRA_TopicHCP,0,I$217,DBR_COUNT,1),DBRA_WorkplanDate,$C559,DBRA_PlayerID,$D$3),"")</f>
        <v>0</v>
      </c>
      <c r="J559">
        <f ca="1">IFERROR(SUMIFS(OFFSET(DBRA_TopicHCP,0,J$217,DBR_COUNT,1),DBRA_WorkplanDate,$C559,DBRA_PlayerID,$D$3),"")</f>
        <v>0</v>
      </c>
      <c r="K559">
        <f ca="1">IFERROR(SUMIFS(OFFSET(DBRA_TopicHCP,0,K$217,DBR_COUNT,1),DBRA_WorkplanDate,$C559,DBRA_PlayerID,$D$3),"")</f>
        <v>0</v>
      </c>
      <c r="L559">
        <f ca="1">IFERROR(SUMIFS(OFFSET(DBRA_TopicHCP,0,L$217,DBR_COUNT,1),DBRA_WorkplanDate,$C559,DBRA_PlayerID,$D$3),"")</f>
        <v>0</v>
      </c>
      <c r="M559" s="47"/>
      <c r="N559">
        <f ca="1">IFERROR(SUMIFS(OFFSET(DBRA_TopicCount,0,N$217,DBR_COUNT,1),DBRA_WorkplanDate,$C559,DBRA_PlayerID,$D$3),"")</f>
        <v>0</v>
      </c>
      <c r="O559">
        <f ca="1">IFERROR(SUMIFS(OFFSET(DBRA_TopicCount,0,O$217,DBR_COUNT,1),DBRA_WorkplanDate,$C559,DBRA_PlayerID,$D$3),"")</f>
        <v>0</v>
      </c>
      <c r="P559">
        <f ca="1">IFERROR(SUMIFS(OFFSET(DBRA_TopicCount,0,P$217,DBR_COUNT,1),DBRA_WorkplanDate,$C559,DBRA_PlayerID,$D$3),"")</f>
        <v>0</v>
      </c>
      <c r="Q559">
        <f ca="1">IFERROR(SUMIFS(OFFSET(DBRA_TopicCount,0,Q$217,DBR_COUNT,1),DBRA_WorkplanDate,$C559,DBRA_PlayerID,$D$3),"")</f>
        <v>0</v>
      </c>
      <c r="R559">
        <f ca="1">IFERROR(SUMIFS(OFFSET(DBRA_TopicCount,0,R$217,DBR_COUNT,1),DBRA_WorkplanDate,$C559,DBRA_PlayerID,$D$3),"")</f>
        <v>0</v>
      </c>
      <c r="S559">
        <f ca="1">IFERROR(SUMIFS(OFFSET(DBRA_TopicCount,0,S$217,DBR_COUNT,1),DBRA_WorkplanDate,$C559,DBRA_PlayerID,$D$3),"")</f>
        <v>0</v>
      </c>
      <c r="T559">
        <f ca="1">IFERROR(SUMIFS(OFFSET(DBRA_TopicCount,0,T$217,DBR_COUNT,1),DBRA_WorkplanDate,$C559,DBRA_PlayerID,$D$3),"")</f>
        <v>0</v>
      </c>
      <c r="U559">
        <f ca="1">IFERROR(SUMIFS(OFFSET(DBRA_TopicCount,0,U$217,DBR_COUNT,1),DBRA_WorkplanDate,$C559,DBRA_PlayerID,$D$3),"")</f>
        <v>0</v>
      </c>
      <c r="V559">
        <f ca="1">IFERROR(SUMIFS(OFFSET(DBRA_TopicCount,0,V$217,DBR_COUNT,1),DBRA_WorkplanDate,$C559,DBRA_PlayerID,$D$3),"")</f>
        <v>0</v>
      </c>
      <c r="W559" s="47"/>
      <c r="X559" t="str">
        <f t="shared" ca="1" si="124"/>
        <v/>
      </c>
      <c r="Y559" t="str">
        <f t="shared" ca="1" si="116"/>
        <v/>
      </c>
      <c r="Z559" t="str">
        <f t="shared" ca="1" si="117"/>
        <v/>
      </c>
      <c r="AA559" t="str">
        <f t="shared" ca="1" si="118"/>
        <v/>
      </c>
      <c r="AB559" t="str">
        <f t="shared" ca="1" si="119"/>
        <v/>
      </c>
      <c r="AC559" t="str">
        <f t="shared" ca="1" si="120"/>
        <v/>
      </c>
      <c r="AD559" t="str">
        <f t="shared" ca="1" si="121"/>
        <v/>
      </c>
      <c r="AE559" t="str">
        <f t="shared" ca="1" si="122"/>
        <v/>
      </c>
      <c r="AF559" t="str">
        <f t="shared" ca="1" si="123"/>
        <v/>
      </c>
      <c r="AG559" s="47"/>
    </row>
    <row r="560" spans="3:33" x14ac:dyDescent="0.25">
      <c r="C560" s="118">
        <f t="shared" si="125"/>
        <v>42346</v>
      </c>
      <c r="D560">
        <f ca="1">IFERROR(SUMIFS(OFFSET(DBRA_TopicHCP,0,D$217,DBR_COUNT,1),DBRA_WorkplanDate,$C560,DBRA_PlayerID,$D$3),"")</f>
        <v>0</v>
      </c>
      <c r="E560">
        <f ca="1">IFERROR(SUMIFS(OFFSET(DBRA_TopicHCP,0,E$217,DBR_COUNT,1),DBRA_WorkplanDate,$C560,DBRA_PlayerID,$D$3),"")</f>
        <v>0</v>
      </c>
      <c r="F560">
        <f ca="1">IFERROR(SUMIFS(OFFSET(DBRA_TopicHCP,0,F$217,DBR_COUNT,1),DBRA_WorkplanDate,$C560,DBRA_PlayerID,$D$3),"")</f>
        <v>0</v>
      </c>
      <c r="G560">
        <f ca="1">IFERROR(SUMIFS(OFFSET(DBRA_TopicHCP,0,G$217,DBR_COUNT,1),DBRA_WorkplanDate,$C560,DBRA_PlayerID,$D$3),"")</f>
        <v>0</v>
      </c>
      <c r="H560">
        <f ca="1">IFERROR(SUMIFS(OFFSET(DBRA_TopicHCP,0,H$217,DBR_COUNT,1),DBRA_WorkplanDate,$C560,DBRA_PlayerID,$D$3),"")</f>
        <v>0</v>
      </c>
      <c r="I560">
        <f ca="1">IFERROR(SUMIFS(OFFSET(DBRA_TopicHCP,0,I$217,DBR_COUNT,1),DBRA_WorkplanDate,$C560,DBRA_PlayerID,$D$3),"")</f>
        <v>0</v>
      </c>
      <c r="J560">
        <f ca="1">IFERROR(SUMIFS(OFFSET(DBRA_TopicHCP,0,J$217,DBR_COUNT,1),DBRA_WorkplanDate,$C560,DBRA_PlayerID,$D$3),"")</f>
        <v>0</v>
      </c>
      <c r="K560">
        <f ca="1">IFERROR(SUMIFS(OFFSET(DBRA_TopicHCP,0,K$217,DBR_COUNT,1),DBRA_WorkplanDate,$C560,DBRA_PlayerID,$D$3),"")</f>
        <v>0</v>
      </c>
      <c r="L560">
        <f ca="1">IFERROR(SUMIFS(OFFSET(DBRA_TopicHCP,0,L$217,DBR_COUNT,1),DBRA_WorkplanDate,$C560,DBRA_PlayerID,$D$3),"")</f>
        <v>0</v>
      </c>
      <c r="M560" s="47"/>
      <c r="N560">
        <f ca="1">IFERROR(SUMIFS(OFFSET(DBRA_TopicCount,0,N$217,DBR_COUNT,1),DBRA_WorkplanDate,$C560,DBRA_PlayerID,$D$3),"")</f>
        <v>0</v>
      </c>
      <c r="O560">
        <f ca="1">IFERROR(SUMIFS(OFFSET(DBRA_TopicCount,0,O$217,DBR_COUNT,1),DBRA_WorkplanDate,$C560,DBRA_PlayerID,$D$3),"")</f>
        <v>0</v>
      </c>
      <c r="P560">
        <f ca="1">IFERROR(SUMIFS(OFFSET(DBRA_TopicCount,0,P$217,DBR_COUNT,1),DBRA_WorkplanDate,$C560,DBRA_PlayerID,$D$3),"")</f>
        <v>0</v>
      </c>
      <c r="Q560">
        <f ca="1">IFERROR(SUMIFS(OFFSET(DBRA_TopicCount,0,Q$217,DBR_COUNT,1),DBRA_WorkplanDate,$C560,DBRA_PlayerID,$D$3),"")</f>
        <v>0</v>
      </c>
      <c r="R560">
        <f ca="1">IFERROR(SUMIFS(OFFSET(DBRA_TopicCount,0,R$217,DBR_COUNT,1),DBRA_WorkplanDate,$C560,DBRA_PlayerID,$D$3),"")</f>
        <v>0</v>
      </c>
      <c r="S560">
        <f ca="1">IFERROR(SUMIFS(OFFSET(DBRA_TopicCount,0,S$217,DBR_COUNT,1),DBRA_WorkplanDate,$C560,DBRA_PlayerID,$D$3),"")</f>
        <v>0</v>
      </c>
      <c r="T560">
        <f ca="1">IFERROR(SUMIFS(OFFSET(DBRA_TopicCount,0,T$217,DBR_COUNT,1),DBRA_WorkplanDate,$C560,DBRA_PlayerID,$D$3),"")</f>
        <v>0</v>
      </c>
      <c r="U560">
        <f ca="1">IFERROR(SUMIFS(OFFSET(DBRA_TopicCount,0,U$217,DBR_COUNT,1),DBRA_WorkplanDate,$C560,DBRA_PlayerID,$D$3),"")</f>
        <v>0</v>
      </c>
      <c r="V560">
        <f ca="1">IFERROR(SUMIFS(OFFSET(DBRA_TopicCount,0,V$217,DBR_COUNT,1),DBRA_WorkplanDate,$C560,DBRA_PlayerID,$D$3),"")</f>
        <v>0</v>
      </c>
      <c r="W560" s="47"/>
      <c r="X560" t="str">
        <f t="shared" ca="1" si="124"/>
        <v/>
      </c>
      <c r="Y560" t="str">
        <f t="shared" ca="1" si="116"/>
        <v/>
      </c>
      <c r="Z560" t="str">
        <f t="shared" ca="1" si="117"/>
        <v/>
      </c>
      <c r="AA560" t="str">
        <f t="shared" ca="1" si="118"/>
        <v/>
      </c>
      <c r="AB560" t="str">
        <f t="shared" ca="1" si="119"/>
        <v/>
      </c>
      <c r="AC560" t="str">
        <f t="shared" ca="1" si="120"/>
        <v/>
      </c>
      <c r="AD560" t="str">
        <f t="shared" ca="1" si="121"/>
        <v/>
      </c>
      <c r="AE560" t="str">
        <f t="shared" ca="1" si="122"/>
        <v/>
      </c>
      <c r="AF560" t="str">
        <f t="shared" ca="1" si="123"/>
        <v/>
      </c>
      <c r="AG560" s="47"/>
    </row>
    <row r="561" spans="3:33" x14ac:dyDescent="0.25">
      <c r="C561" s="118">
        <f t="shared" si="125"/>
        <v>42347</v>
      </c>
      <c r="D561">
        <f ca="1">IFERROR(SUMIFS(OFFSET(DBRA_TopicHCP,0,D$217,DBR_COUNT,1),DBRA_WorkplanDate,$C561,DBRA_PlayerID,$D$3),"")</f>
        <v>0</v>
      </c>
      <c r="E561">
        <f ca="1">IFERROR(SUMIFS(OFFSET(DBRA_TopicHCP,0,E$217,DBR_COUNT,1),DBRA_WorkplanDate,$C561,DBRA_PlayerID,$D$3),"")</f>
        <v>0</v>
      </c>
      <c r="F561">
        <f ca="1">IFERROR(SUMIFS(OFFSET(DBRA_TopicHCP,0,F$217,DBR_COUNT,1),DBRA_WorkplanDate,$C561,DBRA_PlayerID,$D$3),"")</f>
        <v>0</v>
      </c>
      <c r="G561">
        <f ca="1">IFERROR(SUMIFS(OFFSET(DBRA_TopicHCP,0,G$217,DBR_COUNT,1),DBRA_WorkplanDate,$C561,DBRA_PlayerID,$D$3),"")</f>
        <v>0</v>
      </c>
      <c r="H561">
        <f ca="1">IFERROR(SUMIFS(OFFSET(DBRA_TopicHCP,0,H$217,DBR_COUNT,1),DBRA_WorkplanDate,$C561,DBRA_PlayerID,$D$3),"")</f>
        <v>0</v>
      </c>
      <c r="I561">
        <f ca="1">IFERROR(SUMIFS(OFFSET(DBRA_TopicHCP,0,I$217,DBR_COUNT,1),DBRA_WorkplanDate,$C561,DBRA_PlayerID,$D$3),"")</f>
        <v>0</v>
      </c>
      <c r="J561">
        <f ca="1">IFERROR(SUMIFS(OFFSET(DBRA_TopicHCP,0,J$217,DBR_COUNT,1),DBRA_WorkplanDate,$C561,DBRA_PlayerID,$D$3),"")</f>
        <v>0</v>
      </c>
      <c r="K561">
        <f ca="1">IFERROR(SUMIFS(OFFSET(DBRA_TopicHCP,0,K$217,DBR_COUNT,1),DBRA_WorkplanDate,$C561,DBRA_PlayerID,$D$3),"")</f>
        <v>0</v>
      </c>
      <c r="L561">
        <f ca="1">IFERROR(SUMIFS(OFFSET(DBRA_TopicHCP,0,L$217,DBR_COUNT,1),DBRA_WorkplanDate,$C561,DBRA_PlayerID,$D$3),"")</f>
        <v>0</v>
      </c>
      <c r="M561" s="47"/>
      <c r="N561">
        <f ca="1">IFERROR(SUMIFS(OFFSET(DBRA_TopicCount,0,N$217,DBR_COUNT,1),DBRA_WorkplanDate,$C561,DBRA_PlayerID,$D$3),"")</f>
        <v>0</v>
      </c>
      <c r="O561">
        <f ca="1">IFERROR(SUMIFS(OFFSET(DBRA_TopicCount,0,O$217,DBR_COUNT,1),DBRA_WorkplanDate,$C561,DBRA_PlayerID,$D$3),"")</f>
        <v>0</v>
      </c>
      <c r="P561">
        <f ca="1">IFERROR(SUMIFS(OFFSET(DBRA_TopicCount,0,P$217,DBR_COUNT,1),DBRA_WorkplanDate,$C561,DBRA_PlayerID,$D$3),"")</f>
        <v>0</v>
      </c>
      <c r="Q561">
        <f ca="1">IFERROR(SUMIFS(OFFSET(DBRA_TopicCount,0,Q$217,DBR_COUNT,1),DBRA_WorkplanDate,$C561,DBRA_PlayerID,$D$3),"")</f>
        <v>0</v>
      </c>
      <c r="R561">
        <f ca="1">IFERROR(SUMIFS(OFFSET(DBRA_TopicCount,0,R$217,DBR_COUNT,1),DBRA_WorkplanDate,$C561,DBRA_PlayerID,$D$3),"")</f>
        <v>0</v>
      </c>
      <c r="S561">
        <f ca="1">IFERROR(SUMIFS(OFFSET(DBRA_TopicCount,0,S$217,DBR_COUNT,1),DBRA_WorkplanDate,$C561,DBRA_PlayerID,$D$3),"")</f>
        <v>0</v>
      </c>
      <c r="T561">
        <f ca="1">IFERROR(SUMIFS(OFFSET(DBRA_TopicCount,0,T$217,DBR_COUNT,1),DBRA_WorkplanDate,$C561,DBRA_PlayerID,$D$3),"")</f>
        <v>0</v>
      </c>
      <c r="U561">
        <f ca="1">IFERROR(SUMIFS(OFFSET(DBRA_TopicCount,0,U$217,DBR_COUNT,1),DBRA_WorkplanDate,$C561,DBRA_PlayerID,$D$3),"")</f>
        <v>0</v>
      </c>
      <c r="V561">
        <f ca="1">IFERROR(SUMIFS(OFFSET(DBRA_TopicCount,0,V$217,DBR_COUNT,1),DBRA_WorkplanDate,$C561,DBRA_PlayerID,$D$3),"")</f>
        <v>0</v>
      </c>
      <c r="W561" s="47"/>
      <c r="X561" t="str">
        <f t="shared" ca="1" si="124"/>
        <v/>
      </c>
      <c r="Y561" t="str">
        <f t="shared" ca="1" si="116"/>
        <v/>
      </c>
      <c r="Z561" t="str">
        <f t="shared" ca="1" si="117"/>
        <v/>
      </c>
      <c r="AA561" t="str">
        <f t="shared" ca="1" si="118"/>
        <v/>
      </c>
      <c r="AB561" t="str">
        <f t="shared" ca="1" si="119"/>
        <v/>
      </c>
      <c r="AC561" t="str">
        <f t="shared" ca="1" si="120"/>
        <v/>
      </c>
      <c r="AD561" t="str">
        <f t="shared" ca="1" si="121"/>
        <v/>
      </c>
      <c r="AE561" t="str">
        <f t="shared" ca="1" si="122"/>
        <v/>
      </c>
      <c r="AF561" t="str">
        <f t="shared" ca="1" si="123"/>
        <v/>
      </c>
      <c r="AG561" s="47"/>
    </row>
    <row r="562" spans="3:33" x14ac:dyDescent="0.25">
      <c r="C562" s="118">
        <f t="shared" si="125"/>
        <v>42348</v>
      </c>
      <c r="D562">
        <f ca="1">IFERROR(SUMIFS(OFFSET(DBRA_TopicHCP,0,D$217,DBR_COUNT,1),DBRA_WorkplanDate,$C562,DBRA_PlayerID,$D$3),"")</f>
        <v>0</v>
      </c>
      <c r="E562">
        <f ca="1">IFERROR(SUMIFS(OFFSET(DBRA_TopicHCP,0,E$217,DBR_COUNT,1),DBRA_WorkplanDate,$C562,DBRA_PlayerID,$D$3),"")</f>
        <v>0</v>
      </c>
      <c r="F562">
        <f ca="1">IFERROR(SUMIFS(OFFSET(DBRA_TopicHCP,0,F$217,DBR_COUNT,1),DBRA_WorkplanDate,$C562,DBRA_PlayerID,$D$3),"")</f>
        <v>0</v>
      </c>
      <c r="G562">
        <f ca="1">IFERROR(SUMIFS(OFFSET(DBRA_TopicHCP,0,G$217,DBR_COUNT,1),DBRA_WorkplanDate,$C562,DBRA_PlayerID,$D$3),"")</f>
        <v>0</v>
      </c>
      <c r="H562">
        <f ca="1">IFERROR(SUMIFS(OFFSET(DBRA_TopicHCP,0,H$217,DBR_COUNT,1),DBRA_WorkplanDate,$C562,DBRA_PlayerID,$D$3),"")</f>
        <v>0</v>
      </c>
      <c r="I562">
        <f ca="1">IFERROR(SUMIFS(OFFSET(DBRA_TopicHCP,0,I$217,DBR_COUNT,1),DBRA_WorkplanDate,$C562,DBRA_PlayerID,$D$3),"")</f>
        <v>0</v>
      </c>
      <c r="J562">
        <f ca="1">IFERROR(SUMIFS(OFFSET(DBRA_TopicHCP,0,J$217,DBR_COUNT,1),DBRA_WorkplanDate,$C562,DBRA_PlayerID,$D$3),"")</f>
        <v>0</v>
      </c>
      <c r="K562">
        <f ca="1">IFERROR(SUMIFS(OFFSET(DBRA_TopicHCP,0,K$217,DBR_COUNT,1),DBRA_WorkplanDate,$C562,DBRA_PlayerID,$D$3),"")</f>
        <v>0</v>
      </c>
      <c r="L562">
        <f ca="1">IFERROR(SUMIFS(OFFSET(DBRA_TopicHCP,0,L$217,DBR_COUNT,1),DBRA_WorkplanDate,$C562,DBRA_PlayerID,$D$3),"")</f>
        <v>0</v>
      </c>
      <c r="M562" s="47"/>
      <c r="N562">
        <f ca="1">IFERROR(SUMIFS(OFFSET(DBRA_TopicCount,0,N$217,DBR_COUNT,1),DBRA_WorkplanDate,$C562,DBRA_PlayerID,$D$3),"")</f>
        <v>0</v>
      </c>
      <c r="O562">
        <f ca="1">IFERROR(SUMIFS(OFFSET(DBRA_TopicCount,0,O$217,DBR_COUNT,1),DBRA_WorkplanDate,$C562,DBRA_PlayerID,$D$3),"")</f>
        <v>0</v>
      </c>
      <c r="P562">
        <f ca="1">IFERROR(SUMIFS(OFFSET(DBRA_TopicCount,0,P$217,DBR_COUNT,1),DBRA_WorkplanDate,$C562,DBRA_PlayerID,$D$3),"")</f>
        <v>0</v>
      </c>
      <c r="Q562">
        <f ca="1">IFERROR(SUMIFS(OFFSET(DBRA_TopicCount,0,Q$217,DBR_COUNT,1),DBRA_WorkplanDate,$C562,DBRA_PlayerID,$D$3),"")</f>
        <v>0</v>
      </c>
      <c r="R562">
        <f ca="1">IFERROR(SUMIFS(OFFSET(DBRA_TopicCount,0,R$217,DBR_COUNT,1),DBRA_WorkplanDate,$C562,DBRA_PlayerID,$D$3),"")</f>
        <v>0</v>
      </c>
      <c r="S562">
        <f ca="1">IFERROR(SUMIFS(OFFSET(DBRA_TopicCount,0,S$217,DBR_COUNT,1),DBRA_WorkplanDate,$C562,DBRA_PlayerID,$D$3),"")</f>
        <v>0</v>
      </c>
      <c r="T562">
        <f ca="1">IFERROR(SUMIFS(OFFSET(DBRA_TopicCount,0,T$217,DBR_COUNT,1),DBRA_WorkplanDate,$C562,DBRA_PlayerID,$D$3),"")</f>
        <v>0</v>
      </c>
      <c r="U562">
        <f ca="1">IFERROR(SUMIFS(OFFSET(DBRA_TopicCount,0,U$217,DBR_COUNT,1),DBRA_WorkplanDate,$C562,DBRA_PlayerID,$D$3),"")</f>
        <v>0</v>
      </c>
      <c r="V562">
        <f ca="1">IFERROR(SUMIFS(OFFSET(DBRA_TopicCount,0,V$217,DBR_COUNT,1),DBRA_WorkplanDate,$C562,DBRA_PlayerID,$D$3),"")</f>
        <v>0</v>
      </c>
      <c r="W562" s="47"/>
      <c r="X562" t="str">
        <f t="shared" ca="1" si="124"/>
        <v/>
      </c>
      <c r="Y562" t="str">
        <f t="shared" ca="1" si="116"/>
        <v/>
      </c>
      <c r="Z562" t="str">
        <f t="shared" ca="1" si="117"/>
        <v/>
      </c>
      <c r="AA562" t="str">
        <f t="shared" ca="1" si="118"/>
        <v/>
      </c>
      <c r="AB562" t="str">
        <f t="shared" ca="1" si="119"/>
        <v/>
      </c>
      <c r="AC562" t="str">
        <f t="shared" ca="1" si="120"/>
        <v/>
      </c>
      <c r="AD562" t="str">
        <f t="shared" ca="1" si="121"/>
        <v/>
      </c>
      <c r="AE562" t="str">
        <f t="shared" ca="1" si="122"/>
        <v/>
      </c>
      <c r="AF562" t="str">
        <f t="shared" ca="1" si="123"/>
        <v/>
      </c>
      <c r="AG562" s="47"/>
    </row>
    <row r="563" spans="3:33" x14ac:dyDescent="0.25">
      <c r="C563" s="118">
        <f t="shared" si="125"/>
        <v>42349</v>
      </c>
      <c r="D563">
        <f ca="1">IFERROR(SUMIFS(OFFSET(DBRA_TopicHCP,0,D$217,DBR_COUNT,1),DBRA_WorkplanDate,$C563,DBRA_PlayerID,$D$3),"")</f>
        <v>0</v>
      </c>
      <c r="E563">
        <f ca="1">IFERROR(SUMIFS(OFFSET(DBRA_TopicHCP,0,E$217,DBR_COUNT,1),DBRA_WorkplanDate,$C563,DBRA_PlayerID,$D$3),"")</f>
        <v>0</v>
      </c>
      <c r="F563">
        <f ca="1">IFERROR(SUMIFS(OFFSET(DBRA_TopicHCP,0,F$217,DBR_COUNT,1),DBRA_WorkplanDate,$C563,DBRA_PlayerID,$D$3),"")</f>
        <v>0</v>
      </c>
      <c r="G563">
        <f ca="1">IFERROR(SUMIFS(OFFSET(DBRA_TopicHCP,0,G$217,DBR_COUNT,1),DBRA_WorkplanDate,$C563,DBRA_PlayerID,$D$3),"")</f>
        <v>0</v>
      </c>
      <c r="H563">
        <f ca="1">IFERROR(SUMIFS(OFFSET(DBRA_TopicHCP,0,H$217,DBR_COUNT,1),DBRA_WorkplanDate,$C563,DBRA_PlayerID,$D$3),"")</f>
        <v>0</v>
      </c>
      <c r="I563">
        <f ca="1">IFERROR(SUMIFS(OFFSET(DBRA_TopicHCP,0,I$217,DBR_COUNT,1),DBRA_WorkplanDate,$C563,DBRA_PlayerID,$D$3),"")</f>
        <v>0</v>
      </c>
      <c r="J563">
        <f ca="1">IFERROR(SUMIFS(OFFSET(DBRA_TopicHCP,0,J$217,DBR_COUNT,1),DBRA_WorkplanDate,$C563,DBRA_PlayerID,$D$3),"")</f>
        <v>0</v>
      </c>
      <c r="K563">
        <f ca="1">IFERROR(SUMIFS(OFFSET(DBRA_TopicHCP,0,K$217,DBR_COUNT,1),DBRA_WorkplanDate,$C563,DBRA_PlayerID,$D$3),"")</f>
        <v>0</v>
      </c>
      <c r="L563">
        <f ca="1">IFERROR(SUMIFS(OFFSET(DBRA_TopicHCP,0,L$217,DBR_COUNT,1),DBRA_WorkplanDate,$C563,DBRA_PlayerID,$D$3),"")</f>
        <v>0</v>
      </c>
      <c r="M563" s="47"/>
      <c r="N563">
        <f ca="1">IFERROR(SUMIFS(OFFSET(DBRA_TopicCount,0,N$217,DBR_COUNT,1),DBRA_WorkplanDate,$C563,DBRA_PlayerID,$D$3),"")</f>
        <v>0</v>
      </c>
      <c r="O563">
        <f ca="1">IFERROR(SUMIFS(OFFSET(DBRA_TopicCount,0,O$217,DBR_COUNT,1),DBRA_WorkplanDate,$C563,DBRA_PlayerID,$D$3),"")</f>
        <v>0</v>
      </c>
      <c r="P563">
        <f ca="1">IFERROR(SUMIFS(OFFSET(DBRA_TopicCount,0,P$217,DBR_COUNT,1),DBRA_WorkplanDate,$C563,DBRA_PlayerID,$D$3),"")</f>
        <v>0</v>
      </c>
      <c r="Q563">
        <f ca="1">IFERROR(SUMIFS(OFFSET(DBRA_TopicCount,0,Q$217,DBR_COUNT,1),DBRA_WorkplanDate,$C563,DBRA_PlayerID,$D$3),"")</f>
        <v>0</v>
      </c>
      <c r="R563">
        <f ca="1">IFERROR(SUMIFS(OFFSET(DBRA_TopicCount,0,R$217,DBR_COUNT,1),DBRA_WorkplanDate,$C563,DBRA_PlayerID,$D$3),"")</f>
        <v>0</v>
      </c>
      <c r="S563">
        <f ca="1">IFERROR(SUMIFS(OFFSET(DBRA_TopicCount,0,S$217,DBR_COUNT,1),DBRA_WorkplanDate,$C563,DBRA_PlayerID,$D$3),"")</f>
        <v>0</v>
      </c>
      <c r="T563">
        <f ca="1">IFERROR(SUMIFS(OFFSET(DBRA_TopicCount,0,T$217,DBR_COUNT,1),DBRA_WorkplanDate,$C563,DBRA_PlayerID,$D$3),"")</f>
        <v>0</v>
      </c>
      <c r="U563">
        <f ca="1">IFERROR(SUMIFS(OFFSET(DBRA_TopicCount,0,U$217,DBR_COUNT,1),DBRA_WorkplanDate,$C563,DBRA_PlayerID,$D$3),"")</f>
        <v>0</v>
      </c>
      <c r="V563">
        <f ca="1">IFERROR(SUMIFS(OFFSET(DBRA_TopicCount,0,V$217,DBR_COUNT,1),DBRA_WorkplanDate,$C563,DBRA_PlayerID,$D$3),"")</f>
        <v>0</v>
      </c>
      <c r="W563" s="47"/>
      <c r="X563" t="str">
        <f t="shared" ca="1" si="124"/>
        <v/>
      </c>
      <c r="Y563" t="str">
        <f t="shared" ca="1" si="116"/>
        <v/>
      </c>
      <c r="Z563" t="str">
        <f t="shared" ca="1" si="117"/>
        <v/>
      </c>
      <c r="AA563" t="str">
        <f t="shared" ca="1" si="118"/>
        <v/>
      </c>
      <c r="AB563" t="str">
        <f t="shared" ca="1" si="119"/>
        <v/>
      </c>
      <c r="AC563" t="str">
        <f t="shared" ca="1" si="120"/>
        <v/>
      </c>
      <c r="AD563" t="str">
        <f t="shared" ca="1" si="121"/>
        <v/>
      </c>
      <c r="AE563" t="str">
        <f t="shared" ca="1" si="122"/>
        <v/>
      </c>
      <c r="AF563" t="str">
        <f t="shared" ca="1" si="123"/>
        <v/>
      </c>
      <c r="AG563" s="47"/>
    </row>
    <row r="564" spans="3:33" x14ac:dyDescent="0.25">
      <c r="C564" s="118">
        <f t="shared" si="125"/>
        <v>42350</v>
      </c>
      <c r="D564">
        <f ca="1">IFERROR(SUMIFS(OFFSET(DBRA_TopicHCP,0,D$217,DBR_COUNT,1),DBRA_WorkplanDate,$C564,DBRA_PlayerID,$D$3),"")</f>
        <v>0</v>
      </c>
      <c r="E564">
        <f ca="1">IFERROR(SUMIFS(OFFSET(DBRA_TopicHCP,0,E$217,DBR_COUNT,1),DBRA_WorkplanDate,$C564,DBRA_PlayerID,$D$3),"")</f>
        <v>0</v>
      </c>
      <c r="F564">
        <f ca="1">IFERROR(SUMIFS(OFFSET(DBRA_TopicHCP,0,F$217,DBR_COUNT,1),DBRA_WorkplanDate,$C564,DBRA_PlayerID,$D$3),"")</f>
        <v>0</v>
      </c>
      <c r="G564">
        <f ca="1">IFERROR(SUMIFS(OFFSET(DBRA_TopicHCP,0,G$217,DBR_COUNT,1),DBRA_WorkplanDate,$C564,DBRA_PlayerID,$D$3),"")</f>
        <v>0</v>
      </c>
      <c r="H564">
        <f ca="1">IFERROR(SUMIFS(OFFSET(DBRA_TopicHCP,0,H$217,DBR_COUNT,1),DBRA_WorkplanDate,$C564,DBRA_PlayerID,$D$3),"")</f>
        <v>0</v>
      </c>
      <c r="I564">
        <f ca="1">IFERROR(SUMIFS(OFFSET(DBRA_TopicHCP,0,I$217,DBR_COUNT,1),DBRA_WorkplanDate,$C564,DBRA_PlayerID,$D$3),"")</f>
        <v>0</v>
      </c>
      <c r="J564">
        <f ca="1">IFERROR(SUMIFS(OFFSET(DBRA_TopicHCP,0,J$217,DBR_COUNT,1),DBRA_WorkplanDate,$C564,DBRA_PlayerID,$D$3),"")</f>
        <v>0</v>
      </c>
      <c r="K564">
        <f ca="1">IFERROR(SUMIFS(OFFSET(DBRA_TopicHCP,0,K$217,DBR_COUNT,1),DBRA_WorkplanDate,$C564,DBRA_PlayerID,$D$3),"")</f>
        <v>0</v>
      </c>
      <c r="L564">
        <f ca="1">IFERROR(SUMIFS(OFFSET(DBRA_TopicHCP,0,L$217,DBR_COUNT,1),DBRA_WorkplanDate,$C564,DBRA_PlayerID,$D$3),"")</f>
        <v>0</v>
      </c>
      <c r="M564" s="47"/>
      <c r="N564">
        <f ca="1">IFERROR(SUMIFS(OFFSET(DBRA_TopicCount,0,N$217,DBR_COUNT,1),DBRA_WorkplanDate,$C564,DBRA_PlayerID,$D$3),"")</f>
        <v>0</v>
      </c>
      <c r="O564">
        <f ca="1">IFERROR(SUMIFS(OFFSET(DBRA_TopicCount,0,O$217,DBR_COUNT,1),DBRA_WorkplanDate,$C564,DBRA_PlayerID,$D$3),"")</f>
        <v>0</v>
      </c>
      <c r="P564">
        <f ca="1">IFERROR(SUMIFS(OFFSET(DBRA_TopicCount,0,P$217,DBR_COUNT,1),DBRA_WorkplanDate,$C564,DBRA_PlayerID,$D$3),"")</f>
        <v>0</v>
      </c>
      <c r="Q564">
        <f ca="1">IFERROR(SUMIFS(OFFSET(DBRA_TopicCount,0,Q$217,DBR_COUNT,1),DBRA_WorkplanDate,$C564,DBRA_PlayerID,$D$3),"")</f>
        <v>0</v>
      </c>
      <c r="R564">
        <f ca="1">IFERROR(SUMIFS(OFFSET(DBRA_TopicCount,0,R$217,DBR_COUNT,1),DBRA_WorkplanDate,$C564,DBRA_PlayerID,$D$3),"")</f>
        <v>0</v>
      </c>
      <c r="S564">
        <f ca="1">IFERROR(SUMIFS(OFFSET(DBRA_TopicCount,0,S$217,DBR_COUNT,1),DBRA_WorkplanDate,$C564,DBRA_PlayerID,$D$3),"")</f>
        <v>0</v>
      </c>
      <c r="T564">
        <f ca="1">IFERROR(SUMIFS(OFFSET(DBRA_TopicCount,0,T$217,DBR_COUNT,1),DBRA_WorkplanDate,$C564,DBRA_PlayerID,$D$3),"")</f>
        <v>0</v>
      </c>
      <c r="U564">
        <f ca="1">IFERROR(SUMIFS(OFFSET(DBRA_TopicCount,0,U$217,DBR_COUNT,1),DBRA_WorkplanDate,$C564,DBRA_PlayerID,$D$3),"")</f>
        <v>0</v>
      </c>
      <c r="V564">
        <f ca="1">IFERROR(SUMIFS(OFFSET(DBRA_TopicCount,0,V$217,DBR_COUNT,1),DBRA_WorkplanDate,$C564,DBRA_PlayerID,$D$3),"")</f>
        <v>0</v>
      </c>
      <c r="W564" s="47"/>
      <c r="X564" t="str">
        <f t="shared" ca="1" si="124"/>
        <v/>
      </c>
      <c r="Y564" t="str">
        <f t="shared" ca="1" si="116"/>
        <v/>
      </c>
      <c r="Z564" t="str">
        <f t="shared" ca="1" si="117"/>
        <v/>
      </c>
      <c r="AA564" t="str">
        <f t="shared" ca="1" si="118"/>
        <v/>
      </c>
      <c r="AB564" t="str">
        <f t="shared" ca="1" si="119"/>
        <v/>
      </c>
      <c r="AC564" t="str">
        <f t="shared" ca="1" si="120"/>
        <v/>
      </c>
      <c r="AD564" t="str">
        <f t="shared" ca="1" si="121"/>
        <v/>
      </c>
      <c r="AE564" t="str">
        <f t="shared" ca="1" si="122"/>
        <v/>
      </c>
      <c r="AF564" t="str">
        <f t="shared" ca="1" si="123"/>
        <v/>
      </c>
      <c r="AG564" s="47"/>
    </row>
    <row r="565" spans="3:33" x14ac:dyDescent="0.25">
      <c r="C565" s="118">
        <f t="shared" si="125"/>
        <v>42351</v>
      </c>
      <c r="D565">
        <f ca="1">IFERROR(SUMIFS(OFFSET(DBRA_TopicHCP,0,D$217,DBR_COUNT,1),DBRA_WorkplanDate,$C565,DBRA_PlayerID,$D$3),"")</f>
        <v>0</v>
      </c>
      <c r="E565">
        <f ca="1">IFERROR(SUMIFS(OFFSET(DBRA_TopicHCP,0,E$217,DBR_COUNT,1),DBRA_WorkplanDate,$C565,DBRA_PlayerID,$D$3),"")</f>
        <v>0</v>
      </c>
      <c r="F565">
        <f ca="1">IFERROR(SUMIFS(OFFSET(DBRA_TopicHCP,0,F$217,DBR_COUNT,1),DBRA_WorkplanDate,$C565,DBRA_PlayerID,$D$3),"")</f>
        <v>0</v>
      </c>
      <c r="G565">
        <f ca="1">IFERROR(SUMIFS(OFFSET(DBRA_TopicHCP,0,G$217,DBR_COUNT,1),DBRA_WorkplanDate,$C565,DBRA_PlayerID,$D$3),"")</f>
        <v>0</v>
      </c>
      <c r="H565">
        <f ca="1">IFERROR(SUMIFS(OFFSET(DBRA_TopicHCP,0,H$217,DBR_COUNT,1),DBRA_WorkplanDate,$C565,DBRA_PlayerID,$D$3),"")</f>
        <v>0</v>
      </c>
      <c r="I565">
        <f ca="1">IFERROR(SUMIFS(OFFSET(DBRA_TopicHCP,0,I$217,DBR_COUNT,1),DBRA_WorkplanDate,$C565,DBRA_PlayerID,$D$3),"")</f>
        <v>0</v>
      </c>
      <c r="J565">
        <f ca="1">IFERROR(SUMIFS(OFFSET(DBRA_TopicHCP,0,J$217,DBR_COUNT,1),DBRA_WorkplanDate,$C565,DBRA_PlayerID,$D$3),"")</f>
        <v>0</v>
      </c>
      <c r="K565">
        <f ca="1">IFERROR(SUMIFS(OFFSET(DBRA_TopicHCP,0,K$217,DBR_COUNT,1),DBRA_WorkplanDate,$C565,DBRA_PlayerID,$D$3),"")</f>
        <v>0</v>
      </c>
      <c r="L565">
        <f ca="1">IFERROR(SUMIFS(OFFSET(DBRA_TopicHCP,0,L$217,DBR_COUNT,1),DBRA_WorkplanDate,$C565,DBRA_PlayerID,$D$3),"")</f>
        <v>0</v>
      </c>
      <c r="M565" s="47"/>
      <c r="N565">
        <f ca="1">IFERROR(SUMIFS(OFFSET(DBRA_TopicCount,0,N$217,DBR_COUNT,1),DBRA_WorkplanDate,$C565,DBRA_PlayerID,$D$3),"")</f>
        <v>0</v>
      </c>
      <c r="O565">
        <f ca="1">IFERROR(SUMIFS(OFFSET(DBRA_TopicCount,0,O$217,DBR_COUNT,1),DBRA_WorkplanDate,$C565,DBRA_PlayerID,$D$3),"")</f>
        <v>0</v>
      </c>
      <c r="P565">
        <f ca="1">IFERROR(SUMIFS(OFFSET(DBRA_TopicCount,0,P$217,DBR_COUNT,1),DBRA_WorkplanDate,$C565,DBRA_PlayerID,$D$3),"")</f>
        <v>0</v>
      </c>
      <c r="Q565">
        <f ca="1">IFERROR(SUMIFS(OFFSET(DBRA_TopicCount,0,Q$217,DBR_COUNT,1),DBRA_WorkplanDate,$C565,DBRA_PlayerID,$D$3),"")</f>
        <v>0</v>
      </c>
      <c r="R565">
        <f ca="1">IFERROR(SUMIFS(OFFSET(DBRA_TopicCount,0,R$217,DBR_COUNT,1),DBRA_WorkplanDate,$C565,DBRA_PlayerID,$D$3),"")</f>
        <v>0</v>
      </c>
      <c r="S565">
        <f ca="1">IFERROR(SUMIFS(OFFSET(DBRA_TopicCount,0,S$217,DBR_COUNT,1),DBRA_WorkplanDate,$C565,DBRA_PlayerID,$D$3),"")</f>
        <v>0</v>
      </c>
      <c r="T565">
        <f ca="1">IFERROR(SUMIFS(OFFSET(DBRA_TopicCount,0,T$217,DBR_COUNT,1),DBRA_WorkplanDate,$C565,DBRA_PlayerID,$D$3),"")</f>
        <v>0</v>
      </c>
      <c r="U565">
        <f ca="1">IFERROR(SUMIFS(OFFSET(DBRA_TopicCount,0,U$217,DBR_COUNT,1),DBRA_WorkplanDate,$C565,DBRA_PlayerID,$D$3),"")</f>
        <v>0</v>
      </c>
      <c r="V565">
        <f ca="1">IFERROR(SUMIFS(OFFSET(DBRA_TopicCount,0,V$217,DBR_COUNT,1),DBRA_WorkplanDate,$C565,DBRA_PlayerID,$D$3),"")</f>
        <v>0</v>
      </c>
      <c r="W565" s="47"/>
      <c r="X565" t="str">
        <f t="shared" ca="1" si="124"/>
        <v/>
      </c>
      <c r="Y565" t="str">
        <f t="shared" ca="1" si="116"/>
        <v/>
      </c>
      <c r="Z565" t="str">
        <f t="shared" ca="1" si="117"/>
        <v/>
      </c>
      <c r="AA565" t="str">
        <f t="shared" ca="1" si="118"/>
        <v/>
      </c>
      <c r="AB565" t="str">
        <f t="shared" ca="1" si="119"/>
        <v/>
      </c>
      <c r="AC565" t="str">
        <f t="shared" ca="1" si="120"/>
        <v/>
      </c>
      <c r="AD565" t="str">
        <f t="shared" ca="1" si="121"/>
        <v/>
      </c>
      <c r="AE565" t="str">
        <f t="shared" ca="1" si="122"/>
        <v/>
      </c>
      <c r="AF565" t="str">
        <f t="shared" ca="1" si="123"/>
        <v/>
      </c>
      <c r="AG565" s="47"/>
    </row>
    <row r="566" spans="3:33" x14ac:dyDescent="0.25">
      <c r="C566" s="118">
        <f t="shared" si="125"/>
        <v>42352</v>
      </c>
      <c r="D566">
        <f ca="1">IFERROR(SUMIFS(OFFSET(DBRA_TopicHCP,0,D$217,DBR_COUNT,1),DBRA_WorkplanDate,$C566,DBRA_PlayerID,$D$3),"")</f>
        <v>0</v>
      </c>
      <c r="E566">
        <f ca="1">IFERROR(SUMIFS(OFFSET(DBRA_TopicHCP,0,E$217,DBR_COUNT,1),DBRA_WorkplanDate,$C566,DBRA_PlayerID,$D$3),"")</f>
        <v>0</v>
      </c>
      <c r="F566">
        <f ca="1">IFERROR(SUMIFS(OFFSET(DBRA_TopicHCP,0,F$217,DBR_COUNT,1),DBRA_WorkplanDate,$C566,DBRA_PlayerID,$D$3),"")</f>
        <v>0</v>
      </c>
      <c r="G566">
        <f ca="1">IFERROR(SUMIFS(OFFSET(DBRA_TopicHCP,0,G$217,DBR_COUNT,1),DBRA_WorkplanDate,$C566,DBRA_PlayerID,$D$3),"")</f>
        <v>0</v>
      </c>
      <c r="H566">
        <f ca="1">IFERROR(SUMIFS(OFFSET(DBRA_TopicHCP,0,H$217,DBR_COUNT,1),DBRA_WorkplanDate,$C566,DBRA_PlayerID,$D$3),"")</f>
        <v>0</v>
      </c>
      <c r="I566">
        <f ca="1">IFERROR(SUMIFS(OFFSET(DBRA_TopicHCP,0,I$217,DBR_COUNT,1),DBRA_WorkplanDate,$C566,DBRA_PlayerID,$D$3),"")</f>
        <v>0</v>
      </c>
      <c r="J566">
        <f ca="1">IFERROR(SUMIFS(OFFSET(DBRA_TopicHCP,0,J$217,DBR_COUNT,1),DBRA_WorkplanDate,$C566,DBRA_PlayerID,$D$3),"")</f>
        <v>0</v>
      </c>
      <c r="K566">
        <f ca="1">IFERROR(SUMIFS(OFFSET(DBRA_TopicHCP,0,K$217,DBR_COUNT,1),DBRA_WorkplanDate,$C566,DBRA_PlayerID,$D$3),"")</f>
        <v>0</v>
      </c>
      <c r="L566">
        <f ca="1">IFERROR(SUMIFS(OFFSET(DBRA_TopicHCP,0,L$217,DBR_COUNT,1),DBRA_WorkplanDate,$C566,DBRA_PlayerID,$D$3),"")</f>
        <v>0</v>
      </c>
      <c r="M566" s="47"/>
      <c r="N566">
        <f ca="1">IFERROR(SUMIFS(OFFSET(DBRA_TopicCount,0,N$217,DBR_COUNT,1),DBRA_WorkplanDate,$C566,DBRA_PlayerID,$D$3),"")</f>
        <v>0</v>
      </c>
      <c r="O566">
        <f ca="1">IFERROR(SUMIFS(OFFSET(DBRA_TopicCount,0,O$217,DBR_COUNT,1),DBRA_WorkplanDate,$C566,DBRA_PlayerID,$D$3),"")</f>
        <v>0</v>
      </c>
      <c r="P566">
        <f ca="1">IFERROR(SUMIFS(OFFSET(DBRA_TopicCount,0,P$217,DBR_COUNT,1),DBRA_WorkplanDate,$C566,DBRA_PlayerID,$D$3),"")</f>
        <v>0</v>
      </c>
      <c r="Q566">
        <f ca="1">IFERROR(SUMIFS(OFFSET(DBRA_TopicCount,0,Q$217,DBR_COUNT,1),DBRA_WorkplanDate,$C566,DBRA_PlayerID,$D$3),"")</f>
        <v>0</v>
      </c>
      <c r="R566">
        <f ca="1">IFERROR(SUMIFS(OFFSET(DBRA_TopicCount,0,R$217,DBR_COUNT,1),DBRA_WorkplanDate,$C566,DBRA_PlayerID,$D$3),"")</f>
        <v>0</v>
      </c>
      <c r="S566">
        <f ca="1">IFERROR(SUMIFS(OFFSET(DBRA_TopicCount,0,S$217,DBR_COUNT,1),DBRA_WorkplanDate,$C566,DBRA_PlayerID,$D$3),"")</f>
        <v>0</v>
      </c>
      <c r="T566">
        <f ca="1">IFERROR(SUMIFS(OFFSET(DBRA_TopicCount,0,T$217,DBR_COUNT,1),DBRA_WorkplanDate,$C566,DBRA_PlayerID,$D$3),"")</f>
        <v>0</v>
      </c>
      <c r="U566">
        <f ca="1">IFERROR(SUMIFS(OFFSET(DBRA_TopicCount,0,U$217,DBR_COUNT,1),DBRA_WorkplanDate,$C566,DBRA_PlayerID,$D$3),"")</f>
        <v>0</v>
      </c>
      <c r="V566">
        <f ca="1">IFERROR(SUMIFS(OFFSET(DBRA_TopicCount,0,V$217,DBR_COUNT,1),DBRA_WorkplanDate,$C566,DBRA_PlayerID,$D$3),"")</f>
        <v>0</v>
      </c>
      <c r="W566" s="47"/>
      <c r="X566" t="str">
        <f t="shared" ca="1" si="124"/>
        <v/>
      </c>
      <c r="Y566" t="str">
        <f t="shared" ca="1" si="116"/>
        <v/>
      </c>
      <c r="Z566" t="str">
        <f t="shared" ca="1" si="117"/>
        <v/>
      </c>
      <c r="AA566" t="str">
        <f t="shared" ca="1" si="118"/>
        <v/>
      </c>
      <c r="AB566" t="str">
        <f t="shared" ca="1" si="119"/>
        <v/>
      </c>
      <c r="AC566" t="str">
        <f t="shared" ca="1" si="120"/>
        <v/>
      </c>
      <c r="AD566" t="str">
        <f t="shared" ca="1" si="121"/>
        <v/>
      </c>
      <c r="AE566" t="str">
        <f t="shared" ca="1" si="122"/>
        <v/>
      </c>
      <c r="AF566" t="str">
        <f t="shared" ca="1" si="123"/>
        <v/>
      </c>
      <c r="AG566" s="47"/>
    </row>
    <row r="567" spans="3:33" x14ac:dyDescent="0.25">
      <c r="C567" s="118">
        <f t="shared" si="125"/>
        <v>42353</v>
      </c>
      <c r="D567">
        <f ca="1">IFERROR(SUMIFS(OFFSET(DBRA_TopicHCP,0,D$217,DBR_COUNT,1),DBRA_WorkplanDate,$C567,DBRA_PlayerID,$D$3),"")</f>
        <v>0</v>
      </c>
      <c r="E567">
        <f ca="1">IFERROR(SUMIFS(OFFSET(DBRA_TopicHCP,0,E$217,DBR_COUNT,1),DBRA_WorkplanDate,$C567,DBRA_PlayerID,$D$3),"")</f>
        <v>0</v>
      </c>
      <c r="F567">
        <f ca="1">IFERROR(SUMIFS(OFFSET(DBRA_TopicHCP,0,F$217,DBR_COUNT,1),DBRA_WorkplanDate,$C567,DBRA_PlayerID,$D$3),"")</f>
        <v>0</v>
      </c>
      <c r="G567">
        <f ca="1">IFERROR(SUMIFS(OFFSET(DBRA_TopicHCP,0,G$217,DBR_COUNT,1),DBRA_WorkplanDate,$C567,DBRA_PlayerID,$D$3),"")</f>
        <v>0</v>
      </c>
      <c r="H567">
        <f ca="1">IFERROR(SUMIFS(OFFSET(DBRA_TopicHCP,0,H$217,DBR_COUNT,1),DBRA_WorkplanDate,$C567,DBRA_PlayerID,$D$3),"")</f>
        <v>0</v>
      </c>
      <c r="I567">
        <f ca="1">IFERROR(SUMIFS(OFFSET(DBRA_TopicHCP,0,I$217,DBR_COUNT,1),DBRA_WorkplanDate,$C567,DBRA_PlayerID,$D$3),"")</f>
        <v>0</v>
      </c>
      <c r="J567">
        <f ca="1">IFERROR(SUMIFS(OFFSET(DBRA_TopicHCP,0,J$217,DBR_COUNT,1),DBRA_WorkplanDate,$C567,DBRA_PlayerID,$D$3),"")</f>
        <v>0</v>
      </c>
      <c r="K567">
        <f ca="1">IFERROR(SUMIFS(OFFSET(DBRA_TopicHCP,0,K$217,DBR_COUNT,1),DBRA_WorkplanDate,$C567,DBRA_PlayerID,$D$3),"")</f>
        <v>0</v>
      </c>
      <c r="L567">
        <f ca="1">IFERROR(SUMIFS(OFFSET(DBRA_TopicHCP,0,L$217,DBR_COUNT,1),DBRA_WorkplanDate,$C567,DBRA_PlayerID,$D$3),"")</f>
        <v>0</v>
      </c>
      <c r="M567" s="47"/>
      <c r="N567">
        <f ca="1">IFERROR(SUMIFS(OFFSET(DBRA_TopicCount,0,N$217,DBR_COUNT,1),DBRA_WorkplanDate,$C567,DBRA_PlayerID,$D$3),"")</f>
        <v>0</v>
      </c>
      <c r="O567">
        <f ca="1">IFERROR(SUMIFS(OFFSET(DBRA_TopicCount,0,O$217,DBR_COUNT,1),DBRA_WorkplanDate,$C567,DBRA_PlayerID,$D$3),"")</f>
        <v>0</v>
      </c>
      <c r="P567">
        <f ca="1">IFERROR(SUMIFS(OFFSET(DBRA_TopicCount,0,P$217,DBR_COUNT,1),DBRA_WorkplanDate,$C567,DBRA_PlayerID,$D$3),"")</f>
        <v>0</v>
      </c>
      <c r="Q567">
        <f ca="1">IFERROR(SUMIFS(OFFSET(DBRA_TopicCount,0,Q$217,DBR_COUNT,1),DBRA_WorkplanDate,$C567,DBRA_PlayerID,$D$3),"")</f>
        <v>0</v>
      </c>
      <c r="R567">
        <f ca="1">IFERROR(SUMIFS(OFFSET(DBRA_TopicCount,0,R$217,DBR_COUNT,1),DBRA_WorkplanDate,$C567,DBRA_PlayerID,$D$3),"")</f>
        <v>0</v>
      </c>
      <c r="S567">
        <f ca="1">IFERROR(SUMIFS(OFFSET(DBRA_TopicCount,0,S$217,DBR_COUNT,1),DBRA_WorkplanDate,$C567,DBRA_PlayerID,$D$3),"")</f>
        <v>0</v>
      </c>
      <c r="T567">
        <f ca="1">IFERROR(SUMIFS(OFFSET(DBRA_TopicCount,0,T$217,DBR_COUNT,1),DBRA_WorkplanDate,$C567,DBRA_PlayerID,$D$3),"")</f>
        <v>0</v>
      </c>
      <c r="U567">
        <f ca="1">IFERROR(SUMIFS(OFFSET(DBRA_TopicCount,0,U$217,DBR_COUNT,1),DBRA_WorkplanDate,$C567,DBRA_PlayerID,$D$3),"")</f>
        <v>0</v>
      </c>
      <c r="V567">
        <f ca="1">IFERROR(SUMIFS(OFFSET(DBRA_TopicCount,0,V$217,DBR_COUNT,1),DBRA_WorkplanDate,$C567,DBRA_PlayerID,$D$3),"")</f>
        <v>0</v>
      </c>
      <c r="W567" s="47"/>
      <c r="X567" t="str">
        <f t="shared" ca="1" si="124"/>
        <v/>
      </c>
      <c r="Y567" t="str">
        <f t="shared" ca="1" si="116"/>
        <v/>
      </c>
      <c r="Z567" t="str">
        <f t="shared" ca="1" si="117"/>
        <v/>
      </c>
      <c r="AA567" t="str">
        <f t="shared" ca="1" si="118"/>
        <v/>
      </c>
      <c r="AB567" t="str">
        <f t="shared" ca="1" si="119"/>
        <v/>
      </c>
      <c r="AC567" t="str">
        <f t="shared" ca="1" si="120"/>
        <v/>
      </c>
      <c r="AD567" t="str">
        <f t="shared" ca="1" si="121"/>
        <v/>
      </c>
      <c r="AE567" t="str">
        <f t="shared" ca="1" si="122"/>
        <v/>
      </c>
      <c r="AF567" t="str">
        <f t="shared" ca="1" si="123"/>
        <v/>
      </c>
      <c r="AG567" s="47"/>
    </row>
    <row r="568" spans="3:33" x14ac:dyDescent="0.25">
      <c r="C568" s="118">
        <f t="shared" si="125"/>
        <v>42354</v>
      </c>
      <c r="D568">
        <f ca="1">IFERROR(SUMIFS(OFFSET(DBRA_TopicHCP,0,D$217,DBR_COUNT,1),DBRA_WorkplanDate,$C568,DBRA_PlayerID,$D$3),"")</f>
        <v>0</v>
      </c>
      <c r="E568">
        <f ca="1">IFERROR(SUMIFS(OFFSET(DBRA_TopicHCP,0,E$217,DBR_COUNT,1),DBRA_WorkplanDate,$C568,DBRA_PlayerID,$D$3),"")</f>
        <v>0</v>
      </c>
      <c r="F568">
        <f ca="1">IFERROR(SUMIFS(OFFSET(DBRA_TopicHCP,0,F$217,DBR_COUNT,1),DBRA_WorkplanDate,$C568,DBRA_PlayerID,$D$3),"")</f>
        <v>0</v>
      </c>
      <c r="G568">
        <f ca="1">IFERROR(SUMIFS(OFFSET(DBRA_TopicHCP,0,G$217,DBR_COUNT,1),DBRA_WorkplanDate,$C568,DBRA_PlayerID,$D$3),"")</f>
        <v>0</v>
      </c>
      <c r="H568">
        <f ca="1">IFERROR(SUMIFS(OFFSET(DBRA_TopicHCP,0,H$217,DBR_COUNT,1),DBRA_WorkplanDate,$C568,DBRA_PlayerID,$D$3),"")</f>
        <v>0</v>
      </c>
      <c r="I568">
        <f ca="1">IFERROR(SUMIFS(OFFSET(DBRA_TopicHCP,0,I$217,DBR_COUNT,1),DBRA_WorkplanDate,$C568,DBRA_PlayerID,$D$3),"")</f>
        <v>0</v>
      </c>
      <c r="J568">
        <f ca="1">IFERROR(SUMIFS(OFFSET(DBRA_TopicHCP,0,J$217,DBR_COUNT,1),DBRA_WorkplanDate,$C568,DBRA_PlayerID,$D$3),"")</f>
        <v>0</v>
      </c>
      <c r="K568">
        <f ca="1">IFERROR(SUMIFS(OFFSET(DBRA_TopicHCP,0,K$217,DBR_COUNT,1),DBRA_WorkplanDate,$C568,DBRA_PlayerID,$D$3),"")</f>
        <v>0</v>
      </c>
      <c r="L568">
        <f ca="1">IFERROR(SUMIFS(OFFSET(DBRA_TopicHCP,0,L$217,DBR_COUNT,1),DBRA_WorkplanDate,$C568,DBRA_PlayerID,$D$3),"")</f>
        <v>0</v>
      </c>
      <c r="M568" s="47"/>
      <c r="N568">
        <f ca="1">IFERROR(SUMIFS(OFFSET(DBRA_TopicCount,0,N$217,DBR_COUNT,1),DBRA_WorkplanDate,$C568,DBRA_PlayerID,$D$3),"")</f>
        <v>0</v>
      </c>
      <c r="O568">
        <f ca="1">IFERROR(SUMIFS(OFFSET(DBRA_TopicCount,0,O$217,DBR_COUNT,1),DBRA_WorkplanDate,$C568,DBRA_PlayerID,$D$3),"")</f>
        <v>0</v>
      </c>
      <c r="P568">
        <f ca="1">IFERROR(SUMIFS(OFFSET(DBRA_TopicCount,0,P$217,DBR_COUNT,1),DBRA_WorkplanDate,$C568,DBRA_PlayerID,$D$3),"")</f>
        <v>0</v>
      </c>
      <c r="Q568">
        <f ca="1">IFERROR(SUMIFS(OFFSET(DBRA_TopicCount,0,Q$217,DBR_COUNT,1),DBRA_WorkplanDate,$C568,DBRA_PlayerID,$D$3),"")</f>
        <v>0</v>
      </c>
      <c r="R568">
        <f ca="1">IFERROR(SUMIFS(OFFSET(DBRA_TopicCount,0,R$217,DBR_COUNT,1),DBRA_WorkplanDate,$C568,DBRA_PlayerID,$D$3),"")</f>
        <v>0</v>
      </c>
      <c r="S568">
        <f ca="1">IFERROR(SUMIFS(OFFSET(DBRA_TopicCount,0,S$217,DBR_COUNT,1),DBRA_WorkplanDate,$C568,DBRA_PlayerID,$D$3),"")</f>
        <v>0</v>
      </c>
      <c r="T568">
        <f ca="1">IFERROR(SUMIFS(OFFSET(DBRA_TopicCount,0,T$217,DBR_COUNT,1),DBRA_WorkplanDate,$C568,DBRA_PlayerID,$D$3),"")</f>
        <v>0</v>
      </c>
      <c r="U568">
        <f ca="1">IFERROR(SUMIFS(OFFSET(DBRA_TopicCount,0,U$217,DBR_COUNT,1),DBRA_WorkplanDate,$C568,DBRA_PlayerID,$D$3),"")</f>
        <v>0</v>
      </c>
      <c r="V568">
        <f ca="1">IFERROR(SUMIFS(OFFSET(DBRA_TopicCount,0,V$217,DBR_COUNT,1),DBRA_WorkplanDate,$C568,DBRA_PlayerID,$D$3),"")</f>
        <v>0</v>
      </c>
      <c r="W568" s="47"/>
      <c r="X568" t="str">
        <f t="shared" ca="1" si="124"/>
        <v/>
      </c>
      <c r="Y568" t="str">
        <f t="shared" ca="1" si="116"/>
        <v/>
      </c>
      <c r="Z568" t="str">
        <f t="shared" ca="1" si="117"/>
        <v/>
      </c>
      <c r="AA568" t="str">
        <f t="shared" ca="1" si="118"/>
        <v/>
      </c>
      <c r="AB568" t="str">
        <f t="shared" ca="1" si="119"/>
        <v/>
      </c>
      <c r="AC568" t="str">
        <f t="shared" ca="1" si="120"/>
        <v/>
      </c>
      <c r="AD568" t="str">
        <f t="shared" ca="1" si="121"/>
        <v/>
      </c>
      <c r="AE568" t="str">
        <f t="shared" ca="1" si="122"/>
        <v/>
      </c>
      <c r="AF568" t="str">
        <f t="shared" ca="1" si="123"/>
        <v/>
      </c>
      <c r="AG568" s="47"/>
    </row>
    <row r="569" spans="3:33" x14ac:dyDescent="0.25">
      <c r="C569" s="118">
        <f t="shared" si="125"/>
        <v>42355</v>
      </c>
      <c r="D569">
        <f ca="1">IFERROR(SUMIFS(OFFSET(DBRA_TopicHCP,0,D$217,DBR_COUNT,1),DBRA_WorkplanDate,$C569,DBRA_PlayerID,$D$3),"")</f>
        <v>0</v>
      </c>
      <c r="E569">
        <f ca="1">IFERROR(SUMIFS(OFFSET(DBRA_TopicHCP,0,E$217,DBR_COUNT,1),DBRA_WorkplanDate,$C569,DBRA_PlayerID,$D$3),"")</f>
        <v>0</v>
      </c>
      <c r="F569">
        <f ca="1">IFERROR(SUMIFS(OFFSET(DBRA_TopicHCP,0,F$217,DBR_COUNT,1),DBRA_WorkplanDate,$C569,DBRA_PlayerID,$D$3),"")</f>
        <v>0</v>
      </c>
      <c r="G569">
        <f ca="1">IFERROR(SUMIFS(OFFSET(DBRA_TopicHCP,0,G$217,DBR_COUNT,1),DBRA_WorkplanDate,$C569,DBRA_PlayerID,$D$3),"")</f>
        <v>0</v>
      </c>
      <c r="H569">
        <f ca="1">IFERROR(SUMIFS(OFFSET(DBRA_TopicHCP,0,H$217,DBR_COUNT,1),DBRA_WorkplanDate,$C569,DBRA_PlayerID,$D$3),"")</f>
        <v>0</v>
      </c>
      <c r="I569">
        <f ca="1">IFERROR(SUMIFS(OFFSET(DBRA_TopicHCP,0,I$217,DBR_COUNT,1),DBRA_WorkplanDate,$C569,DBRA_PlayerID,$D$3),"")</f>
        <v>0</v>
      </c>
      <c r="J569">
        <f ca="1">IFERROR(SUMIFS(OFFSET(DBRA_TopicHCP,0,J$217,DBR_COUNT,1),DBRA_WorkplanDate,$C569,DBRA_PlayerID,$D$3),"")</f>
        <v>0</v>
      </c>
      <c r="K569">
        <f ca="1">IFERROR(SUMIFS(OFFSET(DBRA_TopicHCP,0,K$217,DBR_COUNT,1),DBRA_WorkplanDate,$C569,DBRA_PlayerID,$D$3),"")</f>
        <v>0</v>
      </c>
      <c r="L569">
        <f ca="1">IFERROR(SUMIFS(OFFSET(DBRA_TopicHCP,0,L$217,DBR_COUNT,1),DBRA_WorkplanDate,$C569,DBRA_PlayerID,$D$3),"")</f>
        <v>0</v>
      </c>
      <c r="M569" s="47"/>
      <c r="N569">
        <f ca="1">IFERROR(SUMIFS(OFFSET(DBRA_TopicCount,0,N$217,DBR_COUNT,1),DBRA_WorkplanDate,$C569,DBRA_PlayerID,$D$3),"")</f>
        <v>0</v>
      </c>
      <c r="O569">
        <f ca="1">IFERROR(SUMIFS(OFFSET(DBRA_TopicCount,0,O$217,DBR_COUNT,1),DBRA_WorkplanDate,$C569,DBRA_PlayerID,$D$3),"")</f>
        <v>0</v>
      </c>
      <c r="P569">
        <f ca="1">IFERROR(SUMIFS(OFFSET(DBRA_TopicCount,0,P$217,DBR_COUNT,1),DBRA_WorkplanDate,$C569,DBRA_PlayerID,$D$3),"")</f>
        <v>0</v>
      </c>
      <c r="Q569">
        <f ca="1">IFERROR(SUMIFS(OFFSET(DBRA_TopicCount,0,Q$217,DBR_COUNT,1),DBRA_WorkplanDate,$C569,DBRA_PlayerID,$D$3),"")</f>
        <v>0</v>
      </c>
      <c r="R569">
        <f ca="1">IFERROR(SUMIFS(OFFSET(DBRA_TopicCount,0,R$217,DBR_COUNT,1),DBRA_WorkplanDate,$C569,DBRA_PlayerID,$D$3),"")</f>
        <v>0</v>
      </c>
      <c r="S569">
        <f ca="1">IFERROR(SUMIFS(OFFSET(DBRA_TopicCount,0,S$217,DBR_COUNT,1),DBRA_WorkplanDate,$C569,DBRA_PlayerID,$D$3),"")</f>
        <v>0</v>
      </c>
      <c r="T569">
        <f ca="1">IFERROR(SUMIFS(OFFSET(DBRA_TopicCount,0,T$217,DBR_COUNT,1),DBRA_WorkplanDate,$C569,DBRA_PlayerID,$D$3),"")</f>
        <v>0</v>
      </c>
      <c r="U569">
        <f ca="1">IFERROR(SUMIFS(OFFSET(DBRA_TopicCount,0,U$217,DBR_COUNT,1),DBRA_WorkplanDate,$C569,DBRA_PlayerID,$D$3),"")</f>
        <v>0</v>
      </c>
      <c r="V569">
        <f ca="1">IFERROR(SUMIFS(OFFSET(DBRA_TopicCount,0,V$217,DBR_COUNT,1),DBRA_WorkplanDate,$C569,DBRA_PlayerID,$D$3),"")</f>
        <v>0</v>
      </c>
      <c r="W569" s="47"/>
      <c r="X569" t="str">
        <f t="shared" ca="1" si="124"/>
        <v/>
      </c>
      <c r="Y569" t="str">
        <f t="shared" ca="1" si="116"/>
        <v/>
      </c>
      <c r="Z569" t="str">
        <f t="shared" ca="1" si="117"/>
        <v/>
      </c>
      <c r="AA569" t="str">
        <f t="shared" ca="1" si="118"/>
        <v/>
      </c>
      <c r="AB569" t="str">
        <f t="shared" ca="1" si="119"/>
        <v/>
      </c>
      <c r="AC569" t="str">
        <f t="shared" ca="1" si="120"/>
        <v/>
      </c>
      <c r="AD569" t="str">
        <f t="shared" ca="1" si="121"/>
        <v/>
      </c>
      <c r="AE569" t="str">
        <f t="shared" ca="1" si="122"/>
        <v/>
      </c>
      <c r="AF569" t="str">
        <f t="shared" ca="1" si="123"/>
        <v/>
      </c>
      <c r="AG569" s="47"/>
    </row>
    <row r="570" spans="3:33" x14ac:dyDescent="0.25">
      <c r="C570" s="118">
        <f t="shared" si="125"/>
        <v>42356</v>
      </c>
      <c r="D570">
        <f ca="1">IFERROR(SUMIFS(OFFSET(DBRA_TopicHCP,0,D$217,DBR_COUNT,1),DBRA_WorkplanDate,$C570,DBRA_PlayerID,$D$3),"")</f>
        <v>0</v>
      </c>
      <c r="E570">
        <f ca="1">IFERROR(SUMIFS(OFFSET(DBRA_TopicHCP,0,E$217,DBR_COUNT,1),DBRA_WorkplanDate,$C570,DBRA_PlayerID,$D$3),"")</f>
        <v>0</v>
      </c>
      <c r="F570">
        <f ca="1">IFERROR(SUMIFS(OFFSET(DBRA_TopicHCP,0,F$217,DBR_COUNT,1),DBRA_WorkplanDate,$C570,DBRA_PlayerID,$D$3),"")</f>
        <v>0</v>
      </c>
      <c r="G570">
        <f ca="1">IFERROR(SUMIFS(OFFSET(DBRA_TopicHCP,0,G$217,DBR_COUNT,1),DBRA_WorkplanDate,$C570,DBRA_PlayerID,$D$3),"")</f>
        <v>0</v>
      </c>
      <c r="H570">
        <f ca="1">IFERROR(SUMIFS(OFFSET(DBRA_TopicHCP,0,H$217,DBR_COUNT,1),DBRA_WorkplanDate,$C570,DBRA_PlayerID,$D$3),"")</f>
        <v>0</v>
      </c>
      <c r="I570">
        <f ca="1">IFERROR(SUMIFS(OFFSET(DBRA_TopicHCP,0,I$217,DBR_COUNT,1),DBRA_WorkplanDate,$C570,DBRA_PlayerID,$D$3),"")</f>
        <v>0</v>
      </c>
      <c r="J570">
        <f ca="1">IFERROR(SUMIFS(OFFSET(DBRA_TopicHCP,0,J$217,DBR_COUNT,1),DBRA_WorkplanDate,$C570,DBRA_PlayerID,$D$3),"")</f>
        <v>0</v>
      </c>
      <c r="K570">
        <f ca="1">IFERROR(SUMIFS(OFFSET(DBRA_TopicHCP,0,K$217,DBR_COUNT,1),DBRA_WorkplanDate,$C570,DBRA_PlayerID,$D$3),"")</f>
        <v>0</v>
      </c>
      <c r="L570">
        <f ca="1">IFERROR(SUMIFS(OFFSET(DBRA_TopicHCP,0,L$217,DBR_COUNT,1),DBRA_WorkplanDate,$C570,DBRA_PlayerID,$D$3),"")</f>
        <v>0</v>
      </c>
      <c r="M570" s="47"/>
      <c r="N570">
        <f ca="1">IFERROR(SUMIFS(OFFSET(DBRA_TopicCount,0,N$217,DBR_COUNT,1),DBRA_WorkplanDate,$C570,DBRA_PlayerID,$D$3),"")</f>
        <v>0</v>
      </c>
      <c r="O570">
        <f ca="1">IFERROR(SUMIFS(OFFSET(DBRA_TopicCount,0,O$217,DBR_COUNT,1),DBRA_WorkplanDate,$C570,DBRA_PlayerID,$D$3),"")</f>
        <v>0</v>
      </c>
      <c r="P570">
        <f ca="1">IFERROR(SUMIFS(OFFSET(DBRA_TopicCount,0,P$217,DBR_COUNT,1),DBRA_WorkplanDate,$C570,DBRA_PlayerID,$D$3),"")</f>
        <v>0</v>
      </c>
      <c r="Q570">
        <f ca="1">IFERROR(SUMIFS(OFFSET(DBRA_TopicCount,0,Q$217,DBR_COUNT,1),DBRA_WorkplanDate,$C570,DBRA_PlayerID,$D$3),"")</f>
        <v>0</v>
      </c>
      <c r="R570">
        <f ca="1">IFERROR(SUMIFS(OFFSET(DBRA_TopicCount,0,R$217,DBR_COUNT,1),DBRA_WorkplanDate,$C570,DBRA_PlayerID,$D$3),"")</f>
        <v>0</v>
      </c>
      <c r="S570">
        <f ca="1">IFERROR(SUMIFS(OFFSET(DBRA_TopicCount,0,S$217,DBR_COUNT,1),DBRA_WorkplanDate,$C570,DBRA_PlayerID,$D$3),"")</f>
        <v>0</v>
      </c>
      <c r="T570">
        <f ca="1">IFERROR(SUMIFS(OFFSET(DBRA_TopicCount,0,T$217,DBR_COUNT,1),DBRA_WorkplanDate,$C570,DBRA_PlayerID,$D$3),"")</f>
        <v>0</v>
      </c>
      <c r="U570">
        <f ca="1">IFERROR(SUMIFS(OFFSET(DBRA_TopicCount,0,U$217,DBR_COUNT,1),DBRA_WorkplanDate,$C570,DBRA_PlayerID,$D$3),"")</f>
        <v>0</v>
      </c>
      <c r="V570">
        <f ca="1">IFERROR(SUMIFS(OFFSET(DBRA_TopicCount,0,V$217,DBR_COUNT,1),DBRA_WorkplanDate,$C570,DBRA_PlayerID,$D$3),"")</f>
        <v>0</v>
      </c>
      <c r="W570" s="47"/>
      <c r="X570" t="str">
        <f t="shared" ca="1" si="124"/>
        <v/>
      </c>
      <c r="Y570" t="str">
        <f t="shared" ca="1" si="116"/>
        <v/>
      </c>
      <c r="Z570" t="str">
        <f t="shared" ca="1" si="117"/>
        <v/>
      </c>
      <c r="AA570" t="str">
        <f t="shared" ca="1" si="118"/>
        <v/>
      </c>
      <c r="AB570" t="str">
        <f t="shared" ca="1" si="119"/>
        <v/>
      </c>
      <c r="AC570" t="str">
        <f t="shared" ca="1" si="120"/>
        <v/>
      </c>
      <c r="AD570" t="str">
        <f t="shared" ca="1" si="121"/>
        <v/>
      </c>
      <c r="AE570" t="str">
        <f t="shared" ca="1" si="122"/>
        <v/>
      </c>
      <c r="AF570" t="str">
        <f t="shared" ca="1" si="123"/>
        <v/>
      </c>
      <c r="AG570" s="47"/>
    </row>
    <row r="571" spans="3:33" x14ac:dyDescent="0.25">
      <c r="C571" s="118">
        <f t="shared" si="125"/>
        <v>42357</v>
      </c>
      <c r="D571">
        <f ca="1">IFERROR(SUMIFS(OFFSET(DBRA_TopicHCP,0,D$217,DBR_COUNT,1),DBRA_WorkplanDate,$C571,DBRA_PlayerID,$D$3),"")</f>
        <v>0</v>
      </c>
      <c r="E571">
        <f ca="1">IFERROR(SUMIFS(OFFSET(DBRA_TopicHCP,0,E$217,DBR_COUNT,1),DBRA_WorkplanDate,$C571,DBRA_PlayerID,$D$3),"")</f>
        <v>0</v>
      </c>
      <c r="F571">
        <f ca="1">IFERROR(SUMIFS(OFFSET(DBRA_TopicHCP,0,F$217,DBR_COUNT,1),DBRA_WorkplanDate,$C571,DBRA_PlayerID,$D$3),"")</f>
        <v>0</v>
      </c>
      <c r="G571">
        <f ca="1">IFERROR(SUMIFS(OFFSET(DBRA_TopicHCP,0,G$217,DBR_COUNT,1),DBRA_WorkplanDate,$C571,DBRA_PlayerID,$D$3),"")</f>
        <v>0</v>
      </c>
      <c r="H571">
        <f ca="1">IFERROR(SUMIFS(OFFSET(DBRA_TopicHCP,0,H$217,DBR_COUNT,1),DBRA_WorkplanDate,$C571,DBRA_PlayerID,$D$3),"")</f>
        <v>0</v>
      </c>
      <c r="I571">
        <f ca="1">IFERROR(SUMIFS(OFFSET(DBRA_TopicHCP,0,I$217,DBR_COUNT,1),DBRA_WorkplanDate,$C571,DBRA_PlayerID,$D$3),"")</f>
        <v>0</v>
      </c>
      <c r="J571">
        <f ca="1">IFERROR(SUMIFS(OFFSET(DBRA_TopicHCP,0,J$217,DBR_COUNT,1),DBRA_WorkplanDate,$C571,DBRA_PlayerID,$D$3),"")</f>
        <v>0</v>
      </c>
      <c r="K571">
        <f ca="1">IFERROR(SUMIFS(OFFSET(DBRA_TopicHCP,0,K$217,DBR_COUNT,1),DBRA_WorkplanDate,$C571,DBRA_PlayerID,$D$3),"")</f>
        <v>0</v>
      </c>
      <c r="L571">
        <f ca="1">IFERROR(SUMIFS(OFFSET(DBRA_TopicHCP,0,L$217,DBR_COUNT,1),DBRA_WorkplanDate,$C571,DBRA_PlayerID,$D$3),"")</f>
        <v>0</v>
      </c>
      <c r="M571" s="47"/>
      <c r="N571">
        <f ca="1">IFERROR(SUMIFS(OFFSET(DBRA_TopicCount,0,N$217,DBR_COUNT,1),DBRA_WorkplanDate,$C571,DBRA_PlayerID,$D$3),"")</f>
        <v>0</v>
      </c>
      <c r="O571">
        <f ca="1">IFERROR(SUMIFS(OFFSET(DBRA_TopicCount,0,O$217,DBR_COUNT,1),DBRA_WorkplanDate,$C571,DBRA_PlayerID,$D$3),"")</f>
        <v>0</v>
      </c>
      <c r="P571">
        <f ca="1">IFERROR(SUMIFS(OFFSET(DBRA_TopicCount,0,P$217,DBR_COUNT,1),DBRA_WorkplanDate,$C571,DBRA_PlayerID,$D$3),"")</f>
        <v>0</v>
      </c>
      <c r="Q571">
        <f ca="1">IFERROR(SUMIFS(OFFSET(DBRA_TopicCount,0,Q$217,DBR_COUNT,1),DBRA_WorkplanDate,$C571,DBRA_PlayerID,$D$3),"")</f>
        <v>0</v>
      </c>
      <c r="R571">
        <f ca="1">IFERROR(SUMIFS(OFFSET(DBRA_TopicCount,0,R$217,DBR_COUNT,1),DBRA_WorkplanDate,$C571,DBRA_PlayerID,$D$3),"")</f>
        <v>0</v>
      </c>
      <c r="S571">
        <f ca="1">IFERROR(SUMIFS(OFFSET(DBRA_TopicCount,0,S$217,DBR_COUNT,1),DBRA_WorkplanDate,$C571,DBRA_PlayerID,$D$3),"")</f>
        <v>0</v>
      </c>
      <c r="T571">
        <f ca="1">IFERROR(SUMIFS(OFFSET(DBRA_TopicCount,0,T$217,DBR_COUNT,1),DBRA_WorkplanDate,$C571,DBRA_PlayerID,$D$3),"")</f>
        <v>0</v>
      </c>
      <c r="U571">
        <f ca="1">IFERROR(SUMIFS(OFFSET(DBRA_TopicCount,0,U$217,DBR_COUNT,1),DBRA_WorkplanDate,$C571,DBRA_PlayerID,$D$3),"")</f>
        <v>0</v>
      </c>
      <c r="V571">
        <f ca="1">IFERROR(SUMIFS(OFFSET(DBRA_TopicCount,0,V$217,DBR_COUNT,1),DBRA_WorkplanDate,$C571,DBRA_PlayerID,$D$3),"")</f>
        <v>0</v>
      </c>
      <c r="W571" s="47"/>
      <c r="X571" t="str">
        <f t="shared" ca="1" si="124"/>
        <v/>
      </c>
      <c r="Y571" t="str">
        <f t="shared" ca="1" si="116"/>
        <v/>
      </c>
      <c r="Z571" t="str">
        <f t="shared" ca="1" si="117"/>
        <v/>
      </c>
      <c r="AA571" t="str">
        <f t="shared" ca="1" si="118"/>
        <v/>
      </c>
      <c r="AB571" t="str">
        <f t="shared" ca="1" si="119"/>
        <v/>
      </c>
      <c r="AC571" t="str">
        <f t="shared" ca="1" si="120"/>
        <v/>
      </c>
      <c r="AD571" t="str">
        <f t="shared" ca="1" si="121"/>
        <v/>
      </c>
      <c r="AE571" t="str">
        <f t="shared" ca="1" si="122"/>
        <v/>
      </c>
      <c r="AF571" t="str">
        <f t="shared" ca="1" si="123"/>
        <v/>
      </c>
      <c r="AG571" s="47"/>
    </row>
    <row r="572" spans="3:33" x14ac:dyDescent="0.25">
      <c r="C572" s="118">
        <f t="shared" si="125"/>
        <v>42358</v>
      </c>
      <c r="D572">
        <f ca="1">IFERROR(SUMIFS(OFFSET(DBRA_TopicHCP,0,D$217,DBR_COUNT,1),DBRA_WorkplanDate,$C572,DBRA_PlayerID,$D$3),"")</f>
        <v>0</v>
      </c>
      <c r="E572">
        <f ca="1">IFERROR(SUMIFS(OFFSET(DBRA_TopicHCP,0,E$217,DBR_COUNT,1),DBRA_WorkplanDate,$C572,DBRA_PlayerID,$D$3),"")</f>
        <v>0</v>
      </c>
      <c r="F572">
        <f ca="1">IFERROR(SUMIFS(OFFSET(DBRA_TopicHCP,0,F$217,DBR_COUNT,1),DBRA_WorkplanDate,$C572,DBRA_PlayerID,$D$3),"")</f>
        <v>0</v>
      </c>
      <c r="G572">
        <f ca="1">IFERROR(SUMIFS(OFFSET(DBRA_TopicHCP,0,G$217,DBR_COUNT,1),DBRA_WorkplanDate,$C572,DBRA_PlayerID,$D$3),"")</f>
        <v>0</v>
      </c>
      <c r="H572">
        <f ca="1">IFERROR(SUMIFS(OFFSET(DBRA_TopicHCP,0,H$217,DBR_COUNT,1),DBRA_WorkplanDate,$C572,DBRA_PlayerID,$D$3),"")</f>
        <v>0</v>
      </c>
      <c r="I572">
        <f ca="1">IFERROR(SUMIFS(OFFSET(DBRA_TopicHCP,0,I$217,DBR_COUNT,1),DBRA_WorkplanDate,$C572,DBRA_PlayerID,$D$3),"")</f>
        <v>0</v>
      </c>
      <c r="J572">
        <f ca="1">IFERROR(SUMIFS(OFFSET(DBRA_TopicHCP,0,J$217,DBR_COUNT,1),DBRA_WorkplanDate,$C572,DBRA_PlayerID,$D$3),"")</f>
        <v>0</v>
      </c>
      <c r="K572">
        <f ca="1">IFERROR(SUMIFS(OFFSET(DBRA_TopicHCP,0,K$217,DBR_COUNT,1),DBRA_WorkplanDate,$C572,DBRA_PlayerID,$D$3),"")</f>
        <v>0</v>
      </c>
      <c r="L572">
        <f ca="1">IFERROR(SUMIFS(OFFSET(DBRA_TopicHCP,0,L$217,DBR_COUNT,1),DBRA_WorkplanDate,$C572,DBRA_PlayerID,$D$3),"")</f>
        <v>0</v>
      </c>
      <c r="M572" s="47"/>
      <c r="N572">
        <f ca="1">IFERROR(SUMIFS(OFFSET(DBRA_TopicCount,0,N$217,DBR_COUNT,1),DBRA_WorkplanDate,$C572,DBRA_PlayerID,$D$3),"")</f>
        <v>0</v>
      </c>
      <c r="O572">
        <f ca="1">IFERROR(SUMIFS(OFFSET(DBRA_TopicCount,0,O$217,DBR_COUNT,1),DBRA_WorkplanDate,$C572,DBRA_PlayerID,$D$3),"")</f>
        <v>0</v>
      </c>
      <c r="P572">
        <f ca="1">IFERROR(SUMIFS(OFFSET(DBRA_TopicCount,0,P$217,DBR_COUNT,1),DBRA_WorkplanDate,$C572,DBRA_PlayerID,$D$3),"")</f>
        <v>0</v>
      </c>
      <c r="Q572">
        <f ca="1">IFERROR(SUMIFS(OFFSET(DBRA_TopicCount,0,Q$217,DBR_COUNT,1),DBRA_WorkplanDate,$C572,DBRA_PlayerID,$D$3),"")</f>
        <v>0</v>
      </c>
      <c r="R572">
        <f ca="1">IFERROR(SUMIFS(OFFSET(DBRA_TopicCount,0,R$217,DBR_COUNT,1),DBRA_WorkplanDate,$C572,DBRA_PlayerID,$D$3),"")</f>
        <v>0</v>
      </c>
      <c r="S572">
        <f ca="1">IFERROR(SUMIFS(OFFSET(DBRA_TopicCount,0,S$217,DBR_COUNT,1),DBRA_WorkplanDate,$C572,DBRA_PlayerID,$D$3),"")</f>
        <v>0</v>
      </c>
      <c r="T572">
        <f ca="1">IFERROR(SUMIFS(OFFSET(DBRA_TopicCount,0,T$217,DBR_COUNT,1),DBRA_WorkplanDate,$C572,DBRA_PlayerID,$D$3),"")</f>
        <v>0</v>
      </c>
      <c r="U572">
        <f ca="1">IFERROR(SUMIFS(OFFSET(DBRA_TopicCount,0,U$217,DBR_COUNT,1),DBRA_WorkplanDate,$C572,DBRA_PlayerID,$D$3),"")</f>
        <v>0</v>
      </c>
      <c r="V572">
        <f ca="1">IFERROR(SUMIFS(OFFSET(DBRA_TopicCount,0,V$217,DBR_COUNT,1),DBRA_WorkplanDate,$C572,DBRA_PlayerID,$D$3),"")</f>
        <v>0</v>
      </c>
      <c r="W572" s="47"/>
      <c r="X572" t="str">
        <f t="shared" ca="1" si="124"/>
        <v/>
      </c>
      <c r="Y572" t="str">
        <f t="shared" ca="1" si="116"/>
        <v/>
      </c>
      <c r="Z572" t="str">
        <f t="shared" ca="1" si="117"/>
        <v/>
      </c>
      <c r="AA572" t="str">
        <f t="shared" ca="1" si="118"/>
        <v/>
      </c>
      <c r="AB572" t="str">
        <f t="shared" ca="1" si="119"/>
        <v/>
      </c>
      <c r="AC572" t="str">
        <f t="shared" ca="1" si="120"/>
        <v/>
      </c>
      <c r="AD572" t="str">
        <f t="shared" ca="1" si="121"/>
        <v/>
      </c>
      <c r="AE572" t="str">
        <f t="shared" ca="1" si="122"/>
        <v/>
      </c>
      <c r="AF572" t="str">
        <f t="shared" ca="1" si="123"/>
        <v/>
      </c>
      <c r="AG572" s="47"/>
    </row>
    <row r="573" spans="3:33" x14ac:dyDescent="0.25">
      <c r="C573" s="118">
        <f t="shared" si="125"/>
        <v>42359</v>
      </c>
      <c r="D573">
        <f ca="1">IFERROR(SUMIFS(OFFSET(DBRA_TopicHCP,0,D$217,DBR_COUNT,1),DBRA_WorkplanDate,$C573,DBRA_PlayerID,$D$3),"")</f>
        <v>0</v>
      </c>
      <c r="E573">
        <f ca="1">IFERROR(SUMIFS(OFFSET(DBRA_TopicHCP,0,E$217,DBR_COUNT,1),DBRA_WorkplanDate,$C573,DBRA_PlayerID,$D$3),"")</f>
        <v>0</v>
      </c>
      <c r="F573">
        <f ca="1">IFERROR(SUMIFS(OFFSET(DBRA_TopicHCP,0,F$217,DBR_COUNT,1),DBRA_WorkplanDate,$C573,DBRA_PlayerID,$D$3),"")</f>
        <v>0</v>
      </c>
      <c r="G573">
        <f ca="1">IFERROR(SUMIFS(OFFSET(DBRA_TopicHCP,0,G$217,DBR_COUNT,1),DBRA_WorkplanDate,$C573,DBRA_PlayerID,$D$3),"")</f>
        <v>0</v>
      </c>
      <c r="H573">
        <f ca="1">IFERROR(SUMIFS(OFFSET(DBRA_TopicHCP,0,H$217,DBR_COUNT,1),DBRA_WorkplanDate,$C573,DBRA_PlayerID,$D$3),"")</f>
        <v>0</v>
      </c>
      <c r="I573">
        <f ca="1">IFERROR(SUMIFS(OFFSET(DBRA_TopicHCP,0,I$217,DBR_COUNT,1),DBRA_WorkplanDate,$C573,DBRA_PlayerID,$D$3),"")</f>
        <v>0</v>
      </c>
      <c r="J573">
        <f ca="1">IFERROR(SUMIFS(OFFSET(DBRA_TopicHCP,0,J$217,DBR_COUNT,1),DBRA_WorkplanDate,$C573,DBRA_PlayerID,$D$3),"")</f>
        <v>0</v>
      </c>
      <c r="K573">
        <f ca="1">IFERROR(SUMIFS(OFFSET(DBRA_TopicHCP,0,K$217,DBR_COUNT,1),DBRA_WorkplanDate,$C573,DBRA_PlayerID,$D$3),"")</f>
        <v>0</v>
      </c>
      <c r="L573">
        <f ca="1">IFERROR(SUMIFS(OFFSET(DBRA_TopicHCP,0,L$217,DBR_COUNT,1),DBRA_WorkplanDate,$C573,DBRA_PlayerID,$D$3),"")</f>
        <v>0</v>
      </c>
      <c r="M573" s="47"/>
      <c r="N573">
        <f ca="1">IFERROR(SUMIFS(OFFSET(DBRA_TopicCount,0,N$217,DBR_COUNT,1),DBRA_WorkplanDate,$C573,DBRA_PlayerID,$D$3),"")</f>
        <v>0</v>
      </c>
      <c r="O573">
        <f ca="1">IFERROR(SUMIFS(OFFSET(DBRA_TopicCount,0,O$217,DBR_COUNT,1),DBRA_WorkplanDate,$C573,DBRA_PlayerID,$D$3),"")</f>
        <v>0</v>
      </c>
      <c r="P573">
        <f ca="1">IFERROR(SUMIFS(OFFSET(DBRA_TopicCount,0,P$217,DBR_COUNT,1),DBRA_WorkplanDate,$C573,DBRA_PlayerID,$D$3),"")</f>
        <v>0</v>
      </c>
      <c r="Q573">
        <f ca="1">IFERROR(SUMIFS(OFFSET(DBRA_TopicCount,0,Q$217,DBR_COUNT,1),DBRA_WorkplanDate,$C573,DBRA_PlayerID,$D$3),"")</f>
        <v>0</v>
      </c>
      <c r="R573">
        <f ca="1">IFERROR(SUMIFS(OFFSET(DBRA_TopicCount,0,R$217,DBR_COUNT,1),DBRA_WorkplanDate,$C573,DBRA_PlayerID,$D$3),"")</f>
        <v>0</v>
      </c>
      <c r="S573">
        <f ca="1">IFERROR(SUMIFS(OFFSET(DBRA_TopicCount,0,S$217,DBR_COUNT,1),DBRA_WorkplanDate,$C573,DBRA_PlayerID,$D$3),"")</f>
        <v>0</v>
      </c>
      <c r="T573">
        <f ca="1">IFERROR(SUMIFS(OFFSET(DBRA_TopicCount,0,T$217,DBR_COUNT,1),DBRA_WorkplanDate,$C573,DBRA_PlayerID,$D$3),"")</f>
        <v>0</v>
      </c>
      <c r="U573">
        <f ca="1">IFERROR(SUMIFS(OFFSET(DBRA_TopicCount,0,U$217,DBR_COUNT,1),DBRA_WorkplanDate,$C573,DBRA_PlayerID,$D$3),"")</f>
        <v>0</v>
      </c>
      <c r="V573">
        <f ca="1">IFERROR(SUMIFS(OFFSET(DBRA_TopicCount,0,V$217,DBR_COUNT,1),DBRA_WorkplanDate,$C573,DBRA_PlayerID,$D$3),"")</f>
        <v>0</v>
      </c>
      <c r="W573" s="47"/>
      <c r="X573" t="str">
        <f t="shared" ca="1" si="124"/>
        <v/>
      </c>
      <c r="Y573" t="str">
        <f t="shared" ca="1" si="116"/>
        <v/>
      </c>
      <c r="Z573" t="str">
        <f t="shared" ca="1" si="117"/>
        <v/>
      </c>
      <c r="AA573" t="str">
        <f t="shared" ca="1" si="118"/>
        <v/>
      </c>
      <c r="AB573" t="str">
        <f t="shared" ca="1" si="119"/>
        <v/>
      </c>
      <c r="AC573" t="str">
        <f t="shared" ca="1" si="120"/>
        <v/>
      </c>
      <c r="AD573" t="str">
        <f t="shared" ca="1" si="121"/>
        <v/>
      </c>
      <c r="AE573" t="str">
        <f t="shared" ca="1" si="122"/>
        <v/>
      </c>
      <c r="AF573" t="str">
        <f t="shared" ca="1" si="123"/>
        <v/>
      </c>
      <c r="AG573" s="47"/>
    </row>
    <row r="574" spans="3:33" x14ac:dyDescent="0.25">
      <c r="C574" s="118">
        <f t="shared" si="125"/>
        <v>42360</v>
      </c>
      <c r="D574">
        <f ca="1">IFERROR(SUMIFS(OFFSET(DBRA_TopicHCP,0,D$217,DBR_COUNT,1),DBRA_WorkplanDate,$C574,DBRA_PlayerID,$D$3),"")</f>
        <v>0</v>
      </c>
      <c r="E574">
        <f ca="1">IFERROR(SUMIFS(OFFSET(DBRA_TopicHCP,0,E$217,DBR_COUNT,1),DBRA_WorkplanDate,$C574,DBRA_PlayerID,$D$3),"")</f>
        <v>0</v>
      </c>
      <c r="F574">
        <f ca="1">IFERROR(SUMIFS(OFFSET(DBRA_TopicHCP,0,F$217,DBR_COUNT,1),DBRA_WorkplanDate,$C574,DBRA_PlayerID,$D$3),"")</f>
        <v>0</v>
      </c>
      <c r="G574">
        <f ca="1">IFERROR(SUMIFS(OFFSET(DBRA_TopicHCP,0,G$217,DBR_COUNT,1),DBRA_WorkplanDate,$C574,DBRA_PlayerID,$D$3),"")</f>
        <v>0</v>
      </c>
      <c r="H574">
        <f ca="1">IFERROR(SUMIFS(OFFSET(DBRA_TopicHCP,0,H$217,DBR_COUNT,1),DBRA_WorkplanDate,$C574,DBRA_PlayerID,$D$3),"")</f>
        <v>0</v>
      </c>
      <c r="I574">
        <f ca="1">IFERROR(SUMIFS(OFFSET(DBRA_TopicHCP,0,I$217,DBR_COUNT,1),DBRA_WorkplanDate,$C574,DBRA_PlayerID,$D$3),"")</f>
        <v>0</v>
      </c>
      <c r="J574">
        <f ca="1">IFERROR(SUMIFS(OFFSET(DBRA_TopicHCP,0,J$217,DBR_COUNT,1),DBRA_WorkplanDate,$C574,DBRA_PlayerID,$D$3),"")</f>
        <v>0</v>
      </c>
      <c r="K574">
        <f ca="1">IFERROR(SUMIFS(OFFSET(DBRA_TopicHCP,0,K$217,DBR_COUNT,1),DBRA_WorkplanDate,$C574,DBRA_PlayerID,$D$3),"")</f>
        <v>0</v>
      </c>
      <c r="L574">
        <f ca="1">IFERROR(SUMIFS(OFFSET(DBRA_TopicHCP,0,L$217,DBR_COUNT,1),DBRA_WorkplanDate,$C574,DBRA_PlayerID,$D$3),"")</f>
        <v>0</v>
      </c>
      <c r="M574" s="47"/>
      <c r="N574">
        <f ca="1">IFERROR(SUMIFS(OFFSET(DBRA_TopicCount,0,N$217,DBR_COUNT,1),DBRA_WorkplanDate,$C574,DBRA_PlayerID,$D$3),"")</f>
        <v>0</v>
      </c>
      <c r="O574">
        <f ca="1">IFERROR(SUMIFS(OFFSET(DBRA_TopicCount,0,O$217,DBR_COUNT,1),DBRA_WorkplanDate,$C574,DBRA_PlayerID,$D$3),"")</f>
        <v>0</v>
      </c>
      <c r="P574">
        <f ca="1">IFERROR(SUMIFS(OFFSET(DBRA_TopicCount,0,P$217,DBR_COUNT,1),DBRA_WorkplanDate,$C574,DBRA_PlayerID,$D$3),"")</f>
        <v>0</v>
      </c>
      <c r="Q574">
        <f ca="1">IFERROR(SUMIFS(OFFSET(DBRA_TopicCount,0,Q$217,DBR_COUNT,1),DBRA_WorkplanDate,$C574,DBRA_PlayerID,$D$3),"")</f>
        <v>0</v>
      </c>
      <c r="R574">
        <f ca="1">IFERROR(SUMIFS(OFFSET(DBRA_TopicCount,0,R$217,DBR_COUNT,1),DBRA_WorkplanDate,$C574,DBRA_PlayerID,$D$3),"")</f>
        <v>0</v>
      </c>
      <c r="S574">
        <f ca="1">IFERROR(SUMIFS(OFFSET(DBRA_TopicCount,0,S$217,DBR_COUNT,1),DBRA_WorkplanDate,$C574,DBRA_PlayerID,$D$3),"")</f>
        <v>0</v>
      </c>
      <c r="T574">
        <f ca="1">IFERROR(SUMIFS(OFFSET(DBRA_TopicCount,0,T$217,DBR_COUNT,1),DBRA_WorkplanDate,$C574,DBRA_PlayerID,$D$3),"")</f>
        <v>0</v>
      </c>
      <c r="U574">
        <f ca="1">IFERROR(SUMIFS(OFFSET(DBRA_TopicCount,0,U$217,DBR_COUNT,1),DBRA_WorkplanDate,$C574,DBRA_PlayerID,$D$3),"")</f>
        <v>0</v>
      </c>
      <c r="V574">
        <f ca="1">IFERROR(SUMIFS(OFFSET(DBRA_TopicCount,0,V$217,DBR_COUNT,1),DBRA_WorkplanDate,$C574,DBRA_PlayerID,$D$3),"")</f>
        <v>0</v>
      </c>
      <c r="W574" s="47"/>
      <c r="X574" t="str">
        <f t="shared" ca="1" si="124"/>
        <v/>
      </c>
      <c r="Y574" t="str">
        <f t="shared" ca="1" si="116"/>
        <v/>
      </c>
      <c r="Z574" t="str">
        <f t="shared" ca="1" si="117"/>
        <v/>
      </c>
      <c r="AA574" t="str">
        <f t="shared" ca="1" si="118"/>
        <v/>
      </c>
      <c r="AB574" t="str">
        <f t="shared" ca="1" si="119"/>
        <v/>
      </c>
      <c r="AC574" t="str">
        <f t="shared" ca="1" si="120"/>
        <v/>
      </c>
      <c r="AD574" t="str">
        <f t="shared" ca="1" si="121"/>
        <v/>
      </c>
      <c r="AE574" t="str">
        <f t="shared" ca="1" si="122"/>
        <v/>
      </c>
      <c r="AF574" t="str">
        <f t="shared" ca="1" si="123"/>
        <v/>
      </c>
      <c r="AG574" s="47"/>
    </row>
    <row r="575" spans="3:33" x14ac:dyDescent="0.25">
      <c r="C575" s="118">
        <f t="shared" si="125"/>
        <v>42361</v>
      </c>
      <c r="D575">
        <f ca="1">IFERROR(SUMIFS(OFFSET(DBRA_TopicHCP,0,D$217,DBR_COUNT,1),DBRA_WorkplanDate,$C575,DBRA_PlayerID,$D$3),"")</f>
        <v>0</v>
      </c>
      <c r="E575">
        <f ca="1">IFERROR(SUMIFS(OFFSET(DBRA_TopicHCP,0,E$217,DBR_COUNT,1),DBRA_WorkplanDate,$C575,DBRA_PlayerID,$D$3),"")</f>
        <v>0</v>
      </c>
      <c r="F575">
        <f ca="1">IFERROR(SUMIFS(OFFSET(DBRA_TopicHCP,0,F$217,DBR_COUNT,1),DBRA_WorkplanDate,$C575,DBRA_PlayerID,$D$3),"")</f>
        <v>0</v>
      </c>
      <c r="G575">
        <f ca="1">IFERROR(SUMIFS(OFFSET(DBRA_TopicHCP,0,G$217,DBR_COUNT,1),DBRA_WorkplanDate,$C575,DBRA_PlayerID,$D$3),"")</f>
        <v>0</v>
      </c>
      <c r="H575">
        <f ca="1">IFERROR(SUMIFS(OFFSET(DBRA_TopicHCP,0,H$217,DBR_COUNT,1),DBRA_WorkplanDate,$C575,DBRA_PlayerID,$D$3),"")</f>
        <v>0</v>
      </c>
      <c r="I575">
        <f ca="1">IFERROR(SUMIFS(OFFSET(DBRA_TopicHCP,0,I$217,DBR_COUNT,1),DBRA_WorkplanDate,$C575,DBRA_PlayerID,$D$3),"")</f>
        <v>0</v>
      </c>
      <c r="J575">
        <f ca="1">IFERROR(SUMIFS(OFFSET(DBRA_TopicHCP,0,J$217,DBR_COUNT,1),DBRA_WorkplanDate,$C575,DBRA_PlayerID,$D$3),"")</f>
        <v>0</v>
      </c>
      <c r="K575">
        <f ca="1">IFERROR(SUMIFS(OFFSET(DBRA_TopicHCP,0,K$217,DBR_COUNT,1),DBRA_WorkplanDate,$C575,DBRA_PlayerID,$D$3),"")</f>
        <v>0</v>
      </c>
      <c r="L575">
        <f ca="1">IFERROR(SUMIFS(OFFSET(DBRA_TopicHCP,0,L$217,DBR_COUNT,1),DBRA_WorkplanDate,$C575,DBRA_PlayerID,$D$3),"")</f>
        <v>0</v>
      </c>
      <c r="M575" s="47"/>
      <c r="N575">
        <f ca="1">IFERROR(SUMIFS(OFFSET(DBRA_TopicCount,0,N$217,DBR_COUNT,1),DBRA_WorkplanDate,$C575,DBRA_PlayerID,$D$3),"")</f>
        <v>0</v>
      </c>
      <c r="O575">
        <f ca="1">IFERROR(SUMIFS(OFFSET(DBRA_TopicCount,0,O$217,DBR_COUNT,1),DBRA_WorkplanDate,$C575,DBRA_PlayerID,$D$3),"")</f>
        <v>0</v>
      </c>
      <c r="P575">
        <f ca="1">IFERROR(SUMIFS(OFFSET(DBRA_TopicCount,0,P$217,DBR_COUNT,1),DBRA_WorkplanDate,$C575,DBRA_PlayerID,$D$3),"")</f>
        <v>0</v>
      </c>
      <c r="Q575">
        <f ca="1">IFERROR(SUMIFS(OFFSET(DBRA_TopicCount,0,Q$217,DBR_COUNT,1),DBRA_WorkplanDate,$C575,DBRA_PlayerID,$D$3),"")</f>
        <v>0</v>
      </c>
      <c r="R575">
        <f ca="1">IFERROR(SUMIFS(OFFSET(DBRA_TopicCount,0,R$217,DBR_COUNT,1),DBRA_WorkplanDate,$C575,DBRA_PlayerID,$D$3),"")</f>
        <v>0</v>
      </c>
      <c r="S575">
        <f ca="1">IFERROR(SUMIFS(OFFSET(DBRA_TopicCount,0,S$217,DBR_COUNT,1),DBRA_WorkplanDate,$C575,DBRA_PlayerID,$D$3),"")</f>
        <v>0</v>
      </c>
      <c r="T575">
        <f ca="1">IFERROR(SUMIFS(OFFSET(DBRA_TopicCount,0,T$217,DBR_COUNT,1),DBRA_WorkplanDate,$C575,DBRA_PlayerID,$D$3),"")</f>
        <v>0</v>
      </c>
      <c r="U575">
        <f ca="1">IFERROR(SUMIFS(OFFSET(DBRA_TopicCount,0,U$217,DBR_COUNT,1),DBRA_WorkplanDate,$C575,DBRA_PlayerID,$D$3),"")</f>
        <v>0</v>
      </c>
      <c r="V575">
        <f ca="1">IFERROR(SUMIFS(OFFSET(DBRA_TopicCount,0,V$217,DBR_COUNT,1),DBRA_WorkplanDate,$C575,DBRA_PlayerID,$D$3),"")</f>
        <v>0</v>
      </c>
      <c r="W575" s="47"/>
      <c r="X575" t="str">
        <f t="shared" ca="1" si="124"/>
        <v/>
      </c>
      <c r="Y575" t="str">
        <f t="shared" ca="1" si="116"/>
        <v/>
      </c>
      <c r="Z575" t="str">
        <f t="shared" ca="1" si="117"/>
        <v/>
      </c>
      <c r="AA575" t="str">
        <f t="shared" ca="1" si="118"/>
        <v/>
      </c>
      <c r="AB575" t="str">
        <f t="shared" ca="1" si="119"/>
        <v/>
      </c>
      <c r="AC575" t="str">
        <f t="shared" ca="1" si="120"/>
        <v/>
      </c>
      <c r="AD575" t="str">
        <f t="shared" ca="1" si="121"/>
        <v/>
      </c>
      <c r="AE575" t="str">
        <f t="shared" ca="1" si="122"/>
        <v/>
      </c>
      <c r="AF575" t="str">
        <f t="shared" ca="1" si="123"/>
        <v/>
      </c>
      <c r="AG575" s="47"/>
    </row>
    <row r="576" spans="3:33" x14ac:dyDescent="0.25">
      <c r="C576" s="118">
        <f t="shared" si="125"/>
        <v>42362</v>
      </c>
      <c r="D576">
        <f ca="1">IFERROR(SUMIFS(OFFSET(DBRA_TopicHCP,0,D$217,DBR_COUNT,1),DBRA_WorkplanDate,$C576,DBRA_PlayerID,$D$3),"")</f>
        <v>0</v>
      </c>
      <c r="E576">
        <f ca="1">IFERROR(SUMIFS(OFFSET(DBRA_TopicHCP,0,E$217,DBR_COUNT,1),DBRA_WorkplanDate,$C576,DBRA_PlayerID,$D$3),"")</f>
        <v>0</v>
      </c>
      <c r="F576">
        <f ca="1">IFERROR(SUMIFS(OFFSET(DBRA_TopicHCP,0,F$217,DBR_COUNT,1),DBRA_WorkplanDate,$C576,DBRA_PlayerID,$D$3),"")</f>
        <v>0</v>
      </c>
      <c r="G576">
        <f ca="1">IFERROR(SUMIFS(OFFSET(DBRA_TopicHCP,0,G$217,DBR_COUNT,1),DBRA_WorkplanDate,$C576,DBRA_PlayerID,$D$3),"")</f>
        <v>0</v>
      </c>
      <c r="H576">
        <f ca="1">IFERROR(SUMIFS(OFFSET(DBRA_TopicHCP,0,H$217,DBR_COUNT,1),DBRA_WorkplanDate,$C576,DBRA_PlayerID,$D$3),"")</f>
        <v>0</v>
      </c>
      <c r="I576">
        <f ca="1">IFERROR(SUMIFS(OFFSET(DBRA_TopicHCP,0,I$217,DBR_COUNT,1),DBRA_WorkplanDate,$C576,DBRA_PlayerID,$D$3),"")</f>
        <v>0</v>
      </c>
      <c r="J576">
        <f ca="1">IFERROR(SUMIFS(OFFSET(DBRA_TopicHCP,0,J$217,DBR_COUNT,1),DBRA_WorkplanDate,$C576,DBRA_PlayerID,$D$3),"")</f>
        <v>0</v>
      </c>
      <c r="K576">
        <f ca="1">IFERROR(SUMIFS(OFFSET(DBRA_TopicHCP,0,K$217,DBR_COUNT,1),DBRA_WorkplanDate,$C576,DBRA_PlayerID,$D$3),"")</f>
        <v>0</v>
      </c>
      <c r="L576">
        <f ca="1">IFERROR(SUMIFS(OFFSET(DBRA_TopicHCP,0,L$217,DBR_COUNT,1),DBRA_WorkplanDate,$C576,DBRA_PlayerID,$D$3),"")</f>
        <v>0</v>
      </c>
      <c r="M576" s="47"/>
      <c r="N576">
        <f ca="1">IFERROR(SUMIFS(OFFSET(DBRA_TopicCount,0,N$217,DBR_COUNT,1),DBRA_WorkplanDate,$C576,DBRA_PlayerID,$D$3),"")</f>
        <v>0</v>
      </c>
      <c r="O576">
        <f ca="1">IFERROR(SUMIFS(OFFSET(DBRA_TopicCount,0,O$217,DBR_COUNT,1),DBRA_WorkplanDate,$C576,DBRA_PlayerID,$D$3),"")</f>
        <v>0</v>
      </c>
      <c r="P576">
        <f ca="1">IFERROR(SUMIFS(OFFSET(DBRA_TopicCount,0,P$217,DBR_COUNT,1),DBRA_WorkplanDate,$C576,DBRA_PlayerID,$D$3),"")</f>
        <v>0</v>
      </c>
      <c r="Q576">
        <f ca="1">IFERROR(SUMIFS(OFFSET(DBRA_TopicCount,0,Q$217,DBR_COUNT,1),DBRA_WorkplanDate,$C576,DBRA_PlayerID,$D$3),"")</f>
        <v>0</v>
      </c>
      <c r="R576">
        <f ca="1">IFERROR(SUMIFS(OFFSET(DBRA_TopicCount,0,R$217,DBR_COUNT,1),DBRA_WorkplanDate,$C576,DBRA_PlayerID,$D$3),"")</f>
        <v>0</v>
      </c>
      <c r="S576">
        <f ca="1">IFERROR(SUMIFS(OFFSET(DBRA_TopicCount,0,S$217,DBR_COUNT,1),DBRA_WorkplanDate,$C576,DBRA_PlayerID,$D$3),"")</f>
        <v>0</v>
      </c>
      <c r="T576">
        <f ca="1">IFERROR(SUMIFS(OFFSET(DBRA_TopicCount,0,T$217,DBR_COUNT,1),DBRA_WorkplanDate,$C576,DBRA_PlayerID,$D$3),"")</f>
        <v>0</v>
      </c>
      <c r="U576">
        <f ca="1">IFERROR(SUMIFS(OFFSET(DBRA_TopicCount,0,U$217,DBR_COUNT,1),DBRA_WorkplanDate,$C576,DBRA_PlayerID,$D$3),"")</f>
        <v>0</v>
      </c>
      <c r="V576">
        <f ca="1">IFERROR(SUMIFS(OFFSET(DBRA_TopicCount,0,V$217,DBR_COUNT,1),DBRA_WorkplanDate,$C576,DBRA_PlayerID,$D$3),"")</f>
        <v>0</v>
      </c>
      <c r="W576" s="47"/>
      <c r="X576" t="str">
        <f t="shared" ca="1" si="124"/>
        <v/>
      </c>
      <c r="Y576" t="str">
        <f t="shared" ca="1" si="116"/>
        <v/>
      </c>
      <c r="Z576" t="str">
        <f t="shared" ca="1" si="117"/>
        <v/>
      </c>
      <c r="AA576" t="str">
        <f t="shared" ca="1" si="118"/>
        <v/>
      </c>
      <c r="AB576" t="str">
        <f t="shared" ca="1" si="119"/>
        <v/>
      </c>
      <c r="AC576" t="str">
        <f t="shared" ca="1" si="120"/>
        <v/>
      </c>
      <c r="AD576" t="str">
        <f t="shared" ca="1" si="121"/>
        <v/>
      </c>
      <c r="AE576" t="str">
        <f t="shared" ca="1" si="122"/>
        <v/>
      </c>
      <c r="AF576" t="str">
        <f t="shared" ca="1" si="123"/>
        <v/>
      </c>
      <c r="AG576" s="47"/>
    </row>
    <row r="577" spans="1:33" x14ac:dyDescent="0.25">
      <c r="C577" s="118">
        <f t="shared" si="125"/>
        <v>42363</v>
      </c>
      <c r="D577">
        <f ca="1">IFERROR(SUMIFS(OFFSET(DBRA_TopicHCP,0,D$217,DBR_COUNT,1),DBRA_WorkplanDate,$C577,DBRA_PlayerID,$D$3),"")</f>
        <v>0</v>
      </c>
      <c r="E577">
        <f ca="1">IFERROR(SUMIFS(OFFSET(DBRA_TopicHCP,0,E$217,DBR_COUNT,1),DBRA_WorkplanDate,$C577,DBRA_PlayerID,$D$3),"")</f>
        <v>0</v>
      </c>
      <c r="F577">
        <f ca="1">IFERROR(SUMIFS(OFFSET(DBRA_TopicHCP,0,F$217,DBR_COUNT,1),DBRA_WorkplanDate,$C577,DBRA_PlayerID,$D$3),"")</f>
        <v>0</v>
      </c>
      <c r="G577">
        <f ca="1">IFERROR(SUMIFS(OFFSET(DBRA_TopicHCP,0,G$217,DBR_COUNT,1),DBRA_WorkplanDate,$C577,DBRA_PlayerID,$D$3),"")</f>
        <v>0</v>
      </c>
      <c r="H577">
        <f ca="1">IFERROR(SUMIFS(OFFSET(DBRA_TopicHCP,0,H$217,DBR_COUNT,1),DBRA_WorkplanDate,$C577,DBRA_PlayerID,$D$3),"")</f>
        <v>0</v>
      </c>
      <c r="I577">
        <f ca="1">IFERROR(SUMIFS(OFFSET(DBRA_TopicHCP,0,I$217,DBR_COUNT,1),DBRA_WorkplanDate,$C577,DBRA_PlayerID,$D$3),"")</f>
        <v>0</v>
      </c>
      <c r="J577">
        <f ca="1">IFERROR(SUMIFS(OFFSET(DBRA_TopicHCP,0,J$217,DBR_COUNT,1),DBRA_WorkplanDate,$C577,DBRA_PlayerID,$D$3),"")</f>
        <v>0</v>
      </c>
      <c r="K577">
        <f ca="1">IFERROR(SUMIFS(OFFSET(DBRA_TopicHCP,0,K$217,DBR_COUNT,1),DBRA_WorkplanDate,$C577,DBRA_PlayerID,$D$3),"")</f>
        <v>0</v>
      </c>
      <c r="L577">
        <f ca="1">IFERROR(SUMIFS(OFFSET(DBRA_TopicHCP,0,L$217,DBR_COUNT,1),DBRA_WorkplanDate,$C577,DBRA_PlayerID,$D$3),"")</f>
        <v>0</v>
      </c>
      <c r="M577" s="47"/>
      <c r="N577">
        <f ca="1">IFERROR(SUMIFS(OFFSET(DBRA_TopicCount,0,N$217,DBR_COUNT,1),DBRA_WorkplanDate,$C577,DBRA_PlayerID,$D$3),"")</f>
        <v>0</v>
      </c>
      <c r="O577">
        <f ca="1">IFERROR(SUMIFS(OFFSET(DBRA_TopicCount,0,O$217,DBR_COUNT,1),DBRA_WorkplanDate,$C577,DBRA_PlayerID,$D$3),"")</f>
        <v>0</v>
      </c>
      <c r="P577">
        <f ca="1">IFERROR(SUMIFS(OFFSET(DBRA_TopicCount,0,P$217,DBR_COUNT,1),DBRA_WorkplanDate,$C577,DBRA_PlayerID,$D$3),"")</f>
        <v>0</v>
      </c>
      <c r="Q577">
        <f ca="1">IFERROR(SUMIFS(OFFSET(DBRA_TopicCount,0,Q$217,DBR_COUNT,1),DBRA_WorkplanDate,$C577,DBRA_PlayerID,$D$3),"")</f>
        <v>0</v>
      </c>
      <c r="R577">
        <f ca="1">IFERROR(SUMIFS(OFFSET(DBRA_TopicCount,0,R$217,DBR_COUNT,1),DBRA_WorkplanDate,$C577,DBRA_PlayerID,$D$3),"")</f>
        <v>0</v>
      </c>
      <c r="S577">
        <f ca="1">IFERROR(SUMIFS(OFFSET(DBRA_TopicCount,0,S$217,DBR_COUNT,1),DBRA_WorkplanDate,$C577,DBRA_PlayerID,$D$3),"")</f>
        <v>0</v>
      </c>
      <c r="T577">
        <f ca="1">IFERROR(SUMIFS(OFFSET(DBRA_TopicCount,0,T$217,DBR_COUNT,1),DBRA_WorkplanDate,$C577,DBRA_PlayerID,$D$3),"")</f>
        <v>0</v>
      </c>
      <c r="U577">
        <f ca="1">IFERROR(SUMIFS(OFFSET(DBRA_TopicCount,0,U$217,DBR_COUNT,1),DBRA_WorkplanDate,$C577,DBRA_PlayerID,$D$3),"")</f>
        <v>0</v>
      </c>
      <c r="V577">
        <f ca="1">IFERROR(SUMIFS(OFFSET(DBRA_TopicCount,0,V$217,DBR_COUNT,1),DBRA_WorkplanDate,$C577,DBRA_PlayerID,$D$3),"")</f>
        <v>0</v>
      </c>
      <c r="W577" s="47"/>
      <c r="X577" t="str">
        <f t="shared" ca="1" si="124"/>
        <v/>
      </c>
      <c r="Y577" t="str">
        <f t="shared" ca="1" si="116"/>
        <v/>
      </c>
      <c r="Z577" t="str">
        <f t="shared" ca="1" si="117"/>
        <v/>
      </c>
      <c r="AA577" t="str">
        <f t="shared" ca="1" si="118"/>
        <v/>
      </c>
      <c r="AB577" t="str">
        <f t="shared" ca="1" si="119"/>
        <v/>
      </c>
      <c r="AC577" t="str">
        <f t="shared" ca="1" si="120"/>
        <v/>
      </c>
      <c r="AD577" t="str">
        <f t="shared" ca="1" si="121"/>
        <v/>
      </c>
      <c r="AE577" t="str">
        <f t="shared" ca="1" si="122"/>
        <v/>
      </c>
      <c r="AF577" t="str">
        <f t="shared" ca="1" si="123"/>
        <v/>
      </c>
      <c r="AG577" s="47"/>
    </row>
    <row r="578" spans="1:33" x14ac:dyDescent="0.25">
      <c r="C578" s="118">
        <f t="shared" si="125"/>
        <v>42364</v>
      </c>
      <c r="D578">
        <f ca="1">IFERROR(SUMIFS(OFFSET(DBRA_TopicHCP,0,D$217,DBR_COUNT,1),DBRA_WorkplanDate,$C578,DBRA_PlayerID,$D$3),"")</f>
        <v>0</v>
      </c>
      <c r="E578">
        <f ca="1">IFERROR(SUMIFS(OFFSET(DBRA_TopicHCP,0,E$217,DBR_COUNT,1),DBRA_WorkplanDate,$C578,DBRA_PlayerID,$D$3),"")</f>
        <v>0</v>
      </c>
      <c r="F578">
        <f ca="1">IFERROR(SUMIFS(OFFSET(DBRA_TopicHCP,0,F$217,DBR_COUNT,1),DBRA_WorkplanDate,$C578,DBRA_PlayerID,$D$3),"")</f>
        <v>0</v>
      </c>
      <c r="G578">
        <f ca="1">IFERROR(SUMIFS(OFFSET(DBRA_TopicHCP,0,G$217,DBR_COUNT,1),DBRA_WorkplanDate,$C578,DBRA_PlayerID,$D$3),"")</f>
        <v>0</v>
      </c>
      <c r="H578">
        <f ca="1">IFERROR(SUMIFS(OFFSET(DBRA_TopicHCP,0,H$217,DBR_COUNT,1),DBRA_WorkplanDate,$C578,DBRA_PlayerID,$D$3),"")</f>
        <v>0</v>
      </c>
      <c r="I578">
        <f ca="1">IFERROR(SUMIFS(OFFSET(DBRA_TopicHCP,0,I$217,DBR_COUNT,1),DBRA_WorkplanDate,$C578,DBRA_PlayerID,$D$3),"")</f>
        <v>0</v>
      </c>
      <c r="J578">
        <f ca="1">IFERROR(SUMIFS(OFFSET(DBRA_TopicHCP,0,J$217,DBR_COUNT,1),DBRA_WorkplanDate,$C578,DBRA_PlayerID,$D$3),"")</f>
        <v>0</v>
      </c>
      <c r="K578">
        <f ca="1">IFERROR(SUMIFS(OFFSET(DBRA_TopicHCP,0,K$217,DBR_COUNT,1),DBRA_WorkplanDate,$C578,DBRA_PlayerID,$D$3),"")</f>
        <v>0</v>
      </c>
      <c r="L578">
        <f ca="1">IFERROR(SUMIFS(OFFSET(DBRA_TopicHCP,0,L$217,DBR_COUNT,1),DBRA_WorkplanDate,$C578,DBRA_PlayerID,$D$3),"")</f>
        <v>0</v>
      </c>
      <c r="M578" s="47"/>
      <c r="N578">
        <f ca="1">IFERROR(SUMIFS(OFFSET(DBRA_TopicCount,0,N$217,DBR_COUNT,1),DBRA_WorkplanDate,$C578,DBRA_PlayerID,$D$3),"")</f>
        <v>0</v>
      </c>
      <c r="O578">
        <f ca="1">IFERROR(SUMIFS(OFFSET(DBRA_TopicCount,0,O$217,DBR_COUNT,1),DBRA_WorkplanDate,$C578,DBRA_PlayerID,$D$3),"")</f>
        <v>0</v>
      </c>
      <c r="P578">
        <f ca="1">IFERROR(SUMIFS(OFFSET(DBRA_TopicCount,0,P$217,DBR_COUNT,1),DBRA_WorkplanDate,$C578,DBRA_PlayerID,$D$3),"")</f>
        <v>0</v>
      </c>
      <c r="Q578">
        <f ca="1">IFERROR(SUMIFS(OFFSET(DBRA_TopicCount,0,Q$217,DBR_COUNT,1),DBRA_WorkplanDate,$C578,DBRA_PlayerID,$D$3),"")</f>
        <v>0</v>
      </c>
      <c r="R578">
        <f ca="1">IFERROR(SUMIFS(OFFSET(DBRA_TopicCount,0,R$217,DBR_COUNT,1),DBRA_WorkplanDate,$C578,DBRA_PlayerID,$D$3),"")</f>
        <v>0</v>
      </c>
      <c r="S578">
        <f ca="1">IFERROR(SUMIFS(OFFSET(DBRA_TopicCount,0,S$217,DBR_COUNT,1),DBRA_WorkplanDate,$C578,DBRA_PlayerID,$D$3),"")</f>
        <v>0</v>
      </c>
      <c r="T578">
        <f ca="1">IFERROR(SUMIFS(OFFSET(DBRA_TopicCount,0,T$217,DBR_COUNT,1),DBRA_WorkplanDate,$C578,DBRA_PlayerID,$D$3),"")</f>
        <v>0</v>
      </c>
      <c r="U578">
        <f ca="1">IFERROR(SUMIFS(OFFSET(DBRA_TopicCount,0,U$217,DBR_COUNT,1),DBRA_WorkplanDate,$C578,DBRA_PlayerID,$D$3),"")</f>
        <v>0</v>
      </c>
      <c r="V578">
        <f ca="1">IFERROR(SUMIFS(OFFSET(DBRA_TopicCount,0,V$217,DBR_COUNT,1),DBRA_WorkplanDate,$C578,DBRA_PlayerID,$D$3),"")</f>
        <v>0</v>
      </c>
      <c r="W578" s="47"/>
      <c r="X578" t="str">
        <f t="shared" ca="1" si="124"/>
        <v/>
      </c>
      <c r="Y578" t="str">
        <f t="shared" ca="1" si="116"/>
        <v/>
      </c>
      <c r="Z578" t="str">
        <f t="shared" ca="1" si="117"/>
        <v/>
      </c>
      <c r="AA578" t="str">
        <f t="shared" ca="1" si="118"/>
        <v/>
      </c>
      <c r="AB578" t="str">
        <f t="shared" ca="1" si="119"/>
        <v/>
      </c>
      <c r="AC578" t="str">
        <f t="shared" ca="1" si="120"/>
        <v/>
      </c>
      <c r="AD578" t="str">
        <f t="shared" ca="1" si="121"/>
        <v/>
      </c>
      <c r="AE578" t="str">
        <f t="shared" ca="1" si="122"/>
        <v/>
      </c>
      <c r="AF578" t="str">
        <f t="shared" ca="1" si="123"/>
        <v/>
      </c>
      <c r="AG578" s="47"/>
    </row>
    <row r="579" spans="1:33" x14ac:dyDescent="0.25">
      <c r="C579" s="118">
        <f t="shared" si="125"/>
        <v>42365</v>
      </c>
      <c r="D579">
        <f ca="1">IFERROR(SUMIFS(OFFSET(DBRA_TopicHCP,0,D$217,DBR_COUNT,1),DBRA_WorkplanDate,$C579,DBRA_PlayerID,$D$3),"")</f>
        <v>0</v>
      </c>
      <c r="E579">
        <f ca="1">IFERROR(SUMIFS(OFFSET(DBRA_TopicHCP,0,E$217,DBR_COUNT,1),DBRA_WorkplanDate,$C579,DBRA_PlayerID,$D$3),"")</f>
        <v>0</v>
      </c>
      <c r="F579">
        <f ca="1">IFERROR(SUMIFS(OFFSET(DBRA_TopicHCP,0,F$217,DBR_COUNT,1),DBRA_WorkplanDate,$C579,DBRA_PlayerID,$D$3),"")</f>
        <v>0</v>
      </c>
      <c r="G579">
        <f ca="1">IFERROR(SUMIFS(OFFSET(DBRA_TopicHCP,0,G$217,DBR_COUNT,1),DBRA_WorkplanDate,$C579,DBRA_PlayerID,$D$3),"")</f>
        <v>0</v>
      </c>
      <c r="H579">
        <f ca="1">IFERROR(SUMIFS(OFFSET(DBRA_TopicHCP,0,H$217,DBR_COUNT,1),DBRA_WorkplanDate,$C579,DBRA_PlayerID,$D$3),"")</f>
        <v>0</v>
      </c>
      <c r="I579">
        <f ca="1">IFERROR(SUMIFS(OFFSET(DBRA_TopicHCP,0,I$217,DBR_COUNT,1),DBRA_WorkplanDate,$C579,DBRA_PlayerID,$D$3),"")</f>
        <v>0</v>
      </c>
      <c r="J579">
        <f ca="1">IFERROR(SUMIFS(OFFSET(DBRA_TopicHCP,0,J$217,DBR_COUNT,1),DBRA_WorkplanDate,$C579,DBRA_PlayerID,$D$3),"")</f>
        <v>0</v>
      </c>
      <c r="K579">
        <f ca="1">IFERROR(SUMIFS(OFFSET(DBRA_TopicHCP,0,K$217,DBR_COUNT,1),DBRA_WorkplanDate,$C579,DBRA_PlayerID,$D$3),"")</f>
        <v>0</v>
      </c>
      <c r="L579">
        <f ca="1">IFERROR(SUMIFS(OFFSET(DBRA_TopicHCP,0,L$217,DBR_COUNT,1),DBRA_WorkplanDate,$C579,DBRA_PlayerID,$D$3),"")</f>
        <v>0</v>
      </c>
      <c r="M579" s="47"/>
      <c r="N579">
        <f ca="1">IFERROR(SUMIFS(OFFSET(DBRA_TopicCount,0,N$217,DBR_COUNT,1),DBRA_WorkplanDate,$C579,DBRA_PlayerID,$D$3),"")</f>
        <v>0</v>
      </c>
      <c r="O579">
        <f ca="1">IFERROR(SUMIFS(OFFSET(DBRA_TopicCount,0,O$217,DBR_COUNT,1),DBRA_WorkplanDate,$C579,DBRA_PlayerID,$D$3),"")</f>
        <v>0</v>
      </c>
      <c r="P579">
        <f ca="1">IFERROR(SUMIFS(OFFSET(DBRA_TopicCount,0,P$217,DBR_COUNT,1),DBRA_WorkplanDate,$C579,DBRA_PlayerID,$D$3),"")</f>
        <v>0</v>
      </c>
      <c r="Q579">
        <f ca="1">IFERROR(SUMIFS(OFFSET(DBRA_TopicCount,0,Q$217,DBR_COUNT,1),DBRA_WorkplanDate,$C579,DBRA_PlayerID,$D$3),"")</f>
        <v>0</v>
      </c>
      <c r="R579">
        <f ca="1">IFERROR(SUMIFS(OFFSET(DBRA_TopicCount,0,R$217,DBR_COUNT,1),DBRA_WorkplanDate,$C579,DBRA_PlayerID,$D$3),"")</f>
        <v>0</v>
      </c>
      <c r="S579">
        <f ca="1">IFERROR(SUMIFS(OFFSET(DBRA_TopicCount,0,S$217,DBR_COUNT,1),DBRA_WorkplanDate,$C579,DBRA_PlayerID,$D$3),"")</f>
        <v>0</v>
      </c>
      <c r="T579">
        <f ca="1">IFERROR(SUMIFS(OFFSET(DBRA_TopicCount,0,T$217,DBR_COUNT,1),DBRA_WorkplanDate,$C579,DBRA_PlayerID,$D$3),"")</f>
        <v>0</v>
      </c>
      <c r="U579">
        <f ca="1">IFERROR(SUMIFS(OFFSET(DBRA_TopicCount,0,U$217,DBR_COUNT,1),DBRA_WorkplanDate,$C579,DBRA_PlayerID,$D$3),"")</f>
        <v>0</v>
      </c>
      <c r="V579">
        <f ca="1">IFERROR(SUMIFS(OFFSET(DBRA_TopicCount,0,V$217,DBR_COUNT,1),DBRA_WorkplanDate,$C579,DBRA_PlayerID,$D$3),"")</f>
        <v>0</v>
      </c>
      <c r="W579" s="47"/>
      <c r="X579" t="str">
        <f t="shared" ca="1" si="124"/>
        <v/>
      </c>
      <c r="Y579" t="str">
        <f t="shared" ca="1" si="116"/>
        <v/>
      </c>
      <c r="Z579" t="str">
        <f t="shared" ca="1" si="117"/>
        <v/>
      </c>
      <c r="AA579" t="str">
        <f t="shared" ca="1" si="118"/>
        <v/>
      </c>
      <c r="AB579" t="str">
        <f t="shared" ca="1" si="119"/>
        <v/>
      </c>
      <c r="AC579" t="str">
        <f t="shared" ca="1" si="120"/>
        <v/>
      </c>
      <c r="AD579" t="str">
        <f t="shared" ca="1" si="121"/>
        <v/>
      </c>
      <c r="AE579" t="str">
        <f t="shared" ca="1" si="122"/>
        <v/>
      </c>
      <c r="AF579" t="str">
        <f t="shared" ca="1" si="123"/>
        <v/>
      </c>
      <c r="AG579" s="47"/>
    </row>
    <row r="580" spans="1:33" x14ac:dyDescent="0.25">
      <c r="C580" s="118">
        <f t="shared" si="125"/>
        <v>42366</v>
      </c>
      <c r="D580">
        <f ca="1">IFERROR(SUMIFS(OFFSET(DBRA_TopicHCP,0,D$217,DBR_COUNT,1),DBRA_WorkplanDate,$C580,DBRA_PlayerID,$D$3),"")</f>
        <v>0</v>
      </c>
      <c r="E580">
        <f ca="1">IFERROR(SUMIFS(OFFSET(DBRA_TopicHCP,0,E$217,DBR_COUNT,1),DBRA_WorkplanDate,$C580,DBRA_PlayerID,$D$3),"")</f>
        <v>0</v>
      </c>
      <c r="F580">
        <f ca="1">IFERROR(SUMIFS(OFFSET(DBRA_TopicHCP,0,F$217,DBR_COUNT,1),DBRA_WorkplanDate,$C580,DBRA_PlayerID,$D$3),"")</f>
        <v>0</v>
      </c>
      <c r="G580">
        <f ca="1">IFERROR(SUMIFS(OFFSET(DBRA_TopicHCP,0,G$217,DBR_COUNT,1),DBRA_WorkplanDate,$C580,DBRA_PlayerID,$D$3),"")</f>
        <v>0</v>
      </c>
      <c r="H580">
        <f ca="1">IFERROR(SUMIFS(OFFSET(DBRA_TopicHCP,0,H$217,DBR_COUNT,1),DBRA_WorkplanDate,$C580,DBRA_PlayerID,$D$3),"")</f>
        <v>0</v>
      </c>
      <c r="I580">
        <f ca="1">IFERROR(SUMIFS(OFFSET(DBRA_TopicHCP,0,I$217,DBR_COUNT,1),DBRA_WorkplanDate,$C580,DBRA_PlayerID,$D$3),"")</f>
        <v>0</v>
      </c>
      <c r="J580">
        <f ca="1">IFERROR(SUMIFS(OFFSET(DBRA_TopicHCP,0,J$217,DBR_COUNT,1),DBRA_WorkplanDate,$C580,DBRA_PlayerID,$D$3),"")</f>
        <v>0</v>
      </c>
      <c r="K580">
        <f ca="1">IFERROR(SUMIFS(OFFSET(DBRA_TopicHCP,0,K$217,DBR_COUNT,1),DBRA_WorkplanDate,$C580,DBRA_PlayerID,$D$3),"")</f>
        <v>0</v>
      </c>
      <c r="L580">
        <f ca="1">IFERROR(SUMIFS(OFFSET(DBRA_TopicHCP,0,L$217,DBR_COUNT,1),DBRA_WorkplanDate,$C580,DBRA_PlayerID,$D$3),"")</f>
        <v>0</v>
      </c>
      <c r="M580" s="47"/>
      <c r="N580">
        <f ca="1">IFERROR(SUMIFS(OFFSET(DBRA_TopicCount,0,N$217,DBR_COUNT,1),DBRA_WorkplanDate,$C580,DBRA_PlayerID,$D$3),"")</f>
        <v>0</v>
      </c>
      <c r="O580">
        <f ca="1">IFERROR(SUMIFS(OFFSET(DBRA_TopicCount,0,O$217,DBR_COUNT,1),DBRA_WorkplanDate,$C580,DBRA_PlayerID,$D$3),"")</f>
        <v>0</v>
      </c>
      <c r="P580">
        <f ca="1">IFERROR(SUMIFS(OFFSET(DBRA_TopicCount,0,P$217,DBR_COUNT,1),DBRA_WorkplanDate,$C580,DBRA_PlayerID,$D$3),"")</f>
        <v>0</v>
      </c>
      <c r="Q580">
        <f ca="1">IFERROR(SUMIFS(OFFSET(DBRA_TopicCount,0,Q$217,DBR_COUNT,1),DBRA_WorkplanDate,$C580,DBRA_PlayerID,$D$3),"")</f>
        <v>0</v>
      </c>
      <c r="R580">
        <f ca="1">IFERROR(SUMIFS(OFFSET(DBRA_TopicCount,0,R$217,DBR_COUNT,1),DBRA_WorkplanDate,$C580,DBRA_PlayerID,$D$3),"")</f>
        <v>0</v>
      </c>
      <c r="S580">
        <f ca="1">IFERROR(SUMIFS(OFFSET(DBRA_TopicCount,0,S$217,DBR_COUNT,1),DBRA_WorkplanDate,$C580,DBRA_PlayerID,$D$3),"")</f>
        <v>0</v>
      </c>
      <c r="T580">
        <f ca="1">IFERROR(SUMIFS(OFFSET(DBRA_TopicCount,0,T$217,DBR_COUNT,1),DBRA_WorkplanDate,$C580,DBRA_PlayerID,$D$3),"")</f>
        <v>0</v>
      </c>
      <c r="U580">
        <f ca="1">IFERROR(SUMIFS(OFFSET(DBRA_TopicCount,0,U$217,DBR_COUNT,1),DBRA_WorkplanDate,$C580,DBRA_PlayerID,$D$3),"")</f>
        <v>0</v>
      </c>
      <c r="V580">
        <f ca="1">IFERROR(SUMIFS(OFFSET(DBRA_TopicCount,0,V$217,DBR_COUNT,1),DBRA_WorkplanDate,$C580,DBRA_PlayerID,$D$3),"")</f>
        <v>0</v>
      </c>
      <c r="W580" s="47"/>
      <c r="X580" t="str">
        <f t="shared" ca="1" si="124"/>
        <v/>
      </c>
      <c r="Y580" t="str">
        <f t="shared" ca="1" si="116"/>
        <v/>
      </c>
      <c r="Z580" t="str">
        <f t="shared" ca="1" si="117"/>
        <v/>
      </c>
      <c r="AA580" t="str">
        <f t="shared" ca="1" si="118"/>
        <v/>
      </c>
      <c r="AB580" t="str">
        <f t="shared" ca="1" si="119"/>
        <v/>
      </c>
      <c r="AC580" t="str">
        <f t="shared" ca="1" si="120"/>
        <v/>
      </c>
      <c r="AD580" t="str">
        <f t="shared" ca="1" si="121"/>
        <v/>
      </c>
      <c r="AE580" t="str">
        <f t="shared" ca="1" si="122"/>
        <v/>
      </c>
      <c r="AF580" t="str">
        <f t="shared" ca="1" si="123"/>
        <v/>
      </c>
      <c r="AG580" s="47"/>
    </row>
    <row r="581" spans="1:33" x14ac:dyDescent="0.25">
      <c r="C581" s="118">
        <f t="shared" si="125"/>
        <v>42367</v>
      </c>
      <c r="D581">
        <f ca="1">IFERROR(SUMIFS(OFFSET(DBRA_TopicHCP,0,D$217,DBR_COUNT,1),DBRA_WorkplanDate,$C581,DBRA_PlayerID,$D$3),"")</f>
        <v>0</v>
      </c>
      <c r="E581">
        <f ca="1">IFERROR(SUMIFS(OFFSET(DBRA_TopicHCP,0,E$217,DBR_COUNT,1),DBRA_WorkplanDate,$C581,DBRA_PlayerID,$D$3),"")</f>
        <v>0</v>
      </c>
      <c r="F581">
        <f ca="1">IFERROR(SUMIFS(OFFSET(DBRA_TopicHCP,0,F$217,DBR_COUNT,1),DBRA_WorkplanDate,$C581,DBRA_PlayerID,$D$3),"")</f>
        <v>0</v>
      </c>
      <c r="G581">
        <f ca="1">IFERROR(SUMIFS(OFFSET(DBRA_TopicHCP,0,G$217,DBR_COUNT,1),DBRA_WorkplanDate,$C581,DBRA_PlayerID,$D$3),"")</f>
        <v>0</v>
      </c>
      <c r="H581">
        <f ca="1">IFERROR(SUMIFS(OFFSET(DBRA_TopicHCP,0,H$217,DBR_COUNT,1),DBRA_WorkplanDate,$C581,DBRA_PlayerID,$D$3),"")</f>
        <v>0</v>
      </c>
      <c r="I581">
        <f ca="1">IFERROR(SUMIFS(OFFSET(DBRA_TopicHCP,0,I$217,DBR_COUNT,1),DBRA_WorkplanDate,$C581,DBRA_PlayerID,$D$3),"")</f>
        <v>0</v>
      </c>
      <c r="J581">
        <f ca="1">IFERROR(SUMIFS(OFFSET(DBRA_TopicHCP,0,J$217,DBR_COUNT,1),DBRA_WorkplanDate,$C581,DBRA_PlayerID,$D$3),"")</f>
        <v>0</v>
      </c>
      <c r="K581">
        <f ca="1">IFERROR(SUMIFS(OFFSET(DBRA_TopicHCP,0,K$217,DBR_COUNT,1),DBRA_WorkplanDate,$C581,DBRA_PlayerID,$D$3),"")</f>
        <v>0</v>
      </c>
      <c r="L581">
        <f ca="1">IFERROR(SUMIFS(OFFSET(DBRA_TopicHCP,0,L$217,DBR_COUNT,1),DBRA_WorkplanDate,$C581,DBRA_PlayerID,$D$3),"")</f>
        <v>0</v>
      </c>
      <c r="M581" s="47"/>
      <c r="N581">
        <f ca="1">IFERROR(SUMIFS(OFFSET(DBRA_TopicCount,0,N$217,DBR_COUNT,1),DBRA_WorkplanDate,$C581,DBRA_PlayerID,$D$3),"")</f>
        <v>0</v>
      </c>
      <c r="O581">
        <f ca="1">IFERROR(SUMIFS(OFFSET(DBRA_TopicCount,0,O$217,DBR_COUNT,1),DBRA_WorkplanDate,$C581,DBRA_PlayerID,$D$3),"")</f>
        <v>0</v>
      </c>
      <c r="P581">
        <f ca="1">IFERROR(SUMIFS(OFFSET(DBRA_TopicCount,0,P$217,DBR_COUNT,1),DBRA_WorkplanDate,$C581,DBRA_PlayerID,$D$3),"")</f>
        <v>0</v>
      </c>
      <c r="Q581">
        <f ca="1">IFERROR(SUMIFS(OFFSET(DBRA_TopicCount,0,Q$217,DBR_COUNT,1),DBRA_WorkplanDate,$C581,DBRA_PlayerID,$D$3),"")</f>
        <v>0</v>
      </c>
      <c r="R581">
        <f ca="1">IFERROR(SUMIFS(OFFSET(DBRA_TopicCount,0,R$217,DBR_COUNT,1),DBRA_WorkplanDate,$C581,DBRA_PlayerID,$D$3),"")</f>
        <v>0</v>
      </c>
      <c r="S581">
        <f ca="1">IFERROR(SUMIFS(OFFSET(DBRA_TopicCount,0,S$217,DBR_COUNT,1),DBRA_WorkplanDate,$C581,DBRA_PlayerID,$D$3),"")</f>
        <v>0</v>
      </c>
      <c r="T581">
        <f ca="1">IFERROR(SUMIFS(OFFSET(DBRA_TopicCount,0,T$217,DBR_COUNT,1),DBRA_WorkplanDate,$C581,DBRA_PlayerID,$D$3),"")</f>
        <v>0</v>
      </c>
      <c r="U581">
        <f ca="1">IFERROR(SUMIFS(OFFSET(DBRA_TopicCount,0,U$217,DBR_COUNT,1),DBRA_WorkplanDate,$C581,DBRA_PlayerID,$D$3),"")</f>
        <v>0</v>
      </c>
      <c r="V581">
        <f ca="1">IFERROR(SUMIFS(OFFSET(DBRA_TopicCount,0,V$217,DBR_COUNT,1),DBRA_WorkplanDate,$C581,DBRA_PlayerID,$D$3),"")</f>
        <v>0</v>
      </c>
      <c r="W581" s="47"/>
      <c r="X581" t="str">
        <f t="shared" ca="1" si="124"/>
        <v/>
      </c>
      <c r="Y581" t="str">
        <f t="shared" ca="1" si="116"/>
        <v/>
      </c>
      <c r="Z581" t="str">
        <f t="shared" ca="1" si="117"/>
        <v/>
      </c>
      <c r="AA581" t="str">
        <f t="shared" ca="1" si="118"/>
        <v/>
      </c>
      <c r="AB581" t="str">
        <f t="shared" ca="1" si="119"/>
        <v/>
      </c>
      <c r="AC581" t="str">
        <f t="shared" ca="1" si="120"/>
        <v/>
      </c>
      <c r="AD581" t="str">
        <f t="shared" ca="1" si="121"/>
        <v/>
      </c>
      <c r="AE581" t="str">
        <f t="shared" ca="1" si="122"/>
        <v/>
      </c>
      <c r="AF581" t="str">
        <f t="shared" ca="1" si="123"/>
        <v/>
      </c>
      <c r="AG581" s="47"/>
    </row>
    <row r="582" spans="1:33" x14ac:dyDescent="0.25">
      <c r="C582" s="118">
        <f t="shared" si="125"/>
        <v>42368</v>
      </c>
      <c r="D582">
        <f ca="1">IFERROR(SUMIFS(OFFSET(DBRA_TopicHCP,0,D$217,DBR_COUNT,1),DBRA_WorkplanDate,$C582,DBRA_PlayerID,$D$3),"")</f>
        <v>0</v>
      </c>
      <c r="E582">
        <f ca="1">IFERROR(SUMIFS(OFFSET(DBRA_TopicHCP,0,E$217,DBR_COUNT,1),DBRA_WorkplanDate,$C582,DBRA_PlayerID,$D$3),"")</f>
        <v>0</v>
      </c>
      <c r="F582">
        <f ca="1">IFERROR(SUMIFS(OFFSET(DBRA_TopicHCP,0,F$217,DBR_COUNT,1),DBRA_WorkplanDate,$C582,DBRA_PlayerID,$D$3),"")</f>
        <v>0</v>
      </c>
      <c r="G582">
        <f ca="1">IFERROR(SUMIFS(OFFSET(DBRA_TopicHCP,0,G$217,DBR_COUNT,1),DBRA_WorkplanDate,$C582,DBRA_PlayerID,$D$3),"")</f>
        <v>0</v>
      </c>
      <c r="H582">
        <f ca="1">IFERROR(SUMIFS(OFFSET(DBRA_TopicHCP,0,H$217,DBR_COUNT,1),DBRA_WorkplanDate,$C582,DBRA_PlayerID,$D$3),"")</f>
        <v>0</v>
      </c>
      <c r="I582">
        <f ca="1">IFERROR(SUMIFS(OFFSET(DBRA_TopicHCP,0,I$217,DBR_COUNT,1),DBRA_WorkplanDate,$C582,DBRA_PlayerID,$D$3),"")</f>
        <v>0</v>
      </c>
      <c r="J582">
        <f ca="1">IFERROR(SUMIFS(OFFSET(DBRA_TopicHCP,0,J$217,DBR_COUNT,1),DBRA_WorkplanDate,$C582,DBRA_PlayerID,$D$3),"")</f>
        <v>0</v>
      </c>
      <c r="K582">
        <f ca="1">IFERROR(SUMIFS(OFFSET(DBRA_TopicHCP,0,K$217,DBR_COUNT,1),DBRA_WorkplanDate,$C582,DBRA_PlayerID,$D$3),"")</f>
        <v>0</v>
      </c>
      <c r="L582">
        <f ca="1">IFERROR(SUMIFS(OFFSET(DBRA_TopicHCP,0,L$217,DBR_COUNT,1),DBRA_WorkplanDate,$C582,DBRA_PlayerID,$D$3),"")</f>
        <v>0</v>
      </c>
      <c r="M582" s="47"/>
      <c r="N582">
        <f ca="1">IFERROR(SUMIFS(OFFSET(DBRA_TopicCount,0,N$217,DBR_COUNT,1),DBRA_WorkplanDate,$C582,DBRA_PlayerID,$D$3),"")</f>
        <v>0</v>
      </c>
      <c r="O582">
        <f ca="1">IFERROR(SUMIFS(OFFSET(DBRA_TopicCount,0,O$217,DBR_COUNT,1),DBRA_WorkplanDate,$C582,DBRA_PlayerID,$D$3),"")</f>
        <v>0</v>
      </c>
      <c r="P582">
        <f ca="1">IFERROR(SUMIFS(OFFSET(DBRA_TopicCount,0,P$217,DBR_COUNT,1),DBRA_WorkplanDate,$C582,DBRA_PlayerID,$D$3),"")</f>
        <v>0</v>
      </c>
      <c r="Q582">
        <f ca="1">IFERROR(SUMIFS(OFFSET(DBRA_TopicCount,0,Q$217,DBR_COUNT,1),DBRA_WorkplanDate,$C582,DBRA_PlayerID,$D$3),"")</f>
        <v>0</v>
      </c>
      <c r="R582">
        <f ca="1">IFERROR(SUMIFS(OFFSET(DBRA_TopicCount,0,R$217,DBR_COUNT,1),DBRA_WorkplanDate,$C582,DBRA_PlayerID,$D$3),"")</f>
        <v>0</v>
      </c>
      <c r="S582">
        <f ca="1">IFERROR(SUMIFS(OFFSET(DBRA_TopicCount,0,S$217,DBR_COUNT,1),DBRA_WorkplanDate,$C582,DBRA_PlayerID,$D$3),"")</f>
        <v>0</v>
      </c>
      <c r="T582">
        <f ca="1">IFERROR(SUMIFS(OFFSET(DBRA_TopicCount,0,T$217,DBR_COUNT,1),DBRA_WorkplanDate,$C582,DBRA_PlayerID,$D$3),"")</f>
        <v>0</v>
      </c>
      <c r="U582">
        <f ca="1">IFERROR(SUMIFS(OFFSET(DBRA_TopicCount,0,U$217,DBR_COUNT,1),DBRA_WorkplanDate,$C582,DBRA_PlayerID,$D$3),"")</f>
        <v>0</v>
      </c>
      <c r="V582">
        <f ca="1">IFERROR(SUMIFS(OFFSET(DBRA_TopicCount,0,V$217,DBR_COUNT,1),DBRA_WorkplanDate,$C582,DBRA_PlayerID,$D$3),"")</f>
        <v>0</v>
      </c>
      <c r="W582" s="47"/>
      <c r="X582" t="str">
        <f t="shared" ca="1" si="124"/>
        <v/>
      </c>
      <c r="Y582" t="str">
        <f t="shared" ca="1" si="116"/>
        <v/>
      </c>
      <c r="Z582" t="str">
        <f t="shared" ca="1" si="117"/>
        <v/>
      </c>
      <c r="AA582" t="str">
        <f t="shared" ca="1" si="118"/>
        <v/>
      </c>
      <c r="AB582" t="str">
        <f t="shared" ca="1" si="119"/>
        <v/>
      </c>
      <c r="AC582" t="str">
        <f t="shared" ca="1" si="120"/>
        <v/>
      </c>
      <c r="AD582" t="str">
        <f t="shared" ca="1" si="121"/>
        <v/>
      </c>
      <c r="AE582" t="str">
        <f t="shared" ca="1" si="122"/>
        <v/>
      </c>
      <c r="AF582" t="str">
        <f t="shared" ca="1" si="123"/>
        <v/>
      </c>
      <c r="AG582" s="47"/>
    </row>
    <row r="583" spans="1:33" x14ac:dyDescent="0.25">
      <c r="C583" s="118">
        <f>IF(AND((C582+1)&lt;=$A$220,C582&lt;&gt;""),C582+1,"")</f>
        <v>42369</v>
      </c>
      <c r="D583">
        <f ca="1">IFERROR(SUMIFS(OFFSET(DBRA_TopicHCP,0,D$217,DBR_COUNT,1),DBRA_WorkplanDate,$C583,DBRA_PlayerID,$D$3),"")</f>
        <v>0</v>
      </c>
      <c r="E583">
        <f ca="1">IFERROR(SUMIFS(OFFSET(DBRA_TopicHCP,0,E$217,DBR_COUNT,1),DBRA_WorkplanDate,$C583,DBRA_PlayerID,$D$3),"")</f>
        <v>0</v>
      </c>
      <c r="F583">
        <f ca="1">IFERROR(SUMIFS(OFFSET(DBRA_TopicHCP,0,F$217,DBR_COUNT,1),DBRA_WorkplanDate,$C583,DBRA_PlayerID,$D$3),"")</f>
        <v>0</v>
      </c>
      <c r="G583">
        <f ca="1">IFERROR(SUMIFS(OFFSET(DBRA_TopicHCP,0,G$217,DBR_COUNT,1),DBRA_WorkplanDate,$C583,DBRA_PlayerID,$D$3),"")</f>
        <v>0</v>
      </c>
      <c r="H583">
        <f ca="1">IFERROR(SUMIFS(OFFSET(DBRA_TopicHCP,0,H$217,DBR_COUNT,1),DBRA_WorkplanDate,$C583,DBRA_PlayerID,$D$3),"")</f>
        <v>0</v>
      </c>
      <c r="I583">
        <f ca="1">IFERROR(SUMIFS(OFFSET(DBRA_TopicHCP,0,I$217,DBR_COUNT,1),DBRA_WorkplanDate,$C583,DBRA_PlayerID,$D$3),"")</f>
        <v>0</v>
      </c>
      <c r="J583">
        <f ca="1">IFERROR(SUMIFS(OFFSET(DBRA_TopicHCP,0,J$217,DBR_COUNT,1),DBRA_WorkplanDate,$C583,DBRA_PlayerID,$D$3),"")</f>
        <v>0</v>
      </c>
      <c r="K583">
        <f ca="1">IFERROR(SUMIFS(OFFSET(DBRA_TopicHCP,0,K$217,DBR_COUNT,1),DBRA_WorkplanDate,$C583,DBRA_PlayerID,$D$3),"")</f>
        <v>0</v>
      </c>
      <c r="L583">
        <f ca="1">IFERROR(SUMIFS(OFFSET(DBRA_TopicHCP,0,L$217,DBR_COUNT,1),DBRA_WorkplanDate,$C583,DBRA_PlayerID,$D$3),"")</f>
        <v>0</v>
      </c>
      <c r="M583" s="47"/>
      <c r="N583">
        <f ca="1">IFERROR(SUMIFS(OFFSET(DBRA_TopicCount,0,N$217,DBR_COUNT,1),DBRA_WorkplanDate,$C583,DBRA_PlayerID,$D$3),"")</f>
        <v>0</v>
      </c>
      <c r="O583">
        <f ca="1">IFERROR(SUMIFS(OFFSET(DBRA_TopicCount,0,O$217,DBR_COUNT,1),DBRA_WorkplanDate,$C583,DBRA_PlayerID,$D$3),"")</f>
        <v>0</v>
      </c>
      <c r="P583">
        <f ca="1">IFERROR(SUMIFS(OFFSET(DBRA_TopicCount,0,P$217,DBR_COUNT,1),DBRA_WorkplanDate,$C583,DBRA_PlayerID,$D$3),"")</f>
        <v>0</v>
      </c>
      <c r="Q583">
        <f ca="1">IFERROR(SUMIFS(OFFSET(DBRA_TopicCount,0,Q$217,DBR_COUNT,1),DBRA_WorkplanDate,$C583,DBRA_PlayerID,$D$3),"")</f>
        <v>0</v>
      </c>
      <c r="R583">
        <f ca="1">IFERROR(SUMIFS(OFFSET(DBRA_TopicCount,0,R$217,DBR_COUNT,1),DBRA_WorkplanDate,$C583,DBRA_PlayerID,$D$3),"")</f>
        <v>0</v>
      </c>
      <c r="S583">
        <f ca="1">IFERROR(SUMIFS(OFFSET(DBRA_TopicCount,0,S$217,DBR_COUNT,1),DBRA_WorkplanDate,$C583,DBRA_PlayerID,$D$3),"")</f>
        <v>0</v>
      </c>
      <c r="T583">
        <f ca="1">IFERROR(SUMIFS(OFFSET(DBRA_TopicCount,0,T$217,DBR_COUNT,1),DBRA_WorkplanDate,$C583,DBRA_PlayerID,$D$3),"")</f>
        <v>0</v>
      </c>
      <c r="U583">
        <f ca="1">IFERROR(SUMIFS(OFFSET(DBRA_TopicCount,0,U$217,DBR_COUNT,1),DBRA_WorkplanDate,$C583,DBRA_PlayerID,$D$3),"")</f>
        <v>0</v>
      </c>
      <c r="V583">
        <f ca="1">IFERROR(SUMIFS(OFFSET(DBRA_TopicCount,0,V$217,DBR_COUNT,1),DBRA_WorkplanDate,$C583,DBRA_PlayerID,$D$3),"")</f>
        <v>0</v>
      </c>
      <c r="W583" s="47"/>
      <c r="X583" t="str">
        <f t="shared" ca="1" si="124"/>
        <v/>
      </c>
      <c r="Y583" t="str">
        <f t="shared" ca="1" si="116"/>
        <v/>
      </c>
      <c r="Z583" t="str">
        <f t="shared" ca="1" si="117"/>
        <v/>
      </c>
      <c r="AA583" t="str">
        <f t="shared" ca="1" si="118"/>
        <v/>
      </c>
      <c r="AB583" t="str">
        <f t="shared" ca="1" si="119"/>
        <v/>
      </c>
      <c r="AC583" t="str">
        <f t="shared" ca="1" si="120"/>
        <v/>
      </c>
      <c r="AD583" t="str">
        <f t="shared" ca="1" si="121"/>
        <v/>
      </c>
      <c r="AE583" t="str">
        <f t="shared" ca="1" si="122"/>
        <v/>
      </c>
      <c r="AF583" t="str">
        <f t="shared" ca="1" si="123"/>
        <v/>
      </c>
      <c r="AG583" s="47"/>
    </row>
    <row r="584" spans="1:33" x14ac:dyDescent="0.25">
      <c r="C584" s="118" t="str">
        <f>IF(AND((C583+1)&lt;=$A$220,C583&lt;&gt;""),C583+1,"")</f>
        <v/>
      </c>
      <c r="D584">
        <f ca="1">IFERROR(SUMIFS(OFFSET(DBRA_TopicHCP,0,D$217,DBR_COUNT,1),DBRA_WorkplanDate,$C584,DBRA_PlayerID,$D$3),"")</f>
        <v>0</v>
      </c>
      <c r="E584">
        <f ca="1">IFERROR(SUMIFS(OFFSET(DBRA_TopicHCP,0,E$217,DBR_COUNT,1),DBRA_WorkplanDate,$C584,DBRA_PlayerID,$D$3),"")</f>
        <v>0</v>
      </c>
      <c r="F584">
        <f ca="1">IFERROR(SUMIFS(OFFSET(DBRA_TopicHCP,0,F$217,DBR_COUNT,1),DBRA_WorkplanDate,$C584,DBRA_PlayerID,$D$3),"")</f>
        <v>0</v>
      </c>
      <c r="G584">
        <f ca="1">IFERROR(SUMIFS(OFFSET(DBRA_TopicHCP,0,G$217,DBR_COUNT,1),DBRA_WorkplanDate,$C584,DBRA_PlayerID,$D$3),"")</f>
        <v>0</v>
      </c>
      <c r="H584">
        <f ca="1">IFERROR(SUMIFS(OFFSET(DBRA_TopicHCP,0,H$217,DBR_COUNT,1),DBRA_WorkplanDate,$C584,DBRA_PlayerID,$D$3),"")</f>
        <v>0</v>
      </c>
      <c r="I584">
        <f ca="1">IFERROR(SUMIFS(OFFSET(DBRA_TopicHCP,0,I$217,DBR_COUNT,1),DBRA_WorkplanDate,$C584,DBRA_PlayerID,$D$3),"")</f>
        <v>0</v>
      </c>
      <c r="J584">
        <f ca="1">IFERROR(SUMIFS(OFFSET(DBRA_TopicHCP,0,J$217,DBR_COUNT,1),DBRA_WorkplanDate,$C584,DBRA_PlayerID,$D$3),"")</f>
        <v>0</v>
      </c>
      <c r="K584">
        <f ca="1">IFERROR(SUMIFS(OFFSET(DBRA_TopicHCP,0,K$217,DBR_COUNT,1),DBRA_WorkplanDate,$C584,DBRA_PlayerID,$D$3),"")</f>
        <v>0</v>
      </c>
      <c r="L584">
        <f ca="1">IFERROR(SUMIFS(OFFSET(DBRA_TopicHCP,0,L$217,DBR_COUNT,1),DBRA_WorkplanDate,$C584,DBRA_PlayerID,$D$3),"")</f>
        <v>0</v>
      </c>
      <c r="M584" s="47"/>
      <c r="N584">
        <f ca="1">IFERROR(SUMIFS(OFFSET(DBRA_TopicCount,0,N$217,DBR_COUNT,1),DBRA_WorkplanDate,$C584,DBRA_PlayerID,$D$3),"")</f>
        <v>0</v>
      </c>
      <c r="O584">
        <f ca="1">IFERROR(SUMIFS(OFFSET(DBRA_TopicCount,0,O$217,DBR_COUNT,1),DBRA_WorkplanDate,$C584,DBRA_PlayerID,$D$3),"")</f>
        <v>0</v>
      </c>
      <c r="P584">
        <f ca="1">IFERROR(SUMIFS(OFFSET(DBRA_TopicCount,0,P$217,DBR_COUNT,1),DBRA_WorkplanDate,$C584,DBRA_PlayerID,$D$3),"")</f>
        <v>0</v>
      </c>
      <c r="Q584">
        <f ca="1">IFERROR(SUMIFS(OFFSET(DBRA_TopicCount,0,Q$217,DBR_COUNT,1),DBRA_WorkplanDate,$C584,DBRA_PlayerID,$D$3),"")</f>
        <v>0</v>
      </c>
      <c r="R584">
        <f ca="1">IFERROR(SUMIFS(OFFSET(DBRA_TopicCount,0,R$217,DBR_COUNT,1),DBRA_WorkplanDate,$C584,DBRA_PlayerID,$D$3),"")</f>
        <v>0</v>
      </c>
      <c r="S584">
        <f ca="1">IFERROR(SUMIFS(OFFSET(DBRA_TopicCount,0,S$217,DBR_COUNT,1),DBRA_WorkplanDate,$C584,DBRA_PlayerID,$D$3),"")</f>
        <v>0</v>
      </c>
      <c r="T584">
        <f ca="1">IFERROR(SUMIFS(OFFSET(DBRA_TopicCount,0,T$217,DBR_COUNT,1),DBRA_WorkplanDate,$C584,DBRA_PlayerID,$D$3),"")</f>
        <v>0</v>
      </c>
      <c r="U584">
        <f ca="1">IFERROR(SUMIFS(OFFSET(DBRA_TopicCount,0,U$217,DBR_COUNT,1),DBRA_WorkplanDate,$C584,DBRA_PlayerID,$D$3),"")</f>
        <v>0</v>
      </c>
      <c r="V584">
        <f ca="1">IFERROR(SUMIFS(OFFSET(DBRA_TopicCount,0,V$217,DBR_COUNT,1),DBRA_WorkplanDate,$C584,DBRA_PlayerID,$D$3),"")</f>
        <v>0</v>
      </c>
      <c r="W584" s="47"/>
      <c r="X584" t="str">
        <f t="shared" ca="1" si="124"/>
        <v/>
      </c>
      <c r="Y584" t="str">
        <f t="shared" ca="1" si="116"/>
        <v/>
      </c>
      <c r="Z584" t="str">
        <f t="shared" ca="1" si="117"/>
        <v/>
      </c>
      <c r="AA584" t="str">
        <f t="shared" ca="1" si="118"/>
        <v/>
      </c>
      <c r="AB584" t="str">
        <f t="shared" ca="1" si="119"/>
        <v/>
      </c>
      <c r="AC584" t="str">
        <f t="shared" ca="1" si="120"/>
        <v/>
      </c>
      <c r="AD584" t="str">
        <f t="shared" ca="1" si="121"/>
        <v/>
      </c>
      <c r="AE584" t="str">
        <f t="shared" ca="1" si="122"/>
        <v/>
      </c>
      <c r="AF584" t="str">
        <f t="shared" ca="1" si="123"/>
        <v/>
      </c>
      <c r="AG584" s="47"/>
    </row>
    <row r="585" spans="1:33" x14ac:dyDescent="0.25">
      <c r="A585" s="199" t="s">
        <v>1124</v>
      </c>
      <c r="B585" s="199"/>
      <c r="C585" s="224"/>
      <c r="D585" s="199"/>
      <c r="E585" s="199"/>
      <c r="F585" s="199"/>
      <c r="G585" s="199"/>
      <c r="H585" s="199"/>
      <c r="I585" s="199"/>
      <c r="J585" s="199"/>
      <c r="K585" s="199"/>
      <c r="L585" s="199"/>
      <c r="M585" s="199"/>
      <c r="N585" s="47"/>
      <c r="O585" s="47"/>
      <c r="P585" s="47"/>
      <c r="Q585" s="47"/>
      <c r="R585" s="47"/>
      <c r="S585" s="47"/>
      <c r="T585" s="47"/>
      <c r="U585" s="47"/>
      <c r="V585" s="47"/>
      <c r="W585" s="47"/>
      <c r="X585" s="47"/>
      <c r="Y585" s="47"/>
      <c r="Z585" s="47"/>
      <c r="AA585" s="47"/>
      <c r="AB585" s="47"/>
      <c r="AC585" s="47"/>
      <c r="AD585" s="47"/>
      <c r="AE585" s="47"/>
      <c r="AF585" s="47"/>
      <c r="AG585" s="47"/>
    </row>
    <row r="586" spans="1:33" x14ac:dyDescent="0.25">
      <c r="C586" s="118"/>
    </row>
    <row r="587" spans="1:33" x14ac:dyDescent="0.25">
      <c r="C587" s="118"/>
    </row>
    <row r="588" spans="1:33" x14ac:dyDescent="0.25">
      <c r="C588" s="118"/>
    </row>
    <row r="589" spans="1:33" x14ac:dyDescent="0.25">
      <c r="C589" s="118"/>
    </row>
    <row r="590" spans="1:33" x14ac:dyDescent="0.25">
      <c r="C590" s="118"/>
    </row>
    <row r="591" spans="1:33" x14ac:dyDescent="0.25">
      <c r="C591" s="118"/>
    </row>
    <row r="592" spans="1:33" x14ac:dyDescent="0.25">
      <c r="C592" s="118"/>
    </row>
    <row r="593" spans="3:25" x14ac:dyDescent="0.25">
      <c r="C593" s="118"/>
    </row>
    <row r="594" spans="3:25" x14ac:dyDescent="0.25">
      <c r="C594" s="118"/>
    </row>
    <row r="595" spans="3:25" x14ac:dyDescent="0.25">
      <c r="C595" s="118"/>
    </row>
    <row r="596" spans="3:25" x14ac:dyDescent="0.25">
      <c r="C596" s="118"/>
    </row>
    <row r="597" spans="3:25" x14ac:dyDescent="0.25">
      <c r="C597" s="118"/>
    </row>
    <row r="598" spans="3:25" x14ac:dyDescent="0.25">
      <c r="C598" s="118"/>
    </row>
    <row r="599" spans="3:25" x14ac:dyDescent="0.25">
      <c r="C599" s="118"/>
    </row>
    <row r="600" spans="3:25" x14ac:dyDescent="0.25">
      <c r="C600" s="118"/>
    </row>
    <row r="601" spans="3:25" x14ac:dyDescent="0.25">
      <c r="C601" s="118"/>
    </row>
    <row r="602" spans="3:25" x14ac:dyDescent="0.25">
      <c r="C602" s="118"/>
    </row>
    <row r="603" spans="3:25" x14ac:dyDescent="0.25">
      <c r="C603" s="118"/>
    </row>
    <row r="604" spans="3:25" x14ac:dyDescent="0.25">
      <c r="C604" s="118"/>
    </row>
    <row r="605" spans="3:25" x14ac:dyDescent="0.25">
      <c r="C605" s="118"/>
    </row>
    <row r="606" spans="3:25" x14ac:dyDescent="0.25">
      <c r="C606" s="118"/>
    </row>
    <row r="607" spans="3:25" x14ac:dyDescent="0.25">
      <c r="C607" s="118"/>
      <c r="G607" s="493" t="s">
        <v>1268</v>
      </c>
      <c r="H607" s="493"/>
      <c r="I607" s="493"/>
      <c r="J607" s="493"/>
      <c r="K607" s="493"/>
      <c r="L607" s="493"/>
      <c r="M607" s="493"/>
      <c r="N607" s="493"/>
      <c r="O607" s="493"/>
      <c r="Q607" s="493" t="s">
        <v>1269</v>
      </c>
      <c r="R607" s="493"/>
      <c r="S607" s="493"/>
      <c r="T607" s="493"/>
      <c r="U607" s="493"/>
      <c r="V607" s="493"/>
      <c r="W607" s="493"/>
      <c r="X607" s="493"/>
      <c r="Y607" s="493"/>
    </row>
    <row r="608" spans="3:25" x14ac:dyDescent="0.25">
      <c r="C608" s="118"/>
    </row>
    <row r="609" spans="1:36" x14ac:dyDescent="0.25">
      <c r="A609" t="s">
        <v>1171</v>
      </c>
      <c r="C609" s="118"/>
      <c r="G609">
        <v>0</v>
      </c>
      <c r="H609">
        <v>1</v>
      </c>
      <c r="I609">
        <v>2</v>
      </c>
      <c r="J609">
        <v>3</v>
      </c>
      <c r="K609">
        <v>4</v>
      </c>
      <c r="L609">
        <v>5</v>
      </c>
      <c r="M609">
        <v>6</v>
      </c>
      <c r="N609">
        <v>7</v>
      </c>
      <c r="O609">
        <v>8</v>
      </c>
      <c r="Q609">
        <v>0</v>
      </c>
      <c r="R609">
        <v>1</v>
      </c>
      <c r="S609">
        <v>2</v>
      </c>
      <c r="T609">
        <v>3</v>
      </c>
      <c r="U609">
        <v>4</v>
      </c>
      <c r="V609">
        <v>5</v>
      </c>
      <c r="W609">
        <v>6</v>
      </c>
      <c r="X609">
        <v>7</v>
      </c>
      <c r="Y609">
        <v>8</v>
      </c>
      <c r="AA609">
        <v>0</v>
      </c>
      <c r="AB609">
        <v>1</v>
      </c>
      <c r="AC609">
        <v>2</v>
      </c>
      <c r="AD609">
        <v>3</v>
      </c>
      <c r="AE609">
        <v>4</v>
      </c>
      <c r="AF609">
        <v>5</v>
      </c>
      <c r="AG609">
        <v>6</v>
      </c>
      <c r="AH609">
        <v>7</v>
      </c>
      <c r="AI609">
        <v>8</v>
      </c>
    </row>
    <row r="610" spans="1:36" x14ac:dyDescent="0.25">
      <c r="C610" s="118" t="s">
        <v>1174</v>
      </c>
      <c r="D610" t="s">
        <v>1173</v>
      </c>
      <c r="E610" t="s">
        <v>1172</v>
      </c>
      <c r="G610" s="199" t="str">
        <f>MUI_STAT_T_MainTitel_1</f>
        <v>Putting</v>
      </c>
      <c r="H610" s="199" t="str">
        <f>MUI_STAT_T_MainTitel_2</f>
        <v>Chipping</v>
      </c>
      <c r="I610" s="199" t="str">
        <f>MUI_STAT_T_MainTitel_3</f>
        <v>Pitching</v>
      </c>
      <c r="J610" s="199" t="str">
        <f>MUI_STAT_T_MainTitel_4</f>
        <v>Approach Shot</v>
      </c>
      <c r="K610" s="199" t="str">
        <f>MUI_STAT_T_MainTitel_5</f>
        <v>Wood</v>
      </c>
      <c r="L610" s="199" t="str">
        <f>MUI_STAT_T_MainTitel_6</f>
        <v>Driver</v>
      </c>
      <c r="M610" s="199" t="str">
        <f>MUI_STAT_T_MainTitel_7</f>
        <v>Bunker</v>
      </c>
      <c r="N610" s="199" t="str">
        <f>MUI_STAT_T_MainTitel_8</f>
        <v>Mental</v>
      </c>
      <c r="O610" s="199" t="str">
        <f>MUI_STAT_T_MainTitel_9</f>
        <v>Round of Golf</v>
      </c>
      <c r="P610" s="47"/>
      <c r="Q610" s="199" t="str">
        <f>MUI_STAT_T_MainTitel_1</f>
        <v>Putting</v>
      </c>
      <c r="R610" s="199" t="str">
        <f>MUI_STAT_T_MainTitel_2</f>
        <v>Chipping</v>
      </c>
      <c r="S610" s="199" t="str">
        <f>MUI_STAT_T_MainTitel_3</f>
        <v>Pitching</v>
      </c>
      <c r="T610" s="199" t="str">
        <f>MUI_STAT_T_MainTitel_4</f>
        <v>Approach Shot</v>
      </c>
      <c r="U610" s="199" t="str">
        <f>MUI_STAT_T_MainTitel_5</f>
        <v>Wood</v>
      </c>
      <c r="V610" s="199" t="str">
        <f>MUI_STAT_T_MainTitel_6</f>
        <v>Driver</v>
      </c>
      <c r="W610" s="199" t="str">
        <f>MUI_STAT_T_MainTitel_7</f>
        <v>Bunker</v>
      </c>
      <c r="X610" s="199" t="str">
        <f>MUI_STAT_T_MainTitel_8</f>
        <v>Mental</v>
      </c>
      <c r="Y610" s="199" t="str">
        <f>MUI_STAT_T_MainTitel_9</f>
        <v>Round of Golf</v>
      </c>
      <c r="Z610" s="47"/>
      <c r="AA610" s="199" t="str">
        <f>MUI_STAT_T_MainTitel_1</f>
        <v>Putting</v>
      </c>
      <c r="AB610" s="199" t="str">
        <f>MUI_STAT_T_MainTitel_2</f>
        <v>Chipping</v>
      </c>
      <c r="AC610" s="199" t="str">
        <f>MUI_STAT_T_MainTitel_3</f>
        <v>Pitching</v>
      </c>
      <c r="AD610" s="199" t="str">
        <f>MUI_STAT_T_MainTitel_4</f>
        <v>Approach Shot</v>
      </c>
      <c r="AE610" s="199" t="str">
        <f>MUI_STAT_T_MainTitel_5</f>
        <v>Wood</v>
      </c>
      <c r="AF610" s="199" t="str">
        <f>MUI_STAT_T_MainTitel_6</f>
        <v>Driver</v>
      </c>
      <c r="AG610" s="199" t="str">
        <f>MUI_STAT_T_MainTitel_7</f>
        <v>Bunker</v>
      </c>
      <c r="AH610" s="199" t="str">
        <f>MUI_STAT_T_MainTitel_8</f>
        <v>Mental</v>
      </c>
      <c r="AI610" s="199" t="str">
        <f>MUI_STAT_T_MainTitel_9</f>
        <v>Round of Golf</v>
      </c>
      <c r="AJ610" s="47"/>
    </row>
    <row r="611" spans="1:36" x14ac:dyDescent="0.25">
      <c r="A611" s="118">
        <f>DATE(YEAR($AM$6),1,1)</f>
        <v>42005</v>
      </c>
      <c r="C611">
        <f>MATCH(A611,$C$219:$C$583,0)-1</f>
        <v>0</v>
      </c>
      <c r="D611">
        <f t="shared" ref="D611:D621" si="126">C612-1</f>
        <v>30</v>
      </c>
      <c r="E611">
        <f>D611-C611+1</f>
        <v>31</v>
      </c>
      <c r="F611" t="str">
        <f>TEXT(A611,"MMM")</f>
        <v>Jan</v>
      </c>
      <c r="G611">
        <f ca="1">SUM(OFFSET(D$219,$C611,0,$E611,1))</f>
        <v>0</v>
      </c>
      <c r="H611">
        <f t="shared" ref="H611:H622" ca="1" si="127">SUM(OFFSET(E$219,$C611,0,$E611,1))</f>
        <v>0</v>
      </c>
      <c r="I611">
        <f t="shared" ref="I611:I622" ca="1" si="128">SUM(OFFSET(F$219,$C611,0,$E611,1))</f>
        <v>0</v>
      </c>
      <c r="J611">
        <f t="shared" ref="J611:J622" ca="1" si="129">SUM(OFFSET(G$219,$C611,0,$E611,1))</f>
        <v>0</v>
      </c>
      <c r="K611">
        <f t="shared" ref="K611:K622" ca="1" si="130">SUM(OFFSET(H$219,$C611,0,$E611,1))</f>
        <v>0</v>
      </c>
      <c r="L611">
        <f t="shared" ref="L611:L622" ca="1" si="131">SUM(OFFSET(I$219,$C611,0,$E611,1))</f>
        <v>0</v>
      </c>
      <c r="M611">
        <f t="shared" ref="M611:M622" ca="1" si="132">SUM(OFFSET(J$219,$C611,0,$E611,1))</f>
        <v>0</v>
      </c>
      <c r="N611">
        <f t="shared" ref="N611:N622" ca="1" si="133">SUM(OFFSET(K$219,$C611,0,$E611,1))</f>
        <v>0</v>
      </c>
      <c r="O611">
        <f t="shared" ref="O611:O622" ca="1" si="134">SUM(OFFSET(L$219,$C611,0,$E611,1))</f>
        <v>0</v>
      </c>
      <c r="P611" s="47"/>
      <c r="Q611">
        <f ca="1">SUM(OFFSET(N$219,$C611,0,$E611,1))</f>
        <v>0</v>
      </c>
      <c r="R611">
        <f t="shared" ref="R611:R622" ca="1" si="135">SUM(OFFSET(O$219,$C611,0,$E611,1))</f>
        <v>0</v>
      </c>
      <c r="S611">
        <f t="shared" ref="S611:S622" ca="1" si="136">SUM(OFFSET(P$219,$C611,0,$E611,1))</f>
        <v>0</v>
      </c>
      <c r="T611">
        <f t="shared" ref="T611:T622" ca="1" si="137">SUM(OFFSET(Q$219,$C611,0,$E611,1))</f>
        <v>0</v>
      </c>
      <c r="U611">
        <f t="shared" ref="U611:U622" ca="1" si="138">SUM(OFFSET(R$219,$C611,0,$E611,1))</f>
        <v>0</v>
      </c>
      <c r="V611">
        <f t="shared" ref="V611:V622" ca="1" si="139">SUM(OFFSET(S$219,$C611,0,$E611,1))</f>
        <v>0</v>
      </c>
      <c r="W611">
        <f t="shared" ref="W611:W622" ca="1" si="140">SUM(OFFSET(T$219,$C611,0,$E611,1))</f>
        <v>0</v>
      </c>
      <c r="X611">
        <f t="shared" ref="X611:X622" ca="1" si="141">SUM(OFFSET(U$219,$C611,0,$E611,1))</f>
        <v>0</v>
      </c>
      <c r="Y611">
        <f t="shared" ref="Y611:Y622" ca="1" si="142">SUM(OFFSET(V$219,$C611,0,$E611,1))</f>
        <v>0</v>
      </c>
      <c r="Z611" s="47"/>
      <c r="AA611" t="e">
        <f t="shared" ref="AA611:AA622" ca="1" si="143">IF(Q611&gt;0,ROUND(G611/Q611,1),NA())</f>
        <v>#N/A</v>
      </c>
      <c r="AB611" t="e">
        <f ca="1">IF(R611&gt;0,ROUND(H611/R611,1),NA())</f>
        <v>#N/A</v>
      </c>
      <c r="AC611" t="e">
        <f t="shared" ref="AC611:AC622" ca="1" si="144">IF(S611&gt;0,ROUND(I611/S611,1),NA())</f>
        <v>#N/A</v>
      </c>
      <c r="AD611" t="e">
        <f t="shared" ref="AD611:AD622" ca="1" si="145">IF(T611&gt;0,ROUND(J611/T611,1),NA())</f>
        <v>#N/A</v>
      </c>
      <c r="AE611" t="e">
        <f t="shared" ref="AE611:AE622" ca="1" si="146">IF(U611&gt;0,ROUND(K611/U611,1),NA())</f>
        <v>#N/A</v>
      </c>
      <c r="AF611" t="e">
        <f t="shared" ref="AF611:AF622" ca="1" si="147">IF(V611&gt;0,ROUND(L611/V611,1),NA())</f>
        <v>#N/A</v>
      </c>
      <c r="AG611" t="e">
        <f t="shared" ref="AG611:AG622" ca="1" si="148">IF(W611&gt;0,ROUND(M611/W611,1),NA())</f>
        <v>#N/A</v>
      </c>
      <c r="AH611" t="e">
        <f t="shared" ref="AH611:AH622" ca="1" si="149">IF(X611&gt;0,ROUND(N611/X611,1),NA())</f>
        <v>#N/A</v>
      </c>
      <c r="AI611" t="e">
        <f t="shared" ref="AI611:AI622" ca="1" si="150">IF(Y611&gt;0,ROUND(O611/Y611,1),NA())</f>
        <v>#N/A</v>
      </c>
      <c r="AJ611" s="47"/>
    </row>
    <row r="612" spans="1:36" x14ac:dyDescent="0.25">
      <c r="A612" s="118">
        <f>DATE(YEAR($AM$6),2,1)</f>
        <v>42036</v>
      </c>
      <c r="C612">
        <f t="shared" ref="C612:C622" si="151">MATCH(A612,$C$219:$C$583,0)-1</f>
        <v>31</v>
      </c>
      <c r="D612">
        <f t="shared" si="126"/>
        <v>58</v>
      </c>
      <c r="E612">
        <f t="shared" ref="E612:E622" si="152">D612-C612+1</f>
        <v>28</v>
      </c>
      <c r="F612" t="str">
        <f t="shared" ref="F612:F622" si="153">TEXT(A612,"MMM")</f>
        <v>Feb</v>
      </c>
      <c r="G612">
        <f t="shared" ref="G612:G622" ca="1" si="154">SUM(OFFSET(D$219,$C612,0,$E612,1))</f>
        <v>0</v>
      </c>
      <c r="H612">
        <f t="shared" ca="1" si="127"/>
        <v>0</v>
      </c>
      <c r="I612">
        <f t="shared" ca="1" si="128"/>
        <v>0</v>
      </c>
      <c r="J612">
        <f t="shared" ca="1" si="129"/>
        <v>0</v>
      </c>
      <c r="K612">
        <f t="shared" ca="1" si="130"/>
        <v>0</v>
      </c>
      <c r="L612">
        <f t="shared" ca="1" si="131"/>
        <v>0</v>
      </c>
      <c r="M612">
        <f t="shared" ca="1" si="132"/>
        <v>0</v>
      </c>
      <c r="N612">
        <f t="shared" ca="1" si="133"/>
        <v>0</v>
      </c>
      <c r="O612">
        <f t="shared" ca="1" si="134"/>
        <v>0</v>
      </c>
      <c r="P612" s="47"/>
      <c r="Q612">
        <f t="shared" ref="Q612:Q622" ca="1" si="155">SUM(OFFSET(N$219,$C612,0,$E612,1))</f>
        <v>0</v>
      </c>
      <c r="R612">
        <f t="shared" ca="1" si="135"/>
        <v>0</v>
      </c>
      <c r="S612">
        <f t="shared" ca="1" si="136"/>
        <v>0</v>
      </c>
      <c r="T612">
        <f t="shared" ca="1" si="137"/>
        <v>0</v>
      </c>
      <c r="U612">
        <f t="shared" ca="1" si="138"/>
        <v>0</v>
      </c>
      <c r="V612">
        <f t="shared" ca="1" si="139"/>
        <v>0</v>
      </c>
      <c r="W612">
        <f t="shared" ca="1" si="140"/>
        <v>0</v>
      </c>
      <c r="X612">
        <f t="shared" ca="1" si="141"/>
        <v>0</v>
      </c>
      <c r="Y612">
        <f t="shared" ca="1" si="142"/>
        <v>0</v>
      </c>
      <c r="Z612" s="47"/>
      <c r="AA612" t="e">
        <f t="shared" ca="1" si="143"/>
        <v>#N/A</v>
      </c>
      <c r="AB612" t="e">
        <f ca="1">IF(R612&gt;0,ROUND(H612/R612,1),NA())</f>
        <v>#N/A</v>
      </c>
      <c r="AC612" t="e">
        <f t="shared" ca="1" si="144"/>
        <v>#N/A</v>
      </c>
      <c r="AD612" t="e">
        <f t="shared" ca="1" si="145"/>
        <v>#N/A</v>
      </c>
      <c r="AE612" t="e">
        <f t="shared" ca="1" si="146"/>
        <v>#N/A</v>
      </c>
      <c r="AF612" t="e">
        <f t="shared" ca="1" si="147"/>
        <v>#N/A</v>
      </c>
      <c r="AG612" t="e">
        <f t="shared" ca="1" si="148"/>
        <v>#N/A</v>
      </c>
      <c r="AH612" t="e">
        <f t="shared" ca="1" si="149"/>
        <v>#N/A</v>
      </c>
      <c r="AI612" t="e">
        <f t="shared" ca="1" si="150"/>
        <v>#N/A</v>
      </c>
      <c r="AJ612" s="47"/>
    </row>
    <row r="613" spans="1:36" x14ac:dyDescent="0.25">
      <c r="A613" s="118">
        <f>DATE(YEAR($AM$6),3,1)</f>
        <v>42064</v>
      </c>
      <c r="C613">
        <f t="shared" si="151"/>
        <v>59</v>
      </c>
      <c r="D613">
        <f t="shared" si="126"/>
        <v>89</v>
      </c>
      <c r="E613">
        <f t="shared" si="152"/>
        <v>31</v>
      </c>
      <c r="F613" t="str">
        <f t="shared" si="153"/>
        <v>Mrz</v>
      </c>
      <c r="G613">
        <f t="shared" ca="1" si="154"/>
        <v>0</v>
      </c>
      <c r="H613">
        <f t="shared" ca="1" si="127"/>
        <v>0</v>
      </c>
      <c r="I613">
        <f t="shared" ca="1" si="128"/>
        <v>0</v>
      </c>
      <c r="J613">
        <f t="shared" ca="1" si="129"/>
        <v>0</v>
      </c>
      <c r="K613">
        <f t="shared" ca="1" si="130"/>
        <v>0</v>
      </c>
      <c r="L613">
        <f t="shared" ca="1" si="131"/>
        <v>0</v>
      </c>
      <c r="M613">
        <f t="shared" ca="1" si="132"/>
        <v>0</v>
      </c>
      <c r="N613">
        <f t="shared" ca="1" si="133"/>
        <v>0</v>
      </c>
      <c r="O613">
        <f t="shared" ca="1" si="134"/>
        <v>0</v>
      </c>
      <c r="P613" s="47"/>
      <c r="Q613">
        <f t="shared" ca="1" si="155"/>
        <v>0</v>
      </c>
      <c r="R613">
        <f t="shared" ca="1" si="135"/>
        <v>0</v>
      </c>
      <c r="S613">
        <f t="shared" ca="1" si="136"/>
        <v>0</v>
      </c>
      <c r="T613">
        <f t="shared" ca="1" si="137"/>
        <v>0</v>
      </c>
      <c r="U613">
        <f t="shared" ca="1" si="138"/>
        <v>0</v>
      </c>
      <c r="V613">
        <f t="shared" ca="1" si="139"/>
        <v>0</v>
      </c>
      <c r="W613">
        <f t="shared" ca="1" si="140"/>
        <v>0</v>
      </c>
      <c r="X613">
        <f t="shared" ca="1" si="141"/>
        <v>0</v>
      </c>
      <c r="Y613">
        <f t="shared" ca="1" si="142"/>
        <v>0</v>
      </c>
      <c r="Z613" s="47"/>
      <c r="AA613" t="e">
        <f t="shared" ca="1" si="143"/>
        <v>#N/A</v>
      </c>
      <c r="AB613" t="e">
        <f t="shared" ref="AB613:AB622" ca="1" si="156">IF(R613&gt;0,ROUND(H613/R613,1),NA())</f>
        <v>#N/A</v>
      </c>
      <c r="AC613" t="e">
        <f t="shared" ca="1" si="144"/>
        <v>#N/A</v>
      </c>
      <c r="AD613" t="e">
        <f t="shared" ca="1" si="145"/>
        <v>#N/A</v>
      </c>
      <c r="AE613" t="e">
        <f t="shared" ca="1" si="146"/>
        <v>#N/A</v>
      </c>
      <c r="AF613" t="e">
        <f t="shared" ca="1" si="147"/>
        <v>#N/A</v>
      </c>
      <c r="AG613" t="e">
        <f t="shared" ca="1" si="148"/>
        <v>#N/A</v>
      </c>
      <c r="AH613" t="e">
        <f t="shared" ca="1" si="149"/>
        <v>#N/A</v>
      </c>
      <c r="AI613" t="e">
        <f t="shared" ca="1" si="150"/>
        <v>#N/A</v>
      </c>
      <c r="AJ613" s="47"/>
    </row>
    <row r="614" spans="1:36" x14ac:dyDescent="0.25">
      <c r="A614" s="118">
        <f>DATE(YEAR($AM$6),4,1)</f>
        <v>42095</v>
      </c>
      <c r="C614">
        <f t="shared" si="151"/>
        <v>90</v>
      </c>
      <c r="D614">
        <f t="shared" si="126"/>
        <v>119</v>
      </c>
      <c r="E614">
        <f t="shared" si="152"/>
        <v>30</v>
      </c>
      <c r="F614" t="str">
        <f t="shared" si="153"/>
        <v>Apr</v>
      </c>
      <c r="G614">
        <f t="shared" ca="1" si="154"/>
        <v>0</v>
      </c>
      <c r="H614">
        <f t="shared" ca="1" si="127"/>
        <v>0</v>
      </c>
      <c r="I614">
        <f t="shared" ca="1" si="128"/>
        <v>0</v>
      </c>
      <c r="J614">
        <f t="shared" ca="1" si="129"/>
        <v>0</v>
      </c>
      <c r="K614">
        <f t="shared" ca="1" si="130"/>
        <v>0</v>
      </c>
      <c r="L614">
        <f t="shared" ca="1" si="131"/>
        <v>0</v>
      </c>
      <c r="M614">
        <f t="shared" ca="1" si="132"/>
        <v>0</v>
      </c>
      <c r="N614">
        <f t="shared" ca="1" si="133"/>
        <v>0</v>
      </c>
      <c r="O614">
        <f t="shared" ca="1" si="134"/>
        <v>0</v>
      </c>
      <c r="P614" s="47"/>
      <c r="Q614">
        <f t="shared" ca="1" si="155"/>
        <v>0</v>
      </c>
      <c r="R614">
        <f t="shared" ca="1" si="135"/>
        <v>0</v>
      </c>
      <c r="S614">
        <f t="shared" ca="1" si="136"/>
        <v>0</v>
      </c>
      <c r="T614">
        <f t="shared" ca="1" si="137"/>
        <v>0</v>
      </c>
      <c r="U614">
        <f t="shared" ca="1" si="138"/>
        <v>0</v>
      </c>
      <c r="V614">
        <f t="shared" ca="1" si="139"/>
        <v>0</v>
      </c>
      <c r="W614">
        <f t="shared" ca="1" si="140"/>
        <v>0</v>
      </c>
      <c r="X614">
        <f t="shared" ca="1" si="141"/>
        <v>0</v>
      </c>
      <c r="Y614">
        <f t="shared" ca="1" si="142"/>
        <v>0</v>
      </c>
      <c r="Z614" s="47"/>
      <c r="AA614" t="e">
        <f ca="1">IF(Q614&gt;0,ROUND(G614/Q614,1),NA())</f>
        <v>#N/A</v>
      </c>
      <c r="AB614" t="e">
        <f t="shared" ca="1" si="156"/>
        <v>#N/A</v>
      </c>
      <c r="AC614" t="e">
        <f t="shared" ca="1" si="144"/>
        <v>#N/A</v>
      </c>
      <c r="AD614" t="e">
        <f t="shared" ca="1" si="145"/>
        <v>#N/A</v>
      </c>
      <c r="AE614" t="e">
        <f t="shared" ca="1" si="146"/>
        <v>#N/A</v>
      </c>
      <c r="AF614" t="e">
        <f t="shared" ca="1" si="147"/>
        <v>#N/A</v>
      </c>
      <c r="AG614" t="e">
        <f t="shared" ca="1" si="148"/>
        <v>#N/A</v>
      </c>
      <c r="AH614" t="e">
        <f t="shared" ca="1" si="149"/>
        <v>#N/A</v>
      </c>
      <c r="AI614" t="e">
        <f t="shared" ca="1" si="150"/>
        <v>#N/A</v>
      </c>
      <c r="AJ614" s="47"/>
    </row>
    <row r="615" spans="1:36" x14ac:dyDescent="0.25">
      <c r="A615" s="118">
        <f>DATE(YEAR($AM$6),5,1)</f>
        <v>42125</v>
      </c>
      <c r="C615">
        <f t="shared" si="151"/>
        <v>120</v>
      </c>
      <c r="D615">
        <f t="shared" si="126"/>
        <v>150</v>
      </c>
      <c r="E615">
        <f t="shared" si="152"/>
        <v>31</v>
      </c>
      <c r="F615" t="str">
        <f t="shared" si="153"/>
        <v>Mai</v>
      </c>
      <c r="G615">
        <f t="shared" ca="1" si="154"/>
        <v>0</v>
      </c>
      <c r="H615">
        <f t="shared" ca="1" si="127"/>
        <v>0</v>
      </c>
      <c r="I615">
        <f t="shared" ca="1" si="128"/>
        <v>0</v>
      </c>
      <c r="J615">
        <f t="shared" ca="1" si="129"/>
        <v>0</v>
      </c>
      <c r="K615">
        <f t="shared" ca="1" si="130"/>
        <v>0</v>
      </c>
      <c r="L615">
        <f t="shared" ca="1" si="131"/>
        <v>0</v>
      </c>
      <c r="M615">
        <f t="shared" ca="1" si="132"/>
        <v>0</v>
      </c>
      <c r="N615">
        <f t="shared" ca="1" si="133"/>
        <v>0</v>
      </c>
      <c r="O615">
        <f t="shared" ca="1" si="134"/>
        <v>0</v>
      </c>
      <c r="P615" s="47"/>
      <c r="Q615">
        <f t="shared" ca="1" si="155"/>
        <v>0</v>
      </c>
      <c r="R615">
        <f t="shared" ca="1" si="135"/>
        <v>0</v>
      </c>
      <c r="S615">
        <f t="shared" ca="1" si="136"/>
        <v>0</v>
      </c>
      <c r="T615">
        <f t="shared" ca="1" si="137"/>
        <v>0</v>
      </c>
      <c r="U615">
        <f t="shared" ca="1" si="138"/>
        <v>0</v>
      </c>
      <c r="V615">
        <f t="shared" ca="1" si="139"/>
        <v>0</v>
      </c>
      <c r="W615">
        <f t="shared" ca="1" si="140"/>
        <v>0</v>
      </c>
      <c r="X615">
        <f t="shared" ca="1" si="141"/>
        <v>0</v>
      </c>
      <c r="Y615">
        <f t="shared" ca="1" si="142"/>
        <v>0</v>
      </c>
      <c r="Z615" s="47"/>
      <c r="AA615" t="e">
        <f t="shared" ca="1" si="143"/>
        <v>#N/A</v>
      </c>
      <c r="AB615" t="e">
        <f t="shared" ca="1" si="156"/>
        <v>#N/A</v>
      </c>
      <c r="AC615" t="e">
        <f t="shared" ca="1" si="144"/>
        <v>#N/A</v>
      </c>
      <c r="AD615" t="e">
        <f t="shared" ca="1" si="145"/>
        <v>#N/A</v>
      </c>
      <c r="AE615" t="e">
        <f t="shared" ca="1" si="146"/>
        <v>#N/A</v>
      </c>
      <c r="AF615" t="e">
        <f t="shared" ca="1" si="147"/>
        <v>#N/A</v>
      </c>
      <c r="AG615" t="e">
        <f t="shared" ca="1" si="148"/>
        <v>#N/A</v>
      </c>
      <c r="AH615" t="e">
        <f t="shared" ca="1" si="149"/>
        <v>#N/A</v>
      </c>
      <c r="AI615" t="e">
        <f t="shared" ca="1" si="150"/>
        <v>#N/A</v>
      </c>
      <c r="AJ615" s="47"/>
    </row>
    <row r="616" spans="1:36" x14ac:dyDescent="0.25">
      <c r="A616" s="118">
        <f>DATE(YEAR($AM$6),6,1)</f>
        <v>42156</v>
      </c>
      <c r="C616">
        <f t="shared" si="151"/>
        <v>151</v>
      </c>
      <c r="D616">
        <f t="shared" si="126"/>
        <v>180</v>
      </c>
      <c r="E616">
        <f t="shared" si="152"/>
        <v>30</v>
      </c>
      <c r="F616" t="str">
        <f t="shared" si="153"/>
        <v>Jun</v>
      </c>
      <c r="G616">
        <f t="shared" ca="1" si="154"/>
        <v>0</v>
      </c>
      <c r="H616">
        <f t="shared" ca="1" si="127"/>
        <v>0</v>
      </c>
      <c r="I616">
        <f t="shared" ca="1" si="128"/>
        <v>0</v>
      </c>
      <c r="J616">
        <f t="shared" ca="1" si="129"/>
        <v>0</v>
      </c>
      <c r="K616">
        <f t="shared" ca="1" si="130"/>
        <v>0</v>
      </c>
      <c r="L616">
        <f t="shared" ca="1" si="131"/>
        <v>0</v>
      </c>
      <c r="M616">
        <f t="shared" ca="1" si="132"/>
        <v>0</v>
      </c>
      <c r="N616">
        <f t="shared" ca="1" si="133"/>
        <v>0</v>
      </c>
      <c r="O616">
        <f t="shared" ca="1" si="134"/>
        <v>0</v>
      </c>
      <c r="P616" s="47"/>
      <c r="Q616">
        <f t="shared" ca="1" si="155"/>
        <v>0</v>
      </c>
      <c r="R616">
        <f t="shared" ca="1" si="135"/>
        <v>0</v>
      </c>
      <c r="S616">
        <f t="shared" ca="1" si="136"/>
        <v>0</v>
      </c>
      <c r="T616">
        <f t="shared" ca="1" si="137"/>
        <v>0</v>
      </c>
      <c r="U616">
        <f t="shared" ca="1" si="138"/>
        <v>0</v>
      </c>
      <c r="V616">
        <f t="shared" ca="1" si="139"/>
        <v>0</v>
      </c>
      <c r="W616">
        <f t="shared" ca="1" si="140"/>
        <v>0</v>
      </c>
      <c r="X616">
        <f t="shared" ca="1" si="141"/>
        <v>0</v>
      </c>
      <c r="Y616">
        <f t="shared" ca="1" si="142"/>
        <v>0</v>
      </c>
      <c r="Z616" s="47"/>
      <c r="AA616" t="e">
        <f t="shared" ca="1" si="143"/>
        <v>#N/A</v>
      </c>
      <c r="AB616" t="e">
        <f t="shared" ca="1" si="156"/>
        <v>#N/A</v>
      </c>
      <c r="AC616" t="e">
        <f t="shared" ca="1" si="144"/>
        <v>#N/A</v>
      </c>
      <c r="AD616" t="e">
        <f t="shared" ca="1" si="145"/>
        <v>#N/A</v>
      </c>
      <c r="AE616" t="e">
        <f t="shared" ca="1" si="146"/>
        <v>#N/A</v>
      </c>
      <c r="AF616" t="e">
        <f t="shared" ca="1" si="147"/>
        <v>#N/A</v>
      </c>
      <c r="AG616" t="e">
        <f t="shared" ca="1" si="148"/>
        <v>#N/A</v>
      </c>
      <c r="AH616" t="e">
        <f t="shared" ca="1" si="149"/>
        <v>#N/A</v>
      </c>
      <c r="AI616" t="e">
        <f t="shared" ca="1" si="150"/>
        <v>#N/A</v>
      </c>
      <c r="AJ616" s="47"/>
    </row>
    <row r="617" spans="1:36" x14ac:dyDescent="0.25">
      <c r="A617" s="118">
        <f>DATE(YEAR($AM$6),7,1)</f>
        <v>42186</v>
      </c>
      <c r="C617">
        <f t="shared" si="151"/>
        <v>181</v>
      </c>
      <c r="D617">
        <f t="shared" si="126"/>
        <v>211</v>
      </c>
      <c r="E617">
        <f t="shared" si="152"/>
        <v>31</v>
      </c>
      <c r="F617" t="str">
        <f t="shared" si="153"/>
        <v>Jul</v>
      </c>
      <c r="G617">
        <f t="shared" ca="1" si="154"/>
        <v>0</v>
      </c>
      <c r="H617">
        <f t="shared" ca="1" si="127"/>
        <v>0</v>
      </c>
      <c r="I617">
        <f t="shared" ca="1" si="128"/>
        <v>0</v>
      </c>
      <c r="J617">
        <f t="shared" ca="1" si="129"/>
        <v>0</v>
      </c>
      <c r="K617">
        <f t="shared" ca="1" si="130"/>
        <v>0</v>
      </c>
      <c r="L617">
        <f t="shared" ca="1" si="131"/>
        <v>0</v>
      </c>
      <c r="M617">
        <f t="shared" ca="1" si="132"/>
        <v>0</v>
      </c>
      <c r="N617">
        <f t="shared" ca="1" si="133"/>
        <v>0</v>
      </c>
      <c r="O617">
        <f t="shared" ca="1" si="134"/>
        <v>0</v>
      </c>
      <c r="P617" s="47"/>
      <c r="Q617">
        <f t="shared" ca="1" si="155"/>
        <v>0</v>
      </c>
      <c r="R617">
        <f t="shared" ca="1" si="135"/>
        <v>0</v>
      </c>
      <c r="S617">
        <f t="shared" ca="1" si="136"/>
        <v>0</v>
      </c>
      <c r="T617">
        <f t="shared" ca="1" si="137"/>
        <v>0</v>
      </c>
      <c r="U617">
        <f t="shared" ca="1" si="138"/>
        <v>0</v>
      </c>
      <c r="V617">
        <f t="shared" ca="1" si="139"/>
        <v>0</v>
      </c>
      <c r="W617">
        <f t="shared" ca="1" si="140"/>
        <v>0</v>
      </c>
      <c r="X617">
        <f t="shared" ca="1" si="141"/>
        <v>0</v>
      </c>
      <c r="Y617">
        <f t="shared" ca="1" si="142"/>
        <v>0</v>
      </c>
      <c r="Z617" s="47"/>
      <c r="AA617" t="e">
        <f t="shared" ca="1" si="143"/>
        <v>#N/A</v>
      </c>
      <c r="AB617" t="e">
        <f t="shared" ca="1" si="156"/>
        <v>#N/A</v>
      </c>
      <c r="AC617" t="e">
        <f t="shared" ca="1" si="144"/>
        <v>#N/A</v>
      </c>
      <c r="AD617" t="e">
        <f t="shared" ca="1" si="145"/>
        <v>#N/A</v>
      </c>
      <c r="AE617" t="e">
        <f t="shared" ca="1" si="146"/>
        <v>#N/A</v>
      </c>
      <c r="AF617" t="e">
        <f t="shared" ca="1" si="147"/>
        <v>#N/A</v>
      </c>
      <c r="AG617" t="e">
        <f t="shared" ca="1" si="148"/>
        <v>#N/A</v>
      </c>
      <c r="AH617" t="e">
        <f t="shared" ca="1" si="149"/>
        <v>#N/A</v>
      </c>
      <c r="AI617" t="e">
        <f t="shared" ca="1" si="150"/>
        <v>#N/A</v>
      </c>
      <c r="AJ617" s="47"/>
    </row>
    <row r="618" spans="1:36" x14ac:dyDescent="0.25">
      <c r="A618" s="118">
        <f>DATE(YEAR($AM$6),8,1)</f>
        <v>42217</v>
      </c>
      <c r="C618">
        <f t="shared" si="151"/>
        <v>212</v>
      </c>
      <c r="D618">
        <f t="shared" si="126"/>
        <v>242</v>
      </c>
      <c r="E618">
        <f t="shared" si="152"/>
        <v>31</v>
      </c>
      <c r="F618" t="str">
        <f t="shared" si="153"/>
        <v>Aug</v>
      </c>
      <c r="G618">
        <f t="shared" ca="1" si="154"/>
        <v>0</v>
      </c>
      <c r="H618">
        <f t="shared" ca="1" si="127"/>
        <v>0</v>
      </c>
      <c r="I618">
        <f t="shared" ca="1" si="128"/>
        <v>0</v>
      </c>
      <c r="J618">
        <f t="shared" ca="1" si="129"/>
        <v>0</v>
      </c>
      <c r="K618">
        <f t="shared" ca="1" si="130"/>
        <v>0</v>
      </c>
      <c r="L618">
        <f t="shared" ca="1" si="131"/>
        <v>0</v>
      </c>
      <c r="M618">
        <f t="shared" ca="1" si="132"/>
        <v>0</v>
      </c>
      <c r="N618">
        <f t="shared" ca="1" si="133"/>
        <v>0</v>
      </c>
      <c r="O618">
        <f t="shared" ca="1" si="134"/>
        <v>0</v>
      </c>
      <c r="P618" s="47"/>
      <c r="Q618">
        <f t="shared" ca="1" si="155"/>
        <v>0</v>
      </c>
      <c r="R618">
        <f t="shared" ca="1" si="135"/>
        <v>0</v>
      </c>
      <c r="S618">
        <f t="shared" ca="1" si="136"/>
        <v>0</v>
      </c>
      <c r="T618">
        <f t="shared" ca="1" si="137"/>
        <v>0</v>
      </c>
      <c r="U618">
        <f t="shared" ca="1" si="138"/>
        <v>0</v>
      </c>
      <c r="V618">
        <f t="shared" ca="1" si="139"/>
        <v>0</v>
      </c>
      <c r="W618">
        <f t="shared" ca="1" si="140"/>
        <v>0</v>
      </c>
      <c r="X618">
        <f t="shared" ca="1" si="141"/>
        <v>0</v>
      </c>
      <c r="Y618">
        <f t="shared" ca="1" si="142"/>
        <v>0</v>
      </c>
      <c r="Z618" s="47"/>
      <c r="AA618" t="e">
        <f t="shared" ca="1" si="143"/>
        <v>#N/A</v>
      </c>
      <c r="AB618" t="e">
        <f t="shared" ca="1" si="156"/>
        <v>#N/A</v>
      </c>
      <c r="AC618" t="e">
        <f t="shared" ca="1" si="144"/>
        <v>#N/A</v>
      </c>
      <c r="AD618" t="e">
        <f t="shared" ca="1" si="145"/>
        <v>#N/A</v>
      </c>
      <c r="AE618" t="e">
        <f t="shared" ca="1" si="146"/>
        <v>#N/A</v>
      </c>
      <c r="AF618" t="e">
        <f t="shared" ca="1" si="147"/>
        <v>#N/A</v>
      </c>
      <c r="AG618" t="e">
        <f t="shared" ca="1" si="148"/>
        <v>#N/A</v>
      </c>
      <c r="AH618" t="e">
        <f t="shared" ca="1" si="149"/>
        <v>#N/A</v>
      </c>
      <c r="AI618" t="e">
        <f t="shared" ca="1" si="150"/>
        <v>#N/A</v>
      </c>
      <c r="AJ618" s="47"/>
    </row>
    <row r="619" spans="1:36" x14ac:dyDescent="0.25">
      <c r="A619" s="118">
        <f>DATE(YEAR($AM$6),9,1)</f>
        <v>42248</v>
      </c>
      <c r="C619">
        <f t="shared" si="151"/>
        <v>243</v>
      </c>
      <c r="D619">
        <f t="shared" si="126"/>
        <v>272</v>
      </c>
      <c r="E619">
        <f t="shared" si="152"/>
        <v>30</v>
      </c>
      <c r="F619" t="str">
        <f t="shared" si="153"/>
        <v>Sep</v>
      </c>
      <c r="G619">
        <f t="shared" ca="1" si="154"/>
        <v>0</v>
      </c>
      <c r="H619">
        <f t="shared" ca="1" si="127"/>
        <v>0</v>
      </c>
      <c r="I619">
        <f t="shared" ca="1" si="128"/>
        <v>0</v>
      </c>
      <c r="J619">
        <f t="shared" ca="1" si="129"/>
        <v>0</v>
      </c>
      <c r="K619">
        <f t="shared" ca="1" si="130"/>
        <v>0</v>
      </c>
      <c r="L619">
        <f t="shared" ca="1" si="131"/>
        <v>0</v>
      </c>
      <c r="M619">
        <f t="shared" ca="1" si="132"/>
        <v>0</v>
      </c>
      <c r="N619">
        <f t="shared" ca="1" si="133"/>
        <v>0</v>
      </c>
      <c r="O619">
        <f t="shared" ca="1" si="134"/>
        <v>0</v>
      </c>
      <c r="P619" s="47"/>
      <c r="Q619">
        <f t="shared" ca="1" si="155"/>
        <v>0</v>
      </c>
      <c r="R619">
        <f t="shared" ca="1" si="135"/>
        <v>0</v>
      </c>
      <c r="S619">
        <f t="shared" ca="1" si="136"/>
        <v>0</v>
      </c>
      <c r="T619">
        <f t="shared" ca="1" si="137"/>
        <v>0</v>
      </c>
      <c r="U619">
        <f t="shared" ca="1" si="138"/>
        <v>0</v>
      </c>
      <c r="V619">
        <f t="shared" ca="1" si="139"/>
        <v>0</v>
      </c>
      <c r="W619">
        <f t="shared" ca="1" si="140"/>
        <v>0</v>
      </c>
      <c r="X619">
        <f t="shared" ca="1" si="141"/>
        <v>0</v>
      </c>
      <c r="Y619">
        <f t="shared" ca="1" si="142"/>
        <v>0</v>
      </c>
      <c r="Z619" s="47"/>
      <c r="AA619" t="e">
        <f t="shared" ca="1" si="143"/>
        <v>#N/A</v>
      </c>
      <c r="AB619" t="e">
        <f t="shared" ca="1" si="156"/>
        <v>#N/A</v>
      </c>
      <c r="AC619" t="e">
        <f t="shared" ca="1" si="144"/>
        <v>#N/A</v>
      </c>
      <c r="AD619" t="e">
        <f t="shared" ca="1" si="145"/>
        <v>#N/A</v>
      </c>
      <c r="AE619" t="e">
        <f t="shared" ca="1" si="146"/>
        <v>#N/A</v>
      </c>
      <c r="AF619" t="e">
        <f t="shared" ca="1" si="147"/>
        <v>#N/A</v>
      </c>
      <c r="AG619" t="e">
        <f t="shared" ca="1" si="148"/>
        <v>#N/A</v>
      </c>
      <c r="AH619" t="e">
        <f t="shared" ca="1" si="149"/>
        <v>#N/A</v>
      </c>
      <c r="AI619" t="e">
        <f t="shared" ca="1" si="150"/>
        <v>#N/A</v>
      </c>
      <c r="AJ619" s="47"/>
    </row>
    <row r="620" spans="1:36" x14ac:dyDescent="0.25">
      <c r="A620" s="118">
        <f>DATE(YEAR($AM$6),10,1)</f>
        <v>42278</v>
      </c>
      <c r="C620">
        <f t="shared" si="151"/>
        <v>273</v>
      </c>
      <c r="D620">
        <f t="shared" si="126"/>
        <v>303</v>
      </c>
      <c r="E620">
        <f t="shared" si="152"/>
        <v>31</v>
      </c>
      <c r="F620" t="str">
        <f t="shared" si="153"/>
        <v>Okt</v>
      </c>
      <c r="G620">
        <f t="shared" ca="1" si="154"/>
        <v>0</v>
      </c>
      <c r="H620">
        <f t="shared" ca="1" si="127"/>
        <v>0</v>
      </c>
      <c r="I620">
        <f t="shared" ca="1" si="128"/>
        <v>0</v>
      </c>
      <c r="J620">
        <f t="shared" ca="1" si="129"/>
        <v>0</v>
      </c>
      <c r="K620">
        <f t="shared" ca="1" si="130"/>
        <v>0</v>
      </c>
      <c r="L620">
        <f t="shared" ca="1" si="131"/>
        <v>0</v>
      </c>
      <c r="M620">
        <f t="shared" ca="1" si="132"/>
        <v>0</v>
      </c>
      <c r="N620">
        <f t="shared" ca="1" si="133"/>
        <v>0</v>
      </c>
      <c r="O620">
        <f t="shared" ca="1" si="134"/>
        <v>0</v>
      </c>
      <c r="P620" s="47"/>
      <c r="Q620">
        <f t="shared" ca="1" si="155"/>
        <v>0</v>
      </c>
      <c r="R620">
        <f t="shared" ca="1" si="135"/>
        <v>0</v>
      </c>
      <c r="S620">
        <f t="shared" ca="1" si="136"/>
        <v>0</v>
      </c>
      <c r="T620">
        <f t="shared" ca="1" si="137"/>
        <v>0</v>
      </c>
      <c r="U620">
        <f t="shared" ca="1" si="138"/>
        <v>0</v>
      </c>
      <c r="V620">
        <f t="shared" ca="1" si="139"/>
        <v>0</v>
      </c>
      <c r="W620">
        <f t="shared" ca="1" si="140"/>
        <v>0</v>
      </c>
      <c r="X620">
        <f t="shared" ca="1" si="141"/>
        <v>0</v>
      </c>
      <c r="Y620">
        <f t="shared" ca="1" si="142"/>
        <v>0</v>
      </c>
      <c r="Z620" s="47"/>
      <c r="AA620" t="e">
        <f t="shared" ca="1" si="143"/>
        <v>#N/A</v>
      </c>
      <c r="AB620" t="e">
        <f t="shared" ca="1" si="156"/>
        <v>#N/A</v>
      </c>
      <c r="AC620" t="e">
        <f t="shared" ca="1" si="144"/>
        <v>#N/A</v>
      </c>
      <c r="AD620" t="e">
        <f t="shared" ca="1" si="145"/>
        <v>#N/A</v>
      </c>
      <c r="AE620" t="e">
        <f t="shared" ca="1" si="146"/>
        <v>#N/A</v>
      </c>
      <c r="AF620" t="e">
        <f t="shared" ca="1" si="147"/>
        <v>#N/A</v>
      </c>
      <c r="AG620" t="e">
        <f t="shared" ca="1" si="148"/>
        <v>#N/A</v>
      </c>
      <c r="AH620" t="e">
        <f t="shared" ca="1" si="149"/>
        <v>#N/A</v>
      </c>
      <c r="AI620" t="e">
        <f t="shared" ca="1" si="150"/>
        <v>#N/A</v>
      </c>
      <c r="AJ620" s="47"/>
    </row>
    <row r="621" spans="1:36" x14ac:dyDescent="0.25">
      <c r="A621" s="118">
        <f>DATE(YEAR($AM$6),11,1)</f>
        <v>42309</v>
      </c>
      <c r="C621">
        <f t="shared" si="151"/>
        <v>304</v>
      </c>
      <c r="D621">
        <f t="shared" si="126"/>
        <v>333</v>
      </c>
      <c r="E621">
        <f t="shared" si="152"/>
        <v>30</v>
      </c>
      <c r="F621" t="str">
        <f t="shared" si="153"/>
        <v>Nov</v>
      </c>
      <c r="G621">
        <f t="shared" ca="1" si="154"/>
        <v>0</v>
      </c>
      <c r="H621">
        <f t="shared" ca="1" si="127"/>
        <v>0</v>
      </c>
      <c r="I621">
        <f t="shared" ca="1" si="128"/>
        <v>0</v>
      </c>
      <c r="J621">
        <f t="shared" ca="1" si="129"/>
        <v>0</v>
      </c>
      <c r="K621">
        <f t="shared" ca="1" si="130"/>
        <v>0</v>
      </c>
      <c r="L621">
        <f t="shared" ca="1" si="131"/>
        <v>0</v>
      </c>
      <c r="M621">
        <f t="shared" ca="1" si="132"/>
        <v>0</v>
      </c>
      <c r="N621">
        <f t="shared" ca="1" si="133"/>
        <v>0</v>
      </c>
      <c r="O621">
        <f t="shared" ca="1" si="134"/>
        <v>0</v>
      </c>
      <c r="P621" s="47"/>
      <c r="Q621">
        <f t="shared" ca="1" si="155"/>
        <v>0</v>
      </c>
      <c r="R621">
        <f t="shared" ca="1" si="135"/>
        <v>0</v>
      </c>
      <c r="S621">
        <f t="shared" ca="1" si="136"/>
        <v>0</v>
      </c>
      <c r="T621">
        <f t="shared" ca="1" si="137"/>
        <v>0</v>
      </c>
      <c r="U621">
        <f t="shared" ca="1" si="138"/>
        <v>0</v>
      </c>
      <c r="V621">
        <f t="shared" ca="1" si="139"/>
        <v>0</v>
      </c>
      <c r="W621">
        <f t="shared" ca="1" si="140"/>
        <v>0</v>
      </c>
      <c r="X621">
        <f t="shared" ca="1" si="141"/>
        <v>0</v>
      </c>
      <c r="Y621">
        <f t="shared" ca="1" si="142"/>
        <v>0</v>
      </c>
      <c r="Z621" s="47"/>
      <c r="AA621" t="e">
        <f t="shared" ca="1" si="143"/>
        <v>#N/A</v>
      </c>
      <c r="AB621" t="e">
        <f t="shared" ca="1" si="156"/>
        <v>#N/A</v>
      </c>
      <c r="AC621" t="e">
        <f t="shared" ca="1" si="144"/>
        <v>#N/A</v>
      </c>
      <c r="AD621" t="e">
        <f t="shared" ca="1" si="145"/>
        <v>#N/A</v>
      </c>
      <c r="AE621" t="e">
        <f t="shared" ca="1" si="146"/>
        <v>#N/A</v>
      </c>
      <c r="AF621" t="e">
        <f t="shared" ca="1" si="147"/>
        <v>#N/A</v>
      </c>
      <c r="AG621" t="e">
        <f t="shared" ca="1" si="148"/>
        <v>#N/A</v>
      </c>
      <c r="AH621" t="e">
        <f t="shared" ca="1" si="149"/>
        <v>#N/A</v>
      </c>
      <c r="AI621" t="e">
        <f t="shared" ca="1" si="150"/>
        <v>#N/A</v>
      </c>
      <c r="AJ621" s="47"/>
    </row>
    <row r="622" spans="1:36" x14ac:dyDescent="0.25">
      <c r="A622" s="118">
        <f>DATE(YEAR($AM$6),12,1)</f>
        <v>42339</v>
      </c>
      <c r="C622">
        <f t="shared" si="151"/>
        <v>334</v>
      </c>
      <c r="D622" s="236">
        <f>C623</f>
        <v>364</v>
      </c>
      <c r="E622">
        <f t="shared" si="152"/>
        <v>31</v>
      </c>
      <c r="F622" t="str">
        <f t="shared" si="153"/>
        <v>Dez</v>
      </c>
      <c r="G622">
        <f t="shared" ca="1" si="154"/>
        <v>0</v>
      </c>
      <c r="H622">
        <f t="shared" ca="1" si="127"/>
        <v>0</v>
      </c>
      <c r="I622">
        <f t="shared" ca="1" si="128"/>
        <v>0</v>
      </c>
      <c r="J622">
        <f t="shared" ca="1" si="129"/>
        <v>0</v>
      </c>
      <c r="K622">
        <f t="shared" ca="1" si="130"/>
        <v>0</v>
      </c>
      <c r="L622">
        <f t="shared" ca="1" si="131"/>
        <v>0</v>
      </c>
      <c r="M622">
        <f t="shared" ca="1" si="132"/>
        <v>0</v>
      </c>
      <c r="N622">
        <f t="shared" ca="1" si="133"/>
        <v>0</v>
      </c>
      <c r="O622">
        <f t="shared" ca="1" si="134"/>
        <v>0</v>
      </c>
      <c r="P622" s="47"/>
      <c r="Q622">
        <f t="shared" ca="1" si="155"/>
        <v>0</v>
      </c>
      <c r="R622">
        <f t="shared" ca="1" si="135"/>
        <v>0</v>
      </c>
      <c r="S622">
        <f t="shared" ca="1" si="136"/>
        <v>0</v>
      </c>
      <c r="T622">
        <f t="shared" ca="1" si="137"/>
        <v>0</v>
      </c>
      <c r="U622">
        <f t="shared" ca="1" si="138"/>
        <v>0</v>
      </c>
      <c r="V622">
        <f t="shared" ca="1" si="139"/>
        <v>0</v>
      </c>
      <c r="W622">
        <f t="shared" ca="1" si="140"/>
        <v>0</v>
      </c>
      <c r="X622">
        <f t="shared" ca="1" si="141"/>
        <v>0</v>
      </c>
      <c r="Y622">
        <f t="shared" ca="1" si="142"/>
        <v>0</v>
      </c>
      <c r="Z622" s="47"/>
      <c r="AA622" t="e">
        <f t="shared" ca="1" si="143"/>
        <v>#N/A</v>
      </c>
      <c r="AB622" t="e">
        <f t="shared" ca="1" si="156"/>
        <v>#N/A</v>
      </c>
      <c r="AC622" t="e">
        <f t="shared" ca="1" si="144"/>
        <v>#N/A</v>
      </c>
      <c r="AD622" t="e">
        <f t="shared" ca="1" si="145"/>
        <v>#N/A</v>
      </c>
      <c r="AE622" t="e">
        <f t="shared" ca="1" si="146"/>
        <v>#N/A</v>
      </c>
      <c r="AF622" t="e">
        <f t="shared" ca="1" si="147"/>
        <v>#N/A</v>
      </c>
      <c r="AG622" t="e">
        <f t="shared" ca="1" si="148"/>
        <v>#N/A</v>
      </c>
      <c r="AH622" t="e">
        <f t="shared" ca="1" si="149"/>
        <v>#N/A</v>
      </c>
      <c r="AI622" t="e">
        <f t="shared" ca="1" si="150"/>
        <v>#N/A</v>
      </c>
      <c r="AJ622" s="47"/>
    </row>
    <row r="623" spans="1:36" x14ac:dyDescent="0.25">
      <c r="A623" s="118">
        <f>DATE(YEAR($AM$6)+1,1,1)</f>
        <v>42370</v>
      </c>
      <c r="C623">
        <f>MATCH(A623-1,$C$219:$C$583,0)-1</f>
        <v>364</v>
      </c>
      <c r="G623" s="47"/>
      <c r="H623" s="47"/>
      <c r="I623" s="47"/>
      <c r="J623" s="47"/>
      <c r="K623" s="47"/>
      <c r="L623" s="47"/>
      <c r="M623" s="47"/>
      <c r="N623" s="47"/>
      <c r="O623" s="47"/>
      <c r="P623" s="47"/>
      <c r="Q623" s="47"/>
      <c r="R623" s="47"/>
      <c r="S623" s="47"/>
      <c r="T623" s="47"/>
      <c r="U623" s="47"/>
      <c r="V623" s="47"/>
      <c r="W623" s="47"/>
      <c r="X623" s="47"/>
      <c r="Y623" s="47"/>
      <c r="Z623" s="47"/>
      <c r="AA623" s="47"/>
      <c r="AB623" s="47"/>
      <c r="AC623" s="47"/>
      <c r="AD623" s="47"/>
      <c r="AE623" s="47"/>
      <c r="AF623" s="47"/>
      <c r="AG623" s="47"/>
      <c r="AH623" s="47"/>
      <c r="AI623" s="47"/>
      <c r="AJ623" s="47"/>
    </row>
    <row r="624" spans="1:36" x14ac:dyDescent="0.25">
      <c r="C624" s="118"/>
      <c r="Z624" t="s">
        <v>1175</v>
      </c>
      <c r="AA624" s="223" t="str">
        <f ca="1">IFERROR(SUM(G$611:G$622)/SUM(Q$611:Q$622),"")</f>
        <v/>
      </c>
      <c r="AB624" s="223" t="str">
        <f t="shared" ref="AB624:AI624" ca="1" si="157">IFERROR(SUM(H$611:H$622)/SUM(R$611:R$622),"")</f>
        <v/>
      </c>
      <c r="AC624" s="223" t="str">
        <f t="shared" ca="1" si="157"/>
        <v/>
      </c>
      <c r="AD624" s="223" t="str">
        <f t="shared" ca="1" si="157"/>
        <v/>
      </c>
      <c r="AE624" s="223" t="str">
        <f t="shared" ca="1" si="157"/>
        <v/>
      </c>
      <c r="AF624" s="223" t="str">
        <f t="shared" ca="1" si="157"/>
        <v/>
      </c>
      <c r="AG624" s="223" t="str">
        <f t="shared" ca="1" si="157"/>
        <v/>
      </c>
      <c r="AH624" s="223" t="str">
        <f t="shared" ca="1" si="157"/>
        <v/>
      </c>
      <c r="AI624" s="223" t="str">
        <f t="shared" ca="1" si="157"/>
        <v/>
      </c>
    </row>
    <row r="625" spans="3:22" x14ac:dyDescent="0.25">
      <c r="C625" s="118"/>
    </row>
    <row r="626" spans="3:22" x14ac:dyDescent="0.25">
      <c r="C626" s="118"/>
    </row>
    <row r="627" spans="3:22" x14ac:dyDescent="0.25">
      <c r="C627" s="118"/>
    </row>
    <row r="628" spans="3:22" x14ac:dyDescent="0.25">
      <c r="C628" s="118"/>
      <c r="V628">
        <f>(726+97)/(16+47)</f>
        <v>13.063492063492063</v>
      </c>
    </row>
    <row r="629" spans="3:22" x14ac:dyDescent="0.25">
      <c r="C629" s="118"/>
    </row>
    <row r="630" spans="3:22" x14ac:dyDescent="0.25">
      <c r="C630" s="118"/>
    </row>
    <row r="631" spans="3:22" x14ac:dyDescent="0.25">
      <c r="C631" s="118"/>
    </row>
    <row r="632" spans="3:22" x14ac:dyDescent="0.25">
      <c r="C632" s="118"/>
    </row>
    <row r="633" spans="3:22" x14ac:dyDescent="0.25">
      <c r="C633" s="118"/>
    </row>
    <row r="634" spans="3:22" x14ac:dyDescent="0.25">
      <c r="C634" s="118"/>
    </row>
    <row r="635" spans="3:22" x14ac:dyDescent="0.25">
      <c r="C635" s="118"/>
    </row>
    <row r="636" spans="3:22" x14ac:dyDescent="0.25">
      <c r="C636" s="118"/>
    </row>
    <row r="637" spans="3:22" x14ac:dyDescent="0.25">
      <c r="C637" s="118"/>
    </row>
    <row r="638" spans="3:22" x14ac:dyDescent="0.25">
      <c r="C638" s="118"/>
    </row>
    <row r="639" spans="3:22" x14ac:dyDescent="0.25">
      <c r="C639" s="118"/>
    </row>
    <row r="640" spans="3:22" x14ac:dyDescent="0.25">
      <c r="C640" s="118"/>
    </row>
    <row r="641" spans="3:3" x14ac:dyDescent="0.25">
      <c r="C641" s="118"/>
    </row>
    <row r="642" spans="3:3" x14ac:dyDescent="0.25">
      <c r="C642" s="118"/>
    </row>
    <row r="643" spans="3:3" x14ac:dyDescent="0.25">
      <c r="C643" s="118"/>
    </row>
    <row r="644" spans="3:3" x14ac:dyDescent="0.25">
      <c r="C644" s="118"/>
    </row>
    <row r="645" spans="3:3" x14ac:dyDescent="0.25">
      <c r="C645" s="118"/>
    </row>
    <row r="646" spans="3:3" x14ac:dyDescent="0.25">
      <c r="C646" s="118"/>
    </row>
    <row r="647" spans="3:3" x14ac:dyDescent="0.25">
      <c r="C647" s="118"/>
    </row>
    <row r="648" spans="3:3" x14ac:dyDescent="0.25">
      <c r="C648" s="118"/>
    </row>
    <row r="649" spans="3:3" x14ac:dyDescent="0.25">
      <c r="C649" s="118"/>
    </row>
    <row r="650" spans="3:3" x14ac:dyDescent="0.25">
      <c r="C650" s="118"/>
    </row>
    <row r="651" spans="3:3" x14ac:dyDescent="0.25">
      <c r="C651" s="118"/>
    </row>
    <row r="652" spans="3:3" x14ac:dyDescent="0.25">
      <c r="C652" s="118"/>
    </row>
    <row r="653" spans="3:3" x14ac:dyDescent="0.25">
      <c r="C653" s="118"/>
    </row>
    <row r="654" spans="3:3" x14ac:dyDescent="0.25">
      <c r="C654" s="118"/>
    </row>
    <row r="655" spans="3:3" x14ac:dyDescent="0.25">
      <c r="C655" s="118"/>
    </row>
    <row r="656" spans="3:3" x14ac:dyDescent="0.25">
      <c r="C656" s="118"/>
    </row>
    <row r="657" spans="3:3" x14ac:dyDescent="0.25">
      <c r="C657" s="118"/>
    </row>
    <row r="658" spans="3:3" x14ac:dyDescent="0.25">
      <c r="C658" s="118"/>
    </row>
    <row r="659" spans="3:3" x14ac:dyDescent="0.25">
      <c r="C659" s="118"/>
    </row>
    <row r="660" spans="3:3" x14ac:dyDescent="0.25">
      <c r="C660" s="118"/>
    </row>
    <row r="661" spans="3:3" x14ac:dyDescent="0.25">
      <c r="C661" s="118"/>
    </row>
    <row r="662" spans="3:3" x14ac:dyDescent="0.25">
      <c r="C662" s="118"/>
    </row>
    <row r="663" spans="3:3" x14ac:dyDescent="0.25">
      <c r="C663" s="118"/>
    </row>
    <row r="664" spans="3:3" x14ac:dyDescent="0.25">
      <c r="C664" s="118"/>
    </row>
    <row r="665" spans="3:3" x14ac:dyDescent="0.25">
      <c r="C665" s="118"/>
    </row>
    <row r="666" spans="3:3" x14ac:dyDescent="0.25">
      <c r="C666" s="118"/>
    </row>
    <row r="667" spans="3:3" x14ac:dyDescent="0.25">
      <c r="C667" s="118"/>
    </row>
    <row r="668" spans="3:3" x14ac:dyDescent="0.25">
      <c r="C668" s="118"/>
    </row>
    <row r="669" spans="3:3" x14ac:dyDescent="0.25">
      <c r="C669" s="118"/>
    </row>
    <row r="670" spans="3:3" x14ac:dyDescent="0.25">
      <c r="C670" s="118"/>
    </row>
    <row r="671" spans="3:3" x14ac:dyDescent="0.25">
      <c r="C671" s="118"/>
    </row>
  </sheetData>
  <sortState ref="A69:A121">
    <sortCondition ref="A69:A121"/>
  </sortState>
  <mergeCells count="12">
    <mergeCell ref="C187:R200"/>
    <mergeCell ref="S187:U189"/>
    <mergeCell ref="S190:U190"/>
    <mergeCell ref="S191:U193"/>
    <mergeCell ref="S194:U194"/>
    <mergeCell ref="S195:U197"/>
    <mergeCell ref="S198:U198"/>
    <mergeCell ref="G607:O607"/>
    <mergeCell ref="Q607:Y607"/>
    <mergeCell ref="D216:M216"/>
    <mergeCell ref="N216:W216"/>
    <mergeCell ref="X216:AG216"/>
  </mergeCells>
  <pageMargins left="0.7" right="0.7" top="0.78740157499999996" bottom="0.78740157499999996" header="0.3" footer="0.3"/>
  <drawing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
  <dimension ref="A1:CS372"/>
  <sheetViews>
    <sheetView zoomScale="70" zoomScaleNormal="70" workbookViewId="0">
      <selection sqref="A1:BP61"/>
    </sheetView>
  </sheetViews>
  <sheetFormatPr baseColWidth="10" defaultRowHeight="15" x14ac:dyDescent="0.25"/>
  <cols>
    <col min="1" max="1" width="1.140625" customWidth="1"/>
    <col min="2" max="67" width="5.140625" customWidth="1"/>
    <col min="68" max="68" width="1.7109375" style="252" customWidth="1"/>
    <col min="69" max="97" width="11.42578125" style="252"/>
  </cols>
  <sheetData>
    <row r="1" spans="1:86" ht="75" customHeight="1" x14ac:dyDescent="0.25">
      <c r="A1" s="56"/>
      <c r="B1" s="299" t="str">
        <f>Version</f>
        <v>Golf Workout Manager V0.1</v>
      </c>
      <c r="C1" s="109"/>
      <c r="D1" s="109"/>
      <c r="E1" s="109"/>
      <c r="F1" s="109"/>
      <c r="G1" s="109"/>
      <c r="H1" s="109"/>
      <c r="I1" s="109"/>
      <c r="J1" s="109"/>
      <c r="K1" s="109"/>
      <c r="L1" s="109"/>
      <c r="M1" s="109"/>
      <c r="N1" s="109"/>
      <c r="O1" s="109"/>
      <c r="P1" s="109"/>
      <c r="Q1" s="56"/>
      <c r="R1" s="56"/>
      <c r="S1" s="56"/>
      <c r="T1" s="56"/>
      <c r="U1" s="56"/>
      <c r="V1" s="56"/>
      <c r="W1" s="56"/>
      <c r="X1" s="56"/>
      <c r="Y1" s="56"/>
      <c r="Z1" s="56"/>
      <c r="AA1" s="56"/>
      <c r="AB1" s="56"/>
      <c r="AC1" s="56"/>
      <c r="AD1" s="56"/>
      <c r="AE1" s="56"/>
      <c r="AF1" s="56"/>
      <c r="AG1" s="56"/>
      <c r="AH1" s="56"/>
      <c r="AI1" s="56"/>
      <c r="AJ1" s="56"/>
      <c r="AK1" s="56"/>
      <c r="AL1" s="56"/>
      <c r="AM1" s="56"/>
      <c r="AN1" s="56"/>
      <c r="AO1" s="56"/>
      <c r="AP1" s="56"/>
      <c r="AQ1" s="56"/>
      <c r="AR1" s="56"/>
      <c r="AS1" s="56"/>
      <c r="AT1" s="56"/>
      <c r="AU1" s="56"/>
      <c r="AV1" s="56"/>
      <c r="AW1" s="56"/>
      <c r="AX1" s="56"/>
      <c r="AY1" s="56"/>
      <c r="AZ1" s="56"/>
      <c r="BA1" s="56"/>
      <c r="BB1" s="120"/>
      <c r="BC1" s="56"/>
      <c r="BD1" s="56"/>
      <c r="BE1" s="56"/>
      <c r="BF1" s="97"/>
      <c r="BG1" s="97"/>
      <c r="BH1" s="97"/>
      <c r="BI1" s="56"/>
      <c r="BJ1" s="56"/>
      <c r="BK1" s="56"/>
      <c r="BL1" s="465"/>
      <c r="BM1" s="465"/>
      <c r="BN1" s="465"/>
      <c r="BO1" s="465"/>
      <c r="BP1" s="104"/>
      <c r="BQ1" s="104"/>
      <c r="BR1" s="104"/>
      <c r="BS1" s="104"/>
      <c r="BT1" s="104"/>
      <c r="BU1" s="104"/>
      <c r="BV1" s="104"/>
      <c r="BW1" s="104"/>
      <c r="BX1" s="104"/>
      <c r="BY1" s="104"/>
      <c r="BZ1" s="104"/>
      <c r="CA1" s="104"/>
      <c r="CB1" s="104"/>
      <c r="CC1" s="104"/>
      <c r="CD1" s="104"/>
      <c r="CE1" s="104"/>
      <c r="CF1" s="104"/>
      <c r="CG1" s="104"/>
      <c r="CH1" s="104"/>
    </row>
    <row r="2" spans="1:86" ht="24.95" customHeight="1" x14ac:dyDescent="0.4">
      <c r="A2" s="56"/>
      <c r="B2" s="380" t="str">
        <f>MUI_Title_Viewer</f>
        <v>Workplan Viewer</v>
      </c>
      <c r="C2" s="380"/>
      <c r="D2" s="380"/>
      <c r="E2" s="380"/>
      <c r="F2" s="380"/>
      <c r="G2" s="380"/>
      <c r="H2" s="380"/>
      <c r="I2" s="380"/>
      <c r="J2" s="380"/>
      <c r="K2" s="380"/>
      <c r="L2" s="380"/>
      <c r="M2" s="380"/>
      <c r="N2" s="380"/>
      <c r="O2" s="380"/>
      <c r="P2" s="380"/>
      <c r="Q2" s="97"/>
      <c r="R2" s="97"/>
      <c r="S2" s="97"/>
      <c r="T2" s="97"/>
      <c r="U2" s="97"/>
      <c r="V2" s="97"/>
      <c r="W2" s="97"/>
      <c r="X2" s="97"/>
      <c r="Y2" s="97"/>
      <c r="Z2" s="97"/>
      <c r="AA2" s="97"/>
      <c r="AB2" s="97"/>
      <c r="AC2" s="97"/>
      <c r="AD2" s="97"/>
      <c r="AE2" s="97"/>
      <c r="AF2" s="97"/>
      <c r="AG2" s="97"/>
      <c r="AH2" s="97"/>
      <c r="AI2" s="97"/>
      <c r="AJ2" s="97"/>
      <c r="AK2" s="97"/>
      <c r="AL2" s="97"/>
      <c r="AM2" s="97"/>
      <c r="AN2" s="97"/>
      <c r="AO2" s="97"/>
      <c r="AP2" s="97"/>
      <c r="AQ2" s="97"/>
      <c r="AR2" s="97"/>
      <c r="AS2" s="97"/>
      <c r="AT2" s="97"/>
      <c r="AU2" s="97"/>
      <c r="AV2" s="97"/>
      <c r="AW2" s="97"/>
      <c r="AX2" s="97"/>
      <c r="AY2" s="97"/>
      <c r="AZ2" s="97"/>
      <c r="BA2" s="97"/>
      <c r="BB2" s="97"/>
      <c r="BC2" s="97"/>
      <c r="BD2" s="97"/>
      <c r="BE2" s="97"/>
      <c r="BF2" s="97"/>
      <c r="BG2" s="97"/>
      <c r="BH2" s="97"/>
      <c r="BI2" s="97"/>
      <c r="BJ2" s="97"/>
      <c r="BK2" s="97"/>
      <c r="BL2" s="465"/>
      <c r="BM2" s="465"/>
      <c r="BN2" s="465"/>
      <c r="BO2" s="465"/>
      <c r="BP2" s="104"/>
      <c r="BQ2" s="104"/>
      <c r="BR2" s="104"/>
      <c r="BS2" s="104"/>
      <c r="BT2" s="104"/>
      <c r="BU2" s="104"/>
      <c r="BV2" s="104"/>
      <c r="BW2" s="104"/>
      <c r="BX2" s="104"/>
      <c r="BY2" s="104"/>
      <c r="BZ2" s="104"/>
      <c r="CA2" s="104"/>
      <c r="CB2" s="104"/>
      <c r="CC2" s="104"/>
      <c r="CD2" s="104"/>
      <c r="CE2" s="104"/>
      <c r="CF2" s="104"/>
      <c r="CG2" s="104"/>
      <c r="CH2" s="104"/>
    </row>
    <row r="3" spans="1:86" ht="6" customHeight="1" x14ac:dyDescent="0.25">
      <c r="A3" s="300"/>
      <c r="B3" s="203"/>
      <c r="C3" s="203"/>
      <c r="D3" s="203"/>
      <c r="E3" s="203"/>
      <c r="F3" s="301"/>
      <c r="G3" s="302"/>
      <c r="H3" s="302"/>
      <c r="I3" s="302"/>
      <c r="J3" s="302"/>
      <c r="K3" s="302"/>
      <c r="L3" s="302"/>
      <c r="M3" s="302"/>
      <c r="N3" s="302"/>
      <c r="O3" s="302"/>
      <c r="P3" s="302"/>
      <c r="Q3" s="302"/>
      <c r="R3" s="302"/>
      <c r="S3" s="302"/>
      <c r="T3" s="302"/>
      <c r="U3" s="302"/>
      <c r="V3" s="302"/>
      <c r="W3" s="302"/>
      <c r="X3" s="302"/>
      <c r="Y3" s="302"/>
      <c r="Z3" s="302"/>
      <c r="AA3" s="302"/>
      <c r="AB3" s="302"/>
      <c r="AC3" s="302"/>
      <c r="AD3" s="302"/>
      <c r="AE3" s="302"/>
      <c r="AF3" s="302"/>
      <c r="AG3" s="302"/>
      <c r="AH3" s="302"/>
      <c r="AI3" s="302"/>
      <c r="AJ3" s="302"/>
      <c r="AK3" s="302"/>
      <c r="AL3" s="302"/>
      <c r="AM3" s="302"/>
      <c r="AN3" s="302"/>
      <c r="AO3" s="302"/>
      <c r="AP3" s="302"/>
      <c r="AQ3" s="302"/>
      <c r="AR3" s="302"/>
      <c r="AS3" s="302"/>
      <c r="AT3" s="302"/>
      <c r="AU3" s="302"/>
      <c r="AV3" s="302"/>
      <c r="AW3" s="302"/>
      <c r="AX3" s="302"/>
      <c r="AY3" s="302"/>
      <c r="AZ3" s="302"/>
      <c r="BA3" s="302"/>
      <c r="BB3" s="302"/>
      <c r="BC3" s="302"/>
      <c r="BD3" s="302"/>
      <c r="BE3" s="302"/>
      <c r="BF3" s="302"/>
      <c r="BG3" s="302"/>
      <c r="BH3" s="302"/>
      <c r="BI3" s="302"/>
      <c r="BJ3" s="302"/>
      <c r="BK3" s="302"/>
      <c r="BL3" s="302"/>
      <c r="BM3" s="302"/>
      <c r="BN3" s="302"/>
      <c r="BO3" s="302"/>
      <c r="BP3" s="104"/>
      <c r="BQ3" s="104"/>
      <c r="BR3" s="104"/>
      <c r="BS3" s="104"/>
      <c r="BT3" s="104"/>
      <c r="BU3" s="104"/>
      <c r="BV3" s="104"/>
      <c r="BW3" s="104"/>
      <c r="BX3" s="104"/>
      <c r="BY3" s="104"/>
      <c r="BZ3" s="104"/>
      <c r="CA3" s="104"/>
      <c r="CB3" s="104"/>
      <c r="CC3" s="104"/>
      <c r="CD3" s="104"/>
      <c r="CE3" s="104"/>
      <c r="CF3" s="104"/>
      <c r="CG3" s="104"/>
      <c r="CH3" s="104"/>
    </row>
    <row r="4" spans="1:86" ht="20.25" customHeight="1" x14ac:dyDescent="0.25">
      <c r="A4" s="104"/>
      <c r="B4" s="104"/>
      <c r="C4" s="104"/>
      <c r="D4" s="104"/>
      <c r="E4" s="104"/>
      <c r="F4" s="104"/>
      <c r="G4" s="104"/>
      <c r="H4" s="104"/>
      <c r="I4" s="104"/>
      <c r="J4" s="104"/>
      <c r="K4" s="104"/>
      <c r="L4" s="104"/>
      <c r="M4" s="104"/>
      <c r="N4" s="104"/>
      <c r="O4" s="104"/>
      <c r="P4" s="104"/>
      <c r="Q4" s="104"/>
      <c r="R4" s="104"/>
      <c r="S4" s="104"/>
      <c r="T4" s="104"/>
      <c r="U4" s="104"/>
      <c r="V4" s="104"/>
      <c r="W4" s="104"/>
      <c r="X4" s="104"/>
      <c r="Y4" s="104"/>
      <c r="Z4" s="104"/>
      <c r="AA4" s="104"/>
      <c r="AB4" s="104"/>
      <c r="AC4" s="104"/>
      <c r="AD4" s="104"/>
      <c r="AE4" s="104"/>
      <c r="AF4" s="104"/>
      <c r="AG4" s="104"/>
      <c r="AH4" s="104"/>
      <c r="AI4" s="104"/>
      <c r="AJ4" s="104"/>
      <c r="AK4" s="104"/>
      <c r="AL4" s="104"/>
      <c r="AM4" s="104"/>
      <c r="AN4" s="104"/>
      <c r="AO4" s="104"/>
      <c r="AP4" s="104"/>
      <c r="AQ4" s="104"/>
      <c r="AR4" s="104"/>
      <c r="AS4" s="104"/>
      <c r="AT4" s="104"/>
      <c r="AU4" s="104"/>
      <c r="AV4" s="104"/>
      <c r="AW4" s="104"/>
      <c r="AX4" s="104"/>
      <c r="AY4" s="104"/>
      <c r="AZ4" s="104"/>
      <c r="BA4" s="104"/>
      <c r="BB4" s="104"/>
      <c r="BC4" s="104"/>
      <c r="BD4" s="104"/>
      <c r="BE4" s="104"/>
      <c r="BF4" s="104"/>
      <c r="BG4" s="104"/>
      <c r="BH4" s="104"/>
      <c r="BI4" s="104"/>
      <c r="BJ4" s="104"/>
      <c r="BK4" s="104"/>
      <c r="BL4" s="104"/>
      <c r="BM4" s="104"/>
      <c r="BN4" s="104"/>
      <c r="BO4" s="104"/>
      <c r="BP4" s="104"/>
      <c r="BQ4" s="104"/>
      <c r="BR4" s="104"/>
      <c r="BS4" s="104"/>
      <c r="BT4" s="104"/>
      <c r="BU4" s="104"/>
      <c r="BV4" s="104"/>
      <c r="BW4" s="104"/>
      <c r="BX4" s="104"/>
      <c r="BY4" s="104"/>
      <c r="BZ4" s="104"/>
      <c r="CA4" s="104"/>
      <c r="CB4" s="104"/>
      <c r="CC4" s="104"/>
      <c r="CD4" s="104"/>
      <c r="CE4" s="104"/>
      <c r="CF4" s="104"/>
      <c r="CG4" s="104"/>
      <c r="CH4" s="104"/>
    </row>
    <row r="5" spans="1:86" ht="40.5" customHeight="1" x14ac:dyDescent="0.25">
      <c r="A5" s="104"/>
      <c r="B5" s="104"/>
      <c r="C5" s="104"/>
      <c r="D5" s="104"/>
      <c r="E5" s="104"/>
      <c r="F5" s="104"/>
      <c r="G5" s="56" t="str">
        <f>MUI_DBP_T_PlayerName</f>
        <v>PlayerName</v>
      </c>
      <c r="H5" s="104"/>
      <c r="I5" s="104"/>
      <c r="J5" s="104"/>
      <c r="K5" s="104"/>
      <c r="L5" s="104"/>
      <c r="M5" s="104"/>
      <c r="N5" s="519" t="str">
        <f>Statistic!A5</f>
        <v>Micha Dürr</v>
      </c>
      <c r="O5" s="519"/>
      <c r="P5" s="519"/>
      <c r="Q5" s="519"/>
      <c r="R5" s="519"/>
      <c r="S5" s="519"/>
      <c r="T5" s="519"/>
      <c r="U5" s="519"/>
      <c r="V5" s="519"/>
      <c r="W5" s="519"/>
      <c r="X5" s="519"/>
      <c r="Y5" s="519"/>
      <c r="Z5" s="519"/>
      <c r="AA5" s="519"/>
      <c r="AB5" s="519"/>
      <c r="AC5" s="519"/>
      <c r="AD5" s="519"/>
      <c r="AE5" s="519"/>
      <c r="AF5" s="519"/>
      <c r="AG5" s="519"/>
      <c r="AH5" s="519"/>
      <c r="AI5" s="519"/>
      <c r="AJ5" s="519"/>
      <c r="AK5" s="104"/>
      <c r="AL5" s="56" t="str">
        <f>MUI_STAT_SelectionMonth</f>
        <v>Selected Month</v>
      </c>
      <c r="AM5" s="104"/>
      <c r="AN5" s="104"/>
      <c r="AO5" s="104"/>
      <c r="AP5" s="104"/>
      <c r="AQ5" s="104"/>
      <c r="AR5" s="104"/>
      <c r="AS5" s="104"/>
      <c r="AT5" s="104"/>
      <c r="AU5" s="520" t="str">
        <f>Statistic!O5</f>
        <v>Apr.15</v>
      </c>
      <c r="AV5" s="520"/>
      <c r="AW5" s="520"/>
      <c r="AX5" s="520"/>
      <c r="AY5" s="520"/>
      <c r="AZ5" s="520"/>
      <c r="BA5" s="520"/>
      <c r="BB5" s="520"/>
      <c r="BC5" s="520"/>
      <c r="BD5" s="520"/>
      <c r="BE5" s="520"/>
      <c r="BF5" s="520"/>
      <c r="BG5" s="520"/>
      <c r="BH5" s="520"/>
      <c r="BI5" s="520"/>
      <c r="BJ5" s="520"/>
      <c r="BK5" s="520"/>
      <c r="BL5" s="520"/>
      <c r="BM5" s="520"/>
      <c r="BN5" s="520"/>
      <c r="BO5" s="520"/>
      <c r="BP5" s="104"/>
      <c r="BQ5" s="104"/>
      <c r="BR5" s="104"/>
      <c r="BS5" s="104"/>
      <c r="BT5" s="104"/>
      <c r="BU5" s="104"/>
      <c r="BV5" s="104"/>
      <c r="BW5" s="104"/>
      <c r="BX5" s="104"/>
      <c r="BY5" s="104"/>
      <c r="BZ5" s="104"/>
      <c r="CA5" s="104"/>
      <c r="CB5" s="104"/>
      <c r="CC5" s="104"/>
      <c r="CD5" s="104"/>
      <c r="CE5" s="104"/>
      <c r="CF5" s="104"/>
      <c r="CG5" s="104"/>
      <c r="CH5" s="104"/>
    </row>
    <row r="6" spans="1:86" ht="11.25" customHeight="1" x14ac:dyDescent="0.25">
      <c r="A6" s="104"/>
      <c r="B6" s="104"/>
      <c r="C6" s="104"/>
      <c r="D6" s="104"/>
      <c r="E6" s="104"/>
      <c r="F6" s="104"/>
      <c r="G6" s="104"/>
      <c r="H6" s="104"/>
      <c r="I6" s="104"/>
      <c r="J6" s="104"/>
      <c r="K6" s="104"/>
      <c r="L6" s="104"/>
      <c r="M6" s="104"/>
      <c r="N6" s="104"/>
      <c r="O6" s="104"/>
      <c r="P6" s="104"/>
      <c r="Q6" s="104"/>
      <c r="R6" s="104"/>
      <c r="S6" s="104"/>
      <c r="T6" s="104"/>
      <c r="U6" s="104"/>
      <c r="V6" s="104"/>
      <c r="W6" s="104"/>
      <c r="X6" s="104"/>
      <c r="Y6" s="104"/>
      <c r="Z6" s="104"/>
      <c r="AA6" s="104"/>
      <c r="AB6" s="104"/>
      <c r="AC6" s="104"/>
      <c r="AD6" s="104"/>
      <c r="AE6" s="104"/>
      <c r="AF6" s="104"/>
      <c r="AG6" s="104"/>
      <c r="AH6" s="104"/>
      <c r="AI6" s="104"/>
      <c r="AJ6" s="104"/>
      <c r="AK6" s="104"/>
      <c r="AL6" s="104"/>
      <c r="AM6" s="104"/>
      <c r="AN6" s="104"/>
      <c r="AO6" s="104"/>
      <c r="AP6" s="104"/>
      <c r="AQ6" s="104"/>
      <c r="AR6" s="104"/>
      <c r="AS6" s="104"/>
      <c r="AT6" s="104"/>
      <c r="AU6" s="104"/>
      <c r="AV6" s="104"/>
      <c r="AW6" s="104"/>
      <c r="AX6" s="104"/>
      <c r="AY6" s="104"/>
      <c r="AZ6" s="104"/>
      <c r="BA6" s="104"/>
      <c r="BB6" s="104"/>
      <c r="BC6" s="104"/>
      <c r="BD6" s="104"/>
      <c r="BE6" s="104"/>
      <c r="BF6" s="104"/>
      <c r="BG6" s="104"/>
      <c r="BH6" s="104"/>
      <c r="BI6" s="104"/>
      <c r="BJ6" s="104"/>
      <c r="BK6" s="104"/>
      <c r="BL6" s="104"/>
      <c r="BM6" s="104"/>
      <c r="BN6" s="104"/>
      <c r="BO6" s="104"/>
      <c r="BP6" s="104"/>
      <c r="BQ6" s="104"/>
      <c r="BR6" s="104"/>
      <c r="BS6" s="104"/>
      <c r="BT6" s="104"/>
      <c r="BU6" s="104"/>
      <c r="BV6" s="104"/>
      <c r="BW6" s="104"/>
      <c r="BX6" s="104"/>
      <c r="BY6" s="104"/>
      <c r="BZ6" s="104"/>
      <c r="CA6" s="104"/>
      <c r="CB6" s="104"/>
      <c r="CC6" s="104"/>
      <c r="CD6" s="104"/>
      <c r="CE6" s="104"/>
      <c r="CF6" s="104"/>
      <c r="CG6" s="104"/>
      <c r="CH6" s="104"/>
    </row>
    <row r="7" spans="1:86" ht="36" x14ac:dyDescent="0.25">
      <c r="A7" s="104"/>
      <c r="B7" s="104"/>
      <c r="C7" s="104"/>
      <c r="D7" s="104"/>
      <c r="E7" s="104"/>
      <c r="F7" s="104"/>
      <c r="G7" s="56" t="s">
        <v>1123</v>
      </c>
      <c r="H7" s="104"/>
      <c r="I7" s="104"/>
      <c r="J7" s="104"/>
      <c r="K7" s="104"/>
      <c r="L7" s="104"/>
      <c r="M7" s="104"/>
      <c r="N7" s="104"/>
      <c r="O7" s="104"/>
      <c r="P7" s="104"/>
      <c r="Q7" s="104"/>
      <c r="R7" s="104"/>
      <c r="S7" s="104"/>
      <c r="T7" s="104"/>
      <c r="U7" s="104"/>
      <c r="V7" s="104"/>
      <c r="W7" s="104"/>
      <c r="X7" s="104"/>
      <c r="Y7" s="104"/>
      <c r="Z7" s="104"/>
      <c r="AA7" s="104"/>
      <c r="AB7" s="104"/>
      <c r="AC7" s="104"/>
      <c r="AD7" s="104"/>
      <c r="AE7" s="104"/>
      <c r="AF7" s="104"/>
      <c r="AG7" s="104"/>
      <c r="AH7" s="104"/>
      <c r="AI7" s="104"/>
      <c r="AJ7" s="104"/>
      <c r="AK7" s="104"/>
      <c r="AL7" s="56" t="s">
        <v>1164</v>
      </c>
      <c r="AM7" s="104"/>
      <c r="AN7" s="104"/>
      <c r="AO7" s="104"/>
      <c r="AP7" s="104"/>
      <c r="AQ7" s="104"/>
      <c r="AR7" s="104"/>
      <c r="AS7" s="104"/>
      <c r="AT7" s="104"/>
      <c r="AU7" s="104"/>
      <c r="AV7" s="104"/>
      <c r="AW7" s="104"/>
      <c r="AX7" s="104"/>
      <c r="AY7" s="104"/>
      <c r="AZ7" s="104"/>
      <c r="BA7" s="104"/>
      <c r="BB7" s="104"/>
      <c r="BC7" s="104"/>
      <c r="BD7" s="104"/>
      <c r="BE7" s="104"/>
      <c r="BF7" s="104"/>
      <c r="BG7" s="104"/>
      <c r="BH7" s="104"/>
      <c r="BI7" s="104"/>
      <c r="BJ7" s="104"/>
      <c r="BK7" s="104"/>
      <c r="BL7" s="104"/>
      <c r="BM7" s="104"/>
      <c r="BN7" s="104"/>
      <c r="BO7" s="104"/>
      <c r="BP7" s="104"/>
      <c r="BQ7" s="104"/>
      <c r="BR7" s="104"/>
      <c r="BS7" s="104"/>
      <c r="BT7" s="104"/>
      <c r="BU7" s="104"/>
      <c r="BV7" s="104"/>
      <c r="BW7" s="104"/>
      <c r="BX7" s="104"/>
      <c r="BY7" s="104"/>
      <c r="BZ7" s="104"/>
      <c r="CA7" s="104"/>
      <c r="CB7" s="104"/>
      <c r="CC7" s="104"/>
      <c r="CD7" s="104"/>
      <c r="CE7" s="104"/>
      <c r="CF7" s="104"/>
      <c r="CG7" s="104"/>
      <c r="CH7" s="104"/>
    </row>
    <row r="8" spans="1:86" ht="36" x14ac:dyDescent="0.25">
      <c r="A8" s="104"/>
      <c r="B8" s="104"/>
      <c r="C8" s="104"/>
      <c r="D8" s="104"/>
      <c r="E8" s="104"/>
      <c r="F8" s="104"/>
      <c r="G8" s="518"/>
      <c r="H8" s="518"/>
      <c r="I8" s="518"/>
      <c r="J8" s="518"/>
      <c r="K8" s="518"/>
      <c r="L8" s="518"/>
      <c r="M8" s="518"/>
      <c r="N8" s="518"/>
      <c r="O8" s="518"/>
      <c r="P8" s="518"/>
      <c r="Q8" s="518"/>
      <c r="R8" s="518"/>
      <c r="S8" s="518"/>
      <c r="T8" s="518"/>
      <c r="U8" s="518"/>
      <c r="V8" s="518"/>
      <c r="W8" s="518"/>
      <c r="X8" s="518"/>
      <c r="Y8" s="518"/>
      <c r="Z8" s="518"/>
      <c r="AA8" s="518"/>
      <c r="AB8" s="518"/>
      <c r="AC8" s="518"/>
      <c r="AD8" s="518"/>
      <c r="AE8" s="518"/>
      <c r="AF8" s="518"/>
      <c r="AG8" s="518"/>
      <c r="AH8" s="518"/>
      <c r="AI8" s="518"/>
      <c r="AJ8" s="518"/>
      <c r="AK8" s="104"/>
      <c r="AL8" s="518"/>
      <c r="AM8" s="518"/>
      <c r="AN8" s="518"/>
      <c r="AO8" s="518"/>
      <c r="AP8" s="518"/>
      <c r="AQ8" s="518"/>
      <c r="AR8" s="518"/>
      <c r="AS8" s="518"/>
      <c r="AT8" s="518"/>
      <c r="AU8" s="518"/>
      <c r="AV8" s="518"/>
      <c r="AW8" s="518"/>
      <c r="AX8" s="518"/>
      <c r="AY8" s="518"/>
      <c r="AZ8" s="518"/>
      <c r="BA8" s="518"/>
      <c r="BB8" s="518"/>
      <c r="BC8" s="518"/>
      <c r="BD8" s="518"/>
      <c r="BE8" s="518"/>
      <c r="BF8" s="518"/>
      <c r="BG8" s="518"/>
      <c r="BH8" s="518"/>
      <c r="BI8" s="518"/>
      <c r="BJ8" s="518"/>
      <c r="BK8" s="518"/>
      <c r="BL8" s="518"/>
      <c r="BM8" s="518"/>
      <c r="BN8" s="518"/>
      <c r="BO8" s="518"/>
      <c r="BP8" s="104"/>
      <c r="BQ8" s="104"/>
      <c r="BR8" s="104"/>
      <c r="BS8" s="104"/>
      <c r="BT8" s="104"/>
      <c r="BU8" s="104"/>
      <c r="BV8" s="104"/>
      <c r="BW8" s="104"/>
      <c r="BX8" s="104"/>
      <c r="BY8" s="104"/>
      <c r="BZ8" s="104"/>
      <c r="CA8" s="104"/>
      <c r="CB8" s="104"/>
      <c r="CC8" s="104"/>
      <c r="CD8" s="104"/>
      <c r="CE8" s="104"/>
      <c r="CF8" s="104"/>
      <c r="CG8" s="104"/>
      <c r="CH8" s="104"/>
    </row>
    <row r="9" spans="1:86" ht="36" x14ac:dyDescent="0.25">
      <c r="A9" s="104"/>
      <c r="B9" s="104"/>
      <c r="C9" s="104"/>
      <c r="D9" s="104"/>
      <c r="E9" s="104"/>
      <c r="F9" s="104"/>
      <c r="G9" s="518"/>
      <c r="H9" s="518"/>
      <c r="I9" s="518"/>
      <c r="J9" s="518"/>
      <c r="K9" s="518"/>
      <c r="L9" s="518"/>
      <c r="M9" s="518"/>
      <c r="N9" s="518"/>
      <c r="O9" s="518"/>
      <c r="P9" s="518"/>
      <c r="Q9" s="518"/>
      <c r="R9" s="518"/>
      <c r="S9" s="518"/>
      <c r="T9" s="518"/>
      <c r="U9" s="518"/>
      <c r="V9" s="518"/>
      <c r="W9" s="518"/>
      <c r="X9" s="518"/>
      <c r="Y9" s="518"/>
      <c r="Z9" s="518"/>
      <c r="AA9" s="518"/>
      <c r="AB9" s="518"/>
      <c r="AC9" s="518"/>
      <c r="AD9" s="518"/>
      <c r="AE9" s="518"/>
      <c r="AF9" s="518"/>
      <c r="AG9" s="518"/>
      <c r="AH9" s="518"/>
      <c r="AI9" s="518"/>
      <c r="AJ9" s="518"/>
      <c r="AK9" s="104"/>
      <c r="AL9" s="518"/>
      <c r="AM9" s="518"/>
      <c r="AN9" s="518"/>
      <c r="AO9" s="518"/>
      <c r="AP9" s="518"/>
      <c r="AQ9" s="518"/>
      <c r="AR9" s="518"/>
      <c r="AS9" s="518"/>
      <c r="AT9" s="518"/>
      <c r="AU9" s="518"/>
      <c r="AV9" s="518"/>
      <c r="AW9" s="518"/>
      <c r="AX9" s="518"/>
      <c r="AY9" s="518"/>
      <c r="AZ9" s="518"/>
      <c r="BA9" s="518"/>
      <c r="BB9" s="518"/>
      <c r="BC9" s="518"/>
      <c r="BD9" s="518"/>
      <c r="BE9" s="518"/>
      <c r="BF9" s="518"/>
      <c r="BG9" s="518"/>
      <c r="BH9" s="518"/>
      <c r="BI9" s="518"/>
      <c r="BJ9" s="518"/>
      <c r="BK9" s="518"/>
      <c r="BL9" s="518"/>
      <c r="BM9" s="518"/>
      <c r="BN9" s="518"/>
      <c r="BO9" s="518"/>
      <c r="BP9" s="104"/>
      <c r="BQ9" s="104"/>
      <c r="BR9" s="104"/>
      <c r="BS9" s="104"/>
      <c r="BT9" s="104"/>
      <c r="BU9" s="104"/>
      <c r="BV9" s="104"/>
      <c r="BW9" s="104"/>
      <c r="BX9" s="104"/>
      <c r="BY9" s="104"/>
      <c r="BZ9" s="104"/>
      <c r="CA9" s="104"/>
      <c r="CB9" s="104"/>
      <c r="CC9" s="104"/>
      <c r="CD9" s="104"/>
      <c r="CE9" s="104"/>
      <c r="CF9" s="104"/>
      <c r="CG9" s="104"/>
      <c r="CH9" s="104"/>
    </row>
    <row r="10" spans="1:86" ht="36" x14ac:dyDescent="0.25">
      <c r="A10" s="104"/>
      <c r="B10" s="104"/>
      <c r="C10" s="104"/>
      <c r="D10" s="104"/>
      <c r="E10" s="104"/>
      <c r="F10" s="104"/>
      <c r="G10" s="518"/>
      <c r="H10" s="518"/>
      <c r="I10" s="518"/>
      <c r="J10" s="518"/>
      <c r="K10" s="518"/>
      <c r="L10" s="518"/>
      <c r="M10" s="518"/>
      <c r="N10" s="518"/>
      <c r="O10" s="518"/>
      <c r="P10" s="518"/>
      <c r="Q10" s="518"/>
      <c r="R10" s="518"/>
      <c r="S10" s="518"/>
      <c r="T10" s="518"/>
      <c r="U10" s="518"/>
      <c r="V10" s="518"/>
      <c r="W10" s="518"/>
      <c r="X10" s="518"/>
      <c r="Y10" s="518"/>
      <c r="Z10" s="518"/>
      <c r="AA10" s="518"/>
      <c r="AB10" s="518"/>
      <c r="AC10" s="518"/>
      <c r="AD10" s="518"/>
      <c r="AE10" s="518"/>
      <c r="AF10" s="518"/>
      <c r="AG10" s="518"/>
      <c r="AH10" s="518"/>
      <c r="AI10" s="518"/>
      <c r="AJ10" s="518"/>
      <c r="AK10" s="104"/>
      <c r="AL10" s="518"/>
      <c r="AM10" s="518"/>
      <c r="AN10" s="518"/>
      <c r="AO10" s="518"/>
      <c r="AP10" s="518"/>
      <c r="AQ10" s="518"/>
      <c r="AR10" s="518"/>
      <c r="AS10" s="518"/>
      <c r="AT10" s="518"/>
      <c r="AU10" s="518"/>
      <c r="AV10" s="518"/>
      <c r="AW10" s="518"/>
      <c r="AX10" s="518"/>
      <c r="AY10" s="518"/>
      <c r="AZ10" s="518"/>
      <c r="BA10" s="518"/>
      <c r="BB10" s="518"/>
      <c r="BC10" s="518"/>
      <c r="BD10" s="518"/>
      <c r="BE10" s="518"/>
      <c r="BF10" s="518"/>
      <c r="BG10" s="518"/>
      <c r="BH10" s="518"/>
      <c r="BI10" s="518"/>
      <c r="BJ10" s="518"/>
      <c r="BK10" s="518"/>
      <c r="BL10" s="518"/>
      <c r="BM10" s="518"/>
      <c r="BN10" s="518"/>
      <c r="BO10" s="518"/>
      <c r="BP10" s="104"/>
      <c r="BQ10" s="104"/>
      <c r="BR10" s="104"/>
      <c r="BS10" s="104"/>
      <c r="BT10" s="104"/>
      <c r="BU10" s="104"/>
      <c r="BV10" s="104"/>
      <c r="BW10" s="104"/>
      <c r="BX10" s="104"/>
      <c r="BY10" s="104"/>
      <c r="BZ10" s="104"/>
      <c r="CA10" s="104"/>
      <c r="CB10" s="104"/>
      <c r="CC10" s="104"/>
      <c r="CD10" s="104"/>
      <c r="CE10" s="104"/>
      <c r="CF10" s="104"/>
      <c r="CG10" s="104"/>
      <c r="CH10" s="104"/>
    </row>
    <row r="11" spans="1:86" ht="36" x14ac:dyDescent="0.25">
      <c r="A11" s="104"/>
      <c r="B11" s="104"/>
      <c r="C11" s="104"/>
      <c r="D11" s="104"/>
      <c r="E11" s="104"/>
      <c r="F11" s="104"/>
      <c r="G11" s="518"/>
      <c r="H11" s="518"/>
      <c r="I11" s="518"/>
      <c r="J11" s="518"/>
      <c r="K11" s="518"/>
      <c r="L11" s="518"/>
      <c r="M11" s="518"/>
      <c r="N11" s="518"/>
      <c r="O11" s="518"/>
      <c r="P11" s="518"/>
      <c r="Q11" s="518"/>
      <c r="R11" s="518"/>
      <c r="S11" s="518"/>
      <c r="T11" s="518"/>
      <c r="U11" s="518"/>
      <c r="V11" s="518"/>
      <c r="W11" s="518"/>
      <c r="X11" s="518"/>
      <c r="Y11" s="518"/>
      <c r="Z11" s="518"/>
      <c r="AA11" s="518"/>
      <c r="AB11" s="518"/>
      <c r="AC11" s="518"/>
      <c r="AD11" s="518"/>
      <c r="AE11" s="518"/>
      <c r="AF11" s="518"/>
      <c r="AG11" s="518"/>
      <c r="AH11" s="518"/>
      <c r="AI11" s="518"/>
      <c r="AJ11" s="518"/>
      <c r="AK11" s="104"/>
      <c r="AL11" s="518"/>
      <c r="AM11" s="518"/>
      <c r="AN11" s="518"/>
      <c r="AO11" s="518"/>
      <c r="AP11" s="518"/>
      <c r="AQ11" s="518"/>
      <c r="AR11" s="518"/>
      <c r="AS11" s="518"/>
      <c r="AT11" s="518"/>
      <c r="AU11" s="518"/>
      <c r="AV11" s="518"/>
      <c r="AW11" s="518"/>
      <c r="AX11" s="518"/>
      <c r="AY11" s="518"/>
      <c r="AZ11" s="518"/>
      <c r="BA11" s="518"/>
      <c r="BB11" s="518"/>
      <c r="BC11" s="518"/>
      <c r="BD11" s="518"/>
      <c r="BE11" s="518"/>
      <c r="BF11" s="518"/>
      <c r="BG11" s="518"/>
      <c r="BH11" s="518"/>
      <c r="BI11" s="518"/>
      <c r="BJ11" s="518"/>
      <c r="BK11" s="518"/>
      <c r="BL11" s="518"/>
      <c r="BM11" s="518"/>
      <c r="BN11" s="518"/>
      <c r="BO11" s="518"/>
      <c r="BP11" s="104"/>
      <c r="BQ11" s="104"/>
      <c r="BR11" s="104"/>
      <c r="BS11" s="104"/>
      <c r="BT11" s="104"/>
      <c r="BU11" s="104"/>
      <c r="BV11" s="104"/>
      <c r="BW11" s="104"/>
      <c r="BX11" s="104"/>
      <c r="BY11" s="104"/>
      <c r="BZ11" s="104"/>
      <c r="CA11" s="104"/>
      <c r="CB11" s="104"/>
      <c r="CC11" s="104"/>
      <c r="CD11" s="104"/>
      <c r="CE11" s="104"/>
      <c r="CF11" s="104"/>
      <c r="CG11" s="104"/>
      <c r="CH11" s="104"/>
    </row>
    <row r="12" spans="1:86" ht="36" x14ac:dyDescent="0.25">
      <c r="A12" s="104"/>
      <c r="B12" s="104"/>
      <c r="C12" s="104"/>
      <c r="D12" s="104"/>
      <c r="E12" s="104"/>
      <c r="F12" s="104"/>
      <c r="G12" s="518"/>
      <c r="H12" s="518"/>
      <c r="I12" s="518"/>
      <c r="J12" s="518"/>
      <c r="K12" s="518"/>
      <c r="L12" s="518"/>
      <c r="M12" s="518"/>
      <c r="N12" s="518"/>
      <c r="O12" s="518"/>
      <c r="P12" s="518"/>
      <c r="Q12" s="518"/>
      <c r="R12" s="518"/>
      <c r="S12" s="518"/>
      <c r="T12" s="518"/>
      <c r="U12" s="518"/>
      <c r="V12" s="518"/>
      <c r="W12" s="518"/>
      <c r="X12" s="518"/>
      <c r="Y12" s="518"/>
      <c r="Z12" s="518"/>
      <c r="AA12" s="518"/>
      <c r="AB12" s="518"/>
      <c r="AC12" s="518"/>
      <c r="AD12" s="518"/>
      <c r="AE12" s="518"/>
      <c r="AF12" s="518"/>
      <c r="AG12" s="518"/>
      <c r="AH12" s="518"/>
      <c r="AI12" s="518"/>
      <c r="AJ12" s="518"/>
      <c r="AK12" s="104"/>
      <c r="AL12" s="518"/>
      <c r="AM12" s="518"/>
      <c r="AN12" s="518"/>
      <c r="AO12" s="518"/>
      <c r="AP12" s="518"/>
      <c r="AQ12" s="518"/>
      <c r="AR12" s="518"/>
      <c r="AS12" s="518"/>
      <c r="AT12" s="518"/>
      <c r="AU12" s="518"/>
      <c r="AV12" s="518"/>
      <c r="AW12" s="518"/>
      <c r="AX12" s="518"/>
      <c r="AY12" s="518"/>
      <c r="AZ12" s="518"/>
      <c r="BA12" s="518"/>
      <c r="BB12" s="518"/>
      <c r="BC12" s="518"/>
      <c r="BD12" s="518"/>
      <c r="BE12" s="518"/>
      <c r="BF12" s="518"/>
      <c r="BG12" s="518"/>
      <c r="BH12" s="518"/>
      <c r="BI12" s="518"/>
      <c r="BJ12" s="518"/>
      <c r="BK12" s="518"/>
      <c r="BL12" s="518"/>
      <c r="BM12" s="518"/>
      <c r="BN12" s="518"/>
      <c r="BO12" s="518"/>
      <c r="BP12" s="104"/>
      <c r="BQ12" s="104"/>
      <c r="BR12" s="104"/>
      <c r="BS12" s="104"/>
      <c r="BT12" s="104"/>
      <c r="BU12" s="104"/>
      <c r="BV12" s="104"/>
      <c r="BW12" s="104"/>
      <c r="BX12" s="104"/>
      <c r="BY12" s="104"/>
      <c r="BZ12" s="104"/>
      <c r="CA12" s="104"/>
      <c r="CB12" s="104"/>
      <c r="CC12" s="104"/>
      <c r="CD12" s="104"/>
      <c r="CE12" s="104"/>
      <c r="CF12" s="104"/>
      <c r="CG12" s="104"/>
      <c r="CH12" s="104"/>
    </row>
    <row r="13" spans="1:86" ht="36" x14ac:dyDescent="0.25">
      <c r="A13" s="104"/>
      <c r="B13" s="104"/>
      <c r="C13" s="104"/>
      <c r="D13" s="104"/>
      <c r="E13" s="104"/>
      <c r="F13" s="104"/>
      <c r="G13" s="518"/>
      <c r="H13" s="518"/>
      <c r="I13" s="518"/>
      <c r="J13" s="518"/>
      <c r="K13" s="518"/>
      <c r="L13" s="518"/>
      <c r="M13" s="518"/>
      <c r="N13" s="518"/>
      <c r="O13" s="518"/>
      <c r="P13" s="518"/>
      <c r="Q13" s="518"/>
      <c r="R13" s="518"/>
      <c r="S13" s="518"/>
      <c r="T13" s="518"/>
      <c r="U13" s="518"/>
      <c r="V13" s="518"/>
      <c r="W13" s="518"/>
      <c r="X13" s="518"/>
      <c r="Y13" s="518"/>
      <c r="Z13" s="518"/>
      <c r="AA13" s="518"/>
      <c r="AB13" s="518"/>
      <c r="AC13" s="518"/>
      <c r="AD13" s="518"/>
      <c r="AE13" s="518"/>
      <c r="AF13" s="518"/>
      <c r="AG13" s="518"/>
      <c r="AH13" s="518"/>
      <c r="AI13" s="518"/>
      <c r="AJ13" s="518"/>
      <c r="AK13" s="104"/>
      <c r="AL13" s="518"/>
      <c r="AM13" s="518"/>
      <c r="AN13" s="518"/>
      <c r="AO13" s="518"/>
      <c r="AP13" s="518"/>
      <c r="AQ13" s="518"/>
      <c r="AR13" s="518"/>
      <c r="AS13" s="518"/>
      <c r="AT13" s="518"/>
      <c r="AU13" s="518"/>
      <c r="AV13" s="518"/>
      <c r="AW13" s="518"/>
      <c r="AX13" s="518"/>
      <c r="AY13" s="518"/>
      <c r="AZ13" s="518"/>
      <c r="BA13" s="518"/>
      <c r="BB13" s="518"/>
      <c r="BC13" s="518"/>
      <c r="BD13" s="518"/>
      <c r="BE13" s="518"/>
      <c r="BF13" s="518"/>
      <c r="BG13" s="518"/>
      <c r="BH13" s="518"/>
      <c r="BI13" s="518"/>
      <c r="BJ13" s="518"/>
      <c r="BK13" s="518"/>
      <c r="BL13" s="518"/>
      <c r="BM13" s="518"/>
      <c r="BN13" s="518"/>
      <c r="BO13" s="518"/>
      <c r="BP13" s="104"/>
      <c r="BQ13" s="104"/>
      <c r="BR13" s="104"/>
      <c r="BS13" s="104"/>
      <c r="BT13" s="104"/>
      <c r="BU13" s="104"/>
      <c r="BV13" s="104"/>
      <c r="BW13" s="104"/>
      <c r="BX13" s="104"/>
      <c r="BY13" s="104"/>
      <c r="BZ13" s="104"/>
      <c r="CA13" s="104"/>
      <c r="CB13" s="104"/>
      <c r="CC13" s="104"/>
      <c r="CD13" s="104"/>
      <c r="CE13" s="104"/>
      <c r="CF13" s="104"/>
      <c r="CG13" s="104"/>
      <c r="CH13" s="104"/>
    </row>
    <row r="14" spans="1:86" ht="36" x14ac:dyDescent="0.25">
      <c r="A14" s="104"/>
      <c r="B14" s="104"/>
      <c r="C14" s="104"/>
      <c r="D14" s="104"/>
      <c r="E14" s="104"/>
      <c r="F14" s="104"/>
      <c r="G14" s="518"/>
      <c r="H14" s="518"/>
      <c r="I14" s="518"/>
      <c r="J14" s="518"/>
      <c r="K14" s="518"/>
      <c r="L14" s="518"/>
      <c r="M14" s="518"/>
      <c r="N14" s="518"/>
      <c r="O14" s="518"/>
      <c r="P14" s="518"/>
      <c r="Q14" s="518"/>
      <c r="R14" s="518"/>
      <c r="S14" s="518"/>
      <c r="T14" s="518"/>
      <c r="U14" s="518"/>
      <c r="V14" s="518"/>
      <c r="W14" s="518"/>
      <c r="X14" s="518"/>
      <c r="Y14" s="518"/>
      <c r="Z14" s="518"/>
      <c r="AA14" s="518"/>
      <c r="AB14" s="518"/>
      <c r="AC14" s="518"/>
      <c r="AD14" s="518"/>
      <c r="AE14" s="518"/>
      <c r="AF14" s="518"/>
      <c r="AG14" s="518"/>
      <c r="AH14" s="518"/>
      <c r="AI14" s="518"/>
      <c r="AJ14" s="518"/>
      <c r="AK14" s="104"/>
      <c r="AL14" s="518"/>
      <c r="AM14" s="518"/>
      <c r="AN14" s="518"/>
      <c r="AO14" s="518"/>
      <c r="AP14" s="518"/>
      <c r="AQ14" s="518"/>
      <c r="AR14" s="518"/>
      <c r="AS14" s="518"/>
      <c r="AT14" s="518"/>
      <c r="AU14" s="518"/>
      <c r="AV14" s="518"/>
      <c r="AW14" s="518"/>
      <c r="AX14" s="518"/>
      <c r="AY14" s="518"/>
      <c r="AZ14" s="518"/>
      <c r="BA14" s="518"/>
      <c r="BB14" s="518"/>
      <c r="BC14" s="518"/>
      <c r="BD14" s="518"/>
      <c r="BE14" s="518"/>
      <c r="BF14" s="518"/>
      <c r="BG14" s="518"/>
      <c r="BH14" s="518"/>
      <c r="BI14" s="518"/>
      <c r="BJ14" s="518"/>
      <c r="BK14" s="518"/>
      <c r="BL14" s="518"/>
      <c r="BM14" s="518"/>
      <c r="BN14" s="518"/>
      <c r="BO14" s="518"/>
      <c r="BP14" s="104"/>
      <c r="BQ14" s="104"/>
      <c r="BR14" s="104"/>
      <c r="BS14" s="104"/>
      <c r="BT14" s="104"/>
      <c r="BU14" s="104"/>
      <c r="BV14" s="104"/>
      <c r="BW14" s="104"/>
      <c r="BX14" s="104"/>
      <c r="BY14" s="104"/>
      <c r="BZ14" s="104"/>
      <c r="CA14" s="104"/>
      <c r="CB14" s="104"/>
      <c r="CC14" s="104"/>
      <c r="CD14" s="104"/>
      <c r="CE14" s="104"/>
      <c r="CF14" s="104"/>
      <c r="CG14" s="104"/>
      <c r="CH14" s="104"/>
    </row>
    <row r="15" spans="1:86" ht="36" x14ac:dyDescent="0.25">
      <c r="A15" s="104"/>
      <c r="B15" s="104"/>
      <c r="C15" s="104"/>
      <c r="D15" s="104"/>
      <c r="E15" s="104"/>
      <c r="F15" s="104"/>
      <c r="G15" s="518"/>
      <c r="H15" s="518"/>
      <c r="I15" s="518"/>
      <c r="J15" s="518"/>
      <c r="K15" s="518"/>
      <c r="L15" s="518"/>
      <c r="M15" s="518"/>
      <c r="N15" s="518"/>
      <c r="O15" s="518"/>
      <c r="P15" s="518"/>
      <c r="Q15" s="518"/>
      <c r="R15" s="518"/>
      <c r="S15" s="518"/>
      <c r="T15" s="518"/>
      <c r="U15" s="518"/>
      <c r="V15" s="518"/>
      <c r="W15" s="518"/>
      <c r="X15" s="518"/>
      <c r="Y15" s="518"/>
      <c r="Z15" s="518"/>
      <c r="AA15" s="518"/>
      <c r="AB15" s="518"/>
      <c r="AC15" s="518"/>
      <c r="AD15" s="518"/>
      <c r="AE15" s="518"/>
      <c r="AF15" s="518"/>
      <c r="AG15" s="518"/>
      <c r="AH15" s="518"/>
      <c r="AI15" s="518"/>
      <c r="AJ15" s="518"/>
      <c r="AK15" s="104"/>
      <c r="AL15" s="518"/>
      <c r="AM15" s="518"/>
      <c r="AN15" s="518"/>
      <c r="AO15" s="518"/>
      <c r="AP15" s="518"/>
      <c r="AQ15" s="518"/>
      <c r="AR15" s="518"/>
      <c r="AS15" s="518"/>
      <c r="AT15" s="518"/>
      <c r="AU15" s="518"/>
      <c r="AV15" s="518"/>
      <c r="AW15" s="518"/>
      <c r="AX15" s="518"/>
      <c r="AY15" s="518"/>
      <c r="AZ15" s="518"/>
      <c r="BA15" s="518"/>
      <c r="BB15" s="518"/>
      <c r="BC15" s="518"/>
      <c r="BD15" s="518"/>
      <c r="BE15" s="518"/>
      <c r="BF15" s="518"/>
      <c r="BG15" s="518"/>
      <c r="BH15" s="518"/>
      <c r="BI15" s="518"/>
      <c r="BJ15" s="518"/>
      <c r="BK15" s="518"/>
      <c r="BL15" s="518"/>
      <c r="BM15" s="518"/>
      <c r="BN15" s="518"/>
      <c r="BO15" s="518"/>
      <c r="BP15" s="104"/>
      <c r="BQ15" s="104"/>
      <c r="BR15" s="104"/>
      <c r="BS15" s="104"/>
      <c r="BT15" s="104"/>
      <c r="BU15" s="104"/>
      <c r="BV15" s="104"/>
      <c r="BW15" s="104"/>
      <c r="BX15" s="104"/>
      <c r="BY15" s="104"/>
      <c r="BZ15" s="104"/>
      <c r="CA15" s="104"/>
      <c r="CB15" s="104"/>
      <c r="CC15" s="104"/>
      <c r="CD15" s="104"/>
      <c r="CE15" s="104"/>
      <c r="CF15" s="104"/>
      <c r="CG15" s="104"/>
      <c r="CH15" s="104"/>
    </row>
    <row r="16" spans="1:86" ht="36" x14ac:dyDescent="0.25">
      <c r="A16" s="104"/>
      <c r="B16" s="104"/>
      <c r="C16" s="104"/>
      <c r="D16" s="104"/>
      <c r="E16" s="104"/>
      <c r="F16" s="104"/>
      <c r="G16" s="104"/>
      <c r="H16" s="104"/>
      <c r="I16" s="104"/>
      <c r="J16" s="104"/>
      <c r="K16" s="104"/>
      <c r="L16" s="104"/>
      <c r="M16" s="104"/>
      <c r="N16" s="104"/>
      <c r="O16" s="104"/>
      <c r="P16" s="104"/>
      <c r="Q16" s="104"/>
      <c r="R16" s="104"/>
      <c r="S16" s="104"/>
      <c r="T16" s="104"/>
      <c r="U16" s="104"/>
      <c r="V16" s="104"/>
      <c r="W16" s="104"/>
      <c r="X16" s="104"/>
      <c r="Y16" s="104"/>
      <c r="Z16" s="104"/>
      <c r="AA16" s="104"/>
      <c r="AB16" s="104"/>
      <c r="AC16" s="104"/>
      <c r="AD16" s="104"/>
      <c r="AE16" s="104"/>
      <c r="AF16" s="104"/>
      <c r="AG16" s="104"/>
      <c r="AH16" s="104"/>
      <c r="AI16" s="104"/>
      <c r="AJ16" s="104"/>
      <c r="AK16" s="104"/>
      <c r="AL16" s="104"/>
      <c r="AM16" s="104"/>
      <c r="AN16" s="104"/>
      <c r="AO16" s="104"/>
      <c r="AP16" s="104"/>
      <c r="AQ16" s="104"/>
      <c r="AR16" s="104"/>
      <c r="AS16" s="104"/>
      <c r="AT16" s="104"/>
      <c r="AU16" s="104"/>
      <c r="AV16" s="104"/>
      <c r="AW16" s="104"/>
      <c r="AX16" s="104"/>
      <c r="AY16" s="104"/>
      <c r="AZ16" s="104"/>
      <c r="BA16" s="104"/>
      <c r="BB16" s="104"/>
      <c r="BC16" s="104"/>
      <c r="BD16" s="104"/>
      <c r="BE16" s="104"/>
      <c r="BF16" s="104"/>
      <c r="BG16" s="104"/>
      <c r="BH16" s="104"/>
      <c r="BI16" s="104"/>
      <c r="BJ16" s="104"/>
      <c r="BK16" s="104"/>
      <c r="BL16" s="104"/>
      <c r="BM16" s="104"/>
      <c r="BN16" s="104"/>
      <c r="BO16" s="104"/>
      <c r="BP16" s="104"/>
      <c r="BQ16" s="104"/>
      <c r="BR16" s="104"/>
      <c r="BS16" s="104"/>
      <c r="BT16" s="104"/>
      <c r="BU16" s="104"/>
      <c r="BV16" s="104"/>
      <c r="BW16" s="104"/>
      <c r="BX16" s="104"/>
      <c r="BY16" s="104"/>
      <c r="BZ16" s="104"/>
      <c r="CA16" s="104"/>
      <c r="CB16" s="104"/>
      <c r="CC16" s="104"/>
      <c r="CD16" s="104"/>
      <c r="CE16" s="104"/>
      <c r="CF16" s="104"/>
      <c r="CG16" s="104"/>
      <c r="CH16" s="104"/>
    </row>
    <row r="17" spans="1:86" ht="54.95" customHeight="1" x14ac:dyDescent="0.25">
      <c r="A17" s="104"/>
      <c r="B17" s="515" t="str">
        <f>'_Data Status Month'!A14</f>
        <v>Putting</v>
      </c>
      <c r="C17" s="516"/>
      <c r="D17" s="516"/>
      <c r="E17" s="516"/>
      <c r="F17" s="104"/>
      <c r="G17" s="517"/>
      <c r="H17" s="517"/>
      <c r="I17" s="517"/>
      <c r="J17" s="517"/>
      <c r="K17" s="517"/>
      <c r="L17" s="517"/>
      <c r="M17" s="517"/>
      <c r="N17" s="517"/>
      <c r="O17" s="517"/>
      <c r="P17" s="517"/>
      <c r="Q17" s="517"/>
      <c r="R17" s="517"/>
      <c r="S17" s="517"/>
      <c r="T17" s="517"/>
      <c r="U17" s="517"/>
      <c r="V17" s="517"/>
      <c r="W17" s="517"/>
      <c r="X17" s="517"/>
      <c r="Y17" s="517"/>
      <c r="Z17" s="517"/>
      <c r="AA17" s="517"/>
      <c r="AB17" s="517"/>
      <c r="AC17" s="517"/>
      <c r="AD17" s="517"/>
      <c r="AE17" s="517"/>
      <c r="AF17" s="517"/>
      <c r="AG17" s="517"/>
      <c r="AH17" s="517"/>
      <c r="AI17" s="517"/>
      <c r="AJ17" s="517"/>
      <c r="AK17" s="104"/>
      <c r="AL17" s="517"/>
      <c r="AM17" s="517"/>
      <c r="AN17" s="517"/>
      <c r="AO17" s="517"/>
      <c r="AP17" s="517"/>
      <c r="AQ17" s="517"/>
      <c r="AR17" s="517"/>
      <c r="AS17" s="517"/>
      <c r="AT17" s="517"/>
      <c r="AU17" s="517"/>
      <c r="AV17" s="517"/>
      <c r="AW17" s="517"/>
      <c r="AX17" s="517"/>
      <c r="AY17" s="517"/>
      <c r="AZ17" s="517"/>
      <c r="BA17" s="517"/>
      <c r="BB17" s="517"/>
      <c r="BC17" s="517"/>
      <c r="BD17" s="517"/>
      <c r="BE17" s="517"/>
      <c r="BF17" s="517"/>
      <c r="BG17" s="517"/>
      <c r="BH17" s="517"/>
      <c r="BI17" s="517"/>
      <c r="BJ17" s="517"/>
      <c r="BK17" s="517"/>
      <c r="BL17" s="517"/>
      <c r="BM17" s="517"/>
      <c r="BN17" s="517"/>
      <c r="BO17" s="517"/>
      <c r="BP17" s="104"/>
      <c r="BQ17" s="104"/>
      <c r="BR17" s="104"/>
      <c r="BS17" s="104"/>
      <c r="BT17" s="104"/>
      <c r="BU17" s="104"/>
      <c r="BV17" s="104"/>
      <c r="BW17" s="104"/>
      <c r="BX17" s="104"/>
      <c r="BY17" s="104"/>
      <c r="BZ17" s="104"/>
      <c r="CA17" s="104"/>
      <c r="CB17" s="104"/>
      <c r="CC17" s="104"/>
      <c r="CD17" s="104"/>
      <c r="CE17" s="104"/>
      <c r="CF17" s="104"/>
      <c r="CG17" s="104"/>
      <c r="CH17" s="104"/>
    </row>
    <row r="18" spans="1:86" ht="54.95" customHeight="1" x14ac:dyDescent="0.25">
      <c r="A18" s="104"/>
      <c r="B18" s="515"/>
      <c r="C18" s="516"/>
      <c r="D18" s="516"/>
      <c r="E18" s="516"/>
      <c r="F18" s="104"/>
      <c r="G18" s="517"/>
      <c r="H18" s="517"/>
      <c r="I18" s="517"/>
      <c r="J18" s="517"/>
      <c r="K18" s="517"/>
      <c r="L18" s="517"/>
      <c r="M18" s="517"/>
      <c r="N18" s="517"/>
      <c r="O18" s="517"/>
      <c r="P18" s="517"/>
      <c r="Q18" s="517"/>
      <c r="R18" s="517"/>
      <c r="S18" s="517"/>
      <c r="T18" s="517"/>
      <c r="U18" s="517"/>
      <c r="V18" s="517"/>
      <c r="W18" s="517"/>
      <c r="X18" s="517"/>
      <c r="Y18" s="517"/>
      <c r="Z18" s="517"/>
      <c r="AA18" s="517"/>
      <c r="AB18" s="517"/>
      <c r="AC18" s="517"/>
      <c r="AD18" s="517"/>
      <c r="AE18" s="517"/>
      <c r="AF18" s="517"/>
      <c r="AG18" s="517"/>
      <c r="AH18" s="517"/>
      <c r="AI18" s="517"/>
      <c r="AJ18" s="517"/>
      <c r="AK18" s="104"/>
      <c r="AL18" s="517"/>
      <c r="AM18" s="517"/>
      <c r="AN18" s="517"/>
      <c r="AO18" s="517"/>
      <c r="AP18" s="517"/>
      <c r="AQ18" s="517"/>
      <c r="AR18" s="517"/>
      <c r="AS18" s="517"/>
      <c r="AT18" s="517"/>
      <c r="AU18" s="517"/>
      <c r="AV18" s="517"/>
      <c r="AW18" s="517"/>
      <c r="AX18" s="517"/>
      <c r="AY18" s="517"/>
      <c r="AZ18" s="517"/>
      <c r="BA18" s="517"/>
      <c r="BB18" s="517"/>
      <c r="BC18" s="517"/>
      <c r="BD18" s="517"/>
      <c r="BE18" s="517"/>
      <c r="BF18" s="517"/>
      <c r="BG18" s="517"/>
      <c r="BH18" s="517"/>
      <c r="BI18" s="517"/>
      <c r="BJ18" s="517"/>
      <c r="BK18" s="517"/>
      <c r="BL18" s="517"/>
      <c r="BM18" s="517"/>
      <c r="BN18" s="517"/>
      <c r="BO18" s="517"/>
      <c r="BP18" s="104"/>
      <c r="BQ18" s="104"/>
      <c r="BR18" s="104"/>
      <c r="BS18" s="104"/>
      <c r="BT18" s="104"/>
      <c r="BU18" s="104"/>
      <c r="BV18" s="104"/>
      <c r="BW18" s="104"/>
      <c r="BX18" s="104"/>
      <c r="BY18" s="104"/>
      <c r="BZ18" s="104"/>
      <c r="CA18" s="104"/>
      <c r="CB18" s="104"/>
      <c r="CC18" s="104"/>
      <c r="CD18" s="104"/>
      <c r="CE18" s="104"/>
      <c r="CF18" s="104"/>
      <c r="CG18" s="104"/>
      <c r="CH18" s="104"/>
    </row>
    <row r="19" spans="1:86" ht="54.95" customHeight="1" x14ac:dyDescent="0.25">
      <c r="A19" s="104"/>
      <c r="B19" s="515"/>
      <c r="C19" s="516"/>
      <c r="D19" s="516"/>
      <c r="E19" s="516"/>
      <c r="F19" s="104"/>
      <c r="G19" s="517"/>
      <c r="H19" s="517"/>
      <c r="I19" s="517"/>
      <c r="J19" s="517"/>
      <c r="K19" s="517"/>
      <c r="L19" s="517"/>
      <c r="M19" s="517"/>
      <c r="N19" s="517"/>
      <c r="O19" s="517"/>
      <c r="P19" s="517"/>
      <c r="Q19" s="517"/>
      <c r="R19" s="517"/>
      <c r="S19" s="517"/>
      <c r="T19" s="517"/>
      <c r="U19" s="517"/>
      <c r="V19" s="517"/>
      <c r="W19" s="517"/>
      <c r="X19" s="517"/>
      <c r="Y19" s="517"/>
      <c r="Z19" s="517"/>
      <c r="AA19" s="517"/>
      <c r="AB19" s="517"/>
      <c r="AC19" s="517"/>
      <c r="AD19" s="517"/>
      <c r="AE19" s="517"/>
      <c r="AF19" s="517"/>
      <c r="AG19" s="517"/>
      <c r="AH19" s="517"/>
      <c r="AI19" s="517"/>
      <c r="AJ19" s="517"/>
      <c r="AK19" s="104"/>
      <c r="AL19" s="517"/>
      <c r="AM19" s="517"/>
      <c r="AN19" s="517"/>
      <c r="AO19" s="517"/>
      <c r="AP19" s="517"/>
      <c r="AQ19" s="517"/>
      <c r="AR19" s="517"/>
      <c r="AS19" s="517"/>
      <c r="AT19" s="517"/>
      <c r="AU19" s="517"/>
      <c r="AV19" s="517"/>
      <c r="AW19" s="517"/>
      <c r="AX19" s="517"/>
      <c r="AY19" s="517"/>
      <c r="AZ19" s="517"/>
      <c r="BA19" s="517"/>
      <c r="BB19" s="517"/>
      <c r="BC19" s="517"/>
      <c r="BD19" s="517"/>
      <c r="BE19" s="517"/>
      <c r="BF19" s="517"/>
      <c r="BG19" s="517"/>
      <c r="BH19" s="517"/>
      <c r="BI19" s="517"/>
      <c r="BJ19" s="517"/>
      <c r="BK19" s="517"/>
      <c r="BL19" s="517"/>
      <c r="BM19" s="517"/>
      <c r="BN19" s="517"/>
      <c r="BO19" s="517"/>
      <c r="BP19" s="104"/>
      <c r="BQ19" s="104"/>
      <c r="BR19" s="104"/>
      <c r="BS19" s="104"/>
      <c r="BT19" s="104"/>
      <c r="BU19" s="104"/>
      <c r="BV19" s="104"/>
      <c r="BW19" s="104"/>
      <c r="BX19" s="104"/>
      <c r="BY19" s="104"/>
      <c r="BZ19" s="104"/>
      <c r="CA19" s="104"/>
      <c r="CB19" s="104"/>
      <c r="CC19" s="104"/>
      <c r="CD19" s="104"/>
      <c r="CE19" s="104"/>
      <c r="CF19" s="104"/>
      <c r="CG19" s="104"/>
      <c r="CH19" s="104"/>
    </row>
    <row r="20" spans="1:86" ht="54.95" customHeight="1" x14ac:dyDescent="0.25">
      <c r="A20" s="104"/>
      <c r="B20" s="515"/>
      <c r="C20" s="516"/>
      <c r="D20" s="516"/>
      <c r="E20" s="516"/>
      <c r="F20" s="104"/>
      <c r="G20" s="517"/>
      <c r="H20" s="517"/>
      <c r="I20" s="517"/>
      <c r="J20" s="517"/>
      <c r="K20" s="517"/>
      <c r="L20" s="517"/>
      <c r="M20" s="517"/>
      <c r="N20" s="517"/>
      <c r="O20" s="517"/>
      <c r="P20" s="517"/>
      <c r="Q20" s="517"/>
      <c r="R20" s="517"/>
      <c r="S20" s="517"/>
      <c r="T20" s="517"/>
      <c r="U20" s="517"/>
      <c r="V20" s="517"/>
      <c r="W20" s="517"/>
      <c r="X20" s="517"/>
      <c r="Y20" s="517"/>
      <c r="Z20" s="517"/>
      <c r="AA20" s="517"/>
      <c r="AB20" s="517"/>
      <c r="AC20" s="517"/>
      <c r="AD20" s="517"/>
      <c r="AE20" s="517"/>
      <c r="AF20" s="517"/>
      <c r="AG20" s="517"/>
      <c r="AH20" s="517"/>
      <c r="AI20" s="517"/>
      <c r="AJ20" s="517"/>
      <c r="AK20" s="104"/>
      <c r="AL20" s="517"/>
      <c r="AM20" s="517"/>
      <c r="AN20" s="517"/>
      <c r="AO20" s="517"/>
      <c r="AP20" s="517"/>
      <c r="AQ20" s="517"/>
      <c r="AR20" s="517"/>
      <c r="AS20" s="517"/>
      <c r="AT20" s="517"/>
      <c r="AU20" s="517"/>
      <c r="AV20" s="517"/>
      <c r="AW20" s="517"/>
      <c r="AX20" s="517"/>
      <c r="AY20" s="517"/>
      <c r="AZ20" s="517"/>
      <c r="BA20" s="517"/>
      <c r="BB20" s="517"/>
      <c r="BC20" s="517"/>
      <c r="BD20" s="517"/>
      <c r="BE20" s="517"/>
      <c r="BF20" s="517"/>
      <c r="BG20" s="517"/>
      <c r="BH20" s="517"/>
      <c r="BI20" s="517"/>
      <c r="BJ20" s="517"/>
      <c r="BK20" s="517"/>
      <c r="BL20" s="517"/>
      <c r="BM20" s="517"/>
      <c r="BN20" s="517"/>
      <c r="BO20" s="517"/>
      <c r="BP20" s="104"/>
      <c r="BQ20" s="104"/>
      <c r="BR20" s="104"/>
      <c r="BS20" s="104"/>
      <c r="BT20" s="104"/>
      <c r="BU20" s="104"/>
      <c r="BV20" s="104"/>
      <c r="BW20" s="104"/>
      <c r="BX20" s="104"/>
      <c r="BY20" s="104"/>
      <c r="BZ20" s="104"/>
      <c r="CA20" s="104"/>
      <c r="CB20" s="104"/>
      <c r="CC20" s="104"/>
      <c r="CD20" s="104"/>
      <c r="CE20" s="104"/>
      <c r="CF20" s="104"/>
      <c r="CG20" s="104"/>
      <c r="CH20" s="104"/>
    </row>
    <row r="21" spans="1:86" ht="9.75" customHeight="1" x14ac:dyDescent="0.25">
      <c r="A21" s="104"/>
      <c r="B21" s="104"/>
      <c r="C21" s="104"/>
      <c r="D21" s="104"/>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4"/>
      <c r="AH21" s="104"/>
      <c r="AI21" s="104"/>
      <c r="AJ21" s="104"/>
      <c r="AK21" s="104"/>
      <c r="AL21" s="104"/>
      <c r="AM21" s="104"/>
      <c r="AN21" s="104"/>
      <c r="AO21" s="104"/>
      <c r="AP21" s="104"/>
      <c r="AQ21" s="104"/>
      <c r="AR21" s="104"/>
      <c r="AS21" s="104"/>
      <c r="AT21" s="104"/>
      <c r="AU21" s="104"/>
      <c r="AV21" s="104"/>
      <c r="AW21" s="104"/>
      <c r="AX21" s="104"/>
      <c r="AY21" s="104"/>
      <c r="AZ21" s="104"/>
      <c r="BA21" s="104"/>
      <c r="BB21" s="104"/>
      <c r="BC21" s="104"/>
      <c r="BD21" s="104"/>
      <c r="BE21" s="104"/>
      <c r="BF21" s="104"/>
      <c r="BG21" s="104"/>
      <c r="BH21" s="104"/>
      <c r="BI21" s="104"/>
      <c r="BJ21" s="104"/>
      <c r="BK21" s="104"/>
      <c r="BL21" s="104"/>
      <c r="BM21" s="104"/>
      <c r="BN21" s="104"/>
      <c r="BO21" s="104"/>
      <c r="BP21" s="104"/>
      <c r="BQ21" s="104"/>
      <c r="BR21" s="104"/>
      <c r="BS21" s="104"/>
      <c r="BT21" s="104"/>
      <c r="BU21" s="104"/>
      <c r="BV21" s="104"/>
      <c r="BW21" s="104"/>
      <c r="BX21" s="104"/>
      <c r="BY21" s="104"/>
      <c r="BZ21" s="104"/>
      <c r="CA21" s="104"/>
      <c r="CB21" s="104"/>
      <c r="CC21" s="104"/>
      <c r="CD21" s="104"/>
      <c r="CE21" s="104"/>
      <c r="CF21" s="104"/>
      <c r="CG21" s="104"/>
      <c r="CH21" s="104"/>
    </row>
    <row r="22" spans="1:86" ht="54.95" customHeight="1" x14ac:dyDescent="0.25">
      <c r="A22" s="104"/>
      <c r="B22" s="515" t="str">
        <f>'_Data Status Month'!A24</f>
        <v>Chipping</v>
      </c>
      <c r="C22" s="516"/>
      <c r="D22" s="516"/>
      <c r="E22" s="516"/>
      <c r="F22" s="104"/>
      <c r="G22" s="517"/>
      <c r="H22" s="517"/>
      <c r="I22" s="517"/>
      <c r="J22" s="517"/>
      <c r="K22" s="517"/>
      <c r="L22" s="517"/>
      <c r="M22" s="517"/>
      <c r="N22" s="517"/>
      <c r="O22" s="517"/>
      <c r="P22" s="517"/>
      <c r="Q22" s="517"/>
      <c r="R22" s="517"/>
      <c r="S22" s="517"/>
      <c r="T22" s="517"/>
      <c r="U22" s="517"/>
      <c r="V22" s="517"/>
      <c r="W22" s="517"/>
      <c r="X22" s="517"/>
      <c r="Y22" s="517"/>
      <c r="Z22" s="517"/>
      <c r="AA22" s="517"/>
      <c r="AB22" s="517"/>
      <c r="AC22" s="517"/>
      <c r="AD22" s="517"/>
      <c r="AE22" s="517"/>
      <c r="AF22" s="517"/>
      <c r="AG22" s="517"/>
      <c r="AH22" s="517"/>
      <c r="AI22" s="517"/>
      <c r="AJ22" s="517"/>
      <c r="AK22" s="104"/>
      <c r="AL22" s="517"/>
      <c r="AM22" s="517"/>
      <c r="AN22" s="517"/>
      <c r="AO22" s="517"/>
      <c r="AP22" s="517"/>
      <c r="AQ22" s="517"/>
      <c r="AR22" s="517"/>
      <c r="AS22" s="517"/>
      <c r="AT22" s="517"/>
      <c r="AU22" s="517"/>
      <c r="AV22" s="517"/>
      <c r="AW22" s="517"/>
      <c r="AX22" s="517"/>
      <c r="AY22" s="517"/>
      <c r="AZ22" s="517"/>
      <c r="BA22" s="517"/>
      <c r="BB22" s="517"/>
      <c r="BC22" s="517"/>
      <c r="BD22" s="517"/>
      <c r="BE22" s="517"/>
      <c r="BF22" s="517"/>
      <c r="BG22" s="517"/>
      <c r="BH22" s="517"/>
      <c r="BI22" s="517"/>
      <c r="BJ22" s="517"/>
      <c r="BK22" s="517"/>
      <c r="BL22" s="517"/>
      <c r="BM22" s="517"/>
      <c r="BN22" s="517"/>
      <c r="BO22" s="517"/>
      <c r="BP22" s="104"/>
      <c r="BQ22" s="104"/>
      <c r="BR22" s="104"/>
      <c r="BS22" s="104"/>
      <c r="BT22" s="104"/>
      <c r="BU22" s="104"/>
      <c r="BV22" s="104"/>
      <c r="BW22" s="104"/>
      <c r="BX22" s="104"/>
      <c r="BY22" s="104"/>
      <c r="BZ22" s="104"/>
      <c r="CA22" s="104"/>
      <c r="CB22" s="104"/>
      <c r="CC22" s="104"/>
      <c r="CD22" s="104"/>
      <c r="CE22" s="104"/>
      <c r="CF22" s="104"/>
      <c r="CG22" s="104"/>
      <c r="CH22" s="104"/>
    </row>
    <row r="23" spans="1:86" ht="54.95" customHeight="1" x14ac:dyDescent="0.25">
      <c r="A23" s="104"/>
      <c r="B23" s="515"/>
      <c r="C23" s="516"/>
      <c r="D23" s="516"/>
      <c r="E23" s="516"/>
      <c r="F23" s="104"/>
      <c r="G23" s="517"/>
      <c r="H23" s="517"/>
      <c r="I23" s="517"/>
      <c r="J23" s="517"/>
      <c r="K23" s="517"/>
      <c r="L23" s="517"/>
      <c r="M23" s="517"/>
      <c r="N23" s="517"/>
      <c r="O23" s="517"/>
      <c r="P23" s="517"/>
      <c r="Q23" s="517"/>
      <c r="R23" s="517"/>
      <c r="S23" s="517"/>
      <c r="T23" s="517"/>
      <c r="U23" s="517"/>
      <c r="V23" s="517"/>
      <c r="W23" s="517"/>
      <c r="X23" s="517"/>
      <c r="Y23" s="517"/>
      <c r="Z23" s="517"/>
      <c r="AA23" s="517"/>
      <c r="AB23" s="517"/>
      <c r="AC23" s="517"/>
      <c r="AD23" s="517"/>
      <c r="AE23" s="517"/>
      <c r="AF23" s="517"/>
      <c r="AG23" s="517"/>
      <c r="AH23" s="517"/>
      <c r="AI23" s="517"/>
      <c r="AJ23" s="517"/>
      <c r="AK23" s="104"/>
      <c r="AL23" s="517"/>
      <c r="AM23" s="517"/>
      <c r="AN23" s="517"/>
      <c r="AO23" s="517"/>
      <c r="AP23" s="517"/>
      <c r="AQ23" s="517"/>
      <c r="AR23" s="517"/>
      <c r="AS23" s="517"/>
      <c r="AT23" s="517"/>
      <c r="AU23" s="517"/>
      <c r="AV23" s="517"/>
      <c r="AW23" s="517"/>
      <c r="AX23" s="517"/>
      <c r="AY23" s="517"/>
      <c r="AZ23" s="517"/>
      <c r="BA23" s="517"/>
      <c r="BB23" s="517"/>
      <c r="BC23" s="517"/>
      <c r="BD23" s="517"/>
      <c r="BE23" s="517"/>
      <c r="BF23" s="517"/>
      <c r="BG23" s="517"/>
      <c r="BH23" s="517"/>
      <c r="BI23" s="517"/>
      <c r="BJ23" s="517"/>
      <c r="BK23" s="517"/>
      <c r="BL23" s="517"/>
      <c r="BM23" s="517"/>
      <c r="BN23" s="517"/>
      <c r="BO23" s="517"/>
      <c r="BP23" s="104"/>
      <c r="BQ23" s="104"/>
      <c r="BR23" s="104"/>
      <c r="BS23" s="104"/>
      <c r="BT23" s="104"/>
      <c r="BU23" s="104"/>
      <c r="BV23" s="104"/>
      <c r="BW23" s="104"/>
      <c r="BX23" s="104"/>
      <c r="BY23" s="104"/>
      <c r="BZ23" s="104"/>
      <c r="CA23" s="104"/>
      <c r="CB23" s="104"/>
      <c r="CC23" s="104"/>
      <c r="CD23" s="104"/>
      <c r="CE23" s="104"/>
      <c r="CF23" s="104"/>
      <c r="CG23" s="104"/>
      <c r="CH23" s="104"/>
    </row>
    <row r="24" spans="1:86" ht="54.95" customHeight="1" x14ac:dyDescent="0.25">
      <c r="A24" s="104"/>
      <c r="B24" s="515"/>
      <c r="C24" s="516"/>
      <c r="D24" s="516"/>
      <c r="E24" s="516"/>
      <c r="F24" s="104"/>
      <c r="G24" s="517"/>
      <c r="H24" s="517"/>
      <c r="I24" s="517"/>
      <c r="J24" s="517"/>
      <c r="K24" s="517"/>
      <c r="L24" s="517"/>
      <c r="M24" s="517"/>
      <c r="N24" s="517"/>
      <c r="O24" s="517"/>
      <c r="P24" s="517"/>
      <c r="Q24" s="517"/>
      <c r="R24" s="517"/>
      <c r="S24" s="517"/>
      <c r="T24" s="517"/>
      <c r="U24" s="517"/>
      <c r="V24" s="517"/>
      <c r="W24" s="517"/>
      <c r="X24" s="517"/>
      <c r="Y24" s="517"/>
      <c r="Z24" s="517"/>
      <c r="AA24" s="517"/>
      <c r="AB24" s="517"/>
      <c r="AC24" s="517"/>
      <c r="AD24" s="517"/>
      <c r="AE24" s="517"/>
      <c r="AF24" s="517"/>
      <c r="AG24" s="517"/>
      <c r="AH24" s="517"/>
      <c r="AI24" s="517"/>
      <c r="AJ24" s="517"/>
      <c r="AK24" s="104"/>
      <c r="AL24" s="517"/>
      <c r="AM24" s="517"/>
      <c r="AN24" s="517"/>
      <c r="AO24" s="517"/>
      <c r="AP24" s="517"/>
      <c r="AQ24" s="517"/>
      <c r="AR24" s="517"/>
      <c r="AS24" s="517"/>
      <c r="AT24" s="517"/>
      <c r="AU24" s="517"/>
      <c r="AV24" s="517"/>
      <c r="AW24" s="517"/>
      <c r="AX24" s="517"/>
      <c r="AY24" s="517"/>
      <c r="AZ24" s="517"/>
      <c r="BA24" s="517"/>
      <c r="BB24" s="517"/>
      <c r="BC24" s="517"/>
      <c r="BD24" s="517"/>
      <c r="BE24" s="517"/>
      <c r="BF24" s="517"/>
      <c r="BG24" s="517"/>
      <c r="BH24" s="517"/>
      <c r="BI24" s="517"/>
      <c r="BJ24" s="517"/>
      <c r="BK24" s="517"/>
      <c r="BL24" s="517"/>
      <c r="BM24" s="517"/>
      <c r="BN24" s="517"/>
      <c r="BO24" s="517"/>
      <c r="BP24" s="104"/>
      <c r="BQ24" s="104"/>
      <c r="BR24" s="104"/>
      <c r="BS24" s="104"/>
      <c r="BT24" s="104"/>
      <c r="BU24" s="104"/>
      <c r="BV24" s="104"/>
      <c r="BW24" s="104"/>
      <c r="BX24" s="104"/>
      <c r="BY24" s="104"/>
      <c r="BZ24" s="104"/>
      <c r="CA24" s="104"/>
      <c r="CB24" s="104"/>
      <c r="CC24" s="104"/>
      <c r="CD24" s="104"/>
      <c r="CE24" s="104"/>
      <c r="CF24" s="104"/>
      <c r="CG24" s="104"/>
      <c r="CH24" s="104"/>
    </row>
    <row r="25" spans="1:86" ht="54.95" customHeight="1" x14ac:dyDescent="0.25">
      <c r="A25" s="104"/>
      <c r="B25" s="515"/>
      <c r="C25" s="516"/>
      <c r="D25" s="516"/>
      <c r="E25" s="516"/>
      <c r="F25" s="104"/>
      <c r="G25" s="517"/>
      <c r="H25" s="517"/>
      <c r="I25" s="517"/>
      <c r="J25" s="517"/>
      <c r="K25" s="517"/>
      <c r="L25" s="517"/>
      <c r="M25" s="517"/>
      <c r="N25" s="517"/>
      <c r="O25" s="517"/>
      <c r="P25" s="517"/>
      <c r="Q25" s="517"/>
      <c r="R25" s="517"/>
      <c r="S25" s="517"/>
      <c r="T25" s="517"/>
      <c r="U25" s="517"/>
      <c r="V25" s="517"/>
      <c r="W25" s="517"/>
      <c r="X25" s="517"/>
      <c r="Y25" s="517"/>
      <c r="Z25" s="517"/>
      <c r="AA25" s="517"/>
      <c r="AB25" s="517"/>
      <c r="AC25" s="517"/>
      <c r="AD25" s="517"/>
      <c r="AE25" s="517"/>
      <c r="AF25" s="517"/>
      <c r="AG25" s="517"/>
      <c r="AH25" s="517"/>
      <c r="AI25" s="517"/>
      <c r="AJ25" s="517"/>
      <c r="AK25" s="104"/>
      <c r="AL25" s="517"/>
      <c r="AM25" s="517"/>
      <c r="AN25" s="517"/>
      <c r="AO25" s="517"/>
      <c r="AP25" s="517"/>
      <c r="AQ25" s="517"/>
      <c r="AR25" s="517"/>
      <c r="AS25" s="517"/>
      <c r="AT25" s="517"/>
      <c r="AU25" s="517"/>
      <c r="AV25" s="517"/>
      <c r="AW25" s="517"/>
      <c r="AX25" s="517"/>
      <c r="AY25" s="517"/>
      <c r="AZ25" s="517"/>
      <c r="BA25" s="517"/>
      <c r="BB25" s="517"/>
      <c r="BC25" s="517"/>
      <c r="BD25" s="517"/>
      <c r="BE25" s="517"/>
      <c r="BF25" s="517"/>
      <c r="BG25" s="517"/>
      <c r="BH25" s="517"/>
      <c r="BI25" s="517"/>
      <c r="BJ25" s="517"/>
      <c r="BK25" s="517"/>
      <c r="BL25" s="517"/>
      <c r="BM25" s="517"/>
      <c r="BN25" s="517"/>
      <c r="BO25" s="517"/>
      <c r="BP25" s="104"/>
      <c r="BQ25" s="104"/>
      <c r="BR25" s="104"/>
      <c r="BS25" s="104"/>
      <c r="BT25" s="104"/>
      <c r="BU25" s="104"/>
      <c r="BV25" s="104"/>
      <c r="BW25" s="104"/>
      <c r="BX25" s="104"/>
      <c r="BY25" s="104"/>
      <c r="BZ25" s="104"/>
      <c r="CA25" s="104"/>
      <c r="CB25" s="104"/>
      <c r="CC25" s="104"/>
      <c r="CD25" s="104"/>
      <c r="CE25" s="104"/>
      <c r="CF25" s="104"/>
      <c r="CG25" s="104"/>
      <c r="CH25" s="104"/>
    </row>
    <row r="26" spans="1:86" ht="9.75" customHeight="1" x14ac:dyDescent="0.25">
      <c r="A26" s="104"/>
      <c r="B26" s="104"/>
      <c r="C26" s="104"/>
      <c r="D26" s="104"/>
      <c r="E26" s="104"/>
      <c r="F26" s="104"/>
      <c r="G26" s="104"/>
      <c r="H26" s="104"/>
      <c r="I26" s="104"/>
      <c r="J26" s="104"/>
      <c r="K26" s="104"/>
      <c r="L26" s="104"/>
      <c r="M26" s="104"/>
      <c r="N26" s="104"/>
      <c r="O26" s="104"/>
      <c r="P26" s="104"/>
      <c r="Q26" s="104"/>
      <c r="R26" s="104"/>
      <c r="S26" s="104"/>
      <c r="T26" s="104"/>
      <c r="U26" s="104"/>
      <c r="V26" s="104"/>
      <c r="W26" s="104"/>
      <c r="X26" s="104"/>
      <c r="Y26" s="104"/>
      <c r="Z26" s="104"/>
      <c r="AA26" s="104"/>
      <c r="AB26" s="104"/>
      <c r="AC26" s="104"/>
      <c r="AD26" s="104"/>
      <c r="AE26" s="104"/>
      <c r="AF26" s="104"/>
      <c r="AG26" s="104"/>
      <c r="AH26" s="104"/>
      <c r="AI26" s="104"/>
      <c r="AJ26" s="104"/>
      <c r="AK26" s="104"/>
      <c r="AL26" s="104"/>
      <c r="AM26" s="104"/>
      <c r="AN26" s="104"/>
      <c r="AO26" s="104"/>
      <c r="AP26" s="104"/>
      <c r="AQ26" s="104"/>
      <c r="AR26" s="104"/>
      <c r="AS26" s="104"/>
      <c r="AT26" s="104"/>
      <c r="AU26" s="104"/>
      <c r="AV26" s="104"/>
      <c r="AW26" s="104"/>
      <c r="AX26" s="104"/>
      <c r="AY26" s="104"/>
      <c r="AZ26" s="104"/>
      <c r="BA26" s="104"/>
      <c r="BB26" s="104"/>
      <c r="BC26" s="104"/>
      <c r="BD26" s="104"/>
      <c r="BE26" s="104"/>
      <c r="BF26" s="104"/>
      <c r="BG26" s="104"/>
      <c r="BH26" s="104"/>
      <c r="BI26" s="104"/>
      <c r="BJ26" s="104"/>
      <c r="BK26" s="104"/>
      <c r="BL26" s="104"/>
      <c r="BM26" s="104"/>
      <c r="BN26" s="104"/>
      <c r="BO26" s="104"/>
      <c r="BP26" s="104"/>
      <c r="BQ26" s="104"/>
      <c r="BR26" s="104"/>
      <c r="BS26" s="104"/>
      <c r="BT26" s="104"/>
      <c r="BU26" s="104"/>
      <c r="BV26" s="104"/>
      <c r="BW26" s="104"/>
      <c r="BX26" s="104"/>
      <c r="BY26" s="104"/>
      <c r="BZ26" s="104"/>
      <c r="CA26" s="104"/>
      <c r="CB26" s="104"/>
      <c r="CC26" s="104"/>
      <c r="CD26" s="104"/>
      <c r="CE26" s="104"/>
      <c r="CF26" s="104"/>
      <c r="CG26" s="104"/>
      <c r="CH26" s="104"/>
    </row>
    <row r="27" spans="1:86" ht="54.95" customHeight="1" x14ac:dyDescent="0.25">
      <c r="A27" s="104"/>
      <c r="B27" s="515" t="str">
        <f>'_Data Status Month'!A34</f>
        <v>Pitching</v>
      </c>
      <c r="C27" s="516"/>
      <c r="D27" s="516"/>
      <c r="E27" s="516"/>
      <c r="F27" s="104"/>
      <c r="G27" s="517"/>
      <c r="H27" s="517"/>
      <c r="I27" s="517"/>
      <c r="J27" s="517"/>
      <c r="K27" s="517"/>
      <c r="L27" s="517"/>
      <c r="M27" s="517"/>
      <c r="N27" s="517"/>
      <c r="O27" s="517"/>
      <c r="P27" s="517"/>
      <c r="Q27" s="517"/>
      <c r="R27" s="517"/>
      <c r="S27" s="517"/>
      <c r="T27" s="517"/>
      <c r="U27" s="517"/>
      <c r="V27" s="517"/>
      <c r="W27" s="517"/>
      <c r="X27" s="517"/>
      <c r="Y27" s="517"/>
      <c r="Z27" s="517"/>
      <c r="AA27" s="517"/>
      <c r="AB27" s="517"/>
      <c r="AC27" s="517"/>
      <c r="AD27" s="517"/>
      <c r="AE27" s="517"/>
      <c r="AF27" s="517"/>
      <c r="AG27" s="517"/>
      <c r="AH27" s="517"/>
      <c r="AI27" s="517"/>
      <c r="AJ27" s="517"/>
      <c r="AK27" s="104"/>
      <c r="AL27" s="517"/>
      <c r="AM27" s="517"/>
      <c r="AN27" s="517"/>
      <c r="AO27" s="517"/>
      <c r="AP27" s="517"/>
      <c r="AQ27" s="517"/>
      <c r="AR27" s="517"/>
      <c r="AS27" s="517"/>
      <c r="AT27" s="517"/>
      <c r="AU27" s="517"/>
      <c r="AV27" s="517"/>
      <c r="AW27" s="517"/>
      <c r="AX27" s="517"/>
      <c r="AY27" s="517"/>
      <c r="AZ27" s="517"/>
      <c r="BA27" s="517"/>
      <c r="BB27" s="517"/>
      <c r="BC27" s="517"/>
      <c r="BD27" s="517"/>
      <c r="BE27" s="517"/>
      <c r="BF27" s="517"/>
      <c r="BG27" s="517"/>
      <c r="BH27" s="517"/>
      <c r="BI27" s="517"/>
      <c r="BJ27" s="517"/>
      <c r="BK27" s="517"/>
      <c r="BL27" s="517"/>
      <c r="BM27" s="517"/>
      <c r="BN27" s="517"/>
      <c r="BO27" s="517"/>
      <c r="BP27" s="104"/>
      <c r="BQ27" s="104"/>
      <c r="BR27" s="104"/>
      <c r="BS27" s="104"/>
      <c r="BT27" s="104"/>
      <c r="BU27" s="104"/>
      <c r="BV27" s="104"/>
      <c r="BW27" s="104"/>
      <c r="BX27" s="104"/>
      <c r="BY27" s="104"/>
      <c r="BZ27" s="104"/>
      <c r="CA27" s="104"/>
      <c r="CB27" s="104"/>
      <c r="CC27" s="104"/>
      <c r="CD27" s="104"/>
      <c r="CE27" s="104"/>
      <c r="CF27" s="104"/>
      <c r="CG27" s="104"/>
      <c r="CH27" s="104"/>
    </row>
    <row r="28" spans="1:86" ht="54.95" customHeight="1" x14ac:dyDescent="0.25">
      <c r="A28" s="104"/>
      <c r="B28" s="515"/>
      <c r="C28" s="516"/>
      <c r="D28" s="516"/>
      <c r="E28" s="516"/>
      <c r="F28" s="104"/>
      <c r="G28" s="517"/>
      <c r="H28" s="517"/>
      <c r="I28" s="517"/>
      <c r="J28" s="517"/>
      <c r="K28" s="517"/>
      <c r="L28" s="517"/>
      <c r="M28" s="517"/>
      <c r="N28" s="517"/>
      <c r="O28" s="517"/>
      <c r="P28" s="517"/>
      <c r="Q28" s="517"/>
      <c r="R28" s="517"/>
      <c r="S28" s="517"/>
      <c r="T28" s="517"/>
      <c r="U28" s="517"/>
      <c r="V28" s="517"/>
      <c r="W28" s="517"/>
      <c r="X28" s="517"/>
      <c r="Y28" s="517"/>
      <c r="Z28" s="517"/>
      <c r="AA28" s="517"/>
      <c r="AB28" s="517"/>
      <c r="AC28" s="517"/>
      <c r="AD28" s="517"/>
      <c r="AE28" s="517"/>
      <c r="AF28" s="517"/>
      <c r="AG28" s="517"/>
      <c r="AH28" s="517"/>
      <c r="AI28" s="517"/>
      <c r="AJ28" s="517"/>
      <c r="AK28" s="104"/>
      <c r="AL28" s="517"/>
      <c r="AM28" s="517"/>
      <c r="AN28" s="517"/>
      <c r="AO28" s="517"/>
      <c r="AP28" s="517"/>
      <c r="AQ28" s="517"/>
      <c r="AR28" s="517"/>
      <c r="AS28" s="517"/>
      <c r="AT28" s="517"/>
      <c r="AU28" s="517"/>
      <c r="AV28" s="517"/>
      <c r="AW28" s="517"/>
      <c r="AX28" s="517"/>
      <c r="AY28" s="517"/>
      <c r="AZ28" s="517"/>
      <c r="BA28" s="517"/>
      <c r="BB28" s="517"/>
      <c r="BC28" s="517"/>
      <c r="BD28" s="517"/>
      <c r="BE28" s="517"/>
      <c r="BF28" s="517"/>
      <c r="BG28" s="517"/>
      <c r="BH28" s="517"/>
      <c r="BI28" s="517"/>
      <c r="BJ28" s="517"/>
      <c r="BK28" s="517"/>
      <c r="BL28" s="517"/>
      <c r="BM28" s="517"/>
      <c r="BN28" s="517"/>
      <c r="BO28" s="517"/>
      <c r="BP28" s="104"/>
      <c r="BQ28" s="104"/>
      <c r="BR28" s="104"/>
      <c r="BS28" s="104"/>
      <c r="BT28" s="104"/>
      <c r="BU28" s="104"/>
      <c r="BV28" s="104"/>
      <c r="BW28" s="104"/>
      <c r="BX28" s="104"/>
      <c r="BY28" s="104"/>
      <c r="BZ28" s="104"/>
      <c r="CA28" s="104"/>
      <c r="CB28" s="104"/>
      <c r="CC28" s="104"/>
      <c r="CD28" s="104"/>
      <c r="CE28" s="104"/>
      <c r="CF28" s="104"/>
      <c r="CG28" s="104"/>
      <c r="CH28" s="104"/>
    </row>
    <row r="29" spans="1:86" ht="54.95" customHeight="1" x14ac:dyDescent="0.25">
      <c r="A29" s="104"/>
      <c r="B29" s="515"/>
      <c r="C29" s="516"/>
      <c r="D29" s="516"/>
      <c r="E29" s="516"/>
      <c r="F29" s="104"/>
      <c r="G29" s="517"/>
      <c r="H29" s="517"/>
      <c r="I29" s="517"/>
      <c r="J29" s="517"/>
      <c r="K29" s="517"/>
      <c r="L29" s="517"/>
      <c r="M29" s="517"/>
      <c r="N29" s="517"/>
      <c r="O29" s="517"/>
      <c r="P29" s="517"/>
      <c r="Q29" s="517"/>
      <c r="R29" s="517"/>
      <c r="S29" s="517"/>
      <c r="T29" s="517"/>
      <c r="U29" s="517"/>
      <c r="V29" s="517"/>
      <c r="W29" s="517"/>
      <c r="X29" s="517"/>
      <c r="Y29" s="517"/>
      <c r="Z29" s="517"/>
      <c r="AA29" s="517"/>
      <c r="AB29" s="517"/>
      <c r="AC29" s="517"/>
      <c r="AD29" s="517"/>
      <c r="AE29" s="517"/>
      <c r="AF29" s="517"/>
      <c r="AG29" s="517"/>
      <c r="AH29" s="517"/>
      <c r="AI29" s="517"/>
      <c r="AJ29" s="517"/>
      <c r="AK29" s="104"/>
      <c r="AL29" s="517"/>
      <c r="AM29" s="517"/>
      <c r="AN29" s="517"/>
      <c r="AO29" s="517"/>
      <c r="AP29" s="517"/>
      <c r="AQ29" s="517"/>
      <c r="AR29" s="517"/>
      <c r="AS29" s="517"/>
      <c r="AT29" s="517"/>
      <c r="AU29" s="517"/>
      <c r="AV29" s="517"/>
      <c r="AW29" s="517"/>
      <c r="AX29" s="517"/>
      <c r="AY29" s="517"/>
      <c r="AZ29" s="517"/>
      <c r="BA29" s="517"/>
      <c r="BB29" s="517"/>
      <c r="BC29" s="517"/>
      <c r="BD29" s="517"/>
      <c r="BE29" s="517"/>
      <c r="BF29" s="517"/>
      <c r="BG29" s="517"/>
      <c r="BH29" s="517"/>
      <c r="BI29" s="517"/>
      <c r="BJ29" s="517"/>
      <c r="BK29" s="517"/>
      <c r="BL29" s="517"/>
      <c r="BM29" s="517"/>
      <c r="BN29" s="517"/>
      <c r="BO29" s="517"/>
      <c r="BP29" s="104"/>
      <c r="BQ29" s="104"/>
      <c r="BR29" s="104"/>
      <c r="BS29" s="104"/>
      <c r="BT29" s="104"/>
      <c r="BU29" s="104"/>
      <c r="BV29" s="104"/>
      <c r="BW29" s="104"/>
      <c r="BX29" s="104"/>
      <c r="BY29" s="104"/>
      <c r="BZ29" s="104"/>
      <c r="CA29" s="104"/>
      <c r="CB29" s="104"/>
      <c r="CC29" s="104"/>
      <c r="CD29" s="104"/>
      <c r="CE29" s="104"/>
      <c r="CF29" s="104"/>
      <c r="CG29" s="104"/>
      <c r="CH29" s="104"/>
    </row>
    <row r="30" spans="1:86" ht="54.95" customHeight="1" x14ac:dyDescent="0.25">
      <c r="A30" s="104"/>
      <c r="B30" s="515"/>
      <c r="C30" s="516"/>
      <c r="D30" s="516"/>
      <c r="E30" s="516"/>
      <c r="F30" s="104"/>
      <c r="G30" s="517"/>
      <c r="H30" s="517"/>
      <c r="I30" s="517"/>
      <c r="J30" s="517"/>
      <c r="K30" s="517"/>
      <c r="L30" s="517"/>
      <c r="M30" s="517"/>
      <c r="N30" s="517"/>
      <c r="O30" s="517"/>
      <c r="P30" s="517"/>
      <c r="Q30" s="517"/>
      <c r="R30" s="517"/>
      <c r="S30" s="517"/>
      <c r="T30" s="517"/>
      <c r="U30" s="517"/>
      <c r="V30" s="517"/>
      <c r="W30" s="517"/>
      <c r="X30" s="517"/>
      <c r="Y30" s="517"/>
      <c r="Z30" s="517"/>
      <c r="AA30" s="517"/>
      <c r="AB30" s="517"/>
      <c r="AC30" s="517"/>
      <c r="AD30" s="517"/>
      <c r="AE30" s="517"/>
      <c r="AF30" s="517"/>
      <c r="AG30" s="517"/>
      <c r="AH30" s="517"/>
      <c r="AI30" s="517"/>
      <c r="AJ30" s="517"/>
      <c r="AK30" s="104"/>
      <c r="AL30" s="517"/>
      <c r="AM30" s="517"/>
      <c r="AN30" s="517"/>
      <c r="AO30" s="517"/>
      <c r="AP30" s="517"/>
      <c r="AQ30" s="517"/>
      <c r="AR30" s="517"/>
      <c r="AS30" s="517"/>
      <c r="AT30" s="517"/>
      <c r="AU30" s="517"/>
      <c r="AV30" s="517"/>
      <c r="AW30" s="517"/>
      <c r="AX30" s="517"/>
      <c r="AY30" s="517"/>
      <c r="AZ30" s="517"/>
      <c r="BA30" s="517"/>
      <c r="BB30" s="517"/>
      <c r="BC30" s="517"/>
      <c r="BD30" s="517"/>
      <c r="BE30" s="517"/>
      <c r="BF30" s="517"/>
      <c r="BG30" s="517"/>
      <c r="BH30" s="517"/>
      <c r="BI30" s="517"/>
      <c r="BJ30" s="517"/>
      <c r="BK30" s="517"/>
      <c r="BL30" s="517"/>
      <c r="BM30" s="517"/>
      <c r="BN30" s="517"/>
      <c r="BO30" s="517"/>
      <c r="BP30" s="104"/>
      <c r="BQ30" s="104"/>
      <c r="BR30" s="104"/>
      <c r="BS30" s="104"/>
      <c r="BT30" s="104"/>
      <c r="BU30" s="104"/>
      <c r="BV30" s="104"/>
      <c r="BW30" s="104"/>
      <c r="BX30" s="104"/>
      <c r="BY30" s="104"/>
      <c r="BZ30" s="104"/>
      <c r="CA30" s="104"/>
      <c r="CB30" s="104"/>
      <c r="CC30" s="104"/>
      <c r="CD30" s="104"/>
      <c r="CE30" s="104"/>
      <c r="CF30" s="104"/>
      <c r="CG30" s="104"/>
      <c r="CH30" s="104"/>
    </row>
    <row r="31" spans="1:86" ht="9.75" customHeight="1" x14ac:dyDescent="0.25">
      <c r="A31" s="104"/>
      <c r="B31" s="104"/>
      <c r="C31" s="104"/>
      <c r="D31" s="104"/>
      <c r="E31" s="104"/>
      <c r="F31" s="104"/>
      <c r="G31" s="104"/>
      <c r="H31" s="104"/>
      <c r="I31" s="104"/>
      <c r="J31" s="104"/>
      <c r="K31" s="104"/>
      <c r="L31" s="104"/>
      <c r="M31" s="104"/>
      <c r="N31" s="104"/>
      <c r="O31" s="104"/>
      <c r="P31" s="104"/>
      <c r="Q31" s="104"/>
      <c r="R31" s="104"/>
      <c r="S31" s="104"/>
      <c r="T31" s="104"/>
      <c r="U31" s="104"/>
      <c r="V31" s="104"/>
      <c r="W31" s="104"/>
      <c r="X31" s="104"/>
      <c r="Y31" s="104"/>
      <c r="Z31" s="104"/>
      <c r="AA31" s="104"/>
      <c r="AB31" s="104"/>
      <c r="AC31" s="104"/>
      <c r="AD31" s="104"/>
      <c r="AE31" s="104"/>
      <c r="AF31" s="104"/>
      <c r="AG31" s="104"/>
      <c r="AH31" s="104"/>
      <c r="AI31" s="104"/>
      <c r="AJ31" s="104"/>
      <c r="AK31" s="104"/>
      <c r="AL31" s="104"/>
      <c r="AM31" s="104"/>
      <c r="AN31" s="104"/>
      <c r="AO31" s="104"/>
      <c r="AP31" s="104"/>
      <c r="AQ31" s="104"/>
      <c r="AR31" s="104"/>
      <c r="AS31" s="104"/>
      <c r="AT31" s="104"/>
      <c r="AU31" s="104"/>
      <c r="AV31" s="104"/>
      <c r="AW31" s="104"/>
      <c r="AX31" s="104"/>
      <c r="AY31" s="104"/>
      <c r="AZ31" s="104"/>
      <c r="BA31" s="104"/>
      <c r="BB31" s="104"/>
      <c r="BC31" s="104"/>
      <c r="BD31" s="104"/>
      <c r="BE31" s="104"/>
      <c r="BF31" s="104"/>
      <c r="BG31" s="104"/>
      <c r="BH31" s="104"/>
      <c r="BI31" s="104"/>
      <c r="BJ31" s="104"/>
      <c r="BK31" s="104"/>
      <c r="BL31" s="104"/>
      <c r="BM31" s="104"/>
      <c r="BN31" s="104"/>
      <c r="BO31" s="104"/>
      <c r="BP31" s="104"/>
      <c r="BQ31" s="104"/>
      <c r="BR31" s="104"/>
      <c r="BS31" s="104"/>
      <c r="BT31" s="104"/>
      <c r="BU31" s="104"/>
      <c r="BV31" s="104"/>
      <c r="BW31" s="104"/>
      <c r="BX31" s="104"/>
      <c r="BY31" s="104"/>
      <c r="BZ31" s="104"/>
      <c r="CA31" s="104"/>
      <c r="CB31" s="104"/>
      <c r="CC31" s="104"/>
      <c r="CD31" s="104"/>
      <c r="CE31" s="104"/>
      <c r="CF31" s="104"/>
      <c r="CG31" s="104"/>
      <c r="CH31" s="104"/>
    </row>
    <row r="32" spans="1:86" ht="54.95" customHeight="1" x14ac:dyDescent="0.25">
      <c r="A32" s="104"/>
      <c r="B32" s="515" t="str">
        <f>'_Data Status Month'!A44</f>
        <v>Approach Shot</v>
      </c>
      <c r="C32" s="516"/>
      <c r="D32" s="516"/>
      <c r="E32" s="516"/>
      <c r="F32" s="104"/>
      <c r="G32" s="517"/>
      <c r="H32" s="517"/>
      <c r="I32" s="517"/>
      <c r="J32" s="517"/>
      <c r="K32" s="517"/>
      <c r="L32" s="517"/>
      <c r="M32" s="517"/>
      <c r="N32" s="517"/>
      <c r="O32" s="517"/>
      <c r="P32" s="517"/>
      <c r="Q32" s="517"/>
      <c r="R32" s="517"/>
      <c r="S32" s="517"/>
      <c r="T32" s="517"/>
      <c r="U32" s="517"/>
      <c r="V32" s="517"/>
      <c r="W32" s="517"/>
      <c r="X32" s="517"/>
      <c r="Y32" s="517"/>
      <c r="Z32" s="517"/>
      <c r="AA32" s="517"/>
      <c r="AB32" s="517"/>
      <c r="AC32" s="517"/>
      <c r="AD32" s="517"/>
      <c r="AE32" s="517"/>
      <c r="AF32" s="517"/>
      <c r="AG32" s="517"/>
      <c r="AH32" s="517"/>
      <c r="AI32" s="517"/>
      <c r="AJ32" s="517"/>
      <c r="AK32" s="104"/>
      <c r="AL32" s="517"/>
      <c r="AM32" s="517"/>
      <c r="AN32" s="517"/>
      <c r="AO32" s="517"/>
      <c r="AP32" s="517"/>
      <c r="AQ32" s="517"/>
      <c r="AR32" s="517"/>
      <c r="AS32" s="517"/>
      <c r="AT32" s="517"/>
      <c r="AU32" s="517"/>
      <c r="AV32" s="517"/>
      <c r="AW32" s="517"/>
      <c r="AX32" s="517"/>
      <c r="AY32" s="517"/>
      <c r="AZ32" s="517"/>
      <c r="BA32" s="517"/>
      <c r="BB32" s="517"/>
      <c r="BC32" s="517"/>
      <c r="BD32" s="517"/>
      <c r="BE32" s="517"/>
      <c r="BF32" s="517"/>
      <c r="BG32" s="517"/>
      <c r="BH32" s="517"/>
      <c r="BI32" s="517"/>
      <c r="BJ32" s="517"/>
      <c r="BK32" s="517"/>
      <c r="BL32" s="517"/>
      <c r="BM32" s="517"/>
      <c r="BN32" s="517"/>
      <c r="BO32" s="517"/>
      <c r="BP32" s="104"/>
      <c r="BQ32" s="104"/>
      <c r="BR32" s="104"/>
      <c r="BS32" s="104"/>
      <c r="BT32" s="104"/>
      <c r="BU32" s="104"/>
      <c r="BV32" s="104"/>
      <c r="BW32" s="104"/>
      <c r="BX32" s="104"/>
      <c r="BY32" s="104"/>
      <c r="BZ32" s="104"/>
      <c r="CA32" s="104"/>
      <c r="CB32" s="104"/>
      <c r="CC32" s="104"/>
      <c r="CD32" s="104"/>
      <c r="CE32" s="104"/>
      <c r="CF32" s="104"/>
      <c r="CG32" s="104"/>
      <c r="CH32" s="104"/>
    </row>
    <row r="33" spans="1:86" ht="54.95" customHeight="1" x14ac:dyDescent="0.25">
      <c r="A33" s="104"/>
      <c r="B33" s="515"/>
      <c r="C33" s="516"/>
      <c r="D33" s="516"/>
      <c r="E33" s="516"/>
      <c r="F33" s="104"/>
      <c r="G33" s="517"/>
      <c r="H33" s="517"/>
      <c r="I33" s="517"/>
      <c r="J33" s="517"/>
      <c r="K33" s="517"/>
      <c r="L33" s="517"/>
      <c r="M33" s="517"/>
      <c r="N33" s="517"/>
      <c r="O33" s="517"/>
      <c r="P33" s="517"/>
      <c r="Q33" s="517"/>
      <c r="R33" s="517"/>
      <c r="S33" s="517"/>
      <c r="T33" s="517"/>
      <c r="U33" s="517"/>
      <c r="V33" s="517"/>
      <c r="W33" s="517"/>
      <c r="X33" s="517"/>
      <c r="Y33" s="517"/>
      <c r="Z33" s="517"/>
      <c r="AA33" s="517"/>
      <c r="AB33" s="517"/>
      <c r="AC33" s="517"/>
      <c r="AD33" s="517"/>
      <c r="AE33" s="517"/>
      <c r="AF33" s="517"/>
      <c r="AG33" s="517"/>
      <c r="AH33" s="517"/>
      <c r="AI33" s="517"/>
      <c r="AJ33" s="517"/>
      <c r="AK33" s="104"/>
      <c r="AL33" s="517"/>
      <c r="AM33" s="517"/>
      <c r="AN33" s="517"/>
      <c r="AO33" s="517"/>
      <c r="AP33" s="517"/>
      <c r="AQ33" s="517"/>
      <c r="AR33" s="517"/>
      <c r="AS33" s="517"/>
      <c r="AT33" s="517"/>
      <c r="AU33" s="517"/>
      <c r="AV33" s="517"/>
      <c r="AW33" s="517"/>
      <c r="AX33" s="517"/>
      <c r="AY33" s="517"/>
      <c r="AZ33" s="517"/>
      <c r="BA33" s="517"/>
      <c r="BB33" s="517"/>
      <c r="BC33" s="517"/>
      <c r="BD33" s="517"/>
      <c r="BE33" s="517"/>
      <c r="BF33" s="517"/>
      <c r="BG33" s="517"/>
      <c r="BH33" s="517"/>
      <c r="BI33" s="517"/>
      <c r="BJ33" s="517"/>
      <c r="BK33" s="517"/>
      <c r="BL33" s="517"/>
      <c r="BM33" s="517"/>
      <c r="BN33" s="517"/>
      <c r="BO33" s="517"/>
      <c r="BP33" s="104"/>
      <c r="BQ33" s="104"/>
      <c r="BR33" s="104"/>
      <c r="BS33" s="104"/>
      <c r="BT33" s="104"/>
      <c r="BU33" s="104"/>
      <c r="BV33" s="104"/>
      <c r="BW33" s="104"/>
      <c r="BX33" s="104"/>
      <c r="BY33" s="104"/>
      <c r="BZ33" s="104"/>
      <c r="CA33" s="104"/>
      <c r="CB33" s="104"/>
      <c r="CC33" s="104"/>
      <c r="CD33" s="104"/>
      <c r="CE33" s="104"/>
      <c r="CF33" s="104"/>
      <c r="CG33" s="104"/>
      <c r="CH33" s="104"/>
    </row>
    <row r="34" spans="1:86" ht="54.95" customHeight="1" x14ac:dyDescent="0.25">
      <c r="A34" s="104"/>
      <c r="B34" s="515"/>
      <c r="C34" s="516"/>
      <c r="D34" s="516"/>
      <c r="E34" s="516"/>
      <c r="F34" s="104"/>
      <c r="G34" s="517"/>
      <c r="H34" s="517"/>
      <c r="I34" s="517"/>
      <c r="J34" s="517"/>
      <c r="K34" s="517"/>
      <c r="L34" s="517"/>
      <c r="M34" s="517"/>
      <c r="N34" s="517"/>
      <c r="O34" s="517"/>
      <c r="P34" s="517"/>
      <c r="Q34" s="517"/>
      <c r="R34" s="517"/>
      <c r="S34" s="517"/>
      <c r="T34" s="517"/>
      <c r="U34" s="517"/>
      <c r="V34" s="517"/>
      <c r="W34" s="517"/>
      <c r="X34" s="517"/>
      <c r="Y34" s="517"/>
      <c r="Z34" s="517"/>
      <c r="AA34" s="517"/>
      <c r="AB34" s="517"/>
      <c r="AC34" s="517"/>
      <c r="AD34" s="517"/>
      <c r="AE34" s="517"/>
      <c r="AF34" s="517"/>
      <c r="AG34" s="517"/>
      <c r="AH34" s="517"/>
      <c r="AI34" s="517"/>
      <c r="AJ34" s="517"/>
      <c r="AK34" s="104"/>
      <c r="AL34" s="517"/>
      <c r="AM34" s="517"/>
      <c r="AN34" s="517"/>
      <c r="AO34" s="517"/>
      <c r="AP34" s="517"/>
      <c r="AQ34" s="517"/>
      <c r="AR34" s="517"/>
      <c r="AS34" s="517"/>
      <c r="AT34" s="517"/>
      <c r="AU34" s="517"/>
      <c r="AV34" s="517"/>
      <c r="AW34" s="517"/>
      <c r="AX34" s="517"/>
      <c r="AY34" s="517"/>
      <c r="AZ34" s="517"/>
      <c r="BA34" s="517"/>
      <c r="BB34" s="517"/>
      <c r="BC34" s="517"/>
      <c r="BD34" s="517"/>
      <c r="BE34" s="517"/>
      <c r="BF34" s="517"/>
      <c r="BG34" s="517"/>
      <c r="BH34" s="517"/>
      <c r="BI34" s="517"/>
      <c r="BJ34" s="517"/>
      <c r="BK34" s="517"/>
      <c r="BL34" s="517"/>
      <c r="BM34" s="517"/>
      <c r="BN34" s="517"/>
      <c r="BO34" s="517"/>
      <c r="BP34" s="104"/>
      <c r="BQ34" s="104"/>
      <c r="BR34" s="104"/>
      <c r="BS34" s="104"/>
      <c r="BT34" s="104"/>
      <c r="BU34" s="104"/>
      <c r="BV34" s="104"/>
      <c r="BW34" s="104"/>
      <c r="BX34" s="104"/>
      <c r="BY34" s="104"/>
      <c r="BZ34" s="104"/>
      <c r="CA34" s="104"/>
      <c r="CB34" s="104"/>
      <c r="CC34" s="104"/>
      <c r="CD34" s="104"/>
      <c r="CE34" s="104"/>
      <c r="CF34" s="104"/>
      <c r="CG34" s="104"/>
      <c r="CH34" s="104"/>
    </row>
    <row r="35" spans="1:86" ht="54.95" customHeight="1" x14ac:dyDescent="0.25">
      <c r="A35" s="104"/>
      <c r="B35" s="515"/>
      <c r="C35" s="516"/>
      <c r="D35" s="516"/>
      <c r="E35" s="516"/>
      <c r="F35" s="104"/>
      <c r="G35" s="517"/>
      <c r="H35" s="517"/>
      <c r="I35" s="517"/>
      <c r="J35" s="517"/>
      <c r="K35" s="517"/>
      <c r="L35" s="517"/>
      <c r="M35" s="517"/>
      <c r="N35" s="517"/>
      <c r="O35" s="517"/>
      <c r="P35" s="517"/>
      <c r="Q35" s="517"/>
      <c r="R35" s="517"/>
      <c r="S35" s="517"/>
      <c r="T35" s="517"/>
      <c r="U35" s="517"/>
      <c r="V35" s="517"/>
      <c r="W35" s="517"/>
      <c r="X35" s="517"/>
      <c r="Y35" s="517"/>
      <c r="Z35" s="517"/>
      <c r="AA35" s="517"/>
      <c r="AB35" s="517"/>
      <c r="AC35" s="517"/>
      <c r="AD35" s="517"/>
      <c r="AE35" s="517"/>
      <c r="AF35" s="517"/>
      <c r="AG35" s="517"/>
      <c r="AH35" s="517"/>
      <c r="AI35" s="517"/>
      <c r="AJ35" s="517"/>
      <c r="AK35" s="104"/>
      <c r="AL35" s="517"/>
      <c r="AM35" s="517"/>
      <c r="AN35" s="517"/>
      <c r="AO35" s="517"/>
      <c r="AP35" s="517"/>
      <c r="AQ35" s="517"/>
      <c r="AR35" s="517"/>
      <c r="AS35" s="517"/>
      <c r="AT35" s="517"/>
      <c r="AU35" s="517"/>
      <c r="AV35" s="517"/>
      <c r="AW35" s="517"/>
      <c r="AX35" s="517"/>
      <c r="AY35" s="517"/>
      <c r="AZ35" s="517"/>
      <c r="BA35" s="517"/>
      <c r="BB35" s="517"/>
      <c r="BC35" s="517"/>
      <c r="BD35" s="517"/>
      <c r="BE35" s="517"/>
      <c r="BF35" s="517"/>
      <c r="BG35" s="517"/>
      <c r="BH35" s="517"/>
      <c r="BI35" s="517"/>
      <c r="BJ35" s="517"/>
      <c r="BK35" s="517"/>
      <c r="BL35" s="517"/>
      <c r="BM35" s="517"/>
      <c r="BN35" s="517"/>
      <c r="BO35" s="517"/>
      <c r="BP35" s="104"/>
      <c r="BQ35" s="104"/>
      <c r="BR35" s="104"/>
      <c r="BS35" s="104"/>
      <c r="BT35" s="104"/>
      <c r="BU35" s="104"/>
      <c r="BV35" s="104"/>
      <c r="BW35" s="104"/>
      <c r="BX35" s="104"/>
      <c r="BY35" s="104"/>
      <c r="BZ35" s="104"/>
      <c r="CA35" s="104"/>
      <c r="CB35" s="104"/>
      <c r="CC35" s="104"/>
      <c r="CD35" s="104"/>
      <c r="CE35" s="104"/>
      <c r="CF35" s="104"/>
      <c r="CG35" s="104"/>
      <c r="CH35" s="104"/>
    </row>
    <row r="36" spans="1:86" ht="9.75" customHeight="1" x14ac:dyDescent="0.25">
      <c r="A36" s="104"/>
      <c r="B36" s="104"/>
      <c r="C36" s="104"/>
      <c r="D36" s="104"/>
      <c r="E36" s="104"/>
      <c r="F36" s="104"/>
      <c r="G36" s="104"/>
      <c r="H36" s="104"/>
      <c r="I36" s="104"/>
      <c r="J36" s="104"/>
      <c r="K36" s="104"/>
      <c r="L36" s="104"/>
      <c r="M36" s="104"/>
      <c r="N36" s="104"/>
      <c r="O36" s="104"/>
      <c r="P36" s="104"/>
      <c r="Q36" s="104"/>
      <c r="R36" s="104"/>
      <c r="S36" s="104"/>
      <c r="T36" s="104"/>
      <c r="U36" s="104"/>
      <c r="V36" s="104"/>
      <c r="W36" s="104"/>
      <c r="X36" s="104"/>
      <c r="Y36" s="104"/>
      <c r="Z36" s="104"/>
      <c r="AA36" s="104"/>
      <c r="AB36" s="104"/>
      <c r="AC36" s="104"/>
      <c r="AD36" s="104"/>
      <c r="AE36" s="104"/>
      <c r="AF36" s="104"/>
      <c r="AG36" s="104"/>
      <c r="AH36" s="104"/>
      <c r="AI36" s="104"/>
      <c r="AJ36" s="104"/>
      <c r="AK36" s="104"/>
      <c r="AL36" s="104"/>
      <c r="AM36" s="104"/>
      <c r="AN36" s="104"/>
      <c r="AO36" s="104"/>
      <c r="AP36" s="104"/>
      <c r="AQ36" s="104"/>
      <c r="AR36" s="104"/>
      <c r="AS36" s="104"/>
      <c r="AT36" s="104"/>
      <c r="AU36" s="104"/>
      <c r="AV36" s="104"/>
      <c r="AW36" s="104"/>
      <c r="AX36" s="104"/>
      <c r="AY36" s="104"/>
      <c r="AZ36" s="104"/>
      <c r="BA36" s="104"/>
      <c r="BB36" s="104"/>
      <c r="BC36" s="104"/>
      <c r="BD36" s="104"/>
      <c r="BE36" s="104"/>
      <c r="BF36" s="104"/>
      <c r="BG36" s="104"/>
      <c r="BH36" s="104"/>
      <c r="BI36" s="104"/>
      <c r="BJ36" s="104"/>
      <c r="BK36" s="104"/>
      <c r="BL36" s="104"/>
      <c r="BM36" s="104"/>
      <c r="BN36" s="104"/>
      <c r="BO36" s="104"/>
      <c r="BP36" s="104"/>
      <c r="BQ36" s="104"/>
      <c r="BR36" s="104"/>
      <c r="BS36" s="104"/>
      <c r="BT36" s="104"/>
      <c r="BU36" s="104"/>
      <c r="BV36" s="104"/>
      <c r="BW36" s="104"/>
      <c r="BX36" s="104"/>
      <c r="BY36" s="104"/>
      <c r="BZ36" s="104"/>
      <c r="CA36" s="104"/>
      <c r="CB36" s="104"/>
      <c r="CC36" s="104"/>
      <c r="CD36" s="104"/>
      <c r="CE36" s="104"/>
      <c r="CF36" s="104"/>
      <c r="CG36" s="104"/>
      <c r="CH36" s="104"/>
    </row>
    <row r="37" spans="1:86" ht="54.95" customHeight="1" x14ac:dyDescent="0.25">
      <c r="A37" s="104"/>
      <c r="B37" s="515" t="str">
        <f>'_Data Status Month'!A54</f>
        <v>Wood</v>
      </c>
      <c r="C37" s="516"/>
      <c r="D37" s="516"/>
      <c r="E37" s="516"/>
      <c r="F37" s="104"/>
      <c r="G37" s="517"/>
      <c r="H37" s="517"/>
      <c r="I37" s="517"/>
      <c r="J37" s="517"/>
      <c r="K37" s="517"/>
      <c r="L37" s="517"/>
      <c r="M37" s="517"/>
      <c r="N37" s="517"/>
      <c r="O37" s="517"/>
      <c r="P37" s="517"/>
      <c r="Q37" s="517"/>
      <c r="R37" s="517"/>
      <c r="S37" s="517"/>
      <c r="T37" s="517"/>
      <c r="U37" s="517"/>
      <c r="V37" s="517"/>
      <c r="W37" s="517"/>
      <c r="X37" s="517"/>
      <c r="Y37" s="517"/>
      <c r="Z37" s="517"/>
      <c r="AA37" s="517"/>
      <c r="AB37" s="517"/>
      <c r="AC37" s="517"/>
      <c r="AD37" s="517"/>
      <c r="AE37" s="517"/>
      <c r="AF37" s="517"/>
      <c r="AG37" s="517"/>
      <c r="AH37" s="517"/>
      <c r="AI37" s="517"/>
      <c r="AJ37" s="517"/>
      <c r="AK37" s="104"/>
      <c r="AL37" s="517"/>
      <c r="AM37" s="517"/>
      <c r="AN37" s="517"/>
      <c r="AO37" s="517"/>
      <c r="AP37" s="517"/>
      <c r="AQ37" s="517"/>
      <c r="AR37" s="517"/>
      <c r="AS37" s="517"/>
      <c r="AT37" s="517"/>
      <c r="AU37" s="517"/>
      <c r="AV37" s="517"/>
      <c r="AW37" s="517"/>
      <c r="AX37" s="517"/>
      <c r="AY37" s="517"/>
      <c r="AZ37" s="517"/>
      <c r="BA37" s="517"/>
      <c r="BB37" s="517"/>
      <c r="BC37" s="517"/>
      <c r="BD37" s="517"/>
      <c r="BE37" s="517"/>
      <c r="BF37" s="517"/>
      <c r="BG37" s="517"/>
      <c r="BH37" s="517"/>
      <c r="BI37" s="517"/>
      <c r="BJ37" s="517"/>
      <c r="BK37" s="517"/>
      <c r="BL37" s="517"/>
      <c r="BM37" s="517"/>
      <c r="BN37" s="517"/>
      <c r="BO37" s="517"/>
      <c r="BP37" s="104"/>
      <c r="BQ37" s="104"/>
      <c r="BR37" s="104"/>
      <c r="BS37" s="104"/>
      <c r="BT37" s="104"/>
      <c r="BU37" s="104"/>
      <c r="BV37" s="104"/>
      <c r="BW37" s="104"/>
      <c r="BX37" s="104"/>
      <c r="BY37" s="104"/>
      <c r="BZ37" s="104"/>
      <c r="CA37" s="104"/>
      <c r="CB37" s="104"/>
      <c r="CC37" s="104"/>
      <c r="CD37" s="104"/>
      <c r="CE37" s="104"/>
      <c r="CF37" s="104"/>
      <c r="CG37" s="104"/>
      <c r="CH37" s="104"/>
    </row>
    <row r="38" spans="1:86" ht="54.95" customHeight="1" x14ac:dyDescent="0.25">
      <c r="A38" s="104"/>
      <c r="B38" s="515"/>
      <c r="C38" s="516"/>
      <c r="D38" s="516"/>
      <c r="E38" s="516"/>
      <c r="F38" s="104"/>
      <c r="G38" s="517"/>
      <c r="H38" s="517"/>
      <c r="I38" s="517"/>
      <c r="J38" s="517"/>
      <c r="K38" s="517"/>
      <c r="L38" s="517"/>
      <c r="M38" s="517"/>
      <c r="N38" s="517"/>
      <c r="O38" s="517"/>
      <c r="P38" s="517"/>
      <c r="Q38" s="517"/>
      <c r="R38" s="517"/>
      <c r="S38" s="517"/>
      <c r="T38" s="517"/>
      <c r="U38" s="517"/>
      <c r="V38" s="517"/>
      <c r="W38" s="517"/>
      <c r="X38" s="517"/>
      <c r="Y38" s="517"/>
      <c r="Z38" s="517"/>
      <c r="AA38" s="517"/>
      <c r="AB38" s="517"/>
      <c r="AC38" s="517"/>
      <c r="AD38" s="517"/>
      <c r="AE38" s="517"/>
      <c r="AF38" s="517"/>
      <c r="AG38" s="517"/>
      <c r="AH38" s="517"/>
      <c r="AI38" s="517"/>
      <c r="AJ38" s="517"/>
      <c r="AK38" s="104"/>
      <c r="AL38" s="517"/>
      <c r="AM38" s="517"/>
      <c r="AN38" s="517"/>
      <c r="AO38" s="517"/>
      <c r="AP38" s="517"/>
      <c r="AQ38" s="517"/>
      <c r="AR38" s="517"/>
      <c r="AS38" s="517"/>
      <c r="AT38" s="517"/>
      <c r="AU38" s="517"/>
      <c r="AV38" s="517"/>
      <c r="AW38" s="517"/>
      <c r="AX38" s="517"/>
      <c r="AY38" s="517"/>
      <c r="AZ38" s="517"/>
      <c r="BA38" s="517"/>
      <c r="BB38" s="517"/>
      <c r="BC38" s="517"/>
      <c r="BD38" s="517"/>
      <c r="BE38" s="517"/>
      <c r="BF38" s="517"/>
      <c r="BG38" s="517"/>
      <c r="BH38" s="517"/>
      <c r="BI38" s="517"/>
      <c r="BJ38" s="517"/>
      <c r="BK38" s="517"/>
      <c r="BL38" s="517"/>
      <c r="BM38" s="517"/>
      <c r="BN38" s="517"/>
      <c r="BO38" s="517"/>
      <c r="BP38" s="104"/>
      <c r="BQ38" s="104"/>
      <c r="BR38" s="104"/>
      <c r="BS38" s="104"/>
      <c r="BT38" s="104"/>
      <c r="BU38" s="104"/>
      <c r="BV38" s="104"/>
      <c r="BW38" s="104"/>
      <c r="BX38" s="104"/>
      <c r="BY38" s="104"/>
      <c r="BZ38" s="104"/>
      <c r="CA38" s="104"/>
      <c r="CB38" s="104"/>
      <c r="CC38" s="104"/>
      <c r="CD38" s="104"/>
      <c r="CE38" s="104"/>
      <c r="CF38" s="104"/>
      <c r="CG38" s="104"/>
      <c r="CH38" s="104"/>
    </row>
    <row r="39" spans="1:86" ht="54.95" customHeight="1" x14ac:dyDescent="0.25">
      <c r="A39" s="104"/>
      <c r="B39" s="515"/>
      <c r="C39" s="516"/>
      <c r="D39" s="516"/>
      <c r="E39" s="516"/>
      <c r="F39" s="104"/>
      <c r="G39" s="517"/>
      <c r="H39" s="517"/>
      <c r="I39" s="517"/>
      <c r="J39" s="517"/>
      <c r="K39" s="517"/>
      <c r="L39" s="517"/>
      <c r="M39" s="517"/>
      <c r="N39" s="517"/>
      <c r="O39" s="517"/>
      <c r="P39" s="517"/>
      <c r="Q39" s="517"/>
      <c r="R39" s="517"/>
      <c r="S39" s="517"/>
      <c r="T39" s="517"/>
      <c r="U39" s="517"/>
      <c r="V39" s="517"/>
      <c r="W39" s="517"/>
      <c r="X39" s="517"/>
      <c r="Y39" s="517"/>
      <c r="Z39" s="517"/>
      <c r="AA39" s="517"/>
      <c r="AB39" s="517"/>
      <c r="AC39" s="517"/>
      <c r="AD39" s="517"/>
      <c r="AE39" s="517"/>
      <c r="AF39" s="517"/>
      <c r="AG39" s="517"/>
      <c r="AH39" s="517"/>
      <c r="AI39" s="517"/>
      <c r="AJ39" s="517"/>
      <c r="AK39" s="104"/>
      <c r="AL39" s="517"/>
      <c r="AM39" s="517"/>
      <c r="AN39" s="517"/>
      <c r="AO39" s="517"/>
      <c r="AP39" s="517"/>
      <c r="AQ39" s="517"/>
      <c r="AR39" s="517"/>
      <c r="AS39" s="517"/>
      <c r="AT39" s="517"/>
      <c r="AU39" s="517"/>
      <c r="AV39" s="517"/>
      <c r="AW39" s="517"/>
      <c r="AX39" s="517"/>
      <c r="AY39" s="517"/>
      <c r="AZ39" s="517"/>
      <c r="BA39" s="517"/>
      <c r="BB39" s="517"/>
      <c r="BC39" s="517"/>
      <c r="BD39" s="517"/>
      <c r="BE39" s="517"/>
      <c r="BF39" s="517"/>
      <c r="BG39" s="517"/>
      <c r="BH39" s="517"/>
      <c r="BI39" s="517"/>
      <c r="BJ39" s="517"/>
      <c r="BK39" s="517"/>
      <c r="BL39" s="517"/>
      <c r="BM39" s="517"/>
      <c r="BN39" s="517"/>
      <c r="BO39" s="517"/>
      <c r="BP39" s="104"/>
      <c r="BQ39" s="104"/>
      <c r="BR39" s="104"/>
      <c r="BS39" s="104"/>
      <c r="BT39" s="104"/>
      <c r="BU39" s="104"/>
      <c r="BV39" s="104"/>
      <c r="BW39" s="104"/>
      <c r="BX39" s="104"/>
      <c r="BY39" s="104"/>
      <c r="BZ39" s="104"/>
      <c r="CA39" s="104"/>
      <c r="CB39" s="104"/>
      <c r="CC39" s="104"/>
      <c r="CD39" s="104"/>
      <c r="CE39" s="104"/>
      <c r="CF39" s="104"/>
      <c r="CG39" s="104"/>
      <c r="CH39" s="104"/>
    </row>
    <row r="40" spans="1:86" ht="54.95" customHeight="1" x14ac:dyDescent="0.25">
      <c r="A40" s="104"/>
      <c r="B40" s="515"/>
      <c r="C40" s="516"/>
      <c r="D40" s="516"/>
      <c r="E40" s="516"/>
      <c r="F40" s="104"/>
      <c r="G40" s="517"/>
      <c r="H40" s="517"/>
      <c r="I40" s="517"/>
      <c r="J40" s="517"/>
      <c r="K40" s="517"/>
      <c r="L40" s="517"/>
      <c r="M40" s="517"/>
      <c r="N40" s="517"/>
      <c r="O40" s="517"/>
      <c r="P40" s="517"/>
      <c r="Q40" s="517"/>
      <c r="R40" s="517"/>
      <c r="S40" s="517"/>
      <c r="T40" s="517"/>
      <c r="U40" s="517"/>
      <c r="V40" s="517"/>
      <c r="W40" s="517"/>
      <c r="X40" s="517"/>
      <c r="Y40" s="517"/>
      <c r="Z40" s="517"/>
      <c r="AA40" s="517"/>
      <c r="AB40" s="517"/>
      <c r="AC40" s="517"/>
      <c r="AD40" s="517"/>
      <c r="AE40" s="517"/>
      <c r="AF40" s="517"/>
      <c r="AG40" s="517"/>
      <c r="AH40" s="517"/>
      <c r="AI40" s="517"/>
      <c r="AJ40" s="517"/>
      <c r="AK40" s="104"/>
      <c r="AL40" s="517"/>
      <c r="AM40" s="517"/>
      <c r="AN40" s="517"/>
      <c r="AO40" s="517"/>
      <c r="AP40" s="517"/>
      <c r="AQ40" s="517"/>
      <c r="AR40" s="517"/>
      <c r="AS40" s="517"/>
      <c r="AT40" s="517"/>
      <c r="AU40" s="517"/>
      <c r="AV40" s="517"/>
      <c r="AW40" s="517"/>
      <c r="AX40" s="517"/>
      <c r="AY40" s="517"/>
      <c r="AZ40" s="517"/>
      <c r="BA40" s="517"/>
      <c r="BB40" s="517"/>
      <c r="BC40" s="517"/>
      <c r="BD40" s="517"/>
      <c r="BE40" s="517"/>
      <c r="BF40" s="517"/>
      <c r="BG40" s="517"/>
      <c r="BH40" s="517"/>
      <c r="BI40" s="517"/>
      <c r="BJ40" s="517"/>
      <c r="BK40" s="517"/>
      <c r="BL40" s="517"/>
      <c r="BM40" s="517"/>
      <c r="BN40" s="517"/>
      <c r="BO40" s="517"/>
      <c r="BP40" s="104"/>
      <c r="BQ40" s="104"/>
      <c r="BR40" s="104"/>
      <c r="BS40" s="104"/>
      <c r="BT40" s="104"/>
      <c r="BU40" s="104"/>
      <c r="BV40" s="104"/>
      <c r="BW40" s="104"/>
      <c r="BX40" s="104"/>
      <c r="BY40" s="104"/>
      <c r="BZ40" s="104"/>
      <c r="CA40" s="104"/>
      <c r="CB40" s="104"/>
      <c r="CC40" s="104"/>
      <c r="CD40" s="104"/>
      <c r="CE40" s="104"/>
      <c r="CF40" s="104"/>
      <c r="CG40" s="104"/>
      <c r="CH40" s="104"/>
    </row>
    <row r="41" spans="1:86" ht="9.75" customHeight="1" x14ac:dyDescent="0.25">
      <c r="A41" s="104"/>
      <c r="B41" s="104"/>
      <c r="C41" s="104"/>
      <c r="D41" s="104"/>
      <c r="E41" s="104"/>
      <c r="F41" s="104"/>
      <c r="G41" s="104"/>
      <c r="H41" s="104"/>
      <c r="I41" s="104"/>
      <c r="J41" s="104"/>
      <c r="K41" s="104"/>
      <c r="L41" s="104"/>
      <c r="M41" s="104"/>
      <c r="N41" s="104"/>
      <c r="O41" s="104"/>
      <c r="P41" s="104"/>
      <c r="Q41" s="104"/>
      <c r="R41" s="104"/>
      <c r="S41" s="104"/>
      <c r="T41" s="104"/>
      <c r="U41" s="104"/>
      <c r="V41" s="104"/>
      <c r="W41" s="104"/>
      <c r="X41" s="104"/>
      <c r="Y41" s="104"/>
      <c r="Z41" s="104"/>
      <c r="AA41" s="104"/>
      <c r="AB41" s="104"/>
      <c r="AC41" s="104"/>
      <c r="AD41" s="104"/>
      <c r="AE41" s="104"/>
      <c r="AF41" s="104"/>
      <c r="AG41" s="104"/>
      <c r="AH41" s="104"/>
      <c r="AI41" s="104"/>
      <c r="AJ41" s="104"/>
      <c r="AK41" s="104"/>
      <c r="AL41" s="104"/>
      <c r="AM41" s="104"/>
      <c r="AN41" s="104"/>
      <c r="AO41" s="104"/>
      <c r="AP41" s="104"/>
      <c r="AQ41" s="104"/>
      <c r="AR41" s="104"/>
      <c r="AS41" s="104"/>
      <c r="AT41" s="104"/>
      <c r="AU41" s="104"/>
      <c r="AV41" s="104"/>
      <c r="AW41" s="104"/>
      <c r="AX41" s="104"/>
      <c r="AY41" s="104"/>
      <c r="AZ41" s="104"/>
      <c r="BA41" s="104"/>
      <c r="BB41" s="104"/>
      <c r="BC41" s="104"/>
      <c r="BD41" s="104"/>
      <c r="BE41" s="104"/>
      <c r="BF41" s="104"/>
      <c r="BG41" s="104"/>
      <c r="BH41" s="104"/>
      <c r="BI41" s="104"/>
      <c r="BJ41" s="104"/>
      <c r="BK41" s="104"/>
      <c r="BL41" s="104"/>
      <c r="BM41" s="104"/>
      <c r="BN41" s="104"/>
      <c r="BO41" s="104"/>
      <c r="BP41" s="104"/>
      <c r="BQ41" s="104"/>
      <c r="BR41" s="104"/>
      <c r="BS41" s="104"/>
      <c r="BT41" s="104"/>
      <c r="BU41" s="104"/>
      <c r="BV41" s="104"/>
      <c r="BW41" s="104"/>
      <c r="BX41" s="104"/>
      <c r="BY41" s="104"/>
      <c r="BZ41" s="104"/>
      <c r="CA41" s="104"/>
      <c r="CB41" s="104"/>
      <c r="CC41" s="104"/>
      <c r="CD41" s="104"/>
      <c r="CE41" s="104"/>
      <c r="CF41" s="104"/>
      <c r="CG41" s="104"/>
      <c r="CH41" s="104"/>
    </row>
    <row r="42" spans="1:86" ht="54.95" customHeight="1" x14ac:dyDescent="0.25">
      <c r="A42" s="104"/>
      <c r="B42" s="515" t="str">
        <f>'_Data Status Month'!A64</f>
        <v>Driver</v>
      </c>
      <c r="C42" s="516"/>
      <c r="D42" s="516"/>
      <c r="E42" s="516"/>
      <c r="F42" s="104"/>
      <c r="G42" s="517"/>
      <c r="H42" s="517"/>
      <c r="I42" s="517"/>
      <c r="J42" s="517"/>
      <c r="K42" s="517"/>
      <c r="L42" s="517"/>
      <c r="M42" s="517"/>
      <c r="N42" s="517"/>
      <c r="O42" s="517"/>
      <c r="P42" s="517"/>
      <c r="Q42" s="517"/>
      <c r="R42" s="517"/>
      <c r="S42" s="517"/>
      <c r="T42" s="517"/>
      <c r="U42" s="517"/>
      <c r="V42" s="517"/>
      <c r="W42" s="517"/>
      <c r="X42" s="517"/>
      <c r="Y42" s="517"/>
      <c r="Z42" s="517"/>
      <c r="AA42" s="517"/>
      <c r="AB42" s="517"/>
      <c r="AC42" s="517"/>
      <c r="AD42" s="517"/>
      <c r="AE42" s="517"/>
      <c r="AF42" s="517"/>
      <c r="AG42" s="517"/>
      <c r="AH42" s="517"/>
      <c r="AI42" s="517"/>
      <c r="AJ42" s="517"/>
      <c r="AK42" s="104"/>
      <c r="AL42" s="517"/>
      <c r="AM42" s="517"/>
      <c r="AN42" s="517"/>
      <c r="AO42" s="517"/>
      <c r="AP42" s="517"/>
      <c r="AQ42" s="517"/>
      <c r="AR42" s="517"/>
      <c r="AS42" s="517"/>
      <c r="AT42" s="517"/>
      <c r="AU42" s="517"/>
      <c r="AV42" s="517"/>
      <c r="AW42" s="517"/>
      <c r="AX42" s="517"/>
      <c r="AY42" s="517"/>
      <c r="AZ42" s="517"/>
      <c r="BA42" s="517"/>
      <c r="BB42" s="517"/>
      <c r="BC42" s="517"/>
      <c r="BD42" s="517"/>
      <c r="BE42" s="517"/>
      <c r="BF42" s="517"/>
      <c r="BG42" s="517"/>
      <c r="BH42" s="517"/>
      <c r="BI42" s="517"/>
      <c r="BJ42" s="517"/>
      <c r="BK42" s="517"/>
      <c r="BL42" s="517"/>
      <c r="BM42" s="517"/>
      <c r="BN42" s="517"/>
      <c r="BO42" s="517"/>
      <c r="BP42" s="104"/>
      <c r="BQ42" s="104"/>
      <c r="BR42" s="104"/>
      <c r="BS42" s="104"/>
      <c r="BT42" s="104"/>
      <c r="BU42" s="104"/>
      <c r="BV42" s="104"/>
      <c r="BW42" s="104"/>
      <c r="BX42" s="104"/>
      <c r="BY42" s="104"/>
      <c r="BZ42" s="104"/>
      <c r="CA42" s="104"/>
      <c r="CB42" s="104"/>
      <c r="CC42" s="104"/>
      <c r="CD42" s="104"/>
      <c r="CE42" s="104"/>
      <c r="CF42" s="104"/>
      <c r="CG42" s="104"/>
      <c r="CH42" s="104"/>
    </row>
    <row r="43" spans="1:86" ht="54.95" customHeight="1" x14ac:dyDescent="0.25">
      <c r="A43" s="104"/>
      <c r="B43" s="515"/>
      <c r="C43" s="516"/>
      <c r="D43" s="516"/>
      <c r="E43" s="516"/>
      <c r="F43" s="104"/>
      <c r="G43" s="517"/>
      <c r="H43" s="517"/>
      <c r="I43" s="517"/>
      <c r="J43" s="517"/>
      <c r="K43" s="517"/>
      <c r="L43" s="517"/>
      <c r="M43" s="517"/>
      <c r="N43" s="517"/>
      <c r="O43" s="517"/>
      <c r="P43" s="517"/>
      <c r="Q43" s="517"/>
      <c r="R43" s="517"/>
      <c r="S43" s="517"/>
      <c r="T43" s="517"/>
      <c r="U43" s="517"/>
      <c r="V43" s="517"/>
      <c r="W43" s="517"/>
      <c r="X43" s="517"/>
      <c r="Y43" s="517"/>
      <c r="Z43" s="517"/>
      <c r="AA43" s="517"/>
      <c r="AB43" s="517"/>
      <c r="AC43" s="517"/>
      <c r="AD43" s="517"/>
      <c r="AE43" s="517"/>
      <c r="AF43" s="517"/>
      <c r="AG43" s="517"/>
      <c r="AH43" s="517"/>
      <c r="AI43" s="517"/>
      <c r="AJ43" s="517"/>
      <c r="AK43" s="104"/>
      <c r="AL43" s="517"/>
      <c r="AM43" s="517"/>
      <c r="AN43" s="517"/>
      <c r="AO43" s="517"/>
      <c r="AP43" s="517"/>
      <c r="AQ43" s="517"/>
      <c r="AR43" s="517"/>
      <c r="AS43" s="517"/>
      <c r="AT43" s="517"/>
      <c r="AU43" s="517"/>
      <c r="AV43" s="517"/>
      <c r="AW43" s="517"/>
      <c r="AX43" s="517"/>
      <c r="AY43" s="517"/>
      <c r="AZ43" s="517"/>
      <c r="BA43" s="517"/>
      <c r="BB43" s="517"/>
      <c r="BC43" s="517"/>
      <c r="BD43" s="517"/>
      <c r="BE43" s="517"/>
      <c r="BF43" s="517"/>
      <c r="BG43" s="517"/>
      <c r="BH43" s="517"/>
      <c r="BI43" s="517"/>
      <c r="BJ43" s="517"/>
      <c r="BK43" s="517"/>
      <c r="BL43" s="517"/>
      <c r="BM43" s="517"/>
      <c r="BN43" s="517"/>
      <c r="BO43" s="517"/>
      <c r="BP43" s="104"/>
      <c r="BQ43" s="104"/>
      <c r="BR43" s="104"/>
      <c r="BS43" s="104"/>
      <c r="BT43" s="104"/>
      <c r="BU43" s="104"/>
      <c r="BV43" s="104"/>
      <c r="BW43" s="104"/>
      <c r="BX43" s="104"/>
      <c r="BY43" s="104"/>
      <c r="BZ43" s="104"/>
      <c r="CA43" s="104"/>
      <c r="CB43" s="104"/>
      <c r="CC43" s="104"/>
      <c r="CD43" s="104"/>
      <c r="CE43" s="104"/>
      <c r="CF43" s="104"/>
      <c r="CG43" s="104"/>
      <c r="CH43" s="104"/>
    </row>
    <row r="44" spans="1:86" ht="54.95" customHeight="1" x14ac:dyDescent="0.25">
      <c r="A44" s="104"/>
      <c r="B44" s="515"/>
      <c r="C44" s="516"/>
      <c r="D44" s="516"/>
      <c r="E44" s="516"/>
      <c r="F44" s="104"/>
      <c r="G44" s="517"/>
      <c r="H44" s="517"/>
      <c r="I44" s="517"/>
      <c r="J44" s="517"/>
      <c r="K44" s="517"/>
      <c r="L44" s="517"/>
      <c r="M44" s="517"/>
      <c r="N44" s="517"/>
      <c r="O44" s="517"/>
      <c r="P44" s="517"/>
      <c r="Q44" s="517"/>
      <c r="R44" s="517"/>
      <c r="S44" s="517"/>
      <c r="T44" s="517"/>
      <c r="U44" s="517"/>
      <c r="V44" s="517"/>
      <c r="W44" s="517"/>
      <c r="X44" s="517"/>
      <c r="Y44" s="517"/>
      <c r="Z44" s="517"/>
      <c r="AA44" s="517"/>
      <c r="AB44" s="517"/>
      <c r="AC44" s="517"/>
      <c r="AD44" s="517"/>
      <c r="AE44" s="517"/>
      <c r="AF44" s="517"/>
      <c r="AG44" s="517"/>
      <c r="AH44" s="517"/>
      <c r="AI44" s="517"/>
      <c r="AJ44" s="517"/>
      <c r="AK44" s="104"/>
      <c r="AL44" s="517"/>
      <c r="AM44" s="517"/>
      <c r="AN44" s="517"/>
      <c r="AO44" s="517"/>
      <c r="AP44" s="517"/>
      <c r="AQ44" s="517"/>
      <c r="AR44" s="517"/>
      <c r="AS44" s="517"/>
      <c r="AT44" s="517"/>
      <c r="AU44" s="517"/>
      <c r="AV44" s="517"/>
      <c r="AW44" s="517"/>
      <c r="AX44" s="517"/>
      <c r="AY44" s="517"/>
      <c r="AZ44" s="517"/>
      <c r="BA44" s="517"/>
      <c r="BB44" s="517"/>
      <c r="BC44" s="517"/>
      <c r="BD44" s="517"/>
      <c r="BE44" s="517"/>
      <c r="BF44" s="517"/>
      <c r="BG44" s="517"/>
      <c r="BH44" s="517"/>
      <c r="BI44" s="517"/>
      <c r="BJ44" s="517"/>
      <c r="BK44" s="517"/>
      <c r="BL44" s="517"/>
      <c r="BM44" s="517"/>
      <c r="BN44" s="517"/>
      <c r="BO44" s="517"/>
      <c r="BP44" s="104"/>
      <c r="BQ44" s="104"/>
      <c r="BR44" s="104"/>
      <c r="BS44" s="104"/>
      <c r="BT44" s="104"/>
      <c r="BU44" s="104"/>
      <c r="BV44" s="104"/>
      <c r="BW44" s="104"/>
      <c r="BX44" s="104"/>
      <c r="BY44" s="104"/>
      <c r="BZ44" s="104"/>
      <c r="CA44" s="104"/>
      <c r="CB44" s="104"/>
      <c r="CC44" s="104"/>
      <c r="CD44" s="104"/>
      <c r="CE44" s="104"/>
      <c r="CF44" s="104"/>
      <c r="CG44" s="104"/>
      <c r="CH44" s="104"/>
    </row>
    <row r="45" spans="1:86" ht="54.95" customHeight="1" x14ac:dyDescent="0.25">
      <c r="A45" s="104"/>
      <c r="B45" s="515"/>
      <c r="C45" s="516"/>
      <c r="D45" s="516"/>
      <c r="E45" s="516"/>
      <c r="F45" s="104"/>
      <c r="G45" s="517"/>
      <c r="H45" s="517"/>
      <c r="I45" s="517"/>
      <c r="J45" s="517"/>
      <c r="K45" s="517"/>
      <c r="L45" s="517"/>
      <c r="M45" s="517"/>
      <c r="N45" s="517"/>
      <c r="O45" s="517"/>
      <c r="P45" s="517"/>
      <c r="Q45" s="517"/>
      <c r="R45" s="517"/>
      <c r="S45" s="517"/>
      <c r="T45" s="517"/>
      <c r="U45" s="517"/>
      <c r="V45" s="517"/>
      <c r="W45" s="517"/>
      <c r="X45" s="517"/>
      <c r="Y45" s="517"/>
      <c r="Z45" s="517"/>
      <c r="AA45" s="517"/>
      <c r="AB45" s="517"/>
      <c r="AC45" s="517"/>
      <c r="AD45" s="517"/>
      <c r="AE45" s="517"/>
      <c r="AF45" s="517"/>
      <c r="AG45" s="517"/>
      <c r="AH45" s="517"/>
      <c r="AI45" s="517"/>
      <c r="AJ45" s="517"/>
      <c r="AK45" s="104"/>
      <c r="AL45" s="517"/>
      <c r="AM45" s="517"/>
      <c r="AN45" s="517"/>
      <c r="AO45" s="517"/>
      <c r="AP45" s="517"/>
      <c r="AQ45" s="517"/>
      <c r="AR45" s="517"/>
      <c r="AS45" s="517"/>
      <c r="AT45" s="517"/>
      <c r="AU45" s="517"/>
      <c r="AV45" s="517"/>
      <c r="AW45" s="517"/>
      <c r="AX45" s="517"/>
      <c r="AY45" s="517"/>
      <c r="AZ45" s="517"/>
      <c r="BA45" s="517"/>
      <c r="BB45" s="517"/>
      <c r="BC45" s="517"/>
      <c r="BD45" s="517"/>
      <c r="BE45" s="517"/>
      <c r="BF45" s="517"/>
      <c r="BG45" s="517"/>
      <c r="BH45" s="517"/>
      <c r="BI45" s="517"/>
      <c r="BJ45" s="517"/>
      <c r="BK45" s="517"/>
      <c r="BL45" s="517"/>
      <c r="BM45" s="517"/>
      <c r="BN45" s="517"/>
      <c r="BO45" s="517"/>
      <c r="BP45" s="104"/>
      <c r="BQ45" s="104"/>
      <c r="BR45" s="104"/>
      <c r="BS45" s="104"/>
      <c r="BT45" s="104"/>
      <c r="BU45" s="104"/>
      <c r="BV45" s="104"/>
      <c r="BW45" s="104"/>
      <c r="BX45" s="104"/>
      <c r="BY45" s="104"/>
      <c r="BZ45" s="104"/>
      <c r="CA45" s="104"/>
      <c r="CB45" s="104"/>
      <c r="CC45" s="104"/>
      <c r="CD45" s="104"/>
      <c r="CE45" s="104"/>
      <c r="CF45" s="104"/>
      <c r="CG45" s="104"/>
      <c r="CH45" s="104"/>
    </row>
    <row r="46" spans="1:86" ht="9.75" customHeight="1" x14ac:dyDescent="0.25">
      <c r="A46" s="104"/>
      <c r="B46" s="104"/>
      <c r="C46" s="104"/>
      <c r="D46" s="104"/>
      <c r="E46" s="104"/>
      <c r="F46" s="104"/>
      <c r="G46" s="104"/>
      <c r="H46" s="104"/>
      <c r="I46" s="104"/>
      <c r="J46" s="104"/>
      <c r="K46" s="104"/>
      <c r="L46" s="104"/>
      <c r="M46" s="104"/>
      <c r="N46" s="104"/>
      <c r="O46" s="104"/>
      <c r="P46" s="104"/>
      <c r="Q46" s="104"/>
      <c r="R46" s="104"/>
      <c r="S46" s="104"/>
      <c r="T46" s="104"/>
      <c r="U46" s="104"/>
      <c r="V46" s="104"/>
      <c r="W46" s="104"/>
      <c r="X46" s="104"/>
      <c r="Y46" s="104"/>
      <c r="Z46" s="104"/>
      <c r="AA46" s="104"/>
      <c r="AB46" s="104"/>
      <c r="AC46" s="104"/>
      <c r="AD46" s="104"/>
      <c r="AE46" s="104"/>
      <c r="AF46" s="104"/>
      <c r="AG46" s="104"/>
      <c r="AH46" s="104"/>
      <c r="AI46" s="104"/>
      <c r="AJ46" s="104"/>
      <c r="AK46" s="104"/>
      <c r="AL46" s="104"/>
      <c r="AM46" s="104"/>
      <c r="AN46" s="104"/>
      <c r="AO46" s="104"/>
      <c r="AP46" s="104"/>
      <c r="AQ46" s="104"/>
      <c r="AR46" s="104"/>
      <c r="AS46" s="104"/>
      <c r="AT46" s="104"/>
      <c r="AU46" s="104"/>
      <c r="AV46" s="104"/>
      <c r="AW46" s="104"/>
      <c r="AX46" s="104"/>
      <c r="AY46" s="104"/>
      <c r="AZ46" s="104"/>
      <c r="BA46" s="104"/>
      <c r="BB46" s="104"/>
      <c r="BC46" s="104"/>
      <c r="BD46" s="104"/>
      <c r="BE46" s="104"/>
      <c r="BF46" s="104"/>
      <c r="BG46" s="104"/>
      <c r="BH46" s="104"/>
      <c r="BI46" s="104"/>
      <c r="BJ46" s="104"/>
      <c r="BK46" s="104"/>
      <c r="BL46" s="104"/>
      <c r="BM46" s="104"/>
      <c r="BN46" s="104"/>
      <c r="BO46" s="104"/>
      <c r="BP46" s="104"/>
      <c r="BQ46" s="104"/>
      <c r="BR46" s="104"/>
      <c r="BS46" s="104"/>
      <c r="BT46" s="104"/>
      <c r="BU46" s="104"/>
      <c r="BV46" s="104"/>
      <c r="BW46" s="104"/>
      <c r="BX46" s="104"/>
      <c r="BY46" s="104"/>
      <c r="BZ46" s="104"/>
      <c r="CA46" s="104"/>
      <c r="CB46" s="104"/>
      <c r="CC46" s="104"/>
      <c r="CD46" s="104"/>
      <c r="CE46" s="104"/>
      <c r="CF46" s="104"/>
      <c r="CG46" s="104"/>
      <c r="CH46" s="104"/>
    </row>
    <row r="47" spans="1:86" ht="54.95" customHeight="1" x14ac:dyDescent="0.25">
      <c r="A47" s="104"/>
      <c r="B47" s="515" t="str">
        <f>'_Data Status Month'!A74</f>
        <v>Bunker</v>
      </c>
      <c r="C47" s="516"/>
      <c r="D47" s="516"/>
      <c r="E47" s="516"/>
      <c r="F47" s="104"/>
      <c r="G47" s="517"/>
      <c r="H47" s="517"/>
      <c r="I47" s="517"/>
      <c r="J47" s="517"/>
      <c r="K47" s="517"/>
      <c r="L47" s="517"/>
      <c r="M47" s="517"/>
      <c r="N47" s="517"/>
      <c r="O47" s="517"/>
      <c r="P47" s="517"/>
      <c r="Q47" s="517"/>
      <c r="R47" s="517"/>
      <c r="S47" s="517"/>
      <c r="T47" s="517"/>
      <c r="U47" s="517"/>
      <c r="V47" s="517"/>
      <c r="W47" s="517"/>
      <c r="X47" s="517"/>
      <c r="Y47" s="517"/>
      <c r="Z47" s="517"/>
      <c r="AA47" s="517"/>
      <c r="AB47" s="517"/>
      <c r="AC47" s="517"/>
      <c r="AD47" s="517"/>
      <c r="AE47" s="517"/>
      <c r="AF47" s="517"/>
      <c r="AG47" s="517"/>
      <c r="AH47" s="517"/>
      <c r="AI47" s="517"/>
      <c r="AJ47" s="517"/>
      <c r="AK47" s="104"/>
      <c r="AL47" s="517"/>
      <c r="AM47" s="517"/>
      <c r="AN47" s="517"/>
      <c r="AO47" s="517"/>
      <c r="AP47" s="517"/>
      <c r="AQ47" s="517"/>
      <c r="AR47" s="517"/>
      <c r="AS47" s="517"/>
      <c r="AT47" s="517"/>
      <c r="AU47" s="517"/>
      <c r="AV47" s="517"/>
      <c r="AW47" s="517"/>
      <c r="AX47" s="517"/>
      <c r="AY47" s="517"/>
      <c r="AZ47" s="517"/>
      <c r="BA47" s="517"/>
      <c r="BB47" s="517"/>
      <c r="BC47" s="517"/>
      <c r="BD47" s="517"/>
      <c r="BE47" s="517"/>
      <c r="BF47" s="517"/>
      <c r="BG47" s="517"/>
      <c r="BH47" s="517"/>
      <c r="BI47" s="517"/>
      <c r="BJ47" s="517"/>
      <c r="BK47" s="517"/>
      <c r="BL47" s="517"/>
      <c r="BM47" s="517"/>
      <c r="BN47" s="517"/>
      <c r="BO47" s="517"/>
      <c r="BP47" s="104"/>
      <c r="BQ47" s="104"/>
      <c r="BR47" s="104"/>
      <c r="BS47" s="104"/>
      <c r="BT47" s="104"/>
      <c r="BU47" s="104"/>
      <c r="BV47" s="104"/>
      <c r="BW47" s="104"/>
      <c r="BX47" s="104"/>
      <c r="BY47" s="104"/>
      <c r="BZ47" s="104"/>
      <c r="CA47" s="104"/>
      <c r="CB47" s="104"/>
      <c r="CC47" s="104"/>
      <c r="CD47" s="104"/>
      <c r="CE47" s="104"/>
      <c r="CF47" s="104"/>
      <c r="CG47" s="104"/>
      <c r="CH47" s="104"/>
    </row>
    <row r="48" spans="1:86" ht="54.95" customHeight="1" x14ac:dyDescent="0.25">
      <c r="A48" s="104"/>
      <c r="B48" s="515"/>
      <c r="C48" s="516"/>
      <c r="D48" s="516"/>
      <c r="E48" s="516"/>
      <c r="F48" s="104"/>
      <c r="G48" s="517"/>
      <c r="H48" s="517"/>
      <c r="I48" s="517"/>
      <c r="J48" s="517"/>
      <c r="K48" s="517"/>
      <c r="L48" s="517"/>
      <c r="M48" s="517"/>
      <c r="N48" s="517"/>
      <c r="O48" s="517"/>
      <c r="P48" s="517"/>
      <c r="Q48" s="517"/>
      <c r="R48" s="517"/>
      <c r="S48" s="517"/>
      <c r="T48" s="517"/>
      <c r="U48" s="517"/>
      <c r="V48" s="517"/>
      <c r="W48" s="517"/>
      <c r="X48" s="517"/>
      <c r="Y48" s="517"/>
      <c r="Z48" s="517"/>
      <c r="AA48" s="517"/>
      <c r="AB48" s="517"/>
      <c r="AC48" s="517"/>
      <c r="AD48" s="517"/>
      <c r="AE48" s="517"/>
      <c r="AF48" s="517"/>
      <c r="AG48" s="517"/>
      <c r="AH48" s="517"/>
      <c r="AI48" s="517"/>
      <c r="AJ48" s="517"/>
      <c r="AK48" s="104"/>
      <c r="AL48" s="517"/>
      <c r="AM48" s="517"/>
      <c r="AN48" s="517"/>
      <c r="AO48" s="517"/>
      <c r="AP48" s="517"/>
      <c r="AQ48" s="517"/>
      <c r="AR48" s="517"/>
      <c r="AS48" s="517"/>
      <c r="AT48" s="517"/>
      <c r="AU48" s="517"/>
      <c r="AV48" s="517"/>
      <c r="AW48" s="517"/>
      <c r="AX48" s="517"/>
      <c r="AY48" s="517"/>
      <c r="AZ48" s="517"/>
      <c r="BA48" s="517"/>
      <c r="BB48" s="517"/>
      <c r="BC48" s="517"/>
      <c r="BD48" s="517"/>
      <c r="BE48" s="517"/>
      <c r="BF48" s="517"/>
      <c r="BG48" s="517"/>
      <c r="BH48" s="517"/>
      <c r="BI48" s="517"/>
      <c r="BJ48" s="517"/>
      <c r="BK48" s="517"/>
      <c r="BL48" s="517"/>
      <c r="BM48" s="517"/>
      <c r="BN48" s="517"/>
      <c r="BO48" s="517"/>
      <c r="BP48" s="104"/>
      <c r="BQ48" s="104"/>
      <c r="BR48" s="104"/>
      <c r="BS48" s="104"/>
      <c r="BT48" s="104"/>
      <c r="BU48" s="104"/>
      <c r="BV48" s="104"/>
      <c r="BW48" s="104"/>
      <c r="BX48" s="104"/>
      <c r="BY48" s="104"/>
      <c r="BZ48" s="104"/>
      <c r="CA48" s="104"/>
      <c r="CB48" s="104"/>
      <c r="CC48" s="104"/>
      <c r="CD48" s="104"/>
      <c r="CE48" s="104"/>
      <c r="CF48" s="104"/>
      <c r="CG48" s="104"/>
      <c r="CH48" s="104"/>
    </row>
    <row r="49" spans="1:86" ht="54.95" customHeight="1" x14ac:dyDescent="0.25">
      <c r="A49" s="104"/>
      <c r="B49" s="515"/>
      <c r="C49" s="516"/>
      <c r="D49" s="516"/>
      <c r="E49" s="516"/>
      <c r="F49" s="104"/>
      <c r="G49" s="517"/>
      <c r="H49" s="517"/>
      <c r="I49" s="517"/>
      <c r="J49" s="517"/>
      <c r="K49" s="517"/>
      <c r="L49" s="517"/>
      <c r="M49" s="517"/>
      <c r="N49" s="517"/>
      <c r="O49" s="517"/>
      <c r="P49" s="517"/>
      <c r="Q49" s="517"/>
      <c r="R49" s="517"/>
      <c r="S49" s="517"/>
      <c r="T49" s="517"/>
      <c r="U49" s="517"/>
      <c r="V49" s="517"/>
      <c r="W49" s="517"/>
      <c r="X49" s="517"/>
      <c r="Y49" s="517"/>
      <c r="Z49" s="517"/>
      <c r="AA49" s="517"/>
      <c r="AB49" s="517"/>
      <c r="AC49" s="517"/>
      <c r="AD49" s="517"/>
      <c r="AE49" s="517"/>
      <c r="AF49" s="517"/>
      <c r="AG49" s="517"/>
      <c r="AH49" s="517"/>
      <c r="AI49" s="517"/>
      <c r="AJ49" s="517"/>
      <c r="AK49" s="104"/>
      <c r="AL49" s="517"/>
      <c r="AM49" s="517"/>
      <c r="AN49" s="517"/>
      <c r="AO49" s="517"/>
      <c r="AP49" s="517"/>
      <c r="AQ49" s="517"/>
      <c r="AR49" s="517"/>
      <c r="AS49" s="517"/>
      <c r="AT49" s="517"/>
      <c r="AU49" s="517"/>
      <c r="AV49" s="517"/>
      <c r="AW49" s="517"/>
      <c r="AX49" s="517"/>
      <c r="AY49" s="517"/>
      <c r="AZ49" s="517"/>
      <c r="BA49" s="517"/>
      <c r="BB49" s="517"/>
      <c r="BC49" s="517"/>
      <c r="BD49" s="517"/>
      <c r="BE49" s="517"/>
      <c r="BF49" s="517"/>
      <c r="BG49" s="517"/>
      <c r="BH49" s="517"/>
      <c r="BI49" s="517"/>
      <c r="BJ49" s="517"/>
      <c r="BK49" s="517"/>
      <c r="BL49" s="517"/>
      <c r="BM49" s="517"/>
      <c r="BN49" s="517"/>
      <c r="BO49" s="517"/>
      <c r="BP49" s="104"/>
      <c r="BQ49" s="104"/>
      <c r="BR49" s="104"/>
      <c r="BS49" s="104"/>
      <c r="BT49" s="104"/>
      <c r="BU49" s="104"/>
      <c r="BV49" s="104"/>
      <c r="BW49" s="104"/>
      <c r="BX49" s="104"/>
      <c r="BY49" s="104"/>
      <c r="BZ49" s="104"/>
      <c r="CA49" s="104"/>
      <c r="CB49" s="104"/>
      <c r="CC49" s="104"/>
      <c r="CD49" s="104"/>
      <c r="CE49" s="104"/>
      <c r="CF49" s="104"/>
      <c r="CG49" s="104"/>
      <c r="CH49" s="104"/>
    </row>
    <row r="50" spans="1:86" ht="54.95" customHeight="1" x14ac:dyDescent="0.25">
      <c r="A50" s="104"/>
      <c r="B50" s="515"/>
      <c r="C50" s="516"/>
      <c r="D50" s="516"/>
      <c r="E50" s="516"/>
      <c r="F50" s="104"/>
      <c r="G50" s="517"/>
      <c r="H50" s="517"/>
      <c r="I50" s="517"/>
      <c r="J50" s="517"/>
      <c r="K50" s="517"/>
      <c r="L50" s="517"/>
      <c r="M50" s="517"/>
      <c r="N50" s="517"/>
      <c r="O50" s="517"/>
      <c r="P50" s="517"/>
      <c r="Q50" s="517"/>
      <c r="R50" s="517"/>
      <c r="S50" s="517"/>
      <c r="T50" s="517"/>
      <c r="U50" s="517"/>
      <c r="V50" s="517"/>
      <c r="W50" s="517"/>
      <c r="X50" s="517"/>
      <c r="Y50" s="517"/>
      <c r="Z50" s="517"/>
      <c r="AA50" s="517"/>
      <c r="AB50" s="517"/>
      <c r="AC50" s="517"/>
      <c r="AD50" s="517"/>
      <c r="AE50" s="517"/>
      <c r="AF50" s="517"/>
      <c r="AG50" s="517"/>
      <c r="AH50" s="517"/>
      <c r="AI50" s="517"/>
      <c r="AJ50" s="517"/>
      <c r="AK50" s="104"/>
      <c r="AL50" s="517"/>
      <c r="AM50" s="517"/>
      <c r="AN50" s="517"/>
      <c r="AO50" s="517"/>
      <c r="AP50" s="517"/>
      <c r="AQ50" s="517"/>
      <c r="AR50" s="517"/>
      <c r="AS50" s="517"/>
      <c r="AT50" s="517"/>
      <c r="AU50" s="517"/>
      <c r="AV50" s="517"/>
      <c r="AW50" s="517"/>
      <c r="AX50" s="517"/>
      <c r="AY50" s="517"/>
      <c r="AZ50" s="517"/>
      <c r="BA50" s="517"/>
      <c r="BB50" s="517"/>
      <c r="BC50" s="517"/>
      <c r="BD50" s="517"/>
      <c r="BE50" s="517"/>
      <c r="BF50" s="517"/>
      <c r="BG50" s="517"/>
      <c r="BH50" s="517"/>
      <c r="BI50" s="517"/>
      <c r="BJ50" s="517"/>
      <c r="BK50" s="517"/>
      <c r="BL50" s="517"/>
      <c r="BM50" s="517"/>
      <c r="BN50" s="517"/>
      <c r="BO50" s="517"/>
      <c r="BP50" s="104"/>
      <c r="BQ50" s="104"/>
      <c r="BR50" s="104"/>
      <c r="BS50" s="104"/>
      <c r="BT50" s="104"/>
      <c r="BU50" s="104"/>
      <c r="BV50" s="104"/>
      <c r="BW50" s="104"/>
      <c r="BX50" s="104"/>
      <c r="BY50" s="104"/>
      <c r="BZ50" s="104"/>
      <c r="CA50" s="104"/>
      <c r="CB50" s="104"/>
      <c r="CC50" s="104"/>
      <c r="CD50" s="104"/>
      <c r="CE50" s="104"/>
      <c r="CF50" s="104"/>
      <c r="CG50" s="104"/>
      <c r="CH50" s="104"/>
    </row>
    <row r="51" spans="1:86" ht="9.75" customHeight="1" x14ac:dyDescent="0.25">
      <c r="A51" s="104"/>
      <c r="B51" s="104"/>
      <c r="C51" s="104"/>
      <c r="D51" s="104"/>
      <c r="E51" s="104"/>
      <c r="F51" s="104"/>
      <c r="G51" s="104"/>
      <c r="H51" s="104"/>
      <c r="I51" s="104"/>
      <c r="J51" s="104"/>
      <c r="K51" s="104"/>
      <c r="L51" s="104"/>
      <c r="M51" s="104"/>
      <c r="N51" s="104"/>
      <c r="O51" s="104"/>
      <c r="P51" s="104"/>
      <c r="Q51" s="104"/>
      <c r="R51" s="104"/>
      <c r="S51" s="104"/>
      <c r="T51" s="104"/>
      <c r="U51" s="104"/>
      <c r="V51" s="104"/>
      <c r="W51" s="104"/>
      <c r="X51" s="104"/>
      <c r="Y51" s="104"/>
      <c r="Z51" s="104"/>
      <c r="AA51" s="104"/>
      <c r="AB51" s="104"/>
      <c r="AC51" s="104"/>
      <c r="AD51" s="104"/>
      <c r="AE51" s="104"/>
      <c r="AF51" s="104"/>
      <c r="AG51" s="104"/>
      <c r="AH51" s="104"/>
      <c r="AI51" s="104"/>
      <c r="AJ51" s="104"/>
      <c r="AK51" s="104"/>
      <c r="AL51" s="104"/>
      <c r="AM51" s="104"/>
      <c r="AN51" s="104"/>
      <c r="AO51" s="104"/>
      <c r="AP51" s="104"/>
      <c r="AQ51" s="104"/>
      <c r="AR51" s="104"/>
      <c r="AS51" s="104"/>
      <c r="AT51" s="104"/>
      <c r="AU51" s="104"/>
      <c r="AV51" s="104"/>
      <c r="AW51" s="104"/>
      <c r="AX51" s="104"/>
      <c r="AY51" s="104"/>
      <c r="AZ51" s="104"/>
      <c r="BA51" s="104"/>
      <c r="BB51" s="104"/>
      <c r="BC51" s="104"/>
      <c r="BD51" s="104"/>
      <c r="BE51" s="104"/>
      <c r="BF51" s="104"/>
      <c r="BG51" s="104"/>
      <c r="BH51" s="104"/>
      <c r="BI51" s="104"/>
      <c r="BJ51" s="104"/>
      <c r="BK51" s="104"/>
      <c r="BL51" s="104"/>
      <c r="BM51" s="104"/>
      <c r="BN51" s="104"/>
      <c r="BO51" s="104"/>
      <c r="BP51" s="104"/>
      <c r="BQ51" s="104"/>
      <c r="BR51" s="104"/>
      <c r="BS51" s="104"/>
      <c r="BT51" s="104"/>
      <c r="BU51" s="104"/>
      <c r="BV51" s="104"/>
      <c r="BW51" s="104"/>
      <c r="BX51" s="104"/>
      <c r="BY51" s="104"/>
      <c r="BZ51" s="104"/>
      <c r="CA51" s="104"/>
      <c r="CB51" s="104"/>
      <c r="CC51" s="104"/>
      <c r="CD51" s="104"/>
      <c r="CE51" s="104"/>
      <c r="CF51" s="104"/>
      <c r="CG51" s="104"/>
      <c r="CH51" s="104"/>
    </row>
    <row r="52" spans="1:86" ht="54.95" customHeight="1" x14ac:dyDescent="0.25">
      <c r="A52" s="104"/>
      <c r="B52" s="515" t="str">
        <f>'_Data Status Month'!A84</f>
        <v>Mental</v>
      </c>
      <c r="C52" s="516"/>
      <c r="D52" s="516"/>
      <c r="E52" s="516"/>
      <c r="F52" s="104"/>
      <c r="G52" s="517"/>
      <c r="H52" s="517"/>
      <c r="I52" s="517"/>
      <c r="J52" s="517"/>
      <c r="K52" s="517"/>
      <c r="L52" s="517"/>
      <c r="M52" s="517"/>
      <c r="N52" s="517"/>
      <c r="O52" s="517"/>
      <c r="P52" s="517"/>
      <c r="Q52" s="517"/>
      <c r="R52" s="517"/>
      <c r="S52" s="517"/>
      <c r="T52" s="517"/>
      <c r="U52" s="517"/>
      <c r="V52" s="517"/>
      <c r="W52" s="517"/>
      <c r="X52" s="517"/>
      <c r="Y52" s="517"/>
      <c r="Z52" s="517"/>
      <c r="AA52" s="517"/>
      <c r="AB52" s="517"/>
      <c r="AC52" s="517"/>
      <c r="AD52" s="517"/>
      <c r="AE52" s="517"/>
      <c r="AF52" s="517"/>
      <c r="AG52" s="517"/>
      <c r="AH52" s="517"/>
      <c r="AI52" s="517"/>
      <c r="AJ52" s="517"/>
      <c r="AK52" s="104"/>
      <c r="AL52" s="517"/>
      <c r="AM52" s="517"/>
      <c r="AN52" s="517"/>
      <c r="AO52" s="517"/>
      <c r="AP52" s="517"/>
      <c r="AQ52" s="517"/>
      <c r="AR52" s="517"/>
      <c r="AS52" s="517"/>
      <c r="AT52" s="517"/>
      <c r="AU52" s="517"/>
      <c r="AV52" s="517"/>
      <c r="AW52" s="517"/>
      <c r="AX52" s="517"/>
      <c r="AY52" s="517"/>
      <c r="AZ52" s="517"/>
      <c r="BA52" s="517"/>
      <c r="BB52" s="517"/>
      <c r="BC52" s="517"/>
      <c r="BD52" s="517"/>
      <c r="BE52" s="517"/>
      <c r="BF52" s="517"/>
      <c r="BG52" s="517"/>
      <c r="BH52" s="517"/>
      <c r="BI52" s="517"/>
      <c r="BJ52" s="517"/>
      <c r="BK52" s="517"/>
      <c r="BL52" s="517"/>
      <c r="BM52" s="517"/>
      <c r="BN52" s="517"/>
      <c r="BO52" s="517"/>
      <c r="BP52" s="104"/>
      <c r="BQ52" s="104"/>
      <c r="BR52" s="104"/>
      <c r="BS52" s="104"/>
      <c r="BT52" s="104"/>
      <c r="BU52" s="104"/>
      <c r="BV52" s="104"/>
      <c r="BW52" s="104"/>
      <c r="BX52" s="104"/>
      <c r="BY52" s="104"/>
      <c r="BZ52" s="104"/>
      <c r="CA52" s="104"/>
      <c r="CB52" s="104"/>
      <c r="CC52" s="104"/>
      <c r="CD52" s="104"/>
      <c r="CE52" s="104"/>
      <c r="CF52" s="104"/>
      <c r="CG52" s="104"/>
      <c r="CH52" s="104"/>
    </row>
    <row r="53" spans="1:86" ht="54.95" customHeight="1" x14ac:dyDescent="0.25">
      <c r="A53" s="104"/>
      <c r="B53" s="515"/>
      <c r="C53" s="516"/>
      <c r="D53" s="516"/>
      <c r="E53" s="516"/>
      <c r="F53" s="104"/>
      <c r="G53" s="517"/>
      <c r="H53" s="517"/>
      <c r="I53" s="517"/>
      <c r="J53" s="517"/>
      <c r="K53" s="517"/>
      <c r="L53" s="517"/>
      <c r="M53" s="517"/>
      <c r="N53" s="517"/>
      <c r="O53" s="517"/>
      <c r="P53" s="517"/>
      <c r="Q53" s="517"/>
      <c r="R53" s="517"/>
      <c r="S53" s="517"/>
      <c r="T53" s="517"/>
      <c r="U53" s="517"/>
      <c r="V53" s="517"/>
      <c r="W53" s="517"/>
      <c r="X53" s="517"/>
      <c r="Y53" s="517"/>
      <c r="Z53" s="517"/>
      <c r="AA53" s="517"/>
      <c r="AB53" s="517"/>
      <c r="AC53" s="517"/>
      <c r="AD53" s="517"/>
      <c r="AE53" s="517"/>
      <c r="AF53" s="517"/>
      <c r="AG53" s="517"/>
      <c r="AH53" s="517"/>
      <c r="AI53" s="517"/>
      <c r="AJ53" s="517"/>
      <c r="AK53" s="104"/>
      <c r="AL53" s="517"/>
      <c r="AM53" s="517"/>
      <c r="AN53" s="517"/>
      <c r="AO53" s="517"/>
      <c r="AP53" s="517"/>
      <c r="AQ53" s="517"/>
      <c r="AR53" s="517"/>
      <c r="AS53" s="517"/>
      <c r="AT53" s="517"/>
      <c r="AU53" s="517"/>
      <c r="AV53" s="517"/>
      <c r="AW53" s="517"/>
      <c r="AX53" s="517"/>
      <c r="AY53" s="517"/>
      <c r="AZ53" s="517"/>
      <c r="BA53" s="517"/>
      <c r="BB53" s="517"/>
      <c r="BC53" s="517"/>
      <c r="BD53" s="517"/>
      <c r="BE53" s="517"/>
      <c r="BF53" s="517"/>
      <c r="BG53" s="517"/>
      <c r="BH53" s="517"/>
      <c r="BI53" s="517"/>
      <c r="BJ53" s="517"/>
      <c r="BK53" s="517"/>
      <c r="BL53" s="517"/>
      <c r="BM53" s="517"/>
      <c r="BN53" s="517"/>
      <c r="BO53" s="517"/>
      <c r="BP53" s="104"/>
      <c r="BQ53" s="104"/>
      <c r="BR53" s="104"/>
      <c r="BS53" s="104"/>
      <c r="BT53" s="104"/>
      <c r="BU53" s="104"/>
      <c r="BV53" s="104"/>
      <c r="BW53" s="104"/>
      <c r="BX53" s="104"/>
      <c r="BY53" s="104"/>
      <c r="BZ53" s="104"/>
      <c r="CA53" s="104"/>
      <c r="CB53" s="104"/>
      <c r="CC53" s="104"/>
      <c r="CD53" s="104"/>
      <c r="CE53" s="104"/>
      <c r="CF53" s="104"/>
      <c r="CG53" s="104"/>
      <c r="CH53" s="104"/>
    </row>
    <row r="54" spans="1:86" ht="54.95" customHeight="1" x14ac:dyDescent="0.25">
      <c r="A54" s="104"/>
      <c r="B54" s="515"/>
      <c r="C54" s="516"/>
      <c r="D54" s="516"/>
      <c r="E54" s="516"/>
      <c r="F54" s="104"/>
      <c r="G54" s="517"/>
      <c r="H54" s="517"/>
      <c r="I54" s="517"/>
      <c r="J54" s="517"/>
      <c r="K54" s="517"/>
      <c r="L54" s="517"/>
      <c r="M54" s="517"/>
      <c r="N54" s="517"/>
      <c r="O54" s="517"/>
      <c r="P54" s="517"/>
      <c r="Q54" s="517"/>
      <c r="R54" s="517"/>
      <c r="S54" s="517"/>
      <c r="T54" s="517"/>
      <c r="U54" s="517"/>
      <c r="V54" s="517"/>
      <c r="W54" s="517"/>
      <c r="X54" s="517"/>
      <c r="Y54" s="517"/>
      <c r="Z54" s="517"/>
      <c r="AA54" s="517"/>
      <c r="AB54" s="517"/>
      <c r="AC54" s="517"/>
      <c r="AD54" s="517"/>
      <c r="AE54" s="517"/>
      <c r="AF54" s="517"/>
      <c r="AG54" s="517"/>
      <c r="AH54" s="517"/>
      <c r="AI54" s="517"/>
      <c r="AJ54" s="517"/>
      <c r="AK54" s="104"/>
      <c r="AL54" s="517"/>
      <c r="AM54" s="517"/>
      <c r="AN54" s="517"/>
      <c r="AO54" s="517"/>
      <c r="AP54" s="517"/>
      <c r="AQ54" s="517"/>
      <c r="AR54" s="517"/>
      <c r="AS54" s="517"/>
      <c r="AT54" s="517"/>
      <c r="AU54" s="517"/>
      <c r="AV54" s="517"/>
      <c r="AW54" s="517"/>
      <c r="AX54" s="517"/>
      <c r="AY54" s="517"/>
      <c r="AZ54" s="517"/>
      <c r="BA54" s="517"/>
      <c r="BB54" s="517"/>
      <c r="BC54" s="517"/>
      <c r="BD54" s="517"/>
      <c r="BE54" s="517"/>
      <c r="BF54" s="517"/>
      <c r="BG54" s="517"/>
      <c r="BH54" s="517"/>
      <c r="BI54" s="517"/>
      <c r="BJ54" s="517"/>
      <c r="BK54" s="517"/>
      <c r="BL54" s="517"/>
      <c r="BM54" s="517"/>
      <c r="BN54" s="517"/>
      <c r="BO54" s="517"/>
      <c r="BP54" s="104"/>
      <c r="BQ54" s="104"/>
      <c r="BR54" s="104"/>
      <c r="BS54" s="104"/>
      <c r="BT54" s="104"/>
      <c r="BU54" s="104"/>
      <c r="BV54" s="104"/>
      <c r="BW54" s="104"/>
      <c r="BX54" s="104"/>
      <c r="BY54" s="104"/>
      <c r="BZ54" s="104"/>
      <c r="CA54" s="104"/>
      <c r="CB54" s="104"/>
      <c r="CC54" s="104"/>
      <c r="CD54" s="104"/>
      <c r="CE54" s="104"/>
      <c r="CF54" s="104"/>
      <c r="CG54" s="104"/>
      <c r="CH54" s="104"/>
    </row>
    <row r="55" spans="1:86" ht="54.95" customHeight="1" x14ac:dyDescent="0.25">
      <c r="A55" s="104"/>
      <c r="B55" s="515"/>
      <c r="C55" s="516"/>
      <c r="D55" s="516"/>
      <c r="E55" s="516"/>
      <c r="F55" s="104"/>
      <c r="G55" s="517"/>
      <c r="H55" s="517"/>
      <c r="I55" s="517"/>
      <c r="J55" s="517"/>
      <c r="K55" s="517"/>
      <c r="L55" s="517"/>
      <c r="M55" s="517"/>
      <c r="N55" s="517"/>
      <c r="O55" s="517"/>
      <c r="P55" s="517"/>
      <c r="Q55" s="517"/>
      <c r="R55" s="517"/>
      <c r="S55" s="517"/>
      <c r="T55" s="517"/>
      <c r="U55" s="517"/>
      <c r="V55" s="517"/>
      <c r="W55" s="517"/>
      <c r="X55" s="517"/>
      <c r="Y55" s="517"/>
      <c r="Z55" s="517"/>
      <c r="AA55" s="517"/>
      <c r="AB55" s="517"/>
      <c r="AC55" s="517"/>
      <c r="AD55" s="517"/>
      <c r="AE55" s="517"/>
      <c r="AF55" s="517"/>
      <c r="AG55" s="517"/>
      <c r="AH55" s="517"/>
      <c r="AI55" s="517"/>
      <c r="AJ55" s="517"/>
      <c r="AK55" s="104"/>
      <c r="AL55" s="517"/>
      <c r="AM55" s="517"/>
      <c r="AN55" s="517"/>
      <c r="AO55" s="517"/>
      <c r="AP55" s="517"/>
      <c r="AQ55" s="517"/>
      <c r="AR55" s="517"/>
      <c r="AS55" s="517"/>
      <c r="AT55" s="517"/>
      <c r="AU55" s="517"/>
      <c r="AV55" s="517"/>
      <c r="AW55" s="517"/>
      <c r="AX55" s="517"/>
      <c r="AY55" s="517"/>
      <c r="AZ55" s="517"/>
      <c r="BA55" s="517"/>
      <c r="BB55" s="517"/>
      <c r="BC55" s="517"/>
      <c r="BD55" s="517"/>
      <c r="BE55" s="517"/>
      <c r="BF55" s="517"/>
      <c r="BG55" s="517"/>
      <c r="BH55" s="517"/>
      <c r="BI55" s="517"/>
      <c r="BJ55" s="517"/>
      <c r="BK55" s="517"/>
      <c r="BL55" s="517"/>
      <c r="BM55" s="517"/>
      <c r="BN55" s="517"/>
      <c r="BO55" s="517"/>
      <c r="BP55" s="104"/>
      <c r="BQ55" s="104"/>
      <c r="BR55" s="104"/>
      <c r="BS55" s="104"/>
      <c r="BT55" s="104"/>
      <c r="BU55" s="104"/>
      <c r="BV55" s="104"/>
      <c r="BW55" s="104"/>
      <c r="BX55" s="104"/>
      <c r="BY55" s="104"/>
      <c r="BZ55" s="104"/>
      <c r="CA55" s="104"/>
      <c r="CB55" s="104"/>
      <c r="CC55" s="104"/>
      <c r="CD55" s="104"/>
      <c r="CE55" s="104"/>
      <c r="CF55" s="104"/>
      <c r="CG55" s="104"/>
      <c r="CH55" s="104"/>
    </row>
    <row r="56" spans="1:86" ht="9.75" customHeight="1" x14ac:dyDescent="0.25">
      <c r="A56" s="104"/>
      <c r="B56" s="104"/>
      <c r="C56" s="104"/>
      <c r="D56" s="104"/>
      <c r="E56" s="104"/>
      <c r="F56" s="104"/>
      <c r="G56" s="104"/>
      <c r="H56" s="104"/>
      <c r="I56" s="104"/>
      <c r="J56" s="104"/>
      <c r="K56" s="104"/>
      <c r="L56" s="104"/>
      <c r="M56" s="104"/>
      <c r="N56" s="104"/>
      <c r="O56" s="104"/>
      <c r="P56" s="104"/>
      <c r="Q56" s="104"/>
      <c r="R56" s="104"/>
      <c r="S56" s="104"/>
      <c r="T56" s="104"/>
      <c r="U56" s="104"/>
      <c r="V56" s="104"/>
      <c r="W56" s="104"/>
      <c r="X56" s="104"/>
      <c r="Y56" s="104"/>
      <c r="Z56" s="104"/>
      <c r="AA56" s="104"/>
      <c r="AB56" s="104"/>
      <c r="AC56" s="104"/>
      <c r="AD56" s="104"/>
      <c r="AE56" s="104"/>
      <c r="AF56" s="104"/>
      <c r="AG56" s="104"/>
      <c r="AH56" s="104"/>
      <c r="AI56" s="104"/>
      <c r="AJ56" s="104"/>
      <c r="AK56" s="104"/>
      <c r="AL56" s="104"/>
      <c r="AM56" s="104"/>
      <c r="AN56" s="104"/>
      <c r="AO56" s="104"/>
      <c r="AP56" s="104"/>
      <c r="AQ56" s="104"/>
      <c r="AR56" s="104"/>
      <c r="AS56" s="104"/>
      <c r="AT56" s="104"/>
      <c r="AU56" s="104"/>
      <c r="AV56" s="104"/>
      <c r="AW56" s="104"/>
      <c r="AX56" s="104"/>
      <c r="AY56" s="104"/>
      <c r="AZ56" s="104"/>
      <c r="BA56" s="104"/>
      <c r="BB56" s="104"/>
      <c r="BC56" s="104"/>
      <c r="BD56" s="104"/>
      <c r="BE56" s="104"/>
      <c r="BF56" s="104"/>
      <c r="BG56" s="104"/>
      <c r="BH56" s="104"/>
      <c r="BI56" s="104"/>
      <c r="BJ56" s="104"/>
      <c r="BK56" s="104"/>
      <c r="BL56" s="104"/>
      <c r="BM56" s="104"/>
      <c r="BN56" s="104"/>
      <c r="BO56" s="104"/>
      <c r="BP56" s="104"/>
      <c r="BQ56" s="104"/>
      <c r="BR56" s="104"/>
      <c r="BS56" s="104"/>
      <c r="BT56" s="104"/>
      <c r="BU56" s="104"/>
      <c r="BV56" s="104"/>
      <c r="BW56" s="104"/>
      <c r="BX56" s="104"/>
      <c r="BY56" s="104"/>
      <c r="BZ56" s="104"/>
      <c r="CA56" s="104"/>
      <c r="CB56" s="104"/>
      <c r="CC56" s="104"/>
      <c r="CD56" s="104"/>
      <c r="CE56" s="104"/>
      <c r="CF56" s="104"/>
      <c r="CG56" s="104"/>
      <c r="CH56" s="104"/>
    </row>
    <row r="57" spans="1:86" ht="54.95" customHeight="1" x14ac:dyDescent="0.25">
      <c r="A57" s="104"/>
      <c r="B57" s="515" t="str">
        <f>'_Data Status Month'!A94</f>
        <v>Round of Golf</v>
      </c>
      <c r="C57" s="516"/>
      <c r="D57" s="516"/>
      <c r="E57" s="516"/>
      <c r="F57" s="104"/>
      <c r="G57" s="517"/>
      <c r="H57" s="517"/>
      <c r="I57" s="517"/>
      <c r="J57" s="517"/>
      <c r="K57" s="517"/>
      <c r="L57" s="517"/>
      <c r="M57" s="517"/>
      <c r="N57" s="517"/>
      <c r="O57" s="517"/>
      <c r="P57" s="517"/>
      <c r="Q57" s="517"/>
      <c r="R57" s="517"/>
      <c r="S57" s="517"/>
      <c r="T57" s="517"/>
      <c r="U57" s="517"/>
      <c r="V57" s="517"/>
      <c r="W57" s="517"/>
      <c r="X57" s="517"/>
      <c r="Y57" s="517"/>
      <c r="Z57" s="517"/>
      <c r="AA57" s="517"/>
      <c r="AB57" s="517"/>
      <c r="AC57" s="517"/>
      <c r="AD57" s="517"/>
      <c r="AE57" s="517"/>
      <c r="AF57" s="517"/>
      <c r="AG57" s="517"/>
      <c r="AH57" s="517"/>
      <c r="AI57" s="517"/>
      <c r="AJ57" s="517"/>
      <c r="AK57" s="104"/>
      <c r="AL57" s="517"/>
      <c r="AM57" s="517"/>
      <c r="AN57" s="517"/>
      <c r="AO57" s="517"/>
      <c r="AP57" s="517"/>
      <c r="AQ57" s="517"/>
      <c r="AR57" s="517"/>
      <c r="AS57" s="517"/>
      <c r="AT57" s="517"/>
      <c r="AU57" s="517"/>
      <c r="AV57" s="517"/>
      <c r="AW57" s="517"/>
      <c r="AX57" s="517"/>
      <c r="AY57" s="517"/>
      <c r="AZ57" s="517"/>
      <c r="BA57" s="517"/>
      <c r="BB57" s="517"/>
      <c r="BC57" s="517"/>
      <c r="BD57" s="517"/>
      <c r="BE57" s="517"/>
      <c r="BF57" s="517"/>
      <c r="BG57" s="517"/>
      <c r="BH57" s="517"/>
      <c r="BI57" s="517"/>
      <c r="BJ57" s="517"/>
      <c r="BK57" s="517"/>
      <c r="BL57" s="517"/>
      <c r="BM57" s="517"/>
      <c r="BN57" s="517"/>
      <c r="BO57" s="517"/>
      <c r="BP57" s="104"/>
      <c r="BQ57" s="104"/>
      <c r="BR57" s="104"/>
      <c r="BS57" s="104"/>
      <c r="BT57" s="104"/>
      <c r="BU57" s="104"/>
      <c r="BV57" s="104"/>
      <c r="BW57" s="104"/>
      <c r="BX57" s="104"/>
      <c r="BY57" s="104"/>
      <c r="BZ57" s="104"/>
      <c r="CA57" s="104"/>
      <c r="CB57" s="104"/>
      <c r="CC57" s="104"/>
      <c r="CD57" s="104"/>
      <c r="CE57" s="104"/>
      <c r="CF57" s="104"/>
      <c r="CG57" s="104"/>
      <c r="CH57" s="104"/>
    </row>
    <row r="58" spans="1:86" ht="54.95" customHeight="1" x14ac:dyDescent="0.25">
      <c r="A58" s="104"/>
      <c r="B58" s="515"/>
      <c r="C58" s="516"/>
      <c r="D58" s="516"/>
      <c r="E58" s="516"/>
      <c r="F58" s="104"/>
      <c r="G58" s="517"/>
      <c r="H58" s="517"/>
      <c r="I58" s="517"/>
      <c r="J58" s="517"/>
      <c r="K58" s="517"/>
      <c r="L58" s="517"/>
      <c r="M58" s="517"/>
      <c r="N58" s="517"/>
      <c r="O58" s="517"/>
      <c r="P58" s="517"/>
      <c r="Q58" s="517"/>
      <c r="R58" s="517"/>
      <c r="S58" s="517"/>
      <c r="T58" s="517"/>
      <c r="U58" s="517"/>
      <c r="V58" s="517"/>
      <c r="W58" s="517"/>
      <c r="X58" s="517"/>
      <c r="Y58" s="517"/>
      <c r="Z58" s="517"/>
      <c r="AA58" s="517"/>
      <c r="AB58" s="517"/>
      <c r="AC58" s="517"/>
      <c r="AD58" s="517"/>
      <c r="AE58" s="517"/>
      <c r="AF58" s="517"/>
      <c r="AG58" s="517"/>
      <c r="AH58" s="517"/>
      <c r="AI58" s="517"/>
      <c r="AJ58" s="517"/>
      <c r="AK58" s="104"/>
      <c r="AL58" s="517"/>
      <c r="AM58" s="517"/>
      <c r="AN58" s="517"/>
      <c r="AO58" s="517"/>
      <c r="AP58" s="517"/>
      <c r="AQ58" s="517"/>
      <c r="AR58" s="517"/>
      <c r="AS58" s="517"/>
      <c r="AT58" s="517"/>
      <c r="AU58" s="517"/>
      <c r="AV58" s="517"/>
      <c r="AW58" s="517"/>
      <c r="AX58" s="517"/>
      <c r="AY58" s="517"/>
      <c r="AZ58" s="517"/>
      <c r="BA58" s="517"/>
      <c r="BB58" s="517"/>
      <c r="BC58" s="517"/>
      <c r="BD58" s="517"/>
      <c r="BE58" s="517"/>
      <c r="BF58" s="517"/>
      <c r="BG58" s="517"/>
      <c r="BH58" s="517"/>
      <c r="BI58" s="517"/>
      <c r="BJ58" s="517"/>
      <c r="BK58" s="517"/>
      <c r="BL58" s="517"/>
      <c r="BM58" s="517"/>
      <c r="BN58" s="517"/>
      <c r="BO58" s="517"/>
      <c r="BP58" s="104"/>
      <c r="BQ58" s="104"/>
      <c r="BR58" s="104"/>
      <c r="BS58" s="104"/>
      <c r="BT58" s="104"/>
      <c r="BU58" s="104"/>
      <c r="BV58" s="104"/>
      <c r="BW58" s="104"/>
      <c r="BX58" s="104"/>
      <c r="BY58" s="104"/>
      <c r="BZ58" s="104"/>
      <c r="CA58" s="104"/>
      <c r="CB58" s="104"/>
      <c r="CC58" s="104"/>
      <c r="CD58" s="104"/>
      <c r="CE58" s="104"/>
      <c r="CF58" s="104"/>
      <c r="CG58" s="104"/>
      <c r="CH58" s="104"/>
    </row>
    <row r="59" spans="1:86" ht="54.95" customHeight="1" x14ac:dyDescent="0.25">
      <c r="A59" s="104"/>
      <c r="B59" s="515"/>
      <c r="C59" s="516"/>
      <c r="D59" s="516"/>
      <c r="E59" s="516"/>
      <c r="F59" s="104"/>
      <c r="G59" s="517"/>
      <c r="H59" s="517"/>
      <c r="I59" s="517"/>
      <c r="J59" s="517"/>
      <c r="K59" s="517"/>
      <c r="L59" s="517"/>
      <c r="M59" s="517"/>
      <c r="N59" s="517"/>
      <c r="O59" s="517"/>
      <c r="P59" s="517"/>
      <c r="Q59" s="517"/>
      <c r="R59" s="517"/>
      <c r="S59" s="517"/>
      <c r="T59" s="517"/>
      <c r="U59" s="517"/>
      <c r="V59" s="517"/>
      <c r="W59" s="517"/>
      <c r="X59" s="517"/>
      <c r="Y59" s="517"/>
      <c r="Z59" s="517"/>
      <c r="AA59" s="517"/>
      <c r="AB59" s="517"/>
      <c r="AC59" s="517"/>
      <c r="AD59" s="517"/>
      <c r="AE59" s="517"/>
      <c r="AF59" s="517"/>
      <c r="AG59" s="517"/>
      <c r="AH59" s="517"/>
      <c r="AI59" s="517"/>
      <c r="AJ59" s="517"/>
      <c r="AK59" s="104"/>
      <c r="AL59" s="517"/>
      <c r="AM59" s="517"/>
      <c r="AN59" s="517"/>
      <c r="AO59" s="517"/>
      <c r="AP59" s="517"/>
      <c r="AQ59" s="517"/>
      <c r="AR59" s="517"/>
      <c r="AS59" s="517"/>
      <c r="AT59" s="517"/>
      <c r="AU59" s="517"/>
      <c r="AV59" s="517"/>
      <c r="AW59" s="517"/>
      <c r="AX59" s="517"/>
      <c r="AY59" s="517"/>
      <c r="AZ59" s="517"/>
      <c r="BA59" s="517"/>
      <c r="BB59" s="517"/>
      <c r="BC59" s="517"/>
      <c r="BD59" s="517"/>
      <c r="BE59" s="517"/>
      <c r="BF59" s="517"/>
      <c r="BG59" s="517"/>
      <c r="BH59" s="517"/>
      <c r="BI59" s="517"/>
      <c r="BJ59" s="517"/>
      <c r="BK59" s="517"/>
      <c r="BL59" s="517"/>
      <c r="BM59" s="517"/>
      <c r="BN59" s="517"/>
      <c r="BO59" s="517"/>
      <c r="BP59" s="104"/>
      <c r="BQ59" s="104"/>
      <c r="BR59" s="104"/>
      <c r="BS59" s="104"/>
      <c r="BT59" s="104"/>
      <c r="BU59" s="104"/>
      <c r="BV59" s="104"/>
      <c r="BW59" s="104"/>
      <c r="BX59" s="104"/>
      <c r="BY59" s="104"/>
      <c r="BZ59" s="104"/>
      <c r="CA59" s="104"/>
      <c r="CB59" s="104"/>
      <c r="CC59" s="104"/>
      <c r="CD59" s="104"/>
      <c r="CE59" s="104"/>
      <c r="CF59" s="104"/>
      <c r="CG59" s="104"/>
      <c r="CH59" s="104"/>
    </row>
    <row r="60" spans="1:86" ht="54.95" customHeight="1" x14ac:dyDescent="0.25">
      <c r="A60" s="104"/>
      <c r="B60" s="515"/>
      <c r="C60" s="516"/>
      <c r="D60" s="516"/>
      <c r="E60" s="516"/>
      <c r="F60" s="104"/>
      <c r="G60" s="517"/>
      <c r="H60" s="517"/>
      <c r="I60" s="517"/>
      <c r="J60" s="517"/>
      <c r="K60" s="517"/>
      <c r="L60" s="517"/>
      <c r="M60" s="517"/>
      <c r="N60" s="517"/>
      <c r="O60" s="517"/>
      <c r="P60" s="517"/>
      <c r="Q60" s="517"/>
      <c r="R60" s="517"/>
      <c r="S60" s="517"/>
      <c r="T60" s="517"/>
      <c r="U60" s="517"/>
      <c r="V60" s="517"/>
      <c r="W60" s="517"/>
      <c r="X60" s="517"/>
      <c r="Y60" s="517"/>
      <c r="Z60" s="517"/>
      <c r="AA60" s="517"/>
      <c r="AB60" s="517"/>
      <c r="AC60" s="517"/>
      <c r="AD60" s="517"/>
      <c r="AE60" s="517"/>
      <c r="AF60" s="517"/>
      <c r="AG60" s="517"/>
      <c r="AH60" s="517"/>
      <c r="AI60" s="517"/>
      <c r="AJ60" s="517"/>
      <c r="AK60" s="104"/>
      <c r="AL60" s="517"/>
      <c r="AM60" s="517"/>
      <c r="AN60" s="517"/>
      <c r="AO60" s="517"/>
      <c r="AP60" s="517"/>
      <c r="AQ60" s="517"/>
      <c r="AR60" s="517"/>
      <c r="AS60" s="517"/>
      <c r="AT60" s="517"/>
      <c r="AU60" s="517"/>
      <c r="AV60" s="517"/>
      <c r="AW60" s="517"/>
      <c r="AX60" s="517"/>
      <c r="AY60" s="517"/>
      <c r="AZ60" s="517"/>
      <c r="BA60" s="517"/>
      <c r="BB60" s="517"/>
      <c r="BC60" s="517"/>
      <c r="BD60" s="517"/>
      <c r="BE60" s="517"/>
      <c r="BF60" s="517"/>
      <c r="BG60" s="517"/>
      <c r="BH60" s="517"/>
      <c r="BI60" s="517"/>
      <c r="BJ60" s="517"/>
      <c r="BK60" s="517"/>
      <c r="BL60" s="517"/>
      <c r="BM60" s="517"/>
      <c r="BN60" s="517"/>
      <c r="BO60" s="517"/>
      <c r="BP60" s="104"/>
      <c r="BQ60" s="104"/>
      <c r="BR60" s="104"/>
      <c r="BS60" s="104"/>
      <c r="BT60" s="104"/>
      <c r="BU60" s="104"/>
      <c r="BV60" s="104"/>
      <c r="BW60" s="104"/>
      <c r="BX60" s="104"/>
      <c r="BY60" s="104"/>
      <c r="BZ60" s="104"/>
      <c r="CA60" s="104"/>
      <c r="CB60" s="104"/>
      <c r="CC60" s="104"/>
      <c r="CD60" s="104"/>
      <c r="CE60" s="104"/>
      <c r="CF60" s="104"/>
      <c r="CG60" s="104"/>
      <c r="CH60" s="104"/>
    </row>
    <row r="61" spans="1:86" ht="9.75" customHeight="1" x14ac:dyDescent="0.25">
      <c r="A61" s="104"/>
      <c r="B61" s="104"/>
      <c r="C61" s="104"/>
      <c r="D61" s="104"/>
      <c r="E61" s="104"/>
      <c r="F61" s="104"/>
      <c r="G61" s="104"/>
      <c r="H61" s="104"/>
      <c r="I61" s="104"/>
      <c r="J61" s="104"/>
      <c r="K61" s="104"/>
      <c r="L61" s="104"/>
      <c r="M61" s="104"/>
      <c r="N61" s="104"/>
      <c r="O61" s="104"/>
      <c r="P61" s="104"/>
      <c r="Q61" s="104"/>
      <c r="R61" s="104"/>
      <c r="S61" s="104"/>
      <c r="T61" s="104"/>
      <c r="U61" s="104"/>
      <c r="V61" s="104"/>
      <c r="W61" s="104"/>
      <c r="X61" s="104"/>
      <c r="Y61" s="104"/>
      <c r="Z61" s="104"/>
      <c r="AA61" s="104"/>
      <c r="AB61" s="104"/>
      <c r="AC61" s="104"/>
      <c r="AD61" s="104"/>
      <c r="AE61" s="104"/>
      <c r="AF61" s="104"/>
      <c r="AG61" s="104"/>
      <c r="AH61" s="104"/>
      <c r="AI61" s="104"/>
      <c r="AJ61" s="104"/>
      <c r="AK61" s="104"/>
      <c r="AL61" s="104"/>
      <c r="AM61" s="104"/>
      <c r="AN61" s="104"/>
      <c r="AO61" s="104"/>
      <c r="AP61" s="104"/>
      <c r="AQ61" s="104"/>
      <c r="AR61" s="104"/>
      <c r="AS61" s="104"/>
      <c r="AT61" s="104"/>
      <c r="AU61" s="104"/>
      <c r="AV61" s="104"/>
      <c r="AW61" s="104"/>
      <c r="AX61" s="104"/>
      <c r="AY61" s="104"/>
      <c r="AZ61" s="104"/>
      <c r="BA61" s="104"/>
      <c r="BB61" s="104"/>
      <c r="BC61" s="104"/>
      <c r="BD61" s="104"/>
      <c r="BE61" s="104"/>
      <c r="BF61" s="104"/>
      <c r="BG61" s="104"/>
      <c r="BH61" s="104"/>
      <c r="BI61" s="104"/>
      <c r="BJ61" s="104"/>
      <c r="BK61" s="104"/>
      <c r="BL61" s="104"/>
      <c r="BM61" s="104"/>
      <c r="BN61" s="104"/>
      <c r="BO61" s="104"/>
      <c r="BP61" s="104"/>
      <c r="BQ61" s="104"/>
      <c r="BR61" s="104"/>
      <c r="BS61" s="104"/>
      <c r="BT61" s="104"/>
      <c r="BU61" s="104"/>
      <c r="BV61" s="104"/>
      <c r="BW61" s="104"/>
      <c r="BX61" s="104"/>
      <c r="BY61" s="104"/>
      <c r="BZ61" s="104"/>
      <c r="CA61" s="104"/>
      <c r="CB61" s="104"/>
      <c r="CC61" s="104"/>
      <c r="CD61" s="104"/>
      <c r="CE61" s="104"/>
      <c r="CF61" s="104"/>
      <c r="CG61" s="104"/>
      <c r="CH61" s="104"/>
    </row>
    <row r="62" spans="1:86" ht="36" x14ac:dyDescent="0.25">
      <c r="A62" s="104"/>
      <c r="B62" s="104"/>
      <c r="C62" s="104"/>
      <c r="D62" s="104"/>
      <c r="E62" s="104"/>
      <c r="F62" s="104"/>
      <c r="G62" s="104"/>
      <c r="H62" s="104"/>
      <c r="I62" s="104"/>
      <c r="J62" s="104"/>
      <c r="K62" s="104"/>
      <c r="L62" s="104"/>
      <c r="M62" s="104"/>
      <c r="N62" s="104"/>
      <c r="O62" s="104"/>
      <c r="P62" s="104"/>
      <c r="Q62" s="104"/>
      <c r="R62" s="104"/>
      <c r="S62" s="104"/>
      <c r="T62" s="104"/>
      <c r="U62" s="104"/>
      <c r="V62" s="104"/>
      <c r="W62" s="104"/>
      <c r="X62" s="104"/>
      <c r="Y62" s="104"/>
      <c r="Z62" s="104"/>
      <c r="AA62" s="104"/>
      <c r="AB62" s="104"/>
      <c r="AC62" s="104"/>
      <c r="AD62" s="104"/>
      <c r="AE62" s="104"/>
      <c r="AF62" s="104"/>
      <c r="AG62" s="104"/>
      <c r="AH62" s="104"/>
      <c r="AI62" s="104"/>
      <c r="AJ62" s="104"/>
      <c r="AK62" s="104"/>
      <c r="AL62" s="104"/>
      <c r="AM62" s="104"/>
      <c r="AN62" s="104"/>
      <c r="AO62" s="104"/>
      <c r="AP62" s="104"/>
      <c r="AQ62" s="104"/>
      <c r="AR62" s="104"/>
      <c r="AS62" s="104"/>
      <c r="AT62" s="104"/>
      <c r="AU62" s="104"/>
      <c r="AV62" s="104"/>
      <c r="AW62" s="104"/>
      <c r="AX62" s="104"/>
      <c r="AY62" s="104"/>
      <c r="AZ62" s="104"/>
      <c r="BA62" s="104"/>
      <c r="BB62" s="104"/>
      <c r="BC62" s="104"/>
      <c r="BD62" s="104"/>
      <c r="BE62" s="104"/>
      <c r="BF62" s="104"/>
      <c r="BG62" s="104"/>
      <c r="BH62" s="104"/>
      <c r="BI62" s="104"/>
      <c r="BJ62" s="104"/>
      <c r="BK62" s="104"/>
      <c r="BL62" s="104"/>
      <c r="BM62" s="104"/>
      <c r="BN62" s="104"/>
      <c r="BO62" s="104"/>
      <c r="BP62" s="104"/>
      <c r="BQ62" s="104"/>
      <c r="BR62" s="104"/>
      <c r="BS62" s="104"/>
      <c r="BT62" s="104"/>
      <c r="BU62" s="104"/>
      <c r="BV62" s="104"/>
      <c r="BW62" s="104"/>
      <c r="BX62" s="104"/>
      <c r="BY62" s="104"/>
      <c r="BZ62" s="104"/>
      <c r="CA62" s="104"/>
      <c r="CB62" s="104"/>
      <c r="CC62" s="104"/>
      <c r="CD62" s="104"/>
      <c r="CE62" s="104"/>
      <c r="CF62" s="104"/>
      <c r="CG62" s="104"/>
      <c r="CH62" s="104"/>
    </row>
    <row r="63" spans="1:86" ht="36" x14ac:dyDescent="0.25">
      <c r="A63" s="104"/>
      <c r="B63" s="104"/>
      <c r="C63" s="104"/>
      <c r="D63" s="104"/>
      <c r="E63" s="104"/>
      <c r="F63" s="104"/>
      <c r="G63" s="104"/>
      <c r="H63" s="104"/>
      <c r="I63" s="104"/>
      <c r="J63" s="104"/>
      <c r="K63" s="104"/>
      <c r="L63" s="104"/>
      <c r="M63" s="104"/>
      <c r="N63" s="104"/>
      <c r="O63" s="104"/>
      <c r="P63" s="104"/>
      <c r="Q63" s="104"/>
      <c r="R63" s="104"/>
      <c r="S63" s="104"/>
      <c r="T63" s="104"/>
      <c r="U63" s="104"/>
      <c r="V63" s="104"/>
      <c r="W63" s="104"/>
      <c r="X63" s="104"/>
      <c r="Y63" s="104"/>
      <c r="Z63" s="104"/>
      <c r="AA63" s="104"/>
      <c r="AB63" s="104"/>
      <c r="AC63" s="104"/>
      <c r="AD63" s="104"/>
      <c r="AE63" s="104"/>
      <c r="AF63" s="104"/>
      <c r="AG63" s="104"/>
      <c r="AH63" s="104"/>
      <c r="AI63" s="104"/>
      <c r="AJ63" s="104"/>
      <c r="AK63" s="104"/>
      <c r="AL63" s="104"/>
      <c r="AM63" s="104"/>
      <c r="AN63" s="104"/>
      <c r="AO63" s="104"/>
      <c r="AP63" s="104"/>
      <c r="AQ63" s="104"/>
      <c r="AR63" s="104"/>
      <c r="AS63" s="104"/>
      <c r="AT63" s="104"/>
      <c r="AU63" s="104"/>
      <c r="AV63" s="104"/>
      <c r="AW63" s="104"/>
      <c r="AX63" s="104"/>
      <c r="AY63" s="104"/>
      <c r="AZ63" s="104"/>
      <c r="BA63" s="104"/>
      <c r="BB63" s="104"/>
      <c r="BC63" s="104"/>
      <c r="BD63" s="104"/>
      <c r="BE63" s="104"/>
      <c r="BF63" s="104"/>
      <c r="BG63" s="104"/>
      <c r="BH63" s="104"/>
      <c r="BI63" s="104"/>
      <c r="BJ63" s="104"/>
      <c r="BK63" s="104"/>
      <c r="BL63" s="104"/>
      <c r="BM63" s="104"/>
      <c r="BN63" s="104"/>
      <c r="BO63" s="104"/>
      <c r="BP63" s="104"/>
      <c r="BQ63" s="104"/>
      <c r="BR63" s="104"/>
      <c r="BS63" s="104"/>
      <c r="BT63" s="104"/>
      <c r="BU63" s="104"/>
      <c r="BV63" s="104"/>
      <c r="BW63" s="104"/>
      <c r="BX63" s="104"/>
      <c r="BY63" s="104"/>
      <c r="BZ63" s="104"/>
      <c r="CA63" s="104"/>
      <c r="CB63" s="104"/>
      <c r="CC63" s="104"/>
      <c r="CD63" s="104"/>
      <c r="CE63" s="104"/>
      <c r="CF63" s="104"/>
      <c r="CG63" s="104"/>
      <c r="CH63" s="104"/>
    </row>
    <row r="64" spans="1:86" ht="36" x14ac:dyDescent="0.25">
      <c r="A64" s="104"/>
      <c r="B64" s="104"/>
      <c r="C64" s="104"/>
      <c r="D64" s="104"/>
      <c r="E64" s="104"/>
      <c r="F64" s="104"/>
      <c r="G64" s="104"/>
      <c r="H64" s="104"/>
      <c r="I64" s="104"/>
      <c r="J64" s="104"/>
      <c r="K64" s="104"/>
      <c r="L64" s="104"/>
      <c r="M64" s="104"/>
      <c r="N64" s="104"/>
      <c r="O64" s="104"/>
      <c r="P64" s="104"/>
      <c r="Q64" s="104"/>
      <c r="R64" s="104"/>
      <c r="S64" s="104"/>
      <c r="T64" s="104"/>
      <c r="U64" s="104"/>
      <c r="V64" s="104"/>
      <c r="W64" s="104"/>
      <c r="X64" s="104"/>
      <c r="Y64" s="104"/>
      <c r="Z64" s="104"/>
      <c r="AA64" s="104"/>
      <c r="AB64" s="104"/>
      <c r="AC64" s="104"/>
      <c r="AD64" s="104"/>
      <c r="AE64" s="104"/>
      <c r="AF64" s="104"/>
      <c r="AG64" s="104"/>
      <c r="AH64" s="104"/>
      <c r="AI64" s="104"/>
      <c r="AJ64" s="104"/>
      <c r="AK64" s="104"/>
      <c r="AL64" s="104"/>
      <c r="AM64" s="104"/>
      <c r="AN64" s="104"/>
      <c r="AO64" s="104"/>
      <c r="AP64" s="104"/>
      <c r="AQ64" s="104"/>
      <c r="AR64" s="104"/>
      <c r="AS64" s="104"/>
      <c r="AT64" s="104"/>
      <c r="AU64" s="104"/>
      <c r="AV64" s="104"/>
      <c r="AW64" s="104"/>
      <c r="AX64" s="104"/>
      <c r="AY64" s="104"/>
      <c r="AZ64" s="104"/>
      <c r="BA64" s="104"/>
      <c r="BB64" s="104"/>
      <c r="BC64" s="104"/>
      <c r="BD64" s="104"/>
      <c r="BE64" s="104"/>
      <c r="BF64" s="104"/>
      <c r="BG64" s="104"/>
      <c r="BH64" s="104"/>
      <c r="BI64" s="104"/>
      <c r="BJ64" s="104"/>
      <c r="BK64" s="104"/>
      <c r="BL64" s="104"/>
      <c r="BM64" s="104"/>
      <c r="BN64" s="104"/>
      <c r="BO64" s="104"/>
      <c r="BP64" s="104"/>
      <c r="BQ64" s="104"/>
      <c r="BR64" s="104"/>
      <c r="BS64" s="104"/>
      <c r="BT64" s="104"/>
      <c r="BU64" s="104"/>
      <c r="BV64" s="104"/>
      <c r="BW64" s="104"/>
      <c r="BX64" s="104"/>
      <c r="BY64" s="104"/>
      <c r="BZ64" s="104"/>
      <c r="CA64" s="104"/>
      <c r="CB64" s="104"/>
      <c r="CC64" s="104"/>
      <c r="CD64" s="104"/>
      <c r="CE64" s="104"/>
      <c r="CF64" s="104"/>
      <c r="CG64" s="104"/>
      <c r="CH64" s="104"/>
    </row>
    <row r="65" spans="1:86" ht="36" x14ac:dyDescent="0.25">
      <c r="A65" s="104"/>
      <c r="B65" s="104"/>
      <c r="C65" s="104"/>
      <c r="D65" s="104"/>
      <c r="E65" s="104"/>
      <c r="F65" s="104"/>
      <c r="G65" s="104"/>
      <c r="H65" s="104"/>
      <c r="I65" s="104"/>
      <c r="J65" s="104"/>
      <c r="K65" s="104"/>
      <c r="L65" s="104"/>
      <c r="M65" s="104"/>
      <c r="N65" s="104"/>
      <c r="O65" s="104"/>
      <c r="P65" s="104"/>
      <c r="Q65" s="104"/>
      <c r="R65" s="104"/>
      <c r="S65" s="104"/>
      <c r="T65" s="104"/>
      <c r="U65" s="104"/>
      <c r="V65" s="104"/>
      <c r="W65" s="104"/>
      <c r="X65" s="104"/>
      <c r="Y65" s="104"/>
      <c r="Z65" s="104"/>
      <c r="AA65" s="104"/>
      <c r="AB65" s="104"/>
      <c r="AC65" s="104"/>
      <c r="AD65" s="104"/>
      <c r="AE65" s="104"/>
      <c r="AF65" s="104"/>
      <c r="AG65" s="104"/>
      <c r="AH65" s="104"/>
      <c r="AI65" s="104"/>
      <c r="AJ65" s="104"/>
      <c r="AK65" s="104"/>
      <c r="AL65" s="104"/>
      <c r="AM65" s="104"/>
      <c r="AN65" s="104"/>
      <c r="AO65" s="104"/>
      <c r="AP65" s="104"/>
      <c r="AQ65" s="104"/>
      <c r="AR65" s="104"/>
      <c r="AS65" s="104"/>
      <c r="AT65" s="104"/>
      <c r="AU65" s="104"/>
      <c r="AV65" s="104"/>
      <c r="AW65" s="104"/>
      <c r="AX65" s="104"/>
      <c r="AY65" s="104"/>
      <c r="AZ65" s="104"/>
      <c r="BA65" s="104"/>
      <c r="BB65" s="104"/>
      <c r="BC65" s="104"/>
      <c r="BD65" s="104"/>
      <c r="BE65" s="104"/>
      <c r="BF65" s="104"/>
      <c r="BG65" s="104"/>
      <c r="BH65" s="104"/>
      <c r="BI65" s="104"/>
      <c r="BJ65" s="104"/>
      <c r="BK65" s="104"/>
      <c r="BL65" s="104"/>
      <c r="BM65" s="104"/>
      <c r="BN65" s="104"/>
      <c r="BO65" s="104"/>
      <c r="BP65" s="104"/>
      <c r="BQ65" s="104"/>
      <c r="BR65" s="104"/>
      <c r="BS65" s="104"/>
      <c r="BT65" s="104"/>
      <c r="BU65" s="104"/>
      <c r="BV65" s="104"/>
      <c r="BW65" s="104"/>
      <c r="BX65" s="104"/>
      <c r="BY65" s="104"/>
      <c r="BZ65" s="104"/>
      <c r="CA65" s="104"/>
      <c r="CB65" s="104"/>
      <c r="CC65" s="104"/>
      <c r="CD65" s="104"/>
      <c r="CE65" s="104"/>
      <c r="CF65" s="104"/>
      <c r="CG65" s="104"/>
      <c r="CH65" s="104"/>
    </row>
    <row r="66" spans="1:86" ht="36" x14ac:dyDescent="0.25">
      <c r="A66" s="104"/>
      <c r="B66" s="104"/>
      <c r="C66" s="104"/>
      <c r="D66" s="104"/>
      <c r="E66" s="104"/>
      <c r="F66" s="104"/>
      <c r="G66" s="104"/>
      <c r="H66" s="104"/>
      <c r="I66" s="104"/>
      <c r="J66" s="104"/>
      <c r="K66" s="104"/>
      <c r="L66" s="104"/>
      <c r="M66" s="104"/>
      <c r="N66" s="104"/>
      <c r="O66" s="104"/>
      <c r="P66" s="104"/>
      <c r="Q66" s="104"/>
      <c r="R66" s="104"/>
      <c r="S66" s="104"/>
      <c r="T66" s="104"/>
      <c r="U66" s="104"/>
      <c r="V66" s="104"/>
      <c r="W66" s="104"/>
      <c r="X66" s="104"/>
      <c r="Y66" s="104"/>
      <c r="Z66" s="104"/>
      <c r="AA66" s="104"/>
      <c r="AB66" s="104"/>
      <c r="AC66" s="104"/>
      <c r="AD66" s="104"/>
      <c r="AE66" s="104"/>
      <c r="AF66" s="104"/>
      <c r="AG66" s="104"/>
      <c r="AH66" s="104"/>
      <c r="AI66" s="104"/>
      <c r="AJ66" s="104"/>
      <c r="AK66" s="104"/>
      <c r="AL66" s="104"/>
      <c r="AM66" s="104"/>
      <c r="AN66" s="104"/>
      <c r="AO66" s="104"/>
      <c r="AP66" s="104"/>
      <c r="AQ66" s="104"/>
      <c r="AR66" s="104"/>
      <c r="AS66" s="104"/>
      <c r="AT66" s="104"/>
      <c r="AU66" s="104"/>
      <c r="AV66" s="104"/>
      <c r="AW66" s="104"/>
      <c r="AX66" s="104"/>
      <c r="AY66" s="104"/>
      <c r="AZ66" s="104"/>
      <c r="BA66" s="104"/>
      <c r="BB66" s="104"/>
      <c r="BC66" s="104"/>
      <c r="BD66" s="104"/>
      <c r="BE66" s="104"/>
      <c r="BF66" s="104"/>
      <c r="BG66" s="104"/>
      <c r="BH66" s="104"/>
      <c r="BI66" s="104"/>
      <c r="BJ66" s="104"/>
      <c r="BK66" s="104"/>
      <c r="BL66" s="104"/>
      <c r="BM66" s="104"/>
      <c r="BN66" s="104"/>
      <c r="BO66" s="104"/>
      <c r="BP66" s="104"/>
      <c r="BQ66" s="104"/>
      <c r="BR66" s="104"/>
      <c r="BS66" s="104"/>
      <c r="BT66" s="104"/>
      <c r="BU66" s="104"/>
      <c r="BV66" s="104"/>
      <c r="BW66" s="104"/>
      <c r="BX66" s="104"/>
      <c r="BY66" s="104"/>
      <c r="BZ66" s="104"/>
      <c r="CA66" s="104"/>
      <c r="CB66" s="104"/>
      <c r="CC66" s="104"/>
      <c r="CD66" s="104"/>
      <c r="CE66" s="104"/>
      <c r="CF66" s="104"/>
      <c r="CG66" s="104"/>
      <c r="CH66" s="104"/>
    </row>
    <row r="67" spans="1:86" ht="36" x14ac:dyDescent="0.25">
      <c r="A67" s="104"/>
      <c r="B67" s="104"/>
      <c r="C67" s="104"/>
      <c r="D67" s="104"/>
      <c r="E67" s="104"/>
      <c r="F67" s="104"/>
      <c r="G67" s="104"/>
      <c r="H67" s="104"/>
      <c r="I67" s="104"/>
      <c r="J67" s="104"/>
      <c r="K67" s="104"/>
      <c r="L67" s="104"/>
      <c r="M67" s="104"/>
      <c r="N67" s="104"/>
      <c r="O67" s="104"/>
      <c r="P67" s="104"/>
      <c r="Q67" s="104"/>
      <c r="R67" s="104"/>
      <c r="S67" s="104"/>
      <c r="T67" s="104"/>
      <c r="U67" s="104"/>
      <c r="V67" s="104"/>
      <c r="W67" s="104"/>
      <c r="X67" s="104"/>
      <c r="Y67" s="104"/>
      <c r="Z67" s="104"/>
      <c r="AA67" s="104"/>
      <c r="AB67" s="104"/>
      <c r="AC67" s="104"/>
      <c r="AD67" s="104"/>
      <c r="AE67" s="104"/>
      <c r="AF67" s="104"/>
      <c r="AG67" s="104"/>
      <c r="AH67" s="104"/>
      <c r="AI67" s="104"/>
      <c r="AJ67" s="104"/>
      <c r="AK67" s="104"/>
      <c r="AL67" s="104"/>
      <c r="AM67" s="104"/>
      <c r="AN67" s="104"/>
      <c r="AO67" s="104"/>
      <c r="AP67" s="104"/>
      <c r="AQ67" s="104"/>
      <c r="AR67" s="104"/>
      <c r="AS67" s="104"/>
      <c r="AT67" s="104"/>
      <c r="AU67" s="104"/>
      <c r="AV67" s="104"/>
      <c r="AW67" s="104"/>
      <c r="AX67" s="104"/>
      <c r="AY67" s="104"/>
      <c r="AZ67" s="104"/>
      <c r="BA67" s="104"/>
      <c r="BB67" s="104"/>
      <c r="BC67" s="104"/>
      <c r="BD67" s="104"/>
      <c r="BE67" s="104"/>
      <c r="BF67" s="104"/>
      <c r="BG67" s="104"/>
      <c r="BH67" s="104"/>
      <c r="BI67" s="104"/>
      <c r="BJ67" s="104"/>
      <c r="BK67" s="104"/>
      <c r="BL67" s="104"/>
      <c r="BM67" s="104"/>
      <c r="BN67" s="104"/>
      <c r="BO67" s="104"/>
      <c r="BP67" s="104"/>
      <c r="BQ67" s="104"/>
      <c r="BR67" s="104"/>
      <c r="BS67" s="104"/>
      <c r="BT67" s="104"/>
      <c r="BU67" s="104"/>
      <c r="BV67" s="104"/>
      <c r="BW67" s="104"/>
      <c r="BX67" s="104"/>
      <c r="BY67" s="104"/>
      <c r="BZ67" s="104"/>
      <c r="CA67" s="104"/>
      <c r="CB67" s="104"/>
      <c r="CC67" s="104"/>
      <c r="CD67" s="104"/>
      <c r="CE67" s="104"/>
      <c r="CF67" s="104"/>
      <c r="CG67" s="104"/>
      <c r="CH67" s="104"/>
    </row>
    <row r="68" spans="1:86" ht="36" x14ac:dyDescent="0.25">
      <c r="A68" s="104"/>
      <c r="B68" s="104"/>
      <c r="C68" s="104"/>
      <c r="D68" s="104"/>
      <c r="E68" s="104"/>
      <c r="F68" s="104"/>
      <c r="G68" s="104"/>
      <c r="H68" s="104"/>
      <c r="I68" s="104"/>
      <c r="J68" s="104"/>
      <c r="K68" s="104"/>
      <c r="L68" s="104"/>
      <c r="M68" s="104"/>
      <c r="N68" s="104"/>
      <c r="O68" s="104"/>
      <c r="P68" s="104"/>
      <c r="Q68" s="104"/>
      <c r="R68" s="104"/>
      <c r="S68" s="104"/>
      <c r="T68" s="104"/>
      <c r="U68" s="104"/>
      <c r="V68" s="104"/>
      <c r="W68" s="104"/>
      <c r="X68" s="104"/>
      <c r="Y68" s="104"/>
      <c r="Z68" s="104"/>
      <c r="AA68" s="104"/>
      <c r="AB68" s="104"/>
      <c r="AC68" s="104"/>
      <c r="AD68" s="104"/>
      <c r="AE68" s="104"/>
      <c r="AF68" s="104"/>
      <c r="AG68" s="104"/>
      <c r="AH68" s="104"/>
      <c r="AI68" s="104"/>
      <c r="AJ68" s="104"/>
      <c r="AK68" s="104"/>
      <c r="AL68" s="104"/>
      <c r="AM68" s="104"/>
      <c r="AN68" s="104"/>
      <c r="AO68" s="104"/>
      <c r="AP68" s="104"/>
      <c r="AQ68" s="104"/>
      <c r="AR68" s="104"/>
      <c r="AS68" s="104"/>
      <c r="AT68" s="104"/>
      <c r="AU68" s="104"/>
      <c r="AV68" s="104"/>
      <c r="AW68" s="104"/>
      <c r="AX68" s="104"/>
      <c r="AY68" s="104"/>
      <c r="AZ68" s="104"/>
      <c r="BA68" s="104"/>
      <c r="BB68" s="104"/>
      <c r="BC68" s="104"/>
      <c r="BD68" s="104"/>
      <c r="BE68" s="104"/>
      <c r="BF68" s="104"/>
      <c r="BG68" s="104"/>
      <c r="BH68" s="104"/>
      <c r="BI68" s="104"/>
      <c r="BJ68" s="104"/>
      <c r="BK68" s="104"/>
      <c r="BL68" s="104"/>
      <c r="BM68" s="104"/>
      <c r="BN68" s="104"/>
      <c r="BO68" s="104"/>
      <c r="BP68" s="104"/>
      <c r="BQ68" s="104"/>
      <c r="BR68" s="104"/>
      <c r="BS68" s="104"/>
      <c r="BT68" s="104"/>
      <c r="BU68" s="104"/>
      <c r="BV68" s="104"/>
      <c r="BW68" s="104"/>
      <c r="BX68" s="104"/>
      <c r="BY68" s="104"/>
      <c r="BZ68" s="104"/>
      <c r="CA68" s="104"/>
      <c r="CB68" s="104"/>
      <c r="CC68" s="104"/>
      <c r="CD68" s="104"/>
      <c r="CE68" s="104"/>
      <c r="CF68" s="104"/>
      <c r="CG68" s="104"/>
      <c r="CH68" s="104"/>
    </row>
    <row r="69" spans="1:86" ht="36" x14ac:dyDescent="0.25">
      <c r="A69" s="104"/>
      <c r="B69" s="104"/>
      <c r="C69" s="104"/>
      <c r="D69" s="104"/>
      <c r="E69" s="104"/>
      <c r="F69" s="104"/>
      <c r="G69" s="104"/>
      <c r="H69" s="104"/>
      <c r="I69" s="104"/>
      <c r="J69" s="104"/>
      <c r="K69" s="104"/>
      <c r="L69" s="104"/>
      <c r="M69" s="104"/>
      <c r="N69" s="104"/>
      <c r="O69" s="104"/>
      <c r="P69" s="104"/>
      <c r="Q69" s="104"/>
      <c r="R69" s="104"/>
      <c r="S69" s="104"/>
      <c r="T69" s="104"/>
      <c r="U69" s="104"/>
      <c r="V69" s="104"/>
      <c r="W69" s="104"/>
      <c r="X69" s="104"/>
      <c r="Y69" s="104"/>
      <c r="Z69" s="104"/>
      <c r="AA69" s="104"/>
      <c r="AB69" s="104"/>
      <c r="AC69" s="104"/>
      <c r="AD69" s="104"/>
      <c r="AE69" s="104"/>
      <c r="AF69" s="104"/>
      <c r="AG69" s="104"/>
      <c r="AH69" s="104"/>
      <c r="AI69" s="104"/>
      <c r="AJ69" s="104"/>
      <c r="AK69" s="104"/>
      <c r="AL69" s="104"/>
      <c r="AM69" s="104"/>
      <c r="AN69" s="104"/>
      <c r="AO69" s="104"/>
      <c r="AP69" s="104"/>
      <c r="AQ69" s="104"/>
      <c r="AR69" s="104"/>
      <c r="AS69" s="104"/>
      <c r="AT69" s="104"/>
      <c r="AU69" s="104"/>
      <c r="AV69" s="104"/>
      <c r="AW69" s="104"/>
      <c r="AX69" s="104"/>
      <c r="AY69" s="104"/>
      <c r="AZ69" s="104"/>
      <c r="BA69" s="104"/>
      <c r="BB69" s="104"/>
      <c r="BC69" s="104"/>
      <c r="BD69" s="104"/>
      <c r="BE69" s="104"/>
      <c r="BF69" s="104"/>
      <c r="BG69" s="104"/>
      <c r="BH69" s="104"/>
      <c r="BI69" s="104"/>
      <c r="BJ69" s="104"/>
      <c r="BK69" s="104"/>
      <c r="BL69" s="104"/>
      <c r="BM69" s="104"/>
      <c r="BN69" s="104"/>
      <c r="BO69" s="104"/>
      <c r="BP69" s="104"/>
      <c r="BQ69" s="104"/>
      <c r="BR69" s="104"/>
      <c r="BS69" s="104"/>
      <c r="BT69" s="104"/>
      <c r="BU69" s="104"/>
      <c r="BV69" s="104"/>
      <c r="BW69" s="104"/>
      <c r="BX69" s="104"/>
      <c r="BY69" s="104"/>
      <c r="BZ69" s="104"/>
      <c r="CA69" s="104"/>
      <c r="CB69" s="104"/>
      <c r="CC69" s="104"/>
      <c r="CD69" s="104"/>
      <c r="CE69" s="104"/>
      <c r="CF69" s="104"/>
      <c r="CG69" s="104"/>
      <c r="CH69" s="104"/>
    </row>
    <row r="70" spans="1:86" ht="36" x14ac:dyDescent="0.25">
      <c r="A70" s="104"/>
      <c r="B70" s="104"/>
      <c r="C70" s="104"/>
      <c r="D70" s="104"/>
      <c r="E70" s="104"/>
      <c r="F70" s="104"/>
      <c r="G70" s="104"/>
      <c r="H70" s="104"/>
      <c r="I70" s="104"/>
      <c r="J70" s="104"/>
      <c r="K70" s="104"/>
      <c r="L70" s="104"/>
      <c r="M70" s="104"/>
      <c r="N70" s="104"/>
      <c r="O70" s="104"/>
      <c r="P70" s="104"/>
      <c r="Q70" s="104"/>
      <c r="R70" s="104"/>
      <c r="S70" s="104"/>
      <c r="T70" s="104"/>
      <c r="U70" s="104"/>
      <c r="V70" s="104"/>
      <c r="W70" s="104"/>
      <c r="X70" s="104"/>
      <c r="Y70" s="104"/>
      <c r="Z70" s="104"/>
      <c r="AA70" s="104"/>
      <c r="AB70" s="104"/>
      <c r="AC70" s="104"/>
      <c r="AD70" s="104"/>
      <c r="AE70" s="104"/>
      <c r="AF70" s="104"/>
      <c r="AG70" s="104"/>
      <c r="AH70" s="104"/>
      <c r="AI70" s="104"/>
      <c r="AJ70" s="104"/>
      <c r="AK70" s="104"/>
      <c r="AL70" s="104"/>
      <c r="AM70" s="104"/>
      <c r="AN70" s="104"/>
      <c r="AO70" s="104"/>
      <c r="AP70" s="104"/>
      <c r="AQ70" s="104"/>
      <c r="AR70" s="104"/>
      <c r="AS70" s="104"/>
      <c r="AT70" s="104"/>
      <c r="AU70" s="104"/>
      <c r="AV70" s="104"/>
      <c r="AW70" s="104"/>
      <c r="AX70" s="104"/>
      <c r="AY70" s="104"/>
      <c r="AZ70" s="104"/>
      <c r="BA70" s="104"/>
      <c r="BB70" s="104"/>
      <c r="BC70" s="104"/>
      <c r="BD70" s="104"/>
      <c r="BE70" s="104"/>
      <c r="BF70" s="104"/>
      <c r="BG70" s="104"/>
      <c r="BH70" s="104"/>
      <c r="BI70" s="104"/>
      <c r="BJ70" s="104"/>
      <c r="BK70" s="104"/>
      <c r="BL70" s="104"/>
      <c r="BM70" s="104"/>
      <c r="BN70" s="104"/>
      <c r="BO70" s="104"/>
      <c r="BP70" s="104"/>
      <c r="BQ70" s="104"/>
      <c r="BR70" s="104"/>
      <c r="BS70" s="104"/>
      <c r="BT70" s="104"/>
      <c r="BU70" s="104"/>
      <c r="BV70" s="104"/>
      <c r="BW70" s="104"/>
      <c r="BX70" s="104"/>
      <c r="BY70" s="104"/>
      <c r="BZ70" s="104"/>
      <c r="CA70" s="104"/>
      <c r="CB70" s="104"/>
      <c r="CC70" s="104"/>
      <c r="CD70" s="104"/>
      <c r="CE70" s="104"/>
      <c r="CF70" s="104"/>
      <c r="CG70" s="104"/>
      <c r="CH70" s="104"/>
    </row>
    <row r="71" spans="1:86" ht="36" x14ac:dyDescent="0.25">
      <c r="A71" s="104"/>
      <c r="B71" s="104"/>
      <c r="C71" s="104"/>
      <c r="D71" s="104"/>
      <c r="E71" s="104"/>
      <c r="F71" s="104"/>
      <c r="G71" s="104"/>
      <c r="H71" s="104"/>
      <c r="I71" s="104"/>
      <c r="J71" s="104"/>
      <c r="K71" s="104"/>
      <c r="L71" s="104"/>
      <c r="M71" s="104"/>
      <c r="N71" s="104"/>
      <c r="O71" s="104"/>
      <c r="P71" s="104"/>
      <c r="Q71" s="104"/>
      <c r="R71" s="104"/>
      <c r="S71" s="104"/>
      <c r="T71" s="104"/>
      <c r="U71" s="104"/>
      <c r="V71" s="104"/>
      <c r="W71" s="104"/>
      <c r="X71" s="104"/>
      <c r="Y71" s="104"/>
      <c r="Z71" s="104"/>
      <c r="AA71" s="104"/>
      <c r="AB71" s="104"/>
      <c r="AC71" s="104"/>
      <c r="AD71" s="104"/>
      <c r="AE71" s="104"/>
      <c r="AF71" s="104"/>
      <c r="AG71" s="104"/>
      <c r="AH71" s="104"/>
      <c r="AI71" s="104"/>
      <c r="AJ71" s="104"/>
      <c r="AK71" s="104"/>
      <c r="AL71" s="104"/>
      <c r="AM71" s="104"/>
      <c r="AN71" s="104"/>
      <c r="AO71" s="104"/>
      <c r="AP71" s="104"/>
      <c r="AQ71" s="104"/>
      <c r="AR71" s="104"/>
      <c r="AS71" s="104"/>
      <c r="AT71" s="104"/>
      <c r="AU71" s="104"/>
      <c r="AV71" s="104"/>
      <c r="AW71" s="104"/>
      <c r="AX71" s="104"/>
      <c r="AY71" s="104"/>
      <c r="AZ71" s="104"/>
      <c r="BA71" s="104"/>
      <c r="BB71" s="104"/>
      <c r="BC71" s="104"/>
      <c r="BD71" s="104"/>
      <c r="BE71" s="104"/>
      <c r="BF71" s="104"/>
      <c r="BG71" s="104"/>
      <c r="BH71" s="104"/>
      <c r="BI71" s="104"/>
      <c r="BJ71" s="104"/>
      <c r="BK71" s="104"/>
      <c r="BL71" s="104"/>
      <c r="BM71" s="104"/>
      <c r="BN71" s="104"/>
      <c r="BO71" s="104"/>
      <c r="BP71" s="104"/>
      <c r="BQ71" s="104"/>
      <c r="BR71" s="104"/>
      <c r="BS71" s="104"/>
      <c r="BT71" s="104"/>
      <c r="BU71" s="104"/>
      <c r="BV71" s="104"/>
      <c r="BW71" s="104"/>
      <c r="BX71" s="104"/>
      <c r="BY71" s="104"/>
      <c r="BZ71" s="104"/>
      <c r="CA71" s="104"/>
      <c r="CB71" s="104"/>
      <c r="CC71" s="104"/>
      <c r="CD71" s="104"/>
      <c r="CE71" s="104"/>
      <c r="CF71" s="104"/>
      <c r="CG71" s="104"/>
      <c r="CH71" s="104"/>
    </row>
    <row r="72" spans="1:86" ht="36" x14ac:dyDescent="0.25">
      <c r="A72" s="104"/>
      <c r="B72" s="104"/>
      <c r="C72" s="104"/>
      <c r="D72" s="104"/>
      <c r="E72" s="104"/>
      <c r="F72" s="104"/>
      <c r="G72" s="104"/>
      <c r="H72" s="104"/>
      <c r="I72" s="104"/>
      <c r="J72" s="104"/>
      <c r="K72" s="104"/>
      <c r="L72" s="104"/>
      <c r="M72" s="104"/>
      <c r="N72" s="104"/>
      <c r="O72" s="104"/>
      <c r="P72" s="104"/>
      <c r="Q72" s="104"/>
      <c r="R72" s="104"/>
      <c r="S72" s="104"/>
      <c r="T72" s="104"/>
      <c r="U72" s="104"/>
      <c r="V72" s="104"/>
      <c r="W72" s="104"/>
      <c r="X72" s="104"/>
      <c r="Y72" s="104"/>
      <c r="Z72" s="104"/>
      <c r="AA72" s="104"/>
      <c r="AB72" s="104"/>
      <c r="AC72" s="104"/>
      <c r="AD72" s="104"/>
      <c r="AE72" s="104"/>
      <c r="AF72" s="104"/>
      <c r="AG72" s="104"/>
      <c r="AH72" s="104"/>
      <c r="AI72" s="104"/>
      <c r="AJ72" s="104"/>
      <c r="AK72" s="104"/>
      <c r="AL72" s="104"/>
      <c r="AM72" s="104"/>
      <c r="AN72" s="104"/>
      <c r="AO72" s="104"/>
      <c r="AP72" s="104"/>
      <c r="AQ72" s="104"/>
      <c r="AR72" s="104"/>
      <c r="AS72" s="104"/>
      <c r="AT72" s="104"/>
      <c r="AU72" s="104"/>
      <c r="AV72" s="104"/>
      <c r="AW72" s="104"/>
      <c r="AX72" s="104"/>
      <c r="AY72" s="104"/>
      <c r="AZ72" s="104"/>
      <c r="BA72" s="104"/>
      <c r="BB72" s="104"/>
      <c r="BC72" s="104"/>
      <c r="BD72" s="104"/>
      <c r="BE72" s="104"/>
      <c r="BF72" s="104"/>
      <c r="BG72" s="104"/>
      <c r="BH72" s="104"/>
      <c r="BI72" s="104"/>
      <c r="BJ72" s="104"/>
      <c r="BK72" s="104"/>
      <c r="BL72" s="104"/>
      <c r="BM72" s="104"/>
      <c r="BN72" s="104"/>
      <c r="BO72" s="104"/>
      <c r="BP72" s="104"/>
      <c r="BQ72" s="104"/>
      <c r="BR72" s="104"/>
      <c r="BS72" s="104"/>
      <c r="BT72" s="104"/>
      <c r="BU72" s="104"/>
      <c r="BV72" s="104"/>
      <c r="BW72" s="104"/>
      <c r="BX72" s="104"/>
      <c r="BY72" s="104"/>
      <c r="BZ72" s="104"/>
      <c r="CA72" s="104"/>
      <c r="CB72" s="104"/>
      <c r="CC72" s="104"/>
      <c r="CD72" s="104"/>
      <c r="CE72" s="104"/>
      <c r="CF72" s="104"/>
      <c r="CG72" s="104"/>
      <c r="CH72" s="104"/>
    </row>
    <row r="73" spans="1:86" ht="36" x14ac:dyDescent="0.25">
      <c r="A73" s="104"/>
      <c r="B73" s="104"/>
      <c r="C73" s="104"/>
      <c r="D73" s="104"/>
      <c r="E73" s="104"/>
      <c r="F73" s="104"/>
      <c r="G73" s="104"/>
      <c r="H73" s="104"/>
      <c r="I73" s="104"/>
      <c r="J73" s="104"/>
      <c r="K73" s="104"/>
      <c r="L73" s="104"/>
      <c r="M73" s="104"/>
      <c r="N73" s="104"/>
      <c r="O73" s="104"/>
      <c r="P73" s="104"/>
      <c r="Q73" s="104"/>
      <c r="R73" s="104"/>
      <c r="S73" s="104"/>
      <c r="T73" s="104"/>
      <c r="U73" s="104"/>
      <c r="V73" s="104"/>
      <c r="W73" s="104"/>
      <c r="X73" s="104"/>
      <c r="Y73" s="104"/>
      <c r="Z73" s="104"/>
      <c r="AA73" s="104"/>
      <c r="AB73" s="104"/>
      <c r="AC73" s="104"/>
      <c r="AD73" s="104"/>
      <c r="AE73" s="104"/>
      <c r="AF73" s="104"/>
      <c r="AG73" s="104"/>
      <c r="AH73" s="104"/>
      <c r="AI73" s="104"/>
      <c r="AJ73" s="104"/>
      <c r="AK73" s="104"/>
      <c r="AL73" s="104"/>
      <c r="AM73" s="104"/>
      <c r="AN73" s="104"/>
      <c r="AO73" s="104"/>
      <c r="AP73" s="104"/>
      <c r="AQ73" s="104"/>
      <c r="AR73" s="104"/>
      <c r="AS73" s="104"/>
      <c r="AT73" s="104"/>
      <c r="AU73" s="104"/>
      <c r="AV73" s="104"/>
      <c r="AW73" s="104"/>
      <c r="AX73" s="104"/>
      <c r="AY73" s="104"/>
      <c r="AZ73" s="104"/>
      <c r="BA73" s="104"/>
      <c r="BB73" s="104"/>
      <c r="BC73" s="104"/>
      <c r="BD73" s="104"/>
      <c r="BE73" s="104"/>
      <c r="BF73" s="104"/>
      <c r="BG73" s="104"/>
      <c r="BH73" s="104"/>
      <c r="BI73" s="104"/>
      <c r="BJ73" s="104"/>
      <c r="BK73" s="104"/>
      <c r="BL73" s="104"/>
      <c r="BM73" s="104"/>
      <c r="BN73" s="104"/>
      <c r="BO73" s="104"/>
      <c r="BP73" s="104"/>
      <c r="BQ73" s="104"/>
      <c r="BR73" s="104"/>
      <c r="BS73" s="104"/>
      <c r="BT73" s="104"/>
      <c r="BU73" s="104"/>
      <c r="BV73" s="104"/>
      <c r="BW73" s="104"/>
      <c r="BX73" s="104"/>
      <c r="BY73" s="104"/>
      <c r="BZ73" s="104"/>
      <c r="CA73" s="104"/>
      <c r="CB73" s="104"/>
      <c r="CC73" s="104"/>
      <c r="CD73" s="104"/>
      <c r="CE73" s="104"/>
      <c r="CF73" s="104"/>
      <c r="CG73" s="104"/>
      <c r="CH73" s="104"/>
    </row>
    <row r="74" spans="1:86" ht="36" x14ac:dyDescent="0.25">
      <c r="A74" s="104"/>
      <c r="B74" s="104"/>
      <c r="C74" s="104"/>
      <c r="D74" s="104"/>
      <c r="E74" s="104"/>
      <c r="F74" s="104"/>
      <c r="G74" s="104"/>
      <c r="H74" s="104"/>
      <c r="I74" s="104"/>
      <c r="J74" s="104"/>
      <c r="K74" s="104"/>
      <c r="L74" s="104"/>
      <c r="M74" s="104"/>
      <c r="N74" s="104"/>
      <c r="O74" s="104"/>
      <c r="P74" s="104"/>
      <c r="Q74" s="104"/>
      <c r="R74" s="104"/>
      <c r="S74" s="104"/>
      <c r="T74" s="104"/>
      <c r="U74" s="104"/>
      <c r="V74" s="104"/>
      <c r="W74" s="104"/>
      <c r="X74" s="104"/>
      <c r="Y74" s="104"/>
      <c r="Z74" s="104"/>
      <c r="AA74" s="104"/>
      <c r="AB74" s="104"/>
      <c r="AC74" s="104"/>
      <c r="AD74" s="104"/>
      <c r="AE74" s="104"/>
      <c r="AF74" s="104"/>
      <c r="AG74" s="104"/>
      <c r="AH74" s="104"/>
      <c r="AI74" s="104"/>
      <c r="AJ74" s="104"/>
      <c r="AK74" s="104"/>
      <c r="AL74" s="104"/>
      <c r="AM74" s="104"/>
      <c r="AN74" s="104"/>
      <c r="AO74" s="104"/>
      <c r="AP74" s="104"/>
      <c r="AQ74" s="104"/>
      <c r="AR74" s="104"/>
      <c r="AS74" s="104"/>
      <c r="AT74" s="104"/>
      <c r="AU74" s="104"/>
      <c r="AV74" s="104"/>
      <c r="AW74" s="104"/>
      <c r="AX74" s="104"/>
      <c r="AY74" s="104"/>
      <c r="AZ74" s="104"/>
      <c r="BA74" s="104"/>
      <c r="BB74" s="104"/>
      <c r="BC74" s="104"/>
      <c r="BD74" s="104"/>
      <c r="BE74" s="104"/>
      <c r="BF74" s="104"/>
      <c r="BG74" s="104"/>
      <c r="BH74" s="104"/>
      <c r="BI74" s="104"/>
      <c r="BJ74" s="104"/>
      <c r="BK74" s="104"/>
      <c r="BL74" s="104"/>
      <c r="BM74" s="104"/>
      <c r="BN74" s="104"/>
      <c r="BO74" s="104"/>
      <c r="BP74" s="104"/>
      <c r="BQ74" s="104"/>
      <c r="BR74" s="104"/>
      <c r="BS74" s="104"/>
      <c r="BT74" s="104"/>
      <c r="BU74" s="104"/>
      <c r="BV74" s="104"/>
      <c r="BW74" s="104"/>
      <c r="BX74" s="104"/>
      <c r="BY74" s="104"/>
      <c r="BZ74" s="104"/>
      <c r="CA74" s="104"/>
      <c r="CB74" s="104"/>
      <c r="CC74" s="104"/>
      <c r="CD74" s="104"/>
      <c r="CE74" s="104"/>
      <c r="CF74" s="104"/>
      <c r="CG74" s="104"/>
      <c r="CH74" s="104"/>
    </row>
    <row r="75" spans="1:86" ht="36" x14ac:dyDescent="0.25">
      <c r="A75" s="104"/>
      <c r="B75" s="104"/>
      <c r="C75" s="104"/>
      <c r="D75" s="104"/>
      <c r="E75" s="104"/>
      <c r="F75" s="104"/>
      <c r="G75" s="104"/>
      <c r="H75" s="104"/>
      <c r="I75" s="104"/>
      <c r="J75" s="104"/>
      <c r="K75" s="104"/>
      <c r="L75" s="104"/>
      <c r="M75" s="104"/>
      <c r="N75" s="104"/>
      <c r="O75" s="104"/>
      <c r="P75" s="104"/>
      <c r="Q75" s="104"/>
      <c r="R75" s="104"/>
      <c r="S75" s="104"/>
      <c r="T75" s="104"/>
      <c r="U75" s="104"/>
      <c r="V75" s="104"/>
      <c r="W75" s="104"/>
      <c r="X75" s="104"/>
      <c r="Y75" s="104"/>
      <c r="Z75" s="104"/>
      <c r="AA75" s="104"/>
      <c r="AB75" s="104"/>
      <c r="AC75" s="104"/>
      <c r="AD75" s="104"/>
      <c r="AE75" s="104"/>
      <c r="AF75" s="104"/>
      <c r="AG75" s="104"/>
      <c r="AH75" s="104"/>
      <c r="AI75" s="104"/>
      <c r="AJ75" s="104"/>
      <c r="AK75" s="104"/>
      <c r="AL75" s="104"/>
      <c r="AM75" s="104"/>
      <c r="AN75" s="104"/>
      <c r="AO75" s="104"/>
      <c r="AP75" s="104"/>
      <c r="AQ75" s="104"/>
      <c r="AR75" s="104"/>
      <c r="AS75" s="104"/>
      <c r="AT75" s="104"/>
      <c r="AU75" s="104"/>
      <c r="AV75" s="104"/>
      <c r="AW75" s="104"/>
      <c r="AX75" s="104"/>
      <c r="AY75" s="104"/>
      <c r="AZ75" s="104"/>
      <c r="BA75" s="104"/>
      <c r="BB75" s="104"/>
      <c r="BC75" s="104"/>
      <c r="BD75" s="104"/>
      <c r="BE75" s="104"/>
      <c r="BF75" s="104"/>
      <c r="BG75" s="104"/>
      <c r="BH75" s="104"/>
      <c r="BI75" s="104"/>
      <c r="BJ75" s="104"/>
      <c r="BK75" s="104"/>
      <c r="BL75" s="104"/>
      <c r="BM75" s="104"/>
      <c r="BN75" s="104"/>
      <c r="BO75" s="104"/>
      <c r="BP75" s="104"/>
      <c r="BQ75" s="104"/>
      <c r="BR75" s="104"/>
      <c r="BS75" s="104"/>
      <c r="BT75" s="104"/>
      <c r="BU75" s="104"/>
      <c r="BV75" s="104"/>
      <c r="BW75" s="104"/>
      <c r="BX75" s="104"/>
      <c r="BY75" s="104"/>
      <c r="BZ75" s="104"/>
      <c r="CA75" s="104"/>
      <c r="CB75" s="104"/>
      <c r="CC75" s="104"/>
      <c r="CD75" s="104"/>
      <c r="CE75" s="104"/>
      <c r="CF75" s="104"/>
      <c r="CG75" s="104"/>
      <c r="CH75" s="104"/>
    </row>
    <row r="76" spans="1:86" ht="36" x14ac:dyDescent="0.25">
      <c r="A76" s="104"/>
      <c r="B76" s="104"/>
      <c r="C76" s="104"/>
      <c r="D76" s="104"/>
      <c r="E76" s="104"/>
      <c r="F76" s="104"/>
      <c r="G76" s="104"/>
      <c r="H76" s="104"/>
      <c r="I76" s="104"/>
      <c r="J76" s="104"/>
      <c r="K76" s="104"/>
      <c r="L76" s="104"/>
      <c r="M76" s="104"/>
      <c r="N76" s="104"/>
      <c r="O76" s="104"/>
      <c r="P76" s="104"/>
      <c r="Q76" s="104"/>
      <c r="R76" s="104"/>
      <c r="S76" s="104"/>
      <c r="T76" s="104"/>
      <c r="U76" s="104"/>
      <c r="V76" s="104"/>
      <c r="W76" s="104"/>
      <c r="X76" s="104"/>
      <c r="Y76" s="104"/>
      <c r="Z76" s="104"/>
      <c r="AA76" s="104"/>
      <c r="AB76" s="104"/>
      <c r="AC76" s="104"/>
      <c r="AD76" s="104"/>
      <c r="AE76" s="104"/>
      <c r="AF76" s="104"/>
      <c r="AG76" s="104"/>
      <c r="AH76" s="104"/>
      <c r="AI76" s="104"/>
      <c r="AJ76" s="104"/>
      <c r="AK76" s="104"/>
      <c r="AL76" s="104"/>
      <c r="AM76" s="104"/>
      <c r="AN76" s="104"/>
      <c r="AO76" s="104"/>
      <c r="AP76" s="104"/>
      <c r="AQ76" s="104"/>
      <c r="AR76" s="104"/>
      <c r="AS76" s="104"/>
      <c r="AT76" s="104"/>
      <c r="AU76" s="104"/>
      <c r="AV76" s="104"/>
      <c r="AW76" s="104"/>
      <c r="AX76" s="104"/>
      <c r="AY76" s="104"/>
      <c r="AZ76" s="104"/>
      <c r="BA76" s="104"/>
      <c r="BB76" s="104"/>
      <c r="BC76" s="104"/>
      <c r="BD76" s="104"/>
      <c r="BE76" s="104"/>
      <c r="BF76" s="104"/>
      <c r="BG76" s="104"/>
      <c r="BH76" s="104"/>
      <c r="BI76" s="104"/>
      <c r="BJ76" s="104"/>
      <c r="BK76" s="104"/>
      <c r="BL76" s="104"/>
      <c r="BM76" s="104"/>
      <c r="BN76" s="104"/>
      <c r="BO76" s="104"/>
      <c r="BP76" s="104"/>
      <c r="BQ76" s="104"/>
      <c r="BR76" s="104"/>
      <c r="BS76" s="104"/>
      <c r="BT76" s="104"/>
      <c r="BU76" s="104"/>
      <c r="BV76" s="104"/>
      <c r="BW76" s="104"/>
      <c r="BX76" s="104"/>
      <c r="BY76" s="104"/>
      <c r="BZ76" s="104"/>
      <c r="CA76" s="104"/>
      <c r="CB76" s="104"/>
      <c r="CC76" s="104"/>
      <c r="CD76" s="104"/>
      <c r="CE76" s="104"/>
      <c r="CF76" s="104"/>
      <c r="CG76" s="104"/>
      <c r="CH76" s="104"/>
    </row>
    <row r="77" spans="1:86" ht="36" x14ac:dyDescent="0.25">
      <c r="A77" s="104"/>
      <c r="B77" s="104"/>
      <c r="C77" s="104"/>
      <c r="D77" s="104"/>
      <c r="E77" s="104"/>
      <c r="F77" s="104"/>
      <c r="G77" s="104"/>
      <c r="H77" s="104"/>
      <c r="I77" s="104"/>
      <c r="J77" s="104"/>
      <c r="K77" s="104"/>
      <c r="L77" s="104"/>
      <c r="M77" s="104"/>
      <c r="N77" s="104"/>
      <c r="O77" s="104"/>
      <c r="P77" s="104"/>
      <c r="Q77" s="104"/>
      <c r="R77" s="104"/>
      <c r="S77" s="104"/>
      <c r="T77" s="104"/>
      <c r="U77" s="104"/>
      <c r="V77" s="104"/>
      <c r="W77" s="104"/>
      <c r="X77" s="104"/>
      <c r="Y77" s="104"/>
      <c r="Z77" s="104"/>
      <c r="AA77" s="104"/>
      <c r="AB77" s="104"/>
      <c r="AC77" s="104"/>
      <c r="AD77" s="104"/>
      <c r="AE77" s="104"/>
      <c r="AF77" s="104"/>
      <c r="AG77" s="104"/>
      <c r="AH77" s="104"/>
      <c r="AI77" s="104"/>
      <c r="AJ77" s="104"/>
      <c r="AK77" s="104"/>
      <c r="AL77" s="104"/>
      <c r="AM77" s="104"/>
      <c r="AN77" s="104"/>
      <c r="AO77" s="104"/>
      <c r="AP77" s="104"/>
      <c r="AQ77" s="104"/>
      <c r="AR77" s="104"/>
      <c r="AS77" s="104"/>
      <c r="AT77" s="104"/>
      <c r="AU77" s="104"/>
      <c r="AV77" s="104"/>
      <c r="AW77" s="104"/>
      <c r="AX77" s="104"/>
      <c r="AY77" s="104"/>
      <c r="AZ77" s="104"/>
      <c r="BA77" s="104"/>
      <c r="BB77" s="104"/>
      <c r="BC77" s="104"/>
      <c r="BD77" s="104"/>
      <c r="BE77" s="104"/>
      <c r="BF77" s="104"/>
      <c r="BG77" s="104"/>
      <c r="BH77" s="104"/>
      <c r="BI77" s="104"/>
      <c r="BJ77" s="104"/>
      <c r="BK77" s="104"/>
      <c r="BL77" s="104"/>
      <c r="BM77" s="104"/>
      <c r="BN77" s="104"/>
      <c r="BO77" s="104"/>
      <c r="BP77" s="104"/>
      <c r="BQ77" s="104"/>
      <c r="BR77" s="104"/>
      <c r="BS77" s="104"/>
      <c r="BT77" s="104"/>
      <c r="BU77" s="104"/>
      <c r="BV77" s="104"/>
      <c r="BW77" s="104"/>
      <c r="BX77" s="104"/>
      <c r="BY77" s="104"/>
      <c r="BZ77" s="104"/>
      <c r="CA77" s="104"/>
      <c r="CB77" s="104"/>
      <c r="CC77" s="104"/>
      <c r="CD77" s="104"/>
      <c r="CE77" s="104"/>
      <c r="CF77" s="104"/>
      <c r="CG77" s="104"/>
      <c r="CH77" s="104"/>
    </row>
    <row r="78" spans="1:86" ht="36" x14ac:dyDescent="0.25">
      <c r="A78" s="104"/>
      <c r="B78" s="104"/>
      <c r="C78" s="104"/>
      <c r="D78" s="104"/>
      <c r="E78" s="104"/>
      <c r="F78" s="104"/>
      <c r="G78" s="104"/>
      <c r="H78" s="104"/>
      <c r="I78" s="104"/>
      <c r="J78" s="104"/>
      <c r="K78" s="104"/>
      <c r="L78" s="104"/>
      <c r="M78" s="104"/>
      <c r="N78" s="104"/>
      <c r="O78" s="104"/>
      <c r="P78" s="104"/>
      <c r="Q78" s="104"/>
      <c r="R78" s="104"/>
      <c r="S78" s="104"/>
      <c r="T78" s="104"/>
      <c r="U78" s="104"/>
      <c r="V78" s="104"/>
      <c r="W78" s="104"/>
      <c r="X78" s="104"/>
      <c r="Y78" s="104"/>
      <c r="Z78" s="104"/>
      <c r="AA78" s="104"/>
      <c r="AB78" s="104"/>
      <c r="AC78" s="104"/>
      <c r="AD78" s="104"/>
      <c r="AE78" s="104"/>
      <c r="AF78" s="104"/>
      <c r="AG78" s="104"/>
      <c r="AH78" s="104"/>
      <c r="AI78" s="104"/>
      <c r="AJ78" s="104"/>
      <c r="AK78" s="104"/>
      <c r="AL78" s="104"/>
      <c r="AM78" s="104"/>
      <c r="AN78" s="104"/>
      <c r="AO78" s="104"/>
      <c r="AP78" s="104"/>
      <c r="AQ78" s="104"/>
      <c r="AR78" s="104"/>
      <c r="AS78" s="104"/>
      <c r="AT78" s="104"/>
      <c r="AU78" s="104"/>
      <c r="AV78" s="104"/>
      <c r="AW78" s="104"/>
      <c r="AX78" s="104"/>
      <c r="AY78" s="104"/>
      <c r="AZ78" s="104"/>
      <c r="BA78" s="104"/>
      <c r="BB78" s="104"/>
      <c r="BC78" s="104"/>
      <c r="BD78" s="104"/>
      <c r="BE78" s="104"/>
      <c r="BF78" s="104"/>
      <c r="BG78" s="104"/>
      <c r="BH78" s="104"/>
      <c r="BI78" s="104"/>
      <c r="BJ78" s="104"/>
      <c r="BK78" s="104"/>
      <c r="BL78" s="104"/>
      <c r="BM78" s="104"/>
      <c r="BN78" s="104"/>
      <c r="BO78" s="104"/>
      <c r="BP78" s="104"/>
      <c r="BQ78" s="104"/>
      <c r="BR78" s="104"/>
      <c r="BS78" s="104"/>
      <c r="BT78" s="104"/>
      <c r="BU78" s="104"/>
      <c r="BV78" s="104"/>
      <c r="BW78" s="104"/>
      <c r="BX78" s="104"/>
      <c r="BY78" s="104"/>
      <c r="BZ78" s="104"/>
      <c r="CA78" s="104"/>
      <c r="CB78" s="104"/>
      <c r="CC78" s="104"/>
      <c r="CD78" s="104"/>
      <c r="CE78" s="104"/>
      <c r="CF78" s="104"/>
      <c r="CG78" s="104"/>
      <c r="CH78" s="104"/>
    </row>
    <row r="79" spans="1:86" ht="36" x14ac:dyDescent="0.25">
      <c r="A79" s="104"/>
      <c r="B79" s="104"/>
      <c r="C79" s="104"/>
      <c r="D79" s="104"/>
      <c r="E79" s="104"/>
      <c r="F79" s="104"/>
      <c r="G79" s="104"/>
      <c r="H79" s="104"/>
      <c r="I79" s="104"/>
      <c r="J79" s="104"/>
      <c r="K79" s="104"/>
      <c r="L79" s="104"/>
      <c r="M79" s="104"/>
      <c r="N79" s="104"/>
      <c r="O79" s="104"/>
      <c r="P79" s="104"/>
      <c r="Q79" s="104"/>
      <c r="R79" s="104"/>
      <c r="S79" s="104"/>
      <c r="T79" s="104"/>
      <c r="U79" s="104"/>
      <c r="V79" s="104"/>
      <c r="W79" s="104"/>
      <c r="X79" s="104"/>
      <c r="Y79" s="104"/>
      <c r="Z79" s="104"/>
      <c r="AA79" s="104"/>
      <c r="AB79" s="104"/>
      <c r="AC79" s="104"/>
      <c r="AD79" s="104"/>
      <c r="AE79" s="104"/>
      <c r="AF79" s="104"/>
      <c r="AG79" s="104"/>
      <c r="AH79" s="104"/>
      <c r="AI79" s="104"/>
      <c r="AJ79" s="104"/>
      <c r="AK79" s="104"/>
      <c r="AL79" s="104"/>
      <c r="AM79" s="104"/>
      <c r="AN79" s="104"/>
      <c r="AO79" s="104"/>
      <c r="AP79" s="104"/>
      <c r="AQ79" s="104"/>
      <c r="AR79" s="104"/>
      <c r="AS79" s="104"/>
      <c r="AT79" s="104"/>
      <c r="AU79" s="104"/>
      <c r="AV79" s="104"/>
      <c r="AW79" s="104"/>
      <c r="AX79" s="104"/>
      <c r="AY79" s="104"/>
      <c r="AZ79" s="104"/>
      <c r="BA79" s="104"/>
      <c r="BB79" s="104"/>
      <c r="BC79" s="104"/>
      <c r="BD79" s="104"/>
      <c r="BE79" s="104"/>
      <c r="BF79" s="104"/>
      <c r="BG79" s="104"/>
      <c r="BH79" s="104"/>
      <c r="BI79" s="104"/>
      <c r="BJ79" s="104"/>
      <c r="BK79" s="104"/>
      <c r="BL79" s="104"/>
      <c r="BM79" s="104"/>
      <c r="BN79" s="104"/>
      <c r="BO79" s="104"/>
      <c r="BP79" s="104"/>
      <c r="BQ79" s="104"/>
      <c r="BR79" s="104"/>
      <c r="BS79" s="104"/>
      <c r="BT79" s="104"/>
      <c r="BU79" s="104"/>
      <c r="BV79" s="104"/>
      <c r="BW79" s="104"/>
      <c r="BX79" s="104"/>
      <c r="BY79" s="104"/>
      <c r="BZ79" s="104"/>
      <c r="CA79" s="104"/>
      <c r="CB79" s="104"/>
      <c r="CC79" s="104"/>
      <c r="CD79" s="104"/>
      <c r="CE79" s="104"/>
      <c r="CF79" s="104"/>
      <c r="CG79" s="104"/>
      <c r="CH79" s="104"/>
    </row>
    <row r="80" spans="1:86" ht="36" x14ac:dyDescent="0.25">
      <c r="A80" s="104"/>
      <c r="B80" s="104"/>
      <c r="C80" s="104"/>
      <c r="D80" s="104"/>
      <c r="E80" s="104"/>
      <c r="F80" s="104"/>
      <c r="G80" s="104"/>
      <c r="H80" s="104"/>
      <c r="I80" s="104"/>
      <c r="J80" s="104"/>
      <c r="K80" s="104"/>
      <c r="L80" s="104"/>
      <c r="M80" s="104"/>
      <c r="N80" s="104"/>
      <c r="O80" s="104"/>
      <c r="P80" s="104"/>
      <c r="Q80" s="104"/>
      <c r="R80" s="104"/>
      <c r="S80" s="104"/>
      <c r="T80" s="104"/>
      <c r="U80" s="104"/>
      <c r="V80" s="104"/>
      <c r="W80" s="104"/>
      <c r="X80" s="104"/>
      <c r="Y80" s="104"/>
      <c r="Z80" s="104"/>
      <c r="AA80" s="104"/>
      <c r="AB80" s="104"/>
      <c r="AC80" s="104"/>
      <c r="AD80" s="104"/>
      <c r="AE80" s="104"/>
      <c r="AF80" s="104"/>
      <c r="AG80" s="104"/>
      <c r="AH80" s="104"/>
      <c r="AI80" s="104"/>
      <c r="AJ80" s="104"/>
      <c r="AK80" s="104"/>
      <c r="AL80" s="104"/>
      <c r="AM80" s="104"/>
      <c r="AN80" s="104"/>
      <c r="AO80" s="104"/>
      <c r="AP80" s="104"/>
      <c r="AQ80" s="104"/>
      <c r="AR80" s="104"/>
      <c r="AS80" s="104"/>
      <c r="AT80" s="104"/>
      <c r="AU80" s="104"/>
      <c r="AV80" s="104"/>
      <c r="AW80" s="104"/>
      <c r="AX80" s="104"/>
      <c r="AY80" s="104"/>
      <c r="AZ80" s="104"/>
      <c r="BA80" s="104"/>
      <c r="BB80" s="104"/>
      <c r="BC80" s="104"/>
      <c r="BD80" s="104"/>
      <c r="BE80" s="104"/>
      <c r="BF80" s="104"/>
      <c r="BG80" s="104"/>
      <c r="BH80" s="104"/>
      <c r="BI80" s="104"/>
      <c r="BJ80" s="104"/>
      <c r="BK80" s="104"/>
      <c r="BL80" s="104"/>
      <c r="BM80" s="104"/>
      <c r="BN80" s="104"/>
      <c r="BO80" s="104"/>
      <c r="BP80" s="104"/>
      <c r="BQ80" s="104"/>
      <c r="BR80" s="104"/>
      <c r="BS80" s="104"/>
      <c r="BT80" s="104"/>
      <c r="BU80" s="104"/>
      <c r="BV80" s="104"/>
      <c r="BW80" s="104"/>
      <c r="BX80" s="104"/>
      <c r="BY80" s="104"/>
      <c r="BZ80" s="104"/>
      <c r="CA80" s="104"/>
      <c r="CB80" s="104"/>
      <c r="CC80" s="104"/>
      <c r="CD80" s="104"/>
      <c r="CE80" s="104"/>
      <c r="CF80" s="104"/>
      <c r="CG80" s="104"/>
      <c r="CH80" s="104"/>
    </row>
    <row r="81" spans="1:86" ht="36" x14ac:dyDescent="0.25">
      <c r="A81" s="104"/>
      <c r="B81" s="104"/>
      <c r="C81" s="104"/>
      <c r="D81" s="104"/>
      <c r="E81" s="104"/>
      <c r="F81" s="104"/>
      <c r="G81" s="104"/>
      <c r="H81" s="104"/>
      <c r="I81" s="104"/>
      <c r="J81" s="104"/>
      <c r="K81" s="104"/>
      <c r="L81" s="104"/>
      <c r="M81" s="104"/>
      <c r="N81" s="104"/>
      <c r="O81" s="104"/>
      <c r="P81" s="104"/>
      <c r="Q81" s="104"/>
      <c r="R81" s="104"/>
      <c r="S81" s="104"/>
      <c r="T81" s="104"/>
      <c r="U81" s="104"/>
      <c r="V81" s="104"/>
      <c r="W81" s="104"/>
      <c r="X81" s="104"/>
      <c r="Y81" s="104"/>
      <c r="Z81" s="104"/>
      <c r="AA81" s="104"/>
      <c r="AB81" s="104"/>
      <c r="AC81" s="104"/>
      <c r="AD81" s="104"/>
      <c r="AE81" s="104"/>
      <c r="AF81" s="104"/>
      <c r="AG81" s="104"/>
      <c r="AH81" s="104"/>
      <c r="AI81" s="104"/>
      <c r="AJ81" s="104"/>
      <c r="AK81" s="104"/>
      <c r="AL81" s="104"/>
      <c r="AM81" s="104"/>
      <c r="AN81" s="104"/>
      <c r="AO81" s="104"/>
      <c r="AP81" s="104"/>
      <c r="AQ81" s="104"/>
      <c r="AR81" s="104"/>
      <c r="AS81" s="104"/>
      <c r="AT81" s="104"/>
      <c r="AU81" s="104"/>
      <c r="AV81" s="104"/>
      <c r="AW81" s="104"/>
      <c r="AX81" s="104"/>
      <c r="AY81" s="104"/>
      <c r="AZ81" s="104"/>
      <c r="BA81" s="104"/>
      <c r="BB81" s="104"/>
      <c r="BC81" s="104"/>
      <c r="BD81" s="104"/>
      <c r="BE81" s="104"/>
      <c r="BF81" s="104"/>
      <c r="BG81" s="104"/>
      <c r="BH81" s="104"/>
      <c r="BI81" s="104"/>
      <c r="BJ81" s="104"/>
      <c r="BK81" s="104"/>
      <c r="BL81" s="104"/>
      <c r="BM81" s="104"/>
      <c r="BN81" s="104"/>
      <c r="BO81" s="104"/>
      <c r="BP81" s="104"/>
      <c r="BQ81" s="104"/>
      <c r="BR81" s="104"/>
      <c r="BS81" s="104"/>
      <c r="BT81" s="104"/>
      <c r="BU81" s="104"/>
      <c r="BV81" s="104"/>
      <c r="BW81" s="104"/>
      <c r="BX81" s="104"/>
      <c r="BY81" s="104"/>
      <c r="BZ81" s="104"/>
      <c r="CA81" s="104"/>
      <c r="CB81" s="104"/>
      <c r="CC81" s="104"/>
      <c r="CD81" s="104"/>
      <c r="CE81" s="104"/>
      <c r="CF81" s="104"/>
      <c r="CG81" s="104"/>
      <c r="CH81" s="104"/>
    </row>
    <row r="82" spans="1:86" ht="36" x14ac:dyDescent="0.25">
      <c r="A82" s="104"/>
      <c r="B82" s="104"/>
      <c r="C82" s="104"/>
      <c r="D82" s="104"/>
      <c r="E82" s="104"/>
      <c r="F82" s="104"/>
      <c r="G82" s="104"/>
      <c r="H82" s="104"/>
      <c r="I82" s="104"/>
      <c r="J82" s="104"/>
      <c r="K82" s="104"/>
      <c r="L82" s="104"/>
      <c r="M82" s="104"/>
      <c r="N82" s="104"/>
      <c r="O82" s="104"/>
      <c r="P82" s="104"/>
      <c r="Q82" s="104"/>
      <c r="R82" s="104"/>
      <c r="S82" s="104"/>
      <c r="T82" s="104"/>
      <c r="U82" s="104"/>
      <c r="V82" s="104"/>
      <c r="W82" s="104"/>
      <c r="X82" s="104"/>
      <c r="Y82" s="104"/>
      <c r="Z82" s="104"/>
      <c r="AA82" s="104"/>
      <c r="AB82" s="104"/>
      <c r="AC82" s="104"/>
      <c r="AD82" s="104"/>
      <c r="AE82" s="104"/>
      <c r="AF82" s="104"/>
      <c r="AG82" s="104"/>
      <c r="AH82" s="104"/>
      <c r="AI82" s="104"/>
      <c r="AJ82" s="104"/>
      <c r="AK82" s="104"/>
      <c r="AL82" s="104"/>
      <c r="AM82" s="104"/>
      <c r="AN82" s="104"/>
      <c r="AO82" s="104"/>
      <c r="AP82" s="104"/>
      <c r="AQ82" s="104"/>
      <c r="AR82" s="104"/>
      <c r="AS82" s="104"/>
      <c r="AT82" s="104"/>
      <c r="AU82" s="104"/>
      <c r="AV82" s="104"/>
      <c r="AW82" s="104"/>
      <c r="AX82" s="104"/>
      <c r="AY82" s="104"/>
      <c r="AZ82" s="104"/>
      <c r="BA82" s="104"/>
      <c r="BB82" s="104"/>
      <c r="BC82" s="104"/>
      <c r="BD82" s="104"/>
      <c r="BE82" s="104"/>
      <c r="BF82" s="104"/>
      <c r="BG82" s="104"/>
      <c r="BH82" s="104"/>
      <c r="BI82" s="104"/>
      <c r="BJ82" s="104"/>
      <c r="BK82" s="104"/>
      <c r="BL82" s="104"/>
      <c r="BM82" s="104"/>
      <c r="BN82" s="104"/>
      <c r="BO82" s="104"/>
      <c r="BP82" s="104"/>
      <c r="BQ82" s="104"/>
      <c r="BR82" s="104"/>
      <c r="BS82" s="104"/>
      <c r="BT82" s="104"/>
      <c r="BU82" s="104"/>
      <c r="BV82" s="104"/>
      <c r="BW82" s="104"/>
      <c r="BX82" s="104"/>
      <c r="BY82" s="104"/>
      <c r="BZ82" s="104"/>
      <c r="CA82" s="104"/>
      <c r="CB82" s="104"/>
      <c r="CC82" s="104"/>
      <c r="CD82" s="104"/>
      <c r="CE82" s="104"/>
      <c r="CF82" s="104"/>
      <c r="CG82" s="104"/>
      <c r="CH82" s="104"/>
    </row>
    <row r="83" spans="1:86" ht="36" x14ac:dyDescent="0.25">
      <c r="A83" s="104"/>
      <c r="B83" s="104"/>
      <c r="C83" s="104"/>
      <c r="D83" s="104"/>
      <c r="E83" s="104"/>
      <c r="F83" s="104"/>
      <c r="G83" s="104"/>
      <c r="H83" s="104"/>
      <c r="I83" s="104"/>
      <c r="J83" s="104"/>
      <c r="K83" s="104"/>
      <c r="L83" s="104"/>
      <c r="M83" s="104"/>
      <c r="N83" s="104"/>
      <c r="O83" s="104"/>
      <c r="P83" s="104"/>
      <c r="Q83" s="104"/>
      <c r="R83" s="104"/>
      <c r="S83" s="104"/>
      <c r="T83" s="104"/>
      <c r="U83" s="104"/>
      <c r="V83" s="104"/>
      <c r="W83" s="104"/>
      <c r="X83" s="104"/>
      <c r="Y83" s="104"/>
      <c r="Z83" s="104"/>
      <c r="AA83" s="104"/>
      <c r="AB83" s="104"/>
      <c r="AC83" s="104"/>
      <c r="AD83" s="104"/>
      <c r="AE83" s="104"/>
      <c r="AF83" s="104"/>
      <c r="AG83" s="104"/>
      <c r="AH83" s="104"/>
      <c r="AI83" s="104"/>
      <c r="AJ83" s="104"/>
      <c r="AK83" s="104"/>
      <c r="AL83" s="104"/>
      <c r="AM83" s="104"/>
      <c r="AN83" s="104"/>
      <c r="AO83" s="104"/>
      <c r="AP83" s="104"/>
      <c r="AQ83" s="104"/>
      <c r="AR83" s="104"/>
      <c r="AS83" s="104"/>
      <c r="AT83" s="104"/>
      <c r="AU83" s="104"/>
      <c r="AV83" s="104"/>
      <c r="AW83" s="104"/>
      <c r="AX83" s="104"/>
      <c r="AY83" s="104"/>
      <c r="AZ83" s="104"/>
      <c r="BA83" s="104"/>
      <c r="BB83" s="104"/>
      <c r="BC83" s="104"/>
      <c r="BD83" s="104"/>
      <c r="BE83" s="104"/>
      <c r="BF83" s="104"/>
      <c r="BG83" s="104"/>
      <c r="BH83" s="104"/>
      <c r="BI83" s="104"/>
      <c r="BJ83" s="104"/>
      <c r="BK83" s="104"/>
      <c r="BL83" s="104"/>
      <c r="BM83" s="104"/>
      <c r="BN83" s="104"/>
      <c r="BO83" s="104"/>
      <c r="BP83" s="104"/>
      <c r="BQ83" s="104"/>
      <c r="BR83" s="104"/>
      <c r="BS83" s="104"/>
      <c r="BT83" s="104"/>
      <c r="BU83" s="104"/>
      <c r="BV83" s="104"/>
      <c r="BW83" s="104"/>
      <c r="BX83" s="104"/>
      <c r="BY83" s="104"/>
      <c r="BZ83" s="104"/>
      <c r="CA83" s="104"/>
      <c r="CB83" s="104"/>
      <c r="CC83" s="104"/>
      <c r="CD83" s="104"/>
      <c r="CE83" s="104"/>
      <c r="CF83" s="104"/>
      <c r="CG83" s="104"/>
      <c r="CH83" s="104"/>
    </row>
    <row r="84" spans="1:86" ht="36" x14ac:dyDescent="0.25">
      <c r="A84" s="104"/>
      <c r="B84" s="104"/>
      <c r="C84" s="104"/>
      <c r="D84" s="104"/>
      <c r="E84" s="104"/>
      <c r="F84" s="104"/>
      <c r="G84" s="104"/>
      <c r="H84" s="104"/>
      <c r="I84" s="104"/>
      <c r="J84" s="104"/>
      <c r="K84" s="104"/>
      <c r="L84" s="104"/>
      <c r="M84" s="104"/>
      <c r="N84" s="104"/>
      <c r="O84" s="104"/>
      <c r="P84" s="104"/>
      <c r="Q84" s="104"/>
      <c r="R84" s="104"/>
      <c r="S84" s="104"/>
      <c r="T84" s="104"/>
      <c r="U84" s="104"/>
      <c r="V84" s="104"/>
      <c r="W84" s="104"/>
      <c r="X84" s="104"/>
      <c r="Y84" s="104"/>
      <c r="Z84" s="104"/>
      <c r="AA84" s="104"/>
      <c r="AB84" s="104"/>
      <c r="AC84" s="104"/>
      <c r="AD84" s="104"/>
      <c r="AE84" s="104"/>
      <c r="AF84" s="104"/>
      <c r="AG84" s="104"/>
      <c r="AH84" s="104"/>
      <c r="AI84" s="104"/>
      <c r="AJ84" s="104"/>
      <c r="AK84" s="104"/>
      <c r="AL84" s="104"/>
      <c r="AM84" s="104"/>
      <c r="AN84" s="104"/>
      <c r="AO84" s="104"/>
      <c r="AP84" s="104"/>
      <c r="AQ84" s="104"/>
      <c r="AR84" s="104"/>
      <c r="AS84" s="104"/>
      <c r="AT84" s="104"/>
      <c r="AU84" s="104"/>
      <c r="AV84" s="104"/>
      <c r="AW84" s="104"/>
      <c r="AX84" s="104"/>
      <c r="AY84" s="104"/>
      <c r="AZ84" s="104"/>
      <c r="BA84" s="104"/>
      <c r="BB84" s="104"/>
      <c r="BC84" s="104"/>
      <c r="BD84" s="104"/>
      <c r="BE84" s="104"/>
      <c r="BF84" s="104"/>
      <c r="BG84" s="104"/>
      <c r="BH84" s="104"/>
      <c r="BI84" s="104"/>
      <c r="BJ84" s="104"/>
      <c r="BK84" s="104"/>
      <c r="BL84" s="104"/>
      <c r="BM84" s="104"/>
      <c r="BN84" s="104"/>
      <c r="BO84" s="104"/>
      <c r="BP84" s="104"/>
      <c r="BQ84" s="104"/>
      <c r="BR84" s="104"/>
      <c r="BS84" s="104"/>
      <c r="BT84" s="104"/>
      <c r="BU84" s="104"/>
      <c r="BV84" s="104"/>
      <c r="BW84" s="104"/>
      <c r="BX84" s="104"/>
      <c r="BY84" s="104"/>
      <c r="BZ84" s="104"/>
      <c r="CA84" s="104"/>
      <c r="CB84" s="104"/>
      <c r="CC84" s="104"/>
      <c r="CD84" s="104"/>
      <c r="CE84" s="104"/>
      <c r="CF84" s="104"/>
      <c r="CG84" s="104"/>
      <c r="CH84" s="104"/>
    </row>
    <row r="85" spans="1:86" ht="36" x14ac:dyDescent="0.25">
      <c r="A85" s="104"/>
      <c r="B85" s="104"/>
      <c r="C85" s="104"/>
      <c r="D85" s="104"/>
      <c r="E85" s="104"/>
      <c r="F85" s="104"/>
      <c r="G85" s="104"/>
      <c r="H85" s="104"/>
      <c r="I85" s="104"/>
      <c r="J85" s="104"/>
      <c r="K85" s="104"/>
      <c r="L85" s="104"/>
      <c r="M85" s="104"/>
      <c r="N85" s="104"/>
      <c r="O85" s="104"/>
      <c r="P85" s="104"/>
      <c r="Q85" s="104"/>
      <c r="R85" s="104"/>
      <c r="S85" s="104"/>
      <c r="T85" s="104"/>
      <c r="U85" s="104"/>
      <c r="V85" s="104"/>
      <c r="W85" s="104"/>
      <c r="X85" s="104"/>
      <c r="Y85" s="104"/>
      <c r="Z85" s="104"/>
      <c r="AA85" s="104"/>
      <c r="AB85" s="104"/>
      <c r="AC85" s="104"/>
      <c r="AD85" s="104"/>
      <c r="AE85" s="104"/>
      <c r="AF85" s="104"/>
      <c r="AG85" s="104"/>
      <c r="AH85" s="104"/>
      <c r="AI85" s="104"/>
      <c r="AJ85" s="104"/>
      <c r="AK85" s="104"/>
      <c r="AL85" s="104"/>
      <c r="AM85" s="104"/>
      <c r="AN85" s="104"/>
      <c r="AO85" s="104"/>
      <c r="AP85" s="104"/>
      <c r="AQ85" s="104"/>
      <c r="AR85" s="104"/>
      <c r="AS85" s="104"/>
      <c r="AT85" s="104"/>
      <c r="AU85" s="104"/>
      <c r="AV85" s="104"/>
      <c r="AW85" s="104"/>
      <c r="AX85" s="104"/>
      <c r="AY85" s="104"/>
      <c r="AZ85" s="104"/>
      <c r="BA85" s="104"/>
      <c r="BB85" s="104"/>
      <c r="BC85" s="104"/>
      <c r="BD85" s="104"/>
      <c r="BE85" s="104"/>
      <c r="BF85" s="104"/>
      <c r="BG85" s="104"/>
      <c r="BH85" s="104"/>
      <c r="BI85" s="104"/>
      <c r="BJ85" s="104"/>
      <c r="BK85" s="104"/>
      <c r="BL85" s="104"/>
      <c r="BM85" s="104"/>
      <c r="BN85" s="104"/>
      <c r="BO85" s="104"/>
      <c r="BP85" s="104"/>
      <c r="BQ85" s="104"/>
      <c r="BR85" s="104"/>
      <c r="BS85" s="104"/>
      <c r="BT85" s="104"/>
      <c r="BU85" s="104"/>
      <c r="BV85" s="104"/>
      <c r="BW85" s="104"/>
      <c r="BX85" s="104"/>
      <c r="BY85" s="104"/>
      <c r="BZ85" s="104"/>
      <c r="CA85" s="104"/>
      <c r="CB85" s="104"/>
      <c r="CC85" s="104"/>
      <c r="CD85" s="104"/>
      <c r="CE85" s="104"/>
      <c r="CF85" s="104"/>
      <c r="CG85" s="104"/>
      <c r="CH85" s="104"/>
    </row>
    <row r="86" spans="1:86" ht="36" x14ac:dyDescent="0.25">
      <c r="A86" s="104"/>
      <c r="B86" s="104"/>
      <c r="C86" s="104"/>
      <c r="D86" s="104"/>
      <c r="E86" s="104"/>
      <c r="F86" s="104"/>
      <c r="G86" s="104"/>
      <c r="H86" s="104"/>
      <c r="I86" s="104"/>
      <c r="J86" s="104"/>
      <c r="K86" s="104"/>
      <c r="L86" s="104"/>
      <c r="M86" s="104"/>
      <c r="N86" s="104"/>
      <c r="O86" s="104"/>
      <c r="P86" s="104"/>
      <c r="Q86" s="104"/>
      <c r="R86" s="104"/>
      <c r="S86" s="104"/>
      <c r="T86" s="104"/>
      <c r="U86" s="104"/>
      <c r="V86" s="104"/>
      <c r="W86" s="104"/>
      <c r="X86" s="104"/>
      <c r="Y86" s="104"/>
      <c r="Z86" s="104"/>
      <c r="AA86" s="104"/>
      <c r="AB86" s="104"/>
      <c r="AC86" s="104"/>
      <c r="AD86" s="104"/>
      <c r="AE86" s="104"/>
      <c r="AF86" s="104"/>
      <c r="AG86" s="104"/>
      <c r="AH86" s="104"/>
      <c r="AI86" s="104"/>
      <c r="AJ86" s="104"/>
      <c r="AK86" s="104"/>
      <c r="AL86" s="104"/>
      <c r="AM86" s="104"/>
      <c r="AN86" s="104"/>
      <c r="AO86" s="104"/>
      <c r="AP86" s="104"/>
      <c r="AQ86" s="104"/>
      <c r="AR86" s="104"/>
      <c r="AS86" s="104"/>
      <c r="AT86" s="104"/>
      <c r="AU86" s="104"/>
      <c r="AV86" s="104"/>
      <c r="AW86" s="104"/>
      <c r="AX86" s="104"/>
      <c r="AY86" s="104"/>
      <c r="AZ86" s="104"/>
      <c r="BA86" s="104"/>
      <c r="BB86" s="104"/>
      <c r="BC86" s="104"/>
      <c r="BD86" s="104"/>
      <c r="BE86" s="104"/>
      <c r="BF86" s="104"/>
      <c r="BG86" s="104"/>
      <c r="BH86" s="104"/>
      <c r="BI86" s="104"/>
      <c r="BJ86" s="104"/>
      <c r="BK86" s="104"/>
      <c r="BL86" s="104"/>
      <c r="BM86" s="104"/>
      <c r="BN86" s="104"/>
      <c r="BO86" s="104"/>
      <c r="BP86" s="104"/>
      <c r="BQ86" s="104"/>
      <c r="BR86" s="104"/>
      <c r="BS86" s="104"/>
      <c r="BT86" s="104"/>
      <c r="BU86" s="104"/>
      <c r="BV86" s="104"/>
      <c r="BW86" s="104"/>
      <c r="BX86" s="104"/>
      <c r="BY86" s="104"/>
      <c r="BZ86" s="104"/>
      <c r="CA86" s="104"/>
      <c r="CB86" s="104"/>
      <c r="CC86" s="104"/>
      <c r="CD86" s="104"/>
      <c r="CE86" s="104"/>
      <c r="CF86" s="104"/>
      <c r="CG86" s="104"/>
      <c r="CH86" s="104"/>
    </row>
    <row r="87" spans="1:86" ht="36" x14ac:dyDescent="0.25">
      <c r="A87" s="104"/>
      <c r="B87" s="104"/>
      <c r="C87" s="104"/>
      <c r="D87" s="104"/>
      <c r="E87" s="104"/>
      <c r="F87" s="104"/>
      <c r="G87" s="104"/>
      <c r="H87" s="104"/>
      <c r="I87" s="104"/>
      <c r="J87" s="104"/>
      <c r="K87" s="104"/>
      <c r="L87" s="104"/>
      <c r="M87" s="104"/>
      <c r="N87" s="104"/>
      <c r="O87" s="104"/>
      <c r="P87" s="104"/>
      <c r="Q87" s="104"/>
      <c r="R87" s="104"/>
      <c r="S87" s="104"/>
      <c r="T87" s="104"/>
      <c r="U87" s="104"/>
      <c r="V87" s="104"/>
      <c r="W87" s="104"/>
      <c r="X87" s="104"/>
      <c r="Y87" s="104"/>
      <c r="Z87" s="104"/>
      <c r="AA87" s="104"/>
      <c r="AB87" s="104"/>
      <c r="AC87" s="104"/>
      <c r="AD87" s="104"/>
      <c r="AE87" s="104"/>
      <c r="AF87" s="104"/>
      <c r="AG87" s="104"/>
      <c r="AH87" s="104"/>
      <c r="AI87" s="104"/>
      <c r="AJ87" s="104"/>
      <c r="AK87" s="104"/>
      <c r="AL87" s="104"/>
      <c r="AM87" s="104"/>
      <c r="AN87" s="104"/>
      <c r="AO87" s="104"/>
      <c r="AP87" s="104"/>
      <c r="AQ87" s="104"/>
      <c r="AR87" s="104"/>
      <c r="AS87" s="104"/>
      <c r="AT87" s="104"/>
      <c r="AU87" s="104"/>
      <c r="AV87" s="104"/>
      <c r="AW87" s="104"/>
      <c r="AX87" s="104"/>
      <c r="AY87" s="104"/>
      <c r="AZ87" s="104"/>
      <c r="BA87" s="104"/>
      <c r="BB87" s="104"/>
      <c r="BC87" s="104"/>
      <c r="BD87" s="104"/>
      <c r="BE87" s="104"/>
      <c r="BF87" s="104"/>
      <c r="BG87" s="104"/>
      <c r="BH87" s="104"/>
      <c r="BI87" s="104"/>
      <c r="BJ87" s="104"/>
      <c r="BK87" s="104"/>
      <c r="BL87" s="104"/>
      <c r="BM87" s="104"/>
      <c r="BN87" s="104"/>
      <c r="BO87" s="104"/>
      <c r="BP87" s="104"/>
      <c r="BQ87" s="104"/>
      <c r="BR87" s="104"/>
      <c r="BS87" s="104"/>
      <c r="BT87" s="104"/>
      <c r="BU87" s="104"/>
      <c r="BV87" s="104"/>
      <c r="BW87" s="104"/>
      <c r="BX87" s="104"/>
      <c r="BY87" s="104"/>
      <c r="BZ87" s="104"/>
      <c r="CA87" s="104"/>
      <c r="CB87" s="104"/>
      <c r="CC87" s="104"/>
      <c r="CD87" s="104"/>
      <c r="CE87" s="104"/>
      <c r="CF87" s="104"/>
      <c r="CG87" s="104"/>
      <c r="CH87" s="104"/>
    </row>
    <row r="88" spans="1:86" ht="36" x14ac:dyDescent="0.25">
      <c r="A88" s="104"/>
      <c r="B88" s="104"/>
      <c r="C88" s="104"/>
      <c r="D88" s="104"/>
      <c r="E88" s="104"/>
      <c r="F88" s="104"/>
      <c r="G88" s="104"/>
      <c r="H88" s="104"/>
      <c r="I88" s="104"/>
      <c r="J88" s="104"/>
      <c r="K88" s="104"/>
      <c r="L88" s="104"/>
      <c r="M88" s="104"/>
      <c r="N88" s="104"/>
      <c r="O88" s="104"/>
      <c r="P88" s="104"/>
      <c r="Q88" s="104"/>
      <c r="R88" s="104"/>
      <c r="S88" s="104"/>
      <c r="T88" s="104"/>
      <c r="U88" s="104"/>
      <c r="V88" s="104"/>
      <c r="W88" s="104"/>
      <c r="X88" s="104"/>
      <c r="Y88" s="104"/>
      <c r="Z88" s="104"/>
      <c r="AA88" s="104"/>
      <c r="AB88" s="104"/>
      <c r="AC88" s="104"/>
      <c r="AD88" s="104"/>
      <c r="AE88" s="104"/>
      <c r="AF88" s="104"/>
      <c r="AG88" s="104"/>
      <c r="AH88" s="104"/>
      <c r="AI88" s="104"/>
      <c r="AJ88" s="104"/>
      <c r="AK88" s="104"/>
      <c r="AL88" s="104"/>
      <c r="AM88" s="104"/>
      <c r="AN88" s="104"/>
      <c r="AO88" s="104"/>
      <c r="AP88" s="104"/>
      <c r="AQ88" s="104"/>
      <c r="AR88" s="104"/>
      <c r="AS88" s="104"/>
      <c r="AT88" s="104"/>
      <c r="AU88" s="104"/>
      <c r="AV88" s="104"/>
      <c r="AW88" s="104"/>
      <c r="AX88" s="104"/>
      <c r="AY88" s="104"/>
      <c r="AZ88" s="104"/>
      <c r="BA88" s="104"/>
      <c r="BB88" s="104"/>
      <c r="BC88" s="104"/>
      <c r="BD88" s="104"/>
      <c r="BE88" s="104"/>
      <c r="BF88" s="104"/>
      <c r="BG88" s="104"/>
      <c r="BH88" s="104"/>
      <c r="BI88" s="104"/>
      <c r="BJ88" s="104"/>
      <c r="BK88" s="104"/>
      <c r="BL88" s="104"/>
      <c r="BM88" s="104"/>
      <c r="BN88" s="104"/>
      <c r="BO88" s="104"/>
      <c r="BP88" s="104"/>
      <c r="BQ88" s="104"/>
      <c r="BR88" s="104"/>
      <c r="BS88" s="104"/>
      <c r="BT88" s="104"/>
      <c r="BU88" s="104"/>
      <c r="BV88" s="104"/>
      <c r="BW88" s="104"/>
      <c r="BX88" s="104"/>
      <c r="BY88" s="104"/>
      <c r="BZ88" s="104"/>
      <c r="CA88" s="104"/>
      <c r="CB88" s="104"/>
      <c r="CC88" s="104"/>
      <c r="CD88" s="104"/>
      <c r="CE88" s="104"/>
      <c r="CF88" s="104"/>
      <c r="CG88" s="104"/>
      <c r="CH88" s="104"/>
    </row>
    <row r="89" spans="1:86" ht="36" x14ac:dyDescent="0.25">
      <c r="A89" s="104"/>
      <c r="B89" s="104"/>
      <c r="C89" s="104"/>
      <c r="D89" s="104"/>
      <c r="E89" s="104"/>
      <c r="F89" s="104"/>
      <c r="G89" s="104"/>
      <c r="H89" s="104"/>
      <c r="I89" s="104"/>
      <c r="J89" s="104"/>
      <c r="K89" s="104"/>
      <c r="L89" s="104"/>
      <c r="M89" s="104"/>
      <c r="N89" s="104"/>
      <c r="O89" s="104"/>
      <c r="P89" s="104"/>
      <c r="Q89" s="104"/>
      <c r="R89" s="104"/>
      <c r="S89" s="104"/>
      <c r="T89" s="104"/>
      <c r="U89" s="104"/>
      <c r="V89" s="104"/>
      <c r="W89" s="104"/>
      <c r="X89" s="104"/>
      <c r="Y89" s="104"/>
      <c r="Z89" s="104"/>
      <c r="AA89" s="104"/>
      <c r="AB89" s="104"/>
      <c r="AC89" s="104"/>
      <c r="AD89" s="104"/>
      <c r="AE89" s="104"/>
      <c r="AF89" s="104"/>
      <c r="AG89" s="104"/>
      <c r="AH89" s="104"/>
      <c r="AI89" s="104"/>
      <c r="AJ89" s="104"/>
      <c r="AK89" s="104"/>
      <c r="AL89" s="104"/>
      <c r="AM89" s="104"/>
      <c r="AN89" s="104"/>
      <c r="AO89" s="104"/>
      <c r="AP89" s="104"/>
      <c r="AQ89" s="104"/>
      <c r="AR89" s="104"/>
      <c r="AS89" s="104"/>
      <c r="AT89" s="104"/>
      <c r="AU89" s="104"/>
      <c r="AV89" s="104"/>
      <c r="AW89" s="104"/>
      <c r="AX89" s="104"/>
      <c r="AY89" s="104"/>
      <c r="AZ89" s="104"/>
      <c r="BA89" s="104"/>
      <c r="BB89" s="104"/>
      <c r="BC89" s="104"/>
      <c r="BD89" s="104"/>
      <c r="BE89" s="104"/>
      <c r="BF89" s="104"/>
      <c r="BG89" s="104"/>
      <c r="BH89" s="104"/>
      <c r="BI89" s="104"/>
      <c r="BJ89" s="104"/>
      <c r="BK89" s="104"/>
      <c r="BL89" s="104"/>
      <c r="BM89" s="104"/>
      <c r="BN89" s="104"/>
      <c r="BO89" s="104"/>
      <c r="BP89" s="104"/>
      <c r="BQ89" s="104"/>
      <c r="BR89" s="104"/>
      <c r="BS89" s="104"/>
      <c r="BT89" s="104"/>
      <c r="BU89" s="104"/>
      <c r="BV89" s="104"/>
      <c r="BW89" s="104"/>
      <c r="BX89" s="104"/>
      <c r="BY89" s="104"/>
      <c r="BZ89" s="104"/>
      <c r="CA89" s="104"/>
      <c r="CB89" s="104"/>
      <c r="CC89" s="104"/>
      <c r="CD89" s="104"/>
      <c r="CE89" s="104"/>
      <c r="CF89" s="104"/>
      <c r="CG89" s="104"/>
      <c r="CH89" s="104"/>
    </row>
    <row r="90" spans="1:86" ht="36" x14ac:dyDescent="0.25">
      <c r="A90" s="104"/>
      <c r="B90" s="104"/>
      <c r="C90" s="104"/>
      <c r="D90" s="104"/>
      <c r="E90" s="104"/>
      <c r="F90" s="104"/>
      <c r="G90" s="104"/>
      <c r="H90" s="104"/>
      <c r="I90" s="104"/>
      <c r="J90" s="104"/>
      <c r="K90" s="104"/>
      <c r="L90" s="104"/>
      <c r="M90" s="104"/>
      <c r="N90" s="104"/>
      <c r="O90" s="104"/>
      <c r="P90" s="104"/>
      <c r="Q90" s="104"/>
      <c r="R90" s="104"/>
      <c r="S90" s="104"/>
      <c r="T90" s="104"/>
      <c r="U90" s="104"/>
      <c r="V90" s="104"/>
      <c r="W90" s="104"/>
      <c r="X90" s="104"/>
      <c r="Y90" s="104"/>
      <c r="Z90" s="104"/>
      <c r="AA90" s="104"/>
      <c r="AB90" s="104"/>
      <c r="AC90" s="104"/>
      <c r="AD90" s="104"/>
      <c r="AE90" s="104"/>
      <c r="AF90" s="104"/>
      <c r="AG90" s="104"/>
      <c r="AH90" s="104"/>
      <c r="AI90" s="104"/>
      <c r="AJ90" s="104"/>
      <c r="AK90" s="104"/>
      <c r="AL90" s="104"/>
      <c r="AM90" s="104"/>
      <c r="AN90" s="104"/>
      <c r="AO90" s="104"/>
      <c r="AP90" s="104"/>
      <c r="AQ90" s="104"/>
      <c r="AR90" s="104"/>
      <c r="AS90" s="104"/>
      <c r="AT90" s="104"/>
      <c r="AU90" s="104"/>
      <c r="AV90" s="104"/>
      <c r="AW90" s="104"/>
      <c r="AX90" s="104"/>
      <c r="AY90" s="104"/>
      <c r="AZ90" s="104"/>
      <c r="BA90" s="104"/>
      <c r="BB90" s="104"/>
      <c r="BC90" s="104"/>
      <c r="BD90" s="104"/>
      <c r="BE90" s="104"/>
      <c r="BF90" s="104"/>
      <c r="BG90" s="104"/>
      <c r="BH90" s="104"/>
      <c r="BI90" s="104"/>
      <c r="BJ90" s="104"/>
      <c r="BK90" s="104"/>
      <c r="BL90" s="104"/>
      <c r="BM90" s="104"/>
      <c r="BN90" s="104"/>
      <c r="BO90" s="104"/>
      <c r="BP90" s="104"/>
      <c r="BQ90" s="104"/>
    </row>
    <row r="91" spans="1:86" ht="36" x14ac:dyDescent="0.25">
      <c r="A91" s="104"/>
      <c r="B91" s="104"/>
      <c r="C91" s="104"/>
      <c r="D91" s="104"/>
      <c r="E91" s="104"/>
      <c r="F91" s="104"/>
      <c r="G91" s="104"/>
      <c r="H91" s="104"/>
      <c r="I91" s="104"/>
      <c r="J91" s="104"/>
      <c r="K91" s="104"/>
      <c r="L91" s="104"/>
      <c r="M91" s="104"/>
      <c r="N91" s="104"/>
      <c r="O91" s="104"/>
      <c r="P91" s="104"/>
      <c r="Q91" s="104"/>
      <c r="R91" s="104"/>
      <c r="S91" s="104"/>
      <c r="T91" s="104"/>
      <c r="U91" s="104"/>
      <c r="V91" s="104"/>
      <c r="W91" s="104"/>
      <c r="X91" s="104"/>
      <c r="Y91" s="104"/>
      <c r="Z91" s="104"/>
      <c r="AA91" s="104"/>
      <c r="AB91" s="104"/>
      <c r="AC91" s="104"/>
      <c r="AD91" s="104"/>
      <c r="AE91" s="104"/>
      <c r="AF91" s="104"/>
      <c r="AG91" s="104"/>
      <c r="AH91" s="104"/>
      <c r="AI91" s="104"/>
      <c r="AJ91" s="104"/>
      <c r="AK91" s="104"/>
      <c r="AL91" s="104"/>
      <c r="AM91" s="104"/>
      <c r="AN91" s="104"/>
      <c r="AO91" s="104"/>
      <c r="AP91" s="104"/>
      <c r="AQ91" s="104"/>
      <c r="AR91" s="104"/>
      <c r="AS91" s="104"/>
      <c r="AT91" s="104"/>
      <c r="AU91" s="104"/>
      <c r="AV91" s="104"/>
      <c r="AW91" s="104"/>
      <c r="AX91" s="104"/>
      <c r="AY91" s="104"/>
      <c r="AZ91" s="104"/>
      <c r="BA91" s="104"/>
      <c r="BB91" s="104"/>
      <c r="BC91" s="104"/>
      <c r="BD91" s="104"/>
      <c r="BE91" s="104"/>
      <c r="BF91" s="104"/>
      <c r="BG91" s="104"/>
      <c r="BH91" s="104"/>
      <c r="BI91" s="104"/>
      <c r="BJ91" s="104"/>
      <c r="BK91" s="104"/>
      <c r="BL91" s="104"/>
      <c r="BM91" s="104"/>
      <c r="BN91" s="104"/>
      <c r="BO91" s="104"/>
      <c r="BP91" s="104"/>
      <c r="BQ91" s="104"/>
    </row>
    <row r="92" spans="1:86" ht="36" x14ac:dyDescent="0.25">
      <c r="A92" s="104"/>
      <c r="B92" s="104"/>
      <c r="C92" s="104"/>
      <c r="D92" s="104"/>
      <c r="E92" s="104"/>
      <c r="F92" s="104"/>
      <c r="G92" s="104"/>
      <c r="H92" s="104"/>
      <c r="I92" s="104"/>
      <c r="J92" s="104"/>
      <c r="K92" s="104"/>
      <c r="L92" s="104"/>
      <c r="M92" s="104"/>
      <c r="N92" s="104"/>
      <c r="O92" s="104"/>
      <c r="P92" s="104"/>
      <c r="Q92" s="104"/>
      <c r="R92" s="104"/>
      <c r="S92" s="104"/>
      <c r="T92" s="104"/>
      <c r="U92" s="104"/>
      <c r="V92" s="104"/>
      <c r="W92" s="104"/>
      <c r="X92" s="104"/>
      <c r="Y92" s="104"/>
      <c r="Z92" s="104"/>
      <c r="AA92" s="104"/>
      <c r="AB92" s="104"/>
      <c r="AC92" s="104"/>
      <c r="AD92" s="104"/>
      <c r="AE92" s="104"/>
      <c r="AF92" s="104"/>
      <c r="AG92" s="104"/>
      <c r="AH92" s="104"/>
      <c r="AI92" s="104"/>
      <c r="AJ92" s="104"/>
      <c r="AK92" s="104"/>
      <c r="AL92" s="104"/>
      <c r="AM92" s="104"/>
      <c r="AN92" s="104"/>
      <c r="AO92" s="104"/>
      <c r="AP92" s="104"/>
      <c r="AQ92" s="104"/>
      <c r="AR92" s="104"/>
      <c r="AS92" s="104"/>
      <c r="AT92" s="104"/>
      <c r="AU92" s="104"/>
      <c r="AV92" s="104"/>
      <c r="AW92" s="104"/>
      <c r="AX92" s="104"/>
      <c r="AY92" s="104"/>
      <c r="AZ92" s="104"/>
      <c r="BA92" s="104"/>
      <c r="BB92" s="104"/>
      <c r="BC92" s="104"/>
      <c r="BD92" s="104"/>
      <c r="BE92" s="104"/>
      <c r="BF92" s="104"/>
      <c r="BG92" s="104"/>
      <c r="BH92" s="104"/>
      <c r="BI92" s="104"/>
      <c r="BJ92" s="104"/>
      <c r="BK92" s="104"/>
      <c r="BL92" s="104"/>
      <c r="BM92" s="104"/>
      <c r="BN92" s="104"/>
      <c r="BO92" s="104"/>
      <c r="BP92" s="104"/>
      <c r="BQ92" s="104"/>
    </row>
    <row r="93" spans="1:86" ht="36" x14ac:dyDescent="0.25">
      <c r="A93" s="104"/>
      <c r="B93" s="104"/>
      <c r="C93" s="104"/>
      <c r="D93" s="104"/>
      <c r="E93" s="104"/>
      <c r="F93" s="104"/>
      <c r="G93" s="104"/>
      <c r="H93" s="104"/>
      <c r="I93" s="104"/>
      <c r="J93" s="104"/>
      <c r="K93" s="104"/>
      <c r="L93" s="104"/>
      <c r="M93" s="104"/>
      <c r="N93" s="104"/>
      <c r="O93" s="104"/>
      <c r="P93" s="104"/>
      <c r="Q93" s="104"/>
      <c r="R93" s="104"/>
      <c r="S93" s="104"/>
      <c r="T93" s="104"/>
      <c r="U93" s="104"/>
      <c r="V93" s="104"/>
      <c r="W93" s="104"/>
      <c r="X93" s="104"/>
      <c r="Y93" s="104"/>
      <c r="Z93" s="104"/>
      <c r="AA93" s="104"/>
      <c r="AB93" s="104"/>
      <c r="AC93" s="104"/>
      <c r="AD93" s="104"/>
      <c r="AE93" s="104"/>
      <c r="AF93" s="104"/>
      <c r="AG93" s="104"/>
      <c r="AH93" s="104"/>
      <c r="AI93" s="104"/>
      <c r="AJ93" s="104"/>
      <c r="AK93" s="104"/>
      <c r="AL93" s="104"/>
      <c r="AM93" s="104"/>
      <c r="AN93" s="104"/>
      <c r="AO93" s="104"/>
      <c r="AP93" s="104"/>
      <c r="AQ93" s="104"/>
      <c r="AR93" s="104"/>
      <c r="AS93" s="104"/>
      <c r="AT93" s="104"/>
      <c r="AU93" s="104"/>
      <c r="AV93" s="104"/>
      <c r="AW93" s="104"/>
      <c r="AX93" s="104"/>
      <c r="AY93" s="104"/>
      <c r="AZ93" s="104"/>
      <c r="BA93" s="104"/>
      <c r="BB93" s="104"/>
      <c r="BC93" s="104"/>
      <c r="BD93" s="104"/>
      <c r="BE93" s="104"/>
      <c r="BF93" s="104"/>
      <c r="BG93" s="104"/>
      <c r="BH93" s="104"/>
      <c r="BI93" s="104"/>
      <c r="BJ93" s="104"/>
      <c r="BK93" s="104"/>
      <c r="BL93" s="104"/>
      <c r="BM93" s="104"/>
      <c r="BN93" s="104"/>
      <c r="BO93" s="104"/>
      <c r="BP93" s="104"/>
      <c r="BQ93" s="104"/>
    </row>
    <row r="94" spans="1:86" ht="36" x14ac:dyDescent="0.25">
      <c r="A94" s="104"/>
      <c r="B94" s="104"/>
      <c r="C94" s="104"/>
      <c r="D94" s="104"/>
      <c r="E94" s="104"/>
      <c r="F94" s="104"/>
      <c r="G94" s="104"/>
      <c r="H94" s="104"/>
      <c r="I94" s="104"/>
      <c r="J94" s="104"/>
      <c r="K94" s="104"/>
      <c r="L94" s="104"/>
      <c r="M94" s="104"/>
      <c r="N94" s="104"/>
      <c r="O94" s="104"/>
      <c r="P94" s="104"/>
      <c r="Q94" s="104"/>
      <c r="R94" s="104"/>
      <c r="S94" s="104"/>
      <c r="T94" s="104"/>
      <c r="U94" s="104"/>
      <c r="V94" s="104"/>
      <c r="W94" s="104"/>
      <c r="X94" s="104"/>
      <c r="Y94" s="104"/>
      <c r="Z94" s="104"/>
      <c r="AA94" s="104"/>
      <c r="AB94" s="104"/>
      <c r="AC94" s="104"/>
      <c r="AD94" s="104"/>
      <c r="AE94" s="104"/>
      <c r="AF94" s="104"/>
      <c r="AG94" s="104"/>
      <c r="AH94" s="104"/>
      <c r="AI94" s="104"/>
      <c r="AJ94" s="104"/>
      <c r="AK94" s="104"/>
      <c r="AL94" s="104"/>
      <c r="AM94" s="104"/>
      <c r="AN94" s="104"/>
      <c r="AO94" s="104"/>
      <c r="AP94" s="104"/>
      <c r="AQ94" s="104"/>
      <c r="AR94" s="104"/>
      <c r="AS94" s="104"/>
      <c r="AT94" s="104"/>
      <c r="AU94" s="104"/>
      <c r="AV94" s="104"/>
      <c r="AW94" s="104"/>
      <c r="AX94" s="104"/>
      <c r="AY94" s="104"/>
      <c r="AZ94" s="104"/>
      <c r="BA94" s="104"/>
      <c r="BB94" s="104"/>
      <c r="BC94" s="104"/>
      <c r="BD94" s="104"/>
      <c r="BE94" s="104"/>
      <c r="BF94" s="104"/>
      <c r="BG94" s="104"/>
      <c r="BH94" s="104"/>
      <c r="BI94" s="104"/>
      <c r="BJ94" s="104"/>
      <c r="BK94" s="104"/>
      <c r="BL94" s="104"/>
      <c r="BM94" s="104"/>
      <c r="BN94" s="104"/>
      <c r="BO94" s="104"/>
      <c r="BP94" s="104"/>
      <c r="BQ94" s="104"/>
    </row>
    <row r="95" spans="1:86" ht="36" x14ac:dyDescent="0.25">
      <c r="A95" s="104"/>
      <c r="B95" s="104"/>
      <c r="C95" s="104"/>
      <c r="D95" s="104"/>
      <c r="E95" s="104"/>
      <c r="F95" s="104"/>
      <c r="G95" s="104"/>
      <c r="H95" s="104"/>
      <c r="I95" s="104"/>
      <c r="J95" s="104"/>
      <c r="K95" s="104"/>
      <c r="L95" s="104"/>
      <c r="M95" s="104"/>
      <c r="N95" s="104"/>
      <c r="O95" s="104"/>
      <c r="P95" s="104"/>
      <c r="Q95" s="104"/>
      <c r="R95" s="104"/>
      <c r="S95" s="104"/>
      <c r="T95" s="104"/>
      <c r="U95" s="104"/>
      <c r="V95" s="104"/>
      <c r="W95" s="104"/>
      <c r="X95" s="104"/>
      <c r="Y95" s="104"/>
      <c r="Z95" s="104"/>
      <c r="AA95" s="104"/>
      <c r="AB95" s="104"/>
      <c r="AC95" s="104"/>
      <c r="AD95" s="104"/>
      <c r="AE95" s="104"/>
      <c r="AF95" s="104"/>
      <c r="AG95" s="104"/>
      <c r="AH95" s="104"/>
      <c r="AI95" s="104"/>
      <c r="AJ95" s="104"/>
      <c r="AK95" s="104"/>
      <c r="AL95" s="104"/>
      <c r="AM95" s="104"/>
      <c r="AN95" s="104"/>
      <c r="AO95" s="104"/>
      <c r="AP95" s="104"/>
      <c r="AQ95" s="104"/>
      <c r="AR95" s="104"/>
      <c r="AS95" s="104"/>
      <c r="AT95" s="104"/>
      <c r="AU95" s="104"/>
      <c r="AV95" s="104"/>
      <c r="AW95" s="104"/>
      <c r="AX95" s="104"/>
      <c r="AY95" s="104"/>
      <c r="AZ95" s="104"/>
      <c r="BA95" s="104"/>
      <c r="BB95" s="104"/>
      <c r="BC95" s="104"/>
      <c r="BD95" s="104"/>
      <c r="BE95" s="104"/>
      <c r="BF95" s="104"/>
      <c r="BG95" s="104"/>
      <c r="BH95" s="104"/>
      <c r="BI95" s="104"/>
      <c r="BJ95" s="104"/>
      <c r="BK95" s="104"/>
      <c r="BL95" s="104"/>
      <c r="BM95" s="104"/>
      <c r="BN95" s="104"/>
      <c r="BO95" s="104"/>
      <c r="BP95" s="104"/>
      <c r="BQ95" s="104"/>
    </row>
    <row r="96" spans="1:86" ht="36" x14ac:dyDescent="0.25">
      <c r="A96" s="104"/>
      <c r="B96" s="104"/>
      <c r="C96" s="104"/>
      <c r="D96" s="104"/>
      <c r="E96" s="104"/>
      <c r="F96" s="104"/>
      <c r="G96" s="104"/>
      <c r="H96" s="104"/>
      <c r="I96" s="104"/>
      <c r="J96" s="104"/>
      <c r="K96" s="104"/>
      <c r="L96" s="104"/>
      <c r="M96" s="104"/>
      <c r="N96" s="104"/>
      <c r="O96" s="104"/>
      <c r="P96" s="104"/>
      <c r="Q96" s="104"/>
      <c r="R96" s="104"/>
      <c r="S96" s="104"/>
      <c r="T96" s="104"/>
      <c r="U96" s="104"/>
      <c r="V96" s="104"/>
      <c r="W96" s="104"/>
      <c r="X96" s="104"/>
      <c r="Y96" s="104"/>
      <c r="Z96" s="104"/>
      <c r="AA96" s="104"/>
      <c r="AB96" s="104"/>
      <c r="AC96" s="104"/>
      <c r="AD96" s="104"/>
      <c r="AE96" s="104"/>
      <c r="AF96" s="104"/>
      <c r="AG96" s="104"/>
      <c r="AH96" s="104"/>
      <c r="AI96" s="104"/>
      <c r="AJ96" s="104"/>
      <c r="AK96" s="104"/>
      <c r="AL96" s="104"/>
      <c r="AM96" s="104"/>
      <c r="AN96" s="104"/>
      <c r="AO96" s="104"/>
      <c r="AP96" s="104"/>
      <c r="AQ96" s="104"/>
      <c r="AR96" s="104"/>
      <c r="AS96" s="104"/>
      <c r="AT96" s="104"/>
      <c r="AU96" s="104"/>
      <c r="AV96" s="104"/>
      <c r="AW96" s="104"/>
      <c r="AX96" s="104"/>
      <c r="AY96" s="104"/>
      <c r="AZ96" s="104"/>
      <c r="BA96" s="104"/>
      <c r="BB96" s="104"/>
      <c r="BC96" s="104"/>
      <c r="BD96" s="104"/>
      <c r="BE96" s="104"/>
      <c r="BF96" s="104"/>
      <c r="BG96" s="104"/>
      <c r="BH96" s="104"/>
      <c r="BI96" s="104"/>
      <c r="BJ96" s="104"/>
      <c r="BK96" s="104"/>
      <c r="BL96" s="104"/>
      <c r="BM96" s="104"/>
      <c r="BN96" s="104"/>
      <c r="BO96" s="104"/>
      <c r="BP96" s="104"/>
      <c r="BQ96" s="104"/>
    </row>
    <row r="97" spans="1:69" ht="36" x14ac:dyDescent="0.25">
      <c r="A97" s="104"/>
      <c r="B97" s="104"/>
      <c r="C97" s="104"/>
      <c r="D97" s="104"/>
      <c r="E97" s="104"/>
      <c r="F97" s="104"/>
      <c r="G97" s="104"/>
      <c r="H97" s="104"/>
      <c r="I97" s="104"/>
      <c r="J97" s="104"/>
      <c r="K97" s="104"/>
      <c r="L97" s="104"/>
      <c r="M97" s="104"/>
      <c r="N97" s="104"/>
      <c r="O97" s="104"/>
      <c r="P97" s="104"/>
      <c r="Q97" s="104"/>
      <c r="R97" s="104"/>
      <c r="S97" s="104"/>
      <c r="T97" s="104"/>
      <c r="U97" s="104"/>
      <c r="V97" s="104"/>
      <c r="W97" s="104"/>
      <c r="X97" s="104"/>
      <c r="Y97" s="104"/>
      <c r="Z97" s="104"/>
      <c r="AA97" s="104"/>
      <c r="AB97" s="104"/>
      <c r="AC97" s="104"/>
      <c r="AD97" s="104"/>
      <c r="AE97" s="104"/>
      <c r="AF97" s="104"/>
      <c r="AG97" s="104"/>
      <c r="AH97" s="104"/>
      <c r="AI97" s="104"/>
      <c r="AJ97" s="104"/>
      <c r="AK97" s="104"/>
      <c r="AL97" s="104"/>
      <c r="AM97" s="104"/>
      <c r="AN97" s="104"/>
      <c r="AO97" s="104"/>
      <c r="AP97" s="104"/>
      <c r="AQ97" s="104"/>
      <c r="AR97" s="104"/>
      <c r="AS97" s="104"/>
      <c r="AT97" s="104"/>
      <c r="AU97" s="104"/>
      <c r="AV97" s="104"/>
      <c r="AW97" s="104"/>
      <c r="AX97" s="104"/>
      <c r="AY97" s="104"/>
      <c r="AZ97" s="104"/>
      <c r="BA97" s="104"/>
      <c r="BB97" s="104"/>
      <c r="BC97" s="104"/>
      <c r="BD97" s="104"/>
      <c r="BE97" s="104"/>
      <c r="BF97" s="104"/>
      <c r="BG97" s="104"/>
      <c r="BH97" s="104"/>
      <c r="BI97" s="104"/>
      <c r="BJ97" s="104"/>
      <c r="BK97" s="104"/>
      <c r="BL97" s="104"/>
      <c r="BM97" s="104"/>
      <c r="BN97" s="104"/>
      <c r="BO97" s="104"/>
      <c r="BP97" s="104"/>
      <c r="BQ97" s="104"/>
    </row>
    <row r="98" spans="1:69" ht="36" x14ac:dyDescent="0.25">
      <c r="A98" s="104"/>
      <c r="B98" s="104"/>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4"/>
      <c r="AG98" s="104"/>
      <c r="AH98" s="104"/>
      <c r="AI98" s="104"/>
      <c r="AJ98" s="104"/>
      <c r="AK98" s="104"/>
      <c r="AL98" s="104"/>
      <c r="AM98" s="104"/>
      <c r="AN98" s="104"/>
      <c r="AO98" s="104"/>
      <c r="AP98" s="104"/>
      <c r="AQ98" s="104"/>
      <c r="AR98" s="104"/>
      <c r="AS98" s="104"/>
      <c r="AT98" s="104"/>
      <c r="AU98" s="104"/>
      <c r="AV98" s="104"/>
      <c r="AW98" s="104"/>
      <c r="AX98" s="104"/>
      <c r="AY98" s="104"/>
      <c r="AZ98" s="104"/>
      <c r="BA98" s="104"/>
      <c r="BB98" s="104"/>
      <c r="BC98" s="104"/>
      <c r="BD98" s="104"/>
      <c r="BE98" s="104"/>
      <c r="BF98" s="104"/>
      <c r="BG98" s="104"/>
      <c r="BH98" s="104"/>
      <c r="BI98" s="104"/>
      <c r="BJ98" s="104"/>
      <c r="BK98" s="104"/>
      <c r="BL98" s="104"/>
      <c r="BM98" s="104"/>
      <c r="BN98" s="104"/>
      <c r="BO98" s="104"/>
      <c r="BP98" s="104"/>
      <c r="BQ98" s="104"/>
    </row>
    <row r="99" spans="1:69" ht="36" x14ac:dyDescent="0.25">
      <c r="A99" s="104"/>
      <c r="B99" s="104"/>
      <c r="C99" s="104"/>
      <c r="D99" s="104"/>
      <c r="E99" s="104"/>
      <c r="F99" s="104"/>
      <c r="G99" s="104"/>
      <c r="H99" s="104"/>
      <c r="I99" s="104"/>
      <c r="J99" s="104"/>
      <c r="K99" s="104"/>
      <c r="L99" s="104"/>
      <c r="M99" s="104"/>
      <c r="N99" s="104"/>
      <c r="O99" s="104"/>
      <c r="P99" s="104"/>
      <c r="Q99" s="104"/>
      <c r="R99" s="104"/>
      <c r="S99" s="104"/>
      <c r="T99" s="104"/>
      <c r="U99" s="104"/>
      <c r="V99" s="104"/>
      <c r="W99" s="104"/>
      <c r="X99" s="104"/>
      <c r="Y99" s="104"/>
      <c r="Z99" s="104"/>
      <c r="AA99" s="104"/>
      <c r="AB99" s="104"/>
      <c r="AC99" s="104"/>
      <c r="AD99" s="104"/>
      <c r="AE99" s="104"/>
      <c r="AF99" s="104"/>
      <c r="AG99" s="104"/>
      <c r="AH99" s="104"/>
      <c r="AI99" s="104"/>
      <c r="AJ99" s="104"/>
      <c r="AK99" s="104"/>
      <c r="AL99" s="104"/>
      <c r="AM99" s="104"/>
      <c r="AN99" s="104"/>
      <c r="AO99" s="104"/>
      <c r="AP99" s="104"/>
      <c r="AQ99" s="104"/>
      <c r="AR99" s="104"/>
      <c r="AS99" s="104"/>
      <c r="AT99" s="104"/>
      <c r="AU99" s="104"/>
      <c r="AV99" s="104"/>
      <c r="AW99" s="104"/>
      <c r="AX99" s="104"/>
      <c r="AY99" s="104"/>
      <c r="AZ99" s="104"/>
      <c r="BA99" s="104"/>
      <c r="BB99" s="104"/>
      <c r="BC99" s="104"/>
      <c r="BD99" s="104"/>
      <c r="BE99" s="104"/>
      <c r="BF99" s="104"/>
      <c r="BG99" s="104"/>
      <c r="BH99" s="104"/>
      <c r="BI99" s="104"/>
      <c r="BJ99" s="104"/>
      <c r="BK99" s="104"/>
      <c r="BL99" s="104"/>
      <c r="BM99" s="104"/>
      <c r="BN99" s="104"/>
      <c r="BO99" s="104"/>
      <c r="BP99" s="104"/>
      <c r="BQ99" s="104"/>
    </row>
    <row r="100" spans="1:69" ht="36" x14ac:dyDescent="0.25">
      <c r="A100" s="104"/>
      <c r="B100" s="104"/>
      <c r="C100" s="104"/>
      <c r="D100" s="104"/>
      <c r="E100" s="104"/>
      <c r="F100" s="104"/>
      <c r="G100" s="104"/>
      <c r="H100" s="104"/>
      <c r="I100" s="104"/>
      <c r="J100" s="104"/>
      <c r="K100" s="104"/>
      <c r="L100" s="104"/>
      <c r="M100" s="104"/>
      <c r="N100" s="104"/>
      <c r="O100" s="104"/>
      <c r="P100" s="104"/>
      <c r="Q100" s="104"/>
      <c r="R100" s="104"/>
      <c r="S100" s="104"/>
      <c r="T100" s="104"/>
      <c r="U100" s="104"/>
      <c r="V100" s="104"/>
      <c r="W100" s="104"/>
      <c r="X100" s="104"/>
      <c r="Y100" s="104"/>
      <c r="Z100" s="104"/>
      <c r="AA100" s="104"/>
      <c r="AB100" s="104"/>
      <c r="AC100" s="104"/>
      <c r="AD100" s="104"/>
      <c r="AE100" s="104"/>
      <c r="AF100" s="104"/>
      <c r="AG100" s="104"/>
      <c r="AH100" s="104"/>
      <c r="AI100" s="104"/>
      <c r="AJ100" s="104"/>
      <c r="AK100" s="104"/>
      <c r="AL100" s="104"/>
      <c r="AM100" s="104"/>
      <c r="AN100" s="104"/>
      <c r="AO100" s="104"/>
      <c r="AP100" s="104"/>
      <c r="AQ100" s="104"/>
      <c r="AR100" s="104"/>
      <c r="AS100" s="104"/>
      <c r="AT100" s="104"/>
      <c r="AU100" s="104"/>
      <c r="AV100" s="104"/>
      <c r="AW100" s="104"/>
      <c r="AX100" s="104"/>
      <c r="AY100" s="104"/>
      <c r="AZ100" s="104"/>
      <c r="BA100" s="104"/>
      <c r="BB100" s="104"/>
      <c r="BC100" s="104"/>
      <c r="BD100" s="104"/>
      <c r="BE100" s="104"/>
      <c r="BF100" s="104"/>
      <c r="BG100" s="104"/>
      <c r="BH100" s="104"/>
      <c r="BI100" s="104"/>
      <c r="BJ100" s="104"/>
      <c r="BK100" s="104"/>
      <c r="BL100" s="104"/>
      <c r="BM100" s="104"/>
      <c r="BN100" s="104"/>
      <c r="BO100" s="104"/>
      <c r="BP100" s="104"/>
      <c r="BQ100" s="104"/>
    </row>
    <row r="101" spans="1:69" ht="36" x14ac:dyDescent="0.25">
      <c r="A101" s="104"/>
      <c r="B101" s="104"/>
      <c r="C101" s="104"/>
      <c r="D101" s="104"/>
      <c r="E101" s="104"/>
      <c r="F101" s="104"/>
      <c r="G101" s="104"/>
      <c r="H101" s="104"/>
      <c r="I101" s="104"/>
      <c r="J101" s="104"/>
      <c r="K101" s="104"/>
      <c r="L101" s="104"/>
      <c r="M101" s="104"/>
      <c r="N101" s="104"/>
      <c r="O101" s="104"/>
      <c r="P101" s="104"/>
      <c r="Q101" s="104"/>
      <c r="R101" s="104"/>
      <c r="S101" s="104"/>
      <c r="T101" s="104"/>
      <c r="U101" s="104"/>
      <c r="V101" s="104"/>
      <c r="W101" s="104"/>
      <c r="X101" s="104"/>
      <c r="Y101" s="104"/>
      <c r="Z101" s="104"/>
      <c r="AA101" s="104"/>
      <c r="AB101" s="104"/>
      <c r="AC101" s="104"/>
      <c r="AD101" s="104"/>
      <c r="AE101" s="104"/>
      <c r="AF101" s="104"/>
      <c r="AG101" s="104"/>
      <c r="AH101" s="104"/>
      <c r="AI101" s="104"/>
      <c r="AJ101" s="104"/>
      <c r="AK101" s="104"/>
      <c r="AL101" s="104"/>
      <c r="AM101" s="104"/>
      <c r="AN101" s="104"/>
      <c r="AO101" s="104"/>
      <c r="AP101" s="104"/>
      <c r="AQ101" s="104"/>
      <c r="AR101" s="104"/>
      <c r="AS101" s="104"/>
      <c r="AT101" s="104"/>
      <c r="AU101" s="104"/>
      <c r="AV101" s="104"/>
      <c r="AW101" s="104"/>
      <c r="AX101" s="104"/>
      <c r="AY101" s="104"/>
      <c r="AZ101" s="104"/>
      <c r="BA101" s="104"/>
      <c r="BB101" s="104"/>
      <c r="BC101" s="104"/>
      <c r="BD101" s="104"/>
      <c r="BE101" s="104"/>
      <c r="BF101" s="104"/>
      <c r="BG101" s="104"/>
      <c r="BH101" s="104"/>
      <c r="BI101" s="104"/>
      <c r="BJ101" s="104"/>
      <c r="BK101" s="104"/>
      <c r="BL101" s="104"/>
      <c r="BM101" s="104"/>
      <c r="BN101" s="104"/>
      <c r="BO101" s="104"/>
      <c r="BP101" s="104"/>
      <c r="BQ101" s="104"/>
    </row>
    <row r="102" spans="1:69" ht="36" x14ac:dyDescent="0.25">
      <c r="A102" s="104"/>
      <c r="B102" s="104"/>
      <c r="C102" s="104"/>
      <c r="D102" s="104"/>
      <c r="E102" s="104"/>
      <c r="F102" s="104"/>
      <c r="G102" s="104"/>
      <c r="H102" s="104"/>
      <c r="I102" s="104"/>
      <c r="J102" s="104"/>
      <c r="K102" s="104"/>
      <c r="L102" s="104"/>
      <c r="M102" s="104"/>
      <c r="N102" s="104"/>
      <c r="O102" s="104"/>
      <c r="P102" s="104"/>
      <c r="Q102" s="104"/>
      <c r="R102" s="104"/>
      <c r="S102" s="104"/>
      <c r="T102" s="104"/>
      <c r="U102" s="104"/>
      <c r="V102" s="104"/>
      <c r="W102" s="104"/>
      <c r="X102" s="104"/>
      <c r="Y102" s="104"/>
      <c r="Z102" s="104"/>
      <c r="AA102" s="104"/>
      <c r="AB102" s="104"/>
      <c r="AC102" s="104"/>
      <c r="AD102" s="104"/>
      <c r="AE102" s="104"/>
      <c r="AF102" s="104"/>
      <c r="AG102" s="104"/>
      <c r="AH102" s="104"/>
      <c r="AI102" s="104"/>
      <c r="AJ102" s="104"/>
      <c r="AK102" s="104"/>
      <c r="AL102" s="104"/>
      <c r="AM102" s="104"/>
      <c r="AN102" s="104"/>
      <c r="AO102" s="104"/>
      <c r="AP102" s="104"/>
      <c r="AQ102" s="104"/>
      <c r="AR102" s="104"/>
      <c r="AS102" s="104"/>
      <c r="AT102" s="104"/>
      <c r="AU102" s="104"/>
      <c r="AV102" s="104"/>
      <c r="AW102" s="104"/>
      <c r="AX102" s="104"/>
      <c r="AY102" s="104"/>
      <c r="AZ102" s="104"/>
      <c r="BA102" s="104"/>
      <c r="BB102" s="104"/>
      <c r="BC102" s="104"/>
      <c r="BD102" s="104"/>
      <c r="BE102" s="104"/>
      <c r="BF102" s="104"/>
      <c r="BG102" s="104"/>
      <c r="BH102" s="104"/>
      <c r="BI102" s="104"/>
      <c r="BJ102" s="104"/>
      <c r="BK102" s="104"/>
      <c r="BL102" s="104"/>
      <c r="BM102" s="104"/>
      <c r="BN102" s="104"/>
      <c r="BO102" s="104"/>
      <c r="BP102" s="104"/>
      <c r="BQ102" s="104"/>
    </row>
    <row r="103" spans="1:69" ht="36" x14ac:dyDescent="0.25">
      <c r="A103" s="104"/>
      <c r="B103" s="104"/>
      <c r="C103" s="104"/>
      <c r="D103" s="104"/>
      <c r="E103" s="104"/>
      <c r="F103" s="104"/>
      <c r="G103" s="104"/>
      <c r="H103" s="104"/>
      <c r="I103" s="104"/>
      <c r="J103" s="104"/>
      <c r="K103" s="104"/>
      <c r="L103" s="104"/>
      <c r="M103" s="104"/>
      <c r="N103" s="104"/>
      <c r="O103" s="104"/>
      <c r="P103" s="104"/>
      <c r="Q103" s="104"/>
      <c r="R103" s="104"/>
      <c r="S103" s="104"/>
      <c r="T103" s="104"/>
      <c r="U103" s="104"/>
      <c r="V103" s="104"/>
      <c r="W103" s="104"/>
      <c r="X103" s="104"/>
      <c r="Y103" s="104"/>
      <c r="Z103" s="104"/>
      <c r="AA103" s="104"/>
      <c r="AB103" s="104"/>
      <c r="AC103" s="104"/>
      <c r="AD103" s="104"/>
      <c r="AE103" s="104"/>
      <c r="AF103" s="104"/>
      <c r="AG103" s="104"/>
      <c r="AH103" s="104"/>
      <c r="AI103" s="104"/>
      <c r="AJ103" s="104"/>
      <c r="AK103" s="104"/>
      <c r="AL103" s="104"/>
      <c r="AM103" s="104"/>
      <c r="AN103" s="104"/>
      <c r="AO103" s="104"/>
      <c r="AP103" s="104"/>
      <c r="AQ103" s="104"/>
      <c r="AR103" s="104"/>
      <c r="AS103" s="104"/>
      <c r="AT103" s="104"/>
      <c r="AU103" s="104"/>
      <c r="AV103" s="104"/>
      <c r="AW103" s="104"/>
      <c r="AX103" s="104"/>
      <c r="AY103" s="104"/>
      <c r="AZ103" s="104"/>
      <c r="BA103" s="104"/>
      <c r="BB103" s="104"/>
      <c r="BC103" s="104"/>
      <c r="BD103" s="104"/>
      <c r="BE103" s="104"/>
      <c r="BF103" s="104"/>
      <c r="BG103" s="104"/>
      <c r="BH103" s="104"/>
      <c r="BI103" s="104"/>
      <c r="BJ103" s="104"/>
      <c r="BK103" s="104"/>
      <c r="BL103" s="104"/>
      <c r="BM103" s="104"/>
      <c r="BN103" s="104"/>
      <c r="BO103" s="104"/>
      <c r="BP103" s="104"/>
      <c r="BQ103" s="104"/>
    </row>
    <row r="104" spans="1:69" ht="36" x14ac:dyDescent="0.25">
      <c r="A104" s="104"/>
      <c r="B104" s="104"/>
      <c r="C104" s="104"/>
      <c r="D104" s="104"/>
      <c r="E104" s="104"/>
      <c r="F104" s="104"/>
      <c r="G104" s="104"/>
      <c r="H104" s="104"/>
      <c r="I104" s="104"/>
      <c r="J104" s="104"/>
      <c r="K104" s="104"/>
      <c r="L104" s="104"/>
      <c r="M104" s="104"/>
      <c r="N104" s="104"/>
      <c r="O104" s="104"/>
      <c r="P104" s="104"/>
      <c r="Q104" s="104"/>
      <c r="R104" s="104"/>
      <c r="S104" s="104"/>
      <c r="T104" s="104"/>
      <c r="U104" s="104"/>
      <c r="V104" s="104"/>
      <c r="W104" s="104"/>
      <c r="X104" s="104"/>
      <c r="Y104" s="104"/>
      <c r="Z104" s="104"/>
      <c r="AA104" s="104"/>
      <c r="AB104" s="104"/>
      <c r="AC104" s="104"/>
      <c r="AD104" s="104"/>
      <c r="AE104" s="104"/>
      <c r="AF104" s="104"/>
      <c r="AG104" s="104"/>
      <c r="AH104" s="104"/>
      <c r="AI104" s="104"/>
      <c r="AJ104" s="104"/>
      <c r="AK104" s="104"/>
      <c r="AL104" s="104"/>
      <c r="AM104" s="104"/>
      <c r="AN104" s="104"/>
      <c r="AO104" s="104"/>
      <c r="AP104" s="104"/>
      <c r="AQ104" s="104"/>
      <c r="AR104" s="104"/>
      <c r="AS104" s="104"/>
      <c r="AT104" s="104"/>
      <c r="AU104" s="104"/>
      <c r="AV104" s="104"/>
      <c r="AW104" s="104"/>
      <c r="AX104" s="104"/>
      <c r="AY104" s="104"/>
      <c r="AZ104" s="104"/>
      <c r="BA104" s="104"/>
      <c r="BB104" s="104"/>
      <c r="BC104" s="104"/>
      <c r="BD104" s="104"/>
      <c r="BE104" s="104"/>
      <c r="BF104" s="104"/>
      <c r="BG104" s="104"/>
      <c r="BH104" s="104"/>
      <c r="BI104" s="104"/>
      <c r="BJ104" s="104"/>
      <c r="BK104" s="104"/>
      <c r="BL104" s="104"/>
      <c r="BM104" s="104"/>
      <c r="BN104" s="104"/>
      <c r="BO104" s="104"/>
      <c r="BP104" s="104"/>
      <c r="BQ104" s="104"/>
    </row>
    <row r="105" spans="1:69" ht="36" x14ac:dyDescent="0.25">
      <c r="A105" s="104"/>
      <c r="B105" s="104"/>
      <c r="C105" s="104"/>
      <c r="D105" s="104"/>
      <c r="E105" s="104"/>
      <c r="F105" s="104"/>
      <c r="G105" s="104"/>
      <c r="H105" s="104"/>
      <c r="I105" s="104"/>
      <c r="J105" s="104"/>
      <c r="K105" s="104"/>
      <c r="L105" s="104"/>
      <c r="M105" s="104"/>
      <c r="N105" s="104"/>
      <c r="O105" s="104"/>
      <c r="P105" s="104"/>
      <c r="Q105" s="104"/>
      <c r="R105" s="104"/>
      <c r="S105" s="104"/>
      <c r="T105" s="104"/>
      <c r="U105" s="104"/>
      <c r="V105" s="104"/>
      <c r="W105" s="104"/>
      <c r="X105" s="104"/>
      <c r="Y105" s="104"/>
      <c r="Z105" s="104"/>
      <c r="AA105" s="104"/>
      <c r="AB105" s="104"/>
      <c r="AC105" s="104"/>
      <c r="AD105" s="104"/>
      <c r="AE105" s="104"/>
      <c r="AF105" s="104"/>
      <c r="AG105" s="104"/>
      <c r="AH105" s="104"/>
      <c r="AI105" s="104"/>
      <c r="AJ105" s="104"/>
      <c r="AK105" s="104"/>
      <c r="AL105" s="104"/>
      <c r="AM105" s="104"/>
      <c r="AN105" s="104"/>
      <c r="AO105" s="104"/>
      <c r="AP105" s="104"/>
      <c r="AQ105" s="104"/>
      <c r="AR105" s="104"/>
      <c r="AS105" s="104"/>
      <c r="AT105" s="104"/>
      <c r="AU105" s="104"/>
      <c r="AV105" s="104"/>
      <c r="AW105" s="104"/>
      <c r="AX105" s="104"/>
      <c r="AY105" s="104"/>
      <c r="AZ105" s="104"/>
      <c r="BA105" s="104"/>
      <c r="BB105" s="104"/>
      <c r="BC105" s="104"/>
      <c r="BD105" s="104"/>
      <c r="BE105" s="104"/>
      <c r="BF105" s="104"/>
      <c r="BG105" s="104"/>
      <c r="BH105" s="104"/>
      <c r="BI105" s="104"/>
      <c r="BJ105" s="104"/>
      <c r="BK105" s="104"/>
      <c r="BL105" s="104"/>
      <c r="BM105" s="104"/>
      <c r="BN105" s="104"/>
      <c r="BO105" s="104"/>
      <c r="BP105" s="104"/>
      <c r="BQ105" s="104"/>
    </row>
    <row r="106" spans="1:69" ht="36" x14ac:dyDescent="0.25">
      <c r="A106" s="104"/>
      <c r="B106" s="104"/>
      <c r="C106" s="104"/>
      <c r="D106" s="104"/>
      <c r="E106" s="104"/>
      <c r="F106" s="104"/>
      <c r="G106" s="104"/>
      <c r="H106" s="104"/>
      <c r="I106" s="104"/>
      <c r="J106" s="104"/>
      <c r="K106" s="104"/>
      <c r="L106" s="104"/>
      <c r="M106" s="104"/>
      <c r="N106" s="104"/>
      <c r="O106" s="104"/>
      <c r="P106" s="104"/>
      <c r="Q106" s="104"/>
      <c r="R106" s="104"/>
      <c r="S106" s="104"/>
      <c r="T106" s="104"/>
      <c r="U106" s="104"/>
      <c r="V106" s="104"/>
      <c r="W106" s="104"/>
      <c r="X106" s="104"/>
      <c r="Y106" s="104"/>
      <c r="Z106" s="104"/>
      <c r="AA106" s="104"/>
      <c r="AB106" s="104"/>
      <c r="AC106" s="104"/>
      <c r="AD106" s="104"/>
      <c r="AE106" s="104"/>
      <c r="AF106" s="104"/>
      <c r="AG106" s="104"/>
      <c r="AH106" s="104"/>
      <c r="AI106" s="104"/>
      <c r="AJ106" s="104"/>
      <c r="AK106" s="104"/>
      <c r="AL106" s="104"/>
      <c r="AM106" s="104"/>
      <c r="AN106" s="104"/>
      <c r="AO106" s="104"/>
      <c r="AP106" s="104"/>
      <c r="AQ106" s="104"/>
      <c r="AR106" s="104"/>
      <c r="AS106" s="104"/>
      <c r="AT106" s="104"/>
      <c r="AU106" s="104"/>
      <c r="AV106" s="104"/>
      <c r="AW106" s="104"/>
      <c r="AX106" s="104"/>
      <c r="AY106" s="104"/>
      <c r="AZ106" s="104"/>
      <c r="BA106" s="104"/>
      <c r="BB106" s="104"/>
      <c r="BC106" s="104"/>
      <c r="BD106" s="104"/>
      <c r="BE106" s="104"/>
      <c r="BF106" s="104"/>
      <c r="BG106" s="104"/>
      <c r="BH106" s="104"/>
      <c r="BI106" s="104"/>
      <c r="BJ106" s="104"/>
      <c r="BK106" s="104"/>
      <c r="BL106" s="104"/>
      <c r="BM106" s="104"/>
      <c r="BN106" s="104"/>
      <c r="BO106" s="104"/>
      <c r="BP106" s="104"/>
      <c r="BQ106" s="104"/>
    </row>
    <row r="107" spans="1:69" ht="36" x14ac:dyDescent="0.25">
      <c r="A107" s="104"/>
      <c r="B107" s="104"/>
      <c r="C107" s="104"/>
      <c r="D107" s="104"/>
      <c r="E107" s="104"/>
      <c r="F107" s="104"/>
      <c r="G107" s="104"/>
      <c r="H107" s="104"/>
      <c r="I107" s="104"/>
      <c r="J107" s="104"/>
      <c r="K107" s="104"/>
      <c r="L107" s="104"/>
      <c r="M107" s="104"/>
      <c r="N107" s="104"/>
      <c r="O107" s="104"/>
      <c r="P107" s="104"/>
      <c r="Q107" s="104"/>
      <c r="R107" s="104"/>
      <c r="S107" s="104"/>
      <c r="T107" s="104"/>
      <c r="U107" s="104"/>
      <c r="V107" s="104"/>
      <c r="W107" s="104"/>
      <c r="X107" s="104"/>
      <c r="Y107" s="104"/>
      <c r="Z107" s="104"/>
      <c r="AA107" s="104"/>
      <c r="AB107" s="104"/>
      <c r="AC107" s="104"/>
      <c r="AD107" s="104"/>
      <c r="AE107" s="104"/>
      <c r="AF107" s="104"/>
      <c r="AG107" s="104"/>
      <c r="AH107" s="104"/>
      <c r="AI107" s="104"/>
      <c r="AJ107" s="104"/>
      <c r="AK107" s="104"/>
      <c r="AL107" s="104"/>
      <c r="AM107" s="104"/>
      <c r="AN107" s="104"/>
      <c r="AO107" s="104"/>
      <c r="AP107" s="104"/>
      <c r="AQ107" s="104"/>
      <c r="AR107" s="104"/>
      <c r="AS107" s="104"/>
      <c r="AT107" s="104"/>
      <c r="AU107" s="104"/>
      <c r="AV107" s="104"/>
      <c r="AW107" s="104"/>
      <c r="AX107" s="104"/>
      <c r="AY107" s="104"/>
      <c r="AZ107" s="104"/>
      <c r="BA107" s="104"/>
      <c r="BB107" s="104"/>
      <c r="BC107" s="104"/>
      <c r="BD107" s="104"/>
      <c r="BE107" s="104"/>
      <c r="BF107" s="104"/>
      <c r="BG107" s="104"/>
      <c r="BH107" s="104"/>
      <c r="BI107" s="104"/>
      <c r="BJ107" s="104"/>
      <c r="BK107" s="104"/>
      <c r="BL107" s="104"/>
      <c r="BM107" s="104"/>
      <c r="BN107" s="104"/>
      <c r="BO107" s="104"/>
      <c r="BP107" s="104"/>
      <c r="BQ107" s="104"/>
    </row>
    <row r="108" spans="1:69" ht="36" x14ac:dyDescent="0.25">
      <c r="A108" s="104"/>
      <c r="B108" s="104"/>
      <c r="C108" s="104"/>
      <c r="D108" s="104"/>
      <c r="E108" s="104"/>
      <c r="F108" s="104"/>
      <c r="G108" s="104"/>
      <c r="H108" s="104"/>
      <c r="I108" s="104"/>
      <c r="J108" s="104"/>
      <c r="K108" s="104"/>
      <c r="L108" s="104"/>
      <c r="M108" s="104"/>
      <c r="N108" s="104"/>
      <c r="O108" s="104"/>
      <c r="P108" s="104"/>
      <c r="Q108" s="104"/>
      <c r="R108" s="104"/>
      <c r="S108" s="104"/>
      <c r="T108" s="104"/>
      <c r="U108" s="104"/>
      <c r="V108" s="104"/>
      <c r="W108" s="104"/>
      <c r="X108" s="104"/>
      <c r="Y108" s="104"/>
      <c r="Z108" s="104"/>
      <c r="AA108" s="104"/>
      <c r="AB108" s="104"/>
      <c r="AC108" s="104"/>
      <c r="AD108" s="104"/>
      <c r="AE108" s="104"/>
      <c r="AF108" s="104"/>
      <c r="AG108" s="104"/>
      <c r="AH108" s="104"/>
      <c r="AI108" s="104"/>
      <c r="AJ108" s="104"/>
      <c r="AK108" s="104"/>
      <c r="AL108" s="104"/>
      <c r="AM108" s="104"/>
      <c r="AN108" s="104"/>
      <c r="AO108" s="104"/>
      <c r="AP108" s="104"/>
      <c r="AQ108" s="104"/>
      <c r="AR108" s="104"/>
      <c r="AS108" s="104"/>
      <c r="AT108" s="104"/>
      <c r="AU108" s="104"/>
      <c r="AV108" s="104"/>
      <c r="AW108" s="104"/>
      <c r="AX108" s="104"/>
      <c r="AY108" s="104"/>
      <c r="AZ108" s="104"/>
      <c r="BA108" s="104"/>
      <c r="BB108" s="104"/>
      <c r="BC108" s="104"/>
      <c r="BD108" s="104"/>
      <c r="BE108" s="104"/>
      <c r="BF108" s="104"/>
      <c r="BG108" s="104"/>
      <c r="BH108" s="104"/>
      <c r="BI108" s="104"/>
      <c r="BJ108" s="104"/>
      <c r="BK108" s="104"/>
      <c r="BL108" s="104"/>
      <c r="BM108" s="104"/>
      <c r="BN108" s="104"/>
      <c r="BO108" s="104"/>
      <c r="BP108" s="104"/>
      <c r="BQ108" s="104"/>
    </row>
    <row r="109" spans="1:69" ht="36" x14ac:dyDescent="0.25">
      <c r="A109" s="104"/>
      <c r="B109" s="104"/>
      <c r="C109" s="104"/>
      <c r="D109" s="104"/>
      <c r="E109" s="104"/>
      <c r="F109" s="104"/>
      <c r="G109" s="104"/>
      <c r="H109" s="104"/>
      <c r="I109" s="104"/>
      <c r="J109" s="104"/>
      <c r="K109" s="104"/>
      <c r="L109" s="104"/>
      <c r="M109" s="104"/>
      <c r="N109" s="104"/>
      <c r="O109" s="104"/>
      <c r="P109" s="104"/>
      <c r="Q109" s="104"/>
      <c r="R109" s="104"/>
      <c r="S109" s="104"/>
      <c r="T109" s="104"/>
      <c r="U109" s="104"/>
      <c r="V109" s="104"/>
      <c r="W109" s="104"/>
      <c r="X109" s="104"/>
      <c r="Y109" s="104"/>
      <c r="Z109" s="104"/>
      <c r="AA109" s="104"/>
      <c r="AB109" s="104"/>
      <c r="AC109" s="104"/>
      <c r="AD109" s="104"/>
      <c r="AE109" s="104"/>
      <c r="AF109" s="104"/>
      <c r="AG109" s="104"/>
      <c r="AH109" s="104"/>
      <c r="AI109" s="104"/>
      <c r="AJ109" s="104"/>
      <c r="AK109" s="104"/>
      <c r="AL109" s="104"/>
      <c r="AM109" s="104"/>
      <c r="AN109" s="104"/>
      <c r="AO109" s="104"/>
      <c r="AP109" s="104"/>
      <c r="AQ109" s="104"/>
      <c r="AR109" s="104"/>
      <c r="AS109" s="104"/>
      <c r="AT109" s="104"/>
      <c r="AU109" s="104"/>
      <c r="AV109" s="104"/>
      <c r="AW109" s="104"/>
      <c r="AX109" s="104"/>
      <c r="AY109" s="104"/>
      <c r="AZ109" s="104"/>
      <c r="BA109" s="104"/>
      <c r="BB109" s="104"/>
      <c r="BC109" s="104"/>
      <c r="BD109" s="104"/>
      <c r="BE109" s="104"/>
      <c r="BF109" s="104"/>
      <c r="BG109" s="104"/>
      <c r="BH109" s="104"/>
      <c r="BI109" s="104"/>
      <c r="BJ109" s="104"/>
      <c r="BK109" s="104"/>
      <c r="BL109" s="104"/>
      <c r="BM109" s="104"/>
      <c r="BN109" s="104"/>
      <c r="BO109" s="104"/>
      <c r="BP109" s="104"/>
      <c r="BQ109" s="104"/>
    </row>
    <row r="110" spans="1:69" ht="36" x14ac:dyDescent="0.25">
      <c r="A110" s="104"/>
      <c r="B110" s="104"/>
      <c r="C110" s="104"/>
      <c r="D110" s="104"/>
      <c r="E110" s="104"/>
      <c r="F110" s="104"/>
      <c r="G110" s="104"/>
      <c r="H110" s="104"/>
      <c r="I110" s="104"/>
      <c r="J110" s="104"/>
      <c r="K110" s="104"/>
      <c r="L110" s="104"/>
      <c r="M110" s="104"/>
      <c r="N110" s="104"/>
      <c r="O110" s="104"/>
      <c r="P110" s="104"/>
      <c r="Q110" s="104"/>
      <c r="R110" s="104"/>
      <c r="S110" s="104"/>
      <c r="T110" s="104"/>
      <c r="U110" s="104"/>
      <c r="V110" s="104"/>
      <c r="W110" s="104"/>
      <c r="X110" s="104"/>
      <c r="Y110" s="104"/>
      <c r="Z110" s="104"/>
      <c r="AA110" s="104"/>
      <c r="AB110" s="104"/>
      <c r="AC110" s="104"/>
      <c r="AD110" s="104"/>
      <c r="AE110" s="104"/>
      <c r="AF110" s="104"/>
      <c r="AG110" s="104"/>
      <c r="AH110" s="104"/>
      <c r="AI110" s="104"/>
      <c r="AJ110" s="104"/>
      <c r="AK110" s="104"/>
      <c r="AL110" s="104"/>
      <c r="AM110" s="104"/>
      <c r="AN110" s="104"/>
      <c r="AO110" s="104"/>
      <c r="AP110" s="104"/>
      <c r="AQ110" s="104"/>
      <c r="AR110" s="104"/>
      <c r="AS110" s="104"/>
      <c r="AT110" s="104"/>
      <c r="AU110" s="104"/>
      <c r="AV110" s="104"/>
      <c r="AW110" s="104"/>
      <c r="AX110" s="104"/>
      <c r="AY110" s="104"/>
      <c r="AZ110" s="104"/>
      <c r="BA110" s="104"/>
      <c r="BB110" s="104"/>
      <c r="BC110" s="104"/>
      <c r="BD110" s="104"/>
      <c r="BE110" s="104"/>
      <c r="BF110" s="104"/>
      <c r="BG110" s="104"/>
      <c r="BH110" s="104"/>
      <c r="BI110" s="104"/>
      <c r="BJ110" s="104"/>
      <c r="BK110" s="104"/>
      <c r="BL110" s="104"/>
      <c r="BM110" s="104"/>
      <c r="BN110" s="104"/>
      <c r="BO110" s="104"/>
      <c r="BP110" s="104"/>
      <c r="BQ110" s="104"/>
    </row>
    <row r="111" spans="1:69" ht="36" x14ac:dyDescent="0.25">
      <c r="A111" s="104"/>
      <c r="B111" s="104"/>
      <c r="C111" s="104"/>
      <c r="D111" s="104"/>
      <c r="E111" s="104"/>
      <c r="F111" s="104"/>
      <c r="G111" s="104"/>
      <c r="H111" s="104"/>
      <c r="I111" s="104"/>
      <c r="J111" s="104"/>
      <c r="K111" s="104"/>
      <c r="L111" s="104"/>
      <c r="M111" s="104"/>
      <c r="N111" s="104"/>
      <c r="O111" s="104"/>
      <c r="P111" s="104"/>
      <c r="Q111" s="104"/>
      <c r="R111" s="104"/>
      <c r="S111" s="104"/>
      <c r="T111" s="104"/>
      <c r="U111" s="104"/>
      <c r="V111" s="104"/>
      <c r="W111" s="104"/>
      <c r="X111" s="104"/>
      <c r="Y111" s="104"/>
      <c r="Z111" s="104"/>
      <c r="AA111" s="104"/>
      <c r="AB111" s="104"/>
      <c r="AC111" s="104"/>
      <c r="AD111" s="104"/>
      <c r="AE111" s="104"/>
      <c r="AF111" s="104"/>
      <c r="AG111" s="104"/>
      <c r="AH111" s="104"/>
      <c r="AI111" s="104"/>
      <c r="AJ111" s="104"/>
      <c r="AK111" s="104"/>
      <c r="AL111" s="104"/>
      <c r="AM111" s="104"/>
      <c r="AN111" s="104"/>
      <c r="AO111" s="104"/>
      <c r="AP111" s="104"/>
      <c r="AQ111" s="104"/>
      <c r="AR111" s="104"/>
      <c r="AS111" s="104"/>
      <c r="AT111" s="104"/>
      <c r="AU111" s="104"/>
      <c r="AV111" s="104"/>
      <c r="AW111" s="104"/>
      <c r="AX111" s="104"/>
      <c r="AY111" s="104"/>
      <c r="AZ111" s="104"/>
      <c r="BA111" s="104"/>
      <c r="BB111" s="104"/>
      <c r="BC111" s="104"/>
      <c r="BD111" s="104"/>
      <c r="BE111" s="104"/>
      <c r="BF111" s="104"/>
      <c r="BG111" s="104"/>
      <c r="BH111" s="104"/>
      <c r="BI111" s="104"/>
      <c r="BJ111" s="104"/>
      <c r="BK111" s="104"/>
      <c r="BL111" s="104"/>
      <c r="BM111" s="104"/>
      <c r="BN111" s="104"/>
      <c r="BO111" s="104"/>
      <c r="BP111" s="104"/>
      <c r="BQ111" s="104"/>
    </row>
    <row r="112" spans="1:69" ht="36" x14ac:dyDescent="0.25">
      <c r="A112" s="104"/>
      <c r="B112" s="104"/>
      <c r="C112" s="104"/>
      <c r="D112" s="104"/>
      <c r="E112" s="104"/>
      <c r="F112" s="104"/>
      <c r="G112" s="104"/>
      <c r="H112" s="104"/>
      <c r="I112" s="104"/>
      <c r="J112" s="104"/>
      <c r="K112" s="104"/>
      <c r="L112" s="104"/>
      <c r="M112" s="104"/>
      <c r="N112" s="104"/>
      <c r="O112" s="104"/>
      <c r="P112" s="104"/>
      <c r="Q112" s="104"/>
      <c r="R112" s="104"/>
      <c r="S112" s="104"/>
      <c r="T112" s="104"/>
      <c r="U112" s="104"/>
      <c r="V112" s="104"/>
      <c r="W112" s="104"/>
      <c r="X112" s="104"/>
      <c r="Y112" s="104"/>
      <c r="Z112" s="104"/>
      <c r="AA112" s="104"/>
      <c r="AB112" s="104"/>
      <c r="AC112" s="104"/>
      <c r="AD112" s="104"/>
      <c r="AE112" s="104"/>
      <c r="AF112" s="104"/>
      <c r="AG112" s="104"/>
      <c r="AH112" s="104"/>
      <c r="AI112" s="104"/>
      <c r="AJ112" s="104"/>
      <c r="AK112" s="104"/>
      <c r="AL112" s="104"/>
      <c r="AM112" s="104"/>
      <c r="AN112" s="104"/>
      <c r="AO112" s="104"/>
      <c r="AP112" s="104"/>
      <c r="AQ112" s="104"/>
      <c r="AR112" s="104"/>
      <c r="AS112" s="104"/>
      <c r="AT112" s="104"/>
      <c r="AU112" s="104"/>
      <c r="AV112" s="104"/>
      <c r="AW112" s="104"/>
      <c r="AX112" s="104"/>
      <c r="AY112" s="104"/>
      <c r="AZ112" s="104"/>
      <c r="BA112" s="104"/>
      <c r="BB112" s="104"/>
      <c r="BC112" s="104"/>
      <c r="BD112" s="104"/>
      <c r="BE112" s="104"/>
      <c r="BF112" s="104"/>
      <c r="BG112" s="104"/>
      <c r="BH112" s="104"/>
      <c r="BI112" s="104"/>
      <c r="BJ112" s="104"/>
      <c r="BK112" s="104"/>
      <c r="BL112" s="104"/>
      <c r="BM112" s="104"/>
      <c r="BN112" s="104"/>
      <c r="BO112" s="104"/>
      <c r="BP112" s="104"/>
      <c r="BQ112" s="104"/>
    </row>
    <row r="113" spans="1:69" ht="36" x14ac:dyDescent="0.25">
      <c r="A113" s="104"/>
      <c r="B113" s="104"/>
      <c r="C113" s="104"/>
      <c r="D113" s="104"/>
      <c r="E113" s="104"/>
      <c r="F113" s="104"/>
      <c r="G113" s="104"/>
      <c r="H113" s="104"/>
      <c r="I113" s="104"/>
      <c r="J113" s="104"/>
      <c r="K113" s="104"/>
      <c r="L113" s="104"/>
      <c r="M113" s="104"/>
      <c r="N113" s="104"/>
      <c r="O113" s="104"/>
      <c r="P113" s="104"/>
      <c r="Q113" s="104"/>
      <c r="R113" s="104"/>
      <c r="S113" s="104"/>
      <c r="T113" s="104"/>
      <c r="U113" s="104"/>
      <c r="V113" s="104"/>
      <c r="W113" s="104"/>
      <c r="X113" s="104"/>
      <c r="Y113" s="104"/>
      <c r="Z113" s="104"/>
      <c r="AA113" s="104"/>
      <c r="AB113" s="104"/>
      <c r="AC113" s="104"/>
      <c r="AD113" s="104"/>
      <c r="AE113" s="104"/>
      <c r="AF113" s="104"/>
      <c r="AG113" s="104"/>
      <c r="AH113" s="104"/>
      <c r="AI113" s="104"/>
      <c r="AJ113" s="104"/>
      <c r="AK113" s="104"/>
      <c r="AL113" s="104"/>
      <c r="AM113" s="104"/>
      <c r="AN113" s="104"/>
      <c r="AO113" s="104"/>
      <c r="AP113" s="104"/>
      <c r="AQ113" s="104"/>
      <c r="AR113" s="104"/>
      <c r="AS113" s="104"/>
      <c r="AT113" s="104"/>
      <c r="AU113" s="104"/>
      <c r="AV113" s="104"/>
      <c r="AW113" s="104"/>
      <c r="AX113" s="104"/>
      <c r="AY113" s="104"/>
      <c r="AZ113" s="104"/>
      <c r="BA113" s="104"/>
      <c r="BB113" s="104"/>
      <c r="BC113" s="104"/>
      <c r="BD113" s="104"/>
      <c r="BE113" s="104"/>
      <c r="BF113" s="104"/>
      <c r="BG113" s="104"/>
      <c r="BH113" s="104"/>
      <c r="BI113" s="104"/>
      <c r="BJ113" s="104"/>
      <c r="BK113" s="104"/>
      <c r="BL113" s="104"/>
      <c r="BM113" s="104"/>
      <c r="BN113" s="104"/>
      <c r="BO113" s="104"/>
      <c r="BP113" s="104"/>
      <c r="BQ113" s="104"/>
    </row>
    <row r="114" spans="1:69" ht="36" x14ac:dyDescent="0.25">
      <c r="A114" s="104"/>
      <c r="B114" s="104"/>
      <c r="C114" s="104"/>
      <c r="D114" s="104"/>
      <c r="E114" s="104"/>
      <c r="F114" s="104"/>
      <c r="G114" s="104"/>
      <c r="H114" s="104"/>
      <c r="I114" s="104"/>
      <c r="J114" s="104"/>
      <c r="K114" s="104"/>
      <c r="L114" s="104"/>
      <c r="M114" s="104"/>
      <c r="N114" s="104"/>
      <c r="O114" s="104"/>
      <c r="P114" s="104"/>
      <c r="Q114" s="104"/>
      <c r="R114" s="104"/>
      <c r="S114" s="104"/>
      <c r="T114" s="104"/>
      <c r="U114" s="104"/>
      <c r="V114" s="104"/>
      <c r="W114" s="104"/>
      <c r="X114" s="104"/>
      <c r="Y114" s="104"/>
      <c r="Z114" s="104"/>
      <c r="AA114" s="104"/>
      <c r="AB114" s="104"/>
      <c r="AC114" s="104"/>
      <c r="AD114" s="104"/>
      <c r="AE114" s="104"/>
      <c r="AF114" s="104"/>
      <c r="AG114" s="104"/>
      <c r="AH114" s="104"/>
      <c r="AI114" s="104"/>
      <c r="AJ114" s="104"/>
      <c r="AK114" s="104"/>
      <c r="AL114" s="104"/>
      <c r="AM114" s="104"/>
      <c r="AN114" s="104"/>
      <c r="AO114" s="104"/>
      <c r="AP114" s="104"/>
      <c r="AQ114" s="104"/>
      <c r="AR114" s="104"/>
      <c r="AS114" s="104"/>
      <c r="AT114" s="104"/>
      <c r="AU114" s="104"/>
      <c r="AV114" s="104"/>
      <c r="AW114" s="104"/>
      <c r="AX114" s="104"/>
      <c r="AY114" s="104"/>
      <c r="AZ114" s="104"/>
      <c r="BA114" s="104"/>
      <c r="BB114" s="104"/>
      <c r="BC114" s="104"/>
      <c r="BD114" s="104"/>
      <c r="BE114" s="104"/>
      <c r="BF114" s="104"/>
      <c r="BG114" s="104"/>
      <c r="BH114" s="104"/>
      <c r="BI114" s="104"/>
      <c r="BJ114" s="104"/>
      <c r="BK114" s="104"/>
      <c r="BL114" s="104"/>
      <c r="BM114" s="104"/>
      <c r="BN114" s="104"/>
      <c r="BO114" s="104"/>
      <c r="BP114" s="104"/>
      <c r="BQ114" s="104"/>
    </row>
    <row r="115" spans="1:69" ht="36" x14ac:dyDescent="0.25">
      <c r="A115" s="104"/>
      <c r="B115" s="104"/>
      <c r="C115" s="104"/>
      <c r="D115" s="104"/>
      <c r="E115" s="104"/>
      <c r="F115" s="104"/>
      <c r="G115" s="104"/>
      <c r="H115" s="104"/>
      <c r="I115" s="104"/>
      <c r="J115" s="104"/>
      <c r="K115" s="104"/>
      <c r="L115" s="104"/>
      <c r="M115" s="104"/>
      <c r="N115" s="104"/>
      <c r="O115" s="104"/>
      <c r="P115" s="104"/>
      <c r="Q115" s="104"/>
      <c r="R115" s="104"/>
      <c r="S115" s="104"/>
      <c r="T115" s="104"/>
      <c r="U115" s="104"/>
      <c r="V115" s="104"/>
      <c r="W115" s="104"/>
      <c r="X115" s="104"/>
      <c r="Y115" s="104"/>
      <c r="Z115" s="104"/>
      <c r="AA115" s="104"/>
      <c r="AB115" s="104"/>
      <c r="AC115" s="104"/>
      <c r="AD115" s="104"/>
      <c r="AE115" s="104"/>
      <c r="AF115" s="104"/>
      <c r="AG115" s="104"/>
      <c r="AH115" s="104"/>
      <c r="AI115" s="104"/>
      <c r="AJ115" s="104"/>
      <c r="AK115" s="104"/>
      <c r="AL115" s="104"/>
      <c r="AM115" s="104"/>
      <c r="AN115" s="104"/>
      <c r="AO115" s="104"/>
      <c r="AP115" s="104"/>
      <c r="AQ115" s="104"/>
      <c r="AR115" s="104"/>
      <c r="AS115" s="104"/>
      <c r="AT115" s="104"/>
      <c r="AU115" s="104"/>
      <c r="AV115" s="104"/>
      <c r="AW115" s="104"/>
      <c r="AX115" s="104"/>
      <c r="AY115" s="104"/>
      <c r="AZ115" s="104"/>
      <c r="BA115" s="104"/>
      <c r="BB115" s="104"/>
      <c r="BC115" s="104"/>
      <c r="BD115" s="104"/>
      <c r="BE115" s="104"/>
      <c r="BF115" s="104"/>
      <c r="BG115" s="104"/>
      <c r="BH115" s="104"/>
      <c r="BI115" s="104"/>
      <c r="BJ115" s="104"/>
      <c r="BK115" s="104"/>
      <c r="BL115" s="104"/>
      <c r="BM115" s="104"/>
      <c r="BN115" s="104"/>
      <c r="BO115" s="104"/>
      <c r="BP115" s="104"/>
      <c r="BQ115" s="104"/>
    </row>
    <row r="116" spans="1:69" ht="36" x14ac:dyDescent="0.25">
      <c r="A116" s="104"/>
      <c r="B116" s="104"/>
      <c r="C116" s="104"/>
      <c r="D116" s="104"/>
      <c r="E116" s="104"/>
      <c r="F116" s="104"/>
      <c r="G116" s="104"/>
      <c r="H116" s="104"/>
      <c r="I116" s="104"/>
      <c r="J116" s="104"/>
      <c r="K116" s="104"/>
      <c r="L116" s="104"/>
      <c r="M116" s="104"/>
      <c r="N116" s="104"/>
      <c r="O116" s="104"/>
      <c r="P116" s="104"/>
      <c r="Q116" s="104"/>
      <c r="R116" s="104"/>
      <c r="S116" s="104"/>
      <c r="T116" s="104"/>
      <c r="U116" s="104"/>
      <c r="V116" s="104"/>
      <c r="W116" s="104"/>
      <c r="X116" s="104"/>
      <c r="Y116" s="104"/>
      <c r="Z116" s="104"/>
      <c r="AA116" s="104"/>
      <c r="AB116" s="104"/>
      <c r="AC116" s="104"/>
      <c r="AD116" s="104"/>
      <c r="AE116" s="104"/>
      <c r="AF116" s="104"/>
      <c r="AG116" s="104"/>
      <c r="AH116" s="104"/>
      <c r="AI116" s="104"/>
      <c r="AJ116" s="104"/>
      <c r="AK116" s="104"/>
      <c r="AL116" s="104"/>
      <c r="AM116" s="104"/>
      <c r="AN116" s="104"/>
      <c r="AO116" s="104"/>
      <c r="AP116" s="104"/>
      <c r="AQ116" s="104"/>
      <c r="AR116" s="104"/>
      <c r="AS116" s="104"/>
      <c r="AT116" s="104"/>
      <c r="AU116" s="104"/>
      <c r="AV116" s="104"/>
      <c r="AW116" s="104"/>
      <c r="AX116" s="104"/>
      <c r="AY116" s="104"/>
      <c r="AZ116" s="104"/>
      <c r="BA116" s="104"/>
      <c r="BB116" s="104"/>
      <c r="BC116" s="104"/>
      <c r="BD116" s="104"/>
      <c r="BE116" s="104"/>
      <c r="BF116" s="104"/>
      <c r="BG116" s="104"/>
      <c r="BH116" s="104"/>
      <c r="BI116" s="104"/>
      <c r="BJ116" s="104"/>
      <c r="BK116" s="104"/>
      <c r="BL116" s="104"/>
      <c r="BM116" s="104"/>
      <c r="BN116" s="104"/>
      <c r="BO116" s="104"/>
      <c r="BP116" s="104"/>
      <c r="BQ116" s="104"/>
    </row>
    <row r="117" spans="1:69" ht="36" x14ac:dyDescent="0.25">
      <c r="A117" s="104"/>
      <c r="B117" s="104"/>
      <c r="C117" s="104"/>
      <c r="D117" s="104"/>
      <c r="E117" s="104"/>
      <c r="F117" s="104"/>
      <c r="G117" s="104"/>
      <c r="H117" s="104"/>
      <c r="I117" s="104"/>
      <c r="J117" s="104"/>
      <c r="K117" s="104"/>
      <c r="L117" s="104"/>
      <c r="M117" s="104"/>
      <c r="N117" s="104"/>
      <c r="O117" s="104"/>
      <c r="P117" s="104"/>
      <c r="Q117" s="104"/>
      <c r="R117" s="104"/>
      <c r="S117" s="104"/>
      <c r="T117" s="104"/>
      <c r="U117" s="104"/>
      <c r="V117" s="104"/>
      <c r="W117" s="104"/>
      <c r="X117" s="104"/>
      <c r="Y117" s="104"/>
      <c r="Z117" s="104"/>
      <c r="AA117" s="104"/>
      <c r="AB117" s="104"/>
      <c r="AC117" s="104"/>
      <c r="AD117" s="104"/>
      <c r="AE117" s="104"/>
      <c r="AF117" s="104"/>
      <c r="AG117" s="104"/>
      <c r="AH117" s="104"/>
      <c r="AI117" s="104"/>
      <c r="AJ117" s="104"/>
      <c r="AK117" s="104"/>
      <c r="AL117" s="104"/>
      <c r="AM117" s="104"/>
      <c r="AN117" s="104"/>
      <c r="AO117" s="104"/>
      <c r="AP117" s="104"/>
      <c r="AQ117" s="104"/>
      <c r="AR117" s="104"/>
      <c r="AS117" s="104"/>
      <c r="AT117" s="104"/>
      <c r="AU117" s="104"/>
      <c r="AV117" s="104"/>
      <c r="AW117" s="104"/>
      <c r="AX117" s="104"/>
      <c r="AY117" s="104"/>
      <c r="AZ117" s="104"/>
      <c r="BA117" s="104"/>
      <c r="BB117" s="104"/>
      <c r="BC117" s="104"/>
      <c r="BD117" s="104"/>
      <c r="BE117" s="104"/>
      <c r="BF117" s="104"/>
      <c r="BG117" s="104"/>
      <c r="BH117" s="104"/>
      <c r="BI117" s="104"/>
      <c r="BJ117" s="104"/>
      <c r="BK117" s="104"/>
      <c r="BL117" s="104"/>
      <c r="BM117" s="104"/>
      <c r="BN117" s="104"/>
      <c r="BO117" s="104"/>
      <c r="BP117" s="104"/>
      <c r="BQ117" s="104"/>
    </row>
    <row r="118" spans="1:69" ht="36" x14ac:dyDescent="0.25">
      <c r="A118" s="104"/>
      <c r="B118" s="104"/>
      <c r="C118" s="104"/>
      <c r="D118" s="104"/>
      <c r="E118" s="104"/>
      <c r="F118" s="104"/>
      <c r="G118" s="104"/>
      <c r="H118" s="104"/>
      <c r="I118" s="104"/>
      <c r="J118" s="104"/>
      <c r="K118" s="104"/>
      <c r="L118" s="104"/>
      <c r="M118" s="104"/>
      <c r="N118" s="104"/>
      <c r="O118" s="104"/>
      <c r="P118" s="104"/>
      <c r="Q118" s="104"/>
      <c r="R118" s="104"/>
      <c r="S118" s="104"/>
      <c r="T118" s="104"/>
      <c r="U118" s="104"/>
      <c r="V118" s="104"/>
      <c r="W118" s="104"/>
      <c r="X118" s="104"/>
      <c r="Y118" s="104"/>
      <c r="Z118" s="104"/>
      <c r="AA118" s="104"/>
      <c r="AB118" s="104"/>
      <c r="AC118" s="104"/>
      <c r="AD118" s="104"/>
      <c r="AE118" s="104"/>
      <c r="AF118" s="104"/>
      <c r="AG118" s="104"/>
      <c r="AH118" s="104"/>
      <c r="AI118" s="104"/>
      <c r="AJ118" s="104"/>
      <c r="AK118" s="104"/>
      <c r="AL118" s="104"/>
      <c r="AM118" s="104"/>
      <c r="AN118" s="104"/>
      <c r="AO118" s="104"/>
      <c r="AP118" s="104"/>
      <c r="AQ118" s="104"/>
      <c r="AR118" s="104"/>
      <c r="AS118" s="104"/>
      <c r="AT118" s="104"/>
      <c r="AU118" s="104"/>
      <c r="AV118" s="104"/>
      <c r="AW118" s="104"/>
      <c r="AX118" s="104"/>
      <c r="AY118" s="104"/>
      <c r="AZ118" s="104"/>
      <c r="BA118" s="104"/>
      <c r="BB118" s="104"/>
      <c r="BC118" s="104"/>
      <c r="BD118" s="104"/>
      <c r="BE118" s="104"/>
      <c r="BF118" s="104"/>
      <c r="BG118" s="104"/>
      <c r="BH118" s="104"/>
      <c r="BI118" s="104"/>
      <c r="BJ118" s="104"/>
      <c r="BK118" s="104"/>
      <c r="BL118" s="104"/>
      <c r="BM118" s="104"/>
      <c r="BN118" s="104"/>
      <c r="BO118" s="104"/>
      <c r="BP118" s="104"/>
      <c r="BQ118" s="104"/>
    </row>
    <row r="119" spans="1:69" ht="36" x14ac:dyDescent="0.25">
      <c r="A119" s="104"/>
      <c r="B119" s="104"/>
      <c r="C119" s="104"/>
      <c r="D119" s="104"/>
      <c r="E119" s="104"/>
      <c r="F119" s="104"/>
      <c r="G119" s="104"/>
      <c r="H119" s="104"/>
      <c r="I119" s="104"/>
      <c r="J119" s="104"/>
      <c r="K119" s="104"/>
      <c r="L119" s="104"/>
      <c r="M119" s="104"/>
      <c r="N119" s="104"/>
      <c r="O119" s="104"/>
      <c r="P119" s="104"/>
      <c r="Q119" s="104"/>
      <c r="R119" s="104"/>
      <c r="S119" s="104"/>
      <c r="T119" s="104"/>
      <c r="U119" s="104"/>
      <c r="V119" s="104"/>
      <c r="W119" s="104"/>
      <c r="X119" s="104"/>
      <c r="Y119" s="104"/>
      <c r="Z119" s="104"/>
      <c r="AA119" s="104"/>
      <c r="AB119" s="104"/>
      <c r="AC119" s="104"/>
      <c r="AD119" s="104"/>
      <c r="AE119" s="104"/>
      <c r="AF119" s="104"/>
      <c r="AG119" s="104"/>
      <c r="AH119" s="104"/>
      <c r="AI119" s="104"/>
      <c r="AJ119" s="104"/>
      <c r="AK119" s="104"/>
      <c r="AL119" s="104"/>
      <c r="AM119" s="104"/>
      <c r="AN119" s="104"/>
      <c r="AO119" s="104"/>
      <c r="AP119" s="104"/>
      <c r="AQ119" s="104"/>
      <c r="AR119" s="104"/>
      <c r="AS119" s="104"/>
      <c r="AT119" s="104"/>
      <c r="AU119" s="104"/>
      <c r="AV119" s="104"/>
      <c r="AW119" s="104"/>
      <c r="AX119" s="104"/>
      <c r="AY119" s="104"/>
      <c r="AZ119" s="104"/>
      <c r="BA119" s="104"/>
      <c r="BB119" s="104"/>
      <c r="BC119" s="104"/>
      <c r="BD119" s="104"/>
      <c r="BE119" s="104"/>
      <c r="BF119" s="104"/>
      <c r="BG119" s="104"/>
      <c r="BH119" s="104"/>
      <c r="BI119" s="104"/>
      <c r="BJ119" s="104"/>
      <c r="BK119" s="104"/>
      <c r="BL119" s="104"/>
      <c r="BM119" s="104"/>
      <c r="BN119" s="104"/>
      <c r="BO119" s="104"/>
      <c r="BP119" s="104"/>
      <c r="BQ119" s="104"/>
    </row>
    <row r="120" spans="1:69" ht="36" x14ac:dyDescent="0.25">
      <c r="A120" s="104"/>
      <c r="B120" s="104"/>
      <c r="C120" s="104"/>
      <c r="D120" s="104"/>
      <c r="E120" s="104"/>
      <c r="F120" s="104"/>
      <c r="G120" s="104"/>
      <c r="H120" s="104"/>
      <c r="I120" s="104"/>
      <c r="J120" s="104"/>
      <c r="K120" s="104"/>
      <c r="L120" s="104"/>
      <c r="M120" s="104"/>
      <c r="N120" s="104"/>
      <c r="O120" s="104"/>
      <c r="P120" s="104"/>
      <c r="Q120" s="104"/>
      <c r="R120" s="104"/>
      <c r="S120" s="104"/>
      <c r="T120" s="104"/>
      <c r="U120" s="104"/>
      <c r="V120" s="104"/>
      <c r="W120" s="104"/>
      <c r="X120" s="104"/>
      <c r="Y120" s="104"/>
      <c r="Z120" s="104"/>
      <c r="AA120" s="104"/>
      <c r="AB120" s="104"/>
      <c r="AC120" s="104"/>
      <c r="AD120" s="104"/>
      <c r="AE120" s="104"/>
      <c r="AF120" s="104"/>
      <c r="AG120" s="104"/>
      <c r="AH120" s="104"/>
      <c r="AI120" s="104"/>
      <c r="AJ120" s="104"/>
      <c r="AK120" s="104"/>
      <c r="AL120" s="104"/>
      <c r="AM120" s="104"/>
      <c r="AN120" s="104"/>
      <c r="AO120" s="104"/>
      <c r="AP120" s="104"/>
      <c r="AQ120" s="104"/>
      <c r="AR120" s="104"/>
      <c r="AS120" s="104"/>
      <c r="AT120" s="104"/>
      <c r="AU120" s="104"/>
      <c r="AV120" s="104"/>
      <c r="AW120" s="104"/>
      <c r="AX120" s="104"/>
      <c r="AY120" s="104"/>
      <c r="AZ120" s="104"/>
      <c r="BA120" s="104"/>
      <c r="BB120" s="104"/>
      <c r="BC120" s="104"/>
      <c r="BD120" s="104"/>
      <c r="BE120" s="104"/>
      <c r="BF120" s="104"/>
      <c r="BG120" s="104"/>
      <c r="BH120" s="104"/>
      <c r="BI120" s="104"/>
      <c r="BJ120" s="104"/>
      <c r="BK120" s="104"/>
      <c r="BL120" s="104"/>
      <c r="BM120" s="104"/>
      <c r="BN120" s="104"/>
      <c r="BO120" s="104"/>
      <c r="BP120" s="104"/>
      <c r="BQ120" s="104"/>
    </row>
    <row r="121" spans="1:69" ht="36" x14ac:dyDescent="0.25">
      <c r="A121" s="104"/>
      <c r="B121" s="104"/>
      <c r="C121" s="104"/>
      <c r="D121" s="104"/>
      <c r="E121" s="104"/>
      <c r="F121" s="104"/>
      <c r="G121" s="104"/>
      <c r="H121" s="104"/>
      <c r="I121" s="104"/>
      <c r="J121" s="104"/>
      <c r="K121" s="104"/>
      <c r="L121" s="104"/>
      <c r="M121" s="104"/>
      <c r="N121" s="104"/>
      <c r="O121" s="104"/>
      <c r="P121" s="104"/>
      <c r="Q121" s="104"/>
      <c r="R121" s="104"/>
      <c r="S121" s="104"/>
      <c r="T121" s="104"/>
      <c r="U121" s="104"/>
      <c r="V121" s="104"/>
      <c r="W121" s="104"/>
      <c r="X121" s="104"/>
      <c r="Y121" s="104"/>
      <c r="Z121" s="104"/>
      <c r="AA121" s="104"/>
      <c r="AB121" s="104"/>
      <c r="AC121" s="104"/>
      <c r="AD121" s="104"/>
      <c r="AE121" s="104"/>
      <c r="AF121" s="104"/>
      <c r="AG121" s="104"/>
      <c r="AH121" s="104"/>
      <c r="AI121" s="104"/>
      <c r="AJ121" s="104"/>
      <c r="AK121" s="104"/>
      <c r="AL121" s="104"/>
      <c r="AM121" s="104"/>
      <c r="AN121" s="104"/>
      <c r="AO121" s="104"/>
      <c r="AP121" s="104"/>
      <c r="AQ121" s="104"/>
      <c r="AR121" s="104"/>
      <c r="AS121" s="104"/>
      <c r="AT121" s="104"/>
      <c r="AU121" s="104"/>
      <c r="AV121" s="104"/>
      <c r="AW121" s="104"/>
      <c r="AX121" s="104"/>
      <c r="AY121" s="104"/>
      <c r="AZ121" s="104"/>
      <c r="BA121" s="104"/>
      <c r="BB121" s="104"/>
      <c r="BC121" s="104"/>
      <c r="BD121" s="104"/>
      <c r="BE121" s="104"/>
      <c r="BF121" s="104"/>
      <c r="BG121" s="104"/>
      <c r="BH121" s="104"/>
      <c r="BI121" s="104"/>
      <c r="BJ121" s="104"/>
      <c r="BK121" s="104"/>
      <c r="BL121" s="104"/>
      <c r="BM121" s="104"/>
      <c r="BN121" s="104"/>
      <c r="BO121" s="104"/>
      <c r="BP121" s="104"/>
      <c r="BQ121" s="104"/>
    </row>
    <row r="122" spans="1:69" ht="36" x14ac:dyDescent="0.25">
      <c r="A122" s="104"/>
      <c r="B122" s="104"/>
      <c r="C122" s="104"/>
      <c r="D122" s="104"/>
      <c r="E122" s="104"/>
      <c r="F122" s="104"/>
      <c r="G122" s="104"/>
      <c r="H122" s="104"/>
      <c r="I122" s="104"/>
      <c r="J122" s="104"/>
      <c r="K122" s="104"/>
      <c r="L122" s="104"/>
      <c r="M122" s="104"/>
      <c r="N122" s="104"/>
      <c r="O122" s="104"/>
      <c r="P122" s="104"/>
      <c r="Q122" s="104"/>
      <c r="R122" s="104"/>
      <c r="S122" s="104"/>
      <c r="T122" s="104"/>
      <c r="U122" s="104"/>
      <c r="V122" s="104"/>
      <c r="W122" s="104"/>
      <c r="X122" s="104"/>
      <c r="Y122" s="104"/>
      <c r="Z122" s="104"/>
      <c r="AA122" s="104"/>
      <c r="AB122" s="104"/>
      <c r="AC122" s="104"/>
      <c r="AD122" s="104"/>
      <c r="AE122" s="104"/>
      <c r="AF122" s="104"/>
      <c r="AG122" s="104"/>
      <c r="AH122" s="104"/>
      <c r="AI122" s="104"/>
      <c r="AJ122" s="104"/>
      <c r="AK122" s="104"/>
      <c r="AL122" s="104"/>
      <c r="AM122" s="104"/>
      <c r="AN122" s="104"/>
      <c r="AO122" s="104"/>
      <c r="AP122" s="104"/>
      <c r="AQ122" s="104"/>
      <c r="AR122" s="104"/>
      <c r="AS122" s="104"/>
      <c r="AT122" s="104"/>
      <c r="AU122" s="104"/>
      <c r="AV122" s="104"/>
      <c r="AW122" s="104"/>
      <c r="AX122" s="104"/>
      <c r="AY122" s="104"/>
      <c r="AZ122" s="104"/>
      <c r="BA122" s="104"/>
      <c r="BB122" s="104"/>
      <c r="BC122" s="104"/>
      <c r="BD122" s="104"/>
      <c r="BE122" s="104"/>
      <c r="BF122" s="104"/>
      <c r="BG122" s="104"/>
      <c r="BH122" s="104"/>
      <c r="BI122" s="104"/>
      <c r="BJ122" s="104"/>
      <c r="BK122" s="104"/>
      <c r="BL122" s="104"/>
      <c r="BM122" s="104"/>
      <c r="BN122" s="104"/>
      <c r="BO122" s="104"/>
      <c r="BP122" s="104"/>
      <c r="BQ122" s="104"/>
    </row>
    <row r="123" spans="1:69" ht="36" x14ac:dyDescent="0.25">
      <c r="A123" s="104"/>
      <c r="B123" s="104"/>
      <c r="C123" s="104"/>
      <c r="D123" s="104"/>
      <c r="E123" s="104"/>
      <c r="F123" s="104"/>
      <c r="G123" s="104"/>
      <c r="H123" s="104"/>
      <c r="I123" s="104"/>
      <c r="J123" s="104"/>
      <c r="K123" s="104"/>
      <c r="L123" s="104"/>
      <c r="M123" s="104"/>
      <c r="N123" s="104"/>
      <c r="O123" s="104"/>
      <c r="P123" s="104"/>
      <c r="Q123" s="104"/>
      <c r="R123" s="104"/>
      <c r="S123" s="104"/>
      <c r="T123" s="104"/>
      <c r="U123" s="104"/>
      <c r="V123" s="104"/>
      <c r="W123" s="104"/>
      <c r="X123" s="104"/>
      <c r="Y123" s="104"/>
      <c r="Z123" s="104"/>
      <c r="AA123" s="104"/>
      <c r="AB123" s="104"/>
      <c r="AC123" s="104"/>
      <c r="AD123" s="104"/>
      <c r="AE123" s="104"/>
      <c r="AF123" s="104"/>
      <c r="AG123" s="104"/>
      <c r="AH123" s="104"/>
      <c r="AI123" s="104"/>
      <c r="AJ123" s="104"/>
      <c r="AK123" s="104"/>
      <c r="AL123" s="104"/>
      <c r="AM123" s="104"/>
      <c r="AN123" s="104"/>
      <c r="AO123" s="104"/>
      <c r="AP123" s="104"/>
      <c r="AQ123" s="104"/>
      <c r="AR123" s="104"/>
      <c r="AS123" s="104"/>
      <c r="AT123" s="104"/>
      <c r="AU123" s="104"/>
      <c r="AV123" s="104"/>
      <c r="AW123" s="104"/>
      <c r="AX123" s="104"/>
      <c r="AY123" s="104"/>
      <c r="AZ123" s="104"/>
      <c r="BA123" s="104"/>
      <c r="BB123" s="104"/>
      <c r="BC123" s="104"/>
      <c r="BD123" s="104"/>
      <c r="BE123" s="104"/>
      <c r="BF123" s="104"/>
      <c r="BG123" s="104"/>
      <c r="BH123" s="104"/>
      <c r="BI123" s="104"/>
      <c r="BJ123" s="104"/>
      <c r="BK123" s="104"/>
      <c r="BL123" s="104"/>
      <c r="BM123" s="104"/>
      <c r="BN123" s="104"/>
      <c r="BO123" s="104"/>
      <c r="BP123" s="104"/>
      <c r="BQ123" s="104"/>
    </row>
    <row r="124" spans="1:69" ht="36" x14ac:dyDescent="0.25">
      <c r="A124" s="104"/>
      <c r="B124" s="104"/>
      <c r="C124" s="104"/>
      <c r="D124" s="104"/>
      <c r="E124" s="104"/>
      <c r="F124" s="104"/>
      <c r="G124" s="104"/>
      <c r="H124" s="104"/>
      <c r="I124" s="104"/>
      <c r="J124" s="104"/>
      <c r="K124" s="104"/>
      <c r="L124" s="104"/>
      <c r="M124" s="104"/>
      <c r="N124" s="104"/>
      <c r="O124" s="104"/>
      <c r="P124" s="104"/>
      <c r="Q124" s="104"/>
      <c r="R124" s="104"/>
      <c r="S124" s="104"/>
      <c r="T124" s="104"/>
      <c r="U124" s="104"/>
      <c r="V124" s="104"/>
      <c r="W124" s="104"/>
      <c r="X124" s="104"/>
      <c r="Y124" s="104"/>
      <c r="Z124" s="104"/>
      <c r="AA124" s="104"/>
      <c r="AB124" s="104"/>
      <c r="AC124" s="104"/>
      <c r="AD124" s="104"/>
      <c r="AE124" s="104"/>
      <c r="AF124" s="104"/>
      <c r="AG124" s="104"/>
      <c r="AH124" s="104"/>
      <c r="AI124" s="104"/>
      <c r="AJ124" s="104"/>
      <c r="AK124" s="104"/>
      <c r="AL124" s="104"/>
      <c r="AM124" s="104"/>
      <c r="AN124" s="104"/>
      <c r="AO124" s="104"/>
      <c r="AP124" s="104"/>
      <c r="AQ124" s="104"/>
      <c r="AR124" s="104"/>
      <c r="AS124" s="104"/>
      <c r="AT124" s="104"/>
      <c r="AU124" s="104"/>
      <c r="AV124" s="104"/>
      <c r="AW124" s="104"/>
      <c r="AX124" s="104"/>
      <c r="AY124" s="104"/>
      <c r="AZ124" s="104"/>
      <c r="BA124" s="104"/>
      <c r="BB124" s="104"/>
      <c r="BC124" s="104"/>
      <c r="BD124" s="104"/>
      <c r="BE124" s="104"/>
      <c r="BF124" s="104"/>
      <c r="BG124" s="104"/>
      <c r="BH124" s="104"/>
      <c r="BI124" s="104"/>
      <c r="BJ124" s="104"/>
      <c r="BK124" s="104"/>
      <c r="BL124" s="104"/>
      <c r="BM124" s="104"/>
      <c r="BN124" s="104"/>
      <c r="BO124" s="104"/>
      <c r="BP124" s="104"/>
      <c r="BQ124" s="104"/>
    </row>
    <row r="125" spans="1:69" ht="36" x14ac:dyDescent="0.25">
      <c r="A125" s="104"/>
      <c r="B125" s="104"/>
      <c r="C125" s="104"/>
      <c r="D125" s="104"/>
      <c r="E125" s="104"/>
      <c r="F125" s="104"/>
      <c r="G125" s="104"/>
      <c r="H125" s="104"/>
      <c r="I125" s="104"/>
      <c r="J125" s="104"/>
      <c r="K125" s="104"/>
      <c r="L125" s="104"/>
      <c r="M125" s="104"/>
      <c r="N125" s="104"/>
      <c r="O125" s="104"/>
      <c r="P125" s="104"/>
      <c r="Q125" s="104"/>
      <c r="R125" s="104"/>
      <c r="S125" s="104"/>
      <c r="T125" s="104"/>
      <c r="U125" s="104"/>
      <c r="V125" s="104"/>
      <c r="W125" s="104"/>
      <c r="X125" s="104"/>
      <c r="Y125" s="104"/>
      <c r="Z125" s="104"/>
      <c r="AA125" s="104"/>
      <c r="AB125" s="104"/>
      <c r="AC125" s="104"/>
      <c r="AD125" s="104"/>
      <c r="AE125" s="104"/>
      <c r="AF125" s="104"/>
      <c r="AG125" s="104"/>
      <c r="AH125" s="104"/>
      <c r="AI125" s="104"/>
      <c r="AJ125" s="104"/>
      <c r="AK125" s="104"/>
      <c r="AL125" s="104"/>
      <c r="AM125" s="104"/>
      <c r="AN125" s="104"/>
      <c r="AO125" s="104"/>
      <c r="AP125" s="104"/>
      <c r="AQ125" s="104"/>
      <c r="AR125" s="104"/>
      <c r="AS125" s="104"/>
      <c r="AT125" s="104"/>
      <c r="AU125" s="104"/>
      <c r="AV125" s="104"/>
      <c r="AW125" s="104"/>
      <c r="AX125" s="104"/>
      <c r="AY125" s="104"/>
      <c r="AZ125" s="104"/>
      <c r="BA125" s="104"/>
      <c r="BB125" s="104"/>
      <c r="BC125" s="104"/>
      <c r="BD125" s="104"/>
      <c r="BE125" s="104"/>
      <c r="BF125" s="104"/>
      <c r="BG125" s="104"/>
      <c r="BH125" s="104"/>
      <c r="BI125" s="104"/>
      <c r="BJ125" s="104"/>
      <c r="BK125" s="104"/>
      <c r="BL125" s="104"/>
      <c r="BM125" s="104"/>
      <c r="BN125" s="104"/>
      <c r="BO125" s="104"/>
      <c r="BP125" s="104"/>
      <c r="BQ125" s="104"/>
    </row>
    <row r="126" spans="1:69" ht="36" x14ac:dyDescent="0.25">
      <c r="A126" s="104"/>
      <c r="B126" s="104"/>
      <c r="C126" s="104"/>
      <c r="D126" s="104"/>
      <c r="E126" s="104"/>
      <c r="F126" s="104"/>
      <c r="G126" s="104"/>
      <c r="H126" s="104"/>
      <c r="I126" s="104"/>
      <c r="J126" s="104"/>
      <c r="K126" s="104"/>
      <c r="L126" s="104"/>
      <c r="M126" s="104"/>
      <c r="N126" s="104"/>
      <c r="O126" s="104"/>
      <c r="P126" s="104"/>
      <c r="Q126" s="104"/>
      <c r="R126" s="104"/>
      <c r="S126" s="104"/>
      <c r="T126" s="104"/>
      <c r="U126" s="104"/>
      <c r="V126" s="104"/>
      <c r="W126" s="104"/>
      <c r="X126" s="104"/>
      <c r="Y126" s="104"/>
      <c r="Z126" s="104"/>
      <c r="AA126" s="104"/>
      <c r="AB126" s="104"/>
      <c r="AC126" s="104"/>
      <c r="AD126" s="104"/>
      <c r="AE126" s="104"/>
      <c r="AF126" s="104"/>
      <c r="AG126" s="104"/>
      <c r="AH126" s="104"/>
      <c r="AI126" s="104"/>
      <c r="AJ126" s="104"/>
      <c r="AK126" s="104"/>
      <c r="AL126" s="104"/>
      <c r="AM126" s="104"/>
      <c r="AN126" s="104"/>
      <c r="AO126" s="104"/>
      <c r="AP126" s="104"/>
      <c r="AQ126" s="104"/>
      <c r="AR126" s="104"/>
      <c r="AS126" s="104"/>
      <c r="AT126" s="104"/>
      <c r="AU126" s="104"/>
      <c r="AV126" s="104"/>
      <c r="AW126" s="104"/>
      <c r="AX126" s="104"/>
      <c r="AY126" s="104"/>
      <c r="AZ126" s="104"/>
      <c r="BA126" s="104"/>
      <c r="BB126" s="104"/>
      <c r="BC126" s="104"/>
      <c r="BD126" s="104"/>
      <c r="BE126" s="104"/>
      <c r="BF126" s="104"/>
      <c r="BG126" s="104"/>
      <c r="BH126" s="104"/>
      <c r="BI126" s="104"/>
      <c r="BJ126" s="104"/>
      <c r="BK126" s="104"/>
      <c r="BL126" s="104"/>
      <c r="BM126" s="104"/>
      <c r="BN126" s="104"/>
      <c r="BO126" s="104"/>
      <c r="BP126" s="104"/>
      <c r="BQ126" s="104"/>
    </row>
    <row r="127" spans="1:69" ht="36" x14ac:dyDescent="0.25">
      <c r="A127" s="104"/>
      <c r="B127" s="104"/>
      <c r="C127" s="104"/>
      <c r="D127" s="104"/>
      <c r="E127" s="104"/>
      <c r="F127" s="104"/>
      <c r="G127" s="104"/>
      <c r="H127" s="104"/>
      <c r="I127" s="104"/>
      <c r="J127" s="104"/>
      <c r="K127" s="104"/>
      <c r="L127" s="104"/>
      <c r="M127" s="104"/>
      <c r="N127" s="104"/>
      <c r="O127" s="104"/>
      <c r="P127" s="104"/>
      <c r="Q127" s="104"/>
      <c r="R127" s="104"/>
      <c r="S127" s="104"/>
      <c r="T127" s="104"/>
      <c r="U127" s="104"/>
      <c r="V127" s="104"/>
      <c r="W127" s="104"/>
      <c r="X127" s="104"/>
      <c r="Y127" s="104"/>
      <c r="Z127" s="104"/>
      <c r="AA127" s="104"/>
      <c r="AB127" s="104"/>
      <c r="AC127" s="104"/>
      <c r="AD127" s="104"/>
      <c r="AE127" s="104"/>
      <c r="AF127" s="104"/>
      <c r="AG127" s="104"/>
      <c r="AH127" s="104"/>
      <c r="AI127" s="104"/>
      <c r="AJ127" s="104"/>
      <c r="AK127" s="104"/>
      <c r="AL127" s="104"/>
      <c r="AM127" s="104"/>
      <c r="AN127" s="104"/>
      <c r="AO127" s="104"/>
      <c r="AP127" s="104"/>
      <c r="AQ127" s="104"/>
      <c r="AR127" s="104"/>
      <c r="AS127" s="104"/>
      <c r="AT127" s="104"/>
      <c r="AU127" s="104"/>
      <c r="AV127" s="104"/>
      <c r="AW127" s="104"/>
      <c r="AX127" s="104"/>
      <c r="AY127" s="104"/>
      <c r="AZ127" s="104"/>
      <c r="BA127" s="104"/>
      <c r="BB127" s="104"/>
      <c r="BC127" s="104"/>
      <c r="BD127" s="104"/>
      <c r="BE127" s="104"/>
      <c r="BF127" s="104"/>
      <c r="BG127" s="104"/>
      <c r="BH127" s="104"/>
      <c r="BI127" s="104"/>
      <c r="BJ127" s="104"/>
      <c r="BK127" s="104"/>
      <c r="BL127" s="104"/>
      <c r="BM127" s="104"/>
      <c r="BN127" s="104"/>
      <c r="BO127" s="104"/>
      <c r="BP127" s="104"/>
      <c r="BQ127" s="104"/>
    </row>
    <row r="128" spans="1:69" ht="36" x14ac:dyDescent="0.25">
      <c r="A128" s="104"/>
      <c r="B128" s="104"/>
      <c r="C128" s="104"/>
      <c r="D128" s="104"/>
      <c r="E128" s="104"/>
      <c r="F128" s="104"/>
      <c r="G128" s="104"/>
      <c r="H128" s="104"/>
      <c r="I128" s="104"/>
      <c r="J128" s="104"/>
      <c r="K128" s="104"/>
      <c r="L128" s="104"/>
      <c r="M128" s="104"/>
      <c r="N128" s="104"/>
      <c r="O128" s="104"/>
      <c r="P128" s="104"/>
      <c r="Q128" s="104"/>
      <c r="R128" s="104"/>
      <c r="S128" s="104"/>
      <c r="T128" s="104"/>
      <c r="U128" s="104"/>
      <c r="V128" s="104"/>
      <c r="W128" s="104"/>
      <c r="X128" s="104"/>
      <c r="Y128" s="104"/>
      <c r="Z128" s="104"/>
      <c r="AA128" s="104"/>
      <c r="AB128" s="104"/>
      <c r="AC128" s="104"/>
      <c r="AD128" s="104"/>
      <c r="AE128" s="104"/>
      <c r="AF128" s="104"/>
      <c r="AG128" s="104"/>
      <c r="AH128" s="104"/>
      <c r="AI128" s="104"/>
      <c r="AJ128" s="104"/>
      <c r="AK128" s="104"/>
      <c r="AL128" s="104"/>
      <c r="AM128" s="104"/>
      <c r="AN128" s="104"/>
      <c r="AO128" s="104"/>
      <c r="AP128" s="104"/>
      <c r="AQ128" s="104"/>
      <c r="AR128" s="104"/>
      <c r="AS128" s="104"/>
      <c r="AT128" s="104"/>
      <c r="AU128" s="104"/>
      <c r="AV128" s="104"/>
      <c r="AW128" s="104"/>
      <c r="AX128" s="104"/>
      <c r="AY128" s="104"/>
      <c r="AZ128" s="104"/>
      <c r="BA128" s="104"/>
      <c r="BB128" s="104"/>
      <c r="BC128" s="104"/>
      <c r="BD128" s="104"/>
      <c r="BE128" s="104"/>
      <c r="BF128" s="104"/>
      <c r="BG128" s="104"/>
      <c r="BH128" s="104"/>
      <c r="BI128" s="104"/>
      <c r="BJ128" s="104"/>
      <c r="BK128" s="104"/>
      <c r="BL128" s="104"/>
      <c r="BM128" s="104"/>
      <c r="BN128" s="104"/>
      <c r="BO128" s="104"/>
      <c r="BP128" s="104"/>
      <c r="BQ128" s="104"/>
    </row>
    <row r="129" spans="1:69" ht="36" x14ac:dyDescent="0.25">
      <c r="A129" s="104"/>
      <c r="B129" s="104"/>
      <c r="C129" s="104"/>
      <c r="D129" s="104"/>
      <c r="E129" s="104"/>
      <c r="F129" s="104"/>
      <c r="G129" s="104"/>
      <c r="H129" s="104"/>
      <c r="I129" s="104"/>
      <c r="J129" s="104"/>
      <c r="K129" s="104"/>
      <c r="L129" s="104"/>
      <c r="M129" s="104"/>
      <c r="N129" s="104"/>
      <c r="O129" s="104"/>
      <c r="P129" s="104"/>
      <c r="Q129" s="104"/>
      <c r="R129" s="104"/>
      <c r="S129" s="104"/>
      <c r="T129" s="104"/>
      <c r="U129" s="104"/>
      <c r="V129" s="104"/>
      <c r="W129" s="104"/>
      <c r="X129" s="104"/>
      <c r="Y129" s="104"/>
      <c r="Z129" s="104"/>
      <c r="AA129" s="104"/>
      <c r="AB129" s="104"/>
      <c r="AC129" s="104"/>
      <c r="AD129" s="104"/>
      <c r="AE129" s="104"/>
      <c r="AF129" s="104"/>
      <c r="AG129" s="104"/>
      <c r="AH129" s="104"/>
      <c r="AI129" s="104"/>
      <c r="AJ129" s="104"/>
      <c r="AK129" s="104"/>
      <c r="AL129" s="104"/>
      <c r="AM129" s="104"/>
      <c r="AN129" s="104"/>
      <c r="AO129" s="104"/>
      <c r="AP129" s="104"/>
      <c r="AQ129" s="104"/>
      <c r="AR129" s="104"/>
      <c r="AS129" s="104"/>
      <c r="AT129" s="104"/>
      <c r="AU129" s="104"/>
      <c r="AV129" s="104"/>
      <c r="AW129" s="104"/>
      <c r="AX129" s="104"/>
      <c r="AY129" s="104"/>
      <c r="AZ129" s="104"/>
      <c r="BA129" s="104"/>
      <c r="BB129" s="104"/>
      <c r="BC129" s="104"/>
      <c r="BD129" s="104"/>
      <c r="BE129" s="104"/>
      <c r="BF129" s="104"/>
      <c r="BG129" s="104"/>
      <c r="BH129" s="104"/>
      <c r="BI129" s="104"/>
      <c r="BJ129" s="104"/>
      <c r="BK129" s="104"/>
      <c r="BL129" s="104"/>
      <c r="BM129" s="104"/>
      <c r="BN129" s="104"/>
      <c r="BO129" s="104"/>
      <c r="BP129" s="104"/>
      <c r="BQ129" s="104"/>
    </row>
    <row r="130" spans="1:69" ht="36" x14ac:dyDescent="0.25">
      <c r="A130" s="104"/>
      <c r="B130" s="104"/>
      <c r="C130" s="104"/>
      <c r="D130" s="104"/>
      <c r="E130" s="104"/>
      <c r="F130" s="104"/>
      <c r="G130" s="104"/>
      <c r="H130" s="104"/>
      <c r="I130" s="104"/>
      <c r="J130" s="104"/>
      <c r="K130" s="104"/>
      <c r="L130" s="104"/>
      <c r="M130" s="104"/>
      <c r="N130" s="104"/>
      <c r="O130" s="104"/>
      <c r="P130" s="104"/>
      <c r="Q130" s="104"/>
      <c r="R130" s="104"/>
      <c r="S130" s="104"/>
      <c r="T130" s="104"/>
      <c r="U130" s="104"/>
      <c r="V130" s="104"/>
      <c r="W130" s="104"/>
      <c r="X130" s="104"/>
      <c r="Y130" s="104"/>
      <c r="Z130" s="104"/>
      <c r="AA130" s="104"/>
      <c r="AB130" s="104"/>
      <c r="AC130" s="104"/>
      <c r="AD130" s="104"/>
      <c r="AE130" s="104"/>
      <c r="AF130" s="104"/>
      <c r="AG130" s="104"/>
      <c r="AH130" s="104"/>
      <c r="AI130" s="104"/>
      <c r="AJ130" s="104"/>
      <c r="AK130" s="104"/>
      <c r="AL130" s="104"/>
      <c r="AM130" s="104"/>
      <c r="AN130" s="104"/>
      <c r="AO130" s="104"/>
      <c r="AP130" s="104"/>
      <c r="AQ130" s="104"/>
      <c r="AR130" s="104"/>
      <c r="AS130" s="104"/>
      <c r="AT130" s="104"/>
      <c r="AU130" s="104"/>
      <c r="AV130" s="104"/>
      <c r="AW130" s="104"/>
      <c r="AX130" s="104"/>
      <c r="AY130" s="104"/>
      <c r="AZ130" s="104"/>
      <c r="BA130" s="104"/>
      <c r="BB130" s="104"/>
      <c r="BC130" s="104"/>
      <c r="BD130" s="104"/>
      <c r="BE130" s="104"/>
      <c r="BF130" s="104"/>
      <c r="BG130" s="104"/>
      <c r="BH130" s="104"/>
      <c r="BI130" s="104"/>
      <c r="BJ130" s="104"/>
      <c r="BK130" s="104"/>
      <c r="BL130" s="104"/>
      <c r="BM130" s="104"/>
      <c r="BN130" s="104"/>
      <c r="BO130" s="104"/>
      <c r="BP130" s="104"/>
      <c r="BQ130" s="104"/>
    </row>
    <row r="131" spans="1:69" ht="36" x14ac:dyDescent="0.25">
      <c r="A131" s="104"/>
      <c r="B131" s="104"/>
      <c r="C131" s="104"/>
      <c r="D131" s="104"/>
      <c r="E131" s="104"/>
      <c r="F131" s="104"/>
      <c r="G131" s="104"/>
      <c r="H131" s="104"/>
      <c r="I131" s="104"/>
      <c r="J131" s="104"/>
      <c r="K131" s="104"/>
      <c r="L131" s="104"/>
      <c r="M131" s="104"/>
      <c r="N131" s="104"/>
      <c r="O131" s="104"/>
      <c r="P131" s="104"/>
      <c r="Q131" s="104"/>
      <c r="R131" s="104"/>
      <c r="S131" s="104"/>
      <c r="T131" s="104"/>
      <c r="U131" s="104"/>
      <c r="V131" s="104"/>
      <c r="W131" s="104"/>
      <c r="X131" s="104"/>
      <c r="Y131" s="104"/>
      <c r="Z131" s="104"/>
      <c r="AA131" s="104"/>
      <c r="AB131" s="104"/>
      <c r="AC131" s="104"/>
      <c r="AD131" s="104"/>
      <c r="AE131" s="104"/>
      <c r="AF131" s="104"/>
      <c r="AG131" s="104"/>
      <c r="AH131" s="104"/>
      <c r="AI131" s="104"/>
      <c r="AJ131" s="104"/>
      <c r="AK131" s="104"/>
      <c r="AL131" s="104"/>
      <c r="AM131" s="104"/>
      <c r="AN131" s="104"/>
      <c r="AO131" s="104"/>
      <c r="AP131" s="104"/>
      <c r="AQ131" s="104"/>
      <c r="AR131" s="104"/>
      <c r="AS131" s="104"/>
      <c r="AT131" s="104"/>
      <c r="AU131" s="104"/>
      <c r="AV131" s="104"/>
      <c r="AW131" s="104"/>
      <c r="AX131" s="104"/>
      <c r="AY131" s="104"/>
      <c r="AZ131" s="104"/>
      <c r="BA131" s="104"/>
      <c r="BB131" s="104"/>
      <c r="BC131" s="104"/>
      <c r="BD131" s="104"/>
      <c r="BE131" s="104"/>
      <c r="BF131" s="104"/>
      <c r="BG131" s="104"/>
      <c r="BH131" s="104"/>
      <c r="BI131" s="104"/>
      <c r="BJ131" s="104"/>
      <c r="BK131" s="104"/>
      <c r="BL131" s="104"/>
      <c r="BM131" s="104"/>
      <c r="BN131" s="104"/>
      <c r="BO131" s="104"/>
      <c r="BP131" s="104"/>
      <c r="BQ131" s="104"/>
    </row>
    <row r="132" spans="1:69" ht="36" x14ac:dyDescent="0.25">
      <c r="A132" s="104"/>
      <c r="B132" s="104"/>
      <c r="C132" s="104"/>
      <c r="D132" s="104"/>
      <c r="E132" s="104"/>
      <c r="F132" s="104"/>
      <c r="G132" s="104"/>
      <c r="H132" s="104"/>
      <c r="I132" s="104"/>
      <c r="J132" s="104"/>
      <c r="K132" s="104"/>
      <c r="L132" s="104"/>
      <c r="M132" s="104"/>
      <c r="N132" s="104"/>
      <c r="O132" s="104"/>
      <c r="P132" s="104"/>
      <c r="Q132" s="104"/>
      <c r="R132" s="104"/>
      <c r="S132" s="104"/>
      <c r="T132" s="104"/>
      <c r="U132" s="104"/>
      <c r="V132" s="104"/>
      <c r="W132" s="104"/>
      <c r="X132" s="104"/>
      <c r="Y132" s="104"/>
      <c r="Z132" s="104"/>
      <c r="AA132" s="104"/>
      <c r="AB132" s="104"/>
      <c r="AC132" s="104"/>
      <c r="AD132" s="104"/>
      <c r="AE132" s="104"/>
      <c r="AF132" s="104"/>
      <c r="AG132" s="104"/>
      <c r="AH132" s="104"/>
      <c r="AI132" s="104"/>
      <c r="AJ132" s="104"/>
      <c r="AK132" s="104"/>
      <c r="AL132" s="104"/>
      <c r="AM132" s="104"/>
      <c r="AN132" s="104"/>
      <c r="AO132" s="104"/>
      <c r="AP132" s="104"/>
      <c r="AQ132" s="104"/>
      <c r="AR132" s="104"/>
      <c r="AS132" s="104"/>
      <c r="AT132" s="104"/>
      <c r="AU132" s="104"/>
      <c r="AV132" s="104"/>
      <c r="AW132" s="104"/>
      <c r="AX132" s="104"/>
      <c r="AY132" s="104"/>
      <c r="AZ132" s="104"/>
      <c r="BA132" s="104"/>
      <c r="BB132" s="104"/>
      <c r="BC132" s="104"/>
      <c r="BD132" s="104"/>
      <c r="BE132" s="104"/>
      <c r="BF132" s="104"/>
      <c r="BG132" s="104"/>
      <c r="BH132" s="104"/>
      <c r="BI132" s="104"/>
      <c r="BJ132" s="104"/>
      <c r="BK132" s="104"/>
      <c r="BL132" s="104"/>
      <c r="BM132" s="104"/>
      <c r="BN132" s="104"/>
      <c r="BO132" s="104"/>
      <c r="BP132" s="104"/>
      <c r="BQ132" s="104"/>
    </row>
    <row r="133" spans="1:69" ht="36" x14ac:dyDescent="0.25">
      <c r="A133" s="104"/>
      <c r="B133" s="104"/>
      <c r="C133" s="104"/>
      <c r="D133" s="104"/>
      <c r="E133" s="104"/>
      <c r="F133" s="104"/>
      <c r="G133" s="104"/>
      <c r="H133" s="104"/>
      <c r="I133" s="104"/>
      <c r="J133" s="104"/>
      <c r="K133" s="104"/>
      <c r="L133" s="104"/>
      <c r="M133" s="104"/>
      <c r="N133" s="104"/>
      <c r="O133" s="104"/>
      <c r="P133" s="104"/>
      <c r="Q133" s="104"/>
      <c r="R133" s="104"/>
      <c r="S133" s="104"/>
      <c r="T133" s="104"/>
      <c r="U133" s="104"/>
      <c r="V133" s="104"/>
      <c r="W133" s="104"/>
      <c r="X133" s="104"/>
      <c r="Y133" s="104"/>
      <c r="Z133" s="104"/>
      <c r="AA133" s="104"/>
      <c r="AB133" s="104"/>
      <c r="AC133" s="104"/>
      <c r="AD133" s="104"/>
      <c r="AE133" s="104"/>
      <c r="AF133" s="104"/>
      <c r="AG133" s="104"/>
      <c r="AH133" s="104"/>
      <c r="AI133" s="104"/>
      <c r="AJ133" s="104"/>
      <c r="AK133" s="104"/>
      <c r="AL133" s="104"/>
      <c r="AM133" s="104"/>
      <c r="AN133" s="104"/>
      <c r="AO133" s="104"/>
      <c r="AP133" s="104"/>
      <c r="AQ133" s="104"/>
      <c r="AR133" s="104"/>
      <c r="AS133" s="104"/>
      <c r="AT133" s="104"/>
      <c r="AU133" s="104"/>
      <c r="AV133" s="104"/>
      <c r="AW133" s="104"/>
      <c r="AX133" s="104"/>
      <c r="AY133" s="104"/>
      <c r="AZ133" s="104"/>
      <c r="BA133" s="104"/>
      <c r="BB133" s="104"/>
      <c r="BC133" s="104"/>
      <c r="BD133" s="104"/>
      <c r="BE133" s="104"/>
      <c r="BF133" s="104"/>
      <c r="BG133" s="104"/>
      <c r="BH133" s="104"/>
      <c r="BI133" s="104"/>
      <c r="BJ133" s="104"/>
      <c r="BK133" s="104"/>
      <c r="BL133" s="104"/>
      <c r="BM133" s="104"/>
      <c r="BN133" s="104"/>
      <c r="BO133" s="104"/>
      <c r="BP133" s="104"/>
      <c r="BQ133" s="104"/>
    </row>
    <row r="134" spans="1:69" ht="36" x14ac:dyDescent="0.25">
      <c r="A134" s="104"/>
      <c r="B134" s="104"/>
      <c r="C134" s="104"/>
      <c r="D134" s="104"/>
      <c r="E134" s="104"/>
      <c r="F134" s="104"/>
      <c r="G134" s="104"/>
      <c r="H134" s="104"/>
      <c r="I134" s="104"/>
      <c r="J134" s="104"/>
      <c r="K134" s="104"/>
      <c r="L134" s="104"/>
      <c r="M134" s="104"/>
      <c r="N134" s="104"/>
      <c r="O134" s="104"/>
      <c r="P134" s="104"/>
      <c r="Q134" s="104"/>
      <c r="R134" s="104"/>
      <c r="S134" s="104"/>
      <c r="T134" s="104"/>
      <c r="U134" s="104"/>
      <c r="V134" s="104"/>
      <c r="W134" s="104"/>
      <c r="X134" s="104"/>
      <c r="Y134" s="104"/>
      <c r="Z134" s="104"/>
      <c r="AA134" s="104"/>
      <c r="AB134" s="104"/>
      <c r="AC134" s="104"/>
      <c r="AD134" s="104"/>
      <c r="AE134" s="104"/>
      <c r="AF134" s="104"/>
      <c r="AG134" s="104"/>
      <c r="AH134" s="104"/>
      <c r="AI134" s="104"/>
      <c r="AJ134" s="104"/>
      <c r="AK134" s="104"/>
      <c r="AL134" s="104"/>
      <c r="AM134" s="104"/>
      <c r="AN134" s="104"/>
      <c r="AO134" s="104"/>
      <c r="AP134" s="104"/>
      <c r="AQ134" s="104"/>
      <c r="AR134" s="104"/>
      <c r="AS134" s="104"/>
      <c r="AT134" s="104"/>
      <c r="AU134" s="104"/>
      <c r="AV134" s="104"/>
      <c r="AW134" s="104"/>
      <c r="AX134" s="104"/>
      <c r="AY134" s="104"/>
      <c r="AZ134" s="104"/>
      <c r="BA134" s="104"/>
      <c r="BB134" s="104"/>
      <c r="BC134" s="104"/>
      <c r="BD134" s="104"/>
      <c r="BE134" s="104"/>
      <c r="BF134" s="104"/>
      <c r="BG134" s="104"/>
      <c r="BH134" s="104"/>
      <c r="BI134" s="104"/>
      <c r="BJ134" s="104"/>
      <c r="BK134" s="104"/>
      <c r="BL134" s="104"/>
      <c r="BM134" s="104"/>
      <c r="BN134" s="104"/>
      <c r="BO134" s="104"/>
      <c r="BP134" s="104"/>
      <c r="BQ134" s="104"/>
    </row>
    <row r="135" spans="1:69" ht="36" x14ac:dyDescent="0.25">
      <c r="A135" s="104"/>
      <c r="B135" s="104"/>
      <c r="C135" s="104"/>
      <c r="D135" s="104"/>
      <c r="E135" s="104"/>
      <c r="F135" s="104"/>
      <c r="G135" s="104"/>
      <c r="H135" s="104"/>
      <c r="I135" s="104"/>
      <c r="J135" s="104"/>
      <c r="K135" s="104"/>
      <c r="L135" s="104"/>
      <c r="M135" s="104"/>
      <c r="N135" s="104"/>
      <c r="O135" s="104"/>
      <c r="P135" s="104"/>
      <c r="Q135" s="104"/>
      <c r="R135" s="104"/>
      <c r="S135" s="104"/>
      <c r="T135" s="104"/>
      <c r="U135" s="104"/>
      <c r="V135" s="104"/>
      <c r="W135" s="104"/>
      <c r="X135" s="104"/>
      <c r="Y135" s="104"/>
      <c r="Z135" s="104"/>
      <c r="AA135" s="104"/>
      <c r="AB135" s="104"/>
      <c r="AC135" s="104"/>
      <c r="AD135" s="104"/>
      <c r="AE135" s="104"/>
      <c r="AF135" s="104"/>
      <c r="AG135" s="104"/>
      <c r="AH135" s="104"/>
      <c r="AI135" s="104"/>
      <c r="AJ135" s="104"/>
      <c r="AK135" s="104"/>
      <c r="AL135" s="104"/>
      <c r="AM135" s="104"/>
      <c r="AN135" s="104"/>
      <c r="AO135" s="104"/>
      <c r="AP135" s="104"/>
      <c r="AQ135" s="104"/>
      <c r="AR135" s="104"/>
      <c r="AS135" s="104"/>
      <c r="AT135" s="104"/>
      <c r="AU135" s="104"/>
      <c r="AV135" s="104"/>
      <c r="AW135" s="104"/>
      <c r="AX135" s="104"/>
      <c r="AY135" s="104"/>
      <c r="AZ135" s="104"/>
      <c r="BA135" s="104"/>
      <c r="BB135" s="104"/>
      <c r="BC135" s="104"/>
      <c r="BD135" s="104"/>
      <c r="BE135" s="104"/>
      <c r="BF135" s="104"/>
      <c r="BG135" s="104"/>
      <c r="BH135" s="104"/>
      <c r="BI135" s="104"/>
      <c r="BJ135" s="104"/>
      <c r="BK135" s="104"/>
      <c r="BL135" s="104"/>
      <c r="BM135" s="104"/>
      <c r="BN135" s="104"/>
      <c r="BO135" s="104"/>
      <c r="BP135" s="104"/>
      <c r="BQ135" s="104"/>
    </row>
    <row r="136" spans="1:69" ht="36" x14ac:dyDescent="0.25">
      <c r="A136" s="104"/>
      <c r="B136" s="104"/>
      <c r="C136" s="104"/>
      <c r="D136" s="104"/>
      <c r="E136" s="104"/>
      <c r="F136" s="104"/>
      <c r="G136" s="104"/>
      <c r="H136" s="104"/>
      <c r="I136" s="104"/>
      <c r="J136" s="104"/>
      <c r="K136" s="104"/>
      <c r="L136" s="104"/>
      <c r="M136" s="104"/>
      <c r="N136" s="104"/>
      <c r="O136" s="104"/>
      <c r="P136" s="104"/>
      <c r="Q136" s="104"/>
      <c r="R136" s="104"/>
      <c r="S136" s="104"/>
      <c r="T136" s="104"/>
      <c r="U136" s="104"/>
      <c r="V136" s="104"/>
      <c r="W136" s="104"/>
      <c r="X136" s="104"/>
      <c r="Y136" s="104"/>
      <c r="Z136" s="104"/>
      <c r="AA136" s="104"/>
      <c r="AB136" s="104"/>
      <c r="AC136" s="104"/>
      <c r="AD136" s="104"/>
      <c r="AE136" s="104"/>
      <c r="AF136" s="104"/>
      <c r="AG136" s="104"/>
      <c r="AH136" s="104"/>
      <c r="AI136" s="104"/>
      <c r="AJ136" s="104"/>
      <c r="AK136" s="104"/>
      <c r="AL136" s="104"/>
      <c r="AM136" s="104"/>
      <c r="AN136" s="104"/>
      <c r="AO136" s="104"/>
      <c r="AP136" s="104"/>
      <c r="AQ136" s="104"/>
      <c r="AR136" s="104"/>
      <c r="AS136" s="104"/>
      <c r="AT136" s="104"/>
      <c r="AU136" s="104"/>
      <c r="AV136" s="104"/>
      <c r="AW136" s="104"/>
      <c r="AX136" s="104"/>
      <c r="AY136" s="104"/>
      <c r="AZ136" s="104"/>
      <c r="BA136" s="104"/>
      <c r="BB136" s="104"/>
      <c r="BC136" s="104"/>
      <c r="BD136" s="104"/>
      <c r="BE136" s="104"/>
      <c r="BF136" s="104"/>
      <c r="BG136" s="104"/>
      <c r="BH136" s="104"/>
      <c r="BI136" s="104"/>
      <c r="BJ136" s="104"/>
      <c r="BK136" s="104"/>
      <c r="BL136" s="104"/>
      <c r="BM136" s="104"/>
      <c r="BN136" s="104"/>
      <c r="BO136" s="104"/>
      <c r="BP136" s="104"/>
      <c r="BQ136" s="104"/>
    </row>
    <row r="137" spans="1:69" ht="36" x14ac:dyDescent="0.25">
      <c r="A137" s="104"/>
      <c r="B137" s="104"/>
      <c r="C137" s="104"/>
      <c r="D137" s="104"/>
      <c r="E137" s="104"/>
      <c r="F137" s="104"/>
      <c r="G137" s="104"/>
      <c r="H137" s="104"/>
      <c r="I137" s="104"/>
      <c r="J137" s="104"/>
      <c r="K137" s="104"/>
      <c r="L137" s="104"/>
      <c r="M137" s="104"/>
      <c r="N137" s="104"/>
      <c r="O137" s="104"/>
      <c r="P137" s="104"/>
      <c r="Q137" s="104"/>
      <c r="R137" s="104"/>
      <c r="S137" s="104"/>
      <c r="T137" s="104"/>
      <c r="U137" s="104"/>
      <c r="V137" s="104"/>
      <c r="W137" s="104"/>
      <c r="X137" s="104"/>
      <c r="Y137" s="104"/>
      <c r="Z137" s="104"/>
      <c r="AA137" s="104"/>
      <c r="AB137" s="104"/>
      <c r="AC137" s="104"/>
      <c r="AD137" s="104"/>
      <c r="AE137" s="104"/>
      <c r="AF137" s="104"/>
      <c r="AG137" s="104"/>
      <c r="AH137" s="104"/>
      <c r="AI137" s="104"/>
      <c r="AJ137" s="104"/>
      <c r="AK137" s="104"/>
      <c r="AL137" s="104"/>
      <c r="AM137" s="104"/>
      <c r="AN137" s="104"/>
      <c r="AO137" s="104"/>
      <c r="AP137" s="104"/>
      <c r="AQ137" s="104"/>
      <c r="AR137" s="104"/>
      <c r="AS137" s="104"/>
      <c r="AT137" s="104"/>
      <c r="AU137" s="104"/>
      <c r="AV137" s="104"/>
      <c r="AW137" s="104"/>
      <c r="AX137" s="104"/>
      <c r="AY137" s="104"/>
      <c r="AZ137" s="104"/>
      <c r="BA137" s="104"/>
      <c r="BB137" s="104"/>
      <c r="BC137" s="104"/>
      <c r="BD137" s="104"/>
      <c r="BE137" s="104"/>
      <c r="BF137" s="104"/>
      <c r="BG137" s="104"/>
      <c r="BH137" s="104"/>
      <c r="BI137" s="104"/>
      <c r="BJ137" s="104"/>
      <c r="BK137" s="104"/>
      <c r="BL137" s="104"/>
      <c r="BM137" s="104"/>
      <c r="BN137" s="104"/>
      <c r="BO137" s="104"/>
      <c r="BP137" s="104"/>
      <c r="BQ137" s="104"/>
    </row>
    <row r="138" spans="1:69" ht="36" x14ac:dyDescent="0.25">
      <c r="A138" s="104"/>
      <c r="B138" s="104"/>
      <c r="C138" s="104"/>
      <c r="D138" s="104"/>
      <c r="E138" s="104"/>
      <c r="F138" s="104"/>
      <c r="G138" s="104"/>
      <c r="H138" s="104"/>
      <c r="I138" s="104"/>
      <c r="J138" s="104"/>
      <c r="K138" s="104"/>
      <c r="L138" s="104"/>
      <c r="M138" s="104"/>
      <c r="N138" s="104"/>
      <c r="O138" s="104"/>
      <c r="P138" s="104"/>
      <c r="Q138" s="104"/>
      <c r="R138" s="104"/>
      <c r="S138" s="104"/>
      <c r="T138" s="104"/>
      <c r="U138" s="104"/>
      <c r="V138" s="104"/>
      <c r="W138" s="104"/>
      <c r="X138" s="104"/>
      <c r="Y138" s="104"/>
      <c r="Z138" s="104"/>
      <c r="AA138" s="104"/>
      <c r="AB138" s="104"/>
      <c r="AC138" s="104"/>
      <c r="AD138" s="104"/>
      <c r="AE138" s="104"/>
      <c r="AF138" s="104"/>
      <c r="AG138" s="104"/>
      <c r="AH138" s="104"/>
      <c r="AI138" s="104"/>
      <c r="AJ138" s="104"/>
      <c r="AK138" s="104"/>
      <c r="AL138" s="104"/>
      <c r="AM138" s="104"/>
      <c r="AN138" s="104"/>
      <c r="AO138" s="104"/>
      <c r="AP138" s="104"/>
      <c r="AQ138" s="104"/>
      <c r="AR138" s="104"/>
      <c r="AS138" s="104"/>
      <c r="AT138" s="104"/>
      <c r="AU138" s="104"/>
      <c r="AV138" s="104"/>
      <c r="AW138" s="104"/>
      <c r="AX138" s="104"/>
      <c r="AY138" s="104"/>
      <c r="AZ138" s="104"/>
      <c r="BA138" s="104"/>
      <c r="BB138" s="104"/>
      <c r="BC138" s="104"/>
      <c r="BD138" s="104"/>
      <c r="BE138" s="104"/>
      <c r="BF138" s="104"/>
      <c r="BG138" s="104"/>
      <c r="BH138" s="104"/>
      <c r="BI138" s="104"/>
      <c r="BJ138" s="104"/>
      <c r="BK138" s="104"/>
      <c r="BL138" s="104"/>
      <c r="BM138" s="104"/>
      <c r="BN138" s="104"/>
      <c r="BO138" s="104"/>
      <c r="BP138" s="104"/>
      <c r="BQ138" s="104"/>
    </row>
    <row r="139" spans="1:69" ht="36" x14ac:dyDescent="0.25">
      <c r="A139" s="104"/>
      <c r="B139" s="104"/>
      <c r="C139" s="104"/>
      <c r="D139" s="104"/>
      <c r="E139" s="104"/>
      <c r="F139" s="104"/>
      <c r="G139" s="104"/>
      <c r="H139" s="104"/>
      <c r="I139" s="104"/>
      <c r="J139" s="104"/>
      <c r="K139" s="104"/>
      <c r="L139" s="104"/>
      <c r="M139" s="104"/>
      <c r="N139" s="104"/>
      <c r="O139" s="104"/>
      <c r="P139" s="104"/>
      <c r="Q139" s="104"/>
      <c r="R139" s="104"/>
      <c r="S139" s="104"/>
      <c r="T139" s="104"/>
      <c r="U139" s="104"/>
      <c r="V139" s="104"/>
      <c r="W139" s="104"/>
      <c r="X139" s="104"/>
      <c r="Y139" s="104"/>
      <c r="Z139" s="104"/>
      <c r="AA139" s="104"/>
      <c r="AB139" s="104"/>
      <c r="AC139" s="104"/>
      <c r="AD139" s="104"/>
      <c r="AE139" s="104"/>
      <c r="AF139" s="104"/>
      <c r="AG139" s="104"/>
      <c r="AH139" s="104"/>
      <c r="AI139" s="104"/>
      <c r="AJ139" s="104"/>
      <c r="AK139" s="104"/>
      <c r="AL139" s="104"/>
      <c r="AM139" s="104"/>
      <c r="AN139" s="104"/>
      <c r="AO139" s="104"/>
      <c r="AP139" s="104"/>
      <c r="AQ139" s="104"/>
      <c r="AR139" s="104"/>
      <c r="AS139" s="104"/>
      <c r="AT139" s="104"/>
      <c r="AU139" s="104"/>
      <c r="AV139" s="104"/>
      <c r="AW139" s="104"/>
      <c r="AX139" s="104"/>
      <c r="AY139" s="104"/>
      <c r="AZ139" s="104"/>
      <c r="BA139" s="104"/>
      <c r="BB139" s="104"/>
      <c r="BC139" s="104"/>
      <c r="BD139" s="104"/>
      <c r="BE139" s="104"/>
      <c r="BF139" s="104"/>
      <c r="BG139" s="104"/>
      <c r="BH139" s="104"/>
      <c r="BI139" s="104"/>
      <c r="BJ139" s="104"/>
      <c r="BK139" s="104"/>
      <c r="BL139" s="104"/>
      <c r="BM139" s="104"/>
      <c r="BN139" s="104"/>
      <c r="BO139" s="104"/>
      <c r="BP139" s="104"/>
      <c r="BQ139" s="104"/>
    </row>
    <row r="140" spans="1:69" ht="36" x14ac:dyDescent="0.25">
      <c r="A140" s="104"/>
      <c r="B140" s="104"/>
      <c r="C140" s="104"/>
      <c r="D140" s="104"/>
      <c r="E140" s="104"/>
      <c r="F140" s="104"/>
      <c r="G140" s="104"/>
      <c r="H140" s="104"/>
      <c r="I140" s="104"/>
      <c r="J140" s="104"/>
      <c r="K140" s="104"/>
      <c r="L140" s="104"/>
      <c r="M140" s="104"/>
      <c r="N140" s="104"/>
      <c r="O140" s="104"/>
      <c r="P140" s="104"/>
      <c r="Q140" s="104"/>
      <c r="R140" s="104"/>
      <c r="S140" s="104"/>
      <c r="T140" s="104"/>
      <c r="U140" s="104"/>
      <c r="V140" s="104"/>
      <c r="W140" s="104"/>
      <c r="X140" s="104"/>
      <c r="Y140" s="104"/>
      <c r="Z140" s="104"/>
      <c r="AA140" s="104"/>
      <c r="AB140" s="104"/>
      <c r="AC140" s="104"/>
      <c r="AD140" s="104"/>
      <c r="AE140" s="104"/>
      <c r="AF140" s="104"/>
      <c r="AG140" s="104"/>
      <c r="AH140" s="104"/>
      <c r="AI140" s="104"/>
      <c r="AJ140" s="104"/>
      <c r="AK140" s="104"/>
      <c r="AL140" s="104"/>
      <c r="AM140" s="104"/>
      <c r="AN140" s="104"/>
      <c r="AO140" s="104"/>
      <c r="AP140" s="104"/>
      <c r="AQ140" s="104"/>
      <c r="AR140" s="104"/>
      <c r="AS140" s="104"/>
      <c r="AT140" s="104"/>
      <c r="AU140" s="104"/>
      <c r="AV140" s="104"/>
      <c r="AW140" s="104"/>
      <c r="AX140" s="104"/>
      <c r="AY140" s="104"/>
      <c r="AZ140" s="104"/>
      <c r="BA140" s="104"/>
      <c r="BB140" s="104"/>
      <c r="BC140" s="104"/>
      <c r="BD140" s="104"/>
      <c r="BE140" s="104"/>
      <c r="BF140" s="104"/>
      <c r="BG140" s="104"/>
      <c r="BH140" s="104"/>
      <c r="BI140" s="104"/>
      <c r="BJ140" s="104"/>
      <c r="BK140" s="104"/>
      <c r="BL140" s="104"/>
      <c r="BM140" s="104"/>
      <c r="BN140" s="104"/>
      <c r="BO140" s="104"/>
      <c r="BP140" s="104"/>
      <c r="BQ140" s="104"/>
    </row>
    <row r="141" spans="1:69" ht="36" x14ac:dyDescent="0.25">
      <c r="A141" s="104"/>
      <c r="B141" s="104"/>
      <c r="C141" s="104"/>
      <c r="D141" s="104"/>
      <c r="E141" s="104"/>
      <c r="F141" s="104"/>
      <c r="G141" s="104"/>
      <c r="H141" s="104"/>
      <c r="I141" s="104"/>
      <c r="J141" s="104"/>
      <c r="K141" s="104"/>
      <c r="L141" s="104"/>
      <c r="M141" s="104"/>
      <c r="N141" s="104"/>
      <c r="O141" s="104"/>
      <c r="P141" s="104"/>
      <c r="Q141" s="104"/>
      <c r="R141" s="104"/>
      <c r="S141" s="104"/>
      <c r="T141" s="104"/>
      <c r="U141" s="104"/>
      <c r="V141" s="104"/>
      <c r="W141" s="104"/>
      <c r="X141" s="104"/>
      <c r="Y141" s="104"/>
      <c r="Z141" s="104"/>
      <c r="AA141" s="104"/>
      <c r="AB141" s="104"/>
      <c r="AC141" s="104"/>
      <c r="AD141" s="104"/>
      <c r="AE141" s="104"/>
      <c r="AF141" s="104"/>
      <c r="AG141" s="104"/>
      <c r="AH141" s="104"/>
      <c r="AI141" s="104"/>
      <c r="AJ141" s="104"/>
      <c r="AK141" s="104"/>
      <c r="AL141" s="104"/>
      <c r="AM141" s="104"/>
      <c r="AN141" s="104"/>
      <c r="AO141" s="104"/>
      <c r="AP141" s="104"/>
      <c r="AQ141" s="104"/>
      <c r="AR141" s="104"/>
      <c r="AS141" s="104"/>
      <c r="AT141" s="104"/>
      <c r="AU141" s="104"/>
      <c r="AV141" s="104"/>
      <c r="AW141" s="104"/>
      <c r="AX141" s="104"/>
      <c r="AY141" s="104"/>
      <c r="AZ141" s="104"/>
      <c r="BA141" s="104"/>
      <c r="BB141" s="104"/>
      <c r="BC141" s="104"/>
      <c r="BD141" s="104"/>
      <c r="BE141" s="104"/>
      <c r="BF141" s="104"/>
      <c r="BG141" s="104"/>
      <c r="BH141" s="104"/>
      <c r="BI141" s="104"/>
      <c r="BJ141" s="104"/>
      <c r="BK141" s="104"/>
      <c r="BL141" s="104"/>
      <c r="BM141" s="104"/>
      <c r="BN141" s="104"/>
      <c r="BO141" s="104"/>
      <c r="BP141" s="104"/>
      <c r="BQ141" s="104"/>
    </row>
    <row r="142" spans="1:69" ht="36" x14ac:dyDescent="0.25">
      <c r="A142" s="104"/>
      <c r="B142" s="104"/>
      <c r="C142" s="104"/>
      <c r="D142" s="104"/>
      <c r="E142" s="104"/>
      <c r="F142" s="104"/>
      <c r="G142" s="104"/>
      <c r="H142" s="104"/>
      <c r="I142" s="104"/>
      <c r="J142" s="104"/>
      <c r="K142" s="104"/>
      <c r="L142" s="104"/>
      <c r="M142" s="104"/>
      <c r="N142" s="104"/>
      <c r="O142" s="104"/>
      <c r="P142" s="104"/>
      <c r="Q142" s="104"/>
      <c r="R142" s="104"/>
      <c r="S142" s="104"/>
      <c r="T142" s="104"/>
      <c r="U142" s="104"/>
      <c r="V142" s="104"/>
      <c r="W142" s="104"/>
      <c r="X142" s="104"/>
      <c r="Y142" s="104"/>
      <c r="Z142" s="104"/>
      <c r="AA142" s="104"/>
      <c r="AB142" s="104"/>
      <c r="AC142" s="104"/>
      <c r="AD142" s="104"/>
      <c r="AE142" s="104"/>
      <c r="AF142" s="104"/>
      <c r="AG142" s="104"/>
      <c r="AH142" s="104"/>
      <c r="AI142" s="104"/>
      <c r="AJ142" s="104"/>
      <c r="AK142" s="104"/>
      <c r="AL142" s="104"/>
      <c r="AM142" s="104"/>
      <c r="AN142" s="104"/>
      <c r="AO142" s="104"/>
      <c r="AP142" s="104"/>
      <c r="AQ142" s="104"/>
      <c r="AR142" s="104"/>
      <c r="AS142" s="104"/>
      <c r="AT142" s="104"/>
      <c r="AU142" s="104"/>
      <c r="AV142" s="104"/>
      <c r="AW142" s="104"/>
      <c r="AX142" s="104"/>
      <c r="AY142" s="104"/>
      <c r="AZ142" s="104"/>
      <c r="BA142" s="104"/>
      <c r="BB142" s="104"/>
      <c r="BC142" s="104"/>
      <c r="BD142" s="104"/>
      <c r="BE142" s="104"/>
      <c r="BF142" s="104"/>
      <c r="BG142" s="104"/>
      <c r="BH142" s="104"/>
      <c r="BI142" s="104"/>
      <c r="BJ142" s="104"/>
      <c r="BK142" s="104"/>
      <c r="BL142" s="104"/>
      <c r="BM142" s="104"/>
      <c r="BN142" s="104"/>
      <c r="BO142" s="104"/>
      <c r="BP142" s="104"/>
      <c r="BQ142" s="104"/>
    </row>
    <row r="143" spans="1:69" ht="36" x14ac:dyDescent="0.25">
      <c r="A143" s="104"/>
      <c r="B143" s="104"/>
      <c r="C143" s="104"/>
      <c r="D143" s="104"/>
      <c r="E143" s="104"/>
      <c r="F143" s="104"/>
      <c r="G143" s="104"/>
      <c r="H143" s="104"/>
      <c r="I143" s="104"/>
      <c r="J143" s="104"/>
      <c r="K143" s="104"/>
      <c r="L143" s="104"/>
      <c r="M143" s="104"/>
      <c r="N143" s="104"/>
      <c r="O143" s="104"/>
      <c r="P143" s="104"/>
      <c r="Q143" s="104"/>
      <c r="R143" s="104"/>
      <c r="S143" s="104"/>
      <c r="T143" s="104"/>
      <c r="U143" s="104"/>
      <c r="V143" s="104"/>
      <c r="W143" s="104"/>
      <c r="X143" s="104"/>
      <c r="Y143" s="104"/>
      <c r="Z143" s="104"/>
      <c r="AA143" s="104"/>
      <c r="AB143" s="104"/>
      <c r="AC143" s="104"/>
      <c r="AD143" s="104"/>
      <c r="AE143" s="104"/>
      <c r="AF143" s="104"/>
      <c r="AG143" s="104"/>
      <c r="AH143" s="104"/>
      <c r="AI143" s="104"/>
      <c r="AJ143" s="104"/>
      <c r="AK143" s="104"/>
      <c r="AL143" s="104"/>
      <c r="AM143" s="104"/>
      <c r="AN143" s="104"/>
      <c r="AO143" s="104"/>
      <c r="AP143" s="104"/>
      <c r="AQ143" s="104"/>
      <c r="AR143" s="104"/>
      <c r="AS143" s="104"/>
      <c r="AT143" s="104"/>
      <c r="AU143" s="104"/>
      <c r="AV143" s="104"/>
      <c r="AW143" s="104"/>
      <c r="AX143" s="104"/>
      <c r="AY143" s="104"/>
      <c r="AZ143" s="104"/>
      <c r="BA143" s="104"/>
      <c r="BB143" s="104"/>
      <c r="BC143" s="104"/>
      <c r="BD143" s="104"/>
      <c r="BE143" s="104"/>
      <c r="BF143" s="104"/>
      <c r="BG143" s="104"/>
      <c r="BH143" s="104"/>
      <c r="BI143" s="104"/>
      <c r="BJ143" s="104"/>
      <c r="BK143" s="104"/>
      <c r="BL143" s="104"/>
      <c r="BM143" s="104"/>
      <c r="BN143" s="104"/>
      <c r="BO143" s="104"/>
      <c r="BP143" s="104"/>
      <c r="BQ143" s="104"/>
    </row>
    <row r="144" spans="1:69" ht="36" x14ac:dyDescent="0.25">
      <c r="A144" s="104"/>
      <c r="B144" s="104"/>
      <c r="C144" s="104"/>
      <c r="D144" s="104"/>
      <c r="E144" s="104"/>
      <c r="F144" s="104"/>
      <c r="G144" s="104"/>
      <c r="H144" s="104"/>
      <c r="I144" s="104"/>
      <c r="J144" s="104"/>
      <c r="K144" s="104"/>
      <c r="L144" s="104"/>
      <c r="M144" s="104"/>
      <c r="N144" s="104"/>
      <c r="O144" s="104"/>
      <c r="P144" s="104"/>
      <c r="Q144" s="104"/>
      <c r="R144" s="104"/>
      <c r="S144" s="104"/>
      <c r="T144" s="104"/>
      <c r="U144" s="104"/>
      <c r="V144" s="104"/>
      <c r="W144" s="104"/>
      <c r="X144" s="104"/>
      <c r="Y144" s="104"/>
      <c r="Z144" s="104"/>
      <c r="AA144" s="104"/>
      <c r="AB144" s="104"/>
      <c r="AC144" s="104"/>
      <c r="AD144" s="104"/>
      <c r="AE144" s="104"/>
      <c r="AF144" s="104"/>
      <c r="AG144" s="104"/>
      <c r="AH144" s="104"/>
      <c r="AI144" s="104"/>
      <c r="AJ144" s="104"/>
      <c r="AK144" s="104"/>
      <c r="AL144" s="104"/>
      <c r="AM144" s="104"/>
      <c r="AN144" s="104"/>
      <c r="AO144" s="104"/>
      <c r="AP144" s="104"/>
      <c r="AQ144" s="104"/>
      <c r="AR144" s="104"/>
      <c r="AS144" s="104"/>
      <c r="AT144" s="104"/>
      <c r="AU144" s="104"/>
      <c r="AV144" s="104"/>
      <c r="AW144" s="104"/>
      <c r="AX144" s="104"/>
      <c r="AY144" s="104"/>
      <c r="AZ144" s="104"/>
      <c r="BA144" s="104"/>
      <c r="BB144" s="104"/>
      <c r="BC144" s="104"/>
      <c r="BD144" s="104"/>
      <c r="BE144" s="104"/>
      <c r="BF144" s="104"/>
      <c r="BG144" s="104"/>
      <c r="BH144" s="104"/>
      <c r="BI144" s="104"/>
      <c r="BJ144" s="104"/>
      <c r="BK144" s="104"/>
      <c r="BL144" s="104"/>
      <c r="BM144" s="104"/>
      <c r="BN144" s="104"/>
      <c r="BO144" s="104"/>
      <c r="BP144" s="104"/>
      <c r="BQ144" s="104"/>
    </row>
    <row r="145" spans="1:69" ht="36" x14ac:dyDescent="0.25">
      <c r="A145" s="104"/>
      <c r="B145" s="104"/>
      <c r="C145" s="104"/>
      <c r="D145" s="104"/>
      <c r="E145" s="104"/>
      <c r="F145" s="104"/>
      <c r="G145" s="104"/>
      <c r="H145" s="104"/>
      <c r="I145" s="104"/>
      <c r="J145" s="104"/>
      <c r="K145" s="104"/>
      <c r="L145" s="104"/>
      <c r="M145" s="104"/>
      <c r="N145" s="104"/>
      <c r="O145" s="104"/>
      <c r="P145" s="104"/>
      <c r="Q145" s="104"/>
      <c r="R145" s="104"/>
      <c r="S145" s="104"/>
      <c r="T145" s="104"/>
      <c r="U145" s="104"/>
      <c r="V145" s="104"/>
      <c r="W145" s="104"/>
      <c r="X145" s="104"/>
      <c r="Y145" s="104"/>
      <c r="Z145" s="104"/>
      <c r="AA145" s="104"/>
      <c r="AB145" s="104"/>
      <c r="AC145" s="104"/>
      <c r="AD145" s="104"/>
      <c r="AE145" s="104"/>
      <c r="AF145" s="104"/>
      <c r="AG145" s="104"/>
      <c r="AH145" s="104"/>
      <c r="AI145" s="104"/>
      <c r="AJ145" s="104"/>
      <c r="AK145" s="104"/>
      <c r="AL145" s="104"/>
      <c r="AM145" s="104"/>
      <c r="AN145" s="104"/>
      <c r="AO145" s="104"/>
      <c r="AP145" s="104"/>
      <c r="AQ145" s="104"/>
      <c r="AR145" s="104"/>
      <c r="AS145" s="104"/>
      <c r="AT145" s="104"/>
      <c r="AU145" s="104"/>
      <c r="AV145" s="104"/>
      <c r="AW145" s="104"/>
      <c r="AX145" s="104"/>
      <c r="AY145" s="104"/>
      <c r="AZ145" s="104"/>
      <c r="BA145" s="104"/>
      <c r="BB145" s="104"/>
      <c r="BC145" s="104"/>
      <c r="BD145" s="104"/>
      <c r="BE145" s="104"/>
      <c r="BF145" s="104"/>
      <c r="BG145" s="104"/>
      <c r="BH145" s="104"/>
      <c r="BI145" s="104"/>
      <c r="BJ145" s="104"/>
      <c r="BK145" s="104"/>
      <c r="BL145" s="104"/>
      <c r="BM145" s="104"/>
      <c r="BN145" s="104"/>
      <c r="BO145" s="104"/>
      <c r="BP145" s="104"/>
      <c r="BQ145" s="104"/>
    </row>
    <row r="146" spans="1:69" ht="36" x14ac:dyDescent="0.25">
      <c r="A146" s="104"/>
      <c r="B146" s="104"/>
      <c r="C146" s="104"/>
      <c r="D146" s="104"/>
      <c r="E146" s="104"/>
      <c r="F146" s="104"/>
      <c r="G146" s="104"/>
      <c r="H146" s="104"/>
      <c r="I146" s="104"/>
      <c r="J146" s="104"/>
      <c r="K146" s="104"/>
      <c r="L146" s="104"/>
      <c r="M146" s="104"/>
      <c r="N146" s="104"/>
      <c r="O146" s="104"/>
      <c r="P146" s="104"/>
      <c r="Q146" s="104"/>
      <c r="R146" s="104"/>
      <c r="S146" s="104"/>
      <c r="T146" s="104"/>
      <c r="U146" s="104"/>
      <c r="V146" s="104"/>
      <c r="W146" s="104"/>
      <c r="X146" s="104"/>
      <c r="Y146" s="104"/>
      <c r="Z146" s="104"/>
      <c r="AA146" s="104"/>
      <c r="AB146" s="104"/>
      <c r="AC146" s="104"/>
      <c r="AD146" s="104"/>
      <c r="AE146" s="104"/>
      <c r="AF146" s="104"/>
      <c r="AG146" s="104"/>
      <c r="AH146" s="104"/>
      <c r="AI146" s="104"/>
      <c r="AJ146" s="104"/>
      <c r="AK146" s="104"/>
      <c r="AL146" s="104"/>
      <c r="AM146" s="104"/>
      <c r="AN146" s="104"/>
      <c r="AO146" s="104"/>
      <c r="AP146" s="104"/>
      <c r="AQ146" s="104"/>
      <c r="AR146" s="104"/>
      <c r="AS146" s="104"/>
      <c r="AT146" s="104"/>
      <c r="AU146" s="104"/>
      <c r="AV146" s="104"/>
      <c r="AW146" s="104"/>
      <c r="AX146" s="104"/>
      <c r="AY146" s="104"/>
      <c r="AZ146" s="104"/>
      <c r="BA146" s="104"/>
      <c r="BB146" s="104"/>
      <c r="BC146" s="104"/>
      <c r="BD146" s="104"/>
      <c r="BE146" s="104"/>
      <c r="BF146" s="104"/>
      <c r="BG146" s="104"/>
      <c r="BH146" s="104"/>
      <c r="BI146" s="104"/>
      <c r="BJ146" s="104"/>
      <c r="BK146" s="104"/>
      <c r="BL146" s="104"/>
      <c r="BM146" s="104"/>
      <c r="BN146" s="104"/>
      <c r="BO146" s="104"/>
      <c r="BP146" s="104"/>
      <c r="BQ146" s="104"/>
    </row>
    <row r="147" spans="1:69" ht="36" x14ac:dyDescent="0.25">
      <c r="A147" s="104"/>
      <c r="B147" s="104"/>
      <c r="C147" s="104"/>
      <c r="D147" s="104"/>
      <c r="E147" s="104"/>
      <c r="F147" s="104"/>
      <c r="G147" s="104"/>
      <c r="H147" s="104"/>
      <c r="I147" s="104"/>
      <c r="J147" s="104"/>
      <c r="K147" s="104"/>
      <c r="L147" s="104"/>
      <c r="M147" s="104"/>
      <c r="N147" s="104"/>
      <c r="O147" s="104"/>
      <c r="P147" s="104"/>
      <c r="Q147" s="104"/>
      <c r="R147" s="104"/>
      <c r="S147" s="104"/>
      <c r="T147" s="104"/>
      <c r="U147" s="104"/>
      <c r="V147" s="104"/>
      <c r="W147" s="104"/>
      <c r="X147" s="104"/>
      <c r="Y147" s="104"/>
      <c r="Z147" s="104"/>
      <c r="AA147" s="104"/>
      <c r="AB147" s="104"/>
      <c r="AC147" s="104"/>
      <c r="AD147" s="104"/>
      <c r="AE147" s="104"/>
      <c r="AF147" s="104"/>
      <c r="AG147" s="104"/>
      <c r="AH147" s="104"/>
      <c r="AI147" s="104"/>
      <c r="AJ147" s="104"/>
      <c r="AK147" s="104"/>
      <c r="AL147" s="104"/>
      <c r="AM147" s="104"/>
      <c r="AN147" s="104"/>
      <c r="AO147" s="104"/>
      <c r="AP147" s="104"/>
      <c r="AQ147" s="104"/>
      <c r="AR147" s="104"/>
      <c r="AS147" s="104"/>
      <c r="AT147" s="104"/>
      <c r="AU147" s="104"/>
      <c r="AV147" s="104"/>
      <c r="AW147" s="104"/>
      <c r="AX147" s="104"/>
      <c r="AY147" s="104"/>
      <c r="AZ147" s="104"/>
      <c r="BA147" s="104"/>
      <c r="BB147" s="104"/>
      <c r="BC147" s="104"/>
      <c r="BD147" s="104"/>
      <c r="BE147" s="104"/>
      <c r="BF147" s="104"/>
      <c r="BG147" s="104"/>
      <c r="BH147" s="104"/>
      <c r="BI147" s="104"/>
      <c r="BJ147" s="104"/>
      <c r="BK147" s="104"/>
      <c r="BL147" s="104"/>
      <c r="BM147" s="104"/>
      <c r="BN147" s="104"/>
      <c r="BO147" s="104"/>
      <c r="BP147" s="104"/>
      <c r="BQ147" s="104"/>
    </row>
    <row r="148" spans="1:69" ht="36" x14ac:dyDescent="0.25">
      <c r="A148" s="104"/>
      <c r="B148" s="104"/>
      <c r="C148" s="104"/>
      <c r="D148" s="104"/>
      <c r="E148" s="104"/>
      <c r="F148" s="104"/>
      <c r="G148" s="104"/>
      <c r="H148" s="104"/>
      <c r="I148" s="104"/>
      <c r="J148" s="104"/>
      <c r="K148" s="104"/>
      <c r="L148" s="104"/>
      <c r="M148" s="104"/>
      <c r="N148" s="104"/>
      <c r="O148" s="104"/>
      <c r="P148" s="104"/>
      <c r="Q148" s="104"/>
      <c r="R148" s="104"/>
      <c r="S148" s="104"/>
      <c r="T148" s="104"/>
      <c r="U148" s="104"/>
      <c r="V148" s="104"/>
      <c r="W148" s="104"/>
      <c r="X148" s="104"/>
      <c r="Y148" s="104"/>
      <c r="Z148" s="104"/>
      <c r="AA148" s="104"/>
      <c r="AB148" s="104"/>
      <c r="AC148" s="104"/>
      <c r="AD148" s="104"/>
      <c r="AE148" s="104"/>
      <c r="AF148" s="104"/>
      <c r="AG148" s="104"/>
      <c r="AH148" s="104"/>
      <c r="AI148" s="104"/>
      <c r="AJ148" s="104"/>
      <c r="AK148" s="104"/>
      <c r="AL148" s="104"/>
      <c r="AM148" s="104"/>
      <c r="AN148" s="104"/>
      <c r="AO148" s="104"/>
      <c r="AP148" s="104"/>
      <c r="AQ148" s="104"/>
      <c r="AR148" s="104"/>
      <c r="AS148" s="104"/>
      <c r="AT148" s="104"/>
      <c r="AU148" s="104"/>
      <c r="AV148" s="104"/>
      <c r="AW148" s="104"/>
      <c r="AX148" s="104"/>
      <c r="AY148" s="104"/>
      <c r="AZ148" s="104"/>
      <c r="BA148" s="104"/>
      <c r="BB148" s="104"/>
      <c r="BC148" s="104"/>
      <c r="BD148" s="104"/>
      <c r="BE148" s="104"/>
      <c r="BF148" s="104"/>
      <c r="BG148" s="104"/>
      <c r="BH148" s="104"/>
      <c r="BI148" s="104"/>
      <c r="BJ148" s="104"/>
      <c r="BK148" s="104"/>
      <c r="BL148" s="104"/>
      <c r="BM148" s="104"/>
      <c r="BN148" s="104"/>
      <c r="BO148" s="104"/>
      <c r="BP148" s="104"/>
      <c r="BQ148" s="104"/>
    </row>
    <row r="149" spans="1:69" ht="36" x14ac:dyDescent="0.25">
      <c r="A149" s="104"/>
      <c r="B149" s="104"/>
      <c r="C149" s="104"/>
      <c r="D149" s="104"/>
      <c r="E149" s="104"/>
      <c r="F149" s="104"/>
      <c r="G149" s="104"/>
      <c r="H149" s="104"/>
      <c r="I149" s="104"/>
      <c r="J149" s="104"/>
      <c r="K149" s="104"/>
      <c r="L149" s="104"/>
      <c r="M149" s="104"/>
      <c r="N149" s="104"/>
      <c r="O149" s="104"/>
      <c r="P149" s="104"/>
      <c r="Q149" s="104"/>
      <c r="R149" s="104"/>
      <c r="S149" s="104"/>
      <c r="T149" s="104"/>
      <c r="U149" s="104"/>
      <c r="V149" s="104"/>
      <c r="W149" s="104"/>
      <c r="X149" s="104"/>
      <c r="Y149" s="104"/>
      <c r="Z149" s="104"/>
      <c r="AA149" s="104"/>
      <c r="AB149" s="104"/>
      <c r="AC149" s="104"/>
      <c r="AD149" s="104"/>
      <c r="AE149" s="104"/>
      <c r="AF149" s="104"/>
      <c r="AG149" s="104"/>
      <c r="AH149" s="104"/>
      <c r="AI149" s="104"/>
      <c r="AJ149" s="104"/>
      <c r="AK149" s="104"/>
      <c r="AL149" s="104"/>
      <c r="AM149" s="104"/>
      <c r="AN149" s="104"/>
      <c r="AO149" s="104"/>
      <c r="AP149" s="104"/>
      <c r="AQ149" s="104"/>
      <c r="AR149" s="104"/>
      <c r="AS149" s="104"/>
      <c r="AT149" s="104"/>
      <c r="AU149" s="104"/>
      <c r="AV149" s="104"/>
      <c r="AW149" s="104"/>
      <c r="AX149" s="104"/>
      <c r="AY149" s="104"/>
      <c r="AZ149" s="104"/>
      <c r="BA149" s="104"/>
      <c r="BB149" s="104"/>
      <c r="BC149" s="104"/>
      <c r="BD149" s="104"/>
      <c r="BE149" s="104"/>
      <c r="BF149" s="104"/>
      <c r="BG149" s="104"/>
      <c r="BH149" s="104"/>
      <c r="BI149" s="104"/>
      <c r="BJ149" s="104"/>
      <c r="BK149" s="104"/>
      <c r="BL149" s="104"/>
      <c r="BM149" s="104"/>
      <c r="BN149" s="104"/>
      <c r="BO149" s="104"/>
      <c r="BP149" s="104"/>
      <c r="BQ149" s="104"/>
    </row>
    <row r="150" spans="1:69" ht="36" x14ac:dyDescent="0.25">
      <c r="A150" s="104"/>
      <c r="B150" s="104"/>
      <c r="C150" s="104"/>
      <c r="D150" s="104"/>
      <c r="E150" s="104"/>
      <c r="F150" s="104"/>
      <c r="G150" s="104"/>
      <c r="H150" s="104"/>
      <c r="I150" s="104"/>
      <c r="J150" s="104"/>
      <c r="K150" s="104"/>
      <c r="L150" s="104"/>
      <c r="M150" s="104"/>
      <c r="N150" s="104"/>
      <c r="O150" s="104"/>
      <c r="P150" s="104"/>
      <c r="Q150" s="104"/>
      <c r="R150" s="104"/>
      <c r="S150" s="104"/>
      <c r="T150" s="104"/>
      <c r="U150" s="104"/>
      <c r="V150" s="104"/>
      <c r="W150" s="104"/>
      <c r="X150" s="104"/>
      <c r="Y150" s="104"/>
      <c r="Z150" s="104"/>
      <c r="AA150" s="104"/>
      <c r="AB150" s="104"/>
      <c r="AC150" s="104"/>
      <c r="AD150" s="104"/>
      <c r="AE150" s="104"/>
      <c r="AF150" s="104"/>
      <c r="AG150" s="104"/>
      <c r="AH150" s="104"/>
      <c r="AI150" s="104"/>
      <c r="AJ150" s="104"/>
      <c r="AK150" s="104"/>
      <c r="AL150" s="104"/>
      <c r="AM150" s="104"/>
      <c r="AN150" s="104"/>
      <c r="AO150" s="104"/>
      <c r="AP150" s="104"/>
      <c r="AQ150" s="104"/>
      <c r="AR150" s="104"/>
      <c r="AS150" s="104"/>
      <c r="AT150" s="104"/>
      <c r="AU150" s="104"/>
      <c r="AV150" s="104"/>
      <c r="AW150" s="104"/>
      <c r="AX150" s="104"/>
      <c r="AY150" s="104"/>
      <c r="AZ150" s="104"/>
      <c r="BA150" s="104"/>
      <c r="BB150" s="104"/>
      <c r="BC150" s="104"/>
      <c r="BD150" s="104"/>
      <c r="BE150" s="104"/>
      <c r="BF150" s="104"/>
      <c r="BG150" s="104"/>
      <c r="BH150" s="104"/>
      <c r="BI150" s="104"/>
      <c r="BJ150" s="104"/>
      <c r="BK150" s="104"/>
      <c r="BL150" s="104"/>
      <c r="BM150" s="104"/>
      <c r="BN150" s="104"/>
      <c r="BO150" s="104"/>
      <c r="BP150" s="104"/>
      <c r="BQ150" s="104"/>
    </row>
    <row r="151" spans="1:69" ht="36" x14ac:dyDescent="0.25">
      <c r="A151" s="104"/>
      <c r="B151" s="104"/>
      <c r="C151" s="104"/>
      <c r="D151" s="104"/>
      <c r="E151" s="104"/>
      <c r="F151" s="104"/>
      <c r="G151" s="104"/>
      <c r="H151" s="104"/>
      <c r="I151" s="104"/>
      <c r="J151" s="104"/>
      <c r="K151" s="104"/>
      <c r="L151" s="104"/>
      <c r="M151" s="104"/>
      <c r="N151" s="104"/>
      <c r="O151" s="104"/>
      <c r="P151" s="104"/>
      <c r="Q151" s="104"/>
      <c r="R151" s="104"/>
      <c r="S151" s="104"/>
      <c r="T151" s="104"/>
      <c r="U151" s="104"/>
      <c r="V151" s="104"/>
      <c r="W151" s="104"/>
      <c r="X151" s="104"/>
      <c r="Y151" s="104"/>
      <c r="Z151" s="104"/>
      <c r="AA151" s="104"/>
      <c r="AB151" s="104"/>
      <c r="AC151" s="104"/>
      <c r="AD151" s="104"/>
      <c r="AE151" s="104"/>
      <c r="AF151" s="104"/>
      <c r="AG151" s="104"/>
      <c r="AH151" s="104"/>
      <c r="AI151" s="104"/>
      <c r="AJ151" s="104"/>
      <c r="AK151" s="104"/>
      <c r="AL151" s="104"/>
      <c r="AM151" s="104"/>
      <c r="AN151" s="104"/>
      <c r="AO151" s="104"/>
      <c r="AP151" s="104"/>
      <c r="AQ151" s="104"/>
      <c r="AR151" s="104"/>
      <c r="AS151" s="104"/>
      <c r="AT151" s="104"/>
      <c r="AU151" s="104"/>
      <c r="AV151" s="104"/>
      <c r="AW151" s="104"/>
      <c r="AX151" s="104"/>
      <c r="AY151" s="104"/>
      <c r="AZ151" s="104"/>
      <c r="BA151" s="104"/>
      <c r="BB151" s="104"/>
      <c r="BC151" s="104"/>
      <c r="BD151" s="104"/>
      <c r="BE151" s="104"/>
      <c r="BF151" s="104"/>
      <c r="BG151" s="104"/>
      <c r="BH151" s="104"/>
      <c r="BI151" s="104"/>
      <c r="BJ151" s="104"/>
      <c r="BK151" s="104"/>
      <c r="BL151" s="104"/>
      <c r="BM151" s="104"/>
      <c r="BN151" s="104"/>
      <c r="BO151" s="104"/>
      <c r="BP151" s="104"/>
      <c r="BQ151" s="104"/>
    </row>
    <row r="152" spans="1:69" ht="36" x14ac:dyDescent="0.25">
      <c r="A152" s="104"/>
      <c r="B152" s="104"/>
      <c r="C152" s="104"/>
      <c r="D152" s="104"/>
      <c r="E152" s="104"/>
      <c r="F152" s="104"/>
      <c r="G152" s="104"/>
      <c r="H152" s="104"/>
      <c r="I152" s="104"/>
      <c r="J152" s="104"/>
      <c r="K152" s="104"/>
      <c r="L152" s="104"/>
      <c r="M152" s="104"/>
      <c r="N152" s="104"/>
      <c r="O152" s="104"/>
      <c r="P152" s="104"/>
      <c r="Q152" s="104"/>
      <c r="R152" s="104"/>
      <c r="S152" s="104"/>
      <c r="T152" s="104"/>
      <c r="U152" s="104"/>
      <c r="V152" s="104"/>
      <c r="W152" s="104"/>
      <c r="X152" s="104"/>
      <c r="Y152" s="104"/>
      <c r="Z152" s="104"/>
      <c r="AA152" s="104"/>
      <c r="AB152" s="104"/>
      <c r="AC152" s="104"/>
      <c r="AD152" s="104"/>
      <c r="AE152" s="104"/>
      <c r="AF152" s="104"/>
      <c r="AG152" s="104"/>
      <c r="AH152" s="104"/>
      <c r="AI152" s="104"/>
      <c r="AJ152" s="104"/>
      <c r="AK152" s="104"/>
      <c r="AL152" s="104"/>
      <c r="AM152" s="104"/>
      <c r="AN152" s="104"/>
      <c r="AO152" s="104"/>
      <c r="AP152" s="104"/>
      <c r="AQ152" s="104"/>
      <c r="AR152" s="104"/>
      <c r="AS152" s="104"/>
      <c r="AT152" s="104"/>
      <c r="AU152" s="104"/>
      <c r="AV152" s="104"/>
      <c r="AW152" s="104"/>
      <c r="AX152" s="104"/>
      <c r="AY152" s="104"/>
      <c r="AZ152" s="104"/>
      <c r="BA152" s="104"/>
      <c r="BB152" s="104"/>
      <c r="BC152" s="104"/>
      <c r="BD152" s="104"/>
      <c r="BE152" s="104"/>
      <c r="BF152" s="104"/>
      <c r="BG152" s="104"/>
      <c r="BH152" s="104"/>
      <c r="BI152" s="104"/>
      <c r="BJ152" s="104"/>
      <c r="BK152" s="104"/>
      <c r="BL152" s="104"/>
      <c r="BM152" s="104"/>
      <c r="BN152" s="104"/>
      <c r="BO152" s="104"/>
      <c r="BP152" s="104"/>
      <c r="BQ152" s="104"/>
    </row>
    <row r="153" spans="1:69" ht="36" x14ac:dyDescent="0.25">
      <c r="A153" s="104"/>
      <c r="B153" s="104"/>
      <c r="C153" s="104"/>
      <c r="D153" s="104"/>
      <c r="E153" s="104"/>
      <c r="F153" s="104"/>
      <c r="G153" s="104"/>
      <c r="H153" s="104"/>
      <c r="I153" s="104"/>
      <c r="J153" s="104"/>
      <c r="K153" s="104"/>
      <c r="L153" s="104"/>
      <c r="M153" s="104"/>
      <c r="N153" s="104"/>
      <c r="O153" s="104"/>
      <c r="P153" s="104"/>
      <c r="Q153" s="104"/>
      <c r="R153" s="104"/>
      <c r="S153" s="104"/>
      <c r="T153" s="104"/>
      <c r="U153" s="104"/>
      <c r="V153" s="104"/>
      <c r="W153" s="104"/>
      <c r="X153" s="104"/>
      <c r="Y153" s="104"/>
      <c r="Z153" s="104"/>
      <c r="AA153" s="104"/>
      <c r="AB153" s="104"/>
      <c r="AC153" s="104"/>
      <c r="AD153" s="104"/>
      <c r="AE153" s="104"/>
      <c r="AF153" s="104"/>
      <c r="AG153" s="104"/>
      <c r="AH153" s="104"/>
      <c r="AI153" s="104"/>
      <c r="AJ153" s="104"/>
      <c r="AK153" s="104"/>
      <c r="AL153" s="104"/>
      <c r="AM153" s="104"/>
      <c r="AN153" s="104"/>
      <c r="AO153" s="104"/>
      <c r="AP153" s="104"/>
      <c r="AQ153" s="104"/>
      <c r="AR153" s="104"/>
      <c r="AS153" s="104"/>
      <c r="AT153" s="104"/>
      <c r="AU153" s="104"/>
      <c r="AV153" s="104"/>
      <c r="AW153" s="104"/>
      <c r="AX153" s="104"/>
      <c r="AY153" s="104"/>
      <c r="AZ153" s="104"/>
      <c r="BA153" s="104"/>
      <c r="BB153" s="104"/>
      <c r="BC153" s="104"/>
      <c r="BD153" s="104"/>
      <c r="BE153" s="104"/>
      <c r="BF153" s="104"/>
      <c r="BG153" s="104"/>
      <c r="BH153" s="104"/>
      <c r="BI153" s="104"/>
      <c r="BJ153" s="104"/>
      <c r="BK153" s="104"/>
      <c r="BL153" s="104"/>
      <c r="BM153" s="104"/>
      <c r="BN153" s="104"/>
      <c r="BO153" s="104"/>
      <c r="BP153" s="104"/>
      <c r="BQ153" s="104"/>
    </row>
    <row r="154" spans="1:69" ht="36" x14ac:dyDescent="0.25">
      <c r="A154" s="104"/>
      <c r="B154" s="104"/>
      <c r="C154" s="104"/>
      <c r="D154" s="104"/>
      <c r="E154" s="104"/>
      <c r="F154" s="104"/>
      <c r="G154" s="104"/>
      <c r="H154" s="104"/>
      <c r="I154" s="104"/>
      <c r="J154" s="104"/>
      <c r="K154" s="104"/>
      <c r="L154" s="104"/>
      <c r="M154" s="104"/>
      <c r="N154" s="104"/>
      <c r="O154" s="104"/>
      <c r="P154" s="104"/>
      <c r="Q154" s="104"/>
      <c r="R154" s="104"/>
      <c r="S154" s="104"/>
      <c r="T154" s="104"/>
      <c r="U154" s="104"/>
      <c r="V154" s="104"/>
      <c r="W154" s="104"/>
      <c r="X154" s="104"/>
      <c r="Y154" s="104"/>
      <c r="Z154" s="104"/>
      <c r="AA154" s="104"/>
      <c r="AB154" s="104"/>
      <c r="AC154" s="104"/>
      <c r="AD154" s="104"/>
      <c r="AE154" s="104"/>
      <c r="AF154" s="104"/>
      <c r="AG154" s="104"/>
      <c r="AH154" s="104"/>
      <c r="AI154" s="104"/>
      <c r="AJ154" s="104"/>
      <c r="AK154" s="104"/>
      <c r="AL154" s="104"/>
      <c r="AM154" s="104"/>
      <c r="AN154" s="104"/>
      <c r="AO154" s="104"/>
      <c r="AP154" s="104"/>
      <c r="AQ154" s="104"/>
      <c r="AR154" s="104"/>
      <c r="AS154" s="104"/>
      <c r="AT154" s="104"/>
      <c r="AU154" s="104"/>
      <c r="AV154" s="104"/>
      <c r="AW154" s="104"/>
      <c r="AX154" s="104"/>
      <c r="AY154" s="104"/>
      <c r="AZ154" s="104"/>
      <c r="BA154" s="104"/>
      <c r="BB154" s="104"/>
      <c r="BC154" s="104"/>
      <c r="BD154" s="104"/>
      <c r="BE154" s="104"/>
      <c r="BF154" s="104"/>
      <c r="BG154" s="104"/>
      <c r="BH154" s="104"/>
      <c r="BI154" s="104"/>
      <c r="BJ154" s="104"/>
      <c r="BK154" s="104"/>
      <c r="BL154" s="104"/>
      <c r="BM154" s="104"/>
      <c r="BN154" s="104"/>
      <c r="BO154" s="104"/>
      <c r="BP154" s="104"/>
      <c r="BQ154" s="104"/>
    </row>
    <row r="155" spans="1:69" ht="36" x14ac:dyDescent="0.25">
      <c r="A155" s="104"/>
      <c r="B155" s="104"/>
      <c r="C155" s="104"/>
      <c r="D155" s="104"/>
      <c r="E155" s="104"/>
      <c r="F155" s="104"/>
      <c r="G155" s="104"/>
      <c r="H155" s="104"/>
      <c r="I155" s="104"/>
      <c r="J155" s="104"/>
      <c r="K155" s="104"/>
      <c r="L155" s="104"/>
      <c r="M155" s="104"/>
      <c r="N155" s="104"/>
      <c r="O155" s="104"/>
      <c r="P155" s="104"/>
      <c r="Q155" s="104"/>
      <c r="R155" s="104"/>
      <c r="S155" s="104"/>
      <c r="T155" s="104"/>
      <c r="U155" s="104"/>
      <c r="V155" s="104"/>
      <c r="W155" s="104"/>
      <c r="X155" s="104"/>
      <c r="Y155" s="104"/>
      <c r="Z155" s="104"/>
      <c r="AA155" s="104"/>
      <c r="AB155" s="104"/>
      <c r="AC155" s="104"/>
      <c r="AD155" s="104"/>
      <c r="AE155" s="104"/>
      <c r="AF155" s="104"/>
      <c r="AG155" s="104"/>
      <c r="AH155" s="104"/>
      <c r="AI155" s="104"/>
      <c r="AJ155" s="104"/>
      <c r="AK155" s="104"/>
      <c r="AL155" s="104"/>
      <c r="AM155" s="104"/>
      <c r="AN155" s="104"/>
      <c r="AO155" s="104"/>
      <c r="AP155" s="104"/>
      <c r="AQ155" s="104"/>
      <c r="AR155" s="104"/>
      <c r="AS155" s="104"/>
      <c r="AT155" s="104"/>
      <c r="AU155" s="104"/>
      <c r="AV155" s="104"/>
      <c r="AW155" s="104"/>
      <c r="AX155" s="104"/>
      <c r="AY155" s="104"/>
      <c r="AZ155" s="104"/>
      <c r="BA155" s="104"/>
      <c r="BB155" s="104"/>
      <c r="BC155" s="104"/>
      <c r="BD155" s="104"/>
      <c r="BE155" s="104"/>
      <c r="BF155" s="104"/>
      <c r="BG155" s="104"/>
      <c r="BH155" s="104"/>
      <c r="BI155" s="104"/>
      <c r="BJ155" s="104"/>
      <c r="BK155" s="104"/>
      <c r="BL155" s="104"/>
      <c r="BM155" s="104"/>
      <c r="BN155" s="104"/>
      <c r="BO155" s="104"/>
      <c r="BP155" s="104"/>
      <c r="BQ155" s="104"/>
    </row>
    <row r="156" spans="1:69" ht="36" x14ac:dyDescent="0.25">
      <c r="A156" s="104"/>
      <c r="B156" s="104"/>
      <c r="C156" s="104"/>
      <c r="D156" s="104"/>
      <c r="E156" s="104"/>
      <c r="F156" s="104"/>
      <c r="G156" s="104"/>
      <c r="H156" s="104"/>
      <c r="I156" s="104"/>
      <c r="J156" s="104"/>
      <c r="K156" s="104"/>
      <c r="L156" s="104"/>
      <c r="M156" s="104"/>
      <c r="N156" s="104"/>
      <c r="O156" s="104"/>
      <c r="P156" s="104"/>
      <c r="Q156" s="104"/>
      <c r="R156" s="104"/>
      <c r="S156" s="104"/>
      <c r="T156" s="104"/>
      <c r="U156" s="104"/>
      <c r="V156" s="104"/>
      <c r="W156" s="104"/>
      <c r="X156" s="104"/>
      <c r="Y156" s="104"/>
      <c r="Z156" s="104"/>
      <c r="AA156" s="104"/>
      <c r="AB156" s="104"/>
      <c r="AC156" s="104"/>
      <c r="AD156" s="104"/>
      <c r="AE156" s="104"/>
      <c r="AF156" s="104"/>
      <c r="AG156" s="104"/>
      <c r="AH156" s="104"/>
      <c r="AI156" s="104"/>
      <c r="AJ156" s="104"/>
      <c r="AK156" s="104"/>
      <c r="AL156" s="104"/>
      <c r="AM156" s="104"/>
      <c r="AN156" s="104"/>
      <c r="AO156" s="104"/>
      <c r="AP156" s="104"/>
      <c r="AQ156" s="104"/>
      <c r="AR156" s="104"/>
      <c r="AS156" s="104"/>
      <c r="AT156" s="104"/>
      <c r="AU156" s="104"/>
      <c r="AV156" s="104"/>
      <c r="AW156" s="104"/>
      <c r="AX156" s="104"/>
      <c r="AY156" s="104"/>
      <c r="AZ156" s="104"/>
      <c r="BA156" s="104"/>
      <c r="BB156" s="104"/>
      <c r="BC156" s="104"/>
      <c r="BD156" s="104"/>
      <c r="BE156" s="104"/>
      <c r="BF156" s="104"/>
      <c r="BG156" s="104"/>
      <c r="BH156" s="104"/>
      <c r="BI156" s="104"/>
      <c r="BJ156" s="104"/>
      <c r="BK156" s="104"/>
      <c r="BL156" s="104"/>
      <c r="BM156" s="104"/>
      <c r="BN156" s="104"/>
      <c r="BO156" s="104"/>
      <c r="BP156" s="104"/>
      <c r="BQ156" s="104"/>
    </row>
    <row r="157" spans="1:69" ht="36" x14ac:dyDescent="0.25">
      <c r="A157" s="104"/>
      <c r="B157" s="104"/>
      <c r="C157" s="104"/>
      <c r="D157" s="104"/>
      <c r="E157" s="104"/>
      <c r="F157" s="104"/>
      <c r="G157" s="104"/>
      <c r="H157" s="104"/>
      <c r="I157" s="104"/>
      <c r="J157" s="104"/>
      <c r="K157" s="104"/>
      <c r="L157" s="104"/>
      <c r="M157" s="104"/>
      <c r="N157" s="104"/>
      <c r="O157" s="104"/>
      <c r="P157" s="104"/>
      <c r="Q157" s="104"/>
      <c r="R157" s="104"/>
      <c r="S157" s="104"/>
      <c r="T157" s="104"/>
      <c r="U157" s="104"/>
      <c r="V157" s="104"/>
      <c r="W157" s="104"/>
      <c r="X157" s="104"/>
      <c r="Y157" s="104"/>
      <c r="Z157" s="104"/>
      <c r="AA157" s="104"/>
      <c r="AB157" s="104"/>
      <c r="AC157" s="104"/>
      <c r="AD157" s="104"/>
      <c r="AE157" s="104"/>
      <c r="AF157" s="104"/>
      <c r="AG157" s="104"/>
      <c r="AH157" s="104"/>
      <c r="AI157" s="104"/>
      <c r="AJ157" s="104"/>
      <c r="AK157" s="104"/>
      <c r="AL157" s="104"/>
      <c r="AM157" s="104"/>
      <c r="AN157" s="104"/>
      <c r="AO157" s="104"/>
      <c r="AP157" s="104"/>
      <c r="AQ157" s="104"/>
      <c r="AR157" s="104"/>
      <c r="AS157" s="104"/>
      <c r="AT157" s="104"/>
      <c r="AU157" s="104"/>
      <c r="AV157" s="104"/>
      <c r="AW157" s="104"/>
      <c r="AX157" s="104"/>
      <c r="AY157" s="104"/>
      <c r="AZ157" s="104"/>
      <c r="BA157" s="104"/>
      <c r="BB157" s="104"/>
      <c r="BC157" s="104"/>
      <c r="BD157" s="104"/>
      <c r="BE157" s="104"/>
      <c r="BF157" s="104"/>
      <c r="BG157" s="104"/>
      <c r="BH157" s="104"/>
      <c r="BI157" s="104"/>
      <c r="BJ157" s="104"/>
      <c r="BK157" s="104"/>
      <c r="BL157" s="104"/>
      <c r="BM157" s="104"/>
      <c r="BN157" s="104"/>
      <c r="BO157" s="104"/>
      <c r="BP157" s="104"/>
      <c r="BQ157" s="104"/>
    </row>
    <row r="158" spans="1:69" ht="36" x14ac:dyDescent="0.25">
      <c r="A158" s="104"/>
      <c r="B158" s="104"/>
      <c r="C158" s="104"/>
      <c r="D158" s="104"/>
      <c r="E158" s="104"/>
      <c r="F158" s="104"/>
      <c r="G158" s="104"/>
      <c r="H158" s="104"/>
      <c r="I158" s="104"/>
      <c r="J158" s="104"/>
      <c r="K158" s="104"/>
      <c r="L158" s="104"/>
      <c r="M158" s="104"/>
      <c r="N158" s="104"/>
      <c r="O158" s="104"/>
      <c r="P158" s="104"/>
      <c r="Q158" s="104"/>
      <c r="R158" s="104"/>
      <c r="S158" s="104"/>
      <c r="T158" s="104"/>
      <c r="U158" s="104"/>
      <c r="V158" s="104"/>
      <c r="W158" s="104"/>
      <c r="X158" s="104"/>
      <c r="Y158" s="104"/>
      <c r="Z158" s="104"/>
      <c r="AA158" s="104"/>
      <c r="AB158" s="104"/>
      <c r="AC158" s="104"/>
      <c r="AD158" s="104"/>
      <c r="AE158" s="104"/>
      <c r="AF158" s="104"/>
      <c r="AG158" s="104"/>
      <c r="AH158" s="104"/>
      <c r="AI158" s="104"/>
      <c r="AJ158" s="104"/>
      <c r="AK158" s="104"/>
      <c r="AL158" s="104"/>
      <c r="AM158" s="104"/>
      <c r="AN158" s="104"/>
      <c r="AO158" s="104"/>
      <c r="AP158" s="104"/>
      <c r="AQ158" s="104"/>
      <c r="AR158" s="104"/>
      <c r="AS158" s="104"/>
      <c r="AT158" s="104"/>
      <c r="AU158" s="104"/>
      <c r="AV158" s="104"/>
      <c r="AW158" s="104"/>
      <c r="AX158" s="104"/>
      <c r="AY158" s="104"/>
      <c r="AZ158" s="104"/>
      <c r="BA158" s="104"/>
      <c r="BB158" s="104"/>
      <c r="BC158" s="104"/>
      <c r="BD158" s="104"/>
      <c r="BE158" s="104"/>
      <c r="BF158" s="104"/>
      <c r="BG158" s="104"/>
      <c r="BH158" s="104"/>
      <c r="BI158" s="104"/>
      <c r="BJ158" s="104"/>
      <c r="BK158" s="104"/>
      <c r="BL158" s="104"/>
      <c r="BM158" s="104"/>
      <c r="BN158" s="104"/>
      <c r="BO158" s="104"/>
      <c r="BP158" s="104"/>
      <c r="BQ158" s="104"/>
    </row>
    <row r="159" spans="1:69" ht="36" x14ac:dyDescent="0.25">
      <c r="A159" s="104"/>
      <c r="B159" s="104"/>
      <c r="C159" s="104"/>
      <c r="D159" s="104"/>
      <c r="E159" s="104"/>
      <c r="F159" s="104"/>
      <c r="G159" s="104"/>
      <c r="H159" s="104"/>
      <c r="I159" s="104"/>
      <c r="J159" s="104"/>
      <c r="K159" s="104"/>
      <c r="L159" s="104"/>
      <c r="M159" s="104"/>
      <c r="N159" s="104"/>
      <c r="O159" s="104"/>
      <c r="P159" s="104"/>
      <c r="Q159" s="104"/>
      <c r="R159" s="104"/>
      <c r="S159" s="104"/>
      <c r="T159" s="104"/>
      <c r="U159" s="104"/>
      <c r="V159" s="104"/>
      <c r="W159" s="104"/>
      <c r="X159" s="104"/>
      <c r="Y159" s="104"/>
      <c r="Z159" s="104"/>
      <c r="AA159" s="104"/>
      <c r="AB159" s="104"/>
      <c r="AC159" s="104"/>
      <c r="AD159" s="104"/>
      <c r="AE159" s="104"/>
      <c r="AF159" s="104"/>
      <c r="AG159" s="104"/>
      <c r="AH159" s="104"/>
      <c r="AI159" s="104"/>
      <c r="AJ159" s="104"/>
      <c r="AK159" s="104"/>
      <c r="AL159" s="104"/>
      <c r="AM159" s="104"/>
      <c r="AN159" s="104"/>
      <c r="AO159" s="104"/>
      <c r="AP159" s="104"/>
      <c r="AQ159" s="104"/>
      <c r="AR159" s="104"/>
      <c r="AS159" s="104"/>
      <c r="AT159" s="104"/>
      <c r="AU159" s="104"/>
      <c r="AV159" s="104"/>
      <c r="AW159" s="104"/>
      <c r="AX159" s="104"/>
      <c r="AY159" s="104"/>
      <c r="AZ159" s="104"/>
      <c r="BA159" s="104"/>
      <c r="BB159" s="104"/>
      <c r="BC159" s="104"/>
      <c r="BD159" s="104"/>
      <c r="BE159" s="104"/>
      <c r="BF159" s="104"/>
      <c r="BG159" s="104"/>
      <c r="BH159" s="104"/>
      <c r="BI159" s="104"/>
      <c r="BJ159" s="104"/>
      <c r="BK159" s="104"/>
      <c r="BL159" s="104"/>
      <c r="BM159" s="104"/>
      <c r="BN159" s="104"/>
      <c r="BO159" s="104"/>
      <c r="BP159" s="104"/>
      <c r="BQ159" s="104"/>
    </row>
    <row r="160" spans="1:69" ht="36" x14ac:dyDescent="0.25">
      <c r="A160" s="104"/>
      <c r="B160" s="104"/>
      <c r="C160" s="104"/>
      <c r="D160" s="104"/>
      <c r="E160" s="104"/>
      <c r="F160" s="104"/>
      <c r="G160" s="104"/>
      <c r="H160" s="104"/>
      <c r="I160" s="104"/>
      <c r="J160" s="104"/>
      <c r="K160" s="104"/>
      <c r="L160" s="104"/>
      <c r="M160" s="104"/>
      <c r="N160" s="104"/>
      <c r="O160" s="104"/>
      <c r="P160" s="104"/>
      <c r="Q160" s="104"/>
      <c r="R160" s="104"/>
      <c r="S160" s="104"/>
      <c r="T160" s="104"/>
      <c r="U160" s="104"/>
      <c r="V160" s="104"/>
      <c r="W160" s="104"/>
      <c r="X160" s="104"/>
      <c r="Y160" s="104"/>
      <c r="Z160" s="104"/>
      <c r="AA160" s="104"/>
      <c r="AB160" s="104"/>
      <c r="AC160" s="104"/>
      <c r="AD160" s="104"/>
      <c r="AE160" s="104"/>
      <c r="AF160" s="104"/>
      <c r="AG160" s="104"/>
      <c r="AH160" s="104"/>
      <c r="AI160" s="104"/>
      <c r="AJ160" s="104"/>
      <c r="AK160" s="104"/>
      <c r="AL160" s="104"/>
      <c r="AM160" s="104"/>
      <c r="AN160" s="104"/>
      <c r="AO160" s="104"/>
      <c r="AP160" s="104"/>
      <c r="AQ160" s="104"/>
      <c r="AR160" s="104"/>
      <c r="AS160" s="104"/>
      <c r="AT160" s="104"/>
      <c r="AU160" s="104"/>
      <c r="AV160" s="104"/>
      <c r="AW160" s="104"/>
      <c r="AX160" s="104"/>
      <c r="AY160" s="104"/>
      <c r="AZ160" s="104"/>
      <c r="BA160" s="104"/>
      <c r="BB160" s="104"/>
      <c r="BC160" s="104"/>
      <c r="BD160" s="104"/>
      <c r="BE160" s="104"/>
      <c r="BF160" s="104"/>
      <c r="BG160" s="104"/>
      <c r="BH160" s="104"/>
      <c r="BI160" s="104"/>
      <c r="BJ160" s="104"/>
      <c r="BK160" s="104"/>
      <c r="BL160" s="104"/>
      <c r="BM160" s="104"/>
      <c r="BN160" s="104"/>
      <c r="BO160" s="104"/>
      <c r="BP160" s="104"/>
      <c r="BQ160" s="104"/>
    </row>
    <row r="161" spans="1:69" ht="36" x14ac:dyDescent="0.25">
      <c r="A161" s="104"/>
      <c r="B161" s="104"/>
      <c r="C161" s="104"/>
      <c r="D161" s="104"/>
      <c r="E161" s="104"/>
      <c r="F161" s="104"/>
      <c r="G161" s="104"/>
      <c r="H161" s="104"/>
      <c r="I161" s="104"/>
      <c r="J161" s="104"/>
      <c r="K161" s="104"/>
      <c r="L161" s="104"/>
      <c r="M161" s="104"/>
      <c r="N161" s="104"/>
      <c r="O161" s="104"/>
      <c r="P161" s="104"/>
      <c r="Q161" s="104"/>
      <c r="R161" s="104"/>
      <c r="S161" s="104"/>
      <c r="T161" s="104"/>
      <c r="U161" s="104"/>
      <c r="V161" s="104"/>
      <c r="W161" s="104"/>
      <c r="X161" s="104"/>
      <c r="Y161" s="104"/>
      <c r="Z161" s="104"/>
      <c r="AA161" s="104"/>
      <c r="AB161" s="104"/>
      <c r="AC161" s="104"/>
      <c r="AD161" s="104"/>
      <c r="AE161" s="104"/>
      <c r="AF161" s="104"/>
      <c r="AG161" s="104"/>
      <c r="AH161" s="104"/>
      <c r="AI161" s="104"/>
      <c r="AJ161" s="104"/>
      <c r="AK161" s="104"/>
      <c r="AL161" s="104"/>
      <c r="AM161" s="104"/>
      <c r="AN161" s="104"/>
      <c r="AO161" s="104"/>
      <c r="AP161" s="104"/>
      <c r="AQ161" s="104"/>
      <c r="AR161" s="104"/>
      <c r="AS161" s="104"/>
      <c r="AT161" s="104"/>
      <c r="AU161" s="104"/>
      <c r="AV161" s="104"/>
      <c r="AW161" s="104"/>
      <c r="AX161" s="104"/>
      <c r="AY161" s="104"/>
      <c r="AZ161" s="104"/>
      <c r="BA161" s="104"/>
      <c r="BB161" s="104"/>
      <c r="BC161" s="104"/>
      <c r="BD161" s="104"/>
      <c r="BE161" s="104"/>
      <c r="BF161" s="104"/>
      <c r="BG161" s="104"/>
      <c r="BH161" s="104"/>
      <c r="BI161" s="104"/>
      <c r="BJ161" s="104"/>
      <c r="BK161" s="104"/>
      <c r="BL161" s="104"/>
      <c r="BM161" s="104"/>
      <c r="BN161" s="104"/>
      <c r="BO161" s="104"/>
      <c r="BP161" s="104"/>
      <c r="BQ161" s="104"/>
    </row>
    <row r="162" spans="1:69" ht="36" x14ac:dyDescent="0.25">
      <c r="A162" s="104"/>
      <c r="B162" s="104"/>
      <c r="C162" s="104"/>
      <c r="D162" s="104"/>
      <c r="E162" s="104"/>
      <c r="F162" s="104"/>
      <c r="G162" s="104"/>
      <c r="H162" s="104"/>
      <c r="I162" s="104"/>
      <c r="J162" s="104"/>
      <c r="K162" s="104"/>
      <c r="L162" s="104"/>
      <c r="M162" s="104"/>
      <c r="N162" s="104"/>
      <c r="O162" s="104"/>
      <c r="P162" s="104"/>
      <c r="Q162" s="104"/>
      <c r="R162" s="104"/>
      <c r="S162" s="104"/>
      <c r="T162" s="104"/>
      <c r="U162" s="104"/>
      <c r="V162" s="104"/>
      <c r="W162" s="104"/>
      <c r="X162" s="104"/>
      <c r="Y162" s="104"/>
      <c r="Z162" s="104"/>
      <c r="AA162" s="104"/>
      <c r="AB162" s="104"/>
      <c r="AC162" s="104"/>
      <c r="AD162" s="104"/>
      <c r="AE162" s="104"/>
      <c r="AF162" s="104"/>
      <c r="AG162" s="104"/>
      <c r="AH162" s="104"/>
      <c r="AI162" s="104"/>
      <c r="AJ162" s="104"/>
      <c r="AK162" s="104"/>
      <c r="AL162" s="104"/>
      <c r="AM162" s="104"/>
      <c r="AN162" s="104"/>
      <c r="AO162" s="104"/>
      <c r="AP162" s="104"/>
      <c r="AQ162" s="104"/>
      <c r="AR162" s="104"/>
      <c r="AS162" s="104"/>
      <c r="AT162" s="104"/>
      <c r="AU162" s="104"/>
      <c r="AV162" s="104"/>
      <c r="AW162" s="104"/>
      <c r="AX162" s="104"/>
      <c r="AY162" s="104"/>
      <c r="AZ162" s="104"/>
      <c r="BA162" s="104"/>
      <c r="BB162" s="104"/>
      <c r="BC162" s="104"/>
      <c r="BD162" s="104"/>
      <c r="BE162" s="104"/>
      <c r="BF162" s="104"/>
      <c r="BG162" s="104"/>
      <c r="BH162" s="104"/>
      <c r="BI162" s="104"/>
      <c r="BJ162" s="104"/>
      <c r="BK162" s="104"/>
      <c r="BL162" s="104"/>
      <c r="BM162" s="104"/>
      <c r="BN162" s="104"/>
      <c r="BO162" s="104"/>
      <c r="BP162" s="104"/>
      <c r="BQ162" s="104"/>
    </row>
    <row r="163" spans="1:69" ht="36" x14ac:dyDescent="0.25">
      <c r="A163" s="104"/>
      <c r="B163" s="104"/>
      <c r="C163" s="104"/>
      <c r="D163" s="104"/>
      <c r="E163" s="104"/>
      <c r="F163" s="104"/>
      <c r="G163" s="104"/>
      <c r="H163" s="104"/>
      <c r="I163" s="104"/>
      <c r="J163" s="104"/>
      <c r="K163" s="104"/>
      <c r="L163" s="104"/>
      <c r="M163" s="104"/>
      <c r="N163" s="104"/>
      <c r="O163" s="104"/>
      <c r="P163" s="104"/>
      <c r="Q163" s="104"/>
      <c r="R163" s="104"/>
      <c r="S163" s="104"/>
      <c r="T163" s="104"/>
      <c r="U163" s="104"/>
      <c r="V163" s="104"/>
      <c r="W163" s="104"/>
      <c r="X163" s="104"/>
      <c r="Y163" s="104"/>
      <c r="Z163" s="104"/>
      <c r="AA163" s="104"/>
      <c r="AB163" s="104"/>
      <c r="AC163" s="104"/>
      <c r="AD163" s="104"/>
      <c r="AE163" s="104"/>
      <c r="AF163" s="104"/>
      <c r="AG163" s="104"/>
      <c r="AH163" s="104"/>
      <c r="AI163" s="104"/>
      <c r="AJ163" s="104"/>
      <c r="AK163" s="104"/>
      <c r="AL163" s="104"/>
      <c r="AM163" s="104"/>
      <c r="AN163" s="104"/>
      <c r="AO163" s="104"/>
      <c r="AP163" s="104"/>
      <c r="AQ163" s="104"/>
      <c r="AR163" s="104"/>
      <c r="AS163" s="104"/>
      <c r="AT163" s="104"/>
      <c r="AU163" s="104"/>
      <c r="AV163" s="104"/>
      <c r="AW163" s="104"/>
      <c r="AX163" s="104"/>
      <c r="AY163" s="104"/>
      <c r="AZ163" s="104"/>
      <c r="BA163" s="104"/>
      <c r="BB163" s="104"/>
      <c r="BC163" s="104"/>
      <c r="BD163" s="104"/>
      <c r="BE163" s="104"/>
      <c r="BF163" s="104"/>
      <c r="BG163" s="104"/>
      <c r="BH163" s="104"/>
      <c r="BI163" s="104"/>
      <c r="BJ163" s="104"/>
      <c r="BK163" s="104"/>
      <c r="BL163" s="104"/>
      <c r="BM163" s="104"/>
      <c r="BN163" s="104"/>
      <c r="BO163" s="104"/>
      <c r="BP163" s="104"/>
      <c r="BQ163" s="104"/>
    </row>
    <row r="164" spans="1:69" ht="36" x14ac:dyDescent="0.25">
      <c r="A164" s="104"/>
      <c r="B164" s="104"/>
      <c r="C164" s="104"/>
      <c r="D164" s="104"/>
      <c r="E164" s="104"/>
      <c r="F164" s="104"/>
      <c r="G164" s="104"/>
      <c r="H164" s="104"/>
      <c r="I164" s="104"/>
      <c r="J164" s="104"/>
      <c r="K164" s="104"/>
      <c r="L164" s="104"/>
      <c r="M164" s="104"/>
      <c r="N164" s="104"/>
      <c r="O164" s="104"/>
      <c r="P164" s="104"/>
      <c r="Q164" s="104"/>
      <c r="R164" s="104"/>
      <c r="S164" s="104"/>
      <c r="T164" s="104"/>
      <c r="U164" s="104"/>
      <c r="V164" s="104"/>
      <c r="W164" s="104"/>
      <c r="X164" s="104"/>
      <c r="Y164" s="104"/>
      <c r="Z164" s="104"/>
      <c r="AA164" s="104"/>
      <c r="AB164" s="104"/>
      <c r="AC164" s="104"/>
      <c r="AD164" s="104"/>
      <c r="AE164" s="104"/>
      <c r="AF164" s="104"/>
      <c r="AG164" s="104"/>
      <c r="AH164" s="104"/>
      <c r="AI164" s="104"/>
      <c r="AJ164" s="104"/>
      <c r="AK164" s="104"/>
      <c r="AL164" s="104"/>
      <c r="AM164" s="104"/>
      <c r="AN164" s="104"/>
      <c r="AO164" s="104"/>
      <c r="AP164" s="104"/>
      <c r="AQ164" s="104"/>
      <c r="AR164" s="104"/>
      <c r="AS164" s="104"/>
      <c r="AT164" s="104"/>
      <c r="AU164" s="104"/>
      <c r="AV164" s="104"/>
      <c r="AW164" s="104"/>
      <c r="AX164" s="104"/>
      <c r="AY164" s="104"/>
      <c r="AZ164" s="104"/>
      <c r="BA164" s="104"/>
      <c r="BB164" s="104"/>
      <c r="BC164" s="104"/>
      <c r="BD164" s="104"/>
      <c r="BE164" s="104"/>
      <c r="BF164" s="104"/>
      <c r="BG164" s="104"/>
      <c r="BH164" s="104"/>
      <c r="BI164" s="104"/>
      <c r="BJ164" s="104"/>
      <c r="BK164" s="104"/>
      <c r="BL164" s="104"/>
      <c r="BM164" s="104"/>
      <c r="BN164" s="104"/>
      <c r="BO164" s="104"/>
      <c r="BP164" s="104"/>
      <c r="BQ164" s="104"/>
    </row>
    <row r="165" spans="1:69" ht="36" x14ac:dyDescent="0.25">
      <c r="A165" s="104"/>
      <c r="B165" s="104"/>
      <c r="C165" s="104"/>
      <c r="D165" s="104"/>
      <c r="E165" s="104"/>
      <c r="F165" s="104"/>
      <c r="G165" s="104"/>
      <c r="H165" s="104"/>
      <c r="I165" s="104"/>
      <c r="J165" s="104"/>
      <c r="K165" s="104"/>
      <c r="L165" s="104"/>
      <c r="M165" s="104"/>
      <c r="N165" s="104"/>
      <c r="O165" s="104"/>
      <c r="P165" s="104"/>
      <c r="Q165" s="104"/>
      <c r="R165" s="104"/>
      <c r="S165" s="104"/>
      <c r="T165" s="104"/>
      <c r="U165" s="104"/>
      <c r="V165" s="104"/>
      <c r="W165" s="104"/>
      <c r="X165" s="104"/>
      <c r="Y165" s="104"/>
      <c r="Z165" s="104"/>
      <c r="AA165" s="104"/>
      <c r="AB165" s="104"/>
      <c r="AC165" s="104"/>
      <c r="AD165" s="104"/>
      <c r="AE165" s="104"/>
      <c r="AF165" s="104"/>
      <c r="AG165" s="104"/>
      <c r="AH165" s="104"/>
      <c r="AI165" s="104"/>
      <c r="AJ165" s="104"/>
      <c r="AK165" s="104"/>
      <c r="AL165" s="104"/>
      <c r="AM165" s="104"/>
      <c r="AN165" s="104"/>
      <c r="AO165" s="104"/>
      <c r="AP165" s="104"/>
      <c r="AQ165" s="104"/>
      <c r="AR165" s="104"/>
      <c r="AS165" s="104"/>
      <c r="AT165" s="104"/>
      <c r="AU165" s="104"/>
      <c r="AV165" s="104"/>
      <c r="AW165" s="104"/>
      <c r="AX165" s="104"/>
      <c r="AY165" s="104"/>
      <c r="AZ165" s="104"/>
      <c r="BA165" s="104"/>
      <c r="BB165" s="104"/>
      <c r="BC165" s="104"/>
      <c r="BD165" s="104"/>
      <c r="BE165" s="104"/>
      <c r="BF165" s="104"/>
      <c r="BG165" s="104"/>
      <c r="BH165" s="104"/>
      <c r="BI165" s="104"/>
      <c r="BJ165" s="104"/>
      <c r="BK165" s="104"/>
      <c r="BL165" s="104"/>
      <c r="BM165" s="104"/>
      <c r="BN165" s="104"/>
      <c r="BO165" s="104"/>
      <c r="BP165" s="104"/>
      <c r="BQ165" s="104"/>
    </row>
    <row r="166" spans="1:69" ht="36" x14ac:dyDescent="0.25">
      <c r="A166" s="104"/>
      <c r="B166" s="104"/>
      <c r="C166" s="104"/>
      <c r="D166" s="104"/>
      <c r="E166" s="104"/>
      <c r="F166" s="104"/>
      <c r="G166" s="104"/>
      <c r="H166" s="104"/>
      <c r="I166" s="104"/>
      <c r="J166" s="104"/>
      <c r="K166" s="104"/>
      <c r="L166" s="104"/>
      <c r="M166" s="104"/>
      <c r="N166" s="104"/>
      <c r="O166" s="104"/>
      <c r="P166" s="104"/>
      <c r="Q166" s="104"/>
      <c r="R166" s="104"/>
      <c r="S166" s="104"/>
      <c r="T166" s="104"/>
      <c r="U166" s="104"/>
      <c r="V166" s="104"/>
      <c r="W166" s="104"/>
      <c r="X166" s="104"/>
      <c r="Y166" s="104"/>
      <c r="Z166" s="104"/>
      <c r="AA166" s="104"/>
      <c r="AB166" s="104"/>
      <c r="AC166" s="104"/>
      <c r="AD166" s="104"/>
      <c r="AE166" s="104"/>
      <c r="AF166" s="104"/>
      <c r="AG166" s="104"/>
      <c r="AH166" s="104"/>
      <c r="AI166" s="104"/>
      <c r="AJ166" s="104"/>
      <c r="AK166" s="104"/>
      <c r="AL166" s="104"/>
      <c r="AM166" s="104"/>
      <c r="AN166" s="104"/>
      <c r="AO166" s="104"/>
      <c r="AP166" s="104"/>
      <c r="AQ166" s="104"/>
      <c r="AR166" s="104"/>
      <c r="AS166" s="104"/>
      <c r="AT166" s="104"/>
      <c r="AU166" s="104"/>
      <c r="AV166" s="104"/>
      <c r="AW166" s="104"/>
      <c r="AX166" s="104"/>
      <c r="AY166" s="104"/>
      <c r="AZ166" s="104"/>
      <c r="BA166" s="104"/>
      <c r="BB166" s="104"/>
      <c r="BC166" s="104"/>
      <c r="BD166" s="104"/>
      <c r="BE166" s="104"/>
      <c r="BF166" s="104"/>
      <c r="BG166" s="104"/>
      <c r="BH166" s="104"/>
      <c r="BI166" s="104"/>
      <c r="BJ166" s="104"/>
      <c r="BK166" s="104"/>
      <c r="BL166" s="104"/>
      <c r="BM166" s="104"/>
      <c r="BN166" s="104"/>
      <c r="BO166" s="104"/>
      <c r="BP166" s="104"/>
      <c r="BQ166" s="104"/>
    </row>
    <row r="167" spans="1:69" ht="36" x14ac:dyDescent="0.25">
      <c r="A167" s="104"/>
      <c r="B167" s="104"/>
      <c r="C167" s="104"/>
      <c r="D167" s="104"/>
      <c r="E167" s="104"/>
      <c r="F167" s="104"/>
      <c r="G167" s="104"/>
      <c r="H167" s="104"/>
      <c r="I167" s="104"/>
      <c r="J167" s="104"/>
      <c r="K167" s="104"/>
      <c r="L167" s="104"/>
      <c r="M167" s="104"/>
      <c r="N167" s="104"/>
      <c r="O167" s="104"/>
      <c r="P167" s="104"/>
      <c r="Q167" s="104"/>
      <c r="R167" s="104"/>
      <c r="S167" s="104"/>
      <c r="T167" s="104"/>
      <c r="U167" s="104"/>
      <c r="V167" s="104"/>
      <c r="W167" s="104"/>
      <c r="X167" s="104"/>
      <c r="Y167" s="104"/>
      <c r="Z167" s="104"/>
      <c r="AA167" s="104"/>
      <c r="AB167" s="104"/>
      <c r="AC167" s="104"/>
      <c r="AD167" s="104"/>
      <c r="AE167" s="104"/>
      <c r="AF167" s="104"/>
      <c r="AG167" s="104"/>
      <c r="AH167" s="104"/>
      <c r="AI167" s="104"/>
      <c r="AJ167" s="104"/>
      <c r="AK167" s="104"/>
      <c r="AL167" s="104"/>
      <c r="AM167" s="104"/>
      <c r="AN167" s="104"/>
      <c r="AO167" s="104"/>
      <c r="AP167" s="104"/>
      <c r="AQ167" s="104"/>
      <c r="AR167" s="104"/>
      <c r="AS167" s="104"/>
      <c r="AT167" s="104"/>
      <c r="AU167" s="104"/>
      <c r="AV167" s="104"/>
      <c r="AW167" s="104"/>
      <c r="AX167" s="104"/>
      <c r="AY167" s="104"/>
      <c r="AZ167" s="104"/>
      <c r="BA167" s="104"/>
      <c r="BB167" s="104"/>
      <c r="BC167" s="104"/>
      <c r="BD167" s="104"/>
      <c r="BE167" s="104"/>
      <c r="BF167" s="104"/>
      <c r="BG167" s="104"/>
      <c r="BH167" s="104"/>
      <c r="BI167" s="104"/>
      <c r="BJ167" s="104"/>
      <c r="BK167" s="104"/>
      <c r="BL167" s="104"/>
      <c r="BM167" s="104"/>
      <c r="BN167" s="104"/>
      <c r="BO167" s="104"/>
      <c r="BP167" s="104"/>
      <c r="BQ167" s="104"/>
    </row>
    <row r="168" spans="1:69" ht="36" x14ac:dyDescent="0.25">
      <c r="A168" s="104"/>
      <c r="B168" s="104"/>
      <c r="C168" s="104"/>
      <c r="D168" s="104"/>
      <c r="E168" s="104"/>
      <c r="F168" s="104"/>
      <c r="G168" s="104"/>
      <c r="H168" s="104"/>
      <c r="I168" s="104"/>
      <c r="J168" s="104"/>
      <c r="K168" s="104"/>
      <c r="L168" s="104"/>
      <c r="M168" s="104"/>
      <c r="N168" s="104"/>
      <c r="O168" s="104"/>
      <c r="P168" s="104"/>
      <c r="Q168" s="104"/>
      <c r="R168" s="104"/>
      <c r="S168" s="104"/>
      <c r="T168" s="104"/>
      <c r="U168" s="104"/>
      <c r="V168" s="104"/>
      <c r="W168" s="104"/>
      <c r="X168" s="104"/>
      <c r="Y168" s="104"/>
      <c r="Z168" s="104"/>
      <c r="AA168" s="104"/>
      <c r="AB168" s="104"/>
      <c r="AC168" s="104"/>
      <c r="AD168" s="104"/>
      <c r="AE168" s="104"/>
      <c r="AF168" s="104"/>
      <c r="AG168" s="104"/>
      <c r="AH168" s="104"/>
      <c r="AI168" s="104"/>
      <c r="AJ168" s="104"/>
      <c r="AK168" s="104"/>
      <c r="AL168" s="104"/>
      <c r="AM168" s="104"/>
      <c r="AN168" s="104"/>
      <c r="AO168" s="104"/>
      <c r="AP168" s="104"/>
      <c r="AQ168" s="104"/>
      <c r="AR168" s="104"/>
      <c r="AS168" s="104"/>
      <c r="AT168" s="104"/>
      <c r="AU168" s="104"/>
      <c r="AV168" s="104"/>
      <c r="AW168" s="104"/>
      <c r="AX168" s="104"/>
      <c r="AY168" s="104"/>
      <c r="AZ168" s="104"/>
      <c r="BA168" s="104"/>
      <c r="BB168" s="104"/>
      <c r="BC168" s="104"/>
      <c r="BD168" s="104"/>
      <c r="BE168" s="104"/>
      <c r="BF168" s="104"/>
      <c r="BG168" s="104"/>
      <c r="BH168" s="104"/>
      <c r="BI168" s="104"/>
      <c r="BJ168" s="104"/>
      <c r="BK168" s="104"/>
      <c r="BL168" s="104"/>
      <c r="BM168" s="104"/>
      <c r="BN168" s="104"/>
      <c r="BO168" s="104"/>
      <c r="BP168" s="104"/>
      <c r="BQ168" s="104"/>
    </row>
    <row r="169" spans="1:69" ht="36" x14ac:dyDescent="0.25">
      <c r="A169" s="104"/>
      <c r="B169" s="104"/>
      <c r="C169" s="104"/>
      <c r="D169" s="104"/>
      <c r="E169" s="104"/>
      <c r="F169" s="104"/>
      <c r="G169" s="104"/>
      <c r="H169" s="104"/>
      <c r="I169" s="104"/>
      <c r="J169" s="104"/>
      <c r="K169" s="104"/>
      <c r="L169" s="104"/>
      <c r="M169" s="104"/>
      <c r="N169" s="104"/>
      <c r="O169" s="104"/>
      <c r="P169" s="104"/>
      <c r="Q169" s="104"/>
      <c r="R169" s="104"/>
      <c r="S169" s="104"/>
      <c r="T169" s="104"/>
      <c r="U169" s="104"/>
      <c r="V169" s="104"/>
      <c r="W169" s="104"/>
      <c r="X169" s="104"/>
      <c r="Y169" s="104"/>
      <c r="Z169" s="104"/>
      <c r="AA169" s="104"/>
      <c r="AB169" s="104"/>
      <c r="AC169" s="104"/>
      <c r="AD169" s="104"/>
      <c r="AE169" s="104"/>
      <c r="AF169" s="104"/>
      <c r="AG169" s="104"/>
      <c r="AH169" s="104"/>
      <c r="AI169" s="104"/>
      <c r="AJ169" s="104"/>
      <c r="AK169" s="104"/>
      <c r="AL169" s="104"/>
      <c r="AM169" s="104"/>
      <c r="AN169" s="104"/>
      <c r="AO169" s="104"/>
      <c r="AP169" s="104"/>
      <c r="AQ169" s="104"/>
      <c r="AR169" s="104"/>
      <c r="AS169" s="104"/>
      <c r="AT169" s="104"/>
      <c r="AU169" s="104"/>
      <c r="AV169" s="104"/>
      <c r="AW169" s="104"/>
      <c r="AX169" s="104"/>
      <c r="AY169" s="104"/>
      <c r="AZ169" s="104"/>
      <c r="BA169" s="104"/>
      <c r="BB169" s="104"/>
      <c r="BC169" s="104"/>
      <c r="BD169" s="104"/>
      <c r="BE169" s="104"/>
      <c r="BF169" s="104"/>
      <c r="BG169" s="104"/>
      <c r="BH169" s="104"/>
      <c r="BI169" s="104"/>
      <c r="BJ169" s="104"/>
      <c r="BK169" s="104"/>
      <c r="BL169" s="104"/>
      <c r="BM169" s="104"/>
      <c r="BN169" s="104"/>
      <c r="BO169" s="104"/>
      <c r="BP169" s="104"/>
      <c r="BQ169" s="104"/>
    </row>
    <row r="170" spans="1:69" ht="36" x14ac:dyDescent="0.25">
      <c r="A170" s="104"/>
      <c r="B170" s="104"/>
      <c r="C170" s="104"/>
      <c r="D170" s="104"/>
      <c r="E170" s="104"/>
      <c r="F170" s="104"/>
      <c r="G170" s="104"/>
      <c r="H170" s="104"/>
      <c r="I170" s="104"/>
      <c r="J170" s="104"/>
      <c r="K170" s="104"/>
      <c r="L170" s="104"/>
      <c r="M170" s="104"/>
      <c r="N170" s="104"/>
      <c r="O170" s="104"/>
      <c r="P170" s="104"/>
      <c r="Q170" s="104"/>
      <c r="R170" s="104"/>
      <c r="S170" s="104"/>
      <c r="T170" s="104"/>
      <c r="U170" s="104"/>
      <c r="V170" s="104"/>
      <c r="W170" s="104"/>
      <c r="X170" s="104"/>
      <c r="Y170" s="104"/>
      <c r="Z170" s="104"/>
      <c r="AA170" s="104"/>
      <c r="AB170" s="104"/>
      <c r="AC170" s="104"/>
      <c r="AD170" s="104"/>
      <c r="AE170" s="104"/>
      <c r="AF170" s="104"/>
      <c r="AG170" s="104"/>
      <c r="AH170" s="104"/>
      <c r="AI170" s="104"/>
      <c r="AJ170" s="104"/>
      <c r="AK170" s="104"/>
      <c r="AL170" s="104"/>
      <c r="AM170" s="104"/>
      <c r="AN170" s="104"/>
      <c r="AO170" s="104"/>
      <c r="AP170" s="104"/>
      <c r="AQ170" s="104"/>
      <c r="AR170" s="104"/>
      <c r="AS170" s="104"/>
      <c r="AT170" s="104"/>
      <c r="AU170" s="104"/>
      <c r="AV170" s="104"/>
      <c r="AW170" s="104"/>
      <c r="AX170" s="104"/>
      <c r="AY170" s="104"/>
      <c r="AZ170" s="104"/>
      <c r="BA170" s="104"/>
      <c r="BB170" s="104"/>
      <c r="BC170" s="104"/>
      <c r="BD170" s="104"/>
      <c r="BE170" s="104"/>
      <c r="BF170" s="104"/>
      <c r="BG170" s="104"/>
      <c r="BH170" s="104"/>
      <c r="BI170" s="104"/>
      <c r="BJ170" s="104"/>
      <c r="BK170" s="104"/>
      <c r="BL170" s="104"/>
      <c r="BM170" s="104"/>
      <c r="BN170" s="104"/>
      <c r="BO170" s="104"/>
      <c r="BP170" s="104"/>
      <c r="BQ170" s="104"/>
    </row>
    <row r="171" spans="1:69" ht="36" x14ac:dyDescent="0.25">
      <c r="A171" s="104"/>
      <c r="B171" s="104"/>
      <c r="C171" s="104"/>
      <c r="D171" s="104"/>
      <c r="E171" s="104"/>
      <c r="F171" s="104"/>
      <c r="G171" s="104"/>
      <c r="H171" s="104"/>
      <c r="I171" s="104"/>
      <c r="J171" s="104"/>
      <c r="K171" s="104"/>
      <c r="L171" s="104"/>
      <c r="M171" s="104"/>
      <c r="N171" s="104"/>
      <c r="O171" s="104"/>
      <c r="P171" s="104"/>
      <c r="Q171" s="104"/>
      <c r="R171" s="104"/>
      <c r="S171" s="104"/>
      <c r="T171" s="104"/>
      <c r="U171" s="104"/>
      <c r="V171" s="104"/>
      <c r="W171" s="104"/>
      <c r="X171" s="104"/>
      <c r="Y171" s="104"/>
      <c r="Z171" s="104"/>
      <c r="AA171" s="104"/>
      <c r="AB171" s="104"/>
      <c r="AC171" s="104"/>
      <c r="AD171" s="104"/>
      <c r="AE171" s="104"/>
      <c r="AF171" s="104"/>
      <c r="AG171" s="104"/>
      <c r="AH171" s="104"/>
      <c r="AI171" s="104"/>
      <c r="AJ171" s="104"/>
      <c r="AK171" s="104"/>
      <c r="AL171" s="104"/>
      <c r="AM171" s="104"/>
      <c r="AN171" s="104"/>
      <c r="AO171" s="104"/>
      <c r="AP171" s="104"/>
      <c r="AQ171" s="104"/>
      <c r="AR171" s="104"/>
      <c r="AS171" s="104"/>
      <c r="AT171" s="104"/>
      <c r="AU171" s="104"/>
      <c r="AV171" s="104"/>
      <c r="AW171" s="104"/>
      <c r="AX171" s="104"/>
      <c r="AY171" s="104"/>
      <c r="AZ171" s="104"/>
      <c r="BA171" s="104"/>
      <c r="BB171" s="104"/>
      <c r="BC171" s="104"/>
      <c r="BD171" s="104"/>
      <c r="BE171" s="104"/>
      <c r="BF171" s="104"/>
      <c r="BG171" s="104"/>
      <c r="BH171" s="104"/>
      <c r="BI171" s="104"/>
      <c r="BJ171" s="104"/>
      <c r="BK171" s="104"/>
      <c r="BL171" s="104"/>
      <c r="BM171" s="104"/>
      <c r="BN171" s="104"/>
      <c r="BO171" s="104"/>
      <c r="BP171" s="104"/>
      <c r="BQ171" s="104"/>
    </row>
    <row r="172" spans="1:69" ht="36" x14ac:dyDescent="0.25">
      <c r="A172" s="104"/>
      <c r="B172" s="104"/>
      <c r="C172" s="104"/>
      <c r="D172" s="104"/>
      <c r="E172" s="104"/>
      <c r="F172" s="104"/>
      <c r="G172" s="104"/>
      <c r="H172" s="104"/>
      <c r="I172" s="104"/>
      <c r="J172" s="104"/>
      <c r="K172" s="104"/>
      <c r="L172" s="104"/>
      <c r="M172" s="104"/>
      <c r="N172" s="104"/>
      <c r="O172" s="104"/>
      <c r="P172" s="104"/>
      <c r="Q172" s="104"/>
      <c r="R172" s="104"/>
      <c r="S172" s="104"/>
      <c r="T172" s="104"/>
      <c r="U172" s="104"/>
      <c r="V172" s="104"/>
      <c r="W172" s="104"/>
      <c r="X172" s="104"/>
      <c r="Y172" s="104"/>
      <c r="Z172" s="104"/>
      <c r="AA172" s="104"/>
      <c r="AB172" s="104"/>
      <c r="AC172" s="104"/>
      <c r="AD172" s="104"/>
      <c r="AE172" s="104"/>
      <c r="AF172" s="104"/>
      <c r="AG172" s="104"/>
      <c r="AH172" s="104"/>
      <c r="AI172" s="104"/>
      <c r="AJ172" s="104"/>
      <c r="AK172" s="104"/>
      <c r="AL172" s="104"/>
      <c r="AM172" s="104"/>
      <c r="AN172" s="104"/>
      <c r="AO172" s="104"/>
      <c r="AP172" s="104"/>
      <c r="AQ172" s="104"/>
      <c r="AR172" s="104"/>
      <c r="AS172" s="104"/>
      <c r="AT172" s="104"/>
      <c r="AU172" s="104"/>
      <c r="AV172" s="104"/>
      <c r="AW172" s="104"/>
      <c r="AX172" s="104"/>
      <c r="AY172" s="104"/>
      <c r="AZ172" s="104"/>
      <c r="BA172" s="104"/>
      <c r="BB172" s="104"/>
      <c r="BC172" s="104"/>
      <c r="BD172" s="104"/>
      <c r="BE172" s="104"/>
      <c r="BF172" s="104"/>
      <c r="BG172" s="104"/>
      <c r="BH172" s="104"/>
      <c r="BI172" s="104"/>
      <c r="BJ172" s="104"/>
      <c r="BK172" s="104"/>
      <c r="BL172" s="104"/>
      <c r="BM172" s="104"/>
      <c r="BN172" s="104"/>
      <c r="BO172" s="104"/>
      <c r="BP172" s="104"/>
      <c r="BQ172" s="104"/>
    </row>
    <row r="173" spans="1:69" ht="36" x14ac:dyDescent="0.25">
      <c r="A173" s="104"/>
      <c r="B173" s="104"/>
      <c r="C173" s="104"/>
      <c r="D173" s="104"/>
      <c r="E173" s="104"/>
      <c r="F173" s="104"/>
      <c r="G173" s="104"/>
      <c r="H173" s="104"/>
      <c r="I173" s="104"/>
      <c r="J173" s="104"/>
      <c r="K173" s="104"/>
      <c r="L173" s="104"/>
      <c r="M173" s="104"/>
      <c r="N173" s="104"/>
      <c r="O173" s="104"/>
      <c r="P173" s="104"/>
      <c r="Q173" s="104"/>
      <c r="R173" s="104"/>
      <c r="S173" s="104"/>
      <c r="T173" s="104"/>
      <c r="U173" s="104"/>
      <c r="V173" s="104"/>
      <c r="W173" s="104"/>
      <c r="X173" s="104"/>
      <c r="Y173" s="104"/>
      <c r="Z173" s="104"/>
      <c r="AA173" s="104"/>
      <c r="AB173" s="104"/>
      <c r="AC173" s="104"/>
      <c r="AD173" s="104"/>
      <c r="AE173" s="104"/>
      <c r="AF173" s="104"/>
      <c r="AG173" s="104"/>
      <c r="AH173" s="104"/>
      <c r="AI173" s="104"/>
      <c r="AJ173" s="104"/>
      <c r="AK173" s="104"/>
      <c r="AL173" s="104"/>
      <c r="AM173" s="104"/>
      <c r="AN173" s="104"/>
      <c r="AO173" s="104"/>
      <c r="AP173" s="104"/>
      <c r="AQ173" s="104"/>
      <c r="AR173" s="104"/>
      <c r="AS173" s="104"/>
      <c r="AT173" s="104"/>
      <c r="AU173" s="104"/>
      <c r="AV173" s="104"/>
      <c r="AW173" s="104"/>
      <c r="AX173" s="104"/>
      <c r="AY173" s="104"/>
      <c r="AZ173" s="104"/>
      <c r="BA173" s="104"/>
      <c r="BB173" s="104"/>
      <c r="BC173" s="104"/>
      <c r="BD173" s="104"/>
      <c r="BE173" s="104"/>
      <c r="BF173" s="104"/>
      <c r="BG173" s="104"/>
      <c r="BH173" s="104"/>
      <c r="BI173" s="104"/>
      <c r="BJ173" s="104"/>
      <c r="BK173" s="104"/>
      <c r="BL173" s="104"/>
      <c r="BM173" s="104"/>
      <c r="BN173" s="104"/>
      <c r="BO173" s="104"/>
      <c r="BP173" s="104"/>
      <c r="BQ173" s="104"/>
    </row>
    <row r="174" spans="1:69" ht="36" x14ac:dyDescent="0.25">
      <c r="A174" s="104"/>
      <c r="B174" s="104"/>
      <c r="C174" s="104"/>
      <c r="D174" s="104"/>
      <c r="E174" s="104"/>
      <c r="F174" s="104"/>
      <c r="G174" s="104"/>
      <c r="H174" s="104"/>
      <c r="I174" s="104"/>
      <c r="J174" s="104"/>
      <c r="K174" s="104"/>
      <c r="L174" s="104"/>
      <c r="M174" s="104"/>
      <c r="N174" s="104"/>
      <c r="O174" s="104"/>
      <c r="P174" s="104"/>
      <c r="Q174" s="104"/>
      <c r="R174" s="104"/>
      <c r="S174" s="104"/>
      <c r="T174" s="104"/>
      <c r="U174" s="104"/>
      <c r="V174" s="104"/>
      <c r="W174" s="104"/>
      <c r="X174" s="104"/>
      <c r="Y174" s="104"/>
      <c r="Z174" s="104"/>
      <c r="AA174" s="104"/>
      <c r="AB174" s="104"/>
      <c r="AC174" s="104"/>
      <c r="AD174" s="104"/>
      <c r="AE174" s="104"/>
      <c r="AF174" s="104"/>
      <c r="AG174" s="104"/>
      <c r="AH174" s="104"/>
      <c r="AI174" s="104"/>
      <c r="AJ174" s="104"/>
      <c r="AK174" s="104"/>
      <c r="AL174" s="104"/>
      <c r="AM174" s="104"/>
      <c r="AN174" s="104"/>
      <c r="AO174" s="104"/>
      <c r="AP174" s="104"/>
      <c r="AQ174" s="104"/>
      <c r="AR174" s="104"/>
      <c r="AS174" s="104"/>
      <c r="AT174" s="104"/>
      <c r="AU174" s="104"/>
      <c r="AV174" s="104"/>
      <c r="AW174" s="104"/>
      <c r="AX174" s="104"/>
      <c r="AY174" s="104"/>
      <c r="AZ174" s="104"/>
      <c r="BA174" s="104"/>
      <c r="BB174" s="104"/>
      <c r="BC174" s="104"/>
      <c r="BD174" s="104"/>
      <c r="BE174" s="104"/>
      <c r="BF174" s="104"/>
      <c r="BG174" s="104"/>
      <c r="BH174" s="104"/>
      <c r="BI174" s="104"/>
      <c r="BJ174" s="104"/>
      <c r="BK174" s="104"/>
      <c r="BL174" s="104"/>
      <c r="BM174" s="104"/>
      <c r="BN174" s="104"/>
      <c r="BO174" s="104"/>
      <c r="BP174" s="104"/>
      <c r="BQ174" s="104"/>
    </row>
    <row r="175" spans="1:69" ht="36" x14ac:dyDescent="0.25">
      <c r="A175" s="104"/>
      <c r="B175" s="104"/>
      <c r="C175" s="104"/>
      <c r="D175" s="104"/>
      <c r="E175" s="104"/>
      <c r="F175" s="104"/>
      <c r="G175" s="104"/>
      <c r="H175" s="104"/>
      <c r="I175" s="104"/>
      <c r="J175" s="104"/>
      <c r="K175" s="104"/>
      <c r="L175" s="104"/>
      <c r="M175" s="104"/>
      <c r="N175" s="104"/>
      <c r="O175" s="104"/>
      <c r="P175" s="104"/>
      <c r="Q175" s="104"/>
      <c r="R175" s="104"/>
      <c r="S175" s="104"/>
      <c r="T175" s="104"/>
      <c r="U175" s="104"/>
      <c r="V175" s="104"/>
      <c r="W175" s="104"/>
      <c r="X175" s="104"/>
      <c r="Y175" s="104"/>
      <c r="Z175" s="104"/>
      <c r="AA175" s="104"/>
      <c r="AB175" s="104"/>
      <c r="AC175" s="104"/>
      <c r="AD175" s="104"/>
      <c r="AE175" s="104"/>
      <c r="AF175" s="104"/>
      <c r="AG175" s="104"/>
      <c r="AH175" s="104"/>
      <c r="AI175" s="104"/>
      <c r="AJ175" s="104"/>
      <c r="AK175" s="104"/>
      <c r="AL175" s="104"/>
      <c r="AM175" s="104"/>
      <c r="AN175" s="104"/>
      <c r="AO175" s="104"/>
      <c r="AP175" s="104"/>
      <c r="AQ175" s="104"/>
      <c r="AR175" s="104"/>
      <c r="AS175" s="104"/>
      <c r="AT175" s="104"/>
      <c r="AU175" s="104"/>
      <c r="AV175" s="104"/>
      <c r="AW175" s="104"/>
      <c r="AX175" s="104"/>
      <c r="AY175" s="104"/>
      <c r="AZ175" s="104"/>
      <c r="BA175" s="104"/>
      <c r="BB175" s="104"/>
      <c r="BC175" s="104"/>
      <c r="BD175" s="104"/>
      <c r="BE175" s="104"/>
      <c r="BF175" s="104"/>
      <c r="BG175" s="104"/>
      <c r="BH175" s="104"/>
      <c r="BI175" s="104"/>
      <c r="BJ175" s="104"/>
      <c r="BK175" s="104"/>
      <c r="BL175" s="104"/>
      <c r="BM175" s="104"/>
      <c r="BN175" s="104"/>
      <c r="BO175" s="104"/>
      <c r="BP175" s="104"/>
      <c r="BQ175" s="104"/>
    </row>
    <row r="176" spans="1:69" ht="36" x14ac:dyDescent="0.25">
      <c r="A176" s="104"/>
      <c r="B176" s="104"/>
      <c r="C176" s="104"/>
      <c r="D176" s="104"/>
      <c r="E176" s="104"/>
      <c r="F176" s="104"/>
      <c r="G176" s="104"/>
      <c r="H176" s="104"/>
      <c r="I176" s="104"/>
      <c r="J176" s="104"/>
      <c r="K176" s="104"/>
      <c r="L176" s="104"/>
      <c r="M176" s="104"/>
      <c r="N176" s="104"/>
      <c r="O176" s="104"/>
      <c r="P176" s="104"/>
      <c r="Q176" s="104"/>
      <c r="R176" s="104"/>
      <c r="S176" s="104"/>
      <c r="T176" s="104"/>
      <c r="U176" s="104"/>
      <c r="V176" s="104"/>
      <c r="W176" s="104"/>
      <c r="X176" s="104"/>
      <c r="Y176" s="104"/>
      <c r="Z176" s="104"/>
      <c r="AA176" s="104"/>
      <c r="AB176" s="104"/>
      <c r="AC176" s="104"/>
      <c r="AD176" s="104"/>
      <c r="AE176" s="104"/>
      <c r="AF176" s="104"/>
      <c r="AG176" s="104"/>
      <c r="AH176" s="104"/>
      <c r="AI176" s="104"/>
      <c r="AJ176" s="104"/>
      <c r="AK176" s="104"/>
      <c r="AL176" s="104"/>
      <c r="AM176" s="104"/>
      <c r="AN176" s="104"/>
      <c r="AO176" s="104"/>
      <c r="AP176" s="104"/>
      <c r="AQ176" s="104"/>
      <c r="AR176" s="104"/>
      <c r="AS176" s="104"/>
      <c r="AT176" s="104"/>
      <c r="AU176" s="104"/>
      <c r="AV176" s="104"/>
      <c r="AW176" s="104"/>
      <c r="AX176" s="104"/>
      <c r="AY176" s="104"/>
      <c r="AZ176" s="104"/>
      <c r="BA176" s="104"/>
      <c r="BB176" s="104"/>
      <c r="BC176" s="104"/>
      <c r="BD176" s="104"/>
      <c r="BE176" s="104"/>
      <c r="BF176" s="104"/>
      <c r="BG176" s="104"/>
      <c r="BH176" s="104"/>
      <c r="BI176" s="104"/>
      <c r="BJ176" s="104"/>
      <c r="BK176" s="104"/>
      <c r="BL176" s="104"/>
      <c r="BM176" s="104"/>
      <c r="BN176" s="104"/>
      <c r="BO176" s="104"/>
      <c r="BP176" s="104"/>
      <c r="BQ176" s="104"/>
    </row>
    <row r="177" spans="1:69" ht="36" x14ac:dyDescent="0.25">
      <c r="A177" s="104"/>
      <c r="B177" s="104"/>
      <c r="C177" s="104"/>
      <c r="D177" s="104"/>
      <c r="E177" s="104"/>
      <c r="F177" s="104"/>
      <c r="G177" s="104"/>
      <c r="H177" s="104"/>
      <c r="I177" s="104"/>
      <c r="J177" s="104"/>
      <c r="K177" s="104"/>
      <c r="L177" s="104"/>
      <c r="M177" s="104"/>
      <c r="N177" s="104"/>
      <c r="O177" s="104"/>
      <c r="P177" s="104"/>
      <c r="Q177" s="104"/>
      <c r="R177" s="104"/>
      <c r="S177" s="104"/>
      <c r="T177" s="104"/>
      <c r="U177" s="104"/>
      <c r="V177" s="104"/>
      <c r="W177" s="104"/>
      <c r="X177" s="104"/>
      <c r="Y177" s="104"/>
      <c r="Z177" s="104"/>
      <c r="AA177" s="104"/>
      <c r="AB177" s="104"/>
      <c r="AC177" s="104"/>
      <c r="AD177" s="104"/>
      <c r="AE177" s="104"/>
      <c r="AF177" s="104"/>
      <c r="AG177" s="104"/>
      <c r="AH177" s="104"/>
      <c r="AI177" s="104"/>
      <c r="AJ177" s="104"/>
      <c r="AK177" s="104"/>
      <c r="AL177" s="104"/>
      <c r="AM177" s="104"/>
      <c r="AN177" s="104"/>
      <c r="AO177" s="104"/>
      <c r="AP177" s="104"/>
      <c r="AQ177" s="104"/>
      <c r="AR177" s="104"/>
      <c r="AS177" s="104"/>
      <c r="AT177" s="104"/>
      <c r="AU177" s="104"/>
      <c r="AV177" s="104"/>
      <c r="AW177" s="104"/>
      <c r="AX177" s="104"/>
      <c r="AY177" s="104"/>
      <c r="AZ177" s="104"/>
      <c r="BA177" s="104"/>
      <c r="BB177" s="104"/>
      <c r="BC177" s="104"/>
      <c r="BD177" s="104"/>
      <c r="BE177" s="104"/>
      <c r="BF177" s="104"/>
      <c r="BG177" s="104"/>
      <c r="BH177" s="104"/>
      <c r="BI177" s="104"/>
      <c r="BJ177" s="104"/>
      <c r="BK177" s="104"/>
      <c r="BL177" s="104"/>
      <c r="BM177" s="104"/>
      <c r="BN177" s="104"/>
      <c r="BO177" s="104"/>
      <c r="BP177" s="104"/>
      <c r="BQ177" s="104"/>
    </row>
    <row r="178" spans="1:69" ht="36" x14ac:dyDescent="0.25">
      <c r="A178" s="104"/>
      <c r="B178" s="104"/>
      <c r="C178" s="104"/>
      <c r="D178" s="104"/>
      <c r="E178" s="104"/>
      <c r="F178" s="104"/>
      <c r="G178" s="104"/>
      <c r="H178" s="104"/>
      <c r="I178" s="104"/>
      <c r="J178" s="104"/>
      <c r="K178" s="104"/>
      <c r="L178" s="104"/>
      <c r="M178" s="104"/>
      <c r="N178" s="104"/>
      <c r="O178" s="104"/>
      <c r="P178" s="104"/>
      <c r="Q178" s="104"/>
      <c r="R178" s="104"/>
      <c r="S178" s="104"/>
      <c r="T178" s="104"/>
      <c r="U178" s="104"/>
      <c r="V178" s="104"/>
      <c r="W178" s="104"/>
      <c r="X178" s="104"/>
      <c r="Y178" s="104"/>
      <c r="Z178" s="104"/>
      <c r="AA178" s="104"/>
      <c r="AB178" s="104"/>
      <c r="AC178" s="104"/>
      <c r="AD178" s="104"/>
      <c r="AE178" s="104"/>
      <c r="AF178" s="104"/>
      <c r="AG178" s="104"/>
      <c r="AH178" s="104"/>
      <c r="AI178" s="104"/>
      <c r="AJ178" s="104"/>
      <c r="AK178" s="104"/>
      <c r="AL178" s="104"/>
      <c r="AM178" s="104"/>
      <c r="AN178" s="104"/>
      <c r="AO178" s="104"/>
      <c r="AP178" s="104"/>
      <c r="AQ178" s="104"/>
      <c r="AR178" s="104"/>
      <c r="AS178" s="104"/>
      <c r="AT178" s="104"/>
      <c r="AU178" s="104"/>
      <c r="AV178" s="104"/>
      <c r="AW178" s="104"/>
      <c r="AX178" s="104"/>
      <c r="AY178" s="104"/>
      <c r="AZ178" s="104"/>
      <c r="BA178" s="104"/>
      <c r="BB178" s="104"/>
      <c r="BC178" s="104"/>
      <c r="BD178" s="104"/>
      <c r="BE178" s="104"/>
      <c r="BF178" s="104"/>
      <c r="BG178" s="104"/>
      <c r="BH178" s="104"/>
      <c r="BI178" s="104"/>
      <c r="BJ178" s="104"/>
      <c r="BK178" s="104"/>
      <c r="BL178" s="104"/>
      <c r="BM178" s="104"/>
      <c r="BN178" s="104"/>
      <c r="BO178" s="104"/>
      <c r="BP178" s="104"/>
      <c r="BQ178" s="104"/>
    </row>
    <row r="179" spans="1:69" ht="36" x14ac:dyDescent="0.25">
      <c r="A179" s="104"/>
      <c r="B179" s="104"/>
      <c r="C179" s="104"/>
      <c r="D179" s="104"/>
      <c r="E179" s="104"/>
      <c r="F179" s="104"/>
      <c r="G179" s="104"/>
      <c r="H179" s="104"/>
      <c r="I179" s="104"/>
      <c r="J179" s="104"/>
      <c r="K179" s="104"/>
      <c r="L179" s="104"/>
      <c r="M179" s="104"/>
      <c r="N179" s="104"/>
      <c r="O179" s="104"/>
      <c r="P179" s="104"/>
      <c r="Q179" s="104"/>
      <c r="R179" s="104"/>
      <c r="S179" s="104"/>
      <c r="T179" s="104"/>
      <c r="U179" s="104"/>
      <c r="V179" s="104"/>
      <c r="W179" s="104"/>
      <c r="X179" s="104"/>
      <c r="Y179" s="104"/>
      <c r="Z179" s="104"/>
      <c r="AA179" s="104"/>
      <c r="AB179" s="104"/>
      <c r="AC179" s="104"/>
      <c r="AD179" s="104"/>
      <c r="AE179" s="104"/>
      <c r="AF179" s="104"/>
      <c r="AG179" s="104"/>
      <c r="AH179" s="104"/>
      <c r="AI179" s="104"/>
      <c r="AJ179" s="104"/>
      <c r="AK179" s="104"/>
      <c r="AL179" s="104"/>
      <c r="AM179" s="104"/>
      <c r="AN179" s="104"/>
      <c r="AO179" s="104"/>
      <c r="AP179" s="104"/>
      <c r="AQ179" s="104"/>
      <c r="AR179" s="104"/>
      <c r="AS179" s="104"/>
      <c r="AT179" s="104"/>
      <c r="AU179" s="104"/>
      <c r="AV179" s="104"/>
      <c r="AW179" s="104"/>
      <c r="AX179" s="104"/>
      <c r="AY179" s="104"/>
      <c r="AZ179" s="104"/>
      <c r="BA179" s="104"/>
      <c r="BB179" s="104"/>
      <c r="BC179" s="104"/>
      <c r="BD179" s="104"/>
      <c r="BE179" s="104"/>
      <c r="BF179" s="104"/>
      <c r="BG179" s="104"/>
      <c r="BH179" s="104"/>
      <c r="BI179" s="104"/>
      <c r="BJ179" s="104"/>
      <c r="BK179" s="104"/>
      <c r="BL179" s="104"/>
      <c r="BM179" s="104"/>
      <c r="BN179" s="104"/>
      <c r="BO179" s="104"/>
      <c r="BP179" s="104"/>
      <c r="BQ179" s="104"/>
    </row>
    <row r="180" spans="1:69" ht="36" x14ac:dyDescent="0.25">
      <c r="A180" s="104"/>
      <c r="B180" s="104"/>
      <c r="C180" s="104"/>
      <c r="D180" s="104"/>
      <c r="E180" s="104"/>
      <c r="F180" s="104"/>
      <c r="G180" s="104"/>
      <c r="H180" s="104"/>
      <c r="I180" s="104"/>
      <c r="J180" s="104"/>
      <c r="K180" s="104"/>
      <c r="L180" s="104"/>
      <c r="M180" s="104"/>
      <c r="N180" s="104"/>
      <c r="O180" s="104"/>
      <c r="P180" s="104"/>
      <c r="Q180" s="104"/>
      <c r="R180" s="104"/>
      <c r="S180" s="104"/>
      <c r="T180" s="104"/>
      <c r="U180" s="104"/>
      <c r="V180" s="104"/>
      <c r="W180" s="104"/>
      <c r="X180" s="104"/>
      <c r="Y180" s="104"/>
      <c r="Z180" s="104"/>
      <c r="AA180" s="104"/>
      <c r="AB180" s="104"/>
      <c r="AC180" s="104"/>
      <c r="AD180" s="104"/>
      <c r="AE180" s="104"/>
      <c r="AF180" s="104"/>
      <c r="AG180" s="104"/>
      <c r="AH180" s="104"/>
      <c r="AI180" s="104"/>
      <c r="AJ180" s="104"/>
      <c r="AK180" s="104"/>
      <c r="AL180" s="104"/>
      <c r="AM180" s="104"/>
      <c r="AN180" s="104"/>
      <c r="AO180" s="104"/>
      <c r="AP180" s="104"/>
      <c r="AQ180" s="104"/>
      <c r="AR180" s="104"/>
      <c r="AS180" s="104"/>
      <c r="AT180" s="104"/>
      <c r="AU180" s="104"/>
      <c r="AV180" s="104"/>
      <c r="AW180" s="104"/>
      <c r="AX180" s="104"/>
      <c r="AY180" s="104"/>
      <c r="AZ180" s="104"/>
      <c r="BA180" s="104"/>
      <c r="BB180" s="104"/>
      <c r="BC180" s="104"/>
      <c r="BD180" s="104"/>
      <c r="BE180" s="104"/>
      <c r="BF180" s="104"/>
      <c r="BG180" s="104"/>
      <c r="BH180" s="104"/>
      <c r="BI180" s="104"/>
      <c r="BJ180" s="104"/>
      <c r="BK180" s="104"/>
      <c r="BL180" s="104"/>
      <c r="BM180" s="104"/>
      <c r="BN180" s="104"/>
      <c r="BO180" s="104"/>
      <c r="BP180" s="104"/>
      <c r="BQ180" s="104"/>
    </row>
    <row r="181" spans="1:69" ht="36" x14ac:dyDescent="0.25">
      <c r="A181" s="104"/>
      <c r="B181" s="104"/>
      <c r="C181" s="104"/>
      <c r="D181" s="104"/>
      <c r="E181" s="104"/>
      <c r="F181" s="104"/>
      <c r="G181" s="104"/>
      <c r="H181" s="104"/>
      <c r="I181" s="104"/>
      <c r="J181" s="104"/>
      <c r="K181" s="104"/>
      <c r="L181" s="104"/>
      <c r="M181" s="104"/>
      <c r="N181" s="104"/>
      <c r="O181" s="104"/>
      <c r="P181" s="104"/>
      <c r="Q181" s="104"/>
      <c r="R181" s="104"/>
      <c r="S181" s="104"/>
      <c r="T181" s="104"/>
      <c r="U181" s="104"/>
      <c r="V181" s="104"/>
      <c r="W181" s="104"/>
      <c r="X181" s="104"/>
      <c r="Y181" s="104"/>
      <c r="Z181" s="104"/>
      <c r="AA181" s="104"/>
      <c r="AB181" s="104"/>
      <c r="AC181" s="104"/>
      <c r="AD181" s="104"/>
      <c r="AE181" s="104"/>
      <c r="AF181" s="104"/>
      <c r="AG181" s="104"/>
      <c r="AH181" s="104"/>
      <c r="AI181" s="104"/>
      <c r="AJ181" s="104"/>
      <c r="AK181" s="104"/>
      <c r="AL181" s="104"/>
      <c r="AM181" s="104"/>
      <c r="AN181" s="104"/>
      <c r="AO181" s="104"/>
      <c r="AP181" s="104"/>
      <c r="AQ181" s="104"/>
      <c r="AR181" s="104"/>
      <c r="AS181" s="104"/>
      <c r="AT181" s="104"/>
      <c r="AU181" s="104"/>
      <c r="AV181" s="104"/>
      <c r="AW181" s="104"/>
      <c r="AX181" s="104"/>
      <c r="AY181" s="104"/>
      <c r="AZ181" s="104"/>
      <c r="BA181" s="104"/>
      <c r="BB181" s="104"/>
      <c r="BC181" s="104"/>
      <c r="BD181" s="104"/>
      <c r="BE181" s="104"/>
      <c r="BF181" s="104"/>
      <c r="BG181" s="104"/>
      <c r="BH181" s="104"/>
      <c r="BI181" s="104"/>
      <c r="BJ181" s="104"/>
      <c r="BK181" s="104"/>
      <c r="BL181" s="104"/>
      <c r="BM181" s="104"/>
      <c r="BN181" s="104"/>
      <c r="BO181" s="104"/>
      <c r="BP181" s="104"/>
      <c r="BQ181" s="104"/>
    </row>
    <row r="182" spans="1:69" ht="36" x14ac:dyDescent="0.25">
      <c r="A182" s="104"/>
      <c r="B182" s="104"/>
      <c r="C182" s="104"/>
      <c r="D182" s="104"/>
      <c r="E182" s="104"/>
      <c r="F182" s="104"/>
      <c r="G182" s="104"/>
      <c r="H182" s="104"/>
      <c r="I182" s="104"/>
      <c r="J182" s="104"/>
      <c r="K182" s="104"/>
      <c r="L182" s="104"/>
      <c r="M182" s="104"/>
      <c r="N182" s="104"/>
      <c r="O182" s="104"/>
      <c r="P182" s="104"/>
      <c r="Q182" s="104"/>
      <c r="R182" s="104"/>
      <c r="S182" s="104"/>
      <c r="T182" s="104"/>
      <c r="U182" s="104"/>
      <c r="V182" s="104"/>
      <c r="W182" s="104"/>
      <c r="X182" s="104"/>
      <c r="Y182" s="104"/>
      <c r="Z182" s="104"/>
      <c r="AA182" s="104"/>
      <c r="AB182" s="104"/>
      <c r="AC182" s="104"/>
      <c r="AD182" s="104"/>
      <c r="AE182" s="104"/>
      <c r="AF182" s="104"/>
      <c r="AG182" s="104"/>
      <c r="AH182" s="104"/>
      <c r="AI182" s="104"/>
      <c r="AJ182" s="104"/>
      <c r="AK182" s="104"/>
      <c r="AL182" s="104"/>
      <c r="AM182" s="104"/>
      <c r="AN182" s="104"/>
      <c r="AO182" s="104"/>
      <c r="AP182" s="104"/>
      <c r="AQ182" s="104"/>
      <c r="AR182" s="104"/>
      <c r="AS182" s="104"/>
      <c r="AT182" s="104"/>
      <c r="AU182" s="104"/>
      <c r="AV182" s="104"/>
      <c r="AW182" s="104"/>
      <c r="AX182" s="104"/>
      <c r="AY182" s="104"/>
      <c r="AZ182" s="104"/>
      <c r="BA182" s="104"/>
      <c r="BB182" s="104"/>
      <c r="BC182" s="104"/>
      <c r="BD182" s="104"/>
      <c r="BE182" s="104"/>
      <c r="BF182" s="104"/>
      <c r="BG182" s="104"/>
      <c r="BH182" s="104"/>
      <c r="BI182" s="104"/>
      <c r="BJ182" s="104"/>
      <c r="BK182" s="104"/>
      <c r="BL182" s="104"/>
      <c r="BM182" s="104"/>
      <c r="BN182" s="104"/>
      <c r="BO182" s="104"/>
      <c r="BP182" s="104"/>
      <c r="BQ182" s="104"/>
    </row>
    <row r="183" spans="1:69" ht="36" x14ac:dyDescent="0.25">
      <c r="A183" s="104"/>
      <c r="B183" s="104"/>
      <c r="C183" s="104"/>
      <c r="D183" s="104"/>
      <c r="E183" s="104"/>
      <c r="F183" s="104"/>
      <c r="G183" s="104"/>
      <c r="H183" s="104"/>
      <c r="I183" s="104"/>
      <c r="J183" s="104"/>
      <c r="K183" s="104"/>
      <c r="L183" s="104"/>
      <c r="M183" s="104"/>
      <c r="N183" s="104"/>
      <c r="O183" s="104"/>
      <c r="P183" s="104"/>
      <c r="Q183" s="104"/>
      <c r="R183" s="104"/>
      <c r="S183" s="104"/>
      <c r="T183" s="104"/>
      <c r="U183" s="104"/>
      <c r="V183" s="104"/>
      <c r="W183" s="104"/>
      <c r="X183" s="104"/>
      <c r="Y183" s="104"/>
      <c r="Z183" s="104"/>
      <c r="AA183" s="104"/>
      <c r="AB183" s="104"/>
      <c r="AC183" s="104"/>
      <c r="AD183" s="104"/>
      <c r="AE183" s="104"/>
      <c r="AF183" s="104"/>
      <c r="AG183" s="104"/>
      <c r="AH183" s="104"/>
      <c r="AI183" s="104"/>
      <c r="AJ183" s="104"/>
      <c r="AK183" s="104"/>
      <c r="AL183" s="104"/>
      <c r="AM183" s="104"/>
      <c r="AN183" s="104"/>
      <c r="AO183" s="104"/>
      <c r="AP183" s="104"/>
      <c r="AQ183" s="104"/>
      <c r="AR183" s="104"/>
      <c r="AS183" s="104"/>
      <c r="AT183" s="104"/>
      <c r="AU183" s="104"/>
      <c r="AV183" s="104"/>
      <c r="AW183" s="104"/>
      <c r="AX183" s="104"/>
      <c r="AY183" s="104"/>
      <c r="AZ183" s="104"/>
      <c r="BA183" s="104"/>
      <c r="BB183" s="104"/>
      <c r="BC183" s="104"/>
      <c r="BD183" s="104"/>
      <c r="BE183" s="104"/>
      <c r="BF183" s="104"/>
      <c r="BG183" s="104"/>
      <c r="BH183" s="104"/>
      <c r="BI183" s="104"/>
      <c r="BJ183" s="104"/>
      <c r="BK183" s="104"/>
      <c r="BL183" s="104"/>
      <c r="BM183" s="104"/>
      <c r="BN183" s="104"/>
      <c r="BO183" s="104"/>
      <c r="BP183" s="104"/>
      <c r="BQ183" s="104"/>
    </row>
    <row r="184" spans="1:69" ht="36" x14ac:dyDescent="0.25">
      <c r="A184" s="104"/>
      <c r="B184" s="104"/>
      <c r="C184" s="104"/>
      <c r="D184" s="104"/>
      <c r="E184" s="104"/>
      <c r="F184" s="104"/>
      <c r="G184" s="104"/>
      <c r="H184" s="104"/>
      <c r="I184" s="104"/>
      <c r="J184" s="104"/>
      <c r="K184" s="104"/>
      <c r="L184" s="104"/>
      <c r="M184" s="104"/>
      <c r="N184" s="104"/>
      <c r="O184" s="104"/>
      <c r="P184" s="104"/>
      <c r="Q184" s="104"/>
      <c r="R184" s="104"/>
      <c r="S184" s="104"/>
      <c r="T184" s="104"/>
      <c r="U184" s="104"/>
      <c r="V184" s="104"/>
      <c r="W184" s="104"/>
      <c r="X184" s="104"/>
      <c r="Y184" s="104"/>
      <c r="Z184" s="104"/>
      <c r="AA184" s="104"/>
      <c r="AB184" s="104"/>
      <c r="AC184" s="104"/>
      <c r="AD184" s="104"/>
      <c r="AE184" s="104"/>
      <c r="AF184" s="104"/>
      <c r="AG184" s="104"/>
      <c r="AH184" s="104"/>
      <c r="AI184" s="104"/>
      <c r="AJ184" s="104"/>
      <c r="AK184" s="104"/>
      <c r="AL184" s="104"/>
      <c r="AM184" s="104"/>
      <c r="AN184" s="104"/>
      <c r="AO184" s="104"/>
      <c r="AP184" s="104"/>
      <c r="AQ184" s="104"/>
      <c r="AR184" s="104"/>
      <c r="AS184" s="104"/>
      <c r="AT184" s="104"/>
      <c r="AU184" s="104"/>
      <c r="AV184" s="104"/>
      <c r="AW184" s="104"/>
      <c r="AX184" s="104"/>
      <c r="AY184" s="104"/>
      <c r="AZ184" s="104"/>
      <c r="BA184" s="104"/>
      <c r="BB184" s="104"/>
      <c r="BC184" s="104"/>
      <c r="BD184" s="104"/>
      <c r="BE184" s="104"/>
      <c r="BF184" s="104"/>
      <c r="BG184" s="104"/>
      <c r="BH184" s="104"/>
      <c r="BI184" s="104"/>
      <c r="BJ184" s="104"/>
      <c r="BK184" s="104"/>
      <c r="BL184" s="104"/>
      <c r="BM184" s="104"/>
      <c r="BN184" s="104"/>
      <c r="BO184" s="104"/>
      <c r="BP184" s="104"/>
      <c r="BQ184" s="104"/>
    </row>
    <row r="185" spans="1:69" ht="36" x14ac:dyDescent="0.25">
      <c r="A185" s="104"/>
      <c r="B185" s="104"/>
      <c r="C185" s="104"/>
      <c r="D185" s="104"/>
      <c r="E185" s="104"/>
      <c r="F185" s="104"/>
      <c r="G185" s="104"/>
      <c r="H185" s="104"/>
      <c r="I185" s="104"/>
      <c r="J185" s="104"/>
      <c r="K185" s="104"/>
      <c r="L185" s="104"/>
      <c r="M185" s="104"/>
      <c r="N185" s="104"/>
      <c r="O185" s="104"/>
      <c r="P185" s="104"/>
      <c r="Q185" s="104"/>
      <c r="R185" s="104"/>
      <c r="S185" s="104"/>
      <c r="T185" s="104"/>
      <c r="U185" s="104"/>
      <c r="V185" s="104"/>
      <c r="W185" s="104"/>
      <c r="X185" s="104"/>
      <c r="Y185" s="104"/>
      <c r="Z185" s="104"/>
      <c r="AA185" s="104"/>
      <c r="AB185" s="104"/>
      <c r="AC185" s="104"/>
      <c r="AD185" s="104"/>
      <c r="AE185" s="104"/>
      <c r="AF185" s="104"/>
      <c r="AG185" s="104"/>
      <c r="AH185" s="104"/>
      <c r="AI185" s="104"/>
      <c r="AJ185" s="104"/>
      <c r="AK185" s="104"/>
      <c r="AL185" s="104"/>
      <c r="AM185" s="104"/>
      <c r="AN185" s="104"/>
      <c r="AO185" s="104"/>
      <c r="AP185" s="104"/>
      <c r="AQ185" s="104"/>
      <c r="AR185" s="104"/>
      <c r="AS185" s="104"/>
      <c r="AT185" s="104"/>
      <c r="AU185" s="104"/>
      <c r="AV185" s="104"/>
      <c r="AW185" s="104"/>
      <c r="AX185" s="104"/>
      <c r="AY185" s="104"/>
      <c r="AZ185" s="104"/>
      <c r="BA185" s="104"/>
      <c r="BB185" s="104"/>
      <c r="BC185" s="104"/>
      <c r="BD185" s="104"/>
      <c r="BE185" s="104"/>
      <c r="BF185" s="104"/>
      <c r="BG185" s="104"/>
      <c r="BH185" s="104"/>
      <c r="BI185" s="104"/>
      <c r="BJ185" s="104"/>
      <c r="BK185" s="104"/>
      <c r="BL185" s="104"/>
      <c r="BM185" s="104"/>
      <c r="BN185" s="104"/>
      <c r="BO185" s="104"/>
      <c r="BP185" s="104"/>
      <c r="BQ185" s="104"/>
    </row>
    <row r="186" spans="1:69" ht="36" x14ac:dyDescent="0.25">
      <c r="A186" s="104"/>
      <c r="B186" s="104"/>
      <c r="C186" s="104"/>
      <c r="D186" s="104"/>
      <c r="E186" s="104"/>
      <c r="F186" s="104"/>
      <c r="G186" s="104"/>
      <c r="H186" s="104"/>
      <c r="I186" s="104"/>
      <c r="J186" s="104"/>
      <c r="K186" s="104"/>
      <c r="L186" s="104"/>
      <c r="M186" s="104"/>
      <c r="N186" s="104"/>
      <c r="O186" s="104"/>
      <c r="P186" s="104"/>
      <c r="Q186" s="104"/>
      <c r="R186" s="104"/>
      <c r="S186" s="104"/>
      <c r="T186" s="104"/>
      <c r="U186" s="104"/>
      <c r="V186" s="104"/>
      <c r="W186" s="104"/>
      <c r="X186" s="104"/>
      <c r="Y186" s="104"/>
      <c r="Z186" s="104"/>
      <c r="AA186" s="104"/>
      <c r="AB186" s="104"/>
      <c r="AC186" s="104"/>
      <c r="AD186" s="104"/>
      <c r="AE186" s="104"/>
      <c r="AF186" s="104"/>
      <c r="AG186" s="104"/>
      <c r="AH186" s="104"/>
      <c r="AI186" s="104"/>
      <c r="AJ186" s="104"/>
      <c r="AK186" s="104"/>
      <c r="AL186" s="104"/>
      <c r="AM186" s="104"/>
      <c r="AN186" s="104"/>
      <c r="AO186" s="104"/>
      <c r="AP186" s="104"/>
      <c r="AQ186" s="104"/>
      <c r="AR186" s="104"/>
      <c r="AS186" s="104"/>
      <c r="AT186" s="104"/>
      <c r="AU186" s="104"/>
      <c r="AV186" s="104"/>
      <c r="AW186" s="104"/>
      <c r="AX186" s="104"/>
      <c r="AY186" s="104"/>
      <c r="AZ186" s="104"/>
      <c r="BA186" s="104"/>
      <c r="BB186" s="104"/>
      <c r="BC186" s="104"/>
      <c r="BD186" s="104"/>
      <c r="BE186" s="104"/>
      <c r="BF186" s="104"/>
      <c r="BG186" s="104"/>
      <c r="BH186" s="104"/>
      <c r="BI186" s="104"/>
      <c r="BJ186" s="104"/>
      <c r="BK186" s="104"/>
      <c r="BL186" s="104"/>
      <c r="BM186" s="104"/>
      <c r="BN186" s="104"/>
      <c r="BO186" s="104"/>
      <c r="BP186" s="104"/>
      <c r="BQ186" s="104"/>
    </row>
    <row r="187" spans="1:69" ht="36" x14ac:dyDescent="0.25">
      <c r="A187" s="104"/>
      <c r="B187" s="104"/>
      <c r="C187" s="104"/>
      <c r="D187" s="104"/>
      <c r="E187" s="104"/>
      <c r="F187" s="104"/>
      <c r="G187" s="104"/>
      <c r="H187" s="104"/>
      <c r="I187" s="104"/>
      <c r="J187" s="104"/>
      <c r="K187" s="104"/>
      <c r="L187" s="104"/>
      <c r="M187" s="104"/>
      <c r="N187" s="104"/>
      <c r="O187" s="104"/>
      <c r="P187" s="104"/>
      <c r="Q187" s="104"/>
      <c r="R187" s="104"/>
      <c r="S187" s="104"/>
      <c r="T187" s="104"/>
      <c r="U187" s="104"/>
      <c r="V187" s="104"/>
      <c r="W187" s="104"/>
      <c r="X187" s="104"/>
      <c r="Y187" s="104"/>
      <c r="Z187" s="104"/>
      <c r="AA187" s="104"/>
      <c r="AB187" s="104"/>
      <c r="AC187" s="104"/>
      <c r="AD187" s="104"/>
      <c r="AE187" s="104"/>
      <c r="AF187" s="104"/>
      <c r="AG187" s="104"/>
      <c r="AH187" s="104"/>
      <c r="AI187" s="104"/>
      <c r="AJ187" s="104"/>
      <c r="AK187" s="104"/>
      <c r="AL187" s="104"/>
      <c r="AM187" s="104"/>
      <c r="AN187" s="104"/>
      <c r="AO187" s="104"/>
      <c r="AP187" s="104"/>
      <c r="AQ187" s="104"/>
      <c r="AR187" s="104"/>
      <c r="AS187" s="104"/>
      <c r="AT187" s="104"/>
      <c r="AU187" s="104"/>
      <c r="AV187" s="104"/>
      <c r="AW187" s="104"/>
      <c r="AX187" s="104"/>
      <c r="AY187" s="104"/>
      <c r="AZ187" s="104"/>
      <c r="BA187" s="104"/>
      <c r="BB187" s="104"/>
      <c r="BC187" s="104"/>
      <c r="BD187" s="104"/>
      <c r="BE187" s="104"/>
      <c r="BF187" s="104"/>
      <c r="BG187" s="104"/>
      <c r="BH187" s="104"/>
      <c r="BI187" s="104"/>
      <c r="BJ187" s="104"/>
      <c r="BK187" s="104"/>
      <c r="BL187" s="104"/>
      <c r="BM187" s="104"/>
      <c r="BN187" s="104"/>
      <c r="BO187" s="104"/>
      <c r="BP187" s="104"/>
      <c r="BQ187" s="104"/>
    </row>
    <row r="188" spans="1:69" ht="36" x14ac:dyDescent="0.25">
      <c r="A188" s="104"/>
      <c r="B188" s="104"/>
      <c r="C188" s="104"/>
      <c r="D188" s="104"/>
      <c r="E188" s="104"/>
      <c r="F188" s="104"/>
      <c r="G188" s="104"/>
      <c r="H188" s="104"/>
      <c r="I188" s="104"/>
      <c r="J188" s="104"/>
      <c r="K188" s="104"/>
      <c r="L188" s="104"/>
      <c r="M188" s="104"/>
      <c r="N188" s="104"/>
      <c r="O188" s="104"/>
      <c r="P188" s="104"/>
      <c r="Q188" s="104"/>
      <c r="R188" s="104"/>
      <c r="S188" s="104"/>
      <c r="T188" s="104"/>
      <c r="U188" s="104"/>
      <c r="V188" s="104"/>
      <c r="W188" s="104"/>
      <c r="X188" s="104"/>
      <c r="Y188" s="104"/>
      <c r="Z188" s="104"/>
      <c r="AA188" s="104"/>
      <c r="AB188" s="104"/>
      <c r="AC188" s="104"/>
      <c r="AD188" s="104"/>
      <c r="AE188" s="104"/>
      <c r="AF188" s="104"/>
      <c r="AG188" s="104"/>
      <c r="AH188" s="104"/>
      <c r="AI188" s="104"/>
      <c r="AJ188" s="104"/>
      <c r="AK188" s="104"/>
      <c r="AL188" s="104"/>
      <c r="AM188" s="104"/>
      <c r="AN188" s="104"/>
      <c r="AO188" s="104"/>
      <c r="AP188" s="104"/>
      <c r="AQ188" s="104"/>
      <c r="AR188" s="104"/>
      <c r="AS188" s="104"/>
      <c r="AT188" s="104"/>
      <c r="AU188" s="104"/>
      <c r="AV188" s="104"/>
      <c r="AW188" s="104"/>
      <c r="AX188" s="104"/>
      <c r="AY188" s="104"/>
      <c r="AZ188" s="104"/>
      <c r="BA188" s="104"/>
      <c r="BB188" s="104"/>
      <c r="BC188" s="104"/>
      <c r="BD188" s="104"/>
      <c r="BE188" s="104"/>
      <c r="BF188" s="104"/>
      <c r="BG188" s="104"/>
      <c r="BH188" s="104"/>
      <c r="BI188" s="104"/>
      <c r="BJ188" s="104"/>
      <c r="BK188" s="104"/>
      <c r="BL188" s="104"/>
      <c r="BM188" s="104"/>
      <c r="BN188" s="104"/>
      <c r="BO188" s="104"/>
      <c r="BP188" s="104"/>
      <c r="BQ188" s="104"/>
    </row>
    <row r="189" spans="1:69" ht="36" x14ac:dyDescent="0.25">
      <c r="A189" s="104"/>
      <c r="B189" s="104"/>
      <c r="C189" s="104"/>
      <c r="D189" s="104"/>
      <c r="E189" s="104"/>
      <c r="F189" s="104"/>
      <c r="G189" s="104"/>
      <c r="H189" s="104"/>
      <c r="I189" s="104"/>
      <c r="J189" s="104"/>
      <c r="K189" s="104"/>
      <c r="L189" s="104"/>
      <c r="M189" s="104"/>
      <c r="N189" s="104"/>
      <c r="O189" s="104"/>
      <c r="P189" s="104"/>
      <c r="Q189" s="104"/>
      <c r="R189" s="104"/>
      <c r="S189" s="104"/>
      <c r="T189" s="104"/>
      <c r="U189" s="104"/>
      <c r="V189" s="104"/>
      <c r="W189" s="104"/>
      <c r="X189" s="104"/>
      <c r="Y189" s="104"/>
      <c r="Z189" s="104"/>
      <c r="AA189" s="104"/>
      <c r="AB189" s="104"/>
      <c r="AC189" s="104"/>
      <c r="AD189" s="104"/>
      <c r="AE189" s="104"/>
      <c r="AF189" s="104"/>
      <c r="AG189" s="104"/>
      <c r="AH189" s="104"/>
      <c r="AI189" s="104"/>
      <c r="AJ189" s="104"/>
      <c r="AK189" s="104"/>
      <c r="AL189" s="104"/>
      <c r="AM189" s="104"/>
      <c r="AN189" s="104"/>
      <c r="AO189" s="104"/>
      <c r="AP189" s="104"/>
      <c r="AQ189" s="104"/>
      <c r="AR189" s="104"/>
      <c r="AS189" s="104"/>
      <c r="AT189" s="104"/>
      <c r="AU189" s="104"/>
      <c r="AV189" s="104"/>
      <c r="AW189" s="104"/>
      <c r="AX189" s="104"/>
      <c r="AY189" s="104"/>
      <c r="AZ189" s="104"/>
      <c r="BA189" s="104"/>
      <c r="BB189" s="104"/>
      <c r="BC189" s="104"/>
      <c r="BD189" s="104"/>
      <c r="BE189" s="104"/>
      <c r="BF189" s="104"/>
      <c r="BG189" s="104"/>
      <c r="BH189" s="104"/>
      <c r="BI189" s="104"/>
      <c r="BJ189" s="104"/>
      <c r="BK189" s="104"/>
      <c r="BL189" s="104"/>
      <c r="BM189" s="104"/>
      <c r="BN189" s="104"/>
      <c r="BO189" s="104"/>
      <c r="BP189" s="104"/>
      <c r="BQ189" s="104"/>
    </row>
    <row r="190" spans="1:69" ht="36" x14ac:dyDescent="0.25">
      <c r="A190" s="104"/>
      <c r="B190" s="104"/>
      <c r="C190" s="104"/>
      <c r="D190" s="104"/>
      <c r="E190" s="104"/>
      <c r="F190" s="104"/>
      <c r="G190" s="104"/>
      <c r="H190" s="104"/>
      <c r="I190" s="104"/>
      <c r="J190" s="104"/>
      <c r="K190" s="104"/>
      <c r="L190" s="104"/>
      <c r="M190" s="104"/>
      <c r="N190" s="104"/>
      <c r="O190" s="104"/>
      <c r="P190" s="104"/>
      <c r="Q190" s="104"/>
      <c r="R190" s="104"/>
      <c r="S190" s="104"/>
      <c r="T190" s="104"/>
      <c r="U190" s="104"/>
      <c r="V190" s="104"/>
      <c r="W190" s="104"/>
      <c r="X190" s="104"/>
      <c r="Y190" s="104"/>
      <c r="Z190" s="104"/>
      <c r="AA190" s="104"/>
      <c r="AB190" s="104"/>
      <c r="AC190" s="104"/>
      <c r="AD190" s="104"/>
      <c r="AE190" s="104"/>
      <c r="AF190" s="104"/>
      <c r="AG190" s="104"/>
      <c r="AH190" s="104"/>
      <c r="AI190" s="104"/>
      <c r="AJ190" s="104"/>
      <c r="AK190" s="104"/>
      <c r="AL190" s="104"/>
      <c r="AM190" s="104"/>
      <c r="AN190" s="104"/>
      <c r="AO190" s="104"/>
      <c r="AP190" s="104"/>
      <c r="AQ190" s="104"/>
      <c r="AR190" s="104"/>
      <c r="AS190" s="104"/>
      <c r="AT190" s="104"/>
      <c r="AU190" s="104"/>
      <c r="AV190" s="104"/>
      <c r="AW190" s="104"/>
      <c r="AX190" s="104"/>
      <c r="AY190" s="104"/>
      <c r="AZ190" s="104"/>
      <c r="BA190" s="104"/>
      <c r="BB190" s="104"/>
      <c r="BC190" s="104"/>
      <c r="BD190" s="104"/>
      <c r="BE190" s="104"/>
      <c r="BF190" s="104"/>
      <c r="BG190" s="104"/>
      <c r="BH190" s="104"/>
      <c r="BI190" s="104"/>
      <c r="BJ190" s="104"/>
      <c r="BK190" s="104"/>
      <c r="BL190" s="104"/>
      <c r="BM190" s="104"/>
      <c r="BN190" s="104"/>
      <c r="BO190" s="104"/>
    </row>
    <row r="191" spans="1:69" ht="36" x14ac:dyDescent="0.25">
      <c r="A191" s="104"/>
      <c r="B191" s="104"/>
      <c r="C191" s="104"/>
      <c r="D191" s="104"/>
      <c r="E191" s="104"/>
      <c r="F191" s="104"/>
      <c r="G191" s="104"/>
      <c r="H191" s="104"/>
      <c r="I191" s="104"/>
      <c r="J191" s="104"/>
      <c r="K191" s="104"/>
      <c r="L191" s="104"/>
      <c r="M191" s="104"/>
      <c r="N191" s="104"/>
      <c r="O191" s="104"/>
      <c r="P191" s="104"/>
      <c r="Q191" s="104"/>
      <c r="R191" s="104"/>
      <c r="S191" s="104"/>
      <c r="T191" s="104"/>
      <c r="U191" s="104"/>
      <c r="V191" s="104"/>
      <c r="W191" s="104"/>
      <c r="X191" s="104"/>
      <c r="Y191" s="104"/>
      <c r="Z191" s="104"/>
      <c r="AA191" s="104"/>
      <c r="AB191" s="104"/>
      <c r="AC191" s="104"/>
      <c r="AD191" s="104"/>
      <c r="AE191" s="104"/>
      <c r="AF191" s="104"/>
      <c r="AG191" s="104"/>
      <c r="AH191" s="104"/>
      <c r="AI191" s="104"/>
      <c r="AJ191" s="104"/>
      <c r="AK191" s="104"/>
      <c r="AL191" s="104"/>
      <c r="AM191" s="104"/>
      <c r="AN191" s="104"/>
      <c r="AO191" s="104"/>
      <c r="AP191" s="104"/>
      <c r="AQ191" s="104"/>
      <c r="AR191" s="104"/>
      <c r="AS191" s="104"/>
      <c r="AT191" s="104"/>
      <c r="AU191" s="104"/>
      <c r="AV191" s="104"/>
      <c r="AW191" s="104"/>
      <c r="AX191" s="104"/>
      <c r="AY191" s="104"/>
      <c r="AZ191" s="104"/>
      <c r="BA191" s="104"/>
      <c r="BB191" s="104"/>
      <c r="BC191" s="104"/>
      <c r="BD191" s="104"/>
      <c r="BE191" s="104"/>
      <c r="BF191" s="104"/>
      <c r="BG191" s="104"/>
      <c r="BH191" s="104"/>
      <c r="BI191" s="104"/>
      <c r="BJ191" s="104"/>
      <c r="BK191" s="104"/>
      <c r="BL191" s="104"/>
      <c r="BM191" s="104"/>
      <c r="BN191" s="104"/>
      <c r="BO191" s="104"/>
    </row>
    <row r="192" spans="1:69" ht="36" x14ac:dyDescent="0.25">
      <c r="A192" s="104"/>
      <c r="B192" s="104"/>
      <c r="C192" s="104"/>
      <c r="D192" s="104"/>
      <c r="E192" s="104"/>
      <c r="F192" s="104"/>
      <c r="G192" s="104"/>
      <c r="H192" s="104"/>
      <c r="I192" s="104"/>
      <c r="J192" s="104"/>
      <c r="K192" s="104"/>
      <c r="L192" s="104"/>
      <c r="M192" s="104"/>
      <c r="N192" s="104"/>
      <c r="O192" s="104"/>
      <c r="P192" s="104"/>
      <c r="Q192" s="104"/>
      <c r="R192" s="104"/>
      <c r="S192" s="104"/>
      <c r="T192" s="104"/>
      <c r="U192" s="104"/>
      <c r="V192" s="104"/>
      <c r="W192" s="104"/>
      <c r="X192" s="104"/>
      <c r="Y192" s="104"/>
      <c r="Z192" s="104"/>
      <c r="AA192" s="104"/>
      <c r="AB192" s="104"/>
      <c r="AC192" s="104"/>
      <c r="AD192" s="104"/>
      <c r="AE192" s="104"/>
      <c r="AF192" s="104"/>
      <c r="AG192" s="104"/>
      <c r="AH192" s="104"/>
      <c r="AI192" s="104"/>
      <c r="AJ192" s="104"/>
      <c r="AK192" s="104"/>
      <c r="AL192" s="104"/>
      <c r="AM192" s="104"/>
      <c r="AN192" s="104"/>
      <c r="AO192" s="104"/>
      <c r="AP192" s="104"/>
      <c r="AQ192" s="104"/>
      <c r="AR192" s="104"/>
      <c r="AS192" s="104"/>
      <c r="AT192" s="104"/>
      <c r="AU192" s="104"/>
      <c r="AV192" s="104"/>
      <c r="AW192" s="104"/>
      <c r="AX192" s="104"/>
      <c r="AY192" s="104"/>
      <c r="AZ192" s="104"/>
      <c r="BA192" s="104"/>
      <c r="BB192" s="104"/>
      <c r="BC192" s="104"/>
      <c r="BD192" s="104"/>
      <c r="BE192" s="104"/>
      <c r="BF192" s="104"/>
      <c r="BG192" s="104"/>
      <c r="BH192" s="104"/>
      <c r="BI192" s="104"/>
      <c r="BJ192" s="104"/>
      <c r="BK192" s="104"/>
      <c r="BL192" s="104"/>
      <c r="BM192" s="104"/>
      <c r="BN192" s="104"/>
      <c r="BO192" s="104"/>
    </row>
    <row r="193" spans="1:67" ht="36" x14ac:dyDescent="0.25">
      <c r="A193" s="104"/>
      <c r="B193" s="104"/>
      <c r="C193" s="104"/>
      <c r="D193" s="104"/>
      <c r="E193" s="104"/>
      <c r="F193" s="104"/>
      <c r="G193" s="104"/>
      <c r="H193" s="104"/>
      <c r="I193" s="104"/>
      <c r="J193" s="104"/>
      <c r="K193" s="104"/>
      <c r="L193" s="104"/>
      <c r="M193" s="104"/>
      <c r="N193" s="104"/>
      <c r="O193" s="104"/>
      <c r="P193" s="104"/>
      <c r="Q193" s="104"/>
      <c r="R193" s="104"/>
      <c r="S193" s="104"/>
      <c r="T193" s="104"/>
      <c r="U193" s="104"/>
      <c r="V193" s="104"/>
      <c r="W193" s="104"/>
      <c r="X193" s="104"/>
      <c r="Y193" s="104"/>
      <c r="Z193" s="104"/>
      <c r="AA193" s="104"/>
      <c r="AB193" s="104"/>
      <c r="AC193" s="104"/>
      <c r="AD193" s="104"/>
      <c r="AE193" s="104"/>
      <c r="AF193" s="104"/>
      <c r="AG193" s="104"/>
      <c r="AH193" s="104"/>
      <c r="AI193" s="104"/>
      <c r="AJ193" s="104"/>
      <c r="AK193" s="104"/>
      <c r="AL193" s="104"/>
      <c r="AM193" s="104"/>
      <c r="AN193" s="104"/>
      <c r="AO193" s="104"/>
      <c r="AP193" s="104"/>
      <c r="AQ193" s="104"/>
      <c r="AR193" s="104"/>
      <c r="AS193" s="104"/>
      <c r="AT193" s="104"/>
      <c r="AU193" s="104"/>
      <c r="AV193" s="104"/>
      <c r="AW193" s="104"/>
      <c r="AX193" s="104"/>
      <c r="AY193" s="104"/>
      <c r="AZ193" s="104"/>
      <c r="BA193" s="104"/>
      <c r="BB193" s="104"/>
      <c r="BC193" s="104"/>
      <c r="BD193" s="104"/>
      <c r="BE193" s="104"/>
      <c r="BF193" s="104"/>
      <c r="BG193" s="104"/>
      <c r="BH193" s="104"/>
      <c r="BI193" s="104"/>
      <c r="BJ193" s="104"/>
      <c r="BK193" s="104"/>
      <c r="BL193" s="104"/>
      <c r="BM193" s="104"/>
      <c r="BN193" s="104"/>
      <c r="BO193" s="104"/>
    </row>
    <row r="194" spans="1:67" ht="36" x14ac:dyDescent="0.25">
      <c r="A194" s="104"/>
      <c r="B194" s="104"/>
      <c r="C194" s="104"/>
      <c r="D194" s="104"/>
      <c r="E194" s="104"/>
      <c r="F194" s="104"/>
      <c r="G194" s="104"/>
      <c r="H194" s="104"/>
      <c r="I194" s="104"/>
      <c r="J194" s="104"/>
      <c r="K194" s="104"/>
      <c r="L194" s="104"/>
      <c r="M194" s="104"/>
      <c r="N194" s="104"/>
      <c r="O194" s="104"/>
      <c r="P194" s="104"/>
      <c r="Q194" s="104"/>
      <c r="R194" s="104"/>
      <c r="S194" s="104"/>
      <c r="T194" s="104"/>
      <c r="U194" s="104"/>
      <c r="V194" s="104"/>
      <c r="W194" s="104"/>
      <c r="X194" s="104"/>
      <c r="Y194" s="104"/>
      <c r="Z194" s="104"/>
      <c r="AA194" s="104"/>
      <c r="AB194" s="104"/>
      <c r="AC194" s="104"/>
      <c r="AD194" s="104"/>
      <c r="AE194" s="104"/>
      <c r="AF194" s="104"/>
      <c r="AG194" s="104"/>
      <c r="AH194" s="104"/>
      <c r="AI194" s="104"/>
      <c r="AJ194" s="104"/>
      <c r="AK194" s="104"/>
      <c r="AL194" s="104"/>
      <c r="AM194" s="104"/>
      <c r="AN194" s="104"/>
      <c r="AO194" s="104"/>
      <c r="AP194" s="104"/>
      <c r="AQ194" s="104"/>
      <c r="AR194" s="104"/>
      <c r="AS194" s="104"/>
      <c r="AT194" s="104"/>
      <c r="AU194" s="104"/>
      <c r="AV194" s="104"/>
      <c r="AW194" s="104"/>
      <c r="AX194" s="104"/>
      <c r="AY194" s="104"/>
      <c r="AZ194" s="104"/>
      <c r="BA194" s="104"/>
      <c r="BB194" s="104"/>
      <c r="BC194" s="104"/>
      <c r="BD194" s="104"/>
      <c r="BE194" s="104"/>
      <c r="BF194" s="104"/>
      <c r="BG194" s="104"/>
      <c r="BH194" s="104"/>
      <c r="BI194" s="104"/>
      <c r="BJ194" s="104"/>
      <c r="BK194" s="104"/>
      <c r="BL194" s="104"/>
      <c r="BM194" s="104"/>
      <c r="BN194" s="104"/>
      <c r="BO194" s="104"/>
    </row>
    <row r="195" spans="1:67" ht="36" x14ac:dyDescent="0.25">
      <c r="A195" s="104"/>
      <c r="B195" s="104"/>
      <c r="C195" s="104"/>
      <c r="D195" s="104"/>
      <c r="E195" s="104"/>
      <c r="F195" s="104"/>
      <c r="G195" s="104"/>
      <c r="H195" s="104"/>
      <c r="I195" s="104"/>
      <c r="J195" s="104"/>
      <c r="K195" s="104"/>
      <c r="L195" s="104"/>
      <c r="M195" s="104"/>
      <c r="N195" s="104"/>
      <c r="O195" s="104"/>
      <c r="P195" s="104"/>
      <c r="Q195" s="104"/>
      <c r="R195" s="104"/>
      <c r="S195" s="104"/>
      <c r="T195" s="104"/>
      <c r="U195" s="104"/>
      <c r="V195" s="104"/>
      <c r="W195" s="104"/>
      <c r="X195" s="104"/>
      <c r="Y195" s="104"/>
      <c r="Z195" s="104"/>
      <c r="AA195" s="104"/>
      <c r="AB195" s="104"/>
      <c r="AC195" s="104"/>
      <c r="AD195" s="104"/>
      <c r="AE195" s="104"/>
      <c r="AF195" s="104"/>
      <c r="AG195" s="104"/>
      <c r="AH195" s="104"/>
      <c r="AI195" s="104"/>
      <c r="AJ195" s="104"/>
      <c r="AK195" s="104"/>
      <c r="AL195" s="104"/>
      <c r="AM195" s="104"/>
      <c r="AN195" s="104"/>
      <c r="AO195" s="104"/>
      <c r="AP195" s="104"/>
      <c r="AQ195" s="104"/>
      <c r="AR195" s="104"/>
      <c r="AS195" s="104"/>
      <c r="AT195" s="104"/>
      <c r="AU195" s="104"/>
      <c r="AV195" s="104"/>
      <c r="AW195" s="104"/>
      <c r="AX195" s="104"/>
      <c r="AY195" s="104"/>
      <c r="AZ195" s="104"/>
      <c r="BA195" s="104"/>
      <c r="BB195" s="104"/>
      <c r="BC195" s="104"/>
      <c r="BD195" s="104"/>
      <c r="BE195" s="104"/>
      <c r="BF195" s="104"/>
      <c r="BG195" s="104"/>
      <c r="BH195" s="104"/>
      <c r="BI195" s="104"/>
      <c r="BJ195" s="104"/>
      <c r="BK195" s="104"/>
      <c r="BL195" s="104"/>
      <c r="BM195" s="104"/>
      <c r="BN195" s="104"/>
      <c r="BO195" s="104"/>
    </row>
    <row r="196" spans="1:67" ht="36" x14ac:dyDescent="0.25">
      <c r="A196" s="104"/>
      <c r="B196" s="104"/>
      <c r="C196" s="104"/>
      <c r="D196" s="104"/>
      <c r="E196" s="104"/>
      <c r="F196" s="104"/>
      <c r="G196" s="104"/>
      <c r="H196" s="104"/>
      <c r="I196" s="104"/>
      <c r="J196" s="104"/>
      <c r="K196" s="104"/>
      <c r="L196" s="104"/>
      <c r="M196" s="104"/>
      <c r="N196" s="104"/>
      <c r="O196" s="104"/>
      <c r="P196" s="104"/>
      <c r="Q196" s="104"/>
      <c r="R196" s="104"/>
      <c r="S196" s="104"/>
      <c r="T196" s="104"/>
      <c r="U196" s="104"/>
      <c r="V196" s="104"/>
      <c r="W196" s="104"/>
      <c r="X196" s="104"/>
      <c r="Y196" s="104"/>
      <c r="Z196" s="104"/>
      <c r="AA196" s="104"/>
      <c r="AB196" s="104"/>
      <c r="AC196" s="104"/>
      <c r="AD196" s="104"/>
      <c r="AE196" s="104"/>
      <c r="AF196" s="104"/>
      <c r="AG196" s="104"/>
      <c r="AH196" s="104"/>
      <c r="AI196" s="104"/>
      <c r="AJ196" s="104"/>
      <c r="AK196" s="104"/>
      <c r="AL196" s="104"/>
      <c r="AM196" s="104"/>
      <c r="AN196" s="104"/>
      <c r="AO196" s="104"/>
      <c r="AP196" s="104"/>
      <c r="AQ196" s="104"/>
      <c r="AR196" s="104"/>
      <c r="AS196" s="104"/>
      <c r="AT196" s="104"/>
      <c r="AU196" s="104"/>
      <c r="AV196" s="104"/>
      <c r="AW196" s="104"/>
      <c r="AX196" s="104"/>
      <c r="AY196" s="104"/>
      <c r="AZ196" s="104"/>
      <c r="BA196" s="104"/>
      <c r="BB196" s="104"/>
      <c r="BC196" s="104"/>
      <c r="BD196" s="104"/>
      <c r="BE196" s="104"/>
      <c r="BF196" s="104"/>
      <c r="BG196" s="104"/>
      <c r="BH196" s="104"/>
      <c r="BI196" s="104"/>
      <c r="BJ196" s="104"/>
      <c r="BK196" s="104"/>
      <c r="BL196" s="104"/>
      <c r="BM196" s="104"/>
      <c r="BN196" s="104"/>
      <c r="BO196" s="104"/>
    </row>
    <row r="197" spans="1:67" ht="36" x14ac:dyDescent="0.25">
      <c r="A197" s="104"/>
      <c r="B197" s="104"/>
      <c r="C197" s="104"/>
      <c r="D197" s="104"/>
      <c r="E197" s="104"/>
      <c r="F197" s="104"/>
      <c r="G197" s="104"/>
      <c r="H197" s="104"/>
      <c r="I197" s="104"/>
      <c r="J197" s="104"/>
      <c r="K197" s="104"/>
      <c r="L197" s="104"/>
      <c r="M197" s="104"/>
      <c r="N197" s="104"/>
      <c r="O197" s="104"/>
      <c r="P197" s="104"/>
      <c r="Q197" s="104"/>
      <c r="R197" s="104"/>
      <c r="S197" s="104"/>
      <c r="T197" s="104"/>
      <c r="U197" s="104"/>
      <c r="V197" s="104"/>
      <c r="W197" s="104"/>
      <c r="X197" s="104"/>
      <c r="Y197" s="104"/>
      <c r="Z197" s="104"/>
      <c r="AA197" s="104"/>
      <c r="AB197" s="104"/>
      <c r="AC197" s="104"/>
      <c r="AD197" s="104"/>
      <c r="AE197" s="104"/>
      <c r="AF197" s="104"/>
      <c r="AG197" s="104"/>
      <c r="AH197" s="104"/>
      <c r="AI197" s="104"/>
      <c r="AJ197" s="104"/>
      <c r="AK197" s="104"/>
      <c r="AL197" s="104"/>
      <c r="AM197" s="104"/>
      <c r="AN197" s="104"/>
      <c r="AO197" s="104"/>
      <c r="AP197" s="104"/>
      <c r="AQ197" s="104"/>
      <c r="AR197" s="104"/>
      <c r="AS197" s="104"/>
      <c r="AT197" s="104"/>
      <c r="AU197" s="104"/>
      <c r="AV197" s="104"/>
      <c r="AW197" s="104"/>
      <c r="AX197" s="104"/>
      <c r="AY197" s="104"/>
      <c r="AZ197" s="104"/>
      <c r="BA197" s="104"/>
      <c r="BB197" s="104"/>
      <c r="BC197" s="104"/>
      <c r="BD197" s="104"/>
      <c r="BE197" s="104"/>
      <c r="BF197" s="104"/>
      <c r="BG197" s="104"/>
      <c r="BH197" s="104"/>
      <c r="BI197" s="104"/>
      <c r="BJ197" s="104"/>
      <c r="BK197" s="104"/>
      <c r="BL197" s="104"/>
      <c r="BM197" s="104"/>
      <c r="BN197" s="104"/>
      <c r="BO197" s="104"/>
    </row>
    <row r="198" spans="1:67" ht="36" x14ac:dyDescent="0.25">
      <c r="A198" s="104"/>
      <c r="B198" s="104"/>
      <c r="C198" s="104"/>
      <c r="D198" s="104"/>
      <c r="E198" s="104"/>
      <c r="F198" s="104"/>
      <c r="G198" s="104"/>
      <c r="H198" s="104"/>
      <c r="I198" s="104"/>
      <c r="J198" s="104"/>
      <c r="K198" s="104"/>
      <c r="L198" s="104"/>
      <c r="M198" s="104"/>
      <c r="N198" s="104"/>
      <c r="O198" s="104"/>
      <c r="P198" s="104"/>
      <c r="Q198" s="104"/>
      <c r="R198" s="104"/>
      <c r="S198" s="104"/>
      <c r="T198" s="104"/>
      <c r="U198" s="104"/>
      <c r="V198" s="104"/>
      <c r="W198" s="104"/>
      <c r="X198" s="104"/>
      <c r="Y198" s="104"/>
      <c r="Z198" s="104"/>
      <c r="AA198" s="104"/>
      <c r="AB198" s="104"/>
      <c r="AC198" s="104"/>
      <c r="AD198" s="104"/>
      <c r="AE198" s="104"/>
      <c r="AF198" s="104"/>
      <c r="AG198" s="104"/>
      <c r="AH198" s="104"/>
      <c r="AI198" s="104"/>
      <c r="AJ198" s="104"/>
      <c r="AK198" s="104"/>
      <c r="AL198" s="104"/>
      <c r="AM198" s="104"/>
      <c r="AN198" s="104"/>
      <c r="AO198" s="104"/>
      <c r="AP198" s="104"/>
      <c r="AQ198" s="104"/>
      <c r="AR198" s="104"/>
      <c r="AS198" s="104"/>
      <c r="AT198" s="104"/>
      <c r="AU198" s="104"/>
      <c r="AV198" s="104"/>
      <c r="AW198" s="104"/>
      <c r="AX198" s="104"/>
      <c r="AY198" s="104"/>
      <c r="AZ198" s="104"/>
      <c r="BA198" s="104"/>
      <c r="BB198" s="104"/>
      <c r="BC198" s="104"/>
      <c r="BD198" s="104"/>
      <c r="BE198" s="104"/>
      <c r="BF198" s="104"/>
      <c r="BG198" s="104"/>
      <c r="BH198" s="104"/>
      <c r="BI198" s="104"/>
      <c r="BJ198" s="104"/>
      <c r="BK198" s="104"/>
      <c r="BL198" s="104"/>
      <c r="BM198" s="104"/>
      <c r="BN198" s="104"/>
      <c r="BO198" s="104"/>
    </row>
    <row r="199" spans="1:67" ht="36" x14ac:dyDescent="0.25">
      <c r="A199" s="104"/>
      <c r="B199" s="104"/>
      <c r="C199" s="104"/>
      <c r="D199" s="104"/>
      <c r="E199" s="104"/>
      <c r="F199" s="104"/>
      <c r="G199" s="104"/>
      <c r="H199" s="104"/>
      <c r="I199" s="104"/>
      <c r="J199" s="104"/>
      <c r="K199" s="104"/>
      <c r="L199" s="104"/>
      <c r="M199" s="104"/>
      <c r="N199" s="104"/>
      <c r="O199" s="104"/>
      <c r="P199" s="104"/>
      <c r="Q199" s="104"/>
      <c r="R199" s="104"/>
      <c r="S199" s="104"/>
      <c r="T199" s="104"/>
      <c r="U199" s="104"/>
      <c r="V199" s="104"/>
      <c r="W199" s="104"/>
      <c r="X199" s="104"/>
      <c r="Y199" s="104"/>
      <c r="Z199" s="104"/>
      <c r="AA199" s="104"/>
      <c r="AB199" s="104"/>
      <c r="AC199" s="104"/>
      <c r="AD199" s="104"/>
      <c r="AE199" s="104"/>
      <c r="AF199" s="104"/>
      <c r="AG199" s="104"/>
      <c r="AH199" s="104"/>
      <c r="AI199" s="104"/>
      <c r="AJ199" s="104"/>
      <c r="AK199" s="104"/>
      <c r="AL199" s="104"/>
      <c r="AM199" s="104"/>
      <c r="AN199" s="104"/>
      <c r="AO199" s="104"/>
      <c r="AP199" s="104"/>
      <c r="AQ199" s="104"/>
      <c r="AR199" s="104"/>
      <c r="AS199" s="104"/>
      <c r="AT199" s="104"/>
      <c r="AU199" s="104"/>
      <c r="AV199" s="104"/>
      <c r="AW199" s="104"/>
      <c r="AX199" s="104"/>
      <c r="AY199" s="104"/>
      <c r="AZ199" s="104"/>
      <c r="BA199" s="104"/>
      <c r="BB199" s="104"/>
      <c r="BC199" s="104"/>
      <c r="BD199" s="104"/>
      <c r="BE199" s="104"/>
      <c r="BF199" s="104"/>
      <c r="BG199" s="104"/>
      <c r="BH199" s="104"/>
      <c r="BI199" s="104"/>
      <c r="BJ199" s="104"/>
      <c r="BK199" s="104"/>
      <c r="BL199" s="104"/>
      <c r="BM199" s="104"/>
      <c r="BN199" s="104"/>
      <c r="BO199" s="104"/>
    </row>
    <row r="200" spans="1:67" ht="36" x14ac:dyDescent="0.25">
      <c r="A200" s="104"/>
      <c r="B200" s="104"/>
      <c r="C200" s="104"/>
      <c r="D200" s="104"/>
      <c r="E200" s="104"/>
      <c r="F200" s="104"/>
      <c r="G200" s="104"/>
      <c r="H200" s="104"/>
      <c r="I200" s="104"/>
      <c r="J200" s="104"/>
      <c r="K200" s="104"/>
      <c r="L200" s="104"/>
      <c r="M200" s="104"/>
      <c r="N200" s="104"/>
      <c r="O200" s="104"/>
      <c r="P200" s="104"/>
      <c r="Q200" s="104"/>
      <c r="R200" s="104"/>
      <c r="S200" s="104"/>
      <c r="T200" s="104"/>
      <c r="U200" s="104"/>
      <c r="V200" s="104"/>
      <c r="W200" s="104"/>
      <c r="X200" s="104"/>
      <c r="Y200" s="104"/>
      <c r="Z200" s="104"/>
      <c r="AA200" s="104"/>
      <c r="AB200" s="104"/>
      <c r="AC200" s="104"/>
      <c r="AD200" s="104"/>
      <c r="AE200" s="104"/>
      <c r="AF200" s="104"/>
      <c r="AG200" s="104"/>
      <c r="AH200" s="104"/>
      <c r="AI200" s="104"/>
      <c r="AJ200" s="104"/>
      <c r="AK200" s="104"/>
      <c r="AL200" s="104"/>
      <c r="AM200" s="104"/>
      <c r="AN200" s="104"/>
      <c r="AO200" s="104"/>
      <c r="AP200" s="104"/>
      <c r="AQ200" s="104"/>
      <c r="AR200" s="104"/>
      <c r="AS200" s="104"/>
      <c r="AT200" s="104"/>
      <c r="AU200" s="104"/>
      <c r="AV200" s="104"/>
      <c r="AW200" s="104"/>
      <c r="AX200" s="104"/>
      <c r="AY200" s="104"/>
      <c r="AZ200" s="104"/>
      <c r="BA200" s="104"/>
      <c r="BB200" s="104"/>
      <c r="BC200" s="104"/>
      <c r="BD200" s="104"/>
      <c r="BE200" s="104"/>
      <c r="BF200" s="104"/>
      <c r="BG200" s="104"/>
      <c r="BH200" s="104"/>
      <c r="BI200" s="104"/>
      <c r="BJ200" s="104"/>
      <c r="BK200" s="104"/>
      <c r="BL200" s="104"/>
      <c r="BM200" s="104"/>
      <c r="BN200" s="104"/>
      <c r="BO200" s="104"/>
    </row>
    <row r="201" spans="1:67" ht="36" x14ac:dyDescent="0.25">
      <c r="A201" s="104"/>
      <c r="B201" s="104"/>
      <c r="C201" s="104"/>
      <c r="D201" s="104"/>
      <c r="E201" s="104"/>
      <c r="F201" s="104"/>
      <c r="G201" s="104"/>
      <c r="H201" s="104"/>
      <c r="I201" s="104"/>
      <c r="J201" s="104"/>
      <c r="K201" s="104"/>
      <c r="L201" s="104"/>
      <c r="M201" s="104"/>
      <c r="N201" s="104"/>
      <c r="O201" s="104"/>
      <c r="P201" s="104"/>
      <c r="Q201" s="104"/>
      <c r="R201" s="104"/>
      <c r="S201" s="104"/>
      <c r="T201" s="104"/>
      <c r="U201" s="104"/>
      <c r="V201" s="104"/>
      <c r="W201" s="104"/>
      <c r="X201" s="104"/>
      <c r="Y201" s="104"/>
      <c r="Z201" s="104"/>
      <c r="AA201" s="104"/>
      <c r="AB201" s="104"/>
      <c r="AC201" s="104"/>
      <c r="AD201" s="104"/>
      <c r="AE201" s="104"/>
      <c r="AF201" s="104"/>
      <c r="AG201" s="104"/>
      <c r="AH201" s="104"/>
      <c r="AI201" s="104"/>
      <c r="AJ201" s="104"/>
      <c r="AK201" s="104"/>
      <c r="AL201" s="104"/>
      <c r="AM201" s="104"/>
      <c r="AN201" s="104"/>
      <c r="AO201" s="104"/>
      <c r="AP201" s="104"/>
      <c r="AQ201" s="104"/>
      <c r="AR201" s="104"/>
      <c r="AS201" s="104"/>
      <c r="AT201" s="104"/>
      <c r="AU201" s="104"/>
      <c r="AV201" s="104"/>
      <c r="AW201" s="104"/>
      <c r="AX201" s="104"/>
      <c r="AY201" s="104"/>
      <c r="AZ201" s="104"/>
      <c r="BA201" s="104"/>
      <c r="BB201" s="104"/>
      <c r="BC201" s="104"/>
      <c r="BD201" s="104"/>
      <c r="BE201" s="104"/>
      <c r="BF201" s="104"/>
      <c r="BG201" s="104"/>
      <c r="BH201" s="104"/>
      <c r="BI201" s="104"/>
      <c r="BJ201" s="104"/>
      <c r="BK201" s="104"/>
      <c r="BL201" s="104"/>
      <c r="BM201" s="104"/>
      <c r="BN201" s="104"/>
      <c r="BO201" s="104"/>
    </row>
    <row r="202" spans="1:67" ht="36" x14ac:dyDescent="0.25">
      <c r="A202" s="104"/>
      <c r="B202" s="104"/>
      <c r="C202" s="104"/>
      <c r="D202" s="104"/>
      <c r="E202" s="104"/>
      <c r="F202" s="104"/>
      <c r="G202" s="104"/>
      <c r="H202" s="104"/>
      <c r="I202" s="104"/>
      <c r="J202" s="104"/>
      <c r="K202" s="104"/>
      <c r="L202" s="104"/>
      <c r="M202" s="104"/>
      <c r="N202" s="104"/>
      <c r="O202" s="104"/>
      <c r="P202" s="104"/>
      <c r="Q202" s="104"/>
      <c r="R202" s="104"/>
      <c r="S202" s="104"/>
      <c r="T202" s="104"/>
      <c r="U202" s="104"/>
      <c r="V202" s="104"/>
      <c r="W202" s="104"/>
      <c r="X202" s="104"/>
      <c r="Y202" s="104"/>
      <c r="Z202" s="104"/>
      <c r="AA202" s="104"/>
      <c r="AB202" s="104"/>
      <c r="AC202" s="104"/>
      <c r="AD202" s="104"/>
      <c r="AE202" s="104"/>
      <c r="AF202" s="104"/>
      <c r="AG202" s="104"/>
      <c r="AH202" s="104"/>
      <c r="AI202" s="104"/>
      <c r="AJ202" s="104"/>
      <c r="AK202" s="104"/>
      <c r="AL202" s="104"/>
      <c r="AM202" s="104"/>
      <c r="AN202" s="104"/>
      <c r="AO202" s="104"/>
      <c r="AP202" s="104"/>
      <c r="AQ202" s="104"/>
      <c r="AR202" s="104"/>
      <c r="AS202" s="104"/>
      <c r="AT202" s="104"/>
      <c r="AU202" s="104"/>
      <c r="AV202" s="104"/>
      <c r="AW202" s="104"/>
      <c r="AX202" s="104"/>
      <c r="AY202" s="104"/>
      <c r="AZ202" s="104"/>
      <c r="BA202" s="104"/>
      <c r="BB202" s="104"/>
      <c r="BC202" s="104"/>
      <c r="BD202" s="104"/>
      <c r="BE202" s="104"/>
      <c r="BF202" s="104"/>
      <c r="BG202" s="104"/>
      <c r="BH202" s="104"/>
      <c r="BI202" s="104"/>
      <c r="BJ202" s="104"/>
      <c r="BK202" s="104"/>
      <c r="BL202" s="104"/>
      <c r="BM202" s="104"/>
      <c r="BN202" s="104"/>
      <c r="BO202" s="104"/>
    </row>
    <row r="203" spans="1:67" ht="36" x14ac:dyDescent="0.25">
      <c r="A203" s="104"/>
      <c r="B203" s="104"/>
      <c r="C203" s="104"/>
      <c r="D203" s="104"/>
      <c r="E203" s="104"/>
      <c r="F203" s="104"/>
      <c r="G203" s="104"/>
      <c r="H203" s="104"/>
      <c r="I203" s="104"/>
      <c r="J203" s="104"/>
      <c r="K203" s="104"/>
      <c r="L203" s="104"/>
      <c r="M203" s="104"/>
      <c r="N203" s="104"/>
      <c r="O203" s="104"/>
      <c r="P203" s="104"/>
      <c r="Q203" s="104"/>
      <c r="R203" s="104"/>
      <c r="S203" s="104"/>
      <c r="T203" s="104"/>
      <c r="U203" s="104"/>
      <c r="V203" s="104"/>
      <c r="W203" s="104"/>
      <c r="X203" s="104"/>
      <c r="Y203" s="104"/>
      <c r="Z203" s="104"/>
      <c r="AA203" s="104"/>
      <c r="AB203" s="104"/>
      <c r="AC203" s="104"/>
      <c r="AD203" s="104"/>
      <c r="AE203" s="104"/>
      <c r="AF203" s="104"/>
      <c r="AG203" s="104"/>
      <c r="AH203" s="104"/>
      <c r="AI203" s="104"/>
      <c r="AJ203" s="104"/>
      <c r="AK203" s="104"/>
      <c r="AL203" s="104"/>
      <c r="AM203" s="104"/>
      <c r="AN203" s="104"/>
      <c r="AO203" s="104"/>
      <c r="AP203" s="104"/>
      <c r="AQ203" s="104"/>
      <c r="AR203" s="104"/>
      <c r="AS203" s="104"/>
      <c r="AT203" s="104"/>
      <c r="AU203" s="104"/>
      <c r="AV203" s="104"/>
      <c r="AW203" s="104"/>
      <c r="AX203" s="104"/>
      <c r="AY203" s="104"/>
      <c r="AZ203" s="104"/>
      <c r="BA203" s="104"/>
      <c r="BB203" s="104"/>
      <c r="BC203" s="104"/>
      <c r="BD203" s="104"/>
      <c r="BE203" s="104"/>
      <c r="BF203" s="104"/>
      <c r="BG203" s="104"/>
      <c r="BH203" s="104"/>
      <c r="BI203" s="104"/>
      <c r="BJ203" s="104"/>
      <c r="BK203" s="104"/>
      <c r="BL203" s="104"/>
      <c r="BM203" s="104"/>
      <c r="BN203" s="104"/>
      <c r="BO203" s="104"/>
    </row>
    <row r="204" spans="1:67" ht="36" x14ac:dyDescent="0.25">
      <c r="A204" s="104"/>
      <c r="B204" s="104"/>
      <c r="C204" s="104"/>
      <c r="D204" s="104"/>
      <c r="E204" s="104"/>
      <c r="F204" s="104"/>
      <c r="G204" s="104"/>
      <c r="H204" s="104"/>
      <c r="I204" s="104"/>
      <c r="J204" s="104"/>
      <c r="K204" s="104"/>
      <c r="L204" s="104"/>
      <c r="M204" s="104"/>
      <c r="N204" s="104"/>
      <c r="O204" s="104"/>
      <c r="P204" s="104"/>
      <c r="Q204" s="104"/>
      <c r="R204" s="104"/>
      <c r="S204" s="104"/>
      <c r="T204" s="104"/>
      <c r="U204" s="104"/>
      <c r="V204" s="104"/>
      <c r="W204" s="104"/>
      <c r="X204" s="104"/>
      <c r="Y204" s="104"/>
      <c r="Z204" s="104"/>
      <c r="AA204" s="104"/>
      <c r="AB204" s="104"/>
      <c r="AC204" s="104"/>
      <c r="AD204" s="104"/>
      <c r="AE204" s="104"/>
      <c r="AF204" s="104"/>
      <c r="AG204" s="104"/>
      <c r="AH204" s="104"/>
      <c r="AI204" s="104"/>
      <c r="AJ204" s="104"/>
      <c r="AK204" s="104"/>
      <c r="AL204" s="104"/>
      <c r="AM204" s="104"/>
      <c r="AN204" s="104"/>
      <c r="AO204" s="104"/>
      <c r="AP204" s="104"/>
      <c r="AQ204" s="104"/>
      <c r="AR204" s="104"/>
      <c r="AS204" s="104"/>
      <c r="AT204" s="104"/>
      <c r="AU204" s="104"/>
      <c r="AV204" s="104"/>
      <c r="AW204" s="104"/>
      <c r="AX204" s="104"/>
      <c r="AY204" s="104"/>
      <c r="AZ204" s="104"/>
      <c r="BA204" s="104"/>
      <c r="BB204" s="104"/>
      <c r="BC204" s="104"/>
      <c r="BD204" s="104"/>
      <c r="BE204" s="104"/>
      <c r="BF204" s="104"/>
      <c r="BG204" s="104"/>
      <c r="BH204" s="104"/>
      <c r="BI204" s="104"/>
      <c r="BJ204" s="104"/>
      <c r="BK204" s="104"/>
      <c r="BL204" s="104"/>
      <c r="BM204" s="104"/>
      <c r="BN204" s="104"/>
      <c r="BO204" s="104"/>
    </row>
    <row r="205" spans="1:67" ht="36" x14ac:dyDescent="0.25">
      <c r="A205" s="104"/>
      <c r="B205" s="104"/>
      <c r="C205" s="104"/>
      <c r="D205" s="104"/>
      <c r="E205" s="104"/>
      <c r="F205" s="104"/>
      <c r="G205" s="104"/>
      <c r="H205" s="104"/>
      <c r="I205" s="104"/>
      <c r="J205" s="104"/>
      <c r="K205" s="104"/>
      <c r="L205" s="104"/>
      <c r="M205" s="104"/>
      <c r="N205" s="104"/>
      <c r="O205" s="104"/>
      <c r="P205" s="104"/>
      <c r="Q205" s="104"/>
      <c r="R205" s="104"/>
      <c r="S205" s="104"/>
      <c r="T205" s="104"/>
      <c r="U205" s="104"/>
      <c r="V205" s="104"/>
      <c r="W205" s="104"/>
      <c r="X205" s="104"/>
      <c r="Y205" s="104"/>
      <c r="Z205" s="104"/>
      <c r="AA205" s="104"/>
      <c r="AB205" s="104"/>
      <c r="AC205" s="104"/>
      <c r="AD205" s="104"/>
      <c r="AE205" s="104"/>
      <c r="AF205" s="104"/>
      <c r="AG205" s="104"/>
      <c r="AH205" s="104"/>
      <c r="AI205" s="104"/>
      <c r="AJ205" s="104"/>
      <c r="AK205" s="104"/>
      <c r="AL205" s="104"/>
      <c r="AM205" s="104"/>
      <c r="AN205" s="104"/>
      <c r="AO205" s="104"/>
      <c r="AP205" s="104"/>
      <c r="AQ205" s="104"/>
      <c r="AR205" s="104"/>
      <c r="AS205" s="104"/>
      <c r="AT205" s="104"/>
      <c r="AU205" s="104"/>
      <c r="AV205" s="104"/>
      <c r="AW205" s="104"/>
      <c r="AX205" s="104"/>
      <c r="AY205" s="104"/>
      <c r="AZ205" s="104"/>
      <c r="BA205" s="104"/>
      <c r="BB205" s="104"/>
      <c r="BC205" s="104"/>
      <c r="BD205" s="104"/>
      <c r="BE205" s="104"/>
      <c r="BF205" s="104"/>
      <c r="BG205" s="104"/>
      <c r="BH205" s="104"/>
      <c r="BI205" s="104"/>
      <c r="BJ205" s="104"/>
      <c r="BK205" s="104"/>
      <c r="BL205" s="104"/>
      <c r="BM205" s="104"/>
      <c r="BN205" s="104"/>
      <c r="BO205" s="104"/>
    </row>
    <row r="206" spans="1:67" ht="36" x14ac:dyDescent="0.25">
      <c r="A206" s="104"/>
      <c r="B206" s="104"/>
      <c r="C206" s="104"/>
      <c r="D206" s="104"/>
      <c r="E206" s="104"/>
      <c r="F206" s="104"/>
      <c r="G206" s="104"/>
      <c r="H206" s="104"/>
      <c r="I206" s="104"/>
      <c r="J206" s="104"/>
      <c r="K206" s="104"/>
      <c r="L206" s="104"/>
      <c r="M206" s="104"/>
      <c r="N206" s="104"/>
      <c r="O206" s="104"/>
      <c r="P206" s="104"/>
      <c r="Q206" s="104"/>
      <c r="R206" s="104"/>
      <c r="S206" s="104"/>
      <c r="T206" s="104"/>
      <c r="U206" s="104"/>
      <c r="V206" s="104"/>
      <c r="W206" s="104"/>
      <c r="X206" s="104"/>
      <c r="Y206" s="104"/>
      <c r="Z206" s="104"/>
      <c r="AA206" s="104"/>
      <c r="AB206" s="104"/>
      <c r="AC206" s="104"/>
      <c r="AD206" s="104"/>
      <c r="AE206" s="104"/>
      <c r="AF206" s="104"/>
      <c r="AG206" s="104"/>
      <c r="AH206" s="104"/>
      <c r="AI206" s="104"/>
      <c r="AJ206" s="104"/>
      <c r="AK206" s="104"/>
      <c r="AL206" s="104"/>
      <c r="AM206" s="104"/>
      <c r="AN206" s="104"/>
      <c r="AO206" s="104"/>
      <c r="AP206" s="104"/>
      <c r="AQ206" s="104"/>
      <c r="AR206" s="104"/>
      <c r="AS206" s="104"/>
      <c r="AT206" s="104"/>
      <c r="AU206" s="104"/>
      <c r="AV206" s="104"/>
      <c r="AW206" s="104"/>
      <c r="AX206" s="104"/>
      <c r="AY206" s="104"/>
      <c r="AZ206" s="104"/>
      <c r="BA206" s="104"/>
      <c r="BB206" s="104"/>
      <c r="BC206" s="104"/>
      <c r="BD206" s="104"/>
      <c r="BE206" s="104"/>
      <c r="BF206" s="104"/>
      <c r="BG206" s="104"/>
      <c r="BH206" s="104"/>
      <c r="BI206" s="104"/>
      <c r="BJ206" s="104"/>
      <c r="BK206" s="104"/>
      <c r="BL206" s="104"/>
      <c r="BM206" s="104"/>
      <c r="BN206" s="104"/>
      <c r="BO206" s="104"/>
    </row>
    <row r="207" spans="1:67" ht="36" x14ac:dyDescent="0.25">
      <c r="A207" s="104"/>
      <c r="B207" s="104"/>
      <c r="C207" s="104"/>
      <c r="D207" s="104"/>
      <c r="E207" s="104"/>
      <c r="F207" s="104"/>
      <c r="G207" s="104"/>
      <c r="H207" s="104"/>
      <c r="I207" s="104"/>
      <c r="J207" s="104"/>
      <c r="K207" s="104"/>
      <c r="L207" s="104"/>
      <c r="M207" s="104"/>
      <c r="N207" s="104"/>
      <c r="O207" s="104"/>
      <c r="P207" s="104"/>
      <c r="Q207" s="104"/>
      <c r="R207" s="104"/>
      <c r="S207" s="104"/>
      <c r="T207" s="104"/>
      <c r="U207" s="104"/>
      <c r="V207" s="104"/>
      <c r="W207" s="104"/>
      <c r="X207" s="104"/>
      <c r="Y207" s="104"/>
      <c r="Z207" s="104"/>
      <c r="AA207" s="104"/>
      <c r="AB207" s="104"/>
      <c r="AC207" s="104"/>
      <c r="AD207" s="104"/>
      <c r="AE207" s="104"/>
      <c r="AF207" s="104"/>
      <c r="AG207" s="104"/>
      <c r="AH207" s="104"/>
      <c r="AI207" s="104"/>
      <c r="AJ207" s="104"/>
      <c r="AK207" s="104"/>
      <c r="AL207" s="104"/>
      <c r="AM207" s="104"/>
      <c r="AN207" s="104"/>
      <c r="AO207" s="104"/>
      <c r="AP207" s="104"/>
      <c r="AQ207" s="104"/>
      <c r="AR207" s="104"/>
      <c r="AS207" s="104"/>
      <c r="AT207" s="104"/>
      <c r="AU207" s="104"/>
      <c r="AV207" s="104"/>
      <c r="AW207" s="104"/>
      <c r="AX207" s="104"/>
      <c r="AY207" s="104"/>
      <c r="AZ207" s="104"/>
      <c r="BA207" s="104"/>
      <c r="BB207" s="104"/>
      <c r="BC207" s="104"/>
      <c r="BD207" s="104"/>
      <c r="BE207" s="104"/>
      <c r="BF207" s="104"/>
      <c r="BG207" s="104"/>
      <c r="BH207" s="104"/>
      <c r="BI207" s="104"/>
      <c r="BJ207" s="104"/>
      <c r="BK207" s="104"/>
      <c r="BL207" s="104"/>
      <c r="BM207" s="104"/>
      <c r="BN207" s="104"/>
      <c r="BO207" s="104"/>
    </row>
    <row r="208" spans="1:67" ht="36" x14ac:dyDescent="0.25">
      <c r="A208" s="104"/>
      <c r="B208" s="104"/>
      <c r="C208" s="104"/>
      <c r="D208" s="104"/>
      <c r="E208" s="104"/>
      <c r="F208" s="104"/>
      <c r="G208" s="104"/>
      <c r="H208" s="104"/>
      <c r="I208" s="104"/>
      <c r="J208" s="104"/>
      <c r="K208" s="104"/>
      <c r="L208" s="104"/>
      <c r="M208" s="104"/>
      <c r="N208" s="104"/>
      <c r="O208" s="104"/>
      <c r="P208" s="104"/>
      <c r="Q208" s="104"/>
      <c r="R208" s="104"/>
      <c r="S208" s="104"/>
      <c r="T208" s="104"/>
      <c r="U208" s="104"/>
      <c r="V208" s="104"/>
      <c r="W208" s="104"/>
      <c r="X208" s="104"/>
      <c r="Y208" s="104"/>
      <c r="Z208" s="104"/>
      <c r="AA208" s="104"/>
      <c r="AB208" s="104"/>
      <c r="AC208" s="104"/>
      <c r="AD208" s="104"/>
      <c r="AE208" s="104"/>
      <c r="AF208" s="104"/>
      <c r="AG208" s="104"/>
      <c r="AH208" s="104"/>
      <c r="AI208" s="104"/>
      <c r="AJ208" s="104"/>
      <c r="AK208" s="104"/>
      <c r="AL208" s="104"/>
      <c r="AM208" s="104"/>
      <c r="AN208" s="104"/>
      <c r="AO208" s="104"/>
      <c r="AP208" s="104"/>
      <c r="AQ208" s="104"/>
      <c r="AR208" s="104"/>
      <c r="AS208" s="104"/>
      <c r="AT208" s="104"/>
      <c r="AU208" s="104"/>
      <c r="AV208" s="104"/>
      <c r="AW208" s="104"/>
      <c r="AX208" s="104"/>
      <c r="AY208" s="104"/>
      <c r="AZ208" s="104"/>
      <c r="BA208" s="104"/>
      <c r="BB208" s="104"/>
      <c r="BC208" s="104"/>
      <c r="BD208" s="104"/>
      <c r="BE208" s="104"/>
      <c r="BF208" s="104"/>
      <c r="BG208" s="104"/>
      <c r="BH208" s="104"/>
      <c r="BI208" s="104"/>
      <c r="BJ208" s="104"/>
      <c r="BK208" s="104"/>
      <c r="BL208" s="104"/>
      <c r="BM208" s="104"/>
      <c r="BN208" s="104"/>
      <c r="BO208" s="104"/>
    </row>
    <row r="209" spans="1:67" ht="36" x14ac:dyDescent="0.25">
      <c r="A209" s="104"/>
      <c r="B209" s="104"/>
      <c r="C209" s="104"/>
      <c r="D209" s="104"/>
      <c r="E209" s="104"/>
      <c r="F209" s="104"/>
      <c r="G209" s="104"/>
      <c r="H209" s="104"/>
      <c r="I209" s="104"/>
      <c r="J209" s="104"/>
      <c r="K209" s="104"/>
      <c r="L209" s="104"/>
      <c r="M209" s="104"/>
      <c r="N209" s="104"/>
      <c r="O209" s="104"/>
      <c r="P209" s="104"/>
      <c r="Q209" s="104"/>
      <c r="R209" s="104"/>
      <c r="S209" s="104"/>
      <c r="T209" s="104"/>
      <c r="U209" s="104"/>
      <c r="V209" s="104"/>
      <c r="W209" s="104"/>
      <c r="X209" s="104"/>
      <c r="Y209" s="104"/>
      <c r="Z209" s="104"/>
      <c r="AA209" s="104"/>
      <c r="AB209" s="104"/>
      <c r="AC209" s="104"/>
      <c r="AD209" s="104"/>
      <c r="AE209" s="104"/>
      <c r="AF209" s="104"/>
      <c r="AG209" s="104"/>
      <c r="AH209" s="104"/>
      <c r="AI209" s="104"/>
      <c r="AJ209" s="104"/>
      <c r="AK209" s="104"/>
      <c r="AL209" s="104"/>
      <c r="AM209" s="104"/>
      <c r="AN209" s="104"/>
      <c r="AO209" s="104"/>
      <c r="AP209" s="104"/>
      <c r="AQ209" s="104"/>
      <c r="AR209" s="104"/>
      <c r="AS209" s="104"/>
      <c r="AT209" s="104"/>
      <c r="AU209" s="104"/>
      <c r="AV209" s="104"/>
      <c r="AW209" s="104"/>
      <c r="AX209" s="104"/>
      <c r="AY209" s="104"/>
      <c r="AZ209" s="104"/>
      <c r="BA209" s="104"/>
      <c r="BB209" s="104"/>
      <c r="BC209" s="104"/>
      <c r="BD209" s="104"/>
      <c r="BE209" s="104"/>
      <c r="BF209" s="104"/>
      <c r="BG209" s="104"/>
      <c r="BH209" s="104"/>
      <c r="BI209" s="104"/>
      <c r="BJ209" s="104"/>
      <c r="BK209" s="104"/>
      <c r="BL209" s="104"/>
      <c r="BM209" s="104"/>
      <c r="BN209" s="104"/>
      <c r="BO209" s="104"/>
    </row>
    <row r="210" spans="1:67" ht="36" x14ac:dyDescent="0.25">
      <c r="A210" s="104"/>
      <c r="B210" s="104"/>
      <c r="C210" s="104"/>
      <c r="D210" s="104"/>
      <c r="E210" s="104"/>
      <c r="F210" s="104"/>
      <c r="G210" s="104"/>
      <c r="H210" s="104"/>
      <c r="I210" s="104"/>
      <c r="J210" s="104"/>
      <c r="K210" s="104"/>
      <c r="L210" s="104"/>
      <c r="M210" s="104"/>
      <c r="N210" s="104"/>
      <c r="O210" s="104"/>
      <c r="P210" s="104"/>
      <c r="Q210" s="104"/>
      <c r="R210" s="104"/>
      <c r="S210" s="104"/>
      <c r="T210" s="104"/>
      <c r="U210" s="104"/>
      <c r="V210" s="104"/>
      <c r="W210" s="104"/>
      <c r="X210" s="104"/>
      <c r="Y210" s="104"/>
      <c r="Z210" s="104"/>
      <c r="AA210" s="104"/>
      <c r="AB210" s="104"/>
      <c r="AC210" s="104"/>
      <c r="AD210" s="104"/>
      <c r="AE210" s="104"/>
      <c r="AF210" s="104"/>
      <c r="AG210" s="104"/>
      <c r="AH210" s="104"/>
      <c r="AI210" s="104"/>
      <c r="AJ210" s="104"/>
      <c r="AK210" s="104"/>
      <c r="AL210" s="104"/>
      <c r="AM210" s="104"/>
      <c r="AN210" s="104"/>
      <c r="AO210" s="104"/>
      <c r="AP210" s="104"/>
      <c r="AQ210" s="104"/>
      <c r="AR210" s="104"/>
      <c r="AS210" s="104"/>
      <c r="AT210" s="104"/>
      <c r="AU210" s="104"/>
      <c r="AV210" s="104"/>
      <c r="AW210" s="104"/>
      <c r="AX210" s="104"/>
      <c r="AY210" s="104"/>
      <c r="AZ210" s="104"/>
      <c r="BA210" s="104"/>
      <c r="BB210" s="104"/>
      <c r="BC210" s="104"/>
      <c r="BD210" s="104"/>
      <c r="BE210" s="104"/>
      <c r="BF210" s="104"/>
      <c r="BG210" s="104"/>
      <c r="BH210" s="104"/>
      <c r="BI210" s="104"/>
      <c r="BJ210" s="104"/>
      <c r="BK210" s="104"/>
      <c r="BL210" s="104"/>
      <c r="BM210" s="104"/>
      <c r="BN210" s="104"/>
      <c r="BO210" s="104"/>
    </row>
    <row r="211" spans="1:67" ht="36" x14ac:dyDescent="0.25">
      <c r="A211" s="104"/>
      <c r="B211" s="104"/>
      <c r="C211" s="104"/>
      <c r="D211" s="104"/>
      <c r="E211" s="104"/>
      <c r="F211" s="104"/>
      <c r="G211" s="104"/>
      <c r="H211" s="104"/>
      <c r="I211" s="104"/>
      <c r="J211" s="104"/>
      <c r="K211" s="104"/>
      <c r="L211" s="104"/>
      <c r="M211" s="104"/>
      <c r="N211" s="104"/>
      <c r="O211" s="104"/>
      <c r="P211" s="104"/>
      <c r="Q211" s="104"/>
      <c r="R211" s="104"/>
      <c r="S211" s="104"/>
      <c r="T211" s="104"/>
      <c r="U211" s="104"/>
      <c r="V211" s="104"/>
      <c r="W211" s="104"/>
      <c r="X211" s="104"/>
      <c r="Y211" s="104"/>
      <c r="Z211" s="104"/>
      <c r="AA211" s="104"/>
      <c r="AB211" s="104"/>
      <c r="AC211" s="104"/>
      <c r="AD211" s="104"/>
      <c r="AE211" s="104"/>
      <c r="AF211" s="104"/>
      <c r="AG211" s="104"/>
      <c r="AH211" s="104"/>
      <c r="AI211" s="104"/>
      <c r="AJ211" s="104"/>
      <c r="AK211" s="104"/>
      <c r="AL211" s="104"/>
      <c r="AM211" s="104"/>
      <c r="AN211" s="104"/>
      <c r="AO211" s="104"/>
      <c r="AP211" s="104"/>
      <c r="AQ211" s="104"/>
      <c r="AR211" s="104"/>
      <c r="AS211" s="104"/>
      <c r="AT211" s="104"/>
      <c r="AU211" s="104"/>
      <c r="AV211" s="104"/>
      <c r="AW211" s="104"/>
      <c r="AX211" s="104"/>
      <c r="AY211" s="104"/>
      <c r="AZ211" s="104"/>
      <c r="BA211" s="104"/>
      <c r="BB211" s="104"/>
      <c r="BC211" s="104"/>
      <c r="BD211" s="104"/>
      <c r="BE211" s="104"/>
      <c r="BF211" s="104"/>
      <c r="BG211" s="104"/>
      <c r="BH211" s="104"/>
      <c r="BI211" s="104"/>
      <c r="BJ211" s="104"/>
      <c r="BK211" s="104"/>
      <c r="BL211" s="104"/>
      <c r="BM211" s="104"/>
      <c r="BN211" s="104"/>
      <c r="BO211" s="104"/>
    </row>
    <row r="212" spans="1:67" ht="36" x14ac:dyDescent="0.25">
      <c r="A212" s="104"/>
      <c r="B212" s="104"/>
      <c r="C212" s="104"/>
      <c r="D212" s="104"/>
      <c r="E212" s="104"/>
      <c r="F212" s="104"/>
      <c r="G212" s="104"/>
      <c r="H212" s="104"/>
      <c r="I212" s="104"/>
      <c r="J212" s="104"/>
      <c r="K212" s="104"/>
      <c r="L212" s="104"/>
      <c r="M212" s="104"/>
      <c r="N212" s="104"/>
      <c r="O212" s="104"/>
      <c r="P212" s="104"/>
      <c r="Q212" s="104"/>
      <c r="R212" s="104"/>
      <c r="S212" s="104"/>
      <c r="T212" s="104"/>
      <c r="U212" s="104"/>
      <c r="V212" s="104"/>
      <c r="W212" s="104"/>
      <c r="X212" s="104"/>
      <c r="Y212" s="104"/>
      <c r="Z212" s="104"/>
      <c r="AA212" s="104"/>
      <c r="AB212" s="104"/>
      <c r="AC212" s="104"/>
      <c r="AD212" s="104"/>
      <c r="AE212" s="104"/>
      <c r="AF212" s="104"/>
      <c r="AG212" s="104"/>
      <c r="AH212" s="104"/>
      <c r="AI212" s="104"/>
      <c r="AJ212" s="104"/>
      <c r="AK212" s="104"/>
      <c r="AL212" s="104"/>
      <c r="AM212" s="104"/>
      <c r="AN212" s="104"/>
      <c r="AO212" s="104"/>
      <c r="AP212" s="104"/>
      <c r="AQ212" s="104"/>
      <c r="AR212" s="104"/>
      <c r="AS212" s="104"/>
      <c r="AT212" s="104"/>
      <c r="AU212" s="104"/>
      <c r="AV212" s="104"/>
      <c r="AW212" s="104"/>
      <c r="AX212" s="104"/>
      <c r="AY212" s="104"/>
      <c r="AZ212" s="104"/>
      <c r="BA212" s="104"/>
      <c r="BB212" s="104"/>
      <c r="BC212" s="104"/>
      <c r="BD212" s="104"/>
      <c r="BE212" s="104"/>
      <c r="BF212" s="104"/>
      <c r="BG212" s="104"/>
      <c r="BH212" s="104"/>
      <c r="BI212" s="104"/>
      <c r="BJ212" s="104"/>
      <c r="BK212" s="104"/>
      <c r="BL212" s="104"/>
      <c r="BM212" s="104"/>
      <c r="BN212" s="104"/>
      <c r="BO212" s="104"/>
    </row>
    <row r="213" spans="1:67" ht="36" x14ac:dyDescent="0.25">
      <c r="A213" s="104"/>
      <c r="B213" s="104"/>
      <c r="C213" s="104"/>
      <c r="D213" s="104"/>
      <c r="E213" s="104"/>
      <c r="F213" s="104"/>
      <c r="G213" s="104"/>
      <c r="H213" s="104"/>
      <c r="I213" s="104"/>
      <c r="J213" s="104"/>
      <c r="K213" s="104"/>
      <c r="L213" s="104"/>
      <c r="M213" s="104"/>
      <c r="N213" s="104"/>
      <c r="O213" s="104"/>
      <c r="P213" s="104"/>
      <c r="Q213" s="104"/>
      <c r="R213" s="104"/>
      <c r="S213" s="104"/>
      <c r="T213" s="104"/>
      <c r="U213" s="104"/>
      <c r="V213" s="104"/>
      <c r="W213" s="104"/>
      <c r="X213" s="104"/>
      <c r="Y213" s="104"/>
      <c r="Z213" s="104"/>
      <c r="AA213" s="104"/>
      <c r="AB213" s="104"/>
      <c r="AC213" s="104"/>
      <c r="AD213" s="104"/>
      <c r="AE213" s="104"/>
      <c r="AF213" s="104"/>
      <c r="AG213" s="104"/>
      <c r="AH213" s="104"/>
      <c r="AI213" s="104"/>
      <c r="AJ213" s="104"/>
      <c r="AK213" s="104"/>
      <c r="AL213" s="104"/>
      <c r="AM213" s="104"/>
      <c r="AN213" s="104"/>
      <c r="AO213" s="104"/>
      <c r="AP213" s="104"/>
      <c r="AQ213" s="104"/>
      <c r="AR213" s="104"/>
      <c r="AS213" s="104"/>
      <c r="AT213" s="104"/>
      <c r="AU213" s="104"/>
      <c r="AV213" s="104"/>
      <c r="AW213" s="104"/>
      <c r="AX213" s="104"/>
      <c r="AY213" s="104"/>
      <c r="AZ213" s="104"/>
      <c r="BA213" s="104"/>
      <c r="BB213" s="104"/>
      <c r="BC213" s="104"/>
      <c r="BD213" s="104"/>
      <c r="BE213" s="104"/>
      <c r="BF213" s="104"/>
      <c r="BG213" s="104"/>
      <c r="BH213" s="104"/>
      <c r="BI213" s="104"/>
      <c r="BJ213" s="104"/>
      <c r="BK213" s="104"/>
      <c r="BL213" s="104"/>
      <c r="BM213" s="104"/>
      <c r="BN213" s="104"/>
      <c r="BO213" s="104"/>
    </row>
    <row r="214" spans="1:67" ht="36" x14ac:dyDescent="0.25">
      <c r="A214" s="104"/>
      <c r="B214" s="104"/>
      <c r="C214" s="104"/>
      <c r="D214" s="104"/>
      <c r="E214" s="104"/>
      <c r="F214" s="104"/>
      <c r="G214" s="104"/>
      <c r="H214" s="104"/>
      <c r="I214" s="104"/>
      <c r="J214" s="104"/>
      <c r="K214" s="104"/>
      <c r="L214" s="104"/>
      <c r="M214" s="104"/>
      <c r="N214" s="104"/>
      <c r="O214" s="104"/>
      <c r="P214" s="104"/>
      <c r="Q214" s="104"/>
      <c r="R214" s="104"/>
      <c r="S214" s="104"/>
      <c r="T214" s="104"/>
      <c r="U214" s="104"/>
      <c r="V214" s="104"/>
      <c r="W214" s="104"/>
      <c r="X214" s="104"/>
      <c r="Y214" s="104"/>
      <c r="Z214" s="104"/>
      <c r="AA214" s="104"/>
      <c r="AB214" s="104"/>
      <c r="AC214" s="104"/>
      <c r="AD214" s="104"/>
      <c r="AE214" s="104"/>
      <c r="AF214" s="104"/>
      <c r="AG214" s="104"/>
      <c r="AH214" s="104"/>
      <c r="AI214" s="104"/>
      <c r="AJ214" s="104"/>
      <c r="AK214" s="104"/>
      <c r="AL214" s="104"/>
      <c r="AM214" s="104"/>
      <c r="AN214" s="104"/>
      <c r="AO214" s="104"/>
      <c r="AP214" s="104"/>
      <c r="AQ214" s="104"/>
      <c r="AR214" s="104"/>
      <c r="AS214" s="104"/>
      <c r="AT214" s="104"/>
      <c r="AU214" s="104"/>
      <c r="AV214" s="104"/>
      <c r="AW214" s="104"/>
      <c r="AX214" s="104"/>
      <c r="AY214" s="104"/>
      <c r="AZ214" s="104"/>
      <c r="BA214" s="104"/>
      <c r="BB214" s="104"/>
      <c r="BC214" s="104"/>
      <c r="BD214" s="104"/>
      <c r="BE214" s="104"/>
      <c r="BF214" s="104"/>
      <c r="BG214" s="104"/>
      <c r="BH214" s="104"/>
      <c r="BI214" s="104"/>
      <c r="BJ214" s="104"/>
      <c r="BK214" s="104"/>
      <c r="BL214" s="104"/>
      <c r="BM214" s="104"/>
      <c r="BN214" s="104"/>
      <c r="BO214" s="104"/>
    </row>
    <row r="215" spans="1:67" ht="36" x14ac:dyDescent="0.25">
      <c r="A215" s="104"/>
      <c r="B215" s="104"/>
      <c r="C215" s="104"/>
      <c r="D215" s="104"/>
      <c r="E215" s="104"/>
      <c r="F215" s="104"/>
      <c r="G215" s="104"/>
      <c r="H215" s="104"/>
      <c r="I215" s="104"/>
      <c r="J215" s="104"/>
      <c r="K215" s="104"/>
      <c r="L215" s="104"/>
      <c r="M215" s="104"/>
      <c r="N215" s="104"/>
      <c r="O215" s="104"/>
      <c r="P215" s="104"/>
      <c r="Q215" s="104"/>
      <c r="R215" s="104"/>
      <c r="S215" s="104"/>
      <c r="T215" s="104"/>
      <c r="U215" s="104"/>
      <c r="V215" s="104"/>
      <c r="W215" s="104"/>
      <c r="X215" s="104"/>
      <c r="Y215" s="104"/>
      <c r="Z215" s="104"/>
      <c r="AA215" s="104"/>
      <c r="AB215" s="104"/>
      <c r="AC215" s="104"/>
      <c r="AD215" s="104"/>
      <c r="AE215" s="104"/>
      <c r="AF215" s="104"/>
      <c r="AG215" s="104"/>
      <c r="AH215" s="104"/>
      <c r="AI215" s="104"/>
      <c r="AJ215" s="104"/>
      <c r="AK215" s="104"/>
      <c r="AL215" s="104"/>
      <c r="AM215" s="104"/>
      <c r="AN215" s="104"/>
      <c r="AO215" s="104"/>
      <c r="AP215" s="104"/>
      <c r="AQ215" s="104"/>
      <c r="AR215" s="104"/>
      <c r="AS215" s="104"/>
      <c r="AT215" s="104"/>
      <c r="AU215" s="104"/>
      <c r="AV215" s="104"/>
      <c r="AW215" s="104"/>
      <c r="AX215" s="104"/>
      <c r="AY215" s="104"/>
      <c r="AZ215" s="104"/>
      <c r="BA215" s="104"/>
      <c r="BB215" s="104"/>
      <c r="BC215" s="104"/>
      <c r="BD215" s="104"/>
      <c r="BE215" s="104"/>
      <c r="BF215" s="104"/>
      <c r="BG215" s="104"/>
      <c r="BH215" s="104"/>
      <c r="BI215" s="104"/>
      <c r="BJ215" s="104"/>
      <c r="BK215" s="104"/>
      <c r="BL215" s="104"/>
      <c r="BM215" s="104"/>
      <c r="BN215" s="104"/>
      <c r="BO215" s="104"/>
    </row>
    <row r="216" spans="1:67" ht="36" x14ac:dyDescent="0.25">
      <c r="A216" s="104"/>
      <c r="B216" s="104"/>
      <c r="C216" s="104"/>
      <c r="D216" s="104"/>
      <c r="E216" s="104"/>
      <c r="F216" s="104"/>
      <c r="G216" s="104"/>
      <c r="H216" s="104"/>
      <c r="I216" s="104"/>
      <c r="J216" s="104"/>
      <c r="K216" s="104"/>
      <c r="L216" s="104"/>
      <c r="M216" s="104"/>
      <c r="N216" s="104"/>
      <c r="O216" s="104"/>
      <c r="P216" s="104"/>
      <c r="Q216" s="104"/>
      <c r="R216" s="104"/>
      <c r="S216" s="104"/>
      <c r="T216" s="104"/>
      <c r="U216" s="104"/>
      <c r="V216" s="104"/>
      <c r="W216" s="104"/>
      <c r="X216" s="104"/>
      <c r="Y216" s="104"/>
      <c r="Z216" s="104"/>
      <c r="AA216" s="104"/>
      <c r="AB216" s="104"/>
      <c r="AC216" s="104"/>
      <c r="AD216" s="104"/>
      <c r="AE216" s="104"/>
      <c r="AF216" s="104"/>
      <c r="AG216" s="104"/>
      <c r="AH216" s="104"/>
      <c r="AI216" s="104"/>
      <c r="AJ216" s="104"/>
      <c r="AK216" s="104"/>
      <c r="AL216" s="104"/>
      <c r="AM216" s="104"/>
      <c r="AN216" s="104"/>
      <c r="AO216" s="104"/>
      <c r="AP216" s="104"/>
      <c r="AQ216" s="104"/>
      <c r="AR216" s="104"/>
      <c r="AS216" s="104"/>
      <c r="AT216" s="104"/>
      <c r="AU216" s="104"/>
      <c r="AV216" s="104"/>
      <c r="AW216" s="104"/>
      <c r="AX216" s="104"/>
      <c r="AY216" s="104"/>
      <c r="AZ216" s="104"/>
      <c r="BA216" s="104"/>
      <c r="BB216" s="104"/>
      <c r="BC216" s="104"/>
      <c r="BD216" s="104"/>
      <c r="BE216" s="104"/>
      <c r="BF216" s="104"/>
      <c r="BG216" s="104"/>
      <c r="BH216" s="104"/>
      <c r="BI216" s="104"/>
      <c r="BJ216" s="104"/>
      <c r="BK216" s="104"/>
      <c r="BL216" s="104"/>
      <c r="BM216" s="104"/>
      <c r="BN216" s="104"/>
      <c r="BO216" s="104"/>
    </row>
    <row r="217" spans="1:67" ht="36" x14ac:dyDescent="0.25">
      <c r="A217" s="104"/>
      <c r="B217" s="104"/>
      <c r="C217" s="104"/>
      <c r="D217" s="104"/>
      <c r="E217" s="104"/>
      <c r="F217" s="104"/>
      <c r="G217" s="104"/>
      <c r="H217" s="104"/>
      <c r="I217" s="104"/>
      <c r="J217" s="104"/>
      <c r="K217" s="104"/>
      <c r="L217" s="104"/>
      <c r="M217" s="104"/>
      <c r="N217" s="104"/>
      <c r="O217" s="104"/>
      <c r="P217" s="104"/>
      <c r="Q217" s="104"/>
      <c r="R217" s="104"/>
      <c r="S217" s="104"/>
      <c r="T217" s="104"/>
      <c r="U217" s="104"/>
      <c r="V217" s="104"/>
      <c r="W217" s="104"/>
      <c r="X217" s="104"/>
      <c r="Y217" s="104"/>
      <c r="Z217" s="104"/>
      <c r="AA217" s="104"/>
      <c r="AB217" s="104"/>
      <c r="AC217" s="104"/>
      <c r="AD217" s="104"/>
      <c r="AE217" s="104"/>
      <c r="AF217" s="104"/>
      <c r="AG217" s="104"/>
      <c r="AH217" s="104"/>
      <c r="AI217" s="104"/>
      <c r="AJ217" s="104"/>
      <c r="AK217" s="104"/>
      <c r="AL217" s="104"/>
      <c r="AM217" s="104"/>
      <c r="AN217" s="104"/>
      <c r="AO217" s="104"/>
      <c r="AP217" s="104"/>
      <c r="AQ217" s="104"/>
      <c r="AR217" s="104"/>
      <c r="AS217" s="104"/>
      <c r="AT217" s="104"/>
      <c r="AU217" s="104"/>
      <c r="AV217" s="104"/>
      <c r="AW217" s="104"/>
      <c r="AX217" s="104"/>
      <c r="AY217" s="104"/>
      <c r="AZ217" s="104"/>
      <c r="BA217" s="104"/>
      <c r="BB217" s="104"/>
      <c r="BC217" s="104"/>
      <c r="BD217" s="104"/>
      <c r="BE217" s="104"/>
      <c r="BF217" s="104"/>
      <c r="BG217" s="104"/>
      <c r="BH217" s="104"/>
      <c r="BI217" s="104"/>
      <c r="BJ217" s="104"/>
      <c r="BK217" s="104"/>
      <c r="BL217" s="104"/>
      <c r="BM217" s="104"/>
      <c r="BN217" s="104"/>
      <c r="BO217" s="104"/>
    </row>
    <row r="218" spans="1:67" ht="36" x14ac:dyDescent="0.25">
      <c r="A218" s="104"/>
      <c r="B218" s="104"/>
      <c r="C218" s="104"/>
      <c r="D218" s="104"/>
      <c r="E218" s="104"/>
      <c r="F218" s="104"/>
      <c r="G218" s="104"/>
      <c r="H218" s="104"/>
      <c r="I218" s="104"/>
      <c r="J218" s="104"/>
      <c r="K218" s="104"/>
      <c r="L218" s="104"/>
      <c r="M218" s="104"/>
      <c r="N218" s="104"/>
      <c r="O218" s="104"/>
      <c r="P218" s="104"/>
      <c r="Q218" s="104"/>
      <c r="R218" s="104"/>
      <c r="S218" s="104"/>
      <c r="T218" s="104"/>
      <c r="U218" s="104"/>
      <c r="V218" s="104"/>
      <c r="W218" s="104"/>
      <c r="X218" s="104"/>
      <c r="Y218" s="104"/>
      <c r="Z218" s="104"/>
      <c r="AA218" s="104"/>
      <c r="AB218" s="104"/>
      <c r="AC218" s="104"/>
      <c r="AD218" s="104"/>
      <c r="AE218" s="104"/>
      <c r="AF218" s="104"/>
      <c r="AG218" s="104"/>
      <c r="AH218" s="104"/>
      <c r="AI218" s="104"/>
      <c r="AJ218" s="104"/>
      <c r="AK218" s="104"/>
      <c r="AL218" s="104"/>
      <c r="AM218" s="104"/>
      <c r="AN218" s="104"/>
      <c r="AO218" s="104"/>
      <c r="AP218" s="104"/>
      <c r="AQ218" s="104"/>
      <c r="AR218" s="104"/>
      <c r="AS218" s="104"/>
      <c r="AT218" s="104"/>
      <c r="AU218" s="104"/>
      <c r="AV218" s="104"/>
      <c r="AW218" s="104"/>
      <c r="AX218" s="104"/>
      <c r="AY218" s="104"/>
      <c r="AZ218" s="104"/>
      <c r="BA218" s="104"/>
      <c r="BB218" s="104"/>
      <c r="BC218" s="104"/>
      <c r="BD218" s="104"/>
      <c r="BE218" s="104"/>
      <c r="BF218" s="104"/>
      <c r="BG218" s="104"/>
      <c r="BH218" s="104"/>
      <c r="BI218" s="104"/>
      <c r="BJ218" s="104"/>
      <c r="BK218" s="104"/>
      <c r="BL218" s="104"/>
      <c r="BM218" s="104"/>
      <c r="BN218" s="104"/>
      <c r="BO218" s="104"/>
    </row>
    <row r="219" spans="1:67" ht="36" x14ac:dyDescent="0.25">
      <c r="A219" s="104"/>
      <c r="B219" s="104"/>
      <c r="C219" s="104"/>
      <c r="D219" s="104"/>
      <c r="E219" s="104"/>
      <c r="F219" s="104"/>
      <c r="G219" s="104"/>
      <c r="H219" s="104"/>
      <c r="I219" s="104"/>
      <c r="J219" s="104"/>
      <c r="K219" s="104"/>
      <c r="L219" s="104"/>
      <c r="M219" s="104"/>
      <c r="N219" s="104"/>
      <c r="O219" s="104"/>
      <c r="P219" s="104"/>
      <c r="Q219" s="104"/>
      <c r="R219" s="104"/>
      <c r="S219" s="104"/>
      <c r="T219" s="104"/>
      <c r="U219" s="104"/>
      <c r="V219" s="104"/>
      <c r="W219" s="104"/>
      <c r="X219" s="104"/>
      <c r="Y219" s="104"/>
      <c r="Z219" s="104"/>
      <c r="AA219" s="104"/>
      <c r="AB219" s="104"/>
      <c r="AC219" s="104"/>
      <c r="AD219" s="104"/>
      <c r="AE219" s="104"/>
      <c r="AF219" s="104"/>
      <c r="AG219" s="104"/>
      <c r="AH219" s="104"/>
      <c r="AI219" s="104"/>
      <c r="AJ219" s="104"/>
      <c r="AK219" s="104"/>
      <c r="AL219" s="104"/>
      <c r="AM219" s="104"/>
      <c r="AN219" s="104"/>
      <c r="AO219" s="104"/>
      <c r="AP219" s="104"/>
      <c r="AQ219" s="104"/>
      <c r="AR219" s="104"/>
      <c r="AS219" s="104"/>
      <c r="AT219" s="104"/>
      <c r="AU219" s="104"/>
      <c r="AV219" s="104"/>
      <c r="AW219" s="104"/>
      <c r="AX219" s="104"/>
      <c r="AY219" s="104"/>
      <c r="AZ219" s="104"/>
      <c r="BA219" s="104"/>
      <c r="BB219" s="104"/>
      <c r="BC219" s="104"/>
      <c r="BD219" s="104"/>
      <c r="BE219" s="104"/>
      <c r="BF219" s="104"/>
      <c r="BG219" s="104"/>
      <c r="BH219" s="104"/>
      <c r="BI219" s="104"/>
      <c r="BJ219" s="104"/>
      <c r="BK219" s="104"/>
      <c r="BL219" s="104"/>
      <c r="BM219" s="104"/>
      <c r="BN219" s="104"/>
      <c r="BO219" s="104"/>
    </row>
    <row r="220" spans="1:67" ht="36" x14ac:dyDescent="0.25">
      <c r="A220" s="104"/>
      <c r="B220" s="104"/>
      <c r="C220" s="104"/>
      <c r="D220" s="104"/>
      <c r="E220" s="104"/>
      <c r="F220" s="104"/>
      <c r="G220" s="104"/>
      <c r="H220" s="104"/>
      <c r="I220" s="104"/>
      <c r="J220" s="104"/>
      <c r="K220" s="104"/>
      <c r="L220" s="104"/>
      <c r="M220" s="104"/>
      <c r="N220" s="104"/>
      <c r="O220" s="104"/>
      <c r="P220" s="104"/>
      <c r="Q220" s="104"/>
      <c r="R220" s="104"/>
      <c r="S220" s="104"/>
      <c r="T220" s="104"/>
      <c r="U220" s="104"/>
      <c r="V220" s="104"/>
      <c r="W220" s="104"/>
      <c r="X220" s="104"/>
      <c r="Y220" s="104"/>
      <c r="Z220" s="104"/>
      <c r="AA220" s="104"/>
      <c r="AB220" s="104"/>
      <c r="AC220" s="104"/>
      <c r="AD220" s="104"/>
      <c r="AE220" s="104"/>
      <c r="AF220" s="104"/>
      <c r="AG220" s="104"/>
      <c r="AH220" s="104"/>
      <c r="AI220" s="104"/>
      <c r="AJ220" s="104"/>
      <c r="AK220" s="104"/>
      <c r="AL220" s="104"/>
      <c r="AM220" s="104"/>
      <c r="AN220" s="104"/>
      <c r="AO220" s="104"/>
      <c r="AP220" s="104"/>
      <c r="AQ220" s="104"/>
      <c r="AR220" s="104"/>
      <c r="AS220" s="104"/>
      <c r="AT220" s="104"/>
      <c r="AU220" s="104"/>
      <c r="AV220" s="104"/>
      <c r="AW220" s="104"/>
      <c r="AX220" s="104"/>
      <c r="AY220" s="104"/>
      <c r="AZ220" s="104"/>
      <c r="BA220" s="104"/>
      <c r="BB220" s="104"/>
      <c r="BC220" s="104"/>
      <c r="BD220" s="104"/>
      <c r="BE220" s="104"/>
      <c r="BF220" s="104"/>
      <c r="BG220" s="104"/>
      <c r="BH220" s="104"/>
      <c r="BI220" s="104"/>
      <c r="BJ220" s="104"/>
      <c r="BK220" s="104"/>
      <c r="BL220" s="104"/>
      <c r="BM220" s="104"/>
      <c r="BN220" s="104"/>
      <c r="BO220" s="104"/>
    </row>
    <row r="221" spans="1:67" ht="36" x14ac:dyDescent="0.25">
      <c r="A221" s="104"/>
      <c r="B221" s="104"/>
      <c r="C221" s="104"/>
      <c r="D221" s="104"/>
      <c r="E221" s="104"/>
      <c r="F221" s="104"/>
      <c r="G221" s="104"/>
      <c r="H221" s="104"/>
      <c r="I221" s="104"/>
      <c r="J221" s="104"/>
      <c r="K221" s="104"/>
      <c r="L221" s="104"/>
      <c r="M221" s="104"/>
      <c r="N221" s="104"/>
      <c r="O221" s="104"/>
      <c r="P221" s="104"/>
      <c r="Q221" s="104"/>
      <c r="R221" s="104"/>
      <c r="S221" s="104"/>
      <c r="T221" s="104"/>
      <c r="U221" s="104"/>
      <c r="V221" s="104"/>
      <c r="W221" s="104"/>
      <c r="X221" s="104"/>
      <c r="Y221" s="104"/>
      <c r="Z221" s="104"/>
      <c r="AA221" s="104"/>
      <c r="AB221" s="104"/>
      <c r="AC221" s="104"/>
      <c r="AD221" s="104"/>
      <c r="AE221" s="104"/>
      <c r="AF221" s="104"/>
      <c r="AG221" s="104"/>
      <c r="AH221" s="104"/>
      <c r="AI221" s="104"/>
      <c r="AJ221" s="104"/>
      <c r="AK221" s="104"/>
      <c r="AL221" s="104"/>
      <c r="AM221" s="104"/>
      <c r="AN221" s="104"/>
      <c r="AO221" s="104"/>
      <c r="AP221" s="104"/>
      <c r="AQ221" s="104"/>
      <c r="AR221" s="104"/>
      <c r="AS221" s="104"/>
      <c r="AT221" s="104"/>
      <c r="AU221" s="104"/>
      <c r="AV221" s="104"/>
      <c r="AW221" s="104"/>
      <c r="AX221" s="104"/>
      <c r="AY221" s="104"/>
      <c r="AZ221" s="104"/>
      <c r="BA221" s="104"/>
      <c r="BB221" s="104"/>
      <c r="BC221" s="104"/>
      <c r="BD221" s="104"/>
      <c r="BE221" s="104"/>
      <c r="BF221" s="104"/>
      <c r="BG221" s="104"/>
      <c r="BH221" s="104"/>
      <c r="BI221" s="104"/>
      <c r="BJ221" s="104"/>
      <c r="BK221" s="104"/>
      <c r="BL221" s="104"/>
      <c r="BM221" s="104"/>
      <c r="BN221" s="104"/>
      <c r="BO221" s="104"/>
    </row>
    <row r="222" spans="1:67" ht="36" x14ac:dyDescent="0.25">
      <c r="A222" s="104"/>
      <c r="B222" s="104"/>
      <c r="C222" s="104"/>
      <c r="D222" s="104"/>
      <c r="E222" s="104"/>
      <c r="F222" s="104"/>
      <c r="G222" s="104"/>
      <c r="H222" s="104"/>
      <c r="I222" s="104"/>
      <c r="J222" s="104"/>
      <c r="K222" s="104"/>
      <c r="L222" s="104"/>
      <c r="M222" s="104"/>
      <c r="N222" s="104"/>
      <c r="O222" s="104"/>
      <c r="P222" s="104"/>
      <c r="Q222" s="104"/>
      <c r="R222" s="104"/>
      <c r="S222" s="104"/>
      <c r="T222" s="104"/>
      <c r="U222" s="104"/>
      <c r="V222" s="104"/>
      <c r="W222" s="104"/>
      <c r="X222" s="104"/>
      <c r="Y222" s="104"/>
      <c r="Z222" s="104"/>
      <c r="AA222" s="104"/>
      <c r="AB222" s="104"/>
      <c r="AC222" s="104"/>
      <c r="AD222" s="104"/>
      <c r="AE222" s="104"/>
      <c r="AF222" s="104"/>
      <c r="AG222" s="104"/>
      <c r="AH222" s="104"/>
      <c r="AI222" s="104"/>
      <c r="AJ222" s="104"/>
      <c r="AK222" s="104"/>
      <c r="AL222" s="104"/>
      <c r="AM222" s="104"/>
      <c r="AN222" s="104"/>
      <c r="AO222" s="104"/>
      <c r="AP222" s="104"/>
      <c r="AQ222" s="104"/>
      <c r="AR222" s="104"/>
      <c r="AS222" s="104"/>
      <c r="AT222" s="104"/>
      <c r="AU222" s="104"/>
      <c r="AV222" s="104"/>
      <c r="AW222" s="104"/>
      <c r="AX222" s="104"/>
      <c r="AY222" s="104"/>
      <c r="AZ222" s="104"/>
      <c r="BA222" s="104"/>
      <c r="BB222" s="104"/>
      <c r="BC222" s="104"/>
      <c r="BD222" s="104"/>
      <c r="BE222" s="104"/>
      <c r="BF222" s="104"/>
      <c r="BG222" s="104"/>
      <c r="BH222" s="104"/>
      <c r="BI222" s="104"/>
      <c r="BJ222" s="104"/>
      <c r="BK222" s="104"/>
      <c r="BL222" s="104"/>
      <c r="BM222" s="104"/>
      <c r="BN222" s="104"/>
      <c r="BO222" s="104"/>
    </row>
    <row r="223" spans="1:67" ht="36" x14ac:dyDescent="0.25">
      <c r="A223" s="104"/>
      <c r="B223" s="104"/>
      <c r="C223" s="104"/>
      <c r="D223" s="104"/>
      <c r="E223" s="104"/>
      <c r="F223" s="104"/>
      <c r="G223" s="104"/>
      <c r="H223" s="104"/>
      <c r="I223" s="104"/>
      <c r="J223" s="104"/>
      <c r="K223" s="104"/>
      <c r="L223" s="104"/>
      <c r="M223" s="104"/>
      <c r="N223" s="104"/>
      <c r="O223" s="104"/>
      <c r="P223" s="104"/>
      <c r="Q223" s="104"/>
      <c r="R223" s="104"/>
      <c r="S223" s="104"/>
      <c r="T223" s="104"/>
      <c r="U223" s="104"/>
      <c r="V223" s="104"/>
      <c r="W223" s="104"/>
      <c r="X223" s="104"/>
      <c r="Y223" s="104"/>
      <c r="Z223" s="104"/>
      <c r="AA223" s="104"/>
      <c r="AB223" s="104"/>
      <c r="AC223" s="104"/>
      <c r="AD223" s="104"/>
      <c r="AE223" s="104"/>
      <c r="AF223" s="104"/>
      <c r="AG223" s="104"/>
      <c r="AH223" s="104"/>
      <c r="AI223" s="104"/>
      <c r="AJ223" s="104"/>
      <c r="AK223" s="104"/>
      <c r="AL223" s="104"/>
      <c r="AM223" s="104"/>
      <c r="AN223" s="104"/>
      <c r="AO223" s="104"/>
      <c r="AP223" s="104"/>
      <c r="AQ223" s="104"/>
      <c r="AR223" s="104"/>
      <c r="AS223" s="104"/>
      <c r="AT223" s="104"/>
      <c r="AU223" s="104"/>
      <c r="AV223" s="104"/>
      <c r="AW223" s="104"/>
      <c r="AX223" s="104"/>
      <c r="AY223" s="104"/>
      <c r="AZ223" s="104"/>
      <c r="BA223" s="104"/>
      <c r="BB223" s="104"/>
      <c r="BC223" s="104"/>
      <c r="BD223" s="104"/>
      <c r="BE223" s="104"/>
      <c r="BF223" s="104"/>
      <c r="BG223" s="104"/>
      <c r="BH223" s="104"/>
      <c r="BI223" s="104"/>
      <c r="BJ223" s="104"/>
      <c r="BK223" s="104"/>
      <c r="BL223" s="104"/>
      <c r="BM223" s="104"/>
      <c r="BN223" s="104"/>
      <c r="BO223" s="104"/>
    </row>
    <row r="224" spans="1:67" ht="36" x14ac:dyDescent="0.25">
      <c r="A224" s="104"/>
      <c r="B224" s="104"/>
      <c r="C224" s="104"/>
      <c r="D224" s="104"/>
      <c r="E224" s="104"/>
      <c r="F224" s="104"/>
      <c r="G224" s="104"/>
      <c r="H224" s="104"/>
      <c r="I224" s="104"/>
      <c r="J224" s="104"/>
      <c r="K224" s="104"/>
      <c r="L224" s="104"/>
      <c r="M224" s="104"/>
      <c r="N224" s="104"/>
      <c r="O224" s="104"/>
      <c r="P224" s="104"/>
      <c r="Q224" s="104"/>
      <c r="R224" s="104"/>
      <c r="S224" s="104"/>
      <c r="T224" s="104"/>
      <c r="U224" s="104"/>
      <c r="V224" s="104"/>
      <c r="W224" s="104"/>
      <c r="X224" s="104"/>
      <c r="Y224" s="104"/>
      <c r="Z224" s="104"/>
      <c r="AA224" s="104"/>
      <c r="AB224" s="104"/>
      <c r="AC224" s="104"/>
      <c r="AD224" s="104"/>
      <c r="AE224" s="104"/>
      <c r="AF224" s="104"/>
      <c r="AG224" s="104"/>
      <c r="AH224" s="104"/>
      <c r="AI224" s="104"/>
      <c r="AJ224" s="104"/>
      <c r="AK224" s="104"/>
      <c r="AL224" s="104"/>
      <c r="AM224" s="104"/>
      <c r="AN224" s="104"/>
      <c r="AO224" s="104"/>
      <c r="AP224" s="104"/>
      <c r="AQ224" s="104"/>
      <c r="AR224" s="104"/>
      <c r="AS224" s="104"/>
      <c r="AT224" s="104"/>
      <c r="AU224" s="104"/>
      <c r="AV224" s="104"/>
      <c r="AW224" s="104"/>
      <c r="AX224" s="104"/>
      <c r="AY224" s="104"/>
      <c r="AZ224" s="104"/>
      <c r="BA224" s="104"/>
      <c r="BB224" s="104"/>
      <c r="BC224" s="104"/>
      <c r="BD224" s="104"/>
      <c r="BE224" s="104"/>
      <c r="BF224" s="104"/>
      <c r="BG224" s="104"/>
      <c r="BH224" s="104"/>
      <c r="BI224" s="104"/>
      <c r="BJ224" s="104"/>
      <c r="BK224" s="104"/>
      <c r="BL224" s="104"/>
      <c r="BM224" s="104"/>
      <c r="BN224" s="104"/>
      <c r="BO224" s="104"/>
    </row>
    <row r="225" spans="1:67" ht="36" x14ac:dyDescent="0.25">
      <c r="A225" s="104"/>
      <c r="B225" s="104"/>
      <c r="C225" s="104"/>
      <c r="D225" s="104"/>
      <c r="E225" s="104"/>
      <c r="F225" s="104"/>
      <c r="G225" s="104"/>
      <c r="H225" s="104"/>
      <c r="I225" s="104"/>
      <c r="J225" s="104"/>
      <c r="K225" s="104"/>
      <c r="L225" s="104"/>
      <c r="M225" s="104"/>
      <c r="N225" s="104"/>
      <c r="O225" s="104"/>
      <c r="P225" s="104"/>
      <c r="Q225" s="104"/>
      <c r="R225" s="104"/>
      <c r="S225" s="104"/>
      <c r="T225" s="104"/>
      <c r="U225" s="104"/>
      <c r="V225" s="104"/>
      <c r="W225" s="104"/>
      <c r="X225" s="104"/>
      <c r="Y225" s="104"/>
      <c r="Z225" s="104"/>
      <c r="AA225" s="104"/>
      <c r="AB225" s="104"/>
      <c r="AC225" s="104"/>
      <c r="AD225" s="104"/>
      <c r="AE225" s="104"/>
      <c r="AF225" s="104"/>
      <c r="AG225" s="104"/>
      <c r="AH225" s="104"/>
      <c r="AI225" s="104"/>
      <c r="AJ225" s="104"/>
      <c r="AK225" s="104"/>
      <c r="AL225" s="104"/>
      <c r="AM225" s="104"/>
      <c r="AN225" s="104"/>
      <c r="AO225" s="104"/>
      <c r="AP225" s="104"/>
      <c r="AQ225" s="104"/>
      <c r="AR225" s="104"/>
      <c r="AS225" s="104"/>
      <c r="AT225" s="104"/>
      <c r="AU225" s="104"/>
      <c r="AV225" s="104"/>
      <c r="AW225" s="104"/>
      <c r="AX225" s="104"/>
      <c r="AY225" s="104"/>
      <c r="AZ225" s="104"/>
      <c r="BA225" s="104"/>
      <c r="BB225" s="104"/>
      <c r="BC225" s="104"/>
      <c r="BD225" s="104"/>
      <c r="BE225" s="104"/>
      <c r="BF225" s="104"/>
      <c r="BG225" s="104"/>
      <c r="BH225" s="104"/>
      <c r="BI225" s="104"/>
      <c r="BJ225" s="104"/>
      <c r="BK225" s="104"/>
      <c r="BL225" s="104"/>
      <c r="BM225" s="104"/>
      <c r="BN225" s="104"/>
      <c r="BO225" s="104"/>
    </row>
    <row r="226" spans="1:67" ht="36" x14ac:dyDescent="0.25">
      <c r="A226" s="104"/>
      <c r="B226" s="104"/>
      <c r="C226" s="104"/>
      <c r="D226" s="104"/>
      <c r="E226" s="104"/>
      <c r="F226" s="104"/>
      <c r="G226" s="104"/>
      <c r="H226" s="104"/>
      <c r="I226" s="104"/>
      <c r="J226" s="104"/>
      <c r="K226" s="104"/>
      <c r="L226" s="104"/>
      <c r="M226" s="104"/>
      <c r="N226" s="104"/>
      <c r="O226" s="104"/>
      <c r="P226" s="104"/>
      <c r="Q226" s="104"/>
      <c r="R226" s="104"/>
      <c r="S226" s="104"/>
      <c r="T226" s="104"/>
      <c r="U226" s="104"/>
      <c r="V226" s="104"/>
      <c r="W226" s="104"/>
      <c r="X226" s="104"/>
      <c r="Y226" s="104"/>
      <c r="Z226" s="104"/>
      <c r="AA226" s="104"/>
      <c r="AB226" s="104"/>
      <c r="AC226" s="104"/>
      <c r="AD226" s="104"/>
      <c r="AE226" s="104"/>
      <c r="AF226" s="104"/>
      <c r="AG226" s="104"/>
      <c r="AH226" s="104"/>
      <c r="AI226" s="104"/>
      <c r="AJ226" s="104"/>
      <c r="AK226" s="104"/>
      <c r="AL226" s="104"/>
      <c r="AM226" s="104"/>
      <c r="AN226" s="104"/>
      <c r="AO226" s="104"/>
      <c r="AP226" s="104"/>
      <c r="AQ226" s="104"/>
      <c r="AR226" s="104"/>
      <c r="AS226" s="104"/>
      <c r="AT226" s="104"/>
      <c r="AU226" s="104"/>
      <c r="AV226" s="104"/>
      <c r="AW226" s="104"/>
      <c r="AX226" s="104"/>
      <c r="AY226" s="104"/>
      <c r="AZ226" s="104"/>
      <c r="BA226" s="104"/>
      <c r="BB226" s="104"/>
      <c r="BC226" s="104"/>
      <c r="BD226" s="104"/>
      <c r="BE226" s="104"/>
      <c r="BF226" s="104"/>
      <c r="BG226" s="104"/>
      <c r="BH226" s="104"/>
      <c r="BI226" s="104"/>
      <c r="BJ226" s="104"/>
      <c r="BK226" s="104"/>
      <c r="BL226" s="104"/>
      <c r="BM226" s="104"/>
      <c r="BN226" s="104"/>
      <c r="BO226" s="104"/>
    </row>
    <row r="227" spans="1:67" ht="36" x14ac:dyDescent="0.25">
      <c r="A227" s="104"/>
      <c r="B227" s="104"/>
      <c r="C227" s="104"/>
      <c r="D227" s="104"/>
      <c r="E227" s="104"/>
      <c r="F227" s="104"/>
      <c r="G227" s="104"/>
      <c r="H227" s="104"/>
      <c r="I227" s="104"/>
      <c r="J227" s="104"/>
      <c r="K227" s="104"/>
      <c r="L227" s="104"/>
      <c r="M227" s="104"/>
      <c r="N227" s="104"/>
      <c r="O227" s="104"/>
      <c r="P227" s="104"/>
      <c r="Q227" s="104"/>
      <c r="R227" s="104"/>
      <c r="S227" s="104"/>
      <c r="T227" s="104"/>
      <c r="U227" s="104"/>
      <c r="V227" s="104"/>
      <c r="W227" s="104"/>
      <c r="X227" s="104"/>
      <c r="Y227" s="104"/>
      <c r="Z227" s="104"/>
      <c r="AA227" s="104"/>
      <c r="AB227" s="104"/>
      <c r="AC227" s="104"/>
      <c r="AD227" s="104"/>
      <c r="AE227" s="104"/>
      <c r="AF227" s="104"/>
      <c r="AG227" s="104"/>
      <c r="AH227" s="104"/>
      <c r="AI227" s="104"/>
      <c r="AJ227" s="104"/>
      <c r="AK227" s="104"/>
      <c r="AL227" s="104"/>
      <c r="AM227" s="104"/>
      <c r="AN227" s="104"/>
      <c r="AO227" s="104"/>
      <c r="AP227" s="104"/>
      <c r="AQ227" s="104"/>
      <c r="AR227" s="104"/>
      <c r="AS227" s="104"/>
      <c r="AT227" s="104"/>
      <c r="AU227" s="104"/>
      <c r="AV227" s="104"/>
      <c r="AW227" s="104"/>
      <c r="AX227" s="104"/>
      <c r="AY227" s="104"/>
      <c r="AZ227" s="104"/>
      <c r="BA227" s="104"/>
      <c r="BB227" s="104"/>
      <c r="BC227" s="104"/>
      <c r="BD227" s="104"/>
      <c r="BE227" s="104"/>
      <c r="BF227" s="104"/>
      <c r="BG227" s="104"/>
      <c r="BH227" s="104"/>
      <c r="BI227" s="104"/>
      <c r="BJ227" s="104"/>
      <c r="BK227" s="104"/>
      <c r="BL227" s="104"/>
      <c r="BM227" s="104"/>
      <c r="BN227" s="104"/>
      <c r="BO227" s="104"/>
    </row>
    <row r="228" spans="1:67" ht="36" x14ac:dyDescent="0.25">
      <c r="A228" s="104"/>
      <c r="B228" s="104"/>
      <c r="C228" s="104"/>
      <c r="D228" s="104"/>
      <c r="E228" s="104"/>
      <c r="F228" s="104"/>
      <c r="G228" s="104"/>
      <c r="H228" s="104"/>
      <c r="I228" s="104"/>
      <c r="J228" s="104"/>
      <c r="K228" s="104"/>
      <c r="L228" s="104"/>
      <c r="M228" s="104"/>
      <c r="N228" s="104"/>
      <c r="O228" s="104"/>
      <c r="P228" s="104"/>
      <c r="Q228" s="104"/>
      <c r="R228" s="104"/>
      <c r="S228" s="104"/>
      <c r="T228" s="104"/>
      <c r="U228" s="104"/>
      <c r="V228" s="104"/>
      <c r="W228" s="104"/>
      <c r="X228" s="104"/>
      <c r="Y228" s="104"/>
      <c r="Z228" s="104"/>
      <c r="AA228" s="104"/>
      <c r="AB228" s="104"/>
      <c r="AC228" s="104"/>
      <c r="AD228" s="104"/>
      <c r="AE228" s="104"/>
      <c r="AF228" s="104"/>
      <c r="AG228" s="104"/>
      <c r="AH228" s="104"/>
      <c r="AI228" s="104"/>
      <c r="AJ228" s="104"/>
      <c r="AK228" s="104"/>
      <c r="AL228" s="104"/>
      <c r="AM228" s="104"/>
      <c r="AN228" s="104"/>
      <c r="AO228" s="104"/>
      <c r="AP228" s="104"/>
      <c r="AQ228" s="104"/>
      <c r="AR228" s="104"/>
      <c r="AS228" s="104"/>
      <c r="AT228" s="104"/>
      <c r="AU228" s="104"/>
      <c r="AV228" s="104"/>
      <c r="AW228" s="104"/>
      <c r="AX228" s="104"/>
      <c r="AY228" s="104"/>
      <c r="AZ228" s="104"/>
      <c r="BA228" s="104"/>
      <c r="BB228" s="104"/>
      <c r="BC228" s="104"/>
      <c r="BD228" s="104"/>
      <c r="BE228" s="104"/>
      <c r="BF228" s="104"/>
      <c r="BG228" s="104"/>
      <c r="BH228" s="104"/>
      <c r="BI228" s="104"/>
      <c r="BJ228" s="104"/>
      <c r="BK228" s="104"/>
      <c r="BL228" s="104"/>
      <c r="BM228" s="104"/>
      <c r="BN228" s="104"/>
      <c r="BO228" s="104"/>
    </row>
    <row r="229" spans="1:67" ht="36" x14ac:dyDescent="0.25">
      <c r="A229" s="104"/>
      <c r="B229" s="104"/>
      <c r="C229" s="104"/>
      <c r="D229" s="104"/>
      <c r="E229" s="104"/>
      <c r="F229" s="104"/>
      <c r="G229" s="104"/>
      <c r="H229" s="104"/>
      <c r="I229" s="104"/>
      <c r="J229" s="104"/>
      <c r="K229" s="104"/>
      <c r="L229" s="104"/>
      <c r="M229" s="104"/>
      <c r="N229" s="104"/>
      <c r="O229" s="104"/>
      <c r="P229" s="104"/>
      <c r="Q229" s="104"/>
      <c r="R229" s="104"/>
      <c r="S229" s="104"/>
      <c r="T229" s="104"/>
      <c r="U229" s="104"/>
      <c r="V229" s="104"/>
      <c r="W229" s="104"/>
      <c r="X229" s="104"/>
      <c r="Y229" s="104"/>
      <c r="Z229" s="104"/>
      <c r="AA229" s="104"/>
      <c r="AB229" s="104"/>
      <c r="AC229" s="104"/>
      <c r="AD229" s="104"/>
      <c r="AE229" s="104"/>
      <c r="AF229" s="104"/>
      <c r="AG229" s="104"/>
      <c r="AH229" s="104"/>
      <c r="AI229" s="104"/>
      <c r="AJ229" s="104"/>
      <c r="AK229" s="104"/>
      <c r="AL229" s="104"/>
      <c r="AM229" s="104"/>
      <c r="AN229" s="104"/>
      <c r="AO229" s="104"/>
      <c r="AP229" s="104"/>
      <c r="AQ229" s="104"/>
      <c r="AR229" s="104"/>
      <c r="AS229" s="104"/>
      <c r="AT229" s="104"/>
      <c r="AU229" s="104"/>
      <c r="AV229" s="104"/>
      <c r="AW229" s="104"/>
      <c r="AX229" s="104"/>
      <c r="AY229" s="104"/>
      <c r="AZ229" s="104"/>
      <c r="BA229" s="104"/>
      <c r="BB229" s="104"/>
      <c r="BC229" s="104"/>
      <c r="BD229" s="104"/>
      <c r="BE229" s="104"/>
      <c r="BF229" s="104"/>
      <c r="BG229" s="104"/>
      <c r="BH229" s="104"/>
      <c r="BI229" s="104"/>
      <c r="BJ229" s="104"/>
      <c r="BK229" s="104"/>
      <c r="BL229" s="104"/>
      <c r="BM229" s="104"/>
      <c r="BN229" s="104"/>
      <c r="BO229" s="104"/>
    </row>
    <row r="230" spans="1:67" ht="36" x14ac:dyDescent="0.25">
      <c r="A230" s="104"/>
      <c r="B230" s="104"/>
      <c r="C230" s="104"/>
      <c r="D230" s="104"/>
      <c r="E230" s="104"/>
      <c r="F230" s="104"/>
      <c r="G230" s="104"/>
      <c r="H230" s="104"/>
      <c r="I230" s="104"/>
      <c r="J230" s="104"/>
      <c r="K230" s="104"/>
      <c r="L230" s="104"/>
      <c r="M230" s="104"/>
      <c r="N230" s="104"/>
      <c r="O230" s="104"/>
      <c r="P230" s="104"/>
      <c r="Q230" s="104"/>
      <c r="R230" s="104"/>
      <c r="S230" s="104"/>
      <c r="T230" s="104"/>
      <c r="U230" s="104"/>
      <c r="V230" s="104"/>
      <c r="W230" s="104"/>
      <c r="X230" s="104"/>
      <c r="Y230" s="104"/>
      <c r="Z230" s="104"/>
      <c r="AA230" s="104"/>
      <c r="AB230" s="104"/>
      <c r="AC230" s="104"/>
      <c r="AD230" s="104"/>
      <c r="AE230" s="104"/>
      <c r="AF230" s="104"/>
      <c r="AG230" s="104"/>
      <c r="AH230" s="104"/>
      <c r="AI230" s="104"/>
      <c r="AJ230" s="104"/>
      <c r="AK230" s="104"/>
      <c r="AL230" s="104"/>
      <c r="AM230" s="104"/>
      <c r="AN230" s="104"/>
      <c r="AO230" s="104"/>
      <c r="AP230" s="104"/>
      <c r="AQ230" s="104"/>
      <c r="AR230" s="104"/>
      <c r="AS230" s="104"/>
      <c r="AT230" s="104"/>
      <c r="AU230" s="104"/>
      <c r="AV230" s="104"/>
      <c r="AW230" s="104"/>
      <c r="AX230" s="104"/>
      <c r="AY230" s="104"/>
      <c r="AZ230" s="104"/>
      <c r="BA230" s="104"/>
      <c r="BB230" s="104"/>
      <c r="BC230" s="104"/>
      <c r="BD230" s="104"/>
      <c r="BE230" s="104"/>
      <c r="BF230" s="104"/>
      <c r="BG230" s="104"/>
      <c r="BH230" s="104"/>
      <c r="BI230" s="104"/>
      <c r="BJ230" s="104"/>
      <c r="BK230" s="104"/>
      <c r="BL230" s="104"/>
      <c r="BM230" s="104"/>
      <c r="BN230" s="104"/>
      <c r="BO230" s="104"/>
    </row>
    <row r="231" spans="1:67" ht="36" x14ac:dyDescent="0.25">
      <c r="A231" s="104"/>
      <c r="B231" s="104"/>
      <c r="C231" s="104"/>
      <c r="D231" s="104"/>
      <c r="E231" s="104"/>
      <c r="F231" s="104"/>
      <c r="G231" s="104"/>
      <c r="H231" s="104"/>
      <c r="I231" s="104"/>
      <c r="J231" s="104"/>
      <c r="K231" s="104"/>
      <c r="L231" s="104"/>
      <c r="M231" s="104"/>
      <c r="N231" s="104"/>
      <c r="O231" s="104"/>
      <c r="P231" s="104"/>
      <c r="Q231" s="104"/>
      <c r="R231" s="104"/>
      <c r="S231" s="104"/>
      <c r="T231" s="104"/>
      <c r="U231" s="104"/>
      <c r="V231" s="104"/>
      <c r="W231" s="104"/>
      <c r="X231" s="104"/>
      <c r="Y231" s="104"/>
      <c r="Z231" s="104"/>
      <c r="AA231" s="104"/>
      <c r="AB231" s="104"/>
      <c r="AC231" s="104"/>
      <c r="AD231" s="104"/>
      <c r="AE231" s="104"/>
      <c r="AF231" s="104"/>
      <c r="AG231" s="104"/>
      <c r="AH231" s="104"/>
      <c r="AI231" s="104"/>
      <c r="AJ231" s="104"/>
      <c r="AK231" s="104"/>
      <c r="AL231" s="104"/>
      <c r="AM231" s="104"/>
      <c r="AN231" s="104"/>
      <c r="AO231" s="104"/>
      <c r="AP231" s="104"/>
      <c r="AQ231" s="104"/>
      <c r="AR231" s="104"/>
      <c r="AS231" s="104"/>
      <c r="AT231" s="104"/>
      <c r="AU231" s="104"/>
      <c r="AV231" s="104"/>
      <c r="AW231" s="104"/>
      <c r="AX231" s="104"/>
      <c r="AY231" s="104"/>
      <c r="AZ231" s="104"/>
      <c r="BA231" s="104"/>
      <c r="BB231" s="104"/>
      <c r="BC231" s="104"/>
      <c r="BD231" s="104"/>
      <c r="BE231" s="104"/>
      <c r="BF231" s="104"/>
      <c r="BG231" s="104"/>
      <c r="BH231" s="104"/>
      <c r="BI231" s="104"/>
      <c r="BJ231" s="104"/>
      <c r="BK231" s="104"/>
      <c r="BL231" s="104"/>
      <c r="BM231" s="104"/>
      <c r="BN231" s="104"/>
      <c r="BO231" s="104"/>
    </row>
    <row r="232" spans="1:67" ht="36" x14ac:dyDescent="0.25">
      <c r="A232" s="104"/>
      <c r="B232" s="104"/>
      <c r="C232" s="104"/>
      <c r="D232" s="104"/>
      <c r="E232" s="104"/>
      <c r="F232" s="104"/>
      <c r="G232" s="104"/>
      <c r="H232" s="104"/>
      <c r="I232" s="104"/>
      <c r="J232" s="104"/>
      <c r="K232" s="104"/>
      <c r="L232" s="104"/>
      <c r="M232" s="104"/>
      <c r="N232" s="104"/>
      <c r="O232" s="104"/>
      <c r="P232" s="104"/>
      <c r="Q232" s="104"/>
      <c r="R232" s="104"/>
      <c r="S232" s="104"/>
      <c r="T232" s="104"/>
      <c r="U232" s="104"/>
      <c r="V232" s="104"/>
      <c r="W232" s="104"/>
      <c r="X232" s="104"/>
      <c r="Y232" s="104"/>
      <c r="Z232" s="104"/>
      <c r="AA232" s="104"/>
      <c r="AB232" s="104"/>
      <c r="AC232" s="104"/>
      <c r="AD232" s="104"/>
      <c r="AE232" s="104"/>
      <c r="AF232" s="104"/>
      <c r="AG232" s="104"/>
      <c r="AH232" s="104"/>
      <c r="AI232" s="104"/>
      <c r="AJ232" s="104"/>
      <c r="AK232" s="104"/>
      <c r="AL232" s="104"/>
      <c r="AM232" s="104"/>
      <c r="AN232" s="104"/>
      <c r="AO232" s="104"/>
      <c r="AP232" s="104"/>
      <c r="AQ232" s="104"/>
      <c r="AR232" s="104"/>
      <c r="AS232" s="104"/>
      <c r="AT232" s="104"/>
      <c r="AU232" s="104"/>
      <c r="AV232" s="104"/>
      <c r="AW232" s="104"/>
      <c r="AX232" s="104"/>
      <c r="AY232" s="104"/>
      <c r="AZ232" s="104"/>
      <c r="BA232" s="104"/>
      <c r="BB232" s="104"/>
      <c r="BC232" s="104"/>
      <c r="BD232" s="104"/>
      <c r="BE232" s="104"/>
      <c r="BF232" s="104"/>
      <c r="BG232" s="104"/>
      <c r="BH232" s="104"/>
      <c r="BI232" s="104"/>
      <c r="BJ232" s="104"/>
      <c r="BK232" s="104"/>
      <c r="BL232" s="104"/>
      <c r="BM232" s="104"/>
      <c r="BN232" s="104"/>
      <c r="BO232" s="104"/>
    </row>
    <row r="233" spans="1:67" ht="36" x14ac:dyDescent="0.25">
      <c r="A233" s="104"/>
      <c r="B233" s="104"/>
      <c r="C233" s="104"/>
      <c r="D233" s="104"/>
      <c r="E233" s="104"/>
      <c r="F233" s="104"/>
      <c r="G233" s="104"/>
      <c r="H233" s="104"/>
      <c r="I233" s="104"/>
      <c r="J233" s="104"/>
      <c r="K233" s="104"/>
      <c r="L233" s="104"/>
      <c r="M233" s="104"/>
      <c r="N233" s="104"/>
      <c r="O233" s="104"/>
      <c r="P233" s="104"/>
      <c r="Q233" s="104"/>
      <c r="R233" s="104"/>
      <c r="S233" s="104"/>
      <c r="T233" s="104"/>
      <c r="U233" s="104"/>
      <c r="V233" s="104"/>
      <c r="W233" s="104"/>
      <c r="X233" s="104"/>
      <c r="Y233" s="104"/>
      <c r="Z233" s="104"/>
      <c r="AA233" s="104"/>
      <c r="AB233" s="104"/>
      <c r="AC233" s="104"/>
      <c r="AD233" s="104"/>
      <c r="AE233" s="104"/>
      <c r="AF233" s="104"/>
      <c r="AG233" s="104"/>
      <c r="AH233" s="104"/>
      <c r="AI233" s="104"/>
      <c r="AJ233" s="104"/>
      <c r="AK233" s="104"/>
      <c r="AL233" s="104"/>
      <c r="AM233" s="104"/>
      <c r="AN233" s="104"/>
      <c r="AO233" s="104"/>
      <c r="AP233" s="104"/>
      <c r="AQ233" s="104"/>
      <c r="AR233" s="104"/>
      <c r="AS233" s="104"/>
      <c r="AT233" s="104"/>
      <c r="AU233" s="104"/>
      <c r="AV233" s="104"/>
      <c r="AW233" s="104"/>
      <c r="AX233" s="104"/>
      <c r="AY233" s="104"/>
      <c r="AZ233" s="104"/>
      <c r="BA233" s="104"/>
      <c r="BB233" s="104"/>
      <c r="BC233" s="104"/>
      <c r="BD233" s="104"/>
      <c r="BE233" s="104"/>
      <c r="BF233" s="104"/>
      <c r="BG233" s="104"/>
      <c r="BH233" s="104"/>
      <c r="BI233" s="104"/>
      <c r="BJ233" s="104"/>
      <c r="BK233" s="104"/>
      <c r="BL233" s="104"/>
      <c r="BM233" s="104"/>
      <c r="BN233" s="104"/>
      <c r="BO233" s="104"/>
    </row>
    <row r="234" spans="1:67" ht="36" x14ac:dyDescent="0.25">
      <c r="A234" s="104"/>
      <c r="B234" s="104"/>
      <c r="C234" s="104"/>
      <c r="D234" s="104"/>
      <c r="E234" s="104"/>
      <c r="F234" s="104"/>
      <c r="G234" s="104"/>
      <c r="H234" s="104"/>
      <c r="I234" s="104"/>
      <c r="J234" s="104"/>
      <c r="K234" s="104"/>
      <c r="L234" s="104"/>
      <c r="M234" s="104"/>
      <c r="N234" s="104"/>
      <c r="O234" s="104"/>
      <c r="P234" s="104"/>
      <c r="Q234" s="104"/>
      <c r="R234" s="104"/>
      <c r="S234" s="104"/>
      <c r="T234" s="104"/>
      <c r="U234" s="104"/>
      <c r="V234" s="104"/>
      <c r="W234" s="104"/>
      <c r="X234" s="104"/>
      <c r="Y234" s="104"/>
      <c r="Z234" s="104"/>
      <c r="AA234" s="104"/>
      <c r="AB234" s="104"/>
      <c r="AC234" s="104"/>
      <c r="AD234" s="104"/>
      <c r="AE234" s="104"/>
      <c r="AF234" s="104"/>
      <c r="AG234" s="104"/>
      <c r="AH234" s="104"/>
      <c r="AI234" s="104"/>
      <c r="AJ234" s="104"/>
      <c r="AK234" s="104"/>
      <c r="AL234" s="104"/>
      <c r="AM234" s="104"/>
      <c r="AN234" s="104"/>
      <c r="AO234" s="104"/>
      <c r="AP234" s="104"/>
      <c r="AQ234" s="104"/>
      <c r="AR234" s="104"/>
      <c r="AS234" s="104"/>
      <c r="AT234" s="104"/>
      <c r="AU234" s="104"/>
      <c r="AV234" s="104"/>
      <c r="AW234" s="104"/>
      <c r="AX234" s="104"/>
      <c r="AY234" s="104"/>
      <c r="AZ234" s="104"/>
      <c r="BA234" s="104"/>
      <c r="BB234" s="104"/>
      <c r="BC234" s="104"/>
      <c r="BD234" s="104"/>
      <c r="BE234" s="104"/>
      <c r="BF234" s="104"/>
      <c r="BG234" s="104"/>
      <c r="BH234" s="104"/>
      <c r="BI234" s="104"/>
      <c r="BJ234" s="104"/>
      <c r="BK234" s="104"/>
      <c r="BL234" s="104"/>
      <c r="BM234" s="104"/>
      <c r="BN234" s="104"/>
      <c r="BO234" s="104"/>
    </row>
    <row r="235" spans="1:67" ht="36" x14ac:dyDescent="0.25">
      <c r="A235" s="104"/>
      <c r="B235" s="104"/>
      <c r="C235" s="104"/>
      <c r="D235" s="104"/>
      <c r="E235" s="104"/>
      <c r="F235" s="104"/>
      <c r="G235" s="104"/>
      <c r="H235" s="104"/>
      <c r="I235" s="104"/>
      <c r="J235" s="104"/>
      <c r="K235" s="104"/>
      <c r="L235" s="104"/>
      <c r="M235" s="104"/>
      <c r="N235" s="104"/>
      <c r="O235" s="104"/>
      <c r="P235" s="104"/>
      <c r="Q235" s="104"/>
      <c r="R235" s="104"/>
      <c r="S235" s="104"/>
      <c r="T235" s="104"/>
      <c r="U235" s="104"/>
      <c r="V235" s="104"/>
      <c r="W235" s="104"/>
      <c r="X235" s="104"/>
      <c r="Y235" s="104"/>
      <c r="Z235" s="104"/>
      <c r="AA235" s="104"/>
      <c r="AB235" s="104"/>
      <c r="AC235" s="104"/>
      <c r="AD235" s="104"/>
      <c r="AE235" s="104"/>
      <c r="AF235" s="104"/>
      <c r="AG235" s="104"/>
      <c r="AH235" s="104"/>
      <c r="AI235" s="104"/>
      <c r="AJ235" s="104"/>
      <c r="AK235" s="104"/>
      <c r="AL235" s="104"/>
      <c r="AM235" s="104"/>
      <c r="AN235" s="104"/>
      <c r="AO235" s="104"/>
      <c r="AP235" s="104"/>
      <c r="AQ235" s="104"/>
      <c r="AR235" s="104"/>
      <c r="AS235" s="104"/>
      <c r="AT235" s="104"/>
      <c r="AU235" s="104"/>
      <c r="AV235" s="104"/>
      <c r="AW235" s="104"/>
      <c r="AX235" s="104"/>
      <c r="AY235" s="104"/>
      <c r="AZ235" s="104"/>
      <c r="BA235" s="104"/>
      <c r="BB235" s="104"/>
      <c r="BC235" s="104"/>
      <c r="BD235" s="104"/>
      <c r="BE235" s="104"/>
      <c r="BF235" s="104"/>
      <c r="BG235" s="104"/>
      <c r="BH235" s="104"/>
      <c r="BI235" s="104"/>
      <c r="BJ235" s="104"/>
      <c r="BK235" s="104"/>
      <c r="BL235" s="104"/>
      <c r="BM235" s="104"/>
      <c r="BN235" s="104"/>
      <c r="BO235" s="104"/>
    </row>
    <row r="236" spans="1:67" ht="36" x14ac:dyDescent="0.25">
      <c r="A236" s="104"/>
      <c r="B236" s="104"/>
      <c r="C236" s="104"/>
      <c r="D236" s="104"/>
      <c r="E236" s="104"/>
      <c r="F236" s="104"/>
      <c r="G236" s="104"/>
      <c r="H236" s="104"/>
      <c r="I236" s="104"/>
      <c r="J236" s="104"/>
      <c r="K236" s="104"/>
      <c r="L236" s="104"/>
      <c r="M236" s="104"/>
      <c r="N236" s="104"/>
      <c r="O236" s="104"/>
      <c r="P236" s="104"/>
      <c r="Q236" s="104"/>
      <c r="R236" s="104"/>
      <c r="S236" s="104"/>
      <c r="T236" s="104"/>
      <c r="U236" s="104"/>
      <c r="V236" s="104"/>
      <c r="W236" s="104"/>
      <c r="X236" s="104"/>
      <c r="Y236" s="104"/>
      <c r="Z236" s="104"/>
      <c r="AA236" s="104"/>
      <c r="AB236" s="104"/>
      <c r="AC236" s="104"/>
      <c r="AD236" s="104"/>
      <c r="AE236" s="104"/>
      <c r="AF236" s="104"/>
      <c r="AG236" s="104"/>
      <c r="AH236" s="104"/>
      <c r="AI236" s="104"/>
      <c r="AJ236" s="104"/>
      <c r="AK236" s="104"/>
      <c r="AL236" s="104"/>
      <c r="AM236" s="104"/>
      <c r="AN236" s="104"/>
      <c r="AO236" s="104"/>
      <c r="AP236" s="104"/>
      <c r="AQ236" s="104"/>
      <c r="AR236" s="104"/>
      <c r="AS236" s="104"/>
      <c r="AT236" s="104"/>
      <c r="AU236" s="104"/>
      <c r="AV236" s="104"/>
      <c r="AW236" s="104"/>
      <c r="AX236" s="104"/>
      <c r="AY236" s="104"/>
      <c r="AZ236" s="104"/>
      <c r="BA236" s="104"/>
      <c r="BB236" s="104"/>
      <c r="BC236" s="104"/>
      <c r="BD236" s="104"/>
      <c r="BE236" s="104"/>
      <c r="BF236" s="104"/>
      <c r="BG236" s="104"/>
      <c r="BH236" s="104"/>
      <c r="BI236" s="104"/>
      <c r="BJ236" s="104"/>
      <c r="BK236" s="104"/>
      <c r="BL236" s="104"/>
      <c r="BM236" s="104"/>
      <c r="BN236" s="104"/>
      <c r="BO236" s="104"/>
    </row>
    <row r="237" spans="1:67" ht="36" x14ac:dyDescent="0.25">
      <c r="A237" s="104"/>
      <c r="B237" s="104"/>
      <c r="C237" s="104"/>
      <c r="D237" s="104"/>
      <c r="E237" s="104"/>
      <c r="F237" s="104"/>
      <c r="G237" s="104"/>
      <c r="H237" s="104"/>
      <c r="I237" s="104"/>
      <c r="J237" s="104"/>
      <c r="K237" s="104"/>
      <c r="L237" s="104"/>
      <c r="M237" s="104"/>
      <c r="N237" s="104"/>
      <c r="O237" s="104"/>
      <c r="P237" s="104"/>
      <c r="Q237" s="104"/>
      <c r="R237" s="104"/>
      <c r="S237" s="104"/>
      <c r="T237" s="104"/>
      <c r="U237" s="104"/>
      <c r="V237" s="104"/>
      <c r="W237" s="104"/>
      <c r="X237" s="104"/>
      <c r="Y237" s="104"/>
      <c r="Z237" s="104"/>
      <c r="AA237" s="104"/>
      <c r="AB237" s="104"/>
      <c r="AC237" s="104"/>
      <c r="AD237" s="104"/>
      <c r="AE237" s="104"/>
      <c r="AF237" s="104"/>
      <c r="AG237" s="104"/>
      <c r="AH237" s="104"/>
      <c r="AI237" s="104"/>
      <c r="AJ237" s="104"/>
      <c r="AK237" s="104"/>
      <c r="AL237" s="104"/>
      <c r="AM237" s="104"/>
      <c r="AN237" s="104"/>
      <c r="AO237" s="104"/>
      <c r="AP237" s="104"/>
      <c r="AQ237" s="104"/>
      <c r="AR237" s="104"/>
      <c r="AS237" s="104"/>
      <c r="AT237" s="104"/>
      <c r="AU237" s="104"/>
      <c r="AV237" s="104"/>
      <c r="AW237" s="104"/>
      <c r="AX237" s="104"/>
      <c r="AY237" s="104"/>
      <c r="AZ237" s="104"/>
      <c r="BA237" s="104"/>
      <c r="BB237" s="104"/>
      <c r="BC237" s="104"/>
      <c r="BD237" s="104"/>
      <c r="BE237" s="104"/>
      <c r="BF237" s="104"/>
      <c r="BG237" s="104"/>
      <c r="BH237" s="104"/>
      <c r="BI237" s="104"/>
      <c r="BJ237" s="104"/>
      <c r="BK237" s="104"/>
      <c r="BL237" s="104"/>
      <c r="BM237" s="104"/>
      <c r="BN237" s="104"/>
      <c r="BO237" s="104"/>
    </row>
    <row r="238" spans="1:67" ht="36" x14ac:dyDescent="0.25">
      <c r="A238" s="104"/>
      <c r="B238" s="104"/>
      <c r="C238" s="104"/>
      <c r="D238" s="104"/>
      <c r="E238" s="104"/>
      <c r="F238" s="104"/>
      <c r="G238" s="104"/>
      <c r="H238" s="104"/>
      <c r="I238" s="104"/>
      <c r="J238" s="104"/>
      <c r="K238" s="104"/>
      <c r="L238" s="104"/>
      <c r="M238" s="104"/>
      <c r="N238" s="104"/>
      <c r="O238" s="104"/>
      <c r="P238" s="104"/>
      <c r="Q238" s="104"/>
      <c r="R238" s="104"/>
      <c r="S238" s="104"/>
      <c r="T238" s="104"/>
      <c r="U238" s="104"/>
      <c r="V238" s="104"/>
      <c r="W238" s="104"/>
      <c r="X238" s="104"/>
      <c r="Y238" s="104"/>
      <c r="Z238" s="104"/>
      <c r="AA238" s="104"/>
      <c r="AB238" s="104"/>
      <c r="AC238" s="104"/>
      <c r="AD238" s="104"/>
      <c r="AE238" s="104"/>
      <c r="AF238" s="104"/>
      <c r="AG238" s="104"/>
      <c r="AH238" s="104"/>
      <c r="AI238" s="104"/>
      <c r="AJ238" s="104"/>
      <c r="AK238" s="104"/>
      <c r="AL238" s="104"/>
      <c r="AM238" s="104"/>
      <c r="AN238" s="104"/>
      <c r="AO238" s="104"/>
      <c r="AP238" s="104"/>
      <c r="AQ238" s="104"/>
      <c r="AR238" s="104"/>
      <c r="AS238" s="104"/>
      <c r="AT238" s="104"/>
      <c r="AU238" s="104"/>
      <c r="AV238" s="104"/>
      <c r="AW238" s="104"/>
      <c r="AX238" s="104"/>
      <c r="AY238" s="104"/>
      <c r="AZ238" s="104"/>
      <c r="BA238" s="104"/>
      <c r="BB238" s="104"/>
      <c r="BC238" s="104"/>
      <c r="BD238" s="104"/>
      <c r="BE238" s="104"/>
      <c r="BF238" s="104"/>
      <c r="BG238" s="104"/>
      <c r="BH238" s="104"/>
      <c r="BI238" s="104"/>
      <c r="BJ238" s="104"/>
      <c r="BK238" s="104"/>
      <c r="BL238" s="104"/>
      <c r="BM238" s="104"/>
      <c r="BN238" s="104"/>
      <c r="BO238" s="104"/>
    </row>
    <row r="239" spans="1:67" ht="36" x14ac:dyDescent="0.25">
      <c r="A239" s="104"/>
      <c r="B239" s="104"/>
      <c r="C239" s="104"/>
      <c r="D239" s="104"/>
      <c r="E239" s="104"/>
      <c r="F239" s="104"/>
      <c r="G239" s="104"/>
      <c r="H239" s="104"/>
      <c r="I239" s="104"/>
      <c r="J239" s="104"/>
      <c r="K239" s="104"/>
      <c r="L239" s="104"/>
      <c r="M239" s="104"/>
      <c r="N239" s="104"/>
      <c r="O239" s="104"/>
      <c r="P239" s="104"/>
      <c r="Q239" s="104"/>
      <c r="R239" s="104"/>
      <c r="S239" s="104"/>
      <c r="T239" s="104"/>
      <c r="U239" s="104"/>
      <c r="V239" s="104"/>
      <c r="W239" s="104"/>
      <c r="X239" s="104"/>
      <c r="Y239" s="104"/>
      <c r="Z239" s="104"/>
      <c r="AA239" s="104"/>
      <c r="AB239" s="104"/>
      <c r="AC239" s="104"/>
      <c r="AD239" s="104"/>
      <c r="AE239" s="104"/>
      <c r="AF239" s="104"/>
      <c r="AG239" s="104"/>
      <c r="AH239" s="104"/>
      <c r="AI239" s="104"/>
      <c r="AJ239" s="104"/>
      <c r="AK239" s="104"/>
      <c r="AL239" s="104"/>
      <c r="AM239" s="104"/>
      <c r="AN239" s="104"/>
      <c r="AO239" s="104"/>
      <c r="AP239" s="104"/>
      <c r="AQ239" s="104"/>
      <c r="AR239" s="104"/>
      <c r="AS239" s="104"/>
      <c r="AT239" s="104"/>
      <c r="AU239" s="104"/>
      <c r="AV239" s="104"/>
      <c r="AW239" s="104"/>
      <c r="AX239" s="104"/>
      <c r="AY239" s="104"/>
      <c r="AZ239" s="104"/>
      <c r="BA239" s="104"/>
      <c r="BB239" s="104"/>
      <c r="BC239" s="104"/>
      <c r="BD239" s="104"/>
      <c r="BE239" s="104"/>
      <c r="BF239" s="104"/>
      <c r="BG239" s="104"/>
      <c r="BH239" s="104"/>
      <c r="BI239" s="104"/>
      <c r="BJ239" s="104"/>
      <c r="BK239" s="104"/>
      <c r="BL239" s="104"/>
      <c r="BM239" s="104"/>
      <c r="BN239" s="104"/>
      <c r="BO239" s="104"/>
    </row>
    <row r="240" spans="1:67" ht="36" x14ac:dyDescent="0.25">
      <c r="A240" s="104"/>
      <c r="B240" s="104"/>
      <c r="C240" s="104"/>
      <c r="D240" s="104"/>
      <c r="E240" s="104"/>
      <c r="F240" s="104"/>
      <c r="G240" s="104"/>
      <c r="H240" s="104"/>
      <c r="I240" s="104"/>
      <c r="J240" s="104"/>
      <c r="K240" s="104"/>
      <c r="L240" s="104"/>
      <c r="M240" s="104"/>
      <c r="N240" s="104"/>
      <c r="O240" s="104"/>
      <c r="P240" s="104"/>
      <c r="Q240" s="104"/>
      <c r="R240" s="104"/>
      <c r="S240" s="104"/>
      <c r="T240" s="104"/>
      <c r="U240" s="104"/>
      <c r="V240" s="104"/>
      <c r="W240" s="104"/>
      <c r="X240" s="104"/>
      <c r="Y240" s="104"/>
      <c r="Z240" s="104"/>
      <c r="AA240" s="104"/>
      <c r="AB240" s="104"/>
      <c r="AC240" s="104"/>
      <c r="AD240" s="104"/>
      <c r="AE240" s="104"/>
      <c r="AF240" s="104"/>
      <c r="AG240" s="104"/>
      <c r="AH240" s="104"/>
      <c r="AI240" s="104"/>
      <c r="AJ240" s="104"/>
      <c r="AK240" s="104"/>
      <c r="AL240" s="104"/>
      <c r="AM240" s="104"/>
      <c r="AN240" s="104"/>
      <c r="AO240" s="104"/>
      <c r="AP240" s="104"/>
      <c r="AQ240" s="104"/>
      <c r="AR240" s="104"/>
      <c r="AS240" s="104"/>
      <c r="AT240" s="104"/>
      <c r="AU240" s="104"/>
      <c r="AV240" s="104"/>
      <c r="AW240" s="104"/>
      <c r="AX240" s="104"/>
      <c r="AY240" s="104"/>
      <c r="AZ240" s="104"/>
      <c r="BA240" s="104"/>
      <c r="BB240" s="104"/>
      <c r="BC240" s="104"/>
      <c r="BD240" s="104"/>
      <c r="BE240" s="104"/>
      <c r="BF240" s="104"/>
      <c r="BG240" s="104"/>
      <c r="BH240" s="104"/>
      <c r="BI240" s="104"/>
      <c r="BJ240" s="104"/>
      <c r="BK240" s="104"/>
      <c r="BL240" s="104"/>
      <c r="BM240" s="104"/>
      <c r="BN240" s="104"/>
      <c r="BO240" s="104"/>
    </row>
    <row r="241" spans="1:67" ht="36" x14ac:dyDescent="0.25">
      <c r="A241" s="104"/>
      <c r="B241" s="104"/>
      <c r="C241" s="104"/>
      <c r="D241" s="104"/>
      <c r="E241" s="104"/>
      <c r="F241" s="104"/>
      <c r="G241" s="104"/>
      <c r="H241" s="104"/>
      <c r="I241" s="104"/>
      <c r="J241" s="104"/>
      <c r="K241" s="104"/>
      <c r="L241" s="104"/>
      <c r="M241" s="104"/>
      <c r="N241" s="104"/>
      <c r="O241" s="104"/>
      <c r="P241" s="104"/>
      <c r="Q241" s="104"/>
      <c r="R241" s="104"/>
      <c r="S241" s="104"/>
      <c r="T241" s="104"/>
      <c r="U241" s="104"/>
      <c r="V241" s="104"/>
      <c r="W241" s="104"/>
      <c r="X241" s="104"/>
      <c r="Y241" s="104"/>
      <c r="Z241" s="104"/>
      <c r="AA241" s="104"/>
      <c r="AB241" s="104"/>
      <c r="AC241" s="104"/>
      <c r="AD241" s="104"/>
      <c r="AE241" s="104"/>
      <c r="AF241" s="104"/>
      <c r="AG241" s="104"/>
      <c r="AH241" s="104"/>
      <c r="AI241" s="104"/>
      <c r="AJ241" s="104"/>
      <c r="AK241" s="104"/>
      <c r="AL241" s="104"/>
      <c r="AM241" s="104"/>
      <c r="AN241" s="104"/>
      <c r="AO241" s="104"/>
      <c r="AP241" s="104"/>
      <c r="AQ241" s="104"/>
      <c r="AR241" s="104"/>
      <c r="AS241" s="104"/>
      <c r="AT241" s="104"/>
      <c r="AU241" s="104"/>
      <c r="AV241" s="104"/>
      <c r="AW241" s="104"/>
      <c r="AX241" s="104"/>
      <c r="AY241" s="104"/>
      <c r="AZ241" s="104"/>
      <c r="BA241" s="104"/>
      <c r="BB241" s="104"/>
      <c r="BC241" s="104"/>
      <c r="BD241" s="104"/>
      <c r="BE241" s="104"/>
      <c r="BF241" s="104"/>
      <c r="BG241" s="104"/>
      <c r="BH241" s="104"/>
      <c r="BI241" s="104"/>
      <c r="BJ241" s="104"/>
      <c r="BK241" s="104"/>
      <c r="BL241" s="104"/>
      <c r="BM241" s="104"/>
      <c r="BN241" s="104"/>
      <c r="BO241" s="104"/>
    </row>
    <row r="242" spans="1:67" ht="36" x14ac:dyDescent="0.25">
      <c r="A242" s="104"/>
      <c r="B242" s="104"/>
      <c r="C242" s="104"/>
      <c r="D242" s="104"/>
      <c r="E242" s="104"/>
      <c r="F242" s="104"/>
      <c r="G242" s="104"/>
      <c r="H242" s="104"/>
      <c r="I242" s="104"/>
      <c r="J242" s="104"/>
      <c r="K242" s="104"/>
      <c r="L242" s="104"/>
      <c r="M242" s="104"/>
      <c r="N242" s="104"/>
      <c r="O242" s="104"/>
      <c r="P242" s="104"/>
      <c r="Q242" s="104"/>
      <c r="R242" s="104"/>
      <c r="S242" s="104"/>
      <c r="T242" s="104"/>
      <c r="U242" s="104"/>
      <c r="V242" s="104"/>
      <c r="W242" s="104"/>
      <c r="X242" s="104"/>
      <c r="Y242" s="104"/>
      <c r="Z242" s="104"/>
      <c r="AA242" s="104"/>
      <c r="AB242" s="104"/>
      <c r="AC242" s="104"/>
      <c r="AD242" s="104"/>
      <c r="AE242" s="104"/>
      <c r="AF242" s="104"/>
      <c r="AG242" s="104"/>
      <c r="AH242" s="104"/>
      <c r="AI242" s="104"/>
      <c r="AJ242" s="104"/>
      <c r="AK242" s="104"/>
      <c r="AL242" s="104"/>
      <c r="AM242" s="104"/>
      <c r="AN242" s="104"/>
      <c r="AO242" s="104"/>
      <c r="AP242" s="104"/>
      <c r="AQ242" s="104"/>
      <c r="AR242" s="104"/>
      <c r="AS242" s="104"/>
      <c r="AT242" s="104"/>
      <c r="AU242" s="104"/>
      <c r="AV242" s="104"/>
      <c r="AW242" s="104"/>
      <c r="AX242" s="104"/>
      <c r="AY242" s="104"/>
      <c r="AZ242" s="104"/>
      <c r="BA242" s="104"/>
      <c r="BB242" s="104"/>
      <c r="BC242" s="104"/>
      <c r="BD242" s="104"/>
      <c r="BE242" s="104"/>
      <c r="BF242" s="104"/>
      <c r="BG242" s="104"/>
      <c r="BH242" s="104"/>
      <c r="BI242" s="104"/>
      <c r="BJ242" s="104"/>
      <c r="BK242" s="104"/>
      <c r="BL242" s="104"/>
      <c r="BM242" s="104"/>
      <c r="BN242" s="104"/>
      <c r="BO242" s="104"/>
    </row>
    <row r="243" spans="1:67" ht="36" x14ac:dyDescent="0.25">
      <c r="A243" s="104"/>
      <c r="B243" s="104"/>
      <c r="C243" s="104"/>
      <c r="D243" s="104"/>
      <c r="E243" s="104"/>
      <c r="F243" s="104"/>
      <c r="G243" s="104"/>
      <c r="H243" s="104"/>
      <c r="I243" s="104"/>
      <c r="J243" s="104"/>
      <c r="K243" s="104"/>
      <c r="L243" s="104"/>
      <c r="M243" s="104"/>
      <c r="N243" s="104"/>
      <c r="O243" s="104"/>
      <c r="P243" s="104"/>
      <c r="Q243" s="104"/>
      <c r="R243" s="104"/>
      <c r="S243" s="104"/>
      <c r="T243" s="104"/>
      <c r="U243" s="104"/>
      <c r="V243" s="104"/>
      <c r="W243" s="104"/>
      <c r="X243" s="104"/>
      <c r="Y243" s="104"/>
      <c r="Z243" s="104"/>
      <c r="AA243" s="104"/>
      <c r="AB243" s="104"/>
      <c r="AC243" s="104"/>
      <c r="AD243" s="104"/>
      <c r="AE243" s="104"/>
      <c r="AF243" s="104"/>
      <c r="AG243" s="104"/>
      <c r="AH243" s="104"/>
      <c r="AI243" s="104"/>
      <c r="AJ243" s="104"/>
      <c r="AK243" s="104"/>
      <c r="AL243" s="104"/>
      <c r="AM243" s="104"/>
      <c r="AN243" s="104"/>
      <c r="AO243" s="104"/>
      <c r="AP243" s="104"/>
      <c r="AQ243" s="104"/>
      <c r="AR243" s="104"/>
      <c r="AS243" s="104"/>
      <c r="AT243" s="104"/>
      <c r="AU243" s="104"/>
      <c r="AV243" s="104"/>
      <c r="AW243" s="104"/>
      <c r="AX243" s="104"/>
      <c r="AY243" s="104"/>
      <c r="AZ243" s="104"/>
      <c r="BA243" s="104"/>
      <c r="BB243" s="104"/>
      <c r="BC243" s="104"/>
      <c r="BD243" s="104"/>
      <c r="BE243" s="104"/>
      <c r="BF243" s="104"/>
      <c r="BG243" s="104"/>
      <c r="BH243" s="104"/>
      <c r="BI243" s="104"/>
      <c r="BJ243" s="104"/>
      <c r="BK243" s="104"/>
      <c r="BL243" s="104"/>
      <c r="BM243" s="104"/>
      <c r="BN243" s="104"/>
      <c r="BO243" s="104"/>
    </row>
    <row r="244" spans="1:67" ht="36" x14ac:dyDescent="0.25">
      <c r="A244" s="104"/>
      <c r="B244" s="104"/>
      <c r="C244" s="104"/>
      <c r="D244" s="104"/>
      <c r="E244" s="104"/>
      <c r="F244" s="104"/>
      <c r="G244" s="104"/>
      <c r="H244" s="104"/>
      <c r="I244" s="104"/>
      <c r="J244" s="104"/>
      <c r="K244" s="104"/>
      <c r="L244" s="104"/>
      <c r="M244" s="104"/>
      <c r="N244" s="104"/>
      <c r="O244" s="104"/>
      <c r="P244" s="104"/>
      <c r="Q244" s="104"/>
      <c r="R244" s="104"/>
      <c r="S244" s="104"/>
      <c r="T244" s="104"/>
      <c r="U244" s="104"/>
      <c r="V244" s="104"/>
      <c r="W244" s="104"/>
      <c r="X244" s="104"/>
      <c r="Y244" s="104"/>
      <c r="Z244" s="104"/>
      <c r="AA244" s="104"/>
      <c r="AB244" s="104"/>
      <c r="AC244" s="104"/>
      <c r="AD244" s="104"/>
      <c r="AE244" s="104"/>
      <c r="AF244" s="104"/>
      <c r="AG244" s="104"/>
      <c r="AH244" s="104"/>
      <c r="AI244" s="104"/>
      <c r="AJ244" s="104"/>
      <c r="AK244" s="104"/>
      <c r="AL244" s="104"/>
      <c r="AM244" s="104"/>
      <c r="AN244" s="104"/>
      <c r="AO244" s="104"/>
      <c r="AP244" s="104"/>
      <c r="AQ244" s="104"/>
      <c r="AR244" s="104"/>
      <c r="AS244" s="104"/>
      <c r="AT244" s="104"/>
      <c r="AU244" s="104"/>
      <c r="AV244" s="104"/>
      <c r="AW244" s="104"/>
      <c r="AX244" s="104"/>
      <c r="AY244" s="104"/>
      <c r="AZ244" s="104"/>
      <c r="BA244" s="104"/>
      <c r="BB244" s="104"/>
      <c r="BC244" s="104"/>
      <c r="BD244" s="104"/>
      <c r="BE244" s="104"/>
      <c r="BF244" s="104"/>
      <c r="BG244" s="104"/>
      <c r="BH244" s="104"/>
      <c r="BI244" s="104"/>
      <c r="BJ244" s="104"/>
      <c r="BK244" s="104"/>
      <c r="BL244" s="104"/>
      <c r="BM244" s="104"/>
      <c r="BN244" s="104"/>
      <c r="BO244" s="104"/>
    </row>
    <row r="245" spans="1:67" ht="36" x14ac:dyDescent="0.25">
      <c r="A245" s="104"/>
      <c r="B245" s="104"/>
      <c r="C245" s="104"/>
      <c r="D245" s="104"/>
      <c r="E245" s="104"/>
      <c r="F245" s="104"/>
      <c r="G245" s="104"/>
      <c r="H245" s="104"/>
      <c r="I245" s="104"/>
      <c r="J245" s="104"/>
      <c r="K245" s="104"/>
      <c r="L245" s="104"/>
      <c r="M245" s="104"/>
      <c r="N245" s="104"/>
      <c r="O245" s="104"/>
      <c r="P245" s="104"/>
      <c r="Q245" s="104"/>
      <c r="R245" s="104"/>
      <c r="S245" s="104"/>
      <c r="T245" s="104"/>
      <c r="U245" s="104"/>
      <c r="V245" s="104"/>
      <c r="W245" s="104"/>
      <c r="X245" s="104"/>
      <c r="Y245" s="104"/>
      <c r="Z245" s="104"/>
      <c r="AA245" s="104"/>
      <c r="AB245" s="104"/>
      <c r="AC245" s="104"/>
      <c r="AD245" s="104"/>
      <c r="AE245" s="104"/>
      <c r="AF245" s="104"/>
      <c r="AG245" s="104"/>
      <c r="AH245" s="104"/>
      <c r="AI245" s="104"/>
      <c r="AJ245" s="104"/>
      <c r="AK245" s="104"/>
      <c r="AL245" s="104"/>
      <c r="AM245" s="104"/>
      <c r="AN245" s="104"/>
      <c r="AO245" s="104"/>
      <c r="AP245" s="104"/>
      <c r="AQ245" s="104"/>
      <c r="AR245" s="104"/>
      <c r="AS245" s="104"/>
      <c r="AT245" s="104"/>
      <c r="AU245" s="104"/>
      <c r="AV245" s="104"/>
      <c r="AW245" s="104"/>
      <c r="AX245" s="104"/>
      <c r="AY245" s="104"/>
      <c r="AZ245" s="104"/>
      <c r="BA245" s="104"/>
      <c r="BB245" s="104"/>
      <c r="BC245" s="104"/>
      <c r="BD245" s="104"/>
      <c r="BE245" s="104"/>
      <c r="BF245" s="104"/>
      <c r="BG245" s="104"/>
      <c r="BH245" s="104"/>
      <c r="BI245" s="104"/>
      <c r="BJ245" s="104"/>
      <c r="BK245" s="104"/>
      <c r="BL245" s="104"/>
      <c r="BM245" s="104"/>
      <c r="BN245" s="104"/>
      <c r="BO245" s="104"/>
    </row>
    <row r="246" spans="1:67" ht="36" x14ac:dyDescent="0.25">
      <c r="A246" s="104"/>
      <c r="B246" s="104"/>
      <c r="C246" s="104"/>
      <c r="D246" s="104"/>
      <c r="E246" s="104"/>
      <c r="F246" s="104"/>
      <c r="G246" s="104"/>
      <c r="H246" s="104"/>
      <c r="I246" s="104"/>
      <c r="J246" s="104"/>
      <c r="K246" s="104"/>
      <c r="L246" s="104"/>
      <c r="M246" s="104"/>
      <c r="N246" s="104"/>
      <c r="O246" s="104"/>
      <c r="P246" s="104"/>
      <c r="Q246" s="104"/>
      <c r="R246" s="104"/>
      <c r="S246" s="104"/>
      <c r="T246" s="104"/>
      <c r="U246" s="104"/>
      <c r="V246" s="104"/>
      <c r="W246" s="104"/>
      <c r="X246" s="104"/>
      <c r="Y246" s="104"/>
      <c r="Z246" s="104"/>
      <c r="AA246" s="104"/>
      <c r="AB246" s="104"/>
      <c r="AC246" s="104"/>
      <c r="AD246" s="104"/>
      <c r="AE246" s="104"/>
      <c r="AF246" s="104"/>
      <c r="AG246" s="104"/>
      <c r="AH246" s="104"/>
      <c r="AI246" s="104"/>
      <c r="AJ246" s="104"/>
      <c r="AK246" s="104"/>
      <c r="AL246" s="104"/>
      <c r="AM246" s="104"/>
      <c r="AN246" s="104"/>
      <c r="AO246" s="104"/>
      <c r="AP246" s="104"/>
      <c r="AQ246" s="104"/>
      <c r="AR246" s="104"/>
      <c r="AS246" s="104"/>
      <c r="AT246" s="104"/>
      <c r="AU246" s="104"/>
      <c r="AV246" s="104"/>
      <c r="AW246" s="104"/>
      <c r="AX246" s="104"/>
      <c r="AY246" s="104"/>
      <c r="AZ246" s="104"/>
      <c r="BA246" s="104"/>
      <c r="BB246" s="104"/>
      <c r="BC246" s="104"/>
      <c r="BD246" s="104"/>
      <c r="BE246" s="104"/>
      <c r="BF246" s="104"/>
      <c r="BG246" s="104"/>
      <c r="BH246" s="104"/>
      <c r="BI246" s="104"/>
      <c r="BJ246" s="104"/>
      <c r="BK246" s="104"/>
      <c r="BL246" s="104"/>
      <c r="BM246" s="104"/>
      <c r="BN246" s="104"/>
      <c r="BO246" s="104"/>
    </row>
    <row r="247" spans="1:67" ht="36" x14ac:dyDescent="0.25">
      <c r="A247" s="104"/>
      <c r="B247" s="104"/>
      <c r="C247" s="104"/>
      <c r="D247" s="104"/>
      <c r="E247" s="104"/>
      <c r="F247" s="104"/>
      <c r="G247" s="104"/>
      <c r="H247" s="104"/>
      <c r="I247" s="104"/>
      <c r="J247" s="104"/>
      <c r="K247" s="104"/>
      <c r="L247" s="104"/>
      <c r="M247" s="104"/>
      <c r="N247" s="104"/>
      <c r="O247" s="104"/>
      <c r="P247" s="104"/>
      <c r="Q247" s="104"/>
      <c r="R247" s="104"/>
      <c r="S247" s="104"/>
      <c r="T247" s="104"/>
      <c r="U247" s="104"/>
      <c r="V247" s="104"/>
      <c r="W247" s="104"/>
      <c r="X247" s="104"/>
      <c r="Y247" s="104"/>
      <c r="Z247" s="104"/>
      <c r="AA247" s="104"/>
      <c r="AB247" s="104"/>
      <c r="AC247" s="104"/>
      <c r="AD247" s="104"/>
      <c r="AE247" s="104"/>
      <c r="AF247" s="104"/>
      <c r="AG247" s="104"/>
      <c r="AH247" s="104"/>
      <c r="AI247" s="104"/>
      <c r="AJ247" s="104"/>
      <c r="AK247" s="104"/>
      <c r="AL247" s="104"/>
      <c r="AM247" s="104"/>
      <c r="AN247" s="104"/>
      <c r="AO247" s="104"/>
      <c r="AP247" s="104"/>
      <c r="AQ247" s="104"/>
      <c r="AR247" s="104"/>
      <c r="AS247" s="104"/>
      <c r="AT247" s="104"/>
      <c r="AU247" s="104"/>
      <c r="AV247" s="104"/>
      <c r="AW247" s="104"/>
      <c r="AX247" s="104"/>
      <c r="AY247" s="104"/>
      <c r="AZ247" s="104"/>
      <c r="BA247" s="104"/>
      <c r="BB247" s="104"/>
      <c r="BC247" s="104"/>
      <c r="BD247" s="104"/>
      <c r="BE247" s="104"/>
      <c r="BF247" s="104"/>
      <c r="BG247" s="104"/>
      <c r="BH247" s="104"/>
      <c r="BI247" s="104"/>
      <c r="BJ247" s="104"/>
      <c r="BK247" s="104"/>
      <c r="BL247" s="104"/>
      <c r="BM247" s="104"/>
      <c r="BN247" s="104"/>
      <c r="BO247" s="104"/>
    </row>
    <row r="248" spans="1:67" ht="36" x14ac:dyDescent="0.25">
      <c r="A248" s="104"/>
      <c r="B248" s="104"/>
      <c r="C248" s="104"/>
      <c r="D248" s="104"/>
      <c r="E248" s="104"/>
      <c r="F248" s="104"/>
      <c r="G248" s="104"/>
      <c r="H248" s="104"/>
      <c r="I248" s="104"/>
      <c r="J248" s="104"/>
      <c r="K248" s="104"/>
      <c r="L248" s="104"/>
      <c r="M248" s="104"/>
      <c r="N248" s="104"/>
      <c r="O248" s="104"/>
      <c r="P248" s="104"/>
      <c r="Q248" s="104"/>
      <c r="R248" s="104"/>
      <c r="S248" s="104"/>
      <c r="T248" s="104"/>
      <c r="U248" s="104"/>
      <c r="V248" s="104"/>
      <c r="W248" s="104"/>
      <c r="X248" s="104"/>
      <c r="Y248" s="104"/>
      <c r="Z248" s="104"/>
      <c r="AA248" s="104"/>
      <c r="AB248" s="104"/>
      <c r="AC248" s="104"/>
      <c r="AD248" s="104"/>
      <c r="AE248" s="104"/>
      <c r="AF248" s="104"/>
      <c r="AG248" s="104"/>
      <c r="AH248" s="104"/>
      <c r="AI248" s="104"/>
      <c r="AJ248" s="104"/>
      <c r="AK248" s="104"/>
      <c r="AL248" s="104"/>
      <c r="AM248" s="104"/>
      <c r="AN248" s="104"/>
      <c r="AO248" s="104"/>
      <c r="AP248" s="104"/>
      <c r="AQ248" s="104"/>
      <c r="AR248" s="104"/>
      <c r="AS248" s="104"/>
      <c r="AT248" s="104"/>
      <c r="AU248" s="104"/>
      <c r="AV248" s="104"/>
      <c r="AW248" s="104"/>
      <c r="AX248" s="104"/>
      <c r="AY248" s="104"/>
      <c r="AZ248" s="104"/>
      <c r="BA248" s="104"/>
      <c r="BB248" s="104"/>
      <c r="BC248" s="104"/>
      <c r="BD248" s="104"/>
      <c r="BE248" s="104"/>
      <c r="BF248" s="104"/>
      <c r="BG248" s="104"/>
      <c r="BH248" s="104"/>
      <c r="BI248" s="104"/>
      <c r="BJ248" s="104"/>
      <c r="BK248" s="104"/>
      <c r="BL248" s="104"/>
      <c r="BM248" s="104"/>
      <c r="BN248" s="104"/>
      <c r="BO248" s="104"/>
    </row>
    <row r="249" spans="1:67" ht="36" x14ac:dyDescent="0.25">
      <c r="A249" s="104"/>
      <c r="B249" s="104"/>
      <c r="C249" s="104"/>
      <c r="D249" s="104"/>
      <c r="E249" s="104"/>
      <c r="F249" s="104"/>
      <c r="G249" s="104"/>
      <c r="H249" s="104"/>
      <c r="I249" s="104"/>
      <c r="J249" s="104"/>
      <c r="K249" s="104"/>
      <c r="L249" s="104"/>
      <c r="M249" s="104"/>
      <c r="N249" s="104"/>
      <c r="O249" s="104"/>
      <c r="P249" s="104"/>
      <c r="Q249" s="104"/>
      <c r="R249" s="104"/>
      <c r="S249" s="104"/>
      <c r="T249" s="104"/>
      <c r="U249" s="104"/>
      <c r="V249" s="104"/>
      <c r="W249" s="104"/>
      <c r="X249" s="104"/>
      <c r="Y249" s="104"/>
      <c r="Z249" s="104"/>
      <c r="AA249" s="104"/>
      <c r="AB249" s="104"/>
      <c r="AC249" s="104"/>
      <c r="AD249" s="104"/>
      <c r="AE249" s="104"/>
      <c r="AF249" s="104"/>
      <c r="AG249" s="104"/>
      <c r="AH249" s="104"/>
      <c r="AI249" s="104"/>
      <c r="AJ249" s="104"/>
      <c r="AK249" s="104"/>
      <c r="AL249" s="104"/>
      <c r="AM249" s="104"/>
      <c r="AN249" s="104"/>
      <c r="AO249" s="104"/>
      <c r="AP249" s="104"/>
      <c r="AQ249" s="104"/>
      <c r="AR249" s="104"/>
      <c r="AS249" s="104"/>
      <c r="AT249" s="104"/>
      <c r="AU249" s="104"/>
      <c r="AV249" s="104"/>
      <c r="AW249" s="104"/>
      <c r="AX249" s="104"/>
      <c r="AY249" s="104"/>
      <c r="AZ249" s="104"/>
      <c r="BA249" s="104"/>
      <c r="BB249" s="104"/>
      <c r="BC249" s="104"/>
      <c r="BD249" s="104"/>
      <c r="BE249" s="104"/>
      <c r="BF249" s="104"/>
      <c r="BG249" s="104"/>
      <c r="BH249" s="104"/>
      <c r="BI249" s="104"/>
      <c r="BJ249" s="104"/>
      <c r="BK249" s="104"/>
      <c r="BL249" s="104"/>
      <c r="BM249" s="104"/>
      <c r="BN249" s="104"/>
      <c r="BO249" s="104"/>
    </row>
    <row r="250" spans="1:67" ht="36" x14ac:dyDescent="0.25">
      <c r="A250" s="104"/>
      <c r="B250" s="104"/>
      <c r="C250" s="104"/>
      <c r="D250" s="104"/>
      <c r="E250" s="104"/>
      <c r="F250" s="104"/>
      <c r="G250" s="104"/>
      <c r="H250" s="104"/>
      <c r="I250" s="104"/>
      <c r="J250" s="104"/>
      <c r="K250" s="104"/>
      <c r="L250" s="104"/>
      <c r="M250" s="104"/>
      <c r="N250" s="104"/>
      <c r="O250" s="104"/>
      <c r="P250" s="104"/>
      <c r="Q250" s="104"/>
      <c r="R250" s="104"/>
      <c r="S250" s="104"/>
      <c r="T250" s="104"/>
      <c r="U250" s="104"/>
      <c r="V250" s="104"/>
      <c r="W250" s="104"/>
      <c r="X250" s="104"/>
      <c r="Y250" s="104"/>
      <c r="Z250" s="104"/>
      <c r="AA250" s="104"/>
      <c r="AB250" s="104"/>
      <c r="AC250" s="104"/>
      <c r="AD250" s="104"/>
      <c r="AE250" s="104"/>
      <c r="AF250" s="104"/>
      <c r="AG250" s="104"/>
      <c r="AH250" s="104"/>
      <c r="AI250" s="104"/>
      <c r="AJ250" s="104"/>
      <c r="AK250" s="104"/>
      <c r="AL250" s="104"/>
      <c r="AM250" s="104"/>
      <c r="AN250" s="104"/>
      <c r="AO250" s="104"/>
      <c r="AP250" s="104"/>
      <c r="AQ250" s="104"/>
      <c r="AR250" s="104"/>
      <c r="AS250" s="104"/>
      <c r="AT250" s="104"/>
      <c r="AU250" s="104"/>
      <c r="AV250" s="104"/>
      <c r="AW250" s="104"/>
      <c r="AX250" s="104"/>
      <c r="AY250" s="104"/>
      <c r="AZ250" s="104"/>
      <c r="BA250" s="104"/>
      <c r="BB250" s="104"/>
      <c r="BC250" s="104"/>
      <c r="BD250" s="104"/>
      <c r="BE250" s="104"/>
      <c r="BF250" s="104"/>
      <c r="BG250" s="104"/>
      <c r="BH250" s="104"/>
      <c r="BI250" s="104"/>
      <c r="BJ250" s="104"/>
      <c r="BK250" s="104"/>
      <c r="BL250" s="104"/>
      <c r="BM250" s="104"/>
      <c r="BN250" s="104"/>
      <c r="BO250" s="104"/>
    </row>
    <row r="251" spans="1:67" ht="36" x14ac:dyDescent="0.25">
      <c r="A251" s="104"/>
      <c r="B251" s="104"/>
      <c r="C251" s="104"/>
      <c r="D251" s="104"/>
      <c r="E251" s="104"/>
      <c r="F251" s="104"/>
      <c r="G251" s="104"/>
      <c r="H251" s="104"/>
      <c r="I251" s="104"/>
      <c r="J251" s="104"/>
      <c r="K251" s="104"/>
      <c r="L251" s="104"/>
      <c r="M251" s="104"/>
      <c r="N251" s="104"/>
      <c r="O251" s="104"/>
      <c r="P251" s="104"/>
      <c r="Q251" s="104"/>
      <c r="R251" s="104"/>
      <c r="S251" s="104"/>
      <c r="T251" s="104"/>
      <c r="U251" s="104"/>
      <c r="V251" s="104"/>
      <c r="W251" s="104"/>
      <c r="X251" s="104"/>
      <c r="Y251" s="104"/>
      <c r="Z251" s="104"/>
      <c r="AA251" s="104"/>
      <c r="AB251" s="104"/>
      <c r="AC251" s="104"/>
      <c r="AD251" s="104"/>
      <c r="AE251" s="104"/>
      <c r="AF251" s="104"/>
      <c r="AG251" s="104"/>
      <c r="AH251" s="104"/>
      <c r="AI251" s="104"/>
      <c r="AJ251" s="104"/>
      <c r="AK251" s="104"/>
      <c r="AL251" s="104"/>
      <c r="AM251" s="104"/>
      <c r="AN251" s="104"/>
      <c r="AO251" s="104"/>
      <c r="AP251" s="104"/>
      <c r="AQ251" s="104"/>
      <c r="AR251" s="104"/>
      <c r="AS251" s="104"/>
      <c r="AT251" s="104"/>
      <c r="AU251" s="104"/>
      <c r="AV251" s="104"/>
      <c r="AW251" s="104"/>
      <c r="AX251" s="104"/>
      <c r="AY251" s="104"/>
      <c r="AZ251" s="104"/>
      <c r="BA251" s="104"/>
      <c r="BB251" s="104"/>
      <c r="BC251" s="104"/>
      <c r="BD251" s="104"/>
      <c r="BE251" s="104"/>
      <c r="BF251" s="104"/>
      <c r="BG251" s="104"/>
      <c r="BH251" s="104"/>
      <c r="BI251" s="104"/>
      <c r="BJ251" s="104"/>
      <c r="BK251" s="104"/>
      <c r="BL251" s="104"/>
      <c r="BM251" s="104"/>
      <c r="BN251" s="104"/>
      <c r="BO251" s="104"/>
    </row>
    <row r="252" spans="1:67" ht="36" x14ac:dyDescent="0.25">
      <c r="A252" s="104"/>
      <c r="B252" s="104"/>
      <c r="C252" s="104"/>
      <c r="D252" s="104"/>
      <c r="E252" s="104"/>
      <c r="F252" s="104"/>
      <c r="G252" s="104"/>
      <c r="H252" s="104"/>
      <c r="I252" s="104"/>
      <c r="J252" s="104"/>
      <c r="K252" s="104"/>
      <c r="L252" s="104"/>
      <c r="M252" s="104"/>
      <c r="N252" s="104"/>
      <c r="O252" s="104"/>
      <c r="P252" s="104"/>
      <c r="Q252" s="104"/>
      <c r="R252" s="104"/>
      <c r="S252" s="104"/>
      <c r="T252" s="104"/>
      <c r="U252" s="104"/>
      <c r="V252" s="104"/>
      <c r="W252" s="104"/>
      <c r="X252" s="104"/>
      <c r="Y252" s="104"/>
      <c r="Z252" s="104"/>
      <c r="AA252" s="104"/>
      <c r="AB252" s="104"/>
      <c r="AC252" s="104"/>
      <c r="AD252" s="104"/>
      <c r="AE252" s="104"/>
      <c r="AF252" s="104"/>
      <c r="AG252" s="104"/>
      <c r="AH252" s="104"/>
      <c r="AI252" s="104"/>
      <c r="AJ252" s="104"/>
      <c r="AK252" s="104"/>
      <c r="AL252" s="104"/>
      <c r="AM252" s="104"/>
      <c r="AN252" s="104"/>
      <c r="AO252" s="104"/>
      <c r="AP252" s="104"/>
      <c r="AQ252" s="104"/>
      <c r="AR252" s="104"/>
      <c r="AS252" s="104"/>
      <c r="AT252" s="104"/>
      <c r="AU252" s="104"/>
      <c r="AV252" s="104"/>
      <c r="AW252" s="104"/>
      <c r="AX252" s="104"/>
      <c r="AY252" s="104"/>
      <c r="AZ252" s="104"/>
      <c r="BA252" s="104"/>
      <c r="BB252" s="104"/>
      <c r="BC252" s="104"/>
      <c r="BD252" s="104"/>
      <c r="BE252" s="104"/>
      <c r="BF252" s="104"/>
      <c r="BG252" s="104"/>
      <c r="BH252" s="104"/>
      <c r="BI252" s="104"/>
      <c r="BJ252" s="104"/>
      <c r="BK252" s="104"/>
      <c r="BL252" s="104"/>
      <c r="BM252" s="104"/>
      <c r="BN252" s="104"/>
      <c r="BO252" s="104"/>
    </row>
    <row r="253" spans="1:67" ht="36" x14ac:dyDescent="0.25">
      <c r="A253" s="104"/>
      <c r="B253" s="104"/>
      <c r="C253" s="104"/>
      <c r="D253" s="104"/>
      <c r="E253" s="104"/>
      <c r="F253" s="104"/>
      <c r="G253" s="104"/>
      <c r="H253" s="104"/>
      <c r="I253" s="104"/>
      <c r="J253" s="104"/>
      <c r="K253" s="104"/>
      <c r="L253" s="104"/>
      <c r="M253" s="104"/>
      <c r="N253" s="104"/>
      <c r="O253" s="104"/>
      <c r="P253" s="104"/>
      <c r="Q253" s="104"/>
      <c r="R253" s="104"/>
      <c r="S253" s="104"/>
      <c r="T253" s="104"/>
      <c r="U253" s="104"/>
      <c r="V253" s="104"/>
      <c r="W253" s="104"/>
      <c r="X253" s="104"/>
      <c r="Y253" s="104"/>
      <c r="Z253" s="104"/>
      <c r="AA253" s="104"/>
      <c r="AB253" s="104"/>
      <c r="AC253" s="104"/>
      <c r="AD253" s="104"/>
      <c r="AE253" s="104"/>
      <c r="AF253" s="104"/>
      <c r="AG253" s="104"/>
      <c r="AH253" s="104"/>
      <c r="AI253" s="104"/>
      <c r="AJ253" s="104"/>
      <c r="AK253" s="104"/>
      <c r="AL253" s="104"/>
      <c r="AM253" s="104"/>
      <c r="AN253" s="104"/>
      <c r="AO253" s="104"/>
      <c r="AP253" s="104"/>
      <c r="AQ253" s="104"/>
      <c r="AR253" s="104"/>
      <c r="AS253" s="104"/>
      <c r="AT253" s="104"/>
      <c r="AU253" s="104"/>
      <c r="AV253" s="104"/>
      <c r="AW253" s="104"/>
      <c r="AX253" s="104"/>
      <c r="AY253" s="104"/>
      <c r="AZ253" s="104"/>
      <c r="BA253" s="104"/>
      <c r="BB253" s="104"/>
      <c r="BC253" s="104"/>
      <c r="BD253" s="104"/>
      <c r="BE253" s="104"/>
      <c r="BF253" s="104"/>
      <c r="BG253" s="104"/>
      <c r="BH253" s="104"/>
      <c r="BI253" s="104"/>
      <c r="BJ253" s="104"/>
      <c r="BK253" s="104"/>
      <c r="BL253" s="104"/>
      <c r="BM253" s="104"/>
      <c r="BN253" s="104"/>
      <c r="BO253" s="104"/>
    </row>
    <row r="254" spans="1:67" ht="36" x14ac:dyDescent="0.25">
      <c r="A254" s="104"/>
      <c r="B254" s="104"/>
      <c r="C254" s="104"/>
      <c r="D254" s="104"/>
      <c r="E254" s="104"/>
      <c r="F254" s="104"/>
      <c r="G254" s="104"/>
      <c r="H254" s="104"/>
      <c r="I254" s="104"/>
      <c r="J254" s="104"/>
      <c r="K254" s="104"/>
      <c r="L254" s="104"/>
      <c r="M254" s="104"/>
      <c r="N254" s="104"/>
      <c r="O254" s="104"/>
      <c r="P254" s="104"/>
      <c r="Q254" s="104"/>
      <c r="R254" s="104"/>
      <c r="S254" s="104"/>
      <c r="T254" s="104"/>
      <c r="U254" s="104"/>
      <c r="V254" s="104"/>
      <c r="W254" s="104"/>
      <c r="X254" s="104"/>
      <c r="Y254" s="104"/>
      <c r="Z254" s="104"/>
      <c r="AA254" s="104"/>
      <c r="AB254" s="104"/>
      <c r="AC254" s="104"/>
      <c r="AD254" s="104"/>
      <c r="AE254" s="104"/>
      <c r="AF254" s="104"/>
      <c r="AG254" s="104"/>
      <c r="AH254" s="104"/>
      <c r="AI254" s="104"/>
      <c r="AJ254" s="104"/>
      <c r="AK254" s="104"/>
      <c r="AL254" s="104"/>
      <c r="AM254" s="104"/>
      <c r="AN254" s="104"/>
      <c r="AO254" s="104"/>
      <c r="AP254" s="104"/>
      <c r="AQ254" s="104"/>
      <c r="AR254" s="104"/>
      <c r="AS254" s="104"/>
      <c r="AT254" s="104"/>
      <c r="AU254" s="104"/>
      <c r="AV254" s="104"/>
      <c r="AW254" s="104"/>
      <c r="AX254" s="104"/>
      <c r="AY254" s="104"/>
      <c r="AZ254" s="104"/>
      <c r="BA254" s="104"/>
      <c r="BB254" s="104"/>
      <c r="BC254" s="104"/>
      <c r="BD254" s="104"/>
      <c r="BE254" s="104"/>
      <c r="BF254" s="104"/>
      <c r="BG254" s="104"/>
      <c r="BH254" s="104"/>
      <c r="BI254" s="104"/>
      <c r="BJ254" s="104"/>
      <c r="BK254" s="104"/>
      <c r="BL254" s="104"/>
      <c r="BM254" s="104"/>
      <c r="BN254" s="104"/>
      <c r="BO254" s="104"/>
    </row>
    <row r="255" spans="1:67" ht="36" x14ac:dyDescent="0.25">
      <c r="A255" s="104"/>
      <c r="B255" s="104"/>
      <c r="C255" s="104"/>
      <c r="D255" s="104"/>
      <c r="E255" s="104"/>
      <c r="F255" s="104"/>
      <c r="G255" s="104"/>
      <c r="H255" s="104"/>
      <c r="I255" s="104"/>
      <c r="J255" s="104"/>
      <c r="K255" s="104"/>
      <c r="L255" s="104"/>
      <c r="M255" s="104"/>
      <c r="N255" s="104"/>
      <c r="O255" s="104"/>
      <c r="P255" s="104"/>
      <c r="Q255" s="104"/>
      <c r="R255" s="104"/>
      <c r="S255" s="104"/>
      <c r="T255" s="104"/>
      <c r="U255" s="104"/>
      <c r="V255" s="104"/>
      <c r="W255" s="104"/>
      <c r="X255" s="104"/>
      <c r="Y255" s="104"/>
      <c r="Z255" s="104"/>
      <c r="AA255" s="104"/>
      <c r="AB255" s="104"/>
      <c r="AC255" s="104"/>
      <c r="AD255" s="104"/>
      <c r="AE255" s="104"/>
      <c r="AF255" s="104"/>
      <c r="AG255" s="104"/>
      <c r="AH255" s="104"/>
      <c r="AI255" s="104"/>
      <c r="AJ255" s="104"/>
      <c r="AK255" s="104"/>
      <c r="AL255" s="104"/>
      <c r="AM255" s="104"/>
      <c r="AN255" s="104"/>
      <c r="AO255" s="104"/>
      <c r="AP255" s="104"/>
      <c r="AQ255" s="104"/>
      <c r="AR255" s="104"/>
      <c r="AS255" s="104"/>
      <c r="AT255" s="104"/>
      <c r="AU255" s="104"/>
      <c r="AV255" s="104"/>
      <c r="AW255" s="104"/>
      <c r="AX255" s="104"/>
      <c r="AY255" s="104"/>
      <c r="AZ255" s="104"/>
      <c r="BA255" s="104"/>
      <c r="BB255" s="104"/>
      <c r="BC255" s="104"/>
      <c r="BD255" s="104"/>
      <c r="BE255" s="104"/>
      <c r="BF255" s="104"/>
      <c r="BG255" s="104"/>
      <c r="BH255" s="104"/>
      <c r="BI255" s="104"/>
      <c r="BJ255" s="104"/>
      <c r="BK255" s="104"/>
      <c r="BL255" s="104"/>
      <c r="BM255" s="104"/>
      <c r="BN255" s="104"/>
      <c r="BO255" s="104"/>
    </row>
    <row r="256" spans="1:67" ht="36" x14ac:dyDescent="0.25">
      <c r="A256" s="104"/>
      <c r="B256" s="104"/>
      <c r="C256" s="104"/>
      <c r="D256" s="104"/>
      <c r="E256" s="104"/>
      <c r="F256" s="104"/>
      <c r="G256" s="104"/>
      <c r="H256" s="104"/>
      <c r="I256" s="104"/>
      <c r="J256" s="104"/>
      <c r="K256" s="104"/>
      <c r="L256" s="104"/>
      <c r="M256" s="104"/>
      <c r="N256" s="104"/>
      <c r="O256" s="104"/>
      <c r="P256" s="104"/>
      <c r="Q256" s="104"/>
      <c r="R256" s="104"/>
      <c r="S256" s="104"/>
      <c r="T256" s="104"/>
      <c r="U256" s="104"/>
      <c r="V256" s="104"/>
      <c r="W256" s="104"/>
      <c r="X256" s="104"/>
      <c r="Y256" s="104"/>
      <c r="Z256" s="104"/>
      <c r="AA256" s="104"/>
      <c r="AB256" s="104"/>
      <c r="AC256" s="104"/>
      <c r="AD256" s="104"/>
      <c r="AE256" s="104"/>
      <c r="AF256" s="104"/>
      <c r="AG256" s="104"/>
      <c r="AH256" s="104"/>
      <c r="AI256" s="104"/>
      <c r="AJ256" s="104"/>
      <c r="AK256" s="104"/>
      <c r="AL256" s="104"/>
      <c r="AM256" s="104"/>
      <c r="AN256" s="104"/>
      <c r="AO256" s="104"/>
      <c r="AP256" s="104"/>
      <c r="AQ256" s="104"/>
      <c r="AR256" s="104"/>
      <c r="AS256" s="104"/>
      <c r="AT256" s="104"/>
      <c r="AU256" s="104"/>
      <c r="AV256" s="104"/>
      <c r="AW256" s="104"/>
      <c r="AX256" s="104"/>
      <c r="AY256" s="104"/>
      <c r="AZ256" s="104"/>
      <c r="BA256" s="104"/>
      <c r="BB256" s="104"/>
      <c r="BC256" s="104"/>
      <c r="BD256" s="104"/>
      <c r="BE256" s="104"/>
      <c r="BF256" s="104"/>
      <c r="BG256" s="104"/>
      <c r="BH256" s="104"/>
      <c r="BI256" s="104"/>
      <c r="BJ256" s="104"/>
      <c r="BK256" s="104"/>
      <c r="BL256" s="104"/>
      <c r="BM256" s="104"/>
      <c r="BN256" s="104"/>
      <c r="BO256" s="104"/>
    </row>
    <row r="257" spans="1:67" ht="36" x14ac:dyDescent="0.25">
      <c r="A257" s="104"/>
      <c r="B257" s="104"/>
      <c r="C257" s="104"/>
      <c r="D257" s="104"/>
      <c r="E257" s="104"/>
      <c r="F257" s="104"/>
      <c r="G257" s="104"/>
      <c r="H257" s="104"/>
      <c r="I257" s="104"/>
      <c r="J257" s="104"/>
      <c r="K257" s="104"/>
      <c r="L257" s="104"/>
      <c r="M257" s="104"/>
      <c r="N257" s="104"/>
      <c r="O257" s="104"/>
      <c r="P257" s="104"/>
      <c r="Q257" s="104"/>
      <c r="R257" s="104"/>
      <c r="S257" s="104"/>
      <c r="T257" s="104"/>
      <c r="U257" s="104"/>
      <c r="V257" s="104"/>
      <c r="W257" s="104"/>
      <c r="X257" s="104"/>
      <c r="Y257" s="104"/>
      <c r="Z257" s="104"/>
      <c r="AA257" s="104"/>
      <c r="AB257" s="104"/>
      <c r="AC257" s="104"/>
      <c r="AD257" s="104"/>
      <c r="AE257" s="104"/>
      <c r="AF257" s="104"/>
      <c r="AG257" s="104"/>
      <c r="AH257" s="104"/>
      <c r="AI257" s="104"/>
      <c r="AJ257" s="104"/>
      <c r="AK257" s="104"/>
      <c r="AL257" s="104"/>
      <c r="AM257" s="104"/>
      <c r="AN257" s="104"/>
      <c r="AO257" s="104"/>
      <c r="AP257" s="104"/>
      <c r="AQ257" s="104"/>
      <c r="AR257" s="104"/>
      <c r="AS257" s="104"/>
      <c r="AT257" s="104"/>
      <c r="AU257" s="104"/>
      <c r="AV257" s="104"/>
      <c r="AW257" s="104"/>
      <c r="AX257" s="104"/>
      <c r="AY257" s="104"/>
      <c r="AZ257" s="104"/>
      <c r="BA257" s="104"/>
      <c r="BB257" s="104"/>
      <c r="BC257" s="104"/>
      <c r="BD257" s="104"/>
      <c r="BE257" s="104"/>
      <c r="BF257" s="104"/>
      <c r="BG257" s="104"/>
      <c r="BH257" s="104"/>
      <c r="BI257" s="104"/>
      <c r="BJ257" s="104"/>
      <c r="BK257" s="104"/>
      <c r="BL257" s="104"/>
      <c r="BM257" s="104"/>
      <c r="BN257" s="104"/>
      <c r="BO257" s="104"/>
    </row>
    <row r="258" spans="1:67" ht="36" x14ac:dyDescent="0.25">
      <c r="A258" s="104"/>
      <c r="B258" s="104"/>
      <c r="C258" s="104"/>
      <c r="D258" s="104"/>
      <c r="E258" s="104"/>
      <c r="F258" s="104"/>
      <c r="G258" s="104"/>
      <c r="H258" s="104"/>
      <c r="I258" s="104"/>
      <c r="J258" s="104"/>
      <c r="K258" s="104"/>
      <c r="L258" s="104"/>
      <c r="M258" s="104"/>
      <c r="N258" s="104"/>
      <c r="O258" s="104"/>
      <c r="P258" s="104"/>
      <c r="Q258" s="104"/>
      <c r="R258" s="104"/>
      <c r="S258" s="104"/>
      <c r="T258" s="104"/>
      <c r="U258" s="104"/>
      <c r="V258" s="104"/>
      <c r="W258" s="104"/>
      <c r="X258" s="104"/>
      <c r="Y258" s="104"/>
      <c r="Z258" s="104"/>
      <c r="AA258" s="104"/>
      <c r="AB258" s="104"/>
      <c r="AC258" s="104"/>
      <c r="AD258" s="104"/>
      <c r="AE258" s="104"/>
      <c r="AF258" s="104"/>
      <c r="AG258" s="104"/>
      <c r="AH258" s="104"/>
      <c r="AI258" s="104"/>
      <c r="AJ258" s="104"/>
      <c r="AK258" s="104"/>
      <c r="AL258" s="104"/>
      <c r="AM258" s="104"/>
      <c r="AN258" s="104"/>
      <c r="AO258" s="104"/>
      <c r="AP258" s="104"/>
      <c r="AQ258" s="104"/>
      <c r="AR258" s="104"/>
      <c r="AS258" s="104"/>
      <c r="AT258" s="104"/>
      <c r="AU258" s="104"/>
      <c r="AV258" s="104"/>
      <c r="AW258" s="104"/>
      <c r="AX258" s="104"/>
      <c r="AY258" s="104"/>
      <c r="AZ258" s="104"/>
      <c r="BA258" s="104"/>
      <c r="BB258" s="104"/>
      <c r="BC258" s="104"/>
      <c r="BD258" s="104"/>
      <c r="BE258" s="104"/>
      <c r="BF258" s="104"/>
      <c r="BG258" s="104"/>
      <c r="BH258" s="104"/>
      <c r="BI258" s="104"/>
      <c r="BJ258" s="104"/>
      <c r="BK258" s="104"/>
      <c r="BL258" s="104"/>
      <c r="BM258" s="104"/>
      <c r="BN258" s="104"/>
      <c r="BO258" s="104"/>
    </row>
    <row r="259" spans="1:67" ht="36" x14ac:dyDescent="0.25">
      <c r="A259" s="104"/>
      <c r="B259" s="104"/>
      <c r="C259" s="104"/>
      <c r="D259" s="104"/>
      <c r="E259" s="104"/>
      <c r="F259" s="104"/>
      <c r="G259" s="104"/>
      <c r="H259" s="104"/>
      <c r="I259" s="104"/>
      <c r="J259" s="104"/>
      <c r="K259" s="104"/>
      <c r="L259" s="104"/>
      <c r="M259" s="104"/>
      <c r="N259" s="104"/>
      <c r="O259" s="104"/>
      <c r="P259" s="104"/>
      <c r="Q259" s="104"/>
      <c r="R259" s="104"/>
      <c r="S259" s="104"/>
      <c r="T259" s="104"/>
      <c r="U259" s="104"/>
      <c r="V259" s="104"/>
      <c r="W259" s="104"/>
      <c r="X259" s="104"/>
      <c r="Y259" s="104"/>
      <c r="Z259" s="104"/>
      <c r="AA259" s="104"/>
      <c r="AB259" s="104"/>
      <c r="AC259" s="104"/>
      <c r="AD259" s="104"/>
      <c r="AE259" s="104"/>
      <c r="AF259" s="104"/>
      <c r="AG259" s="104"/>
      <c r="AH259" s="104"/>
      <c r="AI259" s="104"/>
      <c r="AJ259" s="104"/>
      <c r="AK259" s="104"/>
      <c r="AL259" s="104"/>
      <c r="AM259" s="104"/>
      <c r="AN259" s="104"/>
      <c r="AO259" s="104"/>
      <c r="AP259" s="104"/>
      <c r="AQ259" s="104"/>
      <c r="AR259" s="104"/>
      <c r="AS259" s="104"/>
      <c r="AT259" s="104"/>
      <c r="AU259" s="104"/>
      <c r="AV259" s="104"/>
      <c r="AW259" s="104"/>
      <c r="AX259" s="104"/>
      <c r="AY259" s="104"/>
      <c r="AZ259" s="104"/>
      <c r="BA259" s="104"/>
      <c r="BB259" s="104"/>
      <c r="BC259" s="104"/>
      <c r="BD259" s="104"/>
      <c r="BE259" s="104"/>
      <c r="BF259" s="104"/>
      <c r="BG259" s="104"/>
      <c r="BH259" s="104"/>
      <c r="BI259" s="104"/>
      <c r="BJ259" s="104"/>
      <c r="BK259" s="104"/>
      <c r="BL259" s="104"/>
      <c r="BM259" s="104"/>
      <c r="BN259" s="104"/>
      <c r="BO259" s="104"/>
    </row>
    <row r="260" spans="1:67" ht="36" x14ac:dyDescent="0.25">
      <c r="A260" s="104"/>
      <c r="B260" s="104"/>
      <c r="C260" s="104"/>
      <c r="D260" s="104"/>
      <c r="E260" s="104"/>
      <c r="F260" s="104"/>
      <c r="G260" s="104"/>
      <c r="H260" s="104"/>
      <c r="I260" s="104"/>
      <c r="J260" s="104"/>
      <c r="K260" s="104"/>
      <c r="L260" s="104"/>
      <c r="M260" s="104"/>
      <c r="N260" s="104"/>
      <c r="O260" s="104"/>
      <c r="P260" s="104"/>
      <c r="Q260" s="104"/>
      <c r="R260" s="104"/>
      <c r="S260" s="104"/>
      <c r="T260" s="104"/>
      <c r="U260" s="104"/>
      <c r="V260" s="104"/>
      <c r="W260" s="104"/>
      <c r="X260" s="104"/>
      <c r="Y260" s="104"/>
      <c r="Z260" s="104"/>
      <c r="AA260" s="104"/>
      <c r="AB260" s="104"/>
      <c r="AC260" s="104"/>
      <c r="AD260" s="104"/>
      <c r="AE260" s="104"/>
      <c r="AF260" s="104"/>
      <c r="AG260" s="104"/>
      <c r="AH260" s="104"/>
      <c r="AI260" s="104"/>
      <c r="AJ260" s="104"/>
      <c r="AK260" s="104"/>
      <c r="AL260" s="104"/>
      <c r="AM260" s="104"/>
      <c r="AN260" s="104"/>
      <c r="AO260" s="104"/>
      <c r="AP260" s="104"/>
      <c r="AQ260" s="104"/>
      <c r="AR260" s="104"/>
      <c r="AS260" s="104"/>
      <c r="AT260" s="104"/>
      <c r="AU260" s="104"/>
      <c r="AV260" s="104"/>
      <c r="AW260" s="104"/>
      <c r="AX260" s="104"/>
      <c r="AY260" s="104"/>
      <c r="AZ260" s="104"/>
      <c r="BA260" s="104"/>
      <c r="BB260" s="104"/>
      <c r="BC260" s="104"/>
      <c r="BD260" s="104"/>
      <c r="BE260" s="104"/>
      <c r="BF260" s="104"/>
      <c r="BG260" s="104"/>
      <c r="BH260" s="104"/>
      <c r="BI260" s="104"/>
      <c r="BJ260" s="104"/>
      <c r="BK260" s="104"/>
      <c r="BL260" s="104"/>
      <c r="BM260" s="104"/>
      <c r="BN260" s="104"/>
      <c r="BO260" s="104"/>
    </row>
    <row r="261" spans="1:67" ht="36" x14ac:dyDescent="0.25">
      <c r="A261" s="104"/>
      <c r="B261" s="104"/>
      <c r="C261" s="104"/>
      <c r="D261" s="104"/>
      <c r="E261" s="104"/>
      <c r="F261" s="104"/>
      <c r="G261" s="104"/>
      <c r="H261" s="104"/>
      <c r="I261" s="104"/>
      <c r="J261" s="104"/>
      <c r="K261" s="104"/>
      <c r="L261" s="104"/>
      <c r="M261" s="104"/>
      <c r="N261" s="104"/>
      <c r="O261" s="104"/>
      <c r="P261" s="104"/>
      <c r="Q261" s="104"/>
      <c r="R261" s="104"/>
      <c r="S261" s="104"/>
      <c r="T261" s="104"/>
      <c r="U261" s="104"/>
      <c r="V261" s="104"/>
      <c r="W261" s="104"/>
      <c r="X261" s="104"/>
      <c r="Y261" s="104"/>
      <c r="Z261" s="104"/>
      <c r="AA261" s="104"/>
      <c r="AB261" s="104"/>
      <c r="AC261" s="104"/>
      <c r="AD261" s="104"/>
      <c r="AE261" s="104"/>
      <c r="AF261" s="104"/>
      <c r="AG261" s="104"/>
      <c r="AH261" s="104"/>
      <c r="AI261" s="104"/>
      <c r="AJ261" s="104"/>
      <c r="AK261" s="104"/>
      <c r="AL261" s="104"/>
      <c r="AM261" s="104"/>
      <c r="AN261" s="104"/>
      <c r="AO261" s="104"/>
      <c r="AP261" s="104"/>
      <c r="AQ261" s="104"/>
      <c r="AR261" s="104"/>
      <c r="AS261" s="104"/>
      <c r="AT261" s="104"/>
      <c r="AU261" s="104"/>
      <c r="AV261" s="104"/>
      <c r="AW261" s="104"/>
      <c r="AX261" s="104"/>
      <c r="AY261" s="104"/>
      <c r="AZ261" s="104"/>
      <c r="BA261" s="104"/>
      <c r="BB261" s="104"/>
      <c r="BC261" s="104"/>
      <c r="BD261" s="104"/>
      <c r="BE261" s="104"/>
      <c r="BF261" s="104"/>
      <c r="BG261" s="104"/>
      <c r="BH261" s="104"/>
      <c r="BI261" s="104"/>
      <c r="BJ261" s="104"/>
      <c r="BK261" s="104"/>
      <c r="BL261" s="104"/>
      <c r="BM261" s="104"/>
      <c r="BN261" s="104"/>
      <c r="BO261" s="104"/>
    </row>
    <row r="262" spans="1:67" ht="36" x14ac:dyDescent="0.25">
      <c r="A262" s="104"/>
      <c r="B262" s="104"/>
      <c r="C262" s="104"/>
      <c r="D262" s="104"/>
      <c r="E262" s="104"/>
      <c r="F262" s="104"/>
      <c r="G262" s="104"/>
      <c r="H262" s="104"/>
      <c r="I262" s="104"/>
      <c r="J262" s="104"/>
      <c r="K262" s="104"/>
      <c r="L262" s="104"/>
      <c r="M262" s="104"/>
      <c r="N262" s="104"/>
      <c r="O262" s="104"/>
      <c r="P262" s="104"/>
      <c r="Q262" s="104"/>
      <c r="R262" s="104"/>
      <c r="S262" s="104"/>
      <c r="T262" s="104"/>
      <c r="U262" s="104"/>
      <c r="V262" s="104"/>
      <c r="W262" s="104"/>
      <c r="X262" s="104"/>
      <c r="Y262" s="104"/>
      <c r="Z262" s="104"/>
      <c r="AA262" s="104"/>
      <c r="AB262" s="104"/>
      <c r="AC262" s="104"/>
      <c r="AD262" s="104"/>
      <c r="AE262" s="104"/>
      <c r="AF262" s="104"/>
      <c r="AG262" s="104"/>
      <c r="AH262" s="104"/>
      <c r="AI262" s="104"/>
      <c r="AJ262" s="104"/>
      <c r="AK262" s="104"/>
      <c r="AL262" s="104"/>
      <c r="AM262" s="104"/>
      <c r="AN262" s="104"/>
      <c r="AO262" s="104"/>
      <c r="AP262" s="104"/>
      <c r="AQ262" s="104"/>
      <c r="AR262" s="104"/>
      <c r="AS262" s="104"/>
      <c r="AT262" s="104"/>
      <c r="AU262" s="104"/>
      <c r="AV262" s="104"/>
      <c r="AW262" s="104"/>
      <c r="AX262" s="104"/>
      <c r="AY262" s="104"/>
      <c r="AZ262" s="104"/>
      <c r="BA262" s="104"/>
      <c r="BB262" s="104"/>
      <c r="BC262" s="104"/>
      <c r="BD262" s="104"/>
      <c r="BE262" s="104"/>
      <c r="BF262" s="104"/>
      <c r="BG262" s="104"/>
      <c r="BH262" s="104"/>
      <c r="BI262" s="104"/>
      <c r="BJ262" s="104"/>
      <c r="BK262" s="104"/>
      <c r="BL262" s="104"/>
      <c r="BM262" s="104"/>
      <c r="BN262" s="104"/>
      <c r="BO262" s="104"/>
    </row>
    <row r="263" spans="1:67" ht="36" x14ac:dyDescent="0.25">
      <c r="A263" s="104"/>
      <c r="B263" s="104"/>
      <c r="C263" s="104"/>
      <c r="D263" s="104"/>
      <c r="E263" s="104"/>
      <c r="F263" s="104"/>
      <c r="G263" s="104"/>
      <c r="H263" s="104"/>
      <c r="I263" s="104"/>
      <c r="J263" s="104"/>
      <c r="K263" s="104"/>
      <c r="L263" s="104"/>
      <c r="M263" s="104"/>
      <c r="N263" s="104"/>
      <c r="O263" s="104"/>
      <c r="P263" s="104"/>
      <c r="Q263" s="104"/>
      <c r="R263" s="104"/>
      <c r="S263" s="104"/>
      <c r="T263" s="104"/>
      <c r="U263" s="104"/>
      <c r="V263" s="104"/>
      <c r="W263" s="104"/>
      <c r="X263" s="104"/>
      <c r="Y263" s="104"/>
      <c r="Z263" s="104"/>
      <c r="AA263" s="104"/>
      <c r="AB263" s="104"/>
      <c r="AC263" s="104"/>
      <c r="AD263" s="104"/>
      <c r="AE263" s="104"/>
      <c r="AF263" s="104"/>
      <c r="AG263" s="104"/>
      <c r="AH263" s="104"/>
      <c r="AI263" s="104"/>
      <c r="AJ263" s="104"/>
      <c r="AK263" s="104"/>
      <c r="AL263" s="104"/>
      <c r="AM263" s="104"/>
      <c r="AN263" s="104"/>
      <c r="AO263" s="104"/>
      <c r="AP263" s="104"/>
      <c r="AQ263" s="104"/>
      <c r="AR263" s="104"/>
      <c r="AS263" s="104"/>
      <c r="AT263" s="104"/>
      <c r="AU263" s="104"/>
      <c r="AV263" s="104"/>
      <c r="AW263" s="104"/>
      <c r="AX263" s="104"/>
      <c r="AY263" s="104"/>
      <c r="AZ263" s="104"/>
      <c r="BA263" s="104"/>
      <c r="BB263" s="104"/>
      <c r="BC263" s="104"/>
      <c r="BD263" s="104"/>
      <c r="BE263" s="104"/>
      <c r="BF263" s="104"/>
      <c r="BG263" s="104"/>
      <c r="BH263" s="104"/>
      <c r="BI263" s="104"/>
      <c r="BJ263" s="104"/>
      <c r="BK263" s="104"/>
      <c r="BL263" s="104"/>
      <c r="BM263" s="104"/>
      <c r="BN263" s="104"/>
      <c r="BO263" s="104"/>
    </row>
    <row r="264" spans="1:67" ht="36" x14ac:dyDescent="0.25">
      <c r="A264" s="104"/>
      <c r="B264" s="104"/>
      <c r="C264" s="104"/>
      <c r="D264" s="104"/>
      <c r="E264" s="104"/>
      <c r="F264" s="104"/>
      <c r="G264" s="104"/>
      <c r="H264" s="104"/>
      <c r="I264" s="104"/>
      <c r="J264" s="104"/>
      <c r="K264" s="104"/>
      <c r="L264" s="104"/>
      <c r="M264" s="104"/>
      <c r="N264" s="104"/>
      <c r="O264" s="104"/>
      <c r="P264" s="104"/>
      <c r="Q264" s="104"/>
      <c r="R264" s="104"/>
      <c r="S264" s="104"/>
      <c r="T264" s="104"/>
      <c r="U264" s="104"/>
      <c r="V264" s="104"/>
      <c r="W264" s="104"/>
      <c r="X264" s="104"/>
      <c r="Y264" s="104"/>
      <c r="Z264" s="104"/>
      <c r="AA264" s="104"/>
      <c r="AB264" s="104"/>
      <c r="AC264" s="104"/>
      <c r="AD264" s="104"/>
      <c r="AE264" s="104"/>
      <c r="AF264" s="104"/>
      <c r="AG264" s="104"/>
      <c r="AH264" s="104"/>
      <c r="AI264" s="104"/>
      <c r="AJ264" s="104"/>
      <c r="AK264" s="104"/>
      <c r="AL264" s="104"/>
      <c r="AM264" s="104"/>
      <c r="AN264" s="104"/>
      <c r="AO264" s="104"/>
      <c r="AP264" s="104"/>
      <c r="AQ264" s="104"/>
      <c r="AR264" s="104"/>
      <c r="AS264" s="104"/>
      <c r="AT264" s="104"/>
      <c r="AU264" s="104"/>
      <c r="AV264" s="104"/>
      <c r="AW264" s="104"/>
      <c r="AX264" s="104"/>
      <c r="AY264" s="104"/>
      <c r="AZ264" s="104"/>
      <c r="BA264" s="104"/>
      <c r="BB264" s="104"/>
      <c r="BC264" s="104"/>
      <c r="BD264" s="104"/>
      <c r="BE264" s="104"/>
      <c r="BF264" s="104"/>
      <c r="BG264" s="104"/>
      <c r="BH264" s="104"/>
      <c r="BI264" s="104"/>
      <c r="BJ264" s="104"/>
      <c r="BK264" s="104"/>
      <c r="BL264" s="104"/>
      <c r="BM264" s="104"/>
      <c r="BN264" s="104"/>
      <c r="BO264" s="104"/>
    </row>
    <row r="265" spans="1:67" ht="36" x14ac:dyDescent="0.25">
      <c r="A265" s="104"/>
      <c r="B265" s="104"/>
      <c r="C265" s="104"/>
      <c r="D265" s="104"/>
      <c r="E265" s="104"/>
      <c r="F265" s="104"/>
      <c r="G265" s="104"/>
      <c r="H265" s="104"/>
      <c r="I265" s="104"/>
      <c r="J265" s="104"/>
      <c r="K265" s="104"/>
      <c r="L265" s="104"/>
      <c r="M265" s="104"/>
      <c r="N265" s="104"/>
      <c r="O265" s="104"/>
      <c r="P265" s="104"/>
      <c r="Q265" s="104"/>
      <c r="R265" s="104"/>
      <c r="S265" s="104"/>
      <c r="T265" s="104"/>
      <c r="U265" s="104"/>
      <c r="V265" s="104"/>
      <c r="W265" s="104"/>
      <c r="X265" s="104"/>
      <c r="Y265" s="104"/>
      <c r="Z265" s="104"/>
      <c r="AA265" s="104"/>
      <c r="AB265" s="104"/>
      <c r="AC265" s="104"/>
      <c r="AD265" s="104"/>
      <c r="AE265" s="104"/>
      <c r="AF265" s="104"/>
      <c r="AG265" s="104"/>
      <c r="AH265" s="104"/>
      <c r="AI265" s="104"/>
      <c r="AJ265" s="104"/>
      <c r="AK265" s="104"/>
      <c r="AL265" s="104"/>
      <c r="AM265" s="104"/>
      <c r="AN265" s="104"/>
      <c r="AO265" s="104"/>
      <c r="AP265" s="104"/>
      <c r="AQ265" s="104"/>
      <c r="AR265" s="104"/>
      <c r="AS265" s="104"/>
      <c r="AT265" s="104"/>
      <c r="AU265" s="104"/>
      <c r="AV265" s="104"/>
      <c r="AW265" s="104"/>
      <c r="AX265" s="104"/>
      <c r="AY265" s="104"/>
      <c r="AZ265" s="104"/>
      <c r="BA265" s="104"/>
      <c r="BB265" s="104"/>
      <c r="BC265" s="104"/>
      <c r="BD265" s="104"/>
      <c r="BE265" s="104"/>
      <c r="BF265" s="104"/>
      <c r="BG265" s="104"/>
      <c r="BH265" s="104"/>
      <c r="BI265" s="104"/>
      <c r="BJ265" s="104"/>
      <c r="BK265" s="104"/>
      <c r="BL265" s="104"/>
      <c r="BM265" s="104"/>
      <c r="BN265" s="104"/>
      <c r="BO265" s="104"/>
    </row>
    <row r="266" spans="1:67" ht="36" x14ac:dyDescent="0.25">
      <c r="A266" s="104"/>
      <c r="B266" s="104"/>
      <c r="C266" s="104"/>
      <c r="D266" s="104"/>
      <c r="E266" s="104"/>
      <c r="F266" s="104"/>
      <c r="G266" s="104"/>
      <c r="H266" s="104"/>
      <c r="I266" s="104"/>
      <c r="J266" s="104"/>
      <c r="K266" s="104"/>
      <c r="L266" s="104"/>
      <c r="M266" s="104"/>
      <c r="N266" s="104"/>
      <c r="O266" s="104"/>
      <c r="P266" s="104"/>
      <c r="Q266" s="104"/>
      <c r="R266" s="104"/>
      <c r="S266" s="104"/>
      <c r="T266" s="104"/>
      <c r="U266" s="104"/>
      <c r="V266" s="104"/>
      <c r="W266" s="104"/>
      <c r="X266" s="104"/>
      <c r="Y266" s="104"/>
      <c r="Z266" s="104"/>
      <c r="AA266" s="104"/>
      <c r="AB266" s="104"/>
      <c r="AC266" s="104"/>
      <c r="AD266" s="104"/>
      <c r="AE266" s="104"/>
      <c r="AF266" s="104"/>
      <c r="AG266" s="104"/>
      <c r="AH266" s="104"/>
      <c r="AI266" s="104"/>
      <c r="AJ266" s="104"/>
      <c r="AK266" s="104"/>
      <c r="AL266" s="104"/>
      <c r="AM266" s="104"/>
      <c r="AN266" s="104"/>
      <c r="AO266" s="104"/>
      <c r="AP266" s="104"/>
      <c r="AQ266" s="104"/>
      <c r="AR266" s="104"/>
      <c r="AS266" s="104"/>
      <c r="AT266" s="104"/>
      <c r="AU266" s="104"/>
      <c r="AV266" s="104"/>
      <c r="AW266" s="104"/>
      <c r="AX266" s="104"/>
      <c r="AY266" s="104"/>
      <c r="AZ266" s="104"/>
      <c r="BA266" s="104"/>
      <c r="BB266" s="104"/>
      <c r="BC266" s="104"/>
      <c r="BD266" s="104"/>
      <c r="BE266" s="104"/>
      <c r="BF266" s="104"/>
      <c r="BG266" s="104"/>
      <c r="BH266" s="104"/>
      <c r="BI266" s="104"/>
      <c r="BJ266" s="104"/>
      <c r="BK266" s="104"/>
      <c r="BL266" s="104"/>
      <c r="BM266" s="104"/>
      <c r="BN266" s="104"/>
      <c r="BO266" s="104"/>
    </row>
    <row r="267" spans="1:67" ht="36" x14ac:dyDescent="0.25">
      <c r="A267" s="104"/>
      <c r="B267" s="104"/>
      <c r="C267" s="104"/>
      <c r="D267" s="104"/>
      <c r="E267" s="104"/>
      <c r="F267" s="104"/>
      <c r="G267" s="104"/>
      <c r="H267" s="104"/>
      <c r="I267" s="104"/>
      <c r="J267" s="104"/>
      <c r="K267" s="104"/>
      <c r="L267" s="104"/>
      <c r="M267" s="104"/>
      <c r="N267" s="104"/>
      <c r="O267" s="104"/>
      <c r="P267" s="104"/>
      <c r="Q267" s="104"/>
      <c r="R267" s="104"/>
      <c r="S267" s="104"/>
      <c r="T267" s="104"/>
      <c r="U267" s="104"/>
      <c r="V267" s="104"/>
      <c r="W267" s="104"/>
      <c r="X267" s="104"/>
      <c r="Y267" s="104"/>
      <c r="Z267" s="104"/>
      <c r="AA267" s="104"/>
      <c r="AB267" s="104"/>
      <c r="AC267" s="104"/>
      <c r="AD267" s="104"/>
      <c r="AE267" s="104"/>
      <c r="AF267" s="104"/>
      <c r="AG267" s="104"/>
      <c r="AH267" s="104"/>
      <c r="AI267" s="104"/>
      <c r="AJ267" s="104"/>
      <c r="AK267" s="104"/>
      <c r="AL267" s="104"/>
      <c r="AM267" s="104"/>
      <c r="AN267" s="104"/>
      <c r="AO267" s="104"/>
      <c r="AP267" s="104"/>
      <c r="AQ267" s="104"/>
      <c r="AR267" s="104"/>
      <c r="AS267" s="104"/>
      <c r="AT267" s="104"/>
      <c r="AU267" s="104"/>
      <c r="AV267" s="104"/>
      <c r="AW267" s="104"/>
      <c r="AX267" s="104"/>
      <c r="AY267" s="104"/>
      <c r="AZ267" s="104"/>
      <c r="BA267" s="104"/>
      <c r="BB267" s="104"/>
      <c r="BC267" s="104"/>
      <c r="BD267" s="104"/>
      <c r="BE267" s="104"/>
      <c r="BF267" s="104"/>
      <c r="BG267" s="104"/>
      <c r="BH267" s="104"/>
      <c r="BI267" s="104"/>
      <c r="BJ267" s="104"/>
      <c r="BK267" s="104"/>
      <c r="BL267" s="104"/>
      <c r="BM267" s="104"/>
      <c r="BN267" s="104"/>
      <c r="BO267" s="104"/>
    </row>
    <row r="268" spans="1:67" ht="36" x14ac:dyDescent="0.25">
      <c r="A268" s="104"/>
      <c r="B268" s="104"/>
      <c r="C268" s="104"/>
      <c r="D268" s="104"/>
      <c r="E268" s="104"/>
      <c r="F268" s="104"/>
      <c r="G268" s="104"/>
      <c r="H268" s="104"/>
      <c r="I268" s="104"/>
      <c r="J268" s="104"/>
      <c r="K268" s="104"/>
      <c r="L268" s="104"/>
      <c r="M268" s="104"/>
      <c r="N268" s="104"/>
      <c r="O268" s="104"/>
      <c r="P268" s="104"/>
      <c r="Q268" s="104"/>
      <c r="R268" s="104"/>
      <c r="S268" s="104"/>
      <c r="T268" s="104"/>
      <c r="U268" s="104"/>
      <c r="V268" s="104"/>
      <c r="W268" s="104"/>
      <c r="X268" s="104"/>
      <c r="Y268" s="104"/>
      <c r="Z268" s="104"/>
      <c r="AA268" s="104"/>
      <c r="AB268" s="104"/>
      <c r="AC268" s="104"/>
      <c r="AD268" s="104"/>
      <c r="AE268" s="104"/>
      <c r="AF268" s="104"/>
      <c r="AG268" s="104"/>
      <c r="AH268" s="104"/>
      <c r="AI268" s="104"/>
      <c r="AJ268" s="104"/>
      <c r="AK268" s="104"/>
      <c r="AL268" s="104"/>
      <c r="AM268" s="104"/>
      <c r="AN268" s="104"/>
      <c r="AO268" s="104"/>
      <c r="AP268" s="104"/>
      <c r="AQ268" s="104"/>
      <c r="AR268" s="104"/>
      <c r="AS268" s="104"/>
      <c r="AT268" s="104"/>
      <c r="AU268" s="104"/>
      <c r="AV268" s="104"/>
      <c r="AW268" s="104"/>
      <c r="AX268" s="104"/>
      <c r="AY268" s="104"/>
      <c r="AZ268" s="104"/>
      <c r="BA268" s="104"/>
      <c r="BB268" s="104"/>
      <c r="BC268" s="104"/>
      <c r="BD268" s="104"/>
      <c r="BE268" s="104"/>
      <c r="BF268" s="104"/>
      <c r="BG268" s="104"/>
      <c r="BH268" s="104"/>
      <c r="BI268" s="104"/>
      <c r="BJ268" s="104"/>
      <c r="BK268" s="104"/>
      <c r="BL268" s="104"/>
      <c r="BM268" s="104"/>
      <c r="BN268" s="104"/>
      <c r="BO268" s="104"/>
    </row>
    <row r="269" spans="1:67" ht="36" x14ac:dyDescent="0.25">
      <c r="A269" s="104"/>
      <c r="B269" s="104"/>
      <c r="C269" s="104"/>
      <c r="D269" s="104"/>
      <c r="E269" s="104"/>
      <c r="F269" s="104"/>
      <c r="G269" s="104"/>
      <c r="H269" s="104"/>
      <c r="I269" s="104"/>
      <c r="J269" s="104"/>
      <c r="K269" s="104"/>
      <c r="L269" s="104"/>
      <c r="M269" s="104"/>
      <c r="N269" s="104"/>
      <c r="O269" s="104"/>
      <c r="P269" s="104"/>
      <c r="Q269" s="104"/>
      <c r="R269" s="104"/>
      <c r="S269" s="104"/>
      <c r="T269" s="104"/>
      <c r="U269" s="104"/>
      <c r="V269" s="104"/>
      <c r="W269" s="104"/>
      <c r="X269" s="104"/>
      <c r="Y269" s="104"/>
      <c r="Z269" s="104"/>
      <c r="AA269" s="104"/>
      <c r="AB269" s="104"/>
      <c r="AC269" s="104"/>
      <c r="AD269" s="104"/>
      <c r="AE269" s="104"/>
      <c r="AF269" s="104"/>
      <c r="AG269" s="104"/>
      <c r="AH269" s="104"/>
      <c r="AI269" s="104"/>
      <c r="AJ269" s="104"/>
      <c r="AK269" s="104"/>
      <c r="AL269" s="104"/>
      <c r="AM269" s="104"/>
      <c r="AN269" s="104"/>
      <c r="AO269" s="104"/>
      <c r="AP269" s="104"/>
      <c r="AQ269" s="104"/>
      <c r="AR269" s="104"/>
      <c r="AS269" s="104"/>
      <c r="AT269" s="104"/>
      <c r="AU269" s="104"/>
      <c r="AV269" s="104"/>
      <c r="AW269" s="104"/>
      <c r="AX269" s="104"/>
      <c r="AY269" s="104"/>
      <c r="AZ269" s="104"/>
      <c r="BA269" s="104"/>
      <c r="BB269" s="104"/>
      <c r="BC269" s="104"/>
      <c r="BD269" s="104"/>
      <c r="BE269" s="104"/>
      <c r="BF269" s="104"/>
      <c r="BG269" s="104"/>
      <c r="BH269" s="104"/>
      <c r="BI269" s="104"/>
      <c r="BJ269" s="104"/>
      <c r="BK269" s="104"/>
      <c r="BL269" s="104"/>
      <c r="BM269" s="104"/>
      <c r="BN269" s="104"/>
      <c r="BO269" s="104"/>
    </row>
    <row r="270" spans="1:67" ht="36" x14ac:dyDescent="0.25">
      <c r="A270" s="104"/>
      <c r="B270" s="104"/>
      <c r="C270" s="104"/>
      <c r="D270" s="104"/>
      <c r="E270" s="104"/>
      <c r="F270" s="104"/>
      <c r="G270" s="104"/>
      <c r="H270" s="104"/>
      <c r="I270" s="104"/>
      <c r="J270" s="104"/>
      <c r="K270" s="104"/>
      <c r="L270" s="104"/>
      <c r="M270" s="104"/>
      <c r="N270" s="104"/>
      <c r="O270" s="104"/>
      <c r="P270" s="104"/>
      <c r="Q270" s="104"/>
      <c r="R270" s="104"/>
      <c r="S270" s="104"/>
      <c r="T270" s="104"/>
      <c r="U270" s="104"/>
      <c r="V270" s="104"/>
      <c r="W270" s="104"/>
      <c r="X270" s="104"/>
      <c r="Y270" s="104"/>
      <c r="Z270" s="104"/>
      <c r="AA270" s="104"/>
      <c r="AB270" s="104"/>
      <c r="AC270" s="104"/>
      <c r="AD270" s="104"/>
      <c r="AE270" s="104"/>
      <c r="AF270" s="104"/>
      <c r="AG270" s="104"/>
      <c r="AH270" s="104"/>
      <c r="AI270" s="104"/>
      <c r="AJ270" s="104"/>
      <c r="AK270" s="104"/>
      <c r="AL270" s="104"/>
      <c r="AM270" s="104"/>
      <c r="AN270" s="104"/>
      <c r="AO270" s="104"/>
      <c r="AP270" s="104"/>
      <c r="AQ270" s="104"/>
      <c r="AR270" s="104"/>
      <c r="AS270" s="104"/>
      <c r="AT270" s="104"/>
      <c r="AU270" s="104"/>
      <c r="AV270" s="104"/>
      <c r="AW270" s="104"/>
      <c r="AX270" s="104"/>
      <c r="AY270" s="104"/>
      <c r="AZ270" s="104"/>
      <c r="BA270" s="104"/>
      <c r="BB270" s="104"/>
      <c r="BC270" s="104"/>
      <c r="BD270" s="104"/>
      <c r="BE270" s="104"/>
      <c r="BF270" s="104"/>
      <c r="BG270" s="104"/>
      <c r="BH270" s="104"/>
      <c r="BI270" s="104"/>
      <c r="BJ270" s="104"/>
      <c r="BK270" s="104"/>
      <c r="BL270" s="104"/>
      <c r="BM270" s="104"/>
      <c r="BN270" s="104"/>
      <c r="BO270" s="104"/>
    </row>
    <row r="271" spans="1:67" ht="36" x14ac:dyDescent="0.25">
      <c r="A271" s="104"/>
      <c r="B271" s="104"/>
      <c r="C271" s="104"/>
      <c r="D271" s="104"/>
      <c r="E271" s="104"/>
      <c r="F271" s="104"/>
      <c r="G271" s="104"/>
      <c r="H271" s="104"/>
      <c r="I271" s="104"/>
      <c r="J271" s="104"/>
      <c r="K271" s="104"/>
      <c r="L271" s="104"/>
      <c r="M271" s="104"/>
      <c r="N271" s="104"/>
      <c r="O271" s="104"/>
      <c r="P271" s="104"/>
      <c r="Q271" s="104"/>
      <c r="R271" s="104"/>
      <c r="S271" s="104"/>
      <c r="T271" s="104"/>
      <c r="U271" s="104"/>
      <c r="V271" s="104"/>
      <c r="W271" s="104"/>
      <c r="X271" s="104"/>
      <c r="Y271" s="104"/>
      <c r="Z271" s="104"/>
      <c r="AA271" s="104"/>
      <c r="AB271" s="104"/>
      <c r="AC271" s="104"/>
      <c r="AD271" s="104"/>
      <c r="AE271" s="104"/>
      <c r="AF271" s="104"/>
      <c r="AG271" s="104"/>
      <c r="AH271" s="104"/>
      <c r="AI271" s="104"/>
      <c r="AJ271" s="104"/>
      <c r="AK271" s="104"/>
      <c r="AL271" s="104"/>
      <c r="AM271" s="104"/>
      <c r="AN271" s="104"/>
      <c r="AO271" s="104"/>
      <c r="AP271" s="104"/>
      <c r="AQ271" s="104"/>
      <c r="AR271" s="104"/>
      <c r="AS271" s="104"/>
      <c r="AT271" s="104"/>
      <c r="AU271" s="104"/>
      <c r="AV271" s="104"/>
      <c r="AW271" s="104"/>
      <c r="AX271" s="104"/>
      <c r="AY271" s="104"/>
      <c r="AZ271" s="104"/>
      <c r="BA271" s="104"/>
      <c r="BB271" s="104"/>
      <c r="BC271" s="104"/>
      <c r="BD271" s="104"/>
      <c r="BE271" s="104"/>
      <c r="BF271" s="104"/>
      <c r="BG271" s="104"/>
      <c r="BH271" s="104"/>
      <c r="BI271" s="104"/>
      <c r="BJ271" s="104"/>
      <c r="BK271" s="104"/>
      <c r="BL271" s="104"/>
      <c r="BM271" s="104"/>
      <c r="BN271" s="104"/>
      <c r="BO271" s="104"/>
    </row>
    <row r="272" spans="1:67" ht="36" x14ac:dyDescent="0.25">
      <c r="A272" s="104"/>
      <c r="B272" s="104"/>
      <c r="C272" s="104"/>
      <c r="D272" s="104"/>
      <c r="E272" s="104"/>
      <c r="F272" s="104"/>
      <c r="G272" s="104"/>
      <c r="H272" s="104"/>
      <c r="I272" s="104"/>
      <c r="J272" s="104"/>
      <c r="K272" s="104"/>
      <c r="L272" s="104"/>
      <c r="M272" s="104"/>
      <c r="N272" s="104"/>
      <c r="O272" s="104"/>
      <c r="P272" s="104"/>
      <c r="Q272" s="104"/>
      <c r="R272" s="104"/>
      <c r="S272" s="104"/>
      <c r="T272" s="104"/>
      <c r="U272" s="104"/>
      <c r="V272" s="104"/>
      <c r="W272" s="104"/>
      <c r="X272" s="104"/>
      <c r="Y272" s="104"/>
      <c r="Z272" s="104"/>
      <c r="AA272" s="104"/>
      <c r="AB272" s="104"/>
      <c r="AC272" s="104"/>
      <c r="AD272" s="104"/>
      <c r="AE272" s="104"/>
      <c r="AF272" s="104"/>
      <c r="AG272" s="104"/>
      <c r="AH272" s="104"/>
      <c r="AI272" s="104"/>
      <c r="AJ272" s="104"/>
      <c r="AK272" s="104"/>
      <c r="AL272" s="104"/>
      <c r="AM272" s="104"/>
      <c r="AN272" s="104"/>
      <c r="AO272" s="104"/>
      <c r="AP272" s="104"/>
      <c r="AQ272" s="104"/>
      <c r="AR272" s="104"/>
      <c r="AS272" s="104"/>
      <c r="AT272" s="104"/>
      <c r="AU272" s="104"/>
      <c r="AV272" s="104"/>
      <c r="AW272" s="104"/>
      <c r="AX272" s="104"/>
      <c r="AY272" s="104"/>
      <c r="AZ272" s="104"/>
      <c r="BA272" s="104"/>
      <c r="BB272" s="104"/>
      <c r="BC272" s="104"/>
      <c r="BD272" s="104"/>
      <c r="BE272" s="104"/>
      <c r="BF272" s="104"/>
      <c r="BG272" s="104"/>
      <c r="BH272" s="104"/>
      <c r="BI272" s="104"/>
      <c r="BJ272" s="104"/>
      <c r="BK272" s="104"/>
      <c r="BL272" s="104"/>
      <c r="BM272" s="104"/>
      <c r="BN272" s="104"/>
      <c r="BO272" s="104"/>
    </row>
    <row r="273" spans="1:67" ht="36" x14ac:dyDescent="0.25">
      <c r="A273" s="104"/>
      <c r="B273" s="104"/>
      <c r="C273" s="104"/>
      <c r="D273" s="104"/>
      <c r="E273" s="104"/>
      <c r="F273" s="104"/>
      <c r="G273" s="104"/>
      <c r="H273" s="104"/>
      <c r="I273" s="104"/>
      <c r="J273" s="104"/>
      <c r="K273" s="104"/>
      <c r="L273" s="104"/>
      <c r="M273" s="104"/>
      <c r="N273" s="104"/>
      <c r="O273" s="104"/>
      <c r="P273" s="104"/>
      <c r="Q273" s="104"/>
      <c r="R273" s="104"/>
      <c r="S273" s="104"/>
      <c r="T273" s="104"/>
      <c r="U273" s="104"/>
      <c r="V273" s="104"/>
      <c r="W273" s="104"/>
      <c r="X273" s="104"/>
      <c r="Y273" s="104"/>
      <c r="Z273" s="104"/>
      <c r="AA273" s="104"/>
      <c r="AB273" s="104"/>
      <c r="AC273" s="104"/>
      <c r="AD273" s="104"/>
      <c r="AE273" s="104"/>
      <c r="AF273" s="104"/>
      <c r="AG273" s="104"/>
      <c r="AH273" s="104"/>
      <c r="AI273" s="104"/>
      <c r="AJ273" s="104"/>
      <c r="AK273" s="104"/>
      <c r="AL273" s="104"/>
      <c r="AM273" s="104"/>
      <c r="AN273" s="104"/>
      <c r="AO273" s="104"/>
      <c r="AP273" s="104"/>
      <c r="AQ273" s="104"/>
      <c r="AR273" s="104"/>
      <c r="AS273" s="104"/>
      <c r="AT273" s="104"/>
      <c r="AU273" s="104"/>
      <c r="AV273" s="104"/>
      <c r="AW273" s="104"/>
      <c r="AX273" s="104"/>
      <c r="AY273" s="104"/>
      <c r="AZ273" s="104"/>
      <c r="BA273" s="104"/>
      <c r="BB273" s="104"/>
      <c r="BC273" s="104"/>
      <c r="BD273" s="104"/>
      <c r="BE273" s="104"/>
      <c r="BF273" s="104"/>
      <c r="BG273" s="104"/>
      <c r="BH273" s="104"/>
      <c r="BI273" s="104"/>
      <c r="BJ273" s="104"/>
      <c r="BK273" s="104"/>
      <c r="BL273" s="104"/>
      <c r="BM273" s="104"/>
      <c r="BN273" s="104"/>
      <c r="BO273" s="104"/>
    </row>
    <row r="274" spans="1:67" ht="36" x14ac:dyDescent="0.25">
      <c r="A274" s="104"/>
      <c r="B274" s="104"/>
      <c r="C274" s="104"/>
      <c r="D274" s="104"/>
      <c r="E274" s="104"/>
      <c r="F274" s="104"/>
      <c r="G274" s="104"/>
      <c r="H274" s="104"/>
      <c r="I274" s="104"/>
      <c r="J274" s="104"/>
      <c r="K274" s="104"/>
      <c r="L274" s="104"/>
      <c r="M274" s="104"/>
      <c r="N274" s="104"/>
      <c r="O274" s="104"/>
      <c r="P274" s="104"/>
      <c r="Q274" s="104"/>
      <c r="R274" s="104"/>
      <c r="S274" s="104"/>
      <c r="T274" s="104"/>
      <c r="U274" s="104"/>
      <c r="V274" s="104"/>
      <c r="W274" s="104"/>
      <c r="X274" s="104"/>
      <c r="Y274" s="104"/>
      <c r="Z274" s="104"/>
      <c r="AA274" s="104"/>
      <c r="AB274" s="104"/>
      <c r="AC274" s="104"/>
      <c r="AD274" s="104"/>
      <c r="AE274" s="104"/>
      <c r="AF274" s="104"/>
      <c r="AG274" s="104"/>
      <c r="AH274" s="104"/>
      <c r="AI274" s="104"/>
      <c r="AJ274" s="104"/>
      <c r="AK274" s="104"/>
      <c r="AL274" s="104"/>
      <c r="AM274" s="104"/>
      <c r="AN274" s="104"/>
      <c r="AO274" s="104"/>
      <c r="AP274" s="104"/>
      <c r="AQ274" s="104"/>
      <c r="AR274" s="104"/>
      <c r="AS274" s="104"/>
      <c r="AT274" s="104"/>
      <c r="AU274" s="104"/>
      <c r="AV274" s="104"/>
      <c r="AW274" s="104"/>
      <c r="AX274" s="104"/>
      <c r="AY274" s="104"/>
      <c r="AZ274" s="104"/>
      <c r="BA274" s="104"/>
      <c r="BB274" s="104"/>
      <c r="BC274" s="104"/>
      <c r="BD274" s="104"/>
      <c r="BE274" s="104"/>
      <c r="BF274" s="104"/>
      <c r="BG274" s="104"/>
      <c r="BH274" s="104"/>
      <c r="BI274" s="104"/>
      <c r="BJ274" s="104"/>
      <c r="BK274" s="104"/>
      <c r="BL274" s="104"/>
      <c r="BM274" s="104"/>
      <c r="BN274" s="104"/>
      <c r="BO274" s="104"/>
    </row>
    <row r="275" spans="1:67" ht="36" x14ac:dyDescent="0.25">
      <c r="A275" s="104"/>
      <c r="B275" s="104"/>
      <c r="C275" s="104"/>
      <c r="D275" s="104"/>
      <c r="E275" s="104"/>
      <c r="F275" s="104"/>
      <c r="G275" s="104"/>
      <c r="H275" s="104"/>
      <c r="I275" s="104"/>
      <c r="J275" s="104"/>
      <c r="K275" s="104"/>
      <c r="L275" s="104"/>
      <c r="M275" s="104"/>
      <c r="N275" s="104"/>
      <c r="O275" s="104"/>
      <c r="P275" s="104"/>
      <c r="Q275" s="104"/>
      <c r="R275" s="104"/>
      <c r="S275" s="104"/>
      <c r="T275" s="104"/>
      <c r="U275" s="104"/>
      <c r="V275" s="104"/>
      <c r="W275" s="104"/>
      <c r="X275" s="104"/>
      <c r="Y275" s="104"/>
      <c r="Z275" s="104"/>
      <c r="AA275" s="104"/>
      <c r="AB275" s="104"/>
      <c r="AC275" s="104"/>
      <c r="AD275" s="104"/>
      <c r="AE275" s="104"/>
      <c r="AF275" s="104"/>
      <c r="AG275" s="104"/>
      <c r="AH275" s="104"/>
      <c r="AI275" s="104"/>
      <c r="AJ275" s="104"/>
      <c r="AK275" s="104"/>
      <c r="AL275" s="104"/>
      <c r="AM275" s="104"/>
      <c r="AN275" s="104"/>
      <c r="AO275" s="104"/>
      <c r="AP275" s="104"/>
      <c r="AQ275" s="104"/>
      <c r="AR275" s="104"/>
      <c r="AS275" s="104"/>
      <c r="AT275" s="104"/>
      <c r="AU275" s="104"/>
      <c r="AV275" s="104"/>
      <c r="AW275" s="104"/>
      <c r="AX275" s="104"/>
      <c r="AY275" s="104"/>
      <c r="AZ275" s="104"/>
      <c r="BA275" s="104"/>
      <c r="BB275" s="104"/>
      <c r="BC275" s="104"/>
      <c r="BD275" s="104"/>
      <c r="BE275" s="104"/>
      <c r="BF275" s="104"/>
      <c r="BG275" s="104"/>
      <c r="BH275" s="104"/>
      <c r="BI275" s="104"/>
      <c r="BJ275" s="104"/>
      <c r="BK275" s="104"/>
      <c r="BL275" s="104"/>
      <c r="BM275" s="104"/>
      <c r="BN275" s="104"/>
      <c r="BO275" s="104"/>
    </row>
    <row r="276" spans="1:67" ht="36" x14ac:dyDescent="0.25">
      <c r="A276" s="104"/>
      <c r="B276" s="104"/>
      <c r="C276" s="104"/>
      <c r="D276" s="104"/>
      <c r="E276" s="104"/>
      <c r="F276" s="104"/>
      <c r="G276" s="104"/>
      <c r="H276" s="104"/>
      <c r="I276" s="104"/>
      <c r="J276" s="104"/>
      <c r="K276" s="104"/>
      <c r="L276" s="104"/>
      <c r="M276" s="104"/>
      <c r="N276" s="104"/>
      <c r="O276" s="104"/>
      <c r="P276" s="104"/>
      <c r="Q276" s="104"/>
      <c r="R276" s="104"/>
      <c r="S276" s="104"/>
      <c r="T276" s="104"/>
      <c r="U276" s="104"/>
      <c r="V276" s="104"/>
      <c r="W276" s="104"/>
      <c r="X276" s="104"/>
      <c r="Y276" s="104"/>
      <c r="Z276" s="104"/>
      <c r="AA276" s="104"/>
      <c r="AB276" s="104"/>
      <c r="AC276" s="104"/>
      <c r="AD276" s="104"/>
      <c r="AE276" s="104"/>
      <c r="AF276" s="104"/>
      <c r="AG276" s="104"/>
      <c r="AH276" s="104"/>
      <c r="AI276" s="104"/>
      <c r="AJ276" s="104"/>
      <c r="AK276" s="104"/>
      <c r="AL276" s="104"/>
      <c r="AM276" s="104"/>
      <c r="AN276" s="104"/>
      <c r="AO276" s="104"/>
      <c r="AP276" s="104"/>
      <c r="AQ276" s="104"/>
      <c r="AR276" s="104"/>
      <c r="AS276" s="104"/>
      <c r="AT276" s="104"/>
      <c r="AU276" s="104"/>
      <c r="AV276" s="104"/>
      <c r="AW276" s="104"/>
      <c r="AX276" s="104"/>
      <c r="AY276" s="104"/>
      <c r="AZ276" s="104"/>
      <c r="BA276" s="104"/>
      <c r="BB276" s="104"/>
      <c r="BC276" s="104"/>
      <c r="BD276" s="104"/>
      <c r="BE276" s="104"/>
      <c r="BF276" s="104"/>
      <c r="BG276" s="104"/>
      <c r="BH276" s="104"/>
      <c r="BI276" s="104"/>
      <c r="BJ276" s="104"/>
      <c r="BK276" s="104"/>
      <c r="BL276" s="104"/>
      <c r="BM276" s="104"/>
      <c r="BN276" s="104"/>
      <c r="BO276" s="104"/>
    </row>
    <row r="277" spans="1:67" ht="36" x14ac:dyDescent="0.25">
      <c r="A277" s="104"/>
      <c r="B277" s="104"/>
      <c r="C277" s="104"/>
      <c r="D277" s="104"/>
      <c r="E277" s="104"/>
      <c r="F277" s="104"/>
      <c r="G277" s="104"/>
      <c r="H277" s="104"/>
      <c r="I277" s="104"/>
      <c r="J277" s="104"/>
      <c r="K277" s="104"/>
      <c r="L277" s="104"/>
      <c r="M277" s="104"/>
      <c r="N277" s="104"/>
      <c r="O277" s="104"/>
      <c r="P277" s="104"/>
      <c r="Q277" s="104"/>
      <c r="R277" s="104"/>
      <c r="S277" s="104"/>
      <c r="T277" s="104"/>
      <c r="U277" s="104"/>
      <c r="V277" s="104"/>
      <c r="W277" s="104"/>
      <c r="X277" s="104"/>
      <c r="Y277" s="104"/>
      <c r="Z277" s="104"/>
      <c r="AA277" s="104"/>
      <c r="AB277" s="104"/>
      <c r="AC277" s="104"/>
      <c r="AD277" s="104"/>
      <c r="AE277" s="104"/>
      <c r="AF277" s="104"/>
      <c r="AG277" s="104"/>
      <c r="AH277" s="104"/>
      <c r="AI277" s="104"/>
      <c r="AJ277" s="104"/>
      <c r="AK277" s="104"/>
      <c r="AL277" s="104"/>
      <c r="AM277" s="104"/>
      <c r="AN277" s="104"/>
      <c r="AO277" s="104"/>
      <c r="AP277" s="104"/>
      <c r="AQ277" s="104"/>
      <c r="AR277" s="104"/>
      <c r="AS277" s="104"/>
      <c r="AT277" s="104"/>
      <c r="AU277" s="104"/>
      <c r="AV277" s="104"/>
      <c r="AW277" s="104"/>
      <c r="AX277" s="104"/>
      <c r="AY277" s="104"/>
      <c r="AZ277" s="104"/>
      <c r="BA277" s="104"/>
      <c r="BB277" s="104"/>
      <c r="BC277" s="104"/>
      <c r="BD277" s="104"/>
      <c r="BE277" s="104"/>
      <c r="BF277" s="104"/>
      <c r="BG277" s="104"/>
      <c r="BH277" s="104"/>
      <c r="BI277" s="104"/>
      <c r="BJ277" s="104"/>
      <c r="BK277" s="104"/>
      <c r="BL277" s="104"/>
      <c r="BM277" s="104"/>
      <c r="BN277" s="104"/>
      <c r="BO277" s="104"/>
    </row>
    <row r="278" spans="1:67" ht="36" x14ac:dyDescent="0.25">
      <c r="A278" s="104"/>
      <c r="B278" s="104"/>
      <c r="C278" s="104"/>
      <c r="D278" s="104"/>
      <c r="E278" s="104"/>
      <c r="F278" s="104"/>
      <c r="G278" s="104"/>
      <c r="H278" s="104"/>
      <c r="I278" s="104"/>
      <c r="J278" s="104"/>
      <c r="K278" s="104"/>
      <c r="L278" s="104"/>
      <c r="M278" s="104"/>
      <c r="N278" s="104"/>
      <c r="O278" s="104"/>
      <c r="P278" s="104"/>
      <c r="Q278" s="104"/>
      <c r="R278" s="104"/>
      <c r="S278" s="104"/>
      <c r="T278" s="104"/>
      <c r="U278" s="104"/>
      <c r="V278" s="104"/>
      <c r="W278" s="104"/>
      <c r="X278" s="104"/>
      <c r="Y278" s="104"/>
      <c r="Z278" s="104"/>
      <c r="AA278" s="104"/>
      <c r="AB278" s="104"/>
      <c r="AC278" s="104"/>
      <c r="AD278" s="104"/>
      <c r="AE278" s="104"/>
      <c r="AF278" s="104"/>
      <c r="AG278" s="104"/>
      <c r="AH278" s="104"/>
      <c r="AI278" s="104"/>
      <c r="AJ278" s="104"/>
      <c r="AK278" s="104"/>
      <c r="AL278" s="104"/>
      <c r="AM278" s="104"/>
      <c r="AN278" s="104"/>
      <c r="AO278" s="104"/>
      <c r="AP278" s="104"/>
      <c r="AQ278" s="104"/>
      <c r="AR278" s="104"/>
      <c r="AS278" s="104"/>
      <c r="AT278" s="104"/>
      <c r="AU278" s="104"/>
      <c r="AV278" s="104"/>
      <c r="AW278" s="104"/>
      <c r="AX278" s="104"/>
      <c r="AY278" s="104"/>
      <c r="AZ278" s="104"/>
      <c r="BA278" s="104"/>
      <c r="BB278" s="104"/>
      <c r="BC278" s="104"/>
      <c r="BD278" s="104"/>
      <c r="BE278" s="104"/>
      <c r="BF278" s="104"/>
      <c r="BG278" s="104"/>
      <c r="BH278" s="104"/>
      <c r="BI278" s="104"/>
      <c r="BJ278" s="104"/>
      <c r="BK278" s="104"/>
      <c r="BL278" s="104"/>
      <c r="BM278" s="104"/>
      <c r="BN278" s="104"/>
      <c r="BO278" s="104"/>
    </row>
    <row r="279" spans="1:67" ht="36" x14ac:dyDescent="0.25">
      <c r="A279" s="104"/>
      <c r="B279" s="104"/>
      <c r="C279" s="104"/>
      <c r="D279" s="104"/>
      <c r="E279" s="104"/>
      <c r="F279" s="104"/>
      <c r="G279" s="104"/>
      <c r="H279" s="104"/>
      <c r="I279" s="104"/>
      <c r="J279" s="104"/>
      <c r="K279" s="104"/>
      <c r="L279" s="104"/>
      <c r="M279" s="104"/>
      <c r="N279" s="104"/>
      <c r="O279" s="104"/>
      <c r="P279" s="104"/>
      <c r="Q279" s="104"/>
      <c r="R279" s="104"/>
      <c r="S279" s="104"/>
      <c r="T279" s="104"/>
      <c r="U279" s="104"/>
      <c r="V279" s="104"/>
      <c r="W279" s="104"/>
      <c r="X279" s="104"/>
      <c r="Y279" s="104"/>
      <c r="Z279" s="104"/>
      <c r="AA279" s="104"/>
      <c r="AB279" s="104"/>
      <c r="AC279" s="104"/>
      <c r="AD279" s="104"/>
      <c r="AE279" s="104"/>
      <c r="AF279" s="104"/>
      <c r="AG279" s="104"/>
      <c r="AH279" s="104"/>
      <c r="AI279" s="104"/>
      <c r="AJ279" s="104"/>
      <c r="AK279" s="104"/>
      <c r="AL279" s="104"/>
      <c r="AM279" s="104"/>
      <c r="AN279" s="104"/>
      <c r="AO279" s="104"/>
      <c r="AP279" s="104"/>
      <c r="AQ279" s="104"/>
      <c r="AR279" s="104"/>
      <c r="AS279" s="104"/>
      <c r="AT279" s="104"/>
      <c r="AU279" s="104"/>
      <c r="AV279" s="104"/>
      <c r="AW279" s="104"/>
      <c r="AX279" s="104"/>
      <c r="AY279" s="104"/>
      <c r="AZ279" s="104"/>
      <c r="BA279" s="104"/>
      <c r="BB279" s="104"/>
      <c r="BC279" s="104"/>
      <c r="BD279" s="104"/>
      <c r="BE279" s="104"/>
      <c r="BF279" s="104"/>
      <c r="BG279" s="104"/>
      <c r="BH279" s="104"/>
      <c r="BI279" s="104"/>
      <c r="BJ279" s="104"/>
      <c r="BK279" s="104"/>
      <c r="BL279" s="104"/>
      <c r="BM279" s="104"/>
      <c r="BN279" s="104"/>
      <c r="BO279" s="104"/>
    </row>
    <row r="280" spans="1:67" ht="36" x14ac:dyDescent="0.25">
      <c r="A280" s="104"/>
      <c r="B280" s="104"/>
      <c r="C280" s="104"/>
      <c r="D280" s="104"/>
      <c r="E280" s="104"/>
      <c r="F280" s="104"/>
      <c r="G280" s="104"/>
      <c r="H280" s="104"/>
      <c r="I280" s="104"/>
      <c r="J280" s="104"/>
      <c r="K280" s="104"/>
      <c r="L280" s="104"/>
      <c r="M280" s="104"/>
      <c r="N280" s="104"/>
      <c r="O280" s="104"/>
      <c r="P280" s="104"/>
      <c r="Q280" s="104"/>
      <c r="R280" s="104"/>
      <c r="S280" s="104"/>
      <c r="T280" s="104"/>
      <c r="U280" s="104"/>
      <c r="V280" s="104"/>
      <c r="W280" s="104"/>
      <c r="X280" s="104"/>
      <c r="Y280" s="104"/>
      <c r="Z280" s="104"/>
      <c r="AA280" s="104"/>
      <c r="AB280" s="104"/>
      <c r="AC280" s="104"/>
      <c r="AD280" s="104"/>
      <c r="AE280" s="104"/>
      <c r="AF280" s="104"/>
      <c r="AG280" s="104"/>
      <c r="AH280" s="104"/>
      <c r="AI280" s="104"/>
      <c r="AJ280" s="104"/>
      <c r="AK280" s="104"/>
      <c r="AL280" s="104"/>
      <c r="AM280" s="104"/>
      <c r="AN280" s="104"/>
      <c r="AO280" s="104"/>
      <c r="AP280" s="104"/>
      <c r="AQ280" s="104"/>
      <c r="AR280" s="104"/>
      <c r="AS280" s="104"/>
      <c r="AT280" s="104"/>
      <c r="AU280" s="104"/>
      <c r="AV280" s="104"/>
      <c r="AW280" s="104"/>
      <c r="AX280" s="104"/>
      <c r="AY280" s="104"/>
      <c r="AZ280" s="104"/>
      <c r="BA280" s="104"/>
      <c r="BB280" s="104"/>
      <c r="BC280" s="104"/>
      <c r="BD280" s="104"/>
      <c r="BE280" s="104"/>
      <c r="BF280" s="104"/>
      <c r="BG280" s="104"/>
      <c r="BH280" s="104"/>
      <c r="BI280" s="104"/>
      <c r="BJ280" s="104"/>
      <c r="BK280" s="104"/>
      <c r="BL280" s="104"/>
      <c r="BM280" s="104"/>
      <c r="BN280" s="104"/>
      <c r="BO280" s="104"/>
    </row>
    <row r="281" spans="1:67" ht="36" x14ac:dyDescent="0.25">
      <c r="A281" s="104"/>
      <c r="B281" s="104"/>
      <c r="C281" s="104"/>
      <c r="D281" s="104"/>
      <c r="E281" s="104"/>
      <c r="F281" s="104"/>
      <c r="G281" s="104"/>
      <c r="H281" s="104"/>
      <c r="I281" s="104"/>
      <c r="J281" s="104"/>
      <c r="K281" s="104"/>
      <c r="L281" s="104"/>
      <c r="M281" s="104"/>
      <c r="N281" s="104"/>
      <c r="O281" s="104"/>
      <c r="P281" s="104"/>
      <c r="Q281" s="104"/>
      <c r="R281" s="104"/>
      <c r="S281" s="104"/>
      <c r="T281" s="104"/>
      <c r="U281" s="104"/>
      <c r="V281" s="104"/>
      <c r="W281" s="104"/>
      <c r="X281" s="104"/>
      <c r="Y281" s="104"/>
      <c r="Z281" s="104"/>
      <c r="AA281" s="104"/>
      <c r="AB281" s="104"/>
      <c r="AC281" s="104"/>
      <c r="AD281" s="104"/>
      <c r="AE281" s="104"/>
      <c r="AF281" s="104"/>
      <c r="AG281" s="104"/>
      <c r="AH281" s="104"/>
      <c r="AI281" s="104"/>
      <c r="AJ281" s="104"/>
      <c r="AK281" s="104"/>
      <c r="AL281" s="104"/>
      <c r="AM281" s="104"/>
      <c r="AN281" s="104"/>
      <c r="AO281" s="104"/>
      <c r="AP281" s="104"/>
      <c r="AQ281" s="104"/>
      <c r="AR281" s="104"/>
      <c r="AS281" s="104"/>
      <c r="AT281" s="104"/>
      <c r="AU281" s="104"/>
      <c r="AV281" s="104"/>
      <c r="AW281" s="104"/>
      <c r="AX281" s="104"/>
      <c r="AY281" s="104"/>
      <c r="AZ281" s="104"/>
      <c r="BA281" s="104"/>
      <c r="BB281" s="104"/>
      <c r="BC281" s="104"/>
      <c r="BD281" s="104"/>
      <c r="BE281" s="104"/>
      <c r="BF281" s="104"/>
      <c r="BG281" s="104"/>
      <c r="BH281" s="104"/>
      <c r="BI281" s="104"/>
      <c r="BJ281" s="104"/>
      <c r="BK281" s="104"/>
      <c r="BL281" s="104"/>
      <c r="BM281" s="104"/>
      <c r="BN281" s="104"/>
      <c r="BO281" s="104"/>
    </row>
    <row r="282" spans="1:67" ht="36" x14ac:dyDescent="0.25">
      <c r="A282" s="104"/>
      <c r="B282" s="104"/>
      <c r="C282" s="104"/>
      <c r="D282" s="104"/>
      <c r="E282" s="104"/>
      <c r="F282" s="104"/>
      <c r="G282" s="104"/>
      <c r="H282" s="104"/>
      <c r="I282" s="104"/>
      <c r="J282" s="104"/>
      <c r="K282" s="104"/>
      <c r="L282" s="104"/>
      <c r="M282" s="104"/>
      <c r="N282" s="104"/>
      <c r="O282" s="104"/>
      <c r="P282" s="104"/>
      <c r="Q282" s="104"/>
      <c r="R282" s="104"/>
      <c r="S282" s="104"/>
      <c r="T282" s="104"/>
      <c r="U282" s="104"/>
      <c r="V282" s="104"/>
      <c r="W282" s="104"/>
      <c r="X282" s="104"/>
      <c r="Y282" s="104"/>
      <c r="Z282" s="104"/>
      <c r="AA282" s="104"/>
      <c r="AB282" s="104"/>
      <c r="AC282" s="104"/>
      <c r="AD282" s="104"/>
      <c r="AE282" s="104"/>
      <c r="AF282" s="104"/>
      <c r="AG282" s="104"/>
      <c r="AH282" s="104"/>
      <c r="AI282" s="104"/>
      <c r="AJ282" s="104"/>
      <c r="AK282" s="104"/>
      <c r="AL282" s="104"/>
      <c r="AM282" s="104"/>
      <c r="AN282" s="104"/>
      <c r="AO282" s="104"/>
      <c r="AP282" s="104"/>
      <c r="AQ282" s="104"/>
      <c r="AR282" s="104"/>
      <c r="AS282" s="104"/>
      <c r="AT282" s="104"/>
      <c r="AU282" s="104"/>
      <c r="AV282" s="104"/>
      <c r="AW282" s="104"/>
      <c r="AX282" s="104"/>
      <c r="AY282" s="104"/>
      <c r="AZ282" s="104"/>
      <c r="BA282" s="104"/>
      <c r="BB282" s="104"/>
      <c r="BC282" s="104"/>
      <c r="BD282" s="104"/>
      <c r="BE282" s="104"/>
      <c r="BF282" s="104"/>
      <c r="BG282" s="104"/>
      <c r="BH282" s="104"/>
      <c r="BI282" s="104"/>
      <c r="BJ282" s="104"/>
      <c r="BK282" s="104"/>
      <c r="BL282" s="104"/>
      <c r="BM282" s="104"/>
      <c r="BN282" s="104"/>
      <c r="BO282" s="104"/>
    </row>
    <row r="283" spans="1:67" ht="36" x14ac:dyDescent="0.25">
      <c r="A283" s="104"/>
      <c r="B283" s="104"/>
      <c r="C283" s="104"/>
      <c r="D283" s="104"/>
      <c r="E283" s="104"/>
      <c r="F283" s="104"/>
      <c r="G283" s="104"/>
      <c r="H283" s="104"/>
      <c r="I283" s="104"/>
      <c r="J283" s="104"/>
      <c r="K283" s="104"/>
      <c r="L283" s="104"/>
      <c r="M283" s="104"/>
      <c r="N283" s="104"/>
      <c r="O283" s="104"/>
      <c r="P283" s="104"/>
      <c r="Q283" s="104"/>
      <c r="R283" s="104"/>
      <c r="S283" s="104"/>
      <c r="T283" s="104"/>
      <c r="U283" s="104"/>
      <c r="V283" s="104"/>
      <c r="W283" s="104"/>
      <c r="X283" s="104"/>
      <c r="Y283" s="104"/>
      <c r="Z283" s="104"/>
      <c r="AA283" s="104"/>
      <c r="AB283" s="104"/>
      <c r="AC283" s="104"/>
      <c r="AD283" s="104"/>
      <c r="AE283" s="104"/>
      <c r="AF283" s="104"/>
      <c r="AG283" s="104"/>
      <c r="AH283" s="104"/>
      <c r="AI283" s="104"/>
      <c r="AJ283" s="104"/>
      <c r="AK283" s="104"/>
      <c r="AL283" s="104"/>
      <c r="AM283" s="104"/>
      <c r="AN283" s="104"/>
      <c r="AO283" s="104"/>
      <c r="AP283" s="104"/>
      <c r="AQ283" s="104"/>
      <c r="AR283" s="104"/>
      <c r="AS283" s="104"/>
      <c r="AT283" s="104"/>
      <c r="AU283" s="104"/>
      <c r="AV283" s="104"/>
      <c r="AW283" s="104"/>
      <c r="AX283" s="104"/>
      <c r="AY283" s="104"/>
      <c r="AZ283" s="104"/>
      <c r="BA283" s="104"/>
      <c r="BB283" s="104"/>
      <c r="BC283" s="104"/>
      <c r="BD283" s="104"/>
      <c r="BE283" s="104"/>
      <c r="BF283" s="104"/>
      <c r="BG283" s="104"/>
      <c r="BH283" s="104"/>
      <c r="BI283" s="104"/>
      <c r="BJ283" s="104"/>
      <c r="BK283" s="104"/>
      <c r="BL283" s="104"/>
      <c r="BM283" s="104"/>
      <c r="BN283" s="104"/>
      <c r="BO283" s="104"/>
    </row>
    <row r="284" spans="1:67" ht="36" x14ac:dyDescent="0.25">
      <c r="A284" s="104"/>
      <c r="B284" s="104"/>
      <c r="C284" s="104"/>
      <c r="D284" s="104"/>
      <c r="E284" s="104"/>
      <c r="F284" s="104"/>
      <c r="G284" s="104"/>
      <c r="H284" s="104"/>
      <c r="I284" s="104"/>
      <c r="J284" s="104"/>
      <c r="K284" s="104"/>
      <c r="L284" s="104"/>
      <c r="M284" s="104"/>
      <c r="N284" s="104"/>
      <c r="O284" s="104"/>
      <c r="P284" s="104"/>
      <c r="Q284" s="104"/>
      <c r="R284" s="104"/>
      <c r="S284" s="104"/>
      <c r="T284" s="104"/>
      <c r="U284" s="104"/>
      <c r="V284" s="104"/>
      <c r="W284" s="104"/>
      <c r="X284" s="104"/>
      <c r="Y284" s="104"/>
      <c r="Z284" s="104"/>
      <c r="AA284" s="104"/>
      <c r="AB284" s="104"/>
      <c r="AC284" s="104"/>
      <c r="AD284" s="104"/>
      <c r="AE284" s="104"/>
      <c r="AF284" s="104"/>
      <c r="AG284" s="104"/>
      <c r="AH284" s="104"/>
      <c r="AI284" s="104"/>
      <c r="AJ284" s="104"/>
      <c r="AK284" s="104"/>
      <c r="AL284" s="104"/>
      <c r="AM284" s="104"/>
      <c r="AN284" s="104"/>
      <c r="AO284" s="104"/>
      <c r="AP284" s="104"/>
      <c r="AQ284" s="104"/>
      <c r="AR284" s="104"/>
      <c r="AS284" s="104"/>
      <c r="AT284" s="104"/>
      <c r="AU284" s="104"/>
      <c r="AV284" s="104"/>
      <c r="AW284" s="104"/>
      <c r="AX284" s="104"/>
      <c r="AY284" s="104"/>
      <c r="AZ284" s="104"/>
      <c r="BA284" s="104"/>
      <c r="BB284" s="104"/>
      <c r="BC284" s="104"/>
      <c r="BD284" s="104"/>
      <c r="BE284" s="104"/>
      <c r="BF284" s="104"/>
      <c r="BG284" s="104"/>
      <c r="BH284" s="104"/>
      <c r="BI284" s="104"/>
      <c r="BJ284" s="104"/>
      <c r="BK284" s="104"/>
      <c r="BL284" s="104"/>
      <c r="BM284" s="104"/>
      <c r="BN284" s="104"/>
      <c r="BO284" s="104"/>
    </row>
    <row r="285" spans="1:67" ht="36" x14ac:dyDescent="0.25">
      <c r="A285" s="104"/>
      <c r="B285" s="104"/>
      <c r="C285" s="104"/>
      <c r="D285" s="104"/>
      <c r="E285" s="104"/>
      <c r="F285" s="104"/>
      <c r="G285" s="104"/>
      <c r="H285" s="104"/>
      <c r="I285" s="104"/>
      <c r="J285" s="104"/>
      <c r="K285" s="104"/>
      <c r="L285" s="104"/>
      <c r="M285" s="104"/>
      <c r="N285" s="104"/>
      <c r="O285" s="104"/>
      <c r="P285" s="104"/>
      <c r="Q285" s="104"/>
      <c r="R285" s="104"/>
      <c r="S285" s="104"/>
      <c r="T285" s="104"/>
      <c r="U285" s="104"/>
      <c r="V285" s="104"/>
      <c r="W285" s="104"/>
      <c r="X285" s="104"/>
      <c r="Y285" s="104"/>
      <c r="Z285" s="104"/>
      <c r="AA285" s="104"/>
      <c r="AB285" s="104"/>
      <c r="AC285" s="104"/>
      <c r="AD285" s="104"/>
      <c r="AE285" s="104"/>
      <c r="AF285" s="104"/>
      <c r="AG285" s="104"/>
      <c r="AH285" s="104"/>
      <c r="AI285" s="104"/>
      <c r="AJ285" s="104"/>
      <c r="AK285" s="104"/>
      <c r="AL285" s="104"/>
      <c r="AM285" s="104"/>
      <c r="AN285" s="104"/>
      <c r="AO285" s="104"/>
      <c r="AP285" s="104"/>
      <c r="AQ285" s="104"/>
      <c r="AR285" s="104"/>
      <c r="AS285" s="104"/>
      <c r="AT285" s="104"/>
      <c r="AU285" s="104"/>
      <c r="AV285" s="104"/>
      <c r="AW285" s="104"/>
      <c r="AX285" s="104"/>
      <c r="AY285" s="104"/>
      <c r="AZ285" s="104"/>
      <c r="BA285" s="104"/>
      <c r="BB285" s="104"/>
      <c r="BC285" s="104"/>
      <c r="BD285" s="104"/>
      <c r="BE285" s="104"/>
      <c r="BF285" s="104"/>
      <c r="BG285" s="104"/>
      <c r="BH285" s="104"/>
      <c r="BI285" s="104"/>
      <c r="BJ285" s="104"/>
      <c r="BK285" s="104"/>
      <c r="BL285" s="104"/>
      <c r="BM285" s="104"/>
      <c r="BN285" s="104"/>
      <c r="BO285" s="104"/>
    </row>
    <row r="286" spans="1:67" ht="36" x14ac:dyDescent="0.25">
      <c r="A286" s="104"/>
      <c r="B286" s="104"/>
      <c r="C286" s="104"/>
      <c r="D286" s="104"/>
      <c r="E286" s="104"/>
      <c r="F286" s="104"/>
      <c r="G286" s="104"/>
      <c r="H286" s="104"/>
      <c r="I286" s="104"/>
      <c r="J286" s="104"/>
      <c r="K286" s="104"/>
      <c r="L286" s="104"/>
      <c r="M286" s="104"/>
      <c r="N286" s="104"/>
      <c r="O286" s="104"/>
      <c r="P286" s="104"/>
      <c r="Q286" s="104"/>
      <c r="R286" s="104"/>
      <c r="S286" s="104"/>
      <c r="T286" s="104"/>
      <c r="U286" s="104"/>
      <c r="V286" s="104"/>
      <c r="W286" s="104"/>
      <c r="X286" s="104"/>
      <c r="Y286" s="104"/>
      <c r="Z286" s="104"/>
      <c r="AA286" s="104"/>
      <c r="AB286" s="104"/>
      <c r="AC286" s="104"/>
      <c r="AD286" s="104"/>
      <c r="AE286" s="104"/>
      <c r="AF286" s="104"/>
      <c r="AG286" s="104"/>
      <c r="AH286" s="104"/>
      <c r="AI286" s="104"/>
      <c r="AJ286" s="104"/>
      <c r="AK286" s="104"/>
      <c r="AL286" s="104"/>
      <c r="AM286" s="104"/>
      <c r="AN286" s="104"/>
      <c r="AO286" s="104"/>
      <c r="AP286" s="104"/>
      <c r="AQ286" s="104"/>
      <c r="AR286" s="104"/>
      <c r="AS286" s="104"/>
      <c r="AT286" s="104"/>
      <c r="AU286" s="104"/>
      <c r="AV286" s="104"/>
      <c r="AW286" s="104"/>
      <c r="AX286" s="104"/>
      <c r="AY286" s="104"/>
      <c r="AZ286" s="104"/>
      <c r="BA286" s="104"/>
      <c r="BB286" s="104"/>
      <c r="BC286" s="104"/>
      <c r="BD286" s="104"/>
      <c r="BE286" s="104"/>
      <c r="BF286" s="104"/>
      <c r="BG286" s="104"/>
      <c r="BH286" s="104"/>
      <c r="BI286" s="104"/>
      <c r="BJ286" s="104"/>
      <c r="BK286" s="104"/>
      <c r="BL286" s="104"/>
      <c r="BM286" s="104"/>
      <c r="BN286" s="104"/>
      <c r="BO286" s="104"/>
    </row>
    <row r="287" spans="1:67" ht="36" x14ac:dyDescent="0.25">
      <c r="A287" s="104"/>
      <c r="B287" s="104"/>
      <c r="C287" s="104"/>
      <c r="D287" s="104"/>
      <c r="E287" s="104"/>
      <c r="F287" s="104"/>
      <c r="G287" s="104"/>
      <c r="H287" s="104"/>
      <c r="I287" s="104"/>
      <c r="J287" s="104"/>
      <c r="K287" s="104"/>
      <c r="L287" s="104"/>
      <c r="M287" s="104"/>
      <c r="N287" s="104"/>
      <c r="O287" s="104"/>
      <c r="P287" s="104"/>
      <c r="Q287" s="104"/>
      <c r="R287" s="104"/>
      <c r="S287" s="104"/>
      <c r="T287" s="104"/>
      <c r="U287" s="104"/>
      <c r="V287" s="104"/>
      <c r="W287" s="104"/>
      <c r="X287" s="104"/>
      <c r="Y287" s="104"/>
      <c r="Z287" s="104"/>
      <c r="AA287" s="104"/>
      <c r="AB287" s="104"/>
      <c r="AC287" s="104"/>
      <c r="AD287" s="104"/>
      <c r="AE287" s="104"/>
      <c r="AF287" s="104"/>
      <c r="AG287" s="104"/>
      <c r="AH287" s="104"/>
      <c r="AI287" s="104"/>
      <c r="AJ287" s="104"/>
      <c r="AK287" s="104"/>
      <c r="AL287" s="104"/>
      <c r="AM287" s="104"/>
      <c r="AN287" s="104"/>
      <c r="AO287" s="104"/>
      <c r="AP287" s="104"/>
      <c r="AQ287" s="104"/>
      <c r="AR287" s="104"/>
      <c r="AS287" s="104"/>
      <c r="AT287" s="104"/>
      <c r="AU287" s="104"/>
      <c r="AV287" s="104"/>
      <c r="AW287" s="104"/>
      <c r="AX287" s="104"/>
      <c r="AY287" s="104"/>
      <c r="AZ287" s="104"/>
      <c r="BA287" s="104"/>
      <c r="BB287" s="104"/>
      <c r="BC287" s="104"/>
      <c r="BD287" s="104"/>
      <c r="BE287" s="104"/>
      <c r="BF287" s="104"/>
      <c r="BG287" s="104"/>
      <c r="BH287" s="104"/>
      <c r="BI287" s="104"/>
      <c r="BJ287" s="104"/>
      <c r="BK287" s="104"/>
      <c r="BL287" s="104"/>
      <c r="BM287" s="104"/>
      <c r="BN287" s="104"/>
      <c r="BO287" s="104"/>
    </row>
    <row r="288" spans="1:67" ht="36" x14ac:dyDescent="0.25">
      <c r="A288" s="104"/>
      <c r="B288" s="104"/>
      <c r="C288" s="104"/>
      <c r="D288" s="104"/>
      <c r="E288" s="104"/>
      <c r="F288" s="104"/>
      <c r="G288" s="104"/>
      <c r="H288" s="104"/>
      <c r="I288" s="104"/>
      <c r="J288" s="104"/>
      <c r="K288" s="104"/>
      <c r="L288" s="104"/>
      <c r="M288" s="104"/>
      <c r="N288" s="104"/>
      <c r="O288" s="104"/>
      <c r="P288" s="104"/>
      <c r="Q288" s="104"/>
      <c r="R288" s="104"/>
      <c r="S288" s="104"/>
      <c r="T288" s="104"/>
      <c r="U288" s="104"/>
      <c r="V288" s="104"/>
      <c r="W288" s="104"/>
      <c r="X288" s="104"/>
      <c r="Y288" s="104"/>
      <c r="Z288" s="104"/>
      <c r="AA288" s="104"/>
      <c r="AB288" s="104"/>
      <c r="AC288" s="104"/>
      <c r="AD288" s="104"/>
      <c r="AE288" s="104"/>
      <c r="AF288" s="104"/>
      <c r="AG288" s="104"/>
      <c r="AH288" s="104"/>
      <c r="AI288" s="104"/>
      <c r="AJ288" s="104"/>
      <c r="AK288" s="104"/>
      <c r="AL288" s="104"/>
      <c r="AM288" s="104"/>
      <c r="AN288" s="104"/>
      <c r="AO288" s="104"/>
      <c r="AP288" s="104"/>
      <c r="AQ288" s="104"/>
      <c r="AR288" s="104"/>
      <c r="AS288" s="104"/>
      <c r="AT288" s="104"/>
      <c r="AU288" s="104"/>
      <c r="AV288" s="104"/>
      <c r="AW288" s="104"/>
      <c r="AX288" s="104"/>
      <c r="AY288" s="104"/>
      <c r="AZ288" s="104"/>
      <c r="BA288" s="104"/>
      <c r="BB288" s="104"/>
      <c r="BC288" s="104"/>
      <c r="BD288" s="104"/>
      <c r="BE288" s="104"/>
      <c r="BF288" s="104"/>
      <c r="BG288" s="104"/>
      <c r="BH288" s="104"/>
      <c r="BI288" s="104"/>
      <c r="BJ288" s="104"/>
      <c r="BK288" s="104"/>
      <c r="BL288" s="104"/>
      <c r="BM288" s="104"/>
      <c r="BN288" s="104"/>
      <c r="BO288" s="104"/>
    </row>
    <row r="289" spans="1:67" ht="36" x14ac:dyDescent="0.25">
      <c r="A289" s="104"/>
      <c r="B289" s="104"/>
      <c r="C289" s="104"/>
      <c r="D289" s="104"/>
      <c r="E289" s="104"/>
      <c r="F289" s="104"/>
      <c r="G289" s="104"/>
      <c r="H289" s="104"/>
      <c r="I289" s="104"/>
      <c r="J289" s="104"/>
      <c r="K289" s="104"/>
      <c r="L289" s="104"/>
      <c r="M289" s="104"/>
      <c r="N289" s="104"/>
      <c r="O289" s="104"/>
      <c r="P289" s="104"/>
      <c r="Q289" s="104"/>
      <c r="R289" s="104"/>
      <c r="S289" s="104"/>
      <c r="T289" s="104"/>
      <c r="U289" s="104"/>
      <c r="V289" s="104"/>
      <c r="W289" s="104"/>
      <c r="X289" s="104"/>
      <c r="Y289" s="104"/>
      <c r="Z289" s="104"/>
      <c r="AA289" s="104"/>
      <c r="AB289" s="104"/>
      <c r="AC289" s="104"/>
      <c r="AD289" s="104"/>
      <c r="AE289" s="104"/>
      <c r="AF289" s="104"/>
      <c r="AG289" s="104"/>
      <c r="AH289" s="104"/>
      <c r="AI289" s="104"/>
      <c r="AJ289" s="104"/>
      <c r="AK289" s="104"/>
      <c r="AL289" s="104"/>
      <c r="AM289" s="104"/>
      <c r="AN289" s="104"/>
      <c r="AO289" s="104"/>
      <c r="AP289" s="104"/>
      <c r="AQ289" s="104"/>
      <c r="AR289" s="104"/>
      <c r="AS289" s="104"/>
      <c r="AT289" s="104"/>
      <c r="AU289" s="104"/>
      <c r="AV289" s="104"/>
      <c r="AW289" s="104"/>
      <c r="AX289" s="104"/>
      <c r="AY289" s="104"/>
      <c r="AZ289" s="104"/>
      <c r="BA289" s="104"/>
      <c r="BB289" s="104"/>
      <c r="BC289" s="104"/>
      <c r="BD289" s="104"/>
      <c r="BE289" s="104"/>
      <c r="BF289" s="104"/>
      <c r="BG289" s="104"/>
      <c r="BH289" s="104"/>
      <c r="BI289" s="104"/>
      <c r="BJ289" s="104"/>
      <c r="BK289" s="104"/>
      <c r="BL289" s="104"/>
      <c r="BM289" s="104"/>
      <c r="BN289" s="104"/>
      <c r="BO289" s="104"/>
    </row>
    <row r="290" spans="1:67" ht="36" x14ac:dyDescent="0.25">
      <c r="A290" s="104"/>
      <c r="B290" s="104"/>
      <c r="C290" s="104"/>
      <c r="D290" s="104"/>
      <c r="E290" s="104"/>
      <c r="F290" s="104"/>
      <c r="G290" s="104"/>
      <c r="H290" s="104"/>
      <c r="I290" s="104"/>
      <c r="J290" s="104"/>
      <c r="K290" s="104"/>
      <c r="L290" s="104"/>
      <c r="M290" s="104"/>
      <c r="N290" s="104"/>
      <c r="O290" s="104"/>
      <c r="P290" s="104"/>
      <c r="Q290" s="104"/>
      <c r="R290" s="104"/>
      <c r="S290" s="104"/>
      <c r="T290" s="104"/>
      <c r="U290" s="104"/>
      <c r="V290" s="104"/>
      <c r="W290" s="104"/>
      <c r="X290" s="104"/>
      <c r="Y290" s="104"/>
      <c r="Z290" s="104"/>
      <c r="AA290" s="104"/>
      <c r="AB290" s="104"/>
      <c r="AC290" s="104"/>
      <c r="AD290" s="104"/>
      <c r="AE290" s="104"/>
      <c r="AF290" s="104"/>
      <c r="AG290" s="104"/>
      <c r="AH290" s="104"/>
      <c r="AI290" s="104"/>
      <c r="AJ290" s="104"/>
      <c r="AK290" s="104"/>
      <c r="AL290" s="104"/>
      <c r="AM290" s="104"/>
      <c r="AN290" s="104"/>
      <c r="AO290" s="104"/>
      <c r="AP290" s="104"/>
      <c r="AQ290" s="104"/>
      <c r="AR290" s="104"/>
      <c r="AS290" s="104"/>
      <c r="AT290" s="104"/>
      <c r="AU290" s="104"/>
      <c r="AV290" s="104"/>
      <c r="AW290" s="104"/>
      <c r="AX290" s="104"/>
      <c r="AY290" s="104"/>
      <c r="AZ290" s="104"/>
      <c r="BA290" s="104"/>
      <c r="BB290" s="104"/>
      <c r="BC290" s="104"/>
      <c r="BD290" s="104"/>
      <c r="BE290" s="104"/>
      <c r="BF290" s="104"/>
      <c r="BG290" s="104"/>
      <c r="BH290" s="104"/>
      <c r="BI290" s="104"/>
      <c r="BJ290" s="104"/>
      <c r="BK290" s="104"/>
      <c r="BL290" s="104"/>
      <c r="BM290" s="104"/>
      <c r="BN290" s="104"/>
      <c r="BO290" s="104"/>
    </row>
    <row r="291" spans="1:67" ht="36" x14ac:dyDescent="0.25">
      <c r="A291" s="104"/>
      <c r="B291" s="104"/>
      <c r="C291" s="104"/>
      <c r="D291" s="104"/>
      <c r="E291" s="104"/>
      <c r="F291" s="104"/>
      <c r="G291" s="104"/>
      <c r="H291" s="104"/>
      <c r="I291" s="104"/>
      <c r="J291" s="104"/>
      <c r="K291" s="104"/>
      <c r="L291" s="104"/>
      <c r="M291" s="104"/>
      <c r="N291" s="104"/>
      <c r="O291" s="104"/>
      <c r="P291" s="104"/>
      <c r="Q291" s="104"/>
      <c r="R291" s="104"/>
      <c r="S291" s="104"/>
      <c r="T291" s="104"/>
      <c r="U291" s="104"/>
      <c r="V291" s="104"/>
      <c r="W291" s="104"/>
      <c r="X291" s="104"/>
      <c r="Y291" s="104"/>
      <c r="Z291" s="104"/>
      <c r="AA291" s="104"/>
      <c r="AB291" s="104"/>
      <c r="AC291" s="104"/>
      <c r="AD291" s="104"/>
      <c r="AE291" s="104"/>
      <c r="AF291" s="104"/>
      <c r="AG291" s="104"/>
      <c r="AH291" s="104"/>
      <c r="AI291" s="104"/>
      <c r="AJ291" s="104"/>
      <c r="AK291" s="104"/>
      <c r="AL291" s="104"/>
      <c r="AM291" s="104"/>
      <c r="AN291" s="104"/>
      <c r="AO291" s="104"/>
      <c r="AP291" s="104"/>
      <c r="AQ291" s="104"/>
      <c r="AR291" s="104"/>
      <c r="AS291" s="104"/>
      <c r="AT291" s="104"/>
      <c r="AU291" s="104"/>
      <c r="AV291" s="104"/>
      <c r="AW291" s="104"/>
      <c r="AX291" s="104"/>
      <c r="AY291" s="104"/>
      <c r="AZ291" s="104"/>
      <c r="BA291" s="104"/>
      <c r="BB291" s="104"/>
      <c r="BC291" s="104"/>
      <c r="BD291" s="104"/>
      <c r="BE291" s="104"/>
      <c r="BF291" s="104"/>
      <c r="BG291" s="104"/>
      <c r="BH291" s="104"/>
      <c r="BI291" s="104"/>
      <c r="BJ291" s="104"/>
      <c r="BK291" s="104"/>
      <c r="BL291" s="104"/>
      <c r="BM291" s="104"/>
      <c r="BN291" s="104"/>
      <c r="BO291" s="104"/>
    </row>
    <row r="292" spans="1:67" ht="36" x14ac:dyDescent="0.25">
      <c r="A292" s="104"/>
      <c r="B292" s="104"/>
      <c r="C292" s="104"/>
      <c r="D292" s="104"/>
      <c r="E292" s="104"/>
      <c r="F292" s="104"/>
      <c r="G292" s="104"/>
      <c r="H292" s="104"/>
      <c r="I292" s="104"/>
      <c r="J292" s="104"/>
      <c r="K292" s="104"/>
      <c r="L292" s="104"/>
      <c r="M292" s="104"/>
      <c r="N292" s="104"/>
      <c r="O292" s="104"/>
      <c r="P292" s="104"/>
      <c r="Q292" s="104"/>
      <c r="R292" s="104"/>
      <c r="S292" s="104"/>
      <c r="T292" s="104"/>
      <c r="U292" s="104"/>
      <c r="V292" s="104"/>
      <c r="W292" s="104"/>
      <c r="X292" s="104"/>
      <c r="Y292" s="104"/>
      <c r="Z292" s="104"/>
      <c r="AA292" s="104"/>
      <c r="AB292" s="104"/>
      <c r="AC292" s="104"/>
      <c r="AD292" s="104"/>
      <c r="AE292" s="104"/>
      <c r="AF292" s="104"/>
      <c r="AG292" s="104"/>
      <c r="AH292" s="104"/>
      <c r="AI292" s="104"/>
      <c r="AJ292" s="104"/>
      <c r="AK292" s="104"/>
      <c r="AL292" s="104"/>
      <c r="AM292" s="104"/>
      <c r="AN292" s="104"/>
      <c r="AO292" s="104"/>
      <c r="AP292" s="104"/>
      <c r="AQ292" s="104"/>
      <c r="AR292" s="104"/>
      <c r="AS292" s="104"/>
      <c r="AT292" s="104"/>
      <c r="AU292" s="104"/>
      <c r="AV292" s="104"/>
      <c r="AW292" s="104"/>
      <c r="AX292" s="104"/>
      <c r="AY292" s="104"/>
      <c r="AZ292" s="104"/>
      <c r="BA292" s="104"/>
      <c r="BB292" s="104"/>
      <c r="BC292" s="104"/>
      <c r="BD292" s="104"/>
      <c r="BE292" s="104"/>
      <c r="BF292" s="104"/>
      <c r="BG292" s="104"/>
      <c r="BH292" s="104"/>
      <c r="BI292" s="104"/>
      <c r="BJ292" s="104"/>
      <c r="BK292" s="104"/>
      <c r="BL292" s="104"/>
      <c r="BM292" s="104"/>
      <c r="BN292" s="104"/>
      <c r="BO292" s="104"/>
    </row>
    <row r="293" spans="1:67" ht="36" x14ac:dyDescent="0.25">
      <c r="A293" s="104"/>
      <c r="B293" s="104"/>
      <c r="C293" s="104"/>
      <c r="D293" s="104"/>
      <c r="E293" s="104"/>
      <c r="F293" s="104"/>
      <c r="G293" s="104"/>
      <c r="H293" s="104"/>
      <c r="I293" s="104"/>
      <c r="J293" s="104"/>
      <c r="K293" s="104"/>
      <c r="L293" s="104"/>
      <c r="M293" s="104"/>
      <c r="N293" s="104"/>
      <c r="O293" s="104"/>
      <c r="P293" s="104"/>
      <c r="Q293" s="104"/>
      <c r="R293" s="104"/>
      <c r="S293" s="104"/>
      <c r="T293" s="104"/>
      <c r="U293" s="104"/>
      <c r="V293" s="104"/>
      <c r="W293" s="104"/>
      <c r="X293" s="104"/>
      <c r="Y293" s="104"/>
      <c r="Z293" s="104"/>
      <c r="AA293" s="104"/>
      <c r="AB293" s="104"/>
      <c r="AC293" s="104"/>
      <c r="AD293" s="104"/>
      <c r="AE293" s="104"/>
      <c r="AF293" s="104"/>
      <c r="AG293" s="104"/>
      <c r="AH293" s="104"/>
      <c r="AI293" s="104"/>
      <c r="AJ293" s="104"/>
      <c r="AK293" s="104"/>
      <c r="AL293" s="104"/>
      <c r="AM293" s="104"/>
      <c r="AN293" s="104"/>
      <c r="AO293" s="104"/>
      <c r="AP293" s="104"/>
      <c r="AQ293" s="104"/>
      <c r="AR293" s="104"/>
      <c r="AS293" s="104"/>
      <c r="AT293" s="104"/>
      <c r="AU293" s="104"/>
      <c r="AV293" s="104"/>
      <c r="AW293" s="104"/>
      <c r="AX293" s="104"/>
      <c r="AY293" s="104"/>
      <c r="AZ293" s="104"/>
      <c r="BA293" s="104"/>
      <c r="BB293" s="104"/>
      <c r="BC293" s="104"/>
      <c r="BD293" s="104"/>
      <c r="BE293" s="104"/>
      <c r="BF293" s="104"/>
      <c r="BG293" s="104"/>
      <c r="BH293" s="104"/>
      <c r="BI293" s="104"/>
      <c r="BJ293" s="104"/>
      <c r="BK293" s="104"/>
      <c r="BL293" s="104"/>
      <c r="BM293" s="104"/>
      <c r="BN293" s="104"/>
      <c r="BO293" s="104"/>
    </row>
    <row r="294" spans="1:67" ht="36" x14ac:dyDescent="0.25">
      <c r="A294" s="104"/>
      <c r="B294" s="104"/>
      <c r="C294" s="104"/>
      <c r="D294" s="104"/>
      <c r="E294" s="104"/>
      <c r="F294" s="104"/>
      <c r="G294" s="104"/>
      <c r="H294" s="104"/>
      <c r="I294" s="104"/>
      <c r="J294" s="104"/>
      <c r="K294" s="104"/>
      <c r="L294" s="104"/>
      <c r="M294" s="104"/>
      <c r="N294" s="104"/>
      <c r="O294" s="104"/>
      <c r="P294" s="104"/>
      <c r="Q294" s="104"/>
      <c r="R294" s="104"/>
      <c r="S294" s="104"/>
      <c r="T294" s="104"/>
      <c r="U294" s="104"/>
      <c r="V294" s="104"/>
      <c r="W294" s="104"/>
      <c r="X294" s="104"/>
      <c r="Y294" s="104"/>
      <c r="Z294" s="104"/>
      <c r="AA294" s="104"/>
      <c r="AB294" s="104"/>
      <c r="AC294" s="104"/>
      <c r="AD294" s="104"/>
      <c r="AE294" s="104"/>
      <c r="AF294" s="104"/>
      <c r="AG294" s="104"/>
      <c r="AH294" s="104"/>
      <c r="AI294" s="104"/>
      <c r="AJ294" s="104"/>
      <c r="AK294" s="104"/>
      <c r="AL294" s="104"/>
      <c r="AM294" s="104"/>
      <c r="AN294" s="104"/>
      <c r="AO294" s="104"/>
      <c r="AP294" s="104"/>
      <c r="AQ294" s="104"/>
      <c r="AR294" s="104"/>
      <c r="AS294" s="104"/>
      <c r="AT294" s="104"/>
      <c r="AU294" s="104"/>
      <c r="AV294" s="104"/>
      <c r="AW294" s="104"/>
      <c r="AX294" s="104"/>
      <c r="AY294" s="104"/>
      <c r="AZ294" s="104"/>
      <c r="BA294" s="104"/>
      <c r="BB294" s="104"/>
      <c r="BC294" s="104"/>
      <c r="BD294" s="104"/>
      <c r="BE294" s="104"/>
      <c r="BF294" s="104"/>
      <c r="BG294" s="104"/>
      <c r="BH294" s="104"/>
      <c r="BI294" s="104"/>
      <c r="BJ294" s="104"/>
      <c r="BK294" s="104"/>
      <c r="BL294" s="104"/>
      <c r="BM294" s="104"/>
      <c r="BN294" s="104"/>
      <c r="BO294" s="104"/>
    </row>
    <row r="295" spans="1:67" ht="36" x14ac:dyDescent="0.25">
      <c r="A295" s="104"/>
      <c r="B295" s="104"/>
      <c r="C295" s="104"/>
      <c r="D295" s="104"/>
      <c r="E295" s="104"/>
      <c r="F295" s="104"/>
      <c r="G295" s="104"/>
      <c r="H295" s="104"/>
      <c r="I295" s="104"/>
      <c r="J295" s="104"/>
      <c r="K295" s="104"/>
      <c r="L295" s="104"/>
      <c r="M295" s="104"/>
      <c r="N295" s="104"/>
      <c r="O295" s="104"/>
      <c r="P295" s="104"/>
      <c r="Q295" s="104"/>
      <c r="R295" s="104"/>
      <c r="S295" s="104"/>
      <c r="T295" s="104"/>
      <c r="U295" s="104"/>
      <c r="V295" s="104"/>
      <c r="W295" s="104"/>
      <c r="X295" s="104"/>
      <c r="Y295" s="104"/>
      <c r="Z295" s="104"/>
      <c r="AA295" s="104"/>
      <c r="AB295" s="104"/>
      <c r="AC295" s="104"/>
      <c r="AD295" s="104"/>
      <c r="AE295" s="104"/>
      <c r="AF295" s="104"/>
      <c r="AG295" s="104"/>
      <c r="AH295" s="104"/>
      <c r="AI295" s="104"/>
      <c r="AJ295" s="104"/>
      <c r="AK295" s="104"/>
      <c r="AL295" s="104"/>
      <c r="AM295" s="104"/>
      <c r="AN295" s="104"/>
      <c r="AO295" s="104"/>
      <c r="AP295" s="104"/>
      <c r="AQ295" s="104"/>
      <c r="AR295" s="104"/>
      <c r="AS295" s="104"/>
      <c r="AT295" s="104"/>
      <c r="AU295" s="104"/>
      <c r="AV295" s="104"/>
      <c r="AW295" s="104"/>
      <c r="AX295" s="104"/>
      <c r="AY295" s="104"/>
      <c r="AZ295" s="104"/>
      <c r="BA295" s="104"/>
      <c r="BB295" s="104"/>
      <c r="BC295" s="104"/>
      <c r="BD295" s="104"/>
      <c r="BE295" s="104"/>
      <c r="BF295" s="104"/>
      <c r="BG295" s="104"/>
      <c r="BH295" s="104"/>
      <c r="BI295" s="104"/>
      <c r="BJ295" s="104"/>
      <c r="BK295" s="104"/>
      <c r="BL295" s="104"/>
      <c r="BM295" s="104"/>
      <c r="BN295" s="104"/>
      <c r="BO295" s="104"/>
    </row>
    <row r="296" spans="1:67" ht="36" x14ac:dyDescent="0.25">
      <c r="A296" s="104"/>
      <c r="B296" s="104"/>
      <c r="C296" s="104"/>
      <c r="D296" s="104"/>
      <c r="E296" s="104"/>
      <c r="F296" s="104"/>
      <c r="G296" s="104"/>
      <c r="H296" s="104"/>
      <c r="I296" s="104"/>
      <c r="J296" s="104"/>
      <c r="K296" s="104"/>
      <c r="L296" s="104"/>
      <c r="M296" s="104"/>
      <c r="N296" s="104"/>
      <c r="O296" s="104"/>
      <c r="P296" s="104"/>
      <c r="Q296" s="104"/>
      <c r="R296" s="104"/>
      <c r="S296" s="104"/>
      <c r="T296" s="104"/>
      <c r="U296" s="104"/>
      <c r="V296" s="104"/>
      <c r="W296" s="104"/>
      <c r="X296" s="104"/>
      <c r="Y296" s="104"/>
      <c r="Z296" s="104"/>
      <c r="AA296" s="104"/>
      <c r="AB296" s="104"/>
      <c r="AC296" s="104"/>
      <c r="AD296" s="104"/>
      <c r="AE296" s="104"/>
      <c r="AF296" s="104"/>
      <c r="AG296" s="104"/>
      <c r="AH296" s="104"/>
      <c r="AI296" s="104"/>
      <c r="AJ296" s="104"/>
      <c r="AK296" s="104"/>
      <c r="AL296" s="104"/>
      <c r="AM296" s="104"/>
      <c r="AN296" s="104"/>
      <c r="AO296" s="104"/>
      <c r="AP296" s="104"/>
      <c r="AQ296" s="104"/>
      <c r="AR296" s="104"/>
      <c r="AS296" s="104"/>
      <c r="AT296" s="104"/>
      <c r="AU296" s="104"/>
      <c r="AV296" s="104"/>
      <c r="AW296" s="104"/>
      <c r="AX296" s="104"/>
      <c r="AY296" s="104"/>
      <c r="AZ296" s="104"/>
      <c r="BA296" s="104"/>
      <c r="BB296" s="104"/>
      <c r="BC296" s="104"/>
      <c r="BD296" s="104"/>
      <c r="BE296" s="104"/>
      <c r="BF296" s="104"/>
      <c r="BG296" s="104"/>
      <c r="BH296" s="104"/>
      <c r="BI296" s="104"/>
      <c r="BJ296" s="104"/>
      <c r="BK296" s="104"/>
      <c r="BL296" s="104"/>
      <c r="BM296" s="104"/>
      <c r="BN296" s="104"/>
      <c r="BO296" s="104"/>
    </row>
    <row r="297" spans="1:67" ht="36" x14ac:dyDescent="0.25">
      <c r="A297" s="104"/>
      <c r="B297" s="104"/>
      <c r="C297" s="104"/>
      <c r="D297" s="104"/>
      <c r="E297" s="104"/>
      <c r="F297" s="104"/>
      <c r="G297" s="104"/>
      <c r="H297" s="104"/>
      <c r="I297" s="104"/>
      <c r="J297" s="104"/>
      <c r="K297" s="104"/>
      <c r="L297" s="104"/>
      <c r="M297" s="104"/>
      <c r="N297" s="104"/>
      <c r="O297" s="104"/>
      <c r="P297" s="104"/>
      <c r="Q297" s="104"/>
      <c r="R297" s="104"/>
      <c r="S297" s="104"/>
      <c r="T297" s="104"/>
      <c r="U297" s="104"/>
      <c r="V297" s="104"/>
      <c r="W297" s="104"/>
      <c r="X297" s="104"/>
      <c r="Y297" s="104"/>
      <c r="Z297" s="104"/>
      <c r="AA297" s="104"/>
      <c r="AB297" s="104"/>
      <c r="AC297" s="104"/>
      <c r="AD297" s="104"/>
      <c r="AE297" s="104"/>
      <c r="AF297" s="104"/>
      <c r="AG297" s="104"/>
      <c r="AH297" s="104"/>
      <c r="AI297" s="104"/>
      <c r="AJ297" s="104"/>
      <c r="AK297" s="104"/>
      <c r="AL297" s="104"/>
      <c r="AM297" s="104"/>
      <c r="AN297" s="104"/>
      <c r="AO297" s="104"/>
      <c r="AP297" s="104"/>
      <c r="AQ297" s="104"/>
      <c r="AR297" s="104"/>
      <c r="AS297" s="104"/>
      <c r="AT297" s="104"/>
      <c r="AU297" s="104"/>
      <c r="AV297" s="104"/>
      <c r="AW297" s="104"/>
      <c r="AX297" s="104"/>
      <c r="AY297" s="104"/>
      <c r="AZ297" s="104"/>
      <c r="BA297" s="104"/>
      <c r="BB297" s="104"/>
      <c r="BC297" s="104"/>
      <c r="BD297" s="104"/>
      <c r="BE297" s="104"/>
      <c r="BF297" s="104"/>
      <c r="BG297" s="104"/>
      <c r="BH297" s="104"/>
      <c r="BI297" s="104"/>
      <c r="BJ297" s="104"/>
      <c r="BK297" s="104"/>
      <c r="BL297" s="104"/>
      <c r="BM297" s="104"/>
      <c r="BN297" s="104"/>
      <c r="BO297" s="104"/>
    </row>
    <row r="298" spans="1:67" ht="36" x14ac:dyDescent="0.25">
      <c r="A298" s="104"/>
      <c r="B298" s="104"/>
      <c r="C298" s="104"/>
      <c r="D298" s="104"/>
      <c r="E298" s="104"/>
      <c r="F298" s="104"/>
      <c r="G298" s="104"/>
      <c r="H298" s="104"/>
      <c r="I298" s="104"/>
      <c r="J298" s="104"/>
      <c r="K298" s="104"/>
      <c r="L298" s="104"/>
      <c r="M298" s="104"/>
      <c r="N298" s="104"/>
      <c r="O298" s="104"/>
      <c r="P298" s="104"/>
      <c r="Q298" s="104"/>
      <c r="R298" s="104"/>
      <c r="S298" s="104"/>
      <c r="T298" s="104"/>
      <c r="U298" s="104"/>
      <c r="V298" s="104"/>
      <c r="W298" s="104"/>
      <c r="X298" s="104"/>
      <c r="Y298" s="104"/>
      <c r="Z298" s="104"/>
      <c r="AA298" s="104"/>
      <c r="AB298" s="104"/>
      <c r="AC298" s="104"/>
      <c r="AD298" s="104"/>
      <c r="AE298" s="104"/>
      <c r="AF298" s="104"/>
      <c r="AG298" s="104"/>
      <c r="AH298" s="104"/>
      <c r="AI298" s="104"/>
      <c r="AJ298" s="104"/>
      <c r="AK298" s="104"/>
      <c r="AL298" s="104"/>
      <c r="AM298" s="104"/>
      <c r="AN298" s="104"/>
      <c r="AO298" s="104"/>
      <c r="AP298" s="104"/>
      <c r="AQ298" s="104"/>
      <c r="AR298" s="104"/>
      <c r="AS298" s="104"/>
      <c r="AT298" s="104"/>
      <c r="AU298" s="104"/>
      <c r="AV298" s="104"/>
      <c r="AW298" s="104"/>
      <c r="AX298" s="104"/>
      <c r="AY298" s="104"/>
      <c r="AZ298" s="104"/>
      <c r="BA298" s="104"/>
      <c r="BB298" s="104"/>
      <c r="BC298" s="104"/>
      <c r="BD298" s="104"/>
      <c r="BE298" s="104"/>
      <c r="BF298" s="104"/>
      <c r="BG298" s="104"/>
      <c r="BH298" s="104"/>
      <c r="BI298" s="104"/>
      <c r="BJ298" s="104"/>
      <c r="BK298" s="104"/>
      <c r="BL298" s="104"/>
      <c r="BM298" s="104"/>
      <c r="BN298" s="104"/>
      <c r="BO298" s="104"/>
    </row>
    <row r="299" spans="1:67" ht="36" x14ac:dyDescent="0.25">
      <c r="A299" s="104"/>
      <c r="B299" s="104"/>
      <c r="C299" s="104"/>
      <c r="D299" s="104"/>
      <c r="E299" s="104"/>
      <c r="F299" s="104"/>
      <c r="G299" s="104"/>
      <c r="H299" s="104"/>
      <c r="I299" s="104"/>
      <c r="J299" s="104"/>
      <c r="K299" s="104"/>
      <c r="L299" s="104"/>
      <c r="M299" s="104"/>
      <c r="N299" s="104"/>
      <c r="O299" s="104"/>
      <c r="P299" s="104"/>
      <c r="Q299" s="104"/>
      <c r="R299" s="104"/>
      <c r="S299" s="104"/>
      <c r="T299" s="104"/>
      <c r="U299" s="104"/>
      <c r="V299" s="104"/>
      <c r="W299" s="104"/>
      <c r="X299" s="104"/>
      <c r="Y299" s="104"/>
      <c r="Z299" s="104"/>
      <c r="AA299" s="104"/>
      <c r="AB299" s="104"/>
      <c r="AC299" s="104"/>
      <c r="AD299" s="104"/>
      <c r="AE299" s="104"/>
      <c r="AF299" s="104"/>
      <c r="AG299" s="104"/>
      <c r="AH299" s="104"/>
      <c r="AI299" s="104"/>
      <c r="AJ299" s="104"/>
      <c r="AK299" s="104"/>
      <c r="AL299" s="104"/>
      <c r="AM299" s="104"/>
      <c r="AN299" s="104"/>
      <c r="AO299" s="104"/>
      <c r="AP299" s="104"/>
      <c r="AQ299" s="104"/>
      <c r="AR299" s="104"/>
      <c r="AS299" s="104"/>
      <c r="AT299" s="104"/>
      <c r="AU299" s="104"/>
      <c r="AV299" s="104"/>
      <c r="AW299" s="104"/>
      <c r="AX299" s="104"/>
      <c r="AY299" s="104"/>
      <c r="AZ299" s="104"/>
      <c r="BA299" s="104"/>
      <c r="BB299" s="104"/>
      <c r="BC299" s="104"/>
      <c r="BD299" s="104"/>
      <c r="BE299" s="104"/>
      <c r="BF299" s="104"/>
      <c r="BG299" s="104"/>
      <c r="BH299" s="104"/>
      <c r="BI299" s="104"/>
      <c r="BJ299" s="104"/>
      <c r="BK299" s="104"/>
      <c r="BL299" s="104"/>
      <c r="BM299" s="104"/>
      <c r="BN299" s="104"/>
      <c r="BO299" s="104"/>
    </row>
    <row r="300" spans="1:67" ht="36" x14ac:dyDescent="0.25">
      <c r="A300" s="104"/>
      <c r="B300" s="104"/>
      <c r="C300" s="104"/>
      <c r="D300" s="104"/>
      <c r="E300" s="104"/>
      <c r="F300" s="104"/>
      <c r="G300" s="104"/>
      <c r="H300" s="104"/>
      <c r="I300" s="104"/>
      <c r="J300" s="104"/>
      <c r="K300" s="104"/>
      <c r="L300" s="104"/>
      <c r="M300" s="104"/>
      <c r="N300" s="104"/>
      <c r="O300" s="104"/>
      <c r="P300" s="104"/>
      <c r="Q300" s="104"/>
      <c r="R300" s="104"/>
      <c r="S300" s="104"/>
      <c r="T300" s="104"/>
      <c r="U300" s="104"/>
      <c r="V300" s="104"/>
      <c r="W300" s="104"/>
      <c r="X300" s="104"/>
      <c r="Y300" s="104"/>
      <c r="Z300" s="104"/>
      <c r="AA300" s="104"/>
      <c r="AB300" s="104"/>
      <c r="AC300" s="104"/>
      <c r="AD300" s="104"/>
      <c r="AE300" s="104"/>
      <c r="AF300" s="104"/>
      <c r="AG300" s="104"/>
      <c r="AH300" s="104"/>
      <c r="AI300" s="104"/>
      <c r="AJ300" s="104"/>
      <c r="AK300" s="104"/>
      <c r="AL300" s="104"/>
      <c r="AM300" s="104"/>
      <c r="AN300" s="104"/>
      <c r="AO300" s="104"/>
      <c r="AP300" s="104"/>
      <c r="AQ300" s="104"/>
      <c r="AR300" s="104"/>
      <c r="AS300" s="104"/>
      <c r="AT300" s="104"/>
      <c r="AU300" s="104"/>
      <c r="AV300" s="104"/>
      <c r="AW300" s="104"/>
      <c r="AX300" s="104"/>
      <c r="AY300" s="104"/>
      <c r="AZ300" s="104"/>
      <c r="BA300" s="104"/>
      <c r="BB300" s="104"/>
      <c r="BC300" s="104"/>
      <c r="BD300" s="104"/>
      <c r="BE300" s="104"/>
      <c r="BF300" s="104"/>
      <c r="BG300" s="104"/>
      <c r="BH300" s="104"/>
      <c r="BI300" s="104"/>
      <c r="BJ300" s="104"/>
      <c r="BK300" s="104"/>
      <c r="BL300" s="104"/>
      <c r="BM300" s="104"/>
      <c r="BN300" s="104"/>
      <c r="BO300" s="104"/>
    </row>
    <row r="301" spans="1:67" ht="36" x14ac:dyDescent="0.25">
      <c r="A301" s="104"/>
      <c r="B301" s="104"/>
      <c r="C301" s="104"/>
      <c r="D301" s="104"/>
      <c r="E301" s="104"/>
      <c r="F301" s="104"/>
      <c r="G301" s="104"/>
      <c r="H301" s="104"/>
      <c r="I301" s="104"/>
      <c r="J301" s="104"/>
      <c r="K301" s="104"/>
      <c r="L301" s="104"/>
      <c r="M301" s="104"/>
      <c r="N301" s="104"/>
      <c r="O301" s="104"/>
      <c r="P301" s="104"/>
      <c r="Q301" s="104"/>
      <c r="R301" s="104"/>
      <c r="S301" s="104"/>
      <c r="T301" s="104"/>
      <c r="U301" s="104"/>
      <c r="V301" s="104"/>
      <c r="W301" s="104"/>
      <c r="X301" s="104"/>
      <c r="Y301" s="104"/>
      <c r="Z301" s="104"/>
      <c r="AA301" s="104"/>
      <c r="AB301" s="104"/>
      <c r="AC301" s="104"/>
      <c r="AD301" s="104"/>
      <c r="AE301" s="104"/>
      <c r="AF301" s="104"/>
      <c r="AG301" s="104"/>
      <c r="AH301" s="104"/>
      <c r="AI301" s="104"/>
      <c r="AJ301" s="104"/>
      <c r="AK301" s="104"/>
      <c r="AL301" s="104"/>
      <c r="AM301" s="104"/>
      <c r="AN301" s="104"/>
      <c r="AO301" s="104"/>
      <c r="AP301" s="104"/>
      <c r="AQ301" s="104"/>
      <c r="AR301" s="104"/>
      <c r="AS301" s="104"/>
      <c r="AT301" s="104"/>
      <c r="AU301" s="104"/>
      <c r="AV301" s="104"/>
      <c r="AW301" s="104"/>
      <c r="AX301" s="104"/>
      <c r="AY301" s="104"/>
      <c r="AZ301" s="104"/>
      <c r="BA301" s="104"/>
      <c r="BB301" s="104"/>
      <c r="BC301" s="104"/>
      <c r="BD301" s="104"/>
      <c r="BE301" s="104"/>
      <c r="BF301" s="104"/>
      <c r="BG301" s="104"/>
      <c r="BH301" s="104"/>
      <c r="BI301" s="104"/>
      <c r="BJ301" s="104"/>
      <c r="BK301" s="104"/>
      <c r="BL301" s="104"/>
      <c r="BM301" s="104"/>
      <c r="BN301" s="104"/>
      <c r="BO301" s="104"/>
    </row>
    <row r="302" spans="1:67" ht="36" x14ac:dyDescent="0.25">
      <c r="A302" s="104"/>
      <c r="B302" s="104"/>
      <c r="C302" s="104"/>
      <c r="D302" s="104"/>
      <c r="E302" s="104"/>
      <c r="F302" s="104"/>
      <c r="G302" s="104"/>
      <c r="H302" s="104"/>
      <c r="I302" s="104"/>
      <c r="J302" s="104"/>
      <c r="K302" s="104"/>
      <c r="L302" s="104"/>
      <c r="M302" s="104"/>
      <c r="N302" s="104"/>
      <c r="O302" s="104"/>
      <c r="P302" s="104"/>
      <c r="Q302" s="104"/>
      <c r="R302" s="104"/>
      <c r="S302" s="104"/>
      <c r="T302" s="104"/>
      <c r="U302" s="104"/>
      <c r="V302" s="104"/>
      <c r="W302" s="104"/>
      <c r="X302" s="104"/>
      <c r="Y302" s="104"/>
      <c r="Z302" s="104"/>
      <c r="AA302" s="104"/>
      <c r="AB302" s="104"/>
      <c r="AC302" s="104"/>
      <c r="AD302" s="104"/>
      <c r="AE302" s="104"/>
      <c r="AF302" s="104"/>
      <c r="AG302" s="104"/>
      <c r="AH302" s="104"/>
      <c r="AI302" s="104"/>
      <c r="AJ302" s="104"/>
      <c r="AK302" s="104"/>
      <c r="AL302" s="104"/>
      <c r="AM302" s="104"/>
      <c r="AN302" s="104"/>
      <c r="AO302" s="104"/>
      <c r="AP302" s="104"/>
      <c r="AQ302" s="104"/>
      <c r="AR302" s="104"/>
      <c r="AS302" s="104"/>
      <c r="AT302" s="104"/>
      <c r="AU302" s="104"/>
      <c r="AV302" s="104"/>
      <c r="AW302" s="104"/>
      <c r="AX302" s="104"/>
      <c r="AY302" s="104"/>
      <c r="AZ302" s="104"/>
      <c r="BA302" s="104"/>
      <c r="BB302" s="104"/>
      <c r="BC302" s="104"/>
      <c r="BD302" s="104"/>
      <c r="BE302" s="104"/>
      <c r="BF302" s="104"/>
      <c r="BG302" s="104"/>
      <c r="BH302" s="104"/>
      <c r="BI302" s="104"/>
      <c r="BJ302" s="104"/>
      <c r="BK302" s="104"/>
      <c r="BL302" s="104"/>
      <c r="BM302" s="104"/>
      <c r="BN302" s="104"/>
      <c r="BO302" s="104"/>
    </row>
    <row r="303" spans="1:67" ht="36" x14ac:dyDescent="0.25">
      <c r="A303" s="104"/>
      <c r="B303" s="104"/>
      <c r="C303" s="104"/>
      <c r="D303" s="104"/>
      <c r="E303" s="104"/>
      <c r="F303" s="104"/>
      <c r="G303" s="104"/>
      <c r="H303" s="104"/>
      <c r="I303" s="104"/>
      <c r="J303" s="104"/>
      <c r="K303" s="104"/>
      <c r="L303" s="104"/>
      <c r="M303" s="104"/>
      <c r="N303" s="104"/>
      <c r="O303" s="104"/>
      <c r="P303" s="104"/>
      <c r="Q303" s="104"/>
      <c r="R303" s="104"/>
      <c r="S303" s="104"/>
      <c r="T303" s="104"/>
      <c r="U303" s="104"/>
      <c r="V303" s="104"/>
      <c r="W303" s="104"/>
      <c r="X303" s="104"/>
      <c r="Y303" s="104"/>
      <c r="Z303" s="104"/>
      <c r="AA303" s="104"/>
      <c r="AB303" s="104"/>
      <c r="AC303" s="104"/>
      <c r="AD303" s="104"/>
      <c r="AE303" s="104"/>
      <c r="AF303" s="104"/>
      <c r="AG303" s="104"/>
      <c r="AH303" s="104"/>
      <c r="AI303" s="104"/>
      <c r="AJ303" s="104"/>
      <c r="AK303" s="104"/>
      <c r="AL303" s="104"/>
      <c r="AM303" s="104"/>
      <c r="AN303" s="104"/>
      <c r="AO303" s="104"/>
      <c r="AP303" s="104"/>
      <c r="AQ303" s="104"/>
      <c r="AR303" s="104"/>
      <c r="AS303" s="104"/>
      <c r="AT303" s="104"/>
      <c r="AU303" s="104"/>
      <c r="AV303" s="104"/>
      <c r="AW303" s="104"/>
      <c r="AX303" s="104"/>
      <c r="AY303" s="104"/>
      <c r="AZ303" s="104"/>
      <c r="BA303" s="104"/>
      <c r="BB303" s="104"/>
      <c r="BC303" s="104"/>
      <c r="BD303" s="104"/>
      <c r="BE303" s="104"/>
      <c r="BF303" s="104"/>
      <c r="BG303" s="104"/>
      <c r="BH303" s="104"/>
      <c r="BI303" s="104"/>
      <c r="BJ303" s="104"/>
      <c r="BK303" s="104"/>
      <c r="BL303" s="104"/>
      <c r="BM303" s="104"/>
      <c r="BN303" s="104"/>
      <c r="BO303" s="104"/>
    </row>
    <row r="304" spans="1:67" ht="36" x14ac:dyDescent="0.25">
      <c r="A304" s="104"/>
      <c r="B304" s="104"/>
      <c r="C304" s="104"/>
      <c r="D304" s="104"/>
      <c r="E304" s="104"/>
      <c r="F304" s="104"/>
      <c r="G304" s="104"/>
      <c r="H304" s="104"/>
      <c r="I304" s="104"/>
      <c r="J304" s="104"/>
      <c r="K304" s="104"/>
      <c r="L304" s="104"/>
      <c r="M304" s="104"/>
      <c r="N304" s="104"/>
      <c r="O304" s="104"/>
      <c r="P304" s="104"/>
      <c r="Q304" s="104"/>
      <c r="R304" s="104"/>
      <c r="S304" s="104"/>
      <c r="T304" s="104"/>
      <c r="U304" s="104"/>
      <c r="V304" s="104"/>
      <c r="W304" s="104"/>
      <c r="X304" s="104"/>
      <c r="Y304" s="104"/>
      <c r="Z304" s="104"/>
      <c r="AA304" s="104"/>
      <c r="AB304" s="104"/>
      <c r="AC304" s="104"/>
      <c r="AD304" s="104"/>
      <c r="AE304" s="104"/>
      <c r="AF304" s="104"/>
      <c r="AG304" s="104"/>
      <c r="AH304" s="104"/>
      <c r="AI304" s="104"/>
      <c r="AJ304" s="104"/>
      <c r="AK304" s="104"/>
      <c r="AL304" s="104"/>
      <c r="AM304" s="104"/>
      <c r="AN304" s="104"/>
      <c r="AO304" s="104"/>
      <c r="AP304" s="104"/>
      <c r="AQ304" s="104"/>
      <c r="AR304" s="104"/>
      <c r="AS304" s="104"/>
      <c r="AT304" s="104"/>
      <c r="AU304" s="104"/>
      <c r="AV304" s="104"/>
      <c r="AW304" s="104"/>
      <c r="AX304" s="104"/>
      <c r="AY304" s="104"/>
      <c r="AZ304" s="104"/>
      <c r="BA304" s="104"/>
      <c r="BB304" s="104"/>
      <c r="BC304" s="104"/>
      <c r="BD304" s="104"/>
      <c r="BE304" s="104"/>
      <c r="BF304" s="104"/>
      <c r="BG304" s="104"/>
      <c r="BH304" s="104"/>
      <c r="BI304" s="104"/>
      <c r="BJ304" s="104"/>
      <c r="BK304" s="104"/>
      <c r="BL304" s="104"/>
      <c r="BM304" s="104"/>
      <c r="BN304" s="104"/>
      <c r="BO304" s="104"/>
    </row>
    <row r="305" spans="1:67" ht="36" x14ac:dyDescent="0.25">
      <c r="A305" s="104"/>
      <c r="B305" s="104"/>
      <c r="C305" s="104"/>
      <c r="D305" s="104"/>
      <c r="E305" s="104"/>
      <c r="F305" s="104"/>
      <c r="G305" s="104"/>
      <c r="H305" s="104"/>
      <c r="I305" s="104"/>
      <c r="J305" s="104"/>
      <c r="K305" s="104"/>
      <c r="L305" s="104"/>
      <c r="M305" s="104"/>
      <c r="N305" s="104"/>
      <c r="O305" s="104"/>
      <c r="P305" s="104"/>
      <c r="Q305" s="104"/>
      <c r="R305" s="104"/>
      <c r="S305" s="104"/>
      <c r="T305" s="104"/>
      <c r="U305" s="104"/>
      <c r="V305" s="104"/>
      <c r="W305" s="104"/>
      <c r="X305" s="104"/>
      <c r="Y305" s="104"/>
      <c r="Z305" s="104"/>
      <c r="AA305" s="104"/>
      <c r="AB305" s="104"/>
      <c r="AC305" s="104"/>
      <c r="AD305" s="104"/>
      <c r="AE305" s="104"/>
      <c r="AF305" s="104"/>
      <c r="AG305" s="104"/>
      <c r="AH305" s="104"/>
      <c r="AI305" s="104"/>
      <c r="AJ305" s="104"/>
      <c r="AK305" s="104"/>
      <c r="AL305" s="104"/>
      <c r="AM305" s="104"/>
      <c r="AN305" s="104"/>
      <c r="AO305" s="104"/>
      <c r="AP305" s="104"/>
      <c r="AQ305" s="104"/>
      <c r="AR305" s="104"/>
      <c r="AS305" s="104"/>
      <c r="AT305" s="104"/>
      <c r="AU305" s="104"/>
      <c r="AV305" s="104"/>
      <c r="AW305" s="104"/>
      <c r="AX305" s="104"/>
      <c r="AY305" s="104"/>
      <c r="AZ305" s="104"/>
      <c r="BA305" s="104"/>
      <c r="BB305" s="104"/>
      <c r="BC305" s="104"/>
      <c r="BD305" s="104"/>
      <c r="BE305" s="104"/>
      <c r="BF305" s="104"/>
      <c r="BG305" s="104"/>
      <c r="BH305" s="104"/>
      <c r="BI305" s="104"/>
      <c r="BJ305" s="104"/>
      <c r="BK305" s="104"/>
      <c r="BL305" s="104"/>
      <c r="BM305" s="104"/>
      <c r="BN305" s="104"/>
      <c r="BO305" s="104"/>
    </row>
    <row r="306" spans="1:67" ht="36" x14ac:dyDescent="0.25">
      <c r="A306" s="104"/>
      <c r="B306" s="104"/>
      <c r="C306" s="104"/>
      <c r="D306" s="104"/>
      <c r="E306" s="104"/>
      <c r="F306" s="104"/>
      <c r="G306" s="104"/>
      <c r="H306" s="104"/>
      <c r="I306" s="104"/>
      <c r="J306" s="104"/>
      <c r="K306" s="104"/>
      <c r="L306" s="104"/>
      <c r="M306" s="104"/>
      <c r="N306" s="104"/>
      <c r="O306" s="104"/>
      <c r="P306" s="104"/>
      <c r="Q306" s="104"/>
      <c r="R306" s="104"/>
      <c r="S306" s="104"/>
      <c r="T306" s="104"/>
      <c r="U306" s="104"/>
      <c r="V306" s="104"/>
      <c r="W306" s="104"/>
      <c r="X306" s="104"/>
      <c r="Y306" s="104"/>
      <c r="Z306" s="104"/>
      <c r="AA306" s="104"/>
      <c r="AB306" s="104"/>
      <c r="AC306" s="104"/>
      <c r="AD306" s="104"/>
      <c r="AE306" s="104"/>
      <c r="AF306" s="104"/>
      <c r="AG306" s="104"/>
      <c r="AH306" s="104"/>
      <c r="AI306" s="104"/>
      <c r="AJ306" s="104"/>
      <c r="AK306" s="104"/>
      <c r="AL306" s="104"/>
      <c r="AM306" s="104"/>
      <c r="AN306" s="104"/>
      <c r="AO306" s="104"/>
      <c r="AP306" s="104"/>
      <c r="AQ306" s="104"/>
      <c r="AR306" s="104"/>
      <c r="AS306" s="104"/>
      <c r="AT306" s="104"/>
      <c r="AU306" s="104"/>
      <c r="AV306" s="104"/>
      <c r="AW306" s="104"/>
      <c r="AX306" s="104"/>
      <c r="AY306" s="104"/>
      <c r="AZ306" s="104"/>
      <c r="BA306" s="104"/>
      <c r="BB306" s="104"/>
      <c r="BC306" s="104"/>
      <c r="BD306" s="104"/>
      <c r="BE306" s="104"/>
      <c r="BF306" s="104"/>
      <c r="BG306" s="104"/>
      <c r="BH306" s="104"/>
      <c r="BI306" s="104"/>
      <c r="BJ306" s="104"/>
      <c r="BK306" s="104"/>
      <c r="BL306" s="104"/>
      <c r="BM306" s="104"/>
      <c r="BN306" s="104"/>
      <c r="BO306" s="104"/>
    </row>
    <row r="307" spans="1:67" ht="36" x14ac:dyDescent="0.25">
      <c r="A307" s="104"/>
      <c r="B307" s="104"/>
      <c r="C307" s="104"/>
      <c r="D307" s="104"/>
      <c r="E307" s="104"/>
      <c r="F307" s="104"/>
      <c r="G307" s="104"/>
      <c r="H307" s="104"/>
      <c r="I307" s="104"/>
      <c r="J307" s="104"/>
      <c r="K307" s="104"/>
      <c r="L307" s="104"/>
      <c r="M307" s="104"/>
      <c r="N307" s="104"/>
      <c r="O307" s="104"/>
      <c r="P307" s="104"/>
      <c r="Q307" s="104"/>
      <c r="R307" s="104"/>
      <c r="S307" s="104"/>
      <c r="T307" s="104"/>
      <c r="U307" s="104"/>
      <c r="V307" s="104"/>
      <c r="W307" s="104"/>
      <c r="X307" s="104"/>
      <c r="Y307" s="104"/>
      <c r="Z307" s="104"/>
      <c r="AA307" s="104"/>
      <c r="AB307" s="104"/>
      <c r="AC307" s="104"/>
      <c r="AD307" s="104"/>
      <c r="AE307" s="104"/>
      <c r="AF307" s="104"/>
      <c r="AG307" s="104"/>
      <c r="AH307" s="104"/>
      <c r="AI307" s="104"/>
      <c r="AJ307" s="104"/>
      <c r="AK307" s="104"/>
      <c r="AL307" s="104"/>
      <c r="AM307" s="104"/>
      <c r="AN307" s="104"/>
      <c r="AO307" s="104"/>
      <c r="AP307" s="104"/>
      <c r="AQ307" s="104"/>
      <c r="AR307" s="104"/>
      <c r="AS307" s="104"/>
      <c r="AT307" s="104"/>
      <c r="AU307" s="104"/>
      <c r="AV307" s="104"/>
      <c r="AW307" s="104"/>
      <c r="AX307" s="104"/>
      <c r="AY307" s="104"/>
      <c r="AZ307" s="104"/>
      <c r="BA307" s="104"/>
      <c r="BB307" s="104"/>
      <c r="BC307" s="104"/>
      <c r="BD307" s="104"/>
      <c r="BE307" s="104"/>
      <c r="BF307" s="104"/>
      <c r="BG307" s="104"/>
      <c r="BH307" s="104"/>
      <c r="BI307" s="104"/>
      <c r="BJ307" s="104"/>
      <c r="BK307" s="104"/>
      <c r="BL307" s="104"/>
      <c r="BM307" s="104"/>
      <c r="BN307" s="104"/>
      <c r="BO307" s="104"/>
    </row>
    <row r="308" spans="1:67" ht="36" x14ac:dyDescent="0.25">
      <c r="A308" s="104"/>
      <c r="B308" s="104"/>
      <c r="C308" s="104"/>
      <c r="D308" s="104"/>
      <c r="E308" s="104"/>
      <c r="F308" s="104"/>
      <c r="G308" s="104"/>
      <c r="H308" s="104"/>
      <c r="I308" s="104"/>
      <c r="J308" s="104"/>
      <c r="K308" s="104"/>
      <c r="L308" s="104"/>
      <c r="M308" s="104"/>
      <c r="N308" s="104"/>
      <c r="O308" s="104"/>
      <c r="P308" s="104"/>
      <c r="Q308" s="104"/>
      <c r="R308" s="104"/>
      <c r="S308" s="104"/>
      <c r="T308" s="104"/>
      <c r="U308" s="104"/>
      <c r="V308" s="104"/>
      <c r="W308" s="104"/>
      <c r="X308" s="104"/>
      <c r="Y308" s="104"/>
      <c r="Z308" s="104"/>
      <c r="AA308" s="104"/>
      <c r="AB308" s="104"/>
      <c r="AC308" s="104"/>
      <c r="AD308" s="104"/>
      <c r="AE308" s="104"/>
      <c r="AF308" s="104"/>
      <c r="AG308" s="104"/>
      <c r="AH308" s="104"/>
      <c r="AI308" s="104"/>
      <c r="AJ308" s="104"/>
      <c r="AK308" s="104"/>
      <c r="AL308" s="104"/>
      <c r="AM308" s="104"/>
      <c r="AN308" s="104"/>
      <c r="AO308" s="104"/>
      <c r="AP308" s="104"/>
      <c r="AQ308" s="104"/>
      <c r="AR308" s="104"/>
      <c r="AS308" s="104"/>
      <c r="AT308" s="104"/>
      <c r="AU308" s="104"/>
      <c r="AV308" s="104"/>
      <c r="AW308" s="104"/>
      <c r="AX308" s="104"/>
      <c r="AY308" s="104"/>
      <c r="AZ308" s="104"/>
      <c r="BA308" s="104"/>
      <c r="BB308" s="104"/>
      <c r="BC308" s="104"/>
      <c r="BD308" s="104"/>
      <c r="BE308" s="104"/>
      <c r="BF308" s="104"/>
      <c r="BG308" s="104"/>
      <c r="BH308" s="104"/>
      <c r="BI308" s="104"/>
      <c r="BJ308" s="104"/>
      <c r="BK308" s="104"/>
      <c r="BL308" s="104"/>
      <c r="BM308" s="104"/>
      <c r="BN308" s="104"/>
      <c r="BO308" s="104"/>
    </row>
    <row r="309" spans="1:67" ht="36" x14ac:dyDescent="0.25">
      <c r="A309" s="104"/>
      <c r="B309" s="104"/>
      <c r="C309" s="104"/>
      <c r="D309" s="104"/>
      <c r="E309" s="104"/>
      <c r="F309" s="104"/>
      <c r="G309" s="104"/>
      <c r="H309" s="104"/>
      <c r="I309" s="104"/>
      <c r="J309" s="104"/>
      <c r="K309" s="104"/>
      <c r="L309" s="104"/>
      <c r="M309" s="104"/>
      <c r="N309" s="104"/>
      <c r="O309" s="104"/>
      <c r="P309" s="104"/>
      <c r="Q309" s="104"/>
      <c r="R309" s="104"/>
      <c r="S309" s="104"/>
      <c r="T309" s="104"/>
      <c r="U309" s="104"/>
      <c r="V309" s="104"/>
      <c r="W309" s="104"/>
      <c r="X309" s="104"/>
      <c r="Y309" s="104"/>
      <c r="Z309" s="104"/>
      <c r="AA309" s="104"/>
      <c r="AB309" s="104"/>
      <c r="AC309" s="104"/>
      <c r="AD309" s="104"/>
      <c r="AE309" s="104"/>
      <c r="AF309" s="104"/>
      <c r="AG309" s="104"/>
      <c r="AH309" s="104"/>
      <c r="AI309" s="104"/>
      <c r="AJ309" s="104"/>
      <c r="AK309" s="104"/>
      <c r="AL309" s="104"/>
      <c r="AM309" s="104"/>
      <c r="AN309" s="104"/>
      <c r="AO309" s="104"/>
      <c r="AP309" s="104"/>
      <c r="AQ309" s="104"/>
      <c r="AR309" s="104"/>
      <c r="AS309" s="104"/>
      <c r="AT309" s="104"/>
      <c r="AU309" s="104"/>
      <c r="AV309" s="104"/>
      <c r="AW309" s="104"/>
      <c r="AX309" s="104"/>
      <c r="AY309" s="104"/>
      <c r="AZ309" s="104"/>
      <c r="BA309" s="104"/>
      <c r="BB309" s="104"/>
      <c r="BC309" s="104"/>
      <c r="BD309" s="104"/>
      <c r="BE309" s="104"/>
      <c r="BF309" s="104"/>
      <c r="BG309" s="104"/>
      <c r="BH309" s="104"/>
      <c r="BI309" s="104"/>
      <c r="BJ309" s="104"/>
      <c r="BK309" s="104"/>
      <c r="BL309" s="104"/>
      <c r="BM309" s="104"/>
      <c r="BN309" s="104"/>
      <c r="BO309" s="104"/>
    </row>
    <row r="310" spans="1:67" ht="36" x14ac:dyDescent="0.25">
      <c r="A310" s="104"/>
      <c r="B310" s="104"/>
      <c r="C310" s="104"/>
      <c r="D310" s="104"/>
      <c r="E310" s="104"/>
      <c r="F310" s="104"/>
      <c r="G310" s="104"/>
      <c r="H310" s="104"/>
      <c r="I310" s="104"/>
      <c r="J310" s="104"/>
      <c r="K310" s="104"/>
      <c r="L310" s="104"/>
      <c r="M310" s="104"/>
      <c r="N310" s="104"/>
      <c r="O310" s="104"/>
      <c r="P310" s="104"/>
      <c r="Q310" s="104"/>
      <c r="R310" s="104"/>
      <c r="S310" s="104"/>
      <c r="T310" s="104"/>
      <c r="U310" s="104"/>
      <c r="V310" s="104"/>
      <c r="W310" s="104"/>
      <c r="X310" s="104"/>
      <c r="Y310" s="104"/>
      <c r="Z310" s="104"/>
      <c r="AA310" s="104"/>
      <c r="AB310" s="104"/>
      <c r="AC310" s="104"/>
      <c r="AD310" s="104"/>
      <c r="AE310" s="104"/>
      <c r="AF310" s="104"/>
      <c r="AG310" s="104"/>
      <c r="AH310" s="104"/>
      <c r="AI310" s="104"/>
      <c r="AJ310" s="104"/>
      <c r="AK310" s="104"/>
      <c r="AL310" s="104"/>
      <c r="AM310" s="104"/>
      <c r="AN310" s="104"/>
      <c r="AO310" s="104"/>
      <c r="AP310" s="104"/>
      <c r="AQ310" s="104"/>
      <c r="AR310" s="104"/>
      <c r="AS310" s="104"/>
      <c r="AT310" s="104"/>
      <c r="AU310" s="104"/>
      <c r="AV310" s="104"/>
      <c r="AW310" s="104"/>
      <c r="AX310" s="104"/>
      <c r="AY310" s="104"/>
      <c r="AZ310" s="104"/>
      <c r="BA310" s="104"/>
      <c r="BB310" s="104"/>
      <c r="BC310" s="104"/>
      <c r="BD310" s="104"/>
      <c r="BE310" s="104"/>
      <c r="BF310" s="104"/>
      <c r="BG310" s="104"/>
      <c r="BH310" s="104"/>
      <c r="BI310" s="104"/>
      <c r="BJ310" s="104"/>
      <c r="BK310" s="104"/>
      <c r="BL310" s="104"/>
      <c r="BM310" s="104"/>
      <c r="BN310" s="104"/>
      <c r="BO310" s="104"/>
    </row>
    <row r="311" spans="1:67" ht="36" x14ac:dyDescent="0.25">
      <c r="A311" s="104"/>
      <c r="B311" s="104"/>
      <c r="C311" s="104"/>
      <c r="D311" s="104"/>
      <c r="E311" s="104"/>
      <c r="F311" s="104"/>
      <c r="G311" s="104"/>
      <c r="H311" s="104"/>
      <c r="I311" s="104"/>
      <c r="J311" s="104"/>
      <c r="K311" s="104"/>
      <c r="L311" s="104"/>
      <c r="M311" s="104"/>
      <c r="N311" s="104"/>
      <c r="O311" s="104"/>
      <c r="P311" s="104"/>
      <c r="Q311" s="104"/>
      <c r="R311" s="104"/>
      <c r="S311" s="104"/>
      <c r="T311" s="104"/>
      <c r="U311" s="104"/>
      <c r="V311" s="104"/>
      <c r="W311" s="104"/>
      <c r="X311" s="104"/>
      <c r="Y311" s="104"/>
      <c r="Z311" s="104"/>
      <c r="AA311" s="104"/>
      <c r="AB311" s="104"/>
      <c r="AC311" s="104"/>
      <c r="AD311" s="104"/>
      <c r="AE311" s="104"/>
      <c r="AF311" s="104"/>
      <c r="AG311" s="104"/>
      <c r="AH311" s="104"/>
      <c r="AI311" s="104"/>
      <c r="AJ311" s="104"/>
      <c r="AK311" s="104"/>
      <c r="AL311" s="104"/>
      <c r="AM311" s="104"/>
      <c r="AN311" s="104"/>
      <c r="AO311" s="104"/>
      <c r="AP311" s="104"/>
      <c r="AQ311" s="104"/>
      <c r="AR311" s="104"/>
      <c r="AS311" s="104"/>
      <c r="AT311" s="104"/>
      <c r="AU311" s="104"/>
      <c r="AV311" s="104"/>
      <c r="AW311" s="104"/>
      <c r="AX311" s="104"/>
      <c r="AY311" s="104"/>
      <c r="AZ311" s="104"/>
      <c r="BA311" s="104"/>
      <c r="BB311" s="104"/>
      <c r="BC311" s="104"/>
      <c r="BD311" s="104"/>
      <c r="BE311" s="104"/>
      <c r="BF311" s="104"/>
      <c r="BG311" s="104"/>
      <c r="BH311" s="104"/>
      <c r="BI311" s="104"/>
      <c r="BJ311" s="104"/>
      <c r="BK311" s="104"/>
      <c r="BL311" s="104"/>
      <c r="BM311" s="104"/>
      <c r="BN311" s="104"/>
      <c r="BO311" s="104"/>
    </row>
    <row r="312" spans="1:67" ht="36" x14ac:dyDescent="0.25">
      <c r="A312" s="104"/>
      <c r="B312" s="104"/>
      <c r="C312" s="104"/>
      <c r="D312" s="104"/>
      <c r="E312" s="104"/>
      <c r="F312" s="104"/>
      <c r="G312" s="104"/>
      <c r="H312" s="104"/>
      <c r="I312" s="104"/>
      <c r="J312" s="104"/>
      <c r="K312" s="104"/>
      <c r="L312" s="104"/>
      <c r="M312" s="104"/>
      <c r="N312" s="104"/>
      <c r="O312" s="104"/>
      <c r="P312" s="104"/>
      <c r="Q312" s="104"/>
      <c r="R312" s="104"/>
      <c r="S312" s="104"/>
      <c r="T312" s="104"/>
      <c r="U312" s="104"/>
      <c r="V312" s="104"/>
      <c r="W312" s="104"/>
      <c r="X312" s="104"/>
      <c r="Y312" s="104"/>
      <c r="Z312" s="104"/>
      <c r="AA312" s="104"/>
      <c r="AB312" s="104"/>
      <c r="AC312" s="104"/>
      <c r="AD312" s="104"/>
      <c r="AE312" s="104"/>
      <c r="AF312" s="104"/>
      <c r="AG312" s="104"/>
      <c r="AH312" s="104"/>
      <c r="AI312" s="104"/>
      <c r="AJ312" s="104"/>
      <c r="AK312" s="104"/>
      <c r="AL312" s="104"/>
      <c r="AM312" s="104"/>
      <c r="AN312" s="104"/>
      <c r="AO312" s="104"/>
      <c r="AP312" s="104"/>
      <c r="AQ312" s="104"/>
      <c r="AR312" s="104"/>
      <c r="AS312" s="104"/>
      <c r="AT312" s="104"/>
      <c r="AU312" s="104"/>
      <c r="AV312" s="104"/>
      <c r="AW312" s="104"/>
      <c r="AX312" s="104"/>
      <c r="AY312" s="104"/>
      <c r="AZ312" s="104"/>
      <c r="BA312" s="104"/>
      <c r="BB312" s="104"/>
      <c r="BC312" s="104"/>
      <c r="BD312" s="104"/>
      <c r="BE312" s="104"/>
      <c r="BF312" s="104"/>
      <c r="BG312" s="104"/>
      <c r="BH312" s="104"/>
      <c r="BI312" s="104"/>
      <c r="BJ312" s="104"/>
      <c r="BK312" s="104"/>
      <c r="BL312" s="104"/>
      <c r="BM312" s="104"/>
      <c r="BN312" s="104"/>
      <c r="BO312" s="104"/>
    </row>
    <row r="313" spans="1:67" ht="36" x14ac:dyDescent="0.25">
      <c r="A313" s="104"/>
      <c r="B313" s="104"/>
      <c r="C313" s="104"/>
      <c r="D313" s="104"/>
      <c r="E313" s="104"/>
      <c r="F313" s="104"/>
      <c r="G313" s="104"/>
      <c r="H313" s="104"/>
      <c r="I313" s="104"/>
      <c r="J313" s="104"/>
      <c r="K313" s="104"/>
      <c r="L313" s="104"/>
      <c r="M313" s="104"/>
      <c r="N313" s="104"/>
      <c r="O313" s="104"/>
      <c r="P313" s="104"/>
      <c r="Q313" s="104"/>
      <c r="R313" s="104"/>
      <c r="S313" s="104"/>
      <c r="T313" s="104"/>
      <c r="U313" s="104"/>
      <c r="V313" s="104"/>
      <c r="W313" s="104"/>
      <c r="X313" s="104"/>
      <c r="Y313" s="104"/>
      <c r="Z313" s="104"/>
      <c r="AA313" s="104"/>
      <c r="AB313" s="104"/>
      <c r="AC313" s="104"/>
      <c r="AD313" s="104"/>
      <c r="AE313" s="104"/>
      <c r="AF313" s="104"/>
      <c r="AG313" s="104"/>
      <c r="AH313" s="104"/>
      <c r="AI313" s="104"/>
      <c r="AJ313" s="104"/>
      <c r="AK313" s="104"/>
      <c r="AL313" s="104"/>
      <c r="AM313" s="104"/>
      <c r="AN313" s="104"/>
      <c r="AO313" s="104"/>
      <c r="AP313" s="104"/>
      <c r="AQ313" s="104"/>
      <c r="AR313" s="104"/>
      <c r="AS313" s="104"/>
      <c r="AT313" s="104"/>
      <c r="AU313" s="104"/>
      <c r="AV313" s="104"/>
      <c r="AW313" s="104"/>
      <c r="AX313" s="104"/>
      <c r="AY313" s="104"/>
      <c r="AZ313" s="104"/>
      <c r="BA313" s="104"/>
      <c r="BB313" s="104"/>
      <c r="BC313" s="104"/>
      <c r="BD313" s="104"/>
      <c r="BE313" s="104"/>
      <c r="BF313" s="104"/>
      <c r="BG313" s="104"/>
      <c r="BH313" s="104"/>
      <c r="BI313" s="104"/>
      <c r="BJ313" s="104"/>
      <c r="BK313" s="104"/>
      <c r="BL313" s="104"/>
      <c r="BM313" s="104"/>
      <c r="BN313" s="104"/>
      <c r="BO313" s="104"/>
    </row>
    <row r="314" spans="1:67" ht="36" x14ac:dyDescent="0.25">
      <c r="A314" s="104"/>
      <c r="B314" s="104"/>
      <c r="C314" s="104"/>
      <c r="D314" s="104"/>
      <c r="E314" s="104"/>
      <c r="F314" s="104"/>
      <c r="G314" s="104"/>
      <c r="H314" s="104"/>
      <c r="I314" s="104"/>
      <c r="J314" s="104"/>
      <c r="K314" s="104"/>
      <c r="L314" s="104"/>
      <c r="M314" s="104"/>
      <c r="N314" s="104"/>
      <c r="O314" s="104"/>
      <c r="P314" s="104"/>
      <c r="Q314" s="104"/>
      <c r="R314" s="104"/>
      <c r="S314" s="104"/>
      <c r="T314" s="104"/>
      <c r="U314" s="104"/>
      <c r="V314" s="104"/>
      <c r="W314" s="104"/>
      <c r="X314" s="104"/>
      <c r="Y314" s="104"/>
      <c r="Z314" s="104"/>
      <c r="AA314" s="104"/>
      <c r="AB314" s="104"/>
      <c r="AC314" s="104"/>
      <c r="AD314" s="104"/>
      <c r="AE314" s="104"/>
      <c r="AF314" s="104"/>
      <c r="AG314" s="104"/>
      <c r="AH314" s="104"/>
      <c r="AI314" s="104"/>
      <c r="AJ314" s="104"/>
      <c r="AK314" s="104"/>
      <c r="AL314" s="104"/>
      <c r="AM314" s="104"/>
      <c r="AN314" s="104"/>
      <c r="AO314" s="104"/>
      <c r="AP314" s="104"/>
      <c r="AQ314" s="104"/>
      <c r="AR314" s="104"/>
      <c r="AS314" s="104"/>
      <c r="AT314" s="104"/>
      <c r="AU314" s="104"/>
      <c r="AV314" s="104"/>
      <c r="AW314" s="104"/>
      <c r="AX314" s="104"/>
      <c r="AY314" s="104"/>
      <c r="AZ314" s="104"/>
      <c r="BA314" s="104"/>
      <c r="BB314" s="104"/>
      <c r="BC314" s="104"/>
      <c r="BD314" s="104"/>
      <c r="BE314" s="104"/>
      <c r="BF314" s="104"/>
      <c r="BG314" s="104"/>
      <c r="BH314" s="104"/>
      <c r="BI314" s="104"/>
      <c r="BJ314" s="104"/>
      <c r="BK314" s="104"/>
      <c r="BL314" s="104"/>
      <c r="BM314" s="104"/>
      <c r="BN314" s="104"/>
      <c r="BO314" s="104"/>
    </row>
    <row r="315" spans="1:67" ht="36" x14ac:dyDescent="0.25">
      <c r="A315" s="104"/>
      <c r="B315" s="104"/>
      <c r="C315" s="104"/>
      <c r="D315" s="104"/>
      <c r="E315" s="104"/>
      <c r="F315" s="104"/>
      <c r="G315" s="104"/>
      <c r="H315" s="104"/>
      <c r="I315" s="104"/>
      <c r="J315" s="104"/>
      <c r="K315" s="104"/>
      <c r="L315" s="104"/>
      <c r="M315" s="104"/>
      <c r="N315" s="104"/>
      <c r="O315" s="104"/>
      <c r="P315" s="104"/>
      <c r="Q315" s="104"/>
      <c r="R315" s="104"/>
      <c r="S315" s="104"/>
      <c r="T315" s="104"/>
      <c r="U315" s="104"/>
      <c r="V315" s="104"/>
      <c r="W315" s="104"/>
      <c r="X315" s="104"/>
      <c r="Y315" s="104"/>
      <c r="Z315" s="104"/>
      <c r="AA315" s="104"/>
      <c r="AB315" s="104"/>
      <c r="AC315" s="104"/>
      <c r="AD315" s="104"/>
      <c r="AE315" s="104"/>
      <c r="AF315" s="104"/>
      <c r="AG315" s="104"/>
      <c r="AH315" s="104"/>
      <c r="AI315" s="104"/>
      <c r="AJ315" s="104"/>
      <c r="AK315" s="104"/>
      <c r="AL315" s="104"/>
      <c r="AM315" s="104"/>
      <c r="AN315" s="104"/>
      <c r="AO315" s="104"/>
      <c r="AP315" s="104"/>
      <c r="AQ315" s="104"/>
      <c r="AR315" s="104"/>
      <c r="AS315" s="104"/>
      <c r="AT315" s="104"/>
      <c r="AU315" s="104"/>
      <c r="AV315" s="104"/>
      <c r="AW315" s="104"/>
      <c r="AX315" s="104"/>
      <c r="AY315" s="104"/>
      <c r="AZ315" s="104"/>
      <c r="BA315" s="104"/>
      <c r="BB315" s="104"/>
      <c r="BC315" s="104"/>
      <c r="BD315" s="104"/>
      <c r="BE315" s="104"/>
      <c r="BF315" s="104"/>
      <c r="BG315" s="104"/>
      <c r="BH315" s="104"/>
      <c r="BI315" s="104"/>
      <c r="BJ315" s="104"/>
      <c r="BK315" s="104"/>
      <c r="BL315" s="104"/>
      <c r="BM315" s="104"/>
      <c r="BN315" s="104"/>
      <c r="BO315" s="104"/>
    </row>
    <row r="316" spans="1:67" ht="36" x14ac:dyDescent="0.25">
      <c r="A316" s="104"/>
      <c r="B316" s="104"/>
      <c r="C316" s="104"/>
      <c r="D316" s="104"/>
      <c r="E316" s="104"/>
      <c r="F316" s="104"/>
      <c r="G316" s="104"/>
      <c r="H316" s="104"/>
      <c r="I316" s="104"/>
      <c r="J316" s="104"/>
      <c r="K316" s="104"/>
      <c r="L316" s="104"/>
      <c r="M316" s="104"/>
      <c r="N316" s="104"/>
      <c r="O316" s="104"/>
      <c r="P316" s="104"/>
      <c r="Q316" s="104"/>
      <c r="R316" s="104"/>
      <c r="S316" s="104"/>
      <c r="T316" s="104"/>
      <c r="U316" s="104"/>
      <c r="V316" s="104"/>
      <c r="W316" s="104"/>
      <c r="X316" s="104"/>
      <c r="Y316" s="104"/>
      <c r="Z316" s="104"/>
      <c r="AA316" s="104"/>
      <c r="AB316" s="104"/>
      <c r="AC316" s="104"/>
      <c r="AD316" s="104"/>
      <c r="AE316" s="104"/>
      <c r="AF316" s="104"/>
      <c r="AG316" s="104"/>
      <c r="AH316" s="104"/>
      <c r="AI316" s="104"/>
      <c r="AJ316" s="104"/>
      <c r="AK316" s="104"/>
      <c r="AL316" s="104"/>
      <c r="AM316" s="104"/>
      <c r="AN316" s="104"/>
      <c r="AO316" s="104"/>
      <c r="AP316" s="104"/>
      <c r="AQ316" s="104"/>
      <c r="AR316" s="104"/>
      <c r="AS316" s="104"/>
      <c r="AT316" s="104"/>
      <c r="AU316" s="104"/>
      <c r="AV316" s="104"/>
      <c r="AW316" s="104"/>
      <c r="AX316" s="104"/>
      <c r="AY316" s="104"/>
      <c r="AZ316" s="104"/>
      <c r="BA316" s="104"/>
      <c r="BB316" s="104"/>
      <c r="BC316" s="104"/>
      <c r="BD316" s="104"/>
      <c r="BE316" s="104"/>
      <c r="BF316" s="104"/>
      <c r="BG316" s="104"/>
      <c r="BH316" s="104"/>
      <c r="BI316" s="104"/>
      <c r="BJ316" s="104"/>
      <c r="BK316" s="104"/>
      <c r="BL316" s="104"/>
      <c r="BM316" s="104"/>
      <c r="BN316" s="104"/>
      <c r="BO316" s="104"/>
    </row>
    <row r="317" spans="1:67" ht="36" x14ac:dyDescent="0.25">
      <c r="A317" s="104"/>
      <c r="B317" s="104"/>
      <c r="C317" s="104"/>
      <c r="D317" s="104"/>
      <c r="E317" s="104"/>
      <c r="F317" s="104"/>
      <c r="G317" s="104"/>
      <c r="H317" s="104"/>
      <c r="I317" s="104"/>
      <c r="J317" s="104"/>
      <c r="K317" s="104"/>
      <c r="L317" s="104"/>
      <c r="M317" s="104"/>
      <c r="N317" s="104"/>
      <c r="O317" s="104"/>
      <c r="P317" s="104"/>
      <c r="Q317" s="104"/>
      <c r="R317" s="104"/>
      <c r="S317" s="104"/>
      <c r="T317" s="104"/>
      <c r="U317" s="104"/>
      <c r="V317" s="104"/>
      <c r="W317" s="104"/>
      <c r="X317" s="104"/>
      <c r="Y317" s="104"/>
      <c r="Z317" s="104"/>
      <c r="AA317" s="104"/>
      <c r="AB317" s="104"/>
      <c r="AC317" s="104"/>
      <c r="AD317" s="104"/>
      <c r="AE317" s="104"/>
      <c r="AF317" s="104"/>
      <c r="AG317" s="104"/>
      <c r="AH317" s="104"/>
      <c r="AI317" s="104"/>
      <c r="AJ317" s="104"/>
      <c r="AK317" s="104"/>
      <c r="AL317" s="104"/>
      <c r="AM317" s="104"/>
      <c r="AN317" s="104"/>
      <c r="AO317" s="104"/>
      <c r="AP317" s="104"/>
      <c r="AQ317" s="104"/>
      <c r="AR317" s="104"/>
      <c r="AS317" s="104"/>
      <c r="AT317" s="104"/>
      <c r="AU317" s="104"/>
      <c r="AV317" s="104"/>
      <c r="AW317" s="104"/>
      <c r="AX317" s="104"/>
      <c r="AY317" s="104"/>
      <c r="AZ317" s="104"/>
      <c r="BA317" s="104"/>
      <c r="BB317" s="104"/>
      <c r="BC317" s="104"/>
      <c r="BD317" s="104"/>
      <c r="BE317" s="104"/>
      <c r="BF317" s="104"/>
      <c r="BG317" s="104"/>
      <c r="BH317" s="104"/>
      <c r="BI317" s="104"/>
      <c r="BJ317" s="104"/>
      <c r="BK317" s="104"/>
      <c r="BL317" s="104"/>
      <c r="BM317" s="104"/>
      <c r="BN317" s="104"/>
      <c r="BO317" s="104"/>
    </row>
    <row r="318" spans="1:67" ht="36" x14ac:dyDescent="0.25">
      <c r="A318" s="104"/>
      <c r="B318" s="104"/>
      <c r="C318" s="104"/>
      <c r="D318" s="104"/>
      <c r="E318" s="104"/>
      <c r="F318" s="104"/>
      <c r="G318" s="104"/>
      <c r="H318" s="104"/>
      <c r="I318" s="104"/>
      <c r="J318" s="104"/>
      <c r="K318" s="104"/>
      <c r="L318" s="104"/>
      <c r="M318" s="104"/>
      <c r="N318" s="104"/>
      <c r="O318" s="104"/>
      <c r="P318" s="104"/>
      <c r="Q318" s="104"/>
      <c r="R318" s="104"/>
      <c r="S318" s="104"/>
      <c r="T318" s="104"/>
      <c r="U318" s="104"/>
      <c r="V318" s="104"/>
      <c r="W318" s="104"/>
      <c r="X318" s="104"/>
      <c r="Y318" s="104"/>
      <c r="Z318" s="104"/>
      <c r="AA318" s="104"/>
      <c r="AB318" s="104"/>
      <c r="AC318" s="104"/>
      <c r="AD318" s="104"/>
      <c r="AE318" s="104"/>
      <c r="AF318" s="104"/>
      <c r="AG318" s="104"/>
      <c r="AH318" s="104"/>
      <c r="AI318" s="104"/>
      <c r="AJ318" s="104"/>
      <c r="AK318" s="104"/>
      <c r="AL318" s="104"/>
      <c r="AM318" s="104"/>
      <c r="AN318" s="104"/>
      <c r="AO318" s="104"/>
      <c r="AP318" s="104"/>
      <c r="AQ318" s="104"/>
      <c r="AR318" s="104"/>
      <c r="AS318" s="104"/>
      <c r="AT318" s="104"/>
      <c r="AU318" s="104"/>
      <c r="AV318" s="104"/>
      <c r="AW318" s="104"/>
      <c r="AX318" s="104"/>
      <c r="AY318" s="104"/>
      <c r="AZ318" s="104"/>
      <c r="BA318" s="104"/>
      <c r="BB318" s="104"/>
      <c r="BC318" s="104"/>
      <c r="BD318" s="104"/>
      <c r="BE318" s="104"/>
      <c r="BF318" s="104"/>
      <c r="BG318" s="104"/>
      <c r="BH318" s="104"/>
      <c r="BI318" s="104"/>
      <c r="BJ318" s="104"/>
      <c r="BK318" s="104"/>
      <c r="BL318" s="104"/>
      <c r="BM318" s="104"/>
      <c r="BN318" s="104"/>
      <c r="BO318" s="104"/>
    </row>
    <row r="319" spans="1:67" ht="36" x14ac:dyDescent="0.25">
      <c r="A319" s="104"/>
      <c r="B319" s="104"/>
      <c r="C319" s="104"/>
      <c r="D319" s="104"/>
      <c r="E319" s="104"/>
      <c r="F319" s="104"/>
      <c r="G319" s="104"/>
      <c r="H319" s="104"/>
      <c r="I319" s="104"/>
      <c r="J319" s="104"/>
      <c r="K319" s="104"/>
      <c r="L319" s="104"/>
      <c r="M319" s="104"/>
      <c r="N319" s="104"/>
      <c r="O319" s="104"/>
      <c r="P319" s="104"/>
      <c r="Q319" s="104"/>
      <c r="R319" s="104"/>
      <c r="S319" s="104"/>
      <c r="T319" s="104"/>
      <c r="U319" s="104"/>
      <c r="V319" s="104"/>
      <c r="W319" s="104"/>
      <c r="X319" s="104"/>
      <c r="Y319" s="104"/>
      <c r="Z319" s="104"/>
      <c r="AA319" s="104"/>
      <c r="AB319" s="104"/>
      <c r="AC319" s="104"/>
      <c r="AD319" s="104"/>
      <c r="AE319" s="104"/>
      <c r="AF319" s="104"/>
      <c r="AG319" s="104"/>
      <c r="AH319" s="104"/>
      <c r="AI319" s="104"/>
      <c r="AJ319" s="104"/>
      <c r="AK319" s="104"/>
      <c r="AL319" s="104"/>
      <c r="AM319" s="104"/>
      <c r="AN319" s="104"/>
      <c r="AO319" s="104"/>
      <c r="AP319" s="104"/>
      <c r="AQ319" s="104"/>
      <c r="AR319" s="104"/>
      <c r="AS319" s="104"/>
      <c r="AT319" s="104"/>
      <c r="AU319" s="104"/>
      <c r="AV319" s="104"/>
      <c r="AW319" s="104"/>
      <c r="AX319" s="104"/>
      <c r="AY319" s="104"/>
      <c r="AZ319" s="104"/>
      <c r="BA319" s="104"/>
      <c r="BB319" s="104"/>
      <c r="BC319" s="104"/>
      <c r="BD319" s="104"/>
      <c r="BE319" s="104"/>
      <c r="BF319" s="104"/>
      <c r="BG319" s="104"/>
      <c r="BH319" s="104"/>
      <c r="BI319" s="104"/>
      <c r="BJ319" s="104"/>
      <c r="BK319" s="104"/>
      <c r="BL319" s="104"/>
      <c r="BM319" s="104"/>
      <c r="BN319" s="104"/>
      <c r="BO319" s="104"/>
    </row>
    <row r="320" spans="1:67" ht="36" x14ac:dyDescent="0.25">
      <c r="A320" s="104"/>
      <c r="B320" s="104"/>
      <c r="C320" s="104"/>
      <c r="D320" s="104"/>
      <c r="E320" s="104"/>
      <c r="F320" s="104"/>
      <c r="G320" s="104"/>
      <c r="H320" s="104"/>
      <c r="I320" s="104"/>
      <c r="J320" s="104"/>
      <c r="K320" s="104"/>
      <c r="L320" s="104"/>
      <c r="M320" s="104"/>
      <c r="N320" s="104"/>
      <c r="O320" s="104"/>
      <c r="P320" s="104"/>
      <c r="Q320" s="104"/>
      <c r="R320" s="104"/>
      <c r="S320" s="104"/>
      <c r="T320" s="104"/>
      <c r="U320" s="104"/>
      <c r="V320" s="104"/>
      <c r="W320" s="104"/>
      <c r="X320" s="104"/>
      <c r="Y320" s="104"/>
      <c r="Z320" s="104"/>
      <c r="AA320" s="104"/>
      <c r="AB320" s="104"/>
      <c r="AC320" s="104"/>
      <c r="AD320" s="104"/>
      <c r="AE320" s="104"/>
      <c r="AF320" s="104"/>
      <c r="AG320" s="104"/>
      <c r="AH320" s="104"/>
      <c r="AI320" s="104"/>
      <c r="AJ320" s="104"/>
      <c r="AK320" s="104"/>
      <c r="AL320" s="104"/>
      <c r="AM320" s="104"/>
      <c r="AN320" s="104"/>
      <c r="AO320" s="104"/>
      <c r="AP320" s="104"/>
      <c r="AQ320" s="104"/>
      <c r="AR320" s="104"/>
      <c r="AS320" s="104"/>
      <c r="AT320" s="104"/>
      <c r="AU320" s="104"/>
      <c r="AV320" s="104"/>
      <c r="AW320" s="104"/>
      <c r="AX320" s="104"/>
      <c r="AY320" s="104"/>
      <c r="AZ320" s="104"/>
      <c r="BA320" s="104"/>
      <c r="BB320" s="104"/>
      <c r="BC320" s="104"/>
      <c r="BD320" s="104"/>
      <c r="BE320" s="104"/>
      <c r="BF320" s="104"/>
      <c r="BG320" s="104"/>
      <c r="BH320" s="104"/>
      <c r="BI320" s="104"/>
      <c r="BJ320" s="104"/>
      <c r="BK320" s="104"/>
      <c r="BL320" s="104"/>
      <c r="BM320" s="104"/>
      <c r="BN320" s="104"/>
      <c r="BO320" s="104"/>
    </row>
    <row r="321" spans="1:67" ht="36" x14ac:dyDescent="0.25">
      <c r="A321" s="104"/>
      <c r="B321" s="104"/>
      <c r="C321" s="104"/>
      <c r="D321" s="104"/>
      <c r="E321" s="104"/>
      <c r="F321" s="104"/>
      <c r="G321" s="104"/>
      <c r="H321" s="104"/>
      <c r="I321" s="104"/>
      <c r="J321" s="104"/>
      <c r="K321" s="104"/>
      <c r="L321" s="104"/>
      <c r="M321" s="104"/>
      <c r="N321" s="104"/>
      <c r="O321" s="104"/>
      <c r="P321" s="104"/>
      <c r="Q321" s="104"/>
      <c r="R321" s="104"/>
      <c r="S321" s="104"/>
      <c r="T321" s="104"/>
      <c r="U321" s="104"/>
      <c r="V321" s="104"/>
      <c r="W321" s="104"/>
      <c r="X321" s="104"/>
      <c r="Y321" s="104"/>
      <c r="Z321" s="104"/>
      <c r="AA321" s="104"/>
      <c r="AB321" s="104"/>
      <c r="AC321" s="104"/>
      <c r="AD321" s="104"/>
      <c r="AE321" s="104"/>
      <c r="AF321" s="104"/>
      <c r="AG321" s="104"/>
      <c r="AH321" s="104"/>
      <c r="AI321" s="104"/>
      <c r="AJ321" s="104"/>
      <c r="AK321" s="104"/>
      <c r="AL321" s="104"/>
      <c r="AM321" s="104"/>
      <c r="AN321" s="104"/>
      <c r="AO321" s="104"/>
      <c r="AP321" s="104"/>
      <c r="AQ321" s="104"/>
      <c r="AR321" s="104"/>
      <c r="AS321" s="104"/>
      <c r="AT321" s="104"/>
      <c r="AU321" s="104"/>
      <c r="AV321" s="104"/>
      <c r="AW321" s="104"/>
      <c r="AX321" s="104"/>
      <c r="AY321" s="104"/>
      <c r="AZ321" s="104"/>
      <c r="BA321" s="104"/>
      <c r="BB321" s="104"/>
      <c r="BC321" s="104"/>
      <c r="BD321" s="104"/>
      <c r="BE321" s="104"/>
      <c r="BF321" s="104"/>
      <c r="BG321" s="104"/>
      <c r="BH321" s="104"/>
      <c r="BI321" s="104"/>
      <c r="BJ321" s="104"/>
      <c r="BK321" s="104"/>
      <c r="BL321" s="104"/>
      <c r="BM321" s="104"/>
      <c r="BN321" s="104"/>
      <c r="BO321" s="104"/>
    </row>
    <row r="322" spans="1:67" ht="36" x14ac:dyDescent="0.25">
      <c r="A322" s="104"/>
      <c r="B322" s="104"/>
      <c r="C322" s="104"/>
      <c r="D322" s="104"/>
      <c r="E322" s="104"/>
      <c r="F322" s="104"/>
      <c r="G322" s="104"/>
      <c r="H322" s="104"/>
      <c r="I322" s="104"/>
      <c r="J322" s="104"/>
      <c r="K322" s="104"/>
      <c r="L322" s="104"/>
      <c r="M322" s="104"/>
      <c r="N322" s="104"/>
      <c r="O322" s="104"/>
      <c r="P322" s="104"/>
      <c r="Q322" s="104"/>
      <c r="R322" s="104"/>
      <c r="S322" s="104"/>
      <c r="T322" s="104"/>
      <c r="U322" s="104"/>
      <c r="V322" s="104"/>
      <c r="W322" s="104"/>
      <c r="X322" s="104"/>
      <c r="Y322" s="104"/>
      <c r="Z322" s="104"/>
      <c r="AA322" s="104"/>
      <c r="AB322" s="104"/>
      <c r="AC322" s="104"/>
      <c r="AD322" s="104"/>
      <c r="AE322" s="104"/>
      <c r="AF322" s="104"/>
      <c r="AG322" s="104"/>
      <c r="AH322" s="104"/>
      <c r="AI322" s="104"/>
      <c r="AJ322" s="104"/>
      <c r="AK322" s="104"/>
      <c r="AL322" s="104"/>
      <c r="AM322" s="104"/>
      <c r="AN322" s="104"/>
      <c r="AO322" s="104"/>
      <c r="AP322" s="104"/>
      <c r="AQ322" s="104"/>
      <c r="AR322" s="104"/>
      <c r="AS322" s="104"/>
      <c r="AT322" s="104"/>
      <c r="AU322" s="104"/>
      <c r="AV322" s="104"/>
      <c r="AW322" s="104"/>
      <c r="AX322" s="104"/>
      <c r="AY322" s="104"/>
      <c r="AZ322" s="104"/>
      <c r="BA322" s="104"/>
      <c r="BB322" s="104"/>
      <c r="BC322" s="104"/>
      <c r="BD322" s="104"/>
      <c r="BE322" s="104"/>
      <c r="BF322" s="104"/>
      <c r="BG322" s="104"/>
      <c r="BH322" s="104"/>
      <c r="BI322" s="104"/>
      <c r="BJ322" s="104"/>
      <c r="BK322" s="104"/>
      <c r="BL322" s="104"/>
      <c r="BM322" s="104"/>
      <c r="BN322" s="104"/>
      <c r="BO322" s="104"/>
    </row>
    <row r="323" spans="1:67" ht="36" x14ac:dyDescent="0.25">
      <c r="A323" s="104"/>
      <c r="B323" s="104"/>
      <c r="C323" s="104"/>
      <c r="D323" s="104"/>
      <c r="E323" s="104"/>
      <c r="F323" s="104"/>
      <c r="G323" s="104"/>
      <c r="H323" s="104"/>
      <c r="I323" s="104"/>
      <c r="J323" s="104"/>
      <c r="K323" s="104"/>
      <c r="L323" s="104"/>
      <c r="M323" s="104"/>
      <c r="N323" s="104"/>
      <c r="O323" s="104"/>
      <c r="P323" s="104"/>
      <c r="Q323" s="104"/>
      <c r="R323" s="104"/>
      <c r="S323" s="104"/>
      <c r="T323" s="104"/>
      <c r="U323" s="104"/>
      <c r="V323" s="104"/>
      <c r="W323" s="104"/>
      <c r="X323" s="104"/>
      <c r="Y323" s="104"/>
      <c r="Z323" s="104"/>
      <c r="AA323" s="104"/>
      <c r="AB323" s="104"/>
      <c r="AC323" s="104"/>
      <c r="AD323" s="104"/>
      <c r="AE323" s="104"/>
      <c r="AF323" s="104"/>
      <c r="AG323" s="104"/>
      <c r="AH323" s="104"/>
      <c r="AI323" s="104"/>
      <c r="AJ323" s="104"/>
      <c r="AK323" s="104"/>
      <c r="AL323" s="104"/>
      <c r="AM323" s="104"/>
      <c r="AN323" s="104"/>
      <c r="AO323" s="104"/>
      <c r="AP323" s="104"/>
      <c r="AQ323" s="104"/>
      <c r="AR323" s="104"/>
      <c r="AS323" s="104"/>
      <c r="AT323" s="104"/>
      <c r="AU323" s="104"/>
      <c r="AV323" s="104"/>
      <c r="AW323" s="104"/>
      <c r="AX323" s="104"/>
      <c r="AY323" s="104"/>
      <c r="AZ323" s="104"/>
      <c r="BA323" s="104"/>
      <c r="BB323" s="104"/>
      <c r="BC323" s="104"/>
      <c r="BD323" s="104"/>
      <c r="BE323" s="104"/>
      <c r="BF323" s="104"/>
      <c r="BG323" s="104"/>
      <c r="BH323" s="104"/>
      <c r="BI323" s="104"/>
      <c r="BJ323" s="104"/>
      <c r="BK323" s="104"/>
      <c r="BL323" s="104"/>
      <c r="BM323" s="104"/>
      <c r="BN323" s="104"/>
      <c r="BO323" s="104"/>
    </row>
    <row r="324" spans="1:67" ht="36" x14ac:dyDescent="0.25">
      <c r="A324" s="104"/>
      <c r="B324" s="104"/>
      <c r="C324" s="104"/>
      <c r="D324" s="104"/>
      <c r="E324" s="104"/>
      <c r="F324" s="104"/>
      <c r="G324" s="104"/>
      <c r="H324" s="104"/>
      <c r="I324" s="104"/>
      <c r="J324" s="104"/>
      <c r="K324" s="104"/>
      <c r="L324" s="104"/>
      <c r="M324" s="104"/>
      <c r="N324" s="104"/>
      <c r="O324" s="104"/>
      <c r="P324" s="104"/>
      <c r="Q324" s="104"/>
      <c r="R324" s="104"/>
      <c r="S324" s="104"/>
      <c r="T324" s="104"/>
      <c r="U324" s="104"/>
      <c r="V324" s="104"/>
      <c r="W324" s="104"/>
      <c r="X324" s="104"/>
      <c r="Y324" s="104"/>
      <c r="Z324" s="104"/>
      <c r="AA324" s="104"/>
      <c r="AB324" s="104"/>
      <c r="AC324" s="104"/>
      <c r="AD324" s="104"/>
      <c r="AE324" s="104"/>
      <c r="AF324" s="104"/>
      <c r="AG324" s="104"/>
      <c r="AH324" s="104"/>
      <c r="AI324" s="104"/>
      <c r="AJ324" s="104"/>
      <c r="AK324" s="104"/>
      <c r="AL324" s="104"/>
      <c r="AM324" s="104"/>
      <c r="AN324" s="104"/>
      <c r="AO324" s="104"/>
      <c r="AP324" s="104"/>
      <c r="AQ324" s="104"/>
      <c r="AR324" s="104"/>
      <c r="AS324" s="104"/>
      <c r="AT324" s="104"/>
      <c r="AU324" s="104"/>
      <c r="AV324" s="104"/>
      <c r="AW324" s="104"/>
      <c r="AX324" s="104"/>
      <c r="AY324" s="104"/>
      <c r="AZ324" s="104"/>
      <c r="BA324" s="104"/>
      <c r="BB324" s="104"/>
      <c r="BC324" s="104"/>
      <c r="BD324" s="104"/>
      <c r="BE324" s="104"/>
      <c r="BF324" s="104"/>
      <c r="BG324" s="104"/>
      <c r="BH324" s="104"/>
      <c r="BI324" s="104"/>
      <c r="BJ324" s="104"/>
      <c r="BK324" s="104"/>
      <c r="BL324" s="104"/>
      <c r="BM324" s="104"/>
      <c r="BN324" s="104"/>
      <c r="BO324" s="104"/>
    </row>
    <row r="325" spans="1:67" ht="36" x14ac:dyDescent="0.25">
      <c r="A325" s="104"/>
      <c r="B325" s="104"/>
      <c r="C325" s="104"/>
      <c r="D325" s="104"/>
      <c r="E325" s="104"/>
      <c r="F325" s="104"/>
      <c r="G325" s="104"/>
      <c r="H325" s="104"/>
      <c r="I325" s="104"/>
      <c r="J325" s="104"/>
      <c r="K325" s="104"/>
      <c r="L325" s="104"/>
      <c r="M325" s="104"/>
      <c r="N325" s="104"/>
      <c r="O325" s="104"/>
      <c r="P325" s="104"/>
      <c r="Q325" s="104"/>
      <c r="R325" s="104"/>
      <c r="S325" s="104"/>
      <c r="T325" s="104"/>
      <c r="U325" s="104"/>
      <c r="V325" s="104"/>
      <c r="W325" s="104"/>
      <c r="X325" s="104"/>
      <c r="Y325" s="104"/>
      <c r="Z325" s="104"/>
      <c r="AA325" s="104"/>
      <c r="AB325" s="104"/>
      <c r="AC325" s="104"/>
      <c r="AD325" s="104"/>
      <c r="AE325" s="104"/>
      <c r="AF325" s="104"/>
      <c r="AG325" s="104"/>
      <c r="AH325" s="104"/>
      <c r="AI325" s="104"/>
      <c r="AJ325" s="104"/>
      <c r="AK325" s="104"/>
      <c r="AL325" s="104"/>
      <c r="AM325" s="104"/>
      <c r="AN325" s="104"/>
      <c r="AO325" s="104"/>
      <c r="AP325" s="104"/>
      <c r="AQ325" s="104"/>
      <c r="AR325" s="104"/>
      <c r="AS325" s="104"/>
      <c r="AT325" s="104"/>
      <c r="AU325" s="104"/>
      <c r="AV325" s="104"/>
      <c r="AW325" s="104"/>
      <c r="AX325" s="104"/>
      <c r="AY325" s="104"/>
      <c r="AZ325" s="104"/>
      <c r="BA325" s="104"/>
      <c r="BB325" s="104"/>
      <c r="BC325" s="104"/>
      <c r="BD325" s="104"/>
      <c r="BE325" s="104"/>
      <c r="BF325" s="104"/>
      <c r="BG325" s="104"/>
      <c r="BH325" s="104"/>
      <c r="BI325" s="104"/>
      <c r="BJ325" s="104"/>
      <c r="BK325" s="104"/>
      <c r="BL325" s="104"/>
      <c r="BM325" s="104"/>
      <c r="BN325" s="104"/>
      <c r="BO325" s="104"/>
    </row>
    <row r="326" spans="1:67" ht="36" x14ac:dyDescent="0.25">
      <c r="A326" s="104"/>
      <c r="B326" s="104"/>
      <c r="C326" s="104"/>
      <c r="D326" s="104"/>
      <c r="E326" s="104"/>
      <c r="F326" s="104"/>
      <c r="G326" s="104"/>
      <c r="H326" s="104"/>
      <c r="I326" s="104"/>
      <c r="J326" s="104"/>
      <c r="K326" s="104"/>
      <c r="L326" s="104"/>
      <c r="M326" s="104"/>
      <c r="N326" s="104"/>
      <c r="O326" s="104"/>
      <c r="P326" s="104"/>
      <c r="Q326" s="104"/>
      <c r="R326" s="104"/>
      <c r="S326" s="104"/>
      <c r="T326" s="104"/>
      <c r="U326" s="104"/>
      <c r="V326" s="104"/>
      <c r="W326" s="104"/>
      <c r="X326" s="104"/>
      <c r="Y326" s="104"/>
      <c r="Z326" s="104"/>
      <c r="AA326" s="104"/>
      <c r="AB326" s="104"/>
      <c r="AC326" s="104"/>
      <c r="AD326" s="104"/>
      <c r="AE326" s="104"/>
      <c r="AF326" s="104"/>
      <c r="AG326" s="104"/>
      <c r="AH326" s="104"/>
      <c r="AI326" s="104"/>
      <c r="AJ326" s="104"/>
      <c r="AK326" s="104"/>
      <c r="AL326" s="104"/>
      <c r="AM326" s="104"/>
      <c r="AN326" s="104"/>
      <c r="AO326" s="104"/>
      <c r="AP326" s="104"/>
      <c r="AQ326" s="104"/>
      <c r="AR326" s="104"/>
      <c r="AS326" s="104"/>
      <c r="AT326" s="104"/>
      <c r="AU326" s="104"/>
      <c r="AV326" s="104"/>
      <c r="AW326" s="104"/>
      <c r="AX326" s="104"/>
      <c r="AY326" s="104"/>
      <c r="AZ326" s="104"/>
      <c r="BA326" s="104"/>
      <c r="BB326" s="104"/>
      <c r="BC326" s="104"/>
      <c r="BD326" s="104"/>
      <c r="BE326" s="104"/>
      <c r="BF326" s="104"/>
      <c r="BG326" s="104"/>
      <c r="BH326" s="104"/>
      <c r="BI326" s="104"/>
      <c r="BJ326" s="104"/>
      <c r="BK326" s="104"/>
      <c r="BL326" s="104"/>
      <c r="BM326" s="104"/>
      <c r="BN326" s="104"/>
      <c r="BO326" s="104"/>
    </row>
    <row r="327" spans="1:67" ht="36" x14ac:dyDescent="0.25">
      <c r="A327" s="104"/>
      <c r="B327" s="104"/>
      <c r="C327" s="104"/>
      <c r="D327" s="104"/>
      <c r="E327" s="104"/>
      <c r="F327" s="104"/>
      <c r="G327" s="104"/>
      <c r="H327" s="104"/>
      <c r="I327" s="104"/>
      <c r="J327" s="104"/>
      <c r="K327" s="104"/>
      <c r="L327" s="104"/>
      <c r="M327" s="104"/>
      <c r="N327" s="104"/>
      <c r="O327" s="104"/>
      <c r="P327" s="104"/>
      <c r="Q327" s="104"/>
      <c r="R327" s="104"/>
      <c r="S327" s="104"/>
      <c r="T327" s="104"/>
      <c r="U327" s="104"/>
      <c r="V327" s="104"/>
      <c r="W327" s="104"/>
      <c r="X327" s="104"/>
      <c r="Y327" s="104"/>
      <c r="Z327" s="104"/>
      <c r="AA327" s="104"/>
      <c r="AB327" s="104"/>
      <c r="AC327" s="104"/>
      <c r="AD327" s="104"/>
      <c r="AE327" s="104"/>
      <c r="AF327" s="104"/>
      <c r="AG327" s="104"/>
      <c r="AH327" s="104"/>
      <c r="AI327" s="104"/>
      <c r="AJ327" s="104"/>
      <c r="AK327" s="104"/>
      <c r="AL327" s="104"/>
      <c r="AM327" s="104"/>
      <c r="AN327" s="104"/>
      <c r="AO327" s="104"/>
      <c r="AP327" s="104"/>
      <c r="AQ327" s="104"/>
      <c r="AR327" s="104"/>
      <c r="AS327" s="104"/>
      <c r="AT327" s="104"/>
      <c r="AU327" s="104"/>
      <c r="AV327" s="104"/>
      <c r="AW327" s="104"/>
      <c r="AX327" s="104"/>
      <c r="AY327" s="104"/>
      <c r="AZ327" s="104"/>
      <c r="BA327" s="104"/>
      <c r="BB327" s="104"/>
      <c r="BC327" s="104"/>
      <c r="BD327" s="104"/>
      <c r="BE327" s="104"/>
      <c r="BF327" s="104"/>
      <c r="BG327" s="104"/>
      <c r="BH327" s="104"/>
      <c r="BI327" s="104"/>
      <c r="BJ327" s="104"/>
      <c r="BK327" s="104"/>
      <c r="BL327" s="104"/>
      <c r="BM327" s="104"/>
      <c r="BN327" s="104"/>
      <c r="BO327" s="104"/>
    </row>
    <row r="328" spans="1:67" ht="36" x14ac:dyDescent="0.25">
      <c r="A328" s="104"/>
      <c r="B328" s="104"/>
      <c r="C328" s="104"/>
      <c r="D328" s="104"/>
      <c r="E328" s="104"/>
      <c r="F328" s="104"/>
      <c r="G328" s="104"/>
      <c r="H328" s="104"/>
      <c r="I328" s="104"/>
      <c r="J328" s="104"/>
      <c r="K328" s="104"/>
      <c r="L328" s="104"/>
      <c r="M328" s="104"/>
      <c r="N328" s="104"/>
      <c r="O328" s="104"/>
      <c r="P328" s="104"/>
      <c r="Q328" s="104"/>
      <c r="R328" s="104"/>
      <c r="S328" s="104"/>
      <c r="T328" s="104"/>
      <c r="U328" s="104"/>
      <c r="V328" s="104"/>
      <c r="W328" s="104"/>
      <c r="X328" s="104"/>
      <c r="Y328" s="104"/>
      <c r="Z328" s="104"/>
      <c r="AA328" s="104"/>
      <c r="AB328" s="104"/>
      <c r="AC328" s="104"/>
      <c r="AD328" s="104"/>
      <c r="AE328" s="104"/>
      <c r="AF328" s="104"/>
      <c r="AG328" s="104"/>
      <c r="AH328" s="104"/>
      <c r="AI328" s="104"/>
      <c r="AJ328" s="104"/>
      <c r="AK328" s="104"/>
      <c r="AL328" s="104"/>
      <c r="AM328" s="104"/>
      <c r="AN328" s="104"/>
      <c r="AO328" s="104"/>
      <c r="AP328" s="104"/>
      <c r="AQ328" s="104"/>
      <c r="AR328" s="104"/>
      <c r="AS328" s="104"/>
      <c r="AT328" s="104"/>
      <c r="AU328" s="104"/>
      <c r="AV328" s="104"/>
      <c r="AW328" s="104"/>
      <c r="AX328" s="104"/>
      <c r="AY328" s="104"/>
      <c r="AZ328" s="104"/>
      <c r="BA328" s="104"/>
      <c r="BB328" s="104"/>
      <c r="BC328" s="104"/>
      <c r="BD328" s="104"/>
      <c r="BE328" s="104"/>
      <c r="BF328" s="104"/>
      <c r="BG328" s="104"/>
      <c r="BH328" s="104"/>
      <c r="BI328" s="104"/>
      <c r="BJ328" s="104"/>
      <c r="BK328" s="104"/>
      <c r="BL328" s="104"/>
      <c r="BM328" s="104"/>
      <c r="BN328" s="104"/>
      <c r="BO328" s="104"/>
    </row>
    <row r="329" spans="1:67" ht="36" x14ac:dyDescent="0.25">
      <c r="A329" s="104"/>
      <c r="B329" s="104"/>
      <c r="C329" s="104"/>
      <c r="D329" s="104"/>
      <c r="E329" s="104"/>
      <c r="F329" s="104"/>
      <c r="G329" s="104"/>
      <c r="H329" s="104"/>
      <c r="I329" s="104"/>
      <c r="J329" s="104"/>
      <c r="K329" s="104"/>
      <c r="L329" s="104"/>
      <c r="M329" s="104"/>
      <c r="N329" s="104"/>
      <c r="O329" s="104"/>
      <c r="P329" s="104"/>
      <c r="Q329" s="104"/>
      <c r="R329" s="104"/>
      <c r="S329" s="104"/>
      <c r="T329" s="104"/>
      <c r="U329" s="104"/>
      <c r="V329" s="104"/>
      <c r="W329" s="104"/>
      <c r="X329" s="104"/>
      <c r="Y329" s="104"/>
      <c r="Z329" s="104"/>
      <c r="AA329" s="104"/>
      <c r="AB329" s="104"/>
      <c r="AC329" s="104"/>
      <c r="AD329" s="104"/>
      <c r="AE329" s="104"/>
      <c r="AF329" s="104"/>
      <c r="AG329" s="104"/>
      <c r="AH329" s="104"/>
      <c r="AI329" s="104"/>
      <c r="AJ329" s="104"/>
      <c r="AK329" s="104"/>
      <c r="AL329" s="104"/>
      <c r="AM329" s="104"/>
      <c r="AN329" s="104"/>
      <c r="AO329" s="104"/>
      <c r="AP329" s="104"/>
      <c r="AQ329" s="104"/>
      <c r="AR329" s="104"/>
      <c r="AS329" s="104"/>
      <c r="AT329" s="104"/>
      <c r="AU329" s="104"/>
      <c r="AV329" s="104"/>
      <c r="AW329" s="104"/>
      <c r="AX329" s="104"/>
      <c r="AY329" s="104"/>
      <c r="AZ329" s="104"/>
      <c r="BA329" s="104"/>
      <c r="BB329" s="104"/>
      <c r="BC329" s="104"/>
      <c r="BD329" s="104"/>
      <c r="BE329" s="104"/>
      <c r="BF329" s="104"/>
      <c r="BG329" s="104"/>
      <c r="BH329" s="104"/>
      <c r="BI329" s="104"/>
      <c r="BJ329" s="104"/>
      <c r="BK329" s="104"/>
      <c r="BL329" s="104"/>
      <c r="BM329" s="104"/>
      <c r="BN329" s="104"/>
      <c r="BO329" s="104"/>
    </row>
    <row r="330" spans="1:67" ht="36" x14ac:dyDescent="0.25">
      <c r="A330" s="104"/>
      <c r="B330" s="104"/>
      <c r="C330" s="104"/>
      <c r="D330" s="104"/>
      <c r="E330" s="104"/>
      <c r="F330" s="104"/>
      <c r="G330" s="104"/>
      <c r="H330" s="104"/>
      <c r="I330" s="104"/>
      <c r="J330" s="104"/>
      <c r="K330" s="104"/>
      <c r="L330" s="104"/>
      <c r="M330" s="104"/>
      <c r="N330" s="104"/>
      <c r="O330" s="104"/>
      <c r="P330" s="104"/>
      <c r="Q330" s="104"/>
      <c r="R330" s="104"/>
      <c r="S330" s="104"/>
      <c r="T330" s="104"/>
      <c r="U330" s="104"/>
      <c r="V330" s="104"/>
      <c r="W330" s="104"/>
      <c r="X330" s="104"/>
      <c r="Y330" s="104"/>
      <c r="Z330" s="104"/>
      <c r="AA330" s="104"/>
      <c r="AB330" s="104"/>
      <c r="AC330" s="104"/>
      <c r="AD330" s="104"/>
      <c r="AE330" s="104"/>
      <c r="AF330" s="104"/>
      <c r="AG330" s="104"/>
      <c r="AH330" s="104"/>
      <c r="AI330" s="104"/>
      <c r="AJ330" s="104"/>
      <c r="AK330" s="104"/>
      <c r="AL330" s="104"/>
      <c r="AM330" s="104"/>
      <c r="AN330" s="104"/>
      <c r="AO330" s="104"/>
      <c r="AP330" s="104"/>
      <c r="AQ330" s="104"/>
      <c r="AR330" s="104"/>
      <c r="AS330" s="104"/>
      <c r="AT330" s="104"/>
      <c r="AU330" s="104"/>
      <c r="AV330" s="104"/>
      <c r="AW330" s="104"/>
      <c r="AX330" s="104"/>
      <c r="AY330" s="104"/>
      <c r="AZ330" s="104"/>
      <c r="BA330" s="104"/>
      <c r="BB330" s="104"/>
      <c r="BC330" s="104"/>
      <c r="BD330" s="104"/>
      <c r="BE330" s="104"/>
      <c r="BF330" s="104"/>
      <c r="BG330" s="104"/>
      <c r="BH330" s="104"/>
      <c r="BI330" s="104"/>
      <c r="BJ330" s="104"/>
      <c r="BK330" s="104"/>
      <c r="BL330" s="104"/>
      <c r="BM330" s="104"/>
      <c r="BN330" s="104"/>
      <c r="BO330" s="104"/>
    </row>
    <row r="331" spans="1:67" ht="36" x14ac:dyDescent="0.25">
      <c r="A331" s="104"/>
      <c r="B331" s="104"/>
      <c r="C331" s="104"/>
      <c r="D331" s="104"/>
      <c r="E331" s="104"/>
      <c r="F331" s="104"/>
      <c r="G331" s="104"/>
      <c r="H331" s="104"/>
      <c r="I331" s="104"/>
      <c r="J331" s="104"/>
      <c r="K331" s="104"/>
      <c r="L331" s="104"/>
      <c r="M331" s="104"/>
      <c r="N331" s="104"/>
      <c r="O331" s="104"/>
      <c r="P331" s="104"/>
      <c r="Q331" s="104"/>
      <c r="R331" s="104"/>
      <c r="S331" s="104"/>
      <c r="T331" s="104"/>
      <c r="U331" s="104"/>
      <c r="V331" s="104"/>
      <c r="W331" s="104"/>
      <c r="X331" s="104"/>
      <c r="Y331" s="104"/>
      <c r="Z331" s="104"/>
      <c r="AA331" s="104"/>
      <c r="AB331" s="104"/>
      <c r="AC331" s="104"/>
      <c r="AD331" s="104"/>
      <c r="AE331" s="104"/>
      <c r="AF331" s="104"/>
      <c r="AG331" s="104"/>
      <c r="AH331" s="104"/>
      <c r="AI331" s="104"/>
      <c r="AJ331" s="104"/>
      <c r="AK331" s="104"/>
      <c r="AL331" s="104"/>
      <c r="AM331" s="104"/>
      <c r="AN331" s="104"/>
      <c r="AO331" s="104"/>
      <c r="AP331" s="104"/>
      <c r="AQ331" s="104"/>
      <c r="AR331" s="104"/>
      <c r="AS331" s="104"/>
      <c r="AT331" s="104"/>
      <c r="AU331" s="104"/>
      <c r="AV331" s="104"/>
      <c r="AW331" s="104"/>
      <c r="AX331" s="104"/>
      <c r="AY331" s="104"/>
      <c r="AZ331" s="104"/>
      <c r="BA331" s="104"/>
      <c r="BB331" s="104"/>
      <c r="BC331" s="104"/>
      <c r="BD331" s="104"/>
      <c r="BE331" s="104"/>
      <c r="BF331" s="104"/>
      <c r="BG331" s="104"/>
      <c r="BH331" s="104"/>
      <c r="BI331" s="104"/>
      <c r="BJ331" s="104"/>
      <c r="BK331" s="104"/>
      <c r="BL331" s="104"/>
      <c r="BM331" s="104"/>
      <c r="BN331" s="104"/>
      <c r="BO331" s="104"/>
    </row>
    <row r="332" spans="1:67" ht="36" x14ac:dyDescent="0.25">
      <c r="A332" s="104"/>
      <c r="B332" s="104"/>
      <c r="C332" s="104"/>
      <c r="D332" s="104"/>
      <c r="E332" s="104"/>
      <c r="F332" s="104"/>
      <c r="G332" s="104"/>
      <c r="H332" s="104"/>
      <c r="I332" s="104"/>
      <c r="J332" s="104"/>
      <c r="K332" s="104"/>
      <c r="L332" s="104"/>
      <c r="M332" s="104"/>
      <c r="N332" s="104"/>
      <c r="O332" s="104"/>
      <c r="P332" s="104"/>
      <c r="Q332" s="104"/>
      <c r="R332" s="104"/>
      <c r="S332" s="104"/>
      <c r="T332" s="104"/>
      <c r="U332" s="104"/>
      <c r="V332" s="104"/>
      <c r="W332" s="104"/>
      <c r="X332" s="104"/>
      <c r="Y332" s="104"/>
      <c r="Z332" s="104"/>
      <c r="AA332" s="104"/>
      <c r="AB332" s="104"/>
      <c r="AC332" s="104"/>
      <c r="AD332" s="104"/>
      <c r="AE332" s="104"/>
      <c r="AF332" s="104"/>
      <c r="AG332" s="104"/>
      <c r="AH332" s="104"/>
      <c r="AI332" s="104"/>
      <c r="AJ332" s="104"/>
      <c r="AK332" s="104"/>
      <c r="AL332" s="104"/>
      <c r="AM332" s="104"/>
      <c r="AN332" s="104"/>
      <c r="AO332" s="104"/>
      <c r="AP332" s="104"/>
      <c r="AQ332" s="104"/>
      <c r="AR332" s="104"/>
      <c r="AS332" s="104"/>
      <c r="AT332" s="104"/>
      <c r="AU332" s="104"/>
      <c r="AV332" s="104"/>
      <c r="AW332" s="104"/>
      <c r="AX332" s="104"/>
      <c r="AY332" s="104"/>
      <c r="AZ332" s="104"/>
      <c r="BA332" s="104"/>
      <c r="BB332" s="104"/>
      <c r="BC332" s="104"/>
      <c r="BD332" s="104"/>
      <c r="BE332" s="104"/>
      <c r="BF332" s="104"/>
      <c r="BG332" s="104"/>
      <c r="BH332" s="104"/>
      <c r="BI332" s="104"/>
      <c r="BJ332" s="104"/>
      <c r="BK332" s="104"/>
      <c r="BL332" s="104"/>
      <c r="BM332" s="104"/>
      <c r="BN332" s="104"/>
      <c r="BO332" s="104"/>
    </row>
    <row r="333" spans="1:67" ht="36" x14ac:dyDescent="0.25">
      <c r="A333" s="104"/>
      <c r="B333" s="104"/>
      <c r="C333" s="104"/>
      <c r="D333" s="104"/>
      <c r="E333" s="104"/>
      <c r="F333" s="104"/>
      <c r="G333" s="104"/>
      <c r="H333" s="104"/>
      <c r="I333" s="104"/>
      <c r="J333" s="104"/>
      <c r="K333" s="104"/>
      <c r="L333" s="104"/>
      <c r="M333" s="104"/>
      <c r="N333" s="104"/>
      <c r="O333" s="104"/>
      <c r="P333" s="104"/>
      <c r="Q333" s="104"/>
      <c r="R333" s="104"/>
      <c r="S333" s="104"/>
      <c r="T333" s="104"/>
      <c r="U333" s="104"/>
      <c r="V333" s="104"/>
      <c r="W333" s="104"/>
      <c r="X333" s="104"/>
      <c r="Y333" s="104"/>
      <c r="Z333" s="104"/>
      <c r="AA333" s="104"/>
      <c r="AB333" s="104"/>
      <c r="AC333" s="104"/>
      <c r="AD333" s="104"/>
      <c r="AE333" s="104"/>
      <c r="AF333" s="104"/>
      <c r="AG333" s="104"/>
      <c r="AH333" s="104"/>
      <c r="AI333" s="104"/>
      <c r="AJ333" s="104"/>
      <c r="AK333" s="104"/>
      <c r="AL333" s="104"/>
      <c r="AM333" s="104"/>
      <c r="AN333" s="104"/>
      <c r="AO333" s="104"/>
      <c r="AP333" s="104"/>
      <c r="AQ333" s="104"/>
      <c r="AR333" s="104"/>
      <c r="AS333" s="104"/>
      <c r="AT333" s="104"/>
      <c r="AU333" s="104"/>
      <c r="AV333" s="104"/>
      <c r="AW333" s="104"/>
      <c r="AX333" s="104"/>
      <c r="AY333" s="104"/>
      <c r="AZ333" s="104"/>
      <c r="BA333" s="104"/>
      <c r="BB333" s="104"/>
      <c r="BC333" s="104"/>
      <c r="BD333" s="104"/>
      <c r="BE333" s="104"/>
      <c r="BF333" s="104"/>
      <c r="BG333" s="104"/>
      <c r="BH333" s="104"/>
      <c r="BI333" s="104"/>
      <c r="BJ333" s="104"/>
      <c r="BK333" s="104"/>
      <c r="BL333" s="104"/>
      <c r="BM333" s="104"/>
      <c r="BN333" s="104"/>
      <c r="BO333" s="104"/>
    </row>
    <row r="334" spans="1:67" ht="36" x14ac:dyDescent="0.25">
      <c r="A334" s="104"/>
      <c r="B334" s="104"/>
      <c r="C334" s="104"/>
      <c r="D334" s="104"/>
      <c r="E334" s="104"/>
      <c r="F334" s="104"/>
      <c r="G334" s="104"/>
      <c r="H334" s="104"/>
      <c r="I334" s="104"/>
      <c r="J334" s="104"/>
      <c r="K334" s="104"/>
      <c r="L334" s="104"/>
      <c r="M334" s="104"/>
      <c r="N334" s="104"/>
      <c r="O334" s="104"/>
      <c r="P334" s="104"/>
      <c r="Q334" s="104"/>
      <c r="R334" s="104"/>
      <c r="S334" s="104"/>
      <c r="T334" s="104"/>
      <c r="U334" s="104"/>
      <c r="V334" s="104"/>
      <c r="W334" s="104"/>
      <c r="X334" s="104"/>
      <c r="Y334" s="104"/>
      <c r="Z334" s="104"/>
      <c r="AA334" s="104"/>
      <c r="AB334" s="104"/>
      <c r="AC334" s="104"/>
      <c r="AD334" s="104"/>
      <c r="AE334" s="104"/>
      <c r="AF334" s="104"/>
      <c r="AG334" s="104"/>
      <c r="AH334" s="104"/>
      <c r="AI334" s="104"/>
      <c r="AJ334" s="104"/>
      <c r="AK334" s="104"/>
      <c r="AL334" s="104"/>
      <c r="AM334" s="104"/>
      <c r="AN334" s="104"/>
      <c r="AO334" s="104"/>
      <c r="AP334" s="104"/>
      <c r="AQ334" s="104"/>
      <c r="AR334" s="104"/>
      <c r="AS334" s="104"/>
      <c r="AT334" s="104"/>
      <c r="AU334" s="104"/>
      <c r="AV334" s="104"/>
      <c r="AW334" s="104"/>
      <c r="AX334" s="104"/>
      <c r="AY334" s="104"/>
      <c r="AZ334" s="104"/>
      <c r="BA334" s="104"/>
      <c r="BB334" s="104"/>
      <c r="BC334" s="104"/>
      <c r="BD334" s="104"/>
      <c r="BE334" s="104"/>
      <c r="BF334" s="104"/>
      <c r="BG334" s="104"/>
      <c r="BH334" s="104"/>
      <c r="BI334" s="104"/>
      <c r="BJ334" s="104"/>
      <c r="BK334" s="104"/>
      <c r="BL334" s="104"/>
      <c r="BM334" s="104"/>
      <c r="BN334" s="104"/>
      <c r="BO334" s="104"/>
    </row>
    <row r="335" spans="1:67" ht="36" x14ac:dyDescent="0.25">
      <c r="A335" s="104"/>
      <c r="B335" s="104"/>
      <c r="C335" s="104"/>
      <c r="D335" s="104"/>
      <c r="E335" s="104"/>
      <c r="F335" s="104"/>
      <c r="G335" s="104"/>
      <c r="H335" s="104"/>
      <c r="I335" s="104"/>
      <c r="J335" s="104"/>
      <c r="K335" s="104"/>
      <c r="L335" s="104"/>
      <c r="M335" s="104"/>
      <c r="N335" s="104"/>
      <c r="O335" s="104"/>
      <c r="P335" s="104"/>
      <c r="Q335" s="104"/>
      <c r="R335" s="104"/>
      <c r="S335" s="104"/>
      <c r="T335" s="104"/>
      <c r="U335" s="104"/>
      <c r="V335" s="104"/>
      <c r="W335" s="104"/>
      <c r="X335" s="104"/>
      <c r="Y335" s="104"/>
      <c r="Z335" s="104"/>
      <c r="AA335" s="104"/>
      <c r="AB335" s="104"/>
      <c r="AC335" s="104"/>
      <c r="AD335" s="104"/>
      <c r="AE335" s="104"/>
      <c r="AF335" s="104"/>
      <c r="AG335" s="104"/>
      <c r="AH335" s="104"/>
      <c r="AI335" s="104"/>
      <c r="AJ335" s="104"/>
      <c r="AK335" s="104"/>
      <c r="AL335" s="104"/>
      <c r="AM335" s="104"/>
      <c r="AN335" s="104"/>
      <c r="AO335" s="104"/>
      <c r="AP335" s="104"/>
      <c r="AQ335" s="104"/>
      <c r="AR335" s="104"/>
      <c r="AS335" s="104"/>
      <c r="AT335" s="104"/>
      <c r="AU335" s="104"/>
      <c r="AV335" s="104"/>
      <c r="AW335" s="104"/>
      <c r="AX335" s="104"/>
      <c r="AY335" s="104"/>
      <c r="AZ335" s="104"/>
      <c r="BA335" s="104"/>
      <c r="BB335" s="104"/>
      <c r="BC335" s="104"/>
      <c r="BD335" s="104"/>
      <c r="BE335" s="104"/>
      <c r="BF335" s="104"/>
      <c r="BG335" s="104"/>
      <c r="BH335" s="104"/>
      <c r="BI335" s="104"/>
      <c r="BJ335" s="104"/>
      <c r="BK335" s="104"/>
      <c r="BL335" s="104"/>
      <c r="BM335" s="104"/>
      <c r="BN335" s="104"/>
      <c r="BO335" s="104"/>
    </row>
    <row r="336" spans="1:67" ht="36" x14ac:dyDescent="0.25">
      <c r="A336" s="104"/>
      <c r="B336" s="104"/>
      <c r="C336" s="104"/>
      <c r="D336" s="104"/>
      <c r="E336" s="104"/>
      <c r="F336" s="104"/>
      <c r="G336" s="104"/>
      <c r="H336" s="104"/>
      <c r="I336" s="104"/>
      <c r="J336" s="104"/>
      <c r="K336" s="104"/>
      <c r="L336" s="104"/>
      <c r="M336" s="104"/>
      <c r="N336" s="104"/>
      <c r="O336" s="104"/>
      <c r="P336" s="104"/>
      <c r="Q336" s="104"/>
      <c r="R336" s="104"/>
      <c r="S336" s="104"/>
      <c r="T336" s="104"/>
      <c r="U336" s="104"/>
      <c r="V336" s="104"/>
      <c r="W336" s="104"/>
      <c r="X336" s="104"/>
      <c r="Y336" s="104"/>
      <c r="Z336" s="104"/>
      <c r="AA336" s="104"/>
      <c r="AB336" s="104"/>
      <c r="AC336" s="104"/>
      <c r="AD336" s="104"/>
      <c r="AE336" s="104"/>
      <c r="AF336" s="104"/>
      <c r="AG336" s="104"/>
      <c r="AH336" s="104"/>
      <c r="AI336" s="104"/>
      <c r="AJ336" s="104"/>
      <c r="AK336" s="104"/>
      <c r="AL336" s="104"/>
      <c r="AM336" s="104"/>
      <c r="AN336" s="104"/>
      <c r="AO336" s="104"/>
      <c r="AP336" s="104"/>
      <c r="AQ336" s="104"/>
      <c r="AR336" s="104"/>
      <c r="AS336" s="104"/>
      <c r="AT336" s="104"/>
      <c r="AU336" s="104"/>
      <c r="AV336" s="104"/>
      <c r="AW336" s="104"/>
      <c r="AX336" s="104"/>
      <c r="AY336" s="104"/>
      <c r="AZ336" s="104"/>
      <c r="BA336" s="104"/>
      <c r="BB336" s="104"/>
      <c r="BC336" s="104"/>
      <c r="BD336" s="104"/>
      <c r="BE336" s="104"/>
      <c r="BF336" s="104"/>
      <c r="BG336" s="104"/>
      <c r="BH336" s="104"/>
      <c r="BI336" s="104"/>
      <c r="BJ336" s="104"/>
      <c r="BK336" s="104"/>
      <c r="BL336" s="104"/>
      <c r="BM336" s="104"/>
      <c r="BN336" s="104"/>
      <c r="BO336" s="104"/>
    </row>
    <row r="337" spans="1:67" ht="36" x14ac:dyDescent="0.25">
      <c r="A337" s="104"/>
      <c r="B337" s="104"/>
      <c r="C337" s="104"/>
      <c r="D337" s="104"/>
      <c r="E337" s="104"/>
      <c r="F337" s="104"/>
      <c r="G337" s="104"/>
      <c r="H337" s="104"/>
      <c r="I337" s="104"/>
      <c r="J337" s="104"/>
      <c r="K337" s="104"/>
      <c r="L337" s="104"/>
      <c r="M337" s="104"/>
      <c r="N337" s="104"/>
      <c r="O337" s="104"/>
      <c r="P337" s="104"/>
      <c r="Q337" s="104"/>
      <c r="R337" s="104"/>
      <c r="S337" s="104"/>
      <c r="T337" s="104"/>
      <c r="U337" s="104"/>
      <c r="V337" s="104"/>
      <c r="W337" s="104"/>
      <c r="X337" s="104"/>
      <c r="Y337" s="104"/>
      <c r="Z337" s="104"/>
      <c r="AA337" s="104"/>
      <c r="AB337" s="104"/>
      <c r="AC337" s="104"/>
      <c r="AD337" s="104"/>
      <c r="AE337" s="104"/>
      <c r="AF337" s="104"/>
      <c r="AG337" s="104"/>
      <c r="AH337" s="104"/>
      <c r="AI337" s="104"/>
      <c r="AJ337" s="104"/>
      <c r="AK337" s="104"/>
      <c r="AL337" s="104"/>
      <c r="AM337" s="104"/>
      <c r="AN337" s="104"/>
      <c r="AO337" s="104"/>
      <c r="AP337" s="104"/>
      <c r="AQ337" s="104"/>
      <c r="AR337" s="104"/>
      <c r="AS337" s="104"/>
      <c r="AT337" s="104"/>
      <c r="AU337" s="104"/>
      <c r="AV337" s="104"/>
      <c r="AW337" s="104"/>
      <c r="AX337" s="104"/>
      <c r="AY337" s="104"/>
      <c r="AZ337" s="104"/>
      <c r="BA337" s="104"/>
      <c r="BB337" s="104"/>
      <c r="BC337" s="104"/>
      <c r="BD337" s="104"/>
      <c r="BE337" s="104"/>
      <c r="BF337" s="104"/>
      <c r="BG337" s="104"/>
      <c r="BH337" s="104"/>
      <c r="BI337" s="104"/>
      <c r="BJ337" s="104"/>
      <c r="BK337" s="104"/>
      <c r="BL337" s="104"/>
      <c r="BM337" s="104"/>
      <c r="BN337" s="104"/>
      <c r="BO337" s="104"/>
    </row>
    <row r="338" spans="1:67" ht="36" x14ac:dyDescent="0.25">
      <c r="A338" s="104"/>
      <c r="B338" s="104"/>
      <c r="C338" s="104"/>
      <c r="D338" s="104"/>
      <c r="E338" s="104"/>
      <c r="F338" s="104"/>
      <c r="G338" s="104"/>
      <c r="H338" s="104"/>
      <c r="I338" s="104"/>
      <c r="J338" s="104"/>
      <c r="K338" s="104"/>
      <c r="L338" s="104"/>
      <c r="M338" s="104"/>
      <c r="N338" s="104"/>
      <c r="O338" s="104"/>
      <c r="P338" s="104"/>
      <c r="Q338" s="104"/>
      <c r="R338" s="104"/>
      <c r="S338" s="104"/>
      <c r="T338" s="104"/>
      <c r="U338" s="104"/>
      <c r="V338" s="104"/>
      <c r="W338" s="104"/>
      <c r="X338" s="104"/>
      <c r="Y338" s="104"/>
      <c r="Z338" s="104"/>
      <c r="AA338" s="104"/>
      <c r="AB338" s="104"/>
      <c r="AC338" s="104"/>
      <c r="AD338" s="104"/>
      <c r="AE338" s="104"/>
      <c r="AF338" s="104"/>
      <c r="AG338" s="104"/>
      <c r="AH338" s="104"/>
      <c r="AI338" s="104"/>
      <c r="AJ338" s="104"/>
      <c r="AK338" s="104"/>
      <c r="AL338" s="104"/>
      <c r="AM338" s="104"/>
      <c r="AN338" s="104"/>
      <c r="AO338" s="104"/>
      <c r="AP338" s="104"/>
      <c r="AQ338" s="104"/>
      <c r="AR338" s="104"/>
      <c r="AS338" s="104"/>
      <c r="AT338" s="104"/>
      <c r="AU338" s="104"/>
      <c r="AV338" s="104"/>
      <c r="AW338" s="104"/>
      <c r="AX338" s="104"/>
      <c r="AY338" s="104"/>
      <c r="AZ338" s="104"/>
      <c r="BA338" s="104"/>
      <c r="BB338" s="104"/>
      <c r="BC338" s="104"/>
      <c r="BD338" s="104"/>
      <c r="BE338" s="104"/>
      <c r="BF338" s="104"/>
      <c r="BG338" s="104"/>
      <c r="BH338" s="104"/>
      <c r="BI338" s="104"/>
      <c r="BJ338" s="104"/>
      <c r="BK338" s="104"/>
      <c r="BL338" s="104"/>
      <c r="BM338" s="104"/>
      <c r="BN338" s="104"/>
      <c r="BO338" s="104"/>
    </row>
    <row r="339" spans="1:67" ht="36" x14ac:dyDescent="0.25">
      <c r="A339" s="104"/>
      <c r="B339" s="104"/>
      <c r="C339" s="104"/>
      <c r="D339" s="104"/>
      <c r="E339" s="104"/>
      <c r="F339" s="104"/>
      <c r="G339" s="104"/>
      <c r="H339" s="104"/>
      <c r="I339" s="104"/>
      <c r="J339" s="104"/>
      <c r="K339" s="104"/>
      <c r="L339" s="104"/>
      <c r="M339" s="104"/>
      <c r="N339" s="104"/>
      <c r="O339" s="104"/>
      <c r="P339" s="104"/>
      <c r="Q339" s="104"/>
      <c r="R339" s="104"/>
      <c r="S339" s="104"/>
      <c r="T339" s="104"/>
      <c r="U339" s="104"/>
      <c r="V339" s="104"/>
      <c r="W339" s="104"/>
      <c r="X339" s="104"/>
      <c r="Y339" s="104"/>
      <c r="Z339" s="104"/>
      <c r="AA339" s="104"/>
      <c r="AB339" s="104"/>
      <c r="AC339" s="104"/>
      <c r="AD339" s="104"/>
      <c r="AE339" s="104"/>
      <c r="AF339" s="104"/>
      <c r="AG339" s="104"/>
      <c r="AH339" s="104"/>
      <c r="AI339" s="104"/>
      <c r="AJ339" s="104"/>
      <c r="AK339" s="104"/>
      <c r="AL339" s="104"/>
      <c r="AM339" s="104"/>
      <c r="AN339" s="104"/>
      <c r="AO339" s="104"/>
      <c r="AP339" s="104"/>
      <c r="AQ339" s="104"/>
      <c r="AR339" s="104"/>
      <c r="AS339" s="104"/>
      <c r="AT339" s="104"/>
      <c r="AU339" s="104"/>
      <c r="AV339" s="104"/>
      <c r="AW339" s="104"/>
      <c r="AX339" s="104"/>
      <c r="AY339" s="104"/>
      <c r="AZ339" s="104"/>
      <c r="BA339" s="104"/>
      <c r="BB339" s="104"/>
      <c r="BC339" s="104"/>
      <c r="BD339" s="104"/>
      <c r="BE339" s="104"/>
      <c r="BF339" s="104"/>
      <c r="BG339" s="104"/>
      <c r="BH339" s="104"/>
      <c r="BI339" s="104"/>
      <c r="BJ339" s="104"/>
      <c r="BK339" s="104"/>
      <c r="BL339" s="104"/>
      <c r="BM339" s="104"/>
      <c r="BN339" s="104"/>
      <c r="BO339" s="104"/>
    </row>
    <row r="340" spans="1:67" ht="36" x14ac:dyDescent="0.25">
      <c r="A340" s="104"/>
      <c r="B340" s="104"/>
      <c r="C340" s="104"/>
      <c r="D340" s="104"/>
      <c r="E340" s="104"/>
      <c r="F340" s="104"/>
      <c r="G340" s="104"/>
      <c r="H340" s="104"/>
      <c r="I340" s="104"/>
      <c r="J340" s="104"/>
      <c r="K340" s="104"/>
      <c r="L340" s="104"/>
      <c r="M340" s="104"/>
      <c r="N340" s="104"/>
      <c r="O340" s="104"/>
      <c r="P340" s="104"/>
      <c r="Q340" s="104"/>
      <c r="R340" s="104"/>
      <c r="S340" s="104"/>
      <c r="T340" s="104"/>
      <c r="U340" s="104"/>
      <c r="V340" s="104"/>
      <c r="W340" s="104"/>
      <c r="X340" s="104"/>
      <c r="Y340" s="104"/>
      <c r="Z340" s="104"/>
      <c r="AA340" s="104"/>
      <c r="AB340" s="104"/>
      <c r="AC340" s="104"/>
      <c r="AD340" s="104"/>
      <c r="AE340" s="104"/>
      <c r="AF340" s="104"/>
      <c r="AG340" s="104"/>
      <c r="AH340" s="104"/>
      <c r="AI340" s="104"/>
      <c r="AJ340" s="104"/>
      <c r="AK340" s="104"/>
      <c r="AL340" s="104"/>
      <c r="AM340" s="104"/>
      <c r="AN340" s="104"/>
      <c r="AO340" s="104"/>
      <c r="AP340" s="104"/>
      <c r="AQ340" s="104"/>
      <c r="AR340" s="104"/>
      <c r="AS340" s="104"/>
      <c r="AT340" s="104"/>
      <c r="AU340" s="104"/>
      <c r="AV340" s="104"/>
      <c r="AW340" s="104"/>
      <c r="AX340" s="104"/>
      <c r="AY340" s="104"/>
      <c r="AZ340" s="104"/>
      <c r="BA340" s="104"/>
      <c r="BB340" s="104"/>
      <c r="BC340" s="104"/>
      <c r="BD340" s="104"/>
      <c r="BE340" s="104"/>
      <c r="BF340" s="104"/>
      <c r="BG340" s="104"/>
      <c r="BH340" s="104"/>
      <c r="BI340" s="104"/>
      <c r="BJ340" s="104"/>
      <c r="BK340" s="104"/>
      <c r="BL340" s="104"/>
      <c r="BM340" s="104"/>
      <c r="BN340" s="104"/>
      <c r="BO340" s="104"/>
    </row>
    <row r="341" spans="1:67" ht="36" x14ac:dyDescent="0.25">
      <c r="A341" s="104"/>
      <c r="B341" s="104"/>
      <c r="C341" s="104"/>
      <c r="D341" s="104"/>
      <c r="E341" s="104"/>
      <c r="F341" s="104"/>
      <c r="G341" s="104"/>
      <c r="H341" s="104"/>
      <c r="I341" s="104"/>
      <c r="J341" s="104"/>
      <c r="K341" s="104"/>
      <c r="L341" s="104"/>
      <c r="M341" s="104"/>
      <c r="N341" s="104"/>
      <c r="O341" s="104"/>
      <c r="P341" s="104"/>
      <c r="Q341" s="104"/>
      <c r="R341" s="104"/>
      <c r="S341" s="104"/>
      <c r="T341" s="104"/>
      <c r="U341" s="104"/>
      <c r="V341" s="104"/>
      <c r="W341" s="104"/>
      <c r="X341" s="104"/>
      <c r="Y341" s="104"/>
      <c r="Z341" s="104"/>
      <c r="AA341" s="104"/>
      <c r="AB341" s="104"/>
      <c r="AC341" s="104"/>
      <c r="AD341" s="104"/>
      <c r="AE341" s="104"/>
      <c r="AF341" s="104"/>
      <c r="AG341" s="104"/>
      <c r="AH341" s="104"/>
      <c r="AI341" s="104"/>
      <c r="AJ341" s="104"/>
      <c r="AK341" s="104"/>
      <c r="AL341" s="104"/>
      <c r="AM341" s="104"/>
      <c r="AN341" s="104"/>
      <c r="AO341" s="104"/>
      <c r="AP341" s="104"/>
      <c r="AQ341" s="104"/>
      <c r="AR341" s="104"/>
      <c r="AS341" s="104"/>
      <c r="AT341" s="104"/>
      <c r="AU341" s="104"/>
      <c r="AV341" s="104"/>
      <c r="AW341" s="104"/>
      <c r="AX341" s="104"/>
      <c r="AY341" s="104"/>
      <c r="AZ341" s="104"/>
      <c r="BA341" s="104"/>
      <c r="BB341" s="104"/>
      <c r="BC341" s="104"/>
      <c r="BD341" s="104"/>
      <c r="BE341" s="104"/>
      <c r="BF341" s="104"/>
      <c r="BG341" s="104"/>
      <c r="BH341" s="104"/>
      <c r="BI341" s="104"/>
      <c r="BJ341" s="104"/>
      <c r="BK341" s="104"/>
      <c r="BL341" s="104"/>
      <c r="BM341" s="104"/>
      <c r="BN341" s="104"/>
      <c r="BO341" s="104"/>
    </row>
    <row r="342" spans="1:67" ht="36" x14ac:dyDescent="0.25">
      <c r="A342" s="104"/>
      <c r="B342" s="104"/>
      <c r="C342" s="104"/>
      <c r="D342" s="104"/>
      <c r="E342" s="104"/>
      <c r="F342" s="104"/>
      <c r="G342" s="104"/>
      <c r="H342" s="104"/>
      <c r="I342" s="104"/>
      <c r="J342" s="104"/>
      <c r="K342" s="104"/>
      <c r="L342" s="104"/>
      <c r="M342" s="104"/>
      <c r="N342" s="104"/>
      <c r="O342" s="104"/>
      <c r="P342" s="104"/>
      <c r="Q342" s="104"/>
      <c r="R342" s="104"/>
      <c r="S342" s="104"/>
      <c r="T342" s="104"/>
      <c r="U342" s="104"/>
      <c r="V342" s="104"/>
      <c r="W342" s="104"/>
      <c r="X342" s="104"/>
      <c r="Y342" s="104"/>
      <c r="Z342" s="104"/>
      <c r="AA342" s="104"/>
      <c r="AB342" s="104"/>
      <c r="AC342" s="104"/>
      <c r="AD342" s="104"/>
      <c r="AE342" s="104"/>
      <c r="AF342" s="104"/>
      <c r="AG342" s="104"/>
      <c r="AH342" s="104"/>
      <c r="AI342" s="104"/>
      <c r="AJ342" s="104"/>
      <c r="AK342" s="104"/>
      <c r="AL342" s="104"/>
      <c r="AM342" s="104"/>
      <c r="AN342" s="104"/>
      <c r="AO342" s="104"/>
      <c r="AP342" s="104"/>
      <c r="AQ342" s="104"/>
      <c r="AR342" s="104"/>
      <c r="AS342" s="104"/>
      <c r="AT342" s="104"/>
      <c r="AU342" s="104"/>
      <c r="AV342" s="104"/>
      <c r="AW342" s="104"/>
      <c r="AX342" s="104"/>
      <c r="AY342" s="104"/>
      <c r="AZ342" s="104"/>
      <c r="BA342" s="104"/>
      <c r="BB342" s="104"/>
      <c r="BC342" s="104"/>
      <c r="BD342" s="104"/>
      <c r="BE342" s="104"/>
      <c r="BF342" s="104"/>
      <c r="BG342" s="104"/>
      <c r="BH342" s="104"/>
      <c r="BI342" s="104"/>
      <c r="BJ342" s="104"/>
      <c r="BK342" s="104"/>
      <c r="BL342" s="104"/>
      <c r="BM342" s="104"/>
      <c r="BN342" s="104"/>
      <c r="BO342" s="104"/>
    </row>
    <row r="343" spans="1:67" ht="36" x14ac:dyDescent="0.25">
      <c r="A343" s="104"/>
      <c r="B343" s="104"/>
      <c r="C343" s="104"/>
      <c r="D343" s="104"/>
      <c r="E343" s="104"/>
      <c r="F343" s="104"/>
      <c r="G343" s="104"/>
      <c r="H343" s="104"/>
      <c r="I343" s="104"/>
      <c r="J343" s="104"/>
      <c r="K343" s="104"/>
      <c r="L343" s="104"/>
      <c r="M343" s="104"/>
      <c r="N343" s="104"/>
      <c r="O343" s="104"/>
      <c r="P343" s="104"/>
      <c r="Q343" s="104"/>
      <c r="R343" s="104"/>
      <c r="S343" s="104"/>
      <c r="T343" s="104"/>
      <c r="U343" s="104"/>
      <c r="V343" s="104"/>
      <c r="W343" s="104"/>
      <c r="X343" s="104"/>
      <c r="Y343" s="104"/>
      <c r="Z343" s="104"/>
      <c r="AA343" s="104"/>
      <c r="AB343" s="104"/>
      <c r="AC343" s="104"/>
      <c r="AD343" s="104"/>
      <c r="AE343" s="104"/>
      <c r="AF343" s="104"/>
      <c r="AG343" s="104"/>
      <c r="AH343" s="104"/>
      <c r="AI343" s="104"/>
      <c r="AJ343" s="104"/>
      <c r="AK343" s="104"/>
      <c r="AL343" s="104"/>
      <c r="AM343" s="104"/>
      <c r="AN343" s="104"/>
      <c r="AO343" s="104"/>
      <c r="AP343" s="104"/>
      <c r="AQ343" s="104"/>
      <c r="AR343" s="104"/>
      <c r="AS343" s="104"/>
      <c r="AT343" s="104"/>
      <c r="AU343" s="104"/>
      <c r="AV343" s="104"/>
      <c r="AW343" s="104"/>
      <c r="AX343" s="104"/>
      <c r="AY343" s="104"/>
      <c r="AZ343" s="104"/>
      <c r="BA343" s="104"/>
      <c r="BB343" s="104"/>
      <c r="BC343" s="104"/>
      <c r="BD343" s="104"/>
      <c r="BE343" s="104"/>
      <c r="BF343" s="104"/>
      <c r="BG343" s="104"/>
      <c r="BH343" s="104"/>
      <c r="BI343" s="104"/>
      <c r="BJ343" s="104"/>
      <c r="BK343" s="104"/>
      <c r="BL343" s="104"/>
      <c r="BM343" s="104"/>
      <c r="BN343" s="104"/>
      <c r="BO343" s="104"/>
    </row>
    <row r="344" spans="1:67" ht="36" x14ac:dyDescent="0.25">
      <c r="A344" s="104"/>
      <c r="B344" s="104"/>
      <c r="C344" s="104"/>
      <c r="D344" s="104"/>
      <c r="E344" s="104"/>
      <c r="F344" s="104"/>
      <c r="G344" s="104"/>
      <c r="H344" s="104"/>
      <c r="I344" s="104"/>
      <c r="J344" s="104"/>
      <c r="K344" s="104"/>
      <c r="L344" s="104"/>
      <c r="M344" s="104"/>
      <c r="N344" s="104"/>
      <c r="O344" s="104"/>
      <c r="P344" s="104"/>
      <c r="Q344" s="104"/>
      <c r="R344" s="104"/>
      <c r="S344" s="104"/>
      <c r="T344" s="104"/>
      <c r="U344" s="104"/>
      <c r="V344" s="104"/>
      <c r="W344" s="104"/>
      <c r="X344" s="104"/>
      <c r="Y344" s="104"/>
      <c r="Z344" s="104"/>
      <c r="AA344" s="104"/>
      <c r="AB344" s="104"/>
      <c r="AC344" s="104"/>
      <c r="AD344" s="104"/>
      <c r="AE344" s="104"/>
      <c r="AF344" s="104"/>
      <c r="AG344" s="104"/>
      <c r="AH344" s="104"/>
      <c r="AI344" s="104"/>
      <c r="AJ344" s="104"/>
      <c r="AK344" s="104"/>
      <c r="AL344" s="104"/>
      <c r="AM344" s="104"/>
      <c r="AN344" s="104"/>
      <c r="AO344" s="104"/>
      <c r="AP344" s="104"/>
      <c r="AQ344" s="104"/>
      <c r="AR344" s="104"/>
      <c r="AS344" s="104"/>
      <c r="AT344" s="104"/>
      <c r="AU344" s="104"/>
      <c r="AV344" s="104"/>
      <c r="AW344" s="104"/>
      <c r="AX344" s="104"/>
      <c r="AY344" s="104"/>
      <c r="AZ344" s="104"/>
      <c r="BA344" s="104"/>
      <c r="BB344" s="104"/>
      <c r="BC344" s="104"/>
      <c r="BD344" s="104"/>
      <c r="BE344" s="104"/>
      <c r="BF344" s="104"/>
      <c r="BG344" s="104"/>
      <c r="BH344" s="104"/>
      <c r="BI344" s="104"/>
      <c r="BJ344" s="104"/>
      <c r="BK344" s="104"/>
      <c r="BL344" s="104"/>
      <c r="BM344" s="104"/>
      <c r="BN344" s="104"/>
      <c r="BO344" s="104"/>
    </row>
    <row r="345" spans="1:67" ht="36" x14ac:dyDescent="0.25">
      <c r="A345" s="104"/>
      <c r="B345" s="104"/>
      <c r="C345" s="104"/>
      <c r="D345" s="104"/>
      <c r="E345" s="104"/>
      <c r="F345" s="104"/>
      <c r="G345" s="104"/>
      <c r="H345" s="104"/>
      <c r="I345" s="104"/>
      <c r="J345" s="104"/>
      <c r="K345" s="104"/>
      <c r="L345" s="104"/>
      <c r="M345" s="104"/>
      <c r="N345" s="104"/>
      <c r="O345" s="104"/>
      <c r="P345" s="104"/>
      <c r="Q345" s="104"/>
      <c r="R345" s="104"/>
      <c r="S345" s="104"/>
      <c r="T345" s="104"/>
      <c r="U345" s="104"/>
      <c r="V345" s="104"/>
      <c r="W345" s="104"/>
      <c r="X345" s="104"/>
      <c r="Y345" s="104"/>
      <c r="Z345" s="104"/>
      <c r="AA345" s="104"/>
      <c r="AB345" s="104"/>
      <c r="AC345" s="104"/>
      <c r="AD345" s="104"/>
      <c r="AE345" s="104"/>
      <c r="AF345" s="104"/>
      <c r="AG345" s="104"/>
      <c r="AH345" s="104"/>
      <c r="AI345" s="104"/>
      <c r="AJ345" s="104"/>
      <c r="AK345" s="104"/>
      <c r="AL345" s="104"/>
      <c r="AM345" s="104"/>
      <c r="AN345" s="104"/>
      <c r="AO345" s="104"/>
      <c r="AP345" s="104"/>
      <c r="AQ345" s="104"/>
      <c r="AR345" s="104"/>
      <c r="AS345" s="104"/>
      <c r="AT345" s="104"/>
      <c r="AU345" s="104"/>
      <c r="AV345" s="104"/>
      <c r="AW345" s="104"/>
      <c r="AX345" s="104"/>
      <c r="AY345" s="104"/>
      <c r="AZ345" s="104"/>
      <c r="BA345" s="104"/>
      <c r="BB345" s="104"/>
      <c r="BC345" s="104"/>
      <c r="BD345" s="104"/>
      <c r="BE345" s="104"/>
      <c r="BF345" s="104"/>
      <c r="BG345" s="104"/>
      <c r="BH345" s="104"/>
      <c r="BI345" s="104"/>
      <c r="BJ345" s="104"/>
      <c r="BK345" s="104"/>
      <c r="BL345" s="104"/>
      <c r="BM345" s="104"/>
      <c r="BN345" s="104"/>
      <c r="BO345" s="104"/>
    </row>
    <row r="346" spans="1:67" ht="36" x14ac:dyDescent="0.25">
      <c r="A346" s="104"/>
      <c r="B346" s="104"/>
      <c r="C346" s="104"/>
      <c r="D346" s="104"/>
      <c r="E346" s="104"/>
      <c r="F346" s="104"/>
      <c r="G346" s="104"/>
      <c r="H346" s="104"/>
      <c r="I346" s="104"/>
      <c r="J346" s="104"/>
      <c r="K346" s="104"/>
      <c r="L346" s="104"/>
      <c r="M346" s="104"/>
      <c r="N346" s="104"/>
      <c r="O346" s="104"/>
      <c r="P346" s="104"/>
      <c r="Q346" s="104"/>
      <c r="R346" s="104"/>
      <c r="S346" s="104"/>
      <c r="T346" s="104"/>
      <c r="U346" s="104"/>
      <c r="V346" s="104"/>
      <c r="W346" s="104"/>
      <c r="X346" s="104"/>
      <c r="Y346" s="104"/>
      <c r="Z346" s="104"/>
      <c r="AA346" s="104"/>
      <c r="AB346" s="104"/>
      <c r="AC346" s="104"/>
      <c r="AD346" s="104"/>
      <c r="AE346" s="104"/>
      <c r="AF346" s="104"/>
      <c r="AG346" s="104"/>
      <c r="AH346" s="104"/>
      <c r="AI346" s="104"/>
      <c r="AJ346" s="104"/>
      <c r="AK346" s="104"/>
      <c r="AL346" s="104"/>
      <c r="AM346" s="104"/>
      <c r="AN346" s="104"/>
      <c r="AO346" s="104"/>
      <c r="AP346" s="104"/>
      <c r="AQ346" s="104"/>
      <c r="AR346" s="104"/>
      <c r="AS346" s="104"/>
      <c r="AT346" s="104"/>
      <c r="AU346" s="104"/>
      <c r="AV346" s="104"/>
      <c r="AW346" s="104"/>
      <c r="AX346" s="104"/>
      <c r="AY346" s="104"/>
      <c r="AZ346" s="104"/>
      <c r="BA346" s="104"/>
      <c r="BB346" s="104"/>
      <c r="BC346" s="104"/>
      <c r="BD346" s="104"/>
      <c r="BE346" s="104"/>
      <c r="BF346" s="104"/>
      <c r="BG346" s="104"/>
      <c r="BH346" s="104"/>
      <c r="BI346" s="104"/>
      <c r="BJ346" s="104"/>
      <c r="BK346" s="104"/>
      <c r="BL346" s="104"/>
      <c r="BM346" s="104"/>
      <c r="BN346" s="104"/>
      <c r="BO346" s="104"/>
    </row>
    <row r="347" spans="1:67" ht="36" x14ac:dyDescent="0.25">
      <c r="A347" s="104"/>
      <c r="B347" s="104"/>
      <c r="C347" s="104"/>
      <c r="D347" s="104"/>
      <c r="E347" s="104"/>
      <c r="F347" s="104"/>
      <c r="G347" s="104"/>
      <c r="H347" s="104"/>
      <c r="I347" s="104"/>
      <c r="J347" s="104"/>
      <c r="K347" s="104"/>
      <c r="L347" s="104"/>
      <c r="M347" s="104"/>
      <c r="N347" s="104"/>
      <c r="O347" s="104"/>
      <c r="P347" s="104"/>
      <c r="Q347" s="104"/>
      <c r="R347" s="104"/>
      <c r="S347" s="104"/>
      <c r="T347" s="104"/>
      <c r="U347" s="104"/>
      <c r="V347" s="104"/>
      <c r="W347" s="104"/>
      <c r="X347" s="104"/>
      <c r="Y347" s="104"/>
      <c r="Z347" s="104"/>
      <c r="AA347" s="104"/>
      <c r="AB347" s="104"/>
      <c r="AC347" s="104"/>
      <c r="AD347" s="104"/>
      <c r="AE347" s="104"/>
      <c r="AF347" s="104"/>
      <c r="AG347" s="104"/>
      <c r="AH347" s="104"/>
      <c r="AI347" s="104"/>
      <c r="AJ347" s="104"/>
      <c r="AK347" s="104"/>
      <c r="AL347" s="104"/>
      <c r="AM347" s="104"/>
      <c r="AN347" s="104"/>
      <c r="AO347" s="104"/>
      <c r="AP347" s="104"/>
      <c r="AQ347" s="104"/>
      <c r="AR347" s="104"/>
      <c r="AS347" s="104"/>
      <c r="AT347" s="104"/>
      <c r="AU347" s="104"/>
      <c r="AV347" s="104"/>
      <c r="AW347" s="104"/>
      <c r="AX347" s="104"/>
      <c r="AY347" s="104"/>
      <c r="AZ347" s="104"/>
      <c r="BA347" s="104"/>
      <c r="BB347" s="104"/>
      <c r="BC347" s="104"/>
      <c r="BD347" s="104"/>
      <c r="BE347" s="104"/>
      <c r="BF347" s="104"/>
      <c r="BG347" s="104"/>
      <c r="BH347" s="104"/>
      <c r="BI347" s="104"/>
      <c r="BJ347" s="104"/>
      <c r="BK347" s="104"/>
      <c r="BL347" s="104"/>
      <c r="BM347" s="104"/>
      <c r="BN347" s="104"/>
      <c r="BO347" s="104"/>
    </row>
    <row r="348" spans="1:67" ht="36" x14ac:dyDescent="0.25">
      <c r="A348" s="104"/>
      <c r="B348" s="104"/>
      <c r="C348" s="104"/>
      <c r="D348" s="104"/>
      <c r="E348" s="104"/>
      <c r="F348" s="104"/>
      <c r="G348" s="104"/>
      <c r="H348" s="104"/>
      <c r="I348" s="104"/>
      <c r="J348" s="104"/>
      <c r="K348" s="104"/>
      <c r="L348" s="104"/>
      <c r="M348" s="104"/>
      <c r="N348" s="104"/>
      <c r="O348" s="104"/>
      <c r="P348" s="104"/>
      <c r="Q348" s="104"/>
      <c r="R348" s="104"/>
      <c r="S348" s="104"/>
      <c r="T348" s="104"/>
      <c r="U348" s="104"/>
      <c r="V348" s="104"/>
      <c r="W348" s="104"/>
      <c r="X348" s="104"/>
      <c r="Y348" s="104"/>
      <c r="Z348" s="104"/>
      <c r="AA348" s="104"/>
      <c r="AB348" s="104"/>
      <c r="AC348" s="104"/>
      <c r="AD348" s="104"/>
      <c r="AE348" s="104"/>
      <c r="AF348" s="104"/>
      <c r="AG348" s="104"/>
      <c r="AH348" s="104"/>
      <c r="AI348" s="104"/>
      <c r="AJ348" s="104"/>
      <c r="AK348" s="104"/>
      <c r="AL348" s="104"/>
      <c r="AM348" s="104"/>
      <c r="AN348" s="104"/>
      <c r="AO348" s="104"/>
      <c r="AP348" s="104"/>
      <c r="AQ348" s="104"/>
      <c r="AR348" s="104"/>
      <c r="AS348" s="104"/>
      <c r="AT348" s="104"/>
      <c r="AU348" s="104"/>
      <c r="AV348" s="104"/>
      <c r="AW348" s="104"/>
      <c r="AX348" s="104"/>
      <c r="AY348" s="104"/>
      <c r="AZ348" s="104"/>
      <c r="BA348" s="104"/>
      <c r="BB348" s="104"/>
      <c r="BC348" s="104"/>
      <c r="BD348" s="104"/>
      <c r="BE348" s="104"/>
      <c r="BF348" s="104"/>
      <c r="BG348" s="104"/>
      <c r="BH348" s="104"/>
      <c r="BI348" s="104"/>
      <c r="BJ348" s="104"/>
      <c r="BK348" s="104"/>
      <c r="BL348" s="104"/>
      <c r="BM348" s="104"/>
      <c r="BN348" s="104"/>
      <c r="BO348" s="104"/>
    </row>
    <row r="349" spans="1:67" ht="36" x14ac:dyDescent="0.25">
      <c r="A349" s="104"/>
      <c r="B349" s="104"/>
      <c r="C349" s="104"/>
      <c r="D349" s="104"/>
      <c r="E349" s="104"/>
      <c r="F349" s="104"/>
      <c r="G349" s="104"/>
      <c r="H349" s="104"/>
      <c r="I349" s="104"/>
      <c r="J349" s="104"/>
      <c r="K349" s="104"/>
      <c r="L349" s="104"/>
      <c r="M349" s="104"/>
      <c r="N349" s="104"/>
      <c r="O349" s="104"/>
      <c r="P349" s="104"/>
      <c r="Q349" s="104"/>
      <c r="R349" s="104"/>
      <c r="S349" s="104"/>
      <c r="T349" s="104"/>
      <c r="U349" s="104"/>
      <c r="V349" s="104"/>
      <c r="W349" s="104"/>
      <c r="X349" s="104"/>
      <c r="Y349" s="104"/>
      <c r="Z349" s="104"/>
      <c r="AA349" s="104"/>
      <c r="AB349" s="104"/>
      <c r="AC349" s="104"/>
      <c r="AD349" s="104"/>
      <c r="AE349" s="104"/>
      <c r="AF349" s="104"/>
      <c r="AG349" s="104"/>
      <c r="AH349" s="104"/>
      <c r="AI349" s="104"/>
      <c r="AJ349" s="104"/>
      <c r="AK349" s="104"/>
      <c r="AL349" s="104"/>
      <c r="AM349" s="104"/>
      <c r="AN349" s="104"/>
      <c r="AO349" s="104"/>
      <c r="AP349" s="104"/>
      <c r="AQ349" s="104"/>
      <c r="AR349" s="104"/>
      <c r="AS349" s="104"/>
      <c r="AT349" s="104"/>
      <c r="AU349" s="104"/>
      <c r="AV349" s="104"/>
      <c r="AW349" s="104"/>
      <c r="AX349" s="104"/>
      <c r="AY349" s="104"/>
      <c r="AZ349" s="104"/>
      <c r="BA349" s="104"/>
      <c r="BB349" s="104"/>
      <c r="BC349" s="104"/>
      <c r="BD349" s="104"/>
      <c r="BE349" s="104"/>
      <c r="BF349" s="104"/>
      <c r="BG349" s="104"/>
      <c r="BH349" s="104"/>
      <c r="BI349" s="104"/>
      <c r="BJ349" s="104"/>
      <c r="BK349" s="104"/>
      <c r="BL349" s="104"/>
      <c r="BM349" s="104"/>
      <c r="BN349" s="104"/>
      <c r="BO349" s="104"/>
    </row>
    <row r="350" spans="1:67" ht="36" x14ac:dyDescent="0.25">
      <c r="A350" s="104"/>
      <c r="B350" s="104"/>
      <c r="C350" s="104"/>
      <c r="D350" s="104"/>
      <c r="E350" s="104"/>
      <c r="F350" s="104"/>
      <c r="G350" s="104"/>
      <c r="H350" s="104"/>
      <c r="I350" s="104"/>
      <c r="J350" s="104"/>
      <c r="K350" s="104"/>
      <c r="L350" s="104"/>
      <c r="M350" s="104"/>
      <c r="N350" s="104"/>
      <c r="O350" s="104"/>
      <c r="P350" s="104"/>
      <c r="Q350" s="104"/>
      <c r="R350" s="104"/>
      <c r="S350" s="104"/>
      <c r="T350" s="104"/>
      <c r="U350" s="104"/>
      <c r="V350" s="104"/>
      <c r="W350" s="104"/>
      <c r="X350" s="104"/>
      <c r="Y350" s="104"/>
      <c r="Z350" s="104"/>
      <c r="AA350" s="104"/>
      <c r="AB350" s="104"/>
      <c r="AC350" s="104"/>
      <c r="AD350" s="104"/>
      <c r="AE350" s="104"/>
      <c r="AF350" s="104"/>
      <c r="AG350" s="104"/>
      <c r="AH350" s="104"/>
      <c r="AI350" s="104"/>
      <c r="AJ350" s="104"/>
      <c r="AK350" s="104"/>
      <c r="AL350" s="104"/>
      <c r="AM350" s="104"/>
      <c r="AN350" s="104"/>
      <c r="AO350" s="104"/>
      <c r="AP350" s="104"/>
      <c r="AQ350" s="104"/>
      <c r="AR350" s="104"/>
      <c r="AS350" s="104"/>
      <c r="AT350" s="104"/>
      <c r="AU350" s="104"/>
      <c r="AV350" s="104"/>
      <c r="AW350" s="104"/>
      <c r="AX350" s="104"/>
      <c r="AY350" s="104"/>
      <c r="AZ350" s="104"/>
      <c r="BA350" s="104"/>
      <c r="BB350" s="104"/>
      <c r="BC350" s="104"/>
      <c r="BD350" s="104"/>
      <c r="BE350" s="104"/>
      <c r="BF350" s="104"/>
      <c r="BG350" s="104"/>
      <c r="BH350" s="104"/>
      <c r="BI350" s="104"/>
      <c r="BJ350" s="104"/>
      <c r="BK350" s="104"/>
      <c r="BL350" s="104"/>
      <c r="BM350" s="104"/>
      <c r="BN350" s="104"/>
      <c r="BO350" s="104"/>
    </row>
    <row r="351" spans="1:67" ht="36" x14ac:dyDescent="0.25">
      <c r="A351" s="104"/>
      <c r="B351" s="104"/>
      <c r="C351" s="104"/>
      <c r="D351" s="104"/>
      <c r="E351" s="104"/>
      <c r="F351" s="104"/>
      <c r="G351" s="104"/>
      <c r="H351" s="104"/>
      <c r="I351" s="104"/>
      <c r="J351" s="104"/>
      <c r="K351" s="104"/>
      <c r="L351" s="104"/>
      <c r="M351" s="104"/>
      <c r="N351" s="104"/>
      <c r="O351" s="104"/>
      <c r="P351" s="104"/>
      <c r="Q351" s="104"/>
      <c r="R351" s="104"/>
      <c r="S351" s="104"/>
      <c r="T351" s="104"/>
      <c r="U351" s="104"/>
      <c r="V351" s="104"/>
      <c r="W351" s="104"/>
      <c r="X351" s="104"/>
      <c r="Y351" s="104"/>
      <c r="Z351" s="104"/>
      <c r="AA351" s="104"/>
      <c r="AB351" s="104"/>
      <c r="AC351" s="104"/>
      <c r="AD351" s="104"/>
      <c r="AE351" s="104"/>
      <c r="AF351" s="104"/>
      <c r="AG351" s="104"/>
      <c r="AH351" s="104"/>
      <c r="AI351" s="104"/>
      <c r="AJ351" s="104"/>
      <c r="AK351" s="104"/>
      <c r="AL351" s="104"/>
      <c r="AM351" s="104"/>
      <c r="AN351" s="104"/>
      <c r="AO351" s="104"/>
      <c r="AP351" s="104"/>
      <c r="AQ351" s="104"/>
      <c r="AR351" s="104"/>
      <c r="AS351" s="104"/>
      <c r="AT351" s="104"/>
      <c r="AU351" s="104"/>
      <c r="AV351" s="104"/>
      <c r="AW351" s="104"/>
      <c r="AX351" s="104"/>
      <c r="AY351" s="104"/>
      <c r="AZ351" s="104"/>
      <c r="BA351" s="104"/>
      <c r="BB351" s="104"/>
      <c r="BC351" s="104"/>
      <c r="BD351" s="104"/>
      <c r="BE351" s="104"/>
      <c r="BF351" s="104"/>
      <c r="BG351" s="104"/>
      <c r="BH351" s="104"/>
      <c r="BI351" s="104"/>
      <c r="BJ351" s="104"/>
      <c r="BK351" s="104"/>
      <c r="BL351" s="104"/>
      <c r="BM351" s="104"/>
      <c r="BN351" s="104"/>
      <c r="BO351" s="104"/>
    </row>
    <row r="352" spans="1:67" ht="36" x14ac:dyDescent="0.25">
      <c r="A352" s="104"/>
      <c r="B352" s="104"/>
      <c r="C352" s="104"/>
      <c r="D352" s="104"/>
      <c r="E352" s="104"/>
      <c r="F352" s="104"/>
      <c r="G352" s="104"/>
      <c r="H352" s="104"/>
      <c r="I352" s="104"/>
      <c r="J352" s="104"/>
      <c r="K352" s="104"/>
      <c r="L352" s="104"/>
      <c r="M352" s="104"/>
      <c r="N352" s="104"/>
      <c r="O352" s="104"/>
      <c r="P352" s="104"/>
      <c r="Q352" s="104"/>
      <c r="R352" s="104"/>
      <c r="S352" s="104"/>
      <c r="T352" s="104"/>
      <c r="U352" s="104"/>
      <c r="V352" s="104"/>
      <c r="W352" s="104"/>
      <c r="X352" s="104"/>
      <c r="Y352" s="104"/>
      <c r="Z352" s="104"/>
      <c r="AA352" s="104"/>
      <c r="AB352" s="104"/>
      <c r="AC352" s="104"/>
      <c r="AD352" s="104"/>
      <c r="AE352" s="104"/>
      <c r="AF352" s="104"/>
      <c r="AG352" s="104"/>
      <c r="AH352" s="104"/>
      <c r="AI352" s="104"/>
      <c r="AJ352" s="104"/>
      <c r="AK352" s="104"/>
      <c r="AL352" s="104"/>
      <c r="AM352" s="104"/>
      <c r="AN352" s="104"/>
      <c r="AO352" s="104"/>
      <c r="AP352" s="104"/>
      <c r="AQ352" s="104"/>
      <c r="AR352" s="104"/>
      <c r="AS352" s="104"/>
      <c r="AT352" s="104"/>
      <c r="AU352" s="104"/>
      <c r="AV352" s="104"/>
      <c r="AW352" s="104"/>
      <c r="AX352" s="104"/>
      <c r="AY352" s="104"/>
      <c r="AZ352" s="104"/>
      <c r="BA352" s="104"/>
      <c r="BB352" s="104"/>
      <c r="BC352" s="104"/>
      <c r="BD352" s="104"/>
      <c r="BE352" s="104"/>
      <c r="BF352" s="104"/>
      <c r="BG352" s="104"/>
      <c r="BH352" s="104"/>
      <c r="BI352" s="104"/>
      <c r="BJ352" s="104"/>
      <c r="BK352" s="104"/>
      <c r="BL352" s="104"/>
      <c r="BM352" s="104"/>
      <c r="BN352" s="104"/>
      <c r="BO352" s="104"/>
    </row>
    <row r="353" spans="1:67" ht="36" x14ac:dyDescent="0.25">
      <c r="A353" s="104"/>
      <c r="B353" s="104"/>
      <c r="C353" s="104"/>
      <c r="D353" s="104"/>
      <c r="E353" s="104"/>
      <c r="F353" s="104"/>
      <c r="G353" s="104"/>
      <c r="H353" s="104"/>
      <c r="I353" s="104"/>
      <c r="J353" s="104"/>
      <c r="K353" s="104"/>
      <c r="L353" s="104"/>
      <c r="M353" s="104"/>
      <c r="N353" s="104"/>
      <c r="O353" s="104"/>
      <c r="P353" s="104"/>
      <c r="Q353" s="104"/>
      <c r="R353" s="104"/>
      <c r="S353" s="104"/>
      <c r="T353" s="104"/>
      <c r="U353" s="104"/>
      <c r="V353" s="104"/>
      <c r="W353" s="104"/>
      <c r="X353" s="104"/>
      <c r="Y353" s="104"/>
      <c r="Z353" s="104"/>
      <c r="AA353" s="104"/>
      <c r="AB353" s="104"/>
      <c r="AC353" s="104"/>
      <c r="AD353" s="104"/>
      <c r="AE353" s="104"/>
      <c r="AF353" s="104"/>
      <c r="AG353" s="104"/>
      <c r="AH353" s="104"/>
      <c r="AI353" s="104"/>
      <c r="AJ353" s="104"/>
      <c r="AK353" s="104"/>
      <c r="AL353" s="104"/>
      <c r="AM353" s="104"/>
      <c r="AN353" s="104"/>
      <c r="AO353" s="104"/>
      <c r="AP353" s="104"/>
      <c r="AQ353" s="104"/>
      <c r="AR353" s="104"/>
      <c r="AS353" s="104"/>
      <c r="AT353" s="104"/>
      <c r="AU353" s="104"/>
      <c r="AV353" s="104"/>
      <c r="AW353" s="104"/>
      <c r="AX353" s="104"/>
      <c r="AY353" s="104"/>
      <c r="AZ353" s="104"/>
      <c r="BA353" s="104"/>
      <c r="BB353" s="104"/>
      <c r="BC353" s="104"/>
      <c r="BD353" s="104"/>
      <c r="BE353" s="104"/>
      <c r="BF353" s="104"/>
      <c r="BG353" s="104"/>
      <c r="BH353" s="104"/>
      <c r="BI353" s="104"/>
      <c r="BJ353" s="104"/>
      <c r="BK353" s="104"/>
      <c r="BL353" s="104"/>
      <c r="BM353" s="104"/>
      <c r="BN353" s="104"/>
      <c r="BO353" s="104"/>
    </row>
    <row r="354" spans="1:67" ht="36" x14ac:dyDescent="0.25">
      <c r="A354" s="104"/>
      <c r="B354" s="104"/>
      <c r="C354" s="104"/>
      <c r="D354" s="104"/>
      <c r="E354" s="104"/>
      <c r="F354" s="104"/>
      <c r="G354" s="104"/>
      <c r="H354" s="104"/>
      <c r="I354" s="104"/>
      <c r="J354" s="104"/>
      <c r="K354" s="104"/>
      <c r="L354" s="104"/>
      <c r="M354" s="104"/>
      <c r="N354" s="104"/>
      <c r="O354" s="104"/>
      <c r="P354" s="104"/>
      <c r="Q354" s="104"/>
      <c r="R354" s="104"/>
      <c r="S354" s="104"/>
      <c r="T354" s="104"/>
      <c r="U354" s="104"/>
      <c r="V354" s="104"/>
      <c r="W354" s="104"/>
      <c r="X354" s="104"/>
      <c r="Y354" s="104"/>
      <c r="Z354" s="104"/>
      <c r="AA354" s="104"/>
      <c r="AB354" s="104"/>
      <c r="AC354" s="104"/>
      <c r="AD354" s="104"/>
      <c r="AE354" s="104"/>
      <c r="AF354" s="104"/>
      <c r="AG354" s="104"/>
      <c r="AH354" s="104"/>
      <c r="AI354" s="104"/>
      <c r="AJ354" s="104"/>
      <c r="AK354" s="104"/>
      <c r="AL354" s="104"/>
      <c r="AM354" s="104"/>
      <c r="AN354" s="104"/>
      <c r="AO354" s="104"/>
      <c r="AP354" s="104"/>
      <c r="AQ354" s="104"/>
      <c r="AR354" s="104"/>
      <c r="AS354" s="104"/>
      <c r="AT354" s="104"/>
      <c r="AU354" s="104"/>
      <c r="AV354" s="104"/>
      <c r="AW354" s="104"/>
      <c r="AX354" s="104"/>
      <c r="AY354" s="104"/>
      <c r="AZ354" s="104"/>
      <c r="BA354" s="104"/>
      <c r="BB354" s="104"/>
      <c r="BC354" s="104"/>
      <c r="BD354" s="104"/>
      <c r="BE354" s="104"/>
      <c r="BF354" s="104"/>
      <c r="BG354" s="104"/>
      <c r="BH354" s="104"/>
      <c r="BI354" s="104"/>
      <c r="BJ354" s="104"/>
      <c r="BK354" s="104"/>
      <c r="BL354" s="104"/>
      <c r="BM354" s="104"/>
      <c r="BN354" s="104"/>
      <c r="BO354" s="104"/>
    </row>
    <row r="355" spans="1:67" ht="36" x14ac:dyDescent="0.25">
      <c r="A355" s="104"/>
      <c r="B355" s="104"/>
      <c r="C355" s="104"/>
      <c r="D355" s="104"/>
      <c r="E355" s="104"/>
      <c r="F355" s="104"/>
      <c r="G355" s="104"/>
      <c r="H355" s="104"/>
      <c r="I355" s="104"/>
      <c r="J355" s="104"/>
      <c r="K355" s="104"/>
      <c r="L355" s="104"/>
      <c r="M355" s="104"/>
      <c r="N355" s="104"/>
      <c r="O355" s="104"/>
      <c r="P355" s="104"/>
      <c r="Q355" s="104"/>
      <c r="R355" s="104"/>
      <c r="S355" s="104"/>
      <c r="T355" s="104"/>
      <c r="U355" s="104"/>
      <c r="V355" s="104"/>
      <c r="W355" s="104"/>
      <c r="X355" s="104"/>
      <c r="Y355" s="104"/>
      <c r="Z355" s="104"/>
      <c r="AA355" s="104"/>
      <c r="AB355" s="104"/>
      <c r="AC355" s="104"/>
      <c r="AD355" s="104"/>
      <c r="AE355" s="104"/>
      <c r="AF355" s="104"/>
      <c r="AG355" s="104"/>
      <c r="AH355" s="104"/>
      <c r="AI355" s="104"/>
      <c r="AJ355" s="104"/>
      <c r="AK355" s="104"/>
      <c r="AL355" s="104"/>
      <c r="AM355" s="104"/>
      <c r="AN355" s="104"/>
      <c r="AO355" s="104"/>
      <c r="AP355" s="104"/>
      <c r="AQ355" s="104"/>
      <c r="AR355" s="104"/>
      <c r="AS355" s="104"/>
      <c r="AT355" s="104"/>
      <c r="AU355" s="104"/>
      <c r="AV355" s="104"/>
      <c r="AW355" s="104"/>
      <c r="AX355" s="104"/>
      <c r="AY355" s="104"/>
      <c r="AZ355" s="104"/>
      <c r="BA355" s="104"/>
      <c r="BB355" s="104"/>
      <c r="BC355" s="104"/>
      <c r="BD355" s="104"/>
      <c r="BE355" s="104"/>
      <c r="BF355" s="104"/>
      <c r="BG355" s="104"/>
      <c r="BH355" s="104"/>
      <c r="BI355" s="104"/>
      <c r="BJ355" s="104"/>
      <c r="BK355" s="104"/>
      <c r="BL355" s="104"/>
      <c r="BM355" s="104"/>
      <c r="BN355" s="104"/>
      <c r="BO355" s="104"/>
    </row>
    <row r="356" spans="1:67" ht="36" x14ac:dyDescent="0.25">
      <c r="A356" s="104"/>
      <c r="B356" s="104"/>
      <c r="C356" s="104"/>
      <c r="D356" s="104"/>
      <c r="E356" s="104"/>
      <c r="F356" s="104"/>
      <c r="G356" s="104"/>
      <c r="H356" s="104"/>
      <c r="I356" s="104"/>
      <c r="J356" s="104"/>
      <c r="K356" s="104"/>
      <c r="L356" s="104"/>
      <c r="M356" s="104"/>
      <c r="N356" s="104"/>
      <c r="O356" s="104"/>
      <c r="P356" s="104"/>
      <c r="Q356" s="104"/>
      <c r="R356" s="104"/>
      <c r="S356" s="104"/>
      <c r="T356" s="104"/>
      <c r="U356" s="104"/>
      <c r="V356" s="104"/>
      <c r="W356" s="104"/>
      <c r="X356" s="104"/>
      <c r="Y356" s="104"/>
      <c r="Z356" s="104"/>
      <c r="AA356" s="104"/>
      <c r="AB356" s="104"/>
      <c r="AC356" s="104"/>
      <c r="AD356" s="104"/>
      <c r="AE356" s="104"/>
      <c r="AF356" s="104"/>
      <c r="AG356" s="104"/>
      <c r="AH356" s="104"/>
      <c r="AI356" s="104"/>
      <c r="AJ356" s="104"/>
      <c r="AK356" s="104"/>
      <c r="AL356" s="104"/>
      <c r="AM356" s="104"/>
      <c r="AN356" s="104"/>
      <c r="AO356" s="104"/>
      <c r="AP356" s="104"/>
      <c r="AQ356" s="104"/>
      <c r="AR356" s="104"/>
      <c r="AS356" s="104"/>
      <c r="AT356" s="104"/>
      <c r="AU356" s="104"/>
      <c r="AV356" s="104"/>
      <c r="AW356" s="104"/>
      <c r="AX356" s="104"/>
      <c r="AY356" s="104"/>
      <c r="AZ356" s="104"/>
      <c r="BA356" s="104"/>
      <c r="BB356" s="104"/>
      <c r="BC356" s="104"/>
      <c r="BD356" s="104"/>
      <c r="BE356" s="104"/>
      <c r="BF356" s="104"/>
      <c r="BG356" s="104"/>
      <c r="BH356" s="104"/>
      <c r="BI356" s="104"/>
      <c r="BJ356" s="104"/>
      <c r="BK356" s="104"/>
      <c r="BL356" s="104"/>
      <c r="BM356" s="104"/>
      <c r="BN356" s="104"/>
      <c r="BO356" s="104"/>
    </row>
    <row r="357" spans="1:67" ht="36" x14ac:dyDescent="0.25">
      <c r="A357" s="104"/>
      <c r="B357" s="104"/>
      <c r="C357" s="104"/>
      <c r="D357" s="104"/>
      <c r="E357" s="104"/>
      <c r="F357" s="104"/>
      <c r="G357" s="104"/>
      <c r="H357" s="104"/>
      <c r="I357" s="104"/>
      <c r="J357" s="104"/>
      <c r="K357" s="104"/>
      <c r="L357" s="104"/>
      <c r="M357" s="104"/>
      <c r="N357" s="104"/>
      <c r="O357" s="104"/>
      <c r="P357" s="104"/>
      <c r="Q357" s="104"/>
      <c r="R357" s="104"/>
      <c r="S357" s="104"/>
      <c r="T357" s="104"/>
      <c r="U357" s="104"/>
      <c r="V357" s="104"/>
      <c r="W357" s="104"/>
      <c r="X357" s="104"/>
      <c r="Y357" s="104"/>
      <c r="Z357" s="104"/>
      <c r="AA357" s="104"/>
      <c r="AB357" s="104"/>
      <c r="AC357" s="104"/>
      <c r="AD357" s="104"/>
      <c r="AE357" s="104"/>
      <c r="AF357" s="104"/>
      <c r="AG357" s="104"/>
      <c r="AH357" s="104"/>
      <c r="AI357" s="104"/>
      <c r="AJ357" s="104"/>
      <c r="AK357" s="104"/>
      <c r="AL357" s="104"/>
      <c r="AM357" s="104"/>
      <c r="AN357" s="104"/>
      <c r="AO357" s="104"/>
      <c r="AP357" s="104"/>
      <c r="AQ357" s="104"/>
      <c r="AR357" s="104"/>
      <c r="AS357" s="104"/>
      <c r="AT357" s="104"/>
      <c r="AU357" s="104"/>
      <c r="AV357" s="104"/>
      <c r="AW357" s="104"/>
      <c r="AX357" s="104"/>
      <c r="AY357" s="104"/>
      <c r="AZ357" s="104"/>
      <c r="BA357" s="104"/>
      <c r="BB357" s="104"/>
      <c r="BC357" s="104"/>
      <c r="BD357" s="104"/>
      <c r="BE357" s="104"/>
      <c r="BF357" s="104"/>
      <c r="BG357" s="104"/>
      <c r="BH357" s="104"/>
      <c r="BI357" s="104"/>
      <c r="BJ357" s="104"/>
      <c r="BK357" s="104"/>
      <c r="BL357" s="104"/>
      <c r="BM357" s="104"/>
      <c r="BN357" s="104"/>
      <c r="BO357" s="104"/>
    </row>
    <row r="358" spans="1:67" ht="36" x14ac:dyDescent="0.25">
      <c r="A358" s="104"/>
      <c r="B358" s="104"/>
      <c r="C358" s="104"/>
      <c r="D358" s="104"/>
      <c r="E358" s="104"/>
      <c r="F358" s="104"/>
      <c r="G358" s="104"/>
      <c r="H358" s="104"/>
      <c r="I358" s="104"/>
      <c r="J358" s="104"/>
      <c r="K358" s="104"/>
      <c r="L358" s="104"/>
      <c r="M358" s="104"/>
      <c r="N358" s="104"/>
      <c r="O358" s="104"/>
      <c r="P358" s="104"/>
      <c r="Q358" s="104"/>
      <c r="R358" s="104"/>
      <c r="S358" s="104"/>
      <c r="T358" s="104"/>
      <c r="U358" s="104"/>
      <c r="V358" s="104"/>
      <c r="W358" s="104"/>
      <c r="X358" s="104"/>
      <c r="Y358" s="104"/>
      <c r="Z358" s="104"/>
      <c r="AA358" s="104"/>
      <c r="AB358" s="104"/>
      <c r="AC358" s="104"/>
      <c r="AD358" s="104"/>
      <c r="AE358" s="104"/>
      <c r="AF358" s="104"/>
      <c r="AG358" s="104"/>
      <c r="AH358" s="104"/>
      <c r="AI358" s="104"/>
      <c r="AJ358" s="104"/>
      <c r="AK358" s="104"/>
      <c r="AL358" s="104"/>
      <c r="AM358" s="104"/>
      <c r="AN358" s="104"/>
      <c r="AO358" s="104"/>
      <c r="AP358" s="104"/>
      <c r="AQ358" s="104"/>
      <c r="AR358" s="104"/>
      <c r="AS358" s="104"/>
      <c r="AT358" s="104"/>
      <c r="AU358" s="104"/>
      <c r="AV358" s="104"/>
      <c r="AW358" s="104"/>
      <c r="AX358" s="104"/>
      <c r="AY358" s="104"/>
      <c r="AZ358" s="104"/>
      <c r="BA358" s="104"/>
      <c r="BB358" s="104"/>
      <c r="BC358" s="104"/>
      <c r="BD358" s="104"/>
      <c r="BE358" s="104"/>
      <c r="BF358" s="104"/>
      <c r="BG358" s="104"/>
      <c r="BH358" s="104"/>
      <c r="BI358" s="104"/>
      <c r="BJ358" s="104"/>
      <c r="BK358" s="104"/>
      <c r="BL358" s="104"/>
      <c r="BM358" s="104"/>
      <c r="BN358" s="104"/>
      <c r="BO358" s="104"/>
    </row>
    <row r="359" spans="1:67" ht="36" x14ac:dyDescent="0.25">
      <c r="A359" s="104"/>
      <c r="B359" s="104"/>
      <c r="C359" s="104"/>
      <c r="D359" s="104"/>
      <c r="E359" s="104"/>
      <c r="F359" s="104"/>
      <c r="G359" s="104"/>
      <c r="H359" s="104"/>
      <c r="I359" s="104"/>
      <c r="J359" s="104"/>
      <c r="K359" s="104"/>
      <c r="L359" s="104"/>
      <c r="M359" s="104"/>
      <c r="N359" s="104"/>
      <c r="O359" s="104"/>
      <c r="P359" s="104"/>
      <c r="Q359" s="104"/>
      <c r="R359" s="104"/>
      <c r="S359" s="104"/>
      <c r="T359" s="104"/>
      <c r="U359" s="104"/>
      <c r="V359" s="104"/>
      <c r="W359" s="104"/>
      <c r="X359" s="104"/>
      <c r="Y359" s="104"/>
      <c r="Z359" s="104"/>
      <c r="AA359" s="104"/>
      <c r="AB359" s="104"/>
      <c r="AC359" s="104"/>
      <c r="AD359" s="104"/>
      <c r="AE359" s="104"/>
      <c r="AF359" s="104"/>
      <c r="AG359" s="104"/>
      <c r="AH359" s="104"/>
      <c r="AI359" s="104"/>
      <c r="AJ359" s="104"/>
      <c r="AK359" s="104"/>
      <c r="AL359" s="104"/>
      <c r="AM359" s="104"/>
      <c r="AN359" s="104"/>
      <c r="AO359" s="104"/>
      <c r="AP359" s="104"/>
      <c r="AQ359" s="104"/>
      <c r="AR359" s="104"/>
      <c r="AS359" s="104"/>
      <c r="AT359" s="104"/>
      <c r="AU359" s="104"/>
      <c r="AV359" s="104"/>
      <c r="AW359" s="104"/>
      <c r="AX359" s="104"/>
      <c r="AY359" s="104"/>
      <c r="AZ359" s="104"/>
      <c r="BA359" s="104"/>
      <c r="BB359" s="104"/>
      <c r="BC359" s="104"/>
      <c r="BD359" s="104"/>
      <c r="BE359" s="104"/>
      <c r="BF359" s="104"/>
      <c r="BG359" s="104"/>
      <c r="BH359" s="104"/>
      <c r="BI359" s="104"/>
      <c r="BJ359" s="104"/>
      <c r="BK359" s="104"/>
      <c r="BL359" s="104"/>
      <c r="BM359" s="104"/>
      <c r="BN359" s="104"/>
      <c r="BO359" s="104"/>
    </row>
    <row r="360" spans="1:67" ht="36" x14ac:dyDescent="0.25">
      <c r="A360" s="104"/>
      <c r="B360" s="104"/>
      <c r="C360" s="104"/>
      <c r="D360" s="104"/>
      <c r="E360" s="104"/>
      <c r="F360" s="104"/>
      <c r="G360" s="104"/>
      <c r="H360" s="104"/>
      <c r="I360" s="104"/>
      <c r="J360" s="104"/>
      <c r="K360" s="104"/>
      <c r="L360" s="104"/>
      <c r="M360" s="104"/>
      <c r="N360" s="104"/>
      <c r="O360" s="104"/>
      <c r="P360" s="104"/>
      <c r="Q360" s="104"/>
      <c r="R360" s="104"/>
      <c r="S360" s="104"/>
      <c r="T360" s="104"/>
      <c r="U360" s="104"/>
      <c r="V360" s="104"/>
      <c r="W360" s="104"/>
      <c r="X360" s="104"/>
      <c r="Y360" s="104"/>
      <c r="Z360" s="104"/>
      <c r="AA360" s="104"/>
      <c r="AB360" s="104"/>
      <c r="AC360" s="104"/>
      <c r="AD360" s="104"/>
      <c r="AE360" s="104"/>
      <c r="AF360" s="104"/>
      <c r="AG360" s="104"/>
      <c r="AH360" s="104"/>
      <c r="AI360" s="104"/>
      <c r="AJ360" s="104"/>
      <c r="AK360" s="104"/>
      <c r="AL360" s="104"/>
      <c r="AM360" s="104"/>
      <c r="AN360" s="104"/>
      <c r="AO360" s="104"/>
      <c r="AP360" s="104"/>
      <c r="AQ360" s="104"/>
      <c r="AR360" s="104"/>
      <c r="AS360" s="104"/>
      <c r="AT360" s="104"/>
      <c r="AU360" s="104"/>
      <c r="AV360" s="104"/>
      <c r="AW360" s="104"/>
      <c r="AX360" s="104"/>
      <c r="AY360" s="104"/>
      <c r="AZ360" s="104"/>
      <c r="BA360" s="104"/>
      <c r="BB360" s="104"/>
      <c r="BC360" s="104"/>
      <c r="BD360" s="104"/>
      <c r="BE360" s="104"/>
      <c r="BF360" s="104"/>
      <c r="BG360" s="104"/>
      <c r="BH360" s="104"/>
      <c r="BI360" s="104"/>
      <c r="BJ360" s="104"/>
      <c r="BK360" s="104"/>
      <c r="BL360" s="104"/>
      <c r="BM360" s="104"/>
      <c r="BN360" s="104"/>
      <c r="BO360" s="104"/>
    </row>
    <row r="361" spans="1:67" ht="36" x14ac:dyDescent="0.25">
      <c r="A361" s="104"/>
      <c r="B361" s="104"/>
      <c r="C361" s="104"/>
      <c r="D361" s="104"/>
      <c r="E361" s="104"/>
      <c r="F361" s="104"/>
      <c r="G361" s="104"/>
      <c r="H361" s="104"/>
      <c r="I361" s="104"/>
      <c r="J361" s="104"/>
      <c r="K361" s="104"/>
      <c r="L361" s="104"/>
      <c r="M361" s="104"/>
      <c r="N361" s="104"/>
      <c r="O361" s="104"/>
      <c r="P361" s="104"/>
      <c r="Q361" s="104"/>
      <c r="R361" s="104"/>
      <c r="S361" s="104"/>
      <c r="T361" s="104"/>
      <c r="U361" s="104"/>
      <c r="V361" s="104"/>
      <c r="W361" s="104"/>
      <c r="X361" s="104"/>
      <c r="Y361" s="104"/>
      <c r="Z361" s="104"/>
      <c r="AA361" s="104"/>
      <c r="AB361" s="104"/>
      <c r="AC361" s="104"/>
      <c r="AD361" s="104"/>
      <c r="AE361" s="104"/>
      <c r="AF361" s="104"/>
      <c r="AG361" s="104"/>
      <c r="AH361" s="104"/>
      <c r="AI361" s="104"/>
      <c r="AJ361" s="104"/>
      <c r="AK361" s="104"/>
      <c r="AL361" s="104"/>
      <c r="AM361" s="104"/>
      <c r="AN361" s="104"/>
      <c r="AO361" s="104"/>
      <c r="AP361" s="104"/>
      <c r="AQ361" s="104"/>
      <c r="AR361" s="104"/>
      <c r="AS361" s="104"/>
      <c r="AT361" s="104"/>
      <c r="AU361" s="104"/>
      <c r="AV361" s="104"/>
      <c r="AW361" s="104"/>
      <c r="AX361" s="104"/>
      <c r="AY361" s="104"/>
      <c r="AZ361" s="104"/>
      <c r="BA361" s="104"/>
      <c r="BB361" s="104"/>
      <c r="BC361" s="104"/>
      <c r="BD361" s="104"/>
      <c r="BE361" s="104"/>
      <c r="BF361" s="104"/>
      <c r="BG361" s="104"/>
      <c r="BH361" s="104"/>
      <c r="BI361" s="104"/>
      <c r="BJ361" s="104"/>
      <c r="BK361" s="104"/>
      <c r="BL361" s="104"/>
      <c r="BM361" s="104"/>
      <c r="BN361" s="104"/>
      <c r="BO361" s="104"/>
    </row>
    <row r="362" spans="1:67" ht="36" x14ac:dyDescent="0.25">
      <c r="A362" s="104"/>
      <c r="B362" s="104"/>
      <c r="C362" s="104"/>
      <c r="D362" s="104"/>
      <c r="E362" s="104"/>
      <c r="F362" s="104"/>
      <c r="G362" s="104"/>
      <c r="H362" s="104"/>
      <c r="I362" s="104"/>
      <c r="J362" s="104"/>
      <c r="K362" s="104"/>
      <c r="L362" s="104"/>
      <c r="M362" s="104"/>
      <c r="N362" s="104"/>
      <c r="O362" s="104"/>
      <c r="P362" s="104"/>
      <c r="Q362" s="104"/>
      <c r="R362" s="104"/>
      <c r="S362" s="104"/>
      <c r="T362" s="104"/>
      <c r="U362" s="104"/>
      <c r="V362" s="104"/>
      <c r="W362" s="104"/>
      <c r="X362" s="104"/>
      <c r="Y362" s="104"/>
      <c r="Z362" s="104"/>
      <c r="AA362" s="104"/>
      <c r="AB362" s="104"/>
      <c r="AC362" s="104"/>
      <c r="AD362" s="104"/>
      <c r="AE362" s="104"/>
      <c r="AF362" s="104"/>
      <c r="AG362" s="104"/>
      <c r="AH362" s="104"/>
      <c r="AI362" s="104"/>
      <c r="AJ362" s="104"/>
      <c r="AK362" s="104"/>
      <c r="AL362" s="104"/>
      <c r="AM362" s="104"/>
      <c r="AN362" s="104"/>
      <c r="AO362" s="104"/>
      <c r="AP362" s="104"/>
      <c r="AQ362" s="104"/>
      <c r="AR362" s="104"/>
      <c r="AS362" s="104"/>
      <c r="AT362" s="104"/>
      <c r="AU362" s="104"/>
      <c r="AV362" s="104"/>
      <c r="AW362" s="104"/>
      <c r="AX362" s="104"/>
      <c r="AY362" s="104"/>
      <c r="AZ362" s="104"/>
      <c r="BA362" s="104"/>
      <c r="BB362" s="104"/>
      <c r="BC362" s="104"/>
      <c r="BD362" s="104"/>
      <c r="BE362" s="104"/>
      <c r="BF362" s="104"/>
      <c r="BG362" s="104"/>
      <c r="BH362" s="104"/>
      <c r="BI362" s="104"/>
      <c r="BJ362" s="104"/>
      <c r="BK362" s="104"/>
      <c r="BL362" s="104"/>
      <c r="BM362" s="104"/>
      <c r="BN362" s="104"/>
      <c r="BO362" s="104"/>
    </row>
    <row r="363" spans="1:67" ht="36" x14ac:dyDescent="0.25">
      <c r="A363" s="104"/>
      <c r="B363" s="104"/>
      <c r="C363" s="104"/>
      <c r="D363" s="104"/>
      <c r="E363" s="104"/>
      <c r="F363" s="104"/>
      <c r="G363" s="104"/>
      <c r="H363" s="104"/>
      <c r="I363" s="104"/>
      <c r="J363" s="104"/>
      <c r="K363" s="104"/>
      <c r="L363" s="104"/>
      <c r="M363" s="104"/>
      <c r="N363" s="104"/>
      <c r="O363" s="104"/>
      <c r="P363" s="104"/>
      <c r="Q363" s="104"/>
      <c r="R363" s="104"/>
      <c r="S363" s="104"/>
      <c r="T363" s="104"/>
      <c r="U363" s="104"/>
      <c r="V363" s="104"/>
      <c r="W363" s="104"/>
      <c r="X363" s="104"/>
      <c r="Y363" s="104"/>
      <c r="Z363" s="104"/>
      <c r="AA363" s="104"/>
      <c r="AB363" s="104"/>
      <c r="AC363" s="104"/>
      <c r="AD363" s="104"/>
      <c r="AE363" s="104"/>
      <c r="AF363" s="104"/>
      <c r="AG363" s="104"/>
      <c r="AH363" s="104"/>
      <c r="AI363" s="104"/>
      <c r="AJ363" s="104"/>
      <c r="AK363" s="104"/>
      <c r="AL363" s="104"/>
      <c r="AM363" s="104"/>
      <c r="AN363" s="104"/>
      <c r="AO363" s="104"/>
      <c r="AP363" s="104"/>
      <c r="AQ363" s="104"/>
      <c r="AR363" s="104"/>
      <c r="AS363" s="104"/>
      <c r="AT363" s="104"/>
      <c r="AU363" s="104"/>
      <c r="AV363" s="104"/>
      <c r="AW363" s="104"/>
      <c r="AX363" s="104"/>
      <c r="AY363" s="104"/>
      <c r="AZ363" s="104"/>
      <c r="BA363" s="104"/>
      <c r="BB363" s="104"/>
      <c r="BC363" s="104"/>
      <c r="BD363" s="104"/>
      <c r="BE363" s="104"/>
      <c r="BF363" s="104"/>
      <c r="BG363" s="104"/>
      <c r="BH363" s="104"/>
      <c r="BI363" s="104"/>
      <c r="BJ363" s="104"/>
      <c r="BK363" s="104"/>
      <c r="BL363" s="104"/>
      <c r="BM363" s="104"/>
      <c r="BN363" s="104"/>
      <c r="BO363" s="104"/>
    </row>
    <row r="364" spans="1:67" ht="36" x14ac:dyDescent="0.25">
      <c r="A364" s="104"/>
      <c r="B364" s="104"/>
      <c r="C364" s="104"/>
      <c r="D364" s="104"/>
      <c r="E364" s="104"/>
      <c r="F364" s="104"/>
      <c r="G364" s="104"/>
      <c r="H364" s="104"/>
      <c r="I364" s="104"/>
      <c r="J364" s="104"/>
      <c r="K364" s="104"/>
      <c r="L364" s="104"/>
      <c r="M364" s="104"/>
      <c r="N364" s="104"/>
      <c r="O364" s="104"/>
      <c r="P364" s="104"/>
      <c r="Q364" s="104"/>
      <c r="R364" s="104"/>
      <c r="S364" s="104"/>
      <c r="T364" s="104"/>
      <c r="U364" s="104"/>
      <c r="V364" s="104"/>
      <c r="W364" s="104"/>
      <c r="X364" s="104"/>
      <c r="Y364" s="104"/>
      <c r="Z364" s="104"/>
      <c r="AA364" s="104"/>
      <c r="AB364" s="104"/>
      <c r="AC364" s="104"/>
      <c r="AD364" s="104"/>
      <c r="AE364" s="104"/>
      <c r="AF364" s="104"/>
      <c r="AG364" s="104"/>
      <c r="AH364" s="104"/>
      <c r="AI364" s="104"/>
      <c r="AJ364" s="104"/>
      <c r="AK364" s="104"/>
      <c r="AL364" s="104"/>
      <c r="AM364" s="104"/>
      <c r="AN364" s="104"/>
      <c r="AO364" s="104"/>
      <c r="AP364" s="104"/>
      <c r="AQ364" s="104"/>
      <c r="AR364" s="104"/>
      <c r="AS364" s="104"/>
      <c r="AT364" s="104"/>
      <c r="AU364" s="104"/>
      <c r="AV364" s="104"/>
      <c r="AW364" s="104"/>
      <c r="AX364" s="104"/>
      <c r="AY364" s="104"/>
      <c r="AZ364" s="104"/>
      <c r="BA364" s="104"/>
      <c r="BB364" s="104"/>
      <c r="BC364" s="104"/>
      <c r="BD364" s="104"/>
      <c r="BE364" s="104"/>
      <c r="BF364" s="104"/>
      <c r="BG364" s="104"/>
      <c r="BH364" s="104"/>
      <c r="BI364" s="104"/>
      <c r="BJ364" s="104"/>
      <c r="BK364" s="104"/>
      <c r="BL364" s="104"/>
      <c r="BM364" s="104"/>
      <c r="BN364" s="104"/>
      <c r="BO364" s="104"/>
    </row>
    <row r="365" spans="1:67" ht="36" x14ac:dyDescent="0.25">
      <c r="A365" s="104"/>
      <c r="B365" s="104"/>
      <c r="C365" s="104"/>
      <c r="D365" s="104"/>
      <c r="E365" s="104"/>
      <c r="F365" s="104"/>
      <c r="G365" s="104"/>
      <c r="H365" s="104"/>
      <c r="I365" s="104"/>
      <c r="J365" s="104"/>
      <c r="K365" s="104"/>
      <c r="L365" s="104"/>
      <c r="M365" s="104"/>
      <c r="N365" s="104"/>
      <c r="O365" s="104"/>
      <c r="P365" s="104"/>
      <c r="Q365" s="104"/>
      <c r="R365" s="104"/>
      <c r="S365" s="104"/>
      <c r="T365" s="104"/>
      <c r="U365" s="104"/>
      <c r="V365" s="104"/>
      <c r="W365" s="104"/>
      <c r="X365" s="104"/>
      <c r="Y365" s="104"/>
      <c r="Z365" s="104"/>
      <c r="AA365" s="104"/>
      <c r="AB365" s="104"/>
      <c r="AC365" s="104"/>
      <c r="AD365" s="104"/>
      <c r="AE365" s="104"/>
      <c r="AF365" s="104"/>
      <c r="AG365" s="104"/>
      <c r="AH365" s="104"/>
      <c r="AI365" s="104"/>
      <c r="AJ365" s="104"/>
      <c r="AK365" s="104"/>
      <c r="AL365" s="104"/>
      <c r="AM365" s="104"/>
      <c r="AN365" s="104"/>
      <c r="AO365" s="104"/>
      <c r="AP365" s="104"/>
      <c r="AQ365" s="104"/>
      <c r="AR365" s="104"/>
      <c r="AS365" s="104"/>
      <c r="AT365" s="104"/>
      <c r="AU365" s="104"/>
      <c r="AV365" s="104"/>
      <c r="AW365" s="104"/>
      <c r="AX365" s="104"/>
      <c r="AY365" s="104"/>
      <c r="AZ365" s="104"/>
      <c r="BA365" s="104"/>
      <c r="BB365" s="104"/>
      <c r="BC365" s="104"/>
      <c r="BD365" s="104"/>
      <c r="BE365" s="104"/>
      <c r="BF365" s="104"/>
      <c r="BG365" s="104"/>
      <c r="BH365" s="104"/>
      <c r="BI365" s="104"/>
      <c r="BJ365" s="104"/>
      <c r="BK365" s="104"/>
      <c r="BL365" s="104"/>
      <c r="BM365" s="104"/>
      <c r="BN365" s="104"/>
      <c r="BO365" s="104"/>
    </row>
    <row r="366" spans="1:67" ht="36" x14ac:dyDescent="0.25">
      <c r="A366" s="104"/>
      <c r="B366" s="104"/>
      <c r="C366" s="104"/>
      <c r="D366" s="104"/>
      <c r="E366" s="104"/>
      <c r="F366" s="104"/>
      <c r="G366" s="104"/>
      <c r="H366" s="104"/>
      <c r="I366" s="104"/>
      <c r="J366" s="104"/>
      <c r="K366" s="104"/>
      <c r="L366" s="104"/>
      <c r="M366" s="104"/>
      <c r="N366" s="104"/>
      <c r="O366" s="104"/>
      <c r="P366" s="104"/>
      <c r="Q366" s="104"/>
      <c r="R366" s="104"/>
      <c r="S366" s="104"/>
      <c r="T366" s="104"/>
      <c r="U366" s="104"/>
      <c r="V366" s="104"/>
      <c r="W366" s="104"/>
      <c r="X366" s="104"/>
      <c r="Y366" s="104"/>
      <c r="Z366" s="104"/>
      <c r="AA366" s="104"/>
      <c r="AB366" s="104"/>
      <c r="AC366" s="104"/>
      <c r="AD366" s="104"/>
      <c r="AE366" s="104"/>
      <c r="AF366" s="104"/>
      <c r="AG366" s="104"/>
      <c r="AH366" s="104"/>
      <c r="AI366" s="104"/>
      <c r="AJ366" s="104"/>
      <c r="AK366" s="104"/>
      <c r="AL366" s="104"/>
      <c r="AM366" s="104"/>
      <c r="AN366" s="104"/>
      <c r="AO366" s="104"/>
      <c r="AP366" s="104"/>
      <c r="AQ366" s="104"/>
      <c r="AR366" s="104"/>
      <c r="AS366" s="104"/>
      <c r="AT366" s="104"/>
      <c r="AU366" s="104"/>
      <c r="AV366" s="104"/>
      <c r="AW366" s="104"/>
      <c r="AX366" s="104"/>
      <c r="AY366" s="104"/>
      <c r="AZ366" s="104"/>
      <c r="BA366" s="104"/>
      <c r="BB366" s="104"/>
      <c r="BC366" s="104"/>
      <c r="BD366" s="104"/>
      <c r="BE366" s="104"/>
      <c r="BF366" s="104"/>
      <c r="BG366" s="104"/>
      <c r="BH366" s="104"/>
      <c r="BI366" s="104"/>
      <c r="BJ366" s="104"/>
      <c r="BK366" s="104"/>
      <c r="BL366" s="104"/>
      <c r="BM366" s="104"/>
      <c r="BN366" s="104"/>
      <c r="BO366" s="104"/>
    </row>
    <row r="367" spans="1:67" ht="36" x14ac:dyDescent="0.25">
      <c r="A367" s="104"/>
      <c r="B367" s="104"/>
      <c r="C367" s="104"/>
      <c r="D367" s="104"/>
      <c r="E367" s="104"/>
      <c r="F367" s="104"/>
      <c r="G367" s="104"/>
      <c r="H367" s="104"/>
      <c r="I367" s="104"/>
      <c r="J367" s="104"/>
      <c r="K367" s="104"/>
      <c r="L367" s="104"/>
      <c r="M367" s="104"/>
      <c r="N367" s="104"/>
      <c r="O367" s="104"/>
      <c r="P367" s="104"/>
      <c r="Q367" s="104"/>
      <c r="R367" s="104"/>
      <c r="S367" s="104"/>
      <c r="T367" s="104"/>
      <c r="U367" s="104"/>
      <c r="V367" s="104"/>
      <c r="W367" s="104"/>
      <c r="X367" s="104"/>
      <c r="Y367" s="104"/>
      <c r="Z367" s="104"/>
      <c r="AA367" s="104"/>
      <c r="AB367" s="104"/>
      <c r="AC367" s="104"/>
      <c r="AD367" s="104"/>
      <c r="AE367" s="104"/>
      <c r="AF367" s="104"/>
      <c r="AG367" s="104"/>
      <c r="AH367" s="104"/>
      <c r="AI367" s="104"/>
      <c r="AJ367" s="104"/>
      <c r="AK367" s="104"/>
      <c r="AL367" s="104"/>
      <c r="AM367" s="104"/>
      <c r="AN367" s="104"/>
      <c r="AO367" s="104"/>
      <c r="AP367" s="104"/>
      <c r="AQ367" s="104"/>
      <c r="AR367" s="104"/>
      <c r="AS367" s="104"/>
      <c r="AT367" s="104"/>
      <c r="AU367" s="104"/>
      <c r="AV367" s="104"/>
      <c r="AW367" s="104"/>
      <c r="AX367" s="104"/>
      <c r="AY367" s="104"/>
      <c r="AZ367" s="104"/>
      <c r="BA367" s="104"/>
      <c r="BB367" s="104"/>
      <c r="BC367" s="104"/>
      <c r="BD367" s="104"/>
      <c r="BE367" s="104"/>
      <c r="BF367" s="104"/>
      <c r="BG367" s="104"/>
      <c r="BH367" s="104"/>
      <c r="BI367" s="104"/>
      <c r="BJ367" s="104"/>
      <c r="BK367" s="104"/>
      <c r="BL367" s="104"/>
      <c r="BM367" s="104"/>
      <c r="BN367" s="104"/>
      <c r="BO367" s="104"/>
    </row>
    <row r="368" spans="1:67" ht="36" x14ac:dyDescent="0.25">
      <c r="A368" s="104"/>
      <c r="B368" s="104"/>
      <c r="C368" s="104"/>
      <c r="D368" s="104"/>
      <c r="E368" s="104"/>
      <c r="F368" s="104"/>
      <c r="G368" s="104"/>
      <c r="H368" s="104"/>
      <c r="I368" s="104"/>
      <c r="J368" s="104"/>
      <c r="K368" s="104"/>
      <c r="L368" s="104"/>
      <c r="M368" s="104"/>
      <c r="N368" s="104"/>
      <c r="O368" s="104"/>
      <c r="P368" s="104"/>
      <c r="Q368" s="104"/>
      <c r="R368" s="104"/>
      <c r="S368" s="104"/>
      <c r="T368" s="104"/>
      <c r="U368" s="104"/>
      <c r="V368" s="104"/>
      <c r="W368" s="104"/>
      <c r="X368" s="104"/>
      <c r="Y368" s="104"/>
      <c r="Z368" s="104"/>
      <c r="AA368" s="104"/>
      <c r="AB368" s="104"/>
      <c r="AC368" s="104"/>
      <c r="AD368" s="104"/>
      <c r="AE368" s="104"/>
      <c r="AF368" s="104"/>
      <c r="AG368" s="104"/>
      <c r="AH368" s="104"/>
      <c r="AI368" s="104"/>
      <c r="AJ368" s="104"/>
      <c r="AK368" s="104"/>
      <c r="AL368" s="104"/>
      <c r="AM368" s="104"/>
      <c r="AN368" s="104"/>
      <c r="AO368" s="104"/>
      <c r="AP368" s="104"/>
      <c r="AQ368" s="104"/>
      <c r="AR368" s="104"/>
      <c r="AS368" s="104"/>
      <c r="AT368" s="104"/>
      <c r="AU368" s="104"/>
      <c r="AV368" s="104"/>
      <c r="AW368" s="104"/>
      <c r="AX368" s="104"/>
      <c r="AY368" s="104"/>
      <c r="AZ368" s="104"/>
      <c r="BA368" s="104"/>
      <c r="BB368" s="104"/>
      <c r="BC368" s="104"/>
      <c r="BD368" s="104"/>
      <c r="BE368" s="104"/>
      <c r="BF368" s="104"/>
      <c r="BG368" s="104"/>
      <c r="BH368" s="104"/>
      <c r="BI368" s="104"/>
      <c r="BJ368" s="104"/>
      <c r="BK368" s="104"/>
      <c r="BL368" s="104"/>
      <c r="BM368" s="104"/>
      <c r="BN368" s="104"/>
      <c r="BO368" s="104"/>
    </row>
    <row r="369" spans="1:67" ht="36" x14ac:dyDescent="0.25">
      <c r="A369" s="104"/>
      <c r="B369" s="104"/>
      <c r="C369" s="104"/>
      <c r="D369" s="104"/>
      <c r="E369" s="104"/>
      <c r="F369" s="104"/>
      <c r="G369" s="104"/>
      <c r="H369" s="104"/>
      <c r="I369" s="104"/>
      <c r="J369" s="104"/>
      <c r="K369" s="104"/>
      <c r="L369" s="104"/>
      <c r="M369" s="104"/>
      <c r="N369" s="104"/>
      <c r="O369" s="104"/>
      <c r="P369" s="104"/>
      <c r="Q369" s="104"/>
      <c r="R369" s="104"/>
      <c r="S369" s="104"/>
      <c r="T369" s="104"/>
      <c r="U369" s="104"/>
      <c r="V369" s="104"/>
      <c r="W369" s="104"/>
      <c r="X369" s="104"/>
      <c r="Y369" s="104"/>
      <c r="Z369" s="104"/>
      <c r="AA369" s="104"/>
      <c r="AB369" s="104"/>
      <c r="AC369" s="104"/>
      <c r="AD369" s="104"/>
      <c r="AE369" s="104"/>
      <c r="AF369" s="104"/>
      <c r="AG369" s="104"/>
      <c r="AH369" s="104"/>
      <c r="AI369" s="104"/>
      <c r="AJ369" s="104"/>
      <c r="AK369" s="104"/>
      <c r="AL369" s="104"/>
      <c r="AM369" s="104"/>
      <c r="AN369" s="104"/>
      <c r="AO369" s="104"/>
      <c r="AP369" s="104"/>
      <c r="AQ369" s="104"/>
      <c r="AR369" s="104"/>
      <c r="AS369" s="104"/>
      <c r="AT369" s="104"/>
      <c r="AU369" s="104"/>
      <c r="AV369" s="104"/>
      <c r="AW369" s="104"/>
      <c r="AX369" s="104"/>
      <c r="AY369" s="104"/>
      <c r="AZ369" s="104"/>
      <c r="BA369" s="104"/>
      <c r="BB369" s="104"/>
      <c r="BC369" s="104"/>
      <c r="BD369" s="104"/>
      <c r="BE369" s="104"/>
      <c r="BF369" s="104"/>
      <c r="BG369" s="104"/>
      <c r="BH369" s="104"/>
      <c r="BI369" s="104"/>
      <c r="BJ369" s="104"/>
      <c r="BK369" s="104"/>
      <c r="BL369" s="104"/>
      <c r="BM369" s="104"/>
      <c r="BN369" s="104"/>
      <c r="BO369" s="104"/>
    </row>
    <row r="370" spans="1:67" ht="36" x14ac:dyDescent="0.25">
      <c r="A370" s="104"/>
      <c r="B370" s="104"/>
      <c r="C370" s="104"/>
      <c r="D370" s="104"/>
      <c r="E370" s="104"/>
      <c r="F370" s="104"/>
      <c r="G370" s="104"/>
      <c r="H370" s="104"/>
      <c r="I370" s="104"/>
      <c r="J370" s="104"/>
      <c r="K370" s="104"/>
      <c r="L370" s="104"/>
      <c r="M370" s="104"/>
      <c r="N370" s="104"/>
      <c r="O370" s="104"/>
      <c r="P370" s="104"/>
      <c r="Q370" s="104"/>
      <c r="R370" s="104"/>
      <c r="S370" s="104"/>
      <c r="T370" s="104"/>
      <c r="U370" s="104"/>
      <c r="V370" s="104"/>
      <c r="W370" s="104"/>
      <c r="X370" s="104"/>
      <c r="Y370" s="104"/>
      <c r="Z370" s="104"/>
      <c r="AA370" s="104"/>
      <c r="AB370" s="104"/>
      <c r="AC370" s="104"/>
      <c r="AD370" s="104"/>
      <c r="AE370" s="104"/>
      <c r="AF370" s="104"/>
      <c r="AG370" s="104"/>
      <c r="AH370" s="104"/>
      <c r="AI370" s="104"/>
      <c r="AJ370" s="104"/>
      <c r="AK370" s="104"/>
      <c r="AL370" s="104"/>
      <c r="AM370" s="104"/>
      <c r="AN370" s="104"/>
      <c r="AO370" s="104"/>
      <c r="AP370" s="104"/>
      <c r="AQ370" s="104"/>
      <c r="AR370" s="104"/>
      <c r="AS370" s="104"/>
      <c r="AT370" s="104"/>
      <c r="AU370" s="104"/>
      <c r="AV370" s="104"/>
      <c r="AW370" s="104"/>
      <c r="AX370" s="104"/>
      <c r="AY370" s="104"/>
      <c r="AZ370" s="104"/>
      <c r="BA370" s="104"/>
      <c r="BB370" s="104"/>
      <c r="BC370" s="104"/>
      <c r="BD370" s="104"/>
      <c r="BE370" s="104"/>
      <c r="BF370" s="104"/>
      <c r="BG370" s="104"/>
      <c r="BH370" s="104"/>
      <c r="BI370" s="104"/>
      <c r="BJ370" s="104"/>
      <c r="BK370" s="104"/>
      <c r="BL370" s="104"/>
      <c r="BM370" s="104"/>
      <c r="BN370" s="104"/>
      <c r="BO370" s="104"/>
    </row>
    <row r="371" spans="1:67" ht="36" x14ac:dyDescent="0.25">
      <c r="A371" s="104"/>
      <c r="B371" s="104"/>
      <c r="C371" s="104"/>
      <c r="D371" s="104"/>
      <c r="E371" s="104"/>
      <c r="F371" s="104"/>
      <c r="G371" s="104"/>
      <c r="H371" s="104"/>
      <c r="I371" s="104"/>
      <c r="J371" s="104"/>
      <c r="K371" s="104"/>
      <c r="L371" s="104"/>
      <c r="M371" s="104"/>
      <c r="N371" s="104"/>
      <c r="O371" s="104"/>
      <c r="P371" s="104"/>
      <c r="Q371" s="104"/>
      <c r="R371" s="104"/>
      <c r="S371" s="104"/>
      <c r="T371" s="104"/>
      <c r="U371" s="104"/>
      <c r="V371" s="104"/>
      <c r="W371" s="104"/>
      <c r="X371" s="104"/>
      <c r="Y371" s="104"/>
      <c r="Z371" s="104"/>
      <c r="AA371" s="104"/>
      <c r="AB371" s="104"/>
      <c r="AC371" s="104"/>
      <c r="AD371" s="104"/>
      <c r="AE371" s="104"/>
      <c r="AF371" s="104"/>
      <c r="AG371" s="104"/>
      <c r="AH371" s="104"/>
      <c r="AI371" s="104"/>
      <c r="AJ371" s="104"/>
      <c r="AK371" s="104"/>
      <c r="AL371" s="104"/>
      <c r="AM371" s="104"/>
      <c r="AN371" s="104"/>
      <c r="AO371" s="104"/>
      <c r="AP371" s="104"/>
      <c r="AQ371" s="104"/>
      <c r="AR371" s="104"/>
      <c r="AS371" s="104"/>
      <c r="AT371" s="104"/>
      <c r="AU371" s="104"/>
      <c r="AV371" s="104"/>
      <c r="AW371" s="104"/>
      <c r="AX371" s="104"/>
      <c r="AY371" s="104"/>
      <c r="AZ371" s="104"/>
      <c r="BA371" s="104"/>
      <c r="BB371" s="104"/>
      <c r="BC371" s="104"/>
      <c r="BD371" s="104"/>
      <c r="BE371" s="104"/>
      <c r="BF371" s="104"/>
      <c r="BG371" s="104"/>
      <c r="BH371" s="104"/>
      <c r="BI371" s="104"/>
      <c r="BJ371" s="104"/>
      <c r="BK371" s="104"/>
      <c r="BL371" s="104"/>
      <c r="BM371" s="104"/>
      <c r="BN371" s="104"/>
      <c r="BO371" s="104"/>
    </row>
    <row r="372" spans="1:67" ht="36" x14ac:dyDescent="0.25">
      <c r="A372" s="104"/>
      <c r="B372" s="104"/>
      <c r="C372" s="104"/>
      <c r="D372" s="104"/>
      <c r="E372" s="104"/>
      <c r="F372" s="104"/>
      <c r="G372" s="104"/>
      <c r="H372" s="104"/>
      <c r="I372" s="104"/>
      <c r="J372" s="104"/>
      <c r="K372" s="104"/>
      <c r="L372" s="104"/>
      <c r="M372" s="104"/>
      <c r="N372" s="104"/>
      <c r="O372" s="104"/>
      <c r="P372" s="104"/>
      <c r="Q372" s="104"/>
      <c r="R372" s="104"/>
      <c r="S372" s="104"/>
      <c r="T372" s="104"/>
      <c r="U372" s="104"/>
      <c r="V372" s="104"/>
      <c r="W372" s="104"/>
      <c r="X372" s="104"/>
      <c r="Y372" s="104"/>
      <c r="Z372" s="104"/>
      <c r="AA372" s="104"/>
      <c r="AB372" s="104"/>
      <c r="AC372" s="104"/>
      <c r="AD372" s="104"/>
      <c r="AE372" s="104"/>
      <c r="AF372" s="104"/>
      <c r="AG372" s="104"/>
      <c r="AH372" s="104"/>
      <c r="AI372" s="104"/>
      <c r="AJ372" s="104"/>
      <c r="AK372" s="104"/>
      <c r="AL372" s="104"/>
      <c r="AM372" s="104"/>
      <c r="AN372" s="104"/>
      <c r="AO372" s="104"/>
      <c r="AP372" s="104"/>
      <c r="AQ372" s="104"/>
      <c r="AR372" s="104"/>
      <c r="AS372" s="104"/>
      <c r="AT372" s="104"/>
      <c r="AU372" s="104"/>
      <c r="AV372" s="104"/>
      <c r="AW372" s="104"/>
      <c r="AX372" s="104"/>
      <c r="AY372" s="104"/>
      <c r="AZ372" s="104"/>
      <c r="BA372" s="104"/>
      <c r="BB372" s="104"/>
      <c r="BC372" s="104"/>
      <c r="BD372" s="104"/>
      <c r="BE372" s="104"/>
      <c r="BF372" s="104"/>
      <c r="BG372" s="104"/>
      <c r="BH372" s="104"/>
      <c r="BI372" s="104"/>
      <c r="BJ372" s="104"/>
      <c r="BK372" s="104"/>
      <c r="BL372" s="104"/>
      <c r="BM372" s="104"/>
      <c r="BN372" s="104"/>
      <c r="BO372" s="104"/>
    </row>
  </sheetData>
  <mergeCells count="33">
    <mergeCell ref="B32:E35"/>
    <mergeCell ref="G32:AJ35"/>
    <mergeCell ref="AL32:BO35"/>
    <mergeCell ref="B37:E40"/>
    <mergeCell ref="G37:AJ40"/>
    <mergeCell ref="AL37:BO40"/>
    <mergeCell ref="B57:E60"/>
    <mergeCell ref="G57:AJ60"/>
    <mergeCell ref="AL57:BO60"/>
    <mergeCell ref="B42:E45"/>
    <mergeCell ref="G42:AJ45"/>
    <mergeCell ref="AL42:BO45"/>
    <mergeCell ref="B47:E50"/>
    <mergeCell ref="G47:AJ50"/>
    <mergeCell ref="AL47:BO50"/>
    <mergeCell ref="B52:E55"/>
    <mergeCell ref="G52:AJ55"/>
    <mergeCell ref="AL52:BO55"/>
    <mergeCell ref="B27:E30"/>
    <mergeCell ref="G27:AJ30"/>
    <mergeCell ref="AL27:BO30"/>
    <mergeCell ref="B2:P2"/>
    <mergeCell ref="BL1:BO2"/>
    <mergeCell ref="B17:E20"/>
    <mergeCell ref="G17:AJ20"/>
    <mergeCell ref="AL17:BO20"/>
    <mergeCell ref="G8:AJ15"/>
    <mergeCell ref="AL8:BO15"/>
    <mergeCell ref="N5:AJ5"/>
    <mergeCell ref="AU5:BO5"/>
    <mergeCell ref="B22:E25"/>
    <mergeCell ref="G22:AJ25"/>
    <mergeCell ref="AL22:BO25"/>
  </mergeCells>
  <printOptions horizontalCentered="1" verticalCentered="1"/>
  <pageMargins left="0.05" right="0.05" top="0.39" bottom="0.39" header="0.31" footer="0.31"/>
  <pageSetup paperSize="9" scale="29" orientation="portrait" r:id="rId1"/>
  <headerFooter>
    <oddFooter>&amp;LGolf Workplan Manager V0.1&amp;CMichael Dürr&amp;RCopyright (C) 2015</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K33"/>
  <sheetViews>
    <sheetView workbookViewId="0">
      <pane ySplit="4" topLeftCell="A5" activePane="bottomLeft" state="frozen"/>
      <selection pane="bottomLeft" activeCell="F9" sqref="F9"/>
    </sheetView>
  </sheetViews>
  <sheetFormatPr baseColWidth="10" defaultRowHeight="15" x14ac:dyDescent="0.25"/>
  <cols>
    <col min="1" max="1" width="55.42578125" customWidth="1"/>
    <col min="2" max="2" width="23.28515625" style="1" customWidth="1"/>
    <col min="3" max="3" width="14.42578125" style="1" customWidth="1"/>
    <col min="4" max="6" width="12.28515625" style="1" customWidth="1"/>
    <col min="7" max="7" width="8.28515625" style="1" customWidth="1"/>
    <col min="9" max="9" width="15.140625" bestFit="1" customWidth="1"/>
  </cols>
  <sheetData>
    <row r="1" spans="1:11" ht="36" x14ac:dyDescent="0.25">
      <c r="A1" s="24" t="str">
        <f>MUI_Title</f>
        <v>Golf Workplan Manager</v>
      </c>
      <c r="B1" s="183"/>
      <c r="C1" s="183"/>
      <c r="D1" s="183"/>
      <c r="E1" s="183"/>
      <c r="F1" s="183"/>
      <c r="G1" s="183"/>
      <c r="K1" s="212"/>
    </row>
    <row r="2" spans="1:11" ht="15.75" thickBot="1" x14ac:dyDescent="0.3">
      <c r="A2" s="23" t="str">
        <f>MUI_LIC_Description</f>
        <v>License Manager</v>
      </c>
      <c r="B2" s="183"/>
      <c r="C2" s="183"/>
      <c r="D2" s="183"/>
      <c r="E2" s="183"/>
      <c r="F2" s="183"/>
      <c r="G2" s="183" t="s">
        <v>1680</v>
      </c>
    </row>
    <row r="3" spans="1:11" ht="15.75" thickBot="1" x14ac:dyDescent="0.3">
      <c r="A3" s="194">
        <f>MATCH(LIC_ACTIVE_ROLE,C4:Q4,0)</f>
        <v>4</v>
      </c>
      <c r="B3" s="188" t="s">
        <v>967</v>
      </c>
      <c r="C3" s="184"/>
      <c r="D3" s="189"/>
      <c r="E3" s="189"/>
      <c r="F3" s="184"/>
      <c r="G3" s="189"/>
    </row>
    <row r="4" spans="1:11" ht="15.75" thickBot="1" x14ac:dyDescent="0.3">
      <c r="A4" s="186" t="s">
        <v>34</v>
      </c>
      <c r="B4" s="187" t="s">
        <v>50</v>
      </c>
      <c r="C4" s="190" t="str">
        <f>MUI_LIC_ROLE_DEVELOPMENT</f>
        <v>Development</v>
      </c>
      <c r="D4" s="190" t="str">
        <f>MUI_LIC_ROLE_COACH</f>
        <v>Coach</v>
      </c>
      <c r="E4" s="190" t="str">
        <f>MUI_LIC_ROLE_PLAYER</f>
        <v>Player</v>
      </c>
      <c r="F4" s="190" t="str">
        <f>MUI_LIC_ROLE_DEMO</f>
        <v>Demo</v>
      </c>
      <c r="G4" s="190"/>
    </row>
    <row r="6" spans="1:11" x14ac:dyDescent="0.25">
      <c r="A6" s="182" t="s">
        <v>933</v>
      </c>
      <c r="B6" s="185" t="str">
        <f t="shared" ref="B6:B11" si="0">IFERROR(INDEX($C6:$F6,0,LIC_ACTIVE_ROLE_ID),G6)</f>
        <v>Y</v>
      </c>
      <c r="C6" s="11" t="s">
        <v>928</v>
      </c>
      <c r="D6" s="11" t="s">
        <v>928</v>
      </c>
      <c r="E6" s="11" t="s">
        <v>928</v>
      </c>
      <c r="F6" s="11" t="s">
        <v>928</v>
      </c>
      <c r="G6" s="11" t="s">
        <v>928</v>
      </c>
    </row>
    <row r="7" spans="1:11" x14ac:dyDescent="0.25">
      <c r="A7" s="182" t="s">
        <v>934</v>
      </c>
      <c r="B7" s="185" t="str">
        <f t="shared" si="0"/>
        <v>N</v>
      </c>
      <c r="C7" s="11" t="s">
        <v>928</v>
      </c>
      <c r="D7" s="11" t="s">
        <v>928</v>
      </c>
      <c r="E7" s="11" t="s">
        <v>929</v>
      </c>
      <c r="F7" s="11" t="s">
        <v>929</v>
      </c>
      <c r="G7" s="11" t="s">
        <v>929</v>
      </c>
    </row>
    <row r="8" spans="1:11" x14ac:dyDescent="0.25">
      <c r="A8" s="182" t="s">
        <v>1670</v>
      </c>
      <c r="B8" s="291">
        <f t="shared" si="0"/>
        <v>0</v>
      </c>
      <c r="C8" s="11">
        <v>10000</v>
      </c>
      <c r="D8" s="11">
        <v>50</v>
      </c>
      <c r="E8" s="11">
        <v>1</v>
      </c>
      <c r="F8" s="11">
        <v>0</v>
      </c>
      <c r="G8" s="11">
        <v>0</v>
      </c>
    </row>
    <row r="9" spans="1:11" x14ac:dyDescent="0.25">
      <c r="A9" s="182" t="s">
        <v>1669</v>
      </c>
      <c r="B9" s="185">
        <f t="shared" si="0"/>
        <v>2</v>
      </c>
      <c r="C9" s="11">
        <v>6</v>
      </c>
      <c r="D9" s="11">
        <v>6</v>
      </c>
      <c r="E9" s="11">
        <v>6</v>
      </c>
      <c r="F9" s="11">
        <v>2</v>
      </c>
      <c r="G9" s="11">
        <v>2</v>
      </c>
    </row>
    <row r="10" spans="1:11" x14ac:dyDescent="0.25">
      <c r="A10" s="12" t="s">
        <v>1668</v>
      </c>
      <c r="B10" s="185">
        <f t="shared" si="0"/>
        <v>60</v>
      </c>
      <c r="C10" s="11">
        <v>1000</v>
      </c>
      <c r="D10" s="11">
        <v>60</v>
      </c>
      <c r="E10" s="11">
        <v>60</v>
      </c>
      <c r="F10" s="11">
        <v>60</v>
      </c>
      <c r="G10" s="11">
        <v>60</v>
      </c>
    </row>
    <row r="11" spans="1:11" x14ac:dyDescent="0.25">
      <c r="A11" s="12" t="s">
        <v>1667</v>
      </c>
      <c r="B11" s="287">
        <f t="shared" si="0"/>
        <v>0</v>
      </c>
      <c r="C11" s="11"/>
      <c r="D11" s="11"/>
      <c r="E11" s="11"/>
      <c r="F11" s="11"/>
      <c r="G11" s="11"/>
    </row>
    <row r="12" spans="1:11" x14ac:dyDescent="0.25">
      <c r="A12" s="12" t="s">
        <v>1666</v>
      </c>
      <c r="B12" s="197">
        <v>42272</v>
      </c>
      <c r="C12" s="11"/>
      <c r="D12" s="11"/>
      <c r="E12" s="11"/>
      <c r="F12" s="11"/>
      <c r="G12" s="11"/>
    </row>
    <row r="13" spans="1:11" x14ac:dyDescent="0.25">
      <c r="A13" s="12" t="s">
        <v>1005</v>
      </c>
      <c r="B13" s="288">
        <f t="shared" ref="B13:B33" si="1">IFERROR(INDEX($C13:$F13,0,LIC_ACTIVE_ROLE_ID),G13)</f>
        <v>0</v>
      </c>
      <c r="C13" s="11"/>
      <c r="D13" s="11"/>
      <c r="E13" s="11"/>
      <c r="F13" s="11"/>
      <c r="G13" s="11"/>
    </row>
    <row r="14" spans="1:11" x14ac:dyDescent="0.25">
      <c r="A14" s="12" t="s">
        <v>1634</v>
      </c>
      <c r="B14" s="185" t="b">
        <f t="shared" si="1"/>
        <v>0</v>
      </c>
      <c r="C14" s="11" t="b">
        <v>1</v>
      </c>
      <c r="D14" s="11" t="b">
        <v>1</v>
      </c>
      <c r="E14" s="11" t="b">
        <v>0</v>
      </c>
      <c r="F14" s="11" t="b">
        <v>0</v>
      </c>
      <c r="G14" s="11" t="b">
        <v>0</v>
      </c>
    </row>
    <row r="15" spans="1:11" x14ac:dyDescent="0.25">
      <c r="A15" s="12" t="s">
        <v>1635</v>
      </c>
      <c r="B15" s="185" t="b">
        <f t="shared" si="1"/>
        <v>0</v>
      </c>
      <c r="C15" s="11" t="b">
        <v>1</v>
      </c>
      <c r="D15" s="11" t="b">
        <v>1</v>
      </c>
      <c r="E15" s="11" t="b">
        <v>0</v>
      </c>
      <c r="F15" s="11" t="b">
        <v>0</v>
      </c>
      <c r="G15" s="11" t="b">
        <v>0</v>
      </c>
    </row>
    <row r="16" spans="1:11" x14ac:dyDescent="0.25">
      <c r="A16" s="12" t="s">
        <v>1636</v>
      </c>
      <c r="B16" s="185" t="b">
        <f t="shared" si="1"/>
        <v>0</v>
      </c>
      <c r="C16" s="11" t="b">
        <v>1</v>
      </c>
      <c r="D16" s="11" t="b">
        <v>1</v>
      </c>
      <c r="E16" s="11" t="b">
        <v>0</v>
      </c>
      <c r="F16" s="11" t="b">
        <v>0</v>
      </c>
      <c r="G16" s="11" t="b">
        <v>0</v>
      </c>
    </row>
    <row r="17" spans="1:9" x14ac:dyDescent="0.25">
      <c r="A17" s="12" t="s">
        <v>1632</v>
      </c>
      <c r="B17" s="185" t="b">
        <f t="shared" si="1"/>
        <v>0</v>
      </c>
      <c r="C17" s="11" t="b">
        <v>1</v>
      </c>
      <c r="D17" s="11" t="b">
        <v>0</v>
      </c>
      <c r="E17" s="11" t="b">
        <v>0</v>
      </c>
      <c r="F17" s="11" t="b">
        <v>0</v>
      </c>
      <c r="G17" s="11" t="b">
        <v>0</v>
      </c>
    </row>
    <row r="18" spans="1:9" x14ac:dyDescent="0.25">
      <c r="A18" s="12" t="s">
        <v>1620</v>
      </c>
      <c r="B18" s="185" t="b">
        <f t="shared" si="1"/>
        <v>0</v>
      </c>
      <c r="C18" s="11" t="b">
        <v>1</v>
      </c>
      <c r="D18" s="11" t="b">
        <v>1</v>
      </c>
      <c r="E18" s="11" t="b">
        <v>0</v>
      </c>
      <c r="F18" s="11" t="b">
        <v>0</v>
      </c>
      <c r="G18" s="11" t="b">
        <v>0</v>
      </c>
    </row>
    <row r="19" spans="1:9" x14ac:dyDescent="0.25">
      <c r="A19" s="12" t="s">
        <v>1621</v>
      </c>
      <c r="B19" s="287">
        <f t="shared" si="1"/>
        <v>0</v>
      </c>
      <c r="C19" s="11"/>
      <c r="D19" s="11"/>
      <c r="E19" s="11"/>
      <c r="F19" s="11"/>
      <c r="G19" s="11"/>
      <c r="I19" s="289"/>
    </row>
    <row r="20" spans="1:9" x14ac:dyDescent="0.25">
      <c r="A20" s="12" t="s">
        <v>1622</v>
      </c>
      <c r="B20" s="292">
        <f t="shared" si="1"/>
        <v>0</v>
      </c>
      <c r="C20" s="11"/>
      <c r="D20" s="11"/>
      <c r="E20" s="11"/>
      <c r="F20" s="11"/>
      <c r="G20" s="11"/>
      <c r="I20" s="289"/>
    </row>
    <row r="21" spans="1:9" x14ac:dyDescent="0.25">
      <c r="A21" s="12" t="s">
        <v>1623</v>
      </c>
      <c r="B21" s="290">
        <f t="shared" si="1"/>
        <v>1.0416666666666666E-2</v>
      </c>
      <c r="C21" s="290">
        <v>6.9444444444444441E-3</v>
      </c>
      <c r="D21" s="290">
        <v>0</v>
      </c>
      <c r="E21" s="290">
        <v>0</v>
      </c>
      <c r="F21" s="290">
        <v>1.0416666666666666E-2</v>
      </c>
      <c r="G21" s="290">
        <v>1.0416666666666666E-2</v>
      </c>
      <c r="I21" s="289"/>
    </row>
    <row r="22" spans="1:9" x14ac:dyDescent="0.25">
      <c r="A22" s="12" t="s">
        <v>1624</v>
      </c>
      <c r="B22" s="197">
        <f t="shared" si="1"/>
        <v>0</v>
      </c>
      <c r="C22" s="11"/>
      <c r="D22" s="11"/>
      <c r="E22" s="11"/>
      <c r="F22" s="11"/>
      <c r="G22" s="11"/>
    </row>
    <row r="23" spans="1:9" x14ac:dyDescent="0.25">
      <c r="A23" s="12" t="s">
        <v>1625</v>
      </c>
      <c r="B23" s="293">
        <f t="shared" si="1"/>
        <v>0</v>
      </c>
      <c r="C23" s="11"/>
      <c r="D23" s="11"/>
      <c r="E23" s="11"/>
      <c r="F23" s="11"/>
      <c r="G23" s="11"/>
    </row>
    <row r="24" spans="1:9" x14ac:dyDescent="0.25">
      <c r="A24" s="182" t="s">
        <v>1626</v>
      </c>
      <c r="B24" s="185" t="b">
        <f t="shared" si="1"/>
        <v>0</v>
      </c>
      <c r="C24" s="11" t="b">
        <v>1</v>
      </c>
      <c r="D24" s="11" t="b">
        <v>1</v>
      </c>
      <c r="E24" s="11" t="b">
        <v>0</v>
      </c>
      <c r="F24" s="11" t="b">
        <v>0</v>
      </c>
      <c r="G24" s="11" t="b">
        <v>0</v>
      </c>
    </row>
    <row r="25" spans="1:9" x14ac:dyDescent="0.25">
      <c r="A25" s="12" t="s">
        <v>1627</v>
      </c>
      <c r="B25" s="287">
        <f t="shared" si="1"/>
        <v>0</v>
      </c>
      <c r="C25" s="11"/>
      <c r="D25" s="11"/>
      <c r="E25" s="11"/>
      <c r="F25" s="11"/>
      <c r="G25" s="11"/>
    </row>
    <row r="26" spans="1:9" x14ac:dyDescent="0.25">
      <c r="A26" s="12" t="s">
        <v>1628</v>
      </c>
      <c r="B26" s="292">
        <f t="shared" si="1"/>
        <v>0</v>
      </c>
      <c r="C26" s="11"/>
      <c r="D26" s="11"/>
      <c r="E26" s="11"/>
      <c r="F26" s="11"/>
      <c r="G26" s="11"/>
    </row>
    <row r="27" spans="1:9" x14ac:dyDescent="0.25">
      <c r="A27" s="12" t="s">
        <v>1629</v>
      </c>
      <c r="B27" s="290">
        <f t="shared" si="1"/>
        <v>1.0416666666666666E-2</v>
      </c>
      <c r="C27" s="290">
        <v>6.9444444444444441E-3</v>
      </c>
      <c r="D27" s="290">
        <v>0</v>
      </c>
      <c r="E27" s="290">
        <v>0</v>
      </c>
      <c r="F27" s="290">
        <v>1.0416666666666666E-2</v>
      </c>
      <c r="G27" s="290">
        <v>1.0416666666666666E-2</v>
      </c>
    </row>
    <row r="28" spans="1:9" x14ac:dyDescent="0.25">
      <c r="A28" s="12" t="s">
        <v>1630</v>
      </c>
      <c r="B28" s="197">
        <f t="shared" si="1"/>
        <v>0</v>
      </c>
      <c r="C28" s="11"/>
      <c r="D28" s="11"/>
      <c r="E28" s="11"/>
      <c r="F28" s="11"/>
      <c r="G28" s="11"/>
    </row>
    <row r="29" spans="1:9" x14ac:dyDescent="0.25">
      <c r="A29" s="12" t="s">
        <v>1631</v>
      </c>
      <c r="B29" s="293">
        <f t="shared" si="1"/>
        <v>0</v>
      </c>
      <c r="C29" s="11"/>
      <c r="D29" s="11"/>
      <c r="E29" s="11"/>
      <c r="F29" s="11"/>
      <c r="G29" s="11"/>
    </row>
    <row r="30" spans="1:9" x14ac:dyDescent="0.25">
      <c r="A30" s="12" t="s">
        <v>1673</v>
      </c>
      <c r="B30" s="332">
        <f t="shared" si="1"/>
        <v>0</v>
      </c>
      <c r="C30" s="11"/>
      <c r="D30" s="11"/>
      <c r="E30" s="11"/>
      <c r="F30" s="11"/>
      <c r="G30" s="11"/>
    </row>
    <row r="31" spans="1:9" x14ac:dyDescent="0.25">
      <c r="A31" s="12" t="s">
        <v>1674</v>
      </c>
      <c r="B31" s="185">
        <f t="shared" si="1"/>
        <v>0</v>
      </c>
      <c r="C31" s="11"/>
      <c r="D31" s="11"/>
      <c r="E31" s="11"/>
      <c r="F31" s="11"/>
      <c r="G31" s="11"/>
    </row>
    <row r="32" spans="1:9" x14ac:dyDescent="0.25">
      <c r="A32" s="12" t="s">
        <v>1675</v>
      </c>
      <c r="B32" s="185">
        <f t="shared" si="1"/>
        <v>0</v>
      </c>
      <c r="C32" s="11"/>
      <c r="D32" s="11"/>
      <c r="E32" s="11"/>
      <c r="F32" s="11"/>
      <c r="G32" s="11"/>
    </row>
    <row r="33" spans="1:7" x14ac:dyDescent="0.25">
      <c r="A33" s="12" t="s">
        <v>1679</v>
      </c>
      <c r="B33" s="185" t="b">
        <f t="shared" si="1"/>
        <v>0</v>
      </c>
      <c r="C33" s="11" t="b">
        <v>1</v>
      </c>
      <c r="D33" s="11" t="b">
        <v>1</v>
      </c>
      <c r="E33" s="11" t="b">
        <v>1</v>
      </c>
      <c r="F33" s="11" t="b">
        <v>0</v>
      </c>
      <c r="G33" s="11" t="b">
        <v>0</v>
      </c>
    </row>
  </sheetData>
  <pageMargins left="0.7" right="0.7" top="0.78740157499999996" bottom="0.78740157499999996"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1"/>
  <dimension ref="A1:D31"/>
  <sheetViews>
    <sheetView workbookViewId="0">
      <selection activeCell="B24" sqref="B24"/>
    </sheetView>
  </sheetViews>
  <sheetFormatPr baseColWidth="10" defaultRowHeight="15" x14ac:dyDescent="0.25"/>
  <cols>
    <col min="1" max="1" width="63" customWidth="1"/>
    <col min="2" max="2" width="128.140625" customWidth="1"/>
    <col min="4" max="4" width="46" customWidth="1"/>
  </cols>
  <sheetData>
    <row r="1" spans="1:4" ht="36" x14ac:dyDescent="0.25">
      <c r="A1" s="24" t="s">
        <v>1106</v>
      </c>
      <c r="B1" s="23"/>
      <c r="C1" s="23"/>
      <c r="D1" s="23"/>
    </row>
    <row r="2" spans="1:4" x14ac:dyDescent="0.25">
      <c r="A2" s="23" t="s">
        <v>53</v>
      </c>
      <c r="B2" s="23"/>
      <c r="C2" s="23"/>
      <c r="D2" s="23"/>
    </row>
    <row r="3" spans="1:4" x14ac:dyDescent="0.25">
      <c r="A3" s="199" t="s">
        <v>1023</v>
      </c>
      <c r="B3" s="199"/>
      <c r="C3" s="199"/>
      <c r="D3" s="199"/>
    </row>
    <row r="4" spans="1:4" x14ac:dyDescent="0.25">
      <c r="A4" s="216" t="s">
        <v>1024</v>
      </c>
      <c r="B4" s="314" t="s">
        <v>1232</v>
      </c>
      <c r="D4" s="283" t="s">
        <v>1569</v>
      </c>
    </row>
    <row r="5" spans="1:4" x14ac:dyDescent="0.25">
      <c r="A5" s="216" t="s">
        <v>1020</v>
      </c>
      <c r="B5" s="314"/>
    </row>
    <row r="6" spans="1:4" x14ac:dyDescent="0.25">
      <c r="A6" s="216" t="s">
        <v>1021</v>
      </c>
      <c r="B6" s="314" t="s">
        <v>1682</v>
      </c>
    </row>
    <row r="7" spans="1:4" x14ac:dyDescent="0.25">
      <c r="A7" s="216" t="s">
        <v>1022</v>
      </c>
      <c r="B7" s="314" t="s">
        <v>1683</v>
      </c>
    </row>
    <row r="8" spans="1:4" x14ac:dyDescent="0.25">
      <c r="A8" s="216" t="s">
        <v>1225</v>
      </c>
      <c r="B8" s="331" t="s">
        <v>1671</v>
      </c>
    </row>
    <row r="9" spans="1:4" x14ac:dyDescent="0.25">
      <c r="A9" s="216" t="s">
        <v>1027</v>
      </c>
      <c r="B9" s="331" t="s">
        <v>1684</v>
      </c>
    </row>
    <row r="10" spans="1:4" x14ac:dyDescent="0.25">
      <c r="A10" s="216" t="s">
        <v>1026</v>
      </c>
      <c r="B10" s="331" t="s">
        <v>1685</v>
      </c>
    </row>
    <row r="11" spans="1:4" x14ac:dyDescent="0.25">
      <c r="A11" s="216" t="s">
        <v>1025</v>
      </c>
      <c r="B11" s="331" t="s">
        <v>1686</v>
      </c>
    </row>
    <row r="12" spans="1:4" x14ac:dyDescent="0.25">
      <c r="A12" s="216" t="s">
        <v>1028</v>
      </c>
      <c r="B12" s="314" t="s">
        <v>1692</v>
      </c>
    </row>
    <row r="13" spans="1:4" x14ac:dyDescent="0.25">
      <c r="A13" s="216" t="s">
        <v>1633</v>
      </c>
      <c r="B13" s="314"/>
    </row>
    <row r="14" spans="1:4" x14ac:dyDescent="0.25">
      <c r="A14" s="216" t="s">
        <v>1078</v>
      </c>
      <c r="B14" s="315" t="s">
        <v>1687</v>
      </c>
    </row>
    <row r="15" spans="1:4" x14ac:dyDescent="0.25">
      <c r="A15" s="216" t="s">
        <v>1029</v>
      </c>
      <c r="B15" s="314" t="s">
        <v>1688</v>
      </c>
    </row>
    <row r="16" spans="1:4" x14ac:dyDescent="0.25">
      <c r="A16" s="216" t="s">
        <v>1223</v>
      </c>
      <c r="B16" s="325" t="s">
        <v>967</v>
      </c>
    </row>
    <row r="17" spans="1:2" x14ac:dyDescent="0.25">
      <c r="A17" s="216" t="s">
        <v>1618</v>
      </c>
      <c r="B17" s="316">
        <v>42232</v>
      </c>
    </row>
    <row r="18" spans="1:2" x14ac:dyDescent="0.25">
      <c r="A18" s="216" t="s">
        <v>1619</v>
      </c>
      <c r="B18" s="316">
        <v>42272</v>
      </c>
    </row>
    <row r="19" spans="1:2" x14ac:dyDescent="0.25">
      <c r="A19" s="216" t="s">
        <v>1224</v>
      </c>
      <c r="B19" s="314" t="s">
        <v>1690</v>
      </c>
    </row>
    <row r="20" spans="1:2" x14ac:dyDescent="0.25">
      <c r="A20" s="216" t="s">
        <v>1570</v>
      </c>
      <c r="B20" s="317" t="b">
        <v>1</v>
      </c>
    </row>
    <row r="21" spans="1:2" x14ac:dyDescent="0.25">
      <c r="A21" s="216" t="s">
        <v>1383</v>
      </c>
      <c r="B21" s="314" t="s">
        <v>1689</v>
      </c>
    </row>
    <row r="22" spans="1:2" x14ac:dyDescent="0.25">
      <c r="A22" s="216" t="s">
        <v>1595</v>
      </c>
      <c r="B22" s="314" t="s">
        <v>1691</v>
      </c>
    </row>
    <row r="23" spans="1:2" x14ac:dyDescent="0.25">
      <c r="A23" s="216" t="s">
        <v>1379</v>
      </c>
      <c r="B23" s="314">
        <v>40</v>
      </c>
    </row>
    <row r="24" spans="1:2" x14ac:dyDescent="0.25">
      <c r="A24" s="216" t="s">
        <v>1540</v>
      </c>
      <c r="B24" s="316">
        <v>42292</v>
      </c>
    </row>
    <row r="25" spans="1:2" x14ac:dyDescent="0.25">
      <c r="A25" s="216" t="s">
        <v>1382</v>
      </c>
      <c r="B25" s="314" t="s">
        <v>967</v>
      </c>
    </row>
    <row r="26" spans="1:2" x14ac:dyDescent="0.25">
      <c r="A26" s="216" t="s">
        <v>1568</v>
      </c>
      <c r="B26" s="314" t="s">
        <v>1681</v>
      </c>
    </row>
    <row r="27" spans="1:2" x14ac:dyDescent="0.25">
      <c r="A27" s="216" t="s">
        <v>1380</v>
      </c>
      <c r="B27" s="314" t="s">
        <v>29</v>
      </c>
    </row>
    <row r="28" spans="1:2" x14ac:dyDescent="0.25">
      <c r="A28" s="216" t="s">
        <v>1381</v>
      </c>
      <c r="B28" s="314" t="s">
        <v>29</v>
      </c>
    </row>
    <row r="29" spans="1:2" x14ac:dyDescent="0.25">
      <c r="A29" s="216" t="s">
        <v>1541</v>
      </c>
      <c r="B29" s="314">
        <v>7</v>
      </c>
    </row>
    <row r="30" spans="1:2" x14ac:dyDescent="0.25">
      <c r="A30" s="216" t="s">
        <v>1539</v>
      </c>
      <c r="B30" s="314">
        <v>1001</v>
      </c>
    </row>
    <row r="31" spans="1:2" x14ac:dyDescent="0.25">
      <c r="A31" s="217" t="s">
        <v>1113</v>
      </c>
      <c r="B31" s="317" t="b">
        <v>1</v>
      </c>
    </row>
  </sheetData>
  <pageMargins left="0.7" right="0.7" top="0.78740157499999996" bottom="0.78740157499999996"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GB252"/>
  <sheetViews>
    <sheetView workbookViewId="0">
      <pane xSplit="5" ySplit="6" topLeftCell="F19" activePane="bottomRight" state="frozen"/>
      <selection pane="topRight" activeCell="F1" sqref="F1"/>
      <selection pane="bottomLeft" activeCell="A7" sqref="A7"/>
      <selection pane="bottomRight" activeCell="E26" sqref="E26"/>
    </sheetView>
  </sheetViews>
  <sheetFormatPr baseColWidth="10" defaultColWidth="11.42578125" defaultRowHeight="15" x14ac:dyDescent="0.25"/>
  <cols>
    <col min="1" max="1" width="40.5703125" style="1" customWidth="1"/>
    <col min="2" max="2" width="16.5703125" style="1" customWidth="1"/>
    <col min="3" max="3" width="14" style="167" bestFit="1" customWidth="1"/>
    <col min="4" max="4" width="18.7109375" style="1" customWidth="1"/>
    <col min="5" max="5" width="24" style="1" customWidth="1"/>
    <col min="6" max="6" width="11.42578125" style="1" customWidth="1"/>
    <col min="7" max="7" width="13" style="1" customWidth="1"/>
    <col min="8" max="8" width="14.28515625" style="1" customWidth="1"/>
    <col min="9" max="9" width="22.7109375" style="1" customWidth="1"/>
    <col min="10" max="10" width="34.85546875" style="1" bestFit="1" customWidth="1"/>
    <col min="11" max="20" width="1" style="1" customWidth="1"/>
    <col min="21" max="21" width="16.5703125" style="1" customWidth="1"/>
    <col min="22" max="22" width="14.42578125" style="1" customWidth="1"/>
    <col min="23" max="42" width="7.5703125" style="1" customWidth="1"/>
    <col min="43" max="82" width="11.42578125" style="1" customWidth="1"/>
    <col min="83" max="88" width="11.42578125" style="1"/>
    <col min="89" max="102" width="11.42578125" style="1" customWidth="1"/>
    <col min="103" max="108" width="11.42578125" style="1"/>
    <col min="109" max="122" width="11.42578125" style="1" customWidth="1"/>
    <col min="123" max="123" width="11.85546875" style="1" bestFit="1" customWidth="1"/>
    <col min="124" max="130" width="11.42578125" style="1"/>
    <col min="131" max="131" width="13.140625" style="1" bestFit="1" customWidth="1"/>
    <col min="132" max="182" width="11.42578125" style="1"/>
    <col min="183" max="183" width="17.42578125" style="1" customWidth="1"/>
    <col min="184" max="16384" width="11.42578125" style="1"/>
  </cols>
  <sheetData>
    <row r="1" spans="1:184" ht="36" x14ac:dyDescent="0.25">
      <c r="A1" s="24" t="str">
        <f>MUI_Title</f>
        <v>Golf Workplan Manager</v>
      </c>
      <c r="B1" s="4"/>
      <c r="C1" s="169"/>
      <c r="D1" s="4"/>
      <c r="E1" s="4">
        <f>DBR_START_ROWID_DATA</f>
        <v>7</v>
      </c>
      <c r="F1" s="4">
        <v>1</v>
      </c>
      <c r="G1" s="4"/>
      <c r="H1" s="4"/>
      <c r="I1" s="24"/>
      <c r="J1" s="24"/>
      <c r="K1" s="24"/>
      <c r="L1" s="24"/>
      <c r="M1" s="24"/>
      <c r="N1" s="24"/>
      <c r="O1" s="24"/>
      <c r="P1" s="24"/>
      <c r="Q1" s="24"/>
      <c r="R1" s="24"/>
      <c r="S1" s="24"/>
      <c r="T1" s="24"/>
      <c r="U1" s="24"/>
      <c r="V1" s="24"/>
      <c r="W1" s="4"/>
      <c r="X1" s="4"/>
      <c r="Y1" s="4"/>
      <c r="Z1" s="24"/>
      <c r="AA1" s="4"/>
      <c r="AB1" s="4"/>
      <c r="AC1" s="4"/>
      <c r="AD1" s="24"/>
      <c r="AE1" s="4"/>
      <c r="AF1" s="4"/>
      <c r="AG1" s="4"/>
      <c r="AH1" s="24"/>
      <c r="AI1" s="4"/>
      <c r="AJ1" s="4"/>
      <c r="AK1" s="4"/>
      <c r="AL1" s="24"/>
      <c r="AM1" s="4"/>
      <c r="AN1" s="4"/>
      <c r="AO1" s="4"/>
      <c r="AP1" s="24"/>
      <c r="AQ1" s="4"/>
      <c r="AR1" s="4"/>
      <c r="AS1" s="4"/>
      <c r="AT1" s="24"/>
      <c r="AU1" s="4"/>
      <c r="AV1" s="4"/>
      <c r="AW1" s="4"/>
      <c r="AX1" s="24"/>
      <c r="AY1" s="4"/>
      <c r="AZ1" s="4"/>
      <c r="BA1" s="4"/>
      <c r="BB1" s="24"/>
      <c r="BC1" s="4"/>
      <c r="BD1" s="4"/>
      <c r="BE1" s="4"/>
      <c r="BF1" s="24"/>
      <c r="BG1" s="4"/>
      <c r="BH1" s="4"/>
      <c r="BI1" s="4"/>
      <c r="BJ1" s="24"/>
      <c r="BK1" s="4"/>
      <c r="BL1" s="4"/>
      <c r="BM1" s="4"/>
      <c r="BN1" s="24"/>
      <c r="DE1" s="1" t="e">
        <f>+COCU:(DB)</f>
        <v>#NAME?</v>
      </c>
      <c r="DS1" s="121" t="str">
        <f>MUI_STAT_T_MainTitel_1</f>
        <v>Putting</v>
      </c>
      <c r="DT1" s="121" t="str">
        <f>MUI_STAT_T_MainTitel_2</f>
        <v>Chipping</v>
      </c>
      <c r="DU1" s="121" t="str">
        <f>MUI_STAT_T_MainTitel_3</f>
        <v>Pitching</v>
      </c>
      <c r="DV1" s="121" t="str">
        <f>MUI_STAT_T_MainTitel_4</f>
        <v>Approach Shot</v>
      </c>
      <c r="DW1" s="121" t="str">
        <f>MUI_STAT_T_MainTitel_5</f>
        <v>Wood</v>
      </c>
      <c r="DX1" s="121" t="str">
        <f>MUI_STAT_T_MainTitel_6</f>
        <v>Driver</v>
      </c>
      <c r="DY1" s="121" t="str">
        <f>MUI_STAT_T_MainTitel_7</f>
        <v>Bunker</v>
      </c>
      <c r="DZ1" s="121" t="str">
        <f>MUI_STAT_T_MainTitel_8</f>
        <v>Mental</v>
      </c>
      <c r="EA1" s="121" t="str">
        <f>MUI_STAT_T_MainTitel_9</f>
        <v>Round of Golf</v>
      </c>
      <c r="EB1" s="121" t="e">
        <f>MUI_STAT_T_MainTitel_10</f>
        <v>#NAME?</v>
      </c>
      <c r="EC1" s="121" t="e">
        <f>MUI_STAT_T_MainTitel_11</f>
        <v>#NAME?</v>
      </c>
      <c r="ED1" s="121" t="e">
        <f>MUI_STAT_T_MainTitel_12</f>
        <v>#NAME?</v>
      </c>
      <c r="EE1" s="121" t="e">
        <f>MUI_STAT_T_MainTitel_13</f>
        <v>#NAME?</v>
      </c>
      <c r="EF1" s="121" t="e">
        <f>MUI_STAT_T_MainTitel_14</f>
        <v>#NAME?</v>
      </c>
      <c r="EG1" s="121" t="e">
        <f>MUI_STAT_T_MainTitel_15</f>
        <v>#NAME?</v>
      </c>
      <c r="EH1" s="121" t="e">
        <f>MUI_STAT_T_MainTitel_16</f>
        <v>#NAME?</v>
      </c>
      <c r="EI1" s="121" t="e">
        <f>MUI_STAT_T_MainTitel_17</f>
        <v>#NAME?</v>
      </c>
      <c r="EJ1" s="121" t="e">
        <f>MUI_STAT_T_MainTitel_18</f>
        <v>#NAME?</v>
      </c>
      <c r="EK1" s="121" t="e">
        <f>MUI_STAT_T_MainTitel_19</f>
        <v>#NAME?</v>
      </c>
      <c r="EL1" s="121" t="e">
        <f>MUI_STAT_T_MainTitel_20</f>
        <v>#NAME?</v>
      </c>
      <c r="EM1" s="105" t="str">
        <f>MUI_STAT_T_MainTitel_1</f>
        <v>Putting</v>
      </c>
      <c r="EN1" s="105" t="str">
        <f>MUI_STAT_T_MainTitel_2</f>
        <v>Chipping</v>
      </c>
      <c r="EO1" s="105" t="str">
        <f>MUI_STAT_T_MainTitel_3</f>
        <v>Pitching</v>
      </c>
      <c r="EP1" s="105" t="str">
        <f>MUI_STAT_T_MainTitel_4</f>
        <v>Approach Shot</v>
      </c>
      <c r="EQ1" s="105" t="str">
        <f>MUI_STAT_T_MainTitel_5</f>
        <v>Wood</v>
      </c>
      <c r="ER1" s="105" t="str">
        <f>MUI_STAT_T_MainTitel_6</f>
        <v>Driver</v>
      </c>
      <c r="ES1" s="105" t="str">
        <f>MUI_STAT_T_MainTitel_7</f>
        <v>Bunker</v>
      </c>
      <c r="ET1" s="105" t="str">
        <f>MUI_STAT_T_MainTitel_8</f>
        <v>Mental</v>
      </c>
      <c r="EU1" s="105" t="str">
        <f>MUI_STAT_T_MainTitel_9</f>
        <v>Round of Golf</v>
      </c>
      <c r="EV1" s="105" t="e">
        <f>MUI_STAT_T_MainTitel_10</f>
        <v>#NAME?</v>
      </c>
      <c r="EW1" s="105" t="e">
        <f>MUI_STAT_T_MainTitel_11</f>
        <v>#NAME?</v>
      </c>
      <c r="EX1" s="105" t="e">
        <f>MUI_STAT_T_MainTitel_12</f>
        <v>#NAME?</v>
      </c>
      <c r="EY1" s="105" t="e">
        <f>MUI_STAT_T_MainTitel_13</f>
        <v>#NAME?</v>
      </c>
      <c r="EZ1" s="105" t="e">
        <f>MUI_STAT_T_MainTitel_14</f>
        <v>#NAME?</v>
      </c>
      <c r="FA1" s="105" t="e">
        <f>MUI_STAT_T_MainTitel_15</f>
        <v>#NAME?</v>
      </c>
      <c r="FB1" s="105" t="e">
        <f>MUI_STAT_T_MainTitel_16</f>
        <v>#NAME?</v>
      </c>
      <c r="FC1" s="105" t="e">
        <f>MUI_STAT_T_MainTitel_17</f>
        <v>#NAME?</v>
      </c>
      <c r="FD1" s="105" t="e">
        <f>MUI_STAT_T_MainTitel_18</f>
        <v>#NAME?</v>
      </c>
      <c r="FE1" s="105" t="e">
        <f>MUI_STAT_T_MainTitel_19</f>
        <v>#NAME?</v>
      </c>
      <c r="FF1" s="105" t="e">
        <f>MUI_STAT_T_MainTitel_20</f>
        <v>#NAME?</v>
      </c>
      <c r="FG1" s="125" t="str">
        <f>MUI_STAT_T_MainTitel_1</f>
        <v>Putting</v>
      </c>
      <c r="FH1" s="125" t="str">
        <f>MUI_STAT_T_MainTitel_2</f>
        <v>Chipping</v>
      </c>
      <c r="FI1" s="125" t="str">
        <f>MUI_STAT_T_MainTitel_3</f>
        <v>Pitching</v>
      </c>
      <c r="FJ1" s="125" t="str">
        <f>MUI_STAT_T_MainTitel_4</f>
        <v>Approach Shot</v>
      </c>
      <c r="FK1" s="125" t="str">
        <f>MUI_STAT_T_MainTitel_5</f>
        <v>Wood</v>
      </c>
      <c r="FL1" s="125" t="str">
        <f>MUI_STAT_T_MainTitel_6</f>
        <v>Driver</v>
      </c>
      <c r="FM1" s="125" t="str">
        <f>MUI_STAT_T_MainTitel_7</f>
        <v>Bunker</v>
      </c>
      <c r="FN1" s="125" t="str">
        <f>MUI_STAT_T_MainTitel_8</f>
        <v>Mental</v>
      </c>
      <c r="FO1" s="125" t="str">
        <f>MUI_STAT_T_MainTitel_9</f>
        <v>Round of Golf</v>
      </c>
      <c r="FP1" s="125" t="e">
        <f>MUI_STAT_T_MainTitel_10</f>
        <v>#NAME?</v>
      </c>
      <c r="FQ1" s="125" t="e">
        <f>MUI_STAT_T_MainTitel_11</f>
        <v>#NAME?</v>
      </c>
      <c r="FR1" s="125" t="e">
        <f>MUI_STAT_T_MainTitel_12</f>
        <v>#NAME?</v>
      </c>
      <c r="FS1" s="125" t="e">
        <f>MUI_STAT_T_MainTitel_13</f>
        <v>#NAME?</v>
      </c>
      <c r="FT1" s="125" t="e">
        <f>MUI_STAT_T_MainTitel_14</f>
        <v>#NAME?</v>
      </c>
      <c r="FU1" s="125" t="e">
        <f>MUI_STAT_T_MainTitel_15</f>
        <v>#NAME?</v>
      </c>
      <c r="FV1" s="125" t="e">
        <f>MUI_STAT_T_MainTitel_16</f>
        <v>#NAME?</v>
      </c>
      <c r="FW1" s="125" t="e">
        <f>MUI_STAT_T_MainTitel_17</f>
        <v>#NAME?</v>
      </c>
      <c r="FX1" s="125" t="e">
        <f>MUI_STAT_T_MainTitel_18</f>
        <v>#NAME?</v>
      </c>
      <c r="FY1" s="125" t="e">
        <f>MUI_STAT_T_MainTitel_19</f>
        <v>#NAME?</v>
      </c>
      <c r="FZ1" s="125" t="e">
        <f>MUI_STAT_T_MainTitel_20</f>
        <v>#NAME?</v>
      </c>
      <c r="GA1" s="24"/>
    </row>
    <row r="2" spans="1:184" s="4" customFormat="1" x14ac:dyDescent="0.25">
      <c r="A2" s="5" t="str">
        <f>MUI_DB_Title</f>
        <v>Ergebnis Datenbank</v>
      </c>
      <c r="C2" s="169"/>
    </row>
    <row r="3" spans="1:184" s="4" customFormat="1" x14ac:dyDescent="0.25">
      <c r="A3" s="4">
        <f ca="1">DBR_COLID_WorkplanUID</f>
        <v>1</v>
      </c>
      <c r="B3" s="4">
        <f ca="1">DBR_COLID_WorkplanDate</f>
        <v>2</v>
      </c>
      <c r="C3" s="169">
        <f ca="1">DBR_COLID_WorkplanID</f>
        <v>3</v>
      </c>
      <c r="D3" s="4">
        <f ca="1">DBR_COLID_PlayerID</f>
        <v>4</v>
      </c>
      <c r="E3" s="4">
        <f ca="1">DBR_COLID_PlayerName</f>
        <v>5</v>
      </c>
      <c r="F3" s="4">
        <f ca="1">DBR_COLID_PlayerHCP</f>
        <v>6</v>
      </c>
      <c r="G3" s="4">
        <f ca="1">DBR_COLID_PlayerRoundedHCP</f>
        <v>7</v>
      </c>
      <c r="H3" s="4">
        <f ca="1">DBR_COLID_PlayerResultHCP</f>
        <v>8</v>
      </c>
      <c r="I3" s="4">
        <f ca="1">DBR_COLID_PlayerTeam</f>
        <v>9</v>
      </c>
      <c r="J3" s="4">
        <f ca="1">DBR_COLID_LIC_UserUID</f>
        <v>10</v>
      </c>
      <c r="W3" s="4">
        <f ca="1">DBR_COLID_ExIDs_Planned_Start</f>
        <v>23</v>
      </c>
      <c r="AQ3" s="4">
        <f ca="1">DBR_COLID_ExIDs_Result_Start</f>
        <v>43</v>
      </c>
      <c r="BK3" s="4">
        <f ca="1">DBR_COLID_ExIDs_ResultHCP_Start</f>
        <v>63</v>
      </c>
      <c r="CE3" s="4">
        <f ca="1">DBR_COLID_ExIDs_Topic_Start</f>
        <v>83</v>
      </c>
      <c r="CY3" s="4">
        <f ca="1">DBR_COLID_ExIDs_RealDuration_Start</f>
        <v>103</v>
      </c>
      <c r="DS3" s="4">
        <f ca="1">DBR_COLID_TopicTotalRealDuration_Start</f>
        <v>123</v>
      </c>
      <c r="EM3" s="4">
        <f ca="1">DBR_COLID_TopicHCP_Start</f>
        <v>143</v>
      </c>
      <c r="FG3" s="4">
        <f ca="1">DBR_COLID_TopicCount_Start</f>
        <v>163</v>
      </c>
      <c r="GB3" s="4">
        <f ca="1">DBR_COLID_HashKey</f>
        <v>184</v>
      </c>
    </row>
    <row r="4" spans="1:184" s="2" customFormat="1" x14ac:dyDescent="0.25">
      <c r="A4" s="2" t="s">
        <v>0</v>
      </c>
      <c r="B4" s="2" t="s">
        <v>272</v>
      </c>
      <c r="C4" s="175" t="s">
        <v>273</v>
      </c>
      <c r="D4" s="2" t="s">
        <v>973</v>
      </c>
      <c r="E4" s="2" t="s">
        <v>411</v>
      </c>
      <c r="G4" s="2" t="s">
        <v>336</v>
      </c>
      <c r="BN4" s="2" t="s">
        <v>233</v>
      </c>
    </row>
    <row r="5" spans="1:184" s="2" customFormat="1" ht="15.75" x14ac:dyDescent="0.25">
      <c r="A5" s="3">
        <f>DBR_COUNT</f>
        <v>29</v>
      </c>
      <c r="B5" s="3"/>
      <c r="C5" s="176">
        <f>DBRI_ID</f>
        <v>12</v>
      </c>
      <c r="D5" s="114">
        <f>DBRI_ID</f>
        <v>12</v>
      </c>
      <c r="E5" s="2">
        <f>DBR_COUNT</f>
        <v>29</v>
      </c>
      <c r="G5" s="2">
        <f>DBR_START_ROWID_DATA</f>
        <v>7</v>
      </c>
      <c r="H5" s="2">
        <f>DBR_START_ROWID_DATA</f>
        <v>7</v>
      </c>
      <c r="W5" s="521" t="str">
        <f>MUI_DBR_T_Planned</f>
        <v>PlannedExercise</v>
      </c>
      <c r="X5" s="521"/>
      <c r="Y5" s="521"/>
      <c r="Z5" s="521"/>
      <c r="AA5" s="521"/>
      <c r="AB5" s="521"/>
      <c r="AC5" s="521"/>
      <c r="AD5" s="521"/>
      <c r="AE5" s="521"/>
      <c r="AF5" s="521"/>
      <c r="AG5" s="521"/>
      <c r="AH5" s="521"/>
      <c r="AI5" s="521"/>
      <c r="AJ5" s="521"/>
      <c r="AK5" s="521"/>
      <c r="AL5" s="521"/>
      <c r="AM5" s="521"/>
      <c r="AN5" s="521"/>
      <c r="AO5" s="521"/>
      <c r="AP5" s="521"/>
      <c r="AQ5" s="521" t="str">
        <f>MUI_EX_T_RESULT</f>
        <v>Result</v>
      </c>
      <c r="AR5" s="521"/>
      <c r="AS5" s="521"/>
      <c r="AT5" s="521"/>
      <c r="AU5" s="521"/>
      <c r="AV5" s="521"/>
      <c r="AW5" s="521"/>
      <c r="AX5" s="521"/>
      <c r="AY5" s="521"/>
      <c r="AZ5" s="521"/>
      <c r="BA5" s="521"/>
      <c r="BB5" s="521"/>
      <c r="BC5" s="521"/>
      <c r="BD5" s="521"/>
      <c r="BE5" s="521"/>
      <c r="BF5" s="521"/>
      <c r="BG5" s="521"/>
      <c r="BH5" s="521"/>
      <c r="BI5" s="521"/>
      <c r="BJ5" s="521"/>
      <c r="BK5" s="521" t="str">
        <f>MUI_DBR_T_PlayerResultHCP</f>
        <v>ResultHCP</v>
      </c>
      <c r="BL5" s="521"/>
      <c r="BM5" s="521"/>
      <c r="BN5" s="521"/>
      <c r="BO5" s="521"/>
      <c r="BP5" s="521"/>
      <c r="BQ5" s="521"/>
      <c r="BR5" s="521"/>
      <c r="BS5" s="521"/>
      <c r="BT5" s="521"/>
      <c r="BU5" s="521"/>
      <c r="BV5" s="521"/>
      <c r="BW5" s="521"/>
      <c r="BX5" s="521"/>
      <c r="BY5" s="521"/>
      <c r="BZ5" s="521"/>
      <c r="CA5" s="521"/>
      <c r="CB5" s="521"/>
      <c r="CC5" s="521"/>
      <c r="CD5" s="521"/>
      <c r="CE5" s="521" t="str">
        <f>MUI_DBR_T_ExTopic</f>
        <v>ExerciseTopic</v>
      </c>
      <c r="CF5" s="521"/>
      <c r="CG5" s="521"/>
      <c r="CH5" s="521"/>
      <c r="CI5" s="521"/>
      <c r="CJ5" s="521"/>
      <c r="CK5" s="521"/>
      <c r="CL5" s="521"/>
      <c r="CM5" s="521"/>
      <c r="CN5" s="521"/>
      <c r="CO5" s="521"/>
      <c r="CP5" s="521"/>
      <c r="CQ5" s="521"/>
      <c r="CR5" s="521"/>
      <c r="CS5" s="521"/>
      <c r="CT5" s="521"/>
      <c r="CU5" s="521"/>
      <c r="CV5" s="521"/>
      <c r="CW5" s="521"/>
      <c r="CX5" s="521"/>
      <c r="CY5" s="521" t="str">
        <f>MUI_DBR_T_RealDuration</f>
        <v>RealDuration</v>
      </c>
      <c r="CZ5" s="521"/>
      <c r="DA5" s="521"/>
      <c r="DB5" s="521"/>
      <c r="DC5" s="521"/>
      <c r="DD5" s="521"/>
      <c r="DE5" s="521"/>
      <c r="DF5" s="521"/>
      <c r="DG5" s="521"/>
      <c r="DH5" s="521"/>
      <c r="DI5" s="521"/>
      <c r="DJ5" s="521"/>
      <c r="DK5" s="521"/>
      <c r="DL5" s="521"/>
      <c r="DM5" s="521"/>
      <c r="DN5" s="521"/>
      <c r="DO5" s="521"/>
      <c r="DP5" s="521"/>
      <c r="DQ5" s="521"/>
      <c r="DR5" s="521"/>
      <c r="DS5" s="521" t="str">
        <f>MUI_DBR_P_TopicTotalRealDuration</f>
        <v>TRD_</v>
      </c>
      <c r="DT5" s="521"/>
      <c r="DU5" s="521"/>
      <c r="DV5" s="521"/>
      <c r="DW5" s="521"/>
      <c r="DX5" s="521"/>
      <c r="DY5" s="521"/>
      <c r="DZ5" s="521"/>
      <c r="EA5" s="521"/>
      <c r="EB5" s="521"/>
      <c r="EC5" s="521"/>
      <c r="ED5" s="521"/>
      <c r="EE5" s="521"/>
      <c r="EF5" s="521"/>
      <c r="EG5" s="521"/>
      <c r="EH5" s="521"/>
      <c r="EI5" s="521"/>
      <c r="EJ5" s="521"/>
      <c r="EK5" s="521"/>
      <c r="EL5" s="521"/>
      <c r="EM5" s="521" t="str">
        <f>MUI_DBR_T_TopicHCP</f>
        <v>TopicHCP</v>
      </c>
      <c r="EN5" s="521"/>
      <c r="EO5" s="521"/>
      <c r="EP5" s="521"/>
      <c r="EQ5" s="521"/>
      <c r="ER5" s="521"/>
      <c r="ES5" s="521"/>
      <c r="ET5" s="521"/>
      <c r="EU5" s="521"/>
      <c r="EV5" s="521"/>
      <c r="EW5" s="521"/>
      <c r="EX5" s="521"/>
      <c r="EY5" s="521"/>
      <c r="EZ5" s="521"/>
      <c r="FA5" s="521"/>
      <c r="FB5" s="521"/>
      <c r="FC5" s="521"/>
      <c r="FD5" s="521"/>
      <c r="FE5" s="521"/>
      <c r="FF5" s="521"/>
      <c r="FG5" s="521" t="str">
        <f>MUI_DBR_P_TopicCount</f>
        <v>TCount_</v>
      </c>
      <c r="FH5" s="521"/>
      <c r="FI5" s="521"/>
      <c r="FJ5" s="521"/>
      <c r="FK5" s="521"/>
      <c r="FL5" s="521"/>
      <c r="FM5" s="521"/>
      <c r="FN5" s="521"/>
      <c r="FO5" s="521"/>
      <c r="FP5" s="521"/>
      <c r="FQ5" s="521"/>
      <c r="FR5" s="521"/>
      <c r="FS5" s="521"/>
      <c r="FT5" s="521"/>
      <c r="FU5" s="521"/>
      <c r="FV5" s="521"/>
      <c r="FW5" s="521"/>
      <c r="FX5" s="521"/>
      <c r="FY5" s="521"/>
      <c r="FZ5" s="521"/>
    </row>
    <row r="6" spans="1:184" s="2" customFormat="1" ht="105" x14ac:dyDescent="0.25">
      <c r="A6" s="15" t="str">
        <f>MUI_DBR_T_WorkplanUID</f>
        <v>WorkplanUID</v>
      </c>
      <c r="B6" s="119" t="str">
        <f>MUI_DBR_T_WorkplanDate</f>
        <v>WorkplanDate</v>
      </c>
      <c r="C6" s="177" t="str">
        <f>MUI_DBR_T_WorkplanID</f>
        <v>WPID</v>
      </c>
      <c r="D6" s="119" t="str">
        <f>MUI_DBR_T_PlayerID</f>
        <v>PlayerID</v>
      </c>
      <c r="E6" s="119" t="str">
        <f>MUI_DBR_T_PlayerName</f>
        <v>PlayerName</v>
      </c>
      <c r="F6" s="15" t="str">
        <f>MUI_DBR_T_PlayerHCP</f>
        <v>HCP</v>
      </c>
      <c r="G6" s="15" t="str">
        <f>MUI_DBR_T_PlayerRoundedHCP</f>
        <v>RoundedHCP</v>
      </c>
      <c r="H6" s="15" t="str">
        <f>MUI_DBR_T_PlayerResultHCP</f>
        <v>ResultHCP</v>
      </c>
      <c r="I6" s="15" t="str">
        <f>MUI_DBR_T_PlayerTeam</f>
        <v>PlayerTeam</v>
      </c>
      <c r="J6" s="15" t="str">
        <f>MUI_DBR_T_LIC_UserUID</f>
        <v>UserLicenseUID</v>
      </c>
      <c r="K6" s="15" t="str">
        <f t="shared" ref="K6:T6" si="0">MUI_DBR_T_NOT_USED</f>
        <v xml:space="preserve">NOT USED </v>
      </c>
      <c r="L6" s="15" t="str">
        <f t="shared" si="0"/>
        <v xml:space="preserve">NOT USED </v>
      </c>
      <c r="M6" s="15" t="str">
        <f t="shared" si="0"/>
        <v xml:space="preserve">NOT USED </v>
      </c>
      <c r="N6" s="15" t="str">
        <f t="shared" si="0"/>
        <v xml:space="preserve">NOT USED </v>
      </c>
      <c r="O6" s="15" t="str">
        <f t="shared" si="0"/>
        <v xml:space="preserve">NOT USED </v>
      </c>
      <c r="P6" s="15" t="str">
        <f t="shared" si="0"/>
        <v xml:space="preserve">NOT USED </v>
      </c>
      <c r="Q6" s="15" t="str">
        <f t="shared" si="0"/>
        <v xml:space="preserve">NOT USED </v>
      </c>
      <c r="R6" s="15" t="str">
        <f t="shared" si="0"/>
        <v xml:space="preserve">NOT USED </v>
      </c>
      <c r="S6" s="15" t="str">
        <f t="shared" si="0"/>
        <v xml:space="preserve">NOT USED </v>
      </c>
      <c r="T6" s="15" t="str">
        <f t="shared" si="0"/>
        <v xml:space="preserve">NOT USED </v>
      </c>
      <c r="U6" s="15" t="str">
        <f>MUI_DBR_T_TotalPlannedDuration</f>
        <v>Planned Duration</v>
      </c>
      <c r="V6" s="15" t="str">
        <f>MUI_DBR_T_TotalRealDuration</f>
        <v>TotalReal Duration</v>
      </c>
      <c r="W6" s="3" t="str">
        <f>MUI_DBR_P_ExIDs_Planned &amp;1</f>
        <v>EX_1</v>
      </c>
      <c r="X6" s="3" t="str">
        <f>MUI_DBR_P_ExIDs_Planned &amp;2</f>
        <v>EX_2</v>
      </c>
      <c r="Y6" s="3" t="str">
        <f>MUI_DBR_P_ExIDs_Planned &amp;3</f>
        <v>EX_3</v>
      </c>
      <c r="Z6" s="3" t="str">
        <f>MUI_DBR_P_ExIDs_Planned &amp;4</f>
        <v>EX_4</v>
      </c>
      <c r="AA6" s="3" t="str">
        <f>MUI_DBR_P_ExIDs_Planned &amp;5</f>
        <v>EX_5</v>
      </c>
      <c r="AB6" s="3" t="str">
        <f>MUI_DBR_P_ExIDs_Planned &amp;6</f>
        <v>EX_6</v>
      </c>
      <c r="AC6" s="3" t="str">
        <f>MUI_DBR_P_ExIDs_Planned &amp;7</f>
        <v>EX_7</v>
      </c>
      <c r="AD6" s="3" t="str">
        <f>MUI_DBR_P_ExIDs_Planned &amp;8</f>
        <v>EX_8</v>
      </c>
      <c r="AE6" s="3" t="str">
        <f>MUI_DBR_P_ExIDs_Planned &amp;9</f>
        <v>EX_9</v>
      </c>
      <c r="AF6" s="3" t="str">
        <f>MUI_DBR_P_ExIDs_Planned &amp;10</f>
        <v>EX_10</v>
      </c>
      <c r="AG6" s="3" t="str">
        <f>MUI_DBR_P_ExIDs_Planned &amp;11</f>
        <v>EX_11</v>
      </c>
      <c r="AH6" s="3" t="str">
        <f>MUI_DBR_P_ExIDs_Planned &amp;12</f>
        <v>EX_12</v>
      </c>
      <c r="AI6" s="3" t="str">
        <f>MUI_DBR_P_ExIDs_Planned &amp;13</f>
        <v>EX_13</v>
      </c>
      <c r="AJ6" s="3" t="str">
        <f>MUI_DBR_P_ExIDs_Planned &amp;14</f>
        <v>EX_14</v>
      </c>
      <c r="AK6" s="3" t="str">
        <f>MUI_DBR_P_ExIDs_Planned &amp;15</f>
        <v>EX_15</v>
      </c>
      <c r="AL6" s="3" t="str">
        <f>MUI_DBR_P_ExIDs_Planned &amp;16</f>
        <v>EX_16</v>
      </c>
      <c r="AM6" s="3" t="str">
        <f>MUI_DBR_P_ExIDs_Planned &amp;17</f>
        <v>EX_17</v>
      </c>
      <c r="AN6" s="3" t="str">
        <f>MUI_DBR_P_ExIDs_Planned &amp;18</f>
        <v>EX_18</v>
      </c>
      <c r="AO6" s="3" t="str">
        <f>MUI_DBR_P_ExIDs_Planned &amp;19</f>
        <v>EX_19</v>
      </c>
      <c r="AP6" s="3" t="str">
        <f>MUI_DBR_P_ExIDs_Planned &amp;20</f>
        <v>EX_20</v>
      </c>
      <c r="AQ6" s="67" t="str">
        <f>MUI_DBR_P_ExIDs_Result &amp;1</f>
        <v>EXR_1</v>
      </c>
      <c r="AR6" s="67" t="str">
        <f>MUI_DBR_P_ExIDs_Result &amp;2</f>
        <v>EXR_2</v>
      </c>
      <c r="AS6" s="67" t="str">
        <f>MUI_DBR_P_ExIDs_Result &amp;3</f>
        <v>EXR_3</v>
      </c>
      <c r="AT6" s="67" t="str">
        <f>MUI_DBR_P_ExIDs_Result &amp;4</f>
        <v>EXR_4</v>
      </c>
      <c r="AU6" s="67" t="str">
        <f>MUI_DBR_P_ExIDs_Result &amp;5</f>
        <v>EXR_5</v>
      </c>
      <c r="AV6" s="67" t="str">
        <f>MUI_DBR_P_ExIDs_Result &amp;6</f>
        <v>EXR_6</v>
      </c>
      <c r="AW6" s="67" t="str">
        <f>MUI_DBR_P_ExIDs_Result &amp;7</f>
        <v>EXR_7</v>
      </c>
      <c r="AX6" s="67" t="str">
        <f>MUI_DBR_P_ExIDs_Result &amp;8</f>
        <v>EXR_8</v>
      </c>
      <c r="AY6" s="67" t="str">
        <f>MUI_DBR_P_ExIDs_Result &amp;9</f>
        <v>EXR_9</v>
      </c>
      <c r="AZ6" s="67" t="str">
        <f>MUI_DBR_P_ExIDs_Result &amp;10</f>
        <v>EXR_10</v>
      </c>
      <c r="BA6" s="67" t="str">
        <f>MUI_DBR_P_ExIDs_Result &amp;11</f>
        <v>EXR_11</v>
      </c>
      <c r="BB6" s="67" t="str">
        <f>MUI_DBR_P_ExIDs_Result &amp;12</f>
        <v>EXR_12</v>
      </c>
      <c r="BC6" s="67" t="str">
        <f>MUI_DBR_P_ExIDs_Result &amp;13</f>
        <v>EXR_13</v>
      </c>
      <c r="BD6" s="67" t="str">
        <f>MUI_DBR_P_ExIDs_Result &amp;14</f>
        <v>EXR_14</v>
      </c>
      <c r="BE6" s="67" t="str">
        <f>MUI_DBR_P_ExIDs_Result &amp;15</f>
        <v>EXR_15</v>
      </c>
      <c r="BF6" s="67" t="str">
        <f>MUI_DBR_P_ExIDs_Result &amp;16</f>
        <v>EXR_16</v>
      </c>
      <c r="BG6" s="67" t="str">
        <f>MUI_DBR_P_ExIDs_Result &amp;17</f>
        <v>EXR_17</v>
      </c>
      <c r="BH6" s="67" t="str">
        <f>MUI_DBR_P_ExIDs_Result &amp;18</f>
        <v>EXR_18</v>
      </c>
      <c r="BI6" s="67" t="str">
        <f>MUI_DBR_P_ExIDs_Result &amp;19</f>
        <v>EXR_19</v>
      </c>
      <c r="BJ6" s="67" t="str">
        <f>MUI_DBR_P_ExIDs_Result &amp;20</f>
        <v>EXR_20</v>
      </c>
      <c r="BK6" s="68" t="str">
        <f>MUI_DBR_P_ExIDs_ResultHCP &amp;1</f>
        <v>EXH_1</v>
      </c>
      <c r="BL6" s="68" t="str">
        <f>MUI_DBR_P_ExIDs_ResultHCP &amp;2</f>
        <v>EXH_2</v>
      </c>
      <c r="BM6" s="68" t="str">
        <f>MUI_DBR_P_ExIDs_ResultHCP &amp;3</f>
        <v>EXH_3</v>
      </c>
      <c r="BN6" s="68" t="str">
        <f>MUI_DBR_P_ExIDs_ResultHCP &amp;4</f>
        <v>EXH_4</v>
      </c>
      <c r="BO6" s="68" t="str">
        <f>MUI_DBR_P_ExIDs_ResultHCP &amp;5</f>
        <v>EXH_5</v>
      </c>
      <c r="BP6" s="68" t="str">
        <f>MUI_DBR_P_ExIDs_ResultHCP &amp;6</f>
        <v>EXH_6</v>
      </c>
      <c r="BQ6" s="68" t="str">
        <f>MUI_DBR_P_ExIDs_ResultHCP &amp;7</f>
        <v>EXH_7</v>
      </c>
      <c r="BR6" s="68" t="str">
        <f>MUI_DBR_P_ExIDs_ResultHCP &amp;8</f>
        <v>EXH_8</v>
      </c>
      <c r="BS6" s="68" t="str">
        <f>MUI_DBR_P_ExIDs_ResultHCP &amp;9</f>
        <v>EXH_9</v>
      </c>
      <c r="BT6" s="68" t="str">
        <f>MUI_DBR_P_ExIDs_ResultHCP &amp;10</f>
        <v>EXH_10</v>
      </c>
      <c r="BU6" s="68" t="str">
        <f>MUI_DBR_P_ExIDs_ResultHCP &amp;11</f>
        <v>EXH_11</v>
      </c>
      <c r="BV6" s="68" t="str">
        <f>MUI_DBR_P_ExIDs_ResultHCP &amp;12</f>
        <v>EXH_12</v>
      </c>
      <c r="BW6" s="68" t="str">
        <f>MUI_DBR_P_ExIDs_ResultHCP &amp;13</f>
        <v>EXH_13</v>
      </c>
      <c r="BX6" s="68" t="str">
        <f>MUI_DBR_P_ExIDs_ResultHCP &amp;14</f>
        <v>EXH_14</v>
      </c>
      <c r="BY6" s="68" t="str">
        <f>MUI_DBR_P_ExIDs_ResultHCP &amp;15</f>
        <v>EXH_15</v>
      </c>
      <c r="BZ6" s="68" t="str">
        <f>MUI_DBR_P_ExIDs_ResultHCP &amp;16</f>
        <v>EXH_16</v>
      </c>
      <c r="CA6" s="68" t="str">
        <f>MUI_DBR_P_ExIDs_ResultHCP &amp;17</f>
        <v>EXH_17</v>
      </c>
      <c r="CB6" s="68" t="str">
        <f>MUI_DBR_P_ExIDs_ResultHCP &amp;18</f>
        <v>EXH_18</v>
      </c>
      <c r="CC6" s="68" t="str">
        <f>MUI_DBR_P_ExIDs_ResultHCP &amp;19</f>
        <v>EXH_19</v>
      </c>
      <c r="CD6" s="68" t="str">
        <f>MUI_DBR_P_ExIDs_ResultHCP &amp;20</f>
        <v>EXH_20</v>
      </c>
      <c r="CE6" s="73" t="str">
        <f>MUI_DBR_P_ExIDs_Topic &amp;1</f>
        <v>EXT_1</v>
      </c>
      <c r="CF6" s="73" t="str">
        <f>MUI_DBR_P_ExIDs_Topic &amp;2</f>
        <v>EXT_2</v>
      </c>
      <c r="CG6" s="73" t="str">
        <f>MUI_DBR_P_ExIDs_Topic &amp;3</f>
        <v>EXT_3</v>
      </c>
      <c r="CH6" s="73" t="str">
        <f>MUI_DBR_P_ExIDs_Topic &amp;4</f>
        <v>EXT_4</v>
      </c>
      <c r="CI6" s="73" t="str">
        <f>MUI_DBR_P_ExIDs_Topic &amp;5</f>
        <v>EXT_5</v>
      </c>
      <c r="CJ6" s="73" t="str">
        <f>MUI_DBR_P_ExIDs_Topic &amp;6</f>
        <v>EXT_6</v>
      </c>
      <c r="CK6" s="73" t="str">
        <f>MUI_DBR_P_ExIDs_Topic &amp;7</f>
        <v>EXT_7</v>
      </c>
      <c r="CL6" s="73" t="str">
        <f>MUI_DBR_P_ExIDs_Topic &amp;8</f>
        <v>EXT_8</v>
      </c>
      <c r="CM6" s="73" t="str">
        <f>MUI_DBR_P_ExIDs_Topic &amp;9</f>
        <v>EXT_9</v>
      </c>
      <c r="CN6" s="73" t="str">
        <f>MUI_DBR_P_ExIDs_Topic &amp;10</f>
        <v>EXT_10</v>
      </c>
      <c r="CO6" s="73" t="str">
        <f>MUI_DBR_P_ExIDs_Topic &amp;11</f>
        <v>EXT_11</v>
      </c>
      <c r="CP6" s="73" t="str">
        <f>MUI_DBR_P_ExIDs_Topic &amp;12</f>
        <v>EXT_12</v>
      </c>
      <c r="CQ6" s="73" t="str">
        <f>MUI_DBR_P_ExIDs_Topic &amp;13</f>
        <v>EXT_13</v>
      </c>
      <c r="CR6" s="73" t="str">
        <f>MUI_DBR_P_ExIDs_Topic &amp;14</f>
        <v>EXT_14</v>
      </c>
      <c r="CS6" s="73" t="str">
        <f>MUI_DBR_P_ExIDs_Topic &amp;15</f>
        <v>EXT_15</v>
      </c>
      <c r="CT6" s="73" t="str">
        <f>MUI_DBR_P_ExIDs_Topic &amp;16</f>
        <v>EXT_16</v>
      </c>
      <c r="CU6" s="73" t="str">
        <f>MUI_DBR_P_ExIDs_Topic &amp;17</f>
        <v>EXT_17</v>
      </c>
      <c r="CV6" s="73" t="str">
        <f>MUI_DBR_P_ExIDs_Topic &amp;18</f>
        <v>EXT_18</v>
      </c>
      <c r="CW6" s="73" t="str">
        <f>MUI_DBR_P_ExIDs_Topic &amp;19</f>
        <v>EXT_19</v>
      </c>
      <c r="CX6" s="73" t="str">
        <f>MUI_DBR_P_ExIDs_Topic &amp;20</f>
        <v>EXT_20</v>
      </c>
      <c r="CY6" s="116" t="str">
        <f>MUI_DBR_P_ExIDs_RealDuration &amp;1</f>
        <v>RD_1</v>
      </c>
      <c r="CZ6" s="116" t="str">
        <f>MUI_DBR_P_ExIDs_RealDuration &amp;2</f>
        <v>RD_2</v>
      </c>
      <c r="DA6" s="116" t="str">
        <f>MUI_DBR_P_ExIDs_RealDuration &amp;3</f>
        <v>RD_3</v>
      </c>
      <c r="DB6" s="116" t="str">
        <f>MUI_DBR_P_ExIDs_RealDuration &amp;4</f>
        <v>RD_4</v>
      </c>
      <c r="DC6" s="116" t="str">
        <f>MUI_DBR_P_ExIDs_RealDuration &amp;5</f>
        <v>RD_5</v>
      </c>
      <c r="DD6" s="116" t="str">
        <f>MUI_DBR_P_ExIDs_RealDuration &amp;6</f>
        <v>RD_6</v>
      </c>
      <c r="DE6" s="116" t="str">
        <f>MUI_DBR_P_ExIDs_RealDuration &amp;7</f>
        <v>RD_7</v>
      </c>
      <c r="DF6" s="116" t="str">
        <f>MUI_DBR_P_ExIDs_RealDuration &amp;8</f>
        <v>RD_8</v>
      </c>
      <c r="DG6" s="116" t="str">
        <f>MUI_DBR_P_ExIDs_RealDuration &amp;9</f>
        <v>RD_9</v>
      </c>
      <c r="DH6" s="116" t="str">
        <f>MUI_DBR_P_ExIDs_RealDuration &amp;10</f>
        <v>RD_10</v>
      </c>
      <c r="DI6" s="116" t="str">
        <f>MUI_DBR_P_ExIDs_RealDuration &amp;11</f>
        <v>RD_11</v>
      </c>
      <c r="DJ6" s="116" t="str">
        <f>MUI_DBR_P_ExIDs_RealDuration &amp;12</f>
        <v>RD_12</v>
      </c>
      <c r="DK6" s="116" t="str">
        <f>MUI_DBR_P_ExIDs_RealDuration &amp;13</f>
        <v>RD_13</v>
      </c>
      <c r="DL6" s="116" t="str">
        <f>MUI_DBR_P_ExIDs_RealDuration &amp;14</f>
        <v>RD_14</v>
      </c>
      <c r="DM6" s="116" t="str">
        <f>MUI_DBR_P_ExIDs_RealDuration &amp;15</f>
        <v>RD_15</v>
      </c>
      <c r="DN6" s="116" t="str">
        <f>MUI_DBR_P_ExIDs_RealDuration &amp;16</f>
        <v>RD_16</v>
      </c>
      <c r="DO6" s="116" t="str">
        <f>MUI_DBR_P_ExIDs_RealDuration &amp;17</f>
        <v>RD_17</v>
      </c>
      <c r="DP6" s="116" t="str">
        <f>MUI_DBR_P_ExIDs_RealDuration &amp;18</f>
        <v>RD_18</v>
      </c>
      <c r="DQ6" s="116" t="str">
        <f>MUI_DBR_P_ExIDs_RealDuration &amp;19</f>
        <v>RD_19</v>
      </c>
      <c r="DR6" s="116" t="str">
        <f>MUI_DBR_P_ExIDs_RealDuration &amp;20</f>
        <v>RD_20</v>
      </c>
      <c r="DS6" s="122" t="str">
        <f t="shared" ref="DS6:EL6" si="1">IF(ISERROR(DS1),"",MUI_DBR_P_TopicTotalRealDuration &amp;DS1)</f>
        <v>TRD_Putting</v>
      </c>
      <c r="DT6" s="122" t="str">
        <f t="shared" si="1"/>
        <v>TRD_Chipping</v>
      </c>
      <c r="DU6" s="122" t="str">
        <f t="shared" si="1"/>
        <v>TRD_Pitching</v>
      </c>
      <c r="DV6" s="122" t="str">
        <f t="shared" si="1"/>
        <v>TRD_Approach Shot</v>
      </c>
      <c r="DW6" s="122" t="str">
        <f t="shared" si="1"/>
        <v>TRD_Wood</v>
      </c>
      <c r="DX6" s="122" t="str">
        <f t="shared" si="1"/>
        <v>TRD_Driver</v>
      </c>
      <c r="DY6" s="122" t="str">
        <f t="shared" si="1"/>
        <v>TRD_Bunker</v>
      </c>
      <c r="DZ6" s="122" t="str">
        <f t="shared" si="1"/>
        <v>TRD_Mental</v>
      </c>
      <c r="EA6" s="122" t="str">
        <f t="shared" si="1"/>
        <v>TRD_Round of Golf</v>
      </c>
      <c r="EB6" s="122" t="str">
        <f t="shared" si="1"/>
        <v/>
      </c>
      <c r="EC6" s="122" t="str">
        <f t="shared" si="1"/>
        <v/>
      </c>
      <c r="ED6" s="122" t="str">
        <f t="shared" si="1"/>
        <v/>
      </c>
      <c r="EE6" s="122" t="str">
        <f t="shared" si="1"/>
        <v/>
      </c>
      <c r="EF6" s="122" t="str">
        <f t="shared" si="1"/>
        <v/>
      </c>
      <c r="EG6" s="122" t="str">
        <f t="shared" si="1"/>
        <v/>
      </c>
      <c r="EH6" s="122" t="str">
        <f t="shared" si="1"/>
        <v/>
      </c>
      <c r="EI6" s="122" t="str">
        <f t="shared" si="1"/>
        <v/>
      </c>
      <c r="EJ6" s="122" t="str">
        <f t="shared" si="1"/>
        <v/>
      </c>
      <c r="EK6" s="122" t="str">
        <f t="shared" si="1"/>
        <v/>
      </c>
      <c r="EL6" s="122" t="str">
        <f t="shared" si="1"/>
        <v/>
      </c>
      <c r="EM6" s="124" t="str">
        <f t="shared" ref="EM6:FF6" si="2">IF(ISERROR(EM1),"",MUI_DBR_P_TopicHCP &amp;EM1)</f>
        <v>THCP_Putting</v>
      </c>
      <c r="EN6" s="124" t="str">
        <f t="shared" si="2"/>
        <v>THCP_Chipping</v>
      </c>
      <c r="EO6" s="124" t="str">
        <f t="shared" si="2"/>
        <v>THCP_Pitching</v>
      </c>
      <c r="EP6" s="124" t="str">
        <f t="shared" si="2"/>
        <v>THCP_Approach Shot</v>
      </c>
      <c r="EQ6" s="124" t="str">
        <f t="shared" si="2"/>
        <v>THCP_Wood</v>
      </c>
      <c r="ER6" s="124" t="str">
        <f t="shared" si="2"/>
        <v>THCP_Driver</v>
      </c>
      <c r="ES6" s="124" t="str">
        <f t="shared" si="2"/>
        <v>THCP_Bunker</v>
      </c>
      <c r="ET6" s="124" t="str">
        <f t="shared" si="2"/>
        <v>THCP_Mental</v>
      </c>
      <c r="EU6" s="124" t="str">
        <f t="shared" si="2"/>
        <v>THCP_Round of Golf</v>
      </c>
      <c r="EV6" s="124" t="str">
        <f t="shared" si="2"/>
        <v/>
      </c>
      <c r="EW6" s="124" t="str">
        <f t="shared" si="2"/>
        <v/>
      </c>
      <c r="EX6" s="124" t="str">
        <f t="shared" si="2"/>
        <v/>
      </c>
      <c r="EY6" s="124" t="str">
        <f t="shared" si="2"/>
        <v/>
      </c>
      <c r="EZ6" s="124" t="str">
        <f t="shared" si="2"/>
        <v/>
      </c>
      <c r="FA6" s="124" t="str">
        <f t="shared" si="2"/>
        <v/>
      </c>
      <c r="FB6" s="124" t="str">
        <f t="shared" si="2"/>
        <v/>
      </c>
      <c r="FC6" s="124" t="str">
        <f t="shared" si="2"/>
        <v/>
      </c>
      <c r="FD6" s="124" t="str">
        <f t="shared" si="2"/>
        <v/>
      </c>
      <c r="FE6" s="124" t="str">
        <f t="shared" si="2"/>
        <v/>
      </c>
      <c r="FF6" s="124" t="str">
        <f t="shared" si="2"/>
        <v/>
      </c>
      <c r="FG6" s="127" t="str">
        <f t="shared" ref="FG6:FZ6" si="3">IF(ISERROR(FG1),"",MUI_DBR_P_TopicCount &amp;FG1)</f>
        <v>TCount_Putting</v>
      </c>
      <c r="FH6" s="126" t="str">
        <f t="shared" si="3"/>
        <v>TCount_Chipping</v>
      </c>
      <c r="FI6" s="126" t="str">
        <f t="shared" si="3"/>
        <v>TCount_Pitching</v>
      </c>
      <c r="FJ6" s="126" t="str">
        <f t="shared" si="3"/>
        <v>TCount_Approach Shot</v>
      </c>
      <c r="FK6" s="126" t="str">
        <f t="shared" si="3"/>
        <v>TCount_Wood</v>
      </c>
      <c r="FL6" s="126" t="str">
        <f t="shared" si="3"/>
        <v>TCount_Driver</v>
      </c>
      <c r="FM6" s="126" t="str">
        <f t="shared" si="3"/>
        <v>TCount_Bunker</v>
      </c>
      <c r="FN6" s="126" t="str">
        <f t="shared" si="3"/>
        <v>TCount_Mental</v>
      </c>
      <c r="FO6" s="126" t="str">
        <f t="shared" si="3"/>
        <v>TCount_Round of Golf</v>
      </c>
      <c r="FP6" s="126" t="str">
        <f t="shared" si="3"/>
        <v/>
      </c>
      <c r="FQ6" s="126" t="str">
        <f t="shared" si="3"/>
        <v/>
      </c>
      <c r="FR6" s="126" t="str">
        <f t="shared" si="3"/>
        <v/>
      </c>
      <c r="FS6" s="126" t="str">
        <f t="shared" si="3"/>
        <v/>
      </c>
      <c r="FT6" s="126" t="str">
        <f t="shared" si="3"/>
        <v/>
      </c>
      <c r="FU6" s="126" t="str">
        <f t="shared" si="3"/>
        <v/>
      </c>
      <c r="FV6" s="126" t="str">
        <f t="shared" si="3"/>
        <v/>
      </c>
      <c r="FW6" s="126" t="str">
        <f t="shared" si="3"/>
        <v/>
      </c>
      <c r="FX6" s="126" t="str">
        <f t="shared" si="3"/>
        <v/>
      </c>
      <c r="FY6" s="126" t="str">
        <f t="shared" si="3"/>
        <v/>
      </c>
      <c r="FZ6" s="126" t="str">
        <f t="shared" si="3"/>
        <v/>
      </c>
      <c r="GA6" s="15" t="str">
        <f>MUI_DBR_T_UpdateStamp</f>
        <v>UpdateStamp</v>
      </c>
      <c r="GB6" s="15" t="str">
        <f>MUI_DBR_T_HashKey</f>
        <v>HashKey</v>
      </c>
    </row>
    <row r="7" spans="1:184" x14ac:dyDescent="0.25">
      <c r="A7" s="318" t="s">
        <v>1414</v>
      </c>
      <c r="B7" s="320" t="s">
        <v>1544</v>
      </c>
      <c r="C7" s="319">
        <v>1</v>
      </c>
      <c r="D7" s="1" t="s">
        <v>1238</v>
      </c>
      <c r="E7" s="1" t="s">
        <v>1232</v>
      </c>
      <c r="F7" s="1">
        <v>-5</v>
      </c>
      <c r="G7" s="1">
        <v>-5</v>
      </c>
      <c r="H7" s="1" t="s">
        <v>1387</v>
      </c>
      <c r="J7" s="1" t="s">
        <v>1378</v>
      </c>
      <c r="U7" s="1">
        <v>45</v>
      </c>
      <c r="V7" s="1">
        <v>45</v>
      </c>
      <c r="W7" s="1">
        <v>2044</v>
      </c>
      <c r="X7" s="1">
        <v>1005</v>
      </c>
      <c r="Y7" s="1">
        <v>1005</v>
      </c>
      <c r="Z7" s="1">
        <v>5000</v>
      </c>
      <c r="AA7" s="1">
        <v>2058</v>
      </c>
      <c r="AB7" s="1">
        <v>1002</v>
      </c>
      <c r="AQ7" s="1">
        <v>15</v>
      </c>
      <c r="AR7" s="1">
        <v>7</v>
      </c>
      <c r="AS7" s="1">
        <v>6</v>
      </c>
      <c r="AT7" s="1">
        <v>10</v>
      </c>
      <c r="AU7" s="1">
        <v>11</v>
      </c>
      <c r="AV7" s="1">
        <v>9</v>
      </c>
      <c r="BK7" s="1">
        <v>-20</v>
      </c>
      <c r="BL7" s="1">
        <v>-8</v>
      </c>
      <c r="BM7" s="1">
        <v>3</v>
      </c>
      <c r="BN7" s="1">
        <v>-13</v>
      </c>
      <c r="BO7" s="1">
        <v>-8</v>
      </c>
      <c r="BP7" s="1">
        <v>0</v>
      </c>
      <c r="CE7" s="1" t="s">
        <v>7</v>
      </c>
      <c r="CF7" s="1" t="s">
        <v>412</v>
      </c>
      <c r="CG7" s="1" t="s">
        <v>412</v>
      </c>
      <c r="CH7" s="1" t="s">
        <v>1177</v>
      </c>
      <c r="CI7" s="1" t="s">
        <v>7</v>
      </c>
      <c r="CJ7" s="1" t="s">
        <v>249</v>
      </c>
      <c r="CY7" s="1">
        <v>10</v>
      </c>
      <c r="CZ7" s="1">
        <v>5</v>
      </c>
      <c r="DA7" s="1">
        <v>5</v>
      </c>
      <c r="DB7" s="1">
        <v>10</v>
      </c>
      <c r="DC7" s="1">
        <v>10</v>
      </c>
      <c r="DD7" s="1">
        <v>5</v>
      </c>
      <c r="DS7" s="1">
        <v>20</v>
      </c>
      <c r="DT7" s="1">
        <v>0</v>
      </c>
      <c r="DU7" s="1">
        <v>10</v>
      </c>
      <c r="DV7" s="1">
        <v>10</v>
      </c>
      <c r="DW7" s="1">
        <v>0</v>
      </c>
      <c r="DX7" s="1">
        <v>0</v>
      </c>
      <c r="DY7" s="1">
        <v>5</v>
      </c>
      <c r="DZ7" s="1">
        <v>0</v>
      </c>
      <c r="EA7" s="1">
        <v>0</v>
      </c>
      <c r="EB7" s="1">
        <v>0</v>
      </c>
      <c r="EC7" s="1">
        <v>0</v>
      </c>
      <c r="ED7" s="1">
        <v>0</v>
      </c>
      <c r="EE7" s="1">
        <v>0</v>
      </c>
      <c r="EF7" s="1">
        <v>0</v>
      </c>
      <c r="EG7" s="1">
        <v>0</v>
      </c>
      <c r="EH7" s="1">
        <v>0</v>
      </c>
      <c r="EI7" s="1">
        <v>0</v>
      </c>
      <c r="EJ7" s="1">
        <v>0</v>
      </c>
      <c r="EK7" s="1">
        <v>0</v>
      </c>
      <c r="EL7" s="1">
        <v>0</v>
      </c>
      <c r="EM7" s="1">
        <v>-28</v>
      </c>
      <c r="EO7" s="1">
        <v>-5</v>
      </c>
      <c r="EP7" s="1">
        <v>-13</v>
      </c>
      <c r="ES7" s="1">
        <v>0</v>
      </c>
      <c r="FG7" s="1">
        <v>2</v>
      </c>
      <c r="FH7" s="1">
        <v>0</v>
      </c>
      <c r="FI7" s="1">
        <v>2</v>
      </c>
      <c r="FJ7" s="1">
        <v>1</v>
      </c>
      <c r="FK7" s="1">
        <v>0</v>
      </c>
      <c r="FL7" s="1">
        <v>0</v>
      </c>
      <c r="FM7" s="1">
        <v>1</v>
      </c>
      <c r="FN7" s="1">
        <v>0</v>
      </c>
      <c r="FO7" s="1">
        <v>0</v>
      </c>
      <c r="GA7" s="1" t="s">
        <v>1388</v>
      </c>
      <c r="GB7" s="1">
        <v>45193</v>
      </c>
    </row>
    <row r="8" spans="1:184" x14ac:dyDescent="0.25">
      <c r="A8" s="1" t="s">
        <v>1415</v>
      </c>
      <c r="B8" s="320" t="s">
        <v>1545</v>
      </c>
      <c r="C8" s="319">
        <v>2</v>
      </c>
      <c r="D8" s="1" t="s">
        <v>1238</v>
      </c>
      <c r="E8" s="1" t="s">
        <v>1232</v>
      </c>
      <c r="F8" s="1">
        <v>-5</v>
      </c>
      <c r="G8" s="1">
        <v>-5</v>
      </c>
      <c r="H8" s="1" t="s">
        <v>1387</v>
      </c>
      <c r="J8" s="1" t="s">
        <v>1378</v>
      </c>
      <c r="U8" s="1">
        <v>45</v>
      </c>
      <c r="V8" s="1">
        <v>45</v>
      </c>
      <c r="W8" s="1">
        <v>2044</v>
      </c>
      <c r="X8" s="1">
        <v>1005</v>
      </c>
      <c r="Y8" s="1">
        <v>1005</v>
      </c>
      <c r="Z8" s="1">
        <v>5000</v>
      </c>
      <c r="AA8" s="1">
        <v>2058</v>
      </c>
      <c r="AB8" s="1">
        <v>1002</v>
      </c>
      <c r="AQ8" s="1">
        <v>14</v>
      </c>
      <c r="AR8" s="1">
        <v>8</v>
      </c>
      <c r="AS8" s="1">
        <v>7</v>
      </c>
      <c r="AT8" s="1">
        <v>11</v>
      </c>
      <c r="AU8" s="1">
        <v>12</v>
      </c>
      <c r="AV8" s="1">
        <v>9</v>
      </c>
      <c r="BK8" s="1">
        <v>-13</v>
      </c>
      <c r="BL8" s="1">
        <v>4</v>
      </c>
      <c r="BM8" s="1">
        <v>-8</v>
      </c>
      <c r="BN8" s="1">
        <v>-18</v>
      </c>
      <c r="BO8" s="1">
        <v>-9</v>
      </c>
      <c r="BP8" s="1">
        <v>0</v>
      </c>
      <c r="CE8" s="1" t="s">
        <v>7</v>
      </c>
      <c r="CF8" s="1" t="s">
        <v>412</v>
      </c>
      <c r="CG8" s="1" t="s">
        <v>412</v>
      </c>
      <c r="CH8" s="1" t="s">
        <v>1177</v>
      </c>
      <c r="CI8" s="1" t="s">
        <v>7</v>
      </c>
      <c r="CJ8" s="1" t="s">
        <v>249</v>
      </c>
      <c r="CY8" s="1">
        <v>10</v>
      </c>
      <c r="CZ8" s="1">
        <v>5</v>
      </c>
      <c r="DA8" s="1">
        <v>5</v>
      </c>
      <c r="DB8" s="1">
        <v>10</v>
      </c>
      <c r="DC8" s="1">
        <v>10</v>
      </c>
      <c r="DD8" s="1">
        <v>5</v>
      </c>
      <c r="DS8" s="1">
        <v>20</v>
      </c>
      <c r="DT8" s="1">
        <v>0</v>
      </c>
      <c r="DU8" s="1">
        <v>10</v>
      </c>
      <c r="DV8" s="1">
        <v>10</v>
      </c>
      <c r="DW8" s="1">
        <v>0</v>
      </c>
      <c r="DX8" s="1">
        <v>0</v>
      </c>
      <c r="DY8" s="1">
        <v>5</v>
      </c>
      <c r="DZ8" s="1">
        <v>0</v>
      </c>
      <c r="EA8" s="1">
        <v>0</v>
      </c>
      <c r="EB8" s="1">
        <v>0</v>
      </c>
      <c r="EC8" s="1">
        <v>0</v>
      </c>
      <c r="ED8" s="1">
        <v>0</v>
      </c>
      <c r="EE8" s="1">
        <v>0</v>
      </c>
      <c r="EF8" s="1">
        <v>0</v>
      </c>
      <c r="EG8" s="1">
        <v>0</v>
      </c>
      <c r="EH8" s="1">
        <v>0</v>
      </c>
      <c r="EI8" s="1">
        <v>0</v>
      </c>
      <c r="EJ8" s="1">
        <v>0</v>
      </c>
      <c r="EK8" s="1">
        <v>0</v>
      </c>
      <c r="EL8" s="1">
        <v>0</v>
      </c>
      <c r="EM8" s="1">
        <v>-22</v>
      </c>
      <c r="EO8" s="1">
        <v>-4</v>
      </c>
      <c r="EP8" s="1">
        <v>-18</v>
      </c>
      <c r="ES8" s="1">
        <v>0</v>
      </c>
      <c r="FG8" s="1">
        <v>2</v>
      </c>
      <c r="FH8" s="1">
        <v>0</v>
      </c>
      <c r="FI8" s="1">
        <v>2</v>
      </c>
      <c r="FJ8" s="1">
        <v>1</v>
      </c>
      <c r="FK8" s="1">
        <v>0</v>
      </c>
      <c r="FL8" s="1">
        <v>0</v>
      </c>
      <c r="FM8" s="1">
        <v>1</v>
      </c>
      <c r="FN8" s="1">
        <v>0</v>
      </c>
      <c r="FO8" s="1">
        <v>0</v>
      </c>
      <c r="GA8" s="1" t="s">
        <v>1389</v>
      </c>
      <c r="GB8" s="1">
        <v>846</v>
      </c>
    </row>
    <row r="9" spans="1:184" x14ac:dyDescent="0.25">
      <c r="A9" s="1" t="s">
        <v>1416</v>
      </c>
      <c r="B9" s="321" t="s">
        <v>1537</v>
      </c>
      <c r="C9" s="319">
        <v>3</v>
      </c>
      <c r="D9" s="1" t="s">
        <v>1238</v>
      </c>
      <c r="E9" s="1" t="s">
        <v>1232</v>
      </c>
      <c r="F9" s="1">
        <v>-5</v>
      </c>
      <c r="G9" s="1">
        <v>-5</v>
      </c>
      <c r="H9" s="1" t="s">
        <v>1387</v>
      </c>
      <c r="J9" s="1" t="s">
        <v>1572</v>
      </c>
      <c r="U9" s="1">
        <v>20</v>
      </c>
      <c r="V9" s="1">
        <v>20</v>
      </c>
      <c r="W9" s="1">
        <v>2044</v>
      </c>
      <c r="X9" s="1">
        <v>1005</v>
      </c>
      <c r="Y9" s="1">
        <v>1005</v>
      </c>
      <c r="AQ9" s="1">
        <v>13</v>
      </c>
      <c r="AR9" s="1">
        <v>9</v>
      </c>
      <c r="AS9" s="1">
        <v>8</v>
      </c>
      <c r="BK9" s="1">
        <v>-6</v>
      </c>
      <c r="BL9" s="1">
        <v>-4</v>
      </c>
      <c r="BM9" s="1">
        <v>-6</v>
      </c>
      <c r="CE9" s="1" t="s">
        <v>7</v>
      </c>
      <c r="CF9" s="1" t="s">
        <v>412</v>
      </c>
      <c r="CG9" s="1" t="s">
        <v>412</v>
      </c>
      <c r="CY9" s="1">
        <v>10</v>
      </c>
      <c r="CZ9" s="1">
        <v>5</v>
      </c>
      <c r="DA9" s="1">
        <v>5</v>
      </c>
      <c r="DS9" s="1">
        <v>10</v>
      </c>
      <c r="DT9" s="1">
        <v>0</v>
      </c>
      <c r="DU9" s="1">
        <v>10</v>
      </c>
      <c r="DV9" s="1">
        <v>0</v>
      </c>
      <c r="DW9" s="1">
        <v>0</v>
      </c>
      <c r="DX9" s="1">
        <v>0</v>
      </c>
      <c r="DY9" s="1">
        <v>0</v>
      </c>
      <c r="DZ9" s="1">
        <v>0</v>
      </c>
      <c r="EA9" s="1">
        <v>0</v>
      </c>
      <c r="EB9" s="1">
        <v>0</v>
      </c>
      <c r="EC9" s="1">
        <v>0</v>
      </c>
      <c r="ED9" s="1">
        <v>0</v>
      </c>
      <c r="EE9" s="1">
        <v>0</v>
      </c>
      <c r="EF9" s="1">
        <v>0</v>
      </c>
      <c r="EG9" s="1">
        <v>0</v>
      </c>
      <c r="EH9" s="1">
        <v>0</v>
      </c>
      <c r="EI9" s="1">
        <v>0</v>
      </c>
      <c r="EJ9" s="1">
        <v>0</v>
      </c>
      <c r="EK9" s="1">
        <v>0</v>
      </c>
      <c r="EL9" s="1">
        <v>0</v>
      </c>
      <c r="EM9" s="1">
        <v>-6</v>
      </c>
      <c r="EO9" s="1">
        <v>-10</v>
      </c>
      <c r="FG9" s="1">
        <v>1</v>
      </c>
      <c r="FH9" s="1">
        <v>0</v>
      </c>
      <c r="FI9" s="1">
        <v>2</v>
      </c>
      <c r="FJ9" s="1">
        <v>0</v>
      </c>
      <c r="FK9" s="1">
        <v>0</v>
      </c>
      <c r="FL9" s="1">
        <v>0</v>
      </c>
      <c r="FM9" s="1">
        <v>0</v>
      </c>
      <c r="FN9" s="1">
        <v>0</v>
      </c>
      <c r="FO9" s="1">
        <v>0</v>
      </c>
      <c r="GA9" s="1" t="s">
        <v>1665</v>
      </c>
      <c r="GB9" s="1">
        <v>0</v>
      </c>
    </row>
    <row r="10" spans="1:184" x14ac:dyDescent="0.25">
      <c r="A10" s="1" t="s">
        <v>1417</v>
      </c>
      <c r="B10" s="321" t="s">
        <v>1546</v>
      </c>
      <c r="C10" s="319">
        <v>4</v>
      </c>
      <c r="D10" s="1" t="s">
        <v>1238</v>
      </c>
      <c r="E10" s="1" t="s">
        <v>1232</v>
      </c>
      <c r="F10" s="1">
        <v>-5</v>
      </c>
      <c r="G10" s="1">
        <v>-5</v>
      </c>
      <c r="H10" s="1" t="s">
        <v>1387</v>
      </c>
      <c r="J10" s="1" t="s">
        <v>1572</v>
      </c>
      <c r="U10" s="1">
        <v>50</v>
      </c>
      <c r="V10" s="1">
        <v>45</v>
      </c>
      <c r="W10" s="1">
        <v>2044</v>
      </c>
      <c r="X10" s="1">
        <v>1005</v>
      </c>
      <c r="Y10" s="1">
        <v>1005</v>
      </c>
      <c r="Z10" s="1">
        <v>5000</v>
      </c>
      <c r="AA10" s="1">
        <v>2058</v>
      </c>
      <c r="AB10" s="1">
        <v>1002</v>
      </c>
      <c r="AQ10" s="1">
        <v>10</v>
      </c>
      <c r="AR10" s="1">
        <v>8</v>
      </c>
      <c r="AS10" s="1">
        <v>11</v>
      </c>
      <c r="AT10" s="1">
        <v>10</v>
      </c>
      <c r="AU10" s="1">
        <v>12</v>
      </c>
      <c r="AV10" s="1">
        <v>8</v>
      </c>
      <c r="BK10" s="1">
        <v>4</v>
      </c>
      <c r="BL10" s="1">
        <v>4</v>
      </c>
      <c r="BM10" s="1">
        <v>-2</v>
      </c>
      <c r="BN10" s="1">
        <v>-14</v>
      </c>
      <c r="BO10" s="1">
        <v>-9</v>
      </c>
      <c r="BP10" s="1">
        <v>-2</v>
      </c>
      <c r="CE10" s="1" t="s">
        <v>7</v>
      </c>
      <c r="CF10" s="1" t="s">
        <v>412</v>
      </c>
      <c r="CG10" s="1" t="s">
        <v>412</v>
      </c>
      <c r="CH10" s="1" t="s">
        <v>1177</v>
      </c>
      <c r="CI10" s="1" t="s">
        <v>7</v>
      </c>
      <c r="CJ10" s="1" t="s">
        <v>249</v>
      </c>
      <c r="CY10" s="1">
        <v>10</v>
      </c>
      <c r="CZ10" s="1">
        <v>5</v>
      </c>
      <c r="DA10" s="1">
        <v>5</v>
      </c>
      <c r="DB10" s="1">
        <v>10</v>
      </c>
      <c r="DC10" s="1">
        <v>10</v>
      </c>
      <c r="DD10" s="1">
        <v>5</v>
      </c>
      <c r="DS10" s="1">
        <v>20</v>
      </c>
      <c r="DT10" s="1">
        <v>0</v>
      </c>
      <c r="DU10" s="1">
        <v>10</v>
      </c>
      <c r="DV10" s="1">
        <v>10</v>
      </c>
      <c r="DW10" s="1">
        <v>0</v>
      </c>
      <c r="DX10" s="1">
        <v>0</v>
      </c>
      <c r="DY10" s="1">
        <v>5</v>
      </c>
      <c r="DZ10" s="1">
        <v>0</v>
      </c>
      <c r="EA10" s="1">
        <v>0</v>
      </c>
      <c r="EB10" s="1">
        <v>0</v>
      </c>
      <c r="EC10" s="1">
        <v>0</v>
      </c>
      <c r="ED10" s="1">
        <v>0</v>
      </c>
      <c r="EE10" s="1">
        <v>0</v>
      </c>
      <c r="EF10" s="1">
        <v>0</v>
      </c>
      <c r="EG10" s="1">
        <v>0</v>
      </c>
      <c r="EH10" s="1">
        <v>0</v>
      </c>
      <c r="EI10" s="1">
        <v>0</v>
      </c>
      <c r="EJ10" s="1">
        <v>0</v>
      </c>
      <c r="EK10" s="1">
        <v>0</v>
      </c>
      <c r="EL10" s="1">
        <v>0</v>
      </c>
      <c r="EM10" s="1">
        <v>-5</v>
      </c>
      <c r="EO10" s="1">
        <v>2</v>
      </c>
      <c r="EP10" s="1">
        <v>-14</v>
      </c>
      <c r="ES10" s="1">
        <v>-2</v>
      </c>
      <c r="FG10" s="1">
        <v>2</v>
      </c>
      <c r="FH10" s="1">
        <v>0</v>
      </c>
      <c r="FI10" s="1">
        <v>2</v>
      </c>
      <c r="FJ10" s="1">
        <v>1</v>
      </c>
      <c r="FK10" s="1">
        <v>0</v>
      </c>
      <c r="FL10" s="1">
        <v>0</v>
      </c>
      <c r="FM10" s="1">
        <v>1</v>
      </c>
      <c r="FN10" s="1">
        <v>0</v>
      </c>
      <c r="FO10" s="1">
        <v>0</v>
      </c>
      <c r="GA10" s="1" t="s">
        <v>1664</v>
      </c>
      <c r="GB10" s="1">
        <v>0</v>
      </c>
    </row>
    <row r="11" spans="1:184" x14ac:dyDescent="0.25">
      <c r="A11" s="1" t="s">
        <v>1418</v>
      </c>
      <c r="B11" s="321" t="s">
        <v>1547</v>
      </c>
      <c r="C11" s="319">
        <v>5</v>
      </c>
      <c r="D11" s="1" t="s">
        <v>1238</v>
      </c>
      <c r="E11" s="1" t="s">
        <v>1232</v>
      </c>
      <c r="F11" s="1">
        <v>-5.0999999999999996</v>
      </c>
      <c r="G11" s="1">
        <v>-5</v>
      </c>
      <c r="H11" s="1" t="s">
        <v>1387</v>
      </c>
      <c r="J11" s="1" t="s">
        <v>1378</v>
      </c>
      <c r="U11" s="1">
        <v>45</v>
      </c>
      <c r="V11" s="1">
        <v>45</v>
      </c>
      <c r="W11" s="1">
        <v>2044</v>
      </c>
      <c r="X11" s="1">
        <v>1005</v>
      </c>
      <c r="Y11" s="1">
        <v>1005</v>
      </c>
      <c r="Z11" s="1">
        <v>5000</v>
      </c>
      <c r="AA11" s="1">
        <v>2058</v>
      </c>
      <c r="AB11" s="1">
        <v>1002</v>
      </c>
      <c r="AQ11" s="1">
        <v>11</v>
      </c>
      <c r="AR11" s="1">
        <v>7</v>
      </c>
      <c r="AS11" s="1">
        <v>8</v>
      </c>
      <c r="AT11" s="1">
        <v>7</v>
      </c>
      <c r="AU11" s="1">
        <v>8</v>
      </c>
      <c r="AV11" s="1">
        <v>6</v>
      </c>
      <c r="BK11" s="1">
        <v>2</v>
      </c>
      <c r="BL11" s="1">
        <v>-8</v>
      </c>
      <c r="BM11" s="1">
        <v>-6</v>
      </c>
      <c r="BN11" s="1">
        <v>-1</v>
      </c>
      <c r="BO11" s="1">
        <v>-3</v>
      </c>
      <c r="BP11" s="1">
        <v>-8</v>
      </c>
      <c r="CE11" s="1" t="s">
        <v>7</v>
      </c>
      <c r="CF11" s="1" t="s">
        <v>412</v>
      </c>
      <c r="CG11" s="1" t="s">
        <v>412</v>
      </c>
      <c r="CH11" s="1" t="s">
        <v>1177</v>
      </c>
      <c r="CI11" s="1" t="s">
        <v>7</v>
      </c>
      <c r="CJ11" s="1" t="s">
        <v>249</v>
      </c>
      <c r="CY11" s="1">
        <v>10</v>
      </c>
      <c r="CZ11" s="1">
        <v>5</v>
      </c>
      <c r="DA11" s="1">
        <v>5</v>
      </c>
      <c r="DB11" s="1">
        <v>10</v>
      </c>
      <c r="DC11" s="1">
        <v>10</v>
      </c>
      <c r="DD11" s="1">
        <v>5</v>
      </c>
      <c r="DS11" s="1">
        <v>20</v>
      </c>
      <c r="DT11" s="1">
        <v>0</v>
      </c>
      <c r="DU11" s="1">
        <v>10</v>
      </c>
      <c r="DV11" s="1">
        <v>10</v>
      </c>
      <c r="DW11" s="1">
        <v>0</v>
      </c>
      <c r="EM11" s="1">
        <v>-1</v>
      </c>
      <c r="EO11" s="1">
        <v>-14</v>
      </c>
      <c r="EP11" s="1">
        <v>-1</v>
      </c>
      <c r="FG11" s="1">
        <v>2</v>
      </c>
      <c r="FH11" s="1">
        <v>0</v>
      </c>
      <c r="FI11" s="1">
        <v>2</v>
      </c>
      <c r="FJ11" s="1">
        <v>1</v>
      </c>
      <c r="FK11" s="1">
        <v>0</v>
      </c>
      <c r="GA11" s="1" t="s">
        <v>1390</v>
      </c>
      <c r="GB11" s="1">
        <v>1057</v>
      </c>
    </row>
    <row r="12" spans="1:184" x14ac:dyDescent="0.25">
      <c r="A12" s="1" t="s">
        <v>1419</v>
      </c>
      <c r="B12" s="321" t="s">
        <v>1548</v>
      </c>
      <c r="C12" s="319">
        <v>6</v>
      </c>
      <c r="D12" s="1" t="s">
        <v>1238</v>
      </c>
      <c r="E12" s="1" t="s">
        <v>1232</v>
      </c>
      <c r="F12" s="1">
        <v>-5.2</v>
      </c>
      <c r="G12" s="1">
        <v>-5</v>
      </c>
      <c r="H12" s="1" t="s">
        <v>1387</v>
      </c>
      <c r="J12" s="1" t="s">
        <v>1378</v>
      </c>
      <c r="U12" s="1">
        <v>55</v>
      </c>
      <c r="V12" s="1">
        <v>80</v>
      </c>
      <c r="W12" s="1">
        <v>1004</v>
      </c>
      <c r="X12" s="1">
        <v>5010</v>
      </c>
      <c r="Y12" s="1">
        <v>5005</v>
      </c>
      <c r="Z12" s="1">
        <v>3044</v>
      </c>
      <c r="AA12" s="1">
        <v>2125</v>
      </c>
      <c r="AB12" s="1">
        <v>2060</v>
      </c>
      <c r="AQ12" s="1">
        <v>5</v>
      </c>
      <c r="AR12" s="1">
        <v>10</v>
      </c>
      <c r="AS12" s="1">
        <v>24</v>
      </c>
      <c r="AT12" s="1">
        <v>0</v>
      </c>
      <c r="AU12" s="1">
        <v>10</v>
      </c>
      <c r="AV12" s="1">
        <v>70</v>
      </c>
      <c r="BK12" s="1">
        <v>-5</v>
      </c>
      <c r="BL12" s="1">
        <v>-7</v>
      </c>
      <c r="BM12" s="1">
        <v>-8</v>
      </c>
      <c r="BN12" s="1">
        <v>-36</v>
      </c>
      <c r="BO12" s="1">
        <v>-36</v>
      </c>
      <c r="BP12" s="1">
        <v>-3</v>
      </c>
      <c r="CE12" s="1" t="s">
        <v>412</v>
      </c>
      <c r="CF12" s="1" t="s">
        <v>1177</v>
      </c>
      <c r="CG12" s="1" t="s">
        <v>1177</v>
      </c>
      <c r="CH12" s="1" t="s">
        <v>12</v>
      </c>
      <c r="CI12" s="1" t="s">
        <v>7</v>
      </c>
      <c r="CJ12" s="1" t="s">
        <v>7</v>
      </c>
      <c r="CY12" s="1">
        <v>10</v>
      </c>
      <c r="CZ12" s="1">
        <v>10</v>
      </c>
      <c r="DA12" s="1">
        <v>10</v>
      </c>
      <c r="DB12" s="1">
        <v>10</v>
      </c>
      <c r="DC12" s="1">
        <v>10</v>
      </c>
      <c r="DD12" s="1">
        <v>30</v>
      </c>
      <c r="DS12" s="1">
        <v>40</v>
      </c>
      <c r="DT12" s="1">
        <v>10</v>
      </c>
      <c r="DU12" s="1">
        <v>10</v>
      </c>
      <c r="DV12" s="1">
        <v>20</v>
      </c>
      <c r="DW12" s="1">
        <v>0</v>
      </c>
      <c r="DX12" s="1">
        <v>0</v>
      </c>
      <c r="DY12" s="1">
        <v>0</v>
      </c>
      <c r="DZ12" s="1">
        <v>0</v>
      </c>
      <c r="EA12" s="1">
        <v>0</v>
      </c>
      <c r="EB12" s="1">
        <v>0</v>
      </c>
      <c r="EC12" s="1">
        <v>0</v>
      </c>
      <c r="ED12" s="1">
        <v>0</v>
      </c>
      <c r="EE12" s="1">
        <v>0</v>
      </c>
      <c r="EF12" s="1">
        <v>0</v>
      </c>
      <c r="EG12" s="1">
        <v>0</v>
      </c>
      <c r="EH12" s="1">
        <v>0</v>
      </c>
      <c r="EI12" s="1">
        <v>0</v>
      </c>
      <c r="EJ12" s="1">
        <v>0</v>
      </c>
      <c r="EK12" s="1">
        <v>0</v>
      </c>
      <c r="EL12" s="1">
        <v>0</v>
      </c>
      <c r="EM12" s="1">
        <v>-39</v>
      </c>
      <c r="EN12" s="1">
        <v>-36</v>
      </c>
      <c r="EO12" s="1">
        <v>-5</v>
      </c>
      <c r="EP12" s="1">
        <v>-15</v>
      </c>
      <c r="FG12" s="1">
        <v>2</v>
      </c>
      <c r="FH12" s="1">
        <v>1</v>
      </c>
      <c r="FI12" s="1">
        <v>1</v>
      </c>
      <c r="FJ12" s="1">
        <v>2</v>
      </c>
      <c r="FK12" s="1">
        <v>0</v>
      </c>
      <c r="FL12" s="1">
        <v>0</v>
      </c>
      <c r="FM12" s="1">
        <v>0</v>
      </c>
      <c r="FN12" s="1">
        <v>0</v>
      </c>
      <c r="FO12" s="1">
        <v>0</v>
      </c>
      <c r="GA12" s="1" t="s">
        <v>1391</v>
      </c>
      <c r="GB12" s="1">
        <v>469</v>
      </c>
    </row>
    <row r="13" spans="1:184" x14ac:dyDescent="0.25">
      <c r="A13" s="1" t="s">
        <v>1420</v>
      </c>
      <c r="B13" s="321" t="s">
        <v>1549</v>
      </c>
      <c r="C13" s="319">
        <v>7</v>
      </c>
      <c r="D13" s="1" t="s">
        <v>1238</v>
      </c>
      <c r="E13" s="1" t="s">
        <v>1232</v>
      </c>
      <c r="F13" s="1">
        <v>-5.2</v>
      </c>
      <c r="G13" s="1">
        <v>-5</v>
      </c>
      <c r="H13" s="1" t="s">
        <v>1387</v>
      </c>
      <c r="J13" s="1" t="s">
        <v>1378</v>
      </c>
      <c r="U13" s="1">
        <v>55</v>
      </c>
      <c r="V13" s="1">
        <v>80</v>
      </c>
      <c r="W13" s="1">
        <v>1004</v>
      </c>
      <c r="X13" s="1">
        <v>5010</v>
      </c>
      <c r="Y13" s="1">
        <v>5005</v>
      </c>
      <c r="Z13" s="1">
        <v>3044</v>
      </c>
      <c r="AA13" s="1">
        <v>2125</v>
      </c>
      <c r="AB13" s="1">
        <v>2060</v>
      </c>
      <c r="AQ13" s="1">
        <v>4</v>
      </c>
      <c r="AR13" s="1">
        <v>12</v>
      </c>
      <c r="AS13" s="1">
        <v>25</v>
      </c>
      <c r="AT13" s="1">
        <v>0</v>
      </c>
      <c r="AU13" s="1">
        <v>0</v>
      </c>
      <c r="AV13" s="1">
        <v>88</v>
      </c>
      <c r="BK13" s="1">
        <v>-9</v>
      </c>
      <c r="BL13" s="1">
        <v>4</v>
      </c>
      <c r="BM13" s="1">
        <v>-9</v>
      </c>
      <c r="BN13" s="1">
        <v>-36</v>
      </c>
      <c r="BO13" s="1">
        <v>-36</v>
      </c>
      <c r="BP13" s="1">
        <v>-6</v>
      </c>
      <c r="CE13" s="1" t="s">
        <v>412</v>
      </c>
      <c r="CF13" s="1" t="s">
        <v>1177</v>
      </c>
      <c r="CG13" s="1" t="s">
        <v>1177</v>
      </c>
      <c r="CH13" s="1" t="s">
        <v>12</v>
      </c>
      <c r="CI13" s="1" t="s">
        <v>7</v>
      </c>
      <c r="CJ13" s="1" t="s">
        <v>7</v>
      </c>
      <c r="CY13" s="1">
        <v>10</v>
      </c>
      <c r="CZ13" s="1">
        <v>10</v>
      </c>
      <c r="DA13" s="1">
        <v>10</v>
      </c>
      <c r="DB13" s="1">
        <v>10</v>
      </c>
      <c r="DC13" s="1">
        <v>10</v>
      </c>
      <c r="DD13" s="1">
        <v>30</v>
      </c>
      <c r="DS13" s="1">
        <v>40</v>
      </c>
      <c r="DT13" s="1">
        <v>10</v>
      </c>
      <c r="DU13" s="1">
        <v>10</v>
      </c>
      <c r="DV13" s="1">
        <v>20</v>
      </c>
      <c r="DW13" s="1">
        <v>0</v>
      </c>
      <c r="DX13" s="1">
        <v>0</v>
      </c>
      <c r="DY13" s="1">
        <v>0</v>
      </c>
      <c r="DZ13" s="1">
        <v>0</v>
      </c>
      <c r="EA13" s="1">
        <v>0</v>
      </c>
      <c r="EB13" s="1">
        <v>0</v>
      </c>
      <c r="EC13" s="1">
        <v>0</v>
      </c>
      <c r="ED13" s="1">
        <v>0</v>
      </c>
      <c r="EE13" s="1">
        <v>0</v>
      </c>
      <c r="EF13" s="1">
        <v>0</v>
      </c>
      <c r="EG13" s="1">
        <v>0</v>
      </c>
      <c r="EH13" s="1">
        <v>0</v>
      </c>
      <c r="EI13" s="1">
        <v>0</v>
      </c>
      <c r="EJ13" s="1">
        <v>0</v>
      </c>
      <c r="EK13" s="1">
        <v>0</v>
      </c>
      <c r="EL13" s="1">
        <v>0</v>
      </c>
      <c r="EM13" s="1">
        <v>-42</v>
      </c>
      <c r="EN13" s="1">
        <v>-36</v>
      </c>
      <c r="EO13" s="1">
        <v>-9</v>
      </c>
      <c r="EP13" s="1">
        <v>-5</v>
      </c>
      <c r="FG13" s="1">
        <v>2</v>
      </c>
      <c r="FH13" s="1">
        <v>1</v>
      </c>
      <c r="FI13" s="1">
        <v>1</v>
      </c>
      <c r="FJ13" s="1">
        <v>2</v>
      </c>
      <c r="FK13" s="1">
        <v>0</v>
      </c>
      <c r="FL13" s="1">
        <v>0</v>
      </c>
      <c r="FM13" s="1">
        <v>0</v>
      </c>
      <c r="FN13" s="1">
        <v>0</v>
      </c>
      <c r="FO13" s="1">
        <v>0</v>
      </c>
      <c r="GA13" s="1" t="s">
        <v>1392</v>
      </c>
      <c r="GB13" s="1">
        <v>0</v>
      </c>
    </row>
    <row r="14" spans="1:184" x14ac:dyDescent="0.25">
      <c r="A14" s="1" t="s">
        <v>1421</v>
      </c>
      <c r="B14" s="321" t="s">
        <v>1550</v>
      </c>
      <c r="C14" s="319">
        <v>8</v>
      </c>
      <c r="D14" s="1" t="s">
        <v>1238</v>
      </c>
      <c r="E14" s="1" t="s">
        <v>1232</v>
      </c>
      <c r="F14" s="1">
        <v>-5.2</v>
      </c>
      <c r="G14" s="1">
        <v>-5</v>
      </c>
      <c r="H14" s="1" t="s">
        <v>1387</v>
      </c>
      <c r="J14" s="1" t="s">
        <v>1378</v>
      </c>
      <c r="U14" s="1">
        <v>55</v>
      </c>
      <c r="V14" s="1">
        <v>80</v>
      </c>
      <c r="W14" s="1">
        <v>1004</v>
      </c>
      <c r="X14" s="1">
        <v>5010</v>
      </c>
      <c r="Y14" s="1">
        <v>5005</v>
      </c>
      <c r="Z14" s="1">
        <v>3044</v>
      </c>
      <c r="AA14" s="1">
        <v>2125</v>
      </c>
      <c r="AB14" s="1">
        <v>2060</v>
      </c>
      <c r="AQ14" s="1">
        <v>7</v>
      </c>
      <c r="AR14" s="1">
        <v>8</v>
      </c>
      <c r="AS14" s="1">
        <v>22</v>
      </c>
      <c r="AT14" s="1">
        <v>0</v>
      </c>
      <c r="AU14" s="1">
        <v>0</v>
      </c>
      <c r="AV14" s="1">
        <v>79</v>
      </c>
      <c r="BK14" s="1">
        <v>0</v>
      </c>
      <c r="BL14" s="1">
        <v>-15</v>
      </c>
      <c r="BM14" s="1">
        <v>-6</v>
      </c>
      <c r="BN14" s="1">
        <v>-36</v>
      </c>
      <c r="BO14" s="1">
        <v>-36</v>
      </c>
      <c r="BP14" s="1">
        <v>-4</v>
      </c>
      <c r="CE14" s="1" t="s">
        <v>412</v>
      </c>
      <c r="CF14" s="1" t="s">
        <v>1177</v>
      </c>
      <c r="CG14" s="1" t="s">
        <v>1177</v>
      </c>
      <c r="CH14" s="1" t="s">
        <v>12</v>
      </c>
      <c r="CI14" s="1" t="s">
        <v>7</v>
      </c>
      <c r="CJ14" s="1" t="s">
        <v>7</v>
      </c>
      <c r="CY14" s="1">
        <v>10</v>
      </c>
      <c r="CZ14" s="1">
        <v>10</v>
      </c>
      <c r="DA14" s="1">
        <v>10</v>
      </c>
      <c r="DB14" s="1">
        <v>10</v>
      </c>
      <c r="DC14" s="1">
        <v>10</v>
      </c>
      <c r="DD14" s="1">
        <v>30</v>
      </c>
      <c r="DS14" s="1">
        <v>40</v>
      </c>
      <c r="DT14" s="1">
        <v>10</v>
      </c>
      <c r="DU14" s="1">
        <v>10</v>
      </c>
      <c r="DV14" s="1">
        <v>20</v>
      </c>
      <c r="DW14" s="1">
        <v>0</v>
      </c>
      <c r="DX14" s="1">
        <v>0</v>
      </c>
      <c r="DY14" s="1">
        <v>0</v>
      </c>
      <c r="DZ14" s="1">
        <v>0</v>
      </c>
      <c r="EA14" s="1">
        <v>0</v>
      </c>
      <c r="EB14" s="1">
        <v>0</v>
      </c>
      <c r="EC14" s="1">
        <v>0</v>
      </c>
      <c r="ED14" s="1">
        <v>0</v>
      </c>
      <c r="EE14" s="1">
        <v>0</v>
      </c>
      <c r="EF14" s="1">
        <v>0</v>
      </c>
      <c r="EG14" s="1">
        <v>0</v>
      </c>
      <c r="EH14" s="1">
        <v>0</v>
      </c>
      <c r="EI14" s="1">
        <v>0</v>
      </c>
      <c r="EJ14" s="1">
        <v>0</v>
      </c>
      <c r="EK14" s="1">
        <v>0</v>
      </c>
      <c r="EL14" s="1">
        <v>0</v>
      </c>
      <c r="EM14" s="1">
        <v>-40</v>
      </c>
      <c r="EN14" s="1">
        <v>-36</v>
      </c>
      <c r="EO14" s="1">
        <v>0</v>
      </c>
      <c r="EP14" s="1">
        <v>-21</v>
      </c>
      <c r="FG14" s="1">
        <v>2</v>
      </c>
      <c r="FH14" s="1">
        <v>1</v>
      </c>
      <c r="FI14" s="1">
        <v>1</v>
      </c>
      <c r="FJ14" s="1">
        <v>2</v>
      </c>
      <c r="FK14" s="1">
        <v>0</v>
      </c>
      <c r="FL14" s="1">
        <v>0</v>
      </c>
      <c r="FM14" s="1">
        <v>0</v>
      </c>
      <c r="FN14" s="1">
        <v>0</v>
      </c>
      <c r="FO14" s="1">
        <v>0</v>
      </c>
      <c r="GA14" s="1" t="s">
        <v>1393</v>
      </c>
      <c r="GB14" s="1">
        <v>0</v>
      </c>
    </row>
    <row r="15" spans="1:184" x14ac:dyDescent="0.25">
      <c r="A15" s="1" t="s">
        <v>1422</v>
      </c>
      <c r="B15" s="321" t="s">
        <v>1551</v>
      </c>
      <c r="C15" s="319">
        <v>9</v>
      </c>
      <c r="D15" s="1" t="s">
        <v>1238</v>
      </c>
      <c r="E15" s="1" t="s">
        <v>1232</v>
      </c>
      <c r="F15" s="1">
        <v>-5.2</v>
      </c>
      <c r="G15" s="1">
        <v>-5</v>
      </c>
      <c r="H15" s="1" t="s">
        <v>1387</v>
      </c>
      <c r="J15" s="1" t="s">
        <v>1572</v>
      </c>
      <c r="U15" s="1">
        <v>70</v>
      </c>
      <c r="V15" s="1">
        <v>80</v>
      </c>
      <c r="W15" s="1">
        <v>1004</v>
      </c>
      <c r="X15" s="1">
        <v>5010</v>
      </c>
      <c r="Y15" s="1">
        <v>5005</v>
      </c>
      <c r="Z15" s="1">
        <v>3044</v>
      </c>
      <c r="AA15" s="1">
        <v>2125</v>
      </c>
      <c r="AB15" s="1">
        <v>2060</v>
      </c>
      <c r="AQ15" s="1">
        <v>4</v>
      </c>
      <c r="AS15" s="1">
        <v>26</v>
      </c>
      <c r="AU15" s="1">
        <v>0</v>
      </c>
      <c r="AV15" s="1">
        <v>89</v>
      </c>
      <c r="BK15" s="1">
        <v>-9</v>
      </c>
      <c r="BM15" s="1">
        <v>-10</v>
      </c>
      <c r="BP15" s="1">
        <v>-6</v>
      </c>
      <c r="CE15" s="1" t="s">
        <v>412</v>
      </c>
      <c r="CF15" s="1" t="s">
        <v>1177</v>
      </c>
      <c r="CG15" s="1" t="s">
        <v>1177</v>
      </c>
      <c r="CH15" s="1" t="s">
        <v>12</v>
      </c>
      <c r="CI15" s="1" t="s">
        <v>7</v>
      </c>
      <c r="CJ15" s="1" t="s">
        <v>7</v>
      </c>
      <c r="CY15" s="1">
        <v>10</v>
      </c>
      <c r="CZ15" s="1">
        <v>10</v>
      </c>
      <c r="DA15" s="1">
        <v>10</v>
      </c>
      <c r="DB15" s="1">
        <v>10</v>
      </c>
      <c r="DC15" s="1">
        <v>10</v>
      </c>
      <c r="DD15" s="1">
        <v>30</v>
      </c>
      <c r="DS15" s="1">
        <v>40</v>
      </c>
      <c r="DT15" s="1">
        <v>10</v>
      </c>
      <c r="DU15" s="1">
        <v>10</v>
      </c>
      <c r="DV15" s="1">
        <v>20</v>
      </c>
      <c r="DW15" s="1">
        <v>0</v>
      </c>
      <c r="DX15" s="1">
        <v>0</v>
      </c>
      <c r="DY15" s="1">
        <v>0</v>
      </c>
      <c r="DZ15" s="1">
        <v>0</v>
      </c>
      <c r="EA15" s="1">
        <v>0</v>
      </c>
      <c r="EB15" s="1">
        <v>0</v>
      </c>
      <c r="EC15" s="1">
        <v>0</v>
      </c>
      <c r="ED15" s="1">
        <v>0</v>
      </c>
      <c r="EE15" s="1">
        <v>0</v>
      </c>
      <c r="EF15" s="1">
        <v>0</v>
      </c>
      <c r="EG15" s="1">
        <v>0</v>
      </c>
      <c r="EH15" s="1">
        <v>0</v>
      </c>
      <c r="EI15" s="1">
        <v>0</v>
      </c>
      <c r="EJ15" s="1">
        <v>0</v>
      </c>
      <c r="EK15" s="1">
        <v>0</v>
      </c>
      <c r="EL15" s="1">
        <v>0</v>
      </c>
      <c r="EM15" s="1">
        <v>-6</v>
      </c>
      <c r="EN15" s="1">
        <v>0</v>
      </c>
      <c r="EO15" s="1">
        <v>-9</v>
      </c>
      <c r="EP15" s="1">
        <v>-10</v>
      </c>
      <c r="FG15" s="1">
        <v>2</v>
      </c>
      <c r="FH15" s="1">
        <v>1</v>
      </c>
      <c r="FI15" s="1">
        <v>1</v>
      </c>
      <c r="FJ15" s="1">
        <v>2</v>
      </c>
      <c r="FK15" s="1">
        <v>0</v>
      </c>
      <c r="FL15" s="1">
        <v>0</v>
      </c>
      <c r="FM15" s="1">
        <v>0</v>
      </c>
      <c r="FN15" s="1">
        <v>0</v>
      </c>
      <c r="FO15" s="1">
        <v>0</v>
      </c>
      <c r="GA15" s="1" t="s">
        <v>1663</v>
      </c>
      <c r="GB15" s="1">
        <v>1756</v>
      </c>
    </row>
    <row r="16" spans="1:184" x14ac:dyDescent="0.25">
      <c r="A16" s="1" t="s">
        <v>1423</v>
      </c>
      <c r="B16" s="321" t="s">
        <v>1552</v>
      </c>
      <c r="C16" s="319">
        <v>10</v>
      </c>
      <c r="D16" s="1" t="s">
        <v>1238</v>
      </c>
      <c r="E16" s="1" t="s">
        <v>1232</v>
      </c>
      <c r="F16" s="1">
        <v>-5.7</v>
      </c>
      <c r="G16" s="1">
        <v>-6</v>
      </c>
      <c r="H16" s="1" t="s">
        <v>1387</v>
      </c>
      <c r="J16" s="1" t="s">
        <v>1378</v>
      </c>
      <c r="U16" s="1">
        <v>45</v>
      </c>
      <c r="V16" s="1">
        <v>80</v>
      </c>
      <c r="W16" s="1">
        <v>1005</v>
      </c>
      <c r="X16" s="1">
        <v>1004</v>
      </c>
      <c r="Y16" s="1">
        <v>1003</v>
      </c>
      <c r="Z16" s="1">
        <v>2055</v>
      </c>
      <c r="AA16" s="1">
        <v>2060</v>
      </c>
      <c r="AB16" s="1">
        <v>5003</v>
      </c>
      <c r="AQ16" s="1">
        <v>8</v>
      </c>
      <c r="AR16" s="1">
        <v>6</v>
      </c>
      <c r="AS16" s="1">
        <v>6</v>
      </c>
      <c r="AT16" s="1">
        <v>-3</v>
      </c>
      <c r="AU16" s="1">
        <v>60</v>
      </c>
      <c r="AV16" s="1">
        <v>20</v>
      </c>
      <c r="BK16" s="1">
        <v>4</v>
      </c>
      <c r="BL16" s="1">
        <v>-2</v>
      </c>
      <c r="BM16" s="1">
        <v>-8</v>
      </c>
      <c r="BN16" s="1">
        <v>-12</v>
      </c>
      <c r="BO16" s="1">
        <v>-20</v>
      </c>
      <c r="BP16" s="1">
        <v>-13</v>
      </c>
      <c r="CE16" s="1" t="s">
        <v>412</v>
      </c>
      <c r="CF16" s="1" t="s">
        <v>412</v>
      </c>
      <c r="CG16" s="1" t="s">
        <v>12</v>
      </c>
      <c r="CH16" s="1" t="s">
        <v>7</v>
      </c>
      <c r="CI16" s="1" t="s">
        <v>7</v>
      </c>
      <c r="CJ16" s="1" t="s">
        <v>1177</v>
      </c>
      <c r="CY16" s="1">
        <v>10</v>
      </c>
      <c r="CZ16" s="1">
        <v>12</v>
      </c>
      <c r="DA16" s="1">
        <v>13</v>
      </c>
      <c r="DB16" s="1">
        <v>14</v>
      </c>
      <c r="DC16" s="1">
        <v>15</v>
      </c>
      <c r="DD16" s="1">
        <v>16</v>
      </c>
      <c r="DS16" s="1">
        <v>29</v>
      </c>
      <c r="DT16" s="1">
        <v>13</v>
      </c>
      <c r="DU16" s="1">
        <v>22</v>
      </c>
      <c r="DV16" s="1">
        <v>16</v>
      </c>
      <c r="DW16" s="1">
        <v>0</v>
      </c>
      <c r="DX16" s="1">
        <v>0</v>
      </c>
      <c r="DY16" s="1">
        <v>0</v>
      </c>
      <c r="DZ16" s="1">
        <v>0</v>
      </c>
      <c r="EA16" s="1">
        <v>0</v>
      </c>
      <c r="EB16" s="1">
        <v>0</v>
      </c>
      <c r="EC16" s="1">
        <v>0</v>
      </c>
      <c r="ED16" s="1">
        <v>0</v>
      </c>
      <c r="EE16" s="1">
        <v>0</v>
      </c>
      <c r="EF16" s="1">
        <v>0</v>
      </c>
      <c r="EG16" s="1">
        <v>0</v>
      </c>
      <c r="EH16" s="1">
        <v>0</v>
      </c>
      <c r="EI16" s="1">
        <v>0</v>
      </c>
      <c r="EJ16" s="1">
        <v>0</v>
      </c>
      <c r="EK16" s="1">
        <v>0</v>
      </c>
      <c r="EL16" s="1">
        <v>0</v>
      </c>
      <c r="EM16" s="1">
        <v>-32</v>
      </c>
      <c r="EN16" s="1">
        <v>-8</v>
      </c>
      <c r="EO16" s="1">
        <v>2</v>
      </c>
      <c r="EP16" s="1">
        <v>-13</v>
      </c>
      <c r="FG16" s="1">
        <v>2</v>
      </c>
      <c r="FH16" s="1">
        <v>1</v>
      </c>
      <c r="FI16" s="1">
        <v>2</v>
      </c>
      <c r="FJ16" s="1">
        <v>1</v>
      </c>
      <c r="FK16" s="1">
        <v>0</v>
      </c>
      <c r="FL16" s="1">
        <v>0</v>
      </c>
      <c r="FM16" s="1">
        <v>0</v>
      </c>
      <c r="FN16" s="1">
        <v>0</v>
      </c>
      <c r="FO16" s="1">
        <v>0</v>
      </c>
      <c r="GA16" s="1" t="s">
        <v>1394</v>
      </c>
      <c r="GB16" s="1">
        <v>467</v>
      </c>
    </row>
    <row r="17" spans="1:184" x14ac:dyDescent="0.25">
      <c r="A17" s="1" t="s">
        <v>1424</v>
      </c>
      <c r="B17" s="321" t="s">
        <v>1553</v>
      </c>
      <c r="C17" s="319">
        <v>11</v>
      </c>
      <c r="D17" s="1" t="s">
        <v>1238</v>
      </c>
      <c r="E17" s="1" t="s">
        <v>1232</v>
      </c>
      <c r="F17" s="1">
        <v>-5.7</v>
      </c>
      <c r="G17" s="1">
        <v>-6</v>
      </c>
      <c r="H17" s="1" t="s">
        <v>1387</v>
      </c>
      <c r="J17" s="1" t="s">
        <v>1378</v>
      </c>
      <c r="U17" s="1">
        <v>45</v>
      </c>
      <c r="V17" s="1">
        <v>81</v>
      </c>
      <c r="W17" s="1">
        <v>1005</v>
      </c>
      <c r="X17" s="1">
        <v>1004</v>
      </c>
      <c r="Y17" s="1">
        <v>1003</v>
      </c>
      <c r="Z17" s="1">
        <v>2055</v>
      </c>
      <c r="AA17" s="1">
        <v>2060</v>
      </c>
      <c r="AB17" s="1">
        <v>5003</v>
      </c>
      <c r="AQ17" s="1">
        <v>8</v>
      </c>
      <c r="AR17" s="1">
        <v>7</v>
      </c>
      <c r="AS17" s="1">
        <v>8</v>
      </c>
      <c r="AT17" s="1">
        <v>0</v>
      </c>
      <c r="AU17" s="1">
        <v>65</v>
      </c>
      <c r="AV17" s="1">
        <v>21</v>
      </c>
      <c r="BK17" s="1">
        <v>4</v>
      </c>
      <c r="BL17" s="1">
        <v>0</v>
      </c>
      <c r="BM17" s="1">
        <v>0</v>
      </c>
      <c r="BN17" s="1">
        <v>-5</v>
      </c>
      <c r="BO17" s="1">
        <v>-21</v>
      </c>
      <c r="BP17" s="1">
        <v>-15</v>
      </c>
      <c r="CE17" s="1" t="s">
        <v>412</v>
      </c>
      <c r="CF17" s="1" t="s">
        <v>412</v>
      </c>
      <c r="CG17" s="1" t="s">
        <v>12</v>
      </c>
      <c r="CH17" s="1" t="s">
        <v>7</v>
      </c>
      <c r="CI17" s="1" t="s">
        <v>7</v>
      </c>
      <c r="CJ17" s="1" t="s">
        <v>1177</v>
      </c>
      <c r="CY17" s="1">
        <v>11</v>
      </c>
      <c r="CZ17" s="1">
        <v>12</v>
      </c>
      <c r="DA17" s="1">
        <v>13</v>
      </c>
      <c r="DB17" s="1">
        <v>14</v>
      </c>
      <c r="DC17" s="1">
        <v>15</v>
      </c>
      <c r="DD17" s="1">
        <v>16</v>
      </c>
      <c r="DS17" s="1">
        <v>29</v>
      </c>
      <c r="DT17" s="1">
        <v>13</v>
      </c>
      <c r="DU17" s="1">
        <v>23</v>
      </c>
      <c r="DV17" s="1">
        <v>16</v>
      </c>
      <c r="DW17" s="1">
        <v>0</v>
      </c>
      <c r="DX17" s="1">
        <v>0</v>
      </c>
      <c r="DY17" s="1">
        <v>0</v>
      </c>
      <c r="DZ17" s="1">
        <v>0</v>
      </c>
      <c r="EA17" s="1">
        <v>0</v>
      </c>
      <c r="EB17" s="1">
        <v>0</v>
      </c>
      <c r="EC17" s="1">
        <v>0</v>
      </c>
      <c r="ED17" s="1">
        <v>0</v>
      </c>
      <c r="EE17" s="1">
        <v>0</v>
      </c>
      <c r="EF17" s="1">
        <v>0</v>
      </c>
      <c r="EG17" s="1">
        <v>0</v>
      </c>
      <c r="EH17" s="1">
        <v>0</v>
      </c>
      <c r="EI17" s="1">
        <v>0</v>
      </c>
      <c r="EJ17" s="1">
        <v>0</v>
      </c>
      <c r="EK17" s="1">
        <v>0</v>
      </c>
      <c r="EL17" s="1">
        <v>0</v>
      </c>
      <c r="EM17" s="1">
        <v>-26</v>
      </c>
      <c r="EN17" s="1">
        <v>0</v>
      </c>
      <c r="EO17" s="1">
        <v>4</v>
      </c>
      <c r="EP17" s="1">
        <v>-15</v>
      </c>
      <c r="FG17" s="1">
        <v>2</v>
      </c>
      <c r="FH17" s="1">
        <v>1</v>
      </c>
      <c r="FI17" s="1">
        <v>2</v>
      </c>
      <c r="FJ17" s="1">
        <v>1</v>
      </c>
      <c r="FK17" s="1">
        <v>0</v>
      </c>
      <c r="FL17" s="1">
        <v>0</v>
      </c>
      <c r="FM17" s="1">
        <v>0</v>
      </c>
      <c r="FN17" s="1">
        <v>0</v>
      </c>
      <c r="FO17" s="1">
        <v>0</v>
      </c>
      <c r="GA17" s="1" t="s">
        <v>1395</v>
      </c>
      <c r="GB17" s="1">
        <v>0</v>
      </c>
    </row>
    <row r="18" spans="1:184" x14ac:dyDescent="0.25">
      <c r="A18" s="1" t="s">
        <v>1425</v>
      </c>
      <c r="B18" s="321" t="s">
        <v>1554</v>
      </c>
      <c r="C18" s="319">
        <v>12</v>
      </c>
      <c r="D18" s="1" t="s">
        <v>1238</v>
      </c>
      <c r="E18" s="1" t="s">
        <v>1232</v>
      </c>
      <c r="F18" s="1">
        <v>-5.7</v>
      </c>
      <c r="G18" s="1">
        <v>-6</v>
      </c>
      <c r="H18" s="1" t="s">
        <v>1387</v>
      </c>
      <c r="J18" s="1" t="s">
        <v>1378</v>
      </c>
      <c r="U18" s="1">
        <v>45</v>
      </c>
      <c r="V18" s="1">
        <v>81</v>
      </c>
      <c r="W18" s="1">
        <v>1005</v>
      </c>
      <c r="X18" s="1">
        <v>1004</v>
      </c>
      <c r="Y18" s="1">
        <v>1003</v>
      </c>
      <c r="Z18" s="1">
        <v>2055</v>
      </c>
      <c r="AA18" s="1">
        <v>2060</v>
      </c>
      <c r="AB18" s="1">
        <v>5003</v>
      </c>
      <c r="AQ18" s="1">
        <v>11</v>
      </c>
      <c r="AR18" s="1">
        <v>8</v>
      </c>
      <c r="AS18" s="1">
        <v>9</v>
      </c>
      <c r="AT18" s="1">
        <v>-2</v>
      </c>
      <c r="AU18" s="1">
        <v>67</v>
      </c>
      <c r="AV18" s="1">
        <v>17</v>
      </c>
      <c r="BK18" s="1">
        <v>-2</v>
      </c>
      <c r="BL18" s="1">
        <v>2</v>
      </c>
      <c r="BM18" s="1">
        <v>3</v>
      </c>
      <c r="BN18" s="1">
        <v>-11</v>
      </c>
      <c r="BO18" s="1">
        <v>-2</v>
      </c>
      <c r="BP18" s="1">
        <v>-8</v>
      </c>
      <c r="CE18" s="1" t="s">
        <v>412</v>
      </c>
      <c r="CF18" s="1" t="s">
        <v>412</v>
      </c>
      <c r="CG18" s="1" t="s">
        <v>12</v>
      </c>
      <c r="CH18" s="1" t="s">
        <v>7</v>
      </c>
      <c r="CI18" s="1" t="s">
        <v>7</v>
      </c>
      <c r="CJ18" s="1" t="s">
        <v>1177</v>
      </c>
      <c r="CY18" s="1">
        <v>11</v>
      </c>
      <c r="CZ18" s="1">
        <v>12</v>
      </c>
      <c r="DA18" s="1">
        <v>13</v>
      </c>
      <c r="DB18" s="1">
        <v>14</v>
      </c>
      <c r="DC18" s="1">
        <v>15</v>
      </c>
      <c r="DD18" s="1">
        <v>16</v>
      </c>
      <c r="DS18" s="1">
        <v>29</v>
      </c>
      <c r="DT18" s="1">
        <v>13</v>
      </c>
      <c r="DU18" s="1">
        <v>23</v>
      </c>
      <c r="DV18" s="1">
        <v>16</v>
      </c>
      <c r="DW18" s="1">
        <v>0</v>
      </c>
      <c r="DX18" s="1">
        <v>0</v>
      </c>
      <c r="DY18" s="1">
        <v>0</v>
      </c>
      <c r="DZ18" s="1">
        <v>0</v>
      </c>
      <c r="EA18" s="1">
        <v>0</v>
      </c>
      <c r="EB18" s="1">
        <v>0</v>
      </c>
      <c r="EC18" s="1">
        <v>0</v>
      </c>
      <c r="ED18" s="1">
        <v>0</v>
      </c>
      <c r="EE18" s="1">
        <v>0</v>
      </c>
      <c r="EF18" s="1">
        <v>0</v>
      </c>
      <c r="EG18" s="1">
        <v>0</v>
      </c>
      <c r="EH18" s="1">
        <v>0</v>
      </c>
      <c r="EI18" s="1">
        <v>0</v>
      </c>
      <c r="EJ18" s="1">
        <v>0</v>
      </c>
      <c r="EK18" s="1">
        <v>0</v>
      </c>
      <c r="EL18" s="1">
        <v>0</v>
      </c>
      <c r="EM18" s="1">
        <v>-13</v>
      </c>
      <c r="EN18" s="1">
        <v>3</v>
      </c>
      <c r="EO18" s="1">
        <v>0</v>
      </c>
      <c r="EP18" s="1">
        <v>-8</v>
      </c>
      <c r="FG18" s="1">
        <v>2</v>
      </c>
      <c r="FH18" s="1">
        <v>1</v>
      </c>
      <c r="FI18" s="1">
        <v>2</v>
      </c>
      <c r="FJ18" s="1">
        <v>1</v>
      </c>
      <c r="FK18" s="1">
        <v>0</v>
      </c>
      <c r="FL18" s="1">
        <v>0</v>
      </c>
      <c r="FM18" s="1">
        <v>0</v>
      </c>
      <c r="FN18" s="1">
        <v>0</v>
      </c>
      <c r="FO18" s="1">
        <v>0</v>
      </c>
      <c r="GA18" s="1" t="s">
        <v>1396</v>
      </c>
      <c r="GB18" s="1">
        <v>0</v>
      </c>
    </row>
    <row r="19" spans="1:184" x14ac:dyDescent="0.25">
      <c r="A19" s="1" t="s">
        <v>1426</v>
      </c>
      <c r="B19" s="321" t="s">
        <v>1555</v>
      </c>
      <c r="C19" s="319">
        <v>13</v>
      </c>
      <c r="D19" s="1" t="s">
        <v>1238</v>
      </c>
      <c r="E19" s="1" t="s">
        <v>1232</v>
      </c>
      <c r="F19" s="1">
        <v>-5.7</v>
      </c>
      <c r="G19" s="1">
        <v>-6</v>
      </c>
      <c r="H19" s="1" t="s">
        <v>1387</v>
      </c>
      <c r="J19" s="1" t="s">
        <v>1378</v>
      </c>
      <c r="U19" s="1">
        <v>45</v>
      </c>
      <c r="V19" s="1">
        <v>81</v>
      </c>
      <c r="W19" s="1">
        <v>1005</v>
      </c>
      <c r="X19" s="1">
        <v>1004</v>
      </c>
      <c r="Y19" s="1">
        <v>1003</v>
      </c>
      <c r="Z19" s="1">
        <v>2055</v>
      </c>
      <c r="AA19" s="1">
        <v>2060</v>
      </c>
      <c r="AB19" s="1">
        <v>5003</v>
      </c>
      <c r="AQ19" s="1">
        <v>10</v>
      </c>
      <c r="AR19" s="1">
        <v>7</v>
      </c>
      <c r="AS19" s="1">
        <v>8</v>
      </c>
      <c r="AT19" s="1">
        <v>-1</v>
      </c>
      <c r="AU19" s="1">
        <v>60</v>
      </c>
      <c r="AV19" s="1">
        <v>13</v>
      </c>
      <c r="BK19" s="1">
        <v>-3</v>
      </c>
      <c r="BL19" s="1">
        <v>0</v>
      </c>
      <c r="BM19" s="1">
        <v>0</v>
      </c>
      <c r="BN19" s="1">
        <v>-7</v>
      </c>
      <c r="BO19" s="1">
        <v>-20</v>
      </c>
      <c r="BP19" s="1">
        <v>-1</v>
      </c>
      <c r="CE19" s="1" t="s">
        <v>412</v>
      </c>
      <c r="CF19" s="1" t="s">
        <v>412</v>
      </c>
      <c r="CG19" s="1" t="s">
        <v>12</v>
      </c>
      <c r="CH19" s="1" t="s">
        <v>7</v>
      </c>
      <c r="CI19" s="1" t="s">
        <v>7</v>
      </c>
      <c r="CJ19" s="1" t="s">
        <v>1177</v>
      </c>
      <c r="CY19" s="1">
        <v>11</v>
      </c>
      <c r="CZ19" s="1">
        <v>12</v>
      </c>
      <c r="DA19" s="1">
        <v>13</v>
      </c>
      <c r="DB19" s="1">
        <v>14</v>
      </c>
      <c r="DC19" s="1">
        <v>15</v>
      </c>
      <c r="DD19" s="1">
        <v>16</v>
      </c>
      <c r="DS19" s="1">
        <v>29</v>
      </c>
      <c r="DT19" s="1">
        <v>13</v>
      </c>
      <c r="DU19" s="1">
        <v>23</v>
      </c>
      <c r="DV19" s="1">
        <v>16</v>
      </c>
      <c r="DW19" s="1">
        <v>0</v>
      </c>
      <c r="DX19" s="1">
        <v>0</v>
      </c>
      <c r="DY19" s="1">
        <v>0</v>
      </c>
      <c r="DZ19" s="1">
        <v>0</v>
      </c>
      <c r="EA19" s="1">
        <v>0</v>
      </c>
      <c r="EB19" s="1">
        <v>0</v>
      </c>
      <c r="EC19" s="1">
        <v>0</v>
      </c>
      <c r="ED19" s="1">
        <v>0</v>
      </c>
      <c r="EE19" s="1">
        <v>0</v>
      </c>
      <c r="EF19" s="1">
        <v>0</v>
      </c>
      <c r="EG19" s="1">
        <v>0</v>
      </c>
      <c r="EH19" s="1">
        <v>0</v>
      </c>
      <c r="EI19" s="1">
        <v>0</v>
      </c>
      <c r="EJ19" s="1">
        <v>0</v>
      </c>
      <c r="EK19" s="1">
        <v>0</v>
      </c>
      <c r="EL19" s="1">
        <v>0</v>
      </c>
      <c r="EM19" s="1">
        <v>-27</v>
      </c>
      <c r="EN19" s="1">
        <v>0</v>
      </c>
      <c r="EO19" s="1">
        <v>-3</v>
      </c>
      <c r="EP19" s="1">
        <v>-1</v>
      </c>
      <c r="FG19" s="1">
        <v>2</v>
      </c>
      <c r="FH19" s="1">
        <v>1</v>
      </c>
      <c r="FI19" s="1">
        <v>2</v>
      </c>
      <c r="FJ19" s="1">
        <v>1</v>
      </c>
      <c r="FK19" s="1">
        <v>0</v>
      </c>
      <c r="FL19" s="1">
        <v>0</v>
      </c>
      <c r="FM19" s="1">
        <v>0</v>
      </c>
      <c r="FN19" s="1">
        <v>0</v>
      </c>
      <c r="FO19" s="1">
        <v>0</v>
      </c>
      <c r="GA19" s="1" t="s">
        <v>1397</v>
      </c>
      <c r="GB19" s="1">
        <v>3301</v>
      </c>
    </row>
    <row r="20" spans="1:184" x14ac:dyDescent="0.25">
      <c r="A20" s="1" t="s">
        <v>1427</v>
      </c>
      <c r="B20" s="321" t="s">
        <v>1556</v>
      </c>
      <c r="C20" s="319">
        <v>15</v>
      </c>
      <c r="D20" s="1" t="s">
        <v>1238</v>
      </c>
      <c r="E20" s="1" t="s">
        <v>1232</v>
      </c>
      <c r="F20" s="1">
        <v>-6</v>
      </c>
      <c r="G20" s="1">
        <v>-6</v>
      </c>
      <c r="H20" s="1" t="s">
        <v>1387</v>
      </c>
      <c r="J20" s="1" t="s">
        <v>1378</v>
      </c>
      <c r="U20" s="1">
        <v>75</v>
      </c>
      <c r="V20" s="1">
        <v>81</v>
      </c>
      <c r="W20" s="1">
        <v>5001</v>
      </c>
      <c r="X20" s="1">
        <v>3044</v>
      </c>
      <c r="Y20" s="1">
        <v>3032</v>
      </c>
      <c r="Z20" s="1">
        <v>2128</v>
      </c>
      <c r="AA20" s="1">
        <v>2120</v>
      </c>
      <c r="AB20" s="1">
        <v>2069</v>
      </c>
      <c r="AQ20" s="1">
        <v>11</v>
      </c>
      <c r="AR20" s="1">
        <v>0</v>
      </c>
      <c r="AS20" s="1">
        <v>0</v>
      </c>
      <c r="AU20" s="1">
        <v>22</v>
      </c>
      <c r="AV20" s="1">
        <v>0</v>
      </c>
      <c r="BK20" s="1">
        <v>-8</v>
      </c>
      <c r="BL20" s="1">
        <v>-36</v>
      </c>
      <c r="BM20" s="1">
        <v>-36</v>
      </c>
      <c r="BN20" s="1">
        <v>-36</v>
      </c>
      <c r="BO20" s="1">
        <v>-36</v>
      </c>
      <c r="BP20" s="1">
        <v>-36</v>
      </c>
      <c r="CE20" s="1" t="s">
        <v>1177</v>
      </c>
      <c r="CF20" s="1" t="s">
        <v>12</v>
      </c>
      <c r="CG20" s="1" t="s">
        <v>12</v>
      </c>
      <c r="CH20" s="1" t="s">
        <v>7</v>
      </c>
      <c r="CI20" s="1" t="s">
        <v>7</v>
      </c>
      <c r="CJ20" s="1" t="s">
        <v>7</v>
      </c>
      <c r="CY20" s="1">
        <v>11</v>
      </c>
      <c r="CZ20" s="1">
        <v>12</v>
      </c>
      <c r="DA20" s="1">
        <v>13</v>
      </c>
      <c r="DB20" s="1">
        <v>14</v>
      </c>
      <c r="DC20" s="1">
        <v>15</v>
      </c>
      <c r="DD20" s="1">
        <v>16</v>
      </c>
      <c r="DS20" s="1">
        <v>45</v>
      </c>
      <c r="DT20" s="1">
        <v>25</v>
      </c>
      <c r="DU20" s="1">
        <v>0</v>
      </c>
      <c r="DV20" s="1">
        <v>11</v>
      </c>
      <c r="DW20" s="1">
        <v>0</v>
      </c>
      <c r="DX20" s="1">
        <v>0</v>
      </c>
      <c r="DY20" s="1">
        <v>0</v>
      </c>
      <c r="DZ20" s="1">
        <v>0</v>
      </c>
      <c r="EA20" s="1">
        <v>0</v>
      </c>
      <c r="EB20" s="1">
        <v>0</v>
      </c>
      <c r="EC20" s="1">
        <v>0</v>
      </c>
      <c r="ED20" s="1">
        <v>0</v>
      </c>
      <c r="EE20" s="1">
        <v>0</v>
      </c>
      <c r="EF20" s="1">
        <v>0</v>
      </c>
      <c r="EG20" s="1">
        <v>0</v>
      </c>
      <c r="EH20" s="1">
        <v>0</v>
      </c>
      <c r="EI20" s="1">
        <v>0</v>
      </c>
      <c r="EJ20" s="1">
        <v>0</v>
      </c>
      <c r="EK20" s="1">
        <v>0</v>
      </c>
      <c r="EL20" s="1">
        <v>0</v>
      </c>
      <c r="EM20" s="1">
        <v>-108</v>
      </c>
      <c r="EN20" s="1">
        <v>-72</v>
      </c>
      <c r="EP20" s="1">
        <v>-8</v>
      </c>
      <c r="FG20" s="1">
        <v>3</v>
      </c>
      <c r="FH20" s="1">
        <v>2</v>
      </c>
      <c r="FI20" s="1">
        <v>0</v>
      </c>
      <c r="FJ20" s="1">
        <v>1</v>
      </c>
      <c r="FK20" s="1">
        <v>0</v>
      </c>
      <c r="FL20" s="1">
        <v>0</v>
      </c>
      <c r="FM20" s="1">
        <v>0</v>
      </c>
      <c r="FN20" s="1">
        <v>0</v>
      </c>
      <c r="FO20" s="1">
        <v>0</v>
      </c>
      <c r="GA20" s="1" t="s">
        <v>1398</v>
      </c>
      <c r="GB20" s="1">
        <v>249</v>
      </c>
    </row>
    <row r="21" spans="1:184" x14ac:dyDescent="0.25">
      <c r="A21" s="1" t="s">
        <v>1428</v>
      </c>
      <c r="B21" s="321" t="s">
        <v>1535</v>
      </c>
      <c r="C21" s="319">
        <v>16</v>
      </c>
      <c r="D21" s="1" t="s">
        <v>1238</v>
      </c>
      <c r="E21" s="1" t="s">
        <v>1232</v>
      </c>
      <c r="F21" s="1">
        <v>-6.2</v>
      </c>
      <c r="G21" s="1">
        <v>-6</v>
      </c>
      <c r="H21" s="1" t="s">
        <v>1387</v>
      </c>
      <c r="J21" s="1" t="s">
        <v>1378</v>
      </c>
      <c r="U21" s="1">
        <v>75</v>
      </c>
      <c r="V21" s="1">
        <v>81</v>
      </c>
      <c r="W21" s="1">
        <v>5001</v>
      </c>
      <c r="X21" s="1">
        <v>3044</v>
      </c>
      <c r="Y21" s="1">
        <v>3032</v>
      </c>
      <c r="Z21" s="1">
        <v>2128</v>
      </c>
      <c r="AA21" s="1">
        <v>2120</v>
      </c>
      <c r="AB21" s="1">
        <v>2069</v>
      </c>
      <c r="AQ21" s="1">
        <v>10</v>
      </c>
      <c r="AR21" s="1">
        <v>0</v>
      </c>
      <c r="AS21" s="1">
        <v>0</v>
      </c>
      <c r="AU21" s="1">
        <v>22</v>
      </c>
      <c r="AV21" s="1">
        <v>0</v>
      </c>
      <c r="BK21" s="1">
        <v>-5</v>
      </c>
      <c r="BL21" s="1">
        <v>-36</v>
      </c>
      <c r="BM21" s="1">
        <v>-36</v>
      </c>
      <c r="BN21" s="1">
        <v>-36</v>
      </c>
      <c r="BO21" s="1">
        <v>-36</v>
      </c>
      <c r="BP21" s="1">
        <v>-36</v>
      </c>
      <c r="CE21" s="1" t="s">
        <v>1177</v>
      </c>
      <c r="CF21" s="1" t="s">
        <v>12</v>
      </c>
      <c r="CG21" s="1" t="s">
        <v>12</v>
      </c>
      <c r="CH21" s="1" t="s">
        <v>7</v>
      </c>
      <c r="CI21" s="1" t="s">
        <v>7</v>
      </c>
      <c r="CJ21" s="1" t="s">
        <v>7</v>
      </c>
      <c r="CY21" s="1">
        <v>11</v>
      </c>
      <c r="CZ21" s="1">
        <v>12</v>
      </c>
      <c r="DA21" s="1">
        <v>13</v>
      </c>
      <c r="DB21" s="1">
        <v>14</v>
      </c>
      <c r="DC21" s="1">
        <v>15</v>
      </c>
      <c r="DD21" s="1">
        <v>16</v>
      </c>
      <c r="DS21" s="1">
        <v>45</v>
      </c>
      <c r="DT21" s="1">
        <v>25</v>
      </c>
      <c r="DU21" s="1">
        <v>0</v>
      </c>
      <c r="DV21" s="1">
        <v>11</v>
      </c>
      <c r="DW21" s="1">
        <v>0</v>
      </c>
      <c r="DX21" s="1">
        <v>0</v>
      </c>
      <c r="DY21" s="1">
        <v>0</v>
      </c>
      <c r="DZ21" s="1">
        <v>0</v>
      </c>
      <c r="EA21" s="1">
        <v>0</v>
      </c>
      <c r="EB21" s="1">
        <v>0</v>
      </c>
      <c r="EC21" s="1">
        <v>0</v>
      </c>
      <c r="ED21" s="1">
        <v>0</v>
      </c>
      <c r="EE21" s="1">
        <v>0</v>
      </c>
      <c r="EF21" s="1">
        <v>0</v>
      </c>
      <c r="EG21" s="1">
        <v>0</v>
      </c>
      <c r="EH21" s="1">
        <v>0</v>
      </c>
      <c r="EI21" s="1">
        <v>0</v>
      </c>
      <c r="EJ21" s="1">
        <v>0</v>
      </c>
      <c r="EK21" s="1">
        <v>0</v>
      </c>
      <c r="EL21" s="1">
        <v>0</v>
      </c>
      <c r="EM21" s="1">
        <v>-108</v>
      </c>
      <c r="EN21" s="1">
        <v>-72</v>
      </c>
      <c r="EP21" s="1">
        <v>-5</v>
      </c>
      <c r="FG21" s="1">
        <v>3</v>
      </c>
      <c r="FH21" s="1">
        <v>2</v>
      </c>
      <c r="FI21" s="1">
        <v>0</v>
      </c>
      <c r="FJ21" s="1">
        <v>1</v>
      </c>
      <c r="FK21" s="1">
        <v>0</v>
      </c>
      <c r="FL21" s="1">
        <v>0</v>
      </c>
      <c r="FM21" s="1">
        <v>0</v>
      </c>
      <c r="FN21" s="1">
        <v>0</v>
      </c>
      <c r="FO21" s="1">
        <v>0</v>
      </c>
      <c r="GA21" s="1" t="s">
        <v>1399</v>
      </c>
      <c r="GB21" s="1">
        <v>0</v>
      </c>
    </row>
    <row r="22" spans="1:184" x14ac:dyDescent="0.25">
      <c r="A22" s="1" t="s">
        <v>1429</v>
      </c>
      <c r="B22" s="321" t="s">
        <v>1557</v>
      </c>
      <c r="C22" s="319">
        <v>17</v>
      </c>
      <c r="D22" s="1" t="s">
        <v>1238</v>
      </c>
      <c r="E22" s="1" t="s">
        <v>1232</v>
      </c>
      <c r="F22" s="1">
        <v>-6.1</v>
      </c>
      <c r="G22" s="1">
        <v>-6</v>
      </c>
      <c r="H22" s="1" t="s">
        <v>1387</v>
      </c>
      <c r="J22" s="1" t="s">
        <v>1378</v>
      </c>
      <c r="U22" s="1">
        <v>75</v>
      </c>
      <c r="V22" s="1">
        <v>81</v>
      </c>
      <c r="W22" s="1">
        <v>5001</v>
      </c>
      <c r="X22" s="1">
        <v>3044</v>
      </c>
      <c r="Y22" s="1">
        <v>3032</v>
      </c>
      <c r="Z22" s="1">
        <v>2128</v>
      </c>
      <c r="AA22" s="1">
        <v>2120</v>
      </c>
      <c r="AB22" s="1">
        <v>2069</v>
      </c>
      <c r="AQ22" s="1">
        <v>11</v>
      </c>
      <c r="AS22" s="1">
        <v>13</v>
      </c>
      <c r="AT22" s="1">
        <v>14</v>
      </c>
      <c r="AU22" s="1">
        <v>25</v>
      </c>
      <c r="BK22" s="1">
        <v>-7</v>
      </c>
      <c r="CE22" s="1" t="s">
        <v>1177</v>
      </c>
      <c r="CF22" s="1" t="s">
        <v>12</v>
      </c>
      <c r="CG22" s="1" t="s">
        <v>12</v>
      </c>
      <c r="CH22" s="1" t="s">
        <v>7</v>
      </c>
      <c r="CI22" s="1" t="s">
        <v>7</v>
      </c>
      <c r="CJ22" s="1" t="s">
        <v>7</v>
      </c>
      <c r="CY22" s="1">
        <v>11</v>
      </c>
      <c r="CZ22" s="1">
        <v>12</v>
      </c>
      <c r="DA22" s="1">
        <v>13</v>
      </c>
      <c r="DB22" s="1">
        <v>14</v>
      </c>
      <c r="DC22" s="1">
        <v>15</v>
      </c>
      <c r="DD22" s="1">
        <v>16</v>
      </c>
      <c r="DS22" s="1">
        <v>45</v>
      </c>
      <c r="DT22" s="1">
        <v>25</v>
      </c>
      <c r="DU22" s="1">
        <v>0</v>
      </c>
      <c r="DV22" s="1">
        <v>11</v>
      </c>
      <c r="DW22" s="1">
        <v>0</v>
      </c>
      <c r="DX22" s="1">
        <v>0</v>
      </c>
      <c r="DY22" s="1">
        <v>0</v>
      </c>
      <c r="DZ22" s="1">
        <v>0</v>
      </c>
      <c r="EA22" s="1">
        <v>0</v>
      </c>
      <c r="EB22" s="1">
        <v>0</v>
      </c>
      <c r="EC22" s="1">
        <v>0</v>
      </c>
      <c r="ED22" s="1">
        <v>0</v>
      </c>
      <c r="EE22" s="1">
        <v>0</v>
      </c>
      <c r="EF22" s="1">
        <v>0</v>
      </c>
      <c r="EG22" s="1">
        <v>0</v>
      </c>
      <c r="EH22" s="1">
        <v>0</v>
      </c>
      <c r="EI22" s="1">
        <v>0</v>
      </c>
      <c r="EJ22" s="1">
        <v>0</v>
      </c>
      <c r="EK22" s="1">
        <v>0</v>
      </c>
      <c r="EL22" s="1">
        <v>0</v>
      </c>
      <c r="EM22" s="1">
        <v>0</v>
      </c>
      <c r="EN22" s="1">
        <v>0</v>
      </c>
      <c r="EP22" s="1">
        <v>-7</v>
      </c>
      <c r="FG22" s="1">
        <v>3</v>
      </c>
      <c r="FH22" s="1">
        <v>2</v>
      </c>
      <c r="FI22" s="1">
        <v>0</v>
      </c>
      <c r="FJ22" s="1">
        <v>1</v>
      </c>
      <c r="FK22" s="1">
        <v>0</v>
      </c>
      <c r="FL22" s="1">
        <v>0</v>
      </c>
      <c r="FM22" s="1">
        <v>0</v>
      </c>
      <c r="FN22" s="1">
        <v>0</v>
      </c>
      <c r="FO22" s="1">
        <v>0</v>
      </c>
      <c r="GA22" s="1" t="s">
        <v>1400</v>
      </c>
      <c r="GB22" s="1">
        <v>0</v>
      </c>
    </row>
    <row r="23" spans="1:184" x14ac:dyDescent="0.25">
      <c r="A23" s="1" t="s">
        <v>1430</v>
      </c>
      <c r="B23" s="321" t="s">
        <v>1558</v>
      </c>
      <c r="C23" s="319">
        <v>18</v>
      </c>
      <c r="D23" s="1" t="s">
        <v>1238</v>
      </c>
      <c r="E23" s="1" t="s">
        <v>1232</v>
      </c>
      <c r="F23" s="1">
        <v>-6</v>
      </c>
      <c r="G23" s="1">
        <v>-6</v>
      </c>
      <c r="H23" s="1" t="s">
        <v>1387</v>
      </c>
      <c r="J23" s="1" t="s">
        <v>1378</v>
      </c>
      <c r="U23" s="1">
        <v>75</v>
      </c>
      <c r="V23" s="1">
        <v>81</v>
      </c>
      <c r="W23" s="1">
        <v>5001</v>
      </c>
      <c r="X23" s="1">
        <v>3044</v>
      </c>
      <c r="Y23" s="1">
        <v>3032</v>
      </c>
      <c r="Z23" s="1">
        <v>2128</v>
      </c>
      <c r="AA23" s="1">
        <v>2120</v>
      </c>
      <c r="AB23" s="1">
        <v>2069</v>
      </c>
      <c r="AQ23" s="1">
        <v>11</v>
      </c>
      <c r="AR23" s="1">
        <v>0</v>
      </c>
      <c r="AS23" s="1">
        <v>0</v>
      </c>
      <c r="AU23" s="1">
        <v>22</v>
      </c>
      <c r="AV23" s="1">
        <v>0</v>
      </c>
      <c r="BK23" s="1">
        <v>-8</v>
      </c>
      <c r="BL23" s="1">
        <v>-36</v>
      </c>
      <c r="BM23" s="1">
        <v>-36</v>
      </c>
      <c r="BN23" s="1">
        <v>-36</v>
      </c>
      <c r="BO23" s="1">
        <v>-36</v>
      </c>
      <c r="BP23" s="1">
        <v>-36</v>
      </c>
      <c r="CE23" s="1" t="s">
        <v>1177</v>
      </c>
      <c r="CF23" s="1" t="s">
        <v>12</v>
      </c>
      <c r="CG23" s="1" t="s">
        <v>12</v>
      </c>
      <c r="CH23" s="1" t="s">
        <v>7</v>
      </c>
      <c r="CI23" s="1" t="s">
        <v>7</v>
      </c>
      <c r="CJ23" s="1" t="s">
        <v>7</v>
      </c>
      <c r="CY23" s="1">
        <v>11</v>
      </c>
      <c r="CZ23" s="1">
        <v>12</v>
      </c>
      <c r="DA23" s="1">
        <v>13</v>
      </c>
      <c r="DB23" s="1">
        <v>14</v>
      </c>
      <c r="DC23" s="1">
        <v>15</v>
      </c>
      <c r="DD23" s="1">
        <v>16</v>
      </c>
      <c r="DS23" s="1">
        <v>45</v>
      </c>
      <c r="DT23" s="1">
        <v>25</v>
      </c>
      <c r="DU23" s="1">
        <v>0</v>
      </c>
      <c r="DV23" s="1">
        <v>11</v>
      </c>
      <c r="DW23" s="1">
        <v>0</v>
      </c>
      <c r="DX23" s="1">
        <v>0</v>
      </c>
      <c r="DY23" s="1">
        <v>0</v>
      </c>
      <c r="DZ23" s="1">
        <v>0</v>
      </c>
      <c r="EA23" s="1">
        <v>0</v>
      </c>
      <c r="EB23" s="1">
        <v>0</v>
      </c>
      <c r="EC23" s="1">
        <v>0</v>
      </c>
      <c r="ED23" s="1">
        <v>0</v>
      </c>
      <c r="EE23" s="1">
        <v>0</v>
      </c>
      <c r="EF23" s="1">
        <v>0</v>
      </c>
      <c r="EG23" s="1">
        <v>0</v>
      </c>
      <c r="EH23" s="1">
        <v>0</v>
      </c>
      <c r="EI23" s="1">
        <v>0</v>
      </c>
      <c r="EJ23" s="1">
        <v>0</v>
      </c>
      <c r="EK23" s="1">
        <v>0</v>
      </c>
      <c r="EL23" s="1">
        <v>0</v>
      </c>
      <c r="EM23" s="1">
        <v>-108</v>
      </c>
      <c r="EN23" s="1">
        <v>-72</v>
      </c>
      <c r="EP23" s="1">
        <v>-8</v>
      </c>
      <c r="FG23" s="1">
        <v>3</v>
      </c>
      <c r="FH23" s="1">
        <v>2</v>
      </c>
      <c r="FI23" s="1">
        <v>0</v>
      </c>
      <c r="FJ23" s="1">
        <v>1</v>
      </c>
      <c r="FK23" s="1">
        <v>0</v>
      </c>
      <c r="FL23" s="1">
        <v>0</v>
      </c>
      <c r="FM23" s="1">
        <v>0</v>
      </c>
      <c r="FN23" s="1">
        <v>0</v>
      </c>
      <c r="FO23" s="1">
        <v>0</v>
      </c>
      <c r="GA23" s="1" t="s">
        <v>1401</v>
      </c>
      <c r="GB23" s="1">
        <v>38228</v>
      </c>
    </row>
    <row r="24" spans="1:184" x14ac:dyDescent="0.25">
      <c r="A24" s="1" t="s">
        <v>1431</v>
      </c>
      <c r="B24" s="321" t="s">
        <v>1559</v>
      </c>
      <c r="C24" s="319">
        <v>19</v>
      </c>
      <c r="D24" s="1" t="s">
        <v>1238</v>
      </c>
      <c r="E24" s="1" t="s">
        <v>1232</v>
      </c>
      <c r="F24" s="1">
        <v>-4.9000000000000004</v>
      </c>
      <c r="G24" s="1">
        <v>-5</v>
      </c>
      <c r="H24" s="1" t="s">
        <v>1387</v>
      </c>
      <c r="J24" s="1" t="s">
        <v>1378</v>
      </c>
      <c r="U24" s="1">
        <v>40</v>
      </c>
      <c r="V24" s="1">
        <v>35</v>
      </c>
      <c r="W24" s="1">
        <v>8017</v>
      </c>
      <c r="X24" s="1">
        <v>8011</v>
      </c>
      <c r="Y24" s="1">
        <v>2023</v>
      </c>
      <c r="Z24" s="1">
        <v>2056</v>
      </c>
      <c r="AA24" s="1">
        <v>2073</v>
      </c>
      <c r="AB24" s="1">
        <v>2128</v>
      </c>
      <c r="AQ24" s="1">
        <v>7.7</v>
      </c>
      <c r="AR24" s="1">
        <v>1</v>
      </c>
      <c r="AS24" s="1">
        <v>7</v>
      </c>
      <c r="AT24" s="1">
        <v>5</v>
      </c>
      <c r="AU24" s="1">
        <v>0</v>
      </c>
      <c r="AV24" s="1">
        <v>10</v>
      </c>
      <c r="BK24" s="1">
        <v>-4</v>
      </c>
      <c r="BL24" s="1">
        <v>4</v>
      </c>
      <c r="BM24" s="1">
        <v>-12</v>
      </c>
      <c r="BN24" s="1">
        <v>-36</v>
      </c>
      <c r="BO24" s="1">
        <v>-36</v>
      </c>
      <c r="BP24" s="1">
        <v>-36</v>
      </c>
      <c r="CE24" s="1" t="s">
        <v>249</v>
      </c>
      <c r="CF24" s="1" t="s">
        <v>249</v>
      </c>
      <c r="CG24" s="1" t="s">
        <v>7</v>
      </c>
      <c r="CH24" s="1" t="s">
        <v>7</v>
      </c>
      <c r="CI24" s="1" t="s">
        <v>7</v>
      </c>
      <c r="CJ24" s="1" t="s">
        <v>7</v>
      </c>
      <c r="CY24" s="1">
        <v>5</v>
      </c>
      <c r="CZ24" s="1">
        <v>5</v>
      </c>
      <c r="DA24" s="1">
        <v>5</v>
      </c>
      <c r="DC24" s="1">
        <v>10</v>
      </c>
      <c r="DD24" s="1">
        <v>10</v>
      </c>
      <c r="DS24" s="1">
        <v>25</v>
      </c>
      <c r="DT24" s="1">
        <v>0</v>
      </c>
      <c r="DU24" s="1">
        <v>0</v>
      </c>
      <c r="DV24" s="1">
        <v>0</v>
      </c>
      <c r="DW24" s="1">
        <v>0</v>
      </c>
      <c r="DX24" s="1">
        <v>0</v>
      </c>
      <c r="DY24" s="1">
        <v>10</v>
      </c>
      <c r="DZ24" s="1">
        <v>0</v>
      </c>
      <c r="EA24" s="1">
        <v>0</v>
      </c>
      <c r="EB24" s="1">
        <v>0</v>
      </c>
      <c r="EC24" s="1">
        <v>0</v>
      </c>
      <c r="ED24" s="1">
        <v>0</v>
      </c>
      <c r="EE24" s="1">
        <v>0</v>
      </c>
      <c r="EF24" s="1">
        <v>0</v>
      </c>
      <c r="EG24" s="1">
        <v>0</v>
      </c>
      <c r="EH24" s="1">
        <v>0</v>
      </c>
      <c r="EI24" s="1">
        <v>0</v>
      </c>
      <c r="EJ24" s="1">
        <v>0</v>
      </c>
      <c r="EK24" s="1">
        <v>0</v>
      </c>
      <c r="EL24" s="1">
        <v>0</v>
      </c>
      <c r="EM24" s="1">
        <v>-120</v>
      </c>
      <c r="ES24" s="1">
        <v>0</v>
      </c>
      <c r="FG24" s="1">
        <v>4</v>
      </c>
      <c r="FH24" s="1">
        <v>0</v>
      </c>
      <c r="FI24" s="1">
        <v>0</v>
      </c>
      <c r="FJ24" s="1">
        <v>0</v>
      </c>
      <c r="FK24" s="1">
        <v>0</v>
      </c>
      <c r="FL24" s="1">
        <v>0</v>
      </c>
      <c r="FM24" s="1">
        <v>2</v>
      </c>
      <c r="FN24" s="1">
        <v>0</v>
      </c>
      <c r="FO24" s="1">
        <v>0</v>
      </c>
      <c r="GA24" s="1" t="s">
        <v>1402</v>
      </c>
      <c r="GB24" s="1">
        <v>663</v>
      </c>
    </row>
    <row r="25" spans="1:184" x14ac:dyDescent="0.25">
      <c r="A25" s="1" t="s">
        <v>1432</v>
      </c>
      <c r="B25" s="321" t="s">
        <v>1560</v>
      </c>
      <c r="C25" s="319">
        <v>20</v>
      </c>
      <c r="D25" s="1" t="s">
        <v>1238</v>
      </c>
      <c r="E25" s="1" t="s">
        <v>1232</v>
      </c>
      <c r="F25" s="1">
        <v>-4.9000000000000004</v>
      </c>
      <c r="G25" s="1">
        <v>-5</v>
      </c>
      <c r="H25" s="1" t="s">
        <v>1387</v>
      </c>
      <c r="J25" s="1" t="s">
        <v>1378</v>
      </c>
      <c r="U25" s="1">
        <v>40</v>
      </c>
      <c r="V25" s="1">
        <v>35</v>
      </c>
      <c r="W25" s="1">
        <v>8017</v>
      </c>
      <c r="X25" s="1">
        <v>8011</v>
      </c>
      <c r="Y25" s="1">
        <v>2023</v>
      </c>
      <c r="Z25" s="1">
        <v>2056</v>
      </c>
      <c r="AA25" s="1">
        <v>2073</v>
      </c>
      <c r="AB25" s="1">
        <v>2128</v>
      </c>
      <c r="AQ25" s="1">
        <v>7.3</v>
      </c>
      <c r="AR25" s="1">
        <v>1</v>
      </c>
      <c r="AS25" s="1">
        <v>7</v>
      </c>
      <c r="AT25" s="1">
        <v>5</v>
      </c>
      <c r="AU25" s="1">
        <v>0</v>
      </c>
      <c r="AV25" s="1">
        <v>10</v>
      </c>
      <c r="BK25" s="1">
        <v>-3</v>
      </c>
      <c r="BL25" s="1">
        <v>4</v>
      </c>
      <c r="BM25" s="1">
        <v>-12</v>
      </c>
      <c r="BN25" s="1">
        <v>-36</v>
      </c>
      <c r="BO25" s="1">
        <v>-36</v>
      </c>
      <c r="BP25" s="1">
        <v>-36</v>
      </c>
      <c r="CE25" s="1" t="s">
        <v>249</v>
      </c>
      <c r="CF25" s="1" t="s">
        <v>249</v>
      </c>
      <c r="CG25" s="1" t="s">
        <v>7</v>
      </c>
      <c r="CH25" s="1" t="s">
        <v>7</v>
      </c>
      <c r="CI25" s="1" t="s">
        <v>7</v>
      </c>
      <c r="CJ25" s="1" t="s">
        <v>7</v>
      </c>
      <c r="CY25" s="1">
        <v>5</v>
      </c>
      <c r="CZ25" s="1">
        <v>5</v>
      </c>
      <c r="DA25" s="1">
        <v>5</v>
      </c>
      <c r="DC25" s="1">
        <v>10</v>
      </c>
      <c r="DD25" s="1">
        <v>10</v>
      </c>
      <c r="DS25" s="1">
        <v>25</v>
      </c>
      <c r="DT25" s="1">
        <v>0</v>
      </c>
      <c r="DU25" s="1">
        <v>0</v>
      </c>
      <c r="DV25" s="1">
        <v>0</v>
      </c>
      <c r="DW25" s="1">
        <v>0</v>
      </c>
      <c r="DX25" s="1">
        <v>0</v>
      </c>
      <c r="DY25" s="1">
        <v>10</v>
      </c>
      <c r="DZ25" s="1">
        <v>0</v>
      </c>
      <c r="EA25" s="1">
        <v>0</v>
      </c>
      <c r="EB25" s="1">
        <v>0</v>
      </c>
      <c r="EC25" s="1">
        <v>0</v>
      </c>
      <c r="ED25" s="1">
        <v>0</v>
      </c>
      <c r="EE25" s="1">
        <v>0</v>
      </c>
      <c r="EF25" s="1">
        <v>0</v>
      </c>
      <c r="EG25" s="1">
        <v>0</v>
      </c>
      <c r="EH25" s="1">
        <v>0</v>
      </c>
      <c r="EI25" s="1">
        <v>0</v>
      </c>
      <c r="EJ25" s="1">
        <v>0</v>
      </c>
      <c r="EK25" s="1">
        <v>0</v>
      </c>
      <c r="EL25" s="1">
        <v>0</v>
      </c>
      <c r="EM25" s="1">
        <v>-120</v>
      </c>
      <c r="ES25" s="1">
        <v>1</v>
      </c>
      <c r="FG25" s="1">
        <v>4</v>
      </c>
      <c r="FH25" s="1">
        <v>0</v>
      </c>
      <c r="FI25" s="1">
        <v>0</v>
      </c>
      <c r="FJ25" s="1">
        <v>0</v>
      </c>
      <c r="FK25" s="1">
        <v>0</v>
      </c>
      <c r="FL25" s="1">
        <v>0</v>
      </c>
      <c r="FM25" s="1">
        <v>2</v>
      </c>
      <c r="FN25" s="1">
        <v>0</v>
      </c>
      <c r="FO25" s="1">
        <v>0</v>
      </c>
      <c r="GA25" s="1" t="s">
        <v>1403</v>
      </c>
      <c r="GB25" s="1">
        <v>0</v>
      </c>
    </row>
    <row r="26" spans="1:184" x14ac:dyDescent="0.25">
      <c r="A26" s="1" t="s">
        <v>1433</v>
      </c>
      <c r="B26" s="321" t="s">
        <v>1536</v>
      </c>
      <c r="C26" s="319">
        <v>21</v>
      </c>
      <c r="D26" s="1" t="s">
        <v>1238</v>
      </c>
      <c r="E26" s="1" t="s">
        <v>1232</v>
      </c>
      <c r="F26" s="1">
        <v>-5.2</v>
      </c>
      <c r="G26" s="1">
        <v>-5</v>
      </c>
      <c r="H26" s="1" t="s">
        <v>1387</v>
      </c>
      <c r="J26" s="1" t="s">
        <v>1378</v>
      </c>
      <c r="U26" s="1">
        <v>40</v>
      </c>
      <c r="V26" s="1">
        <v>40</v>
      </c>
      <c r="W26" s="1">
        <v>8017</v>
      </c>
      <c r="X26" s="1">
        <v>8011</v>
      </c>
      <c r="Y26" s="1">
        <v>2023</v>
      </c>
      <c r="Z26" s="1">
        <v>2056</v>
      </c>
      <c r="AA26" s="1">
        <v>2073</v>
      </c>
      <c r="AB26" s="1">
        <v>2128</v>
      </c>
      <c r="AQ26" s="1">
        <v>8</v>
      </c>
      <c r="AR26" s="1">
        <v>1</v>
      </c>
      <c r="AS26" s="1">
        <v>9</v>
      </c>
      <c r="AT26" s="1">
        <v>4</v>
      </c>
      <c r="AU26" s="1">
        <v>0</v>
      </c>
      <c r="AV26" s="1">
        <v>8</v>
      </c>
      <c r="BK26" s="1">
        <v>-4</v>
      </c>
      <c r="BL26" s="1">
        <v>4</v>
      </c>
      <c r="BM26" s="1">
        <v>4</v>
      </c>
      <c r="BN26" s="1">
        <v>-32</v>
      </c>
      <c r="BO26" s="1">
        <v>-36</v>
      </c>
      <c r="BP26" s="1">
        <v>-36</v>
      </c>
      <c r="CE26" s="1" t="s">
        <v>249</v>
      </c>
      <c r="CF26" s="1" t="s">
        <v>249</v>
      </c>
      <c r="CG26" s="1" t="s">
        <v>7</v>
      </c>
      <c r="CH26" s="1" t="s">
        <v>7</v>
      </c>
      <c r="CI26" s="1" t="s">
        <v>7</v>
      </c>
      <c r="CJ26" s="1" t="s">
        <v>7</v>
      </c>
      <c r="CY26" s="1">
        <v>5</v>
      </c>
      <c r="CZ26" s="1">
        <v>5</v>
      </c>
      <c r="DA26" s="1">
        <v>5</v>
      </c>
      <c r="DB26" s="1">
        <v>5</v>
      </c>
      <c r="DC26" s="1">
        <v>10</v>
      </c>
      <c r="DD26" s="1">
        <v>10</v>
      </c>
      <c r="DS26" s="1">
        <v>30</v>
      </c>
      <c r="DT26" s="1">
        <v>0</v>
      </c>
      <c r="DU26" s="1">
        <v>0</v>
      </c>
      <c r="DV26" s="1">
        <v>0</v>
      </c>
      <c r="DW26" s="1">
        <v>0</v>
      </c>
      <c r="DX26" s="1">
        <v>0</v>
      </c>
      <c r="DY26" s="1">
        <v>10</v>
      </c>
      <c r="DZ26" s="1">
        <v>0</v>
      </c>
      <c r="EA26" s="1">
        <v>0</v>
      </c>
      <c r="EB26" s="1">
        <v>0</v>
      </c>
      <c r="EC26" s="1">
        <v>0</v>
      </c>
      <c r="ED26" s="1">
        <v>0</v>
      </c>
      <c r="EE26" s="1">
        <v>0</v>
      </c>
      <c r="EF26" s="1">
        <v>0</v>
      </c>
      <c r="EG26" s="1">
        <v>0</v>
      </c>
      <c r="EH26" s="1">
        <v>0</v>
      </c>
      <c r="EI26" s="1">
        <v>0</v>
      </c>
      <c r="EJ26" s="1">
        <v>0</v>
      </c>
      <c r="EK26" s="1">
        <v>0</v>
      </c>
      <c r="EL26" s="1">
        <v>0</v>
      </c>
      <c r="EM26" s="1">
        <v>-100</v>
      </c>
      <c r="ES26" s="1">
        <v>0</v>
      </c>
      <c r="FG26" s="1">
        <v>4</v>
      </c>
      <c r="FH26" s="1">
        <v>0</v>
      </c>
      <c r="FI26" s="1">
        <v>0</v>
      </c>
      <c r="FJ26" s="1">
        <v>0</v>
      </c>
      <c r="FK26" s="1">
        <v>0</v>
      </c>
      <c r="FL26" s="1">
        <v>0</v>
      </c>
      <c r="FM26" s="1">
        <v>2</v>
      </c>
      <c r="FN26" s="1">
        <v>0</v>
      </c>
      <c r="FO26" s="1">
        <v>0</v>
      </c>
      <c r="GA26" s="1" t="s">
        <v>1404</v>
      </c>
      <c r="GB26" s="1">
        <v>0</v>
      </c>
    </row>
    <row r="27" spans="1:184" x14ac:dyDescent="0.25">
      <c r="A27" s="1" t="s">
        <v>1434</v>
      </c>
      <c r="B27" s="321" t="s">
        <v>1561</v>
      </c>
      <c r="C27" s="319">
        <v>22</v>
      </c>
      <c r="D27" s="1" t="s">
        <v>1238</v>
      </c>
      <c r="E27" s="1" t="s">
        <v>1232</v>
      </c>
      <c r="F27" s="1">
        <v>-5.2</v>
      </c>
      <c r="G27" s="1">
        <v>-5</v>
      </c>
      <c r="H27" s="1" t="s">
        <v>1387</v>
      </c>
      <c r="J27" s="1" t="s">
        <v>1378</v>
      </c>
      <c r="U27" s="1">
        <v>40</v>
      </c>
      <c r="V27" s="1">
        <v>40</v>
      </c>
      <c r="W27" s="1">
        <v>8017</v>
      </c>
      <c r="X27" s="1">
        <v>8011</v>
      </c>
      <c r="Y27" s="1">
        <v>2023</v>
      </c>
      <c r="Z27" s="1">
        <v>2056</v>
      </c>
      <c r="AA27" s="1">
        <v>2073</v>
      </c>
      <c r="AB27" s="1">
        <v>2128</v>
      </c>
      <c r="AQ27" s="1">
        <v>6.8</v>
      </c>
      <c r="AR27" s="1">
        <v>2</v>
      </c>
      <c r="AS27" s="1">
        <v>9</v>
      </c>
      <c r="AT27" s="1">
        <v>3</v>
      </c>
      <c r="AU27" s="1">
        <v>0</v>
      </c>
      <c r="AV27" s="1">
        <v>8</v>
      </c>
      <c r="BK27" s="1">
        <v>-2</v>
      </c>
      <c r="BL27" s="1">
        <v>-16</v>
      </c>
      <c r="BM27" s="1">
        <v>4</v>
      </c>
      <c r="BN27" s="1">
        <v>-24</v>
      </c>
      <c r="BO27" s="1">
        <v>-36</v>
      </c>
      <c r="BP27" s="1">
        <v>-36</v>
      </c>
      <c r="CE27" s="1" t="s">
        <v>249</v>
      </c>
      <c r="CF27" s="1" t="s">
        <v>249</v>
      </c>
      <c r="CG27" s="1" t="s">
        <v>7</v>
      </c>
      <c r="CH27" s="1" t="s">
        <v>7</v>
      </c>
      <c r="CI27" s="1" t="s">
        <v>7</v>
      </c>
      <c r="CJ27" s="1" t="s">
        <v>7</v>
      </c>
      <c r="CY27" s="1">
        <v>5</v>
      </c>
      <c r="CZ27" s="1">
        <v>5</v>
      </c>
      <c r="DA27" s="1">
        <v>5</v>
      </c>
      <c r="DB27" s="1">
        <v>5</v>
      </c>
      <c r="DC27" s="1">
        <v>10</v>
      </c>
      <c r="DD27" s="1">
        <v>10</v>
      </c>
      <c r="DS27" s="1">
        <v>30</v>
      </c>
      <c r="DT27" s="1">
        <v>0</v>
      </c>
      <c r="DU27" s="1">
        <v>0</v>
      </c>
      <c r="DV27" s="1">
        <v>0</v>
      </c>
      <c r="DW27" s="1">
        <v>0</v>
      </c>
      <c r="DX27" s="1">
        <v>0</v>
      </c>
      <c r="DY27" s="1">
        <v>10</v>
      </c>
      <c r="DZ27" s="1">
        <v>0</v>
      </c>
      <c r="EA27" s="1">
        <v>0</v>
      </c>
      <c r="EB27" s="1">
        <v>0</v>
      </c>
      <c r="EC27" s="1">
        <v>0</v>
      </c>
      <c r="ED27" s="1">
        <v>0</v>
      </c>
      <c r="EE27" s="1">
        <v>0</v>
      </c>
      <c r="EF27" s="1">
        <v>0</v>
      </c>
      <c r="EG27" s="1">
        <v>0</v>
      </c>
      <c r="EH27" s="1">
        <v>0</v>
      </c>
      <c r="EI27" s="1">
        <v>0</v>
      </c>
      <c r="EJ27" s="1">
        <v>0</v>
      </c>
      <c r="EK27" s="1">
        <v>0</v>
      </c>
      <c r="EL27" s="1">
        <v>0</v>
      </c>
      <c r="EM27" s="1">
        <v>-92</v>
      </c>
      <c r="ES27" s="1">
        <v>-18</v>
      </c>
      <c r="FG27" s="1">
        <v>4</v>
      </c>
      <c r="FH27" s="1">
        <v>0</v>
      </c>
      <c r="FI27" s="1">
        <v>0</v>
      </c>
      <c r="FJ27" s="1">
        <v>0</v>
      </c>
      <c r="FK27" s="1">
        <v>0</v>
      </c>
      <c r="FL27" s="1">
        <v>0</v>
      </c>
      <c r="FM27" s="1">
        <v>2</v>
      </c>
      <c r="FN27" s="1">
        <v>0</v>
      </c>
      <c r="FO27" s="1">
        <v>0</v>
      </c>
      <c r="GA27" s="1" t="s">
        <v>1405</v>
      </c>
      <c r="GB27" s="1">
        <v>1057</v>
      </c>
    </row>
    <row r="28" spans="1:184" x14ac:dyDescent="0.25">
      <c r="A28" s="1" t="s">
        <v>1435</v>
      </c>
      <c r="B28" s="321" t="s">
        <v>1562</v>
      </c>
      <c r="C28" s="319">
        <v>23</v>
      </c>
      <c r="D28" s="319" t="s">
        <v>1238</v>
      </c>
      <c r="E28" s="1" t="s">
        <v>1232</v>
      </c>
      <c r="F28" s="1">
        <v>-5.2</v>
      </c>
      <c r="G28" s="1">
        <v>-5</v>
      </c>
      <c r="H28" s="1" t="s">
        <v>1387</v>
      </c>
      <c r="J28" s="1" t="s">
        <v>1378</v>
      </c>
      <c r="U28" s="1">
        <v>40</v>
      </c>
      <c r="V28" s="1">
        <v>40</v>
      </c>
      <c r="W28" s="1">
        <v>8017</v>
      </c>
      <c r="X28" s="1">
        <v>8011</v>
      </c>
      <c r="Y28" s="1">
        <v>2023</v>
      </c>
      <c r="Z28" s="1">
        <v>2056</v>
      </c>
      <c r="AA28" s="1">
        <v>2073</v>
      </c>
      <c r="AB28" s="1">
        <v>2128</v>
      </c>
      <c r="AQ28" s="1">
        <v>6.7</v>
      </c>
      <c r="AR28" s="1">
        <v>1</v>
      </c>
      <c r="AS28" s="1">
        <v>10</v>
      </c>
      <c r="AT28" s="1">
        <v>2</v>
      </c>
      <c r="AU28" s="1">
        <v>1</v>
      </c>
      <c r="AV28" s="1">
        <v>8</v>
      </c>
      <c r="BK28" s="1">
        <v>-2</v>
      </c>
      <c r="BL28" s="1">
        <v>4</v>
      </c>
      <c r="BM28" s="1">
        <v>5</v>
      </c>
      <c r="BN28" s="1">
        <v>-13</v>
      </c>
      <c r="BO28" s="1">
        <v>-36</v>
      </c>
      <c r="BP28" s="1">
        <v>-36</v>
      </c>
      <c r="CE28" s="1" t="s">
        <v>249</v>
      </c>
      <c r="CF28" s="1" t="s">
        <v>249</v>
      </c>
      <c r="CG28" s="1" t="s">
        <v>7</v>
      </c>
      <c r="CH28" s="1" t="s">
        <v>7</v>
      </c>
      <c r="CI28" s="1" t="s">
        <v>7</v>
      </c>
      <c r="CJ28" s="1" t="s">
        <v>7</v>
      </c>
      <c r="CY28" s="1">
        <v>5</v>
      </c>
      <c r="CZ28" s="1">
        <v>5</v>
      </c>
      <c r="DA28" s="1">
        <v>5</v>
      </c>
      <c r="DB28" s="1">
        <v>5</v>
      </c>
      <c r="DC28" s="1">
        <v>10</v>
      </c>
      <c r="DD28" s="1">
        <v>10</v>
      </c>
      <c r="DS28" s="1">
        <v>30</v>
      </c>
      <c r="DT28" s="1">
        <v>0</v>
      </c>
      <c r="DU28" s="1">
        <v>0</v>
      </c>
      <c r="DV28" s="1">
        <v>0</v>
      </c>
      <c r="DW28" s="1">
        <v>0</v>
      </c>
      <c r="DX28" s="1">
        <v>0</v>
      </c>
      <c r="DY28" s="1">
        <v>10</v>
      </c>
      <c r="DZ28" s="1">
        <v>0</v>
      </c>
      <c r="EA28" s="1">
        <v>0</v>
      </c>
      <c r="EB28" s="1">
        <v>0</v>
      </c>
      <c r="EC28" s="1">
        <v>0</v>
      </c>
      <c r="ED28" s="1">
        <v>0</v>
      </c>
      <c r="EE28" s="1">
        <v>0</v>
      </c>
      <c r="EF28" s="1">
        <v>0</v>
      </c>
      <c r="EG28" s="1">
        <v>0</v>
      </c>
      <c r="EH28" s="1">
        <v>0</v>
      </c>
      <c r="EI28" s="1">
        <v>0</v>
      </c>
      <c r="EJ28" s="1">
        <v>0</v>
      </c>
      <c r="EK28" s="1">
        <v>0</v>
      </c>
      <c r="EL28" s="1">
        <v>0</v>
      </c>
      <c r="EM28" s="1">
        <v>-80</v>
      </c>
      <c r="ES28" s="1">
        <v>2</v>
      </c>
      <c r="FG28" s="1">
        <v>4</v>
      </c>
      <c r="FH28" s="1">
        <v>0</v>
      </c>
      <c r="FI28" s="1">
        <v>0</v>
      </c>
      <c r="FJ28" s="1">
        <v>0</v>
      </c>
      <c r="FK28" s="1">
        <v>0</v>
      </c>
      <c r="FL28" s="1">
        <v>0</v>
      </c>
      <c r="FM28" s="1">
        <v>2</v>
      </c>
      <c r="FN28" s="1">
        <v>0</v>
      </c>
      <c r="FO28" s="1">
        <v>0</v>
      </c>
      <c r="GA28" s="1" t="s">
        <v>1406</v>
      </c>
      <c r="GB28" s="1">
        <v>465</v>
      </c>
    </row>
    <row r="29" spans="1:184" x14ac:dyDescent="0.25">
      <c r="A29" s="1" t="s">
        <v>1436</v>
      </c>
      <c r="B29" s="321" t="s">
        <v>1563</v>
      </c>
      <c r="C29" s="319">
        <v>24</v>
      </c>
      <c r="D29" s="319" t="s">
        <v>1238</v>
      </c>
      <c r="E29" s="1" t="s">
        <v>1232</v>
      </c>
      <c r="F29" s="1">
        <v>-5</v>
      </c>
      <c r="G29" s="1">
        <v>-5</v>
      </c>
      <c r="H29" s="1" t="s">
        <v>1387</v>
      </c>
      <c r="J29" s="1" t="s">
        <v>1378</v>
      </c>
      <c r="U29" s="1">
        <v>10</v>
      </c>
      <c r="V29" s="1">
        <v>10</v>
      </c>
      <c r="W29" s="1">
        <v>2015</v>
      </c>
      <c r="AQ29" s="1">
        <v>30</v>
      </c>
      <c r="BK29" s="1">
        <v>-36</v>
      </c>
      <c r="CE29" s="1" t="s">
        <v>7</v>
      </c>
      <c r="CY29" s="1">
        <v>10</v>
      </c>
      <c r="DS29" s="1">
        <v>10</v>
      </c>
      <c r="DT29" s="1">
        <v>0</v>
      </c>
      <c r="DU29" s="1">
        <v>0</v>
      </c>
      <c r="DV29" s="1">
        <v>0</v>
      </c>
      <c r="DW29" s="1">
        <v>0</v>
      </c>
      <c r="DX29" s="1">
        <v>0</v>
      </c>
      <c r="DY29" s="1">
        <v>0</v>
      </c>
      <c r="DZ29" s="1">
        <v>0</v>
      </c>
      <c r="EA29" s="1">
        <v>0</v>
      </c>
      <c r="EB29" s="1">
        <v>0</v>
      </c>
      <c r="EC29" s="1">
        <v>0</v>
      </c>
      <c r="ED29" s="1">
        <v>0</v>
      </c>
      <c r="EE29" s="1">
        <v>0</v>
      </c>
      <c r="EF29" s="1">
        <v>0</v>
      </c>
      <c r="EG29" s="1">
        <v>0</v>
      </c>
      <c r="EH29" s="1">
        <v>0</v>
      </c>
      <c r="EI29" s="1">
        <v>0</v>
      </c>
      <c r="EJ29" s="1">
        <v>0</v>
      </c>
      <c r="EK29" s="1">
        <v>0</v>
      </c>
      <c r="EL29" s="1">
        <v>0</v>
      </c>
      <c r="EM29" s="1">
        <v>-36</v>
      </c>
      <c r="FG29" s="1">
        <v>1</v>
      </c>
      <c r="FH29" s="1">
        <v>0</v>
      </c>
      <c r="FI29" s="1">
        <v>0</v>
      </c>
      <c r="FJ29" s="1">
        <v>0</v>
      </c>
      <c r="FK29" s="1">
        <v>0</v>
      </c>
      <c r="FL29" s="1">
        <v>0</v>
      </c>
      <c r="FM29" s="1">
        <v>0</v>
      </c>
      <c r="FN29" s="1">
        <v>0</v>
      </c>
      <c r="FO29" s="1">
        <v>0</v>
      </c>
      <c r="GA29" s="1" t="s">
        <v>1407</v>
      </c>
      <c r="GB29" s="1">
        <v>0</v>
      </c>
    </row>
    <row r="30" spans="1:184" x14ac:dyDescent="0.25">
      <c r="A30" s="1" t="s">
        <v>1437</v>
      </c>
      <c r="B30" s="321" t="s">
        <v>1564</v>
      </c>
      <c r="C30" s="319">
        <v>25</v>
      </c>
      <c r="D30" s="319" t="s">
        <v>1238</v>
      </c>
      <c r="E30" s="1" t="s">
        <v>1232</v>
      </c>
      <c r="F30" s="1">
        <v>-5</v>
      </c>
      <c r="G30" s="1">
        <v>-5</v>
      </c>
      <c r="H30" s="1" t="s">
        <v>1387</v>
      </c>
      <c r="J30" s="1" t="s">
        <v>1378</v>
      </c>
      <c r="U30" s="1">
        <v>10</v>
      </c>
      <c r="V30" s="1">
        <v>10</v>
      </c>
      <c r="W30" s="1">
        <v>2015</v>
      </c>
      <c r="AQ30" s="1">
        <v>20</v>
      </c>
      <c r="BK30" s="1">
        <v>-36</v>
      </c>
      <c r="CE30" s="1" t="s">
        <v>7</v>
      </c>
      <c r="CY30" s="1">
        <v>10</v>
      </c>
      <c r="DS30" s="1">
        <v>10</v>
      </c>
      <c r="DT30" s="1">
        <v>0</v>
      </c>
      <c r="DU30" s="1">
        <v>0</v>
      </c>
      <c r="DV30" s="1">
        <v>0</v>
      </c>
      <c r="DW30" s="1">
        <v>0</v>
      </c>
      <c r="DX30" s="1">
        <v>0</v>
      </c>
      <c r="DY30" s="1">
        <v>0</v>
      </c>
      <c r="DZ30" s="1">
        <v>0</v>
      </c>
      <c r="EA30" s="1">
        <v>0</v>
      </c>
      <c r="EB30" s="1">
        <v>0</v>
      </c>
      <c r="EC30" s="1">
        <v>0</v>
      </c>
      <c r="ED30" s="1">
        <v>0</v>
      </c>
      <c r="EE30" s="1">
        <v>0</v>
      </c>
      <c r="EF30" s="1">
        <v>0</v>
      </c>
      <c r="EG30" s="1">
        <v>0</v>
      </c>
      <c r="EH30" s="1">
        <v>0</v>
      </c>
      <c r="EI30" s="1">
        <v>0</v>
      </c>
      <c r="EJ30" s="1">
        <v>0</v>
      </c>
      <c r="EK30" s="1">
        <v>0</v>
      </c>
      <c r="EL30" s="1">
        <v>0</v>
      </c>
      <c r="EM30" s="1">
        <v>-36</v>
      </c>
      <c r="FG30" s="1">
        <v>1</v>
      </c>
      <c r="FH30" s="1">
        <v>0</v>
      </c>
      <c r="FI30" s="1">
        <v>0</v>
      </c>
      <c r="FJ30" s="1">
        <v>0</v>
      </c>
      <c r="FK30" s="1">
        <v>0</v>
      </c>
      <c r="FL30" s="1">
        <v>0</v>
      </c>
      <c r="FM30" s="1">
        <v>0</v>
      </c>
      <c r="FN30" s="1">
        <v>0</v>
      </c>
      <c r="FO30" s="1">
        <v>0</v>
      </c>
      <c r="GA30" s="1" t="s">
        <v>1408</v>
      </c>
      <c r="GB30" s="1">
        <v>0</v>
      </c>
    </row>
    <row r="31" spans="1:184" x14ac:dyDescent="0.25">
      <c r="A31" s="1" t="s">
        <v>1438</v>
      </c>
      <c r="B31" s="321" t="s">
        <v>1565</v>
      </c>
      <c r="C31" s="319">
        <v>26</v>
      </c>
      <c r="D31" s="319" t="s">
        <v>1238</v>
      </c>
      <c r="E31" s="1" t="s">
        <v>1232</v>
      </c>
      <c r="F31" s="1">
        <v>-5</v>
      </c>
      <c r="G31" s="1">
        <v>-5</v>
      </c>
      <c r="H31" s="1" t="s">
        <v>1387</v>
      </c>
      <c r="J31" s="1" t="s">
        <v>1378</v>
      </c>
      <c r="U31" s="1">
        <v>10</v>
      </c>
      <c r="V31" s="1">
        <v>10</v>
      </c>
      <c r="W31" s="1">
        <v>2015</v>
      </c>
      <c r="AQ31" s="1">
        <v>20</v>
      </c>
      <c r="BK31" s="1">
        <v>-36</v>
      </c>
      <c r="CE31" s="1" t="s">
        <v>7</v>
      </c>
      <c r="CY31" s="1">
        <v>10</v>
      </c>
      <c r="DS31" s="1">
        <v>10</v>
      </c>
      <c r="DT31" s="1">
        <v>0</v>
      </c>
      <c r="DU31" s="1">
        <v>0</v>
      </c>
      <c r="DV31" s="1">
        <v>0</v>
      </c>
      <c r="DW31" s="1">
        <v>0</v>
      </c>
      <c r="DX31" s="1">
        <v>0</v>
      </c>
      <c r="DY31" s="1">
        <v>0</v>
      </c>
      <c r="DZ31" s="1">
        <v>0</v>
      </c>
      <c r="EA31" s="1">
        <v>0</v>
      </c>
      <c r="EB31" s="1">
        <v>0</v>
      </c>
      <c r="EC31" s="1">
        <v>0</v>
      </c>
      <c r="ED31" s="1">
        <v>0</v>
      </c>
      <c r="EE31" s="1">
        <v>0</v>
      </c>
      <c r="EF31" s="1">
        <v>0</v>
      </c>
      <c r="EG31" s="1">
        <v>0</v>
      </c>
      <c r="EH31" s="1">
        <v>0</v>
      </c>
      <c r="EI31" s="1">
        <v>0</v>
      </c>
      <c r="EJ31" s="1">
        <v>0</v>
      </c>
      <c r="EK31" s="1">
        <v>0</v>
      </c>
      <c r="EL31" s="1">
        <v>0</v>
      </c>
      <c r="EM31" s="1">
        <v>-36</v>
      </c>
      <c r="FG31" s="1">
        <v>1</v>
      </c>
      <c r="FH31" s="1">
        <v>0</v>
      </c>
      <c r="FI31" s="1">
        <v>0</v>
      </c>
      <c r="FJ31" s="1">
        <v>0</v>
      </c>
      <c r="FK31" s="1">
        <v>0</v>
      </c>
      <c r="FL31" s="1">
        <v>0</v>
      </c>
      <c r="FM31" s="1">
        <v>0</v>
      </c>
      <c r="FN31" s="1">
        <v>0</v>
      </c>
      <c r="FO31" s="1">
        <v>0</v>
      </c>
      <c r="GA31" s="1" t="s">
        <v>1409</v>
      </c>
      <c r="GB31" s="1">
        <v>1756</v>
      </c>
    </row>
    <row r="32" spans="1:184" x14ac:dyDescent="0.25">
      <c r="A32" s="1" t="s">
        <v>1440</v>
      </c>
      <c r="B32" s="321" t="s">
        <v>1535</v>
      </c>
      <c r="C32" s="319">
        <v>4</v>
      </c>
      <c r="D32" s="319" t="s">
        <v>524</v>
      </c>
      <c r="E32" s="1" t="s">
        <v>1230</v>
      </c>
      <c r="F32" s="1">
        <v>0</v>
      </c>
      <c r="G32" s="1">
        <v>0</v>
      </c>
      <c r="H32" s="1" t="s">
        <v>1387</v>
      </c>
      <c r="I32" s="1" t="s">
        <v>1500</v>
      </c>
      <c r="J32" s="1" t="s">
        <v>1378</v>
      </c>
      <c r="U32" s="1">
        <v>48</v>
      </c>
      <c r="V32" s="1">
        <v>0</v>
      </c>
      <c r="W32" s="1">
        <v>2044</v>
      </c>
      <c r="X32" s="1">
        <v>4005</v>
      </c>
      <c r="Y32" s="1">
        <v>4050</v>
      </c>
      <c r="Z32" s="1">
        <v>8009</v>
      </c>
      <c r="AA32" s="1">
        <v>3043</v>
      </c>
      <c r="AB32" s="1">
        <v>2116</v>
      </c>
      <c r="CE32" s="1" t="s">
        <v>7</v>
      </c>
      <c r="CF32" s="1" t="s">
        <v>7</v>
      </c>
      <c r="CG32" s="1" t="s">
        <v>412</v>
      </c>
      <c r="CH32" s="1" t="s">
        <v>412</v>
      </c>
      <c r="CI32" s="1" t="s">
        <v>249</v>
      </c>
      <c r="CJ32" s="1" t="s">
        <v>12</v>
      </c>
      <c r="DS32" s="1">
        <v>0</v>
      </c>
      <c r="DT32" s="1">
        <v>0</v>
      </c>
      <c r="DU32" s="1">
        <v>0</v>
      </c>
      <c r="DV32" s="1">
        <v>0</v>
      </c>
      <c r="DW32" s="1">
        <v>0</v>
      </c>
      <c r="DX32" s="1">
        <v>0</v>
      </c>
      <c r="DY32" s="1">
        <v>0</v>
      </c>
      <c r="DZ32" s="1">
        <v>0</v>
      </c>
      <c r="EA32" s="1">
        <v>0</v>
      </c>
      <c r="EB32" s="1">
        <v>0</v>
      </c>
      <c r="EC32" s="1">
        <v>0</v>
      </c>
      <c r="ED32" s="1">
        <v>0</v>
      </c>
      <c r="EE32" s="1">
        <v>0</v>
      </c>
      <c r="EF32" s="1">
        <v>0</v>
      </c>
      <c r="EG32" s="1">
        <v>0</v>
      </c>
      <c r="EH32" s="1">
        <v>0</v>
      </c>
      <c r="EI32" s="1">
        <v>0</v>
      </c>
      <c r="EJ32" s="1">
        <v>0</v>
      </c>
      <c r="EK32" s="1">
        <v>0</v>
      </c>
      <c r="EL32" s="1">
        <v>0</v>
      </c>
      <c r="EM32" s="1">
        <v>0</v>
      </c>
      <c r="EN32" s="1">
        <v>0</v>
      </c>
      <c r="EO32" s="1">
        <v>0</v>
      </c>
      <c r="ES32" s="1">
        <v>0</v>
      </c>
      <c r="FG32" s="1">
        <v>2</v>
      </c>
      <c r="FH32" s="1">
        <v>1</v>
      </c>
      <c r="FI32" s="1">
        <v>2</v>
      </c>
      <c r="FJ32" s="1">
        <v>0</v>
      </c>
      <c r="FK32" s="1">
        <v>0</v>
      </c>
      <c r="FL32" s="1">
        <v>0</v>
      </c>
      <c r="FM32" s="1">
        <v>1</v>
      </c>
      <c r="FN32" s="1">
        <v>0</v>
      </c>
      <c r="FO32" s="1">
        <v>0</v>
      </c>
      <c r="GA32" s="1" t="s">
        <v>1411</v>
      </c>
      <c r="GB32" s="1">
        <v>0</v>
      </c>
    </row>
    <row r="33" spans="1:184" x14ac:dyDescent="0.25">
      <c r="A33" s="1" t="s">
        <v>1441</v>
      </c>
      <c r="B33" s="321" t="s">
        <v>1470</v>
      </c>
      <c r="C33" s="319">
        <v>3</v>
      </c>
      <c r="D33" s="319" t="s">
        <v>524</v>
      </c>
      <c r="E33" s="1" t="s">
        <v>1230</v>
      </c>
      <c r="F33" s="1">
        <v>0</v>
      </c>
      <c r="G33" s="1">
        <v>0</v>
      </c>
      <c r="H33" s="1" t="s">
        <v>1387</v>
      </c>
      <c r="I33" s="1" t="s">
        <v>1500</v>
      </c>
      <c r="J33" s="1" t="s">
        <v>1378</v>
      </c>
      <c r="U33" s="1">
        <v>70</v>
      </c>
      <c r="V33" s="1">
        <v>0</v>
      </c>
      <c r="W33" s="1">
        <v>2045</v>
      </c>
      <c r="X33" s="1">
        <v>2058</v>
      </c>
      <c r="Y33" s="1">
        <v>4049</v>
      </c>
      <c r="Z33" s="1">
        <v>8010</v>
      </c>
      <c r="AA33" s="1">
        <v>4043</v>
      </c>
      <c r="AB33" s="1">
        <v>3035</v>
      </c>
      <c r="BK33" s="1">
        <v>5</v>
      </c>
      <c r="BL33" s="1">
        <v>5</v>
      </c>
      <c r="BM33" s="1">
        <v>-29</v>
      </c>
      <c r="BN33" s="1">
        <v>-16</v>
      </c>
      <c r="BO33" s="1">
        <v>5</v>
      </c>
      <c r="BP33" s="1">
        <v>4</v>
      </c>
      <c r="CE33" s="1" t="s">
        <v>7</v>
      </c>
      <c r="CF33" s="1" t="s">
        <v>7</v>
      </c>
      <c r="CG33" s="1" t="s">
        <v>412</v>
      </c>
      <c r="CH33" s="1" t="s">
        <v>249</v>
      </c>
      <c r="CI33" s="1" t="s">
        <v>412</v>
      </c>
      <c r="CJ33" s="1" t="s">
        <v>12</v>
      </c>
      <c r="DS33" s="1">
        <v>0</v>
      </c>
      <c r="DT33" s="1">
        <v>0</v>
      </c>
      <c r="DU33" s="1">
        <v>0</v>
      </c>
      <c r="DV33" s="1">
        <v>0</v>
      </c>
      <c r="DW33" s="1">
        <v>0</v>
      </c>
      <c r="DX33" s="1">
        <v>0</v>
      </c>
      <c r="DY33" s="1">
        <v>0</v>
      </c>
      <c r="DZ33" s="1">
        <v>0</v>
      </c>
      <c r="EA33" s="1">
        <v>0</v>
      </c>
      <c r="EB33" s="1">
        <v>0</v>
      </c>
      <c r="EC33" s="1">
        <v>0</v>
      </c>
      <c r="ED33" s="1">
        <v>0</v>
      </c>
      <c r="EE33" s="1">
        <v>0</v>
      </c>
      <c r="EF33" s="1">
        <v>0</v>
      </c>
      <c r="EG33" s="1">
        <v>0</v>
      </c>
      <c r="EH33" s="1">
        <v>0</v>
      </c>
      <c r="EI33" s="1">
        <v>0</v>
      </c>
      <c r="EJ33" s="1">
        <v>0</v>
      </c>
      <c r="EK33" s="1">
        <v>0</v>
      </c>
      <c r="EL33" s="1">
        <v>0</v>
      </c>
      <c r="EM33" s="1">
        <v>10</v>
      </c>
      <c r="EN33" s="1">
        <v>4</v>
      </c>
      <c r="EO33" s="1">
        <v>-24</v>
      </c>
      <c r="ES33" s="1">
        <v>-16</v>
      </c>
      <c r="FG33" s="1">
        <v>2</v>
      </c>
      <c r="FH33" s="1">
        <v>1</v>
      </c>
      <c r="FI33" s="1">
        <v>2</v>
      </c>
      <c r="FJ33" s="1">
        <v>0</v>
      </c>
      <c r="FK33" s="1">
        <v>0</v>
      </c>
      <c r="FL33" s="1">
        <v>0</v>
      </c>
      <c r="FM33" s="1">
        <v>1</v>
      </c>
      <c r="FN33" s="1">
        <v>0</v>
      </c>
      <c r="FO33" s="1">
        <v>0</v>
      </c>
      <c r="GA33" s="1" t="s">
        <v>1410</v>
      </c>
      <c r="GB33" s="1">
        <v>102</v>
      </c>
    </row>
    <row r="34" spans="1:184" x14ac:dyDescent="0.25">
      <c r="A34" s="1" t="s">
        <v>1442</v>
      </c>
      <c r="B34" s="321" t="s">
        <v>1536</v>
      </c>
      <c r="C34" s="319">
        <v>5</v>
      </c>
      <c r="D34" s="319" t="s">
        <v>524</v>
      </c>
      <c r="E34" s="1" t="s">
        <v>1230</v>
      </c>
      <c r="F34" s="1">
        <v>0</v>
      </c>
      <c r="G34" s="1">
        <v>0</v>
      </c>
      <c r="H34" s="1" t="s">
        <v>1387</v>
      </c>
      <c r="I34" s="1" t="s">
        <v>1500</v>
      </c>
      <c r="J34" s="1" t="s">
        <v>1378</v>
      </c>
      <c r="U34" s="1">
        <v>58</v>
      </c>
      <c r="V34" s="1">
        <v>0</v>
      </c>
      <c r="W34" s="1">
        <v>2047</v>
      </c>
      <c r="X34" s="1">
        <v>2059</v>
      </c>
      <c r="Y34" s="1">
        <v>4003</v>
      </c>
      <c r="Z34" s="1">
        <v>4040</v>
      </c>
      <c r="AA34" s="1">
        <v>8015</v>
      </c>
      <c r="AB34" s="1">
        <v>2127</v>
      </c>
      <c r="BK34" s="1">
        <v>5</v>
      </c>
      <c r="BL34" s="1">
        <v>5</v>
      </c>
      <c r="BM34" s="1">
        <v>-36</v>
      </c>
      <c r="BN34" s="1">
        <v>5</v>
      </c>
      <c r="BO34" s="1">
        <v>5</v>
      </c>
      <c r="CE34" s="1" t="s">
        <v>7</v>
      </c>
      <c r="CF34" s="1" t="s">
        <v>7</v>
      </c>
      <c r="CG34" s="1" t="s">
        <v>412</v>
      </c>
      <c r="CH34" s="1" t="s">
        <v>412</v>
      </c>
      <c r="CI34" s="1" t="s">
        <v>249</v>
      </c>
      <c r="CJ34" s="1" t="s">
        <v>7</v>
      </c>
      <c r="DS34" s="1">
        <v>0</v>
      </c>
      <c r="DT34" s="1">
        <v>0</v>
      </c>
      <c r="DU34" s="1">
        <v>0</v>
      </c>
      <c r="DV34" s="1">
        <v>0</v>
      </c>
      <c r="DW34" s="1">
        <v>0</v>
      </c>
      <c r="DX34" s="1">
        <v>0</v>
      </c>
      <c r="DY34" s="1">
        <v>0</v>
      </c>
      <c r="DZ34" s="1">
        <v>0</v>
      </c>
      <c r="EA34" s="1">
        <v>0</v>
      </c>
      <c r="EB34" s="1">
        <v>0</v>
      </c>
      <c r="EC34" s="1">
        <v>0</v>
      </c>
      <c r="ED34" s="1">
        <v>0</v>
      </c>
      <c r="EE34" s="1">
        <v>0</v>
      </c>
      <c r="EF34" s="1">
        <v>0</v>
      </c>
      <c r="EG34" s="1">
        <v>0</v>
      </c>
      <c r="EH34" s="1">
        <v>0</v>
      </c>
      <c r="EI34" s="1">
        <v>0</v>
      </c>
      <c r="EJ34" s="1">
        <v>0</v>
      </c>
      <c r="EK34" s="1">
        <v>0</v>
      </c>
      <c r="EL34" s="1">
        <v>0</v>
      </c>
      <c r="EM34" s="1">
        <v>10</v>
      </c>
      <c r="EO34" s="1">
        <v>-31</v>
      </c>
      <c r="ES34" s="1">
        <v>5</v>
      </c>
      <c r="FG34" s="1">
        <v>3</v>
      </c>
      <c r="FH34" s="1">
        <v>0</v>
      </c>
      <c r="FI34" s="1">
        <v>2</v>
      </c>
      <c r="FJ34" s="1">
        <v>0</v>
      </c>
      <c r="FK34" s="1">
        <v>0</v>
      </c>
      <c r="FL34" s="1">
        <v>0</v>
      </c>
      <c r="FM34" s="1">
        <v>1</v>
      </c>
      <c r="FN34" s="1">
        <v>0</v>
      </c>
      <c r="FO34" s="1">
        <v>0</v>
      </c>
      <c r="GA34" s="1" t="s">
        <v>1412</v>
      </c>
      <c r="GB34" s="1">
        <v>0</v>
      </c>
    </row>
    <row r="35" spans="1:184" x14ac:dyDescent="0.25">
      <c r="A35" s="1" t="s">
        <v>1444</v>
      </c>
      <c r="B35" s="321" t="s">
        <v>1537</v>
      </c>
      <c r="C35" s="319">
        <v>6</v>
      </c>
      <c r="D35" s="319" t="s">
        <v>524</v>
      </c>
      <c r="E35" s="1" t="s">
        <v>1230</v>
      </c>
      <c r="F35" s="1">
        <v>0</v>
      </c>
      <c r="G35" s="1">
        <v>0</v>
      </c>
      <c r="H35" s="1" t="s">
        <v>1387</v>
      </c>
      <c r="I35" s="1" t="s">
        <v>1500</v>
      </c>
      <c r="J35" s="1" t="s">
        <v>1378</v>
      </c>
      <c r="U35" s="1">
        <v>58</v>
      </c>
      <c r="V35" s="1">
        <v>0</v>
      </c>
      <c r="W35" s="1">
        <v>2049</v>
      </c>
      <c r="X35" s="1">
        <v>2060</v>
      </c>
      <c r="Y35" s="1">
        <v>4004</v>
      </c>
      <c r="Z35" s="1">
        <v>4039</v>
      </c>
      <c r="AA35" s="1">
        <v>8016</v>
      </c>
      <c r="AB35" s="1">
        <v>2057</v>
      </c>
      <c r="BK35" s="1">
        <v>5</v>
      </c>
      <c r="BL35" s="1">
        <v>5</v>
      </c>
      <c r="BM35" s="1">
        <v>-34</v>
      </c>
      <c r="BN35" s="1">
        <v>5</v>
      </c>
      <c r="BO35" s="1">
        <v>5</v>
      </c>
      <c r="CE35" s="1" t="s">
        <v>7</v>
      </c>
      <c r="CF35" s="1" t="s">
        <v>7</v>
      </c>
      <c r="CG35" s="1" t="s">
        <v>412</v>
      </c>
      <c r="CH35" s="1" t="s">
        <v>412</v>
      </c>
      <c r="CI35" s="1" t="s">
        <v>249</v>
      </c>
      <c r="CJ35" s="1" t="s">
        <v>7</v>
      </c>
      <c r="DS35" s="1">
        <v>0</v>
      </c>
      <c r="DT35" s="1">
        <v>0</v>
      </c>
      <c r="DU35" s="1">
        <v>0</v>
      </c>
      <c r="DV35" s="1">
        <v>0</v>
      </c>
      <c r="DW35" s="1">
        <v>0</v>
      </c>
      <c r="DX35" s="1">
        <v>0</v>
      </c>
      <c r="DY35" s="1">
        <v>0</v>
      </c>
      <c r="DZ35" s="1">
        <v>0</v>
      </c>
      <c r="EA35" s="1">
        <v>0</v>
      </c>
      <c r="EB35" s="1">
        <v>0</v>
      </c>
      <c r="EC35" s="1">
        <v>0</v>
      </c>
      <c r="ED35" s="1">
        <v>0</v>
      </c>
      <c r="EE35" s="1">
        <v>0</v>
      </c>
      <c r="EF35" s="1">
        <v>0</v>
      </c>
      <c r="EG35" s="1">
        <v>0</v>
      </c>
      <c r="EH35" s="1">
        <v>0</v>
      </c>
      <c r="EI35" s="1">
        <v>0</v>
      </c>
      <c r="EJ35" s="1">
        <v>0</v>
      </c>
      <c r="EK35" s="1">
        <v>0</v>
      </c>
      <c r="EL35" s="1">
        <v>0</v>
      </c>
      <c r="EM35" s="1">
        <v>10</v>
      </c>
      <c r="EO35" s="1">
        <v>-29</v>
      </c>
      <c r="ES35" s="1">
        <v>5</v>
      </c>
      <c r="FG35" s="1">
        <v>3</v>
      </c>
      <c r="FH35" s="1">
        <v>0</v>
      </c>
      <c r="FI35" s="1">
        <v>2</v>
      </c>
      <c r="FJ35" s="1">
        <v>0</v>
      </c>
      <c r="FK35" s="1">
        <v>0</v>
      </c>
      <c r="FL35" s="1">
        <v>0</v>
      </c>
      <c r="FM35" s="1">
        <v>1</v>
      </c>
      <c r="FN35" s="1">
        <v>0</v>
      </c>
      <c r="FO35" s="1">
        <v>0</v>
      </c>
      <c r="GA35" s="1" t="s">
        <v>1413</v>
      </c>
      <c r="GB35" s="1">
        <v>43549</v>
      </c>
    </row>
    <row r="36" spans="1:184" x14ac:dyDescent="0.25">
      <c r="B36" s="69"/>
    </row>
    <row r="37" spans="1:184" x14ac:dyDescent="0.25">
      <c r="B37" s="69"/>
    </row>
    <row r="38" spans="1:184" x14ac:dyDescent="0.25">
      <c r="B38" s="69"/>
    </row>
    <row r="39" spans="1:184" x14ac:dyDescent="0.25">
      <c r="B39" s="69"/>
    </row>
    <row r="40" spans="1:184" x14ac:dyDescent="0.25">
      <c r="B40" s="69"/>
    </row>
    <row r="41" spans="1:184" x14ac:dyDescent="0.25">
      <c r="B41" s="69"/>
    </row>
    <row r="42" spans="1:184" x14ac:dyDescent="0.25">
      <c r="B42" s="69"/>
    </row>
    <row r="43" spans="1:184" x14ac:dyDescent="0.25">
      <c r="B43" s="69"/>
    </row>
    <row r="44" spans="1:184" x14ac:dyDescent="0.25">
      <c r="B44" s="69"/>
    </row>
    <row r="45" spans="1:184" x14ac:dyDescent="0.25">
      <c r="B45" s="69"/>
    </row>
    <row r="46" spans="1:184" x14ac:dyDescent="0.25">
      <c r="B46" s="69"/>
    </row>
    <row r="47" spans="1:184" x14ac:dyDescent="0.25">
      <c r="B47" s="69"/>
    </row>
    <row r="48" spans="1:184" x14ac:dyDescent="0.25">
      <c r="B48" s="69"/>
    </row>
    <row r="49" spans="2:2" x14ac:dyDescent="0.25">
      <c r="B49" s="69"/>
    </row>
    <row r="50" spans="2:2" x14ac:dyDescent="0.25">
      <c r="B50" s="69"/>
    </row>
    <row r="51" spans="2:2" x14ac:dyDescent="0.25">
      <c r="B51" s="69"/>
    </row>
    <row r="52" spans="2:2" x14ac:dyDescent="0.25">
      <c r="B52" s="69"/>
    </row>
    <row r="53" spans="2:2" x14ac:dyDescent="0.25">
      <c r="B53" s="69"/>
    </row>
    <row r="54" spans="2:2" x14ac:dyDescent="0.25">
      <c r="B54" s="69"/>
    </row>
    <row r="55" spans="2:2" x14ac:dyDescent="0.25">
      <c r="B55" s="69"/>
    </row>
    <row r="56" spans="2:2" x14ac:dyDescent="0.25">
      <c r="B56" s="69"/>
    </row>
    <row r="57" spans="2:2" x14ac:dyDescent="0.25">
      <c r="B57" s="69"/>
    </row>
    <row r="58" spans="2:2" x14ac:dyDescent="0.25">
      <c r="B58" s="69"/>
    </row>
    <row r="59" spans="2:2" x14ac:dyDescent="0.25">
      <c r="B59" s="69"/>
    </row>
    <row r="60" spans="2:2" x14ac:dyDescent="0.25">
      <c r="B60" s="69"/>
    </row>
    <row r="61" spans="2:2" x14ac:dyDescent="0.25">
      <c r="B61" s="69"/>
    </row>
    <row r="62" spans="2:2" x14ac:dyDescent="0.25">
      <c r="B62" s="69"/>
    </row>
    <row r="63" spans="2:2" x14ac:dyDescent="0.25">
      <c r="B63" s="69"/>
    </row>
    <row r="64" spans="2:2" x14ac:dyDescent="0.25">
      <c r="B64" s="69"/>
    </row>
    <row r="65" spans="2:2" x14ac:dyDescent="0.25">
      <c r="B65" s="69"/>
    </row>
    <row r="66" spans="2:2" x14ac:dyDescent="0.25">
      <c r="B66" s="69"/>
    </row>
    <row r="67" spans="2:2" x14ac:dyDescent="0.25">
      <c r="B67" s="69"/>
    </row>
    <row r="68" spans="2:2" x14ac:dyDescent="0.25">
      <c r="B68" s="69"/>
    </row>
    <row r="69" spans="2:2" x14ac:dyDescent="0.25">
      <c r="B69" s="69"/>
    </row>
    <row r="70" spans="2:2" x14ac:dyDescent="0.25">
      <c r="B70" s="69"/>
    </row>
    <row r="71" spans="2:2" x14ac:dyDescent="0.25">
      <c r="B71" s="69"/>
    </row>
    <row r="72" spans="2:2" x14ac:dyDescent="0.25">
      <c r="B72" s="69"/>
    </row>
    <row r="73" spans="2:2" x14ac:dyDescent="0.25">
      <c r="B73" s="69"/>
    </row>
    <row r="74" spans="2:2" x14ac:dyDescent="0.25">
      <c r="B74" s="69"/>
    </row>
    <row r="75" spans="2:2" x14ac:dyDescent="0.25">
      <c r="B75" s="69"/>
    </row>
    <row r="76" spans="2:2" x14ac:dyDescent="0.25">
      <c r="B76" s="69"/>
    </row>
    <row r="77" spans="2:2" x14ac:dyDescent="0.25">
      <c r="B77" s="69"/>
    </row>
    <row r="78" spans="2:2" x14ac:dyDescent="0.25">
      <c r="B78" s="69"/>
    </row>
    <row r="79" spans="2:2" x14ac:dyDescent="0.25">
      <c r="B79" s="69"/>
    </row>
    <row r="80" spans="2:2" x14ac:dyDescent="0.25">
      <c r="B80" s="69"/>
    </row>
    <row r="81" spans="2:2" x14ac:dyDescent="0.25">
      <c r="B81" s="69"/>
    </row>
    <row r="82" spans="2:2" x14ac:dyDescent="0.25">
      <c r="B82" s="69"/>
    </row>
    <row r="83" spans="2:2" x14ac:dyDescent="0.25">
      <c r="B83" s="69"/>
    </row>
    <row r="84" spans="2:2" x14ac:dyDescent="0.25">
      <c r="B84" s="69"/>
    </row>
    <row r="85" spans="2:2" x14ac:dyDescent="0.25">
      <c r="B85" s="69"/>
    </row>
    <row r="86" spans="2:2" x14ac:dyDescent="0.25">
      <c r="B86" s="69"/>
    </row>
    <row r="87" spans="2:2" x14ac:dyDescent="0.25">
      <c r="B87" s="69"/>
    </row>
    <row r="88" spans="2:2" x14ac:dyDescent="0.25">
      <c r="B88" s="69"/>
    </row>
    <row r="89" spans="2:2" x14ac:dyDescent="0.25">
      <c r="B89" s="69"/>
    </row>
    <row r="90" spans="2:2" x14ac:dyDescent="0.25">
      <c r="B90" s="69"/>
    </row>
    <row r="91" spans="2:2" x14ac:dyDescent="0.25">
      <c r="B91" s="69"/>
    </row>
    <row r="92" spans="2:2" x14ac:dyDescent="0.25">
      <c r="B92" s="69"/>
    </row>
    <row r="93" spans="2:2" x14ac:dyDescent="0.25">
      <c r="B93" s="69"/>
    </row>
    <row r="94" spans="2:2" x14ac:dyDescent="0.25">
      <c r="B94" s="69"/>
    </row>
    <row r="95" spans="2:2" x14ac:dyDescent="0.25">
      <c r="B95" s="69"/>
    </row>
    <row r="96" spans="2:2" x14ac:dyDescent="0.25">
      <c r="B96" s="69"/>
    </row>
    <row r="97" spans="2:2" x14ac:dyDescent="0.25">
      <c r="B97" s="69"/>
    </row>
    <row r="98" spans="2:2" x14ac:dyDescent="0.25">
      <c r="B98" s="69"/>
    </row>
    <row r="99" spans="2:2" x14ac:dyDescent="0.25">
      <c r="B99" s="69"/>
    </row>
    <row r="100" spans="2:2" x14ac:dyDescent="0.25">
      <c r="B100" s="69"/>
    </row>
    <row r="101" spans="2:2" x14ac:dyDescent="0.25">
      <c r="B101" s="69"/>
    </row>
    <row r="102" spans="2:2" x14ac:dyDescent="0.25">
      <c r="B102" s="69"/>
    </row>
    <row r="103" spans="2:2" x14ac:dyDescent="0.25">
      <c r="B103" s="69"/>
    </row>
    <row r="104" spans="2:2" x14ac:dyDescent="0.25">
      <c r="B104" s="69"/>
    </row>
    <row r="105" spans="2:2" x14ac:dyDescent="0.25">
      <c r="B105" s="69"/>
    </row>
    <row r="106" spans="2:2" x14ac:dyDescent="0.25">
      <c r="B106" s="69"/>
    </row>
    <row r="107" spans="2:2" x14ac:dyDescent="0.25">
      <c r="B107" s="69"/>
    </row>
    <row r="108" spans="2:2" x14ac:dyDescent="0.25">
      <c r="B108" s="69"/>
    </row>
    <row r="109" spans="2:2" x14ac:dyDescent="0.25">
      <c r="B109" s="69"/>
    </row>
    <row r="110" spans="2:2" x14ac:dyDescent="0.25">
      <c r="B110" s="69"/>
    </row>
    <row r="111" spans="2:2" x14ac:dyDescent="0.25">
      <c r="B111" s="69"/>
    </row>
    <row r="112" spans="2:2" x14ac:dyDescent="0.25">
      <c r="B112" s="69"/>
    </row>
    <row r="113" spans="2:2" x14ac:dyDescent="0.25">
      <c r="B113" s="69"/>
    </row>
    <row r="114" spans="2:2" x14ac:dyDescent="0.25">
      <c r="B114" s="69"/>
    </row>
    <row r="115" spans="2:2" x14ac:dyDescent="0.25">
      <c r="B115" s="69"/>
    </row>
    <row r="116" spans="2:2" x14ac:dyDescent="0.25">
      <c r="B116" s="69"/>
    </row>
    <row r="117" spans="2:2" x14ac:dyDescent="0.25">
      <c r="B117" s="69"/>
    </row>
    <row r="118" spans="2:2" x14ac:dyDescent="0.25">
      <c r="B118" s="69"/>
    </row>
    <row r="119" spans="2:2" x14ac:dyDescent="0.25">
      <c r="B119" s="69"/>
    </row>
    <row r="120" spans="2:2" x14ac:dyDescent="0.25">
      <c r="B120" s="69"/>
    </row>
    <row r="121" spans="2:2" x14ac:dyDescent="0.25">
      <c r="B121" s="69"/>
    </row>
    <row r="122" spans="2:2" x14ac:dyDescent="0.25">
      <c r="B122" s="69"/>
    </row>
    <row r="123" spans="2:2" x14ac:dyDescent="0.25">
      <c r="B123" s="69"/>
    </row>
    <row r="124" spans="2:2" x14ac:dyDescent="0.25">
      <c r="B124" s="69"/>
    </row>
    <row r="125" spans="2:2" x14ac:dyDescent="0.25">
      <c r="B125" s="69"/>
    </row>
    <row r="126" spans="2:2" x14ac:dyDescent="0.25">
      <c r="B126" s="69"/>
    </row>
    <row r="127" spans="2:2" x14ac:dyDescent="0.25">
      <c r="B127" s="69"/>
    </row>
    <row r="128" spans="2:2" x14ac:dyDescent="0.25">
      <c r="B128" s="69"/>
    </row>
    <row r="129" spans="2:2" x14ac:dyDescent="0.25">
      <c r="B129" s="69"/>
    </row>
    <row r="130" spans="2:2" x14ac:dyDescent="0.25">
      <c r="B130" s="69"/>
    </row>
    <row r="131" spans="2:2" x14ac:dyDescent="0.25">
      <c r="B131" s="69"/>
    </row>
    <row r="132" spans="2:2" x14ac:dyDescent="0.25">
      <c r="B132" s="69"/>
    </row>
    <row r="133" spans="2:2" x14ac:dyDescent="0.25">
      <c r="B133" s="69"/>
    </row>
    <row r="134" spans="2:2" x14ac:dyDescent="0.25">
      <c r="B134" s="69"/>
    </row>
    <row r="135" spans="2:2" x14ac:dyDescent="0.25">
      <c r="B135" s="69"/>
    </row>
    <row r="136" spans="2:2" x14ac:dyDescent="0.25">
      <c r="B136" s="69"/>
    </row>
    <row r="137" spans="2:2" x14ac:dyDescent="0.25">
      <c r="B137" s="69"/>
    </row>
    <row r="138" spans="2:2" x14ac:dyDescent="0.25">
      <c r="B138" s="69"/>
    </row>
    <row r="139" spans="2:2" x14ac:dyDescent="0.25">
      <c r="B139" s="69"/>
    </row>
    <row r="140" spans="2:2" x14ac:dyDescent="0.25">
      <c r="B140" s="69"/>
    </row>
    <row r="141" spans="2:2" x14ac:dyDescent="0.25">
      <c r="B141" s="69"/>
    </row>
    <row r="142" spans="2:2" x14ac:dyDescent="0.25">
      <c r="B142" s="69"/>
    </row>
    <row r="143" spans="2:2" x14ac:dyDescent="0.25">
      <c r="B143" s="69"/>
    </row>
    <row r="144" spans="2:2" x14ac:dyDescent="0.25">
      <c r="B144" s="69"/>
    </row>
    <row r="145" spans="2:2" x14ac:dyDescent="0.25">
      <c r="B145" s="69"/>
    </row>
    <row r="146" spans="2:2" x14ac:dyDescent="0.25">
      <c r="B146" s="69"/>
    </row>
    <row r="147" spans="2:2" x14ac:dyDescent="0.25">
      <c r="B147" s="69"/>
    </row>
    <row r="148" spans="2:2" x14ac:dyDescent="0.25">
      <c r="B148" s="69"/>
    </row>
    <row r="149" spans="2:2" x14ac:dyDescent="0.25">
      <c r="B149" s="69"/>
    </row>
    <row r="150" spans="2:2" x14ac:dyDescent="0.25">
      <c r="B150" s="69"/>
    </row>
    <row r="151" spans="2:2" x14ac:dyDescent="0.25">
      <c r="B151" s="69"/>
    </row>
    <row r="152" spans="2:2" x14ac:dyDescent="0.25">
      <c r="B152" s="69"/>
    </row>
    <row r="153" spans="2:2" x14ac:dyDescent="0.25">
      <c r="B153" s="69"/>
    </row>
    <row r="154" spans="2:2" x14ac:dyDescent="0.25">
      <c r="B154" s="69"/>
    </row>
    <row r="155" spans="2:2" x14ac:dyDescent="0.25">
      <c r="B155" s="69"/>
    </row>
    <row r="156" spans="2:2" x14ac:dyDescent="0.25">
      <c r="B156" s="69"/>
    </row>
    <row r="157" spans="2:2" x14ac:dyDescent="0.25">
      <c r="B157" s="69"/>
    </row>
    <row r="158" spans="2:2" x14ac:dyDescent="0.25">
      <c r="B158" s="69"/>
    </row>
    <row r="159" spans="2:2" x14ac:dyDescent="0.25">
      <c r="B159" s="69"/>
    </row>
    <row r="160" spans="2:2" x14ac:dyDescent="0.25">
      <c r="B160" s="69"/>
    </row>
    <row r="161" spans="2:2" x14ac:dyDescent="0.25">
      <c r="B161" s="69"/>
    </row>
    <row r="162" spans="2:2" x14ac:dyDescent="0.25">
      <c r="B162" s="69"/>
    </row>
    <row r="163" spans="2:2" x14ac:dyDescent="0.25">
      <c r="B163" s="69"/>
    </row>
    <row r="164" spans="2:2" x14ac:dyDescent="0.25">
      <c r="B164" s="69"/>
    </row>
    <row r="165" spans="2:2" x14ac:dyDescent="0.25">
      <c r="B165" s="69"/>
    </row>
    <row r="166" spans="2:2" x14ac:dyDescent="0.25">
      <c r="B166" s="69"/>
    </row>
    <row r="167" spans="2:2" x14ac:dyDescent="0.25">
      <c r="B167" s="69"/>
    </row>
    <row r="168" spans="2:2" x14ac:dyDescent="0.25">
      <c r="B168" s="69"/>
    </row>
    <row r="169" spans="2:2" x14ac:dyDescent="0.25">
      <c r="B169" s="69"/>
    </row>
    <row r="170" spans="2:2" x14ac:dyDescent="0.25">
      <c r="B170" s="69"/>
    </row>
    <row r="171" spans="2:2" x14ac:dyDescent="0.25">
      <c r="B171" s="69"/>
    </row>
    <row r="172" spans="2:2" x14ac:dyDescent="0.25">
      <c r="B172" s="69"/>
    </row>
    <row r="173" spans="2:2" x14ac:dyDescent="0.25">
      <c r="B173" s="69"/>
    </row>
    <row r="174" spans="2:2" x14ac:dyDescent="0.25">
      <c r="B174" s="69"/>
    </row>
    <row r="175" spans="2:2" x14ac:dyDescent="0.25">
      <c r="B175" s="69"/>
    </row>
    <row r="176" spans="2:2" x14ac:dyDescent="0.25">
      <c r="B176" s="69"/>
    </row>
    <row r="177" spans="2:2" x14ac:dyDescent="0.25">
      <c r="B177" s="69"/>
    </row>
    <row r="178" spans="2:2" x14ac:dyDescent="0.25">
      <c r="B178" s="69"/>
    </row>
    <row r="179" spans="2:2" x14ac:dyDescent="0.25">
      <c r="B179" s="69"/>
    </row>
    <row r="180" spans="2:2" x14ac:dyDescent="0.25">
      <c r="B180" s="69"/>
    </row>
    <row r="181" spans="2:2" x14ac:dyDescent="0.25">
      <c r="B181" s="69"/>
    </row>
    <row r="182" spans="2:2" x14ac:dyDescent="0.25">
      <c r="B182" s="69"/>
    </row>
    <row r="183" spans="2:2" x14ac:dyDescent="0.25">
      <c r="B183" s="69"/>
    </row>
    <row r="184" spans="2:2" x14ac:dyDescent="0.25">
      <c r="B184" s="69"/>
    </row>
    <row r="185" spans="2:2" x14ac:dyDescent="0.25">
      <c r="B185" s="69"/>
    </row>
    <row r="186" spans="2:2" x14ac:dyDescent="0.25">
      <c r="B186" s="69"/>
    </row>
    <row r="187" spans="2:2" x14ac:dyDescent="0.25">
      <c r="B187" s="69"/>
    </row>
    <row r="188" spans="2:2" x14ac:dyDescent="0.25">
      <c r="B188" s="69"/>
    </row>
    <row r="189" spans="2:2" x14ac:dyDescent="0.25">
      <c r="B189" s="69"/>
    </row>
    <row r="190" spans="2:2" x14ac:dyDescent="0.25">
      <c r="B190" s="69"/>
    </row>
    <row r="191" spans="2:2" x14ac:dyDescent="0.25">
      <c r="B191" s="69"/>
    </row>
    <row r="192" spans="2:2" x14ac:dyDescent="0.25">
      <c r="B192" s="69"/>
    </row>
    <row r="193" spans="2:2" x14ac:dyDescent="0.25">
      <c r="B193" s="69"/>
    </row>
    <row r="194" spans="2:2" x14ac:dyDescent="0.25">
      <c r="B194" s="69"/>
    </row>
    <row r="195" spans="2:2" x14ac:dyDescent="0.25">
      <c r="B195" s="69"/>
    </row>
    <row r="196" spans="2:2" x14ac:dyDescent="0.25">
      <c r="B196" s="69"/>
    </row>
    <row r="197" spans="2:2" x14ac:dyDescent="0.25">
      <c r="B197" s="69"/>
    </row>
    <row r="198" spans="2:2" x14ac:dyDescent="0.25">
      <c r="B198" s="69"/>
    </row>
    <row r="199" spans="2:2" x14ac:dyDescent="0.25">
      <c r="B199" s="69"/>
    </row>
    <row r="200" spans="2:2" x14ac:dyDescent="0.25">
      <c r="B200" s="69"/>
    </row>
    <row r="201" spans="2:2" x14ac:dyDescent="0.25">
      <c r="B201" s="69"/>
    </row>
    <row r="202" spans="2:2" x14ac:dyDescent="0.25">
      <c r="B202" s="69"/>
    </row>
    <row r="203" spans="2:2" x14ac:dyDescent="0.25">
      <c r="B203" s="69"/>
    </row>
    <row r="204" spans="2:2" x14ac:dyDescent="0.25">
      <c r="B204" s="69"/>
    </row>
    <row r="205" spans="2:2" x14ac:dyDescent="0.25">
      <c r="B205" s="69"/>
    </row>
    <row r="206" spans="2:2" x14ac:dyDescent="0.25">
      <c r="B206" s="69"/>
    </row>
    <row r="207" spans="2:2" x14ac:dyDescent="0.25">
      <c r="B207" s="69"/>
    </row>
    <row r="208" spans="2:2" x14ac:dyDescent="0.25">
      <c r="B208" s="69"/>
    </row>
    <row r="209" spans="2:2" x14ac:dyDescent="0.25">
      <c r="B209" s="69"/>
    </row>
    <row r="210" spans="2:2" x14ac:dyDescent="0.25">
      <c r="B210" s="69"/>
    </row>
    <row r="211" spans="2:2" x14ac:dyDescent="0.25">
      <c r="B211" s="69"/>
    </row>
    <row r="212" spans="2:2" x14ac:dyDescent="0.25">
      <c r="B212" s="69"/>
    </row>
    <row r="213" spans="2:2" x14ac:dyDescent="0.25">
      <c r="B213" s="69"/>
    </row>
    <row r="214" spans="2:2" x14ac:dyDescent="0.25">
      <c r="B214" s="69"/>
    </row>
    <row r="215" spans="2:2" x14ac:dyDescent="0.25">
      <c r="B215" s="69"/>
    </row>
    <row r="216" spans="2:2" x14ac:dyDescent="0.25">
      <c r="B216" s="69"/>
    </row>
    <row r="217" spans="2:2" x14ac:dyDescent="0.25">
      <c r="B217" s="69"/>
    </row>
    <row r="218" spans="2:2" x14ac:dyDescent="0.25">
      <c r="B218" s="69"/>
    </row>
    <row r="219" spans="2:2" x14ac:dyDescent="0.25">
      <c r="B219" s="69"/>
    </row>
    <row r="220" spans="2:2" x14ac:dyDescent="0.25">
      <c r="B220" s="69"/>
    </row>
    <row r="221" spans="2:2" x14ac:dyDescent="0.25">
      <c r="B221" s="69"/>
    </row>
    <row r="222" spans="2:2" x14ac:dyDescent="0.25">
      <c r="B222" s="69"/>
    </row>
    <row r="223" spans="2:2" x14ac:dyDescent="0.25">
      <c r="B223" s="69"/>
    </row>
    <row r="224" spans="2:2" x14ac:dyDescent="0.25">
      <c r="B224" s="69"/>
    </row>
    <row r="225" spans="2:2" x14ac:dyDescent="0.25">
      <c r="B225" s="69"/>
    </row>
    <row r="226" spans="2:2" x14ac:dyDescent="0.25">
      <c r="B226" s="69"/>
    </row>
    <row r="227" spans="2:2" x14ac:dyDescent="0.25">
      <c r="B227" s="69"/>
    </row>
    <row r="228" spans="2:2" x14ac:dyDescent="0.25">
      <c r="B228" s="69"/>
    </row>
    <row r="229" spans="2:2" x14ac:dyDescent="0.25">
      <c r="B229" s="69"/>
    </row>
    <row r="230" spans="2:2" x14ac:dyDescent="0.25">
      <c r="B230" s="69"/>
    </row>
    <row r="231" spans="2:2" x14ac:dyDescent="0.25">
      <c r="B231" s="69"/>
    </row>
    <row r="232" spans="2:2" x14ac:dyDescent="0.25">
      <c r="B232" s="69"/>
    </row>
    <row r="233" spans="2:2" x14ac:dyDescent="0.25">
      <c r="B233" s="69"/>
    </row>
    <row r="234" spans="2:2" x14ac:dyDescent="0.25">
      <c r="B234" s="69"/>
    </row>
    <row r="235" spans="2:2" x14ac:dyDescent="0.25">
      <c r="B235" s="69"/>
    </row>
    <row r="236" spans="2:2" x14ac:dyDescent="0.25">
      <c r="B236" s="69"/>
    </row>
    <row r="237" spans="2:2" x14ac:dyDescent="0.25">
      <c r="B237" s="69"/>
    </row>
    <row r="238" spans="2:2" x14ac:dyDescent="0.25">
      <c r="B238" s="69"/>
    </row>
    <row r="239" spans="2:2" x14ac:dyDescent="0.25">
      <c r="B239" s="69"/>
    </row>
    <row r="240" spans="2:2" x14ac:dyDescent="0.25">
      <c r="B240" s="69"/>
    </row>
    <row r="241" spans="2:2" x14ac:dyDescent="0.25">
      <c r="B241" s="69"/>
    </row>
    <row r="242" spans="2:2" x14ac:dyDescent="0.25">
      <c r="B242" s="69"/>
    </row>
    <row r="243" spans="2:2" x14ac:dyDescent="0.25">
      <c r="B243" s="69"/>
    </row>
    <row r="244" spans="2:2" x14ac:dyDescent="0.25">
      <c r="B244" s="69"/>
    </row>
    <row r="245" spans="2:2" x14ac:dyDescent="0.25">
      <c r="B245" s="69"/>
    </row>
    <row r="246" spans="2:2" x14ac:dyDescent="0.25">
      <c r="B246" s="69"/>
    </row>
    <row r="247" spans="2:2" x14ac:dyDescent="0.25">
      <c r="B247" s="69"/>
    </row>
    <row r="248" spans="2:2" x14ac:dyDescent="0.25">
      <c r="B248" s="69"/>
    </row>
    <row r="249" spans="2:2" x14ac:dyDescent="0.25">
      <c r="B249" s="69"/>
    </row>
    <row r="250" spans="2:2" x14ac:dyDescent="0.25">
      <c r="B250" s="69"/>
    </row>
    <row r="251" spans="2:2" x14ac:dyDescent="0.25">
      <c r="B251" s="69"/>
    </row>
    <row r="252" spans="2:2" x14ac:dyDescent="0.25">
      <c r="B252" s="69"/>
    </row>
  </sheetData>
  <mergeCells count="8">
    <mergeCell ref="FG5:FZ5"/>
    <mergeCell ref="EM5:FF5"/>
    <mergeCell ref="DS5:EL5"/>
    <mergeCell ref="W5:AP5"/>
    <mergeCell ref="AQ5:BJ5"/>
    <mergeCell ref="BK5:CD5"/>
    <mergeCell ref="CE5:CX5"/>
    <mergeCell ref="CY5:DR5"/>
  </mergeCells>
  <conditionalFormatting sqref="A7:A9094">
    <cfRule type="expression" dxfId="15" priority="24">
      <formula>COUNTIF(OFFSET(DBRA_WorkplanUID,0,0,DBR_COUNT+10,1),A7)&gt;1</formula>
    </cfRule>
  </conditionalFormatting>
  <pageMargins left="0.7" right="0.7" top="0.78740157499999996" bottom="0.78740157499999996"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4"/>
  <dimension ref="A1:AH35"/>
  <sheetViews>
    <sheetView workbookViewId="0">
      <selection activeCell="D20" sqref="D20"/>
    </sheetView>
  </sheetViews>
  <sheetFormatPr baseColWidth="10" defaultRowHeight="15" x14ac:dyDescent="0.25"/>
  <cols>
    <col min="1" max="1" width="36.42578125" customWidth="1"/>
    <col min="2" max="2" width="27" customWidth="1"/>
    <col min="3" max="4" width="30.85546875" customWidth="1"/>
    <col min="7" max="7" width="21" customWidth="1"/>
    <col min="8" max="8" width="21.5703125" customWidth="1"/>
  </cols>
  <sheetData>
    <row r="1" spans="1:34" ht="36" x14ac:dyDescent="0.25">
      <c r="A1" s="24" t="str">
        <f>MUI_Title</f>
        <v>Golf Workplan Manager</v>
      </c>
      <c r="B1" s="4"/>
      <c r="C1" s="169"/>
      <c r="D1" s="169"/>
      <c r="E1" s="4"/>
      <c r="F1" s="4"/>
      <c r="G1" s="4"/>
      <c r="H1" s="4">
        <v>1</v>
      </c>
      <c r="I1" s="4"/>
      <c r="J1" s="4"/>
      <c r="K1" s="24"/>
      <c r="L1" s="24"/>
      <c r="M1" s="24"/>
      <c r="N1" s="24"/>
      <c r="O1" s="4"/>
      <c r="P1" s="4"/>
      <c r="Q1" s="4"/>
      <c r="R1" s="24"/>
      <c r="S1" s="4"/>
      <c r="T1" s="4"/>
      <c r="U1" s="4"/>
      <c r="V1" s="24"/>
      <c r="W1" s="4"/>
      <c r="X1" s="4"/>
      <c r="Y1" s="4"/>
      <c r="Z1" s="24"/>
      <c r="AA1" s="4"/>
      <c r="AB1" s="4"/>
      <c r="AC1" s="4"/>
      <c r="AD1" s="24"/>
      <c r="AE1" s="4"/>
      <c r="AF1" s="4"/>
      <c r="AG1" s="4"/>
      <c r="AH1" s="24"/>
    </row>
    <row r="2" spans="1:34" x14ac:dyDescent="0.25">
      <c r="A2" s="5" t="str">
        <f>MUI_DBP_Title</f>
        <v>Player Information Database</v>
      </c>
      <c r="B2" s="4"/>
      <c r="C2" s="169"/>
      <c r="D2" s="169"/>
      <c r="E2" s="4"/>
      <c r="F2" s="4"/>
      <c r="G2" s="4"/>
      <c r="H2" s="4"/>
      <c r="I2" s="4"/>
      <c r="J2" s="4"/>
      <c r="K2" s="4"/>
      <c r="L2" s="4"/>
      <c r="M2" s="4"/>
      <c r="N2" s="4"/>
      <c r="O2" s="4"/>
      <c r="P2" s="4"/>
      <c r="Q2" s="4"/>
      <c r="R2" s="4"/>
      <c r="S2" s="4"/>
      <c r="T2" s="4"/>
      <c r="U2" s="4"/>
      <c r="V2" s="4"/>
      <c r="W2" s="4"/>
      <c r="X2" s="4"/>
      <c r="Y2" s="4"/>
      <c r="Z2" s="4"/>
      <c r="AA2" s="4"/>
      <c r="AB2" s="4"/>
      <c r="AC2" s="4"/>
      <c r="AD2" s="4"/>
      <c r="AE2" s="4"/>
      <c r="AF2" s="4"/>
      <c r="AG2" s="4"/>
      <c r="AH2" s="4"/>
    </row>
    <row r="3" spans="1:34" x14ac:dyDescent="0.25">
      <c r="A3" s="4">
        <f ca="1">DBR_COLID_WorkplanUID</f>
        <v>1</v>
      </c>
      <c r="B3" s="4">
        <f ca="1">DBR_COLID_WorkplanDate</f>
        <v>2</v>
      </c>
      <c r="C3" s="169">
        <f ca="1">DBR_COLID_WorkplanID</f>
        <v>3</v>
      </c>
      <c r="D3" s="169"/>
      <c r="E3" s="4">
        <f ca="1">DBR_COLID_PlayerID</f>
        <v>4</v>
      </c>
      <c r="F3" s="4">
        <f ca="1">DBR_COLID_PlayerID</f>
        <v>4</v>
      </c>
      <c r="G3" s="4">
        <f ca="1">DBR_COLID_PlayerName</f>
        <v>5</v>
      </c>
      <c r="H3" s="4">
        <f ca="1">DBR_COLID_PlayerHCP</f>
        <v>6</v>
      </c>
      <c r="I3" s="4">
        <f ca="1">DBR_COLID_PlayerRoundedHCP</f>
        <v>7</v>
      </c>
      <c r="J3" s="4">
        <f ca="1">DBR_COLID_PlayerResultHCP</f>
        <v>8</v>
      </c>
      <c r="K3" s="4">
        <f ca="1">DBR_COLID_PlayerTeam</f>
        <v>9</v>
      </c>
      <c r="L3" s="4"/>
      <c r="M3" s="4"/>
      <c r="N3" s="4"/>
      <c r="O3" s="4">
        <f ca="1">DBR_COLID_ExIDs_Planned_Start</f>
        <v>23</v>
      </c>
      <c r="P3" s="4"/>
      <c r="Q3" s="4"/>
      <c r="R3" s="4"/>
      <c r="S3" s="4"/>
      <c r="T3" s="4"/>
      <c r="U3" s="4"/>
      <c r="V3" s="4"/>
      <c r="W3" s="4"/>
      <c r="X3" s="4"/>
      <c r="Y3" s="4"/>
      <c r="Z3" s="4"/>
      <c r="AA3" s="4"/>
      <c r="AB3" s="4"/>
      <c r="AC3" s="4"/>
      <c r="AD3" s="4"/>
      <c r="AE3" s="4"/>
      <c r="AF3" s="4"/>
      <c r="AG3" s="4"/>
      <c r="AH3" s="4"/>
    </row>
    <row r="4" spans="1:34" x14ac:dyDescent="0.25">
      <c r="A4" s="2" t="s">
        <v>0</v>
      </c>
      <c r="B4" s="2" t="s">
        <v>272</v>
      </c>
      <c r="C4" s="175" t="s">
        <v>273</v>
      </c>
      <c r="D4" s="175"/>
      <c r="E4" s="2" t="s">
        <v>973</v>
      </c>
      <c r="F4" s="2" t="s">
        <v>973</v>
      </c>
      <c r="G4" s="2" t="s">
        <v>411</v>
      </c>
      <c r="H4" s="2"/>
      <c r="I4" s="2" t="s">
        <v>336</v>
      </c>
      <c r="J4" s="2"/>
      <c r="K4" s="2"/>
      <c r="L4" s="2"/>
      <c r="M4" s="2"/>
      <c r="N4" s="2"/>
      <c r="O4" s="2"/>
      <c r="P4" s="2"/>
      <c r="Q4" s="2"/>
      <c r="R4" s="2"/>
      <c r="S4" s="2"/>
      <c r="T4" s="2"/>
      <c r="U4" s="2"/>
      <c r="V4" s="2"/>
      <c r="W4" s="2"/>
      <c r="X4" s="2"/>
      <c r="Y4" s="2"/>
      <c r="Z4" s="2"/>
      <c r="AA4" s="2"/>
      <c r="AB4" s="2"/>
      <c r="AC4" s="2"/>
      <c r="AD4" s="2"/>
      <c r="AE4" s="2"/>
      <c r="AF4" s="2"/>
      <c r="AG4" s="2"/>
      <c r="AH4" s="2"/>
    </row>
    <row r="5" spans="1:34" x14ac:dyDescent="0.25">
      <c r="A5" s="3">
        <f>DBR_COUNT</f>
        <v>29</v>
      </c>
      <c r="B5" s="3"/>
      <c r="C5" s="176">
        <f>DBRI_ID</f>
        <v>12</v>
      </c>
      <c r="D5" s="322"/>
      <c r="E5" s="2">
        <f>DBRI_ID</f>
        <v>12</v>
      </c>
      <c r="F5" s="2">
        <f>DBRI_ID</f>
        <v>12</v>
      </c>
      <c r="G5" s="2">
        <f>DBR_COUNT</f>
        <v>29</v>
      </c>
      <c r="H5" s="2"/>
      <c r="I5" s="2">
        <f>DBR_START_ROWID_DATA</f>
        <v>7</v>
      </c>
      <c r="J5" s="2"/>
      <c r="K5" s="2"/>
      <c r="L5" s="2"/>
      <c r="M5" s="2"/>
      <c r="N5" s="2"/>
      <c r="O5" s="521" t="e">
        <f>MUI_DBP</f>
        <v>#NAME?</v>
      </c>
      <c r="P5" s="521"/>
      <c r="Q5" s="521"/>
      <c r="R5" s="521"/>
      <c r="S5" s="521"/>
      <c r="T5" s="521"/>
      <c r="U5" s="521"/>
      <c r="V5" s="521"/>
      <c r="W5" s="521"/>
      <c r="X5" s="521"/>
      <c r="Y5" s="521"/>
      <c r="Z5" s="521"/>
      <c r="AA5" s="521"/>
      <c r="AB5" s="521"/>
      <c r="AC5" s="521"/>
      <c r="AD5" s="521"/>
      <c r="AE5" s="521"/>
      <c r="AF5" s="521"/>
      <c r="AG5" s="521"/>
      <c r="AH5" s="521"/>
    </row>
    <row r="6" spans="1:34" x14ac:dyDescent="0.25">
      <c r="A6" s="15" t="str">
        <f>MUI_DBP_T_DBPUID</f>
        <v>DBP_UID</v>
      </c>
      <c r="B6" s="15" t="str">
        <f>MUI_DBP_T_PlayerID</f>
        <v>PlayerID</v>
      </c>
      <c r="C6" s="15" t="str">
        <f>MUI_DBP_T_PlayerName</f>
        <v>PlayerName</v>
      </c>
      <c r="D6" s="15" t="str">
        <f>MUI_DBP_T_PlayerTeam</f>
        <v>PlayerTeam</v>
      </c>
      <c r="E6" s="15" t="str">
        <f>MUI_DBP_T_PlayerHCP</f>
        <v>PlayerHCP</v>
      </c>
      <c r="F6" s="15" t="str">
        <f>MUI_DBP_T_PlayerTitle</f>
        <v>PlayerTitle</v>
      </c>
      <c r="G6" s="15" t="str">
        <f>MUI_DBP_T_PlayerFirstName</f>
        <v>PlayerFirstName</v>
      </c>
      <c r="H6" s="15" t="str">
        <f>MUI_DBP_T_PlayerLastName</f>
        <v>PlayerLastName</v>
      </c>
      <c r="I6" s="15" t="str">
        <f>MUI_DBP_T_PlayerCountryID</f>
        <v>CountryID</v>
      </c>
      <c r="J6" s="15" t="str">
        <f>MUI_DBP_T_PlayerClubID</f>
        <v>ClubID</v>
      </c>
      <c r="K6" s="15" t="str">
        <f>MUI_DBP_T_PlayerMemberID</f>
        <v>MemberID</v>
      </c>
      <c r="L6" s="15"/>
      <c r="M6" s="15"/>
      <c r="N6" s="15"/>
      <c r="O6" s="3" t="str">
        <f>MUI_DBR_P_ExIDs_Planned &amp;1</f>
        <v>EX_1</v>
      </c>
      <c r="P6" s="3" t="str">
        <f>MUI_DBR_P_ExIDs_Planned &amp;2</f>
        <v>EX_2</v>
      </c>
      <c r="Q6" s="3" t="str">
        <f>MUI_DBR_P_ExIDs_Planned &amp;3</f>
        <v>EX_3</v>
      </c>
      <c r="R6" s="3" t="str">
        <f>MUI_DBR_P_ExIDs_Planned &amp;4</f>
        <v>EX_4</v>
      </c>
      <c r="S6" s="3" t="str">
        <f>MUI_DBR_P_ExIDs_Planned &amp;5</f>
        <v>EX_5</v>
      </c>
      <c r="T6" s="3" t="str">
        <f>MUI_DBR_P_ExIDs_Planned &amp;6</f>
        <v>EX_6</v>
      </c>
      <c r="U6" s="3" t="str">
        <f>MUI_DBR_P_ExIDs_Planned &amp;7</f>
        <v>EX_7</v>
      </c>
      <c r="V6" s="3" t="str">
        <f>MUI_DBR_P_ExIDs_Planned &amp;8</f>
        <v>EX_8</v>
      </c>
      <c r="W6" s="3" t="str">
        <f>MUI_DBR_P_ExIDs_Planned &amp;9</f>
        <v>EX_9</v>
      </c>
      <c r="X6" s="3" t="str">
        <f>MUI_DBR_P_ExIDs_Planned &amp;10</f>
        <v>EX_10</v>
      </c>
      <c r="Y6" s="3" t="str">
        <f>MUI_DBR_P_ExIDs_Planned &amp;11</f>
        <v>EX_11</v>
      </c>
      <c r="Z6" s="3" t="str">
        <f>MUI_DBR_P_ExIDs_Planned &amp;12</f>
        <v>EX_12</v>
      </c>
      <c r="AA6" s="3" t="str">
        <f>MUI_DBR_P_ExIDs_Planned &amp;13</f>
        <v>EX_13</v>
      </c>
      <c r="AB6" s="3" t="str">
        <f>MUI_DBR_P_ExIDs_Planned &amp;14</f>
        <v>EX_14</v>
      </c>
      <c r="AC6" s="3" t="str">
        <f>MUI_DBR_P_ExIDs_Planned &amp;15</f>
        <v>EX_15</v>
      </c>
      <c r="AD6" s="3" t="str">
        <f>MUI_DBR_P_ExIDs_Planned &amp;16</f>
        <v>EX_16</v>
      </c>
      <c r="AE6" s="3" t="str">
        <f>MUI_DBR_P_ExIDs_Planned &amp;17</f>
        <v>EX_17</v>
      </c>
      <c r="AF6" s="3" t="str">
        <f>MUI_DBR_P_ExIDs_Planned &amp;18</f>
        <v>EX_18</v>
      </c>
      <c r="AG6" s="3" t="str">
        <f>MUI_DBR_P_ExIDs_Planned &amp;19</f>
        <v>EX_19</v>
      </c>
      <c r="AH6" s="3" t="str">
        <f>MUI_DBR_P_ExIDs_Planned &amp;20</f>
        <v>EX_20</v>
      </c>
    </row>
    <row r="7" spans="1:34" x14ac:dyDescent="0.25">
      <c r="A7" s="1" t="s">
        <v>1501</v>
      </c>
      <c r="B7" s="319" t="s">
        <v>1443</v>
      </c>
      <c r="C7" s="1" t="s">
        <v>1445</v>
      </c>
      <c r="D7" s="1" t="s">
        <v>1500</v>
      </c>
      <c r="E7" s="324">
        <v>2.9</v>
      </c>
    </row>
    <row r="8" spans="1:34" x14ac:dyDescent="0.25">
      <c r="A8" s="1" t="s">
        <v>1502</v>
      </c>
      <c r="B8" s="319" t="s">
        <v>1510</v>
      </c>
      <c r="C8" s="1" t="s">
        <v>1525</v>
      </c>
      <c r="D8" s="1" t="s">
        <v>1500</v>
      </c>
      <c r="E8" s="324">
        <v>0.5</v>
      </c>
    </row>
    <row r="9" spans="1:34" x14ac:dyDescent="0.25">
      <c r="A9" s="1" t="s">
        <v>1503</v>
      </c>
      <c r="B9" s="319" t="s">
        <v>1511</v>
      </c>
      <c r="C9" s="1" t="s">
        <v>1526</v>
      </c>
      <c r="D9" s="1" t="s">
        <v>1500</v>
      </c>
      <c r="E9" s="324">
        <v>1.2</v>
      </c>
    </row>
    <row r="10" spans="1:34" x14ac:dyDescent="0.25">
      <c r="A10" s="1" t="s">
        <v>1504</v>
      </c>
      <c r="B10" s="319" t="s">
        <v>1512</v>
      </c>
      <c r="C10" s="1" t="s">
        <v>1527</v>
      </c>
      <c r="D10" s="1" t="s">
        <v>1500</v>
      </c>
      <c r="E10" s="324">
        <v>1.5</v>
      </c>
    </row>
    <row r="11" spans="1:34" x14ac:dyDescent="0.25">
      <c r="A11" s="1" t="s">
        <v>1437</v>
      </c>
      <c r="B11" s="319" t="s">
        <v>1513</v>
      </c>
      <c r="C11" s="1" t="s">
        <v>1528</v>
      </c>
      <c r="D11" s="1" t="s">
        <v>1500</v>
      </c>
      <c r="E11" s="324">
        <v>0.4</v>
      </c>
    </row>
    <row r="12" spans="1:34" x14ac:dyDescent="0.25">
      <c r="A12" s="1" t="s">
        <v>1505</v>
      </c>
      <c r="B12" s="319" t="s">
        <v>1514</v>
      </c>
      <c r="C12" s="1" t="s">
        <v>1529</v>
      </c>
      <c r="D12" s="1" t="s">
        <v>1500</v>
      </c>
      <c r="E12" s="324">
        <v>0.2</v>
      </c>
    </row>
    <row r="13" spans="1:34" x14ac:dyDescent="0.25">
      <c r="A13" s="1" t="s">
        <v>1506</v>
      </c>
      <c r="B13" s="319" t="s">
        <v>1515</v>
      </c>
      <c r="C13" s="1" t="s">
        <v>1530</v>
      </c>
      <c r="D13" s="1" t="s">
        <v>1500</v>
      </c>
      <c r="E13" s="324">
        <v>-1</v>
      </c>
    </row>
    <row r="14" spans="1:34" x14ac:dyDescent="0.25">
      <c r="A14" s="1" t="s">
        <v>1507</v>
      </c>
      <c r="B14" s="319" t="s">
        <v>1516</v>
      </c>
      <c r="C14" s="1" t="s">
        <v>1531</v>
      </c>
      <c r="D14" s="1" t="s">
        <v>1500</v>
      </c>
      <c r="E14" s="324">
        <v>-1</v>
      </c>
    </row>
    <row r="15" spans="1:34" x14ac:dyDescent="0.25">
      <c r="A15" s="1" t="s">
        <v>1521</v>
      </c>
      <c r="B15" s="319" t="s">
        <v>1517</v>
      </c>
      <c r="C15" s="1" t="s">
        <v>1534</v>
      </c>
      <c r="D15" s="1" t="s">
        <v>1500</v>
      </c>
      <c r="E15" s="324">
        <v>-1</v>
      </c>
    </row>
    <row r="16" spans="1:34" x14ac:dyDescent="0.25">
      <c r="A16" s="1" t="s">
        <v>1522</v>
      </c>
      <c r="B16" s="319" t="s">
        <v>1518</v>
      </c>
      <c r="C16" s="1" t="s">
        <v>1532</v>
      </c>
      <c r="D16" s="1" t="s">
        <v>1500</v>
      </c>
      <c r="E16" s="324">
        <v>-2</v>
      </c>
    </row>
    <row r="17" spans="1:5" x14ac:dyDescent="0.25">
      <c r="A17" s="1" t="s">
        <v>1523</v>
      </c>
      <c r="B17" s="319" t="s">
        <v>1519</v>
      </c>
      <c r="C17" s="1" t="s">
        <v>1533</v>
      </c>
      <c r="D17" s="1" t="s">
        <v>1500</v>
      </c>
      <c r="E17" s="324">
        <v>-2</v>
      </c>
    </row>
    <row r="18" spans="1:5" x14ac:dyDescent="0.25">
      <c r="A18" s="1" t="s">
        <v>1524</v>
      </c>
      <c r="B18" s="319" t="s">
        <v>1520</v>
      </c>
      <c r="C18" s="1" t="s">
        <v>1538</v>
      </c>
      <c r="D18" s="1" t="s">
        <v>1500</v>
      </c>
      <c r="E18" s="324">
        <v>-3</v>
      </c>
    </row>
    <row r="19" spans="1:5" x14ac:dyDescent="0.25">
      <c r="C19" s="323"/>
      <c r="E19" s="324"/>
    </row>
    <row r="20" spans="1:5" x14ac:dyDescent="0.25">
      <c r="E20" s="324"/>
    </row>
    <row r="21" spans="1:5" x14ac:dyDescent="0.25">
      <c r="E21" s="324"/>
    </row>
    <row r="22" spans="1:5" x14ac:dyDescent="0.25">
      <c r="E22" s="324"/>
    </row>
    <row r="23" spans="1:5" x14ac:dyDescent="0.25">
      <c r="E23" s="324"/>
    </row>
    <row r="24" spans="1:5" x14ac:dyDescent="0.25">
      <c r="E24" s="324"/>
    </row>
    <row r="25" spans="1:5" x14ac:dyDescent="0.25">
      <c r="E25" s="324"/>
    </row>
    <row r="26" spans="1:5" x14ac:dyDescent="0.25">
      <c r="E26" s="324"/>
    </row>
    <row r="27" spans="1:5" x14ac:dyDescent="0.25">
      <c r="E27" s="324"/>
    </row>
    <row r="28" spans="1:5" x14ac:dyDescent="0.25">
      <c r="E28" s="324"/>
    </row>
    <row r="29" spans="1:5" x14ac:dyDescent="0.25">
      <c r="E29" s="324"/>
    </row>
    <row r="30" spans="1:5" x14ac:dyDescent="0.25">
      <c r="E30" s="324"/>
    </row>
    <row r="31" spans="1:5" x14ac:dyDescent="0.25">
      <c r="E31" s="324"/>
    </row>
    <row r="32" spans="1:5" x14ac:dyDescent="0.25">
      <c r="E32" s="324"/>
    </row>
    <row r="33" spans="5:5" x14ac:dyDescent="0.25">
      <c r="E33" s="324"/>
    </row>
    <row r="34" spans="5:5" x14ac:dyDescent="0.25">
      <c r="E34" s="324"/>
    </row>
    <row r="35" spans="5:5" x14ac:dyDescent="0.25">
      <c r="E35" s="324"/>
    </row>
  </sheetData>
  <mergeCells count="1">
    <mergeCell ref="O5:AH5"/>
  </mergeCells>
  <conditionalFormatting sqref="A7:A18">
    <cfRule type="expression" dxfId="14" priority="1">
      <formula>COUNTIF(OFFSET(DBRA_WorkplanUID,0,0,DBR_COUNT+10,1),A7)&gt;1</formula>
    </cfRule>
  </conditionalFormatting>
  <pageMargins left="0.7" right="0.7" top="0.78740157499999996" bottom="0.78740157499999996" header="0.3" footer="0.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5"/>
  <dimension ref="A1:E157"/>
  <sheetViews>
    <sheetView workbookViewId="0">
      <pane xSplit="2" ySplit="4" topLeftCell="C127" activePane="bottomRight" state="frozen"/>
      <selection pane="topRight" activeCell="C1" sqref="C1"/>
      <selection pane="bottomLeft" activeCell="A5" sqref="A5"/>
      <selection pane="bottomRight" activeCell="B157" sqref="B157"/>
    </sheetView>
  </sheetViews>
  <sheetFormatPr baseColWidth="10" defaultRowHeight="15" x14ac:dyDescent="0.25"/>
  <cols>
    <col min="1" max="1" width="37.28515625" customWidth="1"/>
    <col min="2" max="2" width="27" customWidth="1"/>
    <col min="3" max="3" width="30.140625" customWidth="1"/>
    <col min="4" max="4" width="30" customWidth="1"/>
  </cols>
  <sheetData>
    <row r="1" spans="1:5" ht="36" x14ac:dyDescent="0.25">
      <c r="A1" s="24" t="str">
        <f>MUI_Title</f>
        <v>Golf Workplan Manager</v>
      </c>
      <c r="B1" s="23"/>
      <c r="C1" s="23"/>
      <c r="D1" s="23"/>
      <c r="E1" s="23"/>
    </row>
    <row r="2" spans="1:5" x14ac:dyDescent="0.25">
      <c r="A2" s="23" t="str">
        <f>MUI_Description</f>
        <v>Language Table</v>
      </c>
      <c r="B2" s="23"/>
      <c r="C2" s="23"/>
      <c r="D2" s="23"/>
      <c r="E2" s="23"/>
    </row>
    <row r="3" spans="1:5" x14ac:dyDescent="0.25">
      <c r="A3" s="30">
        <f>MATCH(MUI_SEL_LANG,C4:P4,0)</f>
        <v>1</v>
      </c>
      <c r="B3" s="30" t="str">
        <f>MUI_SEL_LANG</f>
        <v>English</v>
      </c>
      <c r="C3" s="30">
        <f>MATCH(MUI_T_LABEL,A:A,0)+1</f>
        <v>5</v>
      </c>
      <c r="D3" s="30">
        <f>COUNTA(A:A)</f>
        <v>128</v>
      </c>
      <c r="E3" s="25"/>
    </row>
    <row r="4" spans="1:5" s="22" customFormat="1" ht="30" customHeight="1" x14ac:dyDescent="0.25">
      <c r="A4" s="27" t="s">
        <v>34</v>
      </c>
      <c r="B4" s="27" t="s">
        <v>32</v>
      </c>
      <c r="C4" s="27" t="s">
        <v>31</v>
      </c>
      <c r="D4" s="27" t="s">
        <v>19</v>
      </c>
      <c r="E4" s="27"/>
    </row>
    <row r="5" spans="1:5" x14ac:dyDescent="0.25">
      <c r="A5" s="36" t="s">
        <v>36</v>
      </c>
      <c r="B5" s="37" t="str">
        <f>IFERROR(INDEX($C5:$E5,0,MUI_LANG_ID),"")</f>
        <v>Golf Workplan Manager</v>
      </c>
      <c r="C5" s="36" t="s">
        <v>1106</v>
      </c>
      <c r="D5" s="36" t="s">
        <v>1106</v>
      </c>
      <c r="E5" s="36"/>
    </row>
    <row r="6" spans="1:5" x14ac:dyDescent="0.25">
      <c r="A6" s="36" t="s">
        <v>1079</v>
      </c>
      <c r="B6" s="37" t="str">
        <f>IFERROR(INDEX($C6:$E6,0,MUI_LANG_ID),"")</f>
        <v>Workplan Viewer</v>
      </c>
      <c r="C6" s="36" t="s">
        <v>1080</v>
      </c>
      <c r="D6" s="36" t="s">
        <v>1080</v>
      </c>
      <c r="E6" s="36"/>
    </row>
    <row r="7" spans="1:5" x14ac:dyDescent="0.25">
      <c r="A7" s="36" t="s">
        <v>1355</v>
      </c>
      <c r="B7" s="37" t="str">
        <f>IFERROR(INDEX($C7:$E7,0,MUI_LANG_ID),"")</f>
        <v>BUG REPORT</v>
      </c>
      <c r="C7" s="36" t="s">
        <v>1356</v>
      </c>
      <c r="D7" s="36" t="s">
        <v>1357</v>
      </c>
      <c r="E7" s="36"/>
    </row>
    <row r="8" spans="1:5" x14ac:dyDescent="0.25">
      <c r="A8" s="36" t="s">
        <v>47</v>
      </c>
      <c r="B8" s="37" t="str">
        <f t="shared" ref="B8:B95" si="0">IFERROR(INDEX($C8:$E8,0,MUI_LANG_ID),"")</f>
        <v>Language Table</v>
      </c>
      <c r="C8" s="36" t="s">
        <v>48</v>
      </c>
      <c r="D8" s="36" t="s">
        <v>49</v>
      </c>
      <c r="E8" s="36"/>
    </row>
    <row r="9" spans="1:5" x14ac:dyDescent="0.25">
      <c r="A9" s="36" t="s">
        <v>52</v>
      </c>
      <c r="B9" s="37" t="str">
        <f t="shared" si="0"/>
        <v>Config Table</v>
      </c>
      <c r="C9" s="36" t="s">
        <v>53</v>
      </c>
      <c r="D9" s="36" t="s">
        <v>54</v>
      </c>
      <c r="E9" s="36"/>
    </row>
    <row r="10" spans="1:5" x14ac:dyDescent="0.25">
      <c r="A10" s="36" t="s">
        <v>1229</v>
      </c>
      <c r="B10" s="37" t="str">
        <f t="shared" si="0"/>
        <v>&lt; TEMPLATE &gt;</v>
      </c>
      <c r="C10" s="36" t="s">
        <v>1230</v>
      </c>
      <c r="D10" s="36" t="s">
        <v>1231</v>
      </c>
      <c r="E10" s="36"/>
    </row>
    <row r="11" spans="1:5" x14ac:dyDescent="0.25">
      <c r="A11" s="36" t="s">
        <v>78</v>
      </c>
      <c r="B11" s="37" t="str">
        <f t="shared" si="0"/>
        <v>Results Database</v>
      </c>
      <c r="C11" s="36" t="s">
        <v>38</v>
      </c>
      <c r="D11" s="36" t="s">
        <v>39</v>
      </c>
      <c r="E11" s="36"/>
    </row>
    <row r="12" spans="1:5" x14ac:dyDescent="0.25">
      <c r="A12" s="38" t="s">
        <v>67</v>
      </c>
      <c r="B12" s="37" t="str">
        <f t="shared" si="0"/>
        <v>Exercise Database</v>
      </c>
      <c r="C12" s="38" t="s">
        <v>231</v>
      </c>
      <c r="D12" s="38" t="s">
        <v>40</v>
      </c>
      <c r="E12" s="38"/>
    </row>
    <row r="13" spans="1:5" x14ac:dyDescent="0.25">
      <c r="A13" s="38" t="s">
        <v>77</v>
      </c>
      <c r="B13" s="37" t="str">
        <f t="shared" si="0"/>
        <v>ID</v>
      </c>
      <c r="C13" s="38" t="s">
        <v>21</v>
      </c>
      <c r="D13" s="38" t="s">
        <v>21</v>
      </c>
      <c r="E13" s="38"/>
    </row>
    <row r="14" spans="1:5" x14ac:dyDescent="0.25">
      <c r="A14" s="38" t="s">
        <v>716</v>
      </c>
      <c r="B14" s="37" t="str">
        <f t="shared" si="0"/>
        <v>ExTopic</v>
      </c>
      <c r="C14" s="38" t="s">
        <v>618</v>
      </c>
      <c r="D14" s="39" t="s">
        <v>458</v>
      </c>
      <c r="E14" s="38"/>
    </row>
    <row r="15" spans="1:5" x14ac:dyDescent="0.25">
      <c r="A15" s="38" t="s">
        <v>60</v>
      </c>
      <c r="B15" s="37" t="str">
        <f t="shared" si="0"/>
        <v>ExType</v>
      </c>
      <c r="C15" s="38" t="s">
        <v>616</v>
      </c>
      <c r="D15" s="39" t="s">
        <v>617</v>
      </c>
      <c r="E15" s="38"/>
    </row>
    <row r="16" spans="1:5" x14ac:dyDescent="0.25">
      <c r="A16" s="38" t="s">
        <v>61</v>
      </c>
      <c r="B16" s="37" t="str">
        <f t="shared" si="0"/>
        <v>Usage 
Factor</v>
      </c>
      <c r="C16" s="38" t="s">
        <v>35</v>
      </c>
      <c r="D16" s="39" t="s">
        <v>456</v>
      </c>
      <c r="E16" s="38"/>
    </row>
    <row r="17" spans="1:5" x14ac:dyDescent="0.25">
      <c r="A17" s="38" t="s">
        <v>477</v>
      </c>
      <c r="B17" s="37" t="str">
        <f t="shared" si="0"/>
        <v>ExLevel</v>
      </c>
      <c r="C17" s="38" t="s">
        <v>639</v>
      </c>
      <c r="D17" s="39" t="s">
        <v>622</v>
      </c>
      <c r="E17" s="38"/>
    </row>
    <row r="18" spans="1:5" x14ac:dyDescent="0.25">
      <c r="A18" s="38" t="s">
        <v>62</v>
      </c>
      <c r="B18" s="37" t="str">
        <f t="shared" si="0"/>
        <v>ExDuration</v>
      </c>
      <c r="C18" s="39" t="s">
        <v>844</v>
      </c>
      <c r="D18" s="39" t="s">
        <v>845</v>
      </c>
      <c r="E18" s="38"/>
    </row>
    <row r="19" spans="1:5" x14ac:dyDescent="0.25">
      <c r="A19" s="38" t="s">
        <v>93</v>
      </c>
      <c r="B19" s="37" t="str">
        <f t="shared" si="0"/>
        <v>ExNrOfPlayers</v>
      </c>
      <c r="C19" s="39" t="s">
        <v>846</v>
      </c>
      <c r="D19" s="39" t="s">
        <v>847</v>
      </c>
      <c r="E19" s="38"/>
    </row>
    <row r="20" spans="1:5" x14ac:dyDescent="0.25">
      <c r="A20" s="38" t="s">
        <v>257</v>
      </c>
      <c r="B20" s="37" t="str">
        <f t="shared" si="0"/>
        <v>UID</v>
      </c>
      <c r="C20" s="39" t="s">
        <v>455</v>
      </c>
      <c r="D20" s="39" t="s">
        <v>455</v>
      </c>
      <c r="E20" s="38"/>
    </row>
    <row r="21" spans="1:5" x14ac:dyDescent="0.25">
      <c r="A21" s="38" t="s">
        <v>63</v>
      </c>
      <c r="B21" s="37" t="str">
        <f t="shared" si="0"/>
        <v>ExTitle</v>
      </c>
      <c r="C21" s="38" t="s">
        <v>619</v>
      </c>
      <c r="D21" s="38" t="s">
        <v>55</v>
      </c>
      <c r="E21" s="38"/>
    </row>
    <row r="22" spans="1:5" x14ac:dyDescent="0.25">
      <c r="A22" s="38" t="s">
        <v>714</v>
      </c>
      <c r="B22" s="37" t="str">
        <f t="shared" si="0"/>
        <v>ExDescription</v>
      </c>
      <c r="C22" s="38" t="s">
        <v>712</v>
      </c>
      <c r="D22" s="38" t="s">
        <v>56</v>
      </c>
      <c r="E22" s="38"/>
    </row>
    <row r="23" spans="1:5" x14ac:dyDescent="0.25">
      <c r="A23" s="38" t="s">
        <v>715</v>
      </c>
      <c r="B23" s="37" t="str">
        <f t="shared" si="0"/>
        <v>ExImage</v>
      </c>
      <c r="C23" s="38" t="s">
        <v>713</v>
      </c>
      <c r="D23" s="38" t="s">
        <v>57</v>
      </c>
      <c r="E23" s="38"/>
    </row>
    <row r="24" spans="1:5" x14ac:dyDescent="0.25">
      <c r="A24" s="38" t="s">
        <v>421</v>
      </c>
      <c r="B24" s="37" t="str">
        <f t="shared" si="0"/>
        <v>Correction</v>
      </c>
      <c r="C24" s="38" t="s">
        <v>422</v>
      </c>
      <c r="D24" s="38" t="s">
        <v>423</v>
      </c>
      <c r="E24" s="38"/>
    </row>
    <row r="25" spans="1:5" x14ac:dyDescent="0.25">
      <c r="A25" s="38" t="s">
        <v>454</v>
      </c>
      <c r="B25" s="37">
        <f t="shared" si="0"/>
        <v>5</v>
      </c>
      <c r="C25" s="84">
        <v>5</v>
      </c>
      <c r="D25" s="84">
        <v>5</v>
      </c>
      <c r="E25" s="38"/>
    </row>
    <row r="26" spans="1:5" x14ac:dyDescent="0.25">
      <c r="A26" s="38" t="s">
        <v>232</v>
      </c>
      <c r="B26" s="37" t="str">
        <f t="shared" si="0"/>
        <v>Material</v>
      </c>
      <c r="C26" s="38" t="s">
        <v>179</v>
      </c>
      <c r="D26" s="38" t="s">
        <v>179</v>
      </c>
      <c r="E26" s="38"/>
    </row>
    <row r="27" spans="1:5" x14ac:dyDescent="0.25">
      <c r="A27" s="38" t="s">
        <v>859</v>
      </c>
      <c r="B27" s="37" t="str">
        <f t="shared" si="0"/>
        <v>Released</v>
      </c>
      <c r="C27" s="38" t="s">
        <v>860</v>
      </c>
      <c r="D27" s="38" t="s">
        <v>860</v>
      </c>
      <c r="E27" s="38"/>
    </row>
    <row r="28" spans="1:5" x14ac:dyDescent="0.25">
      <c r="A28" s="38" t="s">
        <v>248</v>
      </c>
      <c r="B28" s="37" t="str">
        <f t="shared" si="0"/>
        <v>Target</v>
      </c>
      <c r="C28" s="38" t="s">
        <v>246</v>
      </c>
      <c r="D28" s="38" t="s">
        <v>247</v>
      </c>
      <c r="E28" s="38"/>
    </row>
    <row r="29" spans="1:5" x14ac:dyDescent="0.25">
      <c r="A29" s="38" t="s">
        <v>111</v>
      </c>
      <c r="B29" s="37" t="str">
        <f t="shared" si="0"/>
        <v>Calculate second Selection</v>
      </c>
      <c r="C29" s="38" t="s">
        <v>112</v>
      </c>
      <c r="D29" s="38" t="s">
        <v>113</v>
      </c>
      <c r="E29" s="38"/>
    </row>
    <row r="30" spans="1:5" x14ac:dyDescent="0.25">
      <c r="A30" s="40" t="s">
        <v>999</v>
      </c>
      <c r="B30" s="37" t="str">
        <f t="shared" ref="B30:B61" si="1">IFERROR(INDEX($C30:$E30,0,MUI_LANG_ID),"")</f>
        <v>WorkplanUID</v>
      </c>
      <c r="C30" s="41" t="s">
        <v>1000</v>
      </c>
      <c r="D30" s="41" t="s">
        <v>1000</v>
      </c>
      <c r="E30" s="41"/>
    </row>
    <row r="31" spans="1:5" x14ac:dyDescent="0.25">
      <c r="A31" s="40" t="s">
        <v>1001</v>
      </c>
      <c r="B31" s="37" t="str">
        <f t="shared" si="1"/>
        <v>HashKey</v>
      </c>
      <c r="C31" s="41" t="s">
        <v>1003</v>
      </c>
      <c r="D31" s="41" t="s">
        <v>1003</v>
      </c>
      <c r="E31" s="41"/>
    </row>
    <row r="32" spans="1:5" x14ac:dyDescent="0.25">
      <c r="A32" s="40" t="s">
        <v>1002</v>
      </c>
      <c r="B32" s="37" t="str">
        <f t="shared" si="1"/>
        <v>UpdateStamp</v>
      </c>
      <c r="C32" s="41" t="s">
        <v>1004</v>
      </c>
      <c r="D32" s="41" t="s">
        <v>1004</v>
      </c>
      <c r="E32" s="41"/>
    </row>
    <row r="33" spans="1:5" x14ac:dyDescent="0.25">
      <c r="A33" s="40" t="s">
        <v>758</v>
      </c>
      <c r="B33" s="37" t="str">
        <f t="shared" si="1"/>
        <v>WorkplanDate</v>
      </c>
      <c r="C33" s="65" t="s">
        <v>1496</v>
      </c>
      <c r="D33" s="65" t="s">
        <v>1496</v>
      </c>
      <c r="E33" s="41"/>
    </row>
    <row r="34" spans="1:5" x14ac:dyDescent="0.25">
      <c r="A34" s="40" t="s">
        <v>492</v>
      </c>
      <c r="B34" s="37" t="str">
        <f t="shared" si="1"/>
        <v>PlayerTeam</v>
      </c>
      <c r="C34" s="41" t="s">
        <v>751</v>
      </c>
      <c r="D34" s="41" t="s">
        <v>751</v>
      </c>
      <c r="E34" s="41"/>
    </row>
    <row r="35" spans="1:5" x14ac:dyDescent="0.25">
      <c r="A35" s="40" t="s">
        <v>43</v>
      </c>
      <c r="B35" s="37" t="str">
        <f t="shared" si="1"/>
        <v>PlayerID</v>
      </c>
      <c r="C35" s="41" t="s">
        <v>750</v>
      </c>
      <c r="D35" s="41" t="s">
        <v>750</v>
      </c>
      <c r="E35" s="41"/>
    </row>
    <row r="36" spans="1:5" x14ac:dyDescent="0.25">
      <c r="A36" s="40" t="s">
        <v>843</v>
      </c>
      <c r="B36" s="37" t="str">
        <f t="shared" si="1"/>
        <v>WPID</v>
      </c>
      <c r="C36" s="41" t="s">
        <v>803</v>
      </c>
      <c r="D36" s="41" t="s">
        <v>803</v>
      </c>
      <c r="E36" s="41"/>
    </row>
    <row r="37" spans="1:5" x14ac:dyDescent="0.25">
      <c r="A37" s="40" t="s">
        <v>258</v>
      </c>
      <c r="B37" s="37" t="str">
        <f t="shared" si="1"/>
        <v>PlayerName</v>
      </c>
      <c r="C37" s="41" t="s">
        <v>752</v>
      </c>
      <c r="D37" s="41" t="s">
        <v>752</v>
      </c>
      <c r="E37" s="41"/>
    </row>
    <row r="38" spans="1:5" x14ac:dyDescent="0.25">
      <c r="A38" s="40" t="s">
        <v>1375</v>
      </c>
      <c r="B38" s="37" t="str">
        <f t="shared" si="1"/>
        <v>UserLicenseUID</v>
      </c>
      <c r="C38" s="41" t="s">
        <v>1377</v>
      </c>
      <c r="D38" s="41" t="s">
        <v>1376</v>
      </c>
      <c r="E38" s="41"/>
    </row>
    <row r="39" spans="1:5" x14ac:dyDescent="0.25">
      <c r="A39" s="40" t="s">
        <v>420</v>
      </c>
      <c r="B39" s="37" t="str">
        <f t="shared" si="1"/>
        <v>PlannedExercise</v>
      </c>
      <c r="C39" s="41" t="s">
        <v>753</v>
      </c>
      <c r="D39" s="41" t="s">
        <v>753</v>
      </c>
      <c r="E39" s="41"/>
    </row>
    <row r="40" spans="1:5" x14ac:dyDescent="0.25">
      <c r="A40" s="40" t="s">
        <v>45</v>
      </c>
      <c r="B40" s="37" t="str">
        <f t="shared" si="1"/>
        <v>HCP</v>
      </c>
      <c r="C40" s="41" t="s">
        <v>572</v>
      </c>
      <c r="D40" s="41" t="s">
        <v>572</v>
      </c>
      <c r="E40" s="41"/>
    </row>
    <row r="41" spans="1:5" x14ac:dyDescent="0.25">
      <c r="A41" s="40" t="s">
        <v>270</v>
      </c>
      <c r="B41" s="37" t="str">
        <f t="shared" si="1"/>
        <v>ResultHCP</v>
      </c>
      <c r="C41" s="41" t="s">
        <v>754</v>
      </c>
      <c r="D41" s="41" t="s">
        <v>754</v>
      </c>
      <c r="E41" s="41"/>
    </row>
    <row r="42" spans="1:5" x14ac:dyDescent="0.25">
      <c r="A42" s="40" t="s">
        <v>271</v>
      </c>
      <c r="B42" s="37" t="str">
        <f t="shared" si="1"/>
        <v>RoundedHCP</v>
      </c>
      <c r="C42" s="41" t="s">
        <v>755</v>
      </c>
      <c r="D42" s="41" t="s">
        <v>755</v>
      </c>
      <c r="E42" s="41"/>
    </row>
    <row r="43" spans="1:5" x14ac:dyDescent="0.25">
      <c r="A43" s="40" t="s">
        <v>807</v>
      </c>
      <c r="B43" s="37" t="str">
        <f t="shared" si="1"/>
        <v>ExerciseTopic</v>
      </c>
      <c r="C43" s="41" t="s">
        <v>808</v>
      </c>
      <c r="D43" s="41" t="s">
        <v>808</v>
      </c>
      <c r="E43" s="41"/>
    </row>
    <row r="44" spans="1:5" x14ac:dyDescent="0.25">
      <c r="A44" s="40" t="s">
        <v>262</v>
      </c>
      <c r="B44" s="37" t="str">
        <f t="shared" si="1"/>
        <v>ExID</v>
      </c>
      <c r="C44" s="65" t="s">
        <v>620</v>
      </c>
      <c r="D44" s="65" t="s">
        <v>620</v>
      </c>
      <c r="E44" s="41"/>
    </row>
    <row r="45" spans="1:5" x14ac:dyDescent="0.25">
      <c r="A45" s="40" t="s">
        <v>1011</v>
      </c>
      <c r="B45" s="37" t="str">
        <f t="shared" si="1"/>
        <v>EXH_</v>
      </c>
      <c r="C45" s="65" t="s">
        <v>265</v>
      </c>
      <c r="D45" s="65" t="s">
        <v>265</v>
      </c>
      <c r="E45" s="41"/>
    </row>
    <row r="46" spans="1:5" x14ac:dyDescent="0.25">
      <c r="A46" s="40" t="s">
        <v>1012</v>
      </c>
      <c r="B46" s="37" t="str">
        <f t="shared" si="1"/>
        <v>EXR_</v>
      </c>
      <c r="C46" s="65" t="s">
        <v>263</v>
      </c>
      <c r="D46" s="65" t="s">
        <v>263</v>
      </c>
      <c r="E46" s="41"/>
    </row>
    <row r="47" spans="1:5" x14ac:dyDescent="0.25">
      <c r="A47" s="40" t="s">
        <v>1013</v>
      </c>
      <c r="B47" s="37" t="str">
        <f t="shared" si="1"/>
        <v>EX_</v>
      </c>
      <c r="C47" s="65" t="s">
        <v>264</v>
      </c>
      <c r="D47" s="65" t="s">
        <v>264</v>
      </c>
      <c r="E47" s="41"/>
    </row>
    <row r="48" spans="1:5" x14ac:dyDescent="0.25">
      <c r="A48" s="40" t="s">
        <v>1014</v>
      </c>
      <c r="B48" s="37" t="str">
        <f t="shared" si="1"/>
        <v>RD_</v>
      </c>
      <c r="C48" s="65" t="s">
        <v>796</v>
      </c>
      <c r="D48" s="65" t="s">
        <v>796</v>
      </c>
      <c r="E48" s="41"/>
    </row>
    <row r="49" spans="1:5" x14ac:dyDescent="0.25">
      <c r="A49" s="40" t="s">
        <v>1015</v>
      </c>
      <c r="B49" s="37" t="str">
        <f t="shared" si="1"/>
        <v>TRD_</v>
      </c>
      <c r="C49" s="65" t="s">
        <v>810</v>
      </c>
      <c r="D49" s="65" t="s">
        <v>810</v>
      </c>
      <c r="E49" s="41"/>
    </row>
    <row r="50" spans="1:5" x14ac:dyDescent="0.25">
      <c r="A50" s="40" t="s">
        <v>1016</v>
      </c>
      <c r="B50" s="37" t="str">
        <f t="shared" si="1"/>
        <v>EXT_</v>
      </c>
      <c r="C50" s="41" t="s">
        <v>797</v>
      </c>
      <c r="D50" s="41" t="s">
        <v>797</v>
      </c>
      <c r="E50" s="41"/>
    </row>
    <row r="51" spans="1:5" x14ac:dyDescent="0.25">
      <c r="A51" s="40" t="s">
        <v>1010</v>
      </c>
      <c r="B51" s="37" t="str">
        <f t="shared" si="1"/>
        <v>TCount_</v>
      </c>
      <c r="C51" s="41" t="s">
        <v>818</v>
      </c>
      <c r="D51" s="41" t="s">
        <v>818</v>
      </c>
      <c r="E51" s="41"/>
    </row>
    <row r="52" spans="1:5" x14ac:dyDescent="0.25">
      <c r="A52" s="40" t="s">
        <v>1017</v>
      </c>
      <c r="B52" s="37" t="str">
        <f t="shared" si="1"/>
        <v>THCP_</v>
      </c>
      <c r="C52" s="41" t="s">
        <v>813</v>
      </c>
      <c r="D52" s="41" t="s">
        <v>813</v>
      </c>
      <c r="E52" s="41"/>
    </row>
    <row r="53" spans="1:5" x14ac:dyDescent="0.25">
      <c r="A53" s="40" t="s">
        <v>798</v>
      </c>
      <c r="B53" s="37" t="str">
        <f t="shared" si="1"/>
        <v>RealDuration</v>
      </c>
      <c r="C53" s="65" t="s">
        <v>799</v>
      </c>
      <c r="D53" s="65" t="s">
        <v>799</v>
      </c>
      <c r="E53" s="41"/>
    </row>
    <row r="54" spans="1:5" x14ac:dyDescent="0.25">
      <c r="A54" s="40" t="s">
        <v>936</v>
      </c>
      <c r="B54" s="37" t="str">
        <f t="shared" si="1"/>
        <v>SAVEFOR_PlayerName</v>
      </c>
      <c r="C54" s="41" t="s">
        <v>938</v>
      </c>
      <c r="D54" s="41" t="s">
        <v>938</v>
      </c>
      <c r="E54" s="41"/>
    </row>
    <row r="55" spans="1:5" x14ac:dyDescent="0.25">
      <c r="A55" s="40" t="s">
        <v>937</v>
      </c>
      <c r="B55" s="37" t="str">
        <f t="shared" si="1"/>
        <v>SAVEFOR_PlayerID</v>
      </c>
      <c r="C55" s="41" t="s">
        <v>939</v>
      </c>
      <c r="D55" s="41" t="s">
        <v>939</v>
      </c>
      <c r="E55" s="41"/>
    </row>
    <row r="56" spans="1:5" x14ac:dyDescent="0.25">
      <c r="A56" s="40" t="s">
        <v>816</v>
      </c>
      <c r="B56" s="37" t="str">
        <f t="shared" si="1"/>
        <v>TopicCount</v>
      </c>
      <c r="C56" s="65" t="s">
        <v>817</v>
      </c>
      <c r="D56" s="65" t="s">
        <v>817</v>
      </c>
      <c r="E56" s="41"/>
    </row>
    <row r="57" spans="1:5" x14ac:dyDescent="0.25">
      <c r="A57" s="40" t="s">
        <v>811</v>
      </c>
      <c r="B57" s="37" t="str">
        <f t="shared" si="1"/>
        <v>TopicHCP</v>
      </c>
      <c r="C57" s="65" t="s">
        <v>812</v>
      </c>
      <c r="D57" s="65" t="s">
        <v>812</v>
      </c>
      <c r="E57" s="41"/>
    </row>
    <row r="58" spans="1:5" x14ac:dyDescent="0.25">
      <c r="A58" s="40" t="s">
        <v>269</v>
      </c>
      <c r="B58" s="37" t="str">
        <f t="shared" si="1"/>
        <v>TotalDuration</v>
      </c>
      <c r="C58" s="65" t="s">
        <v>756</v>
      </c>
      <c r="D58" s="65" t="s">
        <v>756</v>
      </c>
      <c r="E58" s="41"/>
    </row>
    <row r="59" spans="1:5" x14ac:dyDescent="0.25">
      <c r="A59" s="40" t="s">
        <v>800</v>
      </c>
      <c r="B59" s="37" t="str">
        <f t="shared" si="1"/>
        <v>TotalReal Duration</v>
      </c>
      <c r="C59" s="65" t="s">
        <v>809</v>
      </c>
      <c r="D59" s="65" t="s">
        <v>809</v>
      </c>
      <c r="E59" s="41"/>
    </row>
    <row r="60" spans="1:5" x14ac:dyDescent="0.25">
      <c r="A60" s="40" t="s">
        <v>801</v>
      </c>
      <c r="B60" s="37" t="str">
        <f t="shared" si="1"/>
        <v>Planned Duration</v>
      </c>
      <c r="C60" s="65" t="s">
        <v>802</v>
      </c>
      <c r="D60" s="65" t="s">
        <v>802</v>
      </c>
      <c r="E60" s="41"/>
    </row>
    <row r="61" spans="1:5" x14ac:dyDescent="0.25">
      <c r="A61" s="40" t="s">
        <v>1384</v>
      </c>
      <c r="B61" s="37" t="str">
        <f t="shared" si="1"/>
        <v xml:space="preserve">NOT USED </v>
      </c>
      <c r="C61" s="65" t="s">
        <v>1385</v>
      </c>
      <c r="D61" s="65" t="s">
        <v>1386</v>
      </c>
      <c r="E61" s="41"/>
    </row>
    <row r="63" spans="1:5" x14ac:dyDescent="0.25">
      <c r="A63" s="191" t="s">
        <v>945</v>
      </c>
      <c r="B63" s="37" t="str">
        <f t="shared" si="0"/>
        <v>Player Information Database</v>
      </c>
      <c r="C63" s="192" t="s">
        <v>944</v>
      </c>
      <c r="D63" s="192" t="s">
        <v>944</v>
      </c>
      <c r="E63" s="191"/>
    </row>
    <row r="64" spans="1:5" x14ac:dyDescent="0.25">
      <c r="A64" s="191" t="s">
        <v>946</v>
      </c>
      <c r="B64" s="37" t="str">
        <f t="shared" si="0"/>
        <v>DBP_UID</v>
      </c>
      <c r="C64" s="192" t="s">
        <v>947</v>
      </c>
      <c r="D64" s="192" t="s">
        <v>947</v>
      </c>
      <c r="E64" s="191"/>
    </row>
    <row r="65" spans="1:5" x14ac:dyDescent="0.25">
      <c r="A65" s="191" t="s">
        <v>948</v>
      </c>
      <c r="B65" s="37" t="str">
        <f t="shared" si="0"/>
        <v>Coach Email</v>
      </c>
      <c r="C65" s="192" t="s">
        <v>949</v>
      </c>
      <c r="D65" s="192" t="s">
        <v>949</v>
      </c>
      <c r="E65" s="191"/>
    </row>
    <row r="66" spans="1:5" x14ac:dyDescent="0.25">
      <c r="A66" s="191" t="s">
        <v>950</v>
      </c>
      <c r="B66" s="37" t="str">
        <f t="shared" si="0"/>
        <v>PlayerName</v>
      </c>
      <c r="C66" s="192" t="s">
        <v>752</v>
      </c>
      <c r="D66" s="192" t="s">
        <v>752</v>
      </c>
      <c r="E66" s="191"/>
    </row>
    <row r="67" spans="1:5" x14ac:dyDescent="0.25">
      <c r="A67" s="191" t="s">
        <v>951</v>
      </c>
      <c r="B67" s="37" t="str">
        <f t="shared" si="0"/>
        <v>PlayerTitle</v>
      </c>
      <c r="C67" s="192" t="s">
        <v>954</v>
      </c>
      <c r="D67" s="192" t="s">
        <v>954</v>
      </c>
      <c r="E67" s="191"/>
    </row>
    <row r="68" spans="1:5" x14ac:dyDescent="0.25">
      <c r="A68" s="191" t="s">
        <v>952</v>
      </c>
      <c r="B68" s="37" t="str">
        <f t="shared" si="0"/>
        <v>PlayerFirstName</v>
      </c>
      <c r="C68" s="192" t="s">
        <v>955</v>
      </c>
      <c r="D68" s="192" t="s">
        <v>955</v>
      </c>
      <c r="E68" s="191"/>
    </row>
    <row r="69" spans="1:5" x14ac:dyDescent="0.25">
      <c r="A69" s="191" t="s">
        <v>953</v>
      </c>
      <c r="B69" s="37" t="str">
        <f t="shared" si="0"/>
        <v>PlayerLastName</v>
      </c>
      <c r="C69" s="192" t="s">
        <v>956</v>
      </c>
      <c r="D69" s="192" t="s">
        <v>956</v>
      </c>
      <c r="E69" s="191"/>
    </row>
    <row r="70" spans="1:5" x14ac:dyDescent="0.25">
      <c r="A70" s="191" t="s">
        <v>957</v>
      </c>
      <c r="B70" s="37" t="str">
        <f t="shared" si="0"/>
        <v>PlayerID</v>
      </c>
      <c r="C70" s="192" t="s">
        <v>750</v>
      </c>
      <c r="D70" s="192" t="s">
        <v>750</v>
      </c>
      <c r="E70" s="191"/>
    </row>
    <row r="71" spans="1:5" x14ac:dyDescent="0.25">
      <c r="A71" s="191" t="s">
        <v>958</v>
      </c>
      <c r="B71" s="37" t="str">
        <f t="shared" si="0"/>
        <v>CountryID</v>
      </c>
      <c r="C71" s="192" t="s">
        <v>961</v>
      </c>
      <c r="D71" s="192" t="s">
        <v>961</v>
      </c>
      <c r="E71" s="191"/>
    </row>
    <row r="72" spans="1:5" x14ac:dyDescent="0.25">
      <c r="A72" s="191" t="s">
        <v>959</v>
      </c>
      <c r="B72" s="37" t="str">
        <f t="shared" si="0"/>
        <v>ClubID</v>
      </c>
      <c r="C72" s="192" t="s">
        <v>962</v>
      </c>
      <c r="D72" s="192" t="s">
        <v>962</v>
      </c>
      <c r="E72" s="191"/>
    </row>
    <row r="73" spans="1:5" x14ac:dyDescent="0.25">
      <c r="A73" s="191" t="s">
        <v>960</v>
      </c>
      <c r="B73" s="37" t="str">
        <f t="shared" si="0"/>
        <v>MemberID</v>
      </c>
      <c r="C73" s="192" t="s">
        <v>963</v>
      </c>
      <c r="D73" s="192" t="s">
        <v>963</v>
      </c>
      <c r="E73" s="191"/>
    </row>
    <row r="74" spans="1:5" x14ac:dyDescent="0.25">
      <c r="A74" s="191" t="s">
        <v>964</v>
      </c>
      <c r="B74" s="37" t="str">
        <f t="shared" si="0"/>
        <v>TeamsOfPlayer</v>
      </c>
      <c r="C74" s="192" t="s">
        <v>965</v>
      </c>
      <c r="D74" s="192" t="s">
        <v>965</v>
      </c>
      <c r="E74" s="191"/>
    </row>
    <row r="75" spans="1:5" x14ac:dyDescent="0.25">
      <c r="A75" s="191" t="s">
        <v>966</v>
      </c>
      <c r="B75" s="37" t="str">
        <f t="shared" si="0"/>
        <v>PlayerTeam</v>
      </c>
      <c r="C75" s="192" t="s">
        <v>751</v>
      </c>
      <c r="D75" s="192" t="s">
        <v>751</v>
      </c>
      <c r="E75" s="191"/>
    </row>
    <row r="76" spans="1:5" x14ac:dyDescent="0.25">
      <c r="A76" s="191" t="s">
        <v>1508</v>
      </c>
      <c r="B76" s="37" t="str">
        <f t="shared" si="0"/>
        <v>PlayerHCP</v>
      </c>
      <c r="C76" s="192" t="s">
        <v>1509</v>
      </c>
      <c r="D76" s="192" t="s">
        <v>1509</v>
      </c>
      <c r="E76" s="191"/>
    </row>
    <row r="77" spans="1:5" x14ac:dyDescent="0.25">
      <c r="A77" s="191"/>
      <c r="B77" s="37">
        <f t="shared" si="0"/>
        <v>0</v>
      </c>
      <c r="C77" s="192"/>
      <c r="D77" s="192"/>
      <c r="E77" s="191"/>
    </row>
    <row r="78" spans="1:5" x14ac:dyDescent="0.25">
      <c r="A78" s="191"/>
      <c r="B78" s="37">
        <f t="shared" si="0"/>
        <v>0</v>
      </c>
      <c r="C78" s="192"/>
      <c r="D78" s="192"/>
      <c r="E78" s="191"/>
    </row>
    <row r="79" spans="1:5" x14ac:dyDescent="0.25">
      <c r="A79" s="191"/>
      <c r="B79" s="37">
        <f t="shared" si="0"/>
        <v>0</v>
      </c>
      <c r="C79" s="192"/>
      <c r="D79" s="192"/>
      <c r="E79" s="191"/>
    </row>
    <row r="80" spans="1:5" x14ac:dyDescent="0.25">
      <c r="A80" s="191"/>
      <c r="B80" s="37">
        <f t="shared" si="0"/>
        <v>0</v>
      </c>
      <c r="C80" s="192"/>
      <c r="D80" s="192"/>
      <c r="E80" s="191"/>
    </row>
    <row r="81" spans="1:5" x14ac:dyDescent="0.25">
      <c r="A81" s="284" t="s">
        <v>1226</v>
      </c>
      <c r="B81" s="285" t="str">
        <f t="shared" si="0"/>
        <v>Create Workplan</v>
      </c>
      <c r="C81" s="284" t="s">
        <v>1227</v>
      </c>
      <c r="D81" s="284" t="s">
        <v>1228</v>
      </c>
      <c r="E81" s="284"/>
    </row>
    <row r="82" spans="1:5" x14ac:dyDescent="0.25">
      <c r="A82" s="284"/>
      <c r="B82" s="285">
        <f t="shared" si="0"/>
        <v>0</v>
      </c>
      <c r="C82" s="284"/>
      <c r="D82" s="284"/>
      <c r="E82" s="284"/>
    </row>
    <row r="83" spans="1:5" x14ac:dyDescent="0.25">
      <c r="A83" s="284"/>
      <c r="B83" s="285">
        <f t="shared" si="0"/>
        <v>0</v>
      </c>
      <c r="C83" s="284"/>
      <c r="D83" s="284"/>
      <c r="E83" s="284"/>
    </row>
    <row r="84" spans="1:5" x14ac:dyDescent="0.25">
      <c r="A84" s="284"/>
      <c r="B84" s="285">
        <f t="shared" si="0"/>
        <v>0</v>
      </c>
      <c r="C84" s="284"/>
      <c r="D84" s="284"/>
      <c r="E84" s="284"/>
    </row>
    <row r="85" spans="1:5" x14ac:dyDescent="0.25">
      <c r="A85" s="284"/>
      <c r="B85" s="285">
        <f t="shared" si="0"/>
        <v>0</v>
      </c>
      <c r="C85" s="284"/>
      <c r="D85" s="284"/>
      <c r="E85" s="284"/>
    </row>
    <row r="86" spans="1:5" x14ac:dyDescent="0.25">
      <c r="A86" s="284"/>
      <c r="B86" s="285">
        <f t="shared" si="0"/>
        <v>0</v>
      </c>
      <c r="C86" s="284"/>
      <c r="D86" s="284"/>
      <c r="E86" s="284"/>
    </row>
    <row r="87" spans="1:5" x14ac:dyDescent="0.25">
      <c r="A87" s="284"/>
      <c r="B87" s="285">
        <f t="shared" si="0"/>
        <v>0</v>
      </c>
      <c r="C87" s="284"/>
      <c r="D87" s="284"/>
      <c r="E87" s="284"/>
    </row>
    <row r="88" spans="1:5" x14ac:dyDescent="0.25">
      <c r="A88" s="284"/>
      <c r="B88" s="285">
        <f t="shared" si="0"/>
        <v>0</v>
      </c>
      <c r="C88" s="284"/>
      <c r="D88" s="284"/>
      <c r="E88" s="284"/>
    </row>
    <row r="90" spans="1:5" x14ac:dyDescent="0.25">
      <c r="A90" s="40" t="s">
        <v>158</v>
      </c>
      <c r="B90" s="37" t="str">
        <f t="shared" si="0"/>
        <v>ROW ID Selection</v>
      </c>
      <c r="C90" s="41" t="s">
        <v>159</v>
      </c>
      <c r="D90" s="41" t="s">
        <v>160</v>
      </c>
      <c r="E90" s="41"/>
    </row>
    <row r="91" spans="1:5" x14ac:dyDescent="0.25">
      <c r="A91" s="36" t="s">
        <v>228</v>
      </c>
      <c r="B91" s="37" t="str">
        <f t="shared" si="0"/>
        <v>Action</v>
      </c>
      <c r="C91" s="36" t="s">
        <v>229</v>
      </c>
      <c r="D91" s="36" t="s">
        <v>230</v>
      </c>
      <c r="E91" s="36"/>
    </row>
    <row r="92" spans="1:5" x14ac:dyDescent="0.25">
      <c r="A92" s="36" t="s">
        <v>235</v>
      </c>
      <c r="B92" s="37" t="str">
        <f t="shared" si="0"/>
        <v>Result</v>
      </c>
      <c r="C92" s="36" t="s">
        <v>88</v>
      </c>
      <c r="D92" s="36" t="s">
        <v>236</v>
      </c>
      <c r="E92" s="36"/>
    </row>
    <row r="93" spans="1:5" ht="30" x14ac:dyDescent="0.25">
      <c r="A93" s="36" t="s">
        <v>261</v>
      </c>
      <c r="B93" s="37" t="str">
        <f t="shared" si="0"/>
        <v>Result HCP</v>
      </c>
      <c r="C93" s="36" t="s">
        <v>46</v>
      </c>
      <c r="D93" s="66" t="s">
        <v>260</v>
      </c>
      <c r="E93" s="36"/>
    </row>
    <row r="94" spans="1:5" x14ac:dyDescent="0.25">
      <c r="A94" s="36" t="s">
        <v>245</v>
      </c>
      <c r="B94" s="37" t="str">
        <f t="shared" si="0"/>
        <v>Target</v>
      </c>
      <c r="C94" s="36" t="s">
        <v>246</v>
      </c>
      <c r="D94" s="36" t="s">
        <v>247</v>
      </c>
      <c r="E94" s="36"/>
    </row>
    <row r="95" spans="1:5" x14ac:dyDescent="0.25">
      <c r="A95" s="36" t="s">
        <v>237</v>
      </c>
      <c r="B95" s="37" t="str">
        <f t="shared" si="0"/>
        <v>Workout Manager</v>
      </c>
      <c r="C95" s="36" t="s">
        <v>452</v>
      </c>
      <c r="D95" s="36" t="s">
        <v>238</v>
      </c>
      <c r="E95" s="36"/>
    </row>
    <row r="96" spans="1:5" x14ac:dyDescent="0.25">
      <c r="A96" s="36" t="s">
        <v>418</v>
      </c>
      <c r="B96" s="37" t="str">
        <f t="shared" ref="B96:B145" si="2">IFERROR(INDEX($C96:$E96,0,MUI_LANG_ID),"")</f>
        <v>Golf Workout Manager V0.1</v>
      </c>
      <c r="C96" s="36" t="s">
        <v>419</v>
      </c>
      <c r="D96" s="36" t="s">
        <v>419</v>
      </c>
      <c r="E96" s="36"/>
    </row>
    <row r="97" spans="1:5" x14ac:dyDescent="0.25">
      <c r="A97" s="36"/>
      <c r="B97" s="37">
        <f t="shared" si="2"/>
        <v>0</v>
      </c>
      <c r="C97" s="36"/>
      <c r="D97" s="36"/>
      <c r="E97" s="36"/>
    </row>
    <row r="98" spans="1:5" x14ac:dyDescent="0.25">
      <c r="A98" s="36"/>
      <c r="B98" s="37">
        <f t="shared" si="2"/>
        <v>0</v>
      </c>
      <c r="C98" s="36"/>
      <c r="D98" s="36"/>
      <c r="E98" s="36"/>
    </row>
    <row r="99" spans="1:5" x14ac:dyDescent="0.25">
      <c r="A99" s="36"/>
      <c r="B99" s="37">
        <f t="shared" si="2"/>
        <v>0</v>
      </c>
      <c r="C99" s="36"/>
      <c r="D99" s="36"/>
      <c r="E99" s="36"/>
    </row>
    <row r="100" spans="1:5" x14ac:dyDescent="0.25">
      <c r="A100" s="36"/>
      <c r="B100" s="37">
        <f t="shared" si="2"/>
        <v>0</v>
      </c>
      <c r="C100" s="36"/>
      <c r="D100" s="36"/>
      <c r="E100" s="36"/>
    </row>
    <row r="101" spans="1:5" x14ac:dyDescent="0.25">
      <c r="A101" s="12"/>
      <c r="B101" s="26">
        <f t="shared" si="2"/>
        <v>0</v>
      </c>
      <c r="C101" s="12"/>
      <c r="D101" s="12"/>
      <c r="E101" s="12"/>
    </row>
    <row r="102" spans="1:5" x14ac:dyDescent="0.25">
      <c r="A102" s="12"/>
      <c r="B102" s="26">
        <f t="shared" si="2"/>
        <v>0</v>
      </c>
      <c r="C102" s="12"/>
      <c r="D102" s="12"/>
      <c r="E102" s="12"/>
    </row>
    <row r="103" spans="1:5" x14ac:dyDescent="0.25">
      <c r="A103" s="12"/>
      <c r="B103" s="26">
        <f t="shared" si="2"/>
        <v>0</v>
      </c>
      <c r="C103" s="12"/>
      <c r="D103" s="12"/>
      <c r="E103" s="12"/>
    </row>
    <row r="104" spans="1:5" x14ac:dyDescent="0.25">
      <c r="A104" s="12"/>
      <c r="B104" s="26">
        <f t="shared" si="2"/>
        <v>0</v>
      </c>
      <c r="C104" s="12"/>
      <c r="D104" s="12"/>
      <c r="E104" s="12"/>
    </row>
    <row r="105" spans="1:5" x14ac:dyDescent="0.25">
      <c r="A105" s="12"/>
      <c r="B105" s="26">
        <f t="shared" si="2"/>
        <v>0</v>
      </c>
      <c r="C105" s="12"/>
      <c r="D105" s="12"/>
      <c r="E105" s="12"/>
    </row>
    <row r="106" spans="1:5" x14ac:dyDescent="0.25">
      <c r="A106" s="96" t="s">
        <v>557</v>
      </c>
      <c r="B106" s="95" t="str">
        <f t="shared" si="2"/>
        <v>Status Report</v>
      </c>
      <c r="C106" s="96" t="s">
        <v>558</v>
      </c>
      <c r="D106" s="96" t="s">
        <v>559</v>
      </c>
      <c r="E106" s="36"/>
    </row>
    <row r="107" spans="1:5" x14ac:dyDescent="0.25">
      <c r="A107" s="96" t="s">
        <v>598</v>
      </c>
      <c r="B107" s="95" t="str">
        <f t="shared" si="2"/>
        <v>Selected Player</v>
      </c>
      <c r="C107" s="96" t="s">
        <v>1235</v>
      </c>
      <c r="D107" s="96" t="s">
        <v>600</v>
      </c>
      <c r="E107" s="12"/>
    </row>
    <row r="108" spans="1:5" x14ac:dyDescent="0.25">
      <c r="A108" s="96" t="s">
        <v>599</v>
      </c>
      <c r="B108" s="95" t="str">
        <f t="shared" si="2"/>
        <v>Selected Month</v>
      </c>
      <c r="C108" s="96" t="s">
        <v>1236</v>
      </c>
      <c r="D108" s="96" t="s">
        <v>563</v>
      </c>
      <c r="E108" s="12"/>
    </row>
    <row r="109" spans="1:5" x14ac:dyDescent="0.25">
      <c r="A109" s="96" t="s">
        <v>804</v>
      </c>
      <c r="B109" s="95" t="str">
        <f t="shared" si="2"/>
        <v>Select Year</v>
      </c>
      <c r="C109" s="96" t="s">
        <v>805</v>
      </c>
      <c r="D109" s="96" t="s">
        <v>806</v>
      </c>
      <c r="E109" s="12"/>
    </row>
    <row r="110" spans="1:5" x14ac:dyDescent="0.25">
      <c r="A110" s="96" t="s">
        <v>560</v>
      </c>
      <c r="B110" s="95" t="str">
        <f t="shared" si="2"/>
        <v>Day</v>
      </c>
      <c r="C110" s="96" t="s">
        <v>564</v>
      </c>
      <c r="D110" s="96" t="s">
        <v>565</v>
      </c>
      <c r="E110" s="12"/>
    </row>
    <row r="111" spans="1:5" x14ac:dyDescent="0.25">
      <c r="A111" s="96" t="s">
        <v>561</v>
      </c>
      <c r="B111" s="95" t="str">
        <f t="shared" si="2"/>
        <v>Total Time/Day</v>
      </c>
      <c r="C111" s="96" t="s">
        <v>566</v>
      </c>
      <c r="D111" s="96" t="s">
        <v>567</v>
      </c>
      <c r="E111" s="12"/>
    </row>
    <row r="112" spans="1:5" x14ac:dyDescent="0.25">
      <c r="A112" s="96" t="s">
        <v>562</v>
      </c>
      <c r="B112" s="95" t="str">
        <f t="shared" si="2"/>
        <v>Player HCP/Day</v>
      </c>
      <c r="C112" s="96" t="s">
        <v>568</v>
      </c>
      <c r="D112" s="96" t="s">
        <v>569</v>
      </c>
      <c r="E112" s="12"/>
    </row>
    <row r="113" spans="1:5" x14ac:dyDescent="0.25">
      <c r="A113" s="96"/>
      <c r="B113" s="95"/>
      <c r="C113" s="96"/>
      <c r="D113" s="96"/>
      <c r="E113" s="12"/>
    </row>
    <row r="114" spans="1:5" x14ac:dyDescent="0.25">
      <c r="A114" s="96" t="s">
        <v>574</v>
      </c>
      <c r="B114" s="95" t="str">
        <f t="shared" si="2"/>
        <v>HCP</v>
      </c>
      <c r="C114" s="96" t="s">
        <v>572</v>
      </c>
      <c r="D114" s="96" t="s">
        <v>572</v>
      </c>
      <c r="E114" s="12"/>
    </row>
    <row r="115" spans="1:5" x14ac:dyDescent="0.25">
      <c r="A115" s="96" t="s">
        <v>578</v>
      </c>
      <c r="B115" s="95" t="str">
        <f t="shared" si="2"/>
        <v>Duration</v>
      </c>
      <c r="C115" s="96" t="s">
        <v>459</v>
      </c>
      <c r="D115" s="96" t="s">
        <v>460</v>
      </c>
      <c r="E115" s="12"/>
    </row>
    <row r="116" spans="1:5" x14ac:dyDescent="0.25">
      <c r="A116" s="96" t="s">
        <v>575</v>
      </c>
      <c r="B116" s="95" t="str">
        <f t="shared" si="2"/>
        <v>%of Total Time</v>
      </c>
      <c r="C116" s="96" t="s">
        <v>576</v>
      </c>
      <c r="D116" s="96" t="s">
        <v>577</v>
      </c>
      <c r="E116" s="12"/>
    </row>
    <row r="117" spans="1:5" x14ac:dyDescent="0.25">
      <c r="A117" s="96" t="s">
        <v>573</v>
      </c>
      <c r="B117" s="95" t="str">
        <f t="shared" si="2"/>
        <v>Putting</v>
      </c>
      <c r="C117" s="96" t="s">
        <v>7</v>
      </c>
      <c r="D117" s="96" t="s">
        <v>571</v>
      </c>
    </row>
    <row r="118" spans="1:5" x14ac:dyDescent="0.25">
      <c r="A118" s="96" t="s">
        <v>579</v>
      </c>
      <c r="B118" s="95" t="str">
        <f t="shared" si="2"/>
        <v>Chipping</v>
      </c>
      <c r="C118" s="96" t="s">
        <v>12</v>
      </c>
      <c r="D118" s="96" t="s">
        <v>585</v>
      </c>
    </row>
    <row r="119" spans="1:5" x14ac:dyDescent="0.25">
      <c r="A119" s="96" t="s">
        <v>580</v>
      </c>
      <c r="B119" s="95" t="str">
        <f t="shared" si="2"/>
        <v>Pitching</v>
      </c>
      <c r="C119" s="96" t="s">
        <v>412</v>
      </c>
      <c r="D119" s="96" t="s">
        <v>570</v>
      </c>
    </row>
    <row r="120" spans="1:5" x14ac:dyDescent="0.25">
      <c r="A120" s="96" t="s">
        <v>581</v>
      </c>
      <c r="B120" s="95" t="str">
        <f>IFERROR(INDEX($C120:$E120,0,MUI_LANG_ID),"")</f>
        <v>Approach Shot</v>
      </c>
      <c r="C120" s="96" t="s">
        <v>1177</v>
      </c>
      <c r="D120" s="96" t="s">
        <v>1177</v>
      </c>
    </row>
    <row r="121" spans="1:5" x14ac:dyDescent="0.25">
      <c r="A121" s="96" t="s">
        <v>582</v>
      </c>
      <c r="B121" s="95" t="str">
        <f t="shared" si="2"/>
        <v>Wood</v>
      </c>
      <c r="C121" s="96" t="s">
        <v>1178</v>
      </c>
      <c r="D121" s="96" t="s">
        <v>586</v>
      </c>
    </row>
    <row r="122" spans="1:5" x14ac:dyDescent="0.25">
      <c r="A122" s="96" t="s">
        <v>583</v>
      </c>
      <c r="B122" s="95" t="str">
        <f t="shared" si="2"/>
        <v>Driver</v>
      </c>
      <c r="C122" s="96" t="s">
        <v>584</v>
      </c>
      <c r="D122" s="96" t="s">
        <v>584</v>
      </c>
    </row>
    <row r="123" spans="1:5" x14ac:dyDescent="0.25">
      <c r="A123" s="96" t="s">
        <v>587</v>
      </c>
      <c r="B123" s="95" t="str">
        <f t="shared" si="2"/>
        <v>Bunker</v>
      </c>
      <c r="C123" s="96" t="s">
        <v>249</v>
      </c>
      <c r="D123" s="96" t="s">
        <v>249</v>
      </c>
    </row>
    <row r="124" spans="1:5" x14ac:dyDescent="0.25">
      <c r="A124" s="96" t="s">
        <v>601</v>
      </c>
      <c r="B124" s="95" t="str">
        <f t="shared" si="2"/>
        <v>Mental</v>
      </c>
      <c r="C124" s="96" t="s">
        <v>602</v>
      </c>
      <c r="D124" s="96" t="s">
        <v>602</v>
      </c>
    </row>
    <row r="125" spans="1:5" x14ac:dyDescent="0.25">
      <c r="A125" s="96" t="s">
        <v>605</v>
      </c>
      <c r="B125" s="95" t="str">
        <f t="shared" si="2"/>
        <v>Round of Golf</v>
      </c>
      <c r="C125" s="96" t="s">
        <v>606</v>
      </c>
      <c r="D125" s="96" t="s">
        <v>607</v>
      </c>
    </row>
    <row r="126" spans="1:5" x14ac:dyDescent="0.25">
      <c r="A126" s="96" t="s">
        <v>1255</v>
      </c>
      <c r="B126" s="95" t="str">
        <f>IFERROR(INDEX($C126:$E126,0,MUI_LANG_ID),"")</f>
        <v/>
      </c>
      <c r="C126" s="305" t="s">
        <v>1256</v>
      </c>
      <c r="D126" s="305" t="s">
        <v>1256</v>
      </c>
    </row>
    <row r="127" spans="1:5" x14ac:dyDescent="0.25">
      <c r="A127" s="96" t="s">
        <v>605</v>
      </c>
      <c r="B127" s="95" t="str">
        <f t="shared" si="2"/>
        <v/>
      </c>
      <c r="C127" s="305" t="s">
        <v>1256</v>
      </c>
      <c r="D127" s="305" t="s">
        <v>1256</v>
      </c>
    </row>
    <row r="128" spans="1:5" x14ac:dyDescent="0.25">
      <c r="A128" s="96" t="s">
        <v>605</v>
      </c>
      <c r="B128" s="95" t="str">
        <f t="shared" si="2"/>
        <v/>
      </c>
      <c r="C128" s="305" t="s">
        <v>1256</v>
      </c>
      <c r="D128" s="305" t="s">
        <v>1256</v>
      </c>
    </row>
    <row r="129" spans="1:4" x14ac:dyDescent="0.25">
      <c r="A129" s="96" t="s">
        <v>605</v>
      </c>
      <c r="B129" s="95" t="str">
        <f t="shared" si="2"/>
        <v/>
      </c>
      <c r="C129" s="305" t="s">
        <v>1256</v>
      </c>
      <c r="D129" s="305" t="s">
        <v>1256</v>
      </c>
    </row>
    <row r="130" spans="1:4" x14ac:dyDescent="0.25">
      <c r="A130" s="96" t="s">
        <v>605</v>
      </c>
      <c r="B130" s="95" t="str">
        <f t="shared" si="2"/>
        <v/>
      </c>
      <c r="C130" s="305" t="s">
        <v>1256</v>
      </c>
      <c r="D130" s="305" t="s">
        <v>1256</v>
      </c>
    </row>
    <row r="131" spans="1:4" x14ac:dyDescent="0.25">
      <c r="A131" s="96" t="s">
        <v>605</v>
      </c>
      <c r="B131" s="95" t="str">
        <f t="shared" si="2"/>
        <v/>
      </c>
      <c r="C131" s="305" t="s">
        <v>1256</v>
      </c>
      <c r="D131" s="305" t="s">
        <v>1256</v>
      </c>
    </row>
    <row r="132" spans="1:4" x14ac:dyDescent="0.25">
      <c r="A132" s="96" t="s">
        <v>605</v>
      </c>
      <c r="B132" s="95" t="str">
        <f t="shared" si="2"/>
        <v/>
      </c>
      <c r="C132" s="305" t="s">
        <v>1256</v>
      </c>
      <c r="D132" s="305" t="s">
        <v>1256</v>
      </c>
    </row>
    <row r="133" spans="1:4" x14ac:dyDescent="0.25">
      <c r="A133" s="96" t="s">
        <v>605</v>
      </c>
      <c r="B133" s="95" t="str">
        <f t="shared" si="2"/>
        <v/>
      </c>
      <c r="C133" s="305" t="s">
        <v>1256</v>
      </c>
      <c r="D133" s="305" t="s">
        <v>1256</v>
      </c>
    </row>
    <row r="134" spans="1:4" x14ac:dyDescent="0.25">
      <c r="A134" s="96" t="s">
        <v>605</v>
      </c>
      <c r="B134" s="95" t="str">
        <f t="shared" si="2"/>
        <v/>
      </c>
      <c r="C134" s="305" t="s">
        <v>1256</v>
      </c>
      <c r="D134" s="305" t="s">
        <v>1256</v>
      </c>
    </row>
    <row r="135" spans="1:4" x14ac:dyDescent="0.25">
      <c r="A135" s="96" t="s">
        <v>605</v>
      </c>
      <c r="B135" s="95" t="str">
        <f t="shared" si="2"/>
        <v/>
      </c>
      <c r="C135" s="305" t="s">
        <v>1256</v>
      </c>
      <c r="D135" s="305" t="s">
        <v>1256</v>
      </c>
    </row>
    <row r="136" spans="1:4" x14ac:dyDescent="0.25">
      <c r="A136" s="96" t="s">
        <v>605</v>
      </c>
      <c r="B136" s="95" t="str">
        <f t="shared" si="2"/>
        <v/>
      </c>
      <c r="C136" s="305" t="s">
        <v>1256</v>
      </c>
      <c r="D136" s="305" t="s">
        <v>1256</v>
      </c>
    </row>
    <row r="137" spans="1:4" x14ac:dyDescent="0.25">
      <c r="A137" s="96" t="s">
        <v>605</v>
      </c>
      <c r="B137" s="95" t="str">
        <f t="shared" si="2"/>
        <v/>
      </c>
      <c r="C137" s="305" t="s">
        <v>1256</v>
      </c>
      <c r="D137" s="305" t="s">
        <v>1256</v>
      </c>
    </row>
    <row r="138" spans="1:4" x14ac:dyDescent="0.25">
      <c r="A138" s="96" t="s">
        <v>605</v>
      </c>
      <c r="B138" s="95" t="str">
        <f t="shared" si="2"/>
        <v/>
      </c>
      <c r="C138" s="305" t="s">
        <v>1256</v>
      </c>
      <c r="D138" s="305" t="s">
        <v>1256</v>
      </c>
    </row>
    <row r="139" spans="1:4" x14ac:dyDescent="0.25">
      <c r="A139" s="96" t="s">
        <v>588</v>
      </c>
      <c r="B139" s="95" t="str">
        <f t="shared" si="2"/>
        <v>Overview of the month</v>
      </c>
      <c r="C139" s="100" t="s">
        <v>591</v>
      </c>
      <c r="D139" s="100" t="s">
        <v>592</v>
      </c>
    </row>
    <row r="140" spans="1:4" x14ac:dyDescent="0.25">
      <c r="A140" s="96" t="s">
        <v>1179</v>
      </c>
      <c r="B140" s="95" t="str">
        <f t="shared" si="2"/>
        <v># of Exercises</v>
      </c>
      <c r="C140" s="100" t="s">
        <v>1180</v>
      </c>
      <c r="D140" s="100" t="s">
        <v>1181</v>
      </c>
    </row>
    <row r="141" spans="1:4" x14ac:dyDescent="0.25">
      <c r="A141" s="96" t="s">
        <v>589</v>
      </c>
      <c r="B141" s="95" t="str">
        <f t="shared" si="2"/>
        <v>Total Duration (in Min)</v>
      </c>
      <c r="C141" s="100" t="s">
        <v>611</v>
      </c>
      <c r="D141" s="100" t="s">
        <v>612</v>
      </c>
    </row>
    <row r="142" spans="1:4" x14ac:dyDescent="0.25">
      <c r="A142" s="96" t="s">
        <v>590</v>
      </c>
      <c r="B142" s="95" t="str">
        <f t="shared" si="2"/>
        <v>HCP Min, Avg, Max</v>
      </c>
      <c r="C142" s="100" t="s">
        <v>613</v>
      </c>
      <c r="D142" s="100" t="s">
        <v>613</v>
      </c>
    </row>
    <row r="143" spans="1:4" x14ac:dyDescent="0.25">
      <c r="A143" s="96" t="s">
        <v>593</v>
      </c>
      <c r="B143" s="95" t="str">
        <f t="shared" si="2"/>
        <v>Overview of the Year</v>
      </c>
      <c r="C143" s="100" t="s">
        <v>594</v>
      </c>
      <c r="D143" s="100" t="s">
        <v>595</v>
      </c>
    </row>
    <row r="144" spans="1:4" x14ac:dyDescent="0.25">
      <c r="A144" s="96" t="s">
        <v>596</v>
      </c>
      <c r="B144" s="95" t="str">
        <f t="shared" si="2"/>
        <v>%of Total Time</v>
      </c>
      <c r="C144" s="96" t="s">
        <v>576</v>
      </c>
      <c r="D144" s="96" t="s">
        <v>577</v>
      </c>
    </row>
    <row r="145" spans="1:5" x14ac:dyDescent="0.25">
      <c r="A145" s="96" t="s">
        <v>597</v>
      </c>
      <c r="B145" s="95" t="str">
        <f t="shared" si="2"/>
        <v>HCP Avg , Std, Delta</v>
      </c>
      <c r="C145" s="100" t="s">
        <v>603</v>
      </c>
      <c r="D145" s="100" t="s">
        <v>604</v>
      </c>
    </row>
    <row r="148" spans="1:5" x14ac:dyDescent="0.25">
      <c r="A148" s="179" t="s">
        <v>1183</v>
      </c>
      <c r="B148" s="181" t="str">
        <f>IFERROR(INDEX($C148:$E148,0,MUI_LANG_ID),"")</f>
        <v>Usage Description</v>
      </c>
      <c r="C148" s="179" t="s">
        <v>1184</v>
      </c>
      <c r="D148" s="179" t="s">
        <v>1185</v>
      </c>
      <c r="E148" s="180"/>
    </row>
    <row r="149" spans="1:5" x14ac:dyDescent="0.25">
      <c r="A149" s="179"/>
      <c r="B149" s="181"/>
      <c r="C149" s="179"/>
      <c r="D149" s="179"/>
      <c r="E149" s="180"/>
    </row>
    <row r="150" spans="1:5" x14ac:dyDescent="0.25">
      <c r="A150" s="179"/>
      <c r="B150" s="181"/>
      <c r="C150" s="179"/>
      <c r="D150" s="179"/>
      <c r="E150" s="180"/>
    </row>
    <row r="153" spans="1:5" x14ac:dyDescent="0.25">
      <c r="A153" s="267" t="s">
        <v>930</v>
      </c>
      <c r="B153" s="269" t="str">
        <f>IFERROR(INDEX($C153:$E153,0,MUI_LANG_ID),"")</f>
        <v>License Manager</v>
      </c>
      <c r="C153" s="267" t="s">
        <v>931</v>
      </c>
      <c r="D153" s="267" t="s">
        <v>932</v>
      </c>
      <c r="E153" s="268"/>
    </row>
    <row r="154" spans="1:5" x14ac:dyDescent="0.25">
      <c r="A154" s="267" t="s">
        <v>922</v>
      </c>
      <c r="B154" s="269" t="str">
        <f>IFERROR(INDEX($C154:$E154,0,MUI_LANG_ID),"")</f>
        <v>Coach</v>
      </c>
      <c r="C154" s="267" t="s">
        <v>923</v>
      </c>
      <c r="D154" s="267" t="s">
        <v>924</v>
      </c>
      <c r="E154" s="268"/>
    </row>
    <row r="155" spans="1:5" x14ac:dyDescent="0.25">
      <c r="A155" s="267" t="s">
        <v>1222</v>
      </c>
      <c r="B155" s="269" t="str">
        <f>IFERROR(INDEX($C155:$E155,0,MUI_LANG_ID),"")</f>
        <v>Development</v>
      </c>
      <c r="C155" s="267" t="s">
        <v>1114</v>
      </c>
      <c r="D155" s="267" t="s">
        <v>1114</v>
      </c>
      <c r="E155" s="268"/>
    </row>
    <row r="156" spans="1:5" x14ac:dyDescent="0.25">
      <c r="A156" s="267" t="s">
        <v>925</v>
      </c>
      <c r="B156" s="269" t="str">
        <f>IFERROR(INDEX($C156:$E156,0,MUI_LANG_ID),"")</f>
        <v>Player</v>
      </c>
      <c r="C156" s="267" t="s">
        <v>926</v>
      </c>
      <c r="D156" s="267" t="s">
        <v>927</v>
      </c>
      <c r="E156" s="268"/>
    </row>
    <row r="157" spans="1:5" x14ac:dyDescent="0.25">
      <c r="A157" s="267" t="s">
        <v>1567</v>
      </c>
      <c r="B157" s="269" t="str">
        <f>IFERROR(INDEX($C157:$E157,0,MUI_LANG_ID),"")</f>
        <v>Demo</v>
      </c>
      <c r="C157" s="267" t="s">
        <v>967</v>
      </c>
      <c r="D157" s="267" t="s">
        <v>967</v>
      </c>
      <c r="E157" s="268"/>
    </row>
  </sheetData>
  <autoFilter ref="A5:E95"/>
  <pageMargins left="0.7" right="0.7" top="0.78740157499999996" bottom="0.78740157499999996" header="0.3" footer="0.3"/>
  <pageSetup paperSize="9" orientation="portrait"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BM4162"/>
  <sheetViews>
    <sheetView zoomScale="80" zoomScaleNormal="80" zoomScaleSheetLayoutView="70" workbookViewId="0">
      <pane xSplit="4" ySplit="5" topLeftCell="E141" activePane="bottomRight" state="frozen"/>
      <selection pane="topRight" activeCell="D1" sqref="D1"/>
      <selection pane="bottomLeft" activeCell="A6" sqref="A6"/>
      <selection pane="bottomRight" activeCell="C310" sqref="C310"/>
    </sheetView>
  </sheetViews>
  <sheetFormatPr baseColWidth="10" defaultColWidth="9.140625" defaultRowHeight="15" x14ac:dyDescent="0.25"/>
  <cols>
    <col min="1" max="2" width="11.140625" customWidth="1"/>
    <col min="3" max="3" width="14.7109375" customWidth="1"/>
    <col min="4" max="5" width="11.7109375" customWidth="1"/>
    <col min="6" max="6" width="14.140625" customWidth="1"/>
    <col min="7" max="7" width="16.85546875" bestFit="1" customWidth="1"/>
    <col min="8" max="8" width="8.28515625" customWidth="1"/>
    <col min="9" max="9" width="7.28515625" customWidth="1"/>
    <col min="10" max="10" width="12.140625" customWidth="1"/>
    <col min="11" max="11" width="46.140625" style="59" customWidth="1"/>
    <col min="12" max="12" width="120.7109375" style="63" customWidth="1"/>
    <col min="13" max="13" width="50.7109375" style="10" customWidth="1"/>
    <col min="14" max="14" width="47.28515625" style="10" customWidth="1"/>
    <col min="15" max="15" width="39.28515625" style="22" customWidth="1"/>
    <col min="16" max="16" width="21.28515625" style="10" hidden="1" customWidth="1"/>
    <col min="17" max="17" width="59.7109375" style="10" hidden="1" customWidth="1"/>
    <col min="18" max="18" width="34" style="10" hidden="1" customWidth="1"/>
    <col min="19" max="19" width="47.28515625" style="10" hidden="1" customWidth="1"/>
    <col min="20" max="20" width="1.42578125" customWidth="1"/>
    <col min="21" max="22" width="26.85546875" style="1" customWidth="1"/>
    <col min="23" max="23" width="18.28515625" style="82" customWidth="1"/>
    <col min="24" max="24" width="5.28515625" customWidth="1"/>
    <col min="25" max="27" width="4.5703125" customWidth="1"/>
    <col min="28" max="28" width="4.85546875" customWidth="1"/>
    <col min="29" max="34" width="4.5703125" customWidth="1"/>
    <col min="35" max="36" width="3.85546875" customWidth="1"/>
    <col min="37" max="37" width="5.42578125" customWidth="1"/>
    <col min="38" max="46" width="4.5703125" customWidth="1"/>
    <col min="47" max="47" width="5.5703125" customWidth="1"/>
    <col min="48" max="56" width="4.5703125" customWidth="1"/>
    <col min="57" max="57" width="5.28515625" customWidth="1"/>
    <col min="58" max="65" width="4.5703125" customWidth="1"/>
  </cols>
  <sheetData>
    <row r="1" spans="1:65" s="4" customFormat="1" ht="30" customHeight="1" x14ac:dyDescent="0.25">
      <c r="A1" s="24" t="str">
        <f>MUI_Title</f>
        <v>Golf Workplan Manager</v>
      </c>
      <c r="B1" s="24"/>
      <c r="F1" s="4">
        <f ca="1">DBEI_ROWID</f>
        <v>28</v>
      </c>
      <c r="G1" s="4">
        <f ca="1">DBEI_ROWID</f>
        <v>28</v>
      </c>
      <c r="H1" s="4">
        <f>COLUMN(DBE_LANG_START)</f>
        <v>1</v>
      </c>
      <c r="I1" s="4">
        <f>DBE_COLUMNS</f>
        <v>65</v>
      </c>
      <c r="J1" s="4">
        <f>ROW(DBE_LANG_START)</f>
        <v>5</v>
      </c>
      <c r="K1" s="522" t="s">
        <v>31</v>
      </c>
      <c r="L1" s="522"/>
      <c r="M1" s="522"/>
      <c r="N1" s="522"/>
      <c r="O1" s="522"/>
      <c r="P1" s="523" t="s">
        <v>19</v>
      </c>
      <c r="Q1" s="523"/>
      <c r="R1" s="523"/>
      <c r="S1" s="523"/>
      <c r="T1" s="523"/>
      <c r="U1" s="4">
        <f>WP_PlayerRoundedHCP</f>
        <v>-34</v>
      </c>
      <c r="W1" s="78">
        <f>6-U1</f>
        <v>40</v>
      </c>
      <c r="X1" s="169">
        <f>IF(WP_PlayerRoundedHCP&gt;=0,6-WP_PlayerRoundedHCP,IF(WP_PlayerRoundedHCP&lt;=-36,42,6-WP_PlayerRoundedHCP))</f>
        <v>40</v>
      </c>
      <c r="Y1" s="4">
        <f>COLUMN()</f>
        <v>25</v>
      </c>
    </row>
    <row r="2" spans="1:65" s="4" customFormat="1" x14ac:dyDescent="0.25">
      <c r="A2" s="5" t="s">
        <v>2</v>
      </c>
      <c r="B2" s="5"/>
      <c r="H2" s="4">
        <f ca="1">DBE_COLID_START</f>
        <v>11</v>
      </c>
      <c r="I2" s="4">
        <f ca="1">DBE_COLID_ExTitle</f>
        <v>11</v>
      </c>
      <c r="J2" s="4">
        <f ca="1">DBE_COLID_ExReleased</f>
        <v>2</v>
      </c>
      <c r="K2" s="53" t="str">
        <f>K1</f>
        <v>English</v>
      </c>
      <c r="L2" s="60" t="str">
        <f>K1</f>
        <v>English</v>
      </c>
      <c r="M2" s="8" t="str">
        <f>K1</f>
        <v>English</v>
      </c>
      <c r="N2" s="8" t="str">
        <f>K1</f>
        <v>English</v>
      </c>
      <c r="O2" s="71" t="str">
        <f>K1</f>
        <v>English</v>
      </c>
      <c r="P2" s="17" t="str">
        <f>P1</f>
        <v>Deutsch</v>
      </c>
      <c r="Q2" s="17" t="str">
        <f>P1</f>
        <v>Deutsch</v>
      </c>
      <c r="R2" s="17" t="str">
        <f>P1</f>
        <v>Deutsch</v>
      </c>
      <c r="S2" s="17" t="str">
        <f>P1</f>
        <v>Deutsch</v>
      </c>
      <c r="T2" s="18" t="str">
        <f>P1</f>
        <v>Deutsch</v>
      </c>
      <c r="U2" s="4">
        <f>DBE_HCP_ID</f>
        <v>40</v>
      </c>
      <c r="W2" s="78"/>
    </row>
    <row r="3" spans="1:65" s="2" customFormat="1" x14ac:dyDescent="0.25">
      <c r="A3" s="2" t="s">
        <v>3</v>
      </c>
      <c r="B3" s="2" t="s">
        <v>860</v>
      </c>
      <c r="C3" s="2" t="s">
        <v>4</v>
      </c>
      <c r="D3" s="2" t="s">
        <v>1144</v>
      </c>
      <c r="K3" s="45"/>
      <c r="L3" s="61"/>
      <c r="M3" s="16"/>
      <c r="N3" s="16">
        <f ca="1">DBE_COLID_ExCorrection</f>
        <v>14</v>
      </c>
      <c r="O3" s="16">
        <f ca="1">DBE_COLID_ExMaterial</f>
        <v>15</v>
      </c>
      <c r="P3" s="19"/>
      <c r="Q3" s="19"/>
      <c r="R3" s="19"/>
      <c r="S3" s="19"/>
      <c r="T3" s="19"/>
      <c r="W3" s="79"/>
      <c r="X3" s="16">
        <f ca="1">DBE_COLID_ExResultHCP_Comp__NOT_USED</f>
        <v>24</v>
      </c>
      <c r="Y3" s="2">
        <f ca="1">DBE_COLID_ExHCPTargets</f>
        <v>24</v>
      </c>
    </row>
    <row r="4" spans="1:65" s="2" customFormat="1" x14ac:dyDescent="0.25">
      <c r="A4" s="3">
        <f>COUNTA(A6:A666790)</f>
        <v>316</v>
      </c>
      <c r="B4" s="3">
        <f>COUNTIF(B6:B666790,"&gt;0")</f>
        <v>157</v>
      </c>
      <c r="C4" s="3">
        <f>DBEI_ExID</f>
        <v>2019</v>
      </c>
      <c r="D4" s="3">
        <f ca="1">DBEI_ROWID</f>
        <v>28</v>
      </c>
      <c r="E4" s="7"/>
      <c r="K4" s="45"/>
      <c r="L4" s="61"/>
      <c r="M4" s="16"/>
      <c r="N4" s="16"/>
      <c r="O4" s="16"/>
      <c r="P4" s="19"/>
      <c r="Q4" s="19"/>
      <c r="R4" s="19"/>
      <c r="S4" s="19"/>
      <c r="T4" s="19"/>
      <c r="W4" s="79"/>
      <c r="X4" s="6" t="s">
        <v>453</v>
      </c>
    </row>
    <row r="5" spans="1:65" s="2" customFormat="1" ht="55.5" customHeight="1" x14ac:dyDescent="0.25">
      <c r="A5" s="15" t="str">
        <f>MUI_DBE_T_EX_ID</f>
        <v>ID</v>
      </c>
      <c r="B5" s="15" t="str">
        <f>MUI_DBE_T_EX_Released</f>
        <v>Released</v>
      </c>
      <c r="C5" s="15" t="str">
        <f>MUI_DBE_T_EX_Topic</f>
        <v>ExTopic</v>
      </c>
      <c r="D5" s="15" t="str">
        <f>MUI_DBE_T_EX_Type</f>
        <v>ExType</v>
      </c>
      <c r="E5" s="15" t="str">
        <f>MUI_DBE_T_EX_Calc2ndSelection</f>
        <v>Calculate second Selection</v>
      </c>
      <c r="F5" s="15" t="str">
        <f>MUI_DBE_T_EX_UsageFactor</f>
        <v>Usage 
Factor</v>
      </c>
      <c r="G5" s="15" t="str">
        <f>MUI_DBE_T_EX_Level</f>
        <v>ExLevel</v>
      </c>
      <c r="H5" s="15" t="str">
        <f>MUI_DBE_T_EX_Duration</f>
        <v>ExDuration</v>
      </c>
      <c r="I5" s="15" t="str">
        <f>MUI_DBE_T_EX_NrOfPlayers</f>
        <v>ExNrOfPlayers</v>
      </c>
      <c r="J5" s="15" t="str">
        <f>MUI_DBE_T_EX_UID</f>
        <v>UID</v>
      </c>
      <c r="K5" s="15" t="str">
        <f>MUI_DBE_T_EX_Title</f>
        <v>ExTitle</v>
      </c>
      <c r="L5" s="62" t="str">
        <f>MUI_DBE_T_EX_Desc</f>
        <v>ExDescription</v>
      </c>
      <c r="M5" s="9" t="str">
        <f>MUI_DBE_T_EX_Image</f>
        <v>ExImage</v>
      </c>
      <c r="N5" s="9" t="str">
        <f>MUI_DBE_T_EX_Correction</f>
        <v>Correction</v>
      </c>
      <c r="O5" s="9" t="str">
        <f>MUI_DBE_T_EX_Material</f>
        <v>Material</v>
      </c>
      <c r="P5" s="20" t="str">
        <f>MUI_DBE_T_EX_Title</f>
        <v>ExTitle</v>
      </c>
      <c r="Q5" s="20" t="str">
        <f>_Lang!$B$22</f>
        <v>ExDescription</v>
      </c>
      <c r="R5" s="20" t="str">
        <f>_Lang!$B$23</f>
        <v>ExImage</v>
      </c>
      <c r="S5" s="20" t="str">
        <f>MUI_DBE_T_EX_Correction</f>
        <v>Correction</v>
      </c>
      <c r="T5" s="48" t="s">
        <v>233</v>
      </c>
      <c r="U5" s="9" t="str">
        <f>MUI_DBE_T_EX_Target</f>
        <v>Target</v>
      </c>
      <c r="V5" s="303" t="s">
        <v>1240</v>
      </c>
      <c r="W5" s="80" t="s">
        <v>5</v>
      </c>
      <c r="X5" s="64">
        <v>5</v>
      </c>
      <c r="Y5" s="64">
        <v>4</v>
      </c>
      <c r="Z5" s="64">
        <v>3</v>
      </c>
      <c r="AA5" s="64">
        <v>2</v>
      </c>
      <c r="AB5" s="64">
        <v>1</v>
      </c>
      <c r="AC5" s="64">
        <v>0</v>
      </c>
      <c r="AD5" s="64">
        <v>-1</v>
      </c>
      <c r="AE5" s="64">
        <v>-2</v>
      </c>
      <c r="AF5" s="64">
        <v>-3</v>
      </c>
      <c r="AG5" s="64">
        <v>-4</v>
      </c>
      <c r="AH5" s="64">
        <v>-5</v>
      </c>
      <c r="AI5" s="64">
        <v>-6</v>
      </c>
      <c r="AJ5" s="64">
        <v>-7</v>
      </c>
      <c r="AK5" s="64">
        <v>-8</v>
      </c>
      <c r="AL5" s="64">
        <v>-9</v>
      </c>
      <c r="AM5" s="64">
        <v>-10</v>
      </c>
      <c r="AN5" s="64">
        <v>-11</v>
      </c>
      <c r="AO5" s="64">
        <v>-12</v>
      </c>
      <c r="AP5" s="64">
        <v>-13</v>
      </c>
      <c r="AQ5" s="64">
        <v>-14</v>
      </c>
      <c r="AR5" s="64">
        <v>-15</v>
      </c>
      <c r="AS5" s="64">
        <v>-16</v>
      </c>
      <c r="AT5" s="64">
        <v>-17</v>
      </c>
      <c r="AU5" s="64">
        <v>-18</v>
      </c>
      <c r="AV5" s="64">
        <v>-19</v>
      </c>
      <c r="AW5" s="64">
        <v>-20</v>
      </c>
      <c r="AX5" s="64">
        <v>-21</v>
      </c>
      <c r="AY5" s="64">
        <v>-22</v>
      </c>
      <c r="AZ5" s="64">
        <v>-23</v>
      </c>
      <c r="BA5" s="64">
        <v>-24</v>
      </c>
      <c r="BB5" s="64">
        <v>-25</v>
      </c>
      <c r="BC5" s="64">
        <v>-26</v>
      </c>
      <c r="BD5" s="64">
        <v>-27</v>
      </c>
      <c r="BE5" s="64">
        <v>-28</v>
      </c>
      <c r="BF5" s="64">
        <v>-29</v>
      </c>
      <c r="BG5" s="64">
        <v>-30</v>
      </c>
      <c r="BH5" s="64">
        <v>-31</v>
      </c>
      <c r="BI5" s="64">
        <v>-32</v>
      </c>
      <c r="BJ5" s="64">
        <v>-33</v>
      </c>
      <c r="BK5" s="64">
        <v>-34</v>
      </c>
      <c r="BL5" s="64">
        <v>-35</v>
      </c>
      <c r="BM5" s="64">
        <v>-36</v>
      </c>
    </row>
    <row r="6" spans="1:65" ht="150" customHeight="1" x14ac:dyDescent="0.25">
      <c r="A6" s="11">
        <v>1001</v>
      </c>
      <c r="B6" s="11">
        <v>-1</v>
      </c>
      <c r="C6" s="11" t="str">
        <f>MUI_STAT_T_MainTitel_3</f>
        <v>Pitching</v>
      </c>
      <c r="D6" s="11" t="s">
        <v>51</v>
      </c>
      <c r="E6" s="42"/>
      <c r="F6" s="42"/>
      <c r="G6" s="151" t="s">
        <v>861</v>
      </c>
      <c r="H6" s="328">
        <v>5</v>
      </c>
      <c r="I6" s="11">
        <v>1</v>
      </c>
      <c r="J6" s="55" t="str">
        <f t="shared" ref="J6:J69" si="0">C6&amp;D6&amp;I6&amp;H6&amp;K6</f>
        <v>PitchingTest15TUCKER TEST  TROUBLE SHOTS</v>
      </c>
      <c r="K6" s="58" t="s">
        <v>679</v>
      </c>
      <c r="L6" s="231" t="s">
        <v>463</v>
      </c>
      <c r="M6" s="13"/>
      <c r="N6" s="89" t="s">
        <v>469</v>
      </c>
      <c r="O6" s="52"/>
      <c r="P6" s="13"/>
      <c r="Q6" s="35"/>
      <c r="R6" s="13"/>
      <c r="S6" s="13"/>
      <c r="T6" s="12"/>
      <c r="U6" s="54">
        <f t="shared" ref="U6:U69" si="1">IFERROR(IF(LEN(X6)&gt;0,INT(INDEX(X6:BM6,0,DBE_HCP_ID)),""),"")</f>
        <v>1</v>
      </c>
      <c r="V6" s="54"/>
      <c r="W6" s="81">
        <f>MAX(X6:BM6)</f>
        <v>5</v>
      </c>
      <c r="X6" s="11">
        <v>5</v>
      </c>
      <c r="Y6" s="11">
        <v>5</v>
      </c>
      <c r="Z6" s="11">
        <v>5</v>
      </c>
      <c r="AA6" s="11">
        <v>4</v>
      </c>
      <c r="AB6" s="11">
        <v>4</v>
      </c>
      <c r="AC6" s="11">
        <v>4</v>
      </c>
      <c r="AD6" s="11">
        <v>4</v>
      </c>
      <c r="AE6" s="11">
        <v>3</v>
      </c>
      <c r="AF6" s="11">
        <v>3</v>
      </c>
      <c r="AG6" s="11">
        <v>3</v>
      </c>
      <c r="AH6" s="11">
        <v>3</v>
      </c>
      <c r="AI6" s="11">
        <v>3</v>
      </c>
      <c r="AJ6" s="11">
        <v>3</v>
      </c>
      <c r="AK6" s="11">
        <v>3</v>
      </c>
      <c r="AL6" s="11">
        <v>3</v>
      </c>
      <c r="AM6" s="11">
        <v>2</v>
      </c>
      <c r="AN6" s="11">
        <v>2</v>
      </c>
      <c r="AO6" s="11">
        <v>2</v>
      </c>
      <c r="AP6" s="11">
        <v>2</v>
      </c>
      <c r="AQ6" s="11">
        <v>2</v>
      </c>
      <c r="AR6" s="11">
        <v>2</v>
      </c>
      <c r="AS6" s="11">
        <v>2</v>
      </c>
      <c r="AT6" s="11">
        <v>2</v>
      </c>
      <c r="AU6" s="11">
        <v>1</v>
      </c>
      <c r="AV6" s="11">
        <v>1</v>
      </c>
      <c r="AW6" s="11">
        <v>1</v>
      </c>
      <c r="AX6" s="11">
        <v>1</v>
      </c>
      <c r="AY6" s="11">
        <v>1</v>
      </c>
      <c r="AZ6" s="11">
        <v>1</v>
      </c>
      <c r="BA6" s="11">
        <v>1</v>
      </c>
      <c r="BB6" s="11">
        <v>1</v>
      </c>
      <c r="BC6" s="11">
        <v>1</v>
      </c>
      <c r="BD6" s="11">
        <v>1</v>
      </c>
      <c r="BE6" s="11">
        <v>1</v>
      </c>
      <c r="BF6" s="11">
        <v>1</v>
      </c>
      <c r="BG6" s="11">
        <v>1</v>
      </c>
      <c r="BH6" s="11">
        <v>1</v>
      </c>
      <c r="BI6" s="11">
        <v>1</v>
      </c>
      <c r="BJ6" s="11">
        <v>1</v>
      </c>
      <c r="BK6" s="11">
        <v>1</v>
      </c>
      <c r="BL6" s="11">
        <v>1</v>
      </c>
      <c r="BM6" s="11">
        <v>1</v>
      </c>
    </row>
    <row r="7" spans="1:65" ht="150" customHeight="1" x14ac:dyDescent="0.25">
      <c r="A7" s="11">
        <v>1002</v>
      </c>
      <c r="B7" s="11">
        <v>2</v>
      </c>
      <c r="C7" s="11" t="s">
        <v>249</v>
      </c>
      <c r="D7" s="11" t="s">
        <v>51</v>
      </c>
      <c r="E7" s="42"/>
      <c r="F7" s="42"/>
      <c r="G7" s="151" t="s">
        <v>861</v>
      </c>
      <c r="H7" s="328">
        <v>5</v>
      </c>
      <c r="I7" s="11">
        <v>1</v>
      </c>
      <c r="J7" s="55" t="str">
        <f t="shared" si="0"/>
        <v>BunkerTest15TUCKER TEST  BUNKER</v>
      </c>
      <c r="K7" s="58" t="s">
        <v>677</v>
      </c>
      <c r="L7" s="231" t="s">
        <v>450</v>
      </c>
      <c r="M7" s="49"/>
      <c r="N7" s="94"/>
      <c r="O7" s="52"/>
      <c r="P7" s="13"/>
      <c r="Q7" s="35"/>
      <c r="R7" s="13"/>
      <c r="S7" s="13"/>
      <c r="T7" s="12"/>
      <c r="U7" s="54">
        <f t="shared" si="1"/>
        <v>1</v>
      </c>
      <c r="V7" s="54"/>
      <c r="W7" s="83">
        <v>15</v>
      </c>
      <c r="X7" s="11">
        <v>14</v>
      </c>
      <c r="Y7" s="11">
        <v>13</v>
      </c>
      <c r="Z7" s="11">
        <v>12</v>
      </c>
      <c r="AA7" s="11">
        <v>11</v>
      </c>
      <c r="AB7" s="11">
        <v>10</v>
      </c>
      <c r="AC7" s="11">
        <v>9</v>
      </c>
      <c r="AD7" s="11">
        <v>9</v>
      </c>
      <c r="AE7" s="11">
        <v>8</v>
      </c>
      <c r="AF7" s="11">
        <v>8</v>
      </c>
      <c r="AG7" s="11">
        <v>7</v>
      </c>
      <c r="AH7" s="11">
        <v>7</v>
      </c>
      <c r="AI7" s="178">
        <v>6</v>
      </c>
      <c r="AJ7" s="178">
        <v>6</v>
      </c>
      <c r="AK7" s="11">
        <v>5</v>
      </c>
      <c r="AL7" s="11">
        <v>5</v>
      </c>
      <c r="AM7" s="11">
        <v>4</v>
      </c>
      <c r="AN7" s="11">
        <v>4</v>
      </c>
      <c r="AO7" s="11">
        <v>4</v>
      </c>
      <c r="AP7" s="11">
        <v>4</v>
      </c>
      <c r="AQ7" s="11">
        <v>4</v>
      </c>
      <c r="AR7" s="11">
        <v>4</v>
      </c>
      <c r="AS7" s="11">
        <v>3</v>
      </c>
      <c r="AT7" s="11">
        <v>3</v>
      </c>
      <c r="AU7" s="11">
        <v>3</v>
      </c>
      <c r="AV7" s="11">
        <v>3</v>
      </c>
      <c r="AW7" s="11">
        <v>3</v>
      </c>
      <c r="AX7" s="11">
        <v>3</v>
      </c>
      <c r="AY7" s="11">
        <v>3</v>
      </c>
      <c r="AZ7" s="11">
        <v>3</v>
      </c>
      <c r="BA7" s="11">
        <v>2</v>
      </c>
      <c r="BB7" s="11">
        <v>2</v>
      </c>
      <c r="BC7" s="11">
        <v>2</v>
      </c>
      <c r="BD7" s="11">
        <v>2</v>
      </c>
      <c r="BE7" s="11">
        <v>2</v>
      </c>
      <c r="BF7" s="11">
        <v>2</v>
      </c>
      <c r="BG7" s="11">
        <v>2</v>
      </c>
      <c r="BH7" s="11">
        <v>2</v>
      </c>
      <c r="BI7" s="11">
        <v>1</v>
      </c>
      <c r="BJ7" s="11">
        <v>1</v>
      </c>
      <c r="BK7" s="11">
        <v>1</v>
      </c>
      <c r="BL7" s="11">
        <v>1</v>
      </c>
      <c r="BM7" s="11">
        <v>1</v>
      </c>
    </row>
    <row r="8" spans="1:65" ht="150" customHeight="1" x14ac:dyDescent="0.25">
      <c r="A8" s="11">
        <v>1003</v>
      </c>
      <c r="B8" s="11">
        <v>2</v>
      </c>
      <c r="C8" s="11" t="s">
        <v>12</v>
      </c>
      <c r="D8" s="11" t="s">
        <v>51</v>
      </c>
      <c r="E8" s="42"/>
      <c r="F8" s="42"/>
      <c r="G8" s="151" t="s">
        <v>861</v>
      </c>
      <c r="H8" s="328">
        <v>5</v>
      </c>
      <c r="I8" s="11">
        <v>1</v>
      </c>
      <c r="J8" s="55" t="str">
        <f t="shared" si="0"/>
        <v>ChippingTest15TUCKER TEST  CHIPPING</v>
      </c>
      <c r="K8" s="58" t="s">
        <v>678</v>
      </c>
      <c r="L8" s="77" t="s">
        <v>1031</v>
      </c>
      <c r="M8" s="13"/>
      <c r="N8" s="90"/>
      <c r="O8" s="52"/>
      <c r="P8" s="13"/>
      <c r="Q8" s="35"/>
      <c r="R8" s="13"/>
      <c r="S8" s="13"/>
      <c r="T8" s="12"/>
      <c r="U8" s="54">
        <f t="shared" si="1"/>
        <v>2</v>
      </c>
      <c r="V8" s="54"/>
      <c r="W8" s="81">
        <f>MAX(X8:BM8)</f>
        <v>10</v>
      </c>
      <c r="X8" s="11">
        <v>10</v>
      </c>
      <c r="Y8" s="11">
        <v>10</v>
      </c>
      <c r="Z8" s="11">
        <v>9</v>
      </c>
      <c r="AA8" s="11">
        <v>9</v>
      </c>
      <c r="AB8" s="11">
        <v>9</v>
      </c>
      <c r="AC8" s="11">
        <v>8</v>
      </c>
      <c r="AD8" s="11">
        <v>8</v>
      </c>
      <c r="AE8" s="11">
        <v>8</v>
      </c>
      <c r="AF8" s="11">
        <v>7</v>
      </c>
      <c r="AG8" s="11">
        <v>7</v>
      </c>
      <c r="AH8" s="11">
        <v>7</v>
      </c>
      <c r="AI8" s="11">
        <v>7</v>
      </c>
      <c r="AJ8" s="11">
        <v>7</v>
      </c>
      <c r="AK8" s="11">
        <v>6</v>
      </c>
      <c r="AL8" s="11">
        <v>6</v>
      </c>
      <c r="AM8" s="11">
        <v>6</v>
      </c>
      <c r="AN8" s="11">
        <v>6</v>
      </c>
      <c r="AO8" s="11">
        <v>5</v>
      </c>
      <c r="AP8" s="11">
        <v>5</v>
      </c>
      <c r="AQ8" s="11">
        <v>5</v>
      </c>
      <c r="AR8" s="11">
        <v>5</v>
      </c>
      <c r="AS8" s="11">
        <v>4</v>
      </c>
      <c r="AT8" s="11">
        <v>4</v>
      </c>
      <c r="AU8" s="11">
        <v>4</v>
      </c>
      <c r="AV8" s="11">
        <v>4</v>
      </c>
      <c r="AW8" s="11">
        <v>4</v>
      </c>
      <c r="AX8" s="11">
        <v>3</v>
      </c>
      <c r="AY8" s="11">
        <v>3</v>
      </c>
      <c r="AZ8" s="11">
        <v>3</v>
      </c>
      <c r="BA8" s="11">
        <v>3</v>
      </c>
      <c r="BB8" s="11">
        <v>3</v>
      </c>
      <c r="BC8" s="11">
        <v>3</v>
      </c>
      <c r="BD8" s="11">
        <v>3</v>
      </c>
      <c r="BE8" s="11">
        <v>3</v>
      </c>
      <c r="BF8" s="11">
        <v>3</v>
      </c>
      <c r="BG8" s="11">
        <v>2</v>
      </c>
      <c r="BH8" s="11">
        <v>2</v>
      </c>
      <c r="BI8" s="11">
        <v>2</v>
      </c>
      <c r="BJ8" s="11">
        <v>2</v>
      </c>
      <c r="BK8" s="11">
        <v>2</v>
      </c>
      <c r="BL8" s="11">
        <v>2</v>
      </c>
      <c r="BM8" s="11">
        <v>2</v>
      </c>
    </row>
    <row r="9" spans="1:65" ht="150" customHeight="1" x14ac:dyDescent="0.25">
      <c r="A9" s="11">
        <v>1004</v>
      </c>
      <c r="B9" s="11">
        <v>2</v>
      </c>
      <c r="C9" s="11" t="str">
        <f>MUI_STAT_T_MainTitel_3</f>
        <v>Pitching</v>
      </c>
      <c r="D9" s="11" t="s">
        <v>51</v>
      </c>
      <c r="E9" s="42"/>
      <c r="F9" s="42"/>
      <c r="G9" s="151" t="s">
        <v>861</v>
      </c>
      <c r="H9" s="328">
        <v>5</v>
      </c>
      <c r="I9" s="11">
        <v>1</v>
      </c>
      <c r="J9" s="55" t="str">
        <f t="shared" si="0"/>
        <v>PitchingTest15TUCKER TEST  Pitch   SHORT DISTANCE</v>
      </c>
      <c r="K9" s="58" t="s">
        <v>675</v>
      </c>
      <c r="L9" s="77" t="s">
        <v>451</v>
      </c>
      <c r="M9" s="13"/>
      <c r="N9" s="75" t="s">
        <v>443</v>
      </c>
      <c r="O9" s="52"/>
      <c r="P9" s="13"/>
      <c r="Q9" s="35"/>
      <c r="R9" s="13"/>
      <c r="S9" s="13"/>
      <c r="T9" s="12"/>
      <c r="U9" s="54">
        <f t="shared" si="1"/>
        <v>1</v>
      </c>
      <c r="V9" s="54"/>
      <c r="W9" s="81">
        <f>MAX(X9:BM9)</f>
        <v>10</v>
      </c>
      <c r="X9" s="11">
        <v>10</v>
      </c>
      <c r="Y9" s="11">
        <v>9</v>
      </c>
      <c r="Z9" s="11">
        <v>9</v>
      </c>
      <c r="AA9" s="11">
        <v>8</v>
      </c>
      <c r="AB9" s="11">
        <v>8</v>
      </c>
      <c r="AC9" s="11">
        <v>7</v>
      </c>
      <c r="AD9" s="11">
        <v>7</v>
      </c>
      <c r="AE9" s="11">
        <v>6</v>
      </c>
      <c r="AF9" s="11">
        <v>6</v>
      </c>
      <c r="AG9" s="11">
        <v>6</v>
      </c>
      <c r="AH9" s="11">
        <v>5</v>
      </c>
      <c r="AI9" s="11">
        <v>5</v>
      </c>
      <c r="AJ9" s="11">
        <v>5</v>
      </c>
      <c r="AK9" s="11">
        <v>5</v>
      </c>
      <c r="AL9" s="11">
        <v>4</v>
      </c>
      <c r="AM9" s="11">
        <v>4</v>
      </c>
      <c r="AN9" s="11">
        <v>4</v>
      </c>
      <c r="AO9" s="11">
        <v>4</v>
      </c>
      <c r="AP9" s="11">
        <v>4</v>
      </c>
      <c r="AQ9" s="11">
        <v>4</v>
      </c>
      <c r="AR9" s="11">
        <v>3</v>
      </c>
      <c r="AS9" s="11">
        <v>3</v>
      </c>
      <c r="AT9" s="11">
        <v>3</v>
      </c>
      <c r="AU9" s="11">
        <v>3</v>
      </c>
      <c r="AV9" s="11">
        <v>3</v>
      </c>
      <c r="AW9" s="11">
        <v>3</v>
      </c>
      <c r="AX9" s="11">
        <v>3</v>
      </c>
      <c r="AY9" s="11">
        <v>2</v>
      </c>
      <c r="AZ9" s="11">
        <v>2</v>
      </c>
      <c r="BA9" s="11">
        <v>2</v>
      </c>
      <c r="BB9" s="11">
        <v>2</v>
      </c>
      <c r="BC9" s="11">
        <v>2</v>
      </c>
      <c r="BD9" s="11">
        <v>2</v>
      </c>
      <c r="BE9" s="11">
        <v>2</v>
      </c>
      <c r="BF9" s="11">
        <v>2</v>
      </c>
      <c r="BG9" s="11">
        <v>1</v>
      </c>
      <c r="BH9" s="11">
        <v>1</v>
      </c>
      <c r="BI9" s="11">
        <v>1</v>
      </c>
      <c r="BJ9" s="11">
        <v>1</v>
      </c>
      <c r="BK9" s="11">
        <v>1</v>
      </c>
      <c r="BL9" s="11">
        <v>1</v>
      </c>
      <c r="BM9" s="11">
        <v>1</v>
      </c>
    </row>
    <row r="10" spans="1:65" ht="150" customHeight="1" x14ac:dyDescent="0.25">
      <c r="A10" s="11">
        <v>1005</v>
      </c>
      <c r="B10" s="11">
        <v>2</v>
      </c>
      <c r="C10" s="11" t="str">
        <f>MUI_STAT_T_MainTitel_3</f>
        <v>Pitching</v>
      </c>
      <c r="D10" s="11" t="s">
        <v>51</v>
      </c>
      <c r="E10" s="42"/>
      <c r="F10" s="42"/>
      <c r="G10" s="151" t="s">
        <v>861</v>
      </c>
      <c r="H10" s="328">
        <v>5</v>
      </c>
      <c r="I10" s="11">
        <v>1</v>
      </c>
      <c r="J10" s="55" t="str">
        <f t="shared" si="0"/>
        <v>PitchingTest15TUCKER TEST  Pitch   LONG DISTANCE</v>
      </c>
      <c r="K10" s="58" t="s">
        <v>676</v>
      </c>
      <c r="L10" s="77" t="s">
        <v>442</v>
      </c>
      <c r="M10" s="13"/>
      <c r="N10" s="90"/>
      <c r="O10" s="52"/>
      <c r="P10" s="13"/>
      <c r="Q10" s="35"/>
      <c r="R10" s="13"/>
      <c r="S10" s="13"/>
      <c r="T10" s="12"/>
      <c r="U10" s="54">
        <f t="shared" si="1"/>
        <v>1</v>
      </c>
      <c r="V10" s="54"/>
      <c r="W10" s="81">
        <v>25</v>
      </c>
      <c r="X10" s="11">
        <v>19</v>
      </c>
      <c r="Y10" s="11">
        <v>18</v>
      </c>
      <c r="Z10" s="11">
        <v>16</v>
      </c>
      <c r="AA10" s="11">
        <v>15</v>
      </c>
      <c r="AB10" s="11">
        <v>14</v>
      </c>
      <c r="AC10" s="11">
        <v>13</v>
      </c>
      <c r="AD10" s="11">
        <v>12</v>
      </c>
      <c r="AE10" s="11">
        <v>11</v>
      </c>
      <c r="AF10" s="11">
        <v>10</v>
      </c>
      <c r="AG10" s="11">
        <v>9</v>
      </c>
      <c r="AH10" s="11">
        <v>9</v>
      </c>
      <c r="AI10" s="11">
        <v>8</v>
      </c>
      <c r="AJ10" s="11">
        <v>8</v>
      </c>
      <c r="AK10" s="11">
        <v>7</v>
      </c>
      <c r="AL10" s="11">
        <v>7</v>
      </c>
      <c r="AM10" s="11">
        <v>6</v>
      </c>
      <c r="AN10" s="11">
        <v>6</v>
      </c>
      <c r="AO10" s="11">
        <v>5</v>
      </c>
      <c r="AP10" s="11">
        <v>5</v>
      </c>
      <c r="AQ10" s="11">
        <v>5</v>
      </c>
      <c r="AR10" s="11">
        <v>4</v>
      </c>
      <c r="AS10" s="11">
        <v>4</v>
      </c>
      <c r="AT10" s="11">
        <v>4</v>
      </c>
      <c r="AU10" s="11">
        <v>2</v>
      </c>
      <c r="AV10" s="11">
        <v>2</v>
      </c>
      <c r="AW10" s="11">
        <v>2</v>
      </c>
      <c r="AX10" s="11">
        <v>2</v>
      </c>
      <c r="AY10" s="11">
        <v>2</v>
      </c>
      <c r="AZ10" s="11">
        <v>2</v>
      </c>
      <c r="BA10" s="11">
        <v>2</v>
      </c>
      <c r="BB10" s="11">
        <v>2</v>
      </c>
      <c r="BC10" s="11">
        <v>2</v>
      </c>
      <c r="BD10" s="11">
        <v>2</v>
      </c>
      <c r="BE10" s="11">
        <v>2</v>
      </c>
      <c r="BF10" s="11">
        <v>2</v>
      </c>
      <c r="BG10" s="11">
        <v>2</v>
      </c>
      <c r="BH10" s="11">
        <v>2</v>
      </c>
      <c r="BI10" s="11">
        <v>1</v>
      </c>
      <c r="BJ10" s="11">
        <v>1</v>
      </c>
      <c r="BK10" s="11">
        <v>1</v>
      </c>
      <c r="BL10" s="11">
        <v>1</v>
      </c>
      <c r="BM10" s="11">
        <v>1</v>
      </c>
    </row>
    <row r="11" spans="1:65" ht="150" customHeight="1" x14ac:dyDescent="0.25">
      <c r="A11" s="11">
        <v>1006</v>
      </c>
      <c r="B11" s="11">
        <v>2</v>
      </c>
      <c r="C11" s="11" t="str">
        <f>MUI_STAT_T_MainTitel_1</f>
        <v>Putting</v>
      </c>
      <c r="D11" s="11" t="s">
        <v>51</v>
      </c>
      <c r="E11" s="42"/>
      <c r="F11" s="42"/>
      <c r="G11" s="151" t="s">
        <v>861</v>
      </c>
      <c r="H11" s="328">
        <v>5</v>
      </c>
      <c r="I11" s="11">
        <v>1</v>
      </c>
      <c r="J11" s="55" t="str">
        <f t="shared" si="0"/>
        <v>PuttingTest15TUCKER TEST  Putting  Short Distance</v>
      </c>
      <c r="K11" s="58" t="s">
        <v>680</v>
      </c>
      <c r="L11" s="77" t="s">
        <v>449</v>
      </c>
      <c r="M11" s="13"/>
      <c r="N11" s="90"/>
      <c r="O11" s="52"/>
      <c r="P11" s="13"/>
      <c r="Q11" s="35"/>
      <c r="R11" s="13"/>
      <c r="S11" s="13"/>
      <c r="T11" s="12"/>
      <c r="U11" s="54">
        <f t="shared" si="1"/>
        <v>6</v>
      </c>
      <c r="V11" s="54"/>
      <c r="W11" s="81">
        <f t="shared" ref="W11:W74" si="2">MAX(X11:BM11)</f>
        <v>18</v>
      </c>
      <c r="X11" s="85">
        <v>18</v>
      </c>
      <c r="Y11" s="85">
        <v>17</v>
      </c>
      <c r="Z11" s="11">
        <v>16</v>
      </c>
      <c r="AA11" s="85">
        <v>16</v>
      </c>
      <c r="AB11" s="11">
        <v>16</v>
      </c>
      <c r="AC11" s="85">
        <v>15</v>
      </c>
      <c r="AD11" s="11">
        <v>14</v>
      </c>
      <c r="AE11" s="85">
        <v>14</v>
      </c>
      <c r="AF11" s="11">
        <v>14</v>
      </c>
      <c r="AG11" s="85">
        <v>13</v>
      </c>
      <c r="AH11" s="11">
        <v>13</v>
      </c>
      <c r="AI11" s="11">
        <v>12</v>
      </c>
      <c r="AJ11" s="85">
        <v>12</v>
      </c>
      <c r="AK11" s="11">
        <v>12</v>
      </c>
      <c r="AL11" s="11">
        <v>12</v>
      </c>
      <c r="AM11" s="11">
        <v>11</v>
      </c>
      <c r="AN11" s="11">
        <v>11</v>
      </c>
      <c r="AO11" s="85">
        <v>11</v>
      </c>
      <c r="AP11" s="11">
        <v>11</v>
      </c>
      <c r="AQ11" s="11">
        <v>10</v>
      </c>
      <c r="AR11" s="85">
        <v>10</v>
      </c>
      <c r="AS11" s="11">
        <v>10</v>
      </c>
      <c r="AT11" s="11">
        <v>10</v>
      </c>
      <c r="AU11" s="11">
        <v>9</v>
      </c>
      <c r="AV11" s="11">
        <v>9</v>
      </c>
      <c r="AW11" s="85">
        <v>9</v>
      </c>
      <c r="AX11" s="11">
        <v>9</v>
      </c>
      <c r="AY11" s="11">
        <v>9</v>
      </c>
      <c r="AZ11" s="11">
        <v>9</v>
      </c>
      <c r="BA11" s="11">
        <v>9</v>
      </c>
      <c r="BB11" s="85">
        <v>9</v>
      </c>
      <c r="BC11" s="11">
        <v>9</v>
      </c>
      <c r="BD11" s="11">
        <v>8</v>
      </c>
      <c r="BE11" s="11">
        <v>8</v>
      </c>
      <c r="BF11" s="11">
        <v>8</v>
      </c>
      <c r="BG11" s="11">
        <v>8</v>
      </c>
      <c r="BH11" s="11">
        <v>7</v>
      </c>
      <c r="BI11" s="85">
        <v>7</v>
      </c>
      <c r="BJ11" s="11">
        <v>7</v>
      </c>
      <c r="BK11" s="11">
        <v>6</v>
      </c>
      <c r="BL11" s="11">
        <v>6</v>
      </c>
      <c r="BM11" s="11">
        <v>6</v>
      </c>
    </row>
    <row r="12" spans="1:65" ht="150" customHeight="1" x14ac:dyDescent="0.25">
      <c r="A12" s="11">
        <v>1007</v>
      </c>
      <c r="B12" s="11">
        <v>2</v>
      </c>
      <c r="C12" s="11" t="str">
        <f>MUI_STAT_T_MainTitel_1</f>
        <v>Putting</v>
      </c>
      <c r="D12" s="11" t="s">
        <v>51</v>
      </c>
      <c r="E12" s="42"/>
      <c r="F12" s="42"/>
      <c r="G12" s="151" t="s">
        <v>861</v>
      </c>
      <c r="H12" s="328">
        <v>5</v>
      </c>
      <c r="I12" s="11">
        <v>1</v>
      </c>
      <c r="J12" s="55" t="str">
        <f t="shared" si="0"/>
        <v>PuttingTest15TUCKER TEST  Putting  LONG Distance</v>
      </c>
      <c r="K12" s="58" t="s">
        <v>681</v>
      </c>
      <c r="L12" s="77" t="s">
        <v>462</v>
      </c>
      <c r="M12" s="13"/>
      <c r="N12" s="90"/>
      <c r="O12" s="52"/>
      <c r="P12" s="13"/>
      <c r="Q12" s="35"/>
      <c r="R12" s="13"/>
      <c r="S12" s="13"/>
      <c r="T12" s="12"/>
      <c r="U12" s="54">
        <f t="shared" si="1"/>
        <v>0</v>
      </c>
      <c r="V12" s="54"/>
      <c r="W12" s="81">
        <f t="shared" si="2"/>
        <v>14</v>
      </c>
      <c r="X12" s="85">
        <v>14</v>
      </c>
      <c r="Y12" s="85">
        <v>13</v>
      </c>
      <c r="Z12" s="85">
        <v>12</v>
      </c>
      <c r="AA12" s="11">
        <v>12</v>
      </c>
      <c r="AB12" s="85">
        <v>11</v>
      </c>
      <c r="AC12" s="11">
        <v>10</v>
      </c>
      <c r="AD12" s="85">
        <v>10</v>
      </c>
      <c r="AE12" s="11">
        <v>10</v>
      </c>
      <c r="AF12" s="11">
        <v>9</v>
      </c>
      <c r="AG12" s="85">
        <v>9</v>
      </c>
      <c r="AH12" s="11">
        <v>9</v>
      </c>
      <c r="AI12" s="11">
        <v>8</v>
      </c>
      <c r="AJ12" s="85">
        <v>8</v>
      </c>
      <c r="AK12" s="11">
        <v>8</v>
      </c>
      <c r="AL12" s="11">
        <v>7</v>
      </c>
      <c r="AM12" s="85">
        <v>7</v>
      </c>
      <c r="AN12" s="11">
        <v>7</v>
      </c>
      <c r="AO12" s="11">
        <v>6</v>
      </c>
      <c r="AP12" s="85">
        <v>6</v>
      </c>
      <c r="AQ12" s="11">
        <v>6</v>
      </c>
      <c r="AR12" s="11">
        <v>5</v>
      </c>
      <c r="AS12" s="85">
        <v>5</v>
      </c>
      <c r="AT12" s="11">
        <v>5</v>
      </c>
      <c r="AU12" s="11">
        <v>4</v>
      </c>
      <c r="AV12" s="85">
        <v>4</v>
      </c>
      <c r="AW12" s="11">
        <v>4</v>
      </c>
      <c r="AX12" s="11">
        <v>3</v>
      </c>
      <c r="AY12" s="85">
        <v>3</v>
      </c>
      <c r="AZ12" s="11">
        <v>3</v>
      </c>
      <c r="BA12" s="11">
        <v>2</v>
      </c>
      <c r="BB12" s="11">
        <v>2</v>
      </c>
      <c r="BC12" s="85">
        <v>2</v>
      </c>
      <c r="BD12" s="11">
        <v>2</v>
      </c>
      <c r="BE12" s="11">
        <v>2</v>
      </c>
      <c r="BF12" s="11">
        <v>1</v>
      </c>
      <c r="BG12" s="85">
        <v>1</v>
      </c>
      <c r="BH12" s="11">
        <v>1</v>
      </c>
      <c r="BI12" s="11">
        <v>0</v>
      </c>
      <c r="BJ12" s="11">
        <v>0</v>
      </c>
      <c r="BK12" s="11">
        <v>0</v>
      </c>
      <c r="BL12" s="11">
        <v>0</v>
      </c>
      <c r="BM12" s="11">
        <v>0</v>
      </c>
    </row>
    <row r="13" spans="1:65" ht="150" customHeight="1" x14ac:dyDescent="0.25">
      <c r="A13" s="11">
        <v>1008</v>
      </c>
      <c r="B13" s="11">
        <v>-1</v>
      </c>
      <c r="C13" s="11" t="s">
        <v>524</v>
      </c>
      <c r="D13" s="11" t="s">
        <v>51</v>
      </c>
      <c r="E13" s="42"/>
      <c r="F13" s="42"/>
      <c r="G13" s="151"/>
      <c r="H13" s="328">
        <v>0</v>
      </c>
      <c r="I13" s="11">
        <v>1</v>
      </c>
      <c r="J13" s="55" t="str">
        <f t="shared" si="0"/>
        <v>n.a.Test10TUCKER TEST  Total Points</v>
      </c>
      <c r="K13" s="58" t="s">
        <v>682</v>
      </c>
      <c r="L13" s="57" t="s">
        <v>448</v>
      </c>
      <c r="M13" s="13"/>
      <c r="N13" s="90"/>
      <c r="O13" s="52"/>
      <c r="P13" s="13"/>
      <c r="Q13" s="35"/>
      <c r="R13" s="13"/>
      <c r="S13" s="13"/>
      <c r="T13" s="12"/>
      <c r="U13" s="54">
        <f t="shared" si="1"/>
        <v>15</v>
      </c>
      <c r="V13" s="54"/>
      <c r="W13" s="81">
        <f t="shared" si="2"/>
        <v>72</v>
      </c>
      <c r="X13" s="11">
        <v>72</v>
      </c>
      <c r="Y13" s="11">
        <v>69</v>
      </c>
      <c r="Z13" s="11">
        <v>66</v>
      </c>
      <c r="AA13" s="11">
        <v>63</v>
      </c>
      <c r="AB13" s="11">
        <v>60</v>
      </c>
      <c r="AC13" s="11">
        <v>57</v>
      </c>
      <c r="AD13" s="11">
        <v>54</v>
      </c>
      <c r="AE13" s="11">
        <v>51</v>
      </c>
      <c r="AF13" s="11">
        <v>49</v>
      </c>
      <c r="AG13" s="11">
        <v>47</v>
      </c>
      <c r="AH13" s="11">
        <v>45</v>
      </c>
      <c r="AI13" s="11">
        <v>43</v>
      </c>
      <c r="AJ13" s="11">
        <v>42</v>
      </c>
      <c r="AK13" s="11">
        <v>41</v>
      </c>
      <c r="AL13" s="11">
        <v>40</v>
      </c>
      <c r="AM13" s="11">
        <v>39</v>
      </c>
      <c r="AN13" s="11">
        <v>38</v>
      </c>
      <c r="AO13" s="11">
        <v>37</v>
      </c>
      <c r="AP13" s="11">
        <v>36</v>
      </c>
      <c r="AQ13" s="11">
        <v>35</v>
      </c>
      <c r="AR13" s="11">
        <v>34</v>
      </c>
      <c r="AS13" s="11">
        <v>33</v>
      </c>
      <c r="AT13" s="11">
        <v>32</v>
      </c>
      <c r="AU13" s="11">
        <v>31</v>
      </c>
      <c r="AV13" s="11">
        <v>30</v>
      </c>
      <c r="AW13" s="11">
        <v>29</v>
      </c>
      <c r="AX13" s="11">
        <v>28</v>
      </c>
      <c r="AY13" s="11">
        <v>27</v>
      </c>
      <c r="AZ13" s="11">
        <v>26</v>
      </c>
      <c r="BA13" s="11">
        <v>25</v>
      </c>
      <c r="BB13" s="11">
        <v>24</v>
      </c>
      <c r="BC13" s="11">
        <v>23</v>
      </c>
      <c r="BD13" s="11">
        <v>22</v>
      </c>
      <c r="BE13" s="11">
        <v>21</v>
      </c>
      <c r="BF13" s="11">
        <v>20</v>
      </c>
      <c r="BG13" s="11">
        <v>19</v>
      </c>
      <c r="BH13" s="11">
        <v>18</v>
      </c>
      <c r="BI13" s="11">
        <v>17</v>
      </c>
      <c r="BJ13" s="11">
        <v>16</v>
      </c>
      <c r="BK13" s="11">
        <v>15</v>
      </c>
      <c r="BL13" s="11">
        <v>14</v>
      </c>
      <c r="BM13" s="11">
        <v>13</v>
      </c>
    </row>
    <row r="14" spans="1:65" ht="150" customHeight="1" x14ac:dyDescent="0.25">
      <c r="A14" s="11">
        <v>2000</v>
      </c>
      <c r="B14" s="11">
        <v>-1</v>
      </c>
      <c r="C14" s="11" t="str">
        <f t="shared" ref="C14:C45" si="3">MUI_STAT_T_MainTitel_1</f>
        <v>Putting</v>
      </c>
      <c r="D14" s="11" t="s">
        <v>6</v>
      </c>
      <c r="E14" s="42"/>
      <c r="F14" s="42"/>
      <c r="G14" s="151" t="s">
        <v>861</v>
      </c>
      <c r="H14" s="329">
        <v>10</v>
      </c>
      <c r="I14" s="14" t="s">
        <v>241</v>
      </c>
      <c r="J14" s="55" t="str">
        <f t="shared" si="0"/>
        <v>PuttingGameMany10Putting Ladder Gambling</v>
      </c>
      <c r="K14" s="58" t="s">
        <v>17</v>
      </c>
      <c r="L14" s="57" t="s">
        <v>410</v>
      </c>
      <c r="M14" s="13"/>
      <c r="N14" s="90"/>
      <c r="O14" s="52"/>
      <c r="P14" s="14" t="s">
        <v>17</v>
      </c>
      <c r="Q14" s="35" t="s">
        <v>14</v>
      </c>
      <c r="R14" s="13"/>
      <c r="S14" s="13" t="s">
        <v>14</v>
      </c>
      <c r="T14" s="12"/>
      <c r="U14" s="54" t="str">
        <f t="shared" si="1"/>
        <v/>
      </c>
      <c r="V14" s="54"/>
      <c r="W14" s="81">
        <f t="shared" si="2"/>
        <v>0</v>
      </c>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row>
    <row r="15" spans="1:65" ht="150" customHeight="1" x14ac:dyDescent="0.25">
      <c r="A15" s="11">
        <v>2001</v>
      </c>
      <c r="B15" s="11">
        <v>-1</v>
      </c>
      <c r="C15" s="11" t="str">
        <f t="shared" si="3"/>
        <v>Putting</v>
      </c>
      <c r="D15" s="11" t="s">
        <v>6</v>
      </c>
      <c r="E15" s="42"/>
      <c r="F15" s="42"/>
      <c r="G15" s="151" t="s">
        <v>861</v>
      </c>
      <c r="H15" s="329">
        <v>10</v>
      </c>
      <c r="I15" s="14" t="s">
        <v>241</v>
      </c>
      <c r="J15" s="55" t="str">
        <f t="shared" si="0"/>
        <v>PuttingGameMany10Kick them out</v>
      </c>
      <c r="K15" s="58" t="s">
        <v>89</v>
      </c>
      <c r="L15" s="57" t="s">
        <v>234</v>
      </c>
      <c r="M15" s="13"/>
      <c r="N15" s="90"/>
      <c r="O15" s="52"/>
      <c r="P15" s="13"/>
      <c r="Q15" s="35"/>
      <c r="R15" s="13"/>
      <c r="S15" s="13"/>
      <c r="T15" s="12"/>
      <c r="U15" s="54" t="str">
        <f t="shared" si="1"/>
        <v/>
      </c>
      <c r="V15" s="54"/>
      <c r="W15" s="81">
        <f t="shared" si="2"/>
        <v>0</v>
      </c>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row>
    <row r="16" spans="1:65" ht="150" customHeight="1" x14ac:dyDescent="0.25">
      <c r="A16" s="11">
        <v>2002</v>
      </c>
      <c r="B16" s="11">
        <v>-1</v>
      </c>
      <c r="C16" s="11" t="str">
        <f t="shared" si="3"/>
        <v>Putting</v>
      </c>
      <c r="D16" s="11" t="s">
        <v>6</v>
      </c>
      <c r="E16" s="42"/>
      <c r="F16" s="42"/>
      <c r="G16" s="151" t="s">
        <v>861</v>
      </c>
      <c r="H16" s="329">
        <v>10</v>
      </c>
      <c r="I16" s="14" t="s">
        <v>241</v>
      </c>
      <c r="J16" s="55" t="str">
        <f t="shared" si="0"/>
        <v>PuttingGameMany10Nearest to the line    Shoot out</v>
      </c>
      <c r="K16" s="58" t="s">
        <v>641</v>
      </c>
      <c r="L16" s="57" t="s">
        <v>90</v>
      </c>
      <c r="M16" s="13"/>
      <c r="N16" s="90"/>
      <c r="O16" s="52"/>
      <c r="P16" s="13"/>
      <c r="Q16" s="35"/>
      <c r="R16" s="13"/>
      <c r="S16" s="13"/>
      <c r="T16" s="12"/>
      <c r="U16" s="54" t="str">
        <f t="shared" si="1"/>
        <v/>
      </c>
      <c r="V16" s="54"/>
      <c r="W16" s="81">
        <f t="shared" si="2"/>
        <v>0</v>
      </c>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row>
    <row r="17" spans="1:65" ht="150" customHeight="1" x14ac:dyDescent="0.25">
      <c r="A17" s="11">
        <v>2003</v>
      </c>
      <c r="B17" s="11">
        <v>-1</v>
      </c>
      <c r="C17" s="11" t="str">
        <f t="shared" si="3"/>
        <v>Putting</v>
      </c>
      <c r="D17" s="11" t="s">
        <v>6</v>
      </c>
      <c r="E17" s="42"/>
      <c r="F17" s="42"/>
      <c r="G17" s="151" t="s">
        <v>861</v>
      </c>
      <c r="H17" s="329">
        <v>10</v>
      </c>
      <c r="I17" s="14" t="s">
        <v>241</v>
      </c>
      <c r="J17" s="55" t="str">
        <f t="shared" si="0"/>
        <v>PuttingGameMany10Nearest to the line    5 lifes</v>
      </c>
      <c r="K17" s="58" t="s">
        <v>642</v>
      </c>
      <c r="L17" s="57" t="s">
        <v>91</v>
      </c>
      <c r="M17" s="13"/>
      <c r="N17" s="90"/>
      <c r="O17" s="52"/>
      <c r="P17" s="13"/>
      <c r="Q17" s="35"/>
      <c r="R17" s="13"/>
      <c r="S17" s="13"/>
      <c r="T17" s="12"/>
      <c r="U17" s="54" t="str">
        <f t="shared" si="1"/>
        <v/>
      </c>
      <c r="V17" s="54"/>
      <c r="W17" s="81">
        <f t="shared" si="2"/>
        <v>0</v>
      </c>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row>
    <row r="18" spans="1:65" ht="150" customHeight="1" x14ac:dyDescent="0.25">
      <c r="A18" s="11">
        <v>2004</v>
      </c>
      <c r="B18" s="11">
        <v>-1</v>
      </c>
      <c r="C18" s="11" t="str">
        <f t="shared" si="3"/>
        <v>Putting</v>
      </c>
      <c r="D18" s="11" t="s">
        <v>6</v>
      </c>
      <c r="E18" s="42"/>
      <c r="F18" s="42"/>
      <c r="G18" s="151" t="s">
        <v>861</v>
      </c>
      <c r="H18" s="329">
        <v>10</v>
      </c>
      <c r="I18" s="14" t="s">
        <v>241</v>
      </c>
      <c r="J18" s="55" t="str">
        <f t="shared" si="0"/>
        <v>PuttingGameMany10Nearest to the line   Best of X</v>
      </c>
      <c r="K18" s="58" t="s">
        <v>643</v>
      </c>
      <c r="L18" s="57" t="s">
        <v>92</v>
      </c>
      <c r="M18" s="13"/>
      <c r="N18" s="90"/>
      <c r="O18" s="52"/>
      <c r="P18" s="13"/>
      <c r="Q18" s="35"/>
      <c r="R18" s="13"/>
      <c r="S18" s="13"/>
      <c r="T18" s="12"/>
      <c r="U18" s="54" t="str">
        <f t="shared" si="1"/>
        <v/>
      </c>
      <c r="V18" s="54"/>
      <c r="W18" s="81">
        <f t="shared" si="2"/>
        <v>0</v>
      </c>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row>
    <row r="19" spans="1:65" ht="150" customHeight="1" x14ac:dyDescent="0.25">
      <c r="A19" s="11">
        <v>2005</v>
      </c>
      <c r="B19" s="11">
        <v>-1</v>
      </c>
      <c r="C19" s="11" t="str">
        <f t="shared" si="3"/>
        <v>Putting</v>
      </c>
      <c r="D19" s="11" t="s">
        <v>6</v>
      </c>
      <c r="E19" s="42"/>
      <c r="F19" s="42"/>
      <c r="G19" s="151" t="s">
        <v>861</v>
      </c>
      <c r="H19" s="329">
        <v>10</v>
      </c>
      <c r="I19" s="14" t="s">
        <v>710</v>
      </c>
      <c r="J19" s="55" t="str">
        <f t="shared" si="0"/>
        <v>PuttingGame2-many10Nearest to the line  Shoot out</v>
      </c>
      <c r="K19" s="58" t="s">
        <v>624</v>
      </c>
      <c r="L19" s="57" t="s">
        <v>256</v>
      </c>
      <c r="M19" s="13"/>
      <c r="N19" s="90"/>
      <c r="O19" s="72" t="s">
        <v>414</v>
      </c>
      <c r="P19" s="13"/>
      <c r="Q19" s="35"/>
      <c r="R19" s="13"/>
      <c r="S19" s="13"/>
      <c r="T19" s="12"/>
      <c r="U19" s="54" t="str">
        <f t="shared" si="1"/>
        <v/>
      </c>
      <c r="V19" s="54"/>
      <c r="W19" s="81">
        <f t="shared" si="2"/>
        <v>0</v>
      </c>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row>
    <row r="20" spans="1:65" ht="150" customHeight="1" x14ac:dyDescent="0.25">
      <c r="A20" s="11">
        <v>2006</v>
      </c>
      <c r="B20" s="11">
        <v>2</v>
      </c>
      <c r="C20" s="11" t="str">
        <f t="shared" si="3"/>
        <v>Putting</v>
      </c>
      <c r="D20" s="11" t="s">
        <v>98</v>
      </c>
      <c r="E20" s="42"/>
      <c r="F20" s="42"/>
      <c r="G20" s="151" t="s">
        <v>478</v>
      </c>
      <c r="H20" s="329">
        <v>5</v>
      </c>
      <c r="I20" s="14">
        <v>1</v>
      </c>
      <c r="J20" s="55" t="str">
        <f t="shared" si="0"/>
        <v>PuttingChallenge15Putting Hero</v>
      </c>
      <c r="K20" s="58" t="s">
        <v>8</v>
      </c>
      <c r="L20" s="57" t="s">
        <v>1100</v>
      </c>
      <c r="M20" s="13"/>
      <c r="N20" s="90"/>
      <c r="O20" s="52"/>
      <c r="P20" s="13"/>
      <c r="Q20" s="35"/>
      <c r="R20" s="13"/>
      <c r="S20" s="13"/>
      <c r="T20" s="12"/>
      <c r="U20" s="54">
        <f t="shared" si="1"/>
        <v>5</v>
      </c>
      <c r="V20" s="54"/>
      <c r="W20" s="81">
        <f t="shared" si="2"/>
        <v>10</v>
      </c>
      <c r="X20" s="85">
        <v>10</v>
      </c>
      <c r="Y20" s="11">
        <v>10</v>
      </c>
      <c r="Z20" s="11">
        <v>10</v>
      </c>
      <c r="AA20" s="11">
        <v>9</v>
      </c>
      <c r="AB20" s="11">
        <v>9</v>
      </c>
      <c r="AC20" s="11">
        <v>9</v>
      </c>
      <c r="AD20" s="11">
        <v>9</v>
      </c>
      <c r="AE20" s="11">
        <v>8</v>
      </c>
      <c r="AF20" s="11">
        <v>8</v>
      </c>
      <c r="AG20" s="11">
        <v>8</v>
      </c>
      <c r="AH20" s="11">
        <v>8</v>
      </c>
      <c r="AI20" s="11">
        <v>8</v>
      </c>
      <c r="AJ20" s="11">
        <v>7</v>
      </c>
      <c r="AK20" s="11">
        <v>7</v>
      </c>
      <c r="AL20" s="85">
        <v>7</v>
      </c>
      <c r="AM20" s="11">
        <v>7</v>
      </c>
      <c r="AN20" s="11">
        <v>7</v>
      </c>
      <c r="AO20" s="11">
        <v>7</v>
      </c>
      <c r="AP20" s="11">
        <v>7</v>
      </c>
      <c r="AQ20" s="11">
        <v>7</v>
      </c>
      <c r="AR20" s="11">
        <v>6</v>
      </c>
      <c r="AS20" s="11">
        <v>6</v>
      </c>
      <c r="AT20" s="11">
        <v>6</v>
      </c>
      <c r="AU20" s="11">
        <v>6</v>
      </c>
      <c r="AV20" s="11">
        <v>6</v>
      </c>
      <c r="AW20" s="11">
        <v>6</v>
      </c>
      <c r="AX20" s="85">
        <v>6</v>
      </c>
      <c r="AY20" s="11">
        <v>6</v>
      </c>
      <c r="AZ20" s="11">
        <v>6</v>
      </c>
      <c r="BA20" s="11">
        <v>6</v>
      </c>
      <c r="BB20" s="11">
        <v>6</v>
      </c>
      <c r="BC20" s="11">
        <v>6</v>
      </c>
      <c r="BD20" s="11">
        <v>6</v>
      </c>
      <c r="BE20" s="11">
        <v>6</v>
      </c>
      <c r="BF20" s="11">
        <v>5</v>
      </c>
      <c r="BG20" s="11">
        <v>5</v>
      </c>
      <c r="BH20" s="11">
        <v>5</v>
      </c>
      <c r="BI20" s="11">
        <v>5</v>
      </c>
      <c r="BJ20" s="11">
        <v>5</v>
      </c>
      <c r="BK20" s="11">
        <v>5</v>
      </c>
      <c r="BL20" s="11">
        <v>5</v>
      </c>
      <c r="BM20" s="85">
        <v>5</v>
      </c>
    </row>
    <row r="21" spans="1:65" ht="150" customHeight="1" x14ac:dyDescent="0.25">
      <c r="A21" s="11">
        <v>2007</v>
      </c>
      <c r="B21" s="11">
        <v>2</v>
      </c>
      <c r="C21" s="11" t="str">
        <f t="shared" si="3"/>
        <v>Putting</v>
      </c>
      <c r="D21" s="11" t="s">
        <v>98</v>
      </c>
      <c r="E21" s="42"/>
      <c r="F21" s="42"/>
      <c r="G21" s="151" t="s">
        <v>480</v>
      </c>
      <c r="H21" s="329">
        <v>5</v>
      </c>
      <c r="I21" s="14">
        <v>1</v>
      </c>
      <c r="J21" s="55" t="str">
        <f t="shared" si="0"/>
        <v>PuttingChallenge15Putting Hero</v>
      </c>
      <c r="K21" s="58" t="s">
        <v>8</v>
      </c>
      <c r="L21" s="57" t="s">
        <v>1099</v>
      </c>
      <c r="M21" s="13"/>
      <c r="N21" s="90"/>
      <c r="O21" s="52"/>
      <c r="P21" s="13"/>
      <c r="Q21" s="35"/>
      <c r="R21" s="13"/>
      <c r="S21" s="13"/>
      <c r="T21" s="12"/>
      <c r="U21" s="54">
        <f t="shared" si="1"/>
        <v>5</v>
      </c>
      <c r="V21" s="54"/>
      <c r="W21" s="81">
        <f t="shared" si="2"/>
        <v>10</v>
      </c>
      <c r="X21" s="85">
        <v>10</v>
      </c>
      <c r="Y21" s="11">
        <v>10</v>
      </c>
      <c r="Z21" s="11">
        <v>10</v>
      </c>
      <c r="AA21" s="11">
        <v>9</v>
      </c>
      <c r="AB21" s="11">
        <v>9</v>
      </c>
      <c r="AC21" s="11">
        <v>9</v>
      </c>
      <c r="AD21" s="11">
        <v>9</v>
      </c>
      <c r="AE21" s="11">
        <v>8</v>
      </c>
      <c r="AF21" s="11">
        <v>8</v>
      </c>
      <c r="AG21" s="11">
        <v>8</v>
      </c>
      <c r="AH21" s="11">
        <v>8</v>
      </c>
      <c r="AI21" s="11">
        <v>8</v>
      </c>
      <c r="AJ21" s="11">
        <v>7</v>
      </c>
      <c r="AK21" s="11">
        <v>7</v>
      </c>
      <c r="AL21" s="85">
        <v>7</v>
      </c>
      <c r="AM21" s="11">
        <v>7</v>
      </c>
      <c r="AN21" s="11">
        <v>7</v>
      </c>
      <c r="AO21" s="11">
        <v>7</v>
      </c>
      <c r="AP21" s="11">
        <v>7</v>
      </c>
      <c r="AQ21" s="11">
        <v>7</v>
      </c>
      <c r="AR21" s="11">
        <v>6</v>
      </c>
      <c r="AS21" s="11">
        <v>6</v>
      </c>
      <c r="AT21" s="11">
        <v>6</v>
      </c>
      <c r="AU21" s="11">
        <v>6</v>
      </c>
      <c r="AV21" s="11">
        <v>6</v>
      </c>
      <c r="AW21" s="11">
        <v>6</v>
      </c>
      <c r="AX21" s="85">
        <v>6</v>
      </c>
      <c r="AY21" s="11">
        <v>6</v>
      </c>
      <c r="AZ21" s="11">
        <v>6</v>
      </c>
      <c r="BA21" s="11">
        <v>6</v>
      </c>
      <c r="BB21" s="11">
        <v>6</v>
      </c>
      <c r="BC21" s="11">
        <v>6</v>
      </c>
      <c r="BD21" s="11">
        <v>6</v>
      </c>
      <c r="BE21" s="11">
        <v>6</v>
      </c>
      <c r="BF21" s="11">
        <v>5</v>
      </c>
      <c r="BG21" s="11">
        <v>5</v>
      </c>
      <c r="BH21" s="11">
        <v>5</v>
      </c>
      <c r="BI21" s="11">
        <v>5</v>
      </c>
      <c r="BJ21" s="11">
        <v>5</v>
      </c>
      <c r="BK21" s="11">
        <v>5</v>
      </c>
      <c r="BL21" s="11">
        <v>5</v>
      </c>
      <c r="BM21" s="85">
        <v>5</v>
      </c>
    </row>
    <row r="22" spans="1:65" ht="150" customHeight="1" x14ac:dyDescent="0.25">
      <c r="A22" s="11">
        <v>2008</v>
      </c>
      <c r="B22" s="11">
        <v>2</v>
      </c>
      <c r="C22" s="11" t="str">
        <f t="shared" si="3"/>
        <v>Putting</v>
      </c>
      <c r="D22" s="11" t="s">
        <v>98</v>
      </c>
      <c r="E22" s="42"/>
      <c r="F22" s="42"/>
      <c r="G22" s="151" t="s">
        <v>484</v>
      </c>
      <c r="H22" s="329">
        <v>10</v>
      </c>
      <c r="I22" s="14">
        <v>1</v>
      </c>
      <c r="J22" s="55" t="str">
        <f t="shared" si="0"/>
        <v>PuttingChallenge110Putting Hero Extrem</v>
      </c>
      <c r="K22" s="58" t="s">
        <v>97</v>
      </c>
      <c r="L22" s="57" t="s">
        <v>1098</v>
      </c>
      <c r="M22" s="13"/>
      <c r="N22" s="90"/>
      <c r="O22" s="52"/>
      <c r="P22" s="13"/>
      <c r="Q22" s="35"/>
      <c r="R22" s="13"/>
      <c r="S22" s="13"/>
      <c r="T22" s="12"/>
      <c r="U22" s="54">
        <f t="shared" si="1"/>
        <v>5</v>
      </c>
      <c r="V22" s="54"/>
      <c r="W22" s="81">
        <f t="shared" si="2"/>
        <v>10</v>
      </c>
      <c r="X22" s="85">
        <v>10</v>
      </c>
      <c r="Y22" s="11">
        <v>10</v>
      </c>
      <c r="Z22" s="11">
        <v>10</v>
      </c>
      <c r="AA22" s="11">
        <v>9</v>
      </c>
      <c r="AB22" s="11">
        <v>9</v>
      </c>
      <c r="AC22" s="11">
        <v>9</v>
      </c>
      <c r="AD22" s="11">
        <v>9</v>
      </c>
      <c r="AE22" s="11">
        <v>8</v>
      </c>
      <c r="AF22" s="11">
        <v>8</v>
      </c>
      <c r="AG22" s="11">
        <v>8</v>
      </c>
      <c r="AH22" s="11">
        <v>8</v>
      </c>
      <c r="AI22" s="11">
        <v>8</v>
      </c>
      <c r="AJ22" s="11">
        <v>7</v>
      </c>
      <c r="AK22" s="11">
        <v>7</v>
      </c>
      <c r="AL22" s="85">
        <v>7</v>
      </c>
      <c r="AM22" s="11">
        <v>7</v>
      </c>
      <c r="AN22" s="11">
        <v>7</v>
      </c>
      <c r="AO22" s="11">
        <v>7</v>
      </c>
      <c r="AP22" s="11">
        <v>7</v>
      </c>
      <c r="AQ22" s="11">
        <v>7</v>
      </c>
      <c r="AR22" s="11">
        <v>6</v>
      </c>
      <c r="AS22" s="11">
        <v>6</v>
      </c>
      <c r="AT22" s="11">
        <v>6</v>
      </c>
      <c r="AU22" s="11">
        <v>6</v>
      </c>
      <c r="AV22" s="11">
        <v>6</v>
      </c>
      <c r="AW22" s="11">
        <v>6</v>
      </c>
      <c r="AX22" s="85">
        <v>6</v>
      </c>
      <c r="AY22" s="11">
        <v>6</v>
      </c>
      <c r="AZ22" s="11">
        <v>6</v>
      </c>
      <c r="BA22" s="11">
        <v>6</v>
      </c>
      <c r="BB22" s="11">
        <v>6</v>
      </c>
      <c r="BC22" s="11">
        <v>6</v>
      </c>
      <c r="BD22" s="11">
        <v>6</v>
      </c>
      <c r="BE22" s="11">
        <v>6</v>
      </c>
      <c r="BF22" s="11">
        <v>5</v>
      </c>
      <c r="BG22" s="11">
        <v>5</v>
      </c>
      <c r="BH22" s="11">
        <v>5</v>
      </c>
      <c r="BI22" s="11">
        <v>5</v>
      </c>
      <c r="BJ22" s="11">
        <v>5</v>
      </c>
      <c r="BK22" s="11">
        <v>5</v>
      </c>
      <c r="BL22" s="11">
        <v>5</v>
      </c>
      <c r="BM22" s="85">
        <v>5</v>
      </c>
    </row>
    <row r="23" spans="1:65" ht="150" customHeight="1" x14ac:dyDescent="0.25">
      <c r="A23" s="11">
        <v>2009</v>
      </c>
      <c r="B23" s="11">
        <v>2</v>
      </c>
      <c r="C23" s="11" t="str">
        <f t="shared" si="3"/>
        <v>Putting</v>
      </c>
      <c r="D23" s="11" t="s">
        <v>98</v>
      </c>
      <c r="E23" s="42"/>
      <c r="F23" s="42"/>
      <c r="G23" s="151" t="s">
        <v>485</v>
      </c>
      <c r="H23" s="329">
        <v>10</v>
      </c>
      <c r="I23" s="14">
        <v>1</v>
      </c>
      <c r="J23" s="55" t="str">
        <f t="shared" si="0"/>
        <v>PuttingChallenge110Putting Hero Ultra</v>
      </c>
      <c r="K23" s="58" t="s">
        <v>96</v>
      </c>
      <c r="L23" s="57" t="s">
        <v>1097</v>
      </c>
      <c r="M23" s="13"/>
      <c r="N23" s="90"/>
      <c r="O23" s="52"/>
      <c r="P23" s="13"/>
      <c r="Q23" s="35"/>
      <c r="R23" s="13"/>
      <c r="S23" s="13"/>
      <c r="T23" s="12"/>
      <c r="U23" s="54">
        <f t="shared" si="1"/>
        <v>5</v>
      </c>
      <c r="V23" s="54"/>
      <c r="W23" s="81">
        <f t="shared" si="2"/>
        <v>10</v>
      </c>
      <c r="X23" s="85">
        <v>10</v>
      </c>
      <c r="Y23" s="11">
        <v>10</v>
      </c>
      <c r="Z23" s="11">
        <v>10</v>
      </c>
      <c r="AA23" s="11">
        <v>9</v>
      </c>
      <c r="AB23" s="11">
        <v>9</v>
      </c>
      <c r="AC23" s="11">
        <v>9</v>
      </c>
      <c r="AD23" s="11">
        <v>9</v>
      </c>
      <c r="AE23" s="11">
        <v>8</v>
      </c>
      <c r="AF23" s="11">
        <v>8</v>
      </c>
      <c r="AG23" s="11">
        <v>8</v>
      </c>
      <c r="AH23" s="11">
        <v>8</v>
      </c>
      <c r="AI23" s="11">
        <v>8</v>
      </c>
      <c r="AJ23" s="11">
        <v>7</v>
      </c>
      <c r="AK23" s="11">
        <v>7</v>
      </c>
      <c r="AL23" s="85">
        <v>7</v>
      </c>
      <c r="AM23" s="11">
        <v>7</v>
      </c>
      <c r="AN23" s="11">
        <v>7</v>
      </c>
      <c r="AO23" s="11">
        <v>7</v>
      </c>
      <c r="AP23" s="11">
        <v>7</v>
      </c>
      <c r="AQ23" s="11">
        <v>7</v>
      </c>
      <c r="AR23" s="11">
        <v>6</v>
      </c>
      <c r="AS23" s="11">
        <v>6</v>
      </c>
      <c r="AT23" s="11">
        <v>6</v>
      </c>
      <c r="AU23" s="11">
        <v>6</v>
      </c>
      <c r="AV23" s="11">
        <v>6</v>
      </c>
      <c r="AW23" s="11">
        <v>6</v>
      </c>
      <c r="AX23" s="85">
        <v>6</v>
      </c>
      <c r="AY23" s="11">
        <v>6</v>
      </c>
      <c r="AZ23" s="11">
        <v>6</v>
      </c>
      <c r="BA23" s="11">
        <v>6</v>
      </c>
      <c r="BB23" s="11">
        <v>6</v>
      </c>
      <c r="BC23" s="11">
        <v>6</v>
      </c>
      <c r="BD23" s="11">
        <v>6</v>
      </c>
      <c r="BE23" s="11">
        <v>6</v>
      </c>
      <c r="BF23" s="11">
        <v>5</v>
      </c>
      <c r="BG23" s="11">
        <v>5</v>
      </c>
      <c r="BH23" s="11">
        <v>5</v>
      </c>
      <c r="BI23" s="11">
        <v>5</v>
      </c>
      <c r="BJ23" s="11">
        <v>5</v>
      </c>
      <c r="BK23" s="11">
        <v>5</v>
      </c>
      <c r="BL23" s="11">
        <v>5</v>
      </c>
      <c r="BM23" s="85">
        <v>5</v>
      </c>
    </row>
    <row r="24" spans="1:65" ht="150" customHeight="1" x14ac:dyDescent="0.25">
      <c r="A24" s="11">
        <v>2010</v>
      </c>
      <c r="B24" s="11">
        <v>-1</v>
      </c>
      <c r="C24" s="11" t="str">
        <f t="shared" si="3"/>
        <v>Putting</v>
      </c>
      <c r="D24" s="11" t="s">
        <v>98</v>
      </c>
      <c r="E24" s="42"/>
      <c r="F24" s="42"/>
      <c r="G24" s="151" t="s">
        <v>478</v>
      </c>
      <c r="H24" s="329">
        <v>10</v>
      </c>
      <c r="I24" s="14">
        <v>1</v>
      </c>
      <c r="J24" s="55" t="str">
        <f t="shared" si="0"/>
        <v>PuttingChallenge110Putting Circle 3 feet</v>
      </c>
      <c r="K24" s="58" t="s">
        <v>106</v>
      </c>
      <c r="L24" s="57" t="s">
        <v>105</v>
      </c>
      <c r="M24" s="13"/>
      <c r="N24" s="90"/>
      <c r="O24" s="52"/>
      <c r="P24" s="14" t="s">
        <v>99</v>
      </c>
      <c r="Q24" s="35" t="s">
        <v>100</v>
      </c>
      <c r="R24" s="13"/>
      <c r="S24" s="35" t="s">
        <v>104</v>
      </c>
      <c r="T24" s="12"/>
      <c r="U24" s="54" t="str">
        <f t="shared" si="1"/>
        <v/>
      </c>
      <c r="V24" s="54"/>
      <c r="W24" s="81">
        <f t="shared" si="2"/>
        <v>0</v>
      </c>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row>
    <row r="25" spans="1:65" ht="150" customHeight="1" x14ac:dyDescent="0.25">
      <c r="A25" s="11">
        <v>2011</v>
      </c>
      <c r="B25" s="11">
        <v>-1</v>
      </c>
      <c r="C25" s="11" t="str">
        <f t="shared" si="3"/>
        <v>Putting</v>
      </c>
      <c r="D25" s="11" t="s">
        <v>98</v>
      </c>
      <c r="E25" s="42"/>
      <c r="F25" s="42"/>
      <c r="G25" s="151"/>
      <c r="H25" s="329">
        <v>20</v>
      </c>
      <c r="I25" s="14">
        <v>1</v>
      </c>
      <c r="J25" s="55" t="str">
        <f t="shared" si="0"/>
        <v>PuttingChallenge120Putting Contest  40 - 50 - 60 feet</v>
      </c>
      <c r="K25" s="58" t="s">
        <v>853</v>
      </c>
      <c r="L25" s="57" t="s">
        <v>107</v>
      </c>
      <c r="M25" s="13"/>
      <c r="N25" s="90"/>
      <c r="O25" s="52"/>
      <c r="P25" s="14" t="s">
        <v>108</v>
      </c>
      <c r="Q25" s="35" t="s">
        <v>109</v>
      </c>
      <c r="R25" s="13"/>
      <c r="S25" s="35" t="s">
        <v>110</v>
      </c>
      <c r="T25" s="12"/>
      <c r="U25" s="54" t="str">
        <f t="shared" si="1"/>
        <v/>
      </c>
      <c r="V25" s="54"/>
      <c r="W25" s="81">
        <f t="shared" si="2"/>
        <v>0</v>
      </c>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row>
    <row r="26" spans="1:65" ht="150" customHeight="1" x14ac:dyDescent="0.25">
      <c r="A26" s="11">
        <v>2012</v>
      </c>
      <c r="B26" s="11">
        <v>-1</v>
      </c>
      <c r="C26" s="11" t="str">
        <f t="shared" si="3"/>
        <v>Putting</v>
      </c>
      <c r="D26" s="11" t="s">
        <v>181</v>
      </c>
      <c r="E26" s="42"/>
      <c r="F26" s="42"/>
      <c r="G26" s="151"/>
      <c r="H26" s="329">
        <v>10</v>
      </c>
      <c r="I26" s="14">
        <v>1</v>
      </c>
      <c r="J26" s="55" t="str">
        <f t="shared" si="0"/>
        <v>PuttingDrill110Putting 18</v>
      </c>
      <c r="K26" s="58" t="s">
        <v>183</v>
      </c>
      <c r="L26" s="57" t="s">
        <v>182</v>
      </c>
      <c r="M26" s="13"/>
      <c r="N26" s="90"/>
      <c r="O26" s="52"/>
      <c r="P26" s="14"/>
      <c r="Q26" s="35"/>
      <c r="R26" s="13"/>
      <c r="S26" s="35"/>
      <c r="T26" s="12"/>
      <c r="U26" s="54" t="str">
        <f t="shared" si="1"/>
        <v/>
      </c>
      <c r="V26" s="54"/>
      <c r="W26" s="81">
        <f t="shared" si="2"/>
        <v>0</v>
      </c>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row>
    <row r="27" spans="1:65" ht="150" customHeight="1" x14ac:dyDescent="0.25">
      <c r="A27" s="11">
        <v>2013</v>
      </c>
      <c r="B27" s="11">
        <v>-1</v>
      </c>
      <c r="C27" s="11" t="str">
        <f t="shared" si="3"/>
        <v>Putting</v>
      </c>
      <c r="D27" s="11" t="s">
        <v>181</v>
      </c>
      <c r="E27" s="42"/>
      <c r="F27" s="42"/>
      <c r="G27" s="151"/>
      <c r="H27" s="329">
        <v>5</v>
      </c>
      <c r="I27" s="14">
        <v>1</v>
      </c>
      <c r="J27" s="55" t="str">
        <f t="shared" si="0"/>
        <v>PuttingDrill15Putting 9</v>
      </c>
      <c r="K27" s="58" t="s">
        <v>184</v>
      </c>
      <c r="L27" s="57" t="s">
        <v>185</v>
      </c>
      <c r="M27" s="13"/>
      <c r="N27" s="90"/>
      <c r="O27" s="52"/>
      <c r="P27" s="14"/>
      <c r="Q27" s="35"/>
      <c r="R27" s="13"/>
      <c r="S27" s="35"/>
      <c r="T27" s="12"/>
      <c r="U27" s="54" t="str">
        <f t="shared" si="1"/>
        <v/>
      </c>
      <c r="V27" s="54"/>
      <c r="W27" s="81">
        <f t="shared" si="2"/>
        <v>0</v>
      </c>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row>
    <row r="28" spans="1:65" ht="150" customHeight="1" x14ac:dyDescent="0.25">
      <c r="A28" s="11">
        <v>2014</v>
      </c>
      <c r="B28" s="11">
        <v>-1</v>
      </c>
      <c r="C28" s="11" t="str">
        <f t="shared" si="3"/>
        <v>Putting</v>
      </c>
      <c r="D28" s="11" t="s">
        <v>181</v>
      </c>
      <c r="E28" s="42"/>
      <c r="F28" s="42"/>
      <c r="G28" s="151"/>
      <c r="H28" s="329">
        <v>10</v>
      </c>
      <c r="I28" s="14">
        <v>1</v>
      </c>
      <c r="J28" s="55" t="str">
        <f t="shared" si="0"/>
        <v>PuttingDrill110Putting 60</v>
      </c>
      <c r="K28" s="58" t="s">
        <v>186</v>
      </c>
      <c r="L28" s="57" t="s">
        <v>187</v>
      </c>
      <c r="M28" s="13"/>
      <c r="N28" s="90"/>
      <c r="O28" s="52"/>
      <c r="P28" s="14"/>
      <c r="Q28" s="35"/>
      <c r="R28" s="13"/>
      <c r="S28" s="35"/>
      <c r="T28" s="12"/>
      <c r="U28" s="54">
        <f t="shared" si="1"/>
        <v>20</v>
      </c>
      <c r="V28" s="54"/>
      <c r="W28" s="81">
        <f t="shared" si="2"/>
        <v>59</v>
      </c>
      <c r="X28" s="11">
        <v>59</v>
      </c>
      <c r="Y28" s="11">
        <v>58</v>
      </c>
      <c r="Z28" s="11">
        <v>57</v>
      </c>
      <c r="AA28" s="11">
        <v>56</v>
      </c>
      <c r="AB28" s="11">
        <v>55</v>
      </c>
      <c r="AC28" s="11">
        <v>54</v>
      </c>
      <c r="AD28" s="11">
        <v>53</v>
      </c>
      <c r="AE28" s="11">
        <v>52</v>
      </c>
      <c r="AF28" s="11">
        <v>51</v>
      </c>
      <c r="AG28" s="11">
        <v>50</v>
      </c>
      <c r="AH28" s="11">
        <v>49</v>
      </c>
      <c r="AI28" s="11">
        <v>48</v>
      </c>
      <c r="AJ28" s="11">
        <v>47</v>
      </c>
      <c r="AK28" s="11">
        <v>46</v>
      </c>
      <c r="AL28" s="11">
        <v>45</v>
      </c>
      <c r="AM28" s="11">
        <v>44</v>
      </c>
      <c r="AN28" s="11">
        <v>43</v>
      </c>
      <c r="AO28" s="11">
        <v>42</v>
      </c>
      <c r="AP28" s="11">
        <v>41</v>
      </c>
      <c r="AQ28" s="11">
        <v>40</v>
      </c>
      <c r="AR28" s="11">
        <v>39</v>
      </c>
      <c r="AS28" s="11">
        <v>38</v>
      </c>
      <c r="AT28" s="11">
        <v>37</v>
      </c>
      <c r="AU28" s="11">
        <v>36</v>
      </c>
      <c r="AV28" s="11">
        <v>35</v>
      </c>
      <c r="AW28" s="11">
        <v>34</v>
      </c>
      <c r="AX28" s="11">
        <v>33</v>
      </c>
      <c r="AY28" s="11">
        <v>32</v>
      </c>
      <c r="AZ28" s="11">
        <v>31</v>
      </c>
      <c r="BA28" s="11">
        <v>30</v>
      </c>
      <c r="BB28" s="11">
        <v>29</v>
      </c>
      <c r="BC28" s="11">
        <v>28</v>
      </c>
      <c r="BD28" s="11">
        <v>27</v>
      </c>
      <c r="BE28" s="11">
        <v>26</v>
      </c>
      <c r="BF28" s="11">
        <v>25</v>
      </c>
      <c r="BG28" s="11">
        <v>24</v>
      </c>
      <c r="BH28" s="11">
        <v>23</v>
      </c>
      <c r="BI28" s="11">
        <v>22</v>
      </c>
      <c r="BJ28" s="11">
        <v>21</v>
      </c>
      <c r="BK28" s="11">
        <v>20</v>
      </c>
      <c r="BL28" s="11">
        <v>19</v>
      </c>
      <c r="BM28" s="11">
        <v>18</v>
      </c>
    </row>
    <row r="29" spans="1:65" ht="150" customHeight="1" x14ac:dyDescent="0.25">
      <c r="A29" s="11">
        <v>2015</v>
      </c>
      <c r="B29" s="11">
        <v>1</v>
      </c>
      <c r="C29" s="11" t="str">
        <f t="shared" si="3"/>
        <v>Putting</v>
      </c>
      <c r="D29" s="11" t="s">
        <v>1147</v>
      </c>
      <c r="E29" s="42"/>
      <c r="F29" s="42"/>
      <c r="G29" s="151" t="s">
        <v>861</v>
      </c>
      <c r="H29" s="329">
        <v>10</v>
      </c>
      <c r="I29" s="14">
        <v>1</v>
      </c>
      <c r="J29" s="55" t="str">
        <f t="shared" si="0"/>
        <v>PuttingBEST110Putt Distance 60</v>
      </c>
      <c r="K29" s="58" t="s">
        <v>991</v>
      </c>
      <c r="L29" s="57" t="s">
        <v>992</v>
      </c>
      <c r="M29" s="13"/>
      <c r="N29" s="90"/>
      <c r="O29" s="52"/>
      <c r="P29" s="14"/>
      <c r="Q29" s="35"/>
      <c r="R29" s="13"/>
      <c r="S29" s="35"/>
      <c r="T29" s="12"/>
      <c r="U29" s="54">
        <f t="shared" si="1"/>
        <v>30</v>
      </c>
      <c r="V29" s="54"/>
      <c r="W29" s="81">
        <f t="shared" si="2"/>
        <v>50</v>
      </c>
      <c r="X29" s="85">
        <v>50</v>
      </c>
      <c r="Y29" s="42">
        <v>49.5</v>
      </c>
      <c r="Z29" s="42">
        <v>49</v>
      </c>
      <c r="AA29" s="42">
        <v>48.5</v>
      </c>
      <c r="AB29" s="42">
        <v>48</v>
      </c>
      <c r="AC29" s="42">
        <v>47.5</v>
      </c>
      <c r="AD29" s="42">
        <v>47</v>
      </c>
      <c r="AE29" s="42">
        <v>46.5</v>
      </c>
      <c r="AF29" s="42">
        <v>46</v>
      </c>
      <c r="AG29" s="42">
        <v>45.5</v>
      </c>
      <c r="AH29" s="42">
        <v>45</v>
      </c>
      <c r="AI29" s="42">
        <v>44.5</v>
      </c>
      <c r="AJ29" s="42">
        <v>44</v>
      </c>
      <c r="AK29" s="42">
        <v>43.5</v>
      </c>
      <c r="AL29" s="42">
        <v>43</v>
      </c>
      <c r="AM29" s="42">
        <v>42.5</v>
      </c>
      <c r="AN29" s="85">
        <v>42</v>
      </c>
      <c r="AO29" s="42">
        <v>41.5</v>
      </c>
      <c r="AP29" s="42">
        <v>41</v>
      </c>
      <c r="AQ29" s="42">
        <v>40.5</v>
      </c>
      <c r="AR29" s="42">
        <v>40</v>
      </c>
      <c r="AS29" s="42">
        <v>39.5</v>
      </c>
      <c r="AT29" s="42">
        <v>39</v>
      </c>
      <c r="AU29" s="42">
        <v>38.5</v>
      </c>
      <c r="AV29" s="42">
        <v>38</v>
      </c>
      <c r="AW29" s="42">
        <v>37.5</v>
      </c>
      <c r="AX29" s="42">
        <v>37</v>
      </c>
      <c r="AY29" s="42">
        <v>36.5</v>
      </c>
      <c r="AZ29" s="42">
        <v>36</v>
      </c>
      <c r="BA29" s="42">
        <v>35.5</v>
      </c>
      <c r="BB29" s="42">
        <v>35</v>
      </c>
      <c r="BC29" s="42">
        <v>34.5</v>
      </c>
      <c r="BD29" s="42">
        <v>34</v>
      </c>
      <c r="BE29" s="42">
        <v>33.5</v>
      </c>
      <c r="BF29" s="42">
        <v>33</v>
      </c>
      <c r="BG29" s="42">
        <v>32.5</v>
      </c>
      <c r="BH29" s="42">
        <v>32</v>
      </c>
      <c r="BI29" s="42">
        <v>31.5</v>
      </c>
      <c r="BJ29" s="42">
        <v>31</v>
      </c>
      <c r="BK29" s="42">
        <v>30.5</v>
      </c>
      <c r="BL29" s="42">
        <v>30</v>
      </c>
      <c r="BM29" s="42">
        <v>29.5</v>
      </c>
    </row>
    <row r="30" spans="1:65" ht="150" customHeight="1" x14ac:dyDescent="0.25">
      <c r="A30" s="11">
        <v>2016</v>
      </c>
      <c r="B30" s="11">
        <v>-1</v>
      </c>
      <c r="C30" s="11" t="str">
        <f t="shared" si="3"/>
        <v>Putting</v>
      </c>
      <c r="D30" s="11" t="s">
        <v>98</v>
      </c>
      <c r="E30" s="42"/>
      <c r="F30" s="42"/>
      <c r="G30" s="151" t="s">
        <v>480</v>
      </c>
      <c r="H30" s="329">
        <v>8</v>
      </c>
      <c r="I30" s="14">
        <v>1</v>
      </c>
      <c r="J30" s="55" t="str">
        <f t="shared" si="0"/>
        <v>PuttingChallenge18Pressure Putting</v>
      </c>
      <c r="K30" s="58" t="s">
        <v>189</v>
      </c>
      <c r="L30" s="57" t="s">
        <v>190</v>
      </c>
      <c r="M30" s="13"/>
      <c r="N30" s="90"/>
      <c r="O30" s="52"/>
      <c r="P30" s="14"/>
      <c r="Q30" s="35"/>
      <c r="R30" s="13"/>
      <c r="S30" s="35"/>
      <c r="T30" s="12"/>
      <c r="U30" s="54" t="str">
        <f t="shared" si="1"/>
        <v/>
      </c>
      <c r="V30" s="54"/>
      <c r="W30" s="81">
        <f t="shared" si="2"/>
        <v>0</v>
      </c>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row>
    <row r="31" spans="1:65" ht="150" customHeight="1" x14ac:dyDescent="0.25">
      <c r="A31" s="11">
        <v>2017</v>
      </c>
      <c r="B31" s="11">
        <v>-1</v>
      </c>
      <c r="C31" s="11" t="str">
        <f t="shared" si="3"/>
        <v>Putting</v>
      </c>
      <c r="D31" s="11" t="s">
        <v>98</v>
      </c>
      <c r="E31" s="42"/>
      <c r="F31" s="42"/>
      <c r="G31" s="151" t="s">
        <v>484</v>
      </c>
      <c r="H31" s="329">
        <v>15</v>
      </c>
      <c r="I31" s="14">
        <v>1</v>
      </c>
      <c r="J31" s="55" t="str">
        <f t="shared" si="0"/>
        <v>PuttingChallenge115Pressure Putting  until target points</v>
      </c>
      <c r="K31" s="58" t="s">
        <v>646</v>
      </c>
      <c r="L31" s="57" t="s">
        <v>191</v>
      </c>
      <c r="M31" s="13"/>
      <c r="N31" s="90"/>
      <c r="O31" s="52"/>
      <c r="P31" s="14"/>
      <c r="Q31" s="35"/>
      <c r="R31" s="13"/>
      <c r="S31" s="35"/>
      <c r="T31" s="12"/>
      <c r="U31" s="54">
        <f t="shared" si="1"/>
        <v>18</v>
      </c>
      <c r="V31" s="54"/>
      <c r="W31" s="81">
        <f t="shared" si="2"/>
        <v>40</v>
      </c>
      <c r="X31" s="85">
        <v>40</v>
      </c>
      <c r="Y31" s="42">
        <f t="shared" ref="Y31:AM31" si="4">X31-($X31-$AN31)/16</f>
        <v>39.375</v>
      </c>
      <c r="Z31" s="42">
        <f t="shared" si="4"/>
        <v>38.75</v>
      </c>
      <c r="AA31" s="42">
        <f t="shared" si="4"/>
        <v>38.125</v>
      </c>
      <c r="AB31" s="42">
        <f t="shared" si="4"/>
        <v>37.5</v>
      </c>
      <c r="AC31" s="42">
        <f t="shared" si="4"/>
        <v>36.875</v>
      </c>
      <c r="AD31" s="42">
        <f t="shared" si="4"/>
        <v>36.25</v>
      </c>
      <c r="AE31" s="42">
        <f t="shared" si="4"/>
        <v>35.625</v>
      </c>
      <c r="AF31" s="42">
        <f t="shared" si="4"/>
        <v>35</v>
      </c>
      <c r="AG31" s="42">
        <f t="shared" si="4"/>
        <v>34.375</v>
      </c>
      <c r="AH31" s="42">
        <f t="shared" si="4"/>
        <v>33.75</v>
      </c>
      <c r="AI31" s="42">
        <f t="shared" si="4"/>
        <v>33.125</v>
      </c>
      <c r="AJ31" s="42">
        <f t="shared" si="4"/>
        <v>32.5</v>
      </c>
      <c r="AK31" s="42">
        <f t="shared" si="4"/>
        <v>31.875</v>
      </c>
      <c r="AL31" s="42">
        <f t="shared" si="4"/>
        <v>31.25</v>
      </c>
      <c r="AM31" s="42">
        <f t="shared" si="4"/>
        <v>30.625</v>
      </c>
      <c r="AN31" s="85">
        <v>30</v>
      </c>
      <c r="AO31" s="42">
        <f t="shared" ref="AO31:BM31" si="5">AN31-0.5</f>
        <v>29.5</v>
      </c>
      <c r="AP31" s="42">
        <f t="shared" si="5"/>
        <v>29</v>
      </c>
      <c r="AQ31" s="42">
        <f t="shared" si="5"/>
        <v>28.5</v>
      </c>
      <c r="AR31" s="42">
        <f t="shared" si="5"/>
        <v>28</v>
      </c>
      <c r="AS31" s="42">
        <f t="shared" si="5"/>
        <v>27.5</v>
      </c>
      <c r="AT31" s="42">
        <f t="shared" si="5"/>
        <v>27</v>
      </c>
      <c r="AU31" s="42">
        <f t="shared" si="5"/>
        <v>26.5</v>
      </c>
      <c r="AV31" s="42">
        <f t="shared" si="5"/>
        <v>26</v>
      </c>
      <c r="AW31" s="42">
        <f t="shared" si="5"/>
        <v>25.5</v>
      </c>
      <c r="AX31" s="42">
        <f t="shared" si="5"/>
        <v>25</v>
      </c>
      <c r="AY31" s="42">
        <f t="shared" si="5"/>
        <v>24.5</v>
      </c>
      <c r="AZ31" s="42">
        <f t="shared" si="5"/>
        <v>24</v>
      </c>
      <c r="BA31" s="42">
        <f t="shared" si="5"/>
        <v>23.5</v>
      </c>
      <c r="BB31" s="42">
        <f t="shared" si="5"/>
        <v>23</v>
      </c>
      <c r="BC31" s="42">
        <f t="shared" si="5"/>
        <v>22.5</v>
      </c>
      <c r="BD31" s="42">
        <f t="shared" si="5"/>
        <v>22</v>
      </c>
      <c r="BE31" s="42">
        <f t="shared" si="5"/>
        <v>21.5</v>
      </c>
      <c r="BF31" s="42">
        <f t="shared" si="5"/>
        <v>21</v>
      </c>
      <c r="BG31" s="42">
        <f t="shared" si="5"/>
        <v>20.5</v>
      </c>
      <c r="BH31" s="42">
        <f t="shared" si="5"/>
        <v>20</v>
      </c>
      <c r="BI31" s="42">
        <f t="shared" si="5"/>
        <v>19.5</v>
      </c>
      <c r="BJ31" s="42">
        <f t="shared" si="5"/>
        <v>19</v>
      </c>
      <c r="BK31" s="42">
        <f t="shared" si="5"/>
        <v>18.5</v>
      </c>
      <c r="BL31" s="42">
        <f t="shared" si="5"/>
        <v>18</v>
      </c>
      <c r="BM31" s="42">
        <f t="shared" si="5"/>
        <v>17.5</v>
      </c>
    </row>
    <row r="32" spans="1:65" ht="150" customHeight="1" x14ac:dyDescent="0.25">
      <c r="A32" s="11">
        <v>2018</v>
      </c>
      <c r="B32" s="11">
        <v>-1</v>
      </c>
      <c r="C32" s="11" t="str">
        <f t="shared" si="3"/>
        <v>Putting</v>
      </c>
      <c r="D32" s="11" t="s">
        <v>98</v>
      </c>
      <c r="E32" s="42"/>
      <c r="F32" s="42"/>
      <c r="G32" s="151" t="s">
        <v>485</v>
      </c>
      <c r="H32" s="329">
        <v>8</v>
      </c>
      <c r="I32" s="14">
        <v>1</v>
      </c>
      <c r="J32" s="55" t="str">
        <f t="shared" si="0"/>
        <v>PuttingChallenge18Pressure Putting</v>
      </c>
      <c r="K32" s="58" t="s">
        <v>189</v>
      </c>
      <c r="L32" s="57" t="s">
        <v>470</v>
      </c>
      <c r="M32" s="13"/>
      <c r="N32" s="90"/>
      <c r="O32" s="52"/>
      <c r="P32" s="14"/>
      <c r="Q32" s="35"/>
      <c r="R32" s="13"/>
      <c r="S32" s="35"/>
      <c r="T32" s="12"/>
      <c r="U32" s="54">
        <f t="shared" si="1"/>
        <v>7</v>
      </c>
      <c r="V32" s="54"/>
      <c r="W32" s="81">
        <f t="shared" si="2"/>
        <v>20</v>
      </c>
      <c r="X32" s="85">
        <v>20</v>
      </c>
      <c r="Y32" s="50">
        <f t="shared" ref="Y32:AM32" si="6">X32-($X32-$AN32)/16</f>
        <v>19.625</v>
      </c>
      <c r="Z32" s="50">
        <f t="shared" si="6"/>
        <v>19.25</v>
      </c>
      <c r="AA32" s="50">
        <f t="shared" si="6"/>
        <v>18.875</v>
      </c>
      <c r="AB32" s="50">
        <f t="shared" si="6"/>
        <v>18.5</v>
      </c>
      <c r="AC32" s="50">
        <f t="shared" si="6"/>
        <v>18.125</v>
      </c>
      <c r="AD32" s="50">
        <f t="shared" si="6"/>
        <v>17.75</v>
      </c>
      <c r="AE32" s="50">
        <f t="shared" si="6"/>
        <v>17.375</v>
      </c>
      <c r="AF32" s="50">
        <f t="shared" si="6"/>
        <v>17</v>
      </c>
      <c r="AG32" s="50">
        <f t="shared" si="6"/>
        <v>16.625</v>
      </c>
      <c r="AH32" s="50">
        <f t="shared" si="6"/>
        <v>16.25</v>
      </c>
      <c r="AI32" s="50">
        <f t="shared" si="6"/>
        <v>15.875</v>
      </c>
      <c r="AJ32" s="50">
        <f t="shared" si="6"/>
        <v>15.5</v>
      </c>
      <c r="AK32" s="50">
        <f t="shared" si="6"/>
        <v>15.125</v>
      </c>
      <c r="AL32" s="50">
        <f t="shared" si="6"/>
        <v>14.75</v>
      </c>
      <c r="AM32" s="50">
        <f t="shared" si="6"/>
        <v>14.375</v>
      </c>
      <c r="AN32" s="85">
        <v>14</v>
      </c>
      <c r="AO32" s="50">
        <f t="shared" ref="AO32:BM32" si="7">AN32-0.3</f>
        <v>13.7</v>
      </c>
      <c r="AP32" s="50">
        <f t="shared" si="7"/>
        <v>13.399999999999999</v>
      </c>
      <c r="AQ32" s="50">
        <f t="shared" si="7"/>
        <v>13.099999999999998</v>
      </c>
      <c r="AR32" s="50">
        <f t="shared" si="7"/>
        <v>12.799999999999997</v>
      </c>
      <c r="AS32" s="50">
        <f t="shared" si="7"/>
        <v>12.499999999999996</v>
      </c>
      <c r="AT32" s="50">
        <f t="shared" si="7"/>
        <v>12.199999999999996</v>
      </c>
      <c r="AU32" s="50">
        <f t="shared" si="7"/>
        <v>11.899999999999995</v>
      </c>
      <c r="AV32" s="50">
        <f t="shared" si="7"/>
        <v>11.599999999999994</v>
      </c>
      <c r="AW32" s="50">
        <f t="shared" si="7"/>
        <v>11.299999999999994</v>
      </c>
      <c r="AX32" s="50">
        <f t="shared" si="7"/>
        <v>10.999999999999993</v>
      </c>
      <c r="AY32" s="50">
        <f t="shared" si="7"/>
        <v>10.699999999999992</v>
      </c>
      <c r="AZ32" s="50">
        <f t="shared" si="7"/>
        <v>10.399999999999991</v>
      </c>
      <c r="BA32" s="50">
        <f t="shared" si="7"/>
        <v>10.099999999999991</v>
      </c>
      <c r="BB32" s="50">
        <f t="shared" si="7"/>
        <v>9.7999999999999901</v>
      </c>
      <c r="BC32" s="50">
        <f t="shared" si="7"/>
        <v>9.4999999999999893</v>
      </c>
      <c r="BD32" s="50">
        <f t="shared" si="7"/>
        <v>9.1999999999999886</v>
      </c>
      <c r="BE32" s="50">
        <f t="shared" si="7"/>
        <v>8.8999999999999879</v>
      </c>
      <c r="BF32" s="50">
        <f t="shared" si="7"/>
        <v>8.5999999999999872</v>
      </c>
      <c r="BG32" s="50">
        <f t="shared" si="7"/>
        <v>8.2999999999999865</v>
      </c>
      <c r="BH32" s="50">
        <f t="shared" si="7"/>
        <v>7.9999999999999867</v>
      </c>
      <c r="BI32" s="50">
        <f t="shared" si="7"/>
        <v>7.6999999999999869</v>
      </c>
      <c r="BJ32" s="50">
        <f t="shared" si="7"/>
        <v>7.399999999999987</v>
      </c>
      <c r="BK32" s="50">
        <f t="shared" si="7"/>
        <v>7.0999999999999872</v>
      </c>
      <c r="BL32" s="50">
        <f t="shared" si="7"/>
        <v>6.7999999999999874</v>
      </c>
      <c r="BM32" s="50">
        <f t="shared" si="7"/>
        <v>6.4999999999999876</v>
      </c>
    </row>
    <row r="33" spans="1:65" ht="150" customHeight="1" x14ac:dyDescent="0.25">
      <c r="A33" s="11">
        <v>2019</v>
      </c>
      <c r="B33" s="11">
        <v>2</v>
      </c>
      <c r="C33" s="11" t="str">
        <f t="shared" si="3"/>
        <v>Putting</v>
      </c>
      <c r="D33" s="11" t="s">
        <v>181</v>
      </c>
      <c r="E33" s="42"/>
      <c r="F33" s="42"/>
      <c r="G33" s="151" t="s">
        <v>861</v>
      </c>
      <c r="H33" s="329">
        <v>5</v>
      </c>
      <c r="I33" s="14">
        <v>1</v>
      </c>
      <c r="J33" s="55" t="str">
        <f t="shared" si="0"/>
        <v>PuttingDrill15Putting Break to the right</v>
      </c>
      <c r="K33" s="58" t="s">
        <v>192</v>
      </c>
      <c r="L33" s="57" t="s">
        <v>195</v>
      </c>
      <c r="M33" s="13"/>
      <c r="N33" s="90"/>
      <c r="O33" s="52"/>
      <c r="P33" s="14"/>
      <c r="Q33" s="35"/>
      <c r="R33" s="13"/>
      <c r="S33" s="35"/>
      <c r="T33" s="12"/>
      <c r="U33" s="54">
        <f t="shared" si="1"/>
        <v>1</v>
      </c>
      <c r="V33" s="54"/>
      <c r="W33" s="81">
        <f t="shared" si="2"/>
        <v>9</v>
      </c>
      <c r="X33" s="85">
        <v>9</v>
      </c>
      <c r="Y33" s="50">
        <f t="shared" ref="Y33:AM33" si="8">X33-($X33-$AN33)/16</f>
        <v>8.75</v>
      </c>
      <c r="Z33" s="50">
        <f t="shared" si="8"/>
        <v>8.5</v>
      </c>
      <c r="AA33" s="50">
        <f t="shared" si="8"/>
        <v>8.25</v>
      </c>
      <c r="AB33" s="50">
        <f t="shared" si="8"/>
        <v>8</v>
      </c>
      <c r="AC33" s="50">
        <f t="shared" si="8"/>
        <v>7.75</v>
      </c>
      <c r="AD33" s="50">
        <f t="shared" si="8"/>
        <v>7.5</v>
      </c>
      <c r="AE33" s="50">
        <f t="shared" si="8"/>
        <v>7.25</v>
      </c>
      <c r="AF33" s="50">
        <f t="shared" si="8"/>
        <v>7</v>
      </c>
      <c r="AG33" s="50">
        <f t="shared" si="8"/>
        <v>6.75</v>
      </c>
      <c r="AH33" s="50">
        <f t="shared" si="8"/>
        <v>6.5</v>
      </c>
      <c r="AI33" s="50">
        <f t="shared" si="8"/>
        <v>6.25</v>
      </c>
      <c r="AJ33" s="50">
        <f t="shared" si="8"/>
        <v>6</v>
      </c>
      <c r="AK33" s="50">
        <f t="shared" si="8"/>
        <v>5.75</v>
      </c>
      <c r="AL33" s="50">
        <f t="shared" si="8"/>
        <v>5.5</v>
      </c>
      <c r="AM33" s="50">
        <f t="shared" si="8"/>
        <v>5.25</v>
      </c>
      <c r="AN33" s="85">
        <v>5</v>
      </c>
      <c r="AO33" s="50">
        <f t="shared" ref="AO33:BL33" si="9">AN33-($AN$33-$BM$33)/25</f>
        <v>4.84</v>
      </c>
      <c r="AP33" s="50">
        <f t="shared" si="9"/>
        <v>4.68</v>
      </c>
      <c r="AQ33" s="50">
        <f t="shared" si="9"/>
        <v>4.5199999999999996</v>
      </c>
      <c r="AR33" s="50">
        <f t="shared" si="9"/>
        <v>4.3599999999999994</v>
      </c>
      <c r="AS33" s="50">
        <f t="shared" si="9"/>
        <v>4.1999999999999993</v>
      </c>
      <c r="AT33" s="50">
        <f t="shared" si="9"/>
        <v>4.0399999999999991</v>
      </c>
      <c r="AU33" s="50">
        <f t="shared" si="9"/>
        <v>3.879999999999999</v>
      </c>
      <c r="AV33" s="50">
        <f t="shared" si="9"/>
        <v>3.7199999999999989</v>
      </c>
      <c r="AW33" s="50">
        <f t="shared" si="9"/>
        <v>3.5599999999999987</v>
      </c>
      <c r="AX33" s="50">
        <f t="shared" si="9"/>
        <v>3.3999999999999986</v>
      </c>
      <c r="AY33" s="50">
        <f t="shared" si="9"/>
        <v>3.2399999999999984</v>
      </c>
      <c r="AZ33" s="50">
        <f t="shared" si="9"/>
        <v>3.0799999999999983</v>
      </c>
      <c r="BA33" s="50">
        <f t="shared" si="9"/>
        <v>2.9199999999999982</v>
      </c>
      <c r="BB33" s="50">
        <f t="shared" si="9"/>
        <v>2.759999999999998</v>
      </c>
      <c r="BC33" s="50">
        <f t="shared" si="9"/>
        <v>2.5999999999999979</v>
      </c>
      <c r="BD33" s="50">
        <f t="shared" si="9"/>
        <v>2.4399999999999977</v>
      </c>
      <c r="BE33" s="50">
        <f t="shared" si="9"/>
        <v>2.2799999999999976</v>
      </c>
      <c r="BF33" s="50">
        <f t="shared" si="9"/>
        <v>2.1199999999999974</v>
      </c>
      <c r="BG33" s="50">
        <f t="shared" si="9"/>
        <v>1.9599999999999975</v>
      </c>
      <c r="BH33" s="50">
        <f t="shared" si="9"/>
        <v>1.7999999999999976</v>
      </c>
      <c r="BI33" s="50">
        <f t="shared" si="9"/>
        <v>1.6399999999999977</v>
      </c>
      <c r="BJ33" s="50">
        <f t="shared" si="9"/>
        <v>1.4799999999999978</v>
      </c>
      <c r="BK33" s="50">
        <f t="shared" si="9"/>
        <v>1.3199999999999978</v>
      </c>
      <c r="BL33" s="50">
        <f t="shared" si="9"/>
        <v>1.1599999999999979</v>
      </c>
      <c r="BM33" s="51">
        <v>1</v>
      </c>
    </row>
    <row r="34" spans="1:65" ht="150" customHeight="1" x14ac:dyDescent="0.25">
      <c r="A34" s="11">
        <v>2020</v>
      </c>
      <c r="B34" s="11">
        <v>2</v>
      </c>
      <c r="C34" s="11" t="str">
        <f t="shared" si="3"/>
        <v>Putting</v>
      </c>
      <c r="D34" s="11" t="s">
        <v>51</v>
      </c>
      <c r="E34" s="42"/>
      <c r="F34" s="42"/>
      <c r="G34" s="151" t="s">
        <v>861</v>
      </c>
      <c r="H34" s="329">
        <v>5</v>
      </c>
      <c r="I34" s="14">
        <v>1</v>
      </c>
      <c r="J34" s="55" t="str">
        <f t="shared" si="0"/>
        <v>PuttingTest15Putting Break to the left</v>
      </c>
      <c r="K34" s="58" t="s">
        <v>193</v>
      </c>
      <c r="L34" s="57" t="s">
        <v>194</v>
      </c>
      <c r="M34" s="13"/>
      <c r="N34" s="90"/>
      <c r="O34" s="52"/>
      <c r="P34" s="14"/>
      <c r="Q34" s="35"/>
      <c r="R34" s="13"/>
      <c r="S34" s="35"/>
      <c r="T34" s="12"/>
      <c r="U34" s="54">
        <f t="shared" si="1"/>
        <v>1</v>
      </c>
      <c r="V34" s="54"/>
      <c r="W34" s="81">
        <f t="shared" si="2"/>
        <v>9</v>
      </c>
      <c r="X34" s="85">
        <v>9</v>
      </c>
      <c r="Y34" s="50">
        <f t="shared" ref="Y34:AM34" si="10">X34-($X34-$AN34)/16</f>
        <v>8.75</v>
      </c>
      <c r="Z34" s="50">
        <f t="shared" si="10"/>
        <v>8.5</v>
      </c>
      <c r="AA34" s="50">
        <f t="shared" si="10"/>
        <v>8.25</v>
      </c>
      <c r="AB34" s="50">
        <f t="shared" si="10"/>
        <v>8</v>
      </c>
      <c r="AC34" s="50">
        <f t="shared" si="10"/>
        <v>7.75</v>
      </c>
      <c r="AD34" s="50">
        <f t="shared" si="10"/>
        <v>7.5</v>
      </c>
      <c r="AE34" s="50">
        <f t="shared" si="10"/>
        <v>7.25</v>
      </c>
      <c r="AF34" s="50">
        <f t="shared" si="10"/>
        <v>7</v>
      </c>
      <c r="AG34" s="50">
        <f t="shared" si="10"/>
        <v>6.75</v>
      </c>
      <c r="AH34" s="50">
        <f t="shared" si="10"/>
        <v>6.5</v>
      </c>
      <c r="AI34" s="50">
        <f t="shared" si="10"/>
        <v>6.25</v>
      </c>
      <c r="AJ34" s="50">
        <f t="shared" si="10"/>
        <v>6</v>
      </c>
      <c r="AK34" s="50">
        <f t="shared" si="10"/>
        <v>5.75</v>
      </c>
      <c r="AL34" s="50">
        <f t="shared" si="10"/>
        <v>5.5</v>
      </c>
      <c r="AM34" s="50">
        <f t="shared" si="10"/>
        <v>5.25</v>
      </c>
      <c r="AN34" s="85">
        <v>5</v>
      </c>
      <c r="AO34" s="50">
        <f t="shared" ref="AO34:BL34" si="11">AN34-($AN$33-$BM$33)/25</f>
        <v>4.84</v>
      </c>
      <c r="AP34" s="50">
        <f t="shared" si="11"/>
        <v>4.68</v>
      </c>
      <c r="AQ34" s="50">
        <f t="shared" si="11"/>
        <v>4.5199999999999996</v>
      </c>
      <c r="AR34" s="50">
        <f t="shared" si="11"/>
        <v>4.3599999999999994</v>
      </c>
      <c r="AS34" s="50">
        <f t="shared" si="11"/>
        <v>4.1999999999999993</v>
      </c>
      <c r="AT34" s="50">
        <f t="shared" si="11"/>
        <v>4.0399999999999991</v>
      </c>
      <c r="AU34" s="50">
        <f t="shared" si="11"/>
        <v>3.879999999999999</v>
      </c>
      <c r="AV34" s="50">
        <f t="shared" si="11"/>
        <v>3.7199999999999989</v>
      </c>
      <c r="AW34" s="50">
        <f t="shared" si="11"/>
        <v>3.5599999999999987</v>
      </c>
      <c r="AX34" s="50">
        <f t="shared" si="11"/>
        <v>3.3999999999999986</v>
      </c>
      <c r="AY34" s="50">
        <f t="shared" si="11"/>
        <v>3.2399999999999984</v>
      </c>
      <c r="AZ34" s="50">
        <f t="shared" si="11"/>
        <v>3.0799999999999983</v>
      </c>
      <c r="BA34" s="50">
        <f t="shared" si="11"/>
        <v>2.9199999999999982</v>
      </c>
      <c r="BB34" s="50">
        <f t="shared" si="11"/>
        <v>2.759999999999998</v>
      </c>
      <c r="BC34" s="50">
        <f t="shared" si="11"/>
        <v>2.5999999999999979</v>
      </c>
      <c r="BD34" s="50">
        <f t="shared" si="11"/>
        <v>2.4399999999999977</v>
      </c>
      <c r="BE34" s="50">
        <f t="shared" si="11"/>
        <v>2.2799999999999976</v>
      </c>
      <c r="BF34" s="50">
        <f t="shared" si="11"/>
        <v>2.1199999999999974</v>
      </c>
      <c r="BG34" s="50">
        <f t="shared" si="11"/>
        <v>1.9599999999999975</v>
      </c>
      <c r="BH34" s="50">
        <f t="shared" si="11"/>
        <v>1.7999999999999976</v>
      </c>
      <c r="BI34" s="50">
        <f t="shared" si="11"/>
        <v>1.6399999999999977</v>
      </c>
      <c r="BJ34" s="50">
        <f t="shared" si="11"/>
        <v>1.4799999999999978</v>
      </c>
      <c r="BK34" s="50">
        <f t="shared" si="11"/>
        <v>1.3199999999999978</v>
      </c>
      <c r="BL34" s="50">
        <f t="shared" si="11"/>
        <v>1.1599999999999979</v>
      </c>
      <c r="BM34" s="51">
        <v>1</v>
      </c>
    </row>
    <row r="35" spans="1:65" ht="150" customHeight="1" x14ac:dyDescent="0.25">
      <c r="A35" s="11">
        <v>2021</v>
      </c>
      <c r="B35" s="11">
        <v>2</v>
      </c>
      <c r="C35" s="11" t="str">
        <f t="shared" si="3"/>
        <v>Putting</v>
      </c>
      <c r="D35" s="11" t="s">
        <v>51</v>
      </c>
      <c r="E35" s="42"/>
      <c r="F35" s="42"/>
      <c r="G35" s="151" t="s">
        <v>861</v>
      </c>
      <c r="H35" s="329">
        <v>5</v>
      </c>
      <c r="I35" s="14">
        <v>1</v>
      </c>
      <c r="J35" s="55" t="str">
        <f t="shared" si="0"/>
        <v>PuttingTest15Tour Length Control</v>
      </c>
      <c r="K35" s="58" t="s">
        <v>196</v>
      </c>
      <c r="L35" s="57" t="s">
        <v>243</v>
      </c>
      <c r="M35" s="13"/>
      <c r="N35" s="90"/>
      <c r="O35" s="52"/>
      <c r="P35" s="13"/>
      <c r="Q35" s="35"/>
      <c r="R35" s="13"/>
      <c r="S35" s="13"/>
      <c r="T35" s="12"/>
      <c r="U35" s="54">
        <f t="shared" si="1"/>
        <v>13</v>
      </c>
      <c r="V35" s="54"/>
      <c r="W35" s="81">
        <f t="shared" si="2"/>
        <v>20</v>
      </c>
      <c r="X35" s="85">
        <v>20</v>
      </c>
      <c r="Y35" s="50">
        <f t="shared" ref="Y35:AM35" si="12">X35-($X35-$AN35)/16</f>
        <v>19.8125</v>
      </c>
      <c r="Z35" s="50">
        <f t="shared" si="12"/>
        <v>19.625</v>
      </c>
      <c r="AA35" s="50">
        <f t="shared" si="12"/>
        <v>19.4375</v>
      </c>
      <c r="AB35" s="50">
        <f t="shared" si="12"/>
        <v>19.25</v>
      </c>
      <c r="AC35" s="50">
        <f t="shared" si="12"/>
        <v>19.0625</v>
      </c>
      <c r="AD35" s="50">
        <f t="shared" si="12"/>
        <v>18.875</v>
      </c>
      <c r="AE35" s="50">
        <f t="shared" si="12"/>
        <v>18.6875</v>
      </c>
      <c r="AF35" s="50">
        <f t="shared" si="12"/>
        <v>18.5</v>
      </c>
      <c r="AG35" s="50">
        <f t="shared" si="12"/>
        <v>18.3125</v>
      </c>
      <c r="AH35" s="50">
        <f t="shared" si="12"/>
        <v>18.125</v>
      </c>
      <c r="AI35" s="50">
        <f t="shared" si="12"/>
        <v>17.9375</v>
      </c>
      <c r="AJ35" s="50">
        <f t="shared" si="12"/>
        <v>17.75</v>
      </c>
      <c r="AK35" s="50">
        <f t="shared" si="12"/>
        <v>17.5625</v>
      </c>
      <c r="AL35" s="50">
        <f t="shared" si="12"/>
        <v>17.375</v>
      </c>
      <c r="AM35" s="50">
        <f t="shared" si="12"/>
        <v>17.1875</v>
      </c>
      <c r="AN35" s="85">
        <v>17</v>
      </c>
      <c r="AO35" s="50">
        <f t="shared" ref="AO35:BL35" si="13">AN35-($AN$33-$BM$33)/25</f>
        <v>16.84</v>
      </c>
      <c r="AP35" s="50">
        <f t="shared" si="13"/>
        <v>16.68</v>
      </c>
      <c r="AQ35" s="50">
        <f t="shared" si="13"/>
        <v>16.52</v>
      </c>
      <c r="AR35" s="50">
        <f t="shared" si="13"/>
        <v>16.36</v>
      </c>
      <c r="AS35" s="50">
        <f t="shared" si="13"/>
        <v>16.2</v>
      </c>
      <c r="AT35" s="50">
        <f t="shared" si="13"/>
        <v>16.04</v>
      </c>
      <c r="AU35" s="50">
        <f t="shared" si="13"/>
        <v>15.879999999999999</v>
      </c>
      <c r="AV35" s="50">
        <f t="shared" si="13"/>
        <v>15.719999999999999</v>
      </c>
      <c r="AW35" s="50">
        <f t="shared" si="13"/>
        <v>15.559999999999999</v>
      </c>
      <c r="AX35" s="50">
        <f t="shared" si="13"/>
        <v>15.399999999999999</v>
      </c>
      <c r="AY35" s="50">
        <f t="shared" si="13"/>
        <v>15.239999999999998</v>
      </c>
      <c r="AZ35" s="50">
        <f t="shared" si="13"/>
        <v>15.079999999999998</v>
      </c>
      <c r="BA35" s="50">
        <f t="shared" si="13"/>
        <v>14.919999999999998</v>
      </c>
      <c r="BB35" s="50">
        <f t="shared" si="13"/>
        <v>14.759999999999998</v>
      </c>
      <c r="BC35" s="50">
        <f t="shared" si="13"/>
        <v>14.599999999999998</v>
      </c>
      <c r="BD35" s="50">
        <f t="shared" si="13"/>
        <v>14.439999999999998</v>
      </c>
      <c r="BE35" s="50">
        <f t="shared" si="13"/>
        <v>14.279999999999998</v>
      </c>
      <c r="BF35" s="50">
        <f t="shared" si="13"/>
        <v>14.119999999999997</v>
      </c>
      <c r="BG35" s="50">
        <f t="shared" si="13"/>
        <v>13.959999999999997</v>
      </c>
      <c r="BH35" s="50">
        <f t="shared" si="13"/>
        <v>13.799999999999997</v>
      </c>
      <c r="BI35" s="50">
        <f t="shared" si="13"/>
        <v>13.639999999999997</v>
      </c>
      <c r="BJ35" s="50">
        <f t="shared" si="13"/>
        <v>13.479999999999997</v>
      </c>
      <c r="BK35" s="50">
        <f t="shared" si="13"/>
        <v>13.319999999999997</v>
      </c>
      <c r="BL35" s="50">
        <f t="shared" si="13"/>
        <v>13.159999999999997</v>
      </c>
      <c r="BM35" s="51">
        <v>12</v>
      </c>
    </row>
    <row r="36" spans="1:65" ht="150" customHeight="1" x14ac:dyDescent="0.25">
      <c r="A36" s="11">
        <v>2022</v>
      </c>
      <c r="B36" s="11">
        <v>2</v>
      </c>
      <c r="C36" s="11" t="str">
        <f t="shared" si="3"/>
        <v>Putting</v>
      </c>
      <c r="D36" s="11" t="s">
        <v>98</v>
      </c>
      <c r="E36" s="42"/>
      <c r="F36" s="42"/>
      <c r="G36" s="151" t="s">
        <v>478</v>
      </c>
      <c r="H36" s="329">
        <v>5</v>
      </c>
      <c r="I36" s="14">
        <v>1</v>
      </c>
      <c r="J36" s="55" t="str">
        <f t="shared" si="0"/>
        <v>PuttingChallenge15Short Distance  -  5 in a Row</v>
      </c>
      <c r="K36" s="58" t="s">
        <v>848</v>
      </c>
      <c r="L36" s="57" t="s">
        <v>197</v>
      </c>
      <c r="M36" s="13"/>
      <c r="N36" s="90"/>
      <c r="O36" s="52"/>
      <c r="P36" s="13"/>
      <c r="Q36" s="35"/>
      <c r="R36" s="13"/>
      <c r="S36" s="13"/>
      <c r="T36" s="12"/>
      <c r="U36" s="54" t="str">
        <f t="shared" si="1"/>
        <v/>
      </c>
      <c r="V36" s="54"/>
      <c r="W36" s="81">
        <f t="shared" si="2"/>
        <v>0</v>
      </c>
      <c r="X36" s="170"/>
      <c r="Y36" s="171"/>
      <c r="Z36" s="171"/>
      <c r="AA36" s="171"/>
      <c r="AB36" s="171"/>
      <c r="AC36" s="171"/>
      <c r="AD36" s="171"/>
      <c r="AE36" s="171"/>
      <c r="AF36" s="170"/>
      <c r="AG36" s="171"/>
      <c r="AH36" s="171"/>
      <c r="AI36" s="171"/>
      <c r="AJ36" s="171"/>
      <c r="AK36" s="171"/>
      <c r="AL36" s="171"/>
      <c r="AM36" s="171"/>
      <c r="AN36" s="170"/>
      <c r="AO36" s="171"/>
      <c r="AP36" s="171"/>
      <c r="AQ36" s="171"/>
      <c r="AR36" s="171"/>
      <c r="AS36" s="171"/>
      <c r="AT36" s="171"/>
      <c r="AU36" s="171"/>
      <c r="AV36" s="171"/>
      <c r="AW36" s="171"/>
      <c r="AX36" s="171"/>
      <c r="AY36" s="171"/>
      <c r="AZ36" s="171"/>
      <c r="BA36" s="171"/>
      <c r="BB36" s="171"/>
      <c r="BC36" s="171"/>
      <c r="BD36" s="171"/>
      <c r="BE36" s="171"/>
      <c r="BF36" s="171"/>
      <c r="BG36" s="171"/>
      <c r="BH36" s="171"/>
      <c r="BI36" s="171"/>
      <c r="BJ36" s="171"/>
      <c r="BK36" s="171"/>
      <c r="BL36" s="171"/>
      <c r="BM36" s="172"/>
    </row>
    <row r="37" spans="1:65" ht="150" customHeight="1" x14ac:dyDescent="0.25">
      <c r="A37" s="11">
        <v>2023</v>
      </c>
      <c r="B37" s="11">
        <v>2</v>
      </c>
      <c r="C37" s="11" t="str">
        <f t="shared" si="3"/>
        <v>Putting</v>
      </c>
      <c r="D37" s="11" t="s">
        <v>98</v>
      </c>
      <c r="E37" s="42"/>
      <c r="F37" s="42"/>
      <c r="G37" s="151" t="s">
        <v>480</v>
      </c>
      <c r="H37" s="329">
        <v>5</v>
      </c>
      <c r="I37" s="14">
        <v>1</v>
      </c>
      <c r="J37" s="55" t="str">
        <f t="shared" si="0"/>
        <v>PuttingChallenge15Mid Distances  -  10 in a Row</v>
      </c>
      <c r="K37" s="58" t="s">
        <v>851</v>
      </c>
      <c r="L37" s="57" t="s">
        <v>1617</v>
      </c>
      <c r="M37" s="13"/>
      <c r="N37" s="90"/>
      <c r="O37" s="52"/>
      <c r="P37" s="13"/>
      <c r="Q37" s="35"/>
      <c r="R37" s="13"/>
      <c r="S37" s="13"/>
      <c r="T37" s="12"/>
      <c r="U37" s="54">
        <f t="shared" si="1"/>
        <v>4</v>
      </c>
      <c r="V37" s="54"/>
      <c r="W37" s="81">
        <f t="shared" si="2"/>
        <v>10</v>
      </c>
      <c r="X37" s="170">
        <v>10</v>
      </c>
      <c r="Y37" s="173">
        <f t="shared" ref="Y37:AM37" si="14">X37-($X37-$AN37)/16</f>
        <v>9.875</v>
      </c>
      <c r="Z37" s="173">
        <f t="shared" si="14"/>
        <v>9.75</v>
      </c>
      <c r="AA37" s="173">
        <f t="shared" si="14"/>
        <v>9.625</v>
      </c>
      <c r="AB37" s="173">
        <f t="shared" si="14"/>
        <v>9.5</v>
      </c>
      <c r="AC37" s="173">
        <f t="shared" si="14"/>
        <v>9.375</v>
      </c>
      <c r="AD37" s="173">
        <f t="shared" si="14"/>
        <v>9.25</v>
      </c>
      <c r="AE37" s="173">
        <f t="shared" si="14"/>
        <v>9.125</v>
      </c>
      <c r="AF37" s="173">
        <f t="shared" si="14"/>
        <v>9</v>
      </c>
      <c r="AG37" s="173">
        <f t="shared" si="14"/>
        <v>8.875</v>
      </c>
      <c r="AH37" s="173">
        <f t="shared" si="14"/>
        <v>8.75</v>
      </c>
      <c r="AI37" s="173">
        <f t="shared" si="14"/>
        <v>8.625</v>
      </c>
      <c r="AJ37" s="173">
        <f t="shared" si="14"/>
        <v>8.5</v>
      </c>
      <c r="AK37" s="173">
        <f t="shared" si="14"/>
        <v>8.375</v>
      </c>
      <c r="AL37" s="173">
        <f t="shared" si="14"/>
        <v>8.25</v>
      </c>
      <c r="AM37" s="173">
        <f t="shared" si="14"/>
        <v>8.125</v>
      </c>
      <c r="AN37" s="170">
        <v>8</v>
      </c>
      <c r="AO37" s="173">
        <f t="shared" ref="AO37:BL37" si="15">AN37-($AN$33-$BM$33)/25</f>
        <v>7.84</v>
      </c>
      <c r="AP37" s="173">
        <f t="shared" si="15"/>
        <v>7.68</v>
      </c>
      <c r="AQ37" s="173">
        <f t="shared" si="15"/>
        <v>7.52</v>
      </c>
      <c r="AR37" s="173">
        <f t="shared" si="15"/>
        <v>7.3599999999999994</v>
      </c>
      <c r="AS37" s="173">
        <f t="shared" si="15"/>
        <v>7.1999999999999993</v>
      </c>
      <c r="AT37" s="173">
        <f t="shared" si="15"/>
        <v>7.0399999999999991</v>
      </c>
      <c r="AU37" s="173">
        <f t="shared" si="15"/>
        <v>6.879999999999999</v>
      </c>
      <c r="AV37" s="173">
        <f t="shared" si="15"/>
        <v>6.7199999999999989</v>
      </c>
      <c r="AW37" s="173">
        <f t="shared" si="15"/>
        <v>6.5599999999999987</v>
      </c>
      <c r="AX37" s="173">
        <f t="shared" si="15"/>
        <v>6.3999999999999986</v>
      </c>
      <c r="AY37" s="173">
        <f t="shared" si="15"/>
        <v>6.2399999999999984</v>
      </c>
      <c r="AZ37" s="173">
        <f t="shared" si="15"/>
        <v>6.0799999999999983</v>
      </c>
      <c r="BA37" s="173">
        <f t="shared" si="15"/>
        <v>5.9199999999999982</v>
      </c>
      <c r="BB37" s="173">
        <f t="shared" si="15"/>
        <v>5.759999999999998</v>
      </c>
      <c r="BC37" s="173">
        <f t="shared" si="15"/>
        <v>5.5999999999999979</v>
      </c>
      <c r="BD37" s="173">
        <f t="shared" si="15"/>
        <v>5.4399999999999977</v>
      </c>
      <c r="BE37" s="173">
        <f t="shared" si="15"/>
        <v>5.2799999999999976</v>
      </c>
      <c r="BF37" s="173">
        <f t="shared" si="15"/>
        <v>5.1199999999999974</v>
      </c>
      <c r="BG37" s="173">
        <f t="shared" si="15"/>
        <v>4.9599999999999973</v>
      </c>
      <c r="BH37" s="173">
        <f t="shared" si="15"/>
        <v>4.7999999999999972</v>
      </c>
      <c r="BI37" s="173">
        <f t="shared" si="15"/>
        <v>4.639999999999997</v>
      </c>
      <c r="BJ37" s="173">
        <f t="shared" si="15"/>
        <v>4.4799999999999969</v>
      </c>
      <c r="BK37" s="173">
        <f t="shared" si="15"/>
        <v>4.3199999999999967</v>
      </c>
      <c r="BL37" s="173">
        <f t="shared" si="15"/>
        <v>4.1599999999999966</v>
      </c>
      <c r="BM37" s="172">
        <v>2</v>
      </c>
    </row>
    <row r="38" spans="1:65" ht="150" customHeight="1" x14ac:dyDescent="0.25">
      <c r="A38" s="11">
        <v>2024</v>
      </c>
      <c r="B38" s="11">
        <v>2</v>
      </c>
      <c r="C38" s="11" t="str">
        <f t="shared" si="3"/>
        <v>Putting</v>
      </c>
      <c r="D38" s="11" t="s">
        <v>98</v>
      </c>
      <c r="E38" s="42"/>
      <c r="F38" s="42"/>
      <c r="G38" s="151" t="s">
        <v>480</v>
      </c>
      <c r="H38" s="329">
        <v>5</v>
      </c>
      <c r="I38" s="14">
        <v>1</v>
      </c>
      <c r="J38" s="55" t="str">
        <f t="shared" si="0"/>
        <v>PuttingChallenge15Long Distance  -  5 in a Row</v>
      </c>
      <c r="K38" s="58" t="s">
        <v>849</v>
      </c>
      <c r="L38" s="57" t="s">
        <v>850</v>
      </c>
      <c r="M38" s="13"/>
      <c r="N38" s="90"/>
      <c r="O38" s="52"/>
      <c r="P38" s="13"/>
      <c r="Q38" s="35"/>
      <c r="R38" s="13"/>
      <c r="S38" s="13"/>
      <c r="T38" s="12"/>
      <c r="U38" s="54">
        <f t="shared" si="1"/>
        <v>6</v>
      </c>
      <c r="V38" s="54"/>
      <c r="W38" s="81">
        <f t="shared" si="2"/>
        <v>7</v>
      </c>
      <c r="X38" s="170">
        <v>0</v>
      </c>
      <c r="Y38" s="171">
        <f t="shared" ref="Y38:AE38" si="16">X38+($AF38-$X38)/8</f>
        <v>0.125</v>
      </c>
      <c r="Z38" s="171">
        <f t="shared" si="16"/>
        <v>0.25</v>
      </c>
      <c r="AA38" s="171">
        <f t="shared" si="16"/>
        <v>0.375</v>
      </c>
      <c r="AB38" s="171">
        <f t="shared" si="16"/>
        <v>0.5</v>
      </c>
      <c r="AC38" s="171">
        <f t="shared" si="16"/>
        <v>0.625</v>
      </c>
      <c r="AD38" s="171">
        <f t="shared" si="16"/>
        <v>0.75</v>
      </c>
      <c r="AE38" s="171">
        <f t="shared" si="16"/>
        <v>0.875</v>
      </c>
      <c r="AF38" s="170">
        <v>1</v>
      </c>
      <c r="AG38" s="171">
        <f t="shared" ref="AG38:AM38" si="17">AF38+($AN38-$AF38)/9</f>
        <v>1.3333333333333333</v>
      </c>
      <c r="AH38" s="171">
        <f t="shared" si="17"/>
        <v>1.6666666666666665</v>
      </c>
      <c r="AI38" s="171">
        <f t="shared" si="17"/>
        <v>1.9999999999999998</v>
      </c>
      <c r="AJ38" s="171">
        <f t="shared" si="17"/>
        <v>2.333333333333333</v>
      </c>
      <c r="AK38" s="171">
        <f t="shared" si="17"/>
        <v>2.6666666666666665</v>
      </c>
      <c r="AL38" s="171">
        <f t="shared" si="17"/>
        <v>3</v>
      </c>
      <c r="AM38" s="171">
        <f t="shared" si="17"/>
        <v>3.3333333333333335</v>
      </c>
      <c r="AN38" s="170">
        <v>4</v>
      </c>
      <c r="AO38" s="171">
        <f t="shared" ref="AO38:BL38" si="18">AN38+($BM38-$AN38)/25</f>
        <v>4.12</v>
      </c>
      <c r="AP38" s="171">
        <f t="shared" si="18"/>
        <v>4.24</v>
      </c>
      <c r="AQ38" s="171">
        <f t="shared" si="18"/>
        <v>4.3600000000000003</v>
      </c>
      <c r="AR38" s="171">
        <f t="shared" si="18"/>
        <v>4.4800000000000004</v>
      </c>
      <c r="AS38" s="171">
        <f t="shared" si="18"/>
        <v>4.6000000000000005</v>
      </c>
      <c r="AT38" s="171">
        <f t="shared" si="18"/>
        <v>4.7200000000000006</v>
      </c>
      <c r="AU38" s="171">
        <f t="shared" si="18"/>
        <v>4.8400000000000007</v>
      </c>
      <c r="AV38" s="171">
        <f t="shared" si="18"/>
        <v>4.9600000000000009</v>
      </c>
      <c r="AW38" s="171">
        <f t="shared" si="18"/>
        <v>5.080000000000001</v>
      </c>
      <c r="AX38" s="171">
        <f t="shared" si="18"/>
        <v>5.2000000000000011</v>
      </c>
      <c r="AY38" s="171">
        <f t="shared" si="18"/>
        <v>5.3200000000000012</v>
      </c>
      <c r="AZ38" s="171">
        <f t="shared" si="18"/>
        <v>5.4400000000000013</v>
      </c>
      <c r="BA38" s="171">
        <f t="shared" si="18"/>
        <v>5.5600000000000014</v>
      </c>
      <c r="BB38" s="171">
        <f t="shared" si="18"/>
        <v>5.6800000000000015</v>
      </c>
      <c r="BC38" s="171">
        <f t="shared" si="18"/>
        <v>5.8000000000000016</v>
      </c>
      <c r="BD38" s="171">
        <f t="shared" si="18"/>
        <v>5.9200000000000017</v>
      </c>
      <c r="BE38" s="171">
        <f t="shared" si="18"/>
        <v>6.0400000000000018</v>
      </c>
      <c r="BF38" s="171">
        <f t="shared" si="18"/>
        <v>6.1600000000000019</v>
      </c>
      <c r="BG38" s="171">
        <f t="shared" si="18"/>
        <v>6.280000000000002</v>
      </c>
      <c r="BH38" s="171">
        <f t="shared" si="18"/>
        <v>6.4000000000000021</v>
      </c>
      <c r="BI38" s="171">
        <f t="shared" si="18"/>
        <v>6.5200000000000022</v>
      </c>
      <c r="BJ38" s="171">
        <f t="shared" si="18"/>
        <v>6.6400000000000023</v>
      </c>
      <c r="BK38" s="171">
        <f t="shared" si="18"/>
        <v>6.7600000000000025</v>
      </c>
      <c r="BL38" s="171">
        <f t="shared" si="18"/>
        <v>6.8800000000000026</v>
      </c>
      <c r="BM38" s="172">
        <v>7</v>
      </c>
    </row>
    <row r="39" spans="1:65" ht="150" customHeight="1" x14ac:dyDescent="0.25">
      <c r="A39" s="11">
        <v>2025</v>
      </c>
      <c r="B39" s="11">
        <v>-1</v>
      </c>
      <c r="C39" s="11" t="str">
        <f t="shared" si="3"/>
        <v>Putting</v>
      </c>
      <c r="D39" s="11" t="s">
        <v>98</v>
      </c>
      <c r="E39" s="42"/>
      <c r="F39" s="42"/>
      <c r="G39" s="151" t="s">
        <v>480</v>
      </c>
      <c r="H39" s="329">
        <v>5</v>
      </c>
      <c r="I39" s="14">
        <v>1</v>
      </c>
      <c r="J39" s="55" t="str">
        <f t="shared" si="0"/>
        <v>PuttingChallenge15Putting Circle 3-4-5-6 feet</v>
      </c>
      <c r="K39" s="58" t="s">
        <v>852</v>
      </c>
      <c r="L39" s="57" t="s">
        <v>855</v>
      </c>
      <c r="M39" s="13"/>
      <c r="N39" s="90"/>
      <c r="O39" s="52"/>
      <c r="P39" s="14" t="s">
        <v>101</v>
      </c>
      <c r="Q39" s="35" t="s">
        <v>102</v>
      </c>
      <c r="R39" s="13"/>
      <c r="S39" s="35" t="s">
        <v>103</v>
      </c>
      <c r="T39" s="12"/>
      <c r="U39" s="54" t="str">
        <f t="shared" si="1"/>
        <v/>
      </c>
      <c r="V39" s="54"/>
      <c r="W39" s="81">
        <f t="shared" si="2"/>
        <v>0</v>
      </c>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row>
    <row r="40" spans="1:65" ht="150" customHeight="1" x14ac:dyDescent="0.25">
      <c r="A40" s="11">
        <v>2026</v>
      </c>
      <c r="B40" s="11">
        <v>-1</v>
      </c>
      <c r="C40" s="11" t="str">
        <f t="shared" si="3"/>
        <v>Putting</v>
      </c>
      <c r="D40" s="11" t="s">
        <v>98</v>
      </c>
      <c r="E40" s="42"/>
      <c r="F40" s="42"/>
      <c r="G40" s="151" t="s">
        <v>484</v>
      </c>
      <c r="H40" s="329">
        <v>10</v>
      </c>
      <c r="I40" s="14">
        <v>1</v>
      </c>
      <c r="J40" s="55" t="str">
        <f t="shared" si="0"/>
        <v>PuttingChallenge110Putting Circle 3-4-5-6 feet</v>
      </c>
      <c r="K40" s="58" t="s">
        <v>852</v>
      </c>
      <c r="L40" s="57" t="s">
        <v>856</v>
      </c>
      <c r="M40" s="13"/>
      <c r="N40" s="90"/>
      <c r="O40" s="52"/>
      <c r="P40" s="13"/>
      <c r="Q40" s="35"/>
      <c r="R40" s="13"/>
      <c r="S40" s="13"/>
      <c r="T40" s="12"/>
      <c r="U40" s="54" t="str">
        <f t="shared" si="1"/>
        <v/>
      </c>
      <c r="V40" s="54"/>
      <c r="W40" s="81">
        <f t="shared" si="2"/>
        <v>0</v>
      </c>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row>
    <row r="41" spans="1:65" ht="150" customHeight="1" x14ac:dyDescent="0.25">
      <c r="A41" s="11">
        <v>2027</v>
      </c>
      <c r="B41" s="11">
        <v>-1</v>
      </c>
      <c r="C41" s="11" t="str">
        <f t="shared" si="3"/>
        <v>Putting</v>
      </c>
      <c r="D41" s="11" t="s">
        <v>98</v>
      </c>
      <c r="E41" s="42"/>
      <c r="F41" s="42"/>
      <c r="G41" s="151" t="s">
        <v>485</v>
      </c>
      <c r="H41" s="329">
        <v>10</v>
      </c>
      <c r="I41" s="14">
        <v>1</v>
      </c>
      <c r="J41" s="55" t="str">
        <f t="shared" si="0"/>
        <v>PuttingChallenge110Putting Circle 3-4-5-6 feet</v>
      </c>
      <c r="K41" s="58" t="s">
        <v>852</v>
      </c>
      <c r="L41" s="57" t="s">
        <v>854</v>
      </c>
      <c r="M41" s="13"/>
      <c r="N41" s="90"/>
      <c r="O41" s="52"/>
      <c r="P41" s="13"/>
      <c r="Q41" s="35"/>
      <c r="R41" s="13"/>
      <c r="S41" s="13"/>
      <c r="T41" s="12"/>
      <c r="U41" s="54" t="str">
        <f t="shared" si="1"/>
        <v/>
      </c>
      <c r="V41" s="54"/>
      <c r="W41" s="81">
        <f t="shared" si="2"/>
        <v>0</v>
      </c>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row>
    <row r="42" spans="1:65" ht="150" customHeight="1" x14ac:dyDescent="0.25">
      <c r="A42" s="11">
        <v>2028</v>
      </c>
      <c r="B42" s="11">
        <v>-1</v>
      </c>
      <c r="C42" s="11" t="str">
        <f t="shared" si="3"/>
        <v>Putting</v>
      </c>
      <c r="D42" s="11" t="s">
        <v>6</v>
      </c>
      <c r="E42" s="42"/>
      <c r="F42" s="42"/>
      <c r="G42" s="151" t="s">
        <v>861</v>
      </c>
      <c r="H42" s="328">
        <v>10</v>
      </c>
      <c r="I42" s="14" t="s">
        <v>710</v>
      </c>
      <c r="J42" s="55" t="str">
        <f t="shared" si="0"/>
        <v>PuttingGame2-many1050 points  Beginner</v>
      </c>
      <c r="K42" s="58" t="s">
        <v>664</v>
      </c>
      <c r="L42" s="57" t="s">
        <v>406</v>
      </c>
      <c r="M42" s="13"/>
      <c r="N42" s="90"/>
      <c r="O42" s="52"/>
      <c r="P42" s="13"/>
      <c r="Q42" s="35"/>
      <c r="R42" s="13"/>
      <c r="S42" s="13"/>
      <c r="T42" s="12"/>
      <c r="U42" s="54" t="str">
        <f t="shared" si="1"/>
        <v/>
      </c>
      <c r="V42" s="54"/>
      <c r="W42" s="81">
        <f t="shared" si="2"/>
        <v>0</v>
      </c>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row>
    <row r="43" spans="1:65" ht="150" customHeight="1" x14ac:dyDescent="0.25">
      <c r="A43" s="11">
        <v>2029</v>
      </c>
      <c r="B43" s="11">
        <v>-1</v>
      </c>
      <c r="C43" s="11" t="str">
        <f t="shared" si="3"/>
        <v>Putting</v>
      </c>
      <c r="D43" s="11" t="s">
        <v>6</v>
      </c>
      <c r="E43" s="42"/>
      <c r="F43" s="42"/>
      <c r="G43" s="151" t="s">
        <v>861</v>
      </c>
      <c r="H43" s="328">
        <v>10</v>
      </c>
      <c r="I43" s="14" t="s">
        <v>710</v>
      </c>
      <c r="J43" s="55" t="str">
        <f t="shared" si="0"/>
        <v>PuttingGame2-many1050 points  Intermediate</v>
      </c>
      <c r="K43" s="58" t="s">
        <v>665</v>
      </c>
      <c r="L43" s="57" t="s">
        <v>407</v>
      </c>
      <c r="M43" s="13"/>
      <c r="N43" s="90"/>
      <c r="O43" s="52"/>
      <c r="P43" s="13"/>
      <c r="Q43" s="35"/>
      <c r="R43" s="13"/>
      <c r="S43" s="13"/>
      <c r="T43" s="12"/>
      <c r="U43" s="54" t="str">
        <f t="shared" si="1"/>
        <v/>
      </c>
      <c r="V43" s="54"/>
      <c r="W43" s="81">
        <f t="shared" si="2"/>
        <v>0</v>
      </c>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row>
    <row r="44" spans="1:65" ht="150" customHeight="1" x14ac:dyDescent="0.25">
      <c r="A44" s="11">
        <v>2030</v>
      </c>
      <c r="B44" s="11">
        <v>-1</v>
      </c>
      <c r="C44" s="11" t="str">
        <f t="shared" si="3"/>
        <v>Putting</v>
      </c>
      <c r="D44" s="11" t="s">
        <v>6</v>
      </c>
      <c r="E44" s="42"/>
      <c r="F44" s="42"/>
      <c r="G44" s="151" t="s">
        <v>861</v>
      </c>
      <c r="H44" s="328">
        <v>10</v>
      </c>
      <c r="I44" s="14" t="s">
        <v>710</v>
      </c>
      <c r="J44" s="55" t="str">
        <f t="shared" si="0"/>
        <v>PuttingGame2-many1050 points  Expert</v>
      </c>
      <c r="K44" s="58" t="s">
        <v>666</v>
      </c>
      <c r="L44" s="57" t="s">
        <v>408</v>
      </c>
      <c r="M44" s="13"/>
      <c r="N44" s="90"/>
      <c r="O44" s="52"/>
      <c r="P44" s="13"/>
      <c r="Q44" s="35"/>
      <c r="R44" s="13"/>
      <c r="S44" s="13"/>
      <c r="T44" s="12"/>
      <c r="U44" s="54" t="str">
        <f t="shared" si="1"/>
        <v/>
      </c>
      <c r="V44" s="54"/>
      <c r="W44" s="81">
        <f t="shared" si="2"/>
        <v>0</v>
      </c>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row>
    <row r="45" spans="1:65" ht="150" customHeight="1" x14ac:dyDescent="0.25">
      <c r="A45" s="11">
        <v>2031</v>
      </c>
      <c r="B45" s="11">
        <v>-1</v>
      </c>
      <c r="C45" s="11" t="str">
        <f t="shared" si="3"/>
        <v>Putting</v>
      </c>
      <c r="D45" s="11" t="s">
        <v>6</v>
      </c>
      <c r="E45" s="42"/>
      <c r="F45" s="42"/>
      <c r="G45" s="151" t="s">
        <v>861</v>
      </c>
      <c r="H45" s="328">
        <v>10</v>
      </c>
      <c r="I45" s="14" t="s">
        <v>710</v>
      </c>
      <c r="J45" s="55" t="str">
        <f t="shared" si="0"/>
        <v>PuttingGame2-many1050 points  Ultra</v>
      </c>
      <c r="K45" s="58" t="s">
        <v>667</v>
      </c>
      <c r="L45" s="57" t="s">
        <v>409</v>
      </c>
      <c r="M45" s="13"/>
      <c r="N45" s="90"/>
      <c r="O45" s="52"/>
      <c r="P45" s="13"/>
      <c r="Q45" s="35"/>
      <c r="R45" s="13"/>
      <c r="S45" s="13"/>
      <c r="T45" s="12"/>
      <c r="U45" s="54" t="str">
        <f t="shared" si="1"/>
        <v/>
      </c>
      <c r="V45" s="54"/>
      <c r="W45" s="81">
        <f t="shared" si="2"/>
        <v>0</v>
      </c>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row>
    <row r="46" spans="1:65" ht="150" customHeight="1" x14ac:dyDescent="0.25">
      <c r="A46" s="11">
        <v>2032</v>
      </c>
      <c r="B46" s="11">
        <v>-1</v>
      </c>
      <c r="C46" s="11" t="str">
        <f t="shared" ref="C46:C77" si="19">MUI_STAT_T_MainTitel_1</f>
        <v>Putting</v>
      </c>
      <c r="D46" s="11" t="s">
        <v>6</v>
      </c>
      <c r="E46" s="42"/>
      <c r="F46" s="42"/>
      <c r="G46" s="151" t="s">
        <v>861</v>
      </c>
      <c r="H46" s="328">
        <v>10</v>
      </c>
      <c r="I46" s="14" t="s">
        <v>710</v>
      </c>
      <c r="J46" s="55" t="str">
        <f t="shared" si="0"/>
        <v>PuttingGame2-many10Nearest to the hole  Shoot out</v>
      </c>
      <c r="K46" s="58" t="s">
        <v>668</v>
      </c>
      <c r="L46" s="57" t="s">
        <v>416</v>
      </c>
      <c r="M46" s="13"/>
      <c r="N46" s="90"/>
      <c r="O46" s="52"/>
      <c r="P46" s="13"/>
      <c r="Q46" s="35"/>
      <c r="R46" s="13"/>
      <c r="S46" s="13"/>
      <c r="T46" s="12"/>
      <c r="U46" s="54" t="str">
        <f t="shared" si="1"/>
        <v/>
      </c>
      <c r="V46" s="54"/>
      <c r="W46" s="81">
        <f t="shared" si="2"/>
        <v>0</v>
      </c>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c r="BD46" s="11"/>
      <c r="BE46" s="11"/>
      <c r="BF46" s="11"/>
      <c r="BG46" s="11"/>
      <c r="BH46" s="11"/>
      <c r="BI46" s="11"/>
      <c r="BJ46" s="11"/>
      <c r="BK46" s="11"/>
      <c r="BL46" s="11"/>
      <c r="BM46" s="11"/>
    </row>
    <row r="47" spans="1:65" ht="150" customHeight="1" x14ac:dyDescent="0.25">
      <c r="A47" s="11">
        <v>2033</v>
      </c>
      <c r="B47" s="11">
        <v>-1</v>
      </c>
      <c r="C47" s="11" t="str">
        <f t="shared" si="19"/>
        <v>Putting</v>
      </c>
      <c r="D47" s="11" t="s">
        <v>494</v>
      </c>
      <c r="E47" s="42"/>
      <c r="F47" s="42"/>
      <c r="G47" s="151"/>
      <c r="H47" s="328">
        <v>3</v>
      </c>
      <c r="I47" s="11">
        <v>1</v>
      </c>
      <c r="J47" s="55" t="str">
        <f t="shared" si="0"/>
        <v>PuttingTechnic13Push Put Drill</v>
      </c>
      <c r="K47" s="58" t="s">
        <v>428</v>
      </c>
      <c r="L47" s="57" t="s">
        <v>427</v>
      </c>
      <c r="M47" s="13"/>
      <c r="N47" s="89" t="s">
        <v>426</v>
      </c>
      <c r="O47" s="52"/>
      <c r="P47" s="13"/>
      <c r="Q47" s="35"/>
      <c r="R47" s="13"/>
      <c r="S47" s="13"/>
      <c r="T47" s="12"/>
      <c r="U47" s="54" t="str">
        <f t="shared" si="1"/>
        <v/>
      </c>
      <c r="V47" s="54"/>
      <c r="W47" s="81">
        <f t="shared" si="2"/>
        <v>0</v>
      </c>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row>
    <row r="48" spans="1:65" ht="150" customHeight="1" x14ac:dyDescent="0.25">
      <c r="A48" s="11">
        <v>2034</v>
      </c>
      <c r="B48" s="11">
        <v>-1</v>
      </c>
      <c r="C48" s="11" t="str">
        <f t="shared" si="19"/>
        <v>Putting</v>
      </c>
      <c r="D48" s="11" t="s">
        <v>494</v>
      </c>
      <c r="E48" s="42"/>
      <c r="F48" s="42"/>
      <c r="G48" s="151"/>
      <c r="H48" s="328">
        <v>5</v>
      </c>
      <c r="I48" s="11">
        <v>1</v>
      </c>
      <c r="J48" s="55" t="str">
        <f t="shared" si="0"/>
        <v>PuttingTechnic15Guarded Put Drill  Beginner</v>
      </c>
      <c r="K48" s="58" t="s">
        <v>669</v>
      </c>
      <c r="L48" s="57" t="s">
        <v>429</v>
      </c>
      <c r="M48" s="13"/>
      <c r="N48" s="90"/>
      <c r="O48" s="72" t="s">
        <v>438</v>
      </c>
      <c r="P48" s="13"/>
      <c r="Q48" s="35"/>
      <c r="R48" s="13"/>
      <c r="S48" s="13"/>
      <c r="T48" s="12"/>
      <c r="U48" s="54" t="str">
        <f t="shared" si="1"/>
        <v/>
      </c>
      <c r="V48" s="54"/>
      <c r="W48" s="81">
        <f t="shared" si="2"/>
        <v>0</v>
      </c>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row>
    <row r="49" spans="1:65" ht="150" customHeight="1" x14ac:dyDescent="0.25">
      <c r="A49" s="11">
        <v>2035</v>
      </c>
      <c r="B49" s="11">
        <v>-1</v>
      </c>
      <c r="C49" s="11" t="str">
        <f t="shared" si="19"/>
        <v>Putting</v>
      </c>
      <c r="D49" s="11" t="s">
        <v>494</v>
      </c>
      <c r="E49" s="42"/>
      <c r="F49" s="42"/>
      <c r="G49" s="151"/>
      <c r="H49" s="328">
        <v>5</v>
      </c>
      <c r="I49" s="11">
        <v>1</v>
      </c>
      <c r="J49" s="55" t="str">
        <f t="shared" si="0"/>
        <v>PuttingTechnic15Guarded Put Drill  Expert</v>
      </c>
      <c r="K49" s="58" t="s">
        <v>670</v>
      </c>
      <c r="L49" s="57" t="s">
        <v>430</v>
      </c>
      <c r="M49" s="13"/>
      <c r="N49" s="90"/>
      <c r="O49" s="72" t="s">
        <v>437</v>
      </c>
      <c r="P49" s="13"/>
      <c r="Q49" s="35"/>
      <c r="R49" s="13"/>
      <c r="S49" s="13"/>
      <c r="T49" s="12"/>
      <c r="U49" s="54" t="str">
        <f t="shared" si="1"/>
        <v/>
      </c>
      <c r="V49" s="54"/>
      <c r="W49" s="81">
        <f t="shared" si="2"/>
        <v>0</v>
      </c>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row>
    <row r="50" spans="1:65" ht="150" customHeight="1" x14ac:dyDescent="0.25">
      <c r="A50" s="11">
        <v>2036</v>
      </c>
      <c r="B50" s="11">
        <v>-1</v>
      </c>
      <c r="C50" s="11" t="str">
        <f t="shared" si="19"/>
        <v>Putting</v>
      </c>
      <c r="D50" s="11" t="s">
        <v>494</v>
      </c>
      <c r="E50" s="42"/>
      <c r="F50" s="42"/>
      <c r="G50" s="151"/>
      <c r="H50" s="328">
        <v>3</v>
      </c>
      <c r="I50" s="11">
        <v>1</v>
      </c>
      <c r="J50" s="55" t="str">
        <f t="shared" si="0"/>
        <v>PuttingTechnic13Eyes Position</v>
      </c>
      <c r="K50" s="58" t="s">
        <v>431</v>
      </c>
      <c r="L50" s="57" t="s">
        <v>433</v>
      </c>
      <c r="M50" s="13"/>
      <c r="N50" s="89" t="s">
        <v>432</v>
      </c>
      <c r="O50" s="76" t="s">
        <v>436</v>
      </c>
      <c r="P50" s="13"/>
      <c r="Q50" s="35"/>
      <c r="R50" s="13"/>
      <c r="S50" s="13"/>
      <c r="T50" s="12"/>
      <c r="U50" s="54" t="str">
        <f t="shared" si="1"/>
        <v/>
      </c>
      <c r="V50" s="54"/>
      <c r="W50" s="81">
        <f t="shared" si="2"/>
        <v>0</v>
      </c>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row>
    <row r="51" spans="1:65" ht="150" customHeight="1" x14ac:dyDescent="0.25">
      <c r="A51" s="11">
        <v>2037</v>
      </c>
      <c r="B51" s="11">
        <v>-1</v>
      </c>
      <c r="C51" s="11" t="str">
        <f t="shared" si="19"/>
        <v>Putting</v>
      </c>
      <c r="D51" s="11" t="s">
        <v>494</v>
      </c>
      <c r="E51" s="42"/>
      <c r="F51" s="42"/>
      <c r="G51" s="151"/>
      <c r="H51" s="328">
        <v>5</v>
      </c>
      <c r="I51" s="11">
        <v>1</v>
      </c>
      <c r="J51" s="55" t="str">
        <f t="shared" si="0"/>
        <v>PuttingTechnic15Fix Hands</v>
      </c>
      <c r="K51" s="58" t="s">
        <v>435</v>
      </c>
      <c r="L51" s="57" t="s">
        <v>542</v>
      </c>
      <c r="M51" s="13"/>
      <c r="N51" s="89" t="s">
        <v>434</v>
      </c>
      <c r="O51" s="52"/>
      <c r="P51" s="13"/>
      <c r="Q51" s="35"/>
      <c r="R51" s="13"/>
      <c r="S51" s="13"/>
      <c r="T51" s="12"/>
      <c r="U51" s="54" t="str">
        <f t="shared" si="1"/>
        <v/>
      </c>
      <c r="V51" s="54"/>
      <c r="W51" s="81">
        <f t="shared" si="2"/>
        <v>0</v>
      </c>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row>
    <row r="52" spans="1:65" ht="150" customHeight="1" x14ac:dyDescent="0.25">
      <c r="A52" s="11">
        <v>2038</v>
      </c>
      <c r="B52" s="11">
        <v>-1</v>
      </c>
      <c r="C52" s="11" t="str">
        <f t="shared" si="19"/>
        <v>Putting</v>
      </c>
      <c r="D52" s="11" t="s">
        <v>181</v>
      </c>
      <c r="E52" s="42"/>
      <c r="F52" s="42"/>
      <c r="G52" s="151"/>
      <c r="H52" s="328">
        <v>10</v>
      </c>
      <c r="I52" s="11">
        <v>1</v>
      </c>
      <c r="J52" s="55" t="str">
        <f t="shared" si="0"/>
        <v>PuttingDrill110Do the star  Beginner</v>
      </c>
      <c r="K52" s="58" t="s">
        <v>671</v>
      </c>
      <c r="L52" s="57" t="s">
        <v>439</v>
      </c>
      <c r="M52" s="13"/>
      <c r="N52" s="90"/>
      <c r="O52" s="52"/>
      <c r="P52" s="13"/>
      <c r="Q52" s="35"/>
      <c r="R52" s="13"/>
      <c r="S52" s="13"/>
      <c r="T52" s="12"/>
      <c r="U52" s="54" t="str">
        <f t="shared" si="1"/>
        <v/>
      </c>
      <c r="V52" s="54"/>
      <c r="W52" s="81">
        <f t="shared" si="2"/>
        <v>0</v>
      </c>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row>
    <row r="53" spans="1:65" ht="150" customHeight="1" x14ac:dyDescent="0.25">
      <c r="A53" s="11">
        <v>2039</v>
      </c>
      <c r="B53" s="11">
        <v>-1</v>
      </c>
      <c r="C53" s="11" t="str">
        <f t="shared" si="19"/>
        <v>Putting</v>
      </c>
      <c r="D53" s="11" t="s">
        <v>181</v>
      </c>
      <c r="E53" s="42"/>
      <c r="F53" s="42"/>
      <c r="G53" s="151"/>
      <c r="H53" s="328">
        <v>10</v>
      </c>
      <c r="I53" s="11">
        <v>1</v>
      </c>
      <c r="J53" s="55" t="str">
        <f t="shared" si="0"/>
        <v>PuttingDrill110Do the star  Intermediate</v>
      </c>
      <c r="K53" s="58" t="s">
        <v>672</v>
      </c>
      <c r="L53" s="57" t="s">
        <v>441</v>
      </c>
      <c r="M53" s="13"/>
      <c r="N53" s="90"/>
      <c r="O53" s="52"/>
      <c r="P53" s="13"/>
      <c r="Q53" s="35"/>
      <c r="R53" s="13"/>
      <c r="S53" s="13"/>
      <c r="T53" s="12"/>
      <c r="U53" s="54" t="str">
        <f t="shared" si="1"/>
        <v/>
      </c>
      <c r="V53" s="54"/>
      <c r="W53" s="81">
        <f t="shared" si="2"/>
        <v>0</v>
      </c>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row>
    <row r="54" spans="1:65" ht="150" customHeight="1" x14ac:dyDescent="0.25">
      <c r="A54" s="11">
        <v>2040</v>
      </c>
      <c r="B54" s="11">
        <v>-1</v>
      </c>
      <c r="C54" s="11" t="str">
        <f t="shared" si="19"/>
        <v>Putting</v>
      </c>
      <c r="D54" s="11" t="s">
        <v>181</v>
      </c>
      <c r="E54" s="42"/>
      <c r="F54" s="42"/>
      <c r="G54" s="151"/>
      <c r="H54" s="328">
        <v>10</v>
      </c>
      <c r="I54" s="11">
        <v>1</v>
      </c>
      <c r="J54" s="55" t="str">
        <f t="shared" si="0"/>
        <v>PuttingDrill110Do the star  Expert</v>
      </c>
      <c r="K54" s="58" t="s">
        <v>673</v>
      </c>
      <c r="L54" s="57" t="s">
        <v>440</v>
      </c>
      <c r="M54" s="13"/>
      <c r="N54" s="90"/>
      <c r="O54" s="52"/>
      <c r="P54" s="13"/>
      <c r="Q54" s="35"/>
      <c r="R54" s="13"/>
      <c r="S54" s="13"/>
      <c r="T54" s="12"/>
      <c r="U54" s="54" t="str">
        <f t="shared" si="1"/>
        <v/>
      </c>
      <c r="V54" s="54"/>
      <c r="W54" s="81">
        <f t="shared" si="2"/>
        <v>0</v>
      </c>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row>
    <row r="55" spans="1:65" ht="150" customHeight="1" x14ac:dyDescent="0.25">
      <c r="A55" s="11">
        <v>2041</v>
      </c>
      <c r="B55" s="11">
        <v>-1</v>
      </c>
      <c r="C55" s="11" t="str">
        <f t="shared" si="19"/>
        <v>Putting</v>
      </c>
      <c r="D55" s="11" t="s">
        <v>181</v>
      </c>
      <c r="E55" s="42"/>
      <c r="F55" s="42"/>
      <c r="G55" s="151"/>
      <c r="H55" s="328">
        <v>10</v>
      </c>
      <c r="I55" s="11">
        <v>1</v>
      </c>
      <c r="J55" s="55" t="str">
        <f t="shared" si="0"/>
        <v>PuttingDrill110Do the star  Ultra</v>
      </c>
      <c r="K55" s="58" t="s">
        <v>674</v>
      </c>
      <c r="L55" s="57" t="s">
        <v>498</v>
      </c>
      <c r="M55" s="13"/>
      <c r="N55" s="90"/>
      <c r="O55" s="52"/>
      <c r="P55" s="13"/>
      <c r="Q55" s="35"/>
      <c r="R55" s="13"/>
      <c r="S55" s="13"/>
      <c r="T55" s="12"/>
      <c r="U55" s="54" t="str">
        <f t="shared" si="1"/>
        <v/>
      </c>
      <c r="V55" s="54"/>
      <c r="W55" s="81">
        <f t="shared" si="2"/>
        <v>0</v>
      </c>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row>
    <row r="56" spans="1:65" ht="150" customHeight="1" x14ac:dyDescent="0.25">
      <c r="A56" s="11">
        <v>2044</v>
      </c>
      <c r="B56" s="11">
        <v>1</v>
      </c>
      <c r="C56" s="11" t="str">
        <f t="shared" si="19"/>
        <v>Putting</v>
      </c>
      <c r="D56" s="11" t="s">
        <v>51</v>
      </c>
      <c r="E56" s="42"/>
      <c r="F56" s="42"/>
      <c r="G56" s="151" t="s">
        <v>861</v>
      </c>
      <c r="H56" s="328">
        <v>10</v>
      </c>
      <c r="I56" s="11">
        <v>1</v>
      </c>
      <c r="J56" s="55" t="str">
        <f t="shared" si="0"/>
        <v>PuttingTest1101,5 m  15 points</v>
      </c>
      <c r="K56" s="58" t="s">
        <v>683</v>
      </c>
      <c r="L56" s="57" t="s">
        <v>1311</v>
      </c>
      <c r="M56" s="13"/>
      <c r="N56" s="90"/>
      <c r="O56" s="52"/>
      <c r="P56" s="13"/>
      <c r="Q56" s="35"/>
      <c r="R56" s="13"/>
      <c r="S56" s="13"/>
      <c r="T56" s="12"/>
      <c r="U56" s="54">
        <f t="shared" si="1"/>
        <v>22</v>
      </c>
      <c r="V56" s="54"/>
      <c r="W56" s="81">
        <f t="shared" si="2"/>
        <v>23</v>
      </c>
      <c r="X56" s="85">
        <v>10</v>
      </c>
      <c r="Y56" s="11">
        <v>10.230769231915474</v>
      </c>
      <c r="Z56" s="11">
        <v>10.461538463830948</v>
      </c>
      <c r="AA56" s="11">
        <v>10.692307695746422</v>
      </c>
      <c r="AB56" s="11">
        <v>10.923076927661896</v>
      </c>
      <c r="AC56" s="11">
        <v>11.15384615957737</v>
      </c>
      <c r="AD56" s="11">
        <v>11.384615391492844</v>
      </c>
      <c r="AE56" s="11">
        <v>11.615384623408318</v>
      </c>
      <c r="AF56" s="11">
        <v>11.846153855323792</v>
      </c>
      <c r="AG56" s="11">
        <v>12.076923087239265</v>
      </c>
      <c r="AH56" s="11">
        <v>12.307692319154739</v>
      </c>
      <c r="AI56" s="11">
        <v>12.538461551070213</v>
      </c>
      <c r="AJ56" s="11">
        <v>12.769230782985687</v>
      </c>
      <c r="AK56" s="85">
        <v>13</v>
      </c>
      <c r="AL56" s="11">
        <v>13</v>
      </c>
      <c r="AM56" s="11">
        <v>13</v>
      </c>
      <c r="AN56" s="11">
        <v>13</v>
      </c>
      <c r="AO56" s="11">
        <v>13</v>
      </c>
      <c r="AP56" s="11">
        <v>14</v>
      </c>
      <c r="AQ56" s="11">
        <v>14</v>
      </c>
      <c r="AR56" s="11">
        <v>14</v>
      </c>
      <c r="AS56" s="11">
        <v>14</v>
      </c>
      <c r="AT56" s="11">
        <v>14</v>
      </c>
      <c r="AU56" s="85">
        <v>14</v>
      </c>
      <c r="AV56" s="11">
        <v>14</v>
      </c>
      <c r="AW56" s="11">
        <v>15</v>
      </c>
      <c r="AX56" s="11">
        <v>15</v>
      </c>
      <c r="AY56" s="11">
        <v>16</v>
      </c>
      <c r="AZ56" s="11">
        <v>16</v>
      </c>
      <c r="BA56" s="11">
        <v>16</v>
      </c>
      <c r="BB56" s="11">
        <v>17</v>
      </c>
      <c r="BC56" s="11">
        <v>17</v>
      </c>
      <c r="BD56" s="11">
        <v>18</v>
      </c>
      <c r="BE56" s="85">
        <v>18</v>
      </c>
      <c r="BF56" s="11">
        <v>19</v>
      </c>
      <c r="BG56" s="11">
        <v>19</v>
      </c>
      <c r="BH56" s="11">
        <v>20</v>
      </c>
      <c r="BI56" s="11">
        <v>20</v>
      </c>
      <c r="BJ56" s="11">
        <v>21</v>
      </c>
      <c r="BK56" s="11">
        <v>22</v>
      </c>
      <c r="BL56" s="11">
        <v>22</v>
      </c>
      <c r="BM56" s="85">
        <v>23</v>
      </c>
    </row>
    <row r="57" spans="1:65" ht="150" customHeight="1" x14ac:dyDescent="0.25">
      <c r="A57" s="11">
        <v>2045</v>
      </c>
      <c r="B57" s="11">
        <v>1</v>
      </c>
      <c r="C57" s="11" t="str">
        <f t="shared" si="19"/>
        <v>Putting</v>
      </c>
      <c r="D57" s="11" t="s">
        <v>51</v>
      </c>
      <c r="E57" s="42"/>
      <c r="F57" s="42"/>
      <c r="G57" s="151" t="s">
        <v>484</v>
      </c>
      <c r="H57" s="328">
        <v>10</v>
      </c>
      <c r="I57" s="11">
        <v>1</v>
      </c>
      <c r="J57" s="55" t="str">
        <f t="shared" si="0"/>
        <v>PuttingTest1103 m  10 points</v>
      </c>
      <c r="K57" s="58" t="s">
        <v>684</v>
      </c>
      <c r="L57" s="57" t="s">
        <v>1309</v>
      </c>
      <c r="M57" s="13"/>
      <c r="N57" s="90"/>
      <c r="O57" s="52"/>
      <c r="P57" s="13"/>
      <c r="Q57" s="35"/>
      <c r="R57" s="13"/>
      <c r="S57" s="13"/>
      <c r="T57" s="12"/>
      <c r="U57" s="54">
        <f t="shared" si="1"/>
        <v>67</v>
      </c>
      <c r="V57" s="54"/>
      <c r="W57" s="81">
        <f t="shared" si="2"/>
        <v>70</v>
      </c>
      <c r="X57" s="85">
        <v>11</v>
      </c>
      <c r="Y57" s="11">
        <v>12</v>
      </c>
      <c r="Z57" s="11">
        <v>13</v>
      </c>
      <c r="AA57" s="11">
        <v>14</v>
      </c>
      <c r="AB57" s="11">
        <v>15</v>
      </c>
      <c r="AC57" s="11">
        <v>16</v>
      </c>
      <c r="AD57" s="11">
        <v>17</v>
      </c>
      <c r="AE57" s="11">
        <v>18</v>
      </c>
      <c r="AF57" s="11">
        <v>19</v>
      </c>
      <c r="AG57" s="11">
        <v>20</v>
      </c>
      <c r="AH57" s="11">
        <v>21</v>
      </c>
      <c r="AI57" s="11">
        <v>22</v>
      </c>
      <c r="AJ57" s="11">
        <v>23</v>
      </c>
      <c r="AK57" s="85">
        <v>24</v>
      </c>
      <c r="AL57" s="11">
        <v>26</v>
      </c>
      <c r="AM57" s="11">
        <v>28</v>
      </c>
      <c r="AN57" s="11">
        <v>30</v>
      </c>
      <c r="AO57" s="11">
        <v>32</v>
      </c>
      <c r="AP57" s="11">
        <v>34</v>
      </c>
      <c r="AQ57" s="11">
        <v>35</v>
      </c>
      <c r="AR57" s="11">
        <v>37</v>
      </c>
      <c r="AS57" s="11">
        <v>39</v>
      </c>
      <c r="AT57" s="11">
        <v>41</v>
      </c>
      <c r="AU57" s="85">
        <v>43</v>
      </c>
      <c r="AV57" s="11">
        <v>44</v>
      </c>
      <c r="AW57" s="11">
        <v>46</v>
      </c>
      <c r="AX57" s="11">
        <v>48</v>
      </c>
      <c r="AY57" s="11">
        <v>49</v>
      </c>
      <c r="AZ57" s="11">
        <v>50</v>
      </c>
      <c r="BA57" s="11">
        <v>52</v>
      </c>
      <c r="BB57" s="11">
        <v>54</v>
      </c>
      <c r="BC57" s="11">
        <v>55</v>
      </c>
      <c r="BD57" s="11">
        <v>56</v>
      </c>
      <c r="BE57" s="11">
        <v>58</v>
      </c>
      <c r="BF57" s="11">
        <v>60</v>
      </c>
      <c r="BG57" s="11">
        <v>61</v>
      </c>
      <c r="BH57" s="11">
        <v>62</v>
      </c>
      <c r="BI57" s="11">
        <v>64</v>
      </c>
      <c r="BJ57" s="11">
        <v>66</v>
      </c>
      <c r="BK57" s="11">
        <v>67</v>
      </c>
      <c r="BL57" s="11">
        <v>68</v>
      </c>
      <c r="BM57" s="85">
        <v>70</v>
      </c>
    </row>
    <row r="58" spans="1:65" ht="150" customHeight="1" x14ac:dyDescent="0.25">
      <c r="A58" s="11">
        <v>2046</v>
      </c>
      <c r="B58" s="11">
        <v>1</v>
      </c>
      <c r="C58" s="11" t="str">
        <f t="shared" si="19"/>
        <v>Putting</v>
      </c>
      <c r="D58" s="11" t="s">
        <v>51</v>
      </c>
      <c r="E58" s="42"/>
      <c r="F58" s="42"/>
      <c r="G58" s="151" t="s">
        <v>484</v>
      </c>
      <c r="H58" s="328">
        <v>10</v>
      </c>
      <c r="I58" s="11">
        <v>1</v>
      </c>
      <c r="J58" s="55" t="str">
        <f t="shared" si="0"/>
        <v>PuttingTest1104,5 m  5 points</v>
      </c>
      <c r="K58" s="58" t="s">
        <v>685</v>
      </c>
      <c r="L58" s="57" t="s">
        <v>1310</v>
      </c>
      <c r="M58" s="13"/>
      <c r="N58" s="90"/>
      <c r="O58" s="52"/>
      <c r="P58" s="13"/>
      <c r="Q58" s="35"/>
      <c r="R58" s="13"/>
      <c r="S58" s="13"/>
      <c r="T58" s="12"/>
      <c r="U58" s="54">
        <f t="shared" si="1"/>
        <v>94</v>
      </c>
      <c r="V58" s="54"/>
      <c r="W58" s="81">
        <f t="shared" si="2"/>
        <v>100</v>
      </c>
      <c r="X58" s="85">
        <v>11</v>
      </c>
      <c r="Y58" s="11">
        <v>11.769230782985687</v>
      </c>
      <c r="Z58" s="11">
        <v>12.538461565971375</v>
      </c>
      <c r="AA58" s="11">
        <v>13.307692348957062</v>
      </c>
      <c r="AB58" s="11">
        <v>14.076923131942749</v>
      </c>
      <c r="AC58" s="11">
        <v>14.846153914928436</v>
      </c>
      <c r="AD58" s="11">
        <v>15.615384697914124</v>
      </c>
      <c r="AE58" s="11">
        <v>16.384615480899811</v>
      </c>
      <c r="AF58" s="11">
        <v>17.153846263885498</v>
      </c>
      <c r="AG58" s="11">
        <v>17.923077046871185</v>
      </c>
      <c r="AH58" s="11">
        <v>18.692307829856873</v>
      </c>
      <c r="AI58" s="11">
        <v>19.46153861284256</v>
      </c>
      <c r="AJ58" s="11">
        <v>20.230769395828247</v>
      </c>
      <c r="AK58" s="85">
        <v>21</v>
      </c>
      <c r="AL58" s="11">
        <v>24</v>
      </c>
      <c r="AM58" s="11">
        <v>27</v>
      </c>
      <c r="AN58" s="11">
        <v>30</v>
      </c>
      <c r="AO58" s="11">
        <v>33</v>
      </c>
      <c r="AP58" s="11">
        <v>36</v>
      </c>
      <c r="AQ58" s="11">
        <v>38</v>
      </c>
      <c r="AR58" s="11">
        <v>41</v>
      </c>
      <c r="AS58" s="11">
        <v>44</v>
      </c>
      <c r="AT58" s="11">
        <v>47</v>
      </c>
      <c r="AU58" s="85">
        <v>50</v>
      </c>
      <c r="AV58" s="11">
        <v>52</v>
      </c>
      <c r="AW58" s="11">
        <v>55</v>
      </c>
      <c r="AX58" s="11">
        <v>58</v>
      </c>
      <c r="AY58" s="11">
        <v>60</v>
      </c>
      <c r="AZ58" s="11">
        <v>62</v>
      </c>
      <c r="BA58" s="11">
        <v>65</v>
      </c>
      <c r="BB58" s="11">
        <v>68</v>
      </c>
      <c r="BC58" s="11">
        <v>70</v>
      </c>
      <c r="BD58" s="11">
        <v>72</v>
      </c>
      <c r="BE58" s="85">
        <v>75</v>
      </c>
      <c r="BF58" s="11">
        <v>78</v>
      </c>
      <c r="BG58" s="11">
        <v>81</v>
      </c>
      <c r="BH58" s="11">
        <v>84</v>
      </c>
      <c r="BI58" s="11">
        <v>88</v>
      </c>
      <c r="BJ58" s="11">
        <v>91</v>
      </c>
      <c r="BK58" s="11">
        <v>94</v>
      </c>
      <c r="BL58" s="11">
        <v>97</v>
      </c>
      <c r="BM58" s="85">
        <v>100</v>
      </c>
    </row>
    <row r="59" spans="1:65" ht="150" customHeight="1" x14ac:dyDescent="0.25">
      <c r="A59" s="11">
        <v>2047</v>
      </c>
      <c r="B59" s="11">
        <v>1</v>
      </c>
      <c r="C59" s="11" t="str">
        <f t="shared" si="19"/>
        <v>Putting</v>
      </c>
      <c r="D59" s="11" t="s">
        <v>51</v>
      </c>
      <c r="E59" s="42"/>
      <c r="F59" s="42"/>
      <c r="G59" s="151" t="s">
        <v>484</v>
      </c>
      <c r="H59" s="328">
        <v>10</v>
      </c>
      <c r="I59" s="11">
        <v>1</v>
      </c>
      <c r="J59" s="55" t="str">
        <f t="shared" si="0"/>
        <v>PuttingTest1106 m  15 points</v>
      </c>
      <c r="K59" s="58" t="s">
        <v>689</v>
      </c>
      <c r="L59" s="57" t="s">
        <v>1313</v>
      </c>
      <c r="M59" s="13"/>
      <c r="N59" s="90"/>
      <c r="O59" s="52"/>
      <c r="P59" s="13"/>
      <c r="Q59" s="35"/>
      <c r="R59" s="13"/>
      <c r="S59" s="13"/>
      <c r="T59" s="12"/>
      <c r="U59" s="54">
        <f t="shared" si="1"/>
        <v>40</v>
      </c>
      <c r="V59" s="54"/>
      <c r="W59" s="81">
        <f t="shared" si="2"/>
        <v>42</v>
      </c>
      <c r="X59" s="85">
        <v>12</v>
      </c>
      <c r="Y59" s="11">
        <v>12</v>
      </c>
      <c r="Z59" s="11">
        <v>12</v>
      </c>
      <c r="AA59" s="11">
        <v>13</v>
      </c>
      <c r="AB59" s="11">
        <v>13</v>
      </c>
      <c r="AC59" s="11">
        <v>13</v>
      </c>
      <c r="AD59" s="11">
        <v>13</v>
      </c>
      <c r="AE59" s="11">
        <v>14</v>
      </c>
      <c r="AF59" s="11">
        <v>14</v>
      </c>
      <c r="AG59" s="11">
        <v>14</v>
      </c>
      <c r="AH59" s="11">
        <v>14</v>
      </c>
      <c r="AI59" s="11">
        <v>15</v>
      </c>
      <c r="AJ59" s="11">
        <v>15</v>
      </c>
      <c r="AK59" s="85">
        <v>15</v>
      </c>
      <c r="AL59" s="11">
        <v>16</v>
      </c>
      <c r="AM59" s="11">
        <v>16</v>
      </c>
      <c r="AN59" s="11">
        <v>16</v>
      </c>
      <c r="AO59" s="11">
        <v>17</v>
      </c>
      <c r="AP59" s="11">
        <v>18</v>
      </c>
      <c r="AQ59" s="11">
        <v>18</v>
      </c>
      <c r="AR59" s="11">
        <v>18</v>
      </c>
      <c r="AS59" s="11">
        <v>19</v>
      </c>
      <c r="AT59" s="11">
        <v>20</v>
      </c>
      <c r="AU59" s="85">
        <v>20</v>
      </c>
      <c r="AV59" s="11">
        <v>22</v>
      </c>
      <c r="AW59" s="11">
        <v>23</v>
      </c>
      <c r="AX59" s="11">
        <v>24</v>
      </c>
      <c r="AY59" s="11">
        <v>26</v>
      </c>
      <c r="AZ59" s="11">
        <v>28</v>
      </c>
      <c r="BA59" s="11">
        <v>29</v>
      </c>
      <c r="BB59" s="11">
        <v>30</v>
      </c>
      <c r="BC59" s="11">
        <v>32</v>
      </c>
      <c r="BD59" s="11">
        <v>34</v>
      </c>
      <c r="BE59" s="85">
        <v>35</v>
      </c>
      <c r="BF59" s="11">
        <v>36</v>
      </c>
      <c r="BG59" s="11">
        <v>37</v>
      </c>
      <c r="BH59" s="11">
        <v>38</v>
      </c>
      <c r="BI59" s="11">
        <v>38</v>
      </c>
      <c r="BJ59" s="11">
        <v>39</v>
      </c>
      <c r="BK59" s="11">
        <v>40</v>
      </c>
      <c r="BL59" s="11">
        <v>41</v>
      </c>
      <c r="BM59" s="85">
        <v>42</v>
      </c>
    </row>
    <row r="60" spans="1:65" ht="150" customHeight="1" x14ac:dyDescent="0.25">
      <c r="A60" s="11">
        <v>2048</v>
      </c>
      <c r="B60" s="11">
        <v>1</v>
      </c>
      <c r="C60" s="11" t="str">
        <f t="shared" si="19"/>
        <v>Putting</v>
      </c>
      <c r="D60" s="11" t="s">
        <v>51</v>
      </c>
      <c r="E60" s="42"/>
      <c r="F60" s="42"/>
      <c r="G60" s="151" t="s">
        <v>861</v>
      </c>
      <c r="H60" s="328">
        <v>10</v>
      </c>
      <c r="I60" s="11">
        <v>1</v>
      </c>
      <c r="J60" s="55" t="str">
        <f t="shared" si="0"/>
        <v>PuttingTest1109 m  10 points</v>
      </c>
      <c r="K60" s="58" t="s">
        <v>690</v>
      </c>
      <c r="L60" s="57" t="s">
        <v>1312</v>
      </c>
      <c r="M60" s="13"/>
      <c r="N60" s="90"/>
      <c r="O60" s="52"/>
      <c r="P60" s="13"/>
      <c r="Q60" s="35"/>
      <c r="R60" s="13"/>
      <c r="S60" s="13"/>
      <c r="T60" s="12"/>
      <c r="U60" s="54">
        <f t="shared" si="1"/>
        <v>64</v>
      </c>
      <c r="V60" s="54"/>
      <c r="W60" s="81">
        <f t="shared" si="2"/>
        <v>70</v>
      </c>
      <c r="X60" s="85">
        <v>14</v>
      </c>
      <c r="Y60" s="11">
        <v>14</v>
      </c>
      <c r="Z60" s="11">
        <v>15</v>
      </c>
      <c r="AA60" s="11">
        <v>15</v>
      </c>
      <c r="AB60" s="11">
        <v>15</v>
      </c>
      <c r="AC60" s="11">
        <v>16</v>
      </c>
      <c r="AD60" s="11">
        <v>16</v>
      </c>
      <c r="AE60" s="11">
        <v>16</v>
      </c>
      <c r="AF60" s="11">
        <v>16</v>
      </c>
      <c r="AG60" s="11">
        <v>17</v>
      </c>
      <c r="AH60" s="11">
        <v>17</v>
      </c>
      <c r="AI60" s="11">
        <v>17</v>
      </c>
      <c r="AJ60" s="11">
        <v>18</v>
      </c>
      <c r="AK60" s="85">
        <v>18</v>
      </c>
      <c r="AL60" s="11">
        <v>19</v>
      </c>
      <c r="AM60" s="11">
        <v>20</v>
      </c>
      <c r="AN60" s="11">
        <v>21</v>
      </c>
      <c r="AO60" s="11">
        <v>22</v>
      </c>
      <c r="AP60" s="11">
        <v>24</v>
      </c>
      <c r="AQ60" s="11">
        <v>25</v>
      </c>
      <c r="AR60" s="11">
        <v>26</v>
      </c>
      <c r="AS60" s="11">
        <v>27</v>
      </c>
      <c r="AT60" s="11">
        <v>28</v>
      </c>
      <c r="AU60" s="85">
        <v>29</v>
      </c>
      <c r="AV60" s="11">
        <v>31</v>
      </c>
      <c r="AW60" s="11">
        <v>32</v>
      </c>
      <c r="AX60" s="11">
        <v>34</v>
      </c>
      <c r="AY60" s="11">
        <v>35</v>
      </c>
      <c r="AZ60" s="11">
        <v>37</v>
      </c>
      <c r="BA60" s="11">
        <v>39</v>
      </c>
      <c r="BB60" s="11">
        <v>40</v>
      </c>
      <c r="BC60" s="11">
        <v>42</v>
      </c>
      <c r="BD60" s="11">
        <v>43</v>
      </c>
      <c r="BE60" s="85">
        <v>45</v>
      </c>
      <c r="BF60" s="11">
        <v>48</v>
      </c>
      <c r="BG60" s="11">
        <v>51</v>
      </c>
      <c r="BH60" s="11">
        <v>54</v>
      </c>
      <c r="BI60" s="11">
        <v>58</v>
      </c>
      <c r="BJ60" s="11">
        <v>61</v>
      </c>
      <c r="BK60" s="11">
        <v>64</v>
      </c>
      <c r="BL60" s="11">
        <v>67</v>
      </c>
      <c r="BM60" s="85">
        <v>70</v>
      </c>
    </row>
    <row r="61" spans="1:65" ht="150" customHeight="1" x14ac:dyDescent="0.25">
      <c r="A61" s="11">
        <v>2049</v>
      </c>
      <c r="B61" s="11">
        <v>1</v>
      </c>
      <c r="C61" s="11" t="str">
        <f t="shared" si="19"/>
        <v>Putting</v>
      </c>
      <c r="D61" s="11" t="s">
        <v>51</v>
      </c>
      <c r="E61" s="42"/>
      <c r="F61" s="42"/>
      <c r="G61" s="151" t="s">
        <v>861</v>
      </c>
      <c r="H61" s="328">
        <v>10</v>
      </c>
      <c r="I61" s="11">
        <v>1</v>
      </c>
      <c r="J61" s="55" t="str">
        <f t="shared" si="0"/>
        <v>PuttingTest11012 m  5 points</v>
      </c>
      <c r="K61" s="58" t="s">
        <v>691</v>
      </c>
      <c r="L61" s="57" t="s">
        <v>1314</v>
      </c>
      <c r="M61" s="13"/>
      <c r="N61" s="90"/>
      <c r="O61" s="52"/>
      <c r="P61" s="13"/>
      <c r="Q61" s="35"/>
      <c r="R61" s="13"/>
      <c r="S61" s="13"/>
      <c r="T61" s="12"/>
      <c r="U61" s="54">
        <f t="shared" si="1"/>
        <v>94</v>
      </c>
      <c r="V61" s="54"/>
      <c r="W61" s="81">
        <f t="shared" si="2"/>
        <v>100</v>
      </c>
      <c r="X61" s="85">
        <v>10</v>
      </c>
      <c r="Y61" s="11">
        <v>12</v>
      </c>
      <c r="Z61" s="11">
        <v>13</v>
      </c>
      <c r="AA61" s="11">
        <v>15</v>
      </c>
      <c r="AB61" s="11">
        <v>16</v>
      </c>
      <c r="AC61" s="11">
        <v>18</v>
      </c>
      <c r="AD61" s="11">
        <v>19</v>
      </c>
      <c r="AE61" s="11">
        <v>21</v>
      </c>
      <c r="AF61" s="11">
        <v>22</v>
      </c>
      <c r="AG61" s="11">
        <v>24</v>
      </c>
      <c r="AH61" s="11">
        <v>25</v>
      </c>
      <c r="AI61" s="11">
        <v>27</v>
      </c>
      <c r="AJ61" s="11">
        <v>28</v>
      </c>
      <c r="AK61" s="85">
        <v>30</v>
      </c>
      <c r="AL61" s="11">
        <v>32</v>
      </c>
      <c r="AM61" s="11">
        <v>34</v>
      </c>
      <c r="AN61" s="11">
        <v>36</v>
      </c>
      <c r="AO61" s="11">
        <v>38</v>
      </c>
      <c r="AP61" s="11">
        <v>40</v>
      </c>
      <c r="AQ61" s="11">
        <v>42</v>
      </c>
      <c r="AR61" s="11">
        <v>44</v>
      </c>
      <c r="AS61" s="11">
        <v>46</v>
      </c>
      <c r="AT61" s="11">
        <v>48</v>
      </c>
      <c r="AU61" s="85">
        <v>50</v>
      </c>
      <c r="AV61" s="11">
        <v>52</v>
      </c>
      <c r="AW61" s="11">
        <v>55</v>
      </c>
      <c r="AX61" s="11">
        <v>58</v>
      </c>
      <c r="AY61" s="11">
        <v>60</v>
      </c>
      <c r="AZ61" s="11">
        <v>62</v>
      </c>
      <c r="BA61" s="11">
        <v>65</v>
      </c>
      <c r="BB61" s="11">
        <v>68</v>
      </c>
      <c r="BC61" s="11">
        <v>70</v>
      </c>
      <c r="BD61" s="11">
        <v>72</v>
      </c>
      <c r="BE61" s="85">
        <v>75</v>
      </c>
      <c r="BF61" s="11">
        <v>78</v>
      </c>
      <c r="BG61" s="11">
        <v>81</v>
      </c>
      <c r="BH61" s="11">
        <v>84</v>
      </c>
      <c r="BI61" s="11">
        <v>88</v>
      </c>
      <c r="BJ61" s="11">
        <v>91</v>
      </c>
      <c r="BK61" s="11">
        <v>94</v>
      </c>
      <c r="BL61" s="11">
        <v>97</v>
      </c>
      <c r="BM61" s="85">
        <v>100</v>
      </c>
    </row>
    <row r="62" spans="1:65" ht="150" customHeight="1" x14ac:dyDescent="0.25">
      <c r="A62" s="11">
        <v>2050</v>
      </c>
      <c r="B62" s="11">
        <v>1</v>
      </c>
      <c r="C62" s="11" t="str">
        <f t="shared" si="19"/>
        <v>Putting</v>
      </c>
      <c r="D62" s="11" t="s">
        <v>51</v>
      </c>
      <c r="E62" s="42"/>
      <c r="F62" s="42"/>
      <c r="G62" s="151" t="s">
        <v>480</v>
      </c>
      <c r="H62" s="328">
        <v>10</v>
      </c>
      <c r="I62" s="11">
        <v>1</v>
      </c>
      <c r="J62" s="55" t="str">
        <f>C62&amp;D62&amp;I62&amp;H62&amp;K62</f>
        <v>PuttingTest1101,5 m  10 holes</v>
      </c>
      <c r="K62" s="58" t="s">
        <v>686</v>
      </c>
      <c r="L62" s="57" t="s">
        <v>476</v>
      </c>
      <c r="M62" s="13"/>
      <c r="N62" s="90"/>
      <c r="O62" s="52"/>
      <c r="P62" s="13"/>
      <c r="Q62" s="35"/>
      <c r="R62" s="13"/>
      <c r="S62" s="13"/>
      <c r="T62" s="12"/>
      <c r="U62" s="54">
        <f t="shared" si="1"/>
        <v>6</v>
      </c>
      <c r="V62" s="54"/>
      <c r="W62" s="81">
        <f>MAX(X62:BM62)</f>
        <v>16</v>
      </c>
      <c r="X62" s="85">
        <v>16</v>
      </c>
      <c r="Y62" s="11">
        <v>15.692307680845261</v>
      </c>
      <c r="Z62" s="11">
        <v>15.384615361690521</v>
      </c>
      <c r="AA62" s="11">
        <v>15.076923042535782</v>
      </c>
      <c r="AB62" s="11">
        <v>14.769230723381042</v>
      </c>
      <c r="AC62" s="11">
        <v>14.461538404226303</v>
      </c>
      <c r="AD62" s="11">
        <v>14.153846085071564</v>
      </c>
      <c r="AE62" s="11">
        <v>13.846153765916824</v>
      </c>
      <c r="AF62" s="11">
        <v>13.538461446762085</v>
      </c>
      <c r="AG62" s="11">
        <v>13.230769127607346</v>
      </c>
      <c r="AH62" s="11">
        <v>12.923076808452606</v>
      </c>
      <c r="AI62" s="11">
        <v>12.615384489297867</v>
      </c>
      <c r="AJ62" s="11">
        <v>12.307692170143127</v>
      </c>
      <c r="AK62" s="85">
        <v>12</v>
      </c>
      <c r="AL62" s="11">
        <v>12</v>
      </c>
      <c r="AM62" s="11">
        <v>12</v>
      </c>
      <c r="AN62" s="11">
        <v>11</v>
      </c>
      <c r="AO62" s="11">
        <v>11</v>
      </c>
      <c r="AP62" s="11">
        <v>11</v>
      </c>
      <c r="AQ62" s="11">
        <v>11</v>
      </c>
      <c r="AR62" s="11">
        <v>11</v>
      </c>
      <c r="AS62" s="11">
        <v>10</v>
      </c>
      <c r="AT62" s="11">
        <v>10</v>
      </c>
      <c r="AU62" s="85">
        <v>10</v>
      </c>
      <c r="AV62" s="11">
        <v>10</v>
      </c>
      <c r="AW62" s="11">
        <v>10</v>
      </c>
      <c r="AX62" s="11">
        <v>9</v>
      </c>
      <c r="AY62" s="11">
        <v>9</v>
      </c>
      <c r="AZ62" s="11">
        <v>9</v>
      </c>
      <c r="BA62" s="11">
        <v>9</v>
      </c>
      <c r="BB62" s="11">
        <v>9</v>
      </c>
      <c r="BC62" s="11">
        <v>8</v>
      </c>
      <c r="BD62" s="11">
        <v>8</v>
      </c>
      <c r="BE62" s="85">
        <v>8</v>
      </c>
      <c r="BF62" s="11">
        <v>8</v>
      </c>
      <c r="BG62" s="11">
        <v>8</v>
      </c>
      <c r="BH62" s="11">
        <v>7</v>
      </c>
      <c r="BI62" s="11">
        <v>7</v>
      </c>
      <c r="BJ62" s="11">
        <v>7</v>
      </c>
      <c r="BK62" s="11">
        <v>6</v>
      </c>
      <c r="BL62" s="11">
        <v>6</v>
      </c>
      <c r="BM62" s="85">
        <v>6</v>
      </c>
    </row>
    <row r="63" spans="1:65" ht="150" customHeight="1" x14ac:dyDescent="0.25">
      <c r="A63" s="11">
        <v>2051</v>
      </c>
      <c r="B63" s="11">
        <v>1</v>
      </c>
      <c r="C63" s="11" t="str">
        <f t="shared" si="19"/>
        <v>Putting</v>
      </c>
      <c r="D63" s="11" t="s">
        <v>51</v>
      </c>
      <c r="E63" s="42"/>
      <c r="F63" s="42"/>
      <c r="G63" s="151" t="s">
        <v>480</v>
      </c>
      <c r="H63" s="328">
        <v>10</v>
      </c>
      <c r="I63" s="11">
        <v>1</v>
      </c>
      <c r="J63" s="55" t="str">
        <f>C63&amp;D63&amp;I63&amp;H63&amp;K63</f>
        <v>PuttingTest1103 m  10 holes</v>
      </c>
      <c r="K63" s="58" t="s">
        <v>687</v>
      </c>
      <c r="L63" s="57" t="s">
        <v>474</v>
      </c>
      <c r="M63" s="13"/>
      <c r="N63" s="90"/>
      <c r="O63" s="52"/>
      <c r="P63" s="13"/>
      <c r="Q63" s="35"/>
      <c r="R63" s="13"/>
      <c r="S63" s="13"/>
      <c r="T63" s="12"/>
      <c r="U63" s="54">
        <f t="shared" si="1"/>
        <v>-2</v>
      </c>
      <c r="V63" s="54"/>
      <c r="W63" s="81">
        <f>MAX(X63:BM63)</f>
        <v>8</v>
      </c>
      <c r="X63" s="85">
        <v>8</v>
      </c>
      <c r="Y63" s="11">
        <v>7.6923076808452606</v>
      </c>
      <c r="Z63" s="11">
        <v>7.3846153616905212</v>
      </c>
      <c r="AA63" s="86">
        <v>7.0769230425357819</v>
      </c>
      <c r="AB63" s="11">
        <v>6.7692307233810425</v>
      </c>
      <c r="AC63" s="11">
        <v>6.4615384042263031</v>
      </c>
      <c r="AD63" s="86">
        <v>6.1538460850715637</v>
      </c>
      <c r="AE63" s="11">
        <v>5.8461537659168243</v>
      </c>
      <c r="AF63" s="11">
        <v>5.538461446762085</v>
      </c>
      <c r="AG63" s="11">
        <v>5.2307691276073456</v>
      </c>
      <c r="AH63" s="11">
        <v>4.9230768084526062</v>
      </c>
      <c r="AI63" s="11">
        <v>4.6153844892978668</v>
      </c>
      <c r="AJ63" s="11">
        <v>4.3076921701431274</v>
      </c>
      <c r="AK63" s="85">
        <v>4</v>
      </c>
      <c r="AL63" s="11">
        <v>4</v>
      </c>
      <c r="AM63" s="11">
        <v>4</v>
      </c>
      <c r="AN63" s="11">
        <v>3</v>
      </c>
      <c r="AO63" s="11">
        <v>3</v>
      </c>
      <c r="AP63" s="11">
        <v>3</v>
      </c>
      <c r="AQ63" s="11">
        <v>3</v>
      </c>
      <c r="AR63" s="11">
        <v>3</v>
      </c>
      <c r="AS63" s="11">
        <v>2</v>
      </c>
      <c r="AT63" s="11">
        <v>2</v>
      </c>
      <c r="AU63" s="85">
        <v>2</v>
      </c>
      <c r="AV63" s="11">
        <v>2</v>
      </c>
      <c r="AW63" s="11">
        <v>1</v>
      </c>
      <c r="AX63" s="11">
        <v>1</v>
      </c>
      <c r="AY63" s="11">
        <v>1</v>
      </c>
      <c r="AZ63" s="11">
        <v>0</v>
      </c>
      <c r="BA63" s="11">
        <v>0</v>
      </c>
      <c r="BB63" s="11">
        <v>0</v>
      </c>
      <c r="BC63" s="11">
        <v>0</v>
      </c>
      <c r="BD63" s="11">
        <v>-1</v>
      </c>
      <c r="BE63" s="85">
        <v>-1</v>
      </c>
      <c r="BF63" s="11">
        <v>-1</v>
      </c>
      <c r="BG63" s="11">
        <v>-2</v>
      </c>
      <c r="BH63" s="11">
        <v>-2</v>
      </c>
      <c r="BI63" s="11">
        <v>-2</v>
      </c>
      <c r="BJ63" s="11">
        <v>-2</v>
      </c>
      <c r="BK63" s="11">
        <v>-2</v>
      </c>
      <c r="BL63" s="11">
        <v>-3</v>
      </c>
      <c r="BM63" s="85">
        <v>-3</v>
      </c>
    </row>
    <row r="64" spans="1:65" ht="150" customHeight="1" x14ac:dyDescent="0.25">
      <c r="A64" s="11">
        <v>2052</v>
      </c>
      <c r="B64" s="11">
        <v>1</v>
      </c>
      <c r="C64" s="11" t="str">
        <f t="shared" si="19"/>
        <v>Putting</v>
      </c>
      <c r="D64" s="11" t="s">
        <v>51</v>
      </c>
      <c r="E64" s="42"/>
      <c r="F64" s="42"/>
      <c r="G64" s="151" t="s">
        <v>480</v>
      </c>
      <c r="H64" s="328">
        <v>10</v>
      </c>
      <c r="I64" s="11">
        <v>1</v>
      </c>
      <c r="J64" s="55" t="str">
        <f>C64&amp;D64&amp;I64&amp;H64&amp;K64</f>
        <v>PuttingTest1104,5 m  10 holes</v>
      </c>
      <c r="K64" s="58" t="s">
        <v>688</v>
      </c>
      <c r="L64" s="57" t="s">
        <v>475</v>
      </c>
      <c r="M64" s="13"/>
      <c r="N64" s="90"/>
      <c r="O64" s="52"/>
      <c r="P64" s="13"/>
      <c r="Q64" s="35"/>
      <c r="R64" s="13"/>
      <c r="S64" s="13"/>
      <c r="T64" s="12"/>
      <c r="U64" s="54">
        <f t="shared" si="1"/>
        <v>-6</v>
      </c>
      <c r="V64" s="54"/>
      <c r="W64" s="81">
        <f>MAX(X64:BM64)</f>
        <v>4</v>
      </c>
      <c r="X64" s="85">
        <v>4</v>
      </c>
      <c r="Y64" s="11">
        <v>3.6923076808452606</v>
      </c>
      <c r="Z64" s="11">
        <v>3.3846153616905212</v>
      </c>
      <c r="AA64" s="11">
        <v>3.0769230425357819</v>
      </c>
      <c r="AB64" s="11">
        <v>2.7692307233810425</v>
      </c>
      <c r="AC64" s="11">
        <v>2.4615384042263031</v>
      </c>
      <c r="AD64" s="11">
        <v>2.1538460850715637</v>
      </c>
      <c r="AE64" s="11">
        <v>1.8461537659168243</v>
      </c>
      <c r="AF64" s="11">
        <v>1.538461446762085</v>
      </c>
      <c r="AG64" s="11">
        <v>1.2307691276073456</v>
      </c>
      <c r="AH64" s="11">
        <v>0.9230768084526062</v>
      </c>
      <c r="AI64" s="11">
        <v>0.61538448929786682</v>
      </c>
      <c r="AJ64" s="11">
        <v>0.30769217014312744</v>
      </c>
      <c r="AK64" s="85">
        <v>0</v>
      </c>
      <c r="AL64" s="11">
        <v>0</v>
      </c>
      <c r="AM64" s="11">
        <v>0</v>
      </c>
      <c r="AN64" s="11">
        <v>-1</v>
      </c>
      <c r="AO64" s="11">
        <v>-1</v>
      </c>
      <c r="AP64" s="11">
        <v>-1</v>
      </c>
      <c r="AQ64" s="11">
        <v>-1</v>
      </c>
      <c r="AR64" s="11">
        <v>-1</v>
      </c>
      <c r="AS64" s="11">
        <v>-2</v>
      </c>
      <c r="AT64" s="11">
        <v>-2</v>
      </c>
      <c r="AU64" s="85">
        <v>-2</v>
      </c>
      <c r="AV64" s="11">
        <v>-2</v>
      </c>
      <c r="AW64" s="11">
        <v>-2</v>
      </c>
      <c r="AX64" s="11">
        <v>-3</v>
      </c>
      <c r="AY64" s="11">
        <v>-3</v>
      </c>
      <c r="AZ64" s="11">
        <v>-3</v>
      </c>
      <c r="BA64" s="11">
        <v>-3</v>
      </c>
      <c r="BB64" s="11">
        <v>-3</v>
      </c>
      <c r="BC64" s="11">
        <v>-4</v>
      </c>
      <c r="BD64" s="11">
        <v>-4</v>
      </c>
      <c r="BE64" s="85">
        <v>-4</v>
      </c>
      <c r="BF64" s="11">
        <v>-4</v>
      </c>
      <c r="BG64" s="11">
        <v>-4</v>
      </c>
      <c r="BH64" s="11">
        <v>-5</v>
      </c>
      <c r="BI64" s="11">
        <v>-5</v>
      </c>
      <c r="BJ64" s="11">
        <v>-5</v>
      </c>
      <c r="BK64" s="11">
        <v>-6</v>
      </c>
      <c r="BL64" s="11">
        <v>-6</v>
      </c>
      <c r="BM64" s="85">
        <v>-6</v>
      </c>
    </row>
    <row r="65" spans="1:65" ht="150" customHeight="1" x14ac:dyDescent="0.25">
      <c r="A65" s="11">
        <v>2053</v>
      </c>
      <c r="B65" s="11">
        <v>1</v>
      </c>
      <c r="C65" s="11" t="str">
        <f t="shared" si="19"/>
        <v>Putting</v>
      </c>
      <c r="D65" s="11" t="s">
        <v>51</v>
      </c>
      <c r="E65" s="42"/>
      <c r="F65" s="42"/>
      <c r="G65" s="151" t="s">
        <v>861</v>
      </c>
      <c r="H65" s="328">
        <v>10</v>
      </c>
      <c r="I65" s="11">
        <v>1</v>
      </c>
      <c r="J65" s="55" t="str">
        <f t="shared" si="0"/>
        <v>PuttingTest1106 m  10 holes</v>
      </c>
      <c r="K65" s="58" t="s">
        <v>692</v>
      </c>
      <c r="L65" s="57" t="s">
        <v>471</v>
      </c>
      <c r="M65" s="13"/>
      <c r="N65" s="90"/>
      <c r="O65" s="52"/>
      <c r="P65" s="13"/>
      <c r="Q65" s="35"/>
      <c r="R65" s="13"/>
      <c r="S65" s="13"/>
      <c r="T65" s="12"/>
      <c r="U65" s="54">
        <f t="shared" si="1"/>
        <v>0</v>
      </c>
      <c r="V65" s="54"/>
      <c r="W65" s="81">
        <f t="shared" si="2"/>
        <v>15</v>
      </c>
      <c r="X65" s="85">
        <v>15</v>
      </c>
      <c r="Y65" s="11">
        <v>14.615384608507156</v>
      </c>
      <c r="Z65" s="11">
        <v>14.230769217014313</v>
      </c>
      <c r="AA65" s="11">
        <v>13.846153825521469</v>
      </c>
      <c r="AB65" s="11">
        <v>13.461538434028625</v>
      </c>
      <c r="AC65" s="11">
        <v>13.076923042535782</v>
      </c>
      <c r="AD65" s="11">
        <v>12.692307651042938</v>
      </c>
      <c r="AE65" s="11">
        <v>12.307692259550095</v>
      </c>
      <c r="AF65" s="11">
        <v>11.923076868057251</v>
      </c>
      <c r="AG65" s="11">
        <v>11.538461476564407</v>
      </c>
      <c r="AH65" s="11">
        <v>11.153846085071564</v>
      </c>
      <c r="AI65" s="11">
        <v>10.76923069357872</v>
      </c>
      <c r="AJ65" s="11">
        <v>10.384615302085876</v>
      </c>
      <c r="AK65" s="85">
        <v>10</v>
      </c>
      <c r="AL65" s="11">
        <v>10</v>
      </c>
      <c r="AM65" s="11">
        <v>9</v>
      </c>
      <c r="AN65" s="11">
        <v>9</v>
      </c>
      <c r="AO65" s="11">
        <v>9</v>
      </c>
      <c r="AP65" s="11">
        <v>8</v>
      </c>
      <c r="AQ65" s="11">
        <v>8</v>
      </c>
      <c r="AR65" s="11">
        <v>8</v>
      </c>
      <c r="AS65" s="11">
        <v>8</v>
      </c>
      <c r="AT65" s="11">
        <v>7</v>
      </c>
      <c r="AU65" s="85">
        <v>7</v>
      </c>
      <c r="AV65" s="11">
        <v>7</v>
      </c>
      <c r="AW65" s="11">
        <v>6</v>
      </c>
      <c r="AX65" s="11">
        <v>6</v>
      </c>
      <c r="AY65" s="11">
        <v>5</v>
      </c>
      <c r="AZ65" s="11">
        <v>5</v>
      </c>
      <c r="BA65" s="11">
        <v>5</v>
      </c>
      <c r="BB65" s="11">
        <v>4</v>
      </c>
      <c r="BC65" s="11">
        <v>4</v>
      </c>
      <c r="BD65" s="11">
        <v>3</v>
      </c>
      <c r="BE65" s="85">
        <v>3</v>
      </c>
      <c r="BF65" s="11">
        <v>2</v>
      </c>
      <c r="BG65" s="11">
        <v>2</v>
      </c>
      <c r="BH65" s="11">
        <v>2</v>
      </c>
      <c r="BI65" s="11">
        <v>1</v>
      </c>
      <c r="BJ65" s="11">
        <v>0</v>
      </c>
      <c r="BK65" s="11">
        <v>0</v>
      </c>
      <c r="BL65" s="11">
        <v>0</v>
      </c>
      <c r="BM65" s="85">
        <v>-1</v>
      </c>
    </row>
    <row r="66" spans="1:65" ht="150" customHeight="1" x14ac:dyDescent="0.25">
      <c r="A66" s="11">
        <v>2054</v>
      </c>
      <c r="B66" s="11">
        <v>1</v>
      </c>
      <c r="C66" s="11" t="str">
        <f t="shared" si="19"/>
        <v>Putting</v>
      </c>
      <c r="D66" s="11" t="s">
        <v>51</v>
      </c>
      <c r="E66" s="42"/>
      <c r="F66" s="42"/>
      <c r="G66" s="151" t="s">
        <v>861</v>
      </c>
      <c r="H66" s="328">
        <v>10</v>
      </c>
      <c r="I66" s="11">
        <v>1</v>
      </c>
      <c r="J66" s="55" t="str">
        <f t="shared" si="0"/>
        <v>PuttingTest1109 m  10 holes</v>
      </c>
      <c r="K66" s="58" t="s">
        <v>693</v>
      </c>
      <c r="L66" s="57" t="s">
        <v>472</v>
      </c>
      <c r="M66" s="13"/>
      <c r="N66" s="90"/>
      <c r="O66" s="52"/>
      <c r="P66" s="13"/>
      <c r="Q66" s="35"/>
      <c r="R66" s="13"/>
      <c r="S66" s="13"/>
      <c r="T66" s="12"/>
      <c r="U66" s="54">
        <f t="shared" si="1"/>
        <v>-6</v>
      </c>
      <c r="V66" s="54"/>
      <c r="W66" s="81">
        <f t="shared" si="2"/>
        <v>10</v>
      </c>
      <c r="X66" s="85">
        <v>10</v>
      </c>
      <c r="Y66" s="11">
        <v>9.5384615361690521</v>
      </c>
      <c r="Z66" s="11">
        <v>9.0769230723381042</v>
      </c>
      <c r="AA66" s="11">
        <v>8.6153846085071564</v>
      </c>
      <c r="AB66" s="11">
        <v>8.1538461446762085</v>
      </c>
      <c r="AC66" s="11">
        <v>7.6923076808452606</v>
      </c>
      <c r="AD66" s="11">
        <v>7.2307692170143127</v>
      </c>
      <c r="AE66" s="11">
        <v>6.7692307531833649</v>
      </c>
      <c r="AF66" s="11">
        <v>6.307692289352417</v>
      </c>
      <c r="AG66" s="11">
        <v>5.8461538255214691</v>
      </c>
      <c r="AH66" s="11">
        <v>5.3846153616905212</v>
      </c>
      <c r="AI66" s="11">
        <v>4.9230768978595734</v>
      </c>
      <c r="AJ66" s="11">
        <v>4.4615384340286255</v>
      </c>
      <c r="AK66" s="85">
        <v>4</v>
      </c>
      <c r="AL66" s="11">
        <v>4</v>
      </c>
      <c r="AM66" s="11">
        <v>3</v>
      </c>
      <c r="AN66" s="11">
        <v>3</v>
      </c>
      <c r="AO66" s="11">
        <v>2</v>
      </c>
      <c r="AP66" s="11">
        <v>2</v>
      </c>
      <c r="AQ66" s="11">
        <v>2</v>
      </c>
      <c r="AR66" s="11">
        <v>1</v>
      </c>
      <c r="AS66" s="11">
        <v>1</v>
      </c>
      <c r="AT66" s="11">
        <v>0</v>
      </c>
      <c r="AU66" s="85">
        <v>0</v>
      </c>
      <c r="AV66" s="11">
        <v>0</v>
      </c>
      <c r="AW66" s="11">
        <v>-1</v>
      </c>
      <c r="AX66" s="11">
        <v>-1</v>
      </c>
      <c r="AY66" s="11">
        <v>-2</v>
      </c>
      <c r="AZ66" s="11">
        <v>-2</v>
      </c>
      <c r="BA66" s="11">
        <v>-2</v>
      </c>
      <c r="BB66" s="11">
        <v>-3</v>
      </c>
      <c r="BC66" s="11">
        <v>-3</v>
      </c>
      <c r="BD66" s="11">
        <v>-4</v>
      </c>
      <c r="BE66" s="85">
        <v>-4</v>
      </c>
      <c r="BF66" s="11">
        <v>-4</v>
      </c>
      <c r="BG66" s="11">
        <v>-5</v>
      </c>
      <c r="BH66" s="11">
        <v>-5</v>
      </c>
      <c r="BI66" s="11">
        <v>-6</v>
      </c>
      <c r="BJ66" s="11">
        <v>-6</v>
      </c>
      <c r="BK66" s="11">
        <v>-6</v>
      </c>
      <c r="BL66" s="11">
        <v>-7</v>
      </c>
      <c r="BM66" s="85">
        <v>-7</v>
      </c>
    </row>
    <row r="67" spans="1:65" ht="150" customHeight="1" x14ac:dyDescent="0.25">
      <c r="A67" s="11">
        <v>2055</v>
      </c>
      <c r="B67" s="11">
        <v>1</v>
      </c>
      <c r="C67" s="11" t="str">
        <f t="shared" si="19"/>
        <v>Putting</v>
      </c>
      <c r="D67" s="11" t="s">
        <v>51</v>
      </c>
      <c r="E67" s="42"/>
      <c r="F67" s="42"/>
      <c r="G67" s="151" t="s">
        <v>861</v>
      </c>
      <c r="H67" s="328">
        <v>10</v>
      </c>
      <c r="I67" s="11">
        <v>1</v>
      </c>
      <c r="J67" s="55" t="str">
        <f t="shared" si="0"/>
        <v>PuttingTest11012 m  10 holes</v>
      </c>
      <c r="K67" s="58" t="s">
        <v>694</v>
      </c>
      <c r="L67" s="57" t="s">
        <v>473</v>
      </c>
      <c r="M67" s="13"/>
      <c r="N67" s="90"/>
      <c r="O67" s="52"/>
      <c r="P67" s="13"/>
      <c r="Q67" s="35"/>
      <c r="R67" s="13"/>
      <c r="S67" s="13"/>
      <c r="T67" s="12"/>
      <c r="U67" s="54">
        <f t="shared" si="1"/>
        <v>-13</v>
      </c>
      <c r="V67" s="54"/>
      <c r="W67" s="81">
        <f t="shared" si="2"/>
        <v>5</v>
      </c>
      <c r="X67" s="85">
        <v>5</v>
      </c>
      <c r="Y67" s="11">
        <v>4.5384615361690521</v>
      </c>
      <c r="Z67" s="11">
        <v>4.0769230723381042</v>
      </c>
      <c r="AA67" s="11">
        <v>3.6153846085071564</v>
      </c>
      <c r="AB67" s="11">
        <v>3.1538461446762085</v>
      </c>
      <c r="AC67" s="11">
        <v>2.6923076808452606</v>
      </c>
      <c r="AD67" s="11">
        <v>2.2307692170143127</v>
      </c>
      <c r="AE67" s="11">
        <v>1.7692307531833649</v>
      </c>
      <c r="AF67" s="11">
        <v>1.307692289352417</v>
      </c>
      <c r="AG67" s="11">
        <v>0.84615382552146912</v>
      </c>
      <c r="AH67" s="11">
        <v>0.38461536169052124</v>
      </c>
      <c r="AI67" s="11">
        <v>-7.6923102140426636E-2</v>
      </c>
      <c r="AJ67" s="11">
        <v>-0.53846156597137451</v>
      </c>
      <c r="AK67" s="85">
        <v>-1</v>
      </c>
      <c r="AL67" s="11">
        <v>-1</v>
      </c>
      <c r="AM67" s="11" t="s">
        <v>541</v>
      </c>
      <c r="AN67" s="11">
        <v>-2</v>
      </c>
      <c r="AO67" s="11">
        <v>-3</v>
      </c>
      <c r="AP67" s="11">
        <v>-3</v>
      </c>
      <c r="AQ67" s="11">
        <v>-3</v>
      </c>
      <c r="AR67" s="11">
        <v>-4</v>
      </c>
      <c r="AS67" s="11">
        <v>-4</v>
      </c>
      <c r="AT67" s="11">
        <v>-5</v>
      </c>
      <c r="AU67" s="85">
        <v>-5</v>
      </c>
      <c r="AV67" s="11">
        <v>-5</v>
      </c>
      <c r="AW67" s="11">
        <v>-6</v>
      </c>
      <c r="AX67" s="11">
        <v>-6</v>
      </c>
      <c r="AY67" s="11">
        <v>-7</v>
      </c>
      <c r="AZ67" s="11">
        <v>-7</v>
      </c>
      <c r="BA67" s="11">
        <v>-7</v>
      </c>
      <c r="BB67" s="11">
        <v>-8</v>
      </c>
      <c r="BC67" s="11">
        <v>-8</v>
      </c>
      <c r="BD67" s="11">
        <v>-9</v>
      </c>
      <c r="BE67" s="85">
        <v>-9</v>
      </c>
      <c r="BF67" s="11">
        <v>-10</v>
      </c>
      <c r="BG67" s="11">
        <v>-10</v>
      </c>
      <c r="BH67" s="11">
        <v>-11</v>
      </c>
      <c r="BI67" s="11">
        <v>-12</v>
      </c>
      <c r="BJ67" s="11">
        <v>-12</v>
      </c>
      <c r="BK67" s="11">
        <v>-13</v>
      </c>
      <c r="BL67" s="11">
        <v>-13</v>
      </c>
      <c r="BM67" s="85">
        <v>-14</v>
      </c>
    </row>
    <row r="68" spans="1:65" ht="150" customHeight="1" x14ac:dyDescent="0.25">
      <c r="A68" s="11">
        <v>2056</v>
      </c>
      <c r="B68" s="11">
        <v>1</v>
      </c>
      <c r="C68" s="11" t="str">
        <f t="shared" si="19"/>
        <v>Putting</v>
      </c>
      <c r="D68" s="11" t="s">
        <v>51</v>
      </c>
      <c r="E68" s="42"/>
      <c r="F68" s="42"/>
      <c r="G68" s="151" t="s">
        <v>861</v>
      </c>
      <c r="H68" s="328">
        <v>5</v>
      </c>
      <c r="I68" s="11">
        <v>1</v>
      </c>
      <c r="J68" s="55" t="str">
        <f t="shared" si="0"/>
        <v>PuttingTest15Sprial Game  60  - 180 cm</v>
      </c>
      <c r="K68" s="58" t="s">
        <v>795</v>
      </c>
      <c r="L68" s="57" t="s">
        <v>1335</v>
      </c>
      <c r="M68" s="13"/>
      <c r="N68" s="90"/>
      <c r="O68" s="72" t="s">
        <v>464</v>
      </c>
      <c r="P68" s="13"/>
      <c r="Q68" s="35"/>
      <c r="R68" s="13"/>
      <c r="S68" s="13"/>
      <c r="T68" s="12"/>
      <c r="U68" s="54">
        <f t="shared" si="1"/>
        <v>4</v>
      </c>
      <c r="V68" s="54"/>
      <c r="W68" s="81">
        <f t="shared" si="2"/>
        <v>4</v>
      </c>
      <c r="X68" s="85">
        <v>0</v>
      </c>
      <c r="Y68" s="11">
        <v>0</v>
      </c>
      <c r="Z68" s="11">
        <v>0</v>
      </c>
      <c r="AA68" s="11">
        <v>0</v>
      </c>
      <c r="AB68" s="11">
        <v>0</v>
      </c>
      <c r="AC68" s="11">
        <v>0</v>
      </c>
      <c r="AD68" s="11">
        <v>0</v>
      </c>
      <c r="AE68" s="11">
        <v>1</v>
      </c>
      <c r="AF68" s="11">
        <v>1</v>
      </c>
      <c r="AG68" s="11">
        <v>1</v>
      </c>
      <c r="AH68" s="11">
        <v>1</v>
      </c>
      <c r="AI68" s="11">
        <v>1</v>
      </c>
      <c r="AJ68" s="11">
        <v>1</v>
      </c>
      <c r="AK68" s="85">
        <v>1</v>
      </c>
      <c r="AL68" s="11">
        <v>1</v>
      </c>
      <c r="AM68" s="11">
        <v>1</v>
      </c>
      <c r="AN68" s="11">
        <v>1</v>
      </c>
      <c r="AO68" s="11">
        <v>1</v>
      </c>
      <c r="AP68" s="11">
        <v>2</v>
      </c>
      <c r="AQ68" s="11">
        <v>2</v>
      </c>
      <c r="AR68" s="11">
        <v>2</v>
      </c>
      <c r="AS68" s="11">
        <v>2</v>
      </c>
      <c r="AT68" s="11">
        <v>2</v>
      </c>
      <c r="AU68" s="85">
        <v>2</v>
      </c>
      <c r="AV68" s="11">
        <v>2</v>
      </c>
      <c r="AW68" s="11">
        <v>2</v>
      </c>
      <c r="AX68" s="11">
        <v>2</v>
      </c>
      <c r="AY68" s="11">
        <v>2</v>
      </c>
      <c r="AZ68" s="11">
        <v>2</v>
      </c>
      <c r="BA68" s="11">
        <v>3</v>
      </c>
      <c r="BB68" s="11">
        <v>3</v>
      </c>
      <c r="BC68" s="11">
        <v>3</v>
      </c>
      <c r="BD68" s="11">
        <v>3</v>
      </c>
      <c r="BE68" s="85">
        <v>3</v>
      </c>
      <c r="BF68" s="11">
        <v>3</v>
      </c>
      <c r="BG68" s="11">
        <v>3</v>
      </c>
      <c r="BH68" s="11">
        <v>3</v>
      </c>
      <c r="BI68" s="11">
        <v>4</v>
      </c>
      <c r="BJ68" s="11">
        <v>4</v>
      </c>
      <c r="BK68" s="11">
        <v>4</v>
      </c>
      <c r="BL68" s="11">
        <v>4</v>
      </c>
      <c r="BM68" s="85">
        <v>4</v>
      </c>
    </row>
    <row r="69" spans="1:65" ht="150" customHeight="1" x14ac:dyDescent="0.25">
      <c r="A69" s="11">
        <v>2057</v>
      </c>
      <c r="B69" s="11">
        <v>1</v>
      </c>
      <c r="C69" s="11" t="str">
        <f t="shared" si="19"/>
        <v>Putting</v>
      </c>
      <c r="D69" s="11" t="s">
        <v>51</v>
      </c>
      <c r="E69" s="42"/>
      <c r="F69" s="42"/>
      <c r="G69" s="151" t="s">
        <v>861</v>
      </c>
      <c r="H69" s="328">
        <v>5</v>
      </c>
      <c r="I69" s="11">
        <v>1</v>
      </c>
      <c r="J69" s="55" t="str">
        <f t="shared" si="0"/>
        <v>PuttingTest15Sprial Game  60  -  210 cm</v>
      </c>
      <c r="K69" s="58" t="s">
        <v>746</v>
      </c>
      <c r="L69" s="57" t="s">
        <v>1334</v>
      </c>
      <c r="M69" s="13"/>
      <c r="N69" s="90"/>
      <c r="O69" s="52"/>
      <c r="P69" s="13"/>
      <c r="Q69" s="35"/>
      <c r="R69" s="13"/>
      <c r="S69" s="13"/>
      <c r="T69" s="12"/>
      <c r="U69" s="54">
        <f t="shared" si="1"/>
        <v>15</v>
      </c>
      <c r="V69" s="54"/>
      <c r="W69" s="81">
        <f t="shared" si="2"/>
        <v>15</v>
      </c>
      <c r="X69" s="85">
        <v>1</v>
      </c>
      <c r="Y69" s="11">
        <v>1</v>
      </c>
      <c r="Z69" s="11">
        <v>1</v>
      </c>
      <c r="AA69" s="11">
        <v>1</v>
      </c>
      <c r="AB69" s="11">
        <v>2</v>
      </c>
      <c r="AC69" s="11">
        <v>2</v>
      </c>
      <c r="AD69" s="11">
        <v>2</v>
      </c>
      <c r="AE69" s="11">
        <v>2</v>
      </c>
      <c r="AF69" s="11">
        <v>2</v>
      </c>
      <c r="AG69" s="11">
        <v>2</v>
      </c>
      <c r="AH69" s="11">
        <v>3</v>
      </c>
      <c r="AI69" s="11">
        <v>3</v>
      </c>
      <c r="AJ69" s="11">
        <v>3</v>
      </c>
      <c r="AK69" s="85">
        <v>3</v>
      </c>
      <c r="AL69" s="11">
        <v>3</v>
      </c>
      <c r="AM69" s="11">
        <v>3</v>
      </c>
      <c r="AN69" s="11">
        <v>4</v>
      </c>
      <c r="AO69" s="11">
        <v>4</v>
      </c>
      <c r="AP69" s="11">
        <v>4</v>
      </c>
      <c r="AQ69" s="11">
        <v>4</v>
      </c>
      <c r="AR69" s="11">
        <v>4</v>
      </c>
      <c r="AS69" s="11">
        <v>5</v>
      </c>
      <c r="AT69" s="11">
        <v>5</v>
      </c>
      <c r="AU69" s="85">
        <v>5</v>
      </c>
      <c r="AV69" s="11">
        <v>6</v>
      </c>
      <c r="AW69" s="11">
        <v>7</v>
      </c>
      <c r="AX69" s="11">
        <v>8</v>
      </c>
      <c r="AY69" s="11">
        <v>9</v>
      </c>
      <c r="AZ69" s="11">
        <v>10</v>
      </c>
      <c r="BA69" s="11">
        <v>10</v>
      </c>
      <c r="BB69" s="11">
        <v>11</v>
      </c>
      <c r="BC69" s="11">
        <v>12</v>
      </c>
      <c r="BD69" s="11">
        <v>13</v>
      </c>
      <c r="BE69" s="85">
        <v>14</v>
      </c>
      <c r="BF69" s="11">
        <v>14</v>
      </c>
      <c r="BG69" s="11">
        <v>14</v>
      </c>
      <c r="BH69" s="11">
        <v>14</v>
      </c>
      <c r="BI69" s="11">
        <v>14</v>
      </c>
      <c r="BJ69" s="11">
        <v>15</v>
      </c>
      <c r="BK69" s="11">
        <v>15</v>
      </c>
      <c r="BL69" s="11">
        <v>15</v>
      </c>
      <c r="BM69" s="85">
        <v>15</v>
      </c>
    </row>
    <row r="70" spans="1:65" ht="150" customHeight="1" x14ac:dyDescent="0.25">
      <c r="A70" s="11">
        <v>2058</v>
      </c>
      <c r="B70" s="11">
        <v>1</v>
      </c>
      <c r="C70" s="11" t="str">
        <f t="shared" si="19"/>
        <v>Putting</v>
      </c>
      <c r="D70" s="11" t="s">
        <v>51</v>
      </c>
      <c r="E70" s="42"/>
      <c r="F70" s="42"/>
      <c r="G70" s="151" t="s">
        <v>861</v>
      </c>
      <c r="H70" s="328">
        <v>10</v>
      </c>
      <c r="I70" s="11">
        <v>1</v>
      </c>
      <c r="J70" s="55" t="str">
        <f t="shared" ref="J70:J135" si="20">C70&amp;D70&amp;I70&amp;H70&amp;K70</f>
        <v>PuttingTest110Sprial Game  60 -  240 cm</v>
      </c>
      <c r="K70" s="58" t="s">
        <v>745</v>
      </c>
      <c r="L70" s="57" t="s">
        <v>1331</v>
      </c>
      <c r="M70" s="13"/>
      <c r="N70" s="90"/>
      <c r="O70" s="52"/>
      <c r="P70" s="13"/>
      <c r="Q70" s="35"/>
      <c r="R70" s="13"/>
      <c r="S70" s="13"/>
      <c r="T70" s="12"/>
      <c r="U70" s="54">
        <f t="shared" ref="U70:U133" si="21">IFERROR(IF(LEN(X70)&gt;0,INT(INDEX(X70:BM70,0,DBE_HCP_ID)),""),"")</f>
        <v>70</v>
      </c>
      <c r="V70" s="54"/>
      <c r="W70" s="81">
        <f t="shared" si="2"/>
        <v>77</v>
      </c>
      <c r="X70" s="85">
        <v>3</v>
      </c>
      <c r="Y70" s="11">
        <v>4</v>
      </c>
      <c r="Z70" s="11">
        <v>4</v>
      </c>
      <c r="AA70" s="11">
        <v>5</v>
      </c>
      <c r="AB70" s="11">
        <v>5</v>
      </c>
      <c r="AC70" s="11">
        <v>6</v>
      </c>
      <c r="AD70" s="11">
        <v>7</v>
      </c>
      <c r="AE70" s="11">
        <v>7</v>
      </c>
      <c r="AF70" s="11">
        <v>8</v>
      </c>
      <c r="AG70" s="11">
        <v>9</v>
      </c>
      <c r="AH70" s="11">
        <v>9</v>
      </c>
      <c r="AI70" s="11">
        <v>10</v>
      </c>
      <c r="AJ70" s="11">
        <v>10</v>
      </c>
      <c r="AK70" s="85">
        <v>11</v>
      </c>
      <c r="AL70" s="11">
        <v>12</v>
      </c>
      <c r="AM70" s="11">
        <v>13</v>
      </c>
      <c r="AN70" s="11">
        <v>13</v>
      </c>
      <c r="AO70" s="11">
        <v>14</v>
      </c>
      <c r="AP70" s="11">
        <v>15</v>
      </c>
      <c r="AQ70" s="11">
        <v>16</v>
      </c>
      <c r="AR70" s="11">
        <v>17</v>
      </c>
      <c r="AS70" s="11">
        <v>17</v>
      </c>
      <c r="AT70" s="11">
        <v>18</v>
      </c>
      <c r="AU70" s="85">
        <v>19</v>
      </c>
      <c r="AV70" s="11">
        <v>22</v>
      </c>
      <c r="AW70" s="11">
        <v>25</v>
      </c>
      <c r="AX70" s="11">
        <v>28</v>
      </c>
      <c r="AY70" s="11">
        <v>31</v>
      </c>
      <c r="AZ70" s="11">
        <v>34</v>
      </c>
      <c r="BA70" s="11">
        <v>38</v>
      </c>
      <c r="BB70" s="11">
        <v>41</v>
      </c>
      <c r="BC70" s="11">
        <v>44</v>
      </c>
      <c r="BD70" s="11">
        <v>47</v>
      </c>
      <c r="BE70" s="85">
        <v>50</v>
      </c>
      <c r="BF70" s="11">
        <v>53</v>
      </c>
      <c r="BG70" s="11">
        <v>57</v>
      </c>
      <c r="BH70" s="11">
        <v>60</v>
      </c>
      <c r="BI70" s="11">
        <v>64</v>
      </c>
      <c r="BJ70" s="11">
        <v>67</v>
      </c>
      <c r="BK70" s="11">
        <v>70</v>
      </c>
      <c r="BL70" s="11">
        <v>74</v>
      </c>
      <c r="BM70" s="85">
        <v>77</v>
      </c>
    </row>
    <row r="71" spans="1:65" ht="150" customHeight="1" x14ac:dyDescent="0.25">
      <c r="A71" s="11">
        <v>2059</v>
      </c>
      <c r="B71" s="11">
        <v>1</v>
      </c>
      <c r="C71" s="11" t="str">
        <f t="shared" si="19"/>
        <v>Putting</v>
      </c>
      <c r="D71" s="11" t="s">
        <v>51</v>
      </c>
      <c r="E71" s="42"/>
      <c r="F71" s="42"/>
      <c r="G71" s="151" t="s">
        <v>484</v>
      </c>
      <c r="H71" s="328">
        <v>15</v>
      </c>
      <c r="I71" s="11">
        <v>1</v>
      </c>
      <c r="J71" s="55" t="str">
        <f t="shared" si="20"/>
        <v>PuttingTest115Sprial Game  60  -  270 cm</v>
      </c>
      <c r="K71" s="58" t="s">
        <v>744</v>
      </c>
      <c r="L71" s="57" t="s">
        <v>1332</v>
      </c>
      <c r="M71" s="13"/>
      <c r="N71" s="90"/>
      <c r="O71" s="52"/>
      <c r="P71" s="13"/>
      <c r="Q71" s="35"/>
      <c r="R71" s="13"/>
      <c r="S71" s="13"/>
      <c r="T71" s="12"/>
      <c r="U71" s="54">
        <f t="shared" si="21"/>
        <v>130</v>
      </c>
      <c r="V71" s="54"/>
      <c r="W71" s="81">
        <f t="shared" si="2"/>
        <v>140</v>
      </c>
      <c r="X71" s="85">
        <v>8</v>
      </c>
      <c r="Y71" s="11">
        <v>10</v>
      </c>
      <c r="Z71" s="11">
        <v>13</v>
      </c>
      <c r="AA71" s="11">
        <v>15</v>
      </c>
      <c r="AB71" s="11">
        <v>18</v>
      </c>
      <c r="AC71" s="11">
        <v>20</v>
      </c>
      <c r="AD71" s="11">
        <v>23</v>
      </c>
      <c r="AE71" s="11">
        <v>25</v>
      </c>
      <c r="AF71" s="11">
        <v>28</v>
      </c>
      <c r="AG71" s="11">
        <v>30</v>
      </c>
      <c r="AH71" s="11">
        <v>33</v>
      </c>
      <c r="AI71" s="11">
        <v>35</v>
      </c>
      <c r="AJ71" s="11">
        <v>38</v>
      </c>
      <c r="AK71" s="85">
        <v>40</v>
      </c>
      <c r="AL71" s="11">
        <v>42</v>
      </c>
      <c r="AM71" s="11">
        <v>44</v>
      </c>
      <c r="AN71" s="11">
        <v>46</v>
      </c>
      <c r="AO71" s="11">
        <v>48</v>
      </c>
      <c r="AP71" s="11">
        <v>50</v>
      </c>
      <c r="AQ71" s="11">
        <v>52</v>
      </c>
      <c r="AR71" s="11">
        <v>54</v>
      </c>
      <c r="AS71" s="11">
        <v>56</v>
      </c>
      <c r="AT71" s="11">
        <v>58</v>
      </c>
      <c r="AU71" s="85">
        <v>60</v>
      </c>
      <c r="AV71" s="11">
        <v>64</v>
      </c>
      <c r="AW71" s="11">
        <v>68</v>
      </c>
      <c r="AX71" s="11">
        <v>72</v>
      </c>
      <c r="AY71" s="11">
        <v>76</v>
      </c>
      <c r="AZ71" s="11">
        <v>80</v>
      </c>
      <c r="BA71" s="11">
        <v>84</v>
      </c>
      <c r="BB71" s="11">
        <v>88</v>
      </c>
      <c r="BC71" s="11">
        <v>92</v>
      </c>
      <c r="BD71" s="11">
        <v>96</v>
      </c>
      <c r="BE71" s="85">
        <v>100</v>
      </c>
      <c r="BF71" s="11">
        <v>105</v>
      </c>
      <c r="BG71" s="11">
        <v>110</v>
      </c>
      <c r="BH71" s="11">
        <v>115</v>
      </c>
      <c r="BI71" s="11">
        <v>120</v>
      </c>
      <c r="BJ71" s="11">
        <v>125</v>
      </c>
      <c r="BK71" s="11">
        <v>130</v>
      </c>
      <c r="BL71" s="11">
        <v>135</v>
      </c>
      <c r="BM71" s="85">
        <v>140</v>
      </c>
    </row>
    <row r="72" spans="1:65" ht="150" customHeight="1" x14ac:dyDescent="0.25">
      <c r="A72" s="11">
        <v>2060</v>
      </c>
      <c r="B72" s="11">
        <v>1</v>
      </c>
      <c r="C72" s="11" t="str">
        <f t="shared" si="19"/>
        <v>Putting</v>
      </c>
      <c r="D72" s="11" t="s">
        <v>51</v>
      </c>
      <c r="E72" s="42"/>
      <c r="F72" s="42"/>
      <c r="G72" s="151" t="s">
        <v>485</v>
      </c>
      <c r="H72" s="328">
        <v>20</v>
      </c>
      <c r="I72" s="11">
        <v>1</v>
      </c>
      <c r="J72" s="55" t="str">
        <f t="shared" si="20"/>
        <v>PuttingTest120Sprial Game  60  -  300 cm</v>
      </c>
      <c r="K72" s="58" t="s">
        <v>747</v>
      </c>
      <c r="L72" s="57" t="s">
        <v>1333</v>
      </c>
      <c r="M72" s="13"/>
      <c r="N72" s="90" t="s">
        <v>465</v>
      </c>
      <c r="O72" s="52"/>
      <c r="P72" s="13"/>
      <c r="Q72" s="35"/>
      <c r="R72" s="13"/>
      <c r="S72" s="13"/>
      <c r="T72" s="12"/>
      <c r="U72" s="54">
        <f t="shared" si="21"/>
        <v>350</v>
      </c>
      <c r="V72" s="54"/>
      <c r="W72" s="81">
        <f t="shared" si="2"/>
        <v>400</v>
      </c>
      <c r="X72" s="85">
        <v>23</v>
      </c>
      <c r="Y72" s="11">
        <v>29</v>
      </c>
      <c r="Z72" s="11">
        <v>35</v>
      </c>
      <c r="AA72" s="11">
        <v>41</v>
      </c>
      <c r="AB72" s="11">
        <v>47</v>
      </c>
      <c r="AC72" s="11">
        <v>53</v>
      </c>
      <c r="AD72" s="11">
        <v>59</v>
      </c>
      <c r="AE72" s="11">
        <v>64</v>
      </c>
      <c r="AF72" s="11">
        <v>70</v>
      </c>
      <c r="AG72" s="11">
        <v>76</v>
      </c>
      <c r="AH72" s="11">
        <v>82</v>
      </c>
      <c r="AI72" s="11">
        <v>88</v>
      </c>
      <c r="AJ72" s="11">
        <v>94</v>
      </c>
      <c r="AK72" s="85">
        <v>100</v>
      </c>
      <c r="AL72" s="11">
        <v>105</v>
      </c>
      <c r="AM72" s="11">
        <v>110</v>
      </c>
      <c r="AN72" s="11">
        <v>115</v>
      </c>
      <c r="AO72" s="11">
        <v>120</v>
      </c>
      <c r="AP72" s="11">
        <v>125</v>
      </c>
      <c r="AQ72" s="11">
        <v>130</v>
      </c>
      <c r="AR72" s="11">
        <v>135</v>
      </c>
      <c r="AS72" s="11">
        <v>140</v>
      </c>
      <c r="AT72" s="11">
        <v>145</v>
      </c>
      <c r="AU72" s="85">
        <v>150</v>
      </c>
      <c r="AV72" s="11">
        <v>155</v>
      </c>
      <c r="AW72" s="11">
        <v>160</v>
      </c>
      <c r="AX72" s="11">
        <v>165</v>
      </c>
      <c r="AY72" s="11">
        <v>170</v>
      </c>
      <c r="AZ72" s="11">
        <v>175</v>
      </c>
      <c r="BA72" s="11">
        <v>180</v>
      </c>
      <c r="BB72" s="11">
        <v>185</v>
      </c>
      <c r="BC72" s="11">
        <v>190</v>
      </c>
      <c r="BD72" s="11">
        <v>195</v>
      </c>
      <c r="BE72" s="85">
        <v>200</v>
      </c>
      <c r="BF72" s="11">
        <v>225</v>
      </c>
      <c r="BG72" s="11">
        <v>250</v>
      </c>
      <c r="BH72" s="11">
        <v>275</v>
      </c>
      <c r="BI72" s="11">
        <v>300</v>
      </c>
      <c r="BJ72" s="11">
        <v>325</v>
      </c>
      <c r="BK72" s="11">
        <v>350</v>
      </c>
      <c r="BL72" s="11">
        <v>375</v>
      </c>
      <c r="BM72" s="85">
        <v>400</v>
      </c>
    </row>
    <row r="73" spans="1:65" ht="150" customHeight="1" x14ac:dyDescent="0.25">
      <c r="A73" s="11">
        <v>2061</v>
      </c>
      <c r="B73" s="11">
        <v>1</v>
      </c>
      <c r="C73" s="11" t="str">
        <f t="shared" si="19"/>
        <v>Putting</v>
      </c>
      <c r="D73" s="11" t="s">
        <v>98</v>
      </c>
      <c r="E73" s="42"/>
      <c r="F73" s="42"/>
      <c r="G73" s="151" t="s">
        <v>478</v>
      </c>
      <c r="H73" s="328">
        <v>5</v>
      </c>
      <c r="I73" s="11">
        <v>1</v>
      </c>
      <c r="J73" s="55" t="str">
        <f t="shared" si="20"/>
        <v>PuttingChallenge153 holes  3m  Level 1</v>
      </c>
      <c r="K73" s="58" t="s">
        <v>706</v>
      </c>
      <c r="L73" s="87" t="s">
        <v>479</v>
      </c>
      <c r="M73" s="13"/>
      <c r="N73" s="90"/>
      <c r="O73" s="52"/>
      <c r="P73" s="13"/>
      <c r="Q73" s="35"/>
      <c r="R73" s="13"/>
      <c r="S73" s="13"/>
      <c r="T73" s="12"/>
      <c r="U73" s="54" t="str">
        <f t="shared" si="21"/>
        <v/>
      </c>
      <c r="V73" s="54"/>
      <c r="W73" s="81">
        <f t="shared" si="2"/>
        <v>0</v>
      </c>
      <c r="X73" s="85"/>
      <c r="Y73" s="11"/>
      <c r="Z73" s="11"/>
      <c r="AA73" s="11"/>
      <c r="AB73" s="11"/>
      <c r="AC73" s="11"/>
      <c r="AD73" s="11"/>
      <c r="AE73" s="11"/>
      <c r="AF73" s="11"/>
      <c r="AG73" s="11"/>
      <c r="AH73" s="11"/>
      <c r="AI73" s="11"/>
      <c r="AJ73" s="11"/>
      <c r="AK73" s="85"/>
      <c r="AL73" s="11"/>
      <c r="AM73" s="11"/>
      <c r="AN73" s="11"/>
      <c r="AO73" s="11"/>
      <c r="AP73" s="11"/>
      <c r="AQ73" s="11"/>
      <c r="AR73" s="11"/>
      <c r="AS73" s="11"/>
      <c r="AT73" s="11"/>
      <c r="AU73" s="85"/>
      <c r="AV73" s="11"/>
      <c r="AW73" s="11"/>
      <c r="AX73" s="11"/>
      <c r="AY73" s="11"/>
      <c r="AZ73" s="11"/>
      <c r="BA73" s="11"/>
      <c r="BB73" s="11"/>
      <c r="BC73" s="11"/>
      <c r="BD73" s="11"/>
      <c r="BE73" s="85"/>
      <c r="BF73" s="11"/>
      <c r="BG73" s="11"/>
      <c r="BH73" s="11"/>
      <c r="BI73" s="11"/>
      <c r="BJ73" s="11"/>
      <c r="BK73" s="11"/>
      <c r="BL73" s="11"/>
      <c r="BM73" s="85"/>
    </row>
    <row r="74" spans="1:65" ht="150" customHeight="1" x14ac:dyDescent="0.25">
      <c r="A74" s="11">
        <v>2062</v>
      </c>
      <c r="B74" s="11">
        <v>1</v>
      </c>
      <c r="C74" s="11" t="str">
        <f t="shared" si="19"/>
        <v>Putting</v>
      </c>
      <c r="D74" s="11" t="s">
        <v>98</v>
      </c>
      <c r="E74" s="42"/>
      <c r="F74" s="42"/>
      <c r="G74" s="151" t="s">
        <v>480</v>
      </c>
      <c r="H74" s="328">
        <v>5</v>
      </c>
      <c r="I74" s="11">
        <v>1</v>
      </c>
      <c r="J74" s="55" t="str">
        <f t="shared" si="20"/>
        <v>PuttingChallenge153 holes  3 - 6m  Level 1</v>
      </c>
      <c r="K74" s="58" t="s">
        <v>792</v>
      </c>
      <c r="L74" s="87" t="s">
        <v>481</v>
      </c>
      <c r="M74" s="13"/>
      <c r="N74" s="90"/>
      <c r="O74" s="52"/>
      <c r="P74" s="13"/>
      <c r="Q74" s="35"/>
      <c r="R74" s="13"/>
      <c r="S74" s="13"/>
      <c r="T74" s="12"/>
      <c r="U74" s="54" t="str">
        <f t="shared" si="21"/>
        <v/>
      </c>
      <c r="V74" s="54"/>
      <c r="W74" s="81">
        <f t="shared" si="2"/>
        <v>0</v>
      </c>
      <c r="X74" s="85"/>
      <c r="Y74" s="11"/>
      <c r="Z74" s="11"/>
      <c r="AA74" s="11"/>
      <c r="AB74" s="11"/>
      <c r="AC74" s="11"/>
      <c r="AD74" s="11"/>
      <c r="AE74" s="11"/>
      <c r="AF74" s="11"/>
      <c r="AG74" s="11"/>
      <c r="AH74" s="11"/>
      <c r="AI74" s="11"/>
      <c r="AJ74" s="11"/>
      <c r="AK74" s="85"/>
      <c r="AL74" s="11"/>
      <c r="AM74" s="11"/>
      <c r="AN74" s="11"/>
      <c r="AO74" s="11"/>
      <c r="AP74" s="11"/>
      <c r="AQ74" s="11"/>
      <c r="AR74" s="11"/>
      <c r="AS74" s="11"/>
      <c r="AT74" s="11"/>
      <c r="AU74" s="85"/>
      <c r="AV74" s="11"/>
      <c r="AW74" s="11"/>
      <c r="AX74" s="11"/>
      <c r="AY74" s="11"/>
      <c r="AZ74" s="11"/>
      <c r="BA74" s="11"/>
      <c r="BB74" s="11"/>
      <c r="BC74" s="11"/>
      <c r="BD74" s="11"/>
      <c r="BE74" s="85"/>
      <c r="BF74" s="11"/>
      <c r="BG74" s="11"/>
      <c r="BH74" s="11"/>
      <c r="BI74" s="11"/>
      <c r="BJ74" s="11"/>
      <c r="BK74" s="11"/>
      <c r="BL74" s="11"/>
      <c r="BM74" s="85"/>
    </row>
    <row r="75" spans="1:65" ht="150" customHeight="1" x14ac:dyDescent="0.25">
      <c r="A75" s="11">
        <v>2063</v>
      </c>
      <c r="B75" s="11">
        <v>1</v>
      </c>
      <c r="C75" s="11" t="str">
        <f t="shared" si="19"/>
        <v>Putting</v>
      </c>
      <c r="D75" s="11" t="s">
        <v>98</v>
      </c>
      <c r="E75" s="42"/>
      <c r="F75" s="42"/>
      <c r="G75" s="151" t="s">
        <v>484</v>
      </c>
      <c r="H75" s="328">
        <v>5</v>
      </c>
      <c r="I75" s="11">
        <v>1</v>
      </c>
      <c r="J75" s="55" t="str">
        <f t="shared" si="20"/>
        <v>PuttingChallenge153 holes  6 - 9m  Level 1</v>
      </c>
      <c r="K75" s="58" t="s">
        <v>793</v>
      </c>
      <c r="L75" s="87" t="s">
        <v>482</v>
      </c>
      <c r="M75" s="13"/>
      <c r="N75" s="90"/>
      <c r="O75" s="52"/>
      <c r="P75" s="13"/>
      <c r="Q75" s="35"/>
      <c r="R75" s="13"/>
      <c r="S75" s="13"/>
      <c r="T75" s="12"/>
      <c r="U75" s="54" t="str">
        <f t="shared" si="21"/>
        <v/>
      </c>
      <c r="V75" s="54"/>
      <c r="W75" s="81">
        <f t="shared" ref="W75:W140" si="22">MAX(X75:BM75)</f>
        <v>0</v>
      </c>
      <c r="X75" s="85"/>
      <c r="Y75" s="11"/>
      <c r="Z75" s="11"/>
      <c r="AA75" s="11"/>
      <c r="AB75" s="11"/>
      <c r="AC75" s="11"/>
      <c r="AD75" s="11"/>
      <c r="AE75" s="11"/>
      <c r="AF75" s="11"/>
      <c r="AG75" s="11"/>
      <c r="AH75" s="11"/>
      <c r="AI75" s="11"/>
      <c r="AJ75" s="11"/>
      <c r="AK75" s="85"/>
      <c r="AL75" s="11"/>
      <c r="AM75" s="11"/>
      <c r="AN75" s="11"/>
      <c r="AO75" s="11"/>
      <c r="AP75" s="11"/>
      <c r="AQ75" s="11"/>
      <c r="AR75" s="11"/>
      <c r="AS75" s="11"/>
      <c r="AT75" s="11"/>
      <c r="AU75" s="85"/>
      <c r="AV75" s="11"/>
      <c r="AW75" s="11"/>
      <c r="AX75" s="11"/>
      <c r="AY75" s="11"/>
      <c r="AZ75" s="11"/>
      <c r="BA75" s="11"/>
      <c r="BB75" s="11"/>
      <c r="BC75" s="11"/>
      <c r="BD75" s="11"/>
      <c r="BE75" s="85"/>
      <c r="BF75" s="11"/>
      <c r="BG75" s="11"/>
      <c r="BH75" s="11"/>
      <c r="BI75" s="11"/>
      <c r="BJ75" s="11"/>
      <c r="BK75" s="11"/>
      <c r="BL75" s="11"/>
      <c r="BM75" s="85"/>
    </row>
    <row r="76" spans="1:65" ht="150" customHeight="1" x14ac:dyDescent="0.25">
      <c r="A76" s="11">
        <v>2064</v>
      </c>
      <c r="B76" s="11">
        <v>1</v>
      </c>
      <c r="C76" s="11" t="str">
        <f t="shared" si="19"/>
        <v>Putting</v>
      </c>
      <c r="D76" s="11" t="s">
        <v>98</v>
      </c>
      <c r="E76" s="42"/>
      <c r="F76" s="42"/>
      <c r="G76" s="151" t="s">
        <v>485</v>
      </c>
      <c r="H76" s="328">
        <v>5</v>
      </c>
      <c r="I76" s="11">
        <v>1</v>
      </c>
      <c r="J76" s="55" t="str">
        <f t="shared" si="20"/>
        <v>PuttingChallenge153 holes  6 - 12m  Level 2</v>
      </c>
      <c r="K76" s="58" t="s">
        <v>794</v>
      </c>
      <c r="L76" s="87" t="s">
        <v>483</v>
      </c>
      <c r="M76" s="13"/>
      <c r="N76" s="90"/>
      <c r="O76" s="52"/>
      <c r="P76" s="13"/>
      <c r="Q76" s="35"/>
      <c r="R76" s="13"/>
      <c r="S76" s="13"/>
      <c r="T76" s="12"/>
      <c r="U76" s="54" t="str">
        <f t="shared" si="21"/>
        <v/>
      </c>
      <c r="V76" s="54"/>
      <c r="W76" s="81">
        <f t="shared" si="22"/>
        <v>0</v>
      </c>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row>
    <row r="77" spans="1:65" ht="150" customHeight="1" x14ac:dyDescent="0.25">
      <c r="A77" s="11">
        <v>2065</v>
      </c>
      <c r="B77" s="11">
        <v>1</v>
      </c>
      <c r="C77" s="11" t="str">
        <f t="shared" si="19"/>
        <v>Putting</v>
      </c>
      <c r="D77" s="11" t="s">
        <v>98</v>
      </c>
      <c r="E77" s="42"/>
      <c r="F77" s="42"/>
      <c r="G77" s="151" t="s">
        <v>478</v>
      </c>
      <c r="H77" s="328">
        <v>5</v>
      </c>
      <c r="I77" s="11">
        <v>1</v>
      </c>
      <c r="J77" s="55" t="str">
        <f t="shared" si="20"/>
        <v>PuttingChallenge155 holes  3m Level 2</v>
      </c>
      <c r="K77" s="58" t="s">
        <v>707</v>
      </c>
      <c r="L77" s="87" t="s">
        <v>486</v>
      </c>
      <c r="M77" s="13"/>
      <c r="N77" s="90"/>
      <c r="O77" s="52"/>
      <c r="P77" s="13"/>
      <c r="Q77" s="35"/>
      <c r="R77" s="13"/>
      <c r="S77" s="13"/>
      <c r="T77" s="12"/>
      <c r="U77" s="54" t="str">
        <f t="shared" si="21"/>
        <v/>
      </c>
      <c r="V77" s="54"/>
      <c r="W77" s="81">
        <f t="shared" si="22"/>
        <v>0</v>
      </c>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row>
    <row r="78" spans="1:65" ht="150" customHeight="1" x14ac:dyDescent="0.25">
      <c r="A78" s="11">
        <v>2066</v>
      </c>
      <c r="B78" s="11">
        <v>1</v>
      </c>
      <c r="C78" s="11" t="str">
        <f t="shared" ref="C78:C111" si="23">MUI_STAT_T_MainTitel_1</f>
        <v>Putting</v>
      </c>
      <c r="D78" s="11" t="s">
        <v>98</v>
      </c>
      <c r="E78" s="42"/>
      <c r="F78" s="42"/>
      <c r="G78" s="151" t="s">
        <v>478</v>
      </c>
      <c r="H78" s="328">
        <v>5</v>
      </c>
      <c r="I78" s="11">
        <v>1</v>
      </c>
      <c r="J78" s="55" t="str">
        <f t="shared" si="20"/>
        <v>PuttingChallenge155 holes      3 - 4m      Level 2</v>
      </c>
      <c r="K78" s="58" t="s">
        <v>1134</v>
      </c>
      <c r="L78" s="87" t="s">
        <v>1133</v>
      </c>
      <c r="M78" s="13"/>
      <c r="N78" s="90"/>
      <c r="O78" s="52"/>
      <c r="P78" s="13"/>
      <c r="Q78" s="35"/>
      <c r="R78" s="13"/>
      <c r="S78" s="13"/>
      <c r="T78" s="12"/>
      <c r="U78" s="54" t="str">
        <f t="shared" si="21"/>
        <v/>
      </c>
      <c r="V78" s="54"/>
      <c r="W78" s="81">
        <f t="shared" si="22"/>
        <v>0</v>
      </c>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row>
    <row r="79" spans="1:65" ht="150" customHeight="1" x14ac:dyDescent="0.25">
      <c r="A79" s="11">
        <v>2067</v>
      </c>
      <c r="B79" s="11">
        <v>1</v>
      </c>
      <c r="C79" s="11" t="str">
        <f t="shared" si="23"/>
        <v>Putting</v>
      </c>
      <c r="D79" s="11" t="s">
        <v>98</v>
      </c>
      <c r="E79" s="42"/>
      <c r="F79" s="42"/>
      <c r="G79" s="151" t="s">
        <v>480</v>
      </c>
      <c r="H79" s="328">
        <v>5</v>
      </c>
      <c r="I79" s="11">
        <v>1</v>
      </c>
      <c r="J79" s="55" t="str">
        <f t="shared" si="20"/>
        <v>PuttingChallenge155 holes      4 - 6m      Level 2</v>
      </c>
      <c r="K79" s="58" t="s">
        <v>1131</v>
      </c>
      <c r="L79" s="87" t="s">
        <v>1132</v>
      </c>
      <c r="M79" s="13"/>
      <c r="N79" s="90"/>
      <c r="O79" s="52"/>
      <c r="P79" s="13"/>
      <c r="Q79" s="35"/>
      <c r="R79" s="13"/>
      <c r="S79" s="13"/>
      <c r="T79" s="12"/>
      <c r="U79" s="54" t="str">
        <f t="shared" si="21"/>
        <v/>
      </c>
      <c r="V79" s="54"/>
      <c r="W79" s="81">
        <f t="shared" si="22"/>
        <v>0</v>
      </c>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row>
    <row r="80" spans="1:65" ht="150" customHeight="1" x14ac:dyDescent="0.25">
      <c r="A80" s="11">
        <v>2068</v>
      </c>
      <c r="B80" s="11">
        <v>1</v>
      </c>
      <c r="C80" s="11" t="str">
        <f t="shared" si="23"/>
        <v>Putting</v>
      </c>
      <c r="D80" s="11" t="s">
        <v>98</v>
      </c>
      <c r="E80" s="42"/>
      <c r="F80" s="42"/>
      <c r="G80" s="151" t="s">
        <v>480</v>
      </c>
      <c r="H80" s="328">
        <v>5</v>
      </c>
      <c r="I80" s="11">
        <v>1</v>
      </c>
      <c r="J80" s="55" t="str">
        <f t="shared" si="20"/>
        <v>PuttingChallenge155 holes     5 - 8m      Level 2</v>
      </c>
      <c r="K80" s="58" t="s">
        <v>1135</v>
      </c>
      <c r="L80" s="87" t="s">
        <v>1136</v>
      </c>
      <c r="M80" s="13"/>
      <c r="N80" s="90"/>
      <c r="O80" s="52"/>
      <c r="P80" s="13"/>
      <c r="Q80" s="35"/>
      <c r="R80" s="13"/>
      <c r="S80" s="13"/>
      <c r="T80" s="12"/>
      <c r="U80" s="54" t="str">
        <f t="shared" si="21"/>
        <v/>
      </c>
      <c r="V80" s="54"/>
      <c r="W80" s="81">
        <f t="shared" si="22"/>
        <v>0</v>
      </c>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row>
    <row r="81" spans="1:65" ht="150" customHeight="1" x14ac:dyDescent="0.25">
      <c r="A81" s="11">
        <v>2069</v>
      </c>
      <c r="B81" s="11">
        <v>1</v>
      </c>
      <c r="C81" s="11" t="str">
        <f t="shared" si="23"/>
        <v>Putting</v>
      </c>
      <c r="D81" s="11" t="s">
        <v>98</v>
      </c>
      <c r="E81" s="42"/>
      <c r="F81" s="42"/>
      <c r="G81" s="151" t="s">
        <v>484</v>
      </c>
      <c r="H81" s="328">
        <v>5</v>
      </c>
      <c r="I81" s="11">
        <v>1</v>
      </c>
      <c r="J81" s="55" t="str">
        <f t="shared" si="20"/>
        <v>PuttingChallenge155 holes      6 - 10m      Level 2</v>
      </c>
      <c r="K81" s="58" t="s">
        <v>1137</v>
      </c>
      <c r="L81" s="87" t="s">
        <v>1138</v>
      </c>
      <c r="M81" s="13"/>
      <c r="N81" s="90"/>
      <c r="O81" s="52"/>
      <c r="P81" s="13"/>
      <c r="Q81" s="35"/>
      <c r="R81" s="13"/>
      <c r="S81" s="13"/>
      <c r="T81" s="12"/>
      <c r="U81" s="54" t="str">
        <f t="shared" si="21"/>
        <v/>
      </c>
      <c r="V81" s="54"/>
      <c r="W81" s="81">
        <f t="shared" si="22"/>
        <v>0</v>
      </c>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row>
    <row r="82" spans="1:65" ht="150" customHeight="1" x14ac:dyDescent="0.25">
      <c r="A82" s="11">
        <v>2070</v>
      </c>
      <c r="B82" s="11">
        <v>1</v>
      </c>
      <c r="C82" s="11" t="str">
        <f t="shared" si="23"/>
        <v>Putting</v>
      </c>
      <c r="D82" s="11" t="s">
        <v>98</v>
      </c>
      <c r="E82" s="42"/>
      <c r="F82" s="42"/>
      <c r="G82" s="151" t="s">
        <v>485</v>
      </c>
      <c r="H82" s="328">
        <v>5</v>
      </c>
      <c r="I82" s="11">
        <v>1</v>
      </c>
      <c r="J82" s="55" t="str">
        <f t="shared" si="20"/>
        <v>PuttingChallenge155 holes      7 - 12m      Level 2</v>
      </c>
      <c r="K82" s="58" t="s">
        <v>1139</v>
      </c>
      <c r="L82" s="87" t="s">
        <v>1140</v>
      </c>
      <c r="M82" s="13"/>
      <c r="N82" s="90"/>
      <c r="O82" s="52"/>
      <c r="P82" s="13"/>
      <c r="Q82" s="35"/>
      <c r="R82" s="13"/>
      <c r="S82" s="13"/>
      <c r="T82" s="12"/>
      <c r="U82" s="54" t="str">
        <f t="shared" si="21"/>
        <v/>
      </c>
      <c r="V82" s="54"/>
      <c r="W82" s="81">
        <f t="shared" si="22"/>
        <v>0</v>
      </c>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row>
    <row r="83" spans="1:65" ht="150" customHeight="1" x14ac:dyDescent="0.25">
      <c r="A83" s="11">
        <v>2071</v>
      </c>
      <c r="B83" s="11">
        <v>1</v>
      </c>
      <c r="C83" s="11" t="str">
        <f t="shared" si="23"/>
        <v>Putting</v>
      </c>
      <c r="D83" s="11" t="s">
        <v>98</v>
      </c>
      <c r="E83" s="42"/>
      <c r="F83" s="42"/>
      <c r="G83" s="151" t="s">
        <v>478</v>
      </c>
      <c r="H83" s="328">
        <v>5</v>
      </c>
      <c r="I83" s="11">
        <v>1</v>
      </c>
      <c r="J83" s="55" t="str">
        <f t="shared" si="20"/>
        <v>PuttingChallenge157 holes       3m      Level 3</v>
      </c>
      <c r="K83" s="58" t="s">
        <v>625</v>
      </c>
      <c r="L83" s="87" t="s">
        <v>487</v>
      </c>
      <c r="M83" s="13"/>
      <c r="N83" s="90"/>
      <c r="O83" s="52"/>
      <c r="P83" s="13"/>
      <c r="Q83" s="35"/>
      <c r="R83" s="13"/>
      <c r="S83" s="13"/>
      <c r="T83" s="12"/>
      <c r="U83" s="54" t="str">
        <f t="shared" si="21"/>
        <v/>
      </c>
      <c r="V83" s="54"/>
      <c r="W83" s="81">
        <f t="shared" si="22"/>
        <v>0</v>
      </c>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row>
    <row r="84" spans="1:65" ht="150" customHeight="1" x14ac:dyDescent="0.25">
      <c r="A84" s="11">
        <v>2072</v>
      </c>
      <c r="B84" s="11">
        <v>1</v>
      </c>
      <c r="C84" s="11" t="str">
        <f t="shared" si="23"/>
        <v>Putting</v>
      </c>
      <c r="D84" s="11" t="s">
        <v>98</v>
      </c>
      <c r="E84" s="42"/>
      <c r="F84" s="42"/>
      <c r="G84" s="151" t="s">
        <v>480</v>
      </c>
      <c r="H84" s="328">
        <v>5</v>
      </c>
      <c r="I84" s="11">
        <v>1</v>
      </c>
      <c r="J84" s="55" t="str">
        <f t="shared" si="20"/>
        <v>PuttingChallenge157 holes      3 - 4m      Level 3</v>
      </c>
      <c r="K84" s="58" t="s">
        <v>1149</v>
      </c>
      <c r="L84" s="87" t="s">
        <v>1158</v>
      </c>
      <c r="M84" s="13"/>
      <c r="N84" s="90"/>
      <c r="O84" s="52"/>
      <c r="P84" s="13"/>
      <c r="Q84" s="35"/>
      <c r="R84" s="13"/>
      <c r="S84" s="13"/>
      <c r="T84" s="12"/>
      <c r="U84" s="54" t="str">
        <f t="shared" si="21"/>
        <v/>
      </c>
      <c r="V84" s="54"/>
      <c r="W84" s="81">
        <f t="shared" si="22"/>
        <v>0</v>
      </c>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row>
    <row r="85" spans="1:65" ht="150" customHeight="1" x14ac:dyDescent="0.25">
      <c r="A85" s="11">
        <v>2073</v>
      </c>
      <c r="B85" s="11">
        <v>1</v>
      </c>
      <c r="C85" s="11" t="str">
        <f t="shared" si="23"/>
        <v>Putting</v>
      </c>
      <c r="D85" s="11" t="s">
        <v>98</v>
      </c>
      <c r="E85" s="42"/>
      <c r="F85" s="42"/>
      <c r="G85" s="151" t="s">
        <v>480</v>
      </c>
      <c r="H85" s="328">
        <v>5</v>
      </c>
      <c r="I85" s="11">
        <v>1</v>
      </c>
      <c r="J85" s="55" t="str">
        <f>C85&amp;D85&amp;I85&amp;H85&amp;K85</f>
        <v>PuttingChallenge157 holes      4 - 6m      Level 3</v>
      </c>
      <c r="K85" s="58" t="s">
        <v>1150</v>
      </c>
      <c r="L85" s="87" t="s">
        <v>1157</v>
      </c>
      <c r="M85" s="13"/>
      <c r="N85" s="90"/>
      <c r="O85" s="52"/>
      <c r="P85" s="13"/>
      <c r="Q85" s="35"/>
      <c r="R85" s="13"/>
      <c r="S85" s="13"/>
      <c r="T85" s="12"/>
      <c r="U85" s="54" t="str">
        <f t="shared" si="21"/>
        <v/>
      </c>
      <c r="V85" s="54"/>
      <c r="W85" s="81">
        <f>MAX(X85:BM85)</f>
        <v>0</v>
      </c>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row>
    <row r="86" spans="1:65" ht="150" customHeight="1" x14ac:dyDescent="0.25">
      <c r="A86" s="11">
        <v>2074</v>
      </c>
      <c r="B86" s="11">
        <v>1</v>
      </c>
      <c r="C86" s="11" t="str">
        <f t="shared" si="23"/>
        <v>Putting</v>
      </c>
      <c r="D86" s="11" t="s">
        <v>98</v>
      </c>
      <c r="E86" s="42"/>
      <c r="F86" s="42"/>
      <c r="G86" s="151" t="s">
        <v>480</v>
      </c>
      <c r="H86" s="328">
        <v>5</v>
      </c>
      <c r="I86" s="11">
        <v>1</v>
      </c>
      <c r="J86" s="55" t="str">
        <f>C86&amp;D86&amp;I86&amp;H86&amp;K86</f>
        <v>PuttingChallenge157 holes      5 - 8m      Level 3</v>
      </c>
      <c r="K86" s="58" t="s">
        <v>1151</v>
      </c>
      <c r="L86" s="87" t="s">
        <v>1156</v>
      </c>
      <c r="M86" s="13"/>
      <c r="N86" s="90"/>
      <c r="O86" s="52"/>
      <c r="P86" s="13"/>
      <c r="Q86" s="35"/>
      <c r="R86" s="13"/>
      <c r="S86" s="13"/>
      <c r="T86" s="12"/>
      <c r="U86" s="54" t="str">
        <f t="shared" si="21"/>
        <v/>
      </c>
      <c r="V86" s="54"/>
      <c r="W86" s="81">
        <f>MAX(X86:BM86)</f>
        <v>0</v>
      </c>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row>
    <row r="87" spans="1:65" ht="150" customHeight="1" x14ac:dyDescent="0.25">
      <c r="A87" s="11">
        <v>2075</v>
      </c>
      <c r="B87" s="11">
        <v>1</v>
      </c>
      <c r="C87" s="11" t="str">
        <f t="shared" si="23"/>
        <v>Putting</v>
      </c>
      <c r="D87" s="11" t="s">
        <v>98</v>
      </c>
      <c r="E87" s="42"/>
      <c r="F87" s="42"/>
      <c r="G87" s="151" t="s">
        <v>480</v>
      </c>
      <c r="H87" s="328">
        <v>5</v>
      </c>
      <c r="I87" s="11">
        <v>1</v>
      </c>
      <c r="J87" s="55" t="str">
        <f>C87&amp;D87&amp;I87&amp;H87&amp;K87</f>
        <v>PuttingChallenge157 holes      6 - 10m      Level 3</v>
      </c>
      <c r="K87" s="58" t="s">
        <v>1152</v>
      </c>
      <c r="L87" s="87" t="s">
        <v>1155</v>
      </c>
      <c r="M87" s="13"/>
      <c r="N87" s="90"/>
      <c r="O87" s="52"/>
      <c r="P87" s="13"/>
      <c r="Q87" s="35"/>
      <c r="R87" s="13"/>
      <c r="S87" s="13"/>
      <c r="T87" s="12"/>
      <c r="U87" s="54" t="str">
        <f t="shared" si="21"/>
        <v/>
      </c>
      <c r="V87" s="54"/>
      <c r="W87" s="81">
        <f>MAX(X87:BM87)</f>
        <v>0</v>
      </c>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row>
    <row r="88" spans="1:65" ht="150" customHeight="1" x14ac:dyDescent="0.25">
      <c r="A88" s="11">
        <v>2076</v>
      </c>
      <c r="B88" s="11">
        <v>1</v>
      </c>
      <c r="C88" s="11" t="str">
        <f t="shared" si="23"/>
        <v>Putting</v>
      </c>
      <c r="D88" s="11" t="s">
        <v>98</v>
      </c>
      <c r="E88" s="42"/>
      <c r="F88" s="42"/>
      <c r="G88" s="151" t="s">
        <v>484</v>
      </c>
      <c r="H88" s="328">
        <v>5</v>
      </c>
      <c r="I88" s="11">
        <v>1</v>
      </c>
      <c r="J88" s="55" t="str">
        <f t="shared" si="20"/>
        <v>PuttingChallenge157 holes       7 - 12m      Level 3</v>
      </c>
      <c r="K88" s="58" t="s">
        <v>1153</v>
      </c>
      <c r="L88" s="87" t="s">
        <v>1154</v>
      </c>
      <c r="M88" s="13"/>
      <c r="N88" s="90"/>
      <c r="O88" s="52"/>
      <c r="P88" s="13"/>
      <c r="Q88" s="35"/>
      <c r="R88" s="13"/>
      <c r="S88" s="13"/>
      <c r="T88" s="12"/>
      <c r="U88" s="54" t="str">
        <f t="shared" si="21"/>
        <v/>
      </c>
      <c r="V88" s="54"/>
      <c r="W88" s="81">
        <f t="shared" si="22"/>
        <v>0</v>
      </c>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row>
    <row r="89" spans="1:65" ht="150" customHeight="1" x14ac:dyDescent="0.25">
      <c r="A89" s="11">
        <v>2077</v>
      </c>
      <c r="B89" s="11">
        <v>-1</v>
      </c>
      <c r="C89" s="11" t="str">
        <f t="shared" si="23"/>
        <v>Putting</v>
      </c>
      <c r="D89" s="11" t="s">
        <v>494</v>
      </c>
      <c r="E89" s="42"/>
      <c r="F89" s="42"/>
      <c r="G89" s="151" t="s">
        <v>861</v>
      </c>
      <c r="H89" s="328">
        <v>5</v>
      </c>
      <c r="I89" s="11">
        <v>1</v>
      </c>
      <c r="J89" s="55" t="str">
        <f t="shared" si="20"/>
        <v>PuttingTechnic15Put through the gate</v>
      </c>
      <c r="K89" s="58" t="s">
        <v>488</v>
      </c>
      <c r="L89" s="87" t="s">
        <v>489</v>
      </c>
      <c r="M89" s="13"/>
      <c r="N89" s="89" t="s">
        <v>491</v>
      </c>
      <c r="O89" s="72" t="s">
        <v>490</v>
      </c>
      <c r="P89" s="13"/>
      <c r="Q89" s="35"/>
      <c r="R89" s="13"/>
      <c r="S89" s="13"/>
      <c r="T89" s="12"/>
      <c r="U89" s="54" t="str">
        <f t="shared" si="21"/>
        <v/>
      </c>
      <c r="V89" s="54"/>
      <c r="W89" s="81">
        <f t="shared" si="22"/>
        <v>0</v>
      </c>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row>
    <row r="90" spans="1:65" ht="150" customHeight="1" x14ac:dyDescent="0.25">
      <c r="A90" s="11">
        <v>2078</v>
      </c>
      <c r="B90" s="11">
        <v>-1</v>
      </c>
      <c r="C90" s="11" t="str">
        <f t="shared" si="23"/>
        <v>Putting</v>
      </c>
      <c r="D90" s="11" t="s">
        <v>6</v>
      </c>
      <c r="E90" s="42"/>
      <c r="F90" s="42"/>
      <c r="G90" s="151" t="s">
        <v>861</v>
      </c>
      <c r="H90" s="328">
        <v>10</v>
      </c>
      <c r="I90" s="11" t="s">
        <v>710</v>
      </c>
      <c r="J90" s="55" t="str">
        <f t="shared" si="20"/>
        <v>PuttingGame2-many10Asse Putting</v>
      </c>
      <c r="K90" s="58" t="s">
        <v>516</v>
      </c>
      <c r="L90" s="57" t="s">
        <v>517</v>
      </c>
      <c r="M90" s="13"/>
      <c r="N90" s="90"/>
      <c r="O90" s="52" t="s">
        <v>497</v>
      </c>
      <c r="P90" s="13"/>
      <c r="Q90" s="35"/>
      <c r="R90" s="13"/>
      <c r="S90" s="13"/>
      <c r="T90" s="12"/>
      <c r="U90" s="54" t="str">
        <f t="shared" si="21"/>
        <v/>
      </c>
      <c r="V90" s="54"/>
      <c r="W90" s="81">
        <f t="shared" si="22"/>
        <v>0</v>
      </c>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row>
    <row r="91" spans="1:65" ht="150" customHeight="1" x14ac:dyDescent="0.25">
      <c r="A91" s="11">
        <v>2079</v>
      </c>
      <c r="B91" s="11">
        <v>-1</v>
      </c>
      <c r="C91" s="11" t="str">
        <f t="shared" si="23"/>
        <v>Putting</v>
      </c>
      <c r="D91" s="11" t="s">
        <v>6</v>
      </c>
      <c r="E91" s="42"/>
      <c r="F91" s="42"/>
      <c r="G91" s="151"/>
      <c r="H91" s="328">
        <v>10</v>
      </c>
      <c r="I91" s="11">
        <v>2</v>
      </c>
      <c r="J91" s="55" t="str">
        <f t="shared" si="20"/>
        <v>PuttingGame210Steal the ball</v>
      </c>
      <c r="K91" s="58" t="s">
        <v>504</v>
      </c>
      <c r="L91" s="57" t="s">
        <v>501</v>
      </c>
      <c r="M91" s="13"/>
      <c r="N91" s="90" t="s">
        <v>502</v>
      </c>
      <c r="O91" s="52"/>
      <c r="P91" s="13"/>
      <c r="Q91" s="35"/>
      <c r="R91" s="13"/>
      <c r="S91" s="13"/>
      <c r="T91" s="12"/>
      <c r="U91" s="54" t="str">
        <f t="shared" si="21"/>
        <v/>
      </c>
      <c r="V91" s="54"/>
      <c r="W91" s="81">
        <f t="shared" si="22"/>
        <v>0</v>
      </c>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c r="BE91" s="11"/>
      <c r="BF91" s="11"/>
      <c r="BG91" s="11"/>
      <c r="BH91" s="11"/>
      <c r="BI91" s="11"/>
      <c r="BJ91" s="11"/>
      <c r="BK91" s="11"/>
      <c r="BL91" s="11"/>
      <c r="BM91" s="11"/>
    </row>
    <row r="92" spans="1:65" ht="150" customHeight="1" x14ac:dyDescent="0.25">
      <c r="A92" s="11">
        <v>2080</v>
      </c>
      <c r="B92" s="11">
        <v>-1</v>
      </c>
      <c r="C92" s="11" t="str">
        <f t="shared" si="23"/>
        <v>Putting</v>
      </c>
      <c r="D92" s="11" t="s">
        <v>6</v>
      </c>
      <c r="E92" s="42"/>
      <c r="F92" s="42"/>
      <c r="G92" s="151"/>
      <c r="H92" s="328">
        <v>10</v>
      </c>
      <c r="I92" s="11" t="s">
        <v>710</v>
      </c>
      <c r="J92" s="55" t="str">
        <f t="shared" si="20"/>
        <v>PuttingGame2-many10Biathlon      Zonen</v>
      </c>
      <c r="K92" s="58" t="s">
        <v>626</v>
      </c>
      <c r="L92" s="57" t="s">
        <v>518</v>
      </c>
      <c r="M92" s="227"/>
      <c r="N92" s="90"/>
      <c r="O92" s="52"/>
      <c r="P92" s="13"/>
      <c r="Q92" s="35"/>
      <c r="R92" s="13"/>
      <c r="S92" s="13"/>
      <c r="T92" s="12"/>
      <c r="U92" s="54" t="str">
        <f t="shared" si="21"/>
        <v/>
      </c>
      <c r="V92" s="54"/>
      <c r="W92" s="81">
        <f t="shared" si="22"/>
        <v>0</v>
      </c>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c r="BH92" s="11"/>
      <c r="BI92" s="11"/>
      <c r="BJ92" s="11"/>
      <c r="BK92" s="11"/>
      <c r="BL92" s="11"/>
      <c r="BM92" s="11"/>
    </row>
    <row r="93" spans="1:65" ht="150" customHeight="1" x14ac:dyDescent="0.25">
      <c r="A93" s="11">
        <v>2081</v>
      </c>
      <c r="B93" s="11">
        <v>-1</v>
      </c>
      <c r="C93" s="11" t="str">
        <f t="shared" si="23"/>
        <v>Putting</v>
      </c>
      <c r="D93" s="11" t="s">
        <v>6</v>
      </c>
      <c r="E93" s="42"/>
      <c r="F93" s="42"/>
      <c r="G93" s="151"/>
      <c r="H93" s="328">
        <v>10</v>
      </c>
      <c r="I93" s="11" t="s">
        <v>710</v>
      </c>
      <c r="J93" s="55" t="str">
        <f t="shared" si="20"/>
        <v>PuttingGame2-many10Biathlon      5 in a Row</v>
      </c>
      <c r="K93" s="58" t="s">
        <v>627</v>
      </c>
      <c r="L93" s="57" t="s">
        <v>515</v>
      </c>
      <c r="M93" s="13"/>
      <c r="N93" s="90"/>
      <c r="O93" s="52"/>
      <c r="P93" s="13"/>
      <c r="Q93" s="35"/>
      <c r="R93" s="13"/>
      <c r="S93" s="13"/>
      <c r="T93" s="12"/>
      <c r="U93" s="54" t="str">
        <f t="shared" si="21"/>
        <v/>
      </c>
      <c r="V93" s="54"/>
      <c r="W93" s="81">
        <f t="shared" si="22"/>
        <v>0</v>
      </c>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row>
    <row r="94" spans="1:65" ht="150" customHeight="1" x14ac:dyDescent="0.25">
      <c r="A94" s="11">
        <v>2082</v>
      </c>
      <c r="B94" s="11">
        <v>-1</v>
      </c>
      <c r="C94" s="11" t="str">
        <f t="shared" si="23"/>
        <v>Putting</v>
      </c>
      <c r="D94" s="11" t="s">
        <v>494</v>
      </c>
      <c r="E94" s="42"/>
      <c r="F94" s="42"/>
      <c r="G94" s="151" t="s">
        <v>480</v>
      </c>
      <c r="H94" s="328">
        <v>7</v>
      </c>
      <c r="I94" s="11">
        <v>1</v>
      </c>
      <c r="J94" s="55" t="str">
        <f t="shared" si="20"/>
        <v>PuttingTechnic17Doppelball</v>
      </c>
      <c r="K94" s="58" t="s">
        <v>532</v>
      </c>
      <c r="L94" s="57" t="s">
        <v>531</v>
      </c>
      <c r="M94" s="227"/>
      <c r="N94" s="90"/>
      <c r="O94" s="52"/>
      <c r="P94" s="13"/>
      <c r="Q94" s="35"/>
      <c r="R94" s="13"/>
      <c r="S94" s="13"/>
      <c r="T94" s="12"/>
      <c r="U94" s="54" t="str">
        <f t="shared" si="21"/>
        <v/>
      </c>
      <c r="V94" s="54"/>
      <c r="W94" s="81">
        <f t="shared" si="22"/>
        <v>0</v>
      </c>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row>
    <row r="95" spans="1:65" ht="150" customHeight="1" x14ac:dyDescent="0.25">
      <c r="A95" s="11">
        <v>2083</v>
      </c>
      <c r="B95" s="11">
        <v>-1</v>
      </c>
      <c r="C95" s="11" t="str">
        <f t="shared" si="23"/>
        <v>Putting</v>
      </c>
      <c r="D95" s="11" t="s">
        <v>494</v>
      </c>
      <c r="E95" s="42"/>
      <c r="F95" s="42"/>
      <c r="G95" s="151"/>
      <c r="H95" s="328">
        <v>10</v>
      </c>
      <c r="I95" s="11">
        <v>1</v>
      </c>
      <c r="J95" s="55" t="str">
        <f t="shared" si="20"/>
        <v>PuttingTechnic110Freedom Exploration   
1    Where are you now</v>
      </c>
      <c r="K95" s="58" t="s">
        <v>717</v>
      </c>
      <c r="L95" s="57" t="s">
        <v>544</v>
      </c>
      <c r="M95" s="12"/>
      <c r="N95" s="90" t="s">
        <v>543</v>
      </c>
      <c r="O95" s="52"/>
      <c r="P95" s="13"/>
      <c r="Q95" s="35"/>
      <c r="R95" s="13"/>
      <c r="S95" s="13"/>
      <c r="T95" s="12"/>
      <c r="U95" s="54" t="str">
        <f t="shared" si="21"/>
        <v/>
      </c>
      <c r="V95" s="54"/>
      <c r="W95" s="81">
        <f t="shared" si="22"/>
        <v>0</v>
      </c>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row>
    <row r="96" spans="1:65" ht="150" customHeight="1" x14ac:dyDescent="0.25">
      <c r="A96" s="11">
        <v>2084</v>
      </c>
      <c r="B96" s="11">
        <v>-1</v>
      </c>
      <c r="C96" s="11" t="str">
        <f t="shared" si="23"/>
        <v>Putting</v>
      </c>
      <c r="D96" s="11" t="s">
        <v>494</v>
      </c>
      <c r="E96" s="42"/>
      <c r="F96" s="42"/>
      <c r="G96" s="151"/>
      <c r="H96" s="328">
        <v>10</v>
      </c>
      <c r="I96" s="11">
        <v>1</v>
      </c>
      <c r="J96" s="55" t="str">
        <f t="shared" si="20"/>
        <v>PuttingTechnic110Freedom Exploration   
1a    The Spot</v>
      </c>
      <c r="K96" s="58" t="s">
        <v>718</v>
      </c>
      <c r="L96" s="57" t="s">
        <v>546</v>
      </c>
      <c r="M96" s="12"/>
      <c r="N96" s="90" t="s">
        <v>545</v>
      </c>
      <c r="O96" s="52"/>
      <c r="P96" s="13"/>
      <c r="Q96" s="35"/>
      <c r="R96" s="13"/>
      <c r="S96" s="13"/>
      <c r="T96" s="12"/>
      <c r="U96" s="54" t="str">
        <f t="shared" si="21"/>
        <v/>
      </c>
      <c r="V96" s="54"/>
      <c r="W96" s="81">
        <f t="shared" si="22"/>
        <v>0</v>
      </c>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row>
    <row r="97" spans="1:65" ht="150" customHeight="1" x14ac:dyDescent="0.25">
      <c r="A97" s="11">
        <v>2085</v>
      </c>
      <c r="B97" s="11">
        <v>-1</v>
      </c>
      <c r="C97" s="11" t="str">
        <f t="shared" si="23"/>
        <v>Putting</v>
      </c>
      <c r="D97" s="11" t="s">
        <v>494</v>
      </c>
      <c r="E97" s="42"/>
      <c r="F97" s="42"/>
      <c r="G97" s="151"/>
      <c r="H97" s="328">
        <v>10</v>
      </c>
      <c r="I97" s="11">
        <v>1</v>
      </c>
      <c r="J97" s="55" t="str">
        <f t="shared" si="20"/>
        <v>PuttingTechnic110Freedom Exploration   
1b    The Spot while putting</v>
      </c>
      <c r="K97" s="58" t="s">
        <v>719</v>
      </c>
      <c r="L97" s="57" t="s">
        <v>547</v>
      </c>
      <c r="M97" s="12"/>
      <c r="N97" s="90" t="s">
        <v>543</v>
      </c>
      <c r="O97" s="52"/>
      <c r="P97" s="13"/>
      <c r="Q97" s="35"/>
      <c r="R97" s="13"/>
      <c r="S97" s="13"/>
      <c r="T97" s="12"/>
      <c r="U97" s="54" t="str">
        <f t="shared" si="21"/>
        <v/>
      </c>
      <c r="V97" s="54"/>
      <c r="W97" s="81">
        <f t="shared" si="22"/>
        <v>0</v>
      </c>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c r="BE97" s="11"/>
      <c r="BF97" s="11"/>
      <c r="BG97" s="11"/>
      <c r="BH97" s="11"/>
      <c r="BI97" s="11"/>
      <c r="BJ97" s="11"/>
      <c r="BK97" s="11"/>
      <c r="BL97" s="11"/>
      <c r="BM97" s="11"/>
    </row>
    <row r="98" spans="1:65" ht="150" customHeight="1" x14ac:dyDescent="0.25">
      <c r="A98" s="11">
        <v>2086</v>
      </c>
      <c r="B98" s="11">
        <v>-1</v>
      </c>
      <c r="C98" s="11" t="str">
        <f t="shared" si="23"/>
        <v>Putting</v>
      </c>
      <c r="D98" s="11" t="s">
        <v>494</v>
      </c>
      <c r="E98" s="42"/>
      <c r="F98" s="42"/>
      <c r="G98" s="151"/>
      <c r="H98" s="328">
        <v>10</v>
      </c>
      <c r="I98" s="11">
        <v>1</v>
      </c>
      <c r="J98" s="55" t="str">
        <f t="shared" si="20"/>
        <v>PuttingTechnic110Freedom Exploration   
1c    The Spot to a target</v>
      </c>
      <c r="K98" s="58" t="s">
        <v>720</v>
      </c>
      <c r="L98" s="57" t="s">
        <v>544</v>
      </c>
      <c r="M98" s="12"/>
      <c r="N98" s="90" t="s">
        <v>543</v>
      </c>
      <c r="O98" s="52"/>
      <c r="P98" s="13"/>
      <c r="Q98" s="35"/>
      <c r="R98" s="13"/>
      <c r="S98" s="13"/>
      <c r="T98" s="12"/>
      <c r="U98" s="54" t="str">
        <f t="shared" si="21"/>
        <v/>
      </c>
      <c r="V98" s="54"/>
      <c r="W98" s="81">
        <f t="shared" si="22"/>
        <v>0</v>
      </c>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11"/>
      <c r="BA98" s="11"/>
      <c r="BB98" s="11"/>
      <c r="BC98" s="11"/>
      <c r="BD98" s="11"/>
      <c r="BE98" s="11"/>
      <c r="BF98" s="11"/>
      <c r="BG98" s="11"/>
      <c r="BH98" s="11"/>
      <c r="BI98" s="11"/>
      <c r="BJ98" s="11"/>
      <c r="BK98" s="11"/>
      <c r="BL98" s="11"/>
      <c r="BM98" s="11"/>
    </row>
    <row r="99" spans="1:65" ht="150" customHeight="1" x14ac:dyDescent="0.25">
      <c r="A99" s="11">
        <v>2087</v>
      </c>
      <c r="B99" s="11">
        <v>-1</v>
      </c>
      <c r="C99" s="11" t="str">
        <f t="shared" si="23"/>
        <v>Putting</v>
      </c>
      <c r="D99" s="11" t="s">
        <v>494</v>
      </c>
      <c r="E99" s="42"/>
      <c r="F99" s="42"/>
      <c r="G99" s="151"/>
      <c r="H99" s="328">
        <v>10</v>
      </c>
      <c r="I99" s="11">
        <v>1</v>
      </c>
      <c r="J99" s="55" t="str">
        <f t="shared" si="20"/>
        <v>PuttingTechnic110Freedom Exploration   
2a    The Flagstick</v>
      </c>
      <c r="K99" s="58" t="s">
        <v>721</v>
      </c>
      <c r="L99" s="57"/>
      <c r="M99" s="12"/>
      <c r="N99" s="90" t="s">
        <v>543</v>
      </c>
      <c r="O99" s="52"/>
      <c r="P99" s="13"/>
      <c r="Q99" s="35"/>
      <c r="R99" s="13"/>
      <c r="S99" s="13"/>
      <c r="T99" s="12"/>
      <c r="U99" s="54" t="str">
        <f t="shared" si="21"/>
        <v/>
      </c>
      <c r="V99" s="54"/>
      <c r="W99" s="81">
        <f t="shared" si="22"/>
        <v>0</v>
      </c>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1"/>
      <c r="BA99" s="11"/>
      <c r="BB99" s="11"/>
      <c r="BC99" s="11"/>
      <c r="BD99" s="11"/>
      <c r="BE99" s="11"/>
      <c r="BF99" s="11"/>
      <c r="BG99" s="11"/>
      <c r="BH99" s="11"/>
      <c r="BI99" s="11"/>
      <c r="BJ99" s="11"/>
      <c r="BK99" s="11"/>
      <c r="BL99" s="11"/>
      <c r="BM99" s="11"/>
    </row>
    <row r="100" spans="1:65" ht="150" customHeight="1" x14ac:dyDescent="0.25">
      <c r="A100" s="11">
        <v>2088</v>
      </c>
      <c r="B100" s="11">
        <v>-1</v>
      </c>
      <c r="C100" s="11" t="str">
        <f t="shared" si="23"/>
        <v>Putting</v>
      </c>
      <c r="D100" s="11" t="s">
        <v>494</v>
      </c>
      <c r="E100" s="42"/>
      <c r="F100" s="42"/>
      <c r="G100" s="151"/>
      <c r="H100" s="328">
        <v>10</v>
      </c>
      <c r="I100" s="11">
        <v>1</v>
      </c>
      <c r="J100" s="55" t="str">
        <f t="shared" si="20"/>
        <v>PuttingTechnic110Freedom Exploration   
2a     The Flagstick and the target</v>
      </c>
      <c r="K100" s="58" t="s">
        <v>722</v>
      </c>
      <c r="L100" s="57"/>
      <c r="M100" s="12"/>
      <c r="N100" s="90" t="s">
        <v>543</v>
      </c>
      <c r="O100" s="52"/>
      <c r="P100" s="13"/>
      <c r="Q100" s="35"/>
      <c r="R100" s="13"/>
      <c r="S100" s="13"/>
      <c r="T100" s="12"/>
      <c r="U100" s="54" t="str">
        <f t="shared" si="21"/>
        <v/>
      </c>
      <c r="V100" s="54"/>
      <c r="W100" s="81">
        <f t="shared" si="22"/>
        <v>0</v>
      </c>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c r="BD100" s="11"/>
      <c r="BE100" s="11"/>
      <c r="BF100" s="11"/>
      <c r="BG100" s="11"/>
      <c r="BH100" s="11"/>
      <c r="BI100" s="11"/>
      <c r="BJ100" s="11"/>
      <c r="BK100" s="11"/>
      <c r="BL100" s="11"/>
      <c r="BM100" s="11"/>
    </row>
    <row r="101" spans="1:65" ht="150" customHeight="1" x14ac:dyDescent="0.25">
      <c r="A101" s="11">
        <v>2089</v>
      </c>
      <c r="B101" s="11">
        <v>-1</v>
      </c>
      <c r="C101" s="11" t="str">
        <f t="shared" si="23"/>
        <v>Putting</v>
      </c>
      <c r="D101" s="11" t="s">
        <v>494</v>
      </c>
      <c r="E101" s="42"/>
      <c r="F101" s="42"/>
      <c r="G101" s="151"/>
      <c r="H101" s="328">
        <v>10</v>
      </c>
      <c r="I101" s="11">
        <v>1</v>
      </c>
      <c r="J101" s="55" t="str">
        <f t="shared" si="20"/>
        <v>PuttingTechnic110Freedom Exploration    
3a    Adding numbers</v>
      </c>
      <c r="K101" s="58" t="s">
        <v>723</v>
      </c>
      <c r="L101" s="57"/>
      <c r="M101" s="12"/>
      <c r="N101" s="90" t="s">
        <v>543</v>
      </c>
      <c r="O101" s="52"/>
      <c r="P101" s="13"/>
      <c r="Q101" s="35"/>
      <c r="R101" s="13"/>
      <c r="S101" s="13"/>
      <c r="T101" s="12"/>
      <c r="U101" s="54" t="str">
        <f t="shared" si="21"/>
        <v/>
      </c>
      <c r="V101" s="54"/>
      <c r="W101" s="81">
        <f t="shared" si="22"/>
        <v>0</v>
      </c>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1"/>
      <c r="BA101" s="11"/>
      <c r="BB101" s="11"/>
      <c r="BC101" s="11"/>
      <c r="BD101" s="11"/>
      <c r="BE101" s="11"/>
      <c r="BF101" s="11"/>
      <c r="BG101" s="11"/>
      <c r="BH101" s="11"/>
      <c r="BI101" s="11"/>
      <c r="BJ101" s="11"/>
      <c r="BK101" s="11"/>
      <c r="BL101" s="11"/>
      <c r="BM101" s="11"/>
    </row>
    <row r="102" spans="1:65" ht="150" customHeight="1" x14ac:dyDescent="0.25">
      <c r="A102" s="11">
        <v>2090</v>
      </c>
      <c r="B102" s="11">
        <v>-1</v>
      </c>
      <c r="C102" s="11" t="str">
        <f t="shared" si="23"/>
        <v>Putting</v>
      </c>
      <c r="D102" s="11" t="s">
        <v>494</v>
      </c>
      <c r="E102" s="42"/>
      <c r="F102" s="42"/>
      <c r="G102" s="151"/>
      <c r="H102" s="328">
        <v>10</v>
      </c>
      <c r="I102" s="11">
        <v>2</v>
      </c>
      <c r="J102" s="55" t="str">
        <f t="shared" si="20"/>
        <v>PuttingTechnic210Freedom Exploration 
3b    Looking at the hole</v>
      </c>
      <c r="K102" s="58" t="s">
        <v>724</v>
      </c>
      <c r="L102" s="57"/>
      <c r="M102" s="12"/>
      <c r="N102" s="90" t="s">
        <v>543</v>
      </c>
      <c r="O102" s="52"/>
      <c r="P102" s="13"/>
      <c r="Q102" s="35"/>
      <c r="R102" s="13"/>
      <c r="S102" s="13"/>
      <c r="T102" s="12"/>
      <c r="U102" s="54" t="str">
        <f t="shared" si="21"/>
        <v/>
      </c>
      <c r="V102" s="54"/>
      <c r="W102" s="81">
        <f t="shared" si="22"/>
        <v>0</v>
      </c>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1"/>
      <c r="BC102" s="11"/>
      <c r="BD102" s="11"/>
      <c r="BE102" s="11"/>
      <c r="BF102" s="11"/>
      <c r="BG102" s="11"/>
      <c r="BH102" s="11"/>
      <c r="BI102" s="11"/>
      <c r="BJ102" s="11"/>
      <c r="BK102" s="11"/>
      <c r="BL102" s="11"/>
      <c r="BM102" s="11"/>
    </row>
    <row r="103" spans="1:65" ht="150" customHeight="1" x14ac:dyDescent="0.25">
      <c r="A103" s="11">
        <v>2091</v>
      </c>
      <c r="B103" s="11">
        <v>-1</v>
      </c>
      <c r="C103" s="11" t="str">
        <f t="shared" si="23"/>
        <v>Putting</v>
      </c>
      <c r="D103" s="11" t="s">
        <v>494</v>
      </c>
      <c r="E103" s="42"/>
      <c r="F103" s="42"/>
      <c r="G103" s="151"/>
      <c r="H103" s="328">
        <v>10</v>
      </c>
      <c r="I103" s="11">
        <v>1</v>
      </c>
      <c r="J103" s="55" t="str">
        <f t="shared" si="20"/>
        <v>PuttingTechnic110Freedom Exploration    
3c    Connecting to the Target</v>
      </c>
      <c r="K103" s="58" t="s">
        <v>725</v>
      </c>
      <c r="L103" s="57"/>
      <c r="M103" s="12"/>
      <c r="N103" s="90" t="s">
        <v>543</v>
      </c>
      <c r="O103" s="52"/>
      <c r="P103" s="13"/>
      <c r="Q103" s="35"/>
      <c r="R103" s="13"/>
      <c r="S103" s="13"/>
      <c r="T103" s="12"/>
      <c r="U103" s="54" t="str">
        <f t="shared" si="21"/>
        <v/>
      </c>
      <c r="V103" s="54"/>
      <c r="W103" s="81">
        <f t="shared" si="22"/>
        <v>0</v>
      </c>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c r="BA103" s="11"/>
      <c r="BB103" s="11"/>
      <c r="BC103" s="11"/>
      <c r="BD103" s="11"/>
      <c r="BE103" s="11"/>
      <c r="BF103" s="11"/>
      <c r="BG103" s="11"/>
      <c r="BH103" s="11"/>
      <c r="BI103" s="11"/>
      <c r="BJ103" s="11"/>
      <c r="BK103" s="11"/>
      <c r="BL103" s="11"/>
      <c r="BM103" s="11"/>
    </row>
    <row r="104" spans="1:65" ht="150" customHeight="1" x14ac:dyDescent="0.25">
      <c r="A104" s="11">
        <v>2092</v>
      </c>
      <c r="B104" s="11">
        <v>-1</v>
      </c>
      <c r="C104" s="11" t="str">
        <f t="shared" si="23"/>
        <v>Putting</v>
      </c>
      <c r="D104" s="11" t="s">
        <v>494</v>
      </c>
      <c r="E104" s="42"/>
      <c r="F104" s="42"/>
      <c r="G104" s="151"/>
      <c r="H104" s="328">
        <v>10</v>
      </c>
      <c r="I104" s="11">
        <v>1</v>
      </c>
      <c r="J104" s="55" t="str">
        <f t="shared" si="20"/>
        <v>PuttingTechnic110Freedom Exploration    
4a    Enjoying the Motion</v>
      </c>
      <c r="K104" s="58" t="s">
        <v>726</v>
      </c>
      <c r="L104" s="57"/>
      <c r="M104" s="12"/>
      <c r="N104" s="90" t="s">
        <v>543</v>
      </c>
      <c r="O104" s="52"/>
      <c r="P104" s="13"/>
      <c r="Q104" s="35"/>
      <c r="R104" s="13"/>
      <c r="S104" s="13"/>
      <c r="T104" s="12"/>
      <c r="U104" s="54" t="str">
        <f t="shared" si="21"/>
        <v/>
      </c>
      <c r="V104" s="54"/>
      <c r="W104" s="81">
        <f t="shared" si="22"/>
        <v>0</v>
      </c>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1"/>
      <c r="BA104" s="11"/>
      <c r="BB104" s="11"/>
      <c r="BC104" s="11"/>
      <c r="BD104" s="11"/>
      <c r="BE104" s="11"/>
      <c r="BF104" s="11"/>
      <c r="BG104" s="11"/>
      <c r="BH104" s="11"/>
      <c r="BI104" s="11"/>
      <c r="BJ104" s="11"/>
      <c r="BK104" s="11"/>
      <c r="BL104" s="11"/>
      <c r="BM104" s="11"/>
    </row>
    <row r="105" spans="1:65" ht="150" customHeight="1" x14ac:dyDescent="0.25">
      <c r="A105" s="11">
        <v>2093</v>
      </c>
      <c r="B105" s="11">
        <v>-1</v>
      </c>
      <c r="C105" s="11" t="str">
        <f t="shared" si="23"/>
        <v>Putting</v>
      </c>
      <c r="D105" s="11" t="s">
        <v>494</v>
      </c>
      <c r="E105" s="42"/>
      <c r="F105" s="42"/>
      <c r="G105" s="151"/>
      <c r="H105" s="328">
        <v>10</v>
      </c>
      <c r="I105" s="11">
        <v>1</v>
      </c>
      <c r="J105" s="55" t="str">
        <f t="shared" si="20"/>
        <v>PuttingTechnic110Freedom Exploration    
4b     Enjoying the Motion with a target</v>
      </c>
      <c r="K105" s="58" t="s">
        <v>727</v>
      </c>
      <c r="L105" s="57"/>
      <c r="M105" s="12"/>
      <c r="N105" s="90" t="s">
        <v>543</v>
      </c>
      <c r="O105" s="52"/>
      <c r="P105" s="13"/>
      <c r="Q105" s="35"/>
      <c r="R105" s="13"/>
      <c r="S105" s="13"/>
      <c r="T105" s="12"/>
      <c r="U105" s="54" t="str">
        <f t="shared" si="21"/>
        <v/>
      </c>
      <c r="V105" s="54"/>
      <c r="W105" s="81">
        <f t="shared" si="22"/>
        <v>0</v>
      </c>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11"/>
      <c r="BA105" s="11"/>
      <c r="BB105" s="11"/>
      <c r="BC105" s="11"/>
      <c r="BD105" s="11"/>
      <c r="BE105" s="11"/>
      <c r="BF105" s="11"/>
      <c r="BG105" s="11"/>
      <c r="BH105" s="11"/>
      <c r="BI105" s="11"/>
      <c r="BJ105" s="11"/>
      <c r="BK105" s="11"/>
      <c r="BL105" s="11"/>
      <c r="BM105" s="11"/>
    </row>
    <row r="106" spans="1:65" ht="150" customHeight="1" x14ac:dyDescent="0.25">
      <c r="A106" s="11">
        <v>2094</v>
      </c>
      <c r="B106" s="11">
        <v>-1</v>
      </c>
      <c r="C106" s="11" t="str">
        <f t="shared" si="23"/>
        <v>Putting</v>
      </c>
      <c r="D106" s="11" t="s">
        <v>494</v>
      </c>
      <c r="E106" s="42"/>
      <c r="F106" s="42"/>
      <c r="G106" s="151"/>
      <c r="H106" s="328">
        <v>10</v>
      </c>
      <c r="I106" s="11">
        <v>1</v>
      </c>
      <c r="J106" s="55" t="str">
        <f t="shared" si="20"/>
        <v>PuttingTechnic110Freedom Exploration   
5    Exposing Interferce</v>
      </c>
      <c r="K106" s="58" t="s">
        <v>728</v>
      </c>
      <c r="L106" s="57"/>
      <c r="M106" s="12"/>
      <c r="N106" s="90" t="s">
        <v>543</v>
      </c>
      <c r="O106" s="52"/>
      <c r="P106" s="13"/>
      <c r="Q106" s="35"/>
      <c r="R106" s="13"/>
      <c r="S106" s="13"/>
      <c r="T106" s="12"/>
      <c r="U106" s="54" t="str">
        <f t="shared" si="21"/>
        <v/>
      </c>
      <c r="V106" s="54"/>
      <c r="W106" s="81">
        <f t="shared" si="22"/>
        <v>0</v>
      </c>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11"/>
      <c r="BA106" s="11"/>
      <c r="BB106" s="11"/>
      <c r="BC106" s="11"/>
      <c r="BD106" s="11"/>
      <c r="BE106" s="11"/>
      <c r="BF106" s="11"/>
      <c r="BG106" s="11"/>
      <c r="BH106" s="11"/>
      <c r="BI106" s="11"/>
      <c r="BJ106" s="11"/>
      <c r="BK106" s="11"/>
      <c r="BL106" s="11"/>
      <c r="BM106" s="11"/>
    </row>
    <row r="107" spans="1:65" ht="150" customHeight="1" x14ac:dyDescent="0.25">
      <c r="A107" s="11">
        <v>2095</v>
      </c>
      <c r="B107" s="11">
        <v>-1</v>
      </c>
      <c r="C107" s="11" t="str">
        <f t="shared" si="23"/>
        <v>Putting</v>
      </c>
      <c r="D107" s="11" t="s">
        <v>494</v>
      </c>
      <c r="E107" s="42"/>
      <c r="F107" s="42"/>
      <c r="G107" s="151"/>
      <c r="H107" s="328">
        <v>10</v>
      </c>
      <c r="I107" s="11">
        <v>1</v>
      </c>
      <c r="J107" s="55" t="str">
        <f t="shared" si="20"/>
        <v>PuttingTechnic110Freedom Exploration   
6a    Reaction Putting</v>
      </c>
      <c r="K107" s="58" t="s">
        <v>729</v>
      </c>
      <c r="L107" s="57"/>
      <c r="M107" s="12"/>
      <c r="N107" s="90" t="s">
        <v>543</v>
      </c>
      <c r="O107" s="52"/>
      <c r="P107" s="13"/>
      <c r="Q107" s="35"/>
      <c r="R107" s="13"/>
      <c r="S107" s="13"/>
      <c r="T107" s="12"/>
      <c r="U107" s="54" t="str">
        <f t="shared" si="21"/>
        <v/>
      </c>
      <c r="V107" s="54"/>
      <c r="W107" s="81">
        <f t="shared" si="22"/>
        <v>0</v>
      </c>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11"/>
      <c r="BA107" s="11"/>
      <c r="BB107" s="11"/>
      <c r="BC107" s="11"/>
      <c r="BD107" s="11"/>
      <c r="BE107" s="11"/>
      <c r="BF107" s="11"/>
      <c r="BG107" s="11"/>
      <c r="BH107" s="11"/>
      <c r="BI107" s="11"/>
      <c r="BJ107" s="11"/>
      <c r="BK107" s="11"/>
      <c r="BL107" s="11"/>
      <c r="BM107" s="11"/>
    </row>
    <row r="108" spans="1:65" ht="150" customHeight="1" x14ac:dyDescent="0.25">
      <c r="A108" s="11">
        <v>2096</v>
      </c>
      <c r="B108" s="11">
        <v>-1</v>
      </c>
      <c r="C108" s="11" t="str">
        <f t="shared" si="23"/>
        <v>Putting</v>
      </c>
      <c r="D108" s="11" t="s">
        <v>494</v>
      </c>
      <c r="E108" s="42"/>
      <c r="F108" s="42"/>
      <c r="G108" s="151"/>
      <c r="H108" s="328">
        <v>10</v>
      </c>
      <c r="I108" s="11">
        <v>1</v>
      </c>
      <c r="J108" s="55" t="str">
        <f t="shared" si="20"/>
        <v>PuttingTechnic110Freedom Exploration 
6b    Reaction Putting to a hole</v>
      </c>
      <c r="K108" s="58" t="s">
        <v>730</v>
      </c>
      <c r="L108" s="57"/>
      <c r="M108" s="12"/>
      <c r="N108" s="90" t="s">
        <v>543</v>
      </c>
      <c r="O108" s="52"/>
      <c r="P108" s="13"/>
      <c r="Q108" s="35"/>
      <c r="R108" s="13"/>
      <c r="S108" s="13"/>
      <c r="T108" s="12"/>
      <c r="U108" s="54" t="str">
        <f t="shared" si="21"/>
        <v/>
      </c>
      <c r="V108" s="54"/>
      <c r="W108" s="81">
        <f t="shared" si="22"/>
        <v>0</v>
      </c>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11"/>
      <c r="BA108" s="11"/>
      <c r="BB108" s="11"/>
      <c r="BC108" s="11"/>
      <c r="BD108" s="11"/>
      <c r="BE108" s="11"/>
      <c r="BF108" s="11"/>
      <c r="BG108" s="11"/>
      <c r="BH108" s="11"/>
      <c r="BI108" s="11"/>
      <c r="BJ108" s="11"/>
      <c r="BK108" s="11"/>
      <c r="BL108" s="11"/>
      <c r="BM108" s="11"/>
    </row>
    <row r="109" spans="1:65" ht="150" customHeight="1" x14ac:dyDescent="0.25">
      <c r="A109" s="11">
        <v>2097</v>
      </c>
      <c r="B109" s="11">
        <v>-1</v>
      </c>
      <c r="C109" s="11" t="str">
        <f t="shared" si="23"/>
        <v>Putting</v>
      </c>
      <c r="D109" s="11" t="s">
        <v>494</v>
      </c>
      <c r="E109" s="42"/>
      <c r="F109" s="42"/>
      <c r="G109" s="151"/>
      <c r="H109" s="328">
        <v>10</v>
      </c>
      <c r="I109" s="11">
        <v>1</v>
      </c>
      <c r="J109" s="55" t="str">
        <f t="shared" si="20"/>
        <v>PuttingTechnic110Peace of Mind Exploratin 
1    The Voice</v>
      </c>
      <c r="K109" s="58" t="s">
        <v>731</v>
      </c>
      <c r="L109" s="57"/>
      <c r="M109" s="12"/>
      <c r="N109" s="90" t="s">
        <v>543</v>
      </c>
      <c r="O109" s="52"/>
      <c r="P109" s="13"/>
      <c r="Q109" s="35"/>
      <c r="R109" s="13"/>
      <c r="S109" s="13"/>
      <c r="T109" s="12"/>
      <c r="U109" s="54" t="str">
        <f t="shared" si="21"/>
        <v/>
      </c>
      <c r="V109" s="54"/>
      <c r="W109" s="81">
        <f t="shared" si="22"/>
        <v>0</v>
      </c>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c r="BD109" s="11"/>
      <c r="BE109" s="11"/>
      <c r="BF109" s="11"/>
      <c r="BG109" s="11"/>
      <c r="BH109" s="11"/>
      <c r="BI109" s="11"/>
      <c r="BJ109" s="11"/>
      <c r="BK109" s="11"/>
      <c r="BL109" s="11"/>
      <c r="BM109" s="11"/>
    </row>
    <row r="110" spans="1:65" ht="150" customHeight="1" x14ac:dyDescent="0.25">
      <c r="A110" s="11">
        <v>2098</v>
      </c>
      <c r="B110" s="11">
        <v>-1</v>
      </c>
      <c r="C110" s="11" t="str">
        <f t="shared" si="23"/>
        <v>Putting</v>
      </c>
      <c r="D110" s="11" t="s">
        <v>494</v>
      </c>
      <c r="E110" s="42"/>
      <c r="F110" s="42"/>
      <c r="G110" s="151"/>
      <c r="H110" s="328">
        <v>10</v>
      </c>
      <c r="I110" s="11">
        <v>1</v>
      </c>
      <c r="J110" s="55" t="str">
        <f t="shared" si="20"/>
        <v>PuttingTechnic110Peace of Mind Exploratin 
2a    Concentration on the Clubhead</v>
      </c>
      <c r="K110" s="58" t="s">
        <v>732</v>
      </c>
      <c r="L110" s="57"/>
      <c r="M110" s="12"/>
      <c r="N110" s="90" t="s">
        <v>543</v>
      </c>
      <c r="O110" s="52"/>
      <c r="P110" s="13"/>
      <c r="Q110" s="35"/>
      <c r="R110" s="13"/>
      <c r="S110" s="13"/>
      <c r="T110" s="12"/>
      <c r="U110" s="54" t="str">
        <f t="shared" si="21"/>
        <v/>
      </c>
      <c r="V110" s="54"/>
      <c r="W110" s="81">
        <f t="shared" si="22"/>
        <v>0</v>
      </c>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11"/>
      <c r="BD110" s="11"/>
      <c r="BE110" s="11"/>
      <c r="BF110" s="11"/>
      <c r="BG110" s="11"/>
      <c r="BH110" s="11"/>
      <c r="BI110" s="11"/>
      <c r="BJ110" s="11"/>
      <c r="BK110" s="11"/>
      <c r="BL110" s="11"/>
      <c r="BM110" s="11"/>
    </row>
    <row r="111" spans="1:65" ht="150" customHeight="1" x14ac:dyDescent="0.25">
      <c r="A111" s="11">
        <v>2099</v>
      </c>
      <c r="B111" s="11">
        <v>-1</v>
      </c>
      <c r="C111" s="11" t="str">
        <f t="shared" si="23"/>
        <v>Putting</v>
      </c>
      <c r="D111" s="11" t="s">
        <v>494</v>
      </c>
      <c r="E111" s="42"/>
      <c r="F111" s="42"/>
      <c r="G111" s="151"/>
      <c r="H111" s="328">
        <v>10</v>
      </c>
      <c r="I111" s="11">
        <v>1</v>
      </c>
      <c r="J111" s="55" t="str">
        <f t="shared" si="20"/>
        <v>PuttingTechnic110Peace of Mind Exploratin 
2b    Deepening Concentration</v>
      </c>
      <c r="K111" s="58" t="s">
        <v>733</v>
      </c>
      <c r="L111" s="57"/>
      <c r="M111" s="12"/>
      <c r="N111" s="90" t="s">
        <v>543</v>
      </c>
      <c r="O111" s="52"/>
      <c r="P111" s="13"/>
      <c r="Q111" s="35"/>
      <c r="R111" s="13"/>
      <c r="S111" s="13"/>
      <c r="T111" s="12"/>
      <c r="U111" s="54" t="str">
        <f t="shared" si="21"/>
        <v/>
      </c>
      <c r="V111" s="54"/>
      <c r="W111" s="81">
        <f t="shared" si="22"/>
        <v>0</v>
      </c>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c r="BA111" s="11"/>
      <c r="BB111" s="11"/>
      <c r="BC111" s="11"/>
      <c r="BD111" s="11"/>
      <c r="BE111" s="11"/>
      <c r="BF111" s="11"/>
      <c r="BG111" s="11"/>
      <c r="BH111" s="11"/>
      <c r="BI111" s="11"/>
      <c r="BJ111" s="11"/>
      <c r="BK111" s="11"/>
      <c r="BL111" s="11"/>
      <c r="BM111" s="11"/>
    </row>
    <row r="112" spans="1:65" ht="150" customHeight="1" x14ac:dyDescent="0.25">
      <c r="A112" s="11">
        <v>2100</v>
      </c>
      <c r="B112" s="11">
        <v>-1</v>
      </c>
      <c r="C112" s="11" t="str">
        <f t="shared" ref="C112:C143" si="24">MUI_STAT_T_MainTitel_1</f>
        <v>Putting</v>
      </c>
      <c r="D112" s="11" t="s">
        <v>494</v>
      </c>
      <c r="E112" s="42"/>
      <c r="F112" s="42"/>
      <c r="G112" s="151"/>
      <c r="H112" s="328">
        <v>10</v>
      </c>
      <c r="I112" s="11">
        <v>1</v>
      </c>
      <c r="J112" s="55" t="str">
        <f t="shared" si="20"/>
        <v>PuttingTechnic110Peace of Mind Exploratin 
3    Narrow Focus</v>
      </c>
      <c r="K112" s="58" t="s">
        <v>734</v>
      </c>
      <c r="L112" s="57"/>
      <c r="M112" s="12"/>
      <c r="N112" s="90" t="s">
        <v>543</v>
      </c>
      <c r="O112" s="52"/>
      <c r="P112" s="13"/>
      <c r="Q112" s="35"/>
      <c r="R112" s="13"/>
      <c r="S112" s="13"/>
      <c r="T112" s="12"/>
      <c r="U112" s="54" t="str">
        <f t="shared" si="21"/>
        <v/>
      </c>
      <c r="V112" s="54"/>
      <c r="W112" s="81">
        <f t="shared" si="22"/>
        <v>0</v>
      </c>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c r="AZ112" s="11"/>
      <c r="BA112" s="11"/>
      <c r="BB112" s="11"/>
      <c r="BC112" s="11"/>
      <c r="BD112" s="11"/>
      <c r="BE112" s="11"/>
      <c r="BF112" s="11"/>
      <c r="BG112" s="11"/>
      <c r="BH112" s="11"/>
      <c r="BI112" s="11"/>
      <c r="BJ112" s="11"/>
      <c r="BK112" s="11"/>
      <c r="BL112" s="11"/>
      <c r="BM112" s="11"/>
    </row>
    <row r="113" spans="1:65" ht="150" customHeight="1" x14ac:dyDescent="0.25">
      <c r="A113" s="11">
        <v>2101</v>
      </c>
      <c r="B113" s="11">
        <v>-1</v>
      </c>
      <c r="C113" s="11" t="str">
        <f t="shared" si="24"/>
        <v>Putting</v>
      </c>
      <c r="D113" s="11" t="s">
        <v>494</v>
      </c>
      <c r="E113" s="42"/>
      <c r="F113" s="42"/>
      <c r="G113" s="151"/>
      <c r="H113" s="328">
        <v>10</v>
      </c>
      <c r="I113" s="11">
        <v>1</v>
      </c>
      <c r="J113" s="55" t="str">
        <f t="shared" si="20"/>
        <v>PuttingTechnic110Peace of Mind Exploratin 
4    Exposing Judgments</v>
      </c>
      <c r="K113" s="58" t="s">
        <v>735</v>
      </c>
      <c r="L113" s="57"/>
      <c r="M113" s="12"/>
      <c r="N113" s="90" t="s">
        <v>543</v>
      </c>
      <c r="O113" s="52"/>
      <c r="P113" s="13"/>
      <c r="Q113" s="35"/>
      <c r="R113" s="13"/>
      <c r="S113" s="13"/>
      <c r="T113" s="12"/>
      <c r="U113" s="54" t="str">
        <f t="shared" si="21"/>
        <v/>
      </c>
      <c r="V113" s="54"/>
      <c r="W113" s="81">
        <f t="shared" si="22"/>
        <v>0</v>
      </c>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c r="AZ113" s="11"/>
      <c r="BA113" s="11"/>
      <c r="BB113" s="11"/>
      <c r="BC113" s="11"/>
      <c r="BD113" s="11"/>
      <c r="BE113" s="11"/>
      <c r="BF113" s="11"/>
      <c r="BG113" s="11"/>
      <c r="BH113" s="11"/>
      <c r="BI113" s="11"/>
      <c r="BJ113" s="11"/>
      <c r="BK113" s="11"/>
      <c r="BL113" s="11"/>
      <c r="BM113" s="11"/>
    </row>
    <row r="114" spans="1:65" ht="150" customHeight="1" x14ac:dyDescent="0.25">
      <c r="A114" s="11">
        <v>2102</v>
      </c>
      <c r="B114" s="11">
        <v>-1</v>
      </c>
      <c r="C114" s="11" t="str">
        <f t="shared" si="24"/>
        <v>Putting</v>
      </c>
      <c r="D114" s="11" t="s">
        <v>494</v>
      </c>
      <c r="E114" s="42"/>
      <c r="F114" s="42"/>
      <c r="G114" s="151"/>
      <c r="H114" s="328">
        <v>10</v>
      </c>
      <c r="I114" s="11">
        <v>1</v>
      </c>
      <c r="J114" s="55" t="str">
        <f t="shared" si="20"/>
        <v>PuttingTechnic110SelfCoaching Exploration 
1     Reality Check</v>
      </c>
      <c r="K114" s="58" t="s">
        <v>736</v>
      </c>
      <c r="L114" s="57"/>
      <c r="M114" s="12"/>
      <c r="N114" s="90" t="s">
        <v>543</v>
      </c>
      <c r="O114" s="52"/>
      <c r="P114" s="13"/>
      <c r="Q114" s="35"/>
      <c r="R114" s="13"/>
      <c r="S114" s="13"/>
      <c r="T114" s="12"/>
      <c r="U114" s="54" t="str">
        <f t="shared" si="21"/>
        <v/>
      </c>
      <c r="V114" s="54"/>
      <c r="W114" s="81">
        <f t="shared" si="22"/>
        <v>0</v>
      </c>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AZ114" s="11"/>
      <c r="BA114" s="11"/>
      <c r="BB114" s="11"/>
      <c r="BC114" s="11"/>
      <c r="BD114" s="11"/>
      <c r="BE114" s="11"/>
      <c r="BF114" s="11"/>
      <c r="BG114" s="11"/>
      <c r="BH114" s="11"/>
      <c r="BI114" s="11"/>
      <c r="BJ114" s="11"/>
      <c r="BK114" s="11"/>
      <c r="BL114" s="11"/>
      <c r="BM114" s="11"/>
    </row>
    <row r="115" spans="1:65" ht="150" customHeight="1" x14ac:dyDescent="0.25">
      <c r="A115" s="11">
        <v>2103</v>
      </c>
      <c r="B115" s="11">
        <v>-1</v>
      </c>
      <c r="C115" s="11" t="str">
        <f t="shared" si="24"/>
        <v>Putting</v>
      </c>
      <c r="D115" s="11" t="s">
        <v>494</v>
      </c>
      <c r="E115" s="42"/>
      <c r="F115" s="42"/>
      <c r="G115" s="151"/>
      <c r="H115" s="328">
        <v>10</v>
      </c>
      <c r="I115" s="11">
        <v>1</v>
      </c>
      <c r="J115" s="55" t="str">
        <f t="shared" si="20"/>
        <v>PuttingTechnic110SelfCoaching Exploration 
2    Reading Greens</v>
      </c>
      <c r="K115" s="58" t="s">
        <v>737</v>
      </c>
      <c r="L115" s="57"/>
      <c r="M115" s="12"/>
      <c r="N115" s="90" t="s">
        <v>543</v>
      </c>
      <c r="O115" s="52"/>
      <c r="P115" s="13"/>
      <c r="Q115" s="35"/>
      <c r="R115" s="13"/>
      <c r="S115" s="13"/>
      <c r="T115" s="12"/>
      <c r="U115" s="54" t="str">
        <f t="shared" si="21"/>
        <v/>
      </c>
      <c r="V115" s="54"/>
      <c r="W115" s="81">
        <f t="shared" si="22"/>
        <v>0</v>
      </c>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row>
    <row r="116" spans="1:65" ht="150" customHeight="1" x14ac:dyDescent="0.25">
      <c r="A116" s="11">
        <v>2104</v>
      </c>
      <c r="B116" s="11">
        <v>-1</v>
      </c>
      <c r="C116" s="11" t="str">
        <f t="shared" si="24"/>
        <v>Putting</v>
      </c>
      <c r="D116" s="11" t="s">
        <v>494</v>
      </c>
      <c r="E116" s="42"/>
      <c r="F116" s="42"/>
      <c r="G116" s="151"/>
      <c r="H116" s="328">
        <v>10</v>
      </c>
      <c r="I116" s="11">
        <v>1</v>
      </c>
      <c r="J116" s="55" t="str">
        <f t="shared" si="20"/>
        <v>PuttingTechnic110SelfCoaching Exploration
3a    Is the practice Stroke enough</v>
      </c>
      <c r="K116" s="58" t="s">
        <v>738</v>
      </c>
      <c r="L116" s="57"/>
      <c r="M116" s="12"/>
      <c r="N116" s="90" t="s">
        <v>543</v>
      </c>
      <c r="O116" s="52"/>
      <c r="P116" s="13"/>
      <c r="Q116" s="35"/>
      <c r="R116" s="13"/>
      <c r="S116" s="13"/>
      <c r="T116" s="12"/>
      <c r="U116" s="54" t="str">
        <f t="shared" si="21"/>
        <v/>
      </c>
      <c r="V116" s="54"/>
      <c r="W116" s="81">
        <f t="shared" si="22"/>
        <v>0</v>
      </c>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c r="BA116" s="11"/>
      <c r="BB116" s="11"/>
      <c r="BC116" s="11"/>
      <c r="BD116" s="11"/>
      <c r="BE116" s="11"/>
      <c r="BF116" s="11"/>
      <c r="BG116" s="11"/>
      <c r="BH116" s="11"/>
      <c r="BI116" s="11"/>
      <c r="BJ116" s="11"/>
      <c r="BK116" s="11"/>
      <c r="BL116" s="11"/>
      <c r="BM116" s="11"/>
    </row>
    <row r="117" spans="1:65" ht="150" customHeight="1" x14ac:dyDescent="0.25">
      <c r="A117" s="11">
        <v>2105</v>
      </c>
      <c r="B117" s="11">
        <v>-1</v>
      </c>
      <c r="C117" s="11" t="str">
        <f t="shared" si="24"/>
        <v>Putting</v>
      </c>
      <c r="D117" s="11" t="s">
        <v>494</v>
      </c>
      <c r="E117" s="42"/>
      <c r="F117" s="42"/>
      <c r="G117" s="151"/>
      <c r="H117" s="328">
        <v>10</v>
      </c>
      <c r="I117" s="11">
        <v>1</v>
      </c>
      <c r="J117" s="55" t="str">
        <f t="shared" si="20"/>
        <v>PuttingTechnic110SelfCoaching Exploration 
3b    Interference in the Stroke</v>
      </c>
      <c r="K117" s="58" t="s">
        <v>739</v>
      </c>
      <c r="L117" s="57"/>
      <c r="M117" s="12"/>
      <c r="N117" s="90" t="s">
        <v>543</v>
      </c>
      <c r="O117" s="52"/>
      <c r="P117" s="13"/>
      <c r="Q117" s="35"/>
      <c r="R117" s="13"/>
      <c r="S117" s="13"/>
      <c r="T117" s="12"/>
      <c r="U117" s="54" t="str">
        <f t="shared" si="21"/>
        <v/>
      </c>
      <c r="V117" s="54"/>
      <c r="W117" s="81">
        <f t="shared" si="22"/>
        <v>0</v>
      </c>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11"/>
      <c r="BA117" s="11"/>
      <c r="BB117" s="11"/>
      <c r="BC117" s="11"/>
      <c r="BD117" s="11"/>
      <c r="BE117" s="11"/>
      <c r="BF117" s="11"/>
      <c r="BG117" s="11"/>
      <c r="BH117" s="11"/>
      <c r="BI117" s="11"/>
      <c r="BJ117" s="11"/>
      <c r="BK117" s="11"/>
      <c r="BL117" s="11"/>
      <c r="BM117" s="11"/>
    </row>
    <row r="118" spans="1:65" ht="150" customHeight="1" x14ac:dyDescent="0.25">
      <c r="A118" s="11">
        <v>2106</v>
      </c>
      <c r="B118" s="11">
        <v>-1</v>
      </c>
      <c r="C118" s="11" t="str">
        <f t="shared" si="24"/>
        <v>Putting</v>
      </c>
      <c r="D118" s="11" t="s">
        <v>494</v>
      </c>
      <c r="E118" s="42"/>
      <c r="F118" s="42"/>
      <c r="G118" s="151"/>
      <c r="H118" s="328">
        <v>10</v>
      </c>
      <c r="I118" s="11">
        <v>1</v>
      </c>
      <c r="J118" s="55" t="str">
        <f t="shared" si="20"/>
        <v>PuttingTechnic110SelfCoaching Exploration 
4a    The blind walk</v>
      </c>
      <c r="K118" s="58" t="s">
        <v>740</v>
      </c>
      <c r="L118" s="57" t="s">
        <v>548</v>
      </c>
      <c r="M118" s="12"/>
      <c r="N118" s="90" t="s">
        <v>543</v>
      </c>
      <c r="O118" s="52"/>
      <c r="P118" s="13"/>
      <c r="Q118" s="35"/>
      <c r="R118" s="13"/>
      <c r="S118" s="13"/>
      <c r="T118" s="12"/>
      <c r="U118" s="54" t="str">
        <f t="shared" si="21"/>
        <v/>
      </c>
      <c r="V118" s="54"/>
      <c r="W118" s="81">
        <f t="shared" si="22"/>
        <v>0</v>
      </c>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c r="BD118" s="11"/>
      <c r="BE118" s="11"/>
      <c r="BF118" s="11"/>
      <c r="BG118" s="11"/>
      <c r="BH118" s="11"/>
      <c r="BI118" s="11"/>
      <c r="BJ118" s="11"/>
      <c r="BK118" s="11"/>
      <c r="BL118" s="11"/>
      <c r="BM118" s="11"/>
    </row>
    <row r="119" spans="1:65" ht="150" customHeight="1" x14ac:dyDescent="0.25">
      <c r="A119" s="11">
        <v>2107</v>
      </c>
      <c r="B119" s="11">
        <v>-1</v>
      </c>
      <c r="C119" s="11" t="str">
        <f t="shared" si="24"/>
        <v>Putting</v>
      </c>
      <c r="D119" s="11" t="s">
        <v>494</v>
      </c>
      <c r="E119" s="42"/>
      <c r="F119" s="42"/>
      <c r="G119" s="151"/>
      <c r="H119" s="328">
        <v>10</v>
      </c>
      <c r="I119" s="11">
        <v>1</v>
      </c>
      <c r="J119" s="55" t="str">
        <f t="shared" si="20"/>
        <v>PuttingTechnic110SelfCoaching Exploration 
4b    The blind walk  a shift in perception</v>
      </c>
      <c r="K119" s="58" t="s">
        <v>741</v>
      </c>
      <c r="L119" s="57"/>
      <c r="M119" s="12"/>
      <c r="N119" s="90" t="s">
        <v>543</v>
      </c>
      <c r="O119" s="52"/>
      <c r="P119" s="13"/>
      <c r="Q119" s="35"/>
      <c r="R119" s="13"/>
      <c r="S119" s="13"/>
      <c r="T119" s="12"/>
      <c r="U119" s="54" t="str">
        <f t="shared" si="21"/>
        <v/>
      </c>
      <c r="V119" s="54"/>
      <c r="W119" s="81">
        <f t="shared" si="22"/>
        <v>0</v>
      </c>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c r="BD119" s="11"/>
      <c r="BE119" s="11"/>
      <c r="BF119" s="11"/>
      <c r="BG119" s="11"/>
      <c r="BH119" s="11"/>
      <c r="BI119" s="11"/>
      <c r="BJ119" s="11"/>
      <c r="BK119" s="11"/>
      <c r="BL119" s="11"/>
      <c r="BM119" s="11"/>
    </row>
    <row r="120" spans="1:65" ht="150" customHeight="1" x14ac:dyDescent="0.25">
      <c r="A120" s="11">
        <v>2108</v>
      </c>
      <c r="B120" s="11">
        <v>-1</v>
      </c>
      <c r="C120" s="11" t="str">
        <f t="shared" si="24"/>
        <v>Putting</v>
      </c>
      <c r="D120" s="11" t="s">
        <v>494</v>
      </c>
      <c r="E120" s="42"/>
      <c r="F120" s="42"/>
      <c r="G120" s="151"/>
      <c r="H120" s="328">
        <v>10</v>
      </c>
      <c r="I120" s="11">
        <v>1</v>
      </c>
      <c r="J120" s="55" t="str">
        <f t="shared" si="20"/>
        <v>PuttingTechnic110SelfCoaching Exploration 
5a    Putt and predict direction</v>
      </c>
      <c r="K120" s="58" t="s">
        <v>742</v>
      </c>
      <c r="L120" s="57"/>
      <c r="M120" s="12"/>
      <c r="N120" s="90" t="s">
        <v>543</v>
      </c>
      <c r="O120" s="52"/>
      <c r="P120" s="13"/>
      <c r="Q120" s="35"/>
      <c r="R120" s="13"/>
      <c r="S120" s="13"/>
      <c r="T120" s="12"/>
      <c r="U120" s="54" t="str">
        <f t="shared" si="21"/>
        <v/>
      </c>
      <c r="V120" s="54"/>
      <c r="W120" s="81">
        <f t="shared" si="22"/>
        <v>0</v>
      </c>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c r="BE120" s="11"/>
      <c r="BF120" s="11"/>
      <c r="BG120" s="11"/>
      <c r="BH120" s="11"/>
      <c r="BI120" s="11"/>
      <c r="BJ120" s="11"/>
      <c r="BK120" s="11"/>
      <c r="BL120" s="11"/>
      <c r="BM120" s="11"/>
    </row>
    <row r="121" spans="1:65" ht="150" customHeight="1" x14ac:dyDescent="0.25">
      <c r="A121" s="11">
        <v>2109</v>
      </c>
      <c r="B121" s="11">
        <v>-1</v>
      </c>
      <c r="C121" s="11" t="str">
        <f t="shared" si="24"/>
        <v>Putting</v>
      </c>
      <c r="D121" s="11" t="s">
        <v>494</v>
      </c>
      <c r="E121" s="42"/>
      <c r="F121" s="42"/>
      <c r="G121" s="151"/>
      <c r="H121" s="328">
        <v>10</v>
      </c>
      <c r="I121" s="11">
        <v>1</v>
      </c>
      <c r="J121" s="55" t="str">
        <f t="shared" si="20"/>
        <v>PuttingTechnic110SelfCoaching Exploration 
5b    Putt and predict distance</v>
      </c>
      <c r="K121" s="58" t="s">
        <v>743</v>
      </c>
      <c r="L121" s="57"/>
      <c r="M121" s="12"/>
      <c r="N121" s="90" t="s">
        <v>543</v>
      </c>
      <c r="O121" s="52"/>
      <c r="P121" s="13"/>
      <c r="Q121" s="35"/>
      <c r="R121" s="13"/>
      <c r="S121" s="13"/>
      <c r="T121" s="12"/>
      <c r="U121" s="54" t="str">
        <f t="shared" si="21"/>
        <v/>
      </c>
      <c r="V121" s="54"/>
      <c r="W121" s="81">
        <f t="shared" si="22"/>
        <v>0</v>
      </c>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c r="BD121" s="11"/>
      <c r="BE121" s="11"/>
      <c r="BF121" s="11"/>
      <c r="BG121" s="11"/>
      <c r="BH121" s="11"/>
      <c r="BI121" s="11"/>
      <c r="BJ121" s="11"/>
      <c r="BK121" s="11"/>
      <c r="BL121" s="11"/>
      <c r="BM121" s="11"/>
    </row>
    <row r="122" spans="1:65" ht="150" customHeight="1" x14ac:dyDescent="0.25">
      <c r="A122" s="11">
        <v>2110</v>
      </c>
      <c r="B122" s="11">
        <v>-1</v>
      </c>
      <c r="C122" s="11" t="str">
        <f t="shared" si="24"/>
        <v>Putting</v>
      </c>
      <c r="D122" s="11" t="s">
        <v>6</v>
      </c>
      <c r="E122" s="42"/>
      <c r="F122" s="42"/>
      <c r="G122" s="151"/>
      <c r="H122" s="329">
        <v>10</v>
      </c>
      <c r="I122" s="14" t="s">
        <v>241</v>
      </c>
      <c r="J122" s="55" t="str">
        <f t="shared" si="20"/>
        <v>PuttingGameMany10Putting  Hero</v>
      </c>
      <c r="K122" s="58" t="s">
        <v>640</v>
      </c>
      <c r="L122" s="57" t="s">
        <v>461</v>
      </c>
      <c r="M122" s="13"/>
      <c r="N122" s="90"/>
      <c r="O122" s="52"/>
      <c r="P122" s="14" t="s">
        <v>8</v>
      </c>
      <c r="Q122" s="35" t="s">
        <v>10</v>
      </c>
      <c r="R122" s="13"/>
      <c r="S122" s="13" t="s">
        <v>10</v>
      </c>
      <c r="T122" s="12"/>
      <c r="U122" s="54" t="str">
        <f t="shared" si="21"/>
        <v/>
      </c>
      <c r="V122" s="54"/>
      <c r="W122" s="81">
        <f t="shared" si="22"/>
        <v>0</v>
      </c>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c r="BD122" s="11"/>
      <c r="BE122" s="11"/>
      <c r="BF122" s="11"/>
      <c r="BG122" s="11"/>
      <c r="BH122" s="11"/>
      <c r="BI122" s="11"/>
      <c r="BJ122" s="11"/>
      <c r="BK122" s="11"/>
      <c r="BL122" s="11"/>
      <c r="BM122" s="11"/>
    </row>
    <row r="123" spans="1:65" ht="150" customHeight="1" x14ac:dyDescent="0.25">
      <c r="A123" s="11">
        <v>2111</v>
      </c>
      <c r="B123" s="11">
        <v>1</v>
      </c>
      <c r="C123" s="11" t="str">
        <f t="shared" si="24"/>
        <v>Putting</v>
      </c>
      <c r="D123" s="11" t="s">
        <v>98</v>
      </c>
      <c r="E123" s="42"/>
      <c r="F123" s="42"/>
      <c r="G123" s="151" t="s">
        <v>861</v>
      </c>
      <c r="H123" s="328">
        <v>20</v>
      </c>
      <c r="I123" s="11">
        <v>1</v>
      </c>
      <c r="J123" s="55" t="str">
        <f t="shared" si="20"/>
        <v>PuttingChallenge120Putting Extrem #1</v>
      </c>
      <c r="K123" s="58" t="s">
        <v>972</v>
      </c>
      <c r="L123" s="57" t="s">
        <v>990</v>
      </c>
      <c r="M123" s="13"/>
      <c r="N123" s="90"/>
      <c r="O123" s="52"/>
      <c r="P123" s="13"/>
      <c r="Q123" s="35"/>
      <c r="R123" s="13"/>
      <c r="S123" s="13"/>
      <c r="T123" s="12"/>
      <c r="U123" s="54">
        <f t="shared" si="21"/>
        <v>14</v>
      </c>
      <c r="V123" s="54">
        <v>0</v>
      </c>
      <c r="W123" s="81">
        <f t="shared" si="22"/>
        <v>100</v>
      </c>
      <c r="X123" s="11">
        <v>100</v>
      </c>
      <c r="Y123" s="11">
        <v>98</v>
      </c>
      <c r="Z123" s="11">
        <v>96</v>
      </c>
      <c r="AA123" s="11">
        <v>93</v>
      </c>
      <c r="AB123" s="11">
        <v>91</v>
      </c>
      <c r="AC123" s="11">
        <v>89</v>
      </c>
      <c r="AD123" s="11">
        <v>87</v>
      </c>
      <c r="AE123" s="11">
        <v>85</v>
      </c>
      <c r="AF123" s="11">
        <v>82</v>
      </c>
      <c r="AG123" s="11">
        <v>80</v>
      </c>
      <c r="AH123" s="11">
        <v>78</v>
      </c>
      <c r="AI123" s="11">
        <v>76</v>
      </c>
      <c r="AJ123" s="11">
        <v>74</v>
      </c>
      <c r="AK123" s="11">
        <v>71</v>
      </c>
      <c r="AL123" s="11">
        <v>69</v>
      </c>
      <c r="AM123" s="11">
        <v>67</v>
      </c>
      <c r="AN123" s="11">
        <v>65</v>
      </c>
      <c r="AO123" s="11">
        <v>63</v>
      </c>
      <c r="AP123" s="11">
        <v>60</v>
      </c>
      <c r="AQ123" s="11">
        <v>58</v>
      </c>
      <c r="AR123" s="11">
        <v>56</v>
      </c>
      <c r="AS123" s="11">
        <v>54</v>
      </c>
      <c r="AT123" s="11">
        <v>52</v>
      </c>
      <c r="AU123" s="11">
        <v>50</v>
      </c>
      <c r="AV123" s="11">
        <v>47</v>
      </c>
      <c r="AW123" s="11">
        <v>45</v>
      </c>
      <c r="AX123" s="11">
        <v>43</v>
      </c>
      <c r="AY123" s="11">
        <v>41</v>
      </c>
      <c r="AZ123" s="11">
        <v>39</v>
      </c>
      <c r="BA123" s="11">
        <v>36</v>
      </c>
      <c r="BB123" s="11">
        <v>34</v>
      </c>
      <c r="BC123" s="11">
        <v>32</v>
      </c>
      <c r="BD123" s="11">
        <v>30</v>
      </c>
      <c r="BE123" s="11">
        <v>28</v>
      </c>
      <c r="BF123" s="11">
        <v>25</v>
      </c>
      <c r="BG123" s="11">
        <v>23</v>
      </c>
      <c r="BH123" s="11">
        <v>21</v>
      </c>
      <c r="BI123" s="11">
        <v>19</v>
      </c>
      <c r="BJ123" s="11">
        <v>17</v>
      </c>
      <c r="BK123" s="11">
        <v>14</v>
      </c>
      <c r="BL123" s="11">
        <v>12</v>
      </c>
      <c r="BM123" s="11">
        <v>10</v>
      </c>
    </row>
    <row r="124" spans="1:65" ht="150" customHeight="1" x14ac:dyDescent="0.25">
      <c r="A124" s="11">
        <v>2112</v>
      </c>
      <c r="B124" s="11">
        <v>1</v>
      </c>
      <c r="C124" s="11" t="str">
        <f t="shared" si="24"/>
        <v>Putting</v>
      </c>
      <c r="D124" s="11" t="s">
        <v>98</v>
      </c>
      <c r="E124" s="42"/>
      <c r="F124" s="42"/>
      <c r="G124" s="151" t="s">
        <v>861</v>
      </c>
      <c r="H124" s="328">
        <v>20</v>
      </c>
      <c r="I124" s="11">
        <v>1</v>
      </c>
      <c r="J124" s="55" t="str">
        <f t="shared" si="20"/>
        <v>PuttingChallenge120Putting Extrem #2</v>
      </c>
      <c r="K124" s="58" t="s">
        <v>985</v>
      </c>
      <c r="L124" s="57" t="s">
        <v>990</v>
      </c>
      <c r="M124" s="13"/>
      <c r="N124" s="90"/>
      <c r="O124" s="52"/>
      <c r="P124" s="13"/>
      <c r="Q124" s="35"/>
      <c r="R124" s="13"/>
      <c r="S124" s="13"/>
      <c r="T124" s="12"/>
      <c r="U124" s="54">
        <f t="shared" si="21"/>
        <v>13</v>
      </c>
      <c r="V124" s="54"/>
      <c r="W124" s="81">
        <f t="shared" si="22"/>
        <v>95</v>
      </c>
      <c r="X124" s="11">
        <v>95</v>
      </c>
      <c r="Y124" s="11">
        <v>93</v>
      </c>
      <c r="Z124" s="11">
        <v>91</v>
      </c>
      <c r="AA124" s="11">
        <v>89</v>
      </c>
      <c r="AB124" s="11">
        <v>87</v>
      </c>
      <c r="AC124" s="11">
        <v>85</v>
      </c>
      <c r="AD124" s="11">
        <v>82</v>
      </c>
      <c r="AE124" s="11">
        <v>80</v>
      </c>
      <c r="AF124" s="11">
        <v>78</v>
      </c>
      <c r="AG124" s="11">
        <v>76</v>
      </c>
      <c r="AH124" s="11">
        <v>74</v>
      </c>
      <c r="AI124" s="11">
        <v>72</v>
      </c>
      <c r="AJ124" s="11">
        <v>70</v>
      </c>
      <c r="AK124" s="11">
        <v>68</v>
      </c>
      <c r="AL124" s="11">
        <v>66</v>
      </c>
      <c r="AM124" s="11">
        <v>64</v>
      </c>
      <c r="AN124" s="11">
        <v>61</v>
      </c>
      <c r="AO124" s="11">
        <v>59</v>
      </c>
      <c r="AP124" s="11">
        <v>57</v>
      </c>
      <c r="AQ124" s="11">
        <v>55</v>
      </c>
      <c r="AR124" s="11">
        <v>53</v>
      </c>
      <c r="AS124" s="11">
        <v>51</v>
      </c>
      <c r="AT124" s="11">
        <v>49</v>
      </c>
      <c r="AU124" s="11">
        <v>47</v>
      </c>
      <c r="AV124" s="11">
        <v>45</v>
      </c>
      <c r="AW124" s="11">
        <v>43</v>
      </c>
      <c r="AX124" s="11">
        <v>40</v>
      </c>
      <c r="AY124" s="11">
        <v>38</v>
      </c>
      <c r="AZ124" s="11">
        <v>36</v>
      </c>
      <c r="BA124" s="11">
        <v>34</v>
      </c>
      <c r="BB124" s="11">
        <v>32</v>
      </c>
      <c r="BC124" s="11">
        <v>30</v>
      </c>
      <c r="BD124" s="11">
        <v>28</v>
      </c>
      <c r="BE124" s="11">
        <v>26</v>
      </c>
      <c r="BF124" s="11">
        <v>24</v>
      </c>
      <c r="BG124" s="11">
        <v>22</v>
      </c>
      <c r="BH124" s="11">
        <v>19</v>
      </c>
      <c r="BI124" s="11">
        <v>17</v>
      </c>
      <c r="BJ124" s="11">
        <v>15</v>
      </c>
      <c r="BK124" s="11">
        <v>13</v>
      </c>
      <c r="BL124" s="11">
        <v>11</v>
      </c>
      <c r="BM124" s="11">
        <v>9</v>
      </c>
    </row>
    <row r="125" spans="1:65" ht="150" customHeight="1" x14ac:dyDescent="0.25">
      <c r="A125" s="11">
        <v>2113</v>
      </c>
      <c r="B125" s="11">
        <v>1</v>
      </c>
      <c r="C125" s="11" t="str">
        <f t="shared" si="24"/>
        <v>Putting</v>
      </c>
      <c r="D125" s="11" t="s">
        <v>98</v>
      </c>
      <c r="E125" s="42"/>
      <c r="F125" s="42"/>
      <c r="G125" s="151" t="s">
        <v>861</v>
      </c>
      <c r="H125" s="328">
        <v>20</v>
      </c>
      <c r="I125" s="11">
        <v>1</v>
      </c>
      <c r="J125" s="55" t="str">
        <f t="shared" si="20"/>
        <v>PuttingChallenge120Putting Extrem #3</v>
      </c>
      <c r="K125" s="58" t="s">
        <v>986</v>
      </c>
      <c r="L125" s="57" t="s">
        <v>990</v>
      </c>
      <c r="M125" s="13"/>
      <c r="N125" s="90"/>
      <c r="O125" s="52"/>
      <c r="P125" s="13"/>
      <c r="Q125" s="35"/>
      <c r="R125" s="13"/>
      <c r="S125" s="13"/>
      <c r="T125" s="12"/>
      <c r="U125" s="54">
        <f t="shared" si="21"/>
        <v>12</v>
      </c>
      <c r="V125" s="54"/>
      <c r="W125" s="81">
        <f t="shared" si="22"/>
        <v>90</v>
      </c>
      <c r="X125" s="11">
        <v>90</v>
      </c>
      <c r="Y125" s="11">
        <v>88</v>
      </c>
      <c r="Z125" s="11">
        <v>86</v>
      </c>
      <c r="AA125" s="11">
        <v>84</v>
      </c>
      <c r="AB125" s="11">
        <v>82</v>
      </c>
      <c r="AC125" s="11">
        <v>80</v>
      </c>
      <c r="AD125" s="11">
        <v>78</v>
      </c>
      <c r="AE125" s="11">
        <v>76</v>
      </c>
      <c r="AF125" s="11">
        <v>74</v>
      </c>
      <c r="AG125" s="11">
        <v>72</v>
      </c>
      <c r="AH125" s="11">
        <v>70</v>
      </c>
      <c r="AI125" s="11">
        <v>68</v>
      </c>
      <c r="AJ125" s="11">
        <v>66</v>
      </c>
      <c r="AK125" s="11">
        <v>64</v>
      </c>
      <c r="AL125" s="11">
        <v>62</v>
      </c>
      <c r="AM125" s="11">
        <v>60</v>
      </c>
      <c r="AN125" s="11">
        <v>58</v>
      </c>
      <c r="AO125" s="11">
        <v>56</v>
      </c>
      <c r="AP125" s="11">
        <v>54</v>
      </c>
      <c r="AQ125" s="11">
        <v>52</v>
      </c>
      <c r="AR125" s="11">
        <v>50</v>
      </c>
      <c r="AS125" s="11">
        <v>48</v>
      </c>
      <c r="AT125" s="11">
        <v>46</v>
      </c>
      <c r="AU125" s="11">
        <v>44</v>
      </c>
      <c r="AV125" s="11">
        <v>42</v>
      </c>
      <c r="AW125" s="11">
        <v>40</v>
      </c>
      <c r="AX125" s="11">
        <v>38</v>
      </c>
      <c r="AY125" s="11">
        <v>36</v>
      </c>
      <c r="AZ125" s="11">
        <v>34</v>
      </c>
      <c r="BA125" s="11">
        <v>32</v>
      </c>
      <c r="BB125" s="11">
        <v>30</v>
      </c>
      <c r="BC125" s="11">
        <v>28</v>
      </c>
      <c r="BD125" s="11">
        <v>26</v>
      </c>
      <c r="BE125" s="11">
        <v>24</v>
      </c>
      <c r="BF125" s="11">
        <v>22</v>
      </c>
      <c r="BG125" s="11">
        <v>20</v>
      </c>
      <c r="BH125" s="11">
        <v>18</v>
      </c>
      <c r="BI125" s="11">
        <v>16</v>
      </c>
      <c r="BJ125" s="11">
        <v>14</v>
      </c>
      <c r="BK125" s="11">
        <v>12</v>
      </c>
      <c r="BL125" s="11">
        <v>10</v>
      </c>
      <c r="BM125" s="11">
        <v>8</v>
      </c>
    </row>
    <row r="126" spans="1:65" ht="150" customHeight="1" x14ac:dyDescent="0.25">
      <c r="A126" s="11">
        <v>2114</v>
      </c>
      <c r="B126" s="11">
        <v>1</v>
      </c>
      <c r="C126" s="11" t="str">
        <f t="shared" si="24"/>
        <v>Putting</v>
      </c>
      <c r="D126" s="11" t="s">
        <v>98</v>
      </c>
      <c r="E126" s="42"/>
      <c r="F126" s="42"/>
      <c r="G126" s="151" t="s">
        <v>861</v>
      </c>
      <c r="H126" s="328">
        <v>20</v>
      </c>
      <c r="I126" s="11">
        <v>1</v>
      </c>
      <c r="J126" s="55" t="str">
        <f t="shared" si="20"/>
        <v>PuttingChallenge120Putting Extrem #4</v>
      </c>
      <c r="K126" s="58" t="s">
        <v>987</v>
      </c>
      <c r="L126" s="57" t="s">
        <v>990</v>
      </c>
      <c r="M126" s="13"/>
      <c r="N126" s="90"/>
      <c r="O126" s="52"/>
      <c r="P126" s="13"/>
      <c r="Q126" s="35"/>
      <c r="R126" s="13"/>
      <c r="S126" s="13"/>
      <c r="T126" s="12"/>
      <c r="U126" s="54">
        <f t="shared" si="21"/>
        <v>10</v>
      </c>
      <c r="V126" s="54"/>
      <c r="W126" s="81">
        <f t="shared" si="22"/>
        <v>85</v>
      </c>
      <c r="X126" s="11">
        <v>85</v>
      </c>
      <c r="Y126" s="11">
        <v>83</v>
      </c>
      <c r="Z126" s="11">
        <v>81</v>
      </c>
      <c r="AA126" s="11">
        <v>79</v>
      </c>
      <c r="AB126" s="11">
        <v>77</v>
      </c>
      <c r="AC126" s="11">
        <v>75</v>
      </c>
      <c r="AD126" s="11">
        <v>73</v>
      </c>
      <c r="AE126" s="11">
        <v>72</v>
      </c>
      <c r="AF126" s="11">
        <v>70</v>
      </c>
      <c r="AG126" s="11">
        <v>68</v>
      </c>
      <c r="AH126" s="11">
        <v>66</v>
      </c>
      <c r="AI126" s="11">
        <v>64</v>
      </c>
      <c r="AJ126" s="11">
        <v>62</v>
      </c>
      <c r="AK126" s="11">
        <v>60</v>
      </c>
      <c r="AL126" s="11">
        <v>58</v>
      </c>
      <c r="AM126" s="11">
        <v>56</v>
      </c>
      <c r="AN126" s="11">
        <v>54</v>
      </c>
      <c r="AO126" s="11">
        <v>52</v>
      </c>
      <c r="AP126" s="11">
        <v>50</v>
      </c>
      <c r="AQ126" s="11">
        <v>48</v>
      </c>
      <c r="AR126" s="11">
        <v>46</v>
      </c>
      <c r="AS126" s="11">
        <v>45</v>
      </c>
      <c r="AT126" s="11">
        <v>43</v>
      </c>
      <c r="AU126" s="11">
        <v>41</v>
      </c>
      <c r="AV126" s="11">
        <v>39</v>
      </c>
      <c r="AW126" s="11">
        <v>37</v>
      </c>
      <c r="AX126" s="11">
        <v>35</v>
      </c>
      <c r="AY126" s="11">
        <v>33</v>
      </c>
      <c r="AZ126" s="11">
        <v>31</v>
      </c>
      <c r="BA126" s="11">
        <v>29</v>
      </c>
      <c r="BB126" s="11">
        <v>27</v>
      </c>
      <c r="BC126" s="11">
        <v>25</v>
      </c>
      <c r="BD126" s="11">
        <v>23</v>
      </c>
      <c r="BE126" s="11">
        <v>21</v>
      </c>
      <c r="BF126" s="11">
        <v>19</v>
      </c>
      <c r="BG126" s="11">
        <v>18</v>
      </c>
      <c r="BH126" s="11">
        <v>16</v>
      </c>
      <c r="BI126" s="11">
        <v>14</v>
      </c>
      <c r="BJ126" s="11">
        <v>12</v>
      </c>
      <c r="BK126" s="11">
        <v>10</v>
      </c>
      <c r="BL126" s="11">
        <v>8</v>
      </c>
      <c r="BM126" s="11">
        <v>6</v>
      </c>
    </row>
    <row r="127" spans="1:65" ht="150" customHeight="1" x14ac:dyDescent="0.25">
      <c r="A127" s="11">
        <v>2115</v>
      </c>
      <c r="B127" s="11">
        <v>1</v>
      </c>
      <c r="C127" s="11" t="str">
        <f t="shared" si="24"/>
        <v>Putting</v>
      </c>
      <c r="D127" s="11" t="s">
        <v>98</v>
      </c>
      <c r="E127" s="42"/>
      <c r="F127" s="42"/>
      <c r="G127" s="151" t="s">
        <v>861</v>
      </c>
      <c r="H127" s="328">
        <v>20</v>
      </c>
      <c r="I127" s="11">
        <v>1</v>
      </c>
      <c r="J127" s="55" t="str">
        <f t="shared" si="20"/>
        <v>PuttingChallenge120Putting Extrem #5</v>
      </c>
      <c r="K127" s="58" t="s">
        <v>988</v>
      </c>
      <c r="L127" s="57" t="s">
        <v>990</v>
      </c>
      <c r="M127" s="13"/>
      <c r="N127" s="90"/>
      <c r="O127" s="52"/>
      <c r="P127" s="13"/>
      <c r="Q127" s="35"/>
      <c r="R127" s="13"/>
      <c r="S127" s="13"/>
      <c r="T127" s="12"/>
      <c r="U127" s="54">
        <f t="shared" si="21"/>
        <v>9</v>
      </c>
      <c r="V127" s="54"/>
      <c r="W127" s="81">
        <f t="shared" si="22"/>
        <v>80</v>
      </c>
      <c r="X127" s="11">
        <v>80</v>
      </c>
      <c r="Y127" s="11">
        <v>78</v>
      </c>
      <c r="Z127" s="11">
        <v>76</v>
      </c>
      <c r="AA127" s="11">
        <v>75</v>
      </c>
      <c r="AB127" s="11">
        <v>73</v>
      </c>
      <c r="AC127" s="11">
        <v>71</v>
      </c>
      <c r="AD127" s="11">
        <v>69</v>
      </c>
      <c r="AE127" s="11">
        <v>67</v>
      </c>
      <c r="AF127" s="11">
        <v>65</v>
      </c>
      <c r="AG127" s="11">
        <v>64</v>
      </c>
      <c r="AH127" s="11">
        <v>62</v>
      </c>
      <c r="AI127" s="11">
        <v>60</v>
      </c>
      <c r="AJ127" s="11">
        <v>58</v>
      </c>
      <c r="AK127" s="11">
        <v>56</v>
      </c>
      <c r="AL127" s="11">
        <v>54</v>
      </c>
      <c r="AM127" s="11">
        <v>53</v>
      </c>
      <c r="AN127" s="11">
        <v>51</v>
      </c>
      <c r="AO127" s="11">
        <v>49</v>
      </c>
      <c r="AP127" s="11">
        <v>47</v>
      </c>
      <c r="AQ127" s="11">
        <v>45</v>
      </c>
      <c r="AR127" s="11">
        <v>43</v>
      </c>
      <c r="AS127" s="11">
        <v>42</v>
      </c>
      <c r="AT127" s="11">
        <v>40</v>
      </c>
      <c r="AU127" s="11">
        <v>38</v>
      </c>
      <c r="AV127" s="11">
        <v>36</v>
      </c>
      <c r="AW127" s="11">
        <v>34</v>
      </c>
      <c r="AX127" s="11">
        <v>32</v>
      </c>
      <c r="AY127" s="11">
        <v>31</v>
      </c>
      <c r="AZ127" s="11">
        <v>29</v>
      </c>
      <c r="BA127" s="11">
        <v>27</v>
      </c>
      <c r="BB127" s="11">
        <v>25</v>
      </c>
      <c r="BC127" s="11">
        <v>23</v>
      </c>
      <c r="BD127" s="11">
        <v>21</v>
      </c>
      <c r="BE127" s="11">
        <v>20</v>
      </c>
      <c r="BF127" s="11">
        <v>18</v>
      </c>
      <c r="BG127" s="11">
        <v>16</v>
      </c>
      <c r="BH127" s="11">
        <v>14</v>
      </c>
      <c r="BI127" s="11">
        <v>12</v>
      </c>
      <c r="BJ127" s="11">
        <v>10</v>
      </c>
      <c r="BK127" s="11">
        <v>9</v>
      </c>
      <c r="BL127" s="11">
        <v>7</v>
      </c>
      <c r="BM127" s="11">
        <v>5</v>
      </c>
    </row>
    <row r="128" spans="1:65" ht="150" customHeight="1" x14ac:dyDescent="0.25">
      <c r="A128" s="11">
        <v>2116</v>
      </c>
      <c r="B128" s="11">
        <v>1</v>
      </c>
      <c r="C128" s="11" t="str">
        <f t="shared" si="24"/>
        <v>Putting</v>
      </c>
      <c r="D128" s="11" t="s">
        <v>98</v>
      </c>
      <c r="E128" s="42"/>
      <c r="F128" s="42"/>
      <c r="G128" s="151" t="s">
        <v>861</v>
      </c>
      <c r="H128" s="328">
        <v>20</v>
      </c>
      <c r="I128" s="11">
        <v>1</v>
      </c>
      <c r="J128" s="55" t="str">
        <f t="shared" si="20"/>
        <v>PuttingChallenge120Putting Extrem #6</v>
      </c>
      <c r="K128" s="58" t="s">
        <v>989</v>
      </c>
      <c r="L128" s="57" t="s">
        <v>990</v>
      </c>
      <c r="M128" s="13"/>
      <c r="N128" s="90"/>
      <c r="O128" s="52"/>
      <c r="P128" s="13"/>
      <c r="Q128" s="35"/>
      <c r="R128" s="13"/>
      <c r="S128" s="13"/>
      <c r="T128" s="12"/>
      <c r="U128" s="54">
        <f t="shared" si="21"/>
        <v>7</v>
      </c>
      <c r="V128" s="54"/>
      <c r="W128" s="81">
        <f t="shared" si="22"/>
        <v>75</v>
      </c>
      <c r="X128" s="11">
        <v>75</v>
      </c>
      <c r="Y128" s="11">
        <v>73</v>
      </c>
      <c r="Z128" s="11">
        <v>72</v>
      </c>
      <c r="AA128" s="11">
        <v>70</v>
      </c>
      <c r="AB128" s="11">
        <v>68</v>
      </c>
      <c r="AC128" s="11">
        <v>66</v>
      </c>
      <c r="AD128" s="11">
        <v>65</v>
      </c>
      <c r="AE128" s="11">
        <v>63</v>
      </c>
      <c r="AF128" s="11">
        <v>61</v>
      </c>
      <c r="AG128" s="11">
        <v>59</v>
      </c>
      <c r="AH128" s="11">
        <v>58</v>
      </c>
      <c r="AI128" s="11">
        <v>56</v>
      </c>
      <c r="AJ128" s="11">
        <v>54</v>
      </c>
      <c r="AK128" s="11">
        <v>52</v>
      </c>
      <c r="AL128" s="11">
        <v>51</v>
      </c>
      <c r="AM128" s="11">
        <v>49</v>
      </c>
      <c r="AN128" s="11">
        <v>47</v>
      </c>
      <c r="AO128" s="11">
        <v>46</v>
      </c>
      <c r="AP128" s="11">
        <v>44</v>
      </c>
      <c r="AQ128" s="11">
        <v>42</v>
      </c>
      <c r="AR128" s="11">
        <v>40</v>
      </c>
      <c r="AS128" s="11">
        <v>39</v>
      </c>
      <c r="AT128" s="11">
        <v>37</v>
      </c>
      <c r="AU128" s="11">
        <v>35</v>
      </c>
      <c r="AV128" s="11">
        <v>33</v>
      </c>
      <c r="AW128" s="11">
        <v>32</v>
      </c>
      <c r="AX128" s="11">
        <v>30</v>
      </c>
      <c r="AY128" s="11">
        <v>28</v>
      </c>
      <c r="AZ128" s="11">
        <v>27</v>
      </c>
      <c r="BA128" s="11">
        <v>25</v>
      </c>
      <c r="BB128" s="11">
        <v>23</v>
      </c>
      <c r="BC128" s="11">
        <v>21</v>
      </c>
      <c r="BD128" s="11">
        <v>20</v>
      </c>
      <c r="BE128" s="11">
        <v>18</v>
      </c>
      <c r="BF128" s="11">
        <v>16</v>
      </c>
      <c r="BG128" s="11">
        <v>14</v>
      </c>
      <c r="BH128" s="11">
        <v>13</v>
      </c>
      <c r="BI128" s="11">
        <v>11</v>
      </c>
      <c r="BJ128" s="11">
        <v>9</v>
      </c>
      <c r="BK128" s="11">
        <v>7</v>
      </c>
      <c r="BL128" s="11">
        <v>6</v>
      </c>
      <c r="BM128" s="11">
        <v>4</v>
      </c>
    </row>
    <row r="129" spans="1:65" ht="150" customHeight="1" x14ac:dyDescent="0.25">
      <c r="A129" s="11">
        <v>2117</v>
      </c>
      <c r="B129" s="11">
        <v>1</v>
      </c>
      <c r="C129" s="11" t="str">
        <f t="shared" si="24"/>
        <v>Putting</v>
      </c>
      <c r="D129" s="11" t="s">
        <v>1084</v>
      </c>
      <c r="E129" s="42"/>
      <c r="F129" s="42"/>
      <c r="G129" s="151" t="s">
        <v>478</v>
      </c>
      <c r="H129" s="328">
        <v>10</v>
      </c>
      <c r="I129" s="11">
        <v>1</v>
      </c>
      <c r="J129" s="55" t="str">
        <f t="shared" si="20"/>
        <v>PuttingBest110Best Ball Putting #1</v>
      </c>
      <c r="K129" s="58" t="s">
        <v>1071</v>
      </c>
      <c r="L129" s="57" t="s">
        <v>1246</v>
      </c>
      <c r="M129" s="13"/>
      <c r="N129" s="90"/>
      <c r="O129" s="52"/>
      <c r="P129" s="13"/>
      <c r="Q129" s="35"/>
      <c r="R129" s="13"/>
      <c r="S129" s="13"/>
      <c r="T129" s="12"/>
      <c r="U129" s="54" t="str">
        <f t="shared" si="21"/>
        <v/>
      </c>
      <c r="V129" s="54"/>
      <c r="W129" s="81">
        <f t="shared" si="22"/>
        <v>0</v>
      </c>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c r="BD129" s="11"/>
      <c r="BE129" s="11"/>
      <c r="BF129" s="11"/>
      <c r="BG129" s="11"/>
      <c r="BH129" s="11"/>
      <c r="BI129" s="11"/>
      <c r="BJ129" s="11"/>
      <c r="BK129" s="11"/>
      <c r="BL129" s="11"/>
      <c r="BM129" s="11"/>
    </row>
    <row r="130" spans="1:65" ht="150" customHeight="1" x14ac:dyDescent="0.25">
      <c r="A130" s="11">
        <v>2118</v>
      </c>
      <c r="B130" s="11">
        <v>1</v>
      </c>
      <c r="C130" s="11" t="str">
        <f t="shared" si="24"/>
        <v>Putting</v>
      </c>
      <c r="D130" s="11" t="s">
        <v>1084</v>
      </c>
      <c r="E130" s="42"/>
      <c r="F130" s="42"/>
      <c r="G130" s="151" t="s">
        <v>480</v>
      </c>
      <c r="H130" s="328">
        <v>10</v>
      </c>
      <c r="I130" s="11">
        <v>1</v>
      </c>
      <c r="J130" s="55" t="str">
        <f t="shared" si="20"/>
        <v>PuttingBest110Best Ball Putting #2</v>
      </c>
      <c r="K130" s="58" t="s">
        <v>1072</v>
      </c>
      <c r="L130" s="57" t="s">
        <v>1247</v>
      </c>
      <c r="M130" s="13"/>
      <c r="N130" s="90"/>
      <c r="O130" s="52"/>
      <c r="P130" s="13"/>
      <c r="Q130" s="35"/>
      <c r="R130" s="13"/>
      <c r="S130" s="13"/>
      <c r="T130" s="12"/>
      <c r="U130" s="54" t="str">
        <f t="shared" si="21"/>
        <v/>
      </c>
      <c r="V130" s="54"/>
      <c r="W130" s="81">
        <f t="shared" si="22"/>
        <v>0</v>
      </c>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c r="BD130" s="11"/>
      <c r="BE130" s="11"/>
      <c r="BF130" s="11"/>
      <c r="BG130" s="11"/>
      <c r="BH130" s="11"/>
      <c r="BI130" s="11"/>
      <c r="BJ130" s="11"/>
      <c r="BK130" s="11"/>
      <c r="BL130" s="11"/>
      <c r="BM130" s="11"/>
    </row>
    <row r="131" spans="1:65" ht="150" customHeight="1" x14ac:dyDescent="0.25">
      <c r="A131" s="11">
        <v>2119</v>
      </c>
      <c r="B131" s="11">
        <v>1</v>
      </c>
      <c r="C131" s="11" t="str">
        <f t="shared" si="24"/>
        <v>Putting</v>
      </c>
      <c r="D131" s="11" t="s">
        <v>1084</v>
      </c>
      <c r="E131" s="42"/>
      <c r="F131" s="42"/>
      <c r="G131" s="151" t="s">
        <v>478</v>
      </c>
      <c r="H131" s="328">
        <v>10</v>
      </c>
      <c r="I131" s="11">
        <v>1</v>
      </c>
      <c r="J131" s="55" t="str">
        <f t="shared" si="20"/>
        <v>PuttingBest110Best Ball Putting #3</v>
      </c>
      <c r="K131" s="58" t="s">
        <v>1073</v>
      </c>
      <c r="L131" s="57" t="s">
        <v>1248</v>
      </c>
      <c r="M131" s="13"/>
      <c r="N131" s="90"/>
      <c r="O131" s="52"/>
      <c r="P131" s="13"/>
      <c r="Q131" s="35"/>
      <c r="R131" s="13"/>
      <c r="S131" s="13"/>
      <c r="T131" s="12"/>
      <c r="U131" s="54" t="str">
        <f t="shared" si="21"/>
        <v/>
      </c>
      <c r="V131" s="54"/>
      <c r="W131" s="81">
        <f t="shared" si="22"/>
        <v>0</v>
      </c>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c r="BD131" s="11"/>
      <c r="BE131" s="11"/>
      <c r="BF131" s="11"/>
      <c r="BG131" s="11"/>
      <c r="BH131" s="11"/>
      <c r="BI131" s="11"/>
      <c r="BJ131" s="11"/>
      <c r="BK131" s="11"/>
      <c r="BL131" s="11"/>
      <c r="BM131" s="11"/>
    </row>
    <row r="132" spans="1:65" ht="150" customHeight="1" x14ac:dyDescent="0.25">
      <c r="A132" s="11">
        <v>2120</v>
      </c>
      <c r="B132" s="11">
        <v>1</v>
      </c>
      <c r="C132" s="11" t="str">
        <f t="shared" si="24"/>
        <v>Putting</v>
      </c>
      <c r="D132" s="11" t="s">
        <v>1084</v>
      </c>
      <c r="E132" s="42"/>
      <c r="F132" s="42"/>
      <c r="G132" s="151" t="s">
        <v>480</v>
      </c>
      <c r="H132" s="328">
        <v>10</v>
      </c>
      <c r="I132" s="11">
        <v>1</v>
      </c>
      <c r="J132" s="55" t="str">
        <f t="shared" si="20"/>
        <v>PuttingBest110Best Ball Putting #4</v>
      </c>
      <c r="K132" s="58" t="s">
        <v>1074</v>
      </c>
      <c r="L132" s="57" t="s">
        <v>1248</v>
      </c>
      <c r="M132" s="13"/>
      <c r="N132" s="90"/>
      <c r="O132" s="52"/>
      <c r="P132" s="13"/>
      <c r="Q132" s="35"/>
      <c r="R132" s="13"/>
      <c r="S132" s="13"/>
      <c r="T132" s="12"/>
      <c r="U132" s="54" t="str">
        <f t="shared" si="21"/>
        <v/>
      </c>
      <c r="V132" s="54"/>
      <c r="W132" s="81">
        <f t="shared" si="22"/>
        <v>0</v>
      </c>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c r="BD132" s="11"/>
      <c r="BE132" s="11"/>
      <c r="BF132" s="11"/>
      <c r="BG132" s="11"/>
      <c r="BH132" s="11"/>
      <c r="BI132" s="11"/>
      <c r="BJ132" s="11"/>
      <c r="BK132" s="11"/>
      <c r="BL132" s="11"/>
      <c r="BM132" s="11"/>
    </row>
    <row r="133" spans="1:65" ht="150" customHeight="1" x14ac:dyDescent="0.25">
      <c r="A133" s="11">
        <v>2121</v>
      </c>
      <c r="B133" s="11">
        <v>1</v>
      </c>
      <c r="C133" s="11" t="str">
        <f t="shared" si="24"/>
        <v>Putting</v>
      </c>
      <c r="D133" s="11" t="s">
        <v>1084</v>
      </c>
      <c r="E133" s="42"/>
      <c r="F133" s="42"/>
      <c r="G133" s="151" t="s">
        <v>480</v>
      </c>
      <c r="H133" s="328">
        <v>10</v>
      </c>
      <c r="I133" s="11">
        <v>1</v>
      </c>
      <c r="J133" s="55" t="str">
        <f t="shared" si="20"/>
        <v>PuttingBest110Best Ball Putting #5</v>
      </c>
      <c r="K133" s="58" t="s">
        <v>1085</v>
      </c>
      <c r="L133" s="57" t="s">
        <v>1248</v>
      </c>
      <c r="M133" s="13"/>
      <c r="N133" s="90"/>
      <c r="O133" s="52"/>
      <c r="P133" s="13"/>
      <c r="Q133" s="35"/>
      <c r="R133" s="13"/>
      <c r="S133" s="13"/>
      <c r="T133" s="12"/>
      <c r="U133" s="54" t="str">
        <f t="shared" si="21"/>
        <v/>
      </c>
      <c r="V133" s="54"/>
      <c r="W133" s="81">
        <f t="shared" si="22"/>
        <v>0</v>
      </c>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c r="BD133" s="11"/>
      <c r="BE133" s="11"/>
      <c r="BF133" s="11"/>
      <c r="BG133" s="11"/>
      <c r="BH133" s="11"/>
      <c r="BI133" s="11"/>
      <c r="BJ133" s="11"/>
      <c r="BK133" s="11"/>
      <c r="BL133" s="11"/>
      <c r="BM133" s="11"/>
    </row>
    <row r="134" spans="1:65" ht="150" customHeight="1" x14ac:dyDescent="0.25">
      <c r="A134" s="11">
        <v>2122</v>
      </c>
      <c r="B134" s="11">
        <v>1</v>
      </c>
      <c r="C134" s="11" t="str">
        <f t="shared" si="24"/>
        <v>Putting</v>
      </c>
      <c r="D134" s="11" t="s">
        <v>1084</v>
      </c>
      <c r="E134" s="42"/>
      <c r="F134" s="42"/>
      <c r="G134" s="151" t="s">
        <v>480</v>
      </c>
      <c r="H134" s="328">
        <v>10</v>
      </c>
      <c r="I134" s="11">
        <v>1</v>
      </c>
      <c r="J134" s="55" t="str">
        <f t="shared" si="20"/>
        <v>PuttingBest110Best Ball Putting #6</v>
      </c>
      <c r="K134" s="58" t="s">
        <v>1086</v>
      </c>
      <c r="L134" s="57" t="s">
        <v>1248</v>
      </c>
      <c r="M134" s="13"/>
      <c r="N134" s="90"/>
      <c r="O134" s="52"/>
      <c r="P134" s="13"/>
      <c r="Q134" s="35"/>
      <c r="R134" s="13"/>
      <c r="S134" s="13"/>
      <c r="T134" s="12"/>
      <c r="U134" s="54" t="str">
        <f t="shared" ref="U134:U201" si="25">IFERROR(IF(LEN(X134)&gt;0,INT(INDEX(X134:BM134,0,DBE_HCP_ID)),""),"")</f>
        <v/>
      </c>
      <c r="V134" s="54"/>
      <c r="W134" s="81">
        <f t="shared" si="22"/>
        <v>0</v>
      </c>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c r="BD134" s="11"/>
      <c r="BE134" s="11"/>
      <c r="BF134" s="11"/>
      <c r="BG134" s="11"/>
      <c r="BH134" s="11"/>
      <c r="BI134" s="11"/>
      <c r="BJ134" s="11"/>
      <c r="BK134" s="11"/>
      <c r="BL134" s="11"/>
      <c r="BM134" s="11"/>
    </row>
    <row r="135" spans="1:65" ht="150" customHeight="1" x14ac:dyDescent="0.25">
      <c r="A135" s="11">
        <v>2123</v>
      </c>
      <c r="B135" s="11">
        <v>1</v>
      </c>
      <c r="C135" s="11" t="str">
        <f t="shared" si="24"/>
        <v>Putting</v>
      </c>
      <c r="D135" s="11" t="s">
        <v>1084</v>
      </c>
      <c r="E135" s="42"/>
      <c r="F135" s="42"/>
      <c r="G135" s="151" t="s">
        <v>478</v>
      </c>
      <c r="H135" s="328">
        <v>10</v>
      </c>
      <c r="I135" s="11">
        <v>1</v>
      </c>
      <c r="J135" s="55" t="str">
        <f t="shared" si="20"/>
        <v>PuttingBest110WORST Ball Putting #1</v>
      </c>
      <c r="K135" s="58" t="s">
        <v>1087</v>
      </c>
      <c r="L135" s="57" t="s">
        <v>1249</v>
      </c>
      <c r="M135" s="226"/>
      <c r="N135" s="90"/>
      <c r="O135" s="52"/>
      <c r="P135" s="13"/>
      <c r="Q135" s="35"/>
      <c r="R135" s="13"/>
      <c r="S135" s="13"/>
      <c r="T135" s="12"/>
      <c r="U135" s="54" t="str">
        <f t="shared" si="25"/>
        <v/>
      </c>
      <c r="V135" s="54"/>
      <c r="W135" s="81">
        <f t="shared" si="22"/>
        <v>0</v>
      </c>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c r="BD135" s="11"/>
      <c r="BE135" s="11"/>
      <c r="BF135" s="11"/>
      <c r="BG135" s="11"/>
      <c r="BH135" s="11"/>
      <c r="BI135" s="11"/>
      <c r="BJ135" s="11"/>
      <c r="BK135" s="11"/>
      <c r="BL135" s="11"/>
      <c r="BM135" s="11"/>
    </row>
    <row r="136" spans="1:65" ht="150" customHeight="1" x14ac:dyDescent="0.25">
      <c r="A136" s="11">
        <v>2124</v>
      </c>
      <c r="B136" s="11">
        <v>1</v>
      </c>
      <c r="C136" s="11" t="str">
        <f t="shared" si="24"/>
        <v>Putting</v>
      </c>
      <c r="D136" s="11" t="s">
        <v>1084</v>
      </c>
      <c r="E136" s="42"/>
      <c r="F136" s="42"/>
      <c r="G136" s="151" t="s">
        <v>480</v>
      </c>
      <c r="H136" s="328">
        <v>10</v>
      </c>
      <c r="I136" s="11">
        <v>1</v>
      </c>
      <c r="J136" s="55" t="str">
        <f t="shared" ref="J136:J211" si="26">C136&amp;D136&amp;I136&amp;H136&amp;K136</f>
        <v>PuttingBest110WORST Ball Putting #2</v>
      </c>
      <c r="K136" s="58" t="s">
        <v>1088</v>
      </c>
      <c r="L136" s="57" t="s">
        <v>1250</v>
      </c>
      <c r="M136" s="13"/>
      <c r="N136" s="90"/>
      <c r="O136" s="52"/>
      <c r="P136" s="13"/>
      <c r="Q136" s="35"/>
      <c r="R136" s="13"/>
      <c r="S136" s="13"/>
      <c r="T136" s="12"/>
      <c r="U136" s="54" t="str">
        <f t="shared" si="25"/>
        <v/>
      </c>
      <c r="V136" s="54"/>
      <c r="W136" s="81">
        <f t="shared" si="22"/>
        <v>0</v>
      </c>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c r="BD136" s="11"/>
      <c r="BE136" s="11"/>
      <c r="BF136" s="11"/>
      <c r="BG136" s="11"/>
      <c r="BH136" s="11"/>
      <c r="BI136" s="11"/>
      <c r="BJ136" s="11"/>
      <c r="BK136" s="11"/>
      <c r="BL136" s="11"/>
      <c r="BM136" s="11"/>
    </row>
    <row r="137" spans="1:65" ht="150" customHeight="1" x14ac:dyDescent="0.25">
      <c r="A137" s="11">
        <v>2125</v>
      </c>
      <c r="B137" s="11">
        <v>1</v>
      </c>
      <c r="C137" s="11" t="str">
        <f t="shared" si="24"/>
        <v>Putting</v>
      </c>
      <c r="D137" s="11" t="s">
        <v>1084</v>
      </c>
      <c r="E137" s="42"/>
      <c r="F137" s="42"/>
      <c r="G137" s="151" t="s">
        <v>484</v>
      </c>
      <c r="H137" s="328">
        <v>10</v>
      </c>
      <c r="I137" s="11">
        <v>1</v>
      </c>
      <c r="J137" s="55" t="str">
        <f t="shared" si="26"/>
        <v>PuttingBest110WORST Ball Putting #3</v>
      </c>
      <c r="K137" s="58" t="s">
        <v>1089</v>
      </c>
      <c r="L137" s="57" t="s">
        <v>1251</v>
      </c>
      <c r="M137" s="13"/>
      <c r="N137" s="90"/>
      <c r="O137" s="52"/>
      <c r="P137" s="13"/>
      <c r="Q137" s="35"/>
      <c r="R137" s="13"/>
      <c r="S137" s="13"/>
      <c r="T137" s="12"/>
      <c r="U137" s="54" t="str">
        <f t="shared" si="25"/>
        <v/>
      </c>
      <c r="V137" s="54"/>
      <c r="W137" s="81">
        <f t="shared" si="22"/>
        <v>0</v>
      </c>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row>
    <row r="138" spans="1:65" ht="150" customHeight="1" x14ac:dyDescent="0.25">
      <c r="A138" s="11">
        <v>2126</v>
      </c>
      <c r="B138" s="11">
        <v>1</v>
      </c>
      <c r="C138" s="11" t="str">
        <f t="shared" si="24"/>
        <v>Putting</v>
      </c>
      <c r="D138" s="11" t="s">
        <v>1084</v>
      </c>
      <c r="E138" s="42"/>
      <c r="F138" s="42"/>
      <c r="G138" s="151" t="s">
        <v>484</v>
      </c>
      <c r="H138" s="328">
        <v>15</v>
      </c>
      <c r="I138" s="11">
        <v>1</v>
      </c>
      <c r="J138" s="55" t="str">
        <f t="shared" si="26"/>
        <v>PuttingBest115WORST Ball Putting #4</v>
      </c>
      <c r="K138" s="58" t="s">
        <v>1090</v>
      </c>
      <c r="L138" s="57" t="s">
        <v>1252</v>
      </c>
      <c r="M138" s="13"/>
      <c r="N138" s="90"/>
      <c r="O138" s="52"/>
      <c r="P138" s="13"/>
      <c r="Q138" s="35"/>
      <c r="R138" s="13"/>
      <c r="S138" s="13"/>
      <c r="T138" s="12"/>
      <c r="U138" s="54" t="str">
        <f t="shared" si="25"/>
        <v/>
      </c>
      <c r="V138" s="54"/>
      <c r="W138" s="81">
        <f t="shared" si="22"/>
        <v>0</v>
      </c>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c r="BD138" s="11"/>
      <c r="BE138" s="11"/>
      <c r="BF138" s="11"/>
      <c r="BG138" s="11"/>
      <c r="BH138" s="11"/>
      <c r="BI138" s="11"/>
      <c r="BJ138" s="11"/>
      <c r="BK138" s="11"/>
      <c r="BL138" s="11"/>
      <c r="BM138" s="11"/>
    </row>
    <row r="139" spans="1:65" ht="150" customHeight="1" x14ac:dyDescent="0.25">
      <c r="A139" s="11">
        <v>2127</v>
      </c>
      <c r="B139" s="11">
        <v>1</v>
      </c>
      <c r="C139" s="11" t="str">
        <f t="shared" si="24"/>
        <v>Putting</v>
      </c>
      <c r="D139" s="11" t="s">
        <v>1084</v>
      </c>
      <c r="E139" s="42"/>
      <c r="F139" s="42"/>
      <c r="G139" s="151" t="s">
        <v>485</v>
      </c>
      <c r="H139" s="328">
        <v>15</v>
      </c>
      <c r="I139" s="11">
        <v>1</v>
      </c>
      <c r="J139" s="55" t="str">
        <f t="shared" si="26"/>
        <v>PuttingBest115WORST Ball Putting #5</v>
      </c>
      <c r="K139" s="58" t="s">
        <v>1091</v>
      </c>
      <c r="L139" s="57" t="s">
        <v>1253</v>
      </c>
      <c r="M139" s="226"/>
      <c r="N139" s="90"/>
      <c r="O139" s="52"/>
      <c r="P139" s="13"/>
      <c r="Q139" s="35"/>
      <c r="R139" s="13"/>
      <c r="S139" s="13"/>
      <c r="T139" s="12"/>
      <c r="U139" s="54" t="str">
        <f t="shared" si="25"/>
        <v/>
      </c>
      <c r="V139" s="54"/>
      <c r="W139" s="81">
        <f t="shared" si="22"/>
        <v>0</v>
      </c>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c r="BD139" s="11"/>
      <c r="BE139" s="11"/>
      <c r="BF139" s="11"/>
      <c r="BG139" s="11"/>
      <c r="BH139" s="11"/>
      <c r="BI139" s="11"/>
      <c r="BJ139" s="11"/>
      <c r="BK139" s="11"/>
      <c r="BL139" s="11"/>
      <c r="BM139" s="11"/>
    </row>
    <row r="140" spans="1:65" ht="150" customHeight="1" x14ac:dyDescent="0.25">
      <c r="A140" s="11">
        <v>2128</v>
      </c>
      <c r="B140" s="11">
        <v>1</v>
      </c>
      <c r="C140" s="11" t="str">
        <f t="shared" si="24"/>
        <v>Putting</v>
      </c>
      <c r="D140" s="11" t="s">
        <v>1084</v>
      </c>
      <c r="E140" s="42"/>
      <c r="F140" s="42"/>
      <c r="G140" s="151" t="s">
        <v>485</v>
      </c>
      <c r="H140" s="328">
        <v>15</v>
      </c>
      <c r="I140" s="11">
        <v>1</v>
      </c>
      <c r="J140" s="55" t="str">
        <f t="shared" si="26"/>
        <v>PuttingBest115WORST Ball Putting #6</v>
      </c>
      <c r="K140" s="58" t="s">
        <v>1092</v>
      </c>
      <c r="L140" s="57" t="s">
        <v>1254</v>
      </c>
      <c r="M140" s="226"/>
      <c r="N140" s="90"/>
      <c r="O140" s="52"/>
      <c r="P140" s="13"/>
      <c r="Q140" s="35"/>
      <c r="R140" s="13"/>
      <c r="S140" s="13"/>
      <c r="T140" s="12"/>
      <c r="U140" s="54" t="str">
        <f t="shared" si="25"/>
        <v/>
      </c>
      <c r="V140" s="54"/>
      <c r="W140" s="81">
        <f t="shared" si="22"/>
        <v>0</v>
      </c>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c r="BD140" s="11"/>
      <c r="BE140" s="11"/>
      <c r="BF140" s="11"/>
      <c r="BG140" s="11"/>
      <c r="BH140" s="11"/>
      <c r="BI140" s="11"/>
      <c r="BJ140" s="11"/>
      <c r="BK140" s="11"/>
      <c r="BL140" s="11"/>
      <c r="BM140" s="11"/>
    </row>
    <row r="141" spans="1:65" ht="150" customHeight="1" x14ac:dyDescent="0.25">
      <c r="A141" s="11">
        <v>2129</v>
      </c>
      <c r="B141" s="11">
        <v>-1</v>
      </c>
      <c r="C141" s="11" t="str">
        <f t="shared" si="24"/>
        <v>Putting</v>
      </c>
      <c r="D141" s="11" t="s">
        <v>6</v>
      </c>
      <c r="E141" s="42"/>
      <c r="F141" s="42"/>
      <c r="G141" s="151" t="s">
        <v>861</v>
      </c>
      <c r="H141" s="328">
        <v>10</v>
      </c>
      <c r="I141" s="11">
        <v>2</v>
      </c>
      <c r="J141" s="55" t="str">
        <f t="shared" si="26"/>
        <v>PuttingGame210Best of 10 : Worst  vs. Best Ball Putting 10m</v>
      </c>
      <c r="K141" s="58" t="s">
        <v>1062</v>
      </c>
      <c r="L141" s="57" t="s">
        <v>1059</v>
      </c>
      <c r="M141" s="226"/>
      <c r="N141" s="90"/>
      <c r="O141" s="52"/>
      <c r="P141" s="13"/>
      <c r="Q141" s="35"/>
      <c r="R141" s="13"/>
      <c r="S141" s="13"/>
      <c r="T141" s="12"/>
      <c r="U141" s="54" t="str">
        <f t="shared" si="25"/>
        <v/>
      </c>
      <c r="V141" s="54"/>
      <c r="W141" s="81">
        <f t="shared" ref="W141:W220" si="27">MAX(X141:BM141)</f>
        <v>0</v>
      </c>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c r="AZ141" s="11"/>
      <c r="BA141" s="11"/>
      <c r="BB141" s="11"/>
      <c r="BC141" s="11"/>
      <c r="BD141" s="11"/>
      <c r="BE141" s="11"/>
      <c r="BF141" s="11"/>
      <c r="BG141" s="11"/>
      <c r="BH141" s="11"/>
      <c r="BI141" s="11"/>
      <c r="BJ141" s="11"/>
      <c r="BK141" s="11"/>
      <c r="BL141" s="11"/>
      <c r="BM141" s="11"/>
    </row>
    <row r="142" spans="1:65" ht="150" customHeight="1" x14ac:dyDescent="0.25">
      <c r="A142" s="11">
        <v>2130</v>
      </c>
      <c r="B142" s="11">
        <v>-1</v>
      </c>
      <c r="C142" s="11" t="str">
        <f t="shared" si="24"/>
        <v>Putting</v>
      </c>
      <c r="D142" s="11" t="s">
        <v>6</v>
      </c>
      <c r="E142" s="42"/>
      <c r="F142" s="42"/>
      <c r="G142" s="151" t="s">
        <v>861</v>
      </c>
      <c r="H142" s="328">
        <v>10</v>
      </c>
      <c r="I142" s="11">
        <v>2</v>
      </c>
      <c r="J142" s="55" t="str">
        <f t="shared" si="26"/>
        <v>PuttingGame210Best of 10 : Worst  vs. Best Ball Putting 7m</v>
      </c>
      <c r="K142" s="58" t="s">
        <v>1063</v>
      </c>
      <c r="L142" s="57" t="s">
        <v>1065</v>
      </c>
      <c r="M142" s="226"/>
      <c r="N142" s="90"/>
      <c r="O142" s="52"/>
      <c r="P142" s="13"/>
      <c r="Q142" s="35"/>
      <c r="R142" s="13"/>
      <c r="S142" s="13"/>
      <c r="T142" s="12"/>
      <c r="U142" s="54" t="str">
        <f t="shared" si="25"/>
        <v/>
      </c>
      <c r="V142" s="54"/>
      <c r="W142" s="81">
        <f t="shared" si="27"/>
        <v>0</v>
      </c>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c r="AZ142" s="11"/>
      <c r="BA142" s="11"/>
      <c r="BB142" s="11"/>
      <c r="BC142" s="11"/>
      <c r="BD142" s="11"/>
      <c r="BE142" s="11"/>
      <c r="BF142" s="11"/>
      <c r="BG142" s="11"/>
      <c r="BH142" s="11"/>
      <c r="BI142" s="11"/>
      <c r="BJ142" s="11"/>
      <c r="BK142" s="11"/>
      <c r="BL142" s="11"/>
      <c r="BM142" s="11"/>
    </row>
    <row r="143" spans="1:65" ht="150" customHeight="1" x14ac:dyDescent="0.25">
      <c r="A143" s="11">
        <v>2131</v>
      </c>
      <c r="B143" s="11">
        <v>-1</v>
      </c>
      <c r="C143" s="11" t="str">
        <f t="shared" si="24"/>
        <v>Putting</v>
      </c>
      <c r="D143" s="11" t="s">
        <v>6</v>
      </c>
      <c r="E143" s="42"/>
      <c r="F143" s="42"/>
      <c r="G143" s="151" t="s">
        <v>861</v>
      </c>
      <c r="H143" s="328">
        <v>10</v>
      </c>
      <c r="I143" s="11">
        <v>2</v>
      </c>
      <c r="J143" s="55" t="str">
        <f t="shared" si="26"/>
        <v>PuttingGame210Best of 10 : Worst  vs. Best Ball Putting 4m</v>
      </c>
      <c r="K143" s="58" t="s">
        <v>1064</v>
      </c>
      <c r="L143" s="57" t="s">
        <v>1066</v>
      </c>
      <c r="M143" s="226"/>
      <c r="N143" s="90"/>
      <c r="O143" s="52"/>
      <c r="P143" s="13"/>
      <c r="Q143" s="35"/>
      <c r="R143" s="13"/>
      <c r="S143" s="13"/>
      <c r="T143" s="12"/>
      <c r="U143" s="54" t="str">
        <f t="shared" si="25"/>
        <v/>
      </c>
      <c r="V143" s="54"/>
      <c r="W143" s="81">
        <f t="shared" si="27"/>
        <v>0</v>
      </c>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c r="BH143" s="11"/>
      <c r="BI143" s="11"/>
      <c r="BJ143" s="11"/>
      <c r="BK143" s="11"/>
      <c r="BL143" s="11"/>
      <c r="BM143" s="11"/>
    </row>
    <row r="144" spans="1:65" ht="150" customHeight="1" x14ac:dyDescent="0.25">
      <c r="A144" s="11">
        <v>3000</v>
      </c>
      <c r="B144" s="11">
        <v>1</v>
      </c>
      <c r="C144" s="11" t="str">
        <f t="shared" ref="C144:C199" si="28">MUI_STAT_T_MainTitel_2</f>
        <v>Chipping</v>
      </c>
      <c r="D144" s="11" t="s">
        <v>6</v>
      </c>
      <c r="E144" s="42"/>
      <c r="F144" s="42"/>
      <c r="G144" s="151" t="s">
        <v>861</v>
      </c>
      <c r="H144" s="329">
        <v>10</v>
      </c>
      <c r="I144" s="14" t="s">
        <v>710</v>
      </c>
      <c r="J144" s="55" t="str">
        <f t="shared" si="26"/>
        <v>ChippingGame2-many10Chipping Ladder Gambling</v>
      </c>
      <c r="K144" s="58" t="s">
        <v>16</v>
      </c>
      <c r="L144" s="57" t="s">
        <v>468</v>
      </c>
      <c r="M144" s="226"/>
      <c r="N144" s="90"/>
      <c r="O144" s="52"/>
      <c r="P144" s="14" t="s">
        <v>16</v>
      </c>
      <c r="Q144" s="35" t="s">
        <v>13</v>
      </c>
      <c r="R144" s="13"/>
      <c r="S144" s="13" t="s">
        <v>15</v>
      </c>
      <c r="T144" s="12"/>
      <c r="U144" s="54" t="str">
        <f t="shared" si="25"/>
        <v/>
      </c>
      <c r="V144" s="54"/>
      <c r="W144" s="81">
        <f t="shared" si="27"/>
        <v>0</v>
      </c>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c r="AZ144" s="11"/>
      <c r="BA144" s="11"/>
      <c r="BB144" s="11"/>
      <c r="BC144" s="11"/>
      <c r="BD144" s="11"/>
      <c r="BE144" s="11"/>
      <c r="BF144" s="11"/>
      <c r="BG144" s="11"/>
      <c r="BH144" s="11"/>
      <c r="BI144" s="11"/>
      <c r="BJ144" s="11"/>
      <c r="BK144" s="11"/>
      <c r="BL144" s="11"/>
      <c r="BM144" s="11"/>
    </row>
    <row r="145" spans="1:65" ht="150" customHeight="1" x14ac:dyDescent="0.25">
      <c r="A145" s="11">
        <v>3001</v>
      </c>
      <c r="B145" s="11">
        <v>1</v>
      </c>
      <c r="C145" s="11" t="str">
        <f t="shared" si="28"/>
        <v>Chipping</v>
      </c>
      <c r="D145" s="11" t="s">
        <v>98</v>
      </c>
      <c r="E145" s="42"/>
      <c r="F145" s="42"/>
      <c r="G145" s="151" t="s">
        <v>861</v>
      </c>
      <c r="H145" s="329">
        <v>15</v>
      </c>
      <c r="I145" s="14">
        <v>1</v>
      </c>
      <c r="J145" s="55" t="str">
        <f t="shared" si="26"/>
        <v>ChippingChallenge115Chipping Ladder Gambling</v>
      </c>
      <c r="K145" s="58" t="s">
        <v>16</v>
      </c>
      <c r="L145" s="57" t="s">
        <v>413</v>
      </c>
      <c r="M145" s="226"/>
      <c r="N145" s="90"/>
      <c r="O145" s="52"/>
      <c r="P145" s="13"/>
      <c r="Q145" s="35"/>
      <c r="R145" s="13"/>
      <c r="S145" s="13"/>
      <c r="T145" s="12"/>
      <c r="U145" s="54">
        <f t="shared" si="25"/>
        <v>3</v>
      </c>
      <c r="V145" s="54"/>
      <c r="W145" s="81">
        <f t="shared" si="27"/>
        <v>12</v>
      </c>
      <c r="X145" s="11">
        <v>12</v>
      </c>
      <c r="Y145" s="11">
        <v>11</v>
      </c>
      <c r="Z145" s="11">
        <v>11</v>
      </c>
      <c r="AA145" s="11">
        <v>11</v>
      </c>
      <c r="AB145" s="11">
        <v>10</v>
      </c>
      <c r="AC145" s="11">
        <v>10</v>
      </c>
      <c r="AD145" s="11">
        <v>10</v>
      </c>
      <c r="AE145" s="11">
        <v>9</v>
      </c>
      <c r="AF145" s="11">
        <v>9</v>
      </c>
      <c r="AG145" s="11">
        <v>9</v>
      </c>
      <c r="AH145" s="11">
        <v>8</v>
      </c>
      <c r="AI145" s="11">
        <v>8</v>
      </c>
      <c r="AJ145" s="11">
        <v>8</v>
      </c>
      <c r="AK145" s="11">
        <v>7</v>
      </c>
      <c r="AL145" s="11">
        <v>7</v>
      </c>
      <c r="AM145" s="11">
        <v>7</v>
      </c>
      <c r="AN145" s="11">
        <v>7</v>
      </c>
      <c r="AO145" s="11">
        <v>6</v>
      </c>
      <c r="AP145" s="11">
        <v>6</v>
      </c>
      <c r="AQ145" s="11">
        <v>6</v>
      </c>
      <c r="AR145" s="11">
        <v>6</v>
      </c>
      <c r="AS145" s="11">
        <v>6</v>
      </c>
      <c r="AT145" s="11">
        <v>5</v>
      </c>
      <c r="AU145" s="11">
        <v>5</v>
      </c>
      <c r="AV145" s="11">
        <v>5</v>
      </c>
      <c r="AW145" s="11">
        <v>5</v>
      </c>
      <c r="AX145" s="11">
        <v>5</v>
      </c>
      <c r="AY145" s="11">
        <v>4</v>
      </c>
      <c r="AZ145" s="11">
        <v>4</v>
      </c>
      <c r="BA145" s="11">
        <v>4</v>
      </c>
      <c r="BB145" s="11">
        <v>4</v>
      </c>
      <c r="BC145" s="11">
        <v>4</v>
      </c>
      <c r="BD145" s="11">
        <v>4</v>
      </c>
      <c r="BE145" s="11">
        <v>3</v>
      </c>
      <c r="BF145" s="11">
        <v>3</v>
      </c>
      <c r="BG145" s="11">
        <v>3</v>
      </c>
      <c r="BH145" s="11">
        <v>3</v>
      </c>
      <c r="BI145" s="11">
        <v>3</v>
      </c>
      <c r="BJ145" s="11">
        <v>3</v>
      </c>
      <c r="BK145" s="11">
        <v>3</v>
      </c>
      <c r="BL145" s="11">
        <v>2</v>
      </c>
      <c r="BM145" s="11">
        <v>2</v>
      </c>
    </row>
    <row r="146" spans="1:65" ht="150" customHeight="1" x14ac:dyDescent="0.25">
      <c r="A146" s="11">
        <v>3002</v>
      </c>
      <c r="B146" s="11">
        <v>1</v>
      </c>
      <c r="C146" s="11" t="str">
        <f t="shared" si="28"/>
        <v>Chipping</v>
      </c>
      <c r="D146" s="11" t="s">
        <v>6</v>
      </c>
      <c r="E146" s="42"/>
      <c r="F146" s="42"/>
      <c r="G146" s="151" t="s">
        <v>861</v>
      </c>
      <c r="H146" s="329">
        <v>10</v>
      </c>
      <c r="I146" s="14" t="s">
        <v>710</v>
      </c>
      <c r="J146" s="55" t="str">
        <f t="shared" si="26"/>
        <v>ChippingGame2-many10Nearest to the line  Shoot out</v>
      </c>
      <c r="K146" s="58" t="s">
        <v>624</v>
      </c>
      <c r="L146" s="57" t="s">
        <v>94</v>
      </c>
      <c r="M146" s="13"/>
      <c r="N146" s="90"/>
      <c r="O146" s="72" t="s">
        <v>414</v>
      </c>
      <c r="P146" s="13"/>
      <c r="Q146" s="35"/>
      <c r="R146" s="13"/>
      <c r="S146" s="13"/>
      <c r="T146" s="12"/>
      <c r="U146" s="54" t="str">
        <f t="shared" si="25"/>
        <v/>
      </c>
      <c r="V146" s="54"/>
      <c r="W146" s="81">
        <f t="shared" si="27"/>
        <v>0</v>
      </c>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c r="AZ146" s="11"/>
      <c r="BA146" s="11"/>
      <c r="BB146" s="11"/>
      <c r="BC146" s="11"/>
      <c r="BD146" s="11"/>
      <c r="BE146" s="11"/>
      <c r="BF146" s="11"/>
      <c r="BG146" s="11"/>
      <c r="BH146" s="11"/>
      <c r="BI146" s="11"/>
      <c r="BJ146" s="11"/>
      <c r="BK146" s="11"/>
      <c r="BL146" s="11"/>
      <c r="BM146" s="11"/>
    </row>
    <row r="147" spans="1:65" ht="150" customHeight="1" x14ac:dyDescent="0.25">
      <c r="A147" s="11">
        <v>3003</v>
      </c>
      <c r="B147" s="11">
        <v>1</v>
      </c>
      <c r="C147" s="11" t="str">
        <f t="shared" si="28"/>
        <v>Chipping</v>
      </c>
      <c r="D147" s="11" t="s">
        <v>51</v>
      </c>
      <c r="E147" s="42"/>
      <c r="F147" s="42"/>
      <c r="G147" s="151" t="s">
        <v>478</v>
      </c>
      <c r="H147" s="329">
        <v>10</v>
      </c>
      <c r="I147" s="14">
        <v>1</v>
      </c>
      <c r="J147" s="55" t="str">
        <f t="shared" si="26"/>
        <v>ChippingTest110Chipping Hero</v>
      </c>
      <c r="K147" s="58" t="s">
        <v>95</v>
      </c>
      <c r="L147" s="57" t="s">
        <v>1543</v>
      </c>
      <c r="M147" s="13"/>
      <c r="N147" s="90"/>
      <c r="O147" s="52"/>
      <c r="P147" s="13"/>
      <c r="Q147" s="35"/>
      <c r="R147" s="13"/>
      <c r="S147" s="13"/>
      <c r="T147" s="12"/>
      <c r="U147" s="54">
        <f t="shared" si="25"/>
        <v>5</v>
      </c>
      <c r="V147" s="54"/>
      <c r="W147" s="81">
        <f t="shared" si="27"/>
        <v>30</v>
      </c>
      <c r="X147" s="11">
        <v>30</v>
      </c>
      <c r="Y147" s="11">
        <v>28</v>
      </c>
      <c r="Z147" s="11">
        <v>26</v>
      </c>
      <c r="AA147" s="11">
        <v>24</v>
      </c>
      <c r="AB147" s="11">
        <v>22</v>
      </c>
      <c r="AC147" s="11">
        <v>20</v>
      </c>
      <c r="AD147" s="11">
        <v>19</v>
      </c>
      <c r="AE147" s="11">
        <v>18</v>
      </c>
      <c r="AF147" s="11">
        <v>17</v>
      </c>
      <c r="AG147" s="11">
        <v>16</v>
      </c>
      <c r="AH147" s="11">
        <v>15</v>
      </c>
      <c r="AI147" s="11">
        <v>14</v>
      </c>
      <c r="AJ147" s="11">
        <v>13</v>
      </c>
      <c r="AK147" s="11">
        <v>12</v>
      </c>
      <c r="AL147" s="11">
        <v>11</v>
      </c>
      <c r="AM147" s="11">
        <v>10</v>
      </c>
      <c r="AN147" s="11">
        <v>10</v>
      </c>
      <c r="AO147" s="11">
        <v>9</v>
      </c>
      <c r="AP147" s="11">
        <v>9</v>
      </c>
      <c r="AQ147" s="11">
        <v>9</v>
      </c>
      <c r="AR147" s="11">
        <v>8</v>
      </c>
      <c r="AS147" s="11">
        <v>8</v>
      </c>
      <c r="AT147" s="11">
        <v>8</v>
      </c>
      <c r="AU147" s="11">
        <v>8</v>
      </c>
      <c r="AV147" s="11">
        <v>8</v>
      </c>
      <c r="AW147" s="11">
        <v>7</v>
      </c>
      <c r="AX147" s="11">
        <v>7</v>
      </c>
      <c r="AY147" s="11">
        <v>7</v>
      </c>
      <c r="AZ147" s="11">
        <v>7</v>
      </c>
      <c r="BA147" s="11">
        <v>7</v>
      </c>
      <c r="BB147" s="11">
        <v>7</v>
      </c>
      <c r="BC147" s="11">
        <v>6</v>
      </c>
      <c r="BD147" s="11">
        <v>6</v>
      </c>
      <c r="BE147" s="11">
        <v>6</v>
      </c>
      <c r="BF147" s="11">
        <v>6</v>
      </c>
      <c r="BG147" s="11">
        <v>6</v>
      </c>
      <c r="BH147" s="11">
        <v>6</v>
      </c>
      <c r="BI147" s="11">
        <v>6</v>
      </c>
      <c r="BJ147" s="11">
        <v>5</v>
      </c>
      <c r="BK147" s="11">
        <v>5</v>
      </c>
      <c r="BL147" s="11">
        <v>5</v>
      </c>
      <c r="BM147" s="11">
        <v>5</v>
      </c>
    </row>
    <row r="148" spans="1:65" ht="150" customHeight="1" x14ac:dyDescent="0.25">
      <c r="A148" s="11">
        <v>3004</v>
      </c>
      <c r="B148" s="11">
        <v>-1</v>
      </c>
      <c r="C148" s="11" t="str">
        <f t="shared" si="28"/>
        <v>Chipping</v>
      </c>
      <c r="D148" s="11" t="s">
        <v>181</v>
      </c>
      <c r="E148" s="42"/>
      <c r="F148" s="42"/>
      <c r="G148" s="151"/>
      <c r="H148" s="329">
        <v>10</v>
      </c>
      <c r="I148" s="14">
        <v>1</v>
      </c>
      <c r="J148" s="55" t="str">
        <f t="shared" si="26"/>
        <v>ChippingDrill110Chipping 18  Outside the Green</v>
      </c>
      <c r="K148" s="58" t="s">
        <v>644</v>
      </c>
      <c r="L148" s="57" t="s">
        <v>1576</v>
      </c>
      <c r="M148" s="13"/>
      <c r="N148" s="90"/>
      <c r="O148" s="52"/>
      <c r="P148" s="14"/>
      <c r="Q148" s="35"/>
      <c r="R148" s="13"/>
      <c r="S148" s="35"/>
      <c r="T148" s="12"/>
      <c r="U148" s="54" t="str">
        <f t="shared" si="25"/>
        <v/>
      </c>
      <c r="V148" s="54"/>
      <c r="W148" s="81">
        <f t="shared" si="27"/>
        <v>0</v>
      </c>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c r="AZ148" s="11"/>
      <c r="BA148" s="11"/>
      <c r="BB148" s="11"/>
      <c r="BC148" s="11"/>
      <c r="BD148" s="11"/>
      <c r="BE148" s="11"/>
      <c r="BF148" s="11"/>
      <c r="BG148" s="11"/>
      <c r="BH148" s="11"/>
      <c r="BI148" s="11"/>
      <c r="BJ148" s="11"/>
      <c r="BK148" s="11"/>
      <c r="BL148" s="11"/>
      <c r="BM148" s="11"/>
    </row>
    <row r="149" spans="1:65" ht="150" customHeight="1" x14ac:dyDescent="0.25">
      <c r="A149" s="11">
        <v>3005</v>
      </c>
      <c r="B149" s="11">
        <v>-1</v>
      </c>
      <c r="C149" s="11" t="str">
        <f t="shared" si="28"/>
        <v>Chipping</v>
      </c>
      <c r="D149" s="11" t="s">
        <v>181</v>
      </c>
      <c r="E149" s="42"/>
      <c r="F149" s="42"/>
      <c r="G149" s="151"/>
      <c r="H149" s="329">
        <v>5</v>
      </c>
      <c r="I149" s="14">
        <v>1</v>
      </c>
      <c r="J149" s="55" t="str">
        <f t="shared" si="26"/>
        <v>ChippingDrill15Chipping 9  Outside the Green</v>
      </c>
      <c r="K149" s="58" t="s">
        <v>645</v>
      </c>
      <c r="L149" s="57" t="s">
        <v>1577</v>
      </c>
      <c r="M149" s="13"/>
      <c r="N149" s="90"/>
      <c r="O149" s="52"/>
      <c r="P149" s="14"/>
      <c r="Q149" s="35"/>
      <c r="R149" s="13"/>
      <c r="S149" s="35"/>
      <c r="T149" s="12"/>
      <c r="U149" s="54" t="str">
        <f t="shared" si="25"/>
        <v/>
      </c>
      <c r="V149" s="54"/>
      <c r="W149" s="81">
        <f t="shared" si="27"/>
        <v>0</v>
      </c>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c r="AZ149" s="11"/>
      <c r="BA149" s="11"/>
      <c r="BB149" s="11"/>
      <c r="BC149" s="11"/>
      <c r="BD149" s="11"/>
      <c r="BE149" s="11"/>
      <c r="BF149" s="11"/>
      <c r="BG149" s="11"/>
      <c r="BH149" s="11"/>
      <c r="BI149" s="11"/>
      <c r="BJ149" s="11"/>
      <c r="BK149" s="11"/>
      <c r="BL149" s="11"/>
      <c r="BM149" s="11"/>
    </row>
    <row r="150" spans="1:65" ht="150" customHeight="1" x14ac:dyDescent="0.25">
      <c r="A150" s="11">
        <v>3006</v>
      </c>
      <c r="B150" s="11">
        <v>-1</v>
      </c>
      <c r="C150" s="11" t="str">
        <f t="shared" si="28"/>
        <v>Chipping</v>
      </c>
      <c r="D150" s="11" t="s">
        <v>1084</v>
      </c>
      <c r="E150" s="42"/>
      <c r="F150" s="42"/>
      <c r="G150" s="151"/>
      <c r="H150" s="329">
        <v>5</v>
      </c>
      <c r="I150" s="14">
        <v>1</v>
      </c>
      <c r="J150" s="55" t="str">
        <f t="shared" si="26"/>
        <v>ChippingBest15TOP 40  Can you beat them</v>
      </c>
      <c r="K150" s="58" t="s">
        <v>648</v>
      </c>
      <c r="L150" s="57" t="s">
        <v>1573</v>
      </c>
      <c r="M150" s="13"/>
      <c r="N150" s="90"/>
      <c r="O150" s="52"/>
      <c r="P150" s="13"/>
      <c r="Q150" s="35"/>
      <c r="R150" s="13"/>
      <c r="S150" s="13"/>
      <c r="T150" s="12"/>
      <c r="U150" s="54" t="str">
        <f t="shared" si="25"/>
        <v/>
      </c>
      <c r="V150" s="54"/>
      <c r="W150" s="81">
        <f t="shared" si="27"/>
        <v>0</v>
      </c>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c r="AZ150" s="11"/>
      <c r="BA150" s="11"/>
      <c r="BB150" s="11"/>
      <c r="BC150" s="11"/>
      <c r="BD150" s="11"/>
      <c r="BE150" s="11"/>
      <c r="BF150" s="11"/>
      <c r="BG150" s="11"/>
      <c r="BH150" s="11"/>
      <c r="BI150" s="11"/>
      <c r="BJ150" s="11"/>
      <c r="BK150" s="11"/>
      <c r="BL150" s="11"/>
      <c r="BM150" s="11"/>
    </row>
    <row r="151" spans="1:65" ht="150" customHeight="1" x14ac:dyDescent="0.25">
      <c r="A151" s="11">
        <v>3007</v>
      </c>
      <c r="B151" s="11">
        <v>-1</v>
      </c>
      <c r="C151" s="11" t="str">
        <f t="shared" si="28"/>
        <v>Chipping</v>
      </c>
      <c r="D151" s="11" t="s">
        <v>1084</v>
      </c>
      <c r="E151" s="42"/>
      <c r="F151" s="42"/>
      <c r="G151" s="151"/>
      <c r="H151" s="329">
        <v>10</v>
      </c>
      <c r="I151" s="14">
        <v>1</v>
      </c>
      <c r="J151" s="55" t="str">
        <f t="shared" si="26"/>
        <v>ChippingBest110Chipping 18  10m off the green</v>
      </c>
      <c r="K151" s="58" t="s">
        <v>649</v>
      </c>
      <c r="L151" s="57" t="s">
        <v>1578</v>
      </c>
      <c r="M151" s="13"/>
      <c r="N151" s="90"/>
      <c r="O151" s="52"/>
      <c r="P151" s="13"/>
      <c r="Q151" s="35"/>
      <c r="R151" s="13"/>
      <c r="S151" s="13"/>
      <c r="T151" s="12"/>
      <c r="U151" s="54" t="str">
        <f t="shared" si="25"/>
        <v/>
      </c>
      <c r="V151" s="54"/>
      <c r="W151" s="81">
        <f t="shared" si="27"/>
        <v>0</v>
      </c>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c r="AZ151" s="11"/>
      <c r="BA151" s="11"/>
      <c r="BB151" s="11"/>
      <c r="BC151" s="11"/>
      <c r="BD151" s="11"/>
      <c r="BE151" s="11"/>
      <c r="BF151" s="11"/>
      <c r="BG151" s="11"/>
      <c r="BH151" s="11"/>
      <c r="BI151" s="11"/>
      <c r="BJ151" s="11"/>
      <c r="BK151" s="11"/>
      <c r="BL151" s="11"/>
      <c r="BM151" s="11"/>
    </row>
    <row r="152" spans="1:65" ht="150" customHeight="1" x14ac:dyDescent="0.25">
      <c r="A152" s="11">
        <v>3008</v>
      </c>
      <c r="B152" s="11">
        <v>-1</v>
      </c>
      <c r="C152" s="11" t="str">
        <f t="shared" si="28"/>
        <v>Chipping</v>
      </c>
      <c r="D152" s="11" t="s">
        <v>1084</v>
      </c>
      <c r="E152" s="42"/>
      <c r="F152" s="42"/>
      <c r="G152" s="151"/>
      <c r="H152" s="329">
        <v>5</v>
      </c>
      <c r="I152" s="14">
        <v>1</v>
      </c>
      <c r="J152" s="55" t="str">
        <f t="shared" si="26"/>
        <v>ChippingBest15Chipping 9  10m off the green</v>
      </c>
      <c r="K152" s="58" t="s">
        <v>650</v>
      </c>
      <c r="L152" s="57" t="s">
        <v>1579</v>
      </c>
      <c r="M152" s="13"/>
      <c r="N152" s="90"/>
      <c r="O152" s="52"/>
      <c r="P152" s="13"/>
      <c r="Q152" s="35"/>
      <c r="R152" s="13"/>
      <c r="S152" s="13"/>
      <c r="T152" s="12"/>
      <c r="U152" s="54" t="str">
        <f t="shared" si="25"/>
        <v/>
      </c>
      <c r="V152" s="54"/>
      <c r="W152" s="81">
        <f t="shared" si="27"/>
        <v>0</v>
      </c>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c r="AZ152" s="11"/>
      <c r="BA152" s="11"/>
      <c r="BB152" s="11"/>
      <c r="BC152" s="11"/>
      <c r="BD152" s="11"/>
      <c r="BE152" s="11"/>
      <c r="BF152" s="11"/>
      <c r="BG152" s="11"/>
      <c r="BH152" s="11"/>
      <c r="BI152" s="11"/>
      <c r="BJ152" s="11"/>
      <c r="BK152" s="11"/>
      <c r="BL152" s="11"/>
      <c r="BM152" s="11"/>
    </row>
    <row r="153" spans="1:65" ht="150" customHeight="1" x14ac:dyDescent="0.25">
      <c r="A153" s="11">
        <v>3009</v>
      </c>
      <c r="B153" s="11">
        <v>-1</v>
      </c>
      <c r="C153" s="11" t="str">
        <f t="shared" si="28"/>
        <v>Chipping</v>
      </c>
      <c r="D153" s="11" t="s">
        <v>181</v>
      </c>
      <c r="E153" s="42"/>
      <c r="F153" s="42"/>
      <c r="G153" s="151"/>
      <c r="H153" s="329">
        <v>5</v>
      </c>
      <c r="I153" s="14">
        <v>1</v>
      </c>
      <c r="J153" s="55" t="str">
        <f t="shared" si="26"/>
        <v>ChippingDrill15Scrambling   Outside the green  Beginner Mode</v>
      </c>
      <c r="K153" s="58" t="s">
        <v>651</v>
      </c>
      <c r="L153" s="57" t="s">
        <v>1583</v>
      </c>
      <c r="M153" s="13"/>
      <c r="N153" s="90"/>
      <c r="O153" s="52"/>
      <c r="P153" s="13"/>
      <c r="Q153" s="35"/>
      <c r="R153" s="13"/>
      <c r="S153" s="13"/>
      <c r="T153" s="12"/>
      <c r="U153" s="54">
        <f t="shared" si="25"/>
        <v>2</v>
      </c>
      <c r="V153" s="54"/>
      <c r="W153" s="81">
        <f t="shared" si="27"/>
        <v>10</v>
      </c>
      <c r="X153" s="11">
        <v>10</v>
      </c>
      <c r="Y153" s="11">
        <v>10</v>
      </c>
      <c r="Z153" s="11">
        <v>9</v>
      </c>
      <c r="AA153" s="11">
        <v>9</v>
      </c>
      <c r="AB153" s="11">
        <v>8</v>
      </c>
      <c r="AC153" s="11">
        <v>8</v>
      </c>
      <c r="AD153" s="11">
        <v>8</v>
      </c>
      <c r="AE153" s="11">
        <v>7</v>
      </c>
      <c r="AF153" s="11">
        <v>7</v>
      </c>
      <c r="AG153" s="11">
        <v>7</v>
      </c>
      <c r="AH153" s="11">
        <v>6</v>
      </c>
      <c r="AI153" s="11">
        <v>6</v>
      </c>
      <c r="AJ153" s="11">
        <v>6</v>
      </c>
      <c r="AK153" s="11">
        <v>6</v>
      </c>
      <c r="AL153" s="11">
        <v>6</v>
      </c>
      <c r="AM153" s="11">
        <v>6</v>
      </c>
      <c r="AN153" s="11">
        <v>5</v>
      </c>
      <c r="AO153" s="11">
        <v>5</v>
      </c>
      <c r="AP153" s="11">
        <v>5</v>
      </c>
      <c r="AQ153" s="11">
        <v>5</v>
      </c>
      <c r="AR153" s="11">
        <v>5</v>
      </c>
      <c r="AS153" s="11">
        <v>5</v>
      </c>
      <c r="AT153" s="11">
        <v>4</v>
      </c>
      <c r="AU153" s="11">
        <v>4</v>
      </c>
      <c r="AV153" s="11">
        <v>4</v>
      </c>
      <c r="AW153" s="11">
        <v>4</v>
      </c>
      <c r="AX153" s="11">
        <v>4</v>
      </c>
      <c r="AY153" s="11">
        <v>4</v>
      </c>
      <c r="AZ153" s="11">
        <v>4</v>
      </c>
      <c r="BA153" s="11">
        <v>3</v>
      </c>
      <c r="BB153" s="11">
        <v>3</v>
      </c>
      <c r="BC153" s="11">
        <v>3</v>
      </c>
      <c r="BD153" s="11">
        <v>3</v>
      </c>
      <c r="BE153" s="11">
        <v>3</v>
      </c>
      <c r="BF153" s="11">
        <v>3</v>
      </c>
      <c r="BG153" s="11">
        <v>3</v>
      </c>
      <c r="BH153" s="11">
        <v>3</v>
      </c>
      <c r="BI153" s="11">
        <v>2</v>
      </c>
      <c r="BJ153" s="11">
        <v>2</v>
      </c>
      <c r="BK153" s="11">
        <v>2</v>
      </c>
      <c r="BL153" s="11">
        <v>2</v>
      </c>
      <c r="BM153" s="11">
        <v>2</v>
      </c>
    </row>
    <row r="154" spans="1:65" ht="150" customHeight="1" x14ac:dyDescent="0.25">
      <c r="A154" s="11">
        <v>3010</v>
      </c>
      <c r="B154" s="11">
        <v>-1</v>
      </c>
      <c r="C154" s="11" t="str">
        <f t="shared" si="28"/>
        <v>Chipping</v>
      </c>
      <c r="D154" s="11" t="s">
        <v>181</v>
      </c>
      <c r="E154" s="42"/>
      <c r="F154" s="42"/>
      <c r="G154" s="151"/>
      <c r="H154" s="329">
        <v>5</v>
      </c>
      <c r="I154" s="14">
        <v>1</v>
      </c>
      <c r="J154" s="55" t="str">
        <f t="shared" si="26"/>
        <v>ChippingDrill15Scrambling   Outside the green  Expert Mode</v>
      </c>
      <c r="K154" s="58" t="s">
        <v>652</v>
      </c>
      <c r="L154" s="57" t="s">
        <v>1574</v>
      </c>
      <c r="M154" s="13"/>
      <c r="N154" s="90"/>
      <c r="O154" s="52"/>
      <c r="P154" s="13"/>
      <c r="Q154" s="35"/>
      <c r="R154" s="13"/>
      <c r="S154" s="13"/>
      <c r="T154" s="12"/>
      <c r="U154" s="54">
        <f t="shared" si="25"/>
        <v>2</v>
      </c>
      <c r="V154" s="54"/>
      <c r="W154" s="81">
        <f t="shared" si="27"/>
        <v>10</v>
      </c>
      <c r="X154" s="11">
        <v>10</v>
      </c>
      <c r="Y154" s="11">
        <v>10</v>
      </c>
      <c r="Z154" s="11">
        <v>9</v>
      </c>
      <c r="AA154" s="11">
        <v>9</v>
      </c>
      <c r="AB154" s="11">
        <v>8</v>
      </c>
      <c r="AC154" s="11">
        <v>8</v>
      </c>
      <c r="AD154" s="11">
        <v>8</v>
      </c>
      <c r="AE154" s="11">
        <v>7</v>
      </c>
      <c r="AF154" s="11">
        <v>7</v>
      </c>
      <c r="AG154" s="11">
        <v>7</v>
      </c>
      <c r="AH154" s="11">
        <v>6</v>
      </c>
      <c r="AI154" s="11">
        <v>6</v>
      </c>
      <c r="AJ154" s="11">
        <v>6</v>
      </c>
      <c r="AK154" s="11">
        <v>6</v>
      </c>
      <c r="AL154" s="11">
        <v>6</v>
      </c>
      <c r="AM154" s="11">
        <v>6</v>
      </c>
      <c r="AN154" s="11">
        <v>5</v>
      </c>
      <c r="AO154" s="11">
        <v>5</v>
      </c>
      <c r="AP154" s="11">
        <v>5</v>
      </c>
      <c r="AQ154" s="11">
        <v>5</v>
      </c>
      <c r="AR154" s="11">
        <v>5</v>
      </c>
      <c r="AS154" s="11">
        <v>5</v>
      </c>
      <c r="AT154" s="11">
        <v>4</v>
      </c>
      <c r="AU154" s="11">
        <v>4</v>
      </c>
      <c r="AV154" s="11">
        <v>4</v>
      </c>
      <c r="AW154" s="11">
        <v>4</v>
      </c>
      <c r="AX154" s="11">
        <v>4</v>
      </c>
      <c r="AY154" s="11">
        <v>4</v>
      </c>
      <c r="AZ154" s="11">
        <v>4</v>
      </c>
      <c r="BA154" s="11">
        <v>3</v>
      </c>
      <c r="BB154" s="11">
        <v>3</v>
      </c>
      <c r="BC154" s="11">
        <v>3</v>
      </c>
      <c r="BD154" s="11">
        <v>3</v>
      </c>
      <c r="BE154" s="11">
        <v>3</v>
      </c>
      <c r="BF154" s="11">
        <v>3</v>
      </c>
      <c r="BG154" s="11">
        <v>3</v>
      </c>
      <c r="BH154" s="11">
        <v>3</v>
      </c>
      <c r="BI154" s="11">
        <v>2</v>
      </c>
      <c r="BJ154" s="11">
        <v>2</v>
      </c>
      <c r="BK154" s="11">
        <v>2</v>
      </c>
      <c r="BL154" s="11">
        <v>2</v>
      </c>
      <c r="BM154" s="11">
        <v>2</v>
      </c>
    </row>
    <row r="155" spans="1:65" ht="150" customHeight="1" x14ac:dyDescent="0.25">
      <c r="A155" s="11">
        <v>3011</v>
      </c>
      <c r="B155" s="11">
        <v>-1</v>
      </c>
      <c r="C155" s="11" t="str">
        <f t="shared" si="28"/>
        <v>Chipping</v>
      </c>
      <c r="D155" s="11" t="s">
        <v>181</v>
      </c>
      <c r="E155" s="42"/>
      <c r="F155" s="42"/>
      <c r="G155" s="151"/>
      <c r="H155" s="329">
        <v>5</v>
      </c>
      <c r="I155" s="14">
        <v>1</v>
      </c>
      <c r="J155" s="55" t="str">
        <f t="shared" si="26"/>
        <v>ChippingDrill15Scrambling   Outside the green  Ultra Mode</v>
      </c>
      <c r="K155" s="58" t="s">
        <v>653</v>
      </c>
      <c r="L155" s="57" t="s">
        <v>1575</v>
      </c>
      <c r="M155" s="13"/>
      <c r="N155" s="90"/>
      <c r="O155" s="52"/>
      <c r="P155" s="13"/>
      <c r="Q155" s="35"/>
      <c r="R155" s="13"/>
      <c r="S155" s="13"/>
      <c r="T155" s="12"/>
      <c r="U155" s="54">
        <f t="shared" si="25"/>
        <v>2</v>
      </c>
      <c r="V155" s="54"/>
      <c r="W155" s="81">
        <f t="shared" si="27"/>
        <v>10</v>
      </c>
      <c r="X155" s="11">
        <v>10</v>
      </c>
      <c r="Y155" s="11">
        <v>10</v>
      </c>
      <c r="Z155" s="11">
        <v>9</v>
      </c>
      <c r="AA155" s="11">
        <v>9</v>
      </c>
      <c r="AB155" s="11">
        <v>8</v>
      </c>
      <c r="AC155" s="11">
        <v>8</v>
      </c>
      <c r="AD155" s="11">
        <v>8</v>
      </c>
      <c r="AE155" s="11">
        <v>7</v>
      </c>
      <c r="AF155" s="11">
        <v>7</v>
      </c>
      <c r="AG155" s="11">
        <v>7</v>
      </c>
      <c r="AH155" s="11">
        <v>6</v>
      </c>
      <c r="AI155" s="11">
        <v>6</v>
      </c>
      <c r="AJ155" s="11">
        <v>6</v>
      </c>
      <c r="AK155" s="11">
        <v>6</v>
      </c>
      <c r="AL155" s="11">
        <v>6</v>
      </c>
      <c r="AM155" s="11">
        <v>6</v>
      </c>
      <c r="AN155" s="11">
        <v>5</v>
      </c>
      <c r="AO155" s="11">
        <v>5</v>
      </c>
      <c r="AP155" s="11">
        <v>5</v>
      </c>
      <c r="AQ155" s="11">
        <v>5</v>
      </c>
      <c r="AR155" s="11">
        <v>5</v>
      </c>
      <c r="AS155" s="11">
        <v>5</v>
      </c>
      <c r="AT155" s="11">
        <v>4</v>
      </c>
      <c r="AU155" s="11">
        <v>4</v>
      </c>
      <c r="AV155" s="11">
        <v>4</v>
      </c>
      <c r="AW155" s="11">
        <v>4</v>
      </c>
      <c r="AX155" s="11">
        <v>4</v>
      </c>
      <c r="AY155" s="11">
        <v>4</v>
      </c>
      <c r="AZ155" s="11">
        <v>4</v>
      </c>
      <c r="BA155" s="11">
        <v>3</v>
      </c>
      <c r="BB155" s="11">
        <v>3</v>
      </c>
      <c r="BC155" s="11">
        <v>3</v>
      </c>
      <c r="BD155" s="11">
        <v>3</v>
      </c>
      <c r="BE155" s="11">
        <v>3</v>
      </c>
      <c r="BF155" s="11">
        <v>3</v>
      </c>
      <c r="BG155" s="11">
        <v>3</v>
      </c>
      <c r="BH155" s="11">
        <v>3</v>
      </c>
      <c r="BI155" s="11">
        <v>2</v>
      </c>
      <c r="BJ155" s="11">
        <v>2</v>
      </c>
      <c r="BK155" s="11">
        <v>2</v>
      </c>
      <c r="BL155" s="11">
        <v>2</v>
      </c>
      <c r="BM155" s="11">
        <v>2</v>
      </c>
    </row>
    <row r="156" spans="1:65" ht="150" customHeight="1" x14ac:dyDescent="0.25">
      <c r="A156" s="11">
        <v>3012</v>
      </c>
      <c r="B156" s="11">
        <v>-1</v>
      </c>
      <c r="C156" s="11" t="str">
        <f t="shared" si="28"/>
        <v>Chipping</v>
      </c>
      <c r="D156" s="11" t="s">
        <v>181</v>
      </c>
      <c r="E156" s="42"/>
      <c r="F156" s="42"/>
      <c r="G156" s="151"/>
      <c r="H156" s="329">
        <v>5</v>
      </c>
      <c r="I156" s="14">
        <v>1</v>
      </c>
      <c r="J156" s="55" t="str">
        <f t="shared" si="26"/>
        <v>ChippingDrill15Scrambling   10m off the green  Beginner Mode</v>
      </c>
      <c r="K156" s="58" t="s">
        <v>654</v>
      </c>
      <c r="L156" s="57" t="s">
        <v>1582</v>
      </c>
      <c r="M156" s="13"/>
      <c r="N156" s="90"/>
      <c r="O156" s="52"/>
      <c r="P156" s="13"/>
      <c r="Q156" s="35"/>
      <c r="R156" s="13"/>
      <c r="S156" s="13"/>
      <c r="T156" s="12"/>
      <c r="U156" s="54">
        <f t="shared" si="25"/>
        <v>2</v>
      </c>
      <c r="V156" s="54"/>
      <c r="W156" s="81">
        <f t="shared" si="27"/>
        <v>8</v>
      </c>
      <c r="X156" s="11">
        <v>8</v>
      </c>
      <c r="Y156" s="11">
        <v>8</v>
      </c>
      <c r="Z156" s="11">
        <v>8</v>
      </c>
      <c r="AA156" s="11">
        <v>7</v>
      </c>
      <c r="AB156" s="11">
        <v>7</v>
      </c>
      <c r="AC156" s="11">
        <v>7</v>
      </c>
      <c r="AD156" s="11">
        <v>6</v>
      </c>
      <c r="AE156" s="11">
        <v>6</v>
      </c>
      <c r="AF156" s="11">
        <v>6</v>
      </c>
      <c r="AG156" s="11">
        <v>6</v>
      </c>
      <c r="AH156" s="11">
        <v>5</v>
      </c>
      <c r="AI156" s="11">
        <v>5</v>
      </c>
      <c r="AJ156" s="11">
        <v>5</v>
      </c>
      <c r="AK156" s="11">
        <v>5</v>
      </c>
      <c r="AL156" s="11">
        <v>5</v>
      </c>
      <c r="AM156" s="11">
        <v>5</v>
      </c>
      <c r="AN156" s="11">
        <v>4</v>
      </c>
      <c r="AO156" s="11">
        <v>4</v>
      </c>
      <c r="AP156" s="11">
        <v>4</v>
      </c>
      <c r="AQ156" s="11">
        <v>4</v>
      </c>
      <c r="AR156" s="11">
        <v>4</v>
      </c>
      <c r="AS156" s="11">
        <v>4</v>
      </c>
      <c r="AT156" s="11">
        <v>3</v>
      </c>
      <c r="AU156" s="11">
        <v>3</v>
      </c>
      <c r="AV156" s="11">
        <v>3</v>
      </c>
      <c r="AW156" s="11">
        <v>3</v>
      </c>
      <c r="AX156" s="11">
        <v>3</v>
      </c>
      <c r="AY156" s="11">
        <v>3</v>
      </c>
      <c r="AZ156" s="11">
        <v>3</v>
      </c>
      <c r="BA156" s="11">
        <v>3</v>
      </c>
      <c r="BB156" s="11">
        <v>3</v>
      </c>
      <c r="BC156" s="11">
        <v>2</v>
      </c>
      <c r="BD156" s="11">
        <v>2</v>
      </c>
      <c r="BE156" s="11">
        <v>2</v>
      </c>
      <c r="BF156" s="11">
        <v>2</v>
      </c>
      <c r="BG156" s="11">
        <v>2</v>
      </c>
      <c r="BH156" s="11">
        <v>2</v>
      </c>
      <c r="BI156" s="11">
        <v>2</v>
      </c>
      <c r="BJ156" s="11">
        <v>2</v>
      </c>
      <c r="BK156" s="11">
        <v>2</v>
      </c>
      <c r="BL156" s="11">
        <v>2</v>
      </c>
      <c r="BM156" s="11">
        <v>2</v>
      </c>
    </row>
    <row r="157" spans="1:65" ht="150" customHeight="1" x14ac:dyDescent="0.25">
      <c r="A157" s="11">
        <v>3013</v>
      </c>
      <c r="B157" s="11">
        <v>-1</v>
      </c>
      <c r="C157" s="11" t="str">
        <f t="shared" si="28"/>
        <v>Chipping</v>
      </c>
      <c r="D157" s="11" t="s">
        <v>181</v>
      </c>
      <c r="E157" s="42"/>
      <c r="F157" s="42"/>
      <c r="G157" s="151"/>
      <c r="H157" s="329">
        <v>5</v>
      </c>
      <c r="I157" s="14">
        <v>1</v>
      </c>
      <c r="J157" s="55" t="str">
        <f t="shared" si="26"/>
        <v>ChippingDrill15Scrambling   10m off the green  Expert Mode</v>
      </c>
      <c r="K157" s="58" t="s">
        <v>655</v>
      </c>
      <c r="L157" s="57" t="s">
        <v>1580</v>
      </c>
      <c r="M157" s="226"/>
      <c r="N157" s="90"/>
      <c r="O157" s="52"/>
      <c r="P157" s="13"/>
      <c r="Q157" s="35"/>
      <c r="R157" s="13"/>
      <c r="S157" s="13"/>
      <c r="T157" s="12"/>
      <c r="U157" s="54">
        <f t="shared" si="25"/>
        <v>2</v>
      </c>
      <c r="V157" s="54"/>
      <c r="W157" s="81">
        <f t="shared" si="27"/>
        <v>8</v>
      </c>
      <c r="X157" s="11">
        <v>8</v>
      </c>
      <c r="Y157" s="11">
        <v>8</v>
      </c>
      <c r="Z157" s="11">
        <v>8</v>
      </c>
      <c r="AA157" s="11">
        <v>7</v>
      </c>
      <c r="AB157" s="11">
        <v>7</v>
      </c>
      <c r="AC157" s="11">
        <v>7</v>
      </c>
      <c r="AD157" s="11">
        <v>6</v>
      </c>
      <c r="AE157" s="11">
        <v>6</v>
      </c>
      <c r="AF157" s="11">
        <v>6</v>
      </c>
      <c r="AG157" s="11">
        <v>6</v>
      </c>
      <c r="AH157" s="11">
        <v>5</v>
      </c>
      <c r="AI157" s="11">
        <v>5</v>
      </c>
      <c r="AJ157" s="11">
        <v>5</v>
      </c>
      <c r="AK157" s="11">
        <v>5</v>
      </c>
      <c r="AL157" s="11">
        <v>5</v>
      </c>
      <c r="AM157" s="11">
        <v>5</v>
      </c>
      <c r="AN157" s="11">
        <v>4</v>
      </c>
      <c r="AO157" s="11">
        <v>4</v>
      </c>
      <c r="AP157" s="11">
        <v>4</v>
      </c>
      <c r="AQ157" s="11">
        <v>4</v>
      </c>
      <c r="AR157" s="11">
        <v>4</v>
      </c>
      <c r="AS157" s="11">
        <v>4</v>
      </c>
      <c r="AT157" s="11">
        <v>3</v>
      </c>
      <c r="AU157" s="11">
        <v>3</v>
      </c>
      <c r="AV157" s="11">
        <v>3</v>
      </c>
      <c r="AW157" s="11">
        <v>3</v>
      </c>
      <c r="AX157" s="11">
        <v>3</v>
      </c>
      <c r="AY157" s="11">
        <v>3</v>
      </c>
      <c r="AZ157" s="11">
        <v>3</v>
      </c>
      <c r="BA157" s="11">
        <v>3</v>
      </c>
      <c r="BB157" s="11">
        <v>3</v>
      </c>
      <c r="BC157" s="11">
        <v>2</v>
      </c>
      <c r="BD157" s="11">
        <v>2</v>
      </c>
      <c r="BE157" s="11">
        <v>2</v>
      </c>
      <c r="BF157" s="11">
        <v>2</v>
      </c>
      <c r="BG157" s="11">
        <v>2</v>
      </c>
      <c r="BH157" s="11">
        <v>2</v>
      </c>
      <c r="BI157" s="11">
        <v>2</v>
      </c>
      <c r="BJ157" s="11">
        <v>2</v>
      </c>
      <c r="BK157" s="11">
        <v>2</v>
      </c>
      <c r="BL157" s="11">
        <v>2</v>
      </c>
      <c r="BM157" s="11">
        <v>2</v>
      </c>
    </row>
    <row r="158" spans="1:65" ht="150" customHeight="1" x14ac:dyDescent="0.25">
      <c r="A158" s="11">
        <v>3014</v>
      </c>
      <c r="B158" s="11">
        <v>-1</v>
      </c>
      <c r="C158" s="11" t="str">
        <f t="shared" si="28"/>
        <v>Chipping</v>
      </c>
      <c r="D158" s="11" t="s">
        <v>181</v>
      </c>
      <c r="E158" s="42"/>
      <c r="F158" s="42"/>
      <c r="G158" s="151"/>
      <c r="H158" s="329">
        <v>5</v>
      </c>
      <c r="I158" s="14">
        <v>1</v>
      </c>
      <c r="J158" s="55" t="str">
        <f t="shared" si="26"/>
        <v>ChippingDrill15Scrambling   10m off the green  Ultra Mode</v>
      </c>
      <c r="K158" s="58" t="s">
        <v>656</v>
      </c>
      <c r="L158" s="57" t="s">
        <v>1581</v>
      </c>
      <c r="M158" s="13"/>
      <c r="N158" s="90"/>
      <c r="O158" s="52"/>
      <c r="P158" s="13"/>
      <c r="Q158" s="35"/>
      <c r="R158" s="13"/>
      <c r="S158" s="13"/>
      <c r="T158" s="12"/>
      <c r="U158" s="54">
        <f t="shared" si="25"/>
        <v>2</v>
      </c>
      <c r="V158" s="54"/>
      <c r="W158" s="81">
        <f t="shared" si="27"/>
        <v>8</v>
      </c>
      <c r="X158" s="11">
        <v>8</v>
      </c>
      <c r="Y158" s="11">
        <v>8</v>
      </c>
      <c r="Z158" s="11">
        <v>8</v>
      </c>
      <c r="AA158" s="11">
        <v>7</v>
      </c>
      <c r="AB158" s="11">
        <v>7</v>
      </c>
      <c r="AC158" s="11">
        <v>7</v>
      </c>
      <c r="AD158" s="11">
        <v>6</v>
      </c>
      <c r="AE158" s="11">
        <v>6</v>
      </c>
      <c r="AF158" s="11">
        <v>6</v>
      </c>
      <c r="AG158" s="11">
        <v>6</v>
      </c>
      <c r="AH158" s="11">
        <v>5</v>
      </c>
      <c r="AI158" s="11">
        <v>5</v>
      </c>
      <c r="AJ158" s="11">
        <v>5</v>
      </c>
      <c r="AK158" s="11">
        <v>5</v>
      </c>
      <c r="AL158" s="11">
        <v>5</v>
      </c>
      <c r="AM158" s="11">
        <v>5</v>
      </c>
      <c r="AN158" s="11">
        <v>4</v>
      </c>
      <c r="AO158" s="11">
        <v>4</v>
      </c>
      <c r="AP158" s="11">
        <v>4</v>
      </c>
      <c r="AQ158" s="11">
        <v>4</v>
      </c>
      <c r="AR158" s="11">
        <v>4</v>
      </c>
      <c r="AS158" s="11">
        <v>4</v>
      </c>
      <c r="AT158" s="11">
        <v>3</v>
      </c>
      <c r="AU158" s="11">
        <v>3</v>
      </c>
      <c r="AV158" s="11">
        <v>3</v>
      </c>
      <c r="AW158" s="11">
        <v>3</v>
      </c>
      <c r="AX158" s="11">
        <v>3</v>
      </c>
      <c r="AY158" s="11">
        <v>3</v>
      </c>
      <c r="AZ158" s="11">
        <v>3</v>
      </c>
      <c r="BA158" s="11">
        <v>3</v>
      </c>
      <c r="BB158" s="11">
        <v>3</v>
      </c>
      <c r="BC158" s="11">
        <v>2</v>
      </c>
      <c r="BD158" s="11">
        <v>2</v>
      </c>
      <c r="BE158" s="11">
        <v>2</v>
      </c>
      <c r="BF158" s="11">
        <v>2</v>
      </c>
      <c r="BG158" s="11">
        <v>2</v>
      </c>
      <c r="BH158" s="11">
        <v>2</v>
      </c>
      <c r="BI158" s="11">
        <v>2</v>
      </c>
      <c r="BJ158" s="11">
        <v>2</v>
      </c>
      <c r="BK158" s="11">
        <v>2</v>
      </c>
      <c r="BL158" s="11">
        <v>2</v>
      </c>
      <c r="BM158" s="11">
        <v>2</v>
      </c>
    </row>
    <row r="159" spans="1:65" ht="150" customHeight="1" x14ac:dyDescent="0.25">
      <c r="A159" s="11">
        <v>3015</v>
      </c>
      <c r="B159" s="11">
        <v>-1</v>
      </c>
      <c r="C159" s="11" t="str">
        <f t="shared" si="28"/>
        <v>Chipping</v>
      </c>
      <c r="D159" s="11" t="s">
        <v>6</v>
      </c>
      <c r="E159" s="42"/>
      <c r="F159" s="42"/>
      <c r="G159" s="151" t="s">
        <v>861</v>
      </c>
      <c r="H159" s="328">
        <v>10</v>
      </c>
      <c r="I159" s="14" t="s">
        <v>710</v>
      </c>
      <c r="J159" s="55" t="str">
        <f t="shared" si="26"/>
        <v>ChippingGame2-many10Nearest to the hole  Shoot out</v>
      </c>
      <c r="K159" s="58" t="s">
        <v>668</v>
      </c>
      <c r="L159" s="57" t="s">
        <v>417</v>
      </c>
      <c r="M159" s="226"/>
      <c r="N159" s="90"/>
      <c r="O159" s="52"/>
      <c r="P159" s="13"/>
      <c r="Q159" s="35"/>
      <c r="R159" s="13"/>
      <c r="S159" s="13"/>
      <c r="T159" s="12"/>
      <c r="U159" s="54" t="str">
        <f t="shared" si="25"/>
        <v/>
      </c>
      <c r="V159" s="54"/>
      <c r="W159" s="81">
        <f t="shared" si="27"/>
        <v>0</v>
      </c>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row>
    <row r="160" spans="1:65" ht="150" customHeight="1" x14ac:dyDescent="0.25">
      <c r="A160" s="11">
        <v>3017</v>
      </c>
      <c r="B160" s="11">
        <v>-1</v>
      </c>
      <c r="C160" s="11" t="str">
        <f t="shared" si="28"/>
        <v>Chipping</v>
      </c>
      <c r="D160" s="11" t="s">
        <v>494</v>
      </c>
      <c r="E160" s="42"/>
      <c r="F160" s="42"/>
      <c r="G160" s="151" t="s">
        <v>480</v>
      </c>
      <c r="H160" s="328">
        <v>10</v>
      </c>
      <c r="I160" s="11">
        <v>1</v>
      </c>
      <c r="J160" s="55" t="str">
        <f t="shared" si="26"/>
        <v>ChippingTechnic110Ballmarker links neben Ball</v>
      </c>
      <c r="K160" s="58" t="s">
        <v>495</v>
      </c>
      <c r="L160" s="57" t="s">
        <v>493</v>
      </c>
      <c r="M160" s="13"/>
      <c r="N160" s="90" t="s">
        <v>500</v>
      </c>
      <c r="O160" s="52" t="s">
        <v>496</v>
      </c>
      <c r="P160" s="13"/>
      <c r="Q160" s="35"/>
      <c r="R160" s="13"/>
      <c r="S160" s="13"/>
      <c r="T160" s="12"/>
      <c r="U160" s="54" t="str">
        <f t="shared" si="25"/>
        <v/>
      </c>
      <c r="V160" s="54"/>
      <c r="W160" s="81">
        <f t="shared" si="27"/>
        <v>0</v>
      </c>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c r="AZ160" s="11"/>
      <c r="BA160" s="11"/>
      <c r="BB160" s="11"/>
      <c r="BC160" s="11"/>
      <c r="BD160" s="11"/>
      <c r="BE160" s="11"/>
      <c r="BF160" s="11"/>
      <c r="BG160" s="11"/>
      <c r="BH160" s="11"/>
      <c r="BI160" s="11"/>
      <c r="BJ160" s="11"/>
      <c r="BK160" s="11"/>
      <c r="BL160" s="11"/>
      <c r="BM160" s="11"/>
    </row>
    <row r="161" spans="1:65" ht="150" customHeight="1" x14ac:dyDescent="0.25">
      <c r="A161" s="11">
        <v>3018</v>
      </c>
      <c r="B161" s="11">
        <v>-1</v>
      </c>
      <c r="C161" s="11" t="str">
        <f t="shared" si="28"/>
        <v>Chipping</v>
      </c>
      <c r="D161" s="11" t="s">
        <v>6</v>
      </c>
      <c r="E161" s="42"/>
      <c r="F161" s="42"/>
      <c r="G161" s="151"/>
      <c r="H161" s="328">
        <v>10</v>
      </c>
      <c r="I161" s="11">
        <v>2</v>
      </c>
      <c r="J161" s="55" t="str">
        <f t="shared" si="26"/>
        <v>ChippingGame210Steal the ball</v>
      </c>
      <c r="K161" s="58" t="s">
        <v>504</v>
      </c>
      <c r="L161" s="57" t="s">
        <v>503</v>
      </c>
      <c r="M161" s="13"/>
      <c r="N161" s="90" t="s">
        <v>502</v>
      </c>
      <c r="O161" s="52"/>
      <c r="P161" s="13"/>
      <c r="Q161" s="35"/>
      <c r="R161" s="13"/>
      <c r="S161" s="13"/>
      <c r="T161" s="12"/>
      <c r="U161" s="54" t="str">
        <f t="shared" si="25"/>
        <v/>
      </c>
      <c r="V161" s="54"/>
      <c r="W161" s="81">
        <f t="shared" si="27"/>
        <v>0</v>
      </c>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c r="AZ161" s="11"/>
      <c r="BA161" s="11"/>
      <c r="BB161" s="11"/>
      <c r="BC161" s="11"/>
      <c r="BD161" s="11"/>
      <c r="BE161" s="11"/>
      <c r="BF161" s="11"/>
      <c r="BG161" s="11"/>
      <c r="BH161" s="11"/>
      <c r="BI161" s="11"/>
      <c r="BJ161" s="11"/>
      <c r="BK161" s="11"/>
      <c r="BL161" s="11"/>
      <c r="BM161" s="11"/>
    </row>
    <row r="162" spans="1:65" ht="150" customHeight="1" x14ac:dyDescent="0.25">
      <c r="A162" s="11">
        <v>3019</v>
      </c>
      <c r="B162" s="11">
        <v>-1</v>
      </c>
      <c r="C162" s="11" t="str">
        <f t="shared" si="28"/>
        <v>Chipping</v>
      </c>
      <c r="D162" s="11" t="s">
        <v>494</v>
      </c>
      <c r="E162" s="42"/>
      <c r="F162" s="42"/>
      <c r="G162" s="151"/>
      <c r="H162" s="328">
        <v>10</v>
      </c>
      <c r="I162" s="11">
        <v>1</v>
      </c>
      <c r="J162" s="55" t="str">
        <f t="shared" si="26"/>
        <v>ChippingTechnic110Ballmaschine</v>
      </c>
      <c r="K162" s="58" t="s">
        <v>508</v>
      </c>
      <c r="L162" s="57" t="s">
        <v>507</v>
      </c>
      <c r="M162" s="232"/>
      <c r="N162" s="90"/>
      <c r="O162" s="58" t="s">
        <v>506</v>
      </c>
      <c r="P162" s="13"/>
      <c r="Q162" s="35"/>
      <c r="R162" s="13"/>
      <c r="S162" s="13"/>
      <c r="T162" s="12"/>
      <c r="U162" s="54" t="str">
        <f t="shared" si="25"/>
        <v/>
      </c>
      <c r="V162" s="54"/>
      <c r="W162" s="81">
        <f t="shared" si="27"/>
        <v>0</v>
      </c>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c r="BD162" s="11"/>
      <c r="BE162" s="11"/>
      <c r="BF162" s="11"/>
      <c r="BG162" s="11"/>
      <c r="BH162" s="11"/>
      <c r="BI162" s="11"/>
      <c r="BJ162" s="11"/>
      <c r="BK162" s="11"/>
      <c r="BL162" s="11"/>
      <c r="BM162" s="11"/>
    </row>
    <row r="163" spans="1:65" ht="150" customHeight="1" x14ac:dyDescent="0.25">
      <c r="A163" s="11">
        <v>3020</v>
      </c>
      <c r="B163" s="11">
        <v>-1</v>
      </c>
      <c r="C163" s="11" t="str">
        <f t="shared" si="28"/>
        <v>Chipping</v>
      </c>
      <c r="D163" s="11" t="s">
        <v>494</v>
      </c>
      <c r="E163" s="42"/>
      <c r="F163" s="42"/>
      <c r="G163" s="151"/>
      <c r="H163" s="328">
        <v>10</v>
      </c>
      <c r="I163" s="11">
        <v>1</v>
      </c>
      <c r="J163" s="55" t="str">
        <f t="shared" si="26"/>
        <v>ChippingTechnic110Chippen andersrum</v>
      </c>
      <c r="K163" s="58" t="s">
        <v>509</v>
      </c>
      <c r="L163" s="57" t="s">
        <v>510</v>
      </c>
      <c r="M163" s="232"/>
      <c r="N163" s="90"/>
      <c r="O163" s="58" t="s">
        <v>506</v>
      </c>
      <c r="P163" s="13"/>
      <c r="Q163" s="35"/>
      <c r="R163" s="13"/>
      <c r="S163" s="13"/>
      <c r="T163" s="12"/>
      <c r="U163" s="54">
        <f t="shared" si="25"/>
        <v>0</v>
      </c>
      <c r="V163" s="54"/>
      <c r="W163" s="81">
        <f t="shared" si="27"/>
        <v>0.3</v>
      </c>
      <c r="X163" s="92">
        <v>0.03</v>
      </c>
      <c r="Y163" s="11">
        <v>3.6585365626960992E-2</v>
      </c>
      <c r="Z163" s="11">
        <v>4.3170731253921985E-2</v>
      </c>
      <c r="AA163" s="11">
        <v>4.9756096880882977E-2</v>
      </c>
      <c r="AB163" s="11">
        <v>5.634146250784397E-2</v>
      </c>
      <c r="AC163" s="11">
        <v>6.2926828134804963E-2</v>
      </c>
      <c r="AD163" s="11">
        <v>6.9512193761765956E-2</v>
      </c>
      <c r="AE163" s="11">
        <v>7.6097559388726949E-2</v>
      </c>
      <c r="AF163" s="11">
        <v>8.2682925015687941E-2</v>
      </c>
      <c r="AG163" s="11">
        <v>8.9268290642648934E-2</v>
      </c>
      <c r="AH163" s="11">
        <v>9.5853656269609927E-2</v>
      </c>
      <c r="AI163" s="11">
        <v>0.10243902189657092</v>
      </c>
      <c r="AJ163" s="11">
        <v>0.10902438752353191</v>
      </c>
      <c r="AK163" s="11">
        <v>0.11560975315049291</v>
      </c>
      <c r="AL163" s="11">
        <v>0.1221951187774539</v>
      </c>
      <c r="AM163" s="11">
        <v>0.12878048440441489</v>
      </c>
      <c r="AN163" s="11">
        <v>0.13536585003137588</v>
      </c>
      <c r="AO163" s="11">
        <v>0.14195121565833688</v>
      </c>
      <c r="AP163" s="11">
        <v>0.14853658128529787</v>
      </c>
      <c r="AQ163" s="11">
        <v>0.15512194691225886</v>
      </c>
      <c r="AR163" s="11">
        <v>0.16170731253921986</v>
      </c>
      <c r="AS163" s="11">
        <v>0.16829267816618085</v>
      </c>
      <c r="AT163" s="11">
        <v>0.17487804379314184</v>
      </c>
      <c r="AU163" s="11">
        <v>0.18146340942010283</v>
      </c>
      <c r="AV163" s="11">
        <v>0.18804877504706383</v>
      </c>
      <c r="AW163" s="11">
        <v>0.19463414067402482</v>
      </c>
      <c r="AX163" s="11">
        <v>0.20121950630098581</v>
      </c>
      <c r="AY163" s="11">
        <v>0.2078048719279468</v>
      </c>
      <c r="AZ163" s="11">
        <v>0.2143902375549078</v>
      </c>
      <c r="BA163" s="11">
        <v>0.22097560318186879</v>
      </c>
      <c r="BB163" s="11">
        <v>0.22756096880882978</v>
      </c>
      <c r="BC163" s="11">
        <v>0.23414633443579078</v>
      </c>
      <c r="BD163" s="11">
        <v>0.24073170006275177</v>
      </c>
      <c r="BE163" s="11">
        <v>0.24731706568971276</v>
      </c>
      <c r="BF163" s="11">
        <v>0.25390243131667378</v>
      </c>
      <c r="BG163" s="11">
        <v>0.26048779694363478</v>
      </c>
      <c r="BH163" s="11">
        <v>0.26707316257059577</v>
      </c>
      <c r="BI163" s="11">
        <v>0.27365852819755676</v>
      </c>
      <c r="BJ163" s="11">
        <v>0.28024389382451775</v>
      </c>
      <c r="BK163" s="11">
        <v>0.28682925945147875</v>
      </c>
      <c r="BL163" s="11">
        <v>0.29341462507843974</v>
      </c>
      <c r="BM163" s="92">
        <v>0.3</v>
      </c>
    </row>
    <row r="164" spans="1:65" ht="150" customHeight="1" x14ac:dyDescent="0.25">
      <c r="A164" s="11">
        <v>3021</v>
      </c>
      <c r="B164" s="11">
        <v>-1</v>
      </c>
      <c r="C164" s="11" t="str">
        <f t="shared" si="28"/>
        <v>Chipping</v>
      </c>
      <c r="D164" s="11" t="s">
        <v>494</v>
      </c>
      <c r="E164" s="42"/>
      <c r="F164" s="42"/>
      <c r="G164" s="151"/>
      <c r="H164" s="328">
        <v>10</v>
      </c>
      <c r="I164" s="11">
        <v>1</v>
      </c>
      <c r="J164" s="55" t="str">
        <f t="shared" si="26"/>
        <v>ChippingTechnic110Schwungbahn begrenzen</v>
      </c>
      <c r="K164" s="58" t="s">
        <v>511</v>
      </c>
      <c r="L164" s="57" t="s">
        <v>512</v>
      </c>
      <c r="M164" s="232"/>
      <c r="N164" s="90" t="s">
        <v>513</v>
      </c>
      <c r="O164" s="52"/>
      <c r="P164" s="13"/>
      <c r="Q164" s="35"/>
      <c r="R164" s="13"/>
      <c r="S164" s="13"/>
      <c r="T164" s="12"/>
      <c r="U164" s="54" t="str">
        <f t="shared" si="25"/>
        <v/>
      </c>
      <c r="V164" s="54"/>
      <c r="W164" s="81">
        <f t="shared" si="27"/>
        <v>0</v>
      </c>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c r="AZ164" s="11"/>
      <c r="BA164" s="11"/>
      <c r="BB164" s="11"/>
      <c r="BC164" s="11"/>
      <c r="BD164" s="11"/>
      <c r="BE164" s="11"/>
      <c r="BF164" s="11"/>
      <c r="BG164" s="11"/>
      <c r="BH164" s="11"/>
      <c r="BI164" s="11"/>
      <c r="BJ164" s="11"/>
      <c r="BK164" s="11"/>
      <c r="BL164" s="11"/>
      <c r="BM164" s="11"/>
    </row>
    <row r="165" spans="1:65" ht="150" customHeight="1" x14ac:dyDescent="0.25">
      <c r="A165" s="11">
        <v>3022</v>
      </c>
      <c r="B165" s="11">
        <v>-1</v>
      </c>
      <c r="C165" s="11" t="str">
        <f t="shared" si="28"/>
        <v>Chipping</v>
      </c>
      <c r="D165" s="11" t="s">
        <v>6</v>
      </c>
      <c r="E165" s="42"/>
      <c r="F165" s="42"/>
      <c r="G165" s="151"/>
      <c r="H165" s="328">
        <v>10</v>
      </c>
      <c r="I165" s="11" t="s">
        <v>710</v>
      </c>
      <c r="J165" s="55" t="str">
        <f t="shared" si="26"/>
        <v>ChippingGame2-many10Biathlon      Zonen</v>
      </c>
      <c r="K165" s="58" t="s">
        <v>626</v>
      </c>
      <c r="L165" s="57" t="s">
        <v>514</v>
      </c>
      <c r="M165" s="232"/>
      <c r="N165" s="90"/>
      <c r="O165" s="52"/>
      <c r="P165" s="13"/>
      <c r="Q165" s="35"/>
      <c r="R165" s="13"/>
      <c r="S165" s="13"/>
      <c r="T165" s="12"/>
      <c r="U165" s="54" t="str">
        <f t="shared" si="25"/>
        <v/>
      </c>
      <c r="V165" s="54"/>
      <c r="W165" s="81">
        <f t="shared" si="27"/>
        <v>0</v>
      </c>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c r="AZ165" s="11"/>
      <c r="BA165" s="11"/>
      <c r="BB165" s="11"/>
      <c r="BC165" s="11"/>
      <c r="BD165" s="11"/>
      <c r="BE165" s="11"/>
      <c r="BF165" s="11"/>
      <c r="BG165" s="11"/>
      <c r="BH165" s="11"/>
      <c r="BI165" s="11"/>
      <c r="BJ165" s="11"/>
      <c r="BK165" s="11"/>
      <c r="BL165" s="11"/>
      <c r="BM165" s="11"/>
    </row>
    <row r="166" spans="1:65" ht="150" customHeight="1" x14ac:dyDescent="0.25">
      <c r="A166" s="11">
        <v>3023</v>
      </c>
      <c r="B166" s="11">
        <v>-1</v>
      </c>
      <c r="C166" s="11" t="str">
        <f t="shared" si="28"/>
        <v>Chipping</v>
      </c>
      <c r="D166" s="11" t="s">
        <v>6</v>
      </c>
      <c r="E166" s="42"/>
      <c r="F166" s="42"/>
      <c r="G166" s="151"/>
      <c r="H166" s="328">
        <v>10</v>
      </c>
      <c r="I166" s="11" t="s">
        <v>710</v>
      </c>
      <c r="J166" s="55" t="str">
        <f t="shared" si="26"/>
        <v>ChippingGame2-many10Biathlon      5 in a Row</v>
      </c>
      <c r="K166" s="58" t="s">
        <v>627</v>
      </c>
      <c r="L166" s="57" t="s">
        <v>519</v>
      </c>
      <c r="M166" s="226"/>
      <c r="N166" s="90"/>
      <c r="O166" s="52"/>
      <c r="P166" s="13"/>
      <c r="Q166" s="35"/>
      <c r="R166" s="13"/>
      <c r="S166" s="13"/>
      <c r="T166" s="12"/>
      <c r="U166" s="54" t="str">
        <f t="shared" si="25"/>
        <v/>
      </c>
      <c r="V166" s="54"/>
      <c r="W166" s="81">
        <f t="shared" si="27"/>
        <v>0</v>
      </c>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c r="AZ166" s="11"/>
      <c r="BA166" s="11"/>
      <c r="BB166" s="11"/>
      <c r="BC166" s="11"/>
      <c r="BD166" s="11"/>
      <c r="BE166" s="11"/>
      <c r="BF166" s="11"/>
      <c r="BG166" s="11"/>
      <c r="BH166" s="11"/>
      <c r="BI166" s="11"/>
      <c r="BJ166" s="11"/>
      <c r="BK166" s="11"/>
      <c r="BL166" s="11"/>
      <c r="BM166" s="11"/>
    </row>
    <row r="167" spans="1:65" ht="150" customHeight="1" x14ac:dyDescent="0.25">
      <c r="A167" s="11">
        <v>3024</v>
      </c>
      <c r="B167" s="11">
        <v>2</v>
      </c>
      <c r="C167" s="11" t="str">
        <f t="shared" si="28"/>
        <v>Chipping</v>
      </c>
      <c r="D167" s="11" t="s">
        <v>98</v>
      </c>
      <c r="E167" s="42"/>
      <c r="F167" s="42"/>
      <c r="G167" s="151" t="s">
        <v>478</v>
      </c>
      <c r="H167" s="328">
        <v>10</v>
      </c>
      <c r="I167" s="11">
        <v>1</v>
      </c>
      <c r="J167" s="55" t="str">
        <f t="shared" si="26"/>
        <v>ChippingChallenge110Chipping with at limited  green to work with</v>
      </c>
      <c r="K167" s="58" t="s">
        <v>834</v>
      </c>
      <c r="L167" s="93" t="s">
        <v>835</v>
      </c>
      <c r="M167" s="226"/>
      <c r="N167" s="90"/>
      <c r="O167" s="52"/>
      <c r="P167" s="58" t="s">
        <v>823</v>
      </c>
      <c r="Q167" s="93" t="s">
        <v>833</v>
      </c>
      <c r="R167" s="13"/>
      <c r="S167" s="13"/>
      <c r="T167" s="12"/>
      <c r="U167" s="54" t="str">
        <f t="shared" si="25"/>
        <v/>
      </c>
      <c r="V167" s="54"/>
      <c r="W167" s="81">
        <f t="shared" si="27"/>
        <v>0</v>
      </c>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c r="AZ167" s="11"/>
      <c r="BA167" s="11"/>
      <c r="BB167" s="11"/>
      <c r="BC167" s="11"/>
      <c r="BD167" s="11"/>
      <c r="BE167" s="11"/>
      <c r="BF167" s="11"/>
      <c r="BG167" s="11"/>
      <c r="BH167" s="11"/>
      <c r="BI167" s="11"/>
      <c r="BJ167" s="11"/>
      <c r="BK167" s="11"/>
      <c r="BL167" s="11"/>
      <c r="BM167" s="11"/>
    </row>
    <row r="168" spans="1:65" ht="150" customHeight="1" x14ac:dyDescent="0.25">
      <c r="A168" s="11">
        <v>3025</v>
      </c>
      <c r="B168" s="11">
        <v>2</v>
      </c>
      <c r="C168" s="11" t="str">
        <f t="shared" si="28"/>
        <v>Chipping</v>
      </c>
      <c r="D168" s="11" t="s">
        <v>98</v>
      </c>
      <c r="E168" s="42"/>
      <c r="F168" s="42"/>
      <c r="G168" s="151" t="s">
        <v>480</v>
      </c>
      <c r="H168" s="328">
        <v>10</v>
      </c>
      <c r="I168" s="11">
        <v>1</v>
      </c>
      <c r="J168" s="55" t="str">
        <f t="shared" si="26"/>
        <v>ChippingChallenge110Chipping with at limited  green to work with</v>
      </c>
      <c r="K168" s="58" t="s">
        <v>834</v>
      </c>
      <c r="L168" s="93" t="s">
        <v>836</v>
      </c>
      <c r="M168" s="226"/>
      <c r="N168" s="90"/>
      <c r="O168" s="52"/>
      <c r="P168" s="58" t="s">
        <v>823</v>
      </c>
      <c r="Q168" s="93" t="s">
        <v>822</v>
      </c>
      <c r="R168" s="13"/>
      <c r="S168" s="13"/>
      <c r="T168" s="12"/>
      <c r="U168" s="54" t="str">
        <f t="shared" si="25"/>
        <v/>
      </c>
      <c r="V168" s="54"/>
      <c r="W168" s="81">
        <f t="shared" si="27"/>
        <v>0</v>
      </c>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c r="AZ168" s="11"/>
      <c r="BA168" s="11"/>
      <c r="BB168" s="11"/>
      <c r="BC168" s="11"/>
      <c r="BD168" s="11"/>
      <c r="BE168" s="11"/>
      <c r="BF168" s="11"/>
      <c r="BG168" s="11"/>
      <c r="BH168" s="11"/>
      <c r="BI168" s="11"/>
      <c r="BJ168" s="11"/>
      <c r="BK168" s="11"/>
      <c r="BL168" s="11"/>
      <c r="BM168" s="11"/>
    </row>
    <row r="169" spans="1:65" ht="150" customHeight="1" x14ac:dyDescent="0.25">
      <c r="A169" s="11">
        <v>3026</v>
      </c>
      <c r="B169" s="11">
        <v>2</v>
      </c>
      <c r="C169" s="11" t="str">
        <f t="shared" si="28"/>
        <v>Chipping</v>
      </c>
      <c r="D169" s="11" t="s">
        <v>98</v>
      </c>
      <c r="E169" s="42"/>
      <c r="F169" s="42"/>
      <c r="G169" s="151" t="s">
        <v>484</v>
      </c>
      <c r="H169" s="328">
        <v>10</v>
      </c>
      <c r="I169" s="11">
        <v>1</v>
      </c>
      <c r="J169" s="55" t="str">
        <f t="shared" si="26"/>
        <v>ChippingChallenge110Chipping with at limited  green to work with</v>
      </c>
      <c r="K169" s="58" t="s">
        <v>834</v>
      </c>
      <c r="L169" s="93" t="s">
        <v>837</v>
      </c>
      <c r="M169" s="226"/>
      <c r="N169" s="90"/>
      <c r="O169" s="52"/>
      <c r="P169" s="58" t="s">
        <v>823</v>
      </c>
      <c r="Q169" s="93" t="s">
        <v>822</v>
      </c>
      <c r="R169" s="13"/>
      <c r="S169" s="13"/>
      <c r="T169" s="12"/>
      <c r="U169" s="54" t="str">
        <f t="shared" si="25"/>
        <v/>
      </c>
      <c r="V169" s="54"/>
      <c r="W169" s="81">
        <f t="shared" si="27"/>
        <v>0</v>
      </c>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c r="AZ169" s="11"/>
      <c r="BA169" s="11"/>
      <c r="BB169" s="11"/>
      <c r="BC169" s="11"/>
      <c r="BD169" s="11"/>
      <c r="BE169" s="11"/>
      <c r="BF169" s="11"/>
      <c r="BG169" s="11"/>
      <c r="BH169" s="11"/>
      <c r="BI169" s="11"/>
      <c r="BJ169" s="11"/>
      <c r="BK169" s="11"/>
      <c r="BL169" s="11"/>
      <c r="BM169" s="11"/>
    </row>
    <row r="170" spans="1:65" ht="150" customHeight="1" x14ac:dyDescent="0.25">
      <c r="A170" s="11">
        <v>3027</v>
      </c>
      <c r="B170" s="11">
        <v>2</v>
      </c>
      <c r="C170" s="11" t="str">
        <f t="shared" si="28"/>
        <v>Chipping</v>
      </c>
      <c r="D170" s="11" t="s">
        <v>98</v>
      </c>
      <c r="E170" s="42"/>
      <c r="F170" s="42"/>
      <c r="G170" s="151" t="s">
        <v>485</v>
      </c>
      <c r="H170" s="328">
        <v>10</v>
      </c>
      <c r="I170" s="11">
        <v>1</v>
      </c>
      <c r="J170" s="55" t="str">
        <f t="shared" si="26"/>
        <v>ChippingChallenge110Chipping with at limited  green to work with</v>
      </c>
      <c r="K170" s="58" t="s">
        <v>834</v>
      </c>
      <c r="L170" s="93" t="s">
        <v>838</v>
      </c>
      <c r="M170" s="226"/>
      <c r="N170" s="90"/>
      <c r="O170" s="52"/>
      <c r="P170" s="58" t="s">
        <v>823</v>
      </c>
      <c r="Q170" s="93" t="s">
        <v>821</v>
      </c>
      <c r="R170" s="13"/>
      <c r="S170" s="13"/>
      <c r="T170" s="12"/>
      <c r="U170" s="54" t="str">
        <f t="shared" si="25"/>
        <v/>
      </c>
      <c r="V170" s="54"/>
      <c r="W170" s="81">
        <f t="shared" si="27"/>
        <v>0</v>
      </c>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c r="AZ170" s="11"/>
      <c r="BA170" s="11"/>
      <c r="BB170" s="11"/>
      <c r="BC170" s="11"/>
      <c r="BD170" s="11"/>
      <c r="BE170" s="11"/>
      <c r="BF170" s="11"/>
      <c r="BG170" s="11"/>
      <c r="BH170" s="11"/>
      <c r="BI170" s="11"/>
      <c r="BJ170" s="11"/>
      <c r="BK170" s="11"/>
      <c r="BL170" s="11"/>
      <c r="BM170" s="11"/>
    </row>
    <row r="171" spans="1:65" ht="150" customHeight="1" x14ac:dyDescent="0.25">
      <c r="A171" s="11">
        <v>3028</v>
      </c>
      <c r="B171" s="11">
        <v>2</v>
      </c>
      <c r="C171" s="11" t="str">
        <f t="shared" si="28"/>
        <v>Chipping</v>
      </c>
      <c r="D171" s="11" t="s">
        <v>1084</v>
      </c>
      <c r="E171" s="42"/>
      <c r="F171" s="42"/>
      <c r="G171" s="151" t="s">
        <v>478</v>
      </c>
      <c r="H171" s="328">
        <v>5</v>
      </c>
      <c r="I171" s="11">
        <v>1</v>
      </c>
      <c r="J171" s="55" t="str">
        <f t="shared" si="26"/>
        <v>ChippingBest15Chipping Ladder</v>
      </c>
      <c r="K171" s="58" t="s">
        <v>521</v>
      </c>
      <c r="L171" s="57" t="s">
        <v>1258</v>
      </c>
      <c r="M171" s="226"/>
      <c r="N171" s="90" t="s">
        <v>525</v>
      </c>
      <c r="O171" s="52"/>
      <c r="P171" s="13"/>
      <c r="Q171" s="35"/>
      <c r="R171" s="13"/>
      <c r="S171" s="13"/>
      <c r="T171" s="12"/>
      <c r="U171" s="54" t="str">
        <f t="shared" si="25"/>
        <v/>
      </c>
      <c r="V171" s="54"/>
      <c r="W171" s="81">
        <f t="shared" si="27"/>
        <v>0</v>
      </c>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c r="AZ171" s="11"/>
      <c r="BA171" s="11"/>
      <c r="BB171" s="11"/>
      <c r="BC171" s="11"/>
      <c r="BD171" s="11"/>
      <c r="BE171" s="11"/>
      <c r="BF171" s="11"/>
      <c r="BG171" s="11"/>
      <c r="BH171" s="11"/>
      <c r="BI171" s="11"/>
      <c r="BJ171" s="11"/>
      <c r="BK171" s="11"/>
      <c r="BL171" s="11"/>
      <c r="BM171" s="11"/>
    </row>
    <row r="172" spans="1:65" ht="150" customHeight="1" x14ac:dyDescent="0.25">
      <c r="A172" s="11">
        <v>3029</v>
      </c>
      <c r="B172" s="11">
        <v>2</v>
      </c>
      <c r="C172" s="11" t="str">
        <f t="shared" si="28"/>
        <v>Chipping</v>
      </c>
      <c r="D172" s="11" t="s">
        <v>1084</v>
      </c>
      <c r="E172" s="42"/>
      <c r="F172" s="42"/>
      <c r="G172" s="151" t="s">
        <v>480</v>
      </c>
      <c r="H172" s="328">
        <v>5</v>
      </c>
      <c r="I172" s="11">
        <v>1</v>
      </c>
      <c r="J172" s="55" t="str">
        <f t="shared" si="26"/>
        <v>ChippingBest15Chipping Ladder</v>
      </c>
      <c r="K172" s="58" t="s">
        <v>521</v>
      </c>
      <c r="L172" s="57" t="s">
        <v>1259</v>
      </c>
      <c r="M172" s="226"/>
      <c r="N172" s="90" t="s">
        <v>525</v>
      </c>
      <c r="O172" s="52"/>
      <c r="P172" s="13"/>
      <c r="Q172" s="35"/>
      <c r="R172" s="13"/>
      <c r="S172" s="13"/>
      <c r="T172" s="12"/>
      <c r="U172" s="54" t="str">
        <f t="shared" si="25"/>
        <v/>
      </c>
      <c r="V172" s="54"/>
      <c r="W172" s="81">
        <f t="shared" si="27"/>
        <v>0</v>
      </c>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c r="AZ172" s="11"/>
      <c r="BA172" s="11"/>
      <c r="BB172" s="11"/>
      <c r="BC172" s="11"/>
      <c r="BD172" s="11"/>
      <c r="BE172" s="11"/>
      <c r="BF172" s="11"/>
      <c r="BG172" s="11"/>
      <c r="BH172" s="11"/>
      <c r="BI172" s="11"/>
      <c r="BJ172" s="11"/>
      <c r="BK172" s="11"/>
      <c r="BL172" s="11"/>
      <c r="BM172" s="11"/>
    </row>
    <row r="173" spans="1:65" ht="150" customHeight="1" x14ac:dyDescent="0.25">
      <c r="A173" s="11">
        <v>3030</v>
      </c>
      <c r="B173" s="11">
        <v>2</v>
      </c>
      <c r="C173" s="11" t="str">
        <f t="shared" si="28"/>
        <v>Chipping</v>
      </c>
      <c r="D173" s="11" t="s">
        <v>1084</v>
      </c>
      <c r="E173" s="42"/>
      <c r="F173" s="42"/>
      <c r="G173" s="151" t="s">
        <v>484</v>
      </c>
      <c r="H173" s="328">
        <v>10</v>
      </c>
      <c r="I173" s="11">
        <v>1</v>
      </c>
      <c r="J173" s="55" t="str">
        <f t="shared" si="26"/>
        <v>ChippingBest110Chipping Ladder</v>
      </c>
      <c r="K173" s="58" t="s">
        <v>521</v>
      </c>
      <c r="L173" s="57" t="s">
        <v>1260</v>
      </c>
      <c r="M173" s="226"/>
      <c r="N173" s="90" t="s">
        <v>525</v>
      </c>
      <c r="O173" s="52"/>
      <c r="P173" s="13"/>
      <c r="Q173" s="35"/>
      <c r="R173" s="13"/>
      <c r="S173" s="13"/>
      <c r="T173" s="12"/>
      <c r="U173" s="54" t="str">
        <f t="shared" si="25"/>
        <v/>
      </c>
      <c r="V173" s="54"/>
      <c r="W173" s="81">
        <f t="shared" si="27"/>
        <v>0</v>
      </c>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c r="AZ173" s="11"/>
      <c r="BA173" s="11"/>
      <c r="BB173" s="11"/>
      <c r="BC173" s="11"/>
      <c r="BD173" s="11"/>
      <c r="BE173" s="11"/>
      <c r="BF173" s="11"/>
      <c r="BG173" s="11"/>
      <c r="BH173" s="11"/>
      <c r="BI173" s="11"/>
      <c r="BJ173" s="11"/>
      <c r="BK173" s="11"/>
      <c r="BL173" s="11"/>
      <c r="BM173" s="11"/>
    </row>
    <row r="174" spans="1:65" ht="150" customHeight="1" x14ac:dyDescent="0.25">
      <c r="A174" s="11">
        <v>3031</v>
      </c>
      <c r="B174" s="11">
        <v>2</v>
      </c>
      <c r="C174" s="11" t="str">
        <f t="shared" si="28"/>
        <v>Chipping</v>
      </c>
      <c r="D174" s="11" t="s">
        <v>1084</v>
      </c>
      <c r="E174" s="42"/>
      <c r="F174" s="42"/>
      <c r="G174" s="151" t="s">
        <v>485</v>
      </c>
      <c r="H174" s="328">
        <v>15</v>
      </c>
      <c r="I174" s="11">
        <v>1</v>
      </c>
      <c r="J174" s="55" t="str">
        <f t="shared" si="26"/>
        <v>ChippingBest115Chipping Ladder</v>
      </c>
      <c r="K174" s="58" t="s">
        <v>521</v>
      </c>
      <c r="L174" s="57" t="s">
        <v>1261</v>
      </c>
      <c r="M174" s="226"/>
      <c r="N174" s="90" t="s">
        <v>525</v>
      </c>
      <c r="O174" s="52"/>
      <c r="P174" s="13"/>
      <c r="Q174" s="35"/>
      <c r="R174" s="13"/>
      <c r="S174" s="13"/>
      <c r="T174" s="12"/>
      <c r="U174" s="54" t="str">
        <f t="shared" si="25"/>
        <v/>
      </c>
      <c r="V174" s="54"/>
      <c r="W174" s="81">
        <f t="shared" si="27"/>
        <v>0</v>
      </c>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c r="AZ174" s="11"/>
      <c r="BA174" s="11"/>
      <c r="BB174" s="11"/>
      <c r="BC174" s="11"/>
      <c r="BD174" s="11"/>
      <c r="BE174" s="11"/>
      <c r="BF174" s="11"/>
      <c r="BG174" s="11"/>
      <c r="BH174" s="11"/>
      <c r="BI174" s="11"/>
      <c r="BJ174" s="11"/>
      <c r="BK174" s="11"/>
      <c r="BL174" s="11"/>
      <c r="BM174" s="11"/>
    </row>
    <row r="175" spans="1:65" ht="150" customHeight="1" x14ac:dyDescent="0.25">
      <c r="A175" s="11">
        <v>3032</v>
      </c>
      <c r="B175" s="11">
        <v>2</v>
      </c>
      <c r="C175" s="11" t="str">
        <f t="shared" si="28"/>
        <v>Chipping</v>
      </c>
      <c r="D175" s="11" t="s">
        <v>1084</v>
      </c>
      <c r="E175" s="42"/>
      <c r="F175" s="42"/>
      <c r="G175" s="151" t="s">
        <v>478</v>
      </c>
      <c r="H175" s="328">
        <v>20</v>
      </c>
      <c r="I175" s="11">
        <v>1</v>
      </c>
      <c r="J175" s="55" t="str">
        <f t="shared" ref="J175:J181" si="29">C175&amp;D175&amp;I175&amp;H175&amp;K175</f>
        <v>ChippingBest120Chipping Ladder Extrem</v>
      </c>
      <c r="K175" s="58" t="s">
        <v>1234</v>
      </c>
      <c r="L175" s="57" t="s">
        <v>1262</v>
      </c>
      <c r="M175" s="226"/>
      <c r="N175" s="90" t="s">
        <v>525</v>
      </c>
      <c r="O175" s="52"/>
      <c r="P175" s="13"/>
      <c r="Q175" s="35"/>
      <c r="R175" s="13"/>
      <c r="S175" s="13"/>
      <c r="T175" s="12"/>
      <c r="U175" s="54" t="str">
        <f t="shared" si="25"/>
        <v/>
      </c>
      <c r="V175" s="54"/>
      <c r="W175" s="81">
        <f t="shared" ref="W175:W181" si="30">MAX(X175:BM175)</f>
        <v>0</v>
      </c>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c r="AZ175" s="11"/>
      <c r="BA175" s="11"/>
      <c r="BB175" s="11"/>
      <c r="BC175" s="11"/>
      <c r="BD175" s="11"/>
      <c r="BE175" s="11"/>
      <c r="BF175" s="11"/>
      <c r="BG175" s="11"/>
      <c r="BH175" s="11"/>
      <c r="BI175" s="11"/>
      <c r="BJ175" s="11"/>
      <c r="BK175" s="11"/>
      <c r="BL175" s="11"/>
      <c r="BM175" s="11"/>
    </row>
    <row r="176" spans="1:65" ht="150" customHeight="1" x14ac:dyDescent="0.25">
      <c r="A176" s="11">
        <v>3033</v>
      </c>
      <c r="B176" s="11">
        <v>2</v>
      </c>
      <c r="C176" s="11" t="str">
        <f t="shared" si="28"/>
        <v>Chipping</v>
      </c>
      <c r="D176" s="11" t="s">
        <v>1084</v>
      </c>
      <c r="E176" s="42"/>
      <c r="F176" s="42"/>
      <c r="G176" s="151" t="s">
        <v>480</v>
      </c>
      <c r="H176" s="328">
        <v>20</v>
      </c>
      <c r="I176" s="11">
        <v>1</v>
      </c>
      <c r="J176" s="55" t="str">
        <f t="shared" si="29"/>
        <v>ChippingBest120Chipping Ladder Extrem</v>
      </c>
      <c r="K176" s="58" t="s">
        <v>1234</v>
      </c>
      <c r="L176" s="57" t="s">
        <v>1263</v>
      </c>
      <c r="M176" s="226"/>
      <c r="N176" s="90" t="s">
        <v>525</v>
      </c>
      <c r="O176" s="52"/>
      <c r="P176" s="13"/>
      <c r="Q176" s="35"/>
      <c r="R176" s="13"/>
      <c r="S176" s="13"/>
      <c r="T176" s="12"/>
      <c r="U176" s="54" t="str">
        <f t="shared" si="25"/>
        <v/>
      </c>
      <c r="V176" s="54"/>
      <c r="W176" s="81">
        <f t="shared" si="30"/>
        <v>0</v>
      </c>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c r="AZ176" s="11"/>
      <c r="BA176" s="11"/>
      <c r="BB176" s="11"/>
      <c r="BC176" s="11"/>
      <c r="BD176" s="11"/>
      <c r="BE176" s="11"/>
      <c r="BF176" s="11"/>
      <c r="BG176" s="11"/>
      <c r="BH176" s="11"/>
      <c r="BI176" s="11"/>
      <c r="BJ176" s="11"/>
      <c r="BK176" s="11"/>
      <c r="BL176" s="11"/>
      <c r="BM176" s="11"/>
    </row>
    <row r="177" spans="1:65" ht="150" customHeight="1" x14ac:dyDescent="0.25">
      <c r="A177" s="11">
        <v>3034</v>
      </c>
      <c r="B177" s="11">
        <v>2</v>
      </c>
      <c r="C177" s="11" t="str">
        <f t="shared" si="28"/>
        <v>Chipping</v>
      </c>
      <c r="D177" s="11" t="s">
        <v>1084</v>
      </c>
      <c r="E177" s="42"/>
      <c r="F177" s="42"/>
      <c r="G177" s="151" t="s">
        <v>484</v>
      </c>
      <c r="H177" s="328">
        <v>20</v>
      </c>
      <c r="I177" s="11">
        <v>1</v>
      </c>
      <c r="J177" s="55" t="str">
        <f t="shared" si="29"/>
        <v>ChippingBest120Chipping Ladder Extrem</v>
      </c>
      <c r="K177" s="58" t="s">
        <v>1234</v>
      </c>
      <c r="L177" s="57" t="s">
        <v>1264</v>
      </c>
      <c r="M177" s="226"/>
      <c r="N177" s="90" t="s">
        <v>525</v>
      </c>
      <c r="O177" s="52"/>
      <c r="P177" s="13"/>
      <c r="Q177" s="35"/>
      <c r="R177" s="13"/>
      <c r="S177" s="13"/>
      <c r="T177" s="12"/>
      <c r="U177" s="54" t="str">
        <f t="shared" si="25"/>
        <v/>
      </c>
      <c r="V177" s="54"/>
      <c r="W177" s="81">
        <f t="shared" si="30"/>
        <v>0</v>
      </c>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c r="BD177" s="11"/>
      <c r="BE177" s="11"/>
      <c r="BF177" s="11"/>
      <c r="BG177" s="11"/>
      <c r="BH177" s="11"/>
      <c r="BI177" s="11"/>
      <c r="BJ177" s="11"/>
      <c r="BK177" s="11"/>
      <c r="BL177" s="11"/>
      <c r="BM177" s="11"/>
    </row>
    <row r="178" spans="1:65" ht="150" customHeight="1" x14ac:dyDescent="0.25">
      <c r="A178" s="11">
        <v>3035</v>
      </c>
      <c r="B178" s="11">
        <v>2</v>
      </c>
      <c r="C178" s="11" t="str">
        <f t="shared" si="28"/>
        <v>Chipping</v>
      </c>
      <c r="D178" s="11" t="s">
        <v>1084</v>
      </c>
      <c r="E178" s="42"/>
      <c r="F178" s="42"/>
      <c r="G178" s="151" t="s">
        <v>485</v>
      </c>
      <c r="H178" s="328">
        <v>20</v>
      </c>
      <c r="I178" s="11">
        <v>1</v>
      </c>
      <c r="J178" s="55" t="str">
        <f t="shared" si="29"/>
        <v>ChippingBest120Chipping Ladder Extrem</v>
      </c>
      <c r="K178" s="58" t="s">
        <v>1234</v>
      </c>
      <c r="L178" s="57" t="s">
        <v>1265</v>
      </c>
      <c r="M178" s="226"/>
      <c r="N178" s="90" t="s">
        <v>525</v>
      </c>
      <c r="O178" s="52"/>
      <c r="P178" s="13"/>
      <c r="Q178" s="35"/>
      <c r="R178" s="13"/>
      <c r="S178" s="13"/>
      <c r="T178" s="12"/>
      <c r="U178" s="54" t="str">
        <f t="shared" si="25"/>
        <v/>
      </c>
      <c r="V178" s="54"/>
      <c r="W178" s="81">
        <f t="shared" si="30"/>
        <v>0</v>
      </c>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c r="BD178" s="11"/>
      <c r="BE178" s="11"/>
      <c r="BF178" s="11"/>
      <c r="BG178" s="11"/>
      <c r="BH178" s="11"/>
      <c r="BI178" s="11"/>
      <c r="BJ178" s="11"/>
      <c r="BK178" s="11"/>
      <c r="BL178" s="11"/>
      <c r="BM178" s="11"/>
    </row>
    <row r="179" spans="1:65" ht="150" customHeight="1" x14ac:dyDescent="0.25">
      <c r="A179" s="11">
        <v>3036</v>
      </c>
      <c r="B179" s="11">
        <v>2</v>
      </c>
      <c r="C179" s="11" t="str">
        <f t="shared" si="28"/>
        <v>Chipping</v>
      </c>
      <c r="D179" s="11" t="s">
        <v>1084</v>
      </c>
      <c r="E179" s="42"/>
      <c r="F179" s="42"/>
      <c r="G179" s="151" t="s">
        <v>485</v>
      </c>
      <c r="H179" s="328">
        <v>20</v>
      </c>
      <c r="I179" s="11">
        <v>1</v>
      </c>
      <c r="J179" s="55" t="str">
        <f t="shared" si="29"/>
        <v>ChippingBest120Line them Up 4m &amp; 10m</v>
      </c>
      <c r="K179" s="58" t="s">
        <v>1293</v>
      </c>
      <c r="L179" s="57" t="s">
        <v>1294</v>
      </c>
      <c r="M179" s="226"/>
      <c r="N179" s="90"/>
      <c r="O179" s="52"/>
      <c r="P179" s="13"/>
      <c r="Q179" s="35"/>
      <c r="R179" s="13"/>
      <c r="S179" s="13"/>
      <c r="T179" s="12"/>
      <c r="U179" s="54" t="str">
        <f>IFERROR(IF(LEN(X179)&gt;0,INT(INDEX(X179:BM179,0,DBE_HCP_ID)),""),"")</f>
        <v/>
      </c>
      <c r="V179" s="54"/>
      <c r="W179" s="81">
        <f t="shared" si="30"/>
        <v>0</v>
      </c>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c r="AZ179" s="11"/>
      <c r="BA179" s="11"/>
      <c r="BB179" s="11"/>
      <c r="BC179" s="11"/>
      <c r="BD179" s="11"/>
      <c r="BE179" s="11"/>
      <c r="BF179" s="11"/>
      <c r="BG179" s="11"/>
      <c r="BH179" s="11"/>
      <c r="BI179" s="11"/>
      <c r="BJ179" s="11"/>
      <c r="BK179" s="11"/>
      <c r="BL179" s="11"/>
      <c r="BM179" s="11"/>
    </row>
    <row r="180" spans="1:65" ht="150" customHeight="1" x14ac:dyDescent="0.25">
      <c r="A180" s="11">
        <v>3037</v>
      </c>
      <c r="B180" s="11">
        <v>2</v>
      </c>
      <c r="C180" s="11" t="str">
        <f t="shared" si="28"/>
        <v>Chipping</v>
      </c>
      <c r="D180" s="11" t="s">
        <v>1084</v>
      </c>
      <c r="E180" s="42"/>
      <c r="F180" s="42"/>
      <c r="G180" s="151" t="s">
        <v>485</v>
      </c>
      <c r="H180" s="328">
        <v>20</v>
      </c>
      <c r="I180" s="11">
        <v>1</v>
      </c>
      <c r="J180" s="55" t="str">
        <f t="shared" si="29"/>
        <v>ChippingBest120Line them Up 4m &amp; 20m</v>
      </c>
      <c r="K180" s="58" t="s">
        <v>1296</v>
      </c>
      <c r="L180" s="57" t="s">
        <v>1295</v>
      </c>
      <c r="M180" s="226"/>
      <c r="N180" s="90"/>
      <c r="O180" s="52"/>
      <c r="P180" s="13"/>
      <c r="Q180" s="35"/>
      <c r="R180" s="13"/>
      <c r="S180" s="13"/>
      <c r="T180" s="12"/>
      <c r="U180" s="54" t="str">
        <f>IFERROR(IF(LEN(X180)&gt;0,INT(INDEX(X180:BM180,0,DBE_HCP_ID)),""),"")</f>
        <v/>
      </c>
      <c r="V180" s="54"/>
      <c r="W180" s="81">
        <f t="shared" si="30"/>
        <v>0</v>
      </c>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c r="AZ180" s="11"/>
      <c r="BA180" s="11"/>
      <c r="BB180" s="11"/>
      <c r="BC180" s="11"/>
      <c r="BD180" s="11"/>
      <c r="BE180" s="11"/>
      <c r="BF180" s="11"/>
      <c r="BG180" s="11"/>
      <c r="BH180" s="11"/>
      <c r="BI180" s="11"/>
      <c r="BJ180" s="11"/>
      <c r="BK180" s="11"/>
      <c r="BL180" s="11"/>
      <c r="BM180" s="11"/>
    </row>
    <row r="181" spans="1:65" ht="150" customHeight="1" x14ac:dyDescent="0.25">
      <c r="A181" s="11">
        <v>3038</v>
      </c>
      <c r="B181" s="11">
        <v>2</v>
      </c>
      <c r="C181" s="11" t="str">
        <f t="shared" si="28"/>
        <v>Chipping</v>
      </c>
      <c r="D181" s="11" t="s">
        <v>1084</v>
      </c>
      <c r="E181" s="42"/>
      <c r="F181" s="42"/>
      <c r="G181" s="151" t="s">
        <v>485</v>
      </c>
      <c r="H181" s="328">
        <v>20</v>
      </c>
      <c r="I181" s="11">
        <v>1</v>
      </c>
      <c r="J181" s="55" t="str">
        <f t="shared" si="29"/>
        <v>ChippingBest120Line them Up 4m &amp; 30m</v>
      </c>
      <c r="K181" s="58" t="s">
        <v>1297</v>
      </c>
      <c r="L181" s="57" t="s">
        <v>1292</v>
      </c>
      <c r="M181" s="226"/>
      <c r="N181" s="90"/>
      <c r="O181" s="52"/>
      <c r="P181" s="13"/>
      <c r="Q181" s="35"/>
      <c r="R181" s="13"/>
      <c r="S181" s="13"/>
      <c r="T181" s="12"/>
      <c r="U181" s="54" t="str">
        <f>IFERROR(IF(LEN(X181)&gt;0,INT(INDEX(X181:BM181,0,DBE_HCP_ID)),""),"")</f>
        <v/>
      </c>
      <c r="V181" s="54"/>
      <c r="W181" s="81">
        <f t="shared" si="30"/>
        <v>0</v>
      </c>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row>
    <row r="182" spans="1:65" ht="150" customHeight="1" x14ac:dyDescent="0.25">
      <c r="A182" s="11">
        <v>3039</v>
      </c>
      <c r="B182" s="11">
        <v>-1</v>
      </c>
      <c r="C182" s="11" t="str">
        <f t="shared" si="28"/>
        <v>Chipping</v>
      </c>
      <c r="D182" s="11" t="s">
        <v>494</v>
      </c>
      <c r="E182" s="42"/>
      <c r="F182" s="42"/>
      <c r="G182" s="151" t="s">
        <v>480</v>
      </c>
      <c r="H182" s="328">
        <v>7</v>
      </c>
      <c r="I182" s="11">
        <v>1</v>
      </c>
      <c r="J182" s="55" t="str">
        <f t="shared" si="26"/>
        <v>ChippingTechnic17Drei Bälle</v>
      </c>
      <c r="K182" s="58" t="s">
        <v>1067</v>
      </c>
      <c r="L182" s="57" t="s">
        <v>533</v>
      </c>
      <c r="M182" s="226"/>
      <c r="N182" s="90"/>
      <c r="O182" s="52"/>
      <c r="P182" s="13"/>
      <c r="Q182" s="35"/>
      <c r="R182" s="13"/>
      <c r="S182" s="13"/>
      <c r="T182" s="12"/>
      <c r="U182" s="54" t="str">
        <f t="shared" si="25"/>
        <v/>
      </c>
      <c r="V182" s="54"/>
      <c r="W182" s="81">
        <f t="shared" si="27"/>
        <v>0</v>
      </c>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row>
    <row r="183" spans="1:65" ht="150" customHeight="1" x14ac:dyDescent="0.25">
      <c r="A183" s="11">
        <v>3040</v>
      </c>
      <c r="B183" s="11">
        <v>2</v>
      </c>
      <c r="C183" s="11" t="str">
        <f t="shared" si="28"/>
        <v>Chipping</v>
      </c>
      <c r="D183" s="11" t="s">
        <v>98</v>
      </c>
      <c r="E183" s="42"/>
      <c r="F183" s="42"/>
      <c r="G183" s="151" t="s">
        <v>478</v>
      </c>
      <c r="H183" s="328">
        <v>10</v>
      </c>
      <c r="I183" s="11">
        <v>1</v>
      </c>
      <c r="J183" s="55" t="str">
        <f t="shared" si="26"/>
        <v>ChippingChallenge110Chipping with at least 4-6 m of  green to work with</v>
      </c>
      <c r="K183" s="58" t="s">
        <v>832</v>
      </c>
      <c r="L183" s="93" t="s">
        <v>1330</v>
      </c>
      <c r="M183" s="226"/>
      <c r="N183" s="90"/>
      <c r="O183" s="52"/>
      <c r="P183" s="13"/>
      <c r="Q183" s="93" t="s">
        <v>831</v>
      </c>
      <c r="R183" s="13"/>
      <c r="S183" s="13"/>
      <c r="T183" s="12"/>
      <c r="U183" s="54" t="str">
        <f t="shared" si="25"/>
        <v/>
      </c>
      <c r="V183" s="54"/>
      <c r="W183" s="81">
        <f t="shared" si="27"/>
        <v>0</v>
      </c>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row>
    <row r="184" spans="1:65" ht="150" customHeight="1" x14ac:dyDescent="0.25">
      <c r="A184" s="11">
        <v>3041</v>
      </c>
      <c r="B184" s="11">
        <v>2</v>
      </c>
      <c r="C184" s="11" t="str">
        <f t="shared" si="28"/>
        <v>Chipping</v>
      </c>
      <c r="D184" s="11" t="s">
        <v>98</v>
      </c>
      <c r="E184" s="42"/>
      <c r="F184" s="42"/>
      <c r="G184" s="151" t="s">
        <v>480</v>
      </c>
      <c r="H184" s="328">
        <v>10</v>
      </c>
      <c r="I184" s="11">
        <v>1</v>
      </c>
      <c r="J184" s="55" t="str">
        <f t="shared" si="26"/>
        <v>ChippingChallenge110Chipping with at least 4-6 m of  green to work with</v>
      </c>
      <c r="K184" s="58" t="s">
        <v>832</v>
      </c>
      <c r="L184" s="93" t="s">
        <v>1324</v>
      </c>
      <c r="M184" s="226"/>
      <c r="N184" s="90"/>
      <c r="O184" s="52"/>
      <c r="P184" s="13"/>
      <c r="Q184" s="93" t="s">
        <v>830</v>
      </c>
      <c r="R184" s="13"/>
      <c r="S184" s="13"/>
      <c r="T184" s="12"/>
      <c r="U184" s="54" t="str">
        <f t="shared" si="25"/>
        <v/>
      </c>
      <c r="V184" s="54"/>
      <c r="W184" s="81">
        <f t="shared" si="27"/>
        <v>0</v>
      </c>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c r="BD184" s="11"/>
      <c r="BE184" s="11"/>
      <c r="BF184" s="11"/>
      <c r="BG184" s="11"/>
      <c r="BH184" s="11"/>
      <c r="BI184" s="11"/>
      <c r="BJ184" s="11"/>
      <c r="BK184" s="11"/>
      <c r="BL184" s="11"/>
      <c r="BM184" s="11"/>
    </row>
    <row r="185" spans="1:65" ht="150" customHeight="1" x14ac:dyDescent="0.25">
      <c r="A185" s="11">
        <v>3042</v>
      </c>
      <c r="B185" s="11">
        <v>2</v>
      </c>
      <c r="C185" s="11" t="str">
        <f t="shared" si="28"/>
        <v>Chipping</v>
      </c>
      <c r="D185" s="11" t="s">
        <v>98</v>
      </c>
      <c r="E185" s="42"/>
      <c r="F185" s="42"/>
      <c r="G185" s="151" t="s">
        <v>484</v>
      </c>
      <c r="H185" s="328">
        <v>10</v>
      </c>
      <c r="I185" s="11">
        <v>1</v>
      </c>
      <c r="J185" s="55" t="str">
        <f t="shared" si="26"/>
        <v>ChippingChallenge110Chipping with at least 4-6 m of  green to work with</v>
      </c>
      <c r="K185" s="58" t="s">
        <v>832</v>
      </c>
      <c r="L185" s="93" t="s">
        <v>1325</v>
      </c>
      <c r="M185" s="226"/>
      <c r="N185" s="90"/>
      <c r="O185" s="52"/>
      <c r="P185" s="13"/>
      <c r="Q185" s="93" t="s">
        <v>830</v>
      </c>
      <c r="R185" s="13"/>
      <c r="S185" s="13"/>
      <c r="T185" s="12"/>
      <c r="U185" s="54" t="str">
        <f t="shared" si="25"/>
        <v/>
      </c>
      <c r="V185" s="54"/>
      <c r="W185" s="81">
        <f t="shared" si="27"/>
        <v>0</v>
      </c>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c r="BD185" s="11"/>
      <c r="BE185" s="11"/>
      <c r="BF185" s="11"/>
      <c r="BG185" s="11"/>
      <c r="BH185" s="11"/>
      <c r="BI185" s="11"/>
      <c r="BJ185" s="11"/>
      <c r="BK185" s="11"/>
      <c r="BL185" s="11"/>
      <c r="BM185" s="11"/>
    </row>
    <row r="186" spans="1:65" ht="150" customHeight="1" x14ac:dyDescent="0.25">
      <c r="A186" s="11">
        <v>3043</v>
      </c>
      <c r="B186" s="11">
        <v>2</v>
      </c>
      <c r="C186" s="11" t="str">
        <f t="shared" si="28"/>
        <v>Chipping</v>
      </c>
      <c r="D186" s="11" t="s">
        <v>98</v>
      </c>
      <c r="E186" s="42"/>
      <c r="F186" s="42"/>
      <c r="G186" s="151" t="s">
        <v>485</v>
      </c>
      <c r="H186" s="328">
        <v>10</v>
      </c>
      <c r="I186" s="11">
        <v>1</v>
      </c>
      <c r="J186" s="55" t="str">
        <f t="shared" si="26"/>
        <v>ChippingChallenge110Chipping with at least 4-6 m of  green to work with</v>
      </c>
      <c r="K186" s="58" t="s">
        <v>832</v>
      </c>
      <c r="L186" s="93" t="s">
        <v>1326</v>
      </c>
      <c r="M186" s="226"/>
      <c r="N186" s="90"/>
      <c r="O186" s="52"/>
      <c r="P186" s="13"/>
      <c r="Q186" s="93" t="s">
        <v>829</v>
      </c>
      <c r="R186" s="13"/>
      <c r="S186" s="13"/>
      <c r="T186" s="12"/>
      <c r="U186" s="54" t="str">
        <f t="shared" si="25"/>
        <v/>
      </c>
      <c r="V186" s="54"/>
      <c r="W186" s="81">
        <f t="shared" si="27"/>
        <v>0</v>
      </c>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c r="BD186" s="11"/>
      <c r="BE186" s="11"/>
      <c r="BF186" s="11"/>
      <c r="BG186" s="11"/>
      <c r="BH186" s="11"/>
      <c r="BI186" s="11"/>
      <c r="BJ186" s="11"/>
      <c r="BK186" s="11"/>
      <c r="BL186" s="11"/>
      <c r="BM186" s="11"/>
    </row>
    <row r="187" spans="1:65" ht="150" customHeight="1" x14ac:dyDescent="0.25">
      <c r="A187" s="11">
        <v>3044</v>
      </c>
      <c r="B187" s="11">
        <v>2</v>
      </c>
      <c r="C187" s="11" t="str">
        <f t="shared" si="28"/>
        <v>Chipping</v>
      </c>
      <c r="D187" s="11" t="s">
        <v>98</v>
      </c>
      <c r="E187" s="42"/>
      <c r="F187" s="42"/>
      <c r="G187" s="151" t="s">
        <v>478</v>
      </c>
      <c r="H187" s="328">
        <v>10</v>
      </c>
      <c r="I187" s="11">
        <v>1</v>
      </c>
      <c r="J187" s="55" t="str">
        <f t="shared" si="26"/>
        <v>ChippingChallenge110Chipping with at least 7-9m of  green to work with</v>
      </c>
      <c r="K187" s="58" t="s">
        <v>824</v>
      </c>
      <c r="L187" s="93" t="s">
        <v>1327</v>
      </c>
      <c r="M187" s="226"/>
      <c r="N187" s="90"/>
      <c r="O187" s="52"/>
      <c r="P187" s="13"/>
      <c r="Q187" s="93" t="s">
        <v>828</v>
      </c>
      <c r="R187" s="13"/>
      <c r="S187" s="13"/>
      <c r="T187" s="12"/>
      <c r="U187" s="54" t="str">
        <f t="shared" si="25"/>
        <v/>
      </c>
      <c r="V187" s="54"/>
      <c r="W187" s="81">
        <f t="shared" si="27"/>
        <v>0</v>
      </c>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c r="BD187" s="11"/>
      <c r="BE187" s="11"/>
      <c r="BF187" s="11"/>
      <c r="BG187" s="11"/>
      <c r="BH187" s="11"/>
      <c r="BI187" s="11"/>
      <c r="BJ187" s="11"/>
      <c r="BK187" s="11"/>
      <c r="BL187" s="11"/>
      <c r="BM187" s="11"/>
    </row>
    <row r="188" spans="1:65" ht="150" customHeight="1" x14ac:dyDescent="0.25">
      <c r="A188" s="11">
        <v>3045</v>
      </c>
      <c r="B188" s="11">
        <v>2</v>
      </c>
      <c r="C188" s="11" t="str">
        <f t="shared" si="28"/>
        <v>Chipping</v>
      </c>
      <c r="D188" s="11" t="s">
        <v>98</v>
      </c>
      <c r="E188" s="42"/>
      <c r="F188" s="42"/>
      <c r="G188" s="151" t="s">
        <v>480</v>
      </c>
      <c r="H188" s="328">
        <v>10</v>
      </c>
      <c r="I188" s="11">
        <v>1</v>
      </c>
      <c r="J188" s="55" t="str">
        <f t="shared" si="26"/>
        <v>ChippingChallenge110Chipping with at least 7-9m of  green to work with</v>
      </c>
      <c r="K188" s="58" t="s">
        <v>824</v>
      </c>
      <c r="L188" s="93" t="s">
        <v>1328</v>
      </c>
      <c r="M188" s="226"/>
      <c r="N188" s="90"/>
      <c r="O188" s="52"/>
      <c r="P188" s="13"/>
      <c r="Q188" s="93" t="s">
        <v>827</v>
      </c>
      <c r="R188" s="13"/>
      <c r="S188" s="13"/>
      <c r="T188" s="12"/>
      <c r="U188" s="54" t="str">
        <f t="shared" si="25"/>
        <v/>
      </c>
      <c r="V188" s="54"/>
      <c r="W188" s="81">
        <f t="shared" si="27"/>
        <v>0</v>
      </c>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c r="BD188" s="11"/>
      <c r="BE188" s="11"/>
      <c r="BF188" s="11"/>
      <c r="BG188" s="11"/>
      <c r="BH188" s="11"/>
      <c r="BI188" s="11"/>
      <c r="BJ188" s="11"/>
      <c r="BK188" s="11"/>
      <c r="BL188" s="11"/>
      <c r="BM188" s="11"/>
    </row>
    <row r="189" spans="1:65" ht="150" customHeight="1" x14ac:dyDescent="0.25">
      <c r="A189" s="11">
        <v>3046</v>
      </c>
      <c r="B189" s="11">
        <v>2</v>
      </c>
      <c r="C189" s="11" t="str">
        <f t="shared" si="28"/>
        <v>Chipping</v>
      </c>
      <c r="D189" s="11" t="s">
        <v>98</v>
      </c>
      <c r="E189" s="42"/>
      <c r="F189" s="42"/>
      <c r="G189" s="151" t="s">
        <v>484</v>
      </c>
      <c r="H189" s="328">
        <v>10</v>
      </c>
      <c r="I189" s="11">
        <v>1</v>
      </c>
      <c r="J189" s="55" t="str">
        <f t="shared" si="26"/>
        <v>ChippingChallenge110Chipping with at least 7-9m of  green to work with</v>
      </c>
      <c r="K189" s="58" t="s">
        <v>824</v>
      </c>
      <c r="L189" s="93" t="s">
        <v>825</v>
      </c>
      <c r="M189" s="226"/>
      <c r="N189" s="90"/>
      <c r="O189" s="52"/>
      <c r="P189" s="13"/>
      <c r="Q189" s="93" t="s">
        <v>827</v>
      </c>
      <c r="R189" s="13"/>
      <c r="S189" s="13"/>
      <c r="T189" s="12"/>
      <c r="U189" s="54" t="str">
        <f t="shared" si="25"/>
        <v/>
      </c>
      <c r="V189" s="54"/>
      <c r="W189" s="81">
        <f t="shared" si="27"/>
        <v>0</v>
      </c>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c r="BE189" s="11"/>
      <c r="BF189" s="11"/>
      <c r="BG189" s="11"/>
      <c r="BH189" s="11"/>
      <c r="BI189" s="11"/>
      <c r="BJ189" s="11"/>
      <c r="BK189" s="11"/>
      <c r="BL189" s="11"/>
      <c r="BM189" s="11"/>
    </row>
    <row r="190" spans="1:65" ht="150" customHeight="1" x14ac:dyDescent="0.25">
      <c r="A190" s="11">
        <v>3047</v>
      </c>
      <c r="B190" s="11">
        <v>2</v>
      </c>
      <c r="C190" s="11" t="str">
        <f t="shared" si="28"/>
        <v>Chipping</v>
      </c>
      <c r="D190" s="11" t="s">
        <v>98</v>
      </c>
      <c r="E190" s="42"/>
      <c r="F190" s="42"/>
      <c r="G190" s="151" t="s">
        <v>485</v>
      </c>
      <c r="H190" s="328">
        <v>10</v>
      </c>
      <c r="I190" s="11">
        <v>1</v>
      </c>
      <c r="J190" s="55" t="str">
        <f t="shared" si="26"/>
        <v>ChippingChallenge110Chipping with at least 7-9m of  green to work with</v>
      </c>
      <c r="K190" s="58" t="s">
        <v>824</v>
      </c>
      <c r="L190" s="93" t="s">
        <v>1329</v>
      </c>
      <c r="M190" s="226"/>
      <c r="N190" s="90"/>
      <c r="O190" s="52"/>
      <c r="P190" s="13"/>
      <c r="Q190" s="93" t="s">
        <v>826</v>
      </c>
      <c r="R190" s="13"/>
      <c r="S190" s="13"/>
      <c r="T190" s="12"/>
      <c r="U190" s="54" t="str">
        <f t="shared" si="25"/>
        <v/>
      </c>
      <c r="V190" s="54"/>
      <c r="W190" s="81">
        <f t="shared" si="27"/>
        <v>0</v>
      </c>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c r="BE190" s="11"/>
      <c r="BF190" s="11"/>
      <c r="BG190" s="11"/>
      <c r="BH190" s="11"/>
      <c r="BI190" s="11"/>
      <c r="BJ190" s="11"/>
      <c r="BK190" s="11"/>
      <c r="BL190" s="11"/>
      <c r="BM190" s="11"/>
    </row>
    <row r="191" spans="1:65" ht="150" customHeight="1" x14ac:dyDescent="0.25">
      <c r="A191" s="11">
        <v>3048</v>
      </c>
      <c r="B191" s="11">
        <v>-1</v>
      </c>
      <c r="C191" s="11" t="str">
        <f t="shared" si="28"/>
        <v>Chipping</v>
      </c>
      <c r="D191" s="11" t="s">
        <v>181</v>
      </c>
      <c r="E191" s="42"/>
      <c r="F191" s="42"/>
      <c r="G191" s="151" t="s">
        <v>478</v>
      </c>
      <c r="H191" s="328">
        <v>10</v>
      </c>
      <c r="I191" s="11">
        <v>1</v>
      </c>
      <c r="J191" s="55" t="str">
        <f t="shared" si="26"/>
        <v>ChippingDrill110Best Ball Chipping</v>
      </c>
      <c r="K191" s="58" t="s">
        <v>1032</v>
      </c>
      <c r="L191" s="57" t="s">
        <v>1035</v>
      </c>
      <c r="M191" s="226"/>
      <c r="N191" s="90"/>
      <c r="O191" s="52"/>
      <c r="P191" s="13"/>
      <c r="Q191" s="35"/>
      <c r="R191" s="13"/>
      <c r="S191" s="13"/>
      <c r="T191" s="12"/>
      <c r="U191" s="54" t="str">
        <f t="shared" si="25"/>
        <v/>
      </c>
      <c r="V191" s="54"/>
      <c r="W191" s="81">
        <f t="shared" si="27"/>
        <v>0</v>
      </c>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c r="BE191" s="11"/>
      <c r="BF191" s="11"/>
      <c r="BG191" s="11"/>
      <c r="BH191" s="11"/>
      <c r="BI191" s="11"/>
      <c r="BJ191" s="11"/>
      <c r="BK191" s="11"/>
      <c r="BL191" s="11"/>
      <c r="BM191" s="11"/>
    </row>
    <row r="192" spans="1:65" ht="150" customHeight="1" x14ac:dyDescent="0.25">
      <c r="A192" s="11">
        <v>3049</v>
      </c>
      <c r="B192" s="11">
        <v>-1</v>
      </c>
      <c r="C192" s="11" t="str">
        <f t="shared" si="28"/>
        <v>Chipping</v>
      </c>
      <c r="D192" s="11" t="s">
        <v>181</v>
      </c>
      <c r="E192" s="42"/>
      <c r="F192" s="42"/>
      <c r="G192" s="151" t="s">
        <v>480</v>
      </c>
      <c r="H192" s="328">
        <v>10</v>
      </c>
      <c r="I192" s="11">
        <v>1</v>
      </c>
      <c r="J192" s="55" t="str">
        <f t="shared" si="26"/>
        <v>ChippingDrill110Best Ball Chipping</v>
      </c>
      <c r="K192" s="58" t="s">
        <v>1032</v>
      </c>
      <c r="L192" s="57" t="s">
        <v>1035</v>
      </c>
      <c r="M192" s="226"/>
      <c r="N192" s="90"/>
      <c r="O192" s="52"/>
      <c r="P192" s="13"/>
      <c r="Q192" s="35"/>
      <c r="R192" s="13"/>
      <c r="S192" s="13"/>
      <c r="T192" s="12"/>
      <c r="U192" s="54" t="str">
        <f t="shared" si="25"/>
        <v/>
      </c>
      <c r="V192" s="54"/>
      <c r="W192" s="81">
        <f t="shared" si="27"/>
        <v>0</v>
      </c>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c r="BE192" s="11"/>
      <c r="BF192" s="11"/>
      <c r="BG192" s="11"/>
      <c r="BH192" s="11"/>
      <c r="BI192" s="11"/>
      <c r="BJ192" s="11"/>
      <c r="BK192" s="11"/>
      <c r="BL192" s="11"/>
      <c r="BM192" s="11"/>
    </row>
    <row r="193" spans="1:65" ht="150" customHeight="1" x14ac:dyDescent="0.25">
      <c r="A193" s="11">
        <v>3050</v>
      </c>
      <c r="B193" s="11">
        <v>-1</v>
      </c>
      <c r="C193" s="11" t="str">
        <f t="shared" si="28"/>
        <v>Chipping</v>
      </c>
      <c r="D193" s="11" t="s">
        <v>181</v>
      </c>
      <c r="E193" s="42"/>
      <c r="F193" s="42"/>
      <c r="G193" s="151" t="s">
        <v>484</v>
      </c>
      <c r="H193" s="328">
        <v>10</v>
      </c>
      <c r="I193" s="11">
        <v>1</v>
      </c>
      <c r="J193" s="55" t="str">
        <f t="shared" si="26"/>
        <v>ChippingDrill110WORST Ball Chipping</v>
      </c>
      <c r="K193" s="58" t="s">
        <v>1033</v>
      </c>
      <c r="L193" s="57" t="s">
        <v>1034</v>
      </c>
      <c r="M193" s="226"/>
      <c r="N193" s="90"/>
      <c r="O193" s="52"/>
      <c r="P193" s="13"/>
      <c r="Q193" s="35"/>
      <c r="R193" s="13"/>
      <c r="S193" s="13"/>
      <c r="T193" s="12"/>
      <c r="U193" s="54" t="str">
        <f t="shared" si="25"/>
        <v/>
      </c>
      <c r="V193" s="54"/>
      <c r="W193" s="81">
        <f t="shared" si="27"/>
        <v>0</v>
      </c>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c r="BH193" s="11"/>
      <c r="BI193" s="11"/>
      <c r="BJ193" s="11"/>
      <c r="BK193" s="11"/>
      <c r="BL193" s="11"/>
      <c r="BM193" s="11"/>
    </row>
    <row r="194" spans="1:65" ht="150" customHeight="1" x14ac:dyDescent="0.25">
      <c r="A194" s="11">
        <v>3051</v>
      </c>
      <c r="B194" s="11">
        <v>-1</v>
      </c>
      <c r="C194" s="11" t="str">
        <f t="shared" si="28"/>
        <v>Chipping</v>
      </c>
      <c r="D194" s="11" t="s">
        <v>181</v>
      </c>
      <c r="E194" s="42"/>
      <c r="F194" s="42"/>
      <c r="G194" s="151" t="s">
        <v>485</v>
      </c>
      <c r="H194" s="328">
        <v>10</v>
      </c>
      <c r="I194" s="11">
        <v>1</v>
      </c>
      <c r="J194" s="55" t="str">
        <f t="shared" si="26"/>
        <v>ChippingDrill110WORST Ball Chipping</v>
      </c>
      <c r="K194" s="58" t="s">
        <v>1033</v>
      </c>
      <c r="L194" s="57" t="s">
        <v>1036</v>
      </c>
      <c r="M194" s="226"/>
      <c r="N194" s="90"/>
      <c r="O194" s="52"/>
      <c r="P194" s="13"/>
      <c r="Q194" s="35"/>
      <c r="R194" s="13"/>
      <c r="S194" s="13"/>
      <c r="T194" s="12"/>
      <c r="U194" s="54" t="str">
        <f t="shared" si="25"/>
        <v/>
      </c>
      <c r="V194" s="54"/>
      <c r="W194" s="81">
        <f t="shared" si="27"/>
        <v>0</v>
      </c>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c r="BE194" s="11"/>
      <c r="BF194" s="11"/>
      <c r="BG194" s="11"/>
      <c r="BH194" s="11"/>
      <c r="BI194" s="11"/>
      <c r="BJ194" s="11"/>
      <c r="BK194" s="11"/>
      <c r="BL194" s="11"/>
      <c r="BM194" s="11"/>
    </row>
    <row r="195" spans="1:65" ht="150" customHeight="1" x14ac:dyDescent="0.25">
      <c r="A195" s="11">
        <v>3052</v>
      </c>
      <c r="B195" s="11">
        <v>-1</v>
      </c>
      <c r="C195" s="11" t="str">
        <f t="shared" si="28"/>
        <v>Chipping</v>
      </c>
      <c r="D195" s="11" t="s">
        <v>6</v>
      </c>
      <c r="E195" s="42"/>
      <c r="F195" s="42"/>
      <c r="G195" s="151" t="s">
        <v>861</v>
      </c>
      <c r="H195" s="328">
        <v>10</v>
      </c>
      <c r="I195" s="11">
        <v>2</v>
      </c>
      <c r="J195" s="55" t="str">
        <f t="shared" si="26"/>
        <v>ChippingGame210Best of 10 : Worst  vs. Best Ball Chipping 15m</v>
      </c>
      <c r="K195" s="58" t="s">
        <v>1060</v>
      </c>
      <c r="L195" s="57" t="s">
        <v>1058</v>
      </c>
      <c r="M195" s="226"/>
      <c r="N195" s="90"/>
      <c r="O195" s="52"/>
      <c r="P195" s="13"/>
      <c r="Q195" s="35"/>
      <c r="R195" s="13"/>
      <c r="S195" s="13"/>
      <c r="T195" s="12"/>
      <c r="U195" s="54" t="str">
        <f t="shared" si="25"/>
        <v/>
      </c>
      <c r="V195" s="54"/>
      <c r="W195" s="81">
        <f t="shared" si="27"/>
        <v>0</v>
      </c>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c r="BE195" s="11"/>
      <c r="BF195" s="11"/>
      <c r="BG195" s="11"/>
      <c r="BH195" s="11"/>
      <c r="BI195" s="11"/>
      <c r="BJ195" s="11"/>
      <c r="BK195" s="11"/>
      <c r="BL195" s="11"/>
      <c r="BM195" s="11"/>
    </row>
    <row r="196" spans="1:65" ht="150" customHeight="1" x14ac:dyDescent="0.25">
      <c r="A196" s="11">
        <v>3053</v>
      </c>
      <c r="B196" s="11">
        <v>-1</v>
      </c>
      <c r="C196" s="11" t="str">
        <f t="shared" si="28"/>
        <v>Chipping</v>
      </c>
      <c r="D196" s="11" t="s">
        <v>6</v>
      </c>
      <c r="E196" s="42"/>
      <c r="F196" s="42"/>
      <c r="G196" s="151" t="s">
        <v>861</v>
      </c>
      <c r="H196" s="328">
        <v>10</v>
      </c>
      <c r="I196" s="11">
        <v>2</v>
      </c>
      <c r="J196" s="55" t="str">
        <f t="shared" si="26"/>
        <v>ChippingGame210Best of 10 : Worst  vs. Best Ball Chipping 10m</v>
      </c>
      <c r="K196" s="58" t="s">
        <v>1061</v>
      </c>
      <c r="L196" s="57" t="s">
        <v>1059</v>
      </c>
      <c r="M196" s="226"/>
      <c r="N196" s="90"/>
      <c r="O196" s="52"/>
      <c r="P196" s="13"/>
      <c r="Q196" s="35"/>
      <c r="R196" s="13"/>
      <c r="S196" s="13"/>
      <c r="T196" s="12"/>
      <c r="U196" s="54" t="str">
        <f t="shared" si="25"/>
        <v/>
      </c>
      <c r="V196" s="54"/>
      <c r="W196" s="81">
        <f t="shared" si="27"/>
        <v>0</v>
      </c>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c r="BE196" s="11"/>
      <c r="BF196" s="11"/>
      <c r="BG196" s="11"/>
      <c r="BH196" s="11"/>
      <c r="BI196" s="11"/>
      <c r="BJ196" s="11"/>
      <c r="BK196" s="11"/>
      <c r="BL196" s="11"/>
      <c r="BM196" s="11"/>
    </row>
    <row r="197" spans="1:65" ht="150" customHeight="1" x14ac:dyDescent="0.25">
      <c r="A197" s="11">
        <v>3054</v>
      </c>
      <c r="B197" s="11">
        <v>-1</v>
      </c>
      <c r="C197" s="11" t="str">
        <f t="shared" si="28"/>
        <v>Chipping</v>
      </c>
      <c r="D197" s="11" t="s">
        <v>1084</v>
      </c>
      <c r="E197" s="42"/>
      <c r="F197" s="42"/>
      <c r="G197" s="151" t="s">
        <v>861</v>
      </c>
      <c r="H197" s="328">
        <v>15</v>
      </c>
      <c r="I197" s="11" t="s">
        <v>1101</v>
      </c>
      <c r="J197" s="55" t="str">
        <f t="shared" si="26"/>
        <v>ChippingBest1+159 Holes 3x3</v>
      </c>
      <c r="K197" s="58" t="s">
        <v>1102</v>
      </c>
      <c r="L197" s="57" t="s">
        <v>1301</v>
      </c>
      <c r="M197" s="226"/>
      <c r="N197" s="90"/>
      <c r="O197" s="52"/>
      <c r="P197" s="13"/>
      <c r="Q197" s="35"/>
      <c r="R197" s="13"/>
      <c r="S197" s="13"/>
      <c r="T197" s="12"/>
      <c r="U197" s="54" t="str">
        <f t="shared" si="25"/>
        <v/>
      </c>
      <c r="V197" s="54"/>
      <c r="W197" s="81">
        <f t="shared" si="27"/>
        <v>0</v>
      </c>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c r="BD197" s="11"/>
      <c r="BE197" s="11"/>
      <c r="BF197" s="11"/>
      <c r="BG197" s="11"/>
      <c r="BH197" s="11"/>
      <c r="BI197" s="11"/>
      <c r="BJ197" s="11"/>
      <c r="BK197" s="11"/>
      <c r="BL197" s="11"/>
      <c r="BM197" s="11"/>
    </row>
    <row r="198" spans="1:65" ht="150" customHeight="1" x14ac:dyDescent="0.25">
      <c r="A198" s="11">
        <v>3055</v>
      </c>
      <c r="B198" s="11">
        <v>-1</v>
      </c>
      <c r="C198" s="11" t="str">
        <f t="shared" si="28"/>
        <v>Chipping</v>
      </c>
      <c r="D198" s="11" t="s">
        <v>1084</v>
      </c>
      <c r="E198" s="42"/>
      <c r="F198" s="42"/>
      <c r="G198" s="151" t="s">
        <v>861</v>
      </c>
      <c r="H198" s="328">
        <v>15</v>
      </c>
      <c r="I198" s="11" t="s">
        <v>1101</v>
      </c>
      <c r="J198" s="55" t="str">
        <f t="shared" si="26"/>
        <v>ChippingBest1+1518 Holes 6x3</v>
      </c>
      <c r="K198" s="58" t="s">
        <v>1103</v>
      </c>
      <c r="L198" s="57" t="s">
        <v>1302</v>
      </c>
      <c r="M198" s="226"/>
      <c r="N198" s="90"/>
      <c r="O198" s="52"/>
      <c r="P198" s="13"/>
      <c r="Q198" s="35"/>
      <c r="R198" s="13"/>
      <c r="S198" s="13"/>
      <c r="T198" s="12"/>
      <c r="U198" s="54" t="str">
        <f t="shared" si="25"/>
        <v/>
      </c>
      <c r="V198" s="54"/>
      <c r="W198" s="81">
        <f t="shared" si="27"/>
        <v>0</v>
      </c>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c r="BD198" s="11"/>
      <c r="BE198" s="11"/>
      <c r="BF198" s="11"/>
      <c r="BG198" s="11"/>
      <c r="BH198" s="11"/>
      <c r="BI198" s="11"/>
      <c r="BJ198" s="11"/>
      <c r="BK198" s="11"/>
      <c r="BL198" s="11"/>
      <c r="BM198" s="11"/>
    </row>
    <row r="199" spans="1:65" ht="150" customHeight="1" x14ac:dyDescent="0.25">
      <c r="A199" s="11">
        <v>3056</v>
      </c>
      <c r="B199" s="11">
        <v>1</v>
      </c>
      <c r="C199" s="11" t="str">
        <f t="shared" si="28"/>
        <v>Chipping</v>
      </c>
      <c r="D199" s="11" t="s">
        <v>6</v>
      </c>
      <c r="E199" s="42"/>
      <c r="F199" s="42"/>
      <c r="G199" s="151" t="s">
        <v>861</v>
      </c>
      <c r="H199" s="328">
        <v>10</v>
      </c>
      <c r="I199" s="14">
        <v>2</v>
      </c>
      <c r="J199" s="55" t="str">
        <f>C199&amp;D199&amp;I199&amp;H199&amp;K199</f>
        <v>ChippingGame2106 up</v>
      </c>
      <c r="K199" s="58" t="s">
        <v>1298</v>
      </c>
      <c r="L199" s="57" t="s">
        <v>1299</v>
      </c>
      <c r="M199" s="226"/>
      <c r="N199" s="90"/>
      <c r="O199" s="52"/>
      <c r="P199" s="13"/>
      <c r="Q199" s="35"/>
      <c r="R199" s="13"/>
      <c r="S199" s="13"/>
      <c r="T199" s="12"/>
      <c r="U199" s="54" t="str">
        <f>IFERROR(IF(LEN(X199)&gt;0,INT(INDEX(X199:BM199,0,DBE_HCP_ID)),""),"")</f>
        <v/>
      </c>
      <c r="V199" s="54"/>
      <c r="W199" s="81">
        <f>MAX(X199:BM199)</f>
        <v>0</v>
      </c>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c r="BD199" s="11"/>
      <c r="BE199" s="11"/>
      <c r="BF199" s="11"/>
      <c r="BG199" s="11"/>
      <c r="BH199" s="11"/>
      <c r="BI199" s="11"/>
      <c r="BJ199" s="11"/>
      <c r="BK199" s="11"/>
      <c r="BL199" s="11"/>
      <c r="BM199" s="11"/>
    </row>
    <row r="200" spans="1:65" ht="150" customHeight="1" x14ac:dyDescent="0.25">
      <c r="A200" s="11">
        <v>4000</v>
      </c>
      <c r="B200" s="11">
        <v>-1</v>
      </c>
      <c r="C200" s="11" t="str">
        <f t="shared" ref="C200:C231" si="31">MUI_STAT_T_MainTitel_3</f>
        <v>Pitching</v>
      </c>
      <c r="D200" s="11" t="s">
        <v>6</v>
      </c>
      <c r="E200" s="42"/>
      <c r="F200" s="42"/>
      <c r="G200" s="151" t="s">
        <v>861</v>
      </c>
      <c r="H200" s="328">
        <v>10</v>
      </c>
      <c r="I200" s="14" t="s">
        <v>710</v>
      </c>
      <c r="J200" s="55" t="str">
        <f t="shared" si="26"/>
        <v>PitchingGame2-many10Nearest to the hole  Shoot out</v>
      </c>
      <c r="K200" s="58" t="s">
        <v>668</v>
      </c>
      <c r="L200" s="57" t="s">
        <v>415</v>
      </c>
      <c r="M200" s="13"/>
      <c r="N200" s="90"/>
      <c r="O200" s="52"/>
      <c r="P200" s="13"/>
      <c r="Q200" s="35"/>
      <c r="R200" s="13"/>
      <c r="S200" s="13"/>
      <c r="T200" s="12"/>
      <c r="U200" s="54" t="str">
        <f t="shared" si="25"/>
        <v/>
      </c>
      <c r="V200" s="54"/>
      <c r="W200" s="81">
        <f t="shared" si="27"/>
        <v>0</v>
      </c>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c r="BD200" s="11"/>
      <c r="BE200" s="11"/>
      <c r="BF200" s="11"/>
      <c r="BG200" s="11"/>
      <c r="BH200" s="11"/>
      <c r="BI200" s="11"/>
      <c r="BJ200" s="11"/>
      <c r="BK200" s="11"/>
      <c r="BL200" s="11"/>
      <c r="BM200" s="11"/>
    </row>
    <row r="201" spans="1:65" ht="150" customHeight="1" x14ac:dyDescent="0.25">
      <c r="A201" s="11">
        <v>4001</v>
      </c>
      <c r="B201" s="11">
        <v>1</v>
      </c>
      <c r="C201" s="11" t="str">
        <f t="shared" si="31"/>
        <v>Pitching</v>
      </c>
      <c r="D201" s="11" t="s">
        <v>51</v>
      </c>
      <c r="E201" s="42"/>
      <c r="F201" s="42"/>
      <c r="G201" s="151" t="s">
        <v>861</v>
      </c>
      <c r="H201" s="328">
        <v>3</v>
      </c>
      <c r="I201" s="11">
        <v>1</v>
      </c>
      <c r="J201" s="55" t="str">
        <f t="shared" si="26"/>
        <v>PitchingTest135 Shots Fairway 9m (=10yds)</v>
      </c>
      <c r="K201" s="58" t="s">
        <v>748</v>
      </c>
      <c r="L201" s="87" t="s">
        <v>1482</v>
      </c>
      <c r="M201" s="226"/>
      <c r="N201" s="90" t="s">
        <v>466</v>
      </c>
      <c r="O201" s="52"/>
      <c r="P201" s="13"/>
      <c r="Q201" s="35"/>
      <c r="R201" s="13"/>
      <c r="S201" s="13"/>
      <c r="T201" s="12"/>
      <c r="U201" s="54">
        <f t="shared" si="25"/>
        <v>4</v>
      </c>
      <c r="V201" s="306" t="s">
        <v>1270</v>
      </c>
      <c r="W201" s="81">
        <f t="shared" si="27"/>
        <v>10</v>
      </c>
      <c r="X201" s="85">
        <v>10</v>
      </c>
      <c r="Y201" s="11">
        <v>9.5999999940395355</v>
      </c>
      <c r="Z201" s="11">
        <v>9.199999988079071</v>
      </c>
      <c r="AA201" s="11">
        <v>8.7999999821186066</v>
      </c>
      <c r="AB201" s="11">
        <v>8.3999999761581421</v>
      </c>
      <c r="AC201" s="85">
        <v>8</v>
      </c>
      <c r="AD201" s="11">
        <v>7.875</v>
      </c>
      <c r="AE201" s="11">
        <v>7.75</v>
      </c>
      <c r="AF201" s="11">
        <v>7.625</v>
      </c>
      <c r="AG201" s="11">
        <v>7.5</v>
      </c>
      <c r="AH201" s="11">
        <v>7.375</v>
      </c>
      <c r="AI201" s="11">
        <v>7.25</v>
      </c>
      <c r="AJ201" s="11">
        <v>7.125</v>
      </c>
      <c r="AK201" s="85">
        <v>7</v>
      </c>
      <c r="AL201" s="11">
        <v>7</v>
      </c>
      <c r="AM201" s="11">
        <v>7</v>
      </c>
      <c r="AN201" s="11">
        <v>7</v>
      </c>
      <c r="AO201" s="11">
        <v>7</v>
      </c>
      <c r="AP201" s="11">
        <v>6</v>
      </c>
      <c r="AQ201" s="11">
        <v>6</v>
      </c>
      <c r="AR201" s="11">
        <v>6</v>
      </c>
      <c r="AS201" s="11">
        <v>6</v>
      </c>
      <c r="AT201" s="11">
        <v>6</v>
      </c>
      <c r="AU201" s="85">
        <v>6</v>
      </c>
      <c r="AV201" s="11">
        <v>6</v>
      </c>
      <c r="AW201" s="11">
        <v>6</v>
      </c>
      <c r="AX201" s="11">
        <v>6</v>
      </c>
      <c r="AY201" s="11">
        <v>6</v>
      </c>
      <c r="AZ201" s="11">
        <v>6</v>
      </c>
      <c r="BA201" s="11">
        <v>5</v>
      </c>
      <c r="BB201" s="11">
        <v>5</v>
      </c>
      <c r="BC201" s="11">
        <v>5</v>
      </c>
      <c r="BD201" s="11">
        <v>5</v>
      </c>
      <c r="BE201" s="85">
        <v>5</v>
      </c>
      <c r="BF201" s="11">
        <v>5</v>
      </c>
      <c r="BG201" s="11">
        <v>5</v>
      </c>
      <c r="BH201" s="11">
        <v>5</v>
      </c>
      <c r="BI201" s="11">
        <v>4</v>
      </c>
      <c r="BJ201" s="11">
        <v>4</v>
      </c>
      <c r="BK201" s="11">
        <v>4</v>
      </c>
      <c r="BL201" s="11">
        <v>4</v>
      </c>
      <c r="BM201" s="85">
        <v>4</v>
      </c>
    </row>
    <row r="202" spans="1:65" ht="150" customHeight="1" x14ac:dyDescent="0.25">
      <c r="A202" s="11">
        <v>4002</v>
      </c>
      <c r="B202" s="11">
        <v>1</v>
      </c>
      <c r="C202" s="11" t="str">
        <f t="shared" si="31"/>
        <v>Pitching</v>
      </c>
      <c r="D202" s="11" t="s">
        <v>51</v>
      </c>
      <c r="E202" s="42"/>
      <c r="F202" s="42"/>
      <c r="G202" s="151" t="s">
        <v>861</v>
      </c>
      <c r="H202" s="328">
        <v>3</v>
      </c>
      <c r="I202" s="11">
        <v>1</v>
      </c>
      <c r="J202" s="55" t="str">
        <f t="shared" si="26"/>
        <v>PitchingTest135 Shots Fairway 18m 20 yds</v>
      </c>
      <c r="K202" s="58" t="s">
        <v>695</v>
      </c>
      <c r="L202" s="87" t="s">
        <v>1483</v>
      </c>
      <c r="M202" s="226"/>
      <c r="N202" s="90" t="s">
        <v>466</v>
      </c>
      <c r="O202" s="52"/>
      <c r="P202" s="13"/>
      <c r="Q202" s="35"/>
      <c r="R202" s="13"/>
      <c r="S202" s="13"/>
      <c r="T202" s="12"/>
      <c r="U202" s="54">
        <f t="shared" ref="U202:U288" si="32">IFERROR(IF(LEN(X202)&gt;0,INT(INDEX(X202:BM202,0,DBE_HCP_ID)),""),"")</f>
        <v>2</v>
      </c>
      <c r="V202" s="306" t="s">
        <v>1270</v>
      </c>
      <c r="W202" s="81">
        <f t="shared" si="27"/>
        <v>8</v>
      </c>
      <c r="X202" s="85">
        <v>8</v>
      </c>
      <c r="Y202" s="11">
        <v>7.5999999940395355</v>
      </c>
      <c r="Z202" s="11">
        <v>7.199999988079071</v>
      </c>
      <c r="AA202" s="11">
        <v>6.7999999821186066</v>
      </c>
      <c r="AB202" s="11">
        <v>6.3999999761581421</v>
      </c>
      <c r="AC202" s="85">
        <v>6</v>
      </c>
      <c r="AD202" s="11">
        <v>5.875</v>
      </c>
      <c r="AE202" s="11">
        <v>5.75</v>
      </c>
      <c r="AF202" s="11">
        <v>5.625</v>
      </c>
      <c r="AG202" s="11">
        <v>5.5</v>
      </c>
      <c r="AH202" s="11">
        <v>5.375</v>
      </c>
      <c r="AI202" s="11">
        <v>5.25</v>
      </c>
      <c r="AJ202" s="11">
        <v>5.125</v>
      </c>
      <c r="AK202" s="85">
        <v>5</v>
      </c>
      <c r="AL202" s="11">
        <v>5</v>
      </c>
      <c r="AM202" s="11">
        <v>5</v>
      </c>
      <c r="AN202" s="11">
        <v>5</v>
      </c>
      <c r="AO202" s="11">
        <v>5</v>
      </c>
      <c r="AP202" s="11">
        <v>4</v>
      </c>
      <c r="AQ202" s="11">
        <v>4</v>
      </c>
      <c r="AR202" s="11">
        <v>4</v>
      </c>
      <c r="AS202" s="11">
        <v>4</v>
      </c>
      <c r="AT202" s="11">
        <v>4</v>
      </c>
      <c r="AU202" s="85">
        <v>4</v>
      </c>
      <c r="AV202" s="11">
        <v>4</v>
      </c>
      <c r="AW202" s="11">
        <v>4</v>
      </c>
      <c r="AX202" s="11">
        <v>4</v>
      </c>
      <c r="AY202" s="11">
        <v>4</v>
      </c>
      <c r="AZ202" s="11">
        <v>4</v>
      </c>
      <c r="BA202" s="11">
        <v>3</v>
      </c>
      <c r="BB202" s="11">
        <v>3</v>
      </c>
      <c r="BC202" s="11">
        <v>3</v>
      </c>
      <c r="BD202" s="11">
        <v>3</v>
      </c>
      <c r="BE202" s="85">
        <v>3</v>
      </c>
      <c r="BF202" s="11">
        <v>3</v>
      </c>
      <c r="BG202" s="11">
        <v>2</v>
      </c>
      <c r="BH202" s="11">
        <v>2</v>
      </c>
      <c r="BI202" s="11">
        <v>2</v>
      </c>
      <c r="BJ202" s="11">
        <v>2</v>
      </c>
      <c r="BK202" s="11">
        <v>2</v>
      </c>
      <c r="BL202" s="11">
        <v>1</v>
      </c>
      <c r="BM202" s="85">
        <v>1</v>
      </c>
    </row>
    <row r="203" spans="1:65" ht="150" customHeight="1" x14ac:dyDescent="0.25">
      <c r="A203" s="11">
        <v>4003</v>
      </c>
      <c r="B203" s="11">
        <v>1</v>
      </c>
      <c r="C203" s="11" t="str">
        <f t="shared" si="31"/>
        <v>Pitching</v>
      </c>
      <c r="D203" s="11" t="s">
        <v>51</v>
      </c>
      <c r="E203" s="42"/>
      <c r="F203" s="42"/>
      <c r="G203" s="151" t="s">
        <v>861</v>
      </c>
      <c r="H203" s="328">
        <v>3</v>
      </c>
      <c r="I203" s="11">
        <v>1</v>
      </c>
      <c r="J203" s="55" t="str">
        <f t="shared" si="26"/>
        <v>PitchingTest135 Shots Fairway 27m 30 yds</v>
      </c>
      <c r="K203" s="58" t="s">
        <v>696</v>
      </c>
      <c r="L203" s="87" t="s">
        <v>1484</v>
      </c>
      <c r="M203" s="226"/>
      <c r="N203" s="90" t="s">
        <v>466</v>
      </c>
      <c r="O203" s="52"/>
      <c r="P203" s="13"/>
      <c r="Q203" s="35"/>
      <c r="R203" s="13"/>
      <c r="S203" s="13"/>
      <c r="T203" s="12"/>
      <c r="U203" s="54">
        <f t="shared" si="32"/>
        <v>0</v>
      </c>
      <c r="V203" s="306" t="s">
        <v>1270</v>
      </c>
      <c r="W203" s="81">
        <f t="shared" si="27"/>
        <v>6</v>
      </c>
      <c r="X203" s="85">
        <v>6</v>
      </c>
      <c r="Y203" s="11">
        <v>5.5999999940395355</v>
      </c>
      <c r="Z203" s="11">
        <v>5.199999988079071</v>
      </c>
      <c r="AA203" s="11">
        <v>4.7999999821186066</v>
      </c>
      <c r="AB203" s="11">
        <v>4.3999999761581421</v>
      </c>
      <c r="AC203" s="85">
        <v>4</v>
      </c>
      <c r="AD203" s="11">
        <v>3.875</v>
      </c>
      <c r="AE203" s="11">
        <v>3.75</v>
      </c>
      <c r="AF203" s="11">
        <v>3.625</v>
      </c>
      <c r="AG203" s="11">
        <v>3.5</v>
      </c>
      <c r="AH203" s="11">
        <v>3.375</v>
      </c>
      <c r="AI203" s="11">
        <v>3.25</v>
      </c>
      <c r="AJ203" s="11">
        <v>3.125</v>
      </c>
      <c r="AK203" s="85">
        <v>3</v>
      </c>
      <c r="AL203" s="11">
        <v>3</v>
      </c>
      <c r="AM203" s="11">
        <v>3</v>
      </c>
      <c r="AN203" s="11">
        <v>3</v>
      </c>
      <c r="AO203" s="11">
        <v>3</v>
      </c>
      <c r="AP203" s="11">
        <v>2</v>
      </c>
      <c r="AQ203" s="11">
        <v>2</v>
      </c>
      <c r="AR203" s="11">
        <v>2</v>
      </c>
      <c r="AS203" s="11">
        <v>2</v>
      </c>
      <c r="AT203" s="11">
        <v>2</v>
      </c>
      <c r="AU203" s="85">
        <v>2</v>
      </c>
      <c r="AV203" s="11">
        <v>2</v>
      </c>
      <c r="AW203" s="11">
        <v>2</v>
      </c>
      <c r="AX203" s="11">
        <v>2</v>
      </c>
      <c r="AY203" s="11">
        <v>2</v>
      </c>
      <c r="AZ203" s="11">
        <v>2</v>
      </c>
      <c r="BA203" s="11">
        <v>1</v>
      </c>
      <c r="BB203" s="11">
        <v>1</v>
      </c>
      <c r="BC203" s="11">
        <v>1</v>
      </c>
      <c r="BD203" s="11">
        <v>1</v>
      </c>
      <c r="BE203" s="85">
        <v>1</v>
      </c>
      <c r="BF203" s="11">
        <v>1</v>
      </c>
      <c r="BG203" s="11">
        <v>1</v>
      </c>
      <c r="BH203" s="11">
        <v>1</v>
      </c>
      <c r="BI203" s="11">
        <v>0</v>
      </c>
      <c r="BJ203" s="11">
        <v>0</v>
      </c>
      <c r="BK203" s="11">
        <v>0</v>
      </c>
      <c r="BL203" s="11">
        <v>0</v>
      </c>
      <c r="BM203" s="85">
        <v>0</v>
      </c>
    </row>
    <row r="204" spans="1:65" ht="150" customHeight="1" x14ac:dyDescent="0.25">
      <c r="A204" s="11">
        <v>4004</v>
      </c>
      <c r="B204" s="11">
        <v>1</v>
      </c>
      <c r="C204" s="11" t="str">
        <f t="shared" si="31"/>
        <v>Pitching</v>
      </c>
      <c r="D204" s="11" t="s">
        <v>51</v>
      </c>
      <c r="E204" s="42"/>
      <c r="F204" s="42"/>
      <c r="G204" s="151" t="s">
        <v>861</v>
      </c>
      <c r="H204" s="328">
        <v>3</v>
      </c>
      <c r="I204" s="11">
        <v>1</v>
      </c>
      <c r="J204" s="55" t="str">
        <f t="shared" si="26"/>
        <v>PitchingTest135 Shots Fairway 37m 40 yds</v>
      </c>
      <c r="K204" s="58" t="s">
        <v>697</v>
      </c>
      <c r="L204" s="87" t="s">
        <v>1485</v>
      </c>
      <c r="M204" s="226"/>
      <c r="N204" s="90" t="s">
        <v>466</v>
      </c>
      <c r="O204" s="52"/>
      <c r="P204" s="13"/>
      <c r="Q204" s="35"/>
      <c r="R204" s="13"/>
      <c r="S204" s="13"/>
      <c r="T204" s="12"/>
      <c r="U204" s="54">
        <f t="shared" si="32"/>
        <v>-1</v>
      </c>
      <c r="V204" s="306" t="s">
        <v>1270</v>
      </c>
      <c r="W204" s="81">
        <f t="shared" si="27"/>
        <v>5</v>
      </c>
      <c r="X204" s="85">
        <v>5</v>
      </c>
      <c r="Y204" s="11">
        <v>4.5999999940395355</v>
      </c>
      <c r="Z204" s="11">
        <v>4.199999988079071</v>
      </c>
      <c r="AA204" s="11">
        <v>3.7999999821186066</v>
      </c>
      <c r="AB204" s="11">
        <v>3.3999999761581421</v>
      </c>
      <c r="AC204" s="85">
        <v>3</v>
      </c>
      <c r="AD204" s="11">
        <v>2.875</v>
      </c>
      <c r="AE204" s="11">
        <v>2.75</v>
      </c>
      <c r="AF204" s="11">
        <v>2.625</v>
      </c>
      <c r="AG204" s="11">
        <v>2.5</v>
      </c>
      <c r="AH204" s="11">
        <v>2.375</v>
      </c>
      <c r="AI204" s="11">
        <v>2.25</v>
      </c>
      <c r="AJ204" s="11">
        <v>2.125</v>
      </c>
      <c r="AK204" s="85">
        <v>2</v>
      </c>
      <c r="AL204" s="11">
        <v>2</v>
      </c>
      <c r="AM204" s="11">
        <v>2</v>
      </c>
      <c r="AN204" s="11">
        <v>2</v>
      </c>
      <c r="AO204" s="11">
        <v>2</v>
      </c>
      <c r="AP204" s="11">
        <v>2</v>
      </c>
      <c r="AQ204" s="11">
        <v>1</v>
      </c>
      <c r="AR204" s="11">
        <v>1</v>
      </c>
      <c r="AS204" s="11">
        <v>1</v>
      </c>
      <c r="AT204" s="11">
        <v>1</v>
      </c>
      <c r="AU204" s="85">
        <v>1</v>
      </c>
      <c r="AV204" s="11">
        <v>1</v>
      </c>
      <c r="AW204" s="11">
        <v>1</v>
      </c>
      <c r="AX204" s="11">
        <v>1</v>
      </c>
      <c r="AY204" s="11">
        <v>1</v>
      </c>
      <c r="AZ204" s="11">
        <v>0</v>
      </c>
      <c r="BA204" s="11">
        <v>0</v>
      </c>
      <c r="BB204" s="11">
        <v>0</v>
      </c>
      <c r="BC204" s="11">
        <v>0</v>
      </c>
      <c r="BD204" s="11">
        <v>0</v>
      </c>
      <c r="BE204" s="85">
        <v>0</v>
      </c>
      <c r="BF204" s="11">
        <v>0</v>
      </c>
      <c r="BG204" s="11">
        <v>0</v>
      </c>
      <c r="BH204" s="11">
        <v>0</v>
      </c>
      <c r="BI204" s="11">
        <v>0</v>
      </c>
      <c r="BJ204" s="11">
        <v>0</v>
      </c>
      <c r="BK204" s="11">
        <v>-1</v>
      </c>
      <c r="BL204" s="11">
        <v>-1</v>
      </c>
      <c r="BM204" s="85">
        <v>-1</v>
      </c>
    </row>
    <row r="205" spans="1:65" ht="150" customHeight="1" x14ac:dyDescent="0.25">
      <c r="A205" s="11">
        <v>4005</v>
      </c>
      <c r="B205" s="11">
        <v>1</v>
      </c>
      <c r="C205" s="11" t="str">
        <f t="shared" si="31"/>
        <v>Pitching</v>
      </c>
      <c r="D205" s="11" t="s">
        <v>51</v>
      </c>
      <c r="E205" s="42"/>
      <c r="F205" s="42"/>
      <c r="G205" s="151" t="s">
        <v>861</v>
      </c>
      <c r="H205" s="328">
        <v>3</v>
      </c>
      <c r="I205" s="11">
        <v>1</v>
      </c>
      <c r="J205" s="55" t="str">
        <f>C205&amp;D205&amp;I205&amp;H205&amp;K205</f>
        <v>PitchingTest1315 Shots Fairway 9m (=10yds)</v>
      </c>
      <c r="K205" s="58" t="s">
        <v>1271</v>
      </c>
      <c r="L205" s="87" t="s">
        <v>1486</v>
      </c>
      <c r="M205" s="226"/>
      <c r="N205" s="90" t="s">
        <v>466</v>
      </c>
      <c r="O205" s="52"/>
      <c r="P205" s="13"/>
      <c r="Q205" s="35"/>
      <c r="R205" s="13"/>
      <c r="S205" s="13"/>
      <c r="T205" s="12"/>
      <c r="U205" s="54">
        <f t="shared" si="32"/>
        <v>12</v>
      </c>
      <c r="V205" s="306" t="s">
        <v>1270</v>
      </c>
      <c r="W205" s="81">
        <f>MAX(X205:BM205)</f>
        <v>30</v>
      </c>
      <c r="X205" s="85">
        <v>30</v>
      </c>
      <c r="Y205" s="11">
        <v>28.799999952316284</v>
      </c>
      <c r="Z205" s="11">
        <v>27.599999904632568</v>
      </c>
      <c r="AA205" s="11">
        <v>26.399999856948853</v>
      </c>
      <c r="AB205" s="11">
        <v>25.199999809265137</v>
      </c>
      <c r="AC205" s="85">
        <v>24</v>
      </c>
      <c r="AD205" s="11">
        <v>23.625</v>
      </c>
      <c r="AE205" s="11">
        <v>23.25</v>
      </c>
      <c r="AF205" s="11">
        <v>22.875</v>
      </c>
      <c r="AG205" s="11">
        <v>22.5</v>
      </c>
      <c r="AH205" s="11">
        <v>22.125</v>
      </c>
      <c r="AI205" s="11">
        <v>21.75</v>
      </c>
      <c r="AJ205" s="11">
        <v>21.375</v>
      </c>
      <c r="AK205" s="85">
        <v>21</v>
      </c>
      <c r="AL205" s="11">
        <v>20.699999988079071</v>
      </c>
      <c r="AM205" s="11">
        <v>20.399999976158142</v>
      </c>
      <c r="AN205" s="11">
        <v>20.099999964237213</v>
      </c>
      <c r="AO205" s="11">
        <v>19.799999952316284</v>
      </c>
      <c r="AP205" s="11">
        <v>19.499999940395355</v>
      </c>
      <c r="AQ205" s="11">
        <v>19.199999928474426</v>
      </c>
      <c r="AR205" s="11">
        <v>18.899999916553497</v>
      </c>
      <c r="AS205" s="11">
        <v>18.599999904632568</v>
      </c>
      <c r="AT205" s="11">
        <v>18.299999892711639</v>
      </c>
      <c r="AU205" s="85">
        <v>18</v>
      </c>
      <c r="AV205" s="11">
        <v>17.699999988079071</v>
      </c>
      <c r="AW205" s="11">
        <v>17.399999976158142</v>
      </c>
      <c r="AX205" s="11">
        <v>17.099999964237213</v>
      </c>
      <c r="AY205" s="11">
        <v>16.799999952316284</v>
      </c>
      <c r="AZ205" s="11">
        <v>16.499999940395355</v>
      </c>
      <c r="BA205" s="11">
        <v>16.199999928474426</v>
      </c>
      <c r="BB205" s="11">
        <v>15.899999916553497</v>
      </c>
      <c r="BC205" s="11">
        <v>15.599999904632568</v>
      </c>
      <c r="BD205" s="11">
        <v>15.299999892711639</v>
      </c>
      <c r="BE205" s="85">
        <v>15</v>
      </c>
      <c r="BF205" s="11">
        <v>14.625</v>
      </c>
      <c r="BG205" s="11">
        <v>14.25</v>
      </c>
      <c r="BH205" s="11">
        <v>13.875</v>
      </c>
      <c r="BI205" s="11">
        <v>13.5</v>
      </c>
      <c r="BJ205" s="11">
        <v>13.125</v>
      </c>
      <c r="BK205" s="11">
        <v>12.75</v>
      </c>
      <c r="BL205" s="11">
        <v>12.375</v>
      </c>
      <c r="BM205" s="85">
        <v>12</v>
      </c>
    </row>
    <row r="206" spans="1:65" ht="150" customHeight="1" x14ac:dyDescent="0.25">
      <c r="A206" s="11">
        <v>4006</v>
      </c>
      <c r="B206" s="11">
        <v>1</v>
      </c>
      <c r="C206" s="11" t="str">
        <f t="shared" si="31"/>
        <v>Pitching</v>
      </c>
      <c r="D206" s="11" t="s">
        <v>51</v>
      </c>
      <c r="E206" s="42"/>
      <c r="F206" s="42"/>
      <c r="G206" s="151" t="s">
        <v>861</v>
      </c>
      <c r="H206" s="328">
        <v>3</v>
      </c>
      <c r="I206" s="11">
        <v>1</v>
      </c>
      <c r="J206" s="55" t="str">
        <f>C206&amp;D206&amp;I206&amp;H206&amp;K206</f>
        <v>PitchingTest1315 Shots Fairway 18m 20 yds</v>
      </c>
      <c r="K206" s="58" t="s">
        <v>1272</v>
      </c>
      <c r="L206" s="87" t="s">
        <v>1487</v>
      </c>
      <c r="M206" s="226"/>
      <c r="N206" s="90" t="s">
        <v>466</v>
      </c>
      <c r="O206" s="52"/>
      <c r="P206" s="13"/>
      <c r="Q206" s="35"/>
      <c r="R206" s="13"/>
      <c r="S206" s="13"/>
      <c r="T206" s="12"/>
      <c r="U206" s="54">
        <f>IFERROR(IF(LEN(X206)&gt;0,INT(INDEX(X206:BM206,0,DBE_HCP_ID)),""),"")</f>
        <v>4</v>
      </c>
      <c r="V206" s="306" t="s">
        <v>1270</v>
      </c>
      <c r="W206" s="81">
        <f>MAX(X206:BM206)</f>
        <v>24</v>
      </c>
      <c r="X206" s="85">
        <v>24</v>
      </c>
      <c r="Y206" s="11">
        <v>22.799999952316284</v>
      </c>
      <c r="Z206" s="11">
        <v>21.599999904632568</v>
      </c>
      <c r="AA206" s="11">
        <v>20.399999856948853</v>
      </c>
      <c r="AB206" s="11">
        <v>19.199999809265137</v>
      </c>
      <c r="AC206" s="85">
        <v>18</v>
      </c>
      <c r="AD206" s="11">
        <v>17.625</v>
      </c>
      <c r="AE206" s="11">
        <v>17.25</v>
      </c>
      <c r="AF206" s="11">
        <v>16.875</v>
      </c>
      <c r="AG206" s="11">
        <v>16.5</v>
      </c>
      <c r="AH206" s="11">
        <v>16.125</v>
      </c>
      <c r="AI206" s="11">
        <v>15.75</v>
      </c>
      <c r="AJ206" s="11">
        <v>15.375</v>
      </c>
      <c r="AK206" s="85">
        <v>15</v>
      </c>
      <c r="AL206" s="11">
        <v>14.699999988079071</v>
      </c>
      <c r="AM206" s="11">
        <v>14.399999976158142</v>
      </c>
      <c r="AN206" s="11">
        <v>14.099999964237213</v>
      </c>
      <c r="AO206" s="11">
        <v>13.799999952316284</v>
      </c>
      <c r="AP206" s="11">
        <v>13.499999940395355</v>
      </c>
      <c r="AQ206" s="11">
        <v>13.199999928474426</v>
      </c>
      <c r="AR206" s="11">
        <v>12.899999916553497</v>
      </c>
      <c r="AS206" s="11">
        <v>12.599999904632568</v>
      </c>
      <c r="AT206" s="11">
        <v>12.299999892711639</v>
      </c>
      <c r="AU206" s="85">
        <v>12</v>
      </c>
      <c r="AV206" s="11">
        <v>11.699999988079071</v>
      </c>
      <c r="AW206" s="11">
        <v>11.399999976158142</v>
      </c>
      <c r="AX206" s="11">
        <v>11.099999964237213</v>
      </c>
      <c r="AY206" s="11">
        <v>10.799999952316284</v>
      </c>
      <c r="AZ206" s="11">
        <v>10.499999940395355</v>
      </c>
      <c r="BA206" s="11">
        <v>10.199999928474426</v>
      </c>
      <c r="BB206" s="11">
        <v>9.8999999165534973</v>
      </c>
      <c r="BC206" s="11">
        <v>9.5999999046325684</v>
      </c>
      <c r="BD206" s="11">
        <v>9.2999998927116394</v>
      </c>
      <c r="BE206" s="85">
        <v>9</v>
      </c>
      <c r="BF206" s="11">
        <v>8.25</v>
      </c>
      <c r="BG206" s="11">
        <v>7.5</v>
      </c>
      <c r="BH206" s="11">
        <v>6.75</v>
      </c>
      <c r="BI206" s="11">
        <v>6</v>
      </c>
      <c r="BJ206" s="11">
        <v>5.25</v>
      </c>
      <c r="BK206" s="11">
        <v>4.5</v>
      </c>
      <c r="BL206" s="11">
        <v>3.75</v>
      </c>
      <c r="BM206" s="85">
        <v>3</v>
      </c>
    </row>
    <row r="207" spans="1:65" ht="150" customHeight="1" x14ac:dyDescent="0.25">
      <c r="A207" s="11">
        <v>4007</v>
      </c>
      <c r="B207" s="11">
        <v>1</v>
      </c>
      <c r="C207" s="11" t="str">
        <f t="shared" si="31"/>
        <v>Pitching</v>
      </c>
      <c r="D207" s="11" t="s">
        <v>51</v>
      </c>
      <c r="E207" s="42"/>
      <c r="F207" s="42"/>
      <c r="G207" s="151" t="s">
        <v>861</v>
      </c>
      <c r="H207" s="328">
        <v>3</v>
      </c>
      <c r="I207" s="11">
        <v>1</v>
      </c>
      <c r="J207" s="55" t="str">
        <f>C207&amp;D207&amp;I207&amp;H207&amp;K207</f>
        <v>PitchingTest1315 Shots Fairway 27m 30 yds</v>
      </c>
      <c r="K207" s="58" t="s">
        <v>1273</v>
      </c>
      <c r="L207" s="87" t="s">
        <v>1481</v>
      </c>
      <c r="M207" s="226"/>
      <c r="N207" s="90" t="s">
        <v>466</v>
      </c>
      <c r="O207" s="52"/>
      <c r="P207" s="13"/>
      <c r="Q207" s="35"/>
      <c r="R207" s="13"/>
      <c r="S207" s="13"/>
      <c r="T207" s="12"/>
      <c r="U207" s="54">
        <f>IFERROR(IF(LEN(X207)&gt;0,INT(INDEX(X207:BM207,0,DBE_HCP_ID)),""),"")</f>
        <v>0</v>
      </c>
      <c r="V207" s="306" t="s">
        <v>1270</v>
      </c>
      <c r="W207" s="81">
        <f>MAX(X207:BM207)</f>
        <v>18</v>
      </c>
      <c r="X207" s="85">
        <v>18</v>
      </c>
      <c r="Y207" s="11">
        <v>16.799999952316284</v>
      </c>
      <c r="Z207" s="11">
        <v>15.599999904632568</v>
      </c>
      <c r="AA207" s="11">
        <v>14.399999856948853</v>
      </c>
      <c r="AB207" s="11">
        <v>13.199999809265137</v>
      </c>
      <c r="AC207" s="85">
        <v>12</v>
      </c>
      <c r="AD207" s="11">
        <v>11.625</v>
      </c>
      <c r="AE207" s="11">
        <v>11.25</v>
      </c>
      <c r="AF207" s="11">
        <v>10.875</v>
      </c>
      <c r="AG207" s="11">
        <v>10.5</v>
      </c>
      <c r="AH207" s="11">
        <v>10.125</v>
      </c>
      <c r="AI207" s="11">
        <v>9.75</v>
      </c>
      <c r="AJ207" s="11">
        <v>9.375</v>
      </c>
      <c r="AK207" s="85">
        <v>9</v>
      </c>
      <c r="AL207" s="11">
        <v>8.699999988079071</v>
      </c>
      <c r="AM207" s="11">
        <v>8.3999999761581421</v>
      </c>
      <c r="AN207" s="11">
        <v>8.0999999642372131</v>
      </c>
      <c r="AO207" s="11">
        <v>7.7999999523162842</v>
      </c>
      <c r="AP207" s="11">
        <v>7.4999999403953552</v>
      </c>
      <c r="AQ207" s="11">
        <v>7.1999999284744263</v>
      </c>
      <c r="AR207" s="11">
        <v>6.8999999165534973</v>
      </c>
      <c r="AS207" s="11">
        <v>6.5999999046325684</v>
      </c>
      <c r="AT207" s="11">
        <v>6.2999998927116394</v>
      </c>
      <c r="AU207" s="85">
        <v>6</v>
      </c>
      <c r="AV207" s="11">
        <v>5.699999988079071</v>
      </c>
      <c r="AW207" s="11">
        <v>5.3999999761581421</v>
      </c>
      <c r="AX207" s="11">
        <v>5.0999999642372131</v>
      </c>
      <c r="AY207" s="11">
        <v>4.7999999523162842</v>
      </c>
      <c r="AZ207" s="11">
        <v>4.4999999403953552</v>
      </c>
      <c r="BA207" s="11">
        <v>4.1999999284744263</v>
      </c>
      <c r="BB207" s="11">
        <v>3.8999999165534973</v>
      </c>
      <c r="BC207" s="11">
        <v>3.5999999046325684</v>
      </c>
      <c r="BD207" s="11">
        <v>3.2999998927116394</v>
      </c>
      <c r="BE207" s="85">
        <v>3</v>
      </c>
      <c r="BF207" s="11">
        <v>2.625</v>
      </c>
      <c r="BG207" s="11">
        <v>2.25</v>
      </c>
      <c r="BH207" s="11">
        <v>1.875</v>
      </c>
      <c r="BI207" s="11">
        <v>1.5</v>
      </c>
      <c r="BJ207" s="11">
        <v>1.125</v>
      </c>
      <c r="BK207" s="11">
        <v>0.75</v>
      </c>
      <c r="BL207" s="11">
        <v>0.375</v>
      </c>
      <c r="BM207" s="85">
        <v>0</v>
      </c>
    </row>
    <row r="208" spans="1:65" ht="150" customHeight="1" x14ac:dyDescent="0.25">
      <c r="A208" s="11">
        <v>4008</v>
      </c>
      <c r="B208" s="11">
        <v>1</v>
      </c>
      <c r="C208" s="11" t="str">
        <f t="shared" si="31"/>
        <v>Pitching</v>
      </c>
      <c r="D208" s="11" t="s">
        <v>51</v>
      </c>
      <c r="E208" s="42"/>
      <c r="F208" s="42"/>
      <c r="G208" s="151" t="s">
        <v>861</v>
      </c>
      <c r="H208" s="328">
        <v>3</v>
      </c>
      <c r="I208" s="11">
        <v>1</v>
      </c>
      <c r="J208" s="55" t="str">
        <f>C208&amp;D208&amp;I208&amp;H208&amp;K208</f>
        <v>PitchingTest1315 Shots Fairway 37m 40 yds</v>
      </c>
      <c r="K208" s="58" t="s">
        <v>1274</v>
      </c>
      <c r="L208" s="87" t="s">
        <v>1473</v>
      </c>
      <c r="M208" s="226"/>
      <c r="N208" s="90" t="s">
        <v>466</v>
      </c>
      <c r="O208" s="52"/>
      <c r="P208" s="13"/>
      <c r="Q208" s="35"/>
      <c r="R208" s="13"/>
      <c r="S208" s="13"/>
      <c r="T208" s="12"/>
      <c r="U208" s="54">
        <f>IFERROR(IF(LEN(X208)&gt;0,INT(INDEX(X208:BM208,0,DBE_HCP_ID)),""),"")</f>
        <v>-3</v>
      </c>
      <c r="V208" s="306" t="s">
        <v>1270</v>
      </c>
      <c r="W208" s="81">
        <f>MAX(X208:BM208)</f>
        <v>15</v>
      </c>
      <c r="X208" s="85">
        <v>15</v>
      </c>
      <c r="Y208" s="11">
        <v>13.799999952316284</v>
      </c>
      <c r="Z208" s="11">
        <v>12.599999904632568</v>
      </c>
      <c r="AA208" s="11">
        <v>11.399999856948853</v>
      </c>
      <c r="AB208" s="11">
        <v>10.199999809265137</v>
      </c>
      <c r="AC208" s="85">
        <v>9</v>
      </c>
      <c r="AD208" s="11">
        <v>8.625</v>
      </c>
      <c r="AE208" s="11">
        <v>8.25</v>
      </c>
      <c r="AF208" s="11">
        <v>7.875</v>
      </c>
      <c r="AG208" s="11">
        <v>7.5</v>
      </c>
      <c r="AH208" s="11">
        <v>7.125</v>
      </c>
      <c r="AI208" s="11">
        <v>6.75</v>
      </c>
      <c r="AJ208" s="11">
        <v>6.375</v>
      </c>
      <c r="AK208" s="85">
        <v>6</v>
      </c>
      <c r="AL208" s="11">
        <v>5.699999988079071</v>
      </c>
      <c r="AM208" s="11">
        <v>5.3999999761581421</v>
      </c>
      <c r="AN208" s="11">
        <v>5.0999999642372131</v>
      </c>
      <c r="AO208" s="11">
        <v>4.7999999523162842</v>
      </c>
      <c r="AP208" s="11">
        <v>4.4999999403953552</v>
      </c>
      <c r="AQ208" s="11">
        <v>4.1999999284744263</v>
      </c>
      <c r="AR208" s="11">
        <v>3.8999999165534973</v>
      </c>
      <c r="AS208" s="11">
        <v>3.5999999046325684</v>
      </c>
      <c r="AT208" s="11">
        <v>3.2999998927116394</v>
      </c>
      <c r="AU208" s="85">
        <v>3</v>
      </c>
      <c r="AV208" s="11">
        <v>2.699999988079071</v>
      </c>
      <c r="AW208" s="11">
        <v>2.3999999761581421</v>
      </c>
      <c r="AX208" s="11">
        <v>2.0999999642372131</v>
      </c>
      <c r="AY208" s="11">
        <v>1.7999999523162842</v>
      </c>
      <c r="AZ208" s="11">
        <v>1.4999999403953552</v>
      </c>
      <c r="BA208" s="11">
        <v>1.1999999284744263</v>
      </c>
      <c r="BB208" s="11">
        <v>0.89999991655349731</v>
      </c>
      <c r="BC208" s="11">
        <v>0.59999990463256836</v>
      </c>
      <c r="BD208" s="11">
        <v>0.2999998927116394</v>
      </c>
      <c r="BE208" s="85">
        <v>0</v>
      </c>
      <c r="BF208" s="11">
        <v>-0.375</v>
      </c>
      <c r="BG208" s="11">
        <v>-0.75</v>
      </c>
      <c r="BH208" s="11">
        <v>-1.125</v>
      </c>
      <c r="BI208" s="11">
        <v>-1.5</v>
      </c>
      <c r="BJ208" s="11">
        <v>-1.875</v>
      </c>
      <c r="BK208" s="11">
        <v>-2.25</v>
      </c>
      <c r="BL208" s="11">
        <v>-2.625</v>
      </c>
      <c r="BM208" s="85">
        <v>-3</v>
      </c>
    </row>
    <row r="209" spans="1:65" ht="150" customHeight="1" x14ac:dyDescent="0.25">
      <c r="A209" s="11">
        <v>4009</v>
      </c>
      <c r="B209" s="11">
        <v>1</v>
      </c>
      <c r="C209" s="11" t="str">
        <f t="shared" si="31"/>
        <v>Pitching</v>
      </c>
      <c r="D209" s="11" t="s">
        <v>51</v>
      </c>
      <c r="E209" s="42"/>
      <c r="F209" s="42"/>
      <c r="G209" s="151" t="s">
        <v>861</v>
      </c>
      <c r="H209" s="328">
        <v>3</v>
      </c>
      <c r="I209" s="11">
        <v>1</v>
      </c>
      <c r="J209" s="55" t="str">
        <f t="shared" si="26"/>
        <v>PitchingTest135 Shots Rough 9m 10yds</v>
      </c>
      <c r="K209" s="58" t="s">
        <v>698</v>
      </c>
      <c r="L209" s="87" t="s">
        <v>1472</v>
      </c>
      <c r="M209" s="226"/>
      <c r="N209" s="90" t="s">
        <v>466</v>
      </c>
      <c r="O209" s="52"/>
      <c r="P209" s="13"/>
      <c r="Q209" s="35"/>
      <c r="R209" s="13"/>
      <c r="S209" s="13"/>
      <c r="T209" s="12"/>
      <c r="U209" s="54">
        <f t="shared" si="32"/>
        <v>2</v>
      </c>
      <c r="V209" s="306" t="s">
        <v>1270</v>
      </c>
      <c r="W209" s="81">
        <f t="shared" si="27"/>
        <v>8</v>
      </c>
      <c r="X209" s="85">
        <v>8</v>
      </c>
      <c r="Y209" s="11">
        <v>7.5999999940395355</v>
      </c>
      <c r="Z209" s="11">
        <v>7.199999988079071</v>
      </c>
      <c r="AA209" s="11">
        <v>6.7999999821186066</v>
      </c>
      <c r="AB209" s="11">
        <v>6.3999999761581421</v>
      </c>
      <c r="AC209" s="85">
        <v>6</v>
      </c>
      <c r="AD209" s="11">
        <v>5.875</v>
      </c>
      <c r="AE209" s="11">
        <v>5.75</v>
      </c>
      <c r="AF209" s="11">
        <v>5.625</v>
      </c>
      <c r="AG209" s="11">
        <v>5.5</v>
      </c>
      <c r="AH209" s="11">
        <v>5.375</v>
      </c>
      <c r="AI209" s="11">
        <v>5.25</v>
      </c>
      <c r="AJ209" s="11">
        <v>5.125</v>
      </c>
      <c r="AK209" s="85">
        <v>5</v>
      </c>
      <c r="AL209" s="11">
        <v>5</v>
      </c>
      <c r="AM209" s="11">
        <v>5</v>
      </c>
      <c r="AN209" s="11">
        <v>5</v>
      </c>
      <c r="AO209" s="11">
        <v>5</v>
      </c>
      <c r="AP209" s="11">
        <v>4</v>
      </c>
      <c r="AQ209" s="11">
        <v>4</v>
      </c>
      <c r="AR209" s="11">
        <v>4</v>
      </c>
      <c r="AS209" s="11">
        <v>4</v>
      </c>
      <c r="AT209" s="11">
        <v>4</v>
      </c>
      <c r="AU209" s="85">
        <v>4</v>
      </c>
      <c r="AV209" s="11">
        <v>4</v>
      </c>
      <c r="AW209" s="11">
        <v>4</v>
      </c>
      <c r="AX209" s="11">
        <v>4</v>
      </c>
      <c r="AY209" s="11">
        <v>4</v>
      </c>
      <c r="AZ209" s="11">
        <v>4</v>
      </c>
      <c r="BA209" s="11">
        <v>3</v>
      </c>
      <c r="BB209" s="11">
        <v>3</v>
      </c>
      <c r="BC209" s="11">
        <v>3</v>
      </c>
      <c r="BD209" s="11">
        <v>3</v>
      </c>
      <c r="BE209" s="85">
        <v>3</v>
      </c>
      <c r="BF209" s="11">
        <v>3</v>
      </c>
      <c r="BG209" s="11">
        <v>3</v>
      </c>
      <c r="BH209" s="11">
        <v>3</v>
      </c>
      <c r="BI209" s="11">
        <v>2</v>
      </c>
      <c r="BJ209" s="11">
        <v>2</v>
      </c>
      <c r="BK209" s="11">
        <v>2</v>
      </c>
      <c r="BL209" s="11">
        <v>2</v>
      </c>
      <c r="BM209" s="85">
        <v>2</v>
      </c>
    </row>
    <row r="210" spans="1:65" ht="150" customHeight="1" x14ac:dyDescent="0.25">
      <c r="A210" s="11">
        <v>4010</v>
      </c>
      <c r="B210" s="11">
        <v>11</v>
      </c>
      <c r="C210" s="11" t="str">
        <f t="shared" si="31"/>
        <v>Pitching</v>
      </c>
      <c r="D210" s="11" t="s">
        <v>51</v>
      </c>
      <c r="E210" s="42"/>
      <c r="F210" s="42"/>
      <c r="G210" s="151" t="s">
        <v>861</v>
      </c>
      <c r="H210" s="328">
        <v>3</v>
      </c>
      <c r="I210" s="11">
        <v>1</v>
      </c>
      <c r="J210" s="55" t="str">
        <f t="shared" si="26"/>
        <v>PitchingTest135 Shots Rough 18m 20 yds</v>
      </c>
      <c r="K210" s="58" t="s">
        <v>699</v>
      </c>
      <c r="L210" s="87" t="s">
        <v>1474</v>
      </c>
      <c r="M210" s="13"/>
      <c r="N210" s="90" t="s">
        <v>466</v>
      </c>
      <c r="O210" s="52"/>
      <c r="P210" s="13"/>
      <c r="Q210" s="35"/>
      <c r="R210" s="13"/>
      <c r="S210" s="13"/>
      <c r="T210" s="12"/>
      <c r="U210" s="54">
        <f t="shared" si="32"/>
        <v>0</v>
      </c>
      <c r="V210" s="306" t="s">
        <v>1270</v>
      </c>
      <c r="W210" s="81">
        <f t="shared" si="27"/>
        <v>5</v>
      </c>
      <c r="X210" s="85">
        <v>5</v>
      </c>
      <c r="Y210" s="11">
        <v>4.7999999970197678</v>
      </c>
      <c r="Z210" s="11">
        <v>4.5999999940395355</v>
      </c>
      <c r="AA210" s="11">
        <v>4.3999999910593033</v>
      </c>
      <c r="AB210" s="11">
        <v>4.199999988079071</v>
      </c>
      <c r="AC210" s="85">
        <v>4</v>
      </c>
      <c r="AD210" s="11">
        <v>3.875</v>
      </c>
      <c r="AE210" s="11">
        <v>3.75</v>
      </c>
      <c r="AF210" s="11">
        <v>3.625</v>
      </c>
      <c r="AG210" s="11">
        <v>3.5</v>
      </c>
      <c r="AH210" s="11">
        <v>3.375</v>
      </c>
      <c r="AI210" s="11">
        <v>3.25</v>
      </c>
      <c r="AJ210" s="11">
        <v>3.125</v>
      </c>
      <c r="AK210" s="85">
        <v>3</v>
      </c>
      <c r="AL210" s="11">
        <v>3</v>
      </c>
      <c r="AM210" s="11">
        <v>3</v>
      </c>
      <c r="AN210" s="11">
        <v>3</v>
      </c>
      <c r="AO210" s="11">
        <v>3</v>
      </c>
      <c r="AP210" s="11">
        <v>2</v>
      </c>
      <c r="AQ210" s="11">
        <v>2</v>
      </c>
      <c r="AR210" s="11">
        <v>2</v>
      </c>
      <c r="AS210" s="11">
        <v>2</v>
      </c>
      <c r="AT210" s="11">
        <v>2</v>
      </c>
      <c r="AU210" s="85">
        <v>2</v>
      </c>
      <c r="AV210" s="11">
        <v>2</v>
      </c>
      <c r="AW210" s="11">
        <v>2</v>
      </c>
      <c r="AX210" s="11">
        <v>2</v>
      </c>
      <c r="AY210" s="11">
        <v>2</v>
      </c>
      <c r="AZ210" s="11">
        <v>2</v>
      </c>
      <c r="BA210" s="11">
        <v>1</v>
      </c>
      <c r="BB210" s="11">
        <v>1</v>
      </c>
      <c r="BC210" s="11">
        <v>1</v>
      </c>
      <c r="BD210" s="11">
        <v>1</v>
      </c>
      <c r="BE210" s="85">
        <v>1</v>
      </c>
      <c r="BF210" s="11">
        <v>1</v>
      </c>
      <c r="BG210" s="11">
        <v>1</v>
      </c>
      <c r="BH210" s="11">
        <v>1</v>
      </c>
      <c r="BI210" s="11">
        <v>0</v>
      </c>
      <c r="BJ210" s="11">
        <v>0</v>
      </c>
      <c r="BK210" s="11">
        <v>0</v>
      </c>
      <c r="BL210" s="11">
        <v>0</v>
      </c>
      <c r="BM210" s="85">
        <v>0</v>
      </c>
    </row>
    <row r="211" spans="1:65" ht="150" customHeight="1" x14ac:dyDescent="0.25">
      <c r="A211" s="11">
        <v>4011</v>
      </c>
      <c r="B211" s="11">
        <v>1</v>
      </c>
      <c r="C211" s="11" t="str">
        <f t="shared" si="31"/>
        <v>Pitching</v>
      </c>
      <c r="D211" s="11" t="s">
        <v>51</v>
      </c>
      <c r="E211" s="42"/>
      <c r="F211" s="42"/>
      <c r="G211" s="151" t="s">
        <v>861</v>
      </c>
      <c r="H211" s="328">
        <v>3</v>
      </c>
      <c r="I211" s="11">
        <v>1</v>
      </c>
      <c r="J211" s="55" t="str">
        <f t="shared" si="26"/>
        <v>PitchingTest135 Shots Rough 27m 30 yds</v>
      </c>
      <c r="K211" s="58" t="s">
        <v>700</v>
      </c>
      <c r="L211" s="87" t="s">
        <v>1475</v>
      </c>
      <c r="M211" s="13"/>
      <c r="N211" s="90" t="s">
        <v>466</v>
      </c>
      <c r="O211" s="52"/>
      <c r="P211" s="13"/>
      <c r="Q211" s="35"/>
      <c r="R211" s="13"/>
      <c r="S211" s="13"/>
      <c r="T211" s="12"/>
      <c r="U211" s="54">
        <f t="shared" si="32"/>
        <v>-2</v>
      </c>
      <c r="V211" s="306" t="s">
        <v>1270</v>
      </c>
      <c r="W211" s="81">
        <f t="shared" si="27"/>
        <v>4</v>
      </c>
      <c r="X211" s="85">
        <v>4</v>
      </c>
      <c r="Y211" s="11">
        <v>3.5999999940395355</v>
      </c>
      <c r="Z211" s="11">
        <v>3.199999988079071</v>
      </c>
      <c r="AA211" s="11">
        <v>2.7999999821186066</v>
      </c>
      <c r="AB211" s="11">
        <v>2.3999999761581421</v>
      </c>
      <c r="AC211" s="85">
        <v>2</v>
      </c>
      <c r="AD211" s="11">
        <v>1.875</v>
      </c>
      <c r="AE211" s="11">
        <v>1.75</v>
      </c>
      <c r="AF211" s="11">
        <v>1.625</v>
      </c>
      <c r="AG211" s="11">
        <v>1.5</v>
      </c>
      <c r="AH211" s="11">
        <v>1.375</v>
      </c>
      <c r="AI211" s="11">
        <v>1.25</v>
      </c>
      <c r="AJ211" s="11">
        <v>1.125</v>
      </c>
      <c r="AK211" s="85">
        <v>1</v>
      </c>
      <c r="AL211" s="11">
        <v>1</v>
      </c>
      <c r="AM211" s="11">
        <v>1</v>
      </c>
      <c r="AN211" s="11">
        <v>1</v>
      </c>
      <c r="AO211" s="11">
        <v>1</v>
      </c>
      <c r="AP211" s="11">
        <v>0</v>
      </c>
      <c r="AQ211" s="11">
        <v>0</v>
      </c>
      <c r="AR211" s="11">
        <v>0</v>
      </c>
      <c r="AS211" s="11">
        <v>0</v>
      </c>
      <c r="AT211" s="11">
        <v>0</v>
      </c>
      <c r="AU211" s="85">
        <v>0</v>
      </c>
      <c r="AV211" s="11">
        <v>0</v>
      </c>
      <c r="AW211" s="11">
        <v>0</v>
      </c>
      <c r="AX211" s="11">
        <v>0</v>
      </c>
      <c r="AY211" s="11">
        <v>0</v>
      </c>
      <c r="AZ211" s="11">
        <v>0</v>
      </c>
      <c r="BA211" s="11">
        <v>-1</v>
      </c>
      <c r="BB211" s="11">
        <v>-1</v>
      </c>
      <c r="BC211" s="11">
        <v>-1</v>
      </c>
      <c r="BD211" s="11">
        <v>-1</v>
      </c>
      <c r="BE211" s="85">
        <v>-1</v>
      </c>
      <c r="BF211" s="11">
        <v>-1</v>
      </c>
      <c r="BG211" s="11">
        <v>-1</v>
      </c>
      <c r="BH211" s="11">
        <v>-1</v>
      </c>
      <c r="BI211" s="11">
        <v>-2</v>
      </c>
      <c r="BJ211" s="11">
        <v>-2</v>
      </c>
      <c r="BK211" s="11">
        <v>-2</v>
      </c>
      <c r="BL211" s="11">
        <v>-2</v>
      </c>
      <c r="BM211" s="85">
        <v>-2</v>
      </c>
    </row>
    <row r="212" spans="1:65" ht="150" customHeight="1" x14ac:dyDescent="0.25">
      <c r="A212" s="11">
        <v>4012</v>
      </c>
      <c r="B212" s="11">
        <v>1</v>
      </c>
      <c r="C212" s="11" t="str">
        <f t="shared" si="31"/>
        <v>Pitching</v>
      </c>
      <c r="D212" s="11" t="s">
        <v>51</v>
      </c>
      <c r="E212" s="42"/>
      <c r="F212" s="42"/>
      <c r="G212" s="151" t="s">
        <v>861</v>
      </c>
      <c r="H212" s="328">
        <v>3</v>
      </c>
      <c r="I212" s="11">
        <v>1</v>
      </c>
      <c r="J212" s="55" t="str">
        <f t="shared" ref="J212:J264" si="33">C212&amp;D212&amp;I212&amp;H212&amp;K212</f>
        <v>PitchingTest135 Shots Rough 37m 40 yds</v>
      </c>
      <c r="K212" s="58" t="s">
        <v>701</v>
      </c>
      <c r="L212" s="233" t="s">
        <v>1476</v>
      </c>
      <c r="M212" s="13"/>
      <c r="N212" s="90" t="s">
        <v>466</v>
      </c>
      <c r="O212" s="52"/>
      <c r="P212" s="13"/>
      <c r="Q212" s="35"/>
      <c r="R212" s="13"/>
      <c r="S212" s="13"/>
      <c r="T212" s="12"/>
      <c r="U212" s="54">
        <f t="shared" si="32"/>
        <v>-3</v>
      </c>
      <c r="V212" s="306" t="s">
        <v>1270</v>
      </c>
      <c r="W212" s="81">
        <f t="shared" si="27"/>
        <v>3</v>
      </c>
      <c r="X212" s="85">
        <v>3</v>
      </c>
      <c r="Y212" s="11">
        <v>2.5999999940395355</v>
      </c>
      <c r="Z212" s="11">
        <v>2.199999988079071</v>
      </c>
      <c r="AA212" s="11">
        <v>1.7999999821186066</v>
      </c>
      <c r="AB212" s="11">
        <v>1.3999999761581421</v>
      </c>
      <c r="AC212" s="85">
        <v>1</v>
      </c>
      <c r="AD212" s="11">
        <v>0.875</v>
      </c>
      <c r="AE212" s="11">
        <v>0.75</v>
      </c>
      <c r="AF212" s="11">
        <v>0.625</v>
      </c>
      <c r="AG212" s="11">
        <v>0.5</v>
      </c>
      <c r="AH212" s="11">
        <v>0.375</v>
      </c>
      <c r="AI212" s="11">
        <v>0.25</v>
      </c>
      <c r="AJ212" s="11">
        <v>0.125</v>
      </c>
      <c r="AK212" s="85">
        <v>0</v>
      </c>
      <c r="AL212" s="11">
        <v>0</v>
      </c>
      <c r="AM212" s="11">
        <v>0</v>
      </c>
      <c r="AN212" s="11">
        <v>0</v>
      </c>
      <c r="AO212" s="11">
        <v>0</v>
      </c>
      <c r="AP212" s="11">
        <v>0</v>
      </c>
      <c r="AQ212" s="11">
        <v>-1</v>
      </c>
      <c r="AR212" s="11">
        <v>-1</v>
      </c>
      <c r="AS212" s="11">
        <v>-1</v>
      </c>
      <c r="AT212" s="11">
        <v>-1</v>
      </c>
      <c r="AU212" s="85">
        <v>-1</v>
      </c>
      <c r="AV212" s="11">
        <v>-1</v>
      </c>
      <c r="AW212" s="11">
        <v>-1</v>
      </c>
      <c r="AX212" s="11">
        <v>-1</v>
      </c>
      <c r="AY212" s="11">
        <v>-1</v>
      </c>
      <c r="AZ212" s="11">
        <v>-2</v>
      </c>
      <c r="BA212" s="11">
        <v>-2</v>
      </c>
      <c r="BB212" s="11">
        <v>-2</v>
      </c>
      <c r="BC212" s="11">
        <v>-2</v>
      </c>
      <c r="BD212" s="11">
        <v>-2</v>
      </c>
      <c r="BE212" s="85">
        <v>-2</v>
      </c>
      <c r="BF212" s="11">
        <v>-2</v>
      </c>
      <c r="BG212" s="11">
        <v>-2</v>
      </c>
      <c r="BH212" s="11">
        <v>-2</v>
      </c>
      <c r="BI212" s="11">
        <v>-2</v>
      </c>
      <c r="BJ212" s="11">
        <v>-3</v>
      </c>
      <c r="BK212" s="11">
        <v>-3</v>
      </c>
      <c r="BL212" s="11">
        <v>-3</v>
      </c>
      <c r="BM212" s="85">
        <v>-3</v>
      </c>
    </row>
    <row r="213" spans="1:65" ht="150" customHeight="1" x14ac:dyDescent="0.25">
      <c r="A213" s="11">
        <v>4013</v>
      </c>
      <c r="B213" s="11">
        <v>1</v>
      </c>
      <c r="C213" s="11" t="str">
        <f t="shared" si="31"/>
        <v>Pitching</v>
      </c>
      <c r="D213" s="11" t="s">
        <v>51</v>
      </c>
      <c r="E213" s="42"/>
      <c r="F213" s="42"/>
      <c r="G213" s="151" t="s">
        <v>861</v>
      </c>
      <c r="H213" s="328">
        <v>3</v>
      </c>
      <c r="I213" s="11">
        <v>1</v>
      </c>
      <c r="J213" s="55" t="str">
        <f t="shared" si="33"/>
        <v>PitchingTest1315 Shots Rough 9m 10yds</v>
      </c>
      <c r="K213" s="58" t="s">
        <v>1275</v>
      </c>
      <c r="L213" s="87" t="s">
        <v>1477</v>
      </c>
      <c r="M213" s="226"/>
      <c r="N213" s="90" t="s">
        <v>466</v>
      </c>
      <c r="O213" s="52"/>
      <c r="P213" s="13"/>
      <c r="Q213" s="35"/>
      <c r="R213" s="13"/>
      <c r="S213" s="13"/>
      <c r="T213" s="12"/>
      <c r="U213" s="54">
        <f>IFERROR(IF(LEN(X213)&gt;0,INT(INDEX(X213:BM213,0,DBE_HCP_ID)),""),"")</f>
        <v>6</v>
      </c>
      <c r="V213" s="306" t="s">
        <v>1270</v>
      </c>
      <c r="W213" s="81">
        <f>MAX(X213:BM213)</f>
        <v>24</v>
      </c>
      <c r="X213" s="85">
        <v>24</v>
      </c>
      <c r="Y213" s="11">
        <v>22.799999952316284</v>
      </c>
      <c r="Z213" s="11">
        <v>21.599999904632568</v>
      </c>
      <c r="AA213" s="11">
        <v>20.399999856948853</v>
      </c>
      <c r="AB213" s="11">
        <v>19.199999809265137</v>
      </c>
      <c r="AC213" s="85">
        <v>18</v>
      </c>
      <c r="AD213" s="11">
        <v>17.625</v>
      </c>
      <c r="AE213" s="11">
        <v>17.25</v>
      </c>
      <c r="AF213" s="11">
        <v>16.875</v>
      </c>
      <c r="AG213" s="11">
        <v>16.5</v>
      </c>
      <c r="AH213" s="11">
        <v>16.125</v>
      </c>
      <c r="AI213" s="11">
        <v>15.75</v>
      </c>
      <c r="AJ213" s="11">
        <v>15.375</v>
      </c>
      <c r="AK213" s="85">
        <v>15</v>
      </c>
      <c r="AL213" s="11">
        <v>14.699999988079071</v>
      </c>
      <c r="AM213" s="11">
        <v>14.399999976158142</v>
      </c>
      <c r="AN213" s="11">
        <v>14.099999964237213</v>
      </c>
      <c r="AO213" s="11">
        <v>13.799999952316284</v>
      </c>
      <c r="AP213" s="11">
        <v>13.499999940395355</v>
      </c>
      <c r="AQ213" s="11">
        <v>13.199999928474426</v>
      </c>
      <c r="AR213" s="11">
        <v>12.899999916553497</v>
      </c>
      <c r="AS213" s="11">
        <v>12.599999904632568</v>
      </c>
      <c r="AT213" s="11">
        <v>12.299999892711639</v>
      </c>
      <c r="AU213" s="85">
        <v>12</v>
      </c>
      <c r="AV213" s="11">
        <v>11.699999988079071</v>
      </c>
      <c r="AW213" s="11">
        <v>11.399999976158142</v>
      </c>
      <c r="AX213" s="11">
        <v>11.099999964237213</v>
      </c>
      <c r="AY213" s="11">
        <v>10.799999952316284</v>
      </c>
      <c r="AZ213" s="11">
        <v>10.499999940395355</v>
      </c>
      <c r="BA213" s="11">
        <v>10.199999928474426</v>
      </c>
      <c r="BB213" s="11">
        <v>9.8999999165534973</v>
      </c>
      <c r="BC213" s="11">
        <v>9.5999999046325684</v>
      </c>
      <c r="BD213" s="11">
        <v>9.2999998927116394</v>
      </c>
      <c r="BE213" s="85">
        <v>9</v>
      </c>
      <c r="BF213" s="11">
        <v>8.625</v>
      </c>
      <c r="BG213" s="11">
        <v>8.25</v>
      </c>
      <c r="BH213" s="11">
        <v>7.875</v>
      </c>
      <c r="BI213" s="11">
        <v>7.5</v>
      </c>
      <c r="BJ213" s="11">
        <v>7.125</v>
      </c>
      <c r="BK213" s="11">
        <v>6.75</v>
      </c>
      <c r="BL213" s="11">
        <v>6.375</v>
      </c>
      <c r="BM213" s="85">
        <v>6</v>
      </c>
    </row>
    <row r="214" spans="1:65" ht="150" customHeight="1" x14ac:dyDescent="0.25">
      <c r="A214" s="11">
        <v>4014</v>
      </c>
      <c r="B214" s="11">
        <v>1</v>
      </c>
      <c r="C214" s="11" t="str">
        <f t="shared" si="31"/>
        <v>Pitching</v>
      </c>
      <c r="D214" s="11" t="s">
        <v>51</v>
      </c>
      <c r="E214" s="42"/>
      <c r="F214" s="42"/>
      <c r="G214" s="151" t="s">
        <v>861</v>
      </c>
      <c r="H214" s="328">
        <v>3</v>
      </c>
      <c r="I214" s="11">
        <v>1</v>
      </c>
      <c r="J214" s="55" t="str">
        <f t="shared" si="33"/>
        <v>PitchingTest1315 Shots Rough 18m 20 yds</v>
      </c>
      <c r="K214" s="58" t="s">
        <v>1276</v>
      </c>
      <c r="L214" s="87" t="s">
        <v>1480</v>
      </c>
      <c r="M214" s="13"/>
      <c r="N214" s="90" t="s">
        <v>466</v>
      </c>
      <c r="O214" s="52"/>
      <c r="P214" s="13"/>
      <c r="Q214" s="35"/>
      <c r="R214" s="13"/>
      <c r="S214" s="13"/>
      <c r="T214" s="12"/>
      <c r="U214" s="54">
        <f>IFERROR(IF(LEN(X214)&gt;0,INT(INDEX(X214:BM214,0,DBE_HCP_ID)),""),"")</f>
        <v>0</v>
      </c>
      <c r="V214" s="306" t="s">
        <v>1270</v>
      </c>
      <c r="W214" s="81">
        <f>MAX(X214:BM214)</f>
        <v>15</v>
      </c>
      <c r="X214" s="85">
        <v>15</v>
      </c>
      <c r="Y214" s="11">
        <v>14.399999976158142</v>
      </c>
      <c r="Z214" s="11">
        <v>13.799999952316284</v>
      </c>
      <c r="AA214" s="11">
        <v>13.199999928474426</v>
      </c>
      <c r="AB214" s="11">
        <v>12.599999904632568</v>
      </c>
      <c r="AC214" s="85">
        <v>12</v>
      </c>
      <c r="AD214" s="11">
        <v>11.625</v>
      </c>
      <c r="AE214" s="11">
        <v>11.25</v>
      </c>
      <c r="AF214" s="11">
        <v>10.875</v>
      </c>
      <c r="AG214" s="11">
        <v>10.5</v>
      </c>
      <c r="AH214" s="11">
        <v>10.125</v>
      </c>
      <c r="AI214" s="11">
        <v>9.75</v>
      </c>
      <c r="AJ214" s="11">
        <v>9.375</v>
      </c>
      <c r="AK214" s="85">
        <v>9</v>
      </c>
      <c r="AL214" s="11">
        <v>8.699999988079071</v>
      </c>
      <c r="AM214" s="11">
        <v>8.3999999761581421</v>
      </c>
      <c r="AN214" s="11">
        <v>8.0999999642372131</v>
      </c>
      <c r="AO214" s="11">
        <v>7.7999999523162842</v>
      </c>
      <c r="AP214" s="11">
        <v>7.4999999403953552</v>
      </c>
      <c r="AQ214" s="11">
        <v>7.1999999284744263</v>
      </c>
      <c r="AR214" s="11">
        <v>6.8999999165534973</v>
      </c>
      <c r="AS214" s="11">
        <v>6.5999999046325684</v>
      </c>
      <c r="AT214" s="11">
        <v>6.2999998927116394</v>
      </c>
      <c r="AU214" s="85">
        <v>6</v>
      </c>
      <c r="AV214" s="11">
        <v>5.699999988079071</v>
      </c>
      <c r="AW214" s="11">
        <v>5.3999999761581421</v>
      </c>
      <c r="AX214" s="11">
        <v>5.0999999642372131</v>
      </c>
      <c r="AY214" s="11">
        <v>4.7999999523162842</v>
      </c>
      <c r="AZ214" s="11">
        <v>4.4999999403953552</v>
      </c>
      <c r="BA214" s="11">
        <v>4.1999999284744263</v>
      </c>
      <c r="BB214" s="11">
        <v>3.8999999165534973</v>
      </c>
      <c r="BC214" s="11">
        <v>3.5999999046325684</v>
      </c>
      <c r="BD214" s="11">
        <v>3.2999998927116394</v>
      </c>
      <c r="BE214" s="85">
        <v>3</v>
      </c>
      <c r="BF214" s="11">
        <v>2.625</v>
      </c>
      <c r="BG214" s="11">
        <v>2.25</v>
      </c>
      <c r="BH214" s="11">
        <v>1.875</v>
      </c>
      <c r="BI214" s="11">
        <v>1.5</v>
      </c>
      <c r="BJ214" s="11">
        <v>1.125</v>
      </c>
      <c r="BK214" s="11">
        <v>0.75</v>
      </c>
      <c r="BL214" s="11">
        <v>0.375</v>
      </c>
      <c r="BM214" s="85">
        <v>0</v>
      </c>
    </row>
    <row r="215" spans="1:65" ht="150" customHeight="1" x14ac:dyDescent="0.25">
      <c r="A215" s="11">
        <v>4015</v>
      </c>
      <c r="B215" s="11">
        <v>1</v>
      </c>
      <c r="C215" s="11" t="str">
        <f t="shared" si="31"/>
        <v>Pitching</v>
      </c>
      <c r="D215" s="11" t="s">
        <v>51</v>
      </c>
      <c r="E215" s="42"/>
      <c r="F215" s="42"/>
      <c r="G215" s="151" t="s">
        <v>861</v>
      </c>
      <c r="H215" s="328">
        <v>3</v>
      </c>
      <c r="I215" s="11">
        <v>1</v>
      </c>
      <c r="J215" s="55" t="str">
        <f t="shared" si="33"/>
        <v>PitchingTest1315 Shots Rough 27m 30 yds</v>
      </c>
      <c r="K215" s="58" t="s">
        <v>1277</v>
      </c>
      <c r="L215" s="87" t="s">
        <v>1479</v>
      </c>
      <c r="M215" s="13"/>
      <c r="N215" s="90" t="s">
        <v>466</v>
      </c>
      <c r="O215" s="52"/>
      <c r="P215" s="13"/>
      <c r="Q215" s="35"/>
      <c r="R215" s="13"/>
      <c r="S215" s="13"/>
      <c r="T215" s="12"/>
      <c r="U215" s="54">
        <f>IFERROR(IF(LEN(X215)&gt;0,INT(INDEX(X215:BM215,0,DBE_HCP_ID)),""),"")</f>
        <v>-6</v>
      </c>
      <c r="V215" s="306" t="s">
        <v>1270</v>
      </c>
      <c r="W215" s="81">
        <f>MAX(X215:BM215)</f>
        <v>12</v>
      </c>
      <c r="X215" s="85">
        <v>12</v>
      </c>
      <c r="Y215" s="11">
        <v>10.799999952316284</v>
      </c>
      <c r="Z215" s="11">
        <v>9.5999999046325684</v>
      </c>
      <c r="AA215" s="11">
        <v>8.3999998569488525</v>
      </c>
      <c r="AB215" s="11">
        <v>7.1999998092651367</v>
      </c>
      <c r="AC215" s="85">
        <v>6</v>
      </c>
      <c r="AD215" s="11">
        <v>5.625</v>
      </c>
      <c r="AE215" s="11">
        <v>5.25</v>
      </c>
      <c r="AF215" s="11">
        <v>4.875</v>
      </c>
      <c r="AG215" s="11">
        <v>4.5</v>
      </c>
      <c r="AH215" s="11">
        <v>4.125</v>
      </c>
      <c r="AI215" s="11">
        <v>3.75</v>
      </c>
      <c r="AJ215" s="11">
        <v>3.375</v>
      </c>
      <c r="AK215" s="85">
        <v>3</v>
      </c>
      <c r="AL215" s="11">
        <v>2.699999988079071</v>
      </c>
      <c r="AM215" s="11">
        <v>2.3999999761581421</v>
      </c>
      <c r="AN215" s="11">
        <v>2.0999999642372131</v>
      </c>
      <c r="AO215" s="11">
        <v>1.7999999523162842</v>
      </c>
      <c r="AP215" s="11">
        <v>1.4999999403953552</v>
      </c>
      <c r="AQ215" s="11">
        <v>1.1999999284744263</v>
      </c>
      <c r="AR215" s="11">
        <v>0.89999991655349731</v>
      </c>
      <c r="AS215" s="11">
        <v>0.59999990463256836</v>
      </c>
      <c r="AT215" s="11">
        <v>0.2999998927116394</v>
      </c>
      <c r="AU215" s="85">
        <v>0</v>
      </c>
      <c r="AV215" s="11">
        <v>-0.30000001192092896</v>
      </c>
      <c r="AW215" s="11">
        <v>-0.60000002384185791</v>
      </c>
      <c r="AX215" s="11">
        <v>-0.90000003576278687</v>
      </c>
      <c r="AY215" s="11">
        <v>-1.2000000476837158</v>
      </c>
      <c r="AZ215" s="11">
        <v>-1.5000000596046448</v>
      </c>
      <c r="BA215" s="11">
        <v>-1.8000000715255737</v>
      </c>
      <c r="BB215" s="11">
        <v>-2.1000000834465027</v>
      </c>
      <c r="BC215" s="11">
        <v>-2.4000000953674316</v>
      </c>
      <c r="BD215" s="11">
        <v>-2.7000001072883606</v>
      </c>
      <c r="BE215" s="85">
        <v>-3</v>
      </c>
      <c r="BF215" s="11">
        <v>-3.375</v>
      </c>
      <c r="BG215" s="11">
        <v>-3.75</v>
      </c>
      <c r="BH215" s="11">
        <v>-4.125</v>
      </c>
      <c r="BI215" s="11">
        <v>-4.5</v>
      </c>
      <c r="BJ215" s="11">
        <v>-4.875</v>
      </c>
      <c r="BK215" s="11">
        <v>-5.25</v>
      </c>
      <c r="BL215" s="11">
        <v>-5.625</v>
      </c>
      <c r="BM215" s="85">
        <v>-6</v>
      </c>
    </row>
    <row r="216" spans="1:65" ht="150" customHeight="1" x14ac:dyDescent="0.25">
      <c r="A216" s="11">
        <v>4016</v>
      </c>
      <c r="B216" s="11">
        <v>1</v>
      </c>
      <c r="C216" s="11" t="str">
        <f t="shared" si="31"/>
        <v>Pitching</v>
      </c>
      <c r="D216" s="11" t="s">
        <v>51</v>
      </c>
      <c r="E216" s="42"/>
      <c r="F216" s="42"/>
      <c r="G216" s="151" t="s">
        <v>861</v>
      </c>
      <c r="H216" s="328">
        <v>3</v>
      </c>
      <c r="I216" s="11">
        <v>1</v>
      </c>
      <c r="J216" s="55" t="str">
        <f>C216&amp;D216&amp;I216&amp;H216&amp;K216</f>
        <v>PitchingTest1315 Shots Rough 37m 40 yds</v>
      </c>
      <c r="K216" s="58" t="s">
        <v>1278</v>
      </c>
      <c r="L216" s="233" t="s">
        <v>1478</v>
      </c>
      <c r="M216" s="13"/>
      <c r="N216" s="90" t="s">
        <v>466</v>
      </c>
      <c r="O216" s="52"/>
      <c r="P216" s="13"/>
      <c r="Q216" s="35"/>
      <c r="R216" s="13"/>
      <c r="S216" s="13"/>
      <c r="T216" s="12"/>
      <c r="U216" s="54">
        <f>IFERROR(IF(LEN(X216)&gt;0,INT(INDEX(X216:BM216,0,DBE_HCP_ID)),""),"")</f>
        <v>-9</v>
      </c>
      <c r="V216" s="306" t="s">
        <v>1270</v>
      </c>
      <c r="W216" s="81">
        <f>MAX(X216:BM216)</f>
        <v>9</v>
      </c>
      <c r="X216" s="85">
        <v>9</v>
      </c>
      <c r="Y216" s="11">
        <v>7.7999999523162842</v>
      </c>
      <c r="Z216" s="11">
        <v>6.5999999046325684</v>
      </c>
      <c r="AA216" s="11">
        <v>5.3999998569488525</v>
      </c>
      <c r="AB216" s="11">
        <v>4.1999998092651367</v>
      </c>
      <c r="AC216" s="85">
        <v>3</v>
      </c>
      <c r="AD216" s="11">
        <v>2.625</v>
      </c>
      <c r="AE216" s="11">
        <v>2.25</v>
      </c>
      <c r="AF216" s="11">
        <v>1.875</v>
      </c>
      <c r="AG216" s="11">
        <v>1.5</v>
      </c>
      <c r="AH216" s="11">
        <v>1.125</v>
      </c>
      <c r="AI216" s="11">
        <v>0.75</v>
      </c>
      <c r="AJ216" s="11">
        <v>0.375</v>
      </c>
      <c r="AK216" s="85">
        <v>0</v>
      </c>
      <c r="AL216" s="11">
        <v>-0.30000001192092896</v>
      </c>
      <c r="AM216" s="11">
        <v>-0.60000002384185791</v>
      </c>
      <c r="AN216" s="11">
        <v>-0.90000003576278687</v>
      </c>
      <c r="AO216" s="11">
        <v>-1.2000000476837158</v>
      </c>
      <c r="AP216" s="11">
        <v>-1.5000000596046448</v>
      </c>
      <c r="AQ216" s="11">
        <v>-1.8000000715255737</v>
      </c>
      <c r="AR216" s="11">
        <v>-2.1000000834465027</v>
      </c>
      <c r="AS216" s="11">
        <v>-2.4000000953674316</v>
      </c>
      <c r="AT216" s="11">
        <v>-2.7000001072883606</v>
      </c>
      <c r="AU216" s="85">
        <v>-3</v>
      </c>
      <c r="AV216" s="11">
        <v>-3.300000011920929</v>
      </c>
      <c r="AW216" s="11">
        <v>-3.6000000238418579</v>
      </c>
      <c r="AX216" s="11">
        <v>-3.9000000357627869</v>
      </c>
      <c r="AY216" s="11">
        <v>-4.2000000476837158</v>
      </c>
      <c r="AZ216" s="11">
        <v>-4.5000000596046448</v>
      </c>
      <c r="BA216" s="11">
        <v>-4.8000000715255737</v>
      </c>
      <c r="BB216" s="11">
        <v>-5.1000000834465027</v>
      </c>
      <c r="BC216" s="11">
        <v>-5.4000000953674316</v>
      </c>
      <c r="BD216" s="11">
        <v>-5.7000001072883606</v>
      </c>
      <c r="BE216" s="85">
        <v>-6</v>
      </c>
      <c r="BF216" s="11">
        <v>-6.375</v>
      </c>
      <c r="BG216" s="11">
        <v>-6.75</v>
      </c>
      <c r="BH216" s="11">
        <v>-7.125</v>
      </c>
      <c r="BI216" s="11">
        <v>-7.5</v>
      </c>
      <c r="BJ216" s="11">
        <v>-7.875</v>
      </c>
      <c r="BK216" s="11">
        <v>-8.25</v>
      </c>
      <c r="BL216" s="11">
        <v>-8.625</v>
      </c>
      <c r="BM216" s="85">
        <v>-9</v>
      </c>
    </row>
    <row r="217" spans="1:65" ht="150" customHeight="1" x14ac:dyDescent="0.25">
      <c r="A217" s="11">
        <v>4017</v>
      </c>
      <c r="B217" s="11">
        <v>-1</v>
      </c>
      <c r="C217" s="11" t="str">
        <f t="shared" si="31"/>
        <v>Pitching</v>
      </c>
      <c r="D217" s="11" t="s">
        <v>494</v>
      </c>
      <c r="E217" s="42"/>
      <c r="F217" s="42"/>
      <c r="G217" s="151"/>
      <c r="H217" s="328">
        <v>15</v>
      </c>
      <c r="I217" s="11">
        <v>1</v>
      </c>
      <c r="J217" s="55" t="str">
        <f t="shared" si="33"/>
        <v>PitchingTechnic115Erst Ball dann Boden treffen</v>
      </c>
      <c r="K217" s="58" t="s">
        <v>708</v>
      </c>
      <c r="L217" s="57" t="s">
        <v>499</v>
      </c>
      <c r="M217" s="234"/>
      <c r="N217" s="94" t="s">
        <v>500</v>
      </c>
      <c r="O217" s="52"/>
      <c r="P217" s="13"/>
      <c r="Q217" s="35"/>
      <c r="R217" s="13"/>
      <c r="S217" s="13"/>
      <c r="T217" s="12"/>
      <c r="U217" s="54" t="str">
        <f t="shared" si="32"/>
        <v/>
      </c>
      <c r="V217" s="54"/>
      <c r="W217" s="81">
        <f t="shared" si="27"/>
        <v>0</v>
      </c>
      <c r="X217" s="11"/>
      <c r="Y217" s="11"/>
      <c r="Z217" s="11"/>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c r="AZ217" s="11"/>
      <c r="BA217" s="11"/>
      <c r="BB217" s="11"/>
      <c r="BC217" s="11"/>
      <c r="BD217" s="11"/>
      <c r="BE217" s="11"/>
      <c r="BF217" s="11"/>
      <c r="BG217" s="11"/>
      <c r="BH217" s="11"/>
      <c r="BI217" s="11"/>
      <c r="BJ217" s="11"/>
      <c r="BK217" s="11"/>
      <c r="BL217" s="11"/>
      <c r="BM217" s="11"/>
    </row>
    <row r="218" spans="1:65" ht="150" customHeight="1" x14ac:dyDescent="0.25">
      <c r="A218" s="11">
        <v>4018</v>
      </c>
      <c r="B218" s="11">
        <v>-1</v>
      </c>
      <c r="C218" s="11" t="str">
        <f t="shared" si="31"/>
        <v>Pitching</v>
      </c>
      <c r="D218" s="11" t="s">
        <v>6</v>
      </c>
      <c r="E218" s="42"/>
      <c r="F218" s="42"/>
      <c r="G218" s="151"/>
      <c r="H218" s="328">
        <v>10</v>
      </c>
      <c r="I218" s="11">
        <v>2</v>
      </c>
      <c r="J218" s="55" t="str">
        <f t="shared" si="33"/>
        <v>PitchingGame210Steal the ball</v>
      </c>
      <c r="K218" s="58" t="s">
        <v>504</v>
      </c>
      <c r="L218" s="57" t="s">
        <v>505</v>
      </c>
      <c r="M218" s="13"/>
      <c r="N218" s="90"/>
      <c r="O218" s="52"/>
      <c r="P218" s="13"/>
      <c r="Q218" s="35"/>
      <c r="R218" s="13"/>
      <c r="S218" s="13"/>
      <c r="T218" s="12"/>
      <c r="U218" s="54" t="str">
        <f t="shared" si="32"/>
        <v/>
      </c>
      <c r="V218" s="54"/>
      <c r="W218" s="81">
        <f t="shared" si="27"/>
        <v>0</v>
      </c>
      <c r="X218" s="11"/>
      <c r="Y218" s="11"/>
      <c r="Z218" s="11"/>
      <c r="AA218" s="11"/>
      <c r="AB218" s="11"/>
      <c r="AC218" s="11"/>
      <c r="AD218" s="11"/>
      <c r="AE218" s="11"/>
      <c r="AF218" s="11"/>
      <c r="AG218" s="11"/>
      <c r="AH218" s="11"/>
      <c r="AI218" s="11"/>
      <c r="AJ218" s="11"/>
      <c r="AK218" s="11"/>
      <c r="AL218" s="11"/>
      <c r="AM218" s="11"/>
      <c r="AN218" s="11"/>
      <c r="AO218" s="11"/>
      <c r="AP218" s="11"/>
      <c r="AQ218" s="11"/>
      <c r="AR218" s="11"/>
      <c r="AS218" s="11"/>
      <c r="AT218" s="11"/>
      <c r="AU218" s="11"/>
      <c r="AV218" s="11"/>
      <c r="AW218" s="11"/>
      <c r="AX218" s="11"/>
      <c r="AY218" s="11"/>
      <c r="AZ218" s="11"/>
      <c r="BA218" s="11"/>
      <c r="BB218" s="11"/>
      <c r="BC218" s="11"/>
      <c r="BD218" s="11"/>
      <c r="BE218" s="11"/>
      <c r="BF218" s="11"/>
      <c r="BG218" s="11"/>
      <c r="BH218" s="11"/>
      <c r="BI218" s="11"/>
      <c r="BJ218" s="11"/>
      <c r="BK218" s="11"/>
      <c r="BL218" s="11"/>
      <c r="BM218" s="11"/>
    </row>
    <row r="219" spans="1:65" ht="150" customHeight="1" x14ac:dyDescent="0.25">
      <c r="A219" s="11">
        <v>4019</v>
      </c>
      <c r="B219" s="11">
        <v>-1</v>
      </c>
      <c r="C219" s="11" t="str">
        <f t="shared" si="31"/>
        <v>Pitching</v>
      </c>
      <c r="D219" s="11" t="s">
        <v>494</v>
      </c>
      <c r="E219" s="42"/>
      <c r="F219" s="42"/>
      <c r="G219" s="151"/>
      <c r="H219" s="328">
        <v>10</v>
      </c>
      <c r="I219" s="11">
        <v>1</v>
      </c>
      <c r="J219" s="55" t="str">
        <f t="shared" si="33"/>
        <v>PitchingTechnic110Schwungbahn begrenzen</v>
      </c>
      <c r="K219" s="58" t="s">
        <v>511</v>
      </c>
      <c r="L219" s="57" t="s">
        <v>512</v>
      </c>
      <c r="M219" s="227"/>
      <c r="N219" s="90" t="s">
        <v>513</v>
      </c>
      <c r="O219" s="52"/>
      <c r="P219" s="13"/>
      <c r="Q219" s="35"/>
      <c r="R219" s="13"/>
      <c r="S219" s="13"/>
      <c r="T219" s="12"/>
      <c r="U219" s="54" t="str">
        <f t="shared" si="32"/>
        <v/>
      </c>
      <c r="V219" s="54"/>
      <c r="W219" s="81">
        <f t="shared" si="27"/>
        <v>0</v>
      </c>
      <c r="X219" s="11"/>
      <c r="Y219" s="11"/>
      <c r="Z219" s="11"/>
      <c r="AA219" s="11"/>
      <c r="AB219" s="11"/>
      <c r="AC219" s="11"/>
      <c r="AD219" s="11"/>
      <c r="AE219" s="11"/>
      <c r="AF219" s="11"/>
      <c r="AG219" s="11"/>
      <c r="AH219" s="11"/>
      <c r="AI219" s="11"/>
      <c r="AJ219" s="11"/>
      <c r="AK219" s="11"/>
      <c r="AL219" s="11"/>
      <c r="AM219" s="11"/>
      <c r="AN219" s="11"/>
      <c r="AO219" s="11"/>
      <c r="AP219" s="11"/>
      <c r="AQ219" s="11"/>
      <c r="AR219" s="11"/>
      <c r="AS219" s="11"/>
      <c r="AT219" s="11"/>
      <c r="AU219" s="11"/>
      <c r="AV219" s="11"/>
      <c r="AW219" s="11"/>
      <c r="AX219" s="11"/>
      <c r="AY219" s="11"/>
      <c r="AZ219" s="11"/>
      <c r="BA219" s="11"/>
      <c r="BB219" s="11"/>
      <c r="BC219" s="11"/>
      <c r="BD219" s="11"/>
      <c r="BE219" s="11"/>
      <c r="BF219" s="11"/>
      <c r="BG219" s="11"/>
      <c r="BH219" s="11"/>
      <c r="BI219" s="11"/>
      <c r="BJ219" s="11"/>
      <c r="BK219" s="11"/>
      <c r="BL219" s="11"/>
      <c r="BM219" s="11"/>
    </row>
    <row r="220" spans="1:65" ht="150" customHeight="1" x14ac:dyDescent="0.25">
      <c r="A220" s="11">
        <v>4020</v>
      </c>
      <c r="B220" s="11">
        <v>-1</v>
      </c>
      <c r="C220" s="11" t="str">
        <f t="shared" si="31"/>
        <v>Pitching</v>
      </c>
      <c r="D220" s="11" t="s">
        <v>6</v>
      </c>
      <c r="E220" s="42"/>
      <c r="F220" s="42"/>
      <c r="G220" s="151"/>
      <c r="H220" s="328">
        <v>10</v>
      </c>
      <c r="I220" s="11" t="s">
        <v>710</v>
      </c>
      <c r="J220" s="55" t="str">
        <f t="shared" si="33"/>
        <v>PitchingGame2-many10Biathlon      5 in a Row</v>
      </c>
      <c r="K220" s="58" t="s">
        <v>627</v>
      </c>
      <c r="L220" s="57" t="s">
        <v>520</v>
      </c>
      <c r="M220" s="13"/>
      <c r="N220" s="90"/>
      <c r="O220" s="52"/>
      <c r="P220" s="13"/>
      <c r="Q220" s="35"/>
      <c r="R220" s="13"/>
      <c r="S220" s="13"/>
      <c r="T220" s="12"/>
      <c r="U220" s="54" t="str">
        <f t="shared" si="32"/>
        <v/>
      </c>
      <c r="V220" s="54"/>
      <c r="W220" s="81">
        <f t="shared" si="27"/>
        <v>0</v>
      </c>
      <c r="X220" s="11"/>
      <c r="Y220" s="11"/>
      <c r="Z220" s="11"/>
      <c r="AA220" s="11"/>
      <c r="AB220" s="11"/>
      <c r="AC220" s="11"/>
      <c r="AD220" s="11"/>
      <c r="AE220" s="11"/>
      <c r="AF220" s="11"/>
      <c r="AG220" s="11"/>
      <c r="AH220" s="11"/>
      <c r="AI220" s="11"/>
      <c r="AJ220" s="11"/>
      <c r="AK220" s="11"/>
      <c r="AL220" s="11"/>
      <c r="AM220" s="11"/>
      <c r="AN220" s="11"/>
      <c r="AO220" s="11"/>
      <c r="AP220" s="11"/>
      <c r="AQ220" s="11"/>
      <c r="AR220" s="11"/>
      <c r="AS220" s="11"/>
      <c r="AT220" s="11"/>
      <c r="AU220" s="11"/>
      <c r="AV220" s="11"/>
      <c r="AW220" s="11"/>
      <c r="AX220" s="11"/>
      <c r="AY220" s="11"/>
      <c r="AZ220" s="11"/>
      <c r="BA220" s="11"/>
      <c r="BB220" s="11"/>
      <c r="BC220" s="11"/>
      <c r="BD220" s="11"/>
      <c r="BE220" s="11"/>
      <c r="BF220" s="11"/>
      <c r="BG220" s="11"/>
      <c r="BH220" s="11"/>
      <c r="BI220" s="11"/>
      <c r="BJ220" s="11"/>
      <c r="BK220" s="11"/>
      <c r="BL220" s="11"/>
      <c r="BM220" s="11"/>
    </row>
    <row r="221" spans="1:65" ht="150" customHeight="1" x14ac:dyDescent="0.25">
      <c r="A221" s="11">
        <v>4021</v>
      </c>
      <c r="B221" s="11">
        <v>1</v>
      </c>
      <c r="C221" s="11" t="str">
        <f t="shared" si="31"/>
        <v>Pitching</v>
      </c>
      <c r="D221" s="11" t="s">
        <v>98</v>
      </c>
      <c r="E221" s="42"/>
      <c r="F221" s="42"/>
      <c r="G221" s="151" t="s">
        <v>484</v>
      </c>
      <c r="H221" s="328">
        <v>20</v>
      </c>
      <c r="I221" s="11">
        <v>1</v>
      </c>
      <c r="J221" s="55" t="str">
        <f t="shared" si="33"/>
        <v>PitchingChallenge1203 circles</v>
      </c>
      <c r="K221" s="58" t="s">
        <v>522</v>
      </c>
      <c r="L221" s="57" t="s">
        <v>523</v>
      </c>
      <c r="M221" s="227"/>
      <c r="N221" s="90"/>
      <c r="O221" s="52"/>
      <c r="P221" s="13"/>
      <c r="Q221" s="35"/>
      <c r="R221" s="13"/>
      <c r="S221" s="13"/>
      <c r="T221" s="12"/>
      <c r="U221" s="54" t="str">
        <f t="shared" si="32"/>
        <v/>
      </c>
      <c r="V221" s="54"/>
      <c r="W221" s="81">
        <f t="shared" ref="W221:W264" si="34">MAX(X221:BM221)</f>
        <v>0</v>
      </c>
      <c r="X221" s="11"/>
      <c r="Y221" s="11"/>
      <c r="Z221" s="11"/>
      <c r="AA221" s="11"/>
      <c r="AB221" s="11"/>
      <c r="AC221" s="11"/>
      <c r="AD221" s="11"/>
      <c r="AE221" s="11"/>
      <c r="AF221" s="11"/>
      <c r="AG221" s="11"/>
      <c r="AH221" s="11"/>
      <c r="AI221" s="11"/>
      <c r="AJ221" s="11"/>
      <c r="AK221" s="11"/>
      <c r="AL221" s="11"/>
      <c r="AM221" s="11"/>
      <c r="AN221" s="11"/>
      <c r="AO221" s="11"/>
      <c r="AP221" s="11"/>
      <c r="AQ221" s="11"/>
      <c r="AR221" s="11"/>
      <c r="AS221" s="11"/>
      <c r="AT221" s="11"/>
      <c r="AU221" s="11"/>
      <c r="AV221" s="11"/>
      <c r="AW221" s="11"/>
      <c r="AX221" s="11"/>
      <c r="AY221" s="11"/>
      <c r="AZ221" s="11"/>
      <c r="BA221" s="11"/>
      <c r="BB221" s="11"/>
      <c r="BC221" s="11"/>
      <c r="BD221" s="11"/>
      <c r="BE221" s="11"/>
      <c r="BF221" s="11"/>
      <c r="BG221" s="11"/>
      <c r="BH221" s="11"/>
      <c r="BI221" s="11"/>
      <c r="BJ221" s="11"/>
      <c r="BK221" s="11"/>
      <c r="BL221" s="11"/>
      <c r="BM221" s="11"/>
    </row>
    <row r="222" spans="1:65" ht="150" customHeight="1" x14ac:dyDescent="0.7">
      <c r="A222" s="11">
        <v>4022</v>
      </c>
      <c r="B222" s="11">
        <v>-1</v>
      </c>
      <c r="C222" s="11" t="str">
        <f t="shared" si="31"/>
        <v>Pitching</v>
      </c>
      <c r="D222" s="11" t="s">
        <v>494</v>
      </c>
      <c r="E222" s="42"/>
      <c r="F222" s="42"/>
      <c r="G222" s="151" t="s">
        <v>478</v>
      </c>
      <c r="H222" s="328">
        <v>10</v>
      </c>
      <c r="I222" s="11">
        <v>1</v>
      </c>
      <c r="J222" s="55" t="str">
        <f t="shared" si="33"/>
        <v>PitchingTechnic110Avoid Wrist Action</v>
      </c>
      <c r="K222" s="58" t="s">
        <v>538</v>
      </c>
      <c r="L222" s="57" t="s">
        <v>539</v>
      </c>
      <c r="M222" s="228"/>
      <c r="N222" s="90"/>
      <c r="O222" s="52"/>
      <c r="P222" s="13"/>
      <c r="Q222" s="35"/>
      <c r="R222" s="13"/>
      <c r="S222" s="13"/>
      <c r="T222" s="12"/>
      <c r="U222" s="54" t="str">
        <f t="shared" si="32"/>
        <v/>
      </c>
      <c r="V222" s="54"/>
      <c r="W222" s="81">
        <f t="shared" si="34"/>
        <v>0</v>
      </c>
      <c r="X222" s="11"/>
      <c r="Y222" s="11"/>
      <c r="Z222" s="11"/>
      <c r="AA222" s="11"/>
      <c r="AB222" s="11"/>
      <c r="AC222" s="11"/>
      <c r="AD222" s="11"/>
      <c r="AE222" s="11"/>
      <c r="AF222" s="11"/>
      <c r="AG222" s="11"/>
      <c r="AH222" s="11"/>
      <c r="AI222" s="11"/>
      <c r="AJ222" s="11"/>
      <c r="AK222" s="11"/>
      <c r="AL222" s="11"/>
      <c r="AM222" s="11"/>
      <c r="AN222" s="11"/>
      <c r="AO222" s="11"/>
      <c r="AP222" s="11"/>
      <c r="AQ222" s="11"/>
      <c r="AR222" s="11"/>
      <c r="AS222" s="11"/>
      <c r="AT222" s="11"/>
      <c r="AU222" s="11"/>
      <c r="AV222" s="11"/>
      <c r="AW222" s="11"/>
      <c r="AX222" s="11"/>
      <c r="AY222" s="11"/>
      <c r="AZ222" s="11"/>
      <c r="BA222" s="11"/>
      <c r="BB222" s="11"/>
      <c r="BC222" s="11"/>
      <c r="BD222" s="11"/>
      <c r="BE222" s="11"/>
      <c r="BF222" s="11"/>
      <c r="BG222" s="11"/>
      <c r="BH222" s="11"/>
      <c r="BI222" s="11"/>
      <c r="BJ222" s="11"/>
      <c r="BK222" s="11"/>
      <c r="BL222" s="11"/>
      <c r="BM222" s="11"/>
    </row>
    <row r="223" spans="1:65" ht="150" customHeight="1" x14ac:dyDescent="0.25">
      <c r="A223" s="11">
        <v>4023</v>
      </c>
      <c r="B223" s="11">
        <v>1</v>
      </c>
      <c r="C223" s="11" t="str">
        <f t="shared" si="31"/>
        <v>Pitching</v>
      </c>
      <c r="D223" s="11" t="s">
        <v>1084</v>
      </c>
      <c r="E223" s="42"/>
      <c r="F223" s="42"/>
      <c r="G223" s="151" t="s">
        <v>478</v>
      </c>
      <c r="H223" s="328">
        <v>10</v>
      </c>
      <c r="I223" s="11">
        <v>1</v>
      </c>
      <c r="J223" s="55" t="str">
        <f t="shared" si="33"/>
        <v>PitchingBest110Best Ball Pitching 30m</v>
      </c>
      <c r="K223" s="58" t="s">
        <v>1037</v>
      </c>
      <c r="L223" s="57" t="s">
        <v>1070</v>
      </c>
      <c r="M223" s="13"/>
      <c r="N223" s="90"/>
      <c r="O223" s="52"/>
      <c r="P223" s="13"/>
      <c r="Q223" s="35"/>
      <c r="R223" s="13"/>
      <c r="S223" s="13"/>
      <c r="T223" s="12"/>
      <c r="U223" s="54" t="str">
        <f t="shared" si="32"/>
        <v/>
      </c>
      <c r="V223" s="54"/>
      <c r="W223" s="81">
        <f t="shared" si="34"/>
        <v>0</v>
      </c>
      <c r="X223" s="11"/>
      <c r="Y223" s="11"/>
      <c r="Z223" s="11"/>
      <c r="AA223" s="11"/>
      <c r="AB223" s="11"/>
      <c r="AC223" s="11"/>
      <c r="AD223" s="11"/>
      <c r="AE223" s="11"/>
      <c r="AF223" s="11"/>
      <c r="AG223" s="11"/>
      <c r="AH223" s="11"/>
      <c r="AI223" s="11"/>
      <c r="AJ223" s="11"/>
      <c r="AK223" s="11"/>
      <c r="AL223" s="11"/>
      <c r="AM223" s="11"/>
      <c r="AN223" s="11"/>
      <c r="AO223" s="11"/>
      <c r="AP223" s="11"/>
      <c r="AQ223" s="11"/>
      <c r="AR223" s="11"/>
      <c r="AS223" s="11"/>
      <c r="AT223" s="11"/>
      <c r="AU223" s="11"/>
      <c r="AV223" s="11"/>
      <c r="AW223" s="11"/>
      <c r="AX223" s="11"/>
      <c r="AY223" s="11"/>
      <c r="AZ223" s="11"/>
      <c r="BA223" s="11"/>
      <c r="BB223" s="11"/>
      <c r="BC223" s="11"/>
      <c r="BD223" s="11"/>
      <c r="BE223" s="11"/>
      <c r="BF223" s="11"/>
      <c r="BG223" s="11"/>
      <c r="BH223" s="11"/>
      <c r="BI223" s="11"/>
      <c r="BJ223" s="11"/>
      <c r="BK223" s="11"/>
      <c r="BL223" s="11"/>
      <c r="BM223" s="11"/>
    </row>
    <row r="224" spans="1:65" ht="150" customHeight="1" x14ac:dyDescent="0.25">
      <c r="A224" s="11">
        <v>4024</v>
      </c>
      <c r="B224" s="11">
        <v>1</v>
      </c>
      <c r="C224" s="11" t="str">
        <f t="shared" si="31"/>
        <v>Pitching</v>
      </c>
      <c r="D224" s="11" t="s">
        <v>1084</v>
      </c>
      <c r="E224" s="42"/>
      <c r="F224" s="42"/>
      <c r="G224" s="151" t="s">
        <v>480</v>
      </c>
      <c r="H224" s="328">
        <v>10</v>
      </c>
      <c r="I224" s="11">
        <v>1</v>
      </c>
      <c r="J224" s="55" t="str">
        <f t="shared" si="33"/>
        <v>PitchingBest110Best Ball Pitching 30m</v>
      </c>
      <c r="K224" s="58" t="s">
        <v>1037</v>
      </c>
      <c r="L224" s="57" t="s">
        <v>1069</v>
      </c>
      <c r="M224" s="13"/>
      <c r="N224" s="90"/>
      <c r="O224" s="52"/>
      <c r="P224" s="13"/>
      <c r="Q224" s="35"/>
      <c r="R224" s="13"/>
      <c r="S224" s="13"/>
      <c r="T224" s="12"/>
      <c r="U224" s="54" t="str">
        <f t="shared" si="32"/>
        <v/>
      </c>
      <c r="V224" s="54"/>
      <c r="W224" s="81">
        <f t="shared" si="34"/>
        <v>0</v>
      </c>
      <c r="X224" s="11"/>
      <c r="Y224" s="11"/>
      <c r="Z224" s="11"/>
      <c r="AA224" s="11"/>
      <c r="AB224" s="11"/>
      <c r="AC224" s="11"/>
      <c r="AD224" s="11"/>
      <c r="AE224" s="11"/>
      <c r="AF224" s="11"/>
      <c r="AG224" s="11"/>
      <c r="AH224" s="11"/>
      <c r="AI224" s="11"/>
      <c r="AJ224" s="11"/>
      <c r="AK224" s="11"/>
      <c r="AL224" s="11"/>
      <c r="AM224" s="11"/>
      <c r="AN224" s="11"/>
      <c r="AO224" s="11"/>
      <c r="AP224" s="11"/>
      <c r="AQ224" s="11"/>
      <c r="AR224" s="11"/>
      <c r="AS224" s="11"/>
      <c r="AT224" s="11"/>
      <c r="AU224" s="11"/>
      <c r="AV224" s="11"/>
      <c r="AW224" s="11"/>
      <c r="AX224" s="11"/>
      <c r="AY224" s="11"/>
      <c r="AZ224" s="11"/>
      <c r="BA224" s="11"/>
      <c r="BB224" s="11"/>
      <c r="BC224" s="11"/>
      <c r="BD224" s="11"/>
      <c r="BE224" s="11"/>
      <c r="BF224" s="11"/>
      <c r="BG224" s="11"/>
      <c r="BH224" s="11"/>
      <c r="BI224" s="11"/>
      <c r="BJ224" s="11"/>
      <c r="BK224" s="11"/>
      <c r="BL224" s="11"/>
      <c r="BM224" s="11"/>
    </row>
    <row r="225" spans="1:65" ht="150" customHeight="1" x14ac:dyDescent="0.25">
      <c r="A225" s="11">
        <v>4025</v>
      </c>
      <c r="B225" s="11">
        <v>1</v>
      </c>
      <c r="C225" s="11" t="str">
        <f t="shared" si="31"/>
        <v>Pitching</v>
      </c>
      <c r="D225" s="11" t="s">
        <v>1084</v>
      </c>
      <c r="E225" s="42"/>
      <c r="F225" s="42"/>
      <c r="G225" s="151" t="s">
        <v>484</v>
      </c>
      <c r="H225" s="328">
        <v>10</v>
      </c>
      <c r="I225" s="11">
        <v>1</v>
      </c>
      <c r="J225" s="55" t="str">
        <f t="shared" si="33"/>
        <v>PitchingBest110Worst Ball Pitching 30m</v>
      </c>
      <c r="K225" s="58" t="s">
        <v>1038</v>
      </c>
      <c r="L225" s="57" t="s">
        <v>1068</v>
      </c>
      <c r="M225" s="13"/>
      <c r="N225" s="90"/>
      <c r="O225" s="52"/>
      <c r="P225" s="13"/>
      <c r="Q225" s="35"/>
      <c r="R225" s="13"/>
      <c r="S225" s="13"/>
      <c r="T225" s="12"/>
      <c r="U225" s="54" t="str">
        <f t="shared" si="32"/>
        <v/>
      </c>
      <c r="V225" s="54"/>
      <c r="W225" s="81">
        <f t="shared" si="34"/>
        <v>0</v>
      </c>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row>
    <row r="226" spans="1:65" ht="150" customHeight="1" x14ac:dyDescent="0.25">
      <c r="A226" s="11">
        <v>4026</v>
      </c>
      <c r="B226" s="11">
        <v>1</v>
      </c>
      <c r="C226" s="11" t="str">
        <f t="shared" si="31"/>
        <v>Pitching</v>
      </c>
      <c r="D226" s="11" t="s">
        <v>1084</v>
      </c>
      <c r="E226" s="42"/>
      <c r="F226" s="42"/>
      <c r="G226" s="151" t="s">
        <v>485</v>
      </c>
      <c r="H226" s="328">
        <v>10</v>
      </c>
      <c r="I226" s="11">
        <v>1</v>
      </c>
      <c r="J226" s="55" t="str">
        <f t="shared" si="33"/>
        <v>PitchingBest110Worst Ball Pitching 30m</v>
      </c>
      <c r="K226" s="58" t="s">
        <v>1038</v>
      </c>
      <c r="L226" s="57" t="s">
        <v>1286</v>
      </c>
      <c r="M226" s="13"/>
      <c r="N226" s="90"/>
      <c r="O226" s="52"/>
      <c r="P226" s="13"/>
      <c r="Q226" s="35"/>
      <c r="R226" s="13"/>
      <c r="S226" s="13"/>
      <c r="T226" s="12"/>
      <c r="U226" s="54" t="str">
        <f t="shared" si="32"/>
        <v/>
      </c>
      <c r="V226" s="54"/>
      <c r="W226" s="81">
        <f t="shared" si="34"/>
        <v>0</v>
      </c>
      <c r="X226" s="11"/>
      <c r="Y226" s="11"/>
      <c r="Z226" s="11"/>
      <c r="AA226" s="11"/>
      <c r="AB226" s="11"/>
      <c r="AC226" s="11"/>
      <c r="AD226" s="11"/>
      <c r="AE226" s="11"/>
      <c r="AF226" s="11"/>
      <c r="AG226" s="11"/>
      <c r="AH226" s="11"/>
      <c r="AI226" s="11"/>
      <c r="AJ226" s="11"/>
      <c r="AK226" s="11"/>
      <c r="AL226" s="11"/>
      <c r="AM226" s="11"/>
      <c r="AN226" s="11"/>
      <c r="AO226" s="11"/>
      <c r="AP226" s="11"/>
      <c r="AQ226" s="11"/>
      <c r="AR226" s="11"/>
      <c r="AS226" s="11"/>
      <c r="AT226" s="11"/>
      <c r="AU226" s="11"/>
      <c r="AV226" s="11"/>
      <c r="AW226" s="11"/>
      <c r="AX226" s="11"/>
      <c r="AY226" s="11"/>
      <c r="AZ226" s="11"/>
      <c r="BA226" s="11"/>
      <c r="BB226" s="11"/>
      <c r="BC226" s="11"/>
      <c r="BD226" s="11"/>
      <c r="BE226" s="11"/>
      <c r="BF226" s="11"/>
      <c r="BG226" s="11"/>
      <c r="BH226" s="11"/>
      <c r="BI226" s="11"/>
      <c r="BJ226" s="11"/>
      <c r="BK226" s="11"/>
      <c r="BL226" s="11"/>
      <c r="BM226" s="11"/>
    </row>
    <row r="227" spans="1:65" ht="150" customHeight="1" x14ac:dyDescent="0.25">
      <c r="A227" s="11">
        <v>4027</v>
      </c>
      <c r="B227" s="11">
        <v>1</v>
      </c>
      <c r="C227" s="11" t="str">
        <f t="shared" si="31"/>
        <v>Pitching</v>
      </c>
      <c r="D227" s="11" t="s">
        <v>1084</v>
      </c>
      <c r="E227" s="42"/>
      <c r="F227" s="42"/>
      <c r="G227" s="151" t="s">
        <v>478</v>
      </c>
      <c r="H227" s="328">
        <v>10</v>
      </c>
      <c r="I227" s="11">
        <v>1</v>
      </c>
      <c r="J227" s="55" t="str">
        <f t="shared" si="33"/>
        <v>PitchingBest110Best Ball Pitching 50m</v>
      </c>
      <c r="K227" s="58" t="s">
        <v>1039</v>
      </c>
      <c r="L227" s="57" t="s">
        <v>1042</v>
      </c>
      <c r="M227" s="13"/>
      <c r="N227" s="90"/>
      <c r="O227" s="52"/>
      <c r="P227" s="13"/>
      <c r="Q227" s="35"/>
      <c r="R227" s="13"/>
      <c r="S227" s="13"/>
      <c r="T227" s="12"/>
      <c r="U227" s="54" t="str">
        <f t="shared" si="32"/>
        <v/>
      </c>
      <c r="V227" s="54"/>
      <c r="W227" s="81">
        <f t="shared" si="34"/>
        <v>0</v>
      </c>
      <c r="X227" s="11"/>
      <c r="Y227" s="11"/>
      <c r="Z227" s="11"/>
      <c r="AA227" s="11"/>
      <c r="AB227" s="11"/>
      <c r="AC227" s="11"/>
      <c r="AD227" s="11"/>
      <c r="AE227" s="11"/>
      <c r="AF227" s="11"/>
      <c r="AG227" s="11"/>
      <c r="AH227" s="11"/>
      <c r="AI227" s="11"/>
      <c r="AJ227" s="11"/>
      <c r="AK227" s="11"/>
      <c r="AL227" s="11"/>
      <c r="AM227" s="11"/>
      <c r="AN227" s="11"/>
      <c r="AO227" s="11"/>
      <c r="AP227" s="11"/>
      <c r="AQ227" s="11"/>
      <c r="AR227" s="11"/>
      <c r="AS227" s="11"/>
      <c r="AT227" s="11"/>
      <c r="AU227" s="11"/>
      <c r="AV227" s="11"/>
      <c r="AW227" s="11"/>
      <c r="AX227" s="11"/>
      <c r="AY227" s="11"/>
      <c r="AZ227" s="11"/>
      <c r="BA227" s="11"/>
      <c r="BB227" s="11"/>
      <c r="BC227" s="11"/>
      <c r="BD227" s="11"/>
      <c r="BE227" s="11"/>
      <c r="BF227" s="11"/>
      <c r="BG227" s="11"/>
      <c r="BH227" s="11"/>
      <c r="BI227" s="11"/>
      <c r="BJ227" s="11"/>
      <c r="BK227" s="11"/>
      <c r="BL227" s="11"/>
      <c r="BM227" s="11"/>
    </row>
    <row r="228" spans="1:65" ht="150" customHeight="1" x14ac:dyDescent="0.25">
      <c r="A228" s="11">
        <v>4028</v>
      </c>
      <c r="B228" s="11">
        <v>1</v>
      </c>
      <c r="C228" s="11" t="str">
        <f t="shared" si="31"/>
        <v>Pitching</v>
      </c>
      <c r="D228" s="11" t="s">
        <v>1084</v>
      </c>
      <c r="E228" s="42"/>
      <c r="F228" s="42"/>
      <c r="G228" s="151" t="s">
        <v>480</v>
      </c>
      <c r="H228" s="328">
        <v>10</v>
      </c>
      <c r="I228" s="11">
        <v>1</v>
      </c>
      <c r="J228" s="55" t="str">
        <f t="shared" si="33"/>
        <v>PitchingBest110Best Ball Pitching 50m</v>
      </c>
      <c r="K228" s="58" t="s">
        <v>1039</v>
      </c>
      <c r="L228" s="57" t="s">
        <v>1043</v>
      </c>
      <c r="M228" s="13"/>
      <c r="N228" s="90"/>
      <c r="O228" s="52"/>
      <c r="P228" s="13"/>
      <c r="Q228" s="35"/>
      <c r="R228" s="13"/>
      <c r="S228" s="13"/>
      <c r="T228" s="12"/>
      <c r="U228" s="54" t="str">
        <f t="shared" si="32"/>
        <v/>
      </c>
      <c r="V228" s="54"/>
      <c r="W228" s="81">
        <f t="shared" si="34"/>
        <v>0</v>
      </c>
      <c r="X228" s="11"/>
      <c r="Y228" s="11"/>
      <c r="Z228" s="11"/>
      <c r="AA228" s="11"/>
      <c r="AB228" s="11"/>
      <c r="AC228" s="11"/>
      <c r="AD228" s="11"/>
      <c r="AE228" s="11"/>
      <c r="AF228" s="11"/>
      <c r="AG228" s="11"/>
      <c r="AH228" s="11"/>
      <c r="AI228" s="11"/>
      <c r="AJ228" s="11"/>
      <c r="AK228" s="11"/>
      <c r="AL228" s="11"/>
      <c r="AM228" s="11"/>
      <c r="AN228" s="11"/>
      <c r="AO228" s="11"/>
      <c r="AP228" s="11"/>
      <c r="AQ228" s="11"/>
      <c r="AR228" s="11"/>
      <c r="AS228" s="11"/>
      <c r="AT228" s="11"/>
      <c r="AU228" s="11"/>
      <c r="AV228" s="11"/>
      <c r="AW228" s="11"/>
      <c r="AX228" s="11"/>
      <c r="AY228" s="11"/>
      <c r="AZ228" s="11"/>
      <c r="BA228" s="11"/>
      <c r="BB228" s="11"/>
      <c r="BC228" s="11"/>
      <c r="BD228" s="11"/>
      <c r="BE228" s="11"/>
      <c r="BF228" s="11"/>
      <c r="BG228" s="11"/>
      <c r="BH228" s="11"/>
      <c r="BI228" s="11"/>
      <c r="BJ228" s="11"/>
      <c r="BK228" s="11"/>
      <c r="BL228" s="11"/>
      <c r="BM228" s="11"/>
    </row>
    <row r="229" spans="1:65" ht="150" customHeight="1" x14ac:dyDescent="0.25">
      <c r="A229" s="11">
        <v>4029</v>
      </c>
      <c r="B229" s="11">
        <v>1</v>
      </c>
      <c r="C229" s="11" t="str">
        <f t="shared" si="31"/>
        <v>Pitching</v>
      </c>
      <c r="D229" s="11" t="s">
        <v>1084</v>
      </c>
      <c r="E229" s="42"/>
      <c r="F229" s="42"/>
      <c r="G229" s="151" t="s">
        <v>484</v>
      </c>
      <c r="H229" s="328">
        <v>10</v>
      </c>
      <c r="I229" s="11">
        <v>1</v>
      </c>
      <c r="J229" s="55" t="str">
        <f t="shared" si="33"/>
        <v>PitchingBest110Worst Ball Pitching 50m</v>
      </c>
      <c r="K229" s="58" t="s">
        <v>1040</v>
      </c>
      <c r="L229" s="57" t="s">
        <v>1041</v>
      </c>
      <c r="M229" s="13"/>
      <c r="N229" s="90"/>
      <c r="O229" s="52"/>
      <c r="P229" s="13"/>
      <c r="Q229" s="35"/>
      <c r="R229" s="13"/>
      <c r="S229" s="13"/>
      <c r="T229" s="12"/>
      <c r="U229" s="54" t="str">
        <f t="shared" si="32"/>
        <v/>
      </c>
      <c r="V229" s="54"/>
      <c r="W229" s="81">
        <f t="shared" si="34"/>
        <v>0</v>
      </c>
      <c r="X229" s="11"/>
      <c r="Y229" s="11"/>
      <c r="Z229" s="11"/>
      <c r="AA229" s="11"/>
      <c r="AB229" s="11"/>
      <c r="AC229" s="11"/>
      <c r="AD229" s="11"/>
      <c r="AE229" s="11"/>
      <c r="AF229" s="11"/>
      <c r="AG229" s="11"/>
      <c r="AH229" s="11"/>
      <c r="AI229" s="11"/>
      <c r="AJ229" s="11"/>
      <c r="AK229" s="11"/>
      <c r="AL229" s="11"/>
      <c r="AM229" s="11"/>
      <c r="AN229" s="11"/>
      <c r="AO229" s="11"/>
      <c r="AP229" s="11"/>
      <c r="AQ229" s="11"/>
      <c r="AR229" s="11"/>
      <c r="AS229" s="11"/>
      <c r="AT229" s="11"/>
      <c r="AU229" s="11"/>
      <c r="AV229" s="11"/>
      <c r="AW229" s="11"/>
      <c r="AX229" s="11"/>
      <c r="AY229" s="11"/>
      <c r="AZ229" s="11"/>
      <c r="BA229" s="11"/>
      <c r="BB229" s="11"/>
      <c r="BC229" s="11"/>
      <c r="BD229" s="11"/>
      <c r="BE229" s="11"/>
      <c r="BF229" s="11"/>
      <c r="BG229" s="11"/>
      <c r="BH229" s="11"/>
      <c r="BI229" s="11"/>
      <c r="BJ229" s="11"/>
      <c r="BK229" s="11"/>
      <c r="BL229" s="11"/>
      <c r="BM229" s="11"/>
    </row>
    <row r="230" spans="1:65" ht="150" customHeight="1" x14ac:dyDescent="0.25">
      <c r="A230" s="11">
        <v>4030</v>
      </c>
      <c r="B230" s="11">
        <v>1</v>
      </c>
      <c r="C230" s="11" t="str">
        <f t="shared" si="31"/>
        <v>Pitching</v>
      </c>
      <c r="D230" s="11" t="s">
        <v>1084</v>
      </c>
      <c r="E230" s="42"/>
      <c r="F230" s="42"/>
      <c r="G230" s="151" t="s">
        <v>485</v>
      </c>
      <c r="H230" s="328">
        <v>10</v>
      </c>
      <c r="I230" s="11">
        <v>1</v>
      </c>
      <c r="J230" s="55" t="str">
        <f t="shared" si="33"/>
        <v>PitchingBest110Worst Ball Pitching 50m</v>
      </c>
      <c r="K230" s="58" t="s">
        <v>1040</v>
      </c>
      <c r="L230" s="57" t="s">
        <v>1287</v>
      </c>
      <c r="M230" s="13"/>
      <c r="N230" s="90"/>
      <c r="O230" s="52"/>
      <c r="P230" s="13"/>
      <c r="Q230" s="35"/>
      <c r="R230" s="13"/>
      <c r="S230" s="13"/>
      <c r="T230" s="12"/>
      <c r="U230" s="54" t="str">
        <f t="shared" si="32"/>
        <v/>
      </c>
      <c r="V230" s="54"/>
      <c r="W230" s="81">
        <f t="shared" si="34"/>
        <v>0</v>
      </c>
      <c r="X230" s="11"/>
      <c r="Y230" s="11"/>
      <c r="Z230" s="11"/>
      <c r="AA230" s="11"/>
      <c r="AB230" s="11"/>
      <c r="AC230" s="11"/>
      <c r="AD230" s="11"/>
      <c r="AE230" s="11"/>
      <c r="AF230" s="11"/>
      <c r="AG230" s="11"/>
      <c r="AH230" s="11"/>
      <c r="AI230" s="11"/>
      <c r="AJ230" s="11"/>
      <c r="AK230" s="11"/>
      <c r="AL230" s="11"/>
      <c r="AM230" s="11"/>
      <c r="AN230" s="11"/>
      <c r="AO230" s="11"/>
      <c r="AP230" s="11"/>
      <c r="AQ230" s="11"/>
      <c r="AR230" s="11"/>
      <c r="AS230" s="11"/>
      <c r="AT230" s="11"/>
      <c r="AU230" s="11"/>
      <c r="AV230" s="11"/>
      <c r="AW230" s="11"/>
      <c r="AX230" s="11"/>
      <c r="AY230" s="11"/>
      <c r="AZ230" s="11"/>
      <c r="BA230" s="11"/>
      <c r="BB230" s="11"/>
      <c r="BC230" s="11"/>
      <c r="BD230" s="11"/>
      <c r="BE230" s="11"/>
      <c r="BF230" s="11"/>
      <c r="BG230" s="11"/>
      <c r="BH230" s="11"/>
      <c r="BI230" s="11"/>
      <c r="BJ230" s="11"/>
      <c r="BK230" s="11"/>
      <c r="BL230" s="11"/>
      <c r="BM230" s="11"/>
    </row>
    <row r="231" spans="1:65" ht="150" customHeight="1" x14ac:dyDescent="0.25">
      <c r="A231" s="11">
        <v>4031</v>
      </c>
      <c r="B231" s="11">
        <v>-1</v>
      </c>
      <c r="C231" s="11" t="str">
        <f t="shared" si="31"/>
        <v>Pitching</v>
      </c>
      <c r="D231" s="11" t="s">
        <v>181</v>
      </c>
      <c r="E231" s="42"/>
      <c r="F231" s="42"/>
      <c r="G231" s="151" t="s">
        <v>478</v>
      </c>
      <c r="H231" s="328">
        <v>10</v>
      </c>
      <c r="I231" s="11">
        <v>1</v>
      </c>
      <c r="J231" s="55" t="str">
        <f t="shared" si="33"/>
        <v>PitchingDrill110Best Ball Pitching 70m</v>
      </c>
      <c r="K231" s="58" t="s">
        <v>1044</v>
      </c>
      <c r="L231" s="57" t="s">
        <v>1045</v>
      </c>
      <c r="M231" s="13"/>
      <c r="N231" s="90"/>
      <c r="O231" s="52"/>
      <c r="P231" s="13"/>
      <c r="Q231" s="35"/>
      <c r="R231" s="13"/>
      <c r="S231" s="13"/>
      <c r="T231" s="12"/>
      <c r="U231" s="54" t="str">
        <f t="shared" si="32"/>
        <v/>
      </c>
      <c r="V231" s="54"/>
      <c r="W231" s="81">
        <f t="shared" si="34"/>
        <v>0</v>
      </c>
      <c r="X231" s="11"/>
      <c r="Y231" s="11"/>
      <c r="Z231" s="11"/>
      <c r="AA231" s="11"/>
      <c r="AB231" s="11"/>
      <c r="AC231" s="11"/>
      <c r="AD231" s="11"/>
      <c r="AE231" s="11"/>
      <c r="AF231" s="11"/>
      <c r="AG231" s="11"/>
      <c r="AH231" s="11"/>
      <c r="AI231" s="11"/>
      <c r="AJ231" s="11"/>
      <c r="AK231" s="11"/>
      <c r="AL231" s="11"/>
      <c r="AM231" s="11"/>
      <c r="AN231" s="11"/>
      <c r="AO231" s="11"/>
      <c r="AP231" s="11"/>
      <c r="AQ231" s="11"/>
      <c r="AR231" s="11"/>
      <c r="AS231" s="11"/>
      <c r="AT231" s="11"/>
      <c r="AU231" s="11"/>
      <c r="AV231" s="11"/>
      <c r="AW231" s="11"/>
      <c r="AX231" s="11"/>
      <c r="AY231" s="11"/>
      <c r="AZ231" s="11"/>
      <c r="BA231" s="11"/>
      <c r="BB231" s="11"/>
      <c r="BC231" s="11"/>
      <c r="BD231" s="11"/>
      <c r="BE231" s="11"/>
      <c r="BF231" s="11"/>
      <c r="BG231" s="11"/>
      <c r="BH231" s="11"/>
      <c r="BI231" s="11"/>
      <c r="BJ231" s="11"/>
      <c r="BK231" s="11"/>
      <c r="BL231" s="11"/>
      <c r="BM231" s="11"/>
    </row>
    <row r="232" spans="1:65" ht="150" customHeight="1" x14ac:dyDescent="0.25">
      <c r="A232" s="11">
        <v>4032</v>
      </c>
      <c r="B232" s="11">
        <v>-1</v>
      </c>
      <c r="C232" s="11" t="str">
        <f t="shared" ref="C232:C255" si="35">MUI_STAT_T_MainTitel_3</f>
        <v>Pitching</v>
      </c>
      <c r="D232" s="11" t="s">
        <v>181</v>
      </c>
      <c r="E232" s="42"/>
      <c r="F232" s="42"/>
      <c r="G232" s="151" t="s">
        <v>480</v>
      </c>
      <c r="H232" s="328">
        <v>10</v>
      </c>
      <c r="I232" s="11">
        <v>1</v>
      </c>
      <c r="J232" s="55" t="str">
        <f t="shared" si="33"/>
        <v>PitchingDrill110Best Ball Pitching 70m</v>
      </c>
      <c r="K232" s="58" t="s">
        <v>1044</v>
      </c>
      <c r="L232" s="57" t="s">
        <v>1046</v>
      </c>
      <c r="M232" s="13"/>
      <c r="N232" s="90"/>
      <c r="O232" s="52"/>
      <c r="P232" s="13"/>
      <c r="Q232" s="35"/>
      <c r="R232" s="13"/>
      <c r="S232" s="13"/>
      <c r="T232" s="12"/>
      <c r="U232" s="54" t="str">
        <f t="shared" si="32"/>
        <v/>
      </c>
      <c r="V232" s="54"/>
      <c r="W232" s="81">
        <f t="shared" si="34"/>
        <v>0</v>
      </c>
      <c r="X232" s="11"/>
      <c r="Y232" s="11"/>
      <c r="Z232" s="11"/>
      <c r="AA232" s="11"/>
      <c r="AB232" s="11"/>
      <c r="AC232" s="11"/>
      <c r="AD232" s="11"/>
      <c r="AE232" s="11"/>
      <c r="AF232" s="11"/>
      <c r="AG232" s="11"/>
      <c r="AH232" s="11"/>
      <c r="AI232" s="11"/>
      <c r="AJ232" s="11"/>
      <c r="AK232" s="11"/>
      <c r="AL232" s="11"/>
      <c r="AM232" s="11"/>
      <c r="AN232" s="11"/>
      <c r="AO232" s="11"/>
      <c r="AP232" s="11"/>
      <c r="AQ232" s="11"/>
      <c r="AR232" s="11"/>
      <c r="AS232" s="11"/>
      <c r="AT232" s="11"/>
      <c r="AU232" s="11"/>
      <c r="AV232" s="11"/>
      <c r="AW232" s="11"/>
      <c r="AX232" s="11"/>
      <c r="AY232" s="11"/>
      <c r="AZ232" s="11"/>
      <c r="BA232" s="11"/>
      <c r="BB232" s="11"/>
      <c r="BC232" s="11"/>
      <c r="BD232" s="11"/>
      <c r="BE232" s="11"/>
      <c r="BF232" s="11"/>
      <c r="BG232" s="11"/>
      <c r="BH232" s="11"/>
      <c r="BI232" s="11"/>
      <c r="BJ232" s="11"/>
      <c r="BK232" s="11"/>
      <c r="BL232" s="11"/>
      <c r="BM232" s="11"/>
    </row>
    <row r="233" spans="1:65" ht="150" customHeight="1" x14ac:dyDescent="0.25">
      <c r="A233" s="11">
        <v>4033</v>
      </c>
      <c r="B233" s="11">
        <v>-1</v>
      </c>
      <c r="C233" s="11" t="str">
        <f t="shared" si="35"/>
        <v>Pitching</v>
      </c>
      <c r="D233" s="11" t="s">
        <v>181</v>
      </c>
      <c r="E233" s="42"/>
      <c r="F233" s="42"/>
      <c r="G233" s="151" t="s">
        <v>484</v>
      </c>
      <c r="H233" s="328">
        <v>10</v>
      </c>
      <c r="I233" s="11">
        <v>1</v>
      </c>
      <c r="J233" s="55" t="str">
        <f t="shared" si="33"/>
        <v>PitchingDrill110Best Ball Pitching 70m</v>
      </c>
      <c r="K233" s="58" t="s">
        <v>1044</v>
      </c>
      <c r="L233" s="57" t="s">
        <v>1049</v>
      </c>
      <c r="M233" s="13"/>
      <c r="N233" s="90"/>
      <c r="O233" s="52"/>
      <c r="P233" s="13"/>
      <c r="Q233" s="35"/>
      <c r="R233" s="13"/>
      <c r="S233" s="13"/>
      <c r="T233" s="12"/>
      <c r="U233" s="54" t="str">
        <f t="shared" si="32"/>
        <v/>
      </c>
      <c r="V233" s="54"/>
      <c r="W233" s="81">
        <f t="shared" si="34"/>
        <v>0</v>
      </c>
      <c r="X233" s="11"/>
      <c r="Y233" s="11"/>
      <c r="Z233" s="11"/>
      <c r="AA233" s="11"/>
      <c r="AB233" s="11"/>
      <c r="AC233" s="11"/>
      <c r="AD233" s="11"/>
      <c r="AE233" s="11"/>
      <c r="AF233" s="11"/>
      <c r="AG233" s="11"/>
      <c r="AH233" s="11"/>
      <c r="AI233" s="11"/>
      <c r="AJ233" s="11"/>
      <c r="AK233" s="11"/>
      <c r="AL233" s="11"/>
      <c r="AM233" s="11"/>
      <c r="AN233" s="11"/>
      <c r="AO233" s="11"/>
      <c r="AP233" s="11"/>
      <c r="AQ233" s="11"/>
      <c r="AR233" s="11"/>
      <c r="AS233" s="11"/>
      <c r="AT233" s="11"/>
      <c r="AU233" s="11"/>
      <c r="AV233" s="11"/>
      <c r="AW233" s="11"/>
      <c r="AX233" s="11"/>
      <c r="AY233" s="11"/>
      <c r="AZ233" s="11"/>
      <c r="BA233" s="11"/>
      <c r="BB233" s="11"/>
      <c r="BC233" s="11"/>
      <c r="BD233" s="11"/>
      <c r="BE233" s="11"/>
      <c r="BF233" s="11"/>
      <c r="BG233" s="11"/>
      <c r="BH233" s="11"/>
      <c r="BI233" s="11"/>
      <c r="BJ233" s="11"/>
      <c r="BK233" s="11"/>
      <c r="BL233" s="11"/>
      <c r="BM233" s="11"/>
    </row>
    <row r="234" spans="1:65" ht="150" customHeight="1" x14ac:dyDescent="0.25">
      <c r="A234" s="11">
        <v>4034</v>
      </c>
      <c r="B234" s="11">
        <v>-1</v>
      </c>
      <c r="C234" s="11" t="str">
        <f t="shared" si="35"/>
        <v>Pitching</v>
      </c>
      <c r="D234" s="11" t="s">
        <v>181</v>
      </c>
      <c r="E234" s="42"/>
      <c r="F234" s="42"/>
      <c r="G234" s="151" t="s">
        <v>485</v>
      </c>
      <c r="H234" s="328">
        <v>10</v>
      </c>
      <c r="I234" s="11">
        <v>1</v>
      </c>
      <c r="J234" s="55" t="str">
        <f t="shared" si="33"/>
        <v>PitchingDrill110Worst Ball Pitching 70m</v>
      </c>
      <c r="K234" s="58" t="s">
        <v>1047</v>
      </c>
      <c r="L234" s="57" t="s">
        <v>1048</v>
      </c>
      <c r="M234" s="13"/>
      <c r="N234" s="90"/>
      <c r="O234" s="52"/>
      <c r="P234" s="13"/>
      <c r="Q234" s="35"/>
      <c r="R234" s="13"/>
      <c r="S234" s="13"/>
      <c r="T234" s="12"/>
      <c r="U234" s="54" t="str">
        <f t="shared" si="32"/>
        <v/>
      </c>
      <c r="V234" s="54"/>
      <c r="W234" s="81">
        <f t="shared" si="34"/>
        <v>0</v>
      </c>
      <c r="X234" s="11"/>
      <c r="Y234" s="11"/>
      <c r="Z234" s="11"/>
      <c r="AA234" s="11"/>
      <c r="AB234" s="11"/>
      <c r="AC234" s="11"/>
      <c r="AD234" s="11"/>
      <c r="AE234" s="11"/>
      <c r="AF234" s="11"/>
      <c r="AG234" s="11"/>
      <c r="AH234" s="11"/>
      <c r="AI234" s="11"/>
      <c r="AJ234" s="11"/>
      <c r="AK234" s="11"/>
      <c r="AL234" s="11"/>
      <c r="AM234" s="11"/>
      <c r="AN234" s="11"/>
      <c r="AO234" s="11"/>
      <c r="AP234" s="11"/>
      <c r="AQ234" s="11"/>
      <c r="AR234" s="11"/>
      <c r="AS234" s="11"/>
      <c r="AT234" s="11"/>
      <c r="AU234" s="11"/>
      <c r="AV234" s="11"/>
      <c r="AW234" s="11"/>
      <c r="AX234" s="11"/>
      <c r="AY234" s="11"/>
      <c r="AZ234" s="11"/>
      <c r="BA234" s="11"/>
      <c r="BB234" s="11"/>
      <c r="BC234" s="11"/>
      <c r="BD234" s="11"/>
      <c r="BE234" s="11"/>
      <c r="BF234" s="11"/>
      <c r="BG234" s="11"/>
      <c r="BH234" s="11"/>
      <c r="BI234" s="11"/>
      <c r="BJ234" s="11"/>
      <c r="BK234" s="11"/>
      <c r="BL234" s="11"/>
      <c r="BM234" s="11"/>
    </row>
    <row r="235" spans="1:65" ht="150" customHeight="1" x14ac:dyDescent="0.25">
      <c r="A235" s="11">
        <v>4035</v>
      </c>
      <c r="B235" s="11">
        <v>-1</v>
      </c>
      <c r="C235" s="11" t="str">
        <f t="shared" si="35"/>
        <v>Pitching</v>
      </c>
      <c r="D235" s="11" t="s">
        <v>6</v>
      </c>
      <c r="E235" s="42"/>
      <c r="F235" s="42"/>
      <c r="G235" s="151" t="s">
        <v>861</v>
      </c>
      <c r="H235" s="328">
        <v>10</v>
      </c>
      <c r="I235" s="11">
        <v>2</v>
      </c>
      <c r="J235" s="55" t="str">
        <f t="shared" si="33"/>
        <v>PitchingGame210Best of 10 : Worst  vs. Best Ball Pitching 70m</v>
      </c>
      <c r="K235" s="58" t="s">
        <v>1051</v>
      </c>
      <c r="L235" s="57" t="s">
        <v>1050</v>
      </c>
      <c r="M235" s="13"/>
      <c r="N235" s="90"/>
      <c r="O235" s="52"/>
      <c r="P235" s="13"/>
      <c r="Q235" s="35"/>
      <c r="R235" s="13"/>
      <c r="S235" s="13"/>
      <c r="T235" s="12"/>
      <c r="U235" s="54" t="str">
        <f t="shared" si="32"/>
        <v/>
      </c>
      <c r="V235" s="54"/>
      <c r="W235" s="81">
        <f t="shared" si="34"/>
        <v>0</v>
      </c>
      <c r="X235" s="11"/>
      <c r="Y235" s="11"/>
      <c r="Z235" s="11"/>
      <c r="AA235" s="11"/>
      <c r="AB235" s="11"/>
      <c r="AC235" s="11"/>
      <c r="AD235" s="11"/>
      <c r="AE235" s="11"/>
      <c r="AF235" s="11"/>
      <c r="AG235" s="11"/>
      <c r="AH235" s="11"/>
      <c r="AI235" s="11"/>
      <c r="AJ235" s="11"/>
      <c r="AK235" s="11"/>
      <c r="AL235" s="11"/>
      <c r="AM235" s="11"/>
      <c r="AN235" s="11"/>
      <c r="AO235" s="11"/>
      <c r="AP235" s="11"/>
      <c r="AQ235" s="11"/>
      <c r="AR235" s="11"/>
      <c r="AS235" s="11"/>
      <c r="AT235" s="11"/>
      <c r="AU235" s="11"/>
      <c r="AV235" s="11"/>
      <c r="AW235" s="11"/>
      <c r="AX235" s="11"/>
      <c r="AY235" s="11"/>
      <c r="AZ235" s="11"/>
      <c r="BA235" s="11"/>
      <c r="BB235" s="11"/>
      <c r="BC235" s="11"/>
      <c r="BD235" s="11"/>
      <c r="BE235" s="11"/>
      <c r="BF235" s="11"/>
      <c r="BG235" s="11"/>
      <c r="BH235" s="11"/>
      <c r="BI235" s="11"/>
      <c r="BJ235" s="11"/>
      <c r="BK235" s="11"/>
      <c r="BL235" s="11"/>
      <c r="BM235" s="11"/>
    </row>
    <row r="236" spans="1:65" ht="150" customHeight="1" x14ac:dyDescent="0.25">
      <c r="A236" s="11">
        <v>4036</v>
      </c>
      <c r="B236" s="11">
        <v>-1</v>
      </c>
      <c r="C236" s="11" t="str">
        <f t="shared" si="35"/>
        <v>Pitching</v>
      </c>
      <c r="D236" s="11" t="s">
        <v>6</v>
      </c>
      <c r="E236" s="42"/>
      <c r="F236" s="42"/>
      <c r="G236" s="151" t="s">
        <v>861</v>
      </c>
      <c r="H236" s="328">
        <v>10</v>
      </c>
      <c r="I236" s="11">
        <v>2</v>
      </c>
      <c r="J236" s="55" t="str">
        <f t="shared" si="33"/>
        <v>PitchingGame210Best of 10 : Worst  vs. Best Ball Pitching 50m</v>
      </c>
      <c r="K236" s="58" t="s">
        <v>1052</v>
      </c>
      <c r="L236" s="57" t="s">
        <v>1053</v>
      </c>
      <c r="M236" s="13"/>
      <c r="N236" s="90"/>
      <c r="O236" s="52"/>
      <c r="P236" s="13"/>
      <c r="Q236" s="35"/>
      <c r="R236" s="13"/>
      <c r="S236" s="13"/>
      <c r="T236" s="12"/>
      <c r="U236" s="54" t="str">
        <f t="shared" si="32"/>
        <v/>
      </c>
      <c r="V236" s="54"/>
      <c r="W236" s="81">
        <f t="shared" si="34"/>
        <v>0</v>
      </c>
      <c r="X236" s="11"/>
      <c r="Y236" s="11"/>
      <c r="Z236" s="11"/>
      <c r="AA236" s="11"/>
      <c r="AB236" s="11"/>
      <c r="AC236" s="11"/>
      <c r="AD236" s="11"/>
      <c r="AE236" s="11"/>
      <c r="AF236" s="11"/>
      <c r="AG236" s="11"/>
      <c r="AH236" s="11"/>
      <c r="AI236" s="11"/>
      <c r="AJ236" s="11"/>
      <c r="AK236" s="11"/>
      <c r="AL236" s="11"/>
      <c r="AM236" s="11"/>
      <c r="AN236" s="11"/>
      <c r="AO236" s="11"/>
      <c r="AP236" s="11"/>
      <c r="AQ236" s="11"/>
      <c r="AR236" s="11"/>
      <c r="AS236" s="11"/>
      <c r="AT236" s="11"/>
      <c r="AU236" s="11"/>
      <c r="AV236" s="11"/>
      <c r="AW236" s="11"/>
      <c r="AX236" s="11"/>
      <c r="AY236" s="11"/>
      <c r="AZ236" s="11"/>
      <c r="BA236" s="11"/>
      <c r="BB236" s="11"/>
      <c r="BC236" s="11"/>
      <c r="BD236" s="11"/>
      <c r="BE236" s="11"/>
      <c r="BF236" s="11"/>
      <c r="BG236" s="11"/>
      <c r="BH236" s="11"/>
      <c r="BI236" s="11"/>
      <c r="BJ236" s="11"/>
      <c r="BK236" s="11"/>
      <c r="BL236" s="11"/>
      <c r="BM236" s="11"/>
    </row>
    <row r="237" spans="1:65" ht="150" customHeight="1" x14ac:dyDescent="0.25">
      <c r="A237" s="11">
        <v>4037</v>
      </c>
      <c r="B237" s="11">
        <v>-1</v>
      </c>
      <c r="C237" s="11" t="str">
        <f t="shared" si="35"/>
        <v>Pitching</v>
      </c>
      <c r="D237" s="11" t="s">
        <v>6</v>
      </c>
      <c r="E237" s="42"/>
      <c r="F237" s="42"/>
      <c r="G237" s="151" t="s">
        <v>861</v>
      </c>
      <c r="H237" s="328">
        <v>10</v>
      </c>
      <c r="I237" s="11">
        <v>2</v>
      </c>
      <c r="J237" s="55" t="str">
        <f t="shared" si="33"/>
        <v>PitchingGame210Best of 10 : Worst  vs. Best Ball Pitching 30m</v>
      </c>
      <c r="K237" s="58" t="s">
        <v>1054</v>
      </c>
      <c r="L237" s="57" t="s">
        <v>1055</v>
      </c>
      <c r="M237" s="13"/>
      <c r="N237" s="90"/>
      <c r="O237" s="52"/>
      <c r="P237" s="13"/>
      <c r="Q237" s="35"/>
      <c r="R237" s="13"/>
      <c r="S237" s="13"/>
      <c r="T237" s="12"/>
      <c r="U237" s="54" t="str">
        <f t="shared" si="32"/>
        <v/>
      </c>
      <c r="V237" s="54"/>
      <c r="W237" s="81">
        <f t="shared" si="34"/>
        <v>0</v>
      </c>
      <c r="X237" s="11"/>
      <c r="Y237" s="11"/>
      <c r="Z237" s="11"/>
      <c r="AA237" s="11"/>
      <c r="AB237" s="11"/>
      <c r="AC237" s="11"/>
      <c r="AD237" s="11"/>
      <c r="AE237" s="11"/>
      <c r="AF237" s="11"/>
      <c r="AG237" s="11"/>
      <c r="AH237" s="11"/>
      <c r="AI237" s="11"/>
      <c r="AJ237" s="11"/>
      <c r="AK237" s="11"/>
      <c r="AL237" s="11"/>
      <c r="AM237" s="11"/>
      <c r="AN237" s="11"/>
      <c r="AO237" s="11"/>
      <c r="AP237" s="11"/>
      <c r="AQ237" s="11"/>
      <c r="AR237" s="11"/>
      <c r="AS237" s="11"/>
      <c r="AT237" s="11"/>
      <c r="AU237" s="11"/>
      <c r="AV237" s="11"/>
      <c r="AW237" s="11"/>
      <c r="AX237" s="11"/>
      <c r="AY237" s="11"/>
      <c r="AZ237" s="11"/>
      <c r="BA237" s="11"/>
      <c r="BB237" s="11"/>
      <c r="BC237" s="11"/>
      <c r="BD237" s="11"/>
      <c r="BE237" s="11"/>
      <c r="BF237" s="11"/>
      <c r="BG237" s="11"/>
      <c r="BH237" s="11"/>
      <c r="BI237" s="11"/>
      <c r="BJ237" s="11"/>
      <c r="BK237" s="11"/>
      <c r="BL237" s="11"/>
      <c r="BM237" s="11"/>
    </row>
    <row r="238" spans="1:65" ht="150" customHeight="1" x14ac:dyDescent="0.25">
      <c r="A238" s="11">
        <v>4038</v>
      </c>
      <c r="B238" s="11">
        <v>-1</v>
      </c>
      <c r="C238" s="11" t="str">
        <f t="shared" si="35"/>
        <v>Pitching</v>
      </c>
      <c r="D238" s="11" t="s">
        <v>6</v>
      </c>
      <c r="E238" s="42"/>
      <c r="F238" s="42"/>
      <c r="G238" s="151" t="s">
        <v>861</v>
      </c>
      <c r="H238" s="328">
        <v>10</v>
      </c>
      <c r="I238" s="11">
        <v>2</v>
      </c>
      <c r="J238" s="55" t="str">
        <f t="shared" si="33"/>
        <v>PitchingGame210Best of 10 : Worst  vs. Best Ball Pitching 20m</v>
      </c>
      <c r="K238" s="58" t="s">
        <v>1056</v>
      </c>
      <c r="L238" s="57" t="s">
        <v>1057</v>
      </c>
      <c r="M238" s="13"/>
      <c r="N238" s="90"/>
      <c r="O238" s="52"/>
      <c r="P238" s="13"/>
      <c r="Q238" s="35"/>
      <c r="R238" s="13"/>
      <c r="S238" s="13"/>
      <c r="T238" s="12"/>
      <c r="U238" s="54" t="str">
        <f t="shared" si="32"/>
        <v/>
      </c>
      <c r="V238" s="54"/>
      <c r="W238" s="81">
        <f t="shared" si="34"/>
        <v>0</v>
      </c>
      <c r="X238" s="11"/>
      <c r="Y238" s="11"/>
      <c r="Z238" s="11"/>
      <c r="AA238" s="11"/>
      <c r="AB238" s="11"/>
      <c r="AC238" s="11"/>
      <c r="AD238" s="11"/>
      <c r="AE238" s="11"/>
      <c r="AF238" s="11"/>
      <c r="AG238" s="11"/>
      <c r="AH238" s="11"/>
      <c r="AI238" s="11"/>
      <c r="AJ238" s="11"/>
      <c r="AK238" s="11"/>
      <c r="AL238" s="11"/>
      <c r="AM238" s="11"/>
      <c r="AN238" s="11"/>
      <c r="AO238" s="11"/>
      <c r="AP238" s="11"/>
      <c r="AQ238" s="11"/>
      <c r="AR238" s="11"/>
      <c r="AS238" s="11"/>
      <c r="AT238" s="11"/>
      <c r="AU238" s="11"/>
      <c r="AV238" s="11"/>
      <c r="AW238" s="11"/>
      <c r="AX238" s="11"/>
      <c r="AY238" s="11"/>
      <c r="AZ238" s="11"/>
      <c r="BA238" s="11"/>
      <c r="BB238" s="11"/>
      <c r="BC238" s="11"/>
      <c r="BD238" s="11"/>
      <c r="BE238" s="11"/>
      <c r="BF238" s="11"/>
      <c r="BG238" s="11"/>
      <c r="BH238" s="11"/>
      <c r="BI238" s="11"/>
      <c r="BJ238" s="11"/>
      <c r="BK238" s="11"/>
      <c r="BL238" s="11"/>
      <c r="BM238" s="11"/>
    </row>
    <row r="239" spans="1:65" ht="150" customHeight="1" x14ac:dyDescent="0.25">
      <c r="A239" s="11">
        <v>4039</v>
      </c>
      <c r="B239" s="11">
        <v>1</v>
      </c>
      <c r="C239" s="11" t="str">
        <f t="shared" si="35"/>
        <v>Pitching</v>
      </c>
      <c r="D239" s="11" t="s">
        <v>51</v>
      </c>
      <c r="E239" s="42"/>
      <c r="F239" s="42"/>
      <c r="G239" s="151" t="s">
        <v>861</v>
      </c>
      <c r="H239" s="328">
        <v>15</v>
      </c>
      <c r="I239" s="11" t="s">
        <v>1101</v>
      </c>
      <c r="J239" s="55" t="str">
        <f t="shared" si="33"/>
        <v>PitchingTest1+159 Holes Up and Down 20-40m</v>
      </c>
      <c r="K239" s="58" t="s">
        <v>1279</v>
      </c>
      <c r="L239" s="57" t="s">
        <v>1303</v>
      </c>
      <c r="M239" s="13"/>
      <c r="N239" s="90"/>
      <c r="O239" s="52"/>
      <c r="P239" s="13"/>
      <c r="Q239" s="35"/>
      <c r="R239" s="13"/>
      <c r="S239" s="13"/>
      <c r="T239" s="12"/>
      <c r="U239" s="54">
        <f t="shared" si="32"/>
        <v>38</v>
      </c>
      <c r="V239" s="304" t="s">
        <v>1285</v>
      </c>
      <c r="W239" s="81">
        <f t="shared" si="34"/>
        <v>39</v>
      </c>
      <c r="X239" s="11">
        <v>19.799999952316284</v>
      </c>
      <c r="Y239" s="11">
        <v>20.099999964237213</v>
      </c>
      <c r="Z239" s="11">
        <v>20.399999976158142</v>
      </c>
      <c r="AA239" s="11">
        <v>20.699999988079071</v>
      </c>
      <c r="AB239" s="170">
        <v>21</v>
      </c>
      <c r="AC239" s="11">
        <v>21.300000011920929</v>
      </c>
      <c r="AD239" s="11">
        <v>21.600000023841858</v>
      </c>
      <c r="AE239" s="11">
        <v>21.900000035762787</v>
      </c>
      <c r="AF239" s="11">
        <v>22.200000047683716</v>
      </c>
      <c r="AG239" s="11">
        <v>22.500000059604645</v>
      </c>
      <c r="AH239" s="11">
        <v>22.800000071525574</v>
      </c>
      <c r="AI239" s="11">
        <v>23.100000083446503</v>
      </c>
      <c r="AJ239" s="11">
        <v>23.400000095367432</v>
      </c>
      <c r="AK239" s="11">
        <v>23.700000107288361</v>
      </c>
      <c r="AL239" s="170">
        <v>24</v>
      </c>
      <c r="AM239" s="11">
        <v>24.555555582046509</v>
      </c>
      <c r="AN239" s="11">
        <v>25.111111164093018</v>
      </c>
      <c r="AO239" s="11">
        <v>25.666666746139526</v>
      </c>
      <c r="AP239" s="11">
        <v>26.222222328186035</v>
      </c>
      <c r="AQ239" s="11">
        <v>26.777777910232544</v>
      </c>
      <c r="AR239" s="11">
        <v>27.333333492279053</v>
      </c>
      <c r="AS239" s="11">
        <v>27.888889074325562</v>
      </c>
      <c r="AT239" s="11">
        <v>28.44444465637207</v>
      </c>
      <c r="AU239" s="170">
        <v>29</v>
      </c>
      <c r="AV239" s="11">
        <v>30</v>
      </c>
      <c r="AW239" s="11">
        <v>30</v>
      </c>
      <c r="AX239" s="11">
        <v>31</v>
      </c>
      <c r="AY239" s="11">
        <v>31</v>
      </c>
      <c r="AZ239" s="11">
        <v>32</v>
      </c>
      <c r="BA239" s="11">
        <v>32</v>
      </c>
      <c r="BB239" s="11">
        <v>33</v>
      </c>
      <c r="BC239" s="11">
        <v>33</v>
      </c>
      <c r="BD239" s="11">
        <v>34</v>
      </c>
      <c r="BE239" s="11">
        <v>35</v>
      </c>
      <c r="BF239" s="11">
        <v>35</v>
      </c>
      <c r="BG239" s="11">
        <v>36</v>
      </c>
      <c r="BH239" s="11">
        <v>36</v>
      </c>
      <c r="BI239" s="11">
        <v>37</v>
      </c>
      <c r="BJ239" s="11">
        <v>37</v>
      </c>
      <c r="BK239" s="11">
        <v>38</v>
      </c>
      <c r="BL239" s="11">
        <v>38</v>
      </c>
      <c r="BM239" s="11">
        <v>39</v>
      </c>
    </row>
    <row r="240" spans="1:65" ht="150" customHeight="1" x14ac:dyDescent="0.25">
      <c r="A240" s="11">
        <v>4040</v>
      </c>
      <c r="B240" s="11">
        <v>1</v>
      </c>
      <c r="C240" s="11" t="str">
        <f t="shared" si="35"/>
        <v>Pitching</v>
      </c>
      <c r="D240" s="11" t="s">
        <v>51</v>
      </c>
      <c r="E240" s="42"/>
      <c r="F240" s="42"/>
      <c r="G240" s="151" t="s">
        <v>861</v>
      </c>
      <c r="H240" s="328">
        <v>15</v>
      </c>
      <c r="I240" s="11" t="s">
        <v>1101</v>
      </c>
      <c r="J240" s="55" t="str">
        <f>C240&amp;D240&amp;I240&amp;H240&amp;K240</f>
        <v>PitchingTest1+159 Holes Up and Down 40-60m</v>
      </c>
      <c r="K240" s="58" t="s">
        <v>1280</v>
      </c>
      <c r="L240" s="57" t="s">
        <v>1304</v>
      </c>
      <c r="M240" s="13"/>
      <c r="N240" s="90"/>
      <c r="O240" s="52"/>
      <c r="P240" s="13"/>
      <c r="Q240" s="35"/>
      <c r="R240" s="13"/>
      <c r="S240" s="13"/>
      <c r="T240" s="12"/>
      <c r="U240" s="54">
        <f>IFERROR(IF(LEN(X240)&gt;0,INT(INDEX(X240:BM240,0,DBE_HCP_ID)),""),"")</f>
        <v>44</v>
      </c>
      <c r="V240" s="304" t="s">
        <v>1285</v>
      </c>
      <c r="W240" s="81">
        <f>MAX(X240:BM240)</f>
        <v>45</v>
      </c>
      <c r="X240" s="11">
        <v>22.799999952316284</v>
      </c>
      <c r="Y240" s="11">
        <v>23.099999964237213</v>
      </c>
      <c r="Z240" s="11">
        <v>23.399999976158142</v>
      </c>
      <c r="AA240" s="11">
        <v>23.699999988079071</v>
      </c>
      <c r="AB240" s="170">
        <v>24</v>
      </c>
      <c r="AC240" s="11">
        <v>24.300000011920929</v>
      </c>
      <c r="AD240" s="11">
        <v>24.600000023841858</v>
      </c>
      <c r="AE240" s="11">
        <v>24.900000035762787</v>
      </c>
      <c r="AF240" s="11">
        <v>25.200000047683716</v>
      </c>
      <c r="AG240" s="11">
        <v>25.500000059604645</v>
      </c>
      <c r="AH240" s="11">
        <v>25.800000071525574</v>
      </c>
      <c r="AI240" s="11">
        <v>26.100000083446503</v>
      </c>
      <c r="AJ240" s="11">
        <v>26.400000095367432</v>
      </c>
      <c r="AK240" s="11">
        <v>26.700000107288361</v>
      </c>
      <c r="AL240" s="170">
        <v>27</v>
      </c>
      <c r="AM240" s="11">
        <v>27.666666686534882</v>
      </c>
      <c r="AN240" s="11">
        <v>28.333333373069763</v>
      </c>
      <c r="AO240" s="11">
        <v>29.000000059604645</v>
      </c>
      <c r="AP240" s="11">
        <v>29.666666746139526</v>
      </c>
      <c r="AQ240" s="11">
        <v>30.333333432674408</v>
      </c>
      <c r="AR240" s="11">
        <v>31.00000011920929</v>
      </c>
      <c r="AS240" s="11">
        <v>31.666666805744171</v>
      </c>
      <c r="AT240" s="11">
        <v>32.333333492279053</v>
      </c>
      <c r="AU240" s="170">
        <v>33</v>
      </c>
      <c r="AV240" s="11">
        <v>34</v>
      </c>
      <c r="AW240" s="11">
        <v>34</v>
      </c>
      <c r="AX240" s="11">
        <v>35</v>
      </c>
      <c r="AY240" s="11">
        <v>36</v>
      </c>
      <c r="AZ240" s="11">
        <v>36</v>
      </c>
      <c r="BA240" s="11">
        <v>37</v>
      </c>
      <c r="BB240" s="11">
        <v>38</v>
      </c>
      <c r="BC240" s="11">
        <v>38</v>
      </c>
      <c r="BD240" s="11">
        <v>39</v>
      </c>
      <c r="BE240" s="11">
        <v>40</v>
      </c>
      <c r="BF240" s="11">
        <v>40</v>
      </c>
      <c r="BG240" s="11">
        <v>41</v>
      </c>
      <c r="BH240" s="11">
        <v>42</v>
      </c>
      <c r="BI240" s="11">
        <v>42</v>
      </c>
      <c r="BJ240" s="11">
        <v>43</v>
      </c>
      <c r="BK240" s="11">
        <v>44</v>
      </c>
      <c r="BL240" s="11">
        <v>44</v>
      </c>
      <c r="BM240" s="11">
        <v>45</v>
      </c>
    </row>
    <row r="241" spans="1:65" ht="150" customHeight="1" x14ac:dyDescent="0.25">
      <c r="A241" s="11">
        <v>4041</v>
      </c>
      <c r="B241" s="11">
        <v>1</v>
      </c>
      <c r="C241" s="11" t="str">
        <f t="shared" si="35"/>
        <v>Pitching</v>
      </c>
      <c r="D241" s="11" t="s">
        <v>51</v>
      </c>
      <c r="E241" s="42"/>
      <c r="F241" s="42"/>
      <c r="G241" s="151" t="s">
        <v>861</v>
      </c>
      <c r="H241" s="328">
        <v>15</v>
      </c>
      <c r="I241" s="11" t="s">
        <v>1101</v>
      </c>
      <c r="J241" s="55" t="str">
        <f>C241&amp;D241&amp;I241&amp;H241&amp;K241</f>
        <v>PitchingTest1+159 Holes Up and Down 60-80m</v>
      </c>
      <c r="K241" s="58" t="s">
        <v>1281</v>
      </c>
      <c r="L241" s="57" t="s">
        <v>1305</v>
      </c>
      <c r="M241" s="13"/>
      <c r="N241" s="90"/>
      <c r="O241" s="52"/>
      <c r="P241" s="13"/>
      <c r="Q241" s="35"/>
      <c r="R241" s="13"/>
      <c r="S241" s="13"/>
      <c r="T241" s="12"/>
      <c r="U241" s="54">
        <f>IFERROR(IF(LEN(X241)&gt;0,INT(INDEX(X241:BM241,0,DBE_HCP_ID)),""),"")</f>
        <v>52</v>
      </c>
      <c r="V241" s="304" t="s">
        <v>1285</v>
      </c>
      <c r="W241" s="81">
        <f>MAX(X241:BM241)</f>
        <v>54</v>
      </c>
      <c r="X241" s="11">
        <v>23</v>
      </c>
      <c r="Y241" s="11">
        <v>23.5</v>
      </c>
      <c r="Z241" s="11">
        <v>24</v>
      </c>
      <c r="AA241" s="11">
        <v>24.5</v>
      </c>
      <c r="AB241" s="170">
        <v>25</v>
      </c>
      <c r="AC241" s="11">
        <v>25.5</v>
      </c>
      <c r="AD241" s="11">
        <v>26</v>
      </c>
      <c r="AE241" s="11">
        <v>26.5</v>
      </c>
      <c r="AF241" s="11">
        <v>27</v>
      </c>
      <c r="AG241" s="11">
        <v>27.5</v>
      </c>
      <c r="AH241" s="11">
        <v>28</v>
      </c>
      <c r="AI241" s="11">
        <v>28.5</v>
      </c>
      <c r="AJ241" s="11">
        <v>29</v>
      </c>
      <c r="AK241" s="11">
        <v>29.5</v>
      </c>
      <c r="AL241" s="170">
        <v>30</v>
      </c>
      <c r="AM241" s="11">
        <v>30.888888895511627</v>
      </c>
      <c r="AN241" s="11">
        <v>31.777777791023254</v>
      </c>
      <c r="AO241" s="11">
        <v>32.666666686534882</v>
      </c>
      <c r="AP241" s="11">
        <v>33.555555582046509</v>
      </c>
      <c r="AQ241" s="11">
        <v>34.444444477558136</v>
      </c>
      <c r="AR241" s="11">
        <v>35.333333373069763</v>
      </c>
      <c r="AS241" s="11">
        <v>36.22222226858139</v>
      </c>
      <c r="AT241" s="11">
        <v>37.111111164093018</v>
      </c>
      <c r="AU241" s="170">
        <v>38</v>
      </c>
      <c r="AV241" s="11">
        <v>39</v>
      </c>
      <c r="AW241" s="11">
        <v>40</v>
      </c>
      <c r="AX241" s="11">
        <v>41</v>
      </c>
      <c r="AY241" s="11">
        <v>42</v>
      </c>
      <c r="AZ241" s="11">
        <v>42</v>
      </c>
      <c r="BA241" s="11">
        <v>43</v>
      </c>
      <c r="BB241" s="11">
        <v>44</v>
      </c>
      <c r="BC241" s="11">
        <v>45</v>
      </c>
      <c r="BD241" s="11">
        <v>46</v>
      </c>
      <c r="BE241" s="11">
        <v>47</v>
      </c>
      <c r="BF241" s="11">
        <v>48</v>
      </c>
      <c r="BG241" s="11">
        <v>49</v>
      </c>
      <c r="BH241" s="11">
        <v>50</v>
      </c>
      <c r="BI241" s="11">
        <v>50</v>
      </c>
      <c r="BJ241" s="11">
        <v>51</v>
      </c>
      <c r="BK241" s="11">
        <v>52</v>
      </c>
      <c r="BL241" s="11">
        <v>53</v>
      </c>
      <c r="BM241" s="11">
        <v>54</v>
      </c>
    </row>
    <row r="242" spans="1:65" ht="150" customHeight="1" x14ac:dyDescent="0.25">
      <c r="A242" s="11">
        <v>4042</v>
      </c>
      <c r="B242" s="11">
        <v>1</v>
      </c>
      <c r="C242" s="11" t="str">
        <f t="shared" si="35"/>
        <v>Pitching</v>
      </c>
      <c r="D242" s="11" t="s">
        <v>51</v>
      </c>
      <c r="E242" s="42"/>
      <c r="F242" s="42"/>
      <c r="G242" s="151" t="s">
        <v>861</v>
      </c>
      <c r="H242" s="328">
        <v>15</v>
      </c>
      <c r="I242" s="11" t="s">
        <v>1101</v>
      </c>
      <c r="J242" s="55" t="str">
        <f t="shared" si="33"/>
        <v>PitchingTest1+1518 Holes Up and Down 20-40m</v>
      </c>
      <c r="K242" s="58" t="s">
        <v>1282</v>
      </c>
      <c r="L242" s="57" t="s">
        <v>1306</v>
      </c>
      <c r="M242" s="13"/>
      <c r="N242" s="90"/>
      <c r="O242" s="52"/>
      <c r="P242" s="13"/>
      <c r="Q242" s="35"/>
      <c r="R242" s="13"/>
      <c r="S242" s="13"/>
      <c r="T242" s="12"/>
      <c r="U242" s="54">
        <f t="shared" si="32"/>
        <v>76</v>
      </c>
      <c r="V242" s="304" t="s">
        <v>1285</v>
      </c>
      <c r="W242" s="81">
        <f t="shared" si="34"/>
        <v>78</v>
      </c>
      <c r="X242" s="11">
        <v>39.599999904632568</v>
      </c>
      <c r="Y242" s="11">
        <v>40.199999928474426</v>
      </c>
      <c r="Z242" s="11">
        <v>40.799999952316284</v>
      </c>
      <c r="AA242" s="11">
        <v>41.399999976158142</v>
      </c>
      <c r="AB242" s="170">
        <v>42</v>
      </c>
      <c r="AC242" s="11">
        <v>42.600000023841858</v>
      </c>
      <c r="AD242" s="11">
        <v>43.200000047683716</v>
      </c>
      <c r="AE242" s="11">
        <v>43.800000071525574</v>
      </c>
      <c r="AF242" s="11">
        <v>44.400000095367432</v>
      </c>
      <c r="AG242" s="11">
        <v>45.00000011920929</v>
      </c>
      <c r="AH242" s="11">
        <v>45.600000143051147</v>
      </c>
      <c r="AI242" s="11">
        <v>46.200000166893005</v>
      </c>
      <c r="AJ242" s="11">
        <v>46.800000190734863</v>
      </c>
      <c r="AK242" s="11">
        <v>47.400000214576721</v>
      </c>
      <c r="AL242" s="170">
        <v>48</v>
      </c>
      <c r="AM242" s="11">
        <v>49.111111164093018</v>
      </c>
      <c r="AN242" s="11">
        <v>50.222222328186035</v>
      </c>
      <c r="AO242" s="11">
        <v>51.333333492279053</v>
      </c>
      <c r="AP242" s="11">
        <v>52.44444465637207</v>
      </c>
      <c r="AQ242" s="11">
        <v>53.555555820465088</v>
      </c>
      <c r="AR242" s="11">
        <v>54.666666984558105</v>
      </c>
      <c r="AS242" s="11">
        <v>55.777778148651123</v>
      </c>
      <c r="AT242" s="11">
        <v>56.888889312744141</v>
      </c>
      <c r="AU242" s="170">
        <v>58</v>
      </c>
      <c r="AV242" s="11">
        <v>59</v>
      </c>
      <c r="AW242" s="11">
        <v>60</v>
      </c>
      <c r="AX242" s="11">
        <v>61</v>
      </c>
      <c r="AY242" s="11">
        <v>62</v>
      </c>
      <c r="AZ242" s="11">
        <v>64</v>
      </c>
      <c r="BA242" s="11">
        <v>65</v>
      </c>
      <c r="BB242" s="11">
        <v>66</v>
      </c>
      <c r="BC242" s="11">
        <v>67</v>
      </c>
      <c r="BD242" s="11">
        <v>68</v>
      </c>
      <c r="BE242" s="11">
        <v>69</v>
      </c>
      <c r="BF242" s="11">
        <v>70</v>
      </c>
      <c r="BG242" s="11">
        <v>71</v>
      </c>
      <c r="BH242" s="11">
        <v>72</v>
      </c>
      <c r="BI242" s="11">
        <v>74</v>
      </c>
      <c r="BJ242" s="11">
        <v>75</v>
      </c>
      <c r="BK242" s="11">
        <v>76</v>
      </c>
      <c r="BL242" s="11">
        <v>77</v>
      </c>
      <c r="BM242" s="11">
        <v>78</v>
      </c>
    </row>
    <row r="243" spans="1:65" ht="150" customHeight="1" x14ac:dyDescent="0.25">
      <c r="A243" s="11">
        <v>4043</v>
      </c>
      <c r="B243" s="11">
        <v>1</v>
      </c>
      <c r="C243" s="11" t="str">
        <f t="shared" si="35"/>
        <v>Pitching</v>
      </c>
      <c r="D243" s="11" t="s">
        <v>51</v>
      </c>
      <c r="E243" s="42"/>
      <c r="F243" s="42"/>
      <c r="G243" s="151" t="s">
        <v>861</v>
      </c>
      <c r="H243" s="328">
        <v>15</v>
      </c>
      <c r="I243" s="11" t="s">
        <v>1101</v>
      </c>
      <c r="J243" s="55" t="str">
        <f>C243&amp;D243&amp;I243&amp;H243&amp;K243</f>
        <v>PitchingTest1+1518 Holes Up and Down 40-60m</v>
      </c>
      <c r="K243" s="58" t="s">
        <v>1283</v>
      </c>
      <c r="L243" s="57" t="s">
        <v>1307</v>
      </c>
      <c r="M243" s="13"/>
      <c r="N243" s="90"/>
      <c r="O243" s="52"/>
      <c r="P243" s="13"/>
      <c r="Q243" s="35"/>
      <c r="R243" s="13"/>
      <c r="S243" s="13"/>
      <c r="T243" s="12"/>
      <c r="U243" s="54">
        <f>IFERROR(IF(LEN(X243)&gt;0,INT(INDEX(X243:BM243,0,DBE_HCP_ID)),""),"")</f>
        <v>87</v>
      </c>
      <c r="V243" s="304" t="s">
        <v>1285</v>
      </c>
      <c r="W243" s="81">
        <f>MAX(X243:BM243)</f>
        <v>90</v>
      </c>
      <c r="X243" s="11">
        <v>45.599999904632568</v>
      </c>
      <c r="Y243" s="11">
        <v>46.199999928474426</v>
      </c>
      <c r="Z243" s="11">
        <v>46.799999952316284</v>
      </c>
      <c r="AA243" s="11">
        <v>47.399999976158142</v>
      </c>
      <c r="AB243" s="170">
        <v>48</v>
      </c>
      <c r="AC243" s="11">
        <v>48.600000023841858</v>
      </c>
      <c r="AD243" s="11">
        <v>49.200000047683716</v>
      </c>
      <c r="AE243" s="11">
        <v>49.800000071525574</v>
      </c>
      <c r="AF243" s="11">
        <v>50.400000095367432</v>
      </c>
      <c r="AG243" s="11">
        <v>51.00000011920929</v>
      </c>
      <c r="AH243" s="11">
        <v>51.600000143051147</v>
      </c>
      <c r="AI243" s="11">
        <v>52.200000166893005</v>
      </c>
      <c r="AJ243" s="11">
        <v>52.800000190734863</v>
      </c>
      <c r="AK243" s="11">
        <v>53.400000214576721</v>
      </c>
      <c r="AL243" s="170">
        <v>54</v>
      </c>
      <c r="AM243" s="11">
        <v>55.333333373069763</v>
      </c>
      <c r="AN243" s="11">
        <v>56.666666746139526</v>
      </c>
      <c r="AO243" s="11">
        <v>58.00000011920929</v>
      </c>
      <c r="AP243" s="11">
        <v>59.333333492279053</v>
      </c>
      <c r="AQ243" s="11">
        <v>60.666666865348816</v>
      </c>
      <c r="AR243" s="11">
        <v>62.000000238418579</v>
      </c>
      <c r="AS243" s="11">
        <v>63.333333611488342</v>
      </c>
      <c r="AT243" s="11">
        <v>64.666666984558105</v>
      </c>
      <c r="AU243" s="170">
        <v>66</v>
      </c>
      <c r="AV243" s="11">
        <v>67</v>
      </c>
      <c r="AW243" s="11">
        <v>69</v>
      </c>
      <c r="AX243" s="11">
        <v>70</v>
      </c>
      <c r="AY243" s="11">
        <v>71</v>
      </c>
      <c r="AZ243" s="11">
        <v>73</v>
      </c>
      <c r="BA243" s="11">
        <v>74</v>
      </c>
      <c r="BB243" s="11">
        <v>75</v>
      </c>
      <c r="BC243" s="11">
        <v>77</v>
      </c>
      <c r="BD243" s="11">
        <v>78</v>
      </c>
      <c r="BE243" s="11">
        <v>79</v>
      </c>
      <c r="BF243" s="11">
        <v>81</v>
      </c>
      <c r="BG243" s="11">
        <v>82</v>
      </c>
      <c r="BH243" s="11">
        <v>83</v>
      </c>
      <c r="BI243" s="11">
        <v>85</v>
      </c>
      <c r="BJ243" s="11">
        <v>86</v>
      </c>
      <c r="BK243" s="11">
        <v>87</v>
      </c>
      <c r="BL243" s="11">
        <v>89</v>
      </c>
      <c r="BM243" s="11">
        <v>90</v>
      </c>
    </row>
    <row r="244" spans="1:65" ht="150" customHeight="1" x14ac:dyDescent="0.25">
      <c r="A244" s="11">
        <v>4044</v>
      </c>
      <c r="B244" s="11">
        <v>1</v>
      </c>
      <c r="C244" s="11" t="str">
        <f t="shared" si="35"/>
        <v>Pitching</v>
      </c>
      <c r="D244" s="11" t="s">
        <v>51</v>
      </c>
      <c r="E244" s="42"/>
      <c r="F244" s="42"/>
      <c r="G244" s="151" t="s">
        <v>861</v>
      </c>
      <c r="H244" s="328">
        <v>15</v>
      </c>
      <c r="I244" s="11" t="s">
        <v>1101</v>
      </c>
      <c r="J244" s="55" t="str">
        <f>C244&amp;D244&amp;I244&amp;H244&amp;K244</f>
        <v>PitchingTest1+1518 Holes Up and Down 60-80m</v>
      </c>
      <c r="K244" s="58" t="s">
        <v>1284</v>
      </c>
      <c r="L244" s="57" t="s">
        <v>1308</v>
      </c>
      <c r="M244" s="13"/>
      <c r="N244" s="90"/>
      <c r="O244" s="52"/>
      <c r="P244" s="13"/>
      <c r="Q244" s="35"/>
      <c r="R244" s="13"/>
      <c r="S244" s="13"/>
      <c r="T244" s="12"/>
      <c r="U244" s="54">
        <f>IFERROR(IF(LEN(X244)&gt;0,INT(INDEX(X244:BM244,0,DBE_HCP_ID)),""),"")</f>
        <v>104</v>
      </c>
      <c r="V244" s="304" t="s">
        <v>1285</v>
      </c>
      <c r="W244" s="81">
        <f>MAX(X244:BM244)</f>
        <v>108</v>
      </c>
      <c r="X244" s="11">
        <v>46</v>
      </c>
      <c r="Y244" s="11">
        <v>47</v>
      </c>
      <c r="Z244" s="11">
        <v>48</v>
      </c>
      <c r="AA244" s="11">
        <v>49</v>
      </c>
      <c r="AB244" s="170">
        <v>50</v>
      </c>
      <c r="AC244" s="11">
        <v>51</v>
      </c>
      <c r="AD244" s="11">
        <v>52</v>
      </c>
      <c r="AE244" s="11">
        <v>53</v>
      </c>
      <c r="AF244" s="11">
        <v>54</v>
      </c>
      <c r="AG244" s="11">
        <v>55</v>
      </c>
      <c r="AH244" s="11">
        <v>56</v>
      </c>
      <c r="AI244" s="11">
        <v>57</v>
      </c>
      <c r="AJ244" s="11">
        <v>58</v>
      </c>
      <c r="AK244" s="11">
        <v>59</v>
      </c>
      <c r="AL244" s="170">
        <v>60</v>
      </c>
      <c r="AM244" s="11">
        <v>61.777777791023254</v>
      </c>
      <c r="AN244" s="11">
        <v>63.555555582046509</v>
      </c>
      <c r="AO244" s="11">
        <v>65.333333373069763</v>
      </c>
      <c r="AP244" s="11">
        <v>67.111111164093018</v>
      </c>
      <c r="AQ244" s="11">
        <v>68.888888955116272</v>
      </c>
      <c r="AR244" s="11">
        <v>70.666666746139526</v>
      </c>
      <c r="AS244" s="11">
        <v>72.444444537162781</v>
      </c>
      <c r="AT244" s="11">
        <v>74.222222328186035</v>
      </c>
      <c r="AU244" s="170">
        <v>76</v>
      </c>
      <c r="AV244" s="11">
        <v>78</v>
      </c>
      <c r="AW244" s="11">
        <v>80</v>
      </c>
      <c r="AX244" s="11">
        <v>81</v>
      </c>
      <c r="AY244" s="11">
        <v>83</v>
      </c>
      <c r="AZ244" s="11">
        <v>85</v>
      </c>
      <c r="BA244" s="11">
        <v>87</v>
      </c>
      <c r="BB244" s="11">
        <v>88</v>
      </c>
      <c r="BC244" s="11">
        <v>90</v>
      </c>
      <c r="BD244" s="11">
        <v>92</v>
      </c>
      <c r="BE244" s="11">
        <v>94</v>
      </c>
      <c r="BF244" s="11">
        <v>96</v>
      </c>
      <c r="BG244" s="11">
        <v>97</v>
      </c>
      <c r="BH244" s="11">
        <v>99</v>
      </c>
      <c r="BI244" s="11">
        <v>101</v>
      </c>
      <c r="BJ244" s="11">
        <v>103</v>
      </c>
      <c r="BK244" s="11">
        <v>104</v>
      </c>
      <c r="BL244" s="11">
        <v>106</v>
      </c>
      <c r="BM244" s="11">
        <v>108</v>
      </c>
    </row>
    <row r="245" spans="1:65" ht="150" customHeight="1" x14ac:dyDescent="0.25">
      <c r="A245" s="11">
        <v>4045</v>
      </c>
      <c r="B245" s="11">
        <v>1</v>
      </c>
      <c r="C245" s="11" t="str">
        <f t="shared" si="35"/>
        <v>Pitching</v>
      </c>
      <c r="D245" s="11" t="s">
        <v>51</v>
      </c>
      <c r="E245" s="42"/>
      <c r="F245" s="42"/>
      <c r="G245" s="151" t="s">
        <v>861</v>
      </c>
      <c r="H245" s="328">
        <v>15</v>
      </c>
      <c r="I245" s="11">
        <v>1</v>
      </c>
      <c r="J245" s="55" t="str">
        <f t="shared" ref="J245:J253" si="36">C245&amp;D245&amp;I245&amp;H245&amp;K245</f>
        <v>PitchingTest115Median of 5 Shots - 9 m / 10 yds</v>
      </c>
      <c r="K245" s="58" t="s">
        <v>1371</v>
      </c>
      <c r="L245" s="57" t="s">
        <v>1317</v>
      </c>
      <c r="M245" s="13"/>
      <c r="N245" s="90"/>
      <c r="O245" s="52"/>
      <c r="P245" s="13"/>
      <c r="Q245" s="35"/>
      <c r="R245" s="13"/>
      <c r="S245" s="13"/>
      <c r="T245" s="12"/>
      <c r="U245" s="307" t="str">
        <f t="shared" ref="U245:U254" si="37">IFERROR(IF(LEN(X245)&gt;0,ROUND(INDEX(X245:BM245,0,DBE_HCP_ID),1)&amp;"m",""),"")</f>
        <v>2m</v>
      </c>
      <c r="V245" s="304" t="s">
        <v>1289</v>
      </c>
      <c r="W245" s="81">
        <f t="shared" ref="W245:W253" si="38">MAX(X245:BM245)</f>
        <v>2</v>
      </c>
      <c r="X245" s="170">
        <f>3*_FeetsToMeter</f>
        <v>0.91441111923920992</v>
      </c>
      <c r="Y245" s="178">
        <v>0.99061204405295733</v>
      </c>
      <c r="Z245" s="178">
        <v>1.0668129688667047</v>
      </c>
      <c r="AA245" s="178">
        <v>1.1430138936804521</v>
      </c>
      <c r="AB245" s="170">
        <f>4*_FeetsToMeter</f>
        <v>1.2192148256522799</v>
      </c>
      <c r="AC245" s="178">
        <v>1.2530819054168845</v>
      </c>
      <c r="AD245" s="178">
        <v>1.286948985181489</v>
      </c>
      <c r="AE245" s="178">
        <v>1.3208160649460936</v>
      </c>
      <c r="AF245" s="178">
        <v>1.3546831447106982</v>
      </c>
      <c r="AG245" s="178">
        <v>1.3885502244753027</v>
      </c>
      <c r="AH245" s="178">
        <v>1.4224173042399073</v>
      </c>
      <c r="AI245" s="178">
        <v>1.4562843840045119</v>
      </c>
      <c r="AJ245" s="178">
        <v>1.4901514637691164</v>
      </c>
      <c r="AK245" s="170">
        <f>5*_FeetsToMeter</f>
        <v>1.5240185320653499</v>
      </c>
      <c r="AL245" s="178">
        <v>1.5544989019908488</v>
      </c>
      <c r="AM245" s="178">
        <v>1.5849792719163478</v>
      </c>
      <c r="AN245" s="178">
        <v>1.6154596418418468</v>
      </c>
      <c r="AO245" s="178">
        <v>1.6459400117673457</v>
      </c>
      <c r="AP245" s="178">
        <v>1.6764203816928447</v>
      </c>
      <c r="AQ245" s="178">
        <v>1.7069007516183436</v>
      </c>
      <c r="AR245" s="178">
        <v>1.7373811215438426</v>
      </c>
      <c r="AS245" s="178">
        <v>1.7678614914693416</v>
      </c>
      <c r="AT245" s="178">
        <v>1.7983418613948405</v>
      </c>
      <c r="AU245" s="170">
        <f>6*_FeetsToMeter</f>
        <v>1.8288222384784198</v>
      </c>
      <c r="AV245" s="178">
        <v>1.8288222384784198</v>
      </c>
      <c r="AW245" s="225">
        <v>1.8288222384784198</v>
      </c>
      <c r="AX245" s="225">
        <v>1.8288222384784198</v>
      </c>
      <c r="AY245" s="225">
        <v>1.8288222384784198</v>
      </c>
      <c r="AZ245" s="225">
        <v>1.8288222384784198</v>
      </c>
      <c r="BA245" s="225">
        <v>1.8288222384784198</v>
      </c>
      <c r="BB245" s="225">
        <v>1.8288222384784198</v>
      </c>
      <c r="BC245" s="225">
        <v>1.8288222384784198</v>
      </c>
      <c r="BD245" s="225">
        <v>1.8288222384784198</v>
      </c>
      <c r="BE245" s="170">
        <f>6*_FeetsToMeter</f>
        <v>1.8288222384784198</v>
      </c>
      <c r="BF245" s="178">
        <v>2</v>
      </c>
      <c r="BG245" s="178">
        <v>2</v>
      </c>
      <c r="BH245" s="178">
        <v>2</v>
      </c>
      <c r="BI245" s="178">
        <v>2</v>
      </c>
      <c r="BJ245" s="178">
        <v>2</v>
      </c>
      <c r="BK245" s="178">
        <v>2</v>
      </c>
      <c r="BL245" s="178">
        <v>2</v>
      </c>
      <c r="BM245" s="178">
        <v>2</v>
      </c>
    </row>
    <row r="246" spans="1:65" ht="150" customHeight="1" x14ac:dyDescent="0.25">
      <c r="A246" s="11">
        <v>4046</v>
      </c>
      <c r="B246" s="11">
        <v>1</v>
      </c>
      <c r="C246" s="11" t="str">
        <f t="shared" si="35"/>
        <v>Pitching</v>
      </c>
      <c r="D246" s="11" t="s">
        <v>51</v>
      </c>
      <c r="E246" s="42"/>
      <c r="F246" s="42"/>
      <c r="G246" s="151" t="s">
        <v>861</v>
      </c>
      <c r="H246" s="328">
        <v>15</v>
      </c>
      <c r="I246" s="11">
        <v>1</v>
      </c>
      <c r="J246" s="55" t="str">
        <f t="shared" si="36"/>
        <v>PitchingTest115Median of 5 Shots - 18 m / 20 yds</v>
      </c>
      <c r="K246" s="58" t="s">
        <v>1370</v>
      </c>
      <c r="L246" s="57" t="s">
        <v>1316</v>
      </c>
      <c r="M246" s="13"/>
      <c r="N246" s="90"/>
      <c r="O246" s="52"/>
      <c r="P246" s="13"/>
      <c r="Q246" s="35"/>
      <c r="R246" s="13"/>
      <c r="S246" s="13"/>
      <c r="T246" s="12"/>
      <c r="U246" s="307" t="str">
        <f t="shared" si="37"/>
        <v>4m</v>
      </c>
      <c r="V246" s="304" t="s">
        <v>1289</v>
      </c>
      <c r="W246" s="81">
        <f t="shared" si="38"/>
        <v>4</v>
      </c>
      <c r="X246" s="170">
        <f>5*_FeetsToMeter</f>
        <v>1.5240185320653499</v>
      </c>
      <c r="Y246" s="178">
        <v>1.6002194568790973</v>
      </c>
      <c r="Z246" s="178">
        <v>1.6764203816928447</v>
      </c>
      <c r="AA246" s="178">
        <v>1.7526213065065921</v>
      </c>
      <c r="AB246" s="170">
        <f>6*_FeetsToMeter</f>
        <v>1.8288222384784198</v>
      </c>
      <c r="AC246" s="178">
        <v>1.8626893182430244</v>
      </c>
      <c r="AD246" s="178">
        <v>1.896556398007629</v>
      </c>
      <c r="AE246" s="178">
        <v>1.9304234777722336</v>
      </c>
      <c r="AF246" s="178">
        <v>1.9642905575368381</v>
      </c>
      <c r="AG246" s="178">
        <v>1.9981576373014427</v>
      </c>
      <c r="AH246" s="178">
        <v>2.0320247170660473</v>
      </c>
      <c r="AI246" s="178">
        <v>2.0658917968306518</v>
      </c>
      <c r="AJ246" s="178">
        <v>2.0997588765952564</v>
      </c>
      <c r="AK246" s="170">
        <f>7*_FeetsToMeter</f>
        <v>2.1336259448914898</v>
      </c>
      <c r="AL246" s="178">
        <v>2.2250670546679867</v>
      </c>
      <c r="AM246" s="178">
        <v>2.3165081644444836</v>
      </c>
      <c r="AN246" s="178">
        <v>2.4079492742209805</v>
      </c>
      <c r="AO246" s="178">
        <v>2.4993903839974774</v>
      </c>
      <c r="AP246" s="178">
        <v>2.5908314937739743</v>
      </c>
      <c r="AQ246" s="178">
        <v>2.6822726035504711</v>
      </c>
      <c r="AR246" s="178">
        <v>2.773713713326968</v>
      </c>
      <c r="AS246" s="178">
        <v>2.8651548231034649</v>
      </c>
      <c r="AT246" s="178">
        <v>2.9565959328799618</v>
      </c>
      <c r="AU246" s="170">
        <f>10*_FeetsToMeter</f>
        <v>3.0480370641306997</v>
      </c>
      <c r="AV246" s="178">
        <v>3.0785174340561987</v>
      </c>
      <c r="AW246" s="225">
        <v>3.1089978039816977</v>
      </c>
      <c r="AX246" s="225">
        <v>3.1394781739071966</v>
      </c>
      <c r="AY246" s="225">
        <v>3.1699585438326956</v>
      </c>
      <c r="AZ246" s="225">
        <v>3.2004389137581946</v>
      </c>
      <c r="BA246" s="225">
        <v>3.2309192836836935</v>
      </c>
      <c r="BB246" s="225">
        <v>3.2613996536091925</v>
      </c>
      <c r="BC246" s="225">
        <v>3.2918800235346914</v>
      </c>
      <c r="BD246" s="225">
        <v>3.3223603934601904</v>
      </c>
      <c r="BE246" s="170">
        <f>11*_FeetsToMeter</f>
        <v>3.3528407705437697</v>
      </c>
      <c r="BF246" s="178">
        <v>3</v>
      </c>
      <c r="BG246" s="178">
        <v>3</v>
      </c>
      <c r="BH246" s="178">
        <v>3</v>
      </c>
      <c r="BI246" s="178">
        <v>3</v>
      </c>
      <c r="BJ246" s="178">
        <v>4</v>
      </c>
      <c r="BK246" s="178">
        <v>4</v>
      </c>
      <c r="BL246" s="178">
        <v>4</v>
      </c>
      <c r="BM246" s="178">
        <v>4</v>
      </c>
    </row>
    <row r="247" spans="1:65" ht="150" customHeight="1" x14ac:dyDescent="0.25">
      <c r="A247" s="11">
        <v>4047</v>
      </c>
      <c r="B247" s="11">
        <v>1</v>
      </c>
      <c r="C247" s="11" t="str">
        <f t="shared" si="35"/>
        <v>Pitching</v>
      </c>
      <c r="D247" s="11" t="s">
        <v>51</v>
      </c>
      <c r="E247" s="42"/>
      <c r="F247" s="42"/>
      <c r="G247" s="151" t="s">
        <v>861</v>
      </c>
      <c r="H247" s="328">
        <v>15</v>
      </c>
      <c r="I247" s="11">
        <v>1</v>
      </c>
      <c r="J247" s="55" t="str">
        <f t="shared" si="36"/>
        <v>PitchingTest115Median of 5 Shots -27 m / 30 yds</v>
      </c>
      <c r="K247" s="58" t="s">
        <v>1369</v>
      </c>
      <c r="L247" s="57" t="s">
        <v>1315</v>
      </c>
      <c r="M247" s="13"/>
      <c r="N247" s="90"/>
      <c r="O247" s="52"/>
      <c r="P247" s="13"/>
      <c r="Q247" s="35"/>
      <c r="R247" s="13"/>
      <c r="S247" s="13"/>
      <c r="T247" s="12"/>
      <c r="U247" s="307" t="str">
        <f t="shared" si="37"/>
        <v>6m</v>
      </c>
      <c r="V247" s="304" t="s">
        <v>1289</v>
      </c>
      <c r="W247" s="81">
        <f t="shared" si="38"/>
        <v>7</v>
      </c>
      <c r="X247" s="170">
        <f>6*_FeetsToMeter</f>
        <v>1.8288222384784198</v>
      </c>
      <c r="Y247" s="178">
        <v>1.9812240881059147</v>
      </c>
      <c r="Z247" s="178">
        <v>2.1336259377334095</v>
      </c>
      <c r="AA247" s="178">
        <v>2.2860277873609043</v>
      </c>
      <c r="AB247" s="170">
        <f>8*_FeetsToMeter</f>
        <v>2.4384296513045598</v>
      </c>
      <c r="AC247" s="178">
        <v>2.5738979703629781</v>
      </c>
      <c r="AD247" s="178">
        <v>2.7093662894213963</v>
      </c>
      <c r="AE247" s="178">
        <v>2.8448346084798146</v>
      </c>
      <c r="AF247" s="178">
        <v>2.9803029275382329</v>
      </c>
      <c r="AG247" s="178">
        <v>3.1157712465966512</v>
      </c>
      <c r="AH247" s="178">
        <v>3.2512395656550694</v>
      </c>
      <c r="AI247" s="178">
        <v>3.3867078847134877</v>
      </c>
      <c r="AJ247" s="178">
        <v>3.522176203771906</v>
      </c>
      <c r="AK247" s="170">
        <f>12*_FeetsToMeter</f>
        <v>3.6576444769568397</v>
      </c>
      <c r="AL247" s="178">
        <v>3.7795659566588355</v>
      </c>
      <c r="AM247" s="178">
        <v>3.9014874363608314</v>
      </c>
      <c r="AN247" s="178">
        <v>4.0234089160628272</v>
      </c>
      <c r="AO247" s="178">
        <v>4.1453303957648231</v>
      </c>
      <c r="AP247" s="178">
        <v>4.2672518754668189</v>
      </c>
      <c r="AQ247" s="178">
        <v>4.3891733551688148</v>
      </c>
      <c r="AR247" s="178">
        <v>4.5110948348708106</v>
      </c>
      <c r="AS247" s="178">
        <v>4.6330163145728065</v>
      </c>
      <c r="AT247" s="178">
        <v>4.7549377942748023</v>
      </c>
      <c r="AU247" s="170">
        <f>16*_FeetsToMeter</f>
        <v>4.8768593026091196</v>
      </c>
      <c r="AV247" s="178">
        <v>4.9683004123856165</v>
      </c>
      <c r="AW247" s="225">
        <v>5.0597415221621134</v>
      </c>
      <c r="AX247" s="225">
        <v>5.1511826319386103</v>
      </c>
      <c r="AY247" s="225">
        <v>5.2426237417151071</v>
      </c>
      <c r="AZ247" s="225">
        <v>5.334064851491604</v>
      </c>
      <c r="BA247" s="225">
        <v>5.4255059612681009</v>
      </c>
      <c r="BB247" s="225">
        <v>5.5169470710445978</v>
      </c>
      <c r="BC247" s="225">
        <v>5.6083881808210947</v>
      </c>
      <c r="BD247" s="225">
        <v>5.6998292905975916</v>
      </c>
      <c r="BE247" s="170">
        <f>19*_FeetsToMeter</f>
        <v>5.7912704218483295</v>
      </c>
      <c r="BF247" s="178">
        <v>6</v>
      </c>
      <c r="BG247" s="178">
        <v>6</v>
      </c>
      <c r="BH247" s="178">
        <v>6</v>
      </c>
      <c r="BI247" s="178">
        <v>6</v>
      </c>
      <c r="BJ247" s="178">
        <v>6</v>
      </c>
      <c r="BK247" s="178">
        <v>6</v>
      </c>
      <c r="BL247" s="178">
        <v>6</v>
      </c>
      <c r="BM247" s="178">
        <v>7</v>
      </c>
    </row>
    <row r="248" spans="1:65" ht="150" customHeight="1" x14ac:dyDescent="0.25">
      <c r="A248" s="11">
        <v>4048</v>
      </c>
      <c r="B248" s="11">
        <v>1</v>
      </c>
      <c r="C248" s="11" t="str">
        <f t="shared" si="35"/>
        <v>Pitching</v>
      </c>
      <c r="D248" s="11" t="s">
        <v>51</v>
      </c>
      <c r="E248" s="42"/>
      <c r="F248" s="42"/>
      <c r="G248" s="151" t="s">
        <v>861</v>
      </c>
      <c r="H248" s="328">
        <v>15</v>
      </c>
      <c r="I248" s="11">
        <v>1</v>
      </c>
      <c r="J248" s="55" t="str">
        <f t="shared" si="36"/>
        <v>PitchingTest115Median of 5 Shots - 37 m / 40 yds</v>
      </c>
      <c r="K248" s="58" t="s">
        <v>1368</v>
      </c>
      <c r="L248" s="57" t="s">
        <v>1318</v>
      </c>
      <c r="M248" s="13"/>
      <c r="N248" s="90"/>
      <c r="O248" s="52"/>
      <c r="P248" s="13"/>
      <c r="Q248" s="35"/>
      <c r="R248" s="13"/>
      <c r="S248" s="13"/>
      <c r="T248" s="12"/>
      <c r="U248" s="307" t="str">
        <f t="shared" si="37"/>
        <v>8m</v>
      </c>
      <c r="V248" s="304" t="s">
        <v>1289</v>
      </c>
      <c r="W248" s="81">
        <f t="shared" si="38"/>
        <v>8</v>
      </c>
      <c r="X248" s="170">
        <f>8*_FeetsToMeter</f>
        <v>2.4384296513045598</v>
      </c>
      <c r="Y248" s="178">
        <v>2.5908315009320546</v>
      </c>
      <c r="Z248" s="178">
        <v>2.7432333505595494</v>
      </c>
      <c r="AA248" s="178">
        <v>2.8956352001870442</v>
      </c>
      <c r="AB248" s="170">
        <f>10*_FeetsToMeter</f>
        <v>3.0480370641306997</v>
      </c>
      <c r="AC248" s="178">
        <v>3.2512395352677466</v>
      </c>
      <c r="AD248" s="178">
        <v>3.4544420064047934</v>
      </c>
      <c r="AE248" s="178">
        <v>3.6576444775418402</v>
      </c>
      <c r="AF248" s="178">
        <v>3.860846948678887</v>
      </c>
      <c r="AG248" s="178">
        <v>4.0640494198159338</v>
      </c>
      <c r="AH248" s="178">
        <v>4.2672518909529806</v>
      </c>
      <c r="AI248" s="178">
        <v>4.4704543620900274</v>
      </c>
      <c r="AJ248" s="178">
        <v>4.6736568332270743</v>
      </c>
      <c r="AK248" s="170">
        <f>16*_FeetsToMeter</f>
        <v>4.8768593026091196</v>
      </c>
      <c r="AL248" s="178">
        <v>5.0292611522366144</v>
      </c>
      <c r="AM248" s="178">
        <v>5.1816630018641092</v>
      </c>
      <c r="AN248" s="178">
        <v>5.334064851491604</v>
      </c>
      <c r="AO248" s="178">
        <v>5.4864667011190988</v>
      </c>
      <c r="AP248" s="178">
        <v>5.6388685507465937</v>
      </c>
      <c r="AQ248" s="178">
        <v>5.7912704003740885</v>
      </c>
      <c r="AR248" s="178">
        <v>5.9436722500015833</v>
      </c>
      <c r="AS248" s="178">
        <v>6.0960740996290781</v>
      </c>
      <c r="AT248" s="178">
        <v>6.2484759492565729</v>
      </c>
      <c r="AU248" s="170">
        <f>21*_FeetsToMeter</f>
        <v>6.4008778346744695</v>
      </c>
      <c r="AV248" s="178">
        <v>6.4923189444509664</v>
      </c>
      <c r="AW248" s="225">
        <v>6.5837600542274632</v>
      </c>
      <c r="AX248" s="225">
        <v>6.6752011640039601</v>
      </c>
      <c r="AY248" s="225">
        <v>6.766642273780457</v>
      </c>
      <c r="AZ248" s="225">
        <v>6.8580833835569539</v>
      </c>
      <c r="BA248" s="225">
        <v>6.9495244933334508</v>
      </c>
      <c r="BB248" s="225">
        <v>7.0409656031099477</v>
      </c>
      <c r="BC248" s="225">
        <v>7.1324067128864446</v>
      </c>
      <c r="BD248" s="225">
        <v>7.2238478226629415</v>
      </c>
      <c r="BE248" s="170">
        <f>24*_FeetsToMeter</f>
        <v>7.3152889539136794</v>
      </c>
      <c r="BF248" s="178">
        <v>7</v>
      </c>
      <c r="BG248" s="178">
        <v>7</v>
      </c>
      <c r="BH248" s="178">
        <v>8</v>
      </c>
      <c r="BI248" s="178">
        <v>8</v>
      </c>
      <c r="BJ248" s="178">
        <v>8</v>
      </c>
      <c r="BK248" s="178">
        <v>8</v>
      </c>
      <c r="BL248" s="178">
        <v>8</v>
      </c>
      <c r="BM248" s="178">
        <v>8</v>
      </c>
    </row>
    <row r="249" spans="1:65" ht="150" customHeight="1" x14ac:dyDescent="0.25">
      <c r="A249" s="11">
        <v>4049</v>
      </c>
      <c r="B249" s="11">
        <v>1</v>
      </c>
      <c r="C249" s="11" t="str">
        <f t="shared" si="35"/>
        <v>Pitching</v>
      </c>
      <c r="D249" s="11" t="s">
        <v>51</v>
      </c>
      <c r="E249" s="42"/>
      <c r="F249" s="42"/>
      <c r="G249" s="151" t="s">
        <v>861</v>
      </c>
      <c r="H249" s="328">
        <v>15</v>
      </c>
      <c r="I249" s="11">
        <v>1</v>
      </c>
      <c r="J249" s="55" t="str">
        <f t="shared" si="36"/>
        <v>PitchingTest115Median of 5 Shots - 46 m / 50 yds</v>
      </c>
      <c r="K249" s="58" t="s">
        <v>1367</v>
      </c>
      <c r="L249" s="57" t="s">
        <v>1319</v>
      </c>
      <c r="M249" s="13"/>
      <c r="N249" s="90"/>
      <c r="O249" s="52"/>
      <c r="P249" s="13"/>
      <c r="Q249" s="35"/>
      <c r="R249" s="13"/>
      <c r="S249" s="13"/>
      <c r="T249" s="12"/>
      <c r="U249" s="307" t="str">
        <f t="shared" si="37"/>
        <v>9m</v>
      </c>
      <c r="V249" s="304" t="s">
        <v>1289</v>
      </c>
      <c r="W249" s="81">
        <f t="shared" si="38"/>
        <v>10</v>
      </c>
      <c r="X249" s="170">
        <f>9*_FeetsToMeter</f>
        <v>2.7432333577176298</v>
      </c>
      <c r="Y249" s="178">
        <v>2.9718361396094526</v>
      </c>
      <c r="Z249" s="178">
        <v>3.2004389215012754</v>
      </c>
      <c r="AA249" s="178">
        <v>3.4290417033930982</v>
      </c>
      <c r="AB249" s="170">
        <f>12*_FeetsToMeter</f>
        <v>3.6576444769568397</v>
      </c>
      <c r="AC249" s="178">
        <v>3.9285811150736762</v>
      </c>
      <c r="AD249" s="178">
        <v>4.1995177531905128</v>
      </c>
      <c r="AE249" s="178">
        <v>4.4704543913073493</v>
      </c>
      <c r="AF249" s="178">
        <v>4.7413910294241859</v>
      </c>
      <c r="AG249" s="178">
        <v>5.0123276675410224</v>
      </c>
      <c r="AH249" s="178">
        <v>5.283264305657859</v>
      </c>
      <c r="AI249" s="178">
        <v>5.5542009437746955</v>
      </c>
      <c r="AJ249" s="178">
        <v>5.8251375818915321</v>
      </c>
      <c r="AK249" s="170">
        <f>20*_FeetsToMeter</f>
        <v>6.0960741282613995</v>
      </c>
      <c r="AL249" s="178">
        <v>6.1875152380378964</v>
      </c>
      <c r="AM249" s="178">
        <v>6.2789563478143933</v>
      </c>
      <c r="AN249" s="178">
        <v>6.3703974575908902</v>
      </c>
      <c r="AO249" s="178">
        <v>6.461838567367387</v>
      </c>
      <c r="AP249" s="178">
        <v>6.5532796771438839</v>
      </c>
      <c r="AQ249" s="178">
        <v>6.6447207869203808</v>
      </c>
      <c r="AR249" s="178">
        <v>6.7361618966968777</v>
      </c>
      <c r="AS249" s="178">
        <v>6.8276030064733746</v>
      </c>
      <c r="AT249" s="178">
        <v>6.9190441162498715</v>
      </c>
      <c r="AU249" s="170">
        <f>23*_FeetsToMeter</f>
        <v>7.0104852475006094</v>
      </c>
      <c r="AV249" s="178">
        <v>7.1628870971281042</v>
      </c>
      <c r="AW249" s="225">
        <v>7.315288946755599</v>
      </c>
      <c r="AX249" s="225">
        <v>7.4676907963830939</v>
      </c>
      <c r="AY249" s="225">
        <v>7.6200926460105887</v>
      </c>
      <c r="AZ249" s="225">
        <v>7.7724944956380835</v>
      </c>
      <c r="BA249" s="225">
        <v>7.9248963452655783</v>
      </c>
      <c r="BB249" s="225">
        <v>8.0772981948930731</v>
      </c>
      <c r="BC249" s="225">
        <v>8.2297000445205679</v>
      </c>
      <c r="BD249" s="225">
        <v>8.3821018941480627</v>
      </c>
      <c r="BE249" s="170">
        <f>28*_FeetsToMeter</f>
        <v>8.5345037795659593</v>
      </c>
      <c r="BF249" s="178">
        <v>9</v>
      </c>
      <c r="BG249" s="178">
        <v>9</v>
      </c>
      <c r="BH249" s="178">
        <v>9</v>
      </c>
      <c r="BI249" s="178">
        <v>9</v>
      </c>
      <c r="BJ249" s="178">
        <v>9</v>
      </c>
      <c r="BK249" s="178">
        <v>9</v>
      </c>
      <c r="BL249" s="178">
        <v>10</v>
      </c>
      <c r="BM249" s="178">
        <v>10</v>
      </c>
    </row>
    <row r="250" spans="1:65" ht="150" customHeight="1" x14ac:dyDescent="0.25">
      <c r="A250" s="11">
        <v>4050</v>
      </c>
      <c r="B250" s="11">
        <v>1</v>
      </c>
      <c r="C250" s="11" t="str">
        <f t="shared" si="35"/>
        <v>Pitching</v>
      </c>
      <c r="D250" s="11" t="s">
        <v>51</v>
      </c>
      <c r="E250" s="42"/>
      <c r="F250" s="42"/>
      <c r="G250" s="151" t="s">
        <v>861</v>
      </c>
      <c r="H250" s="328">
        <v>15</v>
      </c>
      <c r="I250" s="11">
        <v>1</v>
      </c>
      <c r="J250" s="55" t="str">
        <f t="shared" si="36"/>
        <v>PitchingTest115Median of 5 Shots - 55 m / 60yds</v>
      </c>
      <c r="K250" s="58" t="s">
        <v>1366</v>
      </c>
      <c r="L250" s="57" t="s">
        <v>1320</v>
      </c>
      <c r="M250" s="13"/>
      <c r="N250" s="90"/>
      <c r="O250" s="52"/>
      <c r="P250" s="13"/>
      <c r="Q250" s="35"/>
      <c r="R250" s="13"/>
      <c r="S250" s="13"/>
      <c r="T250" s="12"/>
      <c r="U250" s="307" t="str">
        <f t="shared" si="37"/>
        <v>11m</v>
      </c>
      <c r="V250" s="304" t="s">
        <v>1289</v>
      </c>
      <c r="W250" s="81">
        <f t="shared" si="38"/>
        <v>11</v>
      </c>
      <c r="X250" s="170">
        <f>10*_FeetsToMeter</f>
        <v>3.0480370641306997</v>
      </c>
      <c r="Y250" s="178">
        <v>3.2766398460225226</v>
      </c>
      <c r="Z250" s="178">
        <v>3.5052426279143454</v>
      </c>
      <c r="AA250" s="178">
        <v>3.7338454098061682</v>
      </c>
      <c r="AB250" s="170">
        <f>13*_FeetsToMeter</f>
        <v>3.9624481833699097</v>
      </c>
      <c r="AC250" s="178">
        <v>4.2333848214867462</v>
      </c>
      <c r="AD250" s="178">
        <v>4.5043214596035828</v>
      </c>
      <c r="AE250" s="178">
        <v>4.7752580977204193</v>
      </c>
      <c r="AF250" s="178">
        <v>5.0461947358372559</v>
      </c>
      <c r="AG250" s="178">
        <v>5.3171313739540924</v>
      </c>
      <c r="AH250" s="178">
        <v>5.588068012070929</v>
      </c>
      <c r="AI250" s="178">
        <v>5.8590046501877655</v>
      </c>
      <c r="AJ250" s="178">
        <v>6.1299412883046021</v>
      </c>
      <c r="AK250" s="170">
        <f>21*_FeetsToMeter</f>
        <v>6.4008778346744695</v>
      </c>
      <c r="AL250" s="178">
        <v>6.5227993143764653</v>
      </c>
      <c r="AM250" s="178">
        <v>6.6447207940784612</v>
      </c>
      <c r="AN250" s="178">
        <v>6.766642273780457</v>
      </c>
      <c r="AO250" s="178">
        <v>6.8885637534824529</v>
      </c>
      <c r="AP250" s="178">
        <v>7.0104852331844487</v>
      </c>
      <c r="AQ250" s="178">
        <v>7.1324067128864446</v>
      </c>
      <c r="AR250" s="178">
        <v>7.2543281925884404</v>
      </c>
      <c r="AS250" s="178">
        <v>7.3762496722904363</v>
      </c>
      <c r="AT250" s="178">
        <v>7.4981711519924321</v>
      </c>
      <c r="AU250" s="170">
        <f>25*_FeetsToMeter</f>
        <v>7.6200926603267494</v>
      </c>
      <c r="AV250" s="178">
        <v>7.8029748798797431</v>
      </c>
      <c r="AW250" s="225">
        <v>7.9858570994327369</v>
      </c>
      <c r="AX250" s="225">
        <v>8.1687393189857307</v>
      </c>
      <c r="AY250" s="225">
        <v>8.3516215385387245</v>
      </c>
      <c r="AZ250" s="225">
        <v>8.5345037580917182</v>
      </c>
      <c r="BA250" s="225">
        <v>8.717385977644712</v>
      </c>
      <c r="BB250" s="225">
        <v>8.9002681971977058</v>
      </c>
      <c r="BC250" s="225">
        <v>9.0831504167506996</v>
      </c>
      <c r="BD250" s="225">
        <v>9.2660326363036933</v>
      </c>
      <c r="BE250" s="170">
        <f>31*_FeetsToMeter</f>
        <v>9.4489148988051692</v>
      </c>
      <c r="BF250" s="178">
        <v>10</v>
      </c>
      <c r="BG250" s="178">
        <v>10</v>
      </c>
      <c r="BH250" s="178">
        <v>10</v>
      </c>
      <c r="BI250" s="178">
        <v>10</v>
      </c>
      <c r="BJ250" s="178">
        <v>10</v>
      </c>
      <c r="BK250" s="178">
        <v>11</v>
      </c>
      <c r="BL250" s="178">
        <v>11</v>
      </c>
      <c r="BM250" s="178">
        <v>11</v>
      </c>
    </row>
    <row r="251" spans="1:65" ht="150" customHeight="1" x14ac:dyDescent="0.25">
      <c r="A251" s="11">
        <v>4051</v>
      </c>
      <c r="B251" s="11">
        <v>1</v>
      </c>
      <c r="C251" s="11" t="str">
        <f t="shared" si="35"/>
        <v>Pitching</v>
      </c>
      <c r="D251" s="11" t="s">
        <v>51</v>
      </c>
      <c r="E251" s="42"/>
      <c r="F251" s="42"/>
      <c r="G251" s="151" t="s">
        <v>861</v>
      </c>
      <c r="H251" s="328">
        <v>15</v>
      </c>
      <c r="I251" s="11">
        <v>1</v>
      </c>
      <c r="J251" s="55" t="str">
        <f t="shared" si="36"/>
        <v>PitchingTest115Median of 5 Shots - 64m / 70yds</v>
      </c>
      <c r="K251" s="58" t="s">
        <v>1365</v>
      </c>
      <c r="L251" s="57" t="s">
        <v>1321</v>
      </c>
      <c r="M251" s="13"/>
      <c r="N251" s="90"/>
      <c r="O251" s="52"/>
      <c r="P251" s="13"/>
      <c r="Q251" s="35"/>
      <c r="R251" s="13"/>
      <c r="S251" s="13"/>
      <c r="T251" s="12"/>
      <c r="U251" s="307" t="str">
        <f t="shared" si="37"/>
        <v>12m</v>
      </c>
      <c r="V251" s="304" t="s">
        <v>1289</v>
      </c>
      <c r="W251" s="81">
        <f t="shared" si="38"/>
        <v>13</v>
      </c>
      <c r="X251" s="170">
        <f>10*_FeetsToMeter</f>
        <v>3.0480370641306997</v>
      </c>
      <c r="Y251" s="178">
        <v>3.2766398460225226</v>
      </c>
      <c r="Z251" s="178">
        <v>3.5052426279143454</v>
      </c>
      <c r="AA251" s="178">
        <v>3.7338454098061682</v>
      </c>
      <c r="AB251" s="170">
        <f>13*_FeetsToMeter</f>
        <v>3.9624481833699097</v>
      </c>
      <c r="AC251" s="178">
        <v>4.3011189735653748</v>
      </c>
      <c r="AD251" s="178">
        <v>4.6397897637608398</v>
      </c>
      <c r="AE251" s="178">
        <v>4.9784605539563049</v>
      </c>
      <c r="AF251" s="178">
        <v>5.31713134415177</v>
      </c>
      <c r="AG251" s="178">
        <v>5.6558021343472351</v>
      </c>
      <c r="AH251" s="178">
        <v>5.9944729245427002</v>
      </c>
      <c r="AI251" s="178">
        <v>6.3331437147381653</v>
      </c>
      <c r="AJ251" s="178">
        <v>6.6718145049336304</v>
      </c>
      <c r="AK251" s="170">
        <f>23*_FeetsToMeter</f>
        <v>7.0104852475006094</v>
      </c>
      <c r="AL251" s="178">
        <v>7.2543282069046011</v>
      </c>
      <c r="AM251" s="178">
        <v>7.4981711663085928</v>
      </c>
      <c r="AN251" s="178">
        <v>7.7420141257125845</v>
      </c>
      <c r="AO251" s="178">
        <v>7.9858570851165762</v>
      </c>
      <c r="AP251" s="178">
        <v>8.2297000445205679</v>
      </c>
      <c r="AQ251" s="178">
        <v>8.4735430039245596</v>
      </c>
      <c r="AR251" s="178">
        <v>8.7173859633285513</v>
      </c>
      <c r="AS251" s="178">
        <v>8.961228922732543</v>
      </c>
      <c r="AT251" s="178">
        <v>9.2050718821365347</v>
      </c>
      <c r="AU251" s="170">
        <f>31*_FeetsToMeter</f>
        <v>9.4489148988051692</v>
      </c>
      <c r="AV251" s="178">
        <v>9.631797118358163</v>
      </c>
      <c r="AW251" s="225">
        <v>9.8146793379111568</v>
      </c>
      <c r="AX251" s="225">
        <v>9.9975615574641505</v>
      </c>
      <c r="AY251" s="225">
        <v>10.180443777017144</v>
      </c>
      <c r="AZ251" s="225">
        <v>10.363325996570138</v>
      </c>
      <c r="BA251" s="225">
        <v>10.546208216123132</v>
      </c>
      <c r="BB251" s="225">
        <v>10.729090435676126</v>
      </c>
      <c r="BC251" s="225">
        <v>10.911972655229119</v>
      </c>
      <c r="BD251" s="225">
        <v>11.094854874782113</v>
      </c>
      <c r="BE251" s="170">
        <f>37*_FeetsToMeter</f>
        <v>11.277737137283589</v>
      </c>
      <c r="BF251" s="178">
        <v>11</v>
      </c>
      <c r="BG251" s="178">
        <v>12</v>
      </c>
      <c r="BH251" s="178">
        <v>12</v>
      </c>
      <c r="BI251" s="178">
        <v>12</v>
      </c>
      <c r="BJ251" s="178">
        <v>12</v>
      </c>
      <c r="BK251" s="178">
        <v>12</v>
      </c>
      <c r="BL251" s="178">
        <v>13</v>
      </c>
      <c r="BM251" s="178">
        <v>13</v>
      </c>
    </row>
    <row r="252" spans="1:65" ht="150" customHeight="1" x14ac:dyDescent="0.25">
      <c r="A252" s="11">
        <v>4052</v>
      </c>
      <c r="B252" s="11">
        <v>1</v>
      </c>
      <c r="C252" s="11" t="str">
        <f t="shared" si="35"/>
        <v>Pitching</v>
      </c>
      <c r="D252" s="11" t="s">
        <v>51</v>
      </c>
      <c r="E252" s="42"/>
      <c r="F252" s="42"/>
      <c r="G252" s="151" t="s">
        <v>861</v>
      </c>
      <c r="H252" s="328">
        <v>15</v>
      </c>
      <c r="I252" s="11">
        <v>1</v>
      </c>
      <c r="J252" s="55" t="str">
        <f>C252&amp;D252&amp;I252&amp;H252&amp;K252</f>
        <v>PitchingTest115Median of 5 Shots - 73 m / 80yds</v>
      </c>
      <c r="K252" s="58" t="s">
        <v>1364</v>
      </c>
      <c r="L252" s="57" t="s">
        <v>1322</v>
      </c>
      <c r="M252" s="13"/>
      <c r="N252" s="90"/>
      <c r="O252" s="52"/>
      <c r="P252" s="13"/>
      <c r="Q252" s="35"/>
      <c r="R252" s="13"/>
      <c r="S252" s="13"/>
      <c r="T252" s="12"/>
      <c r="U252" s="307" t="str">
        <f t="shared" si="37"/>
        <v>13m</v>
      </c>
      <c r="V252" s="304" t="s">
        <v>1289</v>
      </c>
      <c r="W252" s="81">
        <f>MAX(X252:BM252)</f>
        <v>13</v>
      </c>
      <c r="X252" s="170">
        <f>12*_FeetsToMeter</f>
        <v>3.6576444769568397</v>
      </c>
      <c r="Y252" s="178">
        <v>3.8100463265843345</v>
      </c>
      <c r="Z252" s="178">
        <v>3.9624481762118293</v>
      </c>
      <c r="AA252" s="178">
        <v>4.1148500258393241</v>
      </c>
      <c r="AB252" s="170">
        <f>14*_FeetsToMeter</f>
        <v>4.2672518897829796</v>
      </c>
      <c r="AC252" s="178">
        <v>4.6059226799784447</v>
      </c>
      <c r="AD252" s="178">
        <v>4.9445934701739098</v>
      </c>
      <c r="AE252" s="178">
        <v>5.2832642603693749</v>
      </c>
      <c r="AF252" s="178">
        <v>5.62193505056484</v>
      </c>
      <c r="AG252" s="178">
        <v>5.9606058407603051</v>
      </c>
      <c r="AH252" s="178">
        <v>6.2992766309557702</v>
      </c>
      <c r="AI252" s="178">
        <v>6.6379474211512353</v>
      </c>
      <c r="AJ252" s="178">
        <v>6.9766182113467003</v>
      </c>
      <c r="AK252" s="170">
        <f>24*_FeetsToMeter</f>
        <v>7.3152889539136794</v>
      </c>
      <c r="AL252" s="178">
        <v>7.5896122981443312</v>
      </c>
      <c r="AM252" s="178">
        <v>7.8639356423749831</v>
      </c>
      <c r="AN252" s="178">
        <v>8.138258986605635</v>
      </c>
      <c r="AO252" s="178">
        <v>8.4125823308362868</v>
      </c>
      <c r="AP252" s="178">
        <v>8.6869056750669387</v>
      </c>
      <c r="AQ252" s="178">
        <v>8.9612290192975905</v>
      </c>
      <c r="AR252" s="178">
        <v>9.2355523635282424</v>
      </c>
      <c r="AS252" s="178">
        <v>9.5098757077588942</v>
      </c>
      <c r="AT252" s="178">
        <v>9.7841990519895461</v>
      </c>
      <c r="AU252" s="170">
        <f>33*_FeetsToMeter</f>
        <v>10.058522311631309</v>
      </c>
      <c r="AV252" s="178">
        <v>10.241404531184303</v>
      </c>
      <c r="AW252" s="225">
        <v>10.424286750737297</v>
      </c>
      <c r="AX252" s="225">
        <v>10.60716897029029</v>
      </c>
      <c r="AY252" s="225">
        <v>10.790051189843284</v>
      </c>
      <c r="AZ252" s="225">
        <v>10.972933409396278</v>
      </c>
      <c r="BA252" s="225">
        <v>11.155815628949272</v>
      </c>
      <c r="BB252" s="225">
        <v>11.338697848502266</v>
      </c>
      <c r="BC252" s="225">
        <v>11.521580068055259</v>
      </c>
      <c r="BD252" s="225">
        <v>11.704462287608253</v>
      </c>
      <c r="BE252" s="170">
        <f>39*_FeetsToMeter</f>
        <v>11.887344550109729</v>
      </c>
      <c r="BF252" s="178">
        <v>12</v>
      </c>
      <c r="BG252" s="178">
        <v>12</v>
      </c>
      <c r="BH252" s="178">
        <v>12</v>
      </c>
      <c r="BI252" s="178">
        <v>13</v>
      </c>
      <c r="BJ252" s="178">
        <v>13</v>
      </c>
      <c r="BK252" s="178">
        <v>13</v>
      </c>
      <c r="BL252" s="178">
        <v>13</v>
      </c>
      <c r="BM252" s="178">
        <v>13</v>
      </c>
    </row>
    <row r="253" spans="1:65" ht="150" customHeight="1" x14ac:dyDescent="0.25">
      <c r="A253" s="11">
        <v>4053</v>
      </c>
      <c r="B253" s="11">
        <v>1</v>
      </c>
      <c r="C253" s="11" t="str">
        <f t="shared" si="35"/>
        <v>Pitching</v>
      </c>
      <c r="D253" s="11" t="s">
        <v>51</v>
      </c>
      <c r="E253" s="42"/>
      <c r="F253" s="42"/>
      <c r="G253" s="151" t="s">
        <v>861</v>
      </c>
      <c r="H253" s="328">
        <v>15</v>
      </c>
      <c r="I253" s="11">
        <v>1</v>
      </c>
      <c r="J253" s="55" t="str">
        <f t="shared" si="36"/>
        <v>PitchingTest115Median of 5 Shots - 82 m /90</v>
      </c>
      <c r="K253" s="58" t="s">
        <v>1372</v>
      </c>
      <c r="L253" s="57" t="s">
        <v>1322</v>
      </c>
      <c r="M253" s="13"/>
      <c r="N253" s="90"/>
      <c r="O253" s="52"/>
      <c r="P253" s="13"/>
      <c r="Q253" s="35"/>
      <c r="R253" s="13"/>
      <c r="S253" s="13"/>
      <c r="T253" s="12"/>
      <c r="U253" s="307" t="str">
        <f t="shared" si="37"/>
        <v>14m</v>
      </c>
      <c r="V253" s="304" t="s">
        <v>1289</v>
      </c>
      <c r="W253" s="81">
        <f t="shared" si="38"/>
        <v>14</v>
      </c>
      <c r="X253" s="170">
        <f>12*_FeetsToMeter</f>
        <v>3.6576444769568397</v>
      </c>
      <c r="Y253" s="178">
        <v>3.8862472588486625</v>
      </c>
      <c r="Z253" s="178">
        <v>4.1148500407404853</v>
      </c>
      <c r="AA253" s="178">
        <v>4.3434528226323081</v>
      </c>
      <c r="AB253" s="170">
        <f>15*_FeetsToMeter</f>
        <v>4.5720555961960496</v>
      </c>
      <c r="AC253" s="178">
        <v>4.9445934475296678</v>
      </c>
      <c r="AD253" s="178">
        <v>5.3171312988632859</v>
      </c>
      <c r="AE253" s="178">
        <v>5.6896691501969041</v>
      </c>
      <c r="AF253" s="178">
        <v>6.0622070015305223</v>
      </c>
      <c r="AG253" s="178">
        <v>6.4347448528641404</v>
      </c>
      <c r="AH253" s="178">
        <v>6.8072827041977586</v>
      </c>
      <c r="AI253" s="178">
        <v>7.1798205555313768</v>
      </c>
      <c r="AJ253" s="178">
        <v>7.5523584068649949</v>
      </c>
      <c r="AK253" s="170">
        <f>26*_FeetsToMeter</f>
        <v>7.9248963667398193</v>
      </c>
      <c r="AL253" s="178">
        <v>8.1992197109704712</v>
      </c>
      <c r="AM253" s="178">
        <v>8.4735430552011231</v>
      </c>
      <c r="AN253" s="178">
        <v>8.7478663994317749</v>
      </c>
      <c r="AO253" s="178">
        <v>9.0221897436624268</v>
      </c>
      <c r="AP253" s="178">
        <v>9.2965130878930786</v>
      </c>
      <c r="AQ253" s="178">
        <v>9.5708364321237305</v>
      </c>
      <c r="AR253" s="178">
        <v>9.8451597763543823</v>
      </c>
      <c r="AS253" s="178">
        <v>10.119483120585034</v>
      </c>
      <c r="AT253" s="178">
        <v>10.393806464815686</v>
      </c>
      <c r="AU253" s="170">
        <f>35*_FeetsToMeter</f>
        <v>10.668129724457449</v>
      </c>
      <c r="AV253" s="178">
        <v>10.851011944010443</v>
      </c>
      <c r="AW253" s="225">
        <v>11.033894163563437</v>
      </c>
      <c r="AX253" s="225">
        <v>11.21677638311643</v>
      </c>
      <c r="AY253" s="225">
        <v>11.399658602669424</v>
      </c>
      <c r="AZ253" s="225">
        <v>11.582540822222418</v>
      </c>
      <c r="BA253" s="225">
        <v>11.765423041775412</v>
      </c>
      <c r="BB253" s="225">
        <v>11.948305261328406</v>
      </c>
      <c r="BC253" s="225">
        <v>12.131187480881399</v>
      </c>
      <c r="BD253" s="225">
        <v>12.314069700434393</v>
      </c>
      <c r="BE253" s="170">
        <f>41*_FeetsToMeter</f>
        <v>12.496951962935869</v>
      </c>
      <c r="BF253" s="178">
        <v>13</v>
      </c>
      <c r="BG253" s="178">
        <v>13</v>
      </c>
      <c r="BH253" s="178">
        <v>13</v>
      </c>
      <c r="BI253" s="178">
        <v>13</v>
      </c>
      <c r="BJ253" s="178">
        <v>13</v>
      </c>
      <c r="BK253" s="178">
        <v>14</v>
      </c>
      <c r="BL253" s="178">
        <v>14</v>
      </c>
      <c r="BM253" s="178">
        <v>14</v>
      </c>
    </row>
    <row r="254" spans="1:65" ht="150" customHeight="1" x14ac:dyDescent="0.25">
      <c r="A254" s="11">
        <v>4054</v>
      </c>
      <c r="B254" s="11">
        <v>1</v>
      </c>
      <c r="C254" s="11" t="str">
        <f t="shared" si="35"/>
        <v>Pitching</v>
      </c>
      <c r="D254" s="11" t="s">
        <v>51</v>
      </c>
      <c r="E254" s="42"/>
      <c r="F254" s="42"/>
      <c r="G254" s="151" t="s">
        <v>861</v>
      </c>
      <c r="H254" s="328">
        <v>15</v>
      </c>
      <c r="I254" s="11">
        <v>1</v>
      </c>
      <c r="J254" s="55" t="str">
        <f>C254&amp;D254&amp;I254&amp;H254&amp;K254</f>
        <v>PitchingTest115Median of 5 Shots - 91m / 100 yds</v>
      </c>
      <c r="K254" s="58" t="s">
        <v>1373</v>
      </c>
      <c r="L254" s="57" t="s">
        <v>1323</v>
      </c>
      <c r="M254" s="13"/>
      <c r="N254" s="90"/>
      <c r="O254" s="52"/>
      <c r="P254" s="13"/>
      <c r="Q254" s="35"/>
      <c r="R254" s="13"/>
      <c r="S254" s="13"/>
      <c r="T254" s="12"/>
      <c r="U254" s="307" t="str">
        <f t="shared" si="37"/>
        <v>16m</v>
      </c>
      <c r="V254" s="304" t="s">
        <v>1289</v>
      </c>
      <c r="W254" s="81">
        <f>MAX(X254:BM254)</f>
        <v>16</v>
      </c>
      <c r="X254" s="170">
        <f>13*_FeetsToMeter</f>
        <v>3.9624481833699097</v>
      </c>
      <c r="Y254" s="178">
        <v>4.1910509652617325</v>
      </c>
      <c r="Z254" s="178">
        <v>4.4196537471535553</v>
      </c>
      <c r="AA254" s="178">
        <v>4.6482565290453781</v>
      </c>
      <c r="AB254" s="170">
        <f>16*_FeetsToMeter</f>
        <v>4.8768593026091196</v>
      </c>
      <c r="AC254" s="178">
        <v>5.2832642448832132</v>
      </c>
      <c r="AD254" s="178">
        <v>5.6896691871573069</v>
      </c>
      <c r="AE254" s="178">
        <v>6.0960741294314005</v>
      </c>
      <c r="AF254" s="178">
        <v>6.5024790717054941</v>
      </c>
      <c r="AG254" s="178">
        <v>6.9088840139795877</v>
      </c>
      <c r="AH254" s="178">
        <v>7.3152889562536814</v>
      </c>
      <c r="AI254" s="178">
        <v>7.721693898527775</v>
      </c>
      <c r="AJ254" s="178">
        <v>8.1280988408018686</v>
      </c>
      <c r="AK254" s="170">
        <f>28*_FeetsToMeter</f>
        <v>8.5345037795659593</v>
      </c>
      <c r="AL254" s="178">
        <v>8.8088271237966111</v>
      </c>
      <c r="AM254" s="178">
        <v>9.083150468027263</v>
      </c>
      <c r="AN254" s="178">
        <v>9.3574738122579149</v>
      </c>
      <c r="AO254" s="178">
        <v>9.6317971564885667</v>
      </c>
      <c r="AP254" s="178">
        <v>9.9061205007192186</v>
      </c>
      <c r="AQ254" s="178">
        <v>10.18044384494987</v>
      </c>
      <c r="AR254" s="178">
        <v>10.454767189180522</v>
      </c>
      <c r="AS254" s="178">
        <v>10.729090533411174</v>
      </c>
      <c r="AT254" s="178">
        <v>11.003413877641826</v>
      </c>
      <c r="AU254" s="170">
        <f>37*_FeetsToMeter</f>
        <v>11.277737137283589</v>
      </c>
      <c r="AV254" s="178">
        <v>11.552060481514241</v>
      </c>
      <c r="AW254" s="225">
        <v>11.826383825744893</v>
      </c>
      <c r="AX254" s="225">
        <v>12.100707169975545</v>
      </c>
      <c r="AY254" s="225">
        <v>12.375030514206196</v>
      </c>
      <c r="AZ254" s="225">
        <v>12.649353858436848</v>
      </c>
      <c r="BA254" s="225">
        <v>12.9236772026675</v>
      </c>
      <c r="BB254" s="225">
        <v>13.198000546898152</v>
      </c>
      <c r="BC254" s="225">
        <v>13.472323891128804</v>
      </c>
      <c r="BD254" s="225">
        <v>13.746647235359456</v>
      </c>
      <c r="BE254" s="170">
        <f>46*_FeetsToMeter</f>
        <v>14.020970495001219</v>
      </c>
      <c r="BF254" s="178">
        <v>14</v>
      </c>
      <c r="BG254" s="178">
        <v>15</v>
      </c>
      <c r="BH254" s="178">
        <v>15</v>
      </c>
      <c r="BI254" s="178">
        <v>15</v>
      </c>
      <c r="BJ254" s="178">
        <v>15</v>
      </c>
      <c r="BK254" s="178">
        <v>16</v>
      </c>
      <c r="BL254" s="178">
        <v>16</v>
      </c>
      <c r="BM254" s="178">
        <v>16</v>
      </c>
    </row>
    <row r="255" spans="1:65" ht="150" customHeight="1" x14ac:dyDescent="0.25">
      <c r="A255" s="11">
        <v>4055</v>
      </c>
      <c r="B255" s="11">
        <v>1</v>
      </c>
      <c r="C255" s="11" t="str">
        <f t="shared" si="35"/>
        <v>Pitching</v>
      </c>
      <c r="D255" s="11" t="s">
        <v>6</v>
      </c>
      <c r="E255" s="42"/>
      <c r="F255" s="42"/>
      <c r="G255" s="151" t="s">
        <v>861</v>
      </c>
      <c r="H255" s="328">
        <v>10</v>
      </c>
      <c r="I255" s="14">
        <v>2</v>
      </c>
      <c r="J255" s="55" t="str">
        <f>C255&amp;D255&amp;I255&amp;H255&amp;K255</f>
        <v>PitchingGame2106 up</v>
      </c>
      <c r="K255" s="58" t="s">
        <v>1298</v>
      </c>
      <c r="L255" s="57" t="s">
        <v>1300</v>
      </c>
      <c r="M255" s="226"/>
      <c r="N255" s="90"/>
      <c r="O255" s="52"/>
      <c r="P255" s="13"/>
      <c r="Q255" s="35"/>
      <c r="R255" s="13"/>
      <c r="S255" s="13"/>
      <c r="T255" s="12"/>
      <c r="U255" s="54" t="str">
        <f>IFERROR(IF(LEN(X255)&gt;0,INT(INDEX(X255:BM255,0,DBE_HCP_ID)),""),"")</f>
        <v/>
      </c>
      <c r="V255" s="54"/>
      <c r="W255" s="81">
        <f>MAX(X255:BM255)</f>
        <v>0</v>
      </c>
      <c r="X255" s="11"/>
      <c r="Y255" s="11"/>
      <c r="Z255" s="11"/>
      <c r="AA255" s="11"/>
      <c r="AB255" s="11"/>
      <c r="AC255" s="11"/>
      <c r="AD255" s="11"/>
      <c r="AE255" s="11"/>
      <c r="AF255" s="11"/>
      <c r="AG255" s="11"/>
      <c r="AH255" s="11"/>
      <c r="AI255" s="11"/>
      <c r="AJ255" s="11"/>
      <c r="AK255" s="11"/>
      <c r="AL255" s="11"/>
      <c r="AM255" s="11"/>
      <c r="AN255" s="11"/>
      <c r="AO255" s="11"/>
      <c r="AP255" s="11"/>
      <c r="AQ255" s="11"/>
      <c r="AR255" s="11"/>
      <c r="AS255" s="11"/>
      <c r="AT255" s="11"/>
      <c r="AU255" s="11"/>
      <c r="AV255" s="11"/>
      <c r="AW255" s="11"/>
      <c r="AX255" s="11"/>
      <c r="AY255" s="11"/>
      <c r="AZ255" s="11"/>
      <c r="BA255" s="11"/>
      <c r="BB255" s="11"/>
      <c r="BC255" s="11"/>
      <c r="BD255" s="11"/>
      <c r="BE255" s="11"/>
      <c r="BF255" s="11"/>
      <c r="BG255" s="11"/>
      <c r="BH255" s="11"/>
      <c r="BI255" s="11"/>
      <c r="BJ255" s="11"/>
      <c r="BK255" s="11"/>
      <c r="BL255" s="11"/>
      <c r="BM255" s="11"/>
    </row>
    <row r="256" spans="1:65" ht="150" customHeight="1" x14ac:dyDescent="0.25">
      <c r="A256" s="11">
        <v>5000</v>
      </c>
      <c r="B256" s="11">
        <v>2</v>
      </c>
      <c r="C256" s="11" t="str">
        <f t="shared" ref="C256:C276" si="39">MUI_STAT_T_MainTitel_4</f>
        <v>Approach Shot</v>
      </c>
      <c r="D256" s="11" t="s">
        <v>51</v>
      </c>
      <c r="E256" s="42"/>
      <c r="F256" s="42"/>
      <c r="G256" s="151" t="s">
        <v>861</v>
      </c>
      <c r="H256" s="328">
        <v>15</v>
      </c>
      <c r="I256" s="11">
        <v>1</v>
      </c>
      <c r="J256" s="55" t="str">
        <f t="shared" si="33"/>
        <v>Approach ShotTest115Median of 11 Shots - 100m</v>
      </c>
      <c r="K256" s="58" t="s">
        <v>1127</v>
      </c>
      <c r="L256" s="57" t="s">
        <v>1288</v>
      </c>
      <c r="M256" s="13"/>
      <c r="N256" s="90"/>
      <c r="O256" s="52"/>
      <c r="P256" s="13"/>
      <c r="Q256" s="35"/>
      <c r="R256" s="13"/>
      <c r="S256" s="13"/>
      <c r="T256" s="12"/>
      <c r="U256" s="307" t="str">
        <f t="shared" ref="U256:U261" si="40">IFERROR(IF(LEN(X256)&gt;0,ROUND(INDEX(X256:BM256,0,DBE_HCP_ID),1)&amp;"m",""),"")</f>
        <v>15m</v>
      </c>
      <c r="V256" s="304" t="s">
        <v>1239</v>
      </c>
      <c r="W256" s="81">
        <f t="shared" si="34"/>
        <v>15</v>
      </c>
      <c r="X256" s="170">
        <f>5.3%*100</f>
        <v>5.3</v>
      </c>
      <c r="Y256" s="178">
        <v>5.5478260844945906</v>
      </c>
      <c r="Z256" s="178">
        <v>5.7956521689891813</v>
      </c>
      <c r="AA256" s="178">
        <v>6.0434782534837721</v>
      </c>
      <c r="AB256" s="178">
        <v>6.2913043379783629</v>
      </c>
      <c r="AC256" s="178">
        <v>6.5391304224729536</v>
      </c>
      <c r="AD256" s="178">
        <v>6.7869565069675444</v>
      </c>
      <c r="AE256" s="178">
        <v>7.0347825914621351</v>
      </c>
      <c r="AF256" s="178">
        <v>7.2826086759567259</v>
      </c>
      <c r="AG256" s="178">
        <v>7.5304347604513167</v>
      </c>
      <c r="AH256" s="178">
        <v>7.7782608449459074</v>
      </c>
      <c r="AI256" s="178">
        <v>8.0260869294404991</v>
      </c>
      <c r="AJ256" s="178">
        <v>8.2739130139350898</v>
      </c>
      <c r="AK256" s="178">
        <v>8.5217390984296806</v>
      </c>
      <c r="AL256" s="178">
        <v>8.7695651829242713</v>
      </c>
      <c r="AM256" s="178">
        <v>9.0173912674188621</v>
      </c>
      <c r="AN256" s="178">
        <v>9.2652173519134529</v>
      </c>
      <c r="AO256" s="178">
        <v>9.5130434364080436</v>
      </c>
      <c r="AP256" s="178">
        <v>9.7608695209026344</v>
      </c>
      <c r="AQ256" s="178">
        <v>10.008695605397225</v>
      </c>
      <c r="AR256" s="178">
        <v>10.256521689891816</v>
      </c>
      <c r="AS256" s="178">
        <v>10.504347774386407</v>
      </c>
      <c r="AT256" s="178">
        <v>10.752173858880997</v>
      </c>
      <c r="AU256" s="170">
        <f>11%*100</f>
        <v>11</v>
      </c>
      <c r="AV256" s="178">
        <v>11</v>
      </c>
      <c r="AW256" s="225">
        <v>11</v>
      </c>
      <c r="AX256" s="225">
        <v>12</v>
      </c>
      <c r="AY256" s="225">
        <v>12</v>
      </c>
      <c r="AZ256" s="225">
        <v>12</v>
      </c>
      <c r="BA256" s="225">
        <v>12</v>
      </c>
      <c r="BB256" s="225">
        <v>13</v>
      </c>
      <c r="BC256" s="225">
        <v>13</v>
      </c>
      <c r="BD256" s="225">
        <v>13</v>
      </c>
      <c r="BE256" s="178">
        <v>13</v>
      </c>
      <c r="BF256" s="178">
        <v>14</v>
      </c>
      <c r="BG256" s="178">
        <v>14</v>
      </c>
      <c r="BH256" s="178">
        <v>14</v>
      </c>
      <c r="BI256" s="178">
        <v>14</v>
      </c>
      <c r="BJ256" s="178">
        <v>15</v>
      </c>
      <c r="BK256" s="178">
        <v>15</v>
      </c>
      <c r="BL256" s="178">
        <v>15</v>
      </c>
      <c r="BM256" s="178">
        <v>15</v>
      </c>
    </row>
    <row r="257" spans="1:65" ht="150" customHeight="1" x14ac:dyDescent="0.25">
      <c r="A257" s="11">
        <v>5001</v>
      </c>
      <c r="B257" s="11">
        <v>2</v>
      </c>
      <c r="C257" s="11" t="str">
        <f t="shared" si="39"/>
        <v>Approach Shot</v>
      </c>
      <c r="D257" s="11" t="s">
        <v>51</v>
      </c>
      <c r="E257" s="42"/>
      <c r="F257" s="42"/>
      <c r="G257" s="151" t="s">
        <v>861</v>
      </c>
      <c r="H257" s="328">
        <v>15</v>
      </c>
      <c r="I257" s="11">
        <v>1</v>
      </c>
      <c r="J257" s="55" t="str">
        <f t="shared" si="33"/>
        <v>Approach ShotTest115Median of 11 Shots - 120m</v>
      </c>
      <c r="K257" s="58" t="s">
        <v>1126</v>
      </c>
      <c r="L257" s="57" t="s">
        <v>1160</v>
      </c>
      <c r="M257" s="13"/>
      <c r="N257" s="90"/>
      <c r="O257" s="52"/>
      <c r="P257" s="13"/>
      <c r="Q257" s="35"/>
      <c r="R257" s="13"/>
      <c r="S257" s="13"/>
      <c r="T257" s="12"/>
      <c r="U257" s="307" t="str">
        <f t="shared" si="40"/>
        <v>20m</v>
      </c>
      <c r="V257" s="304" t="s">
        <v>1239</v>
      </c>
      <c r="W257" s="81">
        <f t="shared" si="34"/>
        <v>21</v>
      </c>
      <c r="X257" s="170">
        <f>5.5%*120</f>
        <v>6.6</v>
      </c>
      <c r="Y257" s="178">
        <v>6.9391304314136502</v>
      </c>
      <c r="Z257" s="178">
        <v>7.2782608628273007</v>
      </c>
      <c r="AA257" s="178">
        <v>7.6173912942409512</v>
      </c>
      <c r="AB257" s="178">
        <v>7.9565217256546017</v>
      </c>
      <c r="AC257" s="178">
        <v>8.2956521570682522</v>
      </c>
      <c r="AD257" s="178">
        <v>8.6347825884819027</v>
      </c>
      <c r="AE257" s="178">
        <v>8.9739130198955532</v>
      </c>
      <c r="AF257" s="178">
        <v>9.3130434513092037</v>
      </c>
      <c r="AG257" s="178">
        <v>9.6521738827228543</v>
      </c>
      <c r="AH257" s="178">
        <v>9.9913043141365048</v>
      </c>
      <c r="AI257" s="178">
        <v>10.330434745550155</v>
      </c>
      <c r="AJ257" s="178">
        <v>10.669565176963806</v>
      </c>
      <c r="AK257" s="178">
        <v>11.008695608377456</v>
      </c>
      <c r="AL257" s="178">
        <v>11.347826039791107</v>
      </c>
      <c r="AM257" s="178">
        <v>11.686956471204757</v>
      </c>
      <c r="AN257" s="178">
        <v>12.026086902618408</v>
      </c>
      <c r="AO257" s="178">
        <v>12.365217334032058</v>
      </c>
      <c r="AP257" s="178">
        <v>12.704347765445709</v>
      </c>
      <c r="AQ257" s="178">
        <v>13.043478196859359</v>
      </c>
      <c r="AR257" s="178">
        <v>13.38260862827301</v>
      </c>
      <c r="AS257" s="178">
        <v>13.72173905968666</v>
      </c>
      <c r="AT257" s="178">
        <v>14.060869491100311</v>
      </c>
      <c r="AU257" s="170">
        <f>12%*120</f>
        <v>14.399999999999999</v>
      </c>
      <c r="AV257" s="11">
        <v>15</v>
      </c>
      <c r="AW257" s="11">
        <v>15</v>
      </c>
      <c r="AX257" s="11">
        <v>15</v>
      </c>
      <c r="AY257" s="11">
        <v>16</v>
      </c>
      <c r="AZ257" s="11">
        <v>16</v>
      </c>
      <c r="BA257" s="11">
        <v>16</v>
      </c>
      <c r="BB257" s="11">
        <v>17</v>
      </c>
      <c r="BC257" s="11">
        <v>17</v>
      </c>
      <c r="BD257" s="11">
        <v>17</v>
      </c>
      <c r="BE257" s="11">
        <v>18</v>
      </c>
      <c r="BF257" s="11">
        <v>18</v>
      </c>
      <c r="BG257" s="11">
        <v>18</v>
      </c>
      <c r="BH257" s="11">
        <v>19</v>
      </c>
      <c r="BI257" s="11">
        <v>19</v>
      </c>
      <c r="BJ257" s="11">
        <v>19</v>
      </c>
      <c r="BK257" s="11">
        <v>20</v>
      </c>
      <c r="BL257" s="11">
        <v>20</v>
      </c>
      <c r="BM257" s="11">
        <v>21</v>
      </c>
    </row>
    <row r="258" spans="1:65" ht="150" customHeight="1" x14ac:dyDescent="0.25">
      <c r="A258" s="11">
        <v>5002</v>
      </c>
      <c r="B258" s="11">
        <v>2</v>
      </c>
      <c r="C258" s="11" t="str">
        <f t="shared" si="39"/>
        <v>Approach Shot</v>
      </c>
      <c r="D258" s="11" t="s">
        <v>51</v>
      </c>
      <c r="E258" s="42"/>
      <c r="F258" s="42"/>
      <c r="G258" s="151" t="s">
        <v>861</v>
      </c>
      <c r="H258" s="328">
        <v>15</v>
      </c>
      <c r="I258" s="11">
        <v>1</v>
      </c>
      <c r="J258" s="55" t="str">
        <f t="shared" si="33"/>
        <v>Approach ShotTest115Median of 11 Shots - 140m</v>
      </c>
      <c r="K258" s="58" t="s">
        <v>1125</v>
      </c>
      <c r="L258" s="57" t="s">
        <v>1159</v>
      </c>
      <c r="M258" s="13"/>
      <c r="N258" s="90"/>
      <c r="O258" s="52"/>
      <c r="P258" s="13"/>
      <c r="Q258" s="35"/>
      <c r="R258" s="13"/>
      <c r="S258" s="13"/>
      <c r="T258" s="12"/>
      <c r="U258" s="307" t="str">
        <f t="shared" si="40"/>
        <v>21m</v>
      </c>
      <c r="V258" s="304" t="s">
        <v>1239</v>
      </c>
      <c r="W258" s="81">
        <f t="shared" si="34"/>
        <v>22</v>
      </c>
      <c r="X258" s="170">
        <f>5.7%*140</f>
        <v>7.98</v>
      </c>
      <c r="Y258" s="178">
        <v>8.3113043415546421</v>
      </c>
      <c r="Z258" s="178">
        <v>8.6426086831092839</v>
      </c>
      <c r="AA258" s="178">
        <v>8.9739130246639256</v>
      </c>
      <c r="AB258" s="178">
        <v>9.3052173662185673</v>
      </c>
      <c r="AC258" s="178">
        <v>9.636521707773209</v>
      </c>
      <c r="AD258" s="178">
        <v>9.9678260493278508</v>
      </c>
      <c r="AE258" s="178">
        <v>10.299130390882492</v>
      </c>
      <c r="AF258" s="178">
        <v>10.630434732437134</v>
      </c>
      <c r="AG258" s="178">
        <v>10.961739073991776</v>
      </c>
      <c r="AH258" s="178">
        <v>11.293043415546418</v>
      </c>
      <c r="AI258" s="178">
        <v>11.624347757101059</v>
      </c>
      <c r="AJ258" s="178">
        <v>11.955652098655701</v>
      </c>
      <c r="AK258" s="178">
        <v>12.286956440210343</v>
      </c>
      <c r="AL258" s="178">
        <v>12.618260781764985</v>
      </c>
      <c r="AM258" s="178">
        <v>12.949565123319626</v>
      </c>
      <c r="AN258" s="178">
        <v>13.280869464874268</v>
      </c>
      <c r="AO258" s="178">
        <v>13.61217380642891</v>
      </c>
      <c r="AP258" s="178">
        <v>13.943478147983551</v>
      </c>
      <c r="AQ258" s="178">
        <v>14.274782489538193</v>
      </c>
      <c r="AR258" s="178">
        <v>14.606086831092835</v>
      </c>
      <c r="AS258" s="178">
        <v>14.937391172647477</v>
      </c>
      <c r="AT258" s="178">
        <v>15.268695514202118</v>
      </c>
      <c r="AU258" s="170">
        <f>13%*120</f>
        <v>15.600000000000001</v>
      </c>
      <c r="AV258" s="11">
        <v>16</v>
      </c>
      <c r="AW258" s="11">
        <v>16</v>
      </c>
      <c r="AX258" s="11">
        <v>17</v>
      </c>
      <c r="AY258" s="11">
        <v>17</v>
      </c>
      <c r="AZ258" s="11">
        <v>17</v>
      </c>
      <c r="BA258" s="11">
        <v>18</v>
      </c>
      <c r="BB258" s="11">
        <v>18</v>
      </c>
      <c r="BC258" s="11">
        <v>18</v>
      </c>
      <c r="BD258" s="11">
        <v>19</v>
      </c>
      <c r="BE258" s="11">
        <v>19</v>
      </c>
      <c r="BF258" s="11">
        <v>19</v>
      </c>
      <c r="BG258" s="11">
        <v>20</v>
      </c>
      <c r="BH258" s="11">
        <v>20</v>
      </c>
      <c r="BI258" s="11">
        <v>20</v>
      </c>
      <c r="BJ258" s="11">
        <v>21</v>
      </c>
      <c r="BK258" s="11">
        <v>21</v>
      </c>
      <c r="BL258" s="11">
        <v>21</v>
      </c>
      <c r="BM258" s="11">
        <v>22</v>
      </c>
    </row>
    <row r="259" spans="1:65" ht="150" customHeight="1" x14ac:dyDescent="0.25">
      <c r="A259" s="11">
        <v>5003</v>
      </c>
      <c r="B259" s="11">
        <v>2</v>
      </c>
      <c r="C259" s="11" t="str">
        <f t="shared" si="39"/>
        <v>Approach Shot</v>
      </c>
      <c r="D259" s="11" t="s">
        <v>51</v>
      </c>
      <c r="E259" s="42"/>
      <c r="F259" s="42"/>
      <c r="G259" s="151" t="s">
        <v>861</v>
      </c>
      <c r="H259" s="328">
        <v>15</v>
      </c>
      <c r="I259" s="11">
        <v>1</v>
      </c>
      <c r="J259" s="55" t="str">
        <f t="shared" si="33"/>
        <v>Approach ShotTest115Median of 11 Shots - 160</v>
      </c>
      <c r="K259" s="58" t="s">
        <v>1128</v>
      </c>
      <c r="L259" s="57" t="s">
        <v>1161</v>
      </c>
      <c r="M259" s="13"/>
      <c r="N259" s="90"/>
      <c r="O259" s="52"/>
      <c r="P259" s="13"/>
      <c r="Q259" s="35"/>
      <c r="R259" s="13"/>
      <c r="S259" s="13"/>
      <c r="T259" s="12"/>
      <c r="U259" s="307" t="str">
        <f t="shared" si="40"/>
        <v>31m</v>
      </c>
      <c r="V259" s="304" t="s">
        <v>1239</v>
      </c>
      <c r="W259" s="81">
        <f t="shared" si="34"/>
        <v>33</v>
      </c>
      <c r="X259" s="170">
        <f>5.9%*160</f>
        <v>9.4400000000000013</v>
      </c>
      <c r="Y259" s="178">
        <v>10.003478231430055</v>
      </c>
      <c r="Z259" s="178">
        <v>10.566956462860109</v>
      </c>
      <c r="AA259" s="178">
        <v>11.130434694290162</v>
      </c>
      <c r="AB259" s="178">
        <v>11.693912925720216</v>
      </c>
      <c r="AC259" s="178">
        <v>12.25739115715027</v>
      </c>
      <c r="AD259" s="178">
        <v>12.820869388580324</v>
      </c>
      <c r="AE259" s="178">
        <v>13.384347620010377</v>
      </c>
      <c r="AF259" s="178">
        <v>13.947825851440431</v>
      </c>
      <c r="AG259" s="178">
        <v>14.511304082870485</v>
      </c>
      <c r="AH259" s="178">
        <v>15.074782314300538</v>
      </c>
      <c r="AI259" s="178">
        <v>15.638260545730592</v>
      </c>
      <c r="AJ259" s="178">
        <v>16.201738777160646</v>
      </c>
      <c r="AK259" s="178">
        <v>16.7652170085907</v>
      </c>
      <c r="AL259" s="178">
        <v>17.328695240020753</v>
      </c>
      <c r="AM259" s="178">
        <v>17.892173471450807</v>
      </c>
      <c r="AN259" s="178">
        <v>18.455651702880861</v>
      </c>
      <c r="AO259" s="178">
        <v>19.019129934310914</v>
      </c>
      <c r="AP259" s="178">
        <v>19.582608165740968</v>
      </c>
      <c r="AQ259" s="178">
        <v>20.146086397171022</v>
      </c>
      <c r="AR259" s="178">
        <v>20.709564628601075</v>
      </c>
      <c r="AS259" s="178">
        <v>21.273042860031129</v>
      </c>
      <c r="AT259" s="178">
        <v>21.836521091461183</v>
      </c>
      <c r="AU259" s="170">
        <f>14%*160</f>
        <v>22.400000000000002</v>
      </c>
      <c r="AV259" s="11">
        <v>23</v>
      </c>
      <c r="AW259" s="11">
        <v>24</v>
      </c>
      <c r="AX259" s="11">
        <v>24</v>
      </c>
      <c r="AY259" s="11">
        <v>25</v>
      </c>
      <c r="AZ259" s="11">
        <v>25</v>
      </c>
      <c r="BA259" s="11">
        <v>26</v>
      </c>
      <c r="BB259" s="11">
        <v>26</v>
      </c>
      <c r="BC259" s="11">
        <v>27</v>
      </c>
      <c r="BD259" s="11">
        <v>27</v>
      </c>
      <c r="BE259" s="11">
        <v>28</v>
      </c>
      <c r="BF259" s="11">
        <v>29</v>
      </c>
      <c r="BG259" s="11">
        <v>29</v>
      </c>
      <c r="BH259" s="11">
        <v>30</v>
      </c>
      <c r="BI259" s="11">
        <v>30</v>
      </c>
      <c r="BJ259" s="11">
        <v>31</v>
      </c>
      <c r="BK259" s="11">
        <v>31</v>
      </c>
      <c r="BL259" s="11">
        <v>32</v>
      </c>
      <c r="BM259" s="11">
        <v>33</v>
      </c>
    </row>
    <row r="260" spans="1:65" ht="150" customHeight="1" x14ac:dyDescent="0.25">
      <c r="A260" s="11">
        <v>5004</v>
      </c>
      <c r="B260" s="11">
        <v>2</v>
      </c>
      <c r="C260" s="11" t="str">
        <f t="shared" si="39"/>
        <v>Approach Shot</v>
      </c>
      <c r="D260" s="11" t="s">
        <v>51</v>
      </c>
      <c r="E260" s="42"/>
      <c r="F260" s="42"/>
      <c r="G260" s="151" t="s">
        <v>861</v>
      </c>
      <c r="H260" s="328">
        <v>15</v>
      </c>
      <c r="I260" s="11">
        <v>1</v>
      </c>
      <c r="J260" s="55" t="str">
        <f t="shared" si="33"/>
        <v>Approach ShotTest115Median of 11 Shots - 180m</v>
      </c>
      <c r="K260" s="58" t="s">
        <v>1129</v>
      </c>
      <c r="L260" s="57" t="s">
        <v>1162</v>
      </c>
      <c r="M260" s="13"/>
      <c r="N260" s="90"/>
      <c r="O260" s="52"/>
      <c r="P260" s="13"/>
      <c r="Q260" s="35"/>
      <c r="R260" s="13"/>
      <c r="S260" s="13"/>
      <c r="T260" s="12"/>
      <c r="U260" s="307" t="str">
        <f t="shared" si="40"/>
        <v>38m</v>
      </c>
      <c r="V260" s="304" t="s">
        <v>1239</v>
      </c>
      <c r="W260" s="81">
        <f t="shared" si="34"/>
        <v>40</v>
      </c>
      <c r="X260" s="170">
        <f>6.1%*180</f>
        <v>10.98</v>
      </c>
      <c r="Y260" s="178">
        <v>11.676521759033204</v>
      </c>
      <c r="Z260" s="178">
        <v>12.373043518066407</v>
      </c>
      <c r="AA260" s="178">
        <v>13.06956527709961</v>
      </c>
      <c r="AB260" s="178">
        <v>13.766087036132813</v>
      </c>
      <c r="AC260" s="178">
        <v>14.462608795166016</v>
      </c>
      <c r="AD260" s="178">
        <v>15.159130554199219</v>
      </c>
      <c r="AE260" s="178">
        <v>15.855652313232422</v>
      </c>
      <c r="AF260" s="178">
        <v>16.552174072265625</v>
      </c>
      <c r="AG260" s="178">
        <v>17.248695831298829</v>
      </c>
      <c r="AH260" s="178">
        <v>17.945217590332032</v>
      </c>
      <c r="AI260" s="178">
        <v>18.641739349365235</v>
      </c>
      <c r="AJ260" s="178">
        <v>19.338261108398438</v>
      </c>
      <c r="AK260" s="178">
        <v>20.034782867431641</v>
      </c>
      <c r="AL260" s="178">
        <v>20.731304626464844</v>
      </c>
      <c r="AM260" s="178">
        <v>21.427826385498047</v>
      </c>
      <c r="AN260" s="178">
        <v>22.12434814453125</v>
      </c>
      <c r="AO260" s="178">
        <v>22.820869903564454</v>
      </c>
      <c r="AP260" s="178">
        <v>23.517391662597657</v>
      </c>
      <c r="AQ260" s="178">
        <v>24.21391342163086</v>
      </c>
      <c r="AR260" s="178">
        <v>24.910435180664063</v>
      </c>
      <c r="AS260" s="178">
        <v>25.606956939697266</v>
      </c>
      <c r="AT260" s="178">
        <v>26.303478698730469</v>
      </c>
      <c r="AU260" s="170">
        <f>15%*180</f>
        <v>27</v>
      </c>
      <c r="AV260" s="11">
        <v>28</v>
      </c>
      <c r="AW260" s="11">
        <v>28</v>
      </c>
      <c r="AX260" s="11">
        <v>29</v>
      </c>
      <c r="AY260" s="11">
        <v>30</v>
      </c>
      <c r="AZ260" s="11">
        <v>30</v>
      </c>
      <c r="BA260" s="11">
        <v>31</v>
      </c>
      <c r="BB260" s="11">
        <v>32</v>
      </c>
      <c r="BC260" s="11">
        <v>33</v>
      </c>
      <c r="BD260" s="11">
        <v>33</v>
      </c>
      <c r="BE260" s="11">
        <v>34</v>
      </c>
      <c r="BF260" s="11">
        <v>35</v>
      </c>
      <c r="BG260" s="11">
        <v>35</v>
      </c>
      <c r="BH260" s="11">
        <v>36</v>
      </c>
      <c r="BI260" s="11">
        <v>37</v>
      </c>
      <c r="BJ260" s="11">
        <v>37</v>
      </c>
      <c r="BK260" s="11">
        <v>38</v>
      </c>
      <c r="BL260" s="11">
        <v>39</v>
      </c>
      <c r="BM260" s="11">
        <v>40</v>
      </c>
    </row>
    <row r="261" spans="1:65" ht="150" customHeight="1" x14ac:dyDescent="0.25">
      <c r="A261" s="11">
        <v>5005</v>
      </c>
      <c r="B261" s="11">
        <v>2</v>
      </c>
      <c r="C261" s="11" t="str">
        <f t="shared" si="39"/>
        <v>Approach Shot</v>
      </c>
      <c r="D261" s="11" t="s">
        <v>51</v>
      </c>
      <c r="E261" s="42"/>
      <c r="F261" s="42"/>
      <c r="G261" s="151" t="s">
        <v>861</v>
      </c>
      <c r="H261" s="328">
        <v>15</v>
      </c>
      <c r="I261" s="11">
        <v>1</v>
      </c>
      <c r="J261" s="55" t="str">
        <f t="shared" si="33"/>
        <v>Approach ShotTest115Median of 11 Shots - 200m</v>
      </c>
      <c r="K261" s="58" t="s">
        <v>1130</v>
      </c>
      <c r="L261" s="57" t="s">
        <v>1163</v>
      </c>
      <c r="M261" s="13"/>
      <c r="N261" s="90"/>
      <c r="O261" s="52"/>
      <c r="P261" s="13"/>
      <c r="Q261" s="35"/>
      <c r="R261" s="13"/>
      <c r="S261" s="13"/>
      <c r="T261" s="12"/>
      <c r="U261" s="307" t="str">
        <f t="shared" si="40"/>
        <v>45m</v>
      </c>
      <c r="V261" s="304" t="s">
        <v>1239</v>
      </c>
      <c r="W261" s="81">
        <f t="shared" si="34"/>
        <v>47</v>
      </c>
      <c r="X261" s="170">
        <f>6.3%*200</f>
        <v>12.6</v>
      </c>
      <c r="Y261" s="178">
        <v>13.443478262424469</v>
      </c>
      <c r="Z261" s="178">
        <v>14.286956524848938</v>
      </c>
      <c r="AA261" s="178">
        <v>15.130434787273407</v>
      </c>
      <c r="AB261" s="178">
        <v>15.973913049697876</v>
      </c>
      <c r="AC261" s="178">
        <v>16.817391312122346</v>
      </c>
      <c r="AD261" s="178">
        <v>17.660869574546815</v>
      </c>
      <c r="AE261" s="178">
        <v>18.504347836971284</v>
      </c>
      <c r="AF261" s="178">
        <v>19.347826099395753</v>
      </c>
      <c r="AG261" s="178">
        <v>20.191304361820222</v>
      </c>
      <c r="AH261" s="178">
        <v>21.034782624244691</v>
      </c>
      <c r="AI261" s="178">
        <v>21.87826088666916</v>
      </c>
      <c r="AJ261" s="178">
        <v>22.721739149093629</v>
      </c>
      <c r="AK261" s="178">
        <v>23.565217411518098</v>
      </c>
      <c r="AL261" s="178">
        <v>24.408695673942567</v>
      </c>
      <c r="AM261" s="178">
        <v>25.252173936367036</v>
      </c>
      <c r="AN261" s="178">
        <v>26.095652198791505</v>
      </c>
      <c r="AO261" s="178">
        <v>26.939130461215974</v>
      </c>
      <c r="AP261" s="178">
        <v>27.782608723640443</v>
      </c>
      <c r="AQ261" s="178">
        <v>28.626086986064912</v>
      </c>
      <c r="AR261" s="178">
        <v>29.469565248489381</v>
      </c>
      <c r="AS261" s="178">
        <v>30.31304351091385</v>
      </c>
      <c r="AT261" s="178">
        <v>31.156521773338319</v>
      </c>
      <c r="AU261" s="170">
        <f>16%*200</f>
        <v>32</v>
      </c>
      <c r="AV261" s="11">
        <v>33</v>
      </c>
      <c r="AW261" s="11">
        <v>34</v>
      </c>
      <c r="AX261" s="11">
        <v>35</v>
      </c>
      <c r="AY261" s="11">
        <v>35</v>
      </c>
      <c r="AZ261" s="11">
        <v>36</v>
      </c>
      <c r="BA261" s="11">
        <v>37</v>
      </c>
      <c r="BB261" s="11">
        <v>38</v>
      </c>
      <c r="BC261" s="11">
        <v>39</v>
      </c>
      <c r="BD261" s="11">
        <v>40</v>
      </c>
      <c r="BE261" s="11">
        <v>40</v>
      </c>
      <c r="BF261" s="11">
        <v>41</v>
      </c>
      <c r="BG261" s="11">
        <v>42</v>
      </c>
      <c r="BH261" s="11">
        <v>43</v>
      </c>
      <c r="BI261" s="11">
        <v>44</v>
      </c>
      <c r="BJ261" s="11">
        <v>45</v>
      </c>
      <c r="BK261" s="11">
        <v>45</v>
      </c>
      <c r="BL261" s="11">
        <v>46</v>
      </c>
      <c r="BM261" s="11">
        <v>47</v>
      </c>
    </row>
    <row r="262" spans="1:65" ht="150" customHeight="1" x14ac:dyDescent="0.25">
      <c r="A262" s="11">
        <v>5006</v>
      </c>
      <c r="B262" s="11">
        <v>-1</v>
      </c>
      <c r="C262" s="11" t="str">
        <f t="shared" si="39"/>
        <v>Approach Shot</v>
      </c>
      <c r="D262" s="11" t="s">
        <v>98</v>
      </c>
      <c r="E262" s="42"/>
      <c r="F262" s="42"/>
      <c r="G262" s="151" t="s">
        <v>861</v>
      </c>
      <c r="H262" s="329">
        <v>5</v>
      </c>
      <c r="I262" s="14">
        <v>1</v>
      </c>
      <c r="J262" s="55" t="str">
        <f t="shared" si="33"/>
        <v>Approach ShotChallenge15Find the right Approach</v>
      </c>
      <c r="K262" s="58" t="s">
        <v>240</v>
      </c>
      <c r="L262" s="57" t="s">
        <v>244</v>
      </c>
      <c r="M262" s="13"/>
      <c r="N262" s="90"/>
      <c r="O262" s="52"/>
      <c r="P262" s="13"/>
      <c r="Q262" s="35"/>
      <c r="R262" s="13"/>
      <c r="S262" s="13"/>
      <c r="T262" s="12"/>
      <c r="U262" s="54" t="str">
        <f t="shared" si="32"/>
        <v/>
      </c>
      <c r="V262" s="54"/>
      <c r="W262" s="81">
        <f t="shared" si="34"/>
        <v>0</v>
      </c>
      <c r="X262" s="11"/>
      <c r="Y262" s="11"/>
      <c r="Z262" s="11"/>
      <c r="AA262" s="11"/>
      <c r="AB262" s="11"/>
      <c r="AC262" s="11"/>
      <c r="AD262" s="11"/>
      <c r="AE262" s="11"/>
      <c r="AF262" s="11"/>
      <c r="AG262" s="11"/>
      <c r="AH262" s="11"/>
      <c r="AI262" s="11"/>
      <c r="AJ262" s="11"/>
      <c r="AK262" s="11"/>
      <c r="AL262" s="11"/>
      <c r="AM262" s="11"/>
      <c r="AN262" s="11"/>
      <c r="AO262" s="11"/>
      <c r="AP262" s="11"/>
      <c r="AQ262" s="11"/>
      <c r="AR262" s="11"/>
      <c r="AS262" s="11"/>
      <c r="AT262" s="11"/>
      <c r="AU262" s="11"/>
      <c r="AV262" s="11"/>
      <c r="AW262" s="11"/>
      <c r="AX262" s="11"/>
      <c r="AY262" s="11"/>
      <c r="AZ262" s="11"/>
      <c r="BA262" s="11"/>
      <c r="BB262" s="11"/>
      <c r="BC262" s="11"/>
      <c r="BD262" s="11"/>
      <c r="BE262" s="11"/>
      <c r="BF262" s="11"/>
      <c r="BG262" s="11"/>
      <c r="BH262" s="11"/>
      <c r="BI262" s="11"/>
      <c r="BJ262" s="11"/>
      <c r="BK262" s="11"/>
      <c r="BL262" s="11"/>
      <c r="BM262" s="11"/>
    </row>
    <row r="263" spans="1:65" ht="150" customHeight="1" x14ac:dyDescent="0.25">
      <c r="A263" s="11">
        <v>5007</v>
      </c>
      <c r="B263" s="11">
        <v>-1</v>
      </c>
      <c r="C263" s="11" t="str">
        <f t="shared" si="39"/>
        <v>Approach Shot</v>
      </c>
      <c r="D263" s="11" t="s">
        <v>6</v>
      </c>
      <c r="E263" s="42"/>
      <c r="F263" s="42"/>
      <c r="G263" s="151" t="s">
        <v>861</v>
      </c>
      <c r="H263" s="329">
        <v>10</v>
      </c>
      <c r="I263" s="14" t="s">
        <v>710</v>
      </c>
      <c r="J263" s="55" t="str">
        <f t="shared" si="33"/>
        <v>Approach ShotGame2-many10Find the right Approach</v>
      </c>
      <c r="K263" s="58" t="s">
        <v>240</v>
      </c>
      <c r="L263" s="57" t="s">
        <v>239</v>
      </c>
      <c r="M263" s="13"/>
      <c r="N263" s="90"/>
      <c r="O263" s="52"/>
      <c r="P263" s="13"/>
      <c r="Q263" s="35"/>
      <c r="R263" s="13"/>
      <c r="S263" s="13"/>
      <c r="T263" s="12"/>
      <c r="U263" s="54" t="str">
        <f t="shared" si="32"/>
        <v/>
      </c>
      <c r="V263" s="54"/>
      <c r="W263" s="81">
        <f t="shared" si="34"/>
        <v>0</v>
      </c>
      <c r="X263" s="11"/>
      <c r="Y263" s="11"/>
      <c r="Z263" s="11"/>
      <c r="AA263" s="11"/>
      <c r="AB263" s="11"/>
      <c r="AC263" s="11"/>
      <c r="AD263" s="11"/>
      <c r="AE263" s="11"/>
      <c r="AF263" s="11"/>
      <c r="AG263" s="11"/>
      <c r="AH263" s="11"/>
      <c r="AI263" s="11"/>
      <c r="AJ263" s="11"/>
      <c r="AK263" s="11"/>
      <c r="AL263" s="11"/>
      <c r="AM263" s="11"/>
      <c r="AN263" s="11"/>
      <c r="AO263" s="11"/>
      <c r="AP263" s="11"/>
      <c r="AQ263" s="11"/>
      <c r="AR263" s="11"/>
      <c r="AS263" s="11"/>
      <c r="AT263" s="11"/>
      <c r="AU263" s="11"/>
      <c r="AV263" s="11"/>
      <c r="AW263" s="11"/>
      <c r="AX263" s="11"/>
      <c r="AY263" s="11"/>
      <c r="AZ263" s="11"/>
      <c r="BA263" s="11"/>
      <c r="BB263" s="11"/>
      <c r="BC263" s="11"/>
      <c r="BD263" s="11"/>
      <c r="BE263" s="11"/>
      <c r="BF263" s="11"/>
      <c r="BG263" s="11"/>
      <c r="BH263" s="11"/>
      <c r="BI263" s="11"/>
      <c r="BJ263" s="11"/>
      <c r="BK263" s="11"/>
      <c r="BL263" s="11"/>
      <c r="BM263" s="11"/>
    </row>
    <row r="264" spans="1:65" ht="150" customHeight="1" x14ac:dyDescent="0.25">
      <c r="A264" s="11">
        <v>5008</v>
      </c>
      <c r="B264" s="11">
        <v>-1</v>
      </c>
      <c r="C264" s="11" t="str">
        <f t="shared" si="39"/>
        <v>Approach Shot</v>
      </c>
      <c r="D264" s="11" t="s">
        <v>181</v>
      </c>
      <c r="E264" s="42"/>
      <c r="F264" s="42"/>
      <c r="G264" s="151" t="s">
        <v>861</v>
      </c>
      <c r="H264" s="329">
        <v>5</v>
      </c>
      <c r="I264" s="14">
        <v>1</v>
      </c>
      <c r="J264" s="55" t="str">
        <f t="shared" si="33"/>
        <v>Approach ShotDrill159 Shots for  Different Shapes</v>
      </c>
      <c r="K264" s="58" t="s">
        <v>647</v>
      </c>
      <c r="L264" s="57" t="s">
        <v>242</v>
      </c>
      <c r="M264" s="13"/>
      <c r="N264" s="90"/>
      <c r="O264" s="52"/>
      <c r="P264" s="13"/>
      <c r="Q264" s="35"/>
      <c r="R264" s="13"/>
      <c r="S264" s="13"/>
      <c r="T264" s="12"/>
      <c r="U264" s="54" t="str">
        <f t="shared" si="32"/>
        <v/>
      </c>
      <c r="V264" s="54"/>
      <c r="W264" s="81">
        <f t="shared" si="34"/>
        <v>0</v>
      </c>
      <c r="X264" s="11"/>
      <c r="Y264" s="11"/>
      <c r="Z264" s="11"/>
      <c r="AA264" s="11"/>
      <c r="AB264" s="11"/>
      <c r="AC264" s="11"/>
      <c r="AD264" s="11"/>
      <c r="AE264" s="11"/>
      <c r="AF264" s="11"/>
      <c r="AG264" s="11"/>
      <c r="AH264" s="11"/>
      <c r="AI264" s="11"/>
      <c r="AJ264" s="11"/>
      <c r="AK264" s="11"/>
      <c r="AL264" s="11"/>
      <c r="AM264" s="11"/>
      <c r="AN264" s="11"/>
      <c r="AO264" s="11"/>
      <c r="AP264" s="11"/>
      <c r="AQ264" s="11"/>
      <c r="AR264" s="11"/>
      <c r="AS264" s="11"/>
      <c r="AT264" s="11"/>
      <c r="AU264" s="11"/>
      <c r="AV264" s="11"/>
      <c r="AW264" s="11"/>
      <c r="AX264" s="11"/>
      <c r="AY264" s="11"/>
      <c r="AZ264" s="11"/>
      <c r="BA264" s="11"/>
      <c r="BB264" s="11"/>
      <c r="BC264" s="11"/>
      <c r="BD264" s="11"/>
      <c r="BE264" s="11"/>
      <c r="BF264" s="11"/>
      <c r="BG264" s="11"/>
      <c r="BH264" s="11"/>
      <c r="BI264" s="11"/>
      <c r="BJ264" s="11"/>
      <c r="BK264" s="11"/>
      <c r="BL264" s="11"/>
      <c r="BM264" s="11"/>
    </row>
    <row r="265" spans="1:65" ht="150" customHeight="1" x14ac:dyDescent="0.25">
      <c r="A265" s="11">
        <v>5009</v>
      </c>
      <c r="B265" s="11">
        <v>-1</v>
      </c>
      <c r="C265" s="11" t="str">
        <f t="shared" si="39"/>
        <v>Approach Shot</v>
      </c>
      <c r="D265" s="11" t="s">
        <v>51</v>
      </c>
      <c r="E265" s="42"/>
      <c r="F265" s="42"/>
      <c r="G265" s="151" t="s">
        <v>861</v>
      </c>
      <c r="H265" s="329">
        <v>5</v>
      </c>
      <c r="I265" s="14">
        <v>1</v>
      </c>
      <c r="J265" s="55" t="s">
        <v>549</v>
      </c>
      <c r="K265" s="58" t="s">
        <v>240</v>
      </c>
      <c r="L265" s="57" t="s">
        <v>244</v>
      </c>
      <c r="M265" s="13"/>
      <c r="N265" s="90"/>
      <c r="O265" s="52"/>
      <c r="P265" s="54">
        <v>0</v>
      </c>
      <c r="Q265" s="81">
        <v>0</v>
      </c>
      <c r="R265" s="11"/>
      <c r="S265" s="11"/>
      <c r="T265" s="11"/>
      <c r="U265" s="54" t="str">
        <f t="shared" si="32"/>
        <v/>
      </c>
      <c r="V265" s="11"/>
      <c r="W265" s="11"/>
      <c r="X265" s="11"/>
      <c r="Y265" s="11"/>
      <c r="Z265" s="11"/>
      <c r="AA265" s="11"/>
      <c r="AB265" s="11"/>
      <c r="AC265" s="11"/>
      <c r="AD265" s="11"/>
      <c r="AE265" s="11"/>
      <c r="AF265" s="11"/>
      <c r="AG265" s="11"/>
      <c r="AH265" s="11"/>
      <c r="AI265" s="11"/>
      <c r="AJ265" s="11"/>
      <c r="AK265" s="11"/>
      <c r="AL265" s="11"/>
      <c r="AM265" s="11"/>
      <c r="AN265" s="11"/>
      <c r="AO265" s="11"/>
      <c r="AP265" s="11"/>
      <c r="AQ265" s="11"/>
      <c r="AR265" s="11"/>
      <c r="AS265" s="11"/>
      <c r="AT265" s="11"/>
      <c r="AU265" s="11"/>
      <c r="AV265" s="11"/>
      <c r="AW265" s="11"/>
      <c r="AX265" s="11"/>
      <c r="AY265" s="11"/>
      <c r="AZ265" s="11"/>
      <c r="BA265" s="11"/>
      <c r="BB265" s="11"/>
      <c r="BC265" s="11"/>
      <c r="BD265" s="11"/>
      <c r="BE265" s="11"/>
      <c r="BF265" s="11"/>
      <c r="BG265" s="11"/>
      <c r="BH265" s="11"/>
      <c r="BI265" s="11"/>
      <c r="BJ265" s="11"/>
      <c r="BK265" s="11"/>
      <c r="BL265" s="11"/>
      <c r="BM265" s="11"/>
    </row>
    <row r="266" spans="1:65" ht="150" customHeight="1" x14ac:dyDescent="0.25">
      <c r="A266" s="11">
        <v>5010</v>
      </c>
      <c r="B266" s="11">
        <v>1</v>
      </c>
      <c r="C266" s="11" t="str">
        <f t="shared" si="39"/>
        <v>Approach Shot</v>
      </c>
      <c r="D266" s="11" t="s">
        <v>98</v>
      </c>
      <c r="E266" s="42"/>
      <c r="F266" s="42"/>
      <c r="G266" s="151" t="s">
        <v>861</v>
      </c>
      <c r="H266" s="328">
        <v>10</v>
      </c>
      <c r="I266" s="11">
        <v>1</v>
      </c>
      <c r="J266" s="55" t="str">
        <f t="shared" ref="J266:J324" si="41">C266&amp;D266&amp;I266&amp;H266&amp;K266</f>
        <v>Approach ShotChallenge110Tee Shot Challenge  Driver</v>
      </c>
      <c r="K266" s="58" t="s">
        <v>628</v>
      </c>
      <c r="L266" s="57" t="s">
        <v>552</v>
      </c>
      <c r="M266" s="12"/>
      <c r="N266" s="90"/>
      <c r="O266" s="52"/>
      <c r="P266" s="13"/>
      <c r="Q266" s="35"/>
      <c r="R266" s="13"/>
      <c r="S266" s="13"/>
      <c r="T266" s="12"/>
      <c r="U266" s="54">
        <f t="shared" si="32"/>
        <v>4</v>
      </c>
      <c r="V266" s="54"/>
      <c r="W266" s="81">
        <f t="shared" ref="W266:W324" si="42">MAX(X266:BM266)</f>
        <v>12</v>
      </c>
      <c r="X266" s="85">
        <v>12</v>
      </c>
      <c r="Y266" s="11">
        <v>12</v>
      </c>
      <c r="Z266" s="11">
        <v>12</v>
      </c>
      <c r="AA266" s="11">
        <v>12</v>
      </c>
      <c r="AB266" s="11">
        <v>11</v>
      </c>
      <c r="AC266" s="11">
        <v>11</v>
      </c>
      <c r="AD266" s="11">
        <v>11</v>
      </c>
      <c r="AE266" s="11">
        <v>11</v>
      </c>
      <c r="AF266" s="11">
        <v>11</v>
      </c>
      <c r="AG266" s="11">
        <v>11</v>
      </c>
      <c r="AH266" s="11">
        <v>11</v>
      </c>
      <c r="AI266" s="11">
        <v>11</v>
      </c>
      <c r="AJ266" s="11">
        <v>10</v>
      </c>
      <c r="AK266" s="11">
        <v>10</v>
      </c>
      <c r="AL266" s="11">
        <v>10</v>
      </c>
      <c r="AM266" s="85">
        <v>10</v>
      </c>
      <c r="AN266" s="11">
        <v>10</v>
      </c>
      <c r="AO266" s="11">
        <v>9</v>
      </c>
      <c r="AP266" s="11">
        <v>9</v>
      </c>
      <c r="AQ266" s="11">
        <v>9</v>
      </c>
      <c r="AR266" s="11">
        <v>8</v>
      </c>
      <c r="AS266" s="11">
        <v>8</v>
      </c>
      <c r="AT266" s="11">
        <v>8</v>
      </c>
      <c r="AU266" s="11">
        <v>8</v>
      </c>
      <c r="AV266" s="11">
        <v>7</v>
      </c>
      <c r="AW266" s="85">
        <v>7</v>
      </c>
      <c r="AX266" s="11">
        <v>7</v>
      </c>
      <c r="AY266" s="11">
        <v>7</v>
      </c>
      <c r="AZ266" s="11">
        <v>6</v>
      </c>
      <c r="BA266" s="11">
        <v>6</v>
      </c>
      <c r="BB266" s="11">
        <v>6</v>
      </c>
      <c r="BC266" s="11">
        <v>6</v>
      </c>
      <c r="BD266" s="11">
        <v>6</v>
      </c>
      <c r="BE266" s="11">
        <v>5</v>
      </c>
      <c r="BF266" s="11">
        <v>5</v>
      </c>
      <c r="BG266" s="85">
        <v>5</v>
      </c>
      <c r="BH266" s="11">
        <v>5</v>
      </c>
      <c r="BI266" s="11">
        <v>5</v>
      </c>
      <c r="BJ266" s="11">
        <v>4</v>
      </c>
      <c r="BK266" s="11">
        <v>4</v>
      </c>
      <c r="BL266" s="11">
        <v>4</v>
      </c>
      <c r="BM266" s="85">
        <v>3</v>
      </c>
    </row>
    <row r="267" spans="1:65" ht="150" customHeight="1" x14ac:dyDescent="0.25">
      <c r="A267" s="11">
        <v>5011</v>
      </c>
      <c r="B267" s="11">
        <v>1</v>
      </c>
      <c r="C267" s="11" t="str">
        <f t="shared" si="39"/>
        <v>Approach Shot</v>
      </c>
      <c r="D267" s="11" t="s">
        <v>98</v>
      </c>
      <c r="E267" s="42"/>
      <c r="F267" s="42"/>
      <c r="G267" s="151" t="s">
        <v>861</v>
      </c>
      <c r="H267" s="328">
        <v>10</v>
      </c>
      <c r="I267" s="11">
        <v>1</v>
      </c>
      <c r="J267" s="55" t="str">
        <f t="shared" si="41"/>
        <v>Approach ShotChallenge110Tee Shot Challenge  Rescue  Wood</v>
      </c>
      <c r="K267" s="58" t="s">
        <v>629</v>
      </c>
      <c r="L267" s="57" t="s">
        <v>553</v>
      </c>
      <c r="M267" s="12"/>
      <c r="N267" s="90"/>
      <c r="O267" s="52"/>
      <c r="P267" s="13"/>
      <c r="Q267" s="35"/>
      <c r="R267" s="13"/>
      <c r="S267" s="13"/>
      <c r="T267" s="12"/>
      <c r="U267" s="54">
        <f t="shared" si="32"/>
        <v>4</v>
      </c>
      <c r="V267" s="54"/>
      <c r="W267" s="81">
        <f t="shared" si="42"/>
        <v>12</v>
      </c>
      <c r="X267" s="85">
        <v>12</v>
      </c>
      <c r="Y267" s="11">
        <v>12</v>
      </c>
      <c r="Z267" s="11">
        <v>12</v>
      </c>
      <c r="AA267" s="11">
        <v>12</v>
      </c>
      <c r="AB267" s="11">
        <v>11</v>
      </c>
      <c r="AC267" s="11">
        <v>11</v>
      </c>
      <c r="AD267" s="11">
        <v>11</v>
      </c>
      <c r="AE267" s="11">
        <v>11</v>
      </c>
      <c r="AF267" s="11">
        <v>11</v>
      </c>
      <c r="AG267" s="11">
        <v>11</v>
      </c>
      <c r="AH267" s="11">
        <v>11</v>
      </c>
      <c r="AI267" s="11">
        <v>11</v>
      </c>
      <c r="AJ267" s="11">
        <v>10</v>
      </c>
      <c r="AK267" s="11">
        <v>10</v>
      </c>
      <c r="AL267" s="11">
        <v>10</v>
      </c>
      <c r="AM267" s="85">
        <v>10</v>
      </c>
      <c r="AN267" s="11">
        <v>10</v>
      </c>
      <c r="AO267" s="11">
        <v>9</v>
      </c>
      <c r="AP267" s="11">
        <v>9</v>
      </c>
      <c r="AQ267" s="11">
        <v>9</v>
      </c>
      <c r="AR267" s="11">
        <v>8</v>
      </c>
      <c r="AS267" s="11">
        <v>8</v>
      </c>
      <c r="AT267" s="11">
        <v>8</v>
      </c>
      <c r="AU267" s="11">
        <v>8</v>
      </c>
      <c r="AV267" s="11">
        <v>7</v>
      </c>
      <c r="AW267" s="85">
        <v>7</v>
      </c>
      <c r="AX267" s="11">
        <v>7</v>
      </c>
      <c r="AY267" s="11">
        <v>7</v>
      </c>
      <c r="AZ267" s="11">
        <v>6</v>
      </c>
      <c r="BA267" s="11">
        <v>6</v>
      </c>
      <c r="BB267" s="11">
        <v>6</v>
      </c>
      <c r="BC267" s="11">
        <v>6</v>
      </c>
      <c r="BD267" s="11">
        <v>6</v>
      </c>
      <c r="BE267" s="11">
        <v>5</v>
      </c>
      <c r="BF267" s="11">
        <v>5</v>
      </c>
      <c r="BG267" s="85">
        <v>5</v>
      </c>
      <c r="BH267" s="11">
        <v>5</v>
      </c>
      <c r="BI267" s="11">
        <v>5</v>
      </c>
      <c r="BJ267" s="11">
        <v>4</v>
      </c>
      <c r="BK267" s="11">
        <v>4</v>
      </c>
      <c r="BL267" s="11">
        <v>4</v>
      </c>
      <c r="BM267" s="85">
        <v>3</v>
      </c>
    </row>
    <row r="268" spans="1:65" ht="150" customHeight="1" x14ac:dyDescent="0.25">
      <c r="A268" s="11">
        <v>5012</v>
      </c>
      <c r="B268" s="11">
        <v>1</v>
      </c>
      <c r="C268" s="11" t="str">
        <f t="shared" si="39"/>
        <v>Approach Shot</v>
      </c>
      <c r="D268" s="11" t="s">
        <v>98</v>
      </c>
      <c r="E268" s="42"/>
      <c r="F268" s="42"/>
      <c r="G268" s="151" t="s">
        <v>861</v>
      </c>
      <c r="H268" s="328">
        <v>10</v>
      </c>
      <c r="I268" s="11">
        <v>1</v>
      </c>
      <c r="J268" s="55" t="str">
        <f t="shared" si="41"/>
        <v>Approach ShotChallenge110Tee Shot Challenge  5 iron</v>
      </c>
      <c r="K268" s="58" t="s">
        <v>630</v>
      </c>
      <c r="L268" s="57" t="s">
        <v>554</v>
      </c>
      <c r="M268" s="12"/>
      <c r="N268" s="90"/>
      <c r="O268" s="52"/>
      <c r="P268" s="13"/>
      <c r="Q268" s="35"/>
      <c r="R268" s="13"/>
      <c r="S268" s="13"/>
      <c r="T268" s="12"/>
      <c r="U268" s="54">
        <f t="shared" si="32"/>
        <v>4</v>
      </c>
      <c r="V268" s="54"/>
      <c r="W268" s="81">
        <f t="shared" si="42"/>
        <v>12</v>
      </c>
      <c r="X268" s="85">
        <v>12</v>
      </c>
      <c r="Y268" s="11">
        <v>12</v>
      </c>
      <c r="Z268" s="11">
        <v>12</v>
      </c>
      <c r="AA268" s="11">
        <v>12</v>
      </c>
      <c r="AB268" s="11">
        <v>11</v>
      </c>
      <c r="AC268" s="11">
        <v>11</v>
      </c>
      <c r="AD268" s="11">
        <v>11</v>
      </c>
      <c r="AE268" s="11">
        <v>11</v>
      </c>
      <c r="AF268" s="11">
        <v>11</v>
      </c>
      <c r="AG268" s="11">
        <v>11</v>
      </c>
      <c r="AH268" s="11">
        <v>11</v>
      </c>
      <c r="AI268" s="11">
        <v>11</v>
      </c>
      <c r="AJ268" s="11">
        <v>10</v>
      </c>
      <c r="AK268" s="11">
        <v>10</v>
      </c>
      <c r="AL268" s="11">
        <v>10</v>
      </c>
      <c r="AM268" s="85">
        <v>10</v>
      </c>
      <c r="AN268" s="11">
        <v>10</v>
      </c>
      <c r="AO268" s="11">
        <v>9</v>
      </c>
      <c r="AP268" s="11">
        <v>9</v>
      </c>
      <c r="AQ268" s="11">
        <v>9</v>
      </c>
      <c r="AR268" s="11">
        <v>8</v>
      </c>
      <c r="AS268" s="11">
        <v>8</v>
      </c>
      <c r="AT268" s="11">
        <v>8</v>
      </c>
      <c r="AU268" s="11">
        <v>8</v>
      </c>
      <c r="AV268" s="11">
        <v>7</v>
      </c>
      <c r="AW268" s="85">
        <v>7</v>
      </c>
      <c r="AX268" s="11">
        <v>7</v>
      </c>
      <c r="AY268" s="11">
        <v>7</v>
      </c>
      <c r="AZ268" s="11">
        <v>6</v>
      </c>
      <c r="BA268" s="11">
        <v>6</v>
      </c>
      <c r="BB268" s="11">
        <v>6</v>
      </c>
      <c r="BC268" s="11">
        <v>6</v>
      </c>
      <c r="BD268" s="11">
        <v>6</v>
      </c>
      <c r="BE268" s="11">
        <v>5</v>
      </c>
      <c r="BF268" s="11">
        <v>5</v>
      </c>
      <c r="BG268" s="85">
        <v>5</v>
      </c>
      <c r="BH268" s="11">
        <v>5</v>
      </c>
      <c r="BI268" s="11">
        <v>5</v>
      </c>
      <c r="BJ268" s="11">
        <v>4</v>
      </c>
      <c r="BK268" s="11">
        <v>4</v>
      </c>
      <c r="BL268" s="11">
        <v>4</v>
      </c>
      <c r="BM268" s="85">
        <v>3</v>
      </c>
    </row>
    <row r="269" spans="1:65" ht="150" customHeight="1" x14ac:dyDescent="0.25">
      <c r="A269" s="11">
        <v>5013</v>
      </c>
      <c r="B269" s="11">
        <v>1</v>
      </c>
      <c r="C269" s="11" t="str">
        <f t="shared" si="39"/>
        <v>Approach Shot</v>
      </c>
      <c r="D269" s="11" t="s">
        <v>98</v>
      </c>
      <c r="E269" s="42"/>
      <c r="F269" s="42"/>
      <c r="G269" s="151" t="s">
        <v>861</v>
      </c>
      <c r="H269" s="328">
        <v>10</v>
      </c>
      <c r="I269" s="11">
        <v>1</v>
      </c>
      <c r="J269" s="55" t="str">
        <f t="shared" si="41"/>
        <v>Approach ShotChallenge110Tee Shot Challenge  7 iron</v>
      </c>
      <c r="K269" s="58" t="s">
        <v>631</v>
      </c>
      <c r="L269" s="57" t="s">
        <v>555</v>
      </c>
      <c r="M269" s="12"/>
      <c r="N269" s="90"/>
      <c r="O269" s="52"/>
      <c r="P269" s="13"/>
      <c r="Q269" s="35"/>
      <c r="R269" s="13"/>
      <c r="S269" s="13"/>
      <c r="T269" s="12"/>
      <c r="U269" s="54">
        <f t="shared" si="32"/>
        <v>4</v>
      </c>
      <c r="V269" s="54"/>
      <c r="W269" s="81">
        <f t="shared" si="42"/>
        <v>12</v>
      </c>
      <c r="X269" s="85">
        <v>12</v>
      </c>
      <c r="Y269" s="11">
        <v>12</v>
      </c>
      <c r="Z269" s="11">
        <v>12</v>
      </c>
      <c r="AA269" s="11">
        <v>12</v>
      </c>
      <c r="AB269" s="11">
        <v>11</v>
      </c>
      <c r="AC269" s="11">
        <v>11</v>
      </c>
      <c r="AD269" s="11">
        <v>11</v>
      </c>
      <c r="AE269" s="11">
        <v>11</v>
      </c>
      <c r="AF269" s="11">
        <v>11</v>
      </c>
      <c r="AG269" s="11">
        <v>11</v>
      </c>
      <c r="AH269" s="11">
        <v>11</v>
      </c>
      <c r="AI269" s="11">
        <v>11</v>
      </c>
      <c r="AJ269" s="11">
        <v>10</v>
      </c>
      <c r="AK269" s="11">
        <v>10</v>
      </c>
      <c r="AL269" s="11">
        <v>10</v>
      </c>
      <c r="AM269" s="85">
        <v>10</v>
      </c>
      <c r="AN269" s="11">
        <v>10</v>
      </c>
      <c r="AO269" s="11">
        <v>9</v>
      </c>
      <c r="AP269" s="11">
        <v>9</v>
      </c>
      <c r="AQ269" s="11">
        <v>9</v>
      </c>
      <c r="AR269" s="11">
        <v>8</v>
      </c>
      <c r="AS269" s="11">
        <v>8</v>
      </c>
      <c r="AT269" s="11">
        <v>8</v>
      </c>
      <c r="AU269" s="11">
        <v>8</v>
      </c>
      <c r="AV269" s="11">
        <v>7</v>
      </c>
      <c r="AW269" s="85">
        <v>7</v>
      </c>
      <c r="AX269" s="11">
        <v>7</v>
      </c>
      <c r="AY269" s="11">
        <v>7</v>
      </c>
      <c r="AZ269" s="11">
        <v>6</v>
      </c>
      <c r="BA269" s="11">
        <v>6</v>
      </c>
      <c r="BB269" s="11">
        <v>6</v>
      </c>
      <c r="BC269" s="11">
        <v>6</v>
      </c>
      <c r="BD269" s="11">
        <v>6</v>
      </c>
      <c r="BE269" s="11">
        <v>5</v>
      </c>
      <c r="BF269" s="11">
        <v>5</v>
      </c>
      <c r="BG269" s="85">
        <v>5</v>
      </c>
      <c r="BH269" s="11">
        <v>5</v>
      </c>
      <c r="BI269" s="11">
        <v>5</v>
      </c>
      <c r="BJ269" s="11">
        <v>4</v>
      </c>
      <c r="BK269" s="11">
        <v>4</v>
      </c>
      <c r="BL269" s="11">
        <v>4</v>
      </c>
      <c r="BM269" s="85">
        <v>3</v>
      </c>
    </row>
    <row r="270" spans="1:65" ht="150" customHeight="1" x14ac:dyDescent="0.25">
      <c r="A270" s="11">
        <v>5014</v>
      </c>
      <c r="B270" s="11">
        <v>1</v>
      </c>
      <c r="C270" s="11" t="str">
        <f t="shared" si="39"/>
        <v>Approach Shot</v>
      </c>
      <c r="D270" s="11" t="s">
        <v>98</v>
      </c>
      <c r="E270" s="42"/>
      <c r="F270" s="42"/>
      <c r="G270" s="151" t="s">
        <v>861</v>
      </c>
      <c r="H270" s="328">
        <v>10</v>
      </c>
      <c r="I270" s="11">
        <v>1</v>
      </c>
      <c r="J270" s="55" t="str">
        <f t="shared" si="41"/>
        <v>Approach ShotChallenge110Tee Shot Challenge    PW</v>
      </c>
      <c r="K270" s="58" t="s">
        <v>632</v>
      </c>
      <c r="L270" s="57" t="s">
        <v>556</v>
      </c>
      <c r="M270" s="12"/>
      <c r="N270" s="90"/>
      <c r="O270" s="52"/>
      <c r="P270" s="13"/>
      <c r="Q270" s="35"/>
      <c r="R270" s="13"/>
      <c r="S270" s="13"/>
      <c r="T270" s="12"/>
      <c r="U270" s="54">
        <f t="shared" si="32"/>
        <v>4</v>
      </c>
      <c r="V270" s="54"/>
      <c r="W270" s="81">
        <f t="shared" si="42"/>
        <v>12</v>
      </c>
      <c r="X270" s="85">
        <v>12</v>
      </c>
      <c r="Y270" s="11">
        <v>12</v>
      </c>
      <c r="Z270" s="11">
        <v>12</v>
      </c>
      <c r="AA270" s="11">
        <v>12</v>
      </c>
      <c r="AB270" s="11">
        <v>11</v>
      </c>
      <c r="AC270" s="11">
        <v>11</v>
      </c>
      <c r="AD270" s="11">
        <v>11</v>
      </c>
      <c r="AE270" s="11">
        <v>11</v>
      </c>
      <c r="AF270" s="11">
        <v>11</v>
      </c>
      <c r="AG270" s="11">
        <v>11</v>
      </c>
      <c r="AH270" s="11">
        <v>11</v>
      </c>
      <c r="AI270" s="11">
        <v>11</v>
      </c>
      <c r="AJ270" s="11">
        <v>10</v>
      </c>
      <c r="AK270" s="11">
        <v>10</v>
      </c>
      <c r="AL270" s="11">
        <v>10</v>
      </c>
      <c r="AM270" s="85">
        <v>10</v>
      </c>
      <c r="AN270" s="11">
        <v>10</v>
      </c>
      <c r="AO270" s="11">
        <v>9</v>
      </c>
      <c r="AP270" s="11">
        <v>9</v>
      </c>
      <c r="AQ270" s="11">
        <v>9</v>
      </c>
      <c r="AR270" s="11">
        <v>8</v>
      </c>
      <c r="AS270" s="11">
        <v>8</v>
      </c>
      <c r="AT270" s="11">
        <v>8</v>
      </c>
      <c r="AU270" s="11">
        <v>8</v>
      </c>
      <c r="AV270" s="11">
        <v>7</v>
      </c>
      <c r="AW270" s="85">
        <v>7</v>
      </c>
      <c r="AX270" s="11">
        <v>7</v>
      </c>
      <c r="AY270" s="11">
        <v>7</v>
      </c>
      <c r="AZ270" s="11">
        <v>6</v>
      </c>
      <c r="BA270" s="11">
        <v>6</v>
      </c>
      <c r="BB270" s="11">
        <v>6</v>
      </c>
      <c r="BC270" s="11">
        <v>6</v>
      </c>
      <c r="BD270" s="11">
        <v>6</v>
      </c>
      <c r="BE270" s="11">
        <v>5</v>
      </c>
      <c r="BF270" s="11">
        <v>5</v>
      </c>
      <c r="BG270" s="85">
        <v>5</v>
      </c>
      <c r="BH270" s="11">
        <v>5</v>
      </c>
      <c r="BI270" s="11">
        <v>5</v>
      </c>
      <c r="BJ270" s="11">
        <v>4</v>
      </c>
      <c r="BK270" s="11">
        <v>4</v>
      </c>
      <c r="BL270" s="11">
        <v>4</v>
      </c>
      <c r="BM270" s="85">
        <v>3</v>
      </c>
    </row>
    <row r="271" spans="1:65" ht="150" customHeight="1" x14ac:dyDescent="0.25">
      <c r="A271" s="11">
        <v>5015</v>
      </c>
      <c r="B271" s="11">
        <v>-1</v>
      </c>
      <c r="C271" s="11" t="str">
        <f t="shared" si="39"/>
        <v>Approach Shot</v>
      </c>
      <c r="D271" s="11" t="s">
        <v>51</v>
      </c>
      <c r="E271" s="42"/>
      <c r="F271" s="42"/>
      <c r="G271" s="151"/>
      <c r="H271" s="328">
        <v>10</v>
      </c>
      <c r="I271" s="11">
        <v>1</v>
      </c>
      <c r="J271" s="55" t="str">
        <f t="shared" si="41"/>
        <v>Approach ShotTest110Fairway and Greens  9 holes</v>
      </c>
      <c r="K271" s="58" t="s">
        <v>633</v>
      </c>
      <c r="L271" s="57" t="s">
        <v>550</v>
      </c>
      <c r="M271" s="13"/>
      <c r="N271" s="90"/>
      <c r="O271" s="52"/>
      <c r="P271" s="13"/>
      <c r="Q271" s="35"/>
      <c r="R271" s="13"/>
      <c r="S271" s="13"/>
      <c r="T271" s="12"/>
      <c r="U271" s="54">
        <f t="shared" si="32"/>
        <v>24</v>
      </c>
      <c r="V271" s="54"/>
      <c r="W271" s="81">
        <f t="shared" si="42"/>
        <v>25</v>
      </c>
      <c r="X271" s="85">
        <v>-3</v>
      </c>
      <c r="Y271" s="11">
        <v>-2</v>
      </c>
      <c r="Z271" s="11">
        <v>-2</v>
      </c>
      <c r="AA271" s="11">
        <v>-1</v>
      </c>
      <c r="AB271" s="11">
        <v>-1</v>
      </c>
      <c r="AC271" s="11">
        <v>0</v>
      </c>
      <c r="AD271" s="11">
        <v>0</v>
      </c>
      <c r="AE271" s="11">
        <v>1</v>
      </c>
      <c r="AF271" s="11">
        <v>1</v>
      </c>
      <c r="AG271" s="11">
        <v>2</v>
      </c>
      <c r="AH271" s="11">
        <v>2</v>
      </c>
      <c r="AI271" s="11">
        <v>3</v>
      </c>
      <c r="AJ271" s="11">
        <v>3</v>
      </c>
      <c r="AK271" s="11">
        <v>4</v>
      </c>
      <c r="AL271" s="11">
        <v>4</v>
      </c>
      <c r="AM271" s="85">
        <v>5</v>
      </c>
      <c r="AN271" s="11">
        <v>6</v>
      </c>
      <c r="AO271" s="11">
        <v>6</v>
      </c>
      <c r="AP271" s="11">
        <v>6</v>
      </c>
      <c r="AQ271" s="11">
        <v>7</v>
      </c>
      <c r="AR271" s="11">
        <v>8</v>
      </c>
      <c r="AS271" s="11">
        <v>8</v>
      </c>
      <c r="AT271" s="11">
        <v>8</v>
      </c>
      <c r="AU271" s="11">
        <v>9</v>
      </c>
      <c r="AV271" s="11">
        <v>10</v>
      </c>
      <c r="AW271" s="85">
        <v>10</v>
      </c>
      <c r="AX271" s="11">
        <v>11</v>
      </c>
      <c r="AY271" s="11">
        <v>12</v>
      </c>
      <c r="AZ271" s="11">
        <v>13</v>
      </c>
      <c r="BA271" s="11">
        <v>14</v>
      </c>
      <c r="BB271" s="11">
        <v>15</v>
      </c>
      <c r="BC271" s="11">
        <v>16</v>
      </c>
      <c r="BD271" s="11">
        <v>17</v>
      </c>
      <c r="BE271" s="11">
        <v>18</v>
      </c>
      <c r="BF271" s="11">
        <v>19</v>
      </c>
      <c r="BG271" s="85">
        <v>20</v>
      </c>
      <c r="BH271" s="11">
        <v>21</v>
      </c>
      <c r="BI271" s="11">
        <v>22</v>
      </c>
      <c r="BJ271" s="11">
        <v>23</v>
      </c>
      <c r="BK271" s="11">
        <v>24</v>
      </c>
      <c r="BL271" s="11">
        <v>25</v>
      </c>
      <c r="BM271" s="85">
        <v>18</v>
      </c>
    </row>
    <row r="272" spans="1:65" ht="150" customHeight="1" x14ac:dyDescent="0.25">
      <c r="A272" s="11">
        <v>5016</v>
      </c>
      <c r="B272" s="11">
        <v>-1</v>
      </c>
      <c r="C272" s="11" t="str">
        <f t="shared" si="39"/>
        <v>Approach Shot</v>
      </c>
      <c r="D272" s="11" t="s">
        <v>51</v>
      </c>
      <c r="E272" s="42"/>
      <c r="F272" s="42"/>
      <c r="G272" s="151"/>
      <c r="H272" s="328">
        <v>10</v>
      </c>
      <c r="I272" s="11">
        <v>1</v>
      </c>
      <c r="J272" s="55" t="str">
        <f t="shared" si="41"/>
        <v>Approach ShotTest110Fairway and Greens  18 holes</v>
      </c>
      <c r="K272" s="58" t="s">
        <v>634</v>
      </c>
      <c r="L272" s="57" t="s">
        <v>551</v>
      </c>
      <c r="M272" s="13"/>
      <c r="N272" s="90"/>
      <c r="O272" s="52"/>
      <c r="P272" s="13"/>
      <c r="Q272" s="35"/>
      <c r="R272" s="13"/>
      <c r="S272" s="13"/>
      <c r="T272" s="12"/>
      <c r="U272" s="54">
        <f t="shared" si="32"/>
        <v>34</v>
      </c>
      <c r="V272" s="54"/>
      <c r="W272" s="81">
        <f t="shared" si="42"/>
        <v>36</v>
      </c>
      <c r="X272" s="85">
        <v>-5</v>
      </c>
      <c r="Y272" s="11">
        <v>-4</v>
      </c>
      <c r="Z272" s="11">
        <v>-3</v>
      </c>
      <c r="AA272" s="11">
        <v>-2</v>
      </c>
      <c r="AB272" s="11">
        <v>-1</v>
      </c>
      <c r="AC272" s="11">
        <v>0</v>
      </c>
      <c r="AD272" s="11">
        <v>1</v>
      </c>
      <c r="AE272" s="11">
        <v>2</v>
      </c>
      <c r="AF272" s="11">
        <v>3</v>
      </c>
      <c r="AG272" s="11">
        <v>4</v>
      </c>
      <c r="AH272" s="11">
        <v>5</v>
      </c>
      <c r="AI272" s="11">
        <v>6</v>
      </c>
      <c r="AJ272" s="11">
        <v>7</v>
      </c>
      <c r="AK272" s="11">
        <v>8</v>
      </c>
      <c r="AL272" s="11">
        <v>9</v>
      </c>
      <c r="AM272" s="85">
        <v>10</v>
      </c>
      <c r="AN272" s="11">
        <v>11</v>
      </c>
      <c r="AO272" s="11">
        <v>12</v>
      </c>
      <c r="AP272" s="11">
        <v>13</v>
      </c>
      <c r="AQ272" s="11">
        <v>14</v>
      </c>
      <c r="AR272" s="11">
        <v>15</v>
      </c>
      <c r="AS272" s="11">
        <v>16</v>
      </c>
      <c r="AT272" s="11">
        <v>17</v>
      </c>
      <c r="AU272" s="11">
        <v>18</v>
      </c>
      <c r="AV272" s="11">
        <v>19</v>
      </c>
      <c r="AW272" s="85">
        <v>20</v>
      </c>
      <c r="AX272" s="11">
        <v>21</v>
      </c>
      <c r="AY272" s="11">
        <v>22</v>
      </c>
      <c r="AZ272" s="11">
        <v>23</v>
      </c>
      <c r="BA272" s="11">
        <v>24</v>
      </c>
      <c r="BB272" s="11">
        <v>25</v>
      </c>
      <c r="BC272" s="11">
        <v>26</v>
      </c>
      <c r="BD272" s="11">
        <v>27</v>
      </c>
      <c r="BE272" s="11">
        <v>28</v>
      </c>
      <c r="BF272" s="11">
        <v>29</v>
      </c>
      <c r="BG272" s="85">
        <v>30</v>
      </c>
      <c r="BH272" s="11">
        <v>31</v>
      </c>
      <c r="BI272" s="11">
        <v>32</v>
      </c>
      <c r="BJ272" s="11">
        <v>33</v>
      </c>
      <c r="BK272" s="11">
        <v>34</v>
      </c>
      <c r="BL272" s="11">
        <v>35</v>
      </c>
      <c r="BM272" s="85">
        <v>36</v>
      </c>
    </row>
    <row r="273" spans="1:65" ht="150" customHeight="1" x14ac:dyDescent="0.25">
      <c r="A273" s="11">
        <v>5017</v>
      </c>
      <c r="B273" s="11">
        <v>-1</v>
      </c>
      <c r="C273" s="11" t="str">
        <f t="shared" si="39"/>
        <v>Approach Shot</v>
      </c>
      <c r="D273" s="11" t="s">
        <v>6</v>
      </c>
      <c r="E273" s="42"/>
      <c r="F273" s="42"/>
      <c r="G273" s="151"/>
      <c r="H273" s="329">
        <v>5</v>
      </c>
      <c r="I273" s="14" t="s">
        <v>241</v>
      </c>
      <c r="J273" s="55" t="str">
        <f t="shared" si="41"/>
        <v>Approach ShotGameMany5Range Targets</v>
      </c>
      <c r="K273" s="58" t="s">
        <v>180</v>
      </c>
      <c r="L273" s="57" t="s">
        <v>11</v>
      </c>
      <c r="M273" s="13"/>
      <c r="N273" s="90" t="s">
        <v>424</v>
      </c>
      <c r="O273" s="74" t="s">
        <v>425</v>
      </c>
      <c r="P273" s="14" t="s">
        <v>9</v>
      </c>
      <c r="Q273" s="35" t="s">
        <v>11</v>
      </c>
      <c r="R273" s="13"/>
      <c r="S273" s="13" t="s">
        <v>11</v>
      </c>
      <c r="T273" s="12"/>
      <c r="U273" s="54" t="str">
        <f t="shared" si="32"/>
        <v/>
      </c>
      <c r="V273" s="54"/>
      <c r="W273" s="81">
        <f t="shared" si="42"/>
        <v>0</v>
      </c>
      <c r="X273" s="11"/>
      <c r="Y273" s="11"/>
      <c r="Z273" s="11"/>
      <c r="AA273" s="11"/>
      <c r="AB273" s="11"/>
      <c r="AC273" s="11"/>
      <c r="AD273" s="11"/>
      <c r="AE273" s="11"/>
      <c r="AF273" s="11"/>
      <c r="AG273" s="11"/>
      <c r="AH273" s="11"/>
      <c r="AI273" s="11"/>
      <c r="AJ273" s="11"/>
      <c r="AK273" s="11"/>
      <c r="AL273" s="11"/>
      <c r="AM273" s="11"/>
      <c r="AN273" s="11"/>
      <c r="AO273" s="11"/>
      <c r="AP273" s="11"/>
      <c r="AQ273" s="11"/>
      <c r="AR273" s="11"/>
      <c r="AS273" s="11"/>
      <c r="AT273" s="11"/>
      <c r="AU273" s="11"/>
      <c r="AV273" s="11"/>
      <c r="AW273" s="11"/>
      <c r="AX273" s="11"/>
      <c r="AY273" s="11"/>
      <c r="AZ273" s="11"/>
      <c r="BA273" s="11"/>
      <c r="BB273" s="11"/>
      <c r="BC273" s="11"/>
      <c r="BD273" s="11"/>
      <c r="BE273" s="11"/>
      <c r="BF273" s="11"/>
      <c r="BG273" s="11"/>
      <c r="BH273" s="11"/>
      <c r="BI273" s="11"/>
      <c r="BJ273" s="11"/>
      <c r="BK273" s="11"/>
      <c r="BL273" s="11"/>
      <c r="BM273" s="11"/>
    </row>
    <row r="274" spans="1:65" ht="150" customHeight="1" x14ac:dyDescent="0.25">
      <c r="A274" s="11">
        <v>5018</v>
      </c>
      <c r="B274" s="11">
        <v>-1</v>
      </c>
      <c r="C274" s="11" t="str">
        <f t="shared" si="39"/>
        <v>Approach Shot</v>
      </c>
      <c r="D274" s="11" t="s">
        <v>51</v>
      </c>
      <c r="E274" s="42"/>
      <c r="F274" s="42"/>
      <c r="G274" s="151"/>
      <c r="H274" s="328">
        <v>20</v>
      </c>
      <c r="I274" s="11">
        <v>1</v>
      </c>
      <c r="J274" s="55" t="str">
        <f t="shared" si="41"/>
        <v>Approach ShotTest12049 Shot Challenge</v>
      </c>
      <c r="K274" s="58" t="s">
        <v>790</v>
      </c>
      <c r="L274" s="57" t="s">
        <v>791</v>
      </c>
      <c r="M274" s="13"/>
      <c r="N274" s="90"/>
      <c r="O274" s="52"/>
      <c r="P274" s="13"/>
      <c r="Q274" s="35"/>
      <c r="R274" s="13"/>
      <c r="S274" s="13"/>
      <c r="T274" s="12"/>
      <c r="U274" s="54">
        <f t="shared" si="32"/>
        <v>10</v>
      </c>
      <c r="V274" s="54"/>
      <c r="W274" s="81">
        <f t="shared" si="42"/>
        <v>49</v>
      </c>
      <c r="X274" s="11">
        <v>49</v>
      </c>
      <c r="Y274" s="11">
        <v>48</v>
      </c>
      <c r="Z274" s="11">
        <v>47</v>
      </c>
      <c r="AA274" s="11">
        <v>46</v>
      </c>
      <c r="AB274" s="11">
        <v>45</v>
      </c>
      <c r="AC274" s="11">
        <v>44</v>
      </c>
      <c r="AD274" s="11">
        <v>43</v>
      </c>
      <c r="AE274" s="11">
        <v>42</v>
      </c>
      <c r="AF274" s="11">
        <v>41</v>
      </c>
      <c r="AG274" s="11">
        <v>40</v>
      </c>
      <c r="AH274" s="11">
        <v>39</v>
      </c>
      <c r="AI274" s="11">
        <v>38</v>
      </c>
      <c r="AJ274" s="11">
        <v>37</v>
      </c>
      <c r="AK274" s="11">
        <v>36</v>
      </c>
      <c r="AL274" s="11">
        <v>35</v>
      </c>
      <c r="AM274" s="11">
        <v>34</v>
      </c>
      <c r="AN274" s="11">
        <v>33</v>
      </c>
      <c r="AO274" s="11">
        <v>32</v>
      </c>
      <c r="AP274" s="11">
        <v>31</v>
      </c>
      <c r="AQ274" s="11">
        <v>30</v>
      </c>
      <c r="AR274" s="11">
        <v>29</v>
      </c>
      <c r="AS274" s="11">
        <v>28</v>
      </c>
      <c r="AT274" s="11">
        <v>27</v>
      </c>
      <c r="AU274" s="11">
        <v>26</v>
      </c>
      <c r="AV274" s="11">
        <v>25</v>
      </c>
      <c r="AW274" s="11">
        <v>24</v>
      </c>
      <c r="AX274" s="11">
        <v>23</v>
      </c>
      <c r="AY274" s="11">
        <v>22</v>
      </c>
      <c r="AZ274" s="11">
        <v>21</v>
      </c>
      <c r="BA274" s="11">
        <v>20</v>
      </c>
      <c r="BB274" s="11">
        <v>19</v>
      </c>
      <c r="BC274" s="11">
        <v>18</v>
      </c>
      <c r="BD274" s="11">
        <v>17</v>
      </c>
      <c r="BE274" s="11">
        <v>16</v>
      </c>
      <c r="BF274" s="11">
        <v>15</v>
      </c>
      <c r="BG274" s="11">
        <v>14</v>
      </c>
      <c r="BH274" s="11">
        <v>13</v>
      </c>
      <c r="BI274" s="11">
        <v>12</v>
      </c>
      <c r="BJ274" s="11">
        <v>11</v>
      </c>
      <c r="BK274" s="11">
        <v>10</v>
      </c>
      <c r="BL274" s="11">
        <v>9</v>
      </c>
      <c r="BM274" s="11">
        <v>8</v>
      </c>
    </row>
    <row r="275" spans="1:65" ht="150" customHeight="1" x14ac:dyDescent="0.25">
      <c r="A275" s="11">
        <v>5019</v>
      </c>
      <c r="B275" s="11">
        <v>-1</v>
      </c>
      <c r="C275" s="11" t="str">
        <f t="shared" si="39"/>
        <v>Approach Shot</v>
      </c>
      <c r="D275" s="11" t="s">
        <v>494</v>
      </c>
      <c r="E275" s="42"/>
      <c r="F275" s="42"/>
      <c r="G275" s="151"/>
      <c r="H275" s="328">
        <v>10</v>
      </c>
      <c r="I275" s="11">
        <v>1</v>
      </c>
      <c r="J275" s="55" t="str">
        <f t="shared" si="41"/>
        <v>Approach ShotTechnic110Schwungbahn begrenzen</v>
      </c>
      <c r="K275" s="58" t="s">
        <v>511</v>
      </c>
      <c r="L275" s="57" t="s">
        <v>512</v>
      </c>
      <c r="M275" s="227"/>
      <c r="N275" s="90" t="s">
        <v>513</v>
      </c>
      <c r="O275" s="52"/>
      <c r="P275" s="13"/>
      <c r="Q275" s="35"/>
      <c r="R275" s="13"/>
      <c r="S275" s="13"/>
      <c r="T275" s="12"/>
      <c r="U275" s="54" t="str">
        <f t="shared" si="32"/>
        <v/>
      </c>
      <c r="V275" s="54"/>
      <c r="W275" s="81">
        <f t="shared" si="42"/>
        <v>0</v>
      </c>
      <c r="X275" s="11"/>
      <c r="Y275" s="11"/>
      <c r="Z275" s="11"/>
      <c r="AA275" s="11"/>
      <c r="AB275" s="11"/>
      <c r="AC275" s="11"/>
      <c r="AD275" s="11"/>
      <c r="AE275" s="11"/>
      <c r="AF275" s="11"/>
      <c r="AG275" s="11"/>
      <c r="AH275" s="11"/>
      <c r="AI275" s="11"/>
      <c r="AJ275" s="11"/>
      <c r="AK275" s="11"/>
      <c r="AL275" s="11"/>
      <c r="AM275" s="11"/>
      <c r="AN275" s="11"/>
      <c r="AO275" s="11"/>
      <c r="AP275" s="11"/>
      <c r="AQ275" s="11"/>
      <c r="AR275" s="11"/>
      <c r="AS275" s="11"/>
      <c r="AT275" s="11"/>
      <c r="AU275" s="11"/>
      <c r="AV275" s="11"/>
      <c r="AW275" s="11"/>
      <c r="AX275" s="11"/>
      <c r="AY275" s="11"/>
      <c r="AZ275" s="11"/>
      <c r="BA275" s="11"/>
      <c r="BB275" s="11"/>
      <c r="BC275" s="11"/>
      <c r="BD275" s="11"/>
      <c r="BE275" s="11"/>
      <c r="BF275" s="11"/>
      <c r="BG275" s="11"/>
      <c r="BH275" s="11"/>
      <c r="BI275" s="11"/>
      <c r="BJ275" s="11"/>
      <c r="BK275" s="11"/>
      <c r="BL275" s="11"/>
      <c r="BM275" s="11"/>
    </row>
    <row r="276" spans="1:65" ht="150" customHeight="1" x14ac:dyDescent="0.25">
      <c r="A276" s="11">
        <v>5020</v>
      </c>
      <c r="B276" s="11">
        <v>-1</v>
      </c>
      <c r="C276" s="11" t="str">
        <f t="shared" si="39"/>
        <v>Approach Shot</v>
      </c>
      <c r="D276" s="11" t="s">
        <v>494</v>
      </c>
      <c r="E276" s="42"/>
      <c r="F276" s="42"/>
      <c r="G276" s="151" t="s">
        <v>480</v>
      </c>
      <c r="H276" s="328">
        <v>10</v>
      </c>
      <c r="I276" s="11">
        <v>1</v>
      </c>
      <c r="J276" s="55" t="str">
        <f t="shared" si="41"/>
        <v>Approach ShotTechnic110Einbeinschlag</v>
      </c>
      <c r="K276" s="58" t="s">
        <v>537</v>
      </c>
      <c r="L276" s="57" t="s">
        <v>749</v>
      </c>
      <c r="M276" s="227"/>
      <c r="N276" s="90"/>
      <c r="O276" s="52"/>
      <c r="P276" s="13"/>
      <c r="Q276" s="35"/>
      <c r="R276" s="13"/>
      <c r="S276" s="13"/>
      <c r="T276" s="12"/>
      <c r="U276" s="54" t="str">
        <f t="shared" si="32"/>
        <v/>
      </c>
      <c r="V276" s="54"/>
      <c r="W276" s="81">
        <f t="shared" si="42"/>
        <v>0</v>
      </c>
      <c r="X276" s="11"/>
      <c r="Y276" s="11"/>
      <c r="Z276" s="11"/>
      <c r="AA276" s="11"/>
      <c r="AB276" s="11"/>
      <c r="AC276" s="11"/>
      <c r="AD276" s="11"/>
      <c r="AE276" s="11"/>
      <c r="AF276" s="11"/>
      <c r="AG276" s="11"/>
      <c r="AH276" s="11"/>
      <c r="AI276" s="11"/>
      <c r="AJ276" s="11"/>
      <c r="AK276" s="11"/>
      <c r="AL276" s="11"/>
      <c r="AM276" s="11"/>
      <c r="AN276" s="11"/>
      <c r="AO276" s="11"/>
      <c r="AP276" s="11"/>
      <c r="AQ276" s="11"/>
      <c r="AR276" s="11"/>
      <c r="AS276" s="11"/>
      <c r="AT276" s="11"/>
      <c r="AU276" s="11"/>
      <c r="AV276" s="11"/>
      <c r="AW276" s="11"/>
      <c r="AX276" s="11"/>
      <c r="AY276" s="11"/>
      <c r="AZ276" s="11"/>
      <c r="BA276" s="11"/>
      <c r="BB276" s="11"/>
      <c r="BC276" s="11"/>
      <c r="BD276" s="11"/>
      <c r="BE276" s="11"/>
      <c r="BF276" s="11"/>
      <c r="BG276" s="11"/>
      <c r="BH276" s="11"/>
      <c r="BI276" s="11"/>
      <c r="BJ276" s="11"/>
      <c r="BK276" s="11"/>
      <c r="BL276" s="11"/>
      <c r="BM276" s="11"/>
    </row>
    <row r="277" spans="1:65" ht="150" customHeight="1" x14ac:dyDescent="0.25">
      <c r="A277" s="11">
        <v>7000</v>
      </c>
      <c r="B277" s="11">
        <v>-1</v>
      </c>
      <c r="C277" s="11" t="str">
        <f>MUI_STAT_T_MainTitel_6</f>
        <v>Driver</v>
      </c>
      <c r="D277" s="11" t="s">
        <v>494</v>
      </c>
      <c r="E277" s="42"/>
      <c r="F277" s="42"/>
      <c r="G277" s="151"/>
      <c r="H277" s="328">
        <v>5</v>
      </c>
      <c r="I277" s="11">
        <v>1</v>
      </c>
      <c r="J277" s="55" t="str">
        <f t="shared" si="41"/>
        <v>DriverTechnic15Swish Drill</v>
      </c>
      <c r="K277" s="58" t="s">
        <v>445</v>
      </c>
      <c r="L277" s="57" t="s">
        <v>446</v>
      </c>
      <c r="M277" s="13"/>
      <c r="N277" s="91" t="s">
        <v>447</v>
      </c>
      <c r="O277" s="52"/>
      <c r="P277" s="13"/>
      <c r="Q277" s="35"/>
      <c r="R277" s="13"/>
      <c r="S277" s="13"/>
      <c r="T277" s="12"/>
      <c r="U277" s="54" t="str">
        <f t="shared" si="32"/>
        <v/>
      </c>
      <c r="V277" s="54"/>
      <c r="W277" s="81">
        <f t="shared" si="42"/>
        <v>0</v>
      </c>
      <c r="X277" s="11"/>
      <c r="Y277" s="11"/>
      <c r="Z277" s="11"/>
      <c r="AA277" s="11"/>
      <c r="AB277" s="11"/>
      <c r="AC277" s="11"/>
      <c r="AD277" s="11"/>
      <c r="AE277" s="11"/>
      <c r="AF277" s="11"/>
      <c r="AG277" s="11"/>
      <c r="AH277" s="11"/>
      <c r="AI277" s="11"/>
      <c r="AJ277" s="11"/>
      <c r="AK277" s="11"/>
      <c r="AL277" s="11"/>
      <c r="AM277" s="11"/>
      <c r="AN277" s="11"/>
      <c r="AO277" s="11"/>
      <c r="AP277" s="11"/>
      <c r="AQ277" s="11"/>
      <c r="AR277" s="11"/>
      <c r="AS277" s="11"/>
      <c r="AT277" s="11"/>
      <c r="AU277" s="11"/>
      <c r="AV277" s="11"/>
      <c r="AW277" s="11"/>
      <c r="AX277" s="11"/>
      <c r="AY277" s="11"/>
      <c r="AZ277" s="11"/>
      <c r="BA277" s="11"/>
      <c r="BB277" s="11"/>
      <c r="BC277" s="11"/>
      <c r="BD277" s="11"/>
      <c r="BE277" s="11"/>
      <c r="BF277" s="11"/>
      <c r="BG277" s="11"/>
      <c r="BH277" s="11"/>
      <c r="BI277" s="11"/>
      <c r="BJ277" s="11"/>
      <c r="BK277" s="11"/>
      <c r="BL277" s="11"/>
      <c r="BM277" s="11"/>
    </row>
    <row r="278" spans="1:65" ht="150" customHeight="1" x14ac:dyDescent="0.25">
      <c r="A278" s="11">
        <v>8000</v>
      </c>
      <c r="B278" s="11">
        <v>-1</v>
      </c>
      <c r="C278" s="11" t="str">
        <f t="shared" ref="C278:C295" si="43">MUI_STAT_T_MainTitel_7</f>
        <v>Bunker</v>
      </c>
      <c r="D278" s="11" t="s">
        <v>1084</v>
      </c>
      <c r="E278" s="42"/>
      <c r="F278" s="42"/>
      <c r="G278" s="151"/>
      <c r="H278" s="329">
        <v>5</v>
      </c>
      <c r="I278" s="14">
        <v>1</v>
      </c>
      <c r="J278" s="55" t="str">
        <f t="shared" si="41"/>
        <v>BunkerBest15TOP 20  Can you beat them</v>
      </c>
      <c r="K278" s="58" t="s">
        <v>657</v>
      </c>
      <c r="L278" s="57" t="s">
        <v>1290</v>
      </c>
      <c r="M278" s="13"/>
      <c r="N278" s="90"/>
      <c r="O278" s="52"/>
      <c r="P278" s="13"/>
      <c r="Q278" s="35"/>
      <c r="R278" s="13"/>
      <c r="S278" s="13"/>
      <c r="T278" s="12"/>
      <c r="U278" s="54" t="str">
        <f t="shared" si="32"/>
        <v/>
      </c>
      <c r="V278" s="54"/>
      <c r="W278" s="81">
        <f t="shared" si="42"/>
        <v>0</v>
      </c>
      <c r="X278" s="11"/>
      <c r="Y278" s="11"/>
      <c r="Z278" s="11"/>
      <c r="AA278" s="11"/>
      <c r="AB278" s="11"/>
      <c r="AC278" s="11"/>
      <c r="AD278" s="11"/>
      <c r="AE278" s="11"/>
      <c r="AF278" s="11"/>
      <c r="AG278" s="11"/>
      <c r="AH278" s="11"/>
      <c r="AI278" s="11"/>
      <c r="AJ278" s="11"/>
      <c r="AK278" s="11"/>
      <c r="AL278" s="11"/>
      <c r="AM278" s="11"/>
      <c r="AN278" s="11"/>
      <c r="AO278" s="11"/>
      <c r="AP278" s="11"/>
      <c r="AQ278" s="11"/>
      <c r="AR278" s="11"/>
      <c r="AS278" s="11"/>
      <c r="AT278" s="11"/>
      <c r="AU278" s="11"/>
      <c r="AV278" s="11"/>
      <c r="AW278" s="11"/>
      <c r="AX278" s="11"/>
      <c r="AY278" s="11"/>
      <c r="AZ278" s="11"/>
      <c r="BA278" s="11"/>
      <c r="BB278" s="11"/>
      <c r="BC278" s="11"/>
      <c r="BD278" s="11"/>
      <c r="BE278" s="11"/>
      <c r="BF278" s="11"/>
      <c r="BG278" s="11"/>
      <c r="BH278" s="11"/>
      <c r="BI278" s="11"/>
      <c r="BJ278" s="11"/>
      <c r="BK278" s="11"/>
      <c r="BL278" s="11"/>
      <c r="BM278" s="11"/>
    </row>
    <row r="279" spans="1:65" ht="150" customHeight="1" x14ac:dyDescent="0.25">
      <c r="A279" s="11">
        <v>8001</v>
      </c>
      <c r="B279" s="11">
        <v>-1</v>
      </c>
      <c r="C279" s="11" t="str">
        <f t="shared" si="43"/>
        <v>Bunker</v>
      </c>
      <c r="D279" s="11" t="s">
        <v>1084</v>
      </c>
      <c r="E279" s="42"/>
      <c r="F279" s="42"/>
      <c r="G279" s="151"/>
      <c r="H279" s="329">
        <v>5</v>
      </c>
      <c r="I279" s="14">
        <v>1</v>
      </c>
      <c r="J279" s="55" t="str">
        <f t="shared" si="41"/>
        <v>BunkerBest15TOP 20  Can you beat them</v>
      </c>
      <c r="K279" s="58" t="s">
        <v>657</v>
      </c>
      <c r="L279" s="57" t="s">
        <v>1291</v>
      </c>
      <c r="M279" s="13"/>
      <c r="N279" s="90"/>
      <c r="O279" s="52"/>
      <c r="P279" s="13"/>
      <c r="Q279" s="35"/>
      <c r="R279" s="13"/>
      <c r="S279" s="13"/>
      <c r="T279" s="12"/>
      <c r="U279" s="54" t="str">
        <f t="shared" si="32"/>
        <v/>
      </c>
      <c r="V279" s="54"/>
      <c r="W279" s="81">
        <f t="shared" si="42"/>
        <v>0</v>
      </c>
      <c r="X279" s="11"/>
      <c r="Y279" s="11"/>
      <c r="Z279" s="11"/>
      <c r="AA279" s="11"/>
      <c r="AB279" s="11"/>
      <c r="AC279" s="11"/>
      <c r="AD279" s="11"/>
      <c r="AE279" s="11"/>
      <c r="AF279" s="11"/>
      <c r="AG279" s="11"/>
      <c r="AH279" s="11"/>
      <c r="AI279" s="11"/>
      <c r="AJ279" s="11"/>
      <c r="AK279" s="11"/>
      <c r="AL279" s="11"/>
      <c r="AM279" s="11"/>
      <c r="AN279" s="11"/>
      <c r="AO279" s="11"/>
      <c r="AP279" s="11"/>
      <c r="AQ279" s="11"/>
      <c r="AR279" s="11"/>
      <c r="AS279" s="11"/>
      <c r="AT279" s="11"/>
      <c r="AU279" s="11"/>
      <c r="AV279" s="11"/>
      <c r="AW279" s="11"/>
      <c r="AX279" s="11"/>
      <c r="AY279" s="11"/>
      <c r="AZ279" s="11"/>
      <c r="BA279" s="11"/>
      <c r="BB279" s="11"/>
      <c r="BC279" s="11"/>
      <c r="BD279" s="11"/>
      <c r="BE279" s="11"/>
      <c r="BF279" s="11"/>
      <c r="BG279" s="11"/>
      <c r="BH279" s="11"/>
      <c r="BI279" s="11"/>
      <c r="BJ279" s="11"/>
      <c r="BK279" s="11"/>
      <c r="BL279" s="11"/>
      <c r="BM279" s="11"/>
    </row>
    <row r="280" spans="1:65" ht="150" customHeight="1" x14ac:dyDescent="0.25">
      <c r="A280" s="11">
        <v>8002</v>
      </c>
      <c r="B280" s="11">
        <v>-1</v>
      </c>
      <c r="C280" s="11" t="str">
        <f t="shared" si="43"/>
        <v>Bunker</v>
      </c>
      <c r="D280" s="11" t="s">
        <v>181</v>
      </c>
      <c r="E280" s="42"/>
      <c r="F280" s="42"/>
      <c r="G280" s="151"/>
      <c r="H280" s="329">
        <v>5</v>
      </c>
      <c r="I280" s="14">
        <v>1</v>
      </c>
      <c r="J280" s="55" t="str">
        <f t="shared" si="41"/>
        <v>BunkerDrill153 in a row  Intermediate</v>
      </c>
      <c r="K280" s="58" t="s">
        <v>658</v>
      </c>
      <c r="L280" s="57" t="s">
        <v>251</v>
      </c>
      <c r="M280" s="13"/>
      <c r="N280" s="90"/>
      <c r="O280" s="52"/>
      <c r="P280" s="13"/>
      <c r="Q280" s="35"/>
      <c r="R280" s="13"/>
      <c r="S280" s="13"/>
      <c r="T280" s="12"/>
      <c r="U280" s="54" t="str">
        <f t="shared" si="32"/>
        <v/>
      </c>
      <c r="V280" s="54"/>
      <c r="W280" s="81">
        <f t="shared" si="42"/>
        <v>0</v>
      </c>
      <c r="X280" s="11"/>
      <c r="Y280" s="11"/>
      <c r="Z280" s="11"/>
      <c r="AA280" s="11"/>
      <c r="AB280" s="11"/>
      <c r="AC280" s="11"/>
      <c r="AD280" s="11"/>
      <c r="AE280" s="11"/>
      <c r="AF280" s="11"/>
      <c r="AG280" s="11"/>
      <c r="AH280" s="11"/>
      <c r="AI280" s="11"/>
      <c r="AJ280" s="11"/>
      <c r="AK280" s="11"/>
      <c r="AL280" s="11"/>
      <c r="AM280" s="11"/>
      <c r="AN280" s="11"/>
      <c r="AO280" s="11"/>
      <c r="AP280" s="11"/>
      <c r="AQ280" s="11"/>
      <c r="AR280" s="11"/>
      <c r="AS280" s="11"/>
      <c r="AT280" s="11"/>
      <c r="AU280" s="11"/>
      <c r="AV280" s="11"/>
      <c r="AW280" s="11"/>
      <c r="AX280" s="11"/>
      <c r="AY280" s="11"/>
      <c r="AZ280" s="11"/>
      <c r="BA280" s="11"/>
      <c r="BB280" s="11"/>
      <c r="BC280" s="11"/>
      <c r="BD280" s="11"/>
      <c r="BE280" s="11"/>
      <c r="BF280" s="11"/>
      <c r="BG280" s="11"/>
      <c r="BH280" s="11"/>
      <c r="BI280" s="11"/>
      <c r="BJ280" s="11"/>
      <c r="BK280" s="11"/>
      <c r="BL280" s="11"/>
      <c r="BM280" s="11"/>
    </row>
    <row r="281" spans="1:65" ht="150" customHeight="1" x14ac:dyDescent="0.25">
      <c r="A281" s="11">
        <v>8003</v>
      </c>
      <c r="B281" s="11">
        <v>-1</v>
      </c>
      <c r="C281" s="11" t="str">
        <f t="shared" si="43"/>
        <v>Bunker</v>
      </c>
      <c r="D281" s="11" t="s">
        <v>181</v>
      </c>
      <c r="E281" s="42"/>
      <c r="F281" s="42"/>
      <c r="G281" s="151"/>
      <c r="H281" s="329">
        <v>5</v>
      </c>
      <c r="I281" s="14">
        <v>1</v>
      </c>
      <c r="J281" s="55" t="str">
        <f t="shared" si="41"/>
        <v>BunkerDrill153 in a row  Expert</v>
      </c>
      <c r="K281" s="58" t="s">
        <v>659</v>
      </c>
      <c r="L281" s="57" t="s">
        <v>250</v>
      </c>
      <c r="M281" s="13"/>
      <c r="N281" s="90"/>
      <c r="O281" s="52"/>
      <c r="P281" s="13"/>
      <c r="Q281" s="35"/>
      <c r="R281" s="13"/>
      <c r="S281" s="13"/>
      <c r="T281" s="12"/>
      <c r="U281" s="54" t="str">
        <f t="shared" si="32"/>
        <v/>
      </c>
      <c r="V281" s="54"/>
      <c r="W281" s="81">
        <f t="shared" si="42"/>
        <v>0</v>
      </c>
      <c r="X281" s="11"/>
      <c r="Y281" s="11"/>
      <c r="Z281" s="11"/>
      <c r="AA281" s="11"/>
      <c r="AB281" s="11"/>
      <c r="AC281" s="11"/>
      <c r="AD281" s="11"/>
      <c r="AE281" s="11"/>
      <c r="AF281" s="11"/>
      <c r="AG281" s="11"/>
      <c r="AH281" s="11"/>
      <c r="AI281" s="11"/>
      <c r="AJ281" s="11"/>
      <c r="AK281" s="11"/>
      <c r="AL281" s="11"/>
      <c r="AM281" s="11"/>
      <c r="AN281" s="11"/>
      <c r="AO281" s="11"/>
      <c r="AP281" s="11"/>
      <c r="AQ281" s="11"/>
      <c r="AR281" s="11"/>
      <c r="AS281" s="11"/>
      <c r="AT281" s="11"/>
      <c r="AU281" s="11"/>
      <c r="AV281" s="11"/>
      <c r="AW281" s="11"/>
      <c r="AX281" s="11"/>
      <c r="AY281" s="11"/>
      <c r="AZ281" s="11"/>
      <c r="BA281" s="11"/>
      <c r="BB281" s="11"/>
      <c r="BC281" s="11"/>
      <c r="BD281" s="11"/>
      <c r="BE281" s="11"/>
      <c r="BF281" s="11"/>
      <c r="BG281" s="11"/>
      <c r="BH281" s="11"/>
      <c r="BI281" s="11"/>
      <c r="BJ281" s="11"/>
      <c r="BK281" s="11"/>
      <c r="BL281" s="11"/>
      <c r="BM281" s="11"/>
    </row>
    <row r="282" spans="1:65" ht="150" customHeight="1" x14ac:dyDescent="0.25">
      <c r="A282" s="11">
        <v>8004</v>
      </c>
      <c r="B282" s="11">
        <v>-1</v>
      </c>
      <c r="C282" s="11" t="str">
        <f t="shared" si="43"/>
        <v>Bunker</v>
      </c>
      <c r="D282" s="11" t="s">
        <v>181</v>
      </c>
      <c r="E282" s="42"/>
      <c r="F282" s="42"/>
      <c r="G282" s="151"/>
      <c r="H282" s="329">
        <v>5</v>
      </c>
      <c r="I282" s="14">
        <v>1</v>
      </c>
      <c r="J282" s="55" t="str">
        <f t="shared" si="41"/>
        <v>BunkerDrill153 in a row  Ultra Mode</v>
      </c>
      <c r="K282" s="58" t="s">
        <v>660</v>
      </c>
      <c r="L282" s="57" t="s">
        <v>252</v>
      </c>
      <c r="M282" s="13"/>
      <c r="N282" s="90"/>
      <c r="O282" s="52"/>
      <c r="P282" s="13"/>
      <c r="Q282" s="35"/>
      <c r="R282" s="13"/>
      <c r="S282" s="13"/>
      <c r="T282" s="12"/>
      <c r="U282" s="54" t="str">
        <f t="shared" si="32"/>
        <v/>
      </c>
      <c r="V282" s="54"/>
      <c r="W282" s="81">
        <f t="shared" si="42"/>
        <v>0</v>
      </c>
      <c r="X282" s="11"/>
      <c r="Y282" s="11"/>
      <c r="Z282" s="11"/>
      <c r="AA282" s="11"/>
      <c r="AB282" s="11"/>
      <c r="AC282" s="11"/>
      <c r="AD282" s="11"/>
      <c r="AE282" s="11"/>
      <c r="AF282" s="11"/>
      <c r="AG282" s="11"/>
      <c r="AH282" s="11"/>
      <c r="AI282" s="11"/>
      <c r="AJ282" s="11"/>
      <c r="AK282" s="11"/>
      <c r="AL282" s="11"/>
      <c r="AM282" s="11"/>
      <c r="AN282" s="11"/>
      <c r="AO282" s="11"/>
      <c r="AP282" s="11"/>
      <c r="AQ282" s="11"/>
      <c r="AR282" s="11"/>
      <c r="AS282" s="11"/>
      <c r="AT282" s="11"/>
      <c r="AU282" s="11"/>
      <c r="AV282" s="11"/>
      <c r="AW282" s="11"/>
      <c r="AX282" s="11"/>
      <c r="AY282" s="11"/>
      <c r="AZ282" s="11"/>
      <c r="BA282" s="11"/>
      <c r="BB282" s="11"/>
      <c r="BC282" s="11"/>
      <c r="BD282" s="11"/>
      <c r="BE282" s="11"/>
      <c r="BF282" s="11"/>
      <c r="BG282" s="11"/>
      <c r="BH282" s="11"/>
      <c r="BI282" s="11"/>
      <c r="BJ282" s="11"/>
      <c r="BK282" s="11"/>
      <c r="BL282" s="11"/>
      <c r="BM282" s="11"/>
    </row>
    <row r="283" spans="1:65" ht="150" customHeight="1" x14ac:dyDescent="0.25">
      <c r="A283" s="11">
        <v>8005</v>
      </c>
      <c r="B283" s="11">
        <v>-1</v>
      </c>
      <c r="C283" s="11" t="str">
        <f t="shared" si="43"/>
        <v>Bunker</v>
      </c>
      <c r="D283" s="11" t="s">
        <v>181</v>
      </c>
      <c r="E283" s="42"/>
      <c r="F283" s="42"/>
      <c r="G283" s="151"/>
      <c r="H283" s="329">
        <v>5</v>
      </c>
      <c r="I283" s="14">
        <v>1</v>
      </c>
      <c r="J283" s="55" t="str">
        <f t="shared" si="41"/>
        <v>BunkerDrill15Stepping back the ladder  Beginner</v>
      </c>
      <c r="K283" s="58" t="s">
        <v>661</v>
      </c>
      <c r="L283" s="57" t="s">
        <v>255</v>
      </c>
      <c r="M283" s="13"/>
      <c r="N283" s="90"/>
      <c r="O283" s="52"/>
      <c r="P283" s="13"/>
      <c r="Q283" s="35"/>
      <c r="R283" s="13"/>
      <c r="S283" s="13"/>
      <c r="T283" s="12"/>
      <c r="U283" s="54" t="str">
        <f t="shared" si="32"/>
        <v/>
      </c>
      <c r="V283" s="54"/>
      <c r="W283" s="81">
        <f t="shared" si="42"/>
        <v>0</v>
      </c>
      <c r="X283" s="11"/>
      <c r="Y283" s="11"/>
      <c r="Z283" s="11"/>
      <c r="AA283" s="11"/>
      <c r="AB283" s="11"/>
      <c r="AC283" s="11"/>
      <c r="AD283" s="11"/>
      <c r="AE283" s="11"/>
      <c r="AF283" s="11"/>
      <c r="AG283" s="11"/>
      <c r="AH283" s="11"/>
      <c r="AI283" s="11"/>
      <c r="AJ283" s="11"/>
      <c r="AK283" s="11"/>
      <c r="AL283" s="11"/>
      <c r="AM283" s="11"/>
      <c r="AN283" s="11"/>
      <c r="AO283" s="11"/>
      <c r="AP283" s="11"/>
      <c r="AQ283" s="11"/>
      <c r="AR283" s="11"/>
      <c r="AS283" s="11"/>
      <c r="AT283" s="11"/>
      <c r="AU283" s="11"/>
      <c r="AV283" s="11"/>
      <c r="AW283" s="11"/>
      <c r="AX283" s="11"/>
      <c r="AY283" s="11"/>
      <c r="AZ283" s="11"/>
      <c r="BA283" s="11"/>
      <c r="BB283" s="11"/>
      <c r="BC283" s="11"/>
      <c r="BD283" s="11"/>
      <c r="BE283" s="11"/>
      <c r="BF283" s="11"/>
      <c r="BG283" s="11"/>
      <c r="BH283" s="11"/>
      <c r="BI283" s="11"/>
      <c r="BJ283" s="11"/>
      <c r="BK283" s="11"/>
      <c r="BL283" s="11"/>
      <c r="BM283" s="11"/>
    </row>
    <row r="284" spans="1:65" ht="150" customHeight="1" x14ac:dyDescent="0.25">
      <c r="A284" s="11">
        <v>8006</v>
      </c>
      <c r="B284" s="11">
        <v>-1</v>
      </c>
      <c r="C284" s="11" t="str">
        <f t="shared" si="43"/>
        <v>Bunker</v>
      </c>
      <c r="D284" s="11" t="s">
        <v>181</v>
      </c>
      <c r="E284" s="42"/>
      <c r="F284" s="42"/>
      <c r="G284" s="151"/>
      <c r="H284" s="329">
        <v>5</v>
      </c>
      <c r="I284" s="14">
        <v>1</v>
      </c>
      <c r="J284" s="55" t="str">
        <f t="shared" si="41"/>
        <v>BunkerDrill15Stepping back the ladder  Intermediate</v>
      </c>
      <c r="K284" s="58" t="s">
        <v>662</v>
      </c>
      <c r="L284" s="57" t="s">
        <v>253</v>
      </c>
      <c r="M284" s="13"/>
      <c r="N284" s="90"/>
      <c r="O284" s="52"/>
      <c r="P284" s="13"/>
      <c r="Q284" s="35"/>
      <c r="R284" s="13"/>
      <c r="S284" s="13"/>
      <c r="T284" s="12"/>
      <c r="U284" s="54" t="str">
        <f t="shared" si="32"/>
        <v/>
      </c>
      <c r="V284" s="54"/>
      <c r="W284" s="81">
        <f t="shared" si="42"/>
        <v>0</v>
      </c>
      <c r="X284" s="11"/>
      <c r="Y284" s="11"/>
      <c r="Z284" s="11"/>
      <c r="AA284" s="11"/>
      <c r="AB284" s="11"/>
      <c r="AC284" s="11"/>
      <c r="AD284" s="11"/>
      <c r="AE284" s="11"/>
      <c r="AF284" s="11"/>
      <c r="AG284" s="11"/>
      <c r="AH284" s="11"/>
      <c r="AI284" s="11"/>
      <c r="AJ284" s="11"/>
      <c r="AK284" s="11"/>
      <c r="AL284" s="11"/>
      <c r="AM284" s="11"/>
      <c r="AN284" s="11"/>
      <c r="AO284" s="11"/>
      <c r="AP284" s="11"/>
      <c r="AQ284" s="11"/>
      <c r="AR284" s="11"/>
      <c r="AS284" s="11"/>
      <c r="AT284" s="11"/>
      <c r="AU284" s="11"/>
      <c r="AV284" s="11"/>
      <c r="AW284" s="11"/>
      <c r="AX284" s="11"/>
      <c r="AY284" s="11"/>
      <c r="AZ284" s="11"/>
      <c r="BA284" s="11"/>
      <c r="BB284" s="11"/>
      <c r="BC284" s="11"/>
      <c r="BD284" s="11"/>
      <c r="BE284" s="11"/>
      <c r="BF284" s="11"/>
      <c r="BG284" s="11"/>
      <c r="BH284" s="11"/>
      <c r="BI284" s="11"/>
      <c r="BJ284" s="11"/>
      <c r="BK284" s="11"/>
      <c r="BL284" s="11"/>
      <c r="BM284" s="11"/>
    </row>
    <row r="285" spans="1:65" ht="150" customHeight="1" x14ac:dyDescent="0.25">
      <c r="A285" s="11">
        <v>8007</v>
      </c>
      <c r="B285" s="11">
        <v>-1</v>
      </c>
      <c r="C285" s="11" t="str">
        <f t="shared" si="43"/>
        <v>Bunker</v>
      </c>
      <c r="D285" s="11" t="s">
        <v>181</v>
      </c>
      <c r="E285" s="42"/>
      <c r="F285" s="42"/>
      <c r="G285" s="151"/>
      <c r="H285" s="329">
        <v>5</v>
      </c>
      <c r="I285" s="14">
        <v>1</v>
      </c>
      <c r="J285" s="55" t="str">
        <f t="shared" si="41"/>
        <v>BunkerDrill15Stepping back the ladder  Expert</v>
      </c>
      <c r="K285" s="58" t="s">
        <v>663</v>
      </c>
      <c r="L285" s="57" t="s">
        <v>254</v>
      </c>
      <c r="M285" s="13"/>
      <c r="N285" s="90"/>
      <c r="O285" s="52"/>
      <c r="P285" s="13"/>
      <c r="Q285" s="35"/>
      <c r="R285" s="13"/>
      <c r="S285" s="13"/>
      <c r="T285" s="12"/>
      <c r="U285" s="54" t="str">
        <f t="shared" si="32"/>
        <v/>
      </c>
      <c r="V285" s="54"/>
      <c r="W285" s="81">
        <f t="shared" si="42"/>
        <v>0</v>
      </c>
      <c r="X285" s="11"/>
      <c r="Y285" s="11"/>
      <c r="Z285" s="11"/>
      <c r="AA285" s="11"/>
      <c r="AB285" s="11"/>
      <c r="AC285" s="11"/>
      <c r="AD285" s="11"/>
      <c r="AE285" s="11"/>
      <c r="AF285" s="11"/>
      <c r="AG285" s="11"/>
      <c r="AH285" s="11"/>
      <c r="AI285" s="11"/>
      <c r="AJ285" s="11"/>
      <c r="AK285" s="11"/>
      <c r="AL285" s="11"/>
      <c r="AM285" s="11"/>
      <c r="AN285" s="11"/>
      <c r="AO285" s="11"/>
      <c r="AP285" s="11"/>
      <c r="AQ285" s="11"/>
      <c r="AR285" s="11"/>
      <c r="AS285" s="11"/>
      <c r="AT285" s="11"/>
      <c r="AU285" s="11"/>
      <c r="AV285" s="11"/>
      <c r="AW285" s="11"/>
      <c r="AX285" s="11"/>
      <c r="AY285" s="11"/>
      <c r="AZ285" s="11"/>
      <c r="BA285" s="11"/>
      <c r="BB285" s="11"/>
      <c r="BC285" s="11"/>
      <c r="BD285" s="11"/>
      <c r="BE285" s="11"/>
      <c r="BF285" s="11"/>
      <c r="BG285" s="11"/>
      <c r="BH285" s="11"/>
      <c r="BI285" s="11"/>
      <c r="BJ285" s="11"/>
      <c r="BK285" s="11"/>
      <c r="BL285" s="11"/>
      <c r="BM285" s="11"/>
    </row>
    <row r="286" spans="1:65" ht="150" customHeight="1" x14ac:dyDescent="0.25">
      <c r="A286" s="11">
        <v>8008</v>
      </c>
      <c r="B286" s="11">
        <v>1</v>
      </c>
      <c r="C286" s="11" t="str">
        <f t="shared" si="43"/>
        <v>Bunker</v>
      </c>
      <c r="D286" s="11" t="s">
        <v>51</v>
      </c>
      <c r="E286" s="42"/>
      <c r="F286" s="42"/>
      <c r="G286" s="151" t="s">
        <v>861</v>
      </c>
      <c r="H286" s="328">
        <v>5</v>
      </c>
      <c r="I286" s="11">
        <v>1</v>
      </c>
      <c r="J286" s="55" t="str">
        <f t="shared" si="41"/>
        <v>BunkerTest155 Shots Bunker 9m 10yds</v>
      </c>
      <c r="K286" s="58" t="s">
        <v>702</v>
      </c>
      <c r="L286" s="87" t="s">
        <v>1488</v>
      </c>
      <c r="M286" s="13"/>
      <c r="N286" s="90" t="s">
        <v>466</v>
      </c>
      <c r="O286" s="52"/>
      <c r="P286" s="13"/>
      <c r="Q286" s="35"/>
      <c r="R286" s="13"/>
      <c r="S286" s="13"/>
      <c r="T286" s="12"/>
      <c r="U286" s="54">
        <f t="shared" si="32"/>
        <v>-2</v>
      </c>
      <c r="V286" s="54"/>
      <c r="W286" s="81">
        <f t="shared" si="42"/>
        <v>4</v>
      </c>
      <c r="X286" s="85">
        <v>4</v>
      </c>
      <c r="Y286" s="11">
        <v>4</v>
      </c>
      <c r="Z286" s="11">
        <v>4</v>
      </c>
      <c r="AA286" s="11">
        <v>3</v>
      </c>
      <c r="AB286" s="11">
        <v>3</v>
      </c>
      <c r="AC286" s="11">
        <v>3</v>
      </c>
      <c r="AD286" s="11">
        <v>3</v>
      </c>
      <c r="AE286" s="11">
        <v>2</v>
      </c>
      <c r="AF286" s="11">
        <v>2</v>
      </c>
      <c r="AG286" s="11">
        <v>2</v>
      </c>
      <c r="AH286" s="11">
        <v>2</v>
      </c>
      <c r="AI286" s="11">
        <v>1</v>
      </c>
      <c r="AJ286" s="11">
        <v>1</v>
      </c>
      <c r="AK286" s="85">
        <v>1</v>
      </c>
      <c r="AL286" s="11">
        <v>1</v>
      </c>
      <c r="AM286" s="11">
        <v>1</v>
      </c>
      <c r="AN286" s="11">
        <v>1</v>
      </c>
      <c r="AO286" s="11">
        <v>1</v>
      </c>
      <c r="AP286" s="11">
        <v>1</v>
      </c>
      <c r="AQ286" s="11">
        <v>1</v>
      </c>
      <c r="AR286" s="11">
        <v>1</v>
      </c>
      <c r="AS286" s="11">
        <v>1</v>
      </c>
      <c r="AT286" s="11">
        <v>1</v>
      </c>
      <c r="AU286" s="85">
        <v>1</v>
      </c>
      <c r="AV286" s="11">
        <v>1</v>
      </c>
      <c r="AW286" s="11">
        <v>1</v>
      </c>
      <c r="AX286" s="11">
        <v>1</v>
      </c>
      <c r="AY286" s="11">
        <v>1</v>
      </c>
      <c r="AZ286" s="11">
        <v>0</v>
      </c>
      <c r="BA286" s="11">
        <v>0</v>
      </c>
      <c r="BB286" s="11">
        <v>0</v>
      </c>
      <c r="BC286" s="11">
        <v>0</v>
      </c>
      <c r="BD286" s="11">
        <v>0</v>
      </c>
      <c r="BE286" s="85">
        <v>0</v>
      </c>
      <c r="BF286" s="11">
        <v>0</v>
      </c>
      <c r="BG286" s="11">
        <v>-1</v>
      </c>
      <c r="BH286" s="11">
        <v>-1</v>
      </c>
      <c r="BI286" s="11">
        <v>-2</v>
      </c>
      <c r="BJ286" s="11">
        <v>-2</v>
      </c>
      <c r="BK286" s="11">
        <v>-2</v>
      </c>
      <c r="BL286" s="11">
        <v>-3</v>
      </c>
      <c r="BM286" s="85">
        <v>-3</v>
      </c>
    </row>
    <row r="287" spans="1:65" ht="150" customHeight="1" x14ac:dyDescent="0.25">
      <c r="A287" s="11">
        <v>8009</v>
      </c>
      <c r="B287" s="11">
        <v>1</v>
      </c>
      <c r="C287" s="11" t="str">
        <f t="shared" si="43"/>
        <v>Bunker</v>
      </c>
      <c r="D287" s="11" t="s">
        <v>51</v>
      </c>
      <c r="E287" s="42"/>
      <c r="F287" s="42"/>
      <c r="G287" s="151" t="s">
        <v>861</v>
      </c>
      <c r="H287" s="328">
        <v>5</v>
      </c>
      <c r="I287" s="11">
        <v>1</v>
      </c>
      <c r="J287" s="55" t="str">
        <f t="shared" si="41"/>
        <v>BunkerTest155 Shots Bunker 18m 20 yds</v>
      </c>
      <c r="K287" s="58" t="s">
        <v>703</v>
      </c>
      <c r="L287" s="87" t="s">
        <v>1489</v>
      </c>
      <c r="M287" s="13"/>
      <c r="N287" s="90" t="s">
        <v>466</v>
      </c>
      <c r="O287" s="52"/>
      <c r="P287" s="13"/>
      <c r="Q287" s="35"/>
      <c r="R287" s="13"/>
      <c r="S287" s="13"/>
      <c r="T287" s="12"/>
      <c r="U287" s="54">
        <f t="shared" si="32"/>
        <v>-2</v>
      </c>
      <c r="V287" s="54"/>
      <c r="W287" s="81">
        <f t="shared" si="42"/>
        <v>4</v>
      </c>
      <c r="X287" s="85">
        <v>4</v>
      </c>
      <c r="Y287" s="11">
        <v>4</v>
      </c>
      <c r="Z287" s="11">
        <v>4</v>
      </c>
      <c r="AA287" s="11">
        <v>3</v>
      </c>
      <c r="AB287" s="11">
        <v>3</v>
      </c>
      <c r="AC287" s="11">
        <v>3</v>
      </c>
      <c r="AD287" s="11">
        <v>3</v>
      </c>
      <c r="AE287" s="11">
        <v>2</v>
      </c>
      <c r="AF287" s="11">
        <v>2</v>
      </c>
      <c r="AG287" s="11">
        <v>2</v>
      </c>
      <c r="AH287" s="11">
        <v>2</v>
      </c>
      <c r="AI287" s="11">
        <v>1</v>
      </c>
      <c r="AJ287" s="11">
        <v>1</v>
      </c>
      <c r="AK287" s="85">
        <v>1</v>
      </c>
      <c r="AL287" s="11">
        <v>1</v>
      </c>
      <c r="AM287" s="11">
        <v>1</v>
      </c>
      <c r="AN287" s="11">
        <v>1</v>
      </c>
      <c r="AO287" s="11">
        <v>1</v>
      </c>
      <c r="AP287" s="11">
        <v>0</v>
      </c>
      <c r="AQ287" s="11">
        <v>0</v>
      </c>
      <c r="AR287" s="11">
        <v>0</v>
      </c>
      <c r="AS287" s="11">
        <v>0</v>
      </c>
      <c r="AT287" s="11">
        <v>0</v>
      </c>
      <c r="AU287" s="85">
        <v>0</v>
      </c>
      <c r="AV287" s="11">
        <v>0</v>
      </c>
      <c r="AW287" s="11">
        <v>0</v>
      </c>
      <c r="AX287" s="11">
        <v>0</v>
      </c>
      <c r="AY287" s="11">
        <v>0</v>
      </c>
      <c r="AZ287" s="11">
        <v>0</v>
      </c>
      <c r="BA287" s="11">
        <v>-1</v>
      </c>
      <c r="BB287" s="11">
        <v>-1</v>
      </c>
      <c r="BC287" s="11">
        <v>-1</v>
      </c>
      <c r="BD287" s="11">
        <v>-1</v>
      </c>
      <c r="BE287" s="85">
        <v>-1</v>
      </c>
      <c r="BF287" s="11">
        <v>-1</v>
      </c>
      <c r="BG287" s="11">
        <v>-2</v>
      </c>
      <c r="BH287" s="11">
        <v>-2</v>
      </c>
      <c r="BI287" s="11">
        <v>-2</v>
      </c>
      <c r="BJ287" s="11">
        <v>-2</v>
      </c>
      <c r="BK287" s="11">
        <v>-2</v>
      </c>
      <c r="BL287" s="11">
        <v>-3</v>
      </c>
      <c r="BM287" s="85">
        <v>-3</v>
      </c>
    </row>
    <row r="288" spans="1:65" ht="150" customHeight="1" x14ac:dyDescent="0.25">
      <c r="A288" s="11">
        <v>8010</v>
      </c>
      <c r="B288" s="11">
        <v>1</v>
      </c>
      <c r="C288" s="11" t="str">
        <f t="shared" si="43"/>
        <v>Bunker</v>
      </c>
      <c r="D288" s="11" t="s">
        <v>51</v>
      </c>
      <c r="E288" s="42"/>
      <c r="F288" s="42"/>
      <c r="G288" s="151" t="s">
        <v>861</v>
      </c>
      <c r="H288" s="328">
        <v>5</v>
      </c>
      <c r="I288" s="11">
        <v>1</v>
      </c>
      <c r="J288" s="55" t="str">
        <f t="shared" si="41"/>
        <v>BunkerTest155 Shots Bunker 27m 30 yds</v>
      </c>
      <c r="K288" s="58" t="s">
        <v>704</v>
      </c>
      <c r="L288" s="87" t="s">
        <v>1490</v>
      </c>
      <c r="M288" s="13"/>
      <c r="N288" s="90" t="s">
        <v>466</v>
      </c>
      <c r="O288" s="52"/>
      <c r="P288" s="13"/>
      <c r="Q288" s="35"/>
      <c r="R288" s="13"/>
      <c r="S288" s="13"/>
      <c r="T288" s="12"/>
      <c r="U288" s="54">
        <f t="shared" si="32"/>
        <v>-4</v>
      </c>
      <c r="V288" s="54"/>
      <c r="W288" s="81">
        <f t="shared" si="42"/>
        <v>3</v>
      </c>
      <c r="X288" s="85">
        <v>3</v>
      </c>
      <c r="Y288" s="11">
        <v>3</v>
      </c>
      <c r="Z288" s="11">
        <v>3</v>
      </c>
      <c r="AA288" s="11">
        <v>3</v>
      </c>
      <c r="AB288" s="11">
        <v>2</v>
      </c>
      <c r="AC288" s="11">
        <v>2</v>
      </c>
      <c r="AD288" s="11">
        <v>2</v>
      </c>
      <c r="AE288" s="11">
        <v>2</v>
      </c>
      <c r="AF288" s="11">
        <v>2</v>
      </c>
      <c r="AG288" s="11">
        <v>2</v>
      </c>
      <c r="AH288" s="11">
        <v>1</v>
      </c>
      <c r="AI288" s="11">
        <v>1</v>
      </c>
      <c r="AJ288" s="11">
        <v>1</v>
      </c>
      <c r="AK288" s="85">
        <v>1</v>
      </c>
      <c r="AL288" s="11">
        <v>1</v>
      </c>
      <c r="AM288" s="11">
        <v>1</v>
      </c>
      <c r="AN288" s="11">
        <v>0</v>
      </c>
      <c r="AO288" s="11">
        <v>0</v>
      </c>
      <c r="AP288" s="11">
        <v>0</v>
      </c>
      <c r="AQ288" s="11">
        <v>0</v>
      </c>
      <c r="AR288" s="11">
        <v>0</v>
      </c>
      <c r="AS288" s="11">
        <v>-1</v>
      </c>
      <c r="AT288" s="11">
        <v>-1</v>
      </c>
      <c r="AU288" s="85">
        <v>-1</v>
      </c>
      <c r="AV288" s="11">
        <v>-1</v>
      </c>
      <c r="AW288" s="11">
        <v>-1</v>
      </c>
      <c r="AX288" s="11">
        <v>-1</v>
      </c>
      <c r="AY288" s="11">
        <v>-1</v>
      </c>
      <c r="AZ288" s="11">
        <v>-2</v>
      </c>
      <c r="BA288" s="11">
        <v>-2</v>
      </c>
      <c r="BB288" s="11">
        <v>-2</v>
      </c>
      <c r="BC288" s="11">
        <v>-2</v>
      </c>
      <c r="BD288" s="11">
        <v>-2</v>
      </c>
      <c r="BE288" s="85">
        <v>-2</v>
      </c>
      <c r="BF288" s="11">
        <v>-2</v>
      </c>
      <c r="BG288" s="11">
        <v>-2</v>
      </c>
      <c r="BH288" s="11">
        <v>-3</v>
      </c>
      <c r="BI288" s="11">
        <v>-3</v>
      </c>
      <c r="BJ288" s="11">
        <v>-3</v>
      </c>
      <c r="BK288" s="11">
        <v>-4</v>
      </c>
      <c r="BL288" s="11">
        <v>-4</v>
      </c>
      <c r="BM288" s="85">
        <v>-4</v>
      </c>
    </row>
    <row r="289" spans="1:65" ht="150" customHeight="1" x14ac:dyDescent="0.25">
      <c r="A289" s="11">
        <v>8011</v>
      </c>
      <c r="B289" s="11">
        <v>1</v>
      </c>
      <c r="C289" s="11" t="str">
        <f t="shared" si="43"/>
        <v>Bunker</v>
      </c>
      <c r="D289" s="11" t="s">
        <v>51</v>
      </c>
      <c r="E289" s="42"/>
      <c r="F289" s="42"/>
      <c r="G289" s="151" t="s">
        <v>861</v>
      </c>
      <c r="H289" s="328">
        <v>5</v>
      </c>
      <c r="I289" s="11">
        <v>1</v>
      </c>
      <c r="J289" s="55" t="str">
        <f t="shared" si="41"/>
        <v>BunkerTest155 Shots Bunker 37m 40 yds</v>
      </c>
      <c r="K289" s="58" t="s">
        <v>705</v>
      </c>
      <c r="L289" s="87" t="s">
        <v>1491</v>
      </c>
      <c r="M289" s="13"/>
      <c r="N289" s="90" t="s">
        <v>466</v>
      </c>
      <c r="O289" s="52"/>
      <c r="P289" s="13"/>
      <c r="Q289" s="35"/>
      <c r="R289" s="13"/>
      <c r="S289" s="13"/>
      <c r="T289" s="12"/>
      <c r="U289" s="54">
        <f t="shared" ref="U289:U354" si="44">IFERROR(IF(LEN(X289)&gt;0,INT(INDEX(X289:BM289,0,DBE_HCP_ID)),""),"")</f>
        <v>-4</v>
      </c>
      <c r="V289" s="54"/>
      <c r="W289" s="81">
        <f t="shared" si="42"/>
        <v>1</v>
      </c>
      <c r="X289" s="85">
        <v>1</v>
      </c>
      <c r="Y289" s="11">
        <v>1</v>
      </c>
      <c r="Z289" s="11">
        <v>1</v>
      </c>
      <c r="AA289" s="11">
        <v>1</v>
      </c>
      <c r="AB289" s="11">
        <v>1</v>
      </c>
      <c r="AC289" s="11">
        <v>1</v>
      </c>
      <c r="AD289" s="11">
        <v>1</v>
      </c>
      <c r="AE289" s="11">
        <v>0</v>
      </c>
      <c r="AF289" s="11">
        <v>0</v>
      </c>
      <c r="AG289" s="11">
        <v>0</v>
      </c>
      <c r="AH289" s="11">
        <v>0</v>
      </c>
      <c r="AI289" s="11">
        <v>0</v>
      </c>
      <c r="AJ289" s="11">
        <v>0</v>
      </c>
      <c r="AK289" s="85">
        <v>0</v>
      </c>
      <c r="AL289" s="11">
        <v>0</v>
      </c>
      <c r="AM289" s="11">
        <v>0</v>
      </c>
      <c r="AN289" s="11">
        <v>-1</v>
      </c>
      <c r="AO289" s="11">
        <v>-1</v>
      </c>
      <c r="AP289" s="11">
        <v>-1</v>
      </c>
      <c r="AQ289" s="11">
        <v>-1</v>
      </c>
      <c r="AR289" s="11">
        <v>-1</v>
      </c>
      <c r="AS289" s="11">
        <v>-2</v>
      </c>
      <c r="AT289" s="11">
        <v>-2</v>
      </c>
      <c r="AU289" s="85">
        <v>-2</v>
      </c>
      <c r="AV289" s="11">
        <v>-2</v>
      </c>
      <c r="AW289" s="11">
        <v>-2</v>
      </c>
      <c r="AX289" s="11">
        <v>-2</v>
      </c>
      <c r="AY289" s="11">
        <v>-2</v>
      </c>
      <c r="AZ289" s="11">
        <v>-2</v>
      </c>
      <c r="BA289" s="11">
        <v>-3</v>
      </c>
      <c r="BB289" s="11">
        <v>-3</v>
      </c>
      <c r="BC289" s="11">
        <v>-3</v>
      </c>
      <c r="BD289" s="11">
        <v>-3</v>
      </c>
      <c r="BE289" s="85">
        <v>-3</v>
      </c>
      <c r="BF289" s="11">
        <v>-3</v>
      </c>
      <c r="BG289" s="11">
        <v>-4</v>
      </c>
      <c r="BH289" s="11">
        <v>-4</v>
      </c>
      <c r="BI289" s="11">
        <v>-4</v>
      </c>
      <c r="BJ289" s="11">
        <v>-4</v>
      </c>
      <c r="BK289" s="11">
        <v>-4</v>
      </c>
      <c r="BL289" s="11">
        <v>-5</v>
      </c>
      <c r="BM289" s="85">
        <v>-5</v>
      </c>
    </row>
    <row r="290" spans="1:65" ht="150" customHeight="1" x14ac:dyDescent="0.25">
      <c r="A290" s="11">
        <v>8012</v>
      </c>
      <c r="B290" s="11">
        <v>-1</v>
      </c>
      <c r="C290" s="11" t="str">
        <f t="shared" si="43"/>
        <v>Bunker</v>
      </c>
      <c r="D290" s="11" t="s">
        <v>181</v>
      </c>
      <c r="E290" s="42"/>
      <c r="F290" s="42"/>
      <c r="G290" s="151" t="s">
        <v>480</v>
      </c>
      <c r="H290" s="328">
        <v>10</v>
      </c>
      <c r="I290" s="11">
        <v>1</v>
      </c>
      <c r="J290" s="55" t="str">
        <f t="shared" si="41"/>
        <v>BunkerDrill110Drei ist Trumpf im Grünbunker</v>
      </c>
      <c r="K290" s="58" t="s">
        <v>918</v>
      </c>
      <c r="L290" s="57" t="s">
        <v>534</v>
      </c>
      <c r="M290" s="13"/>
      <c r="N290" s="90" t="s">
        <v>536</v>
      </c>
      <c r="O290" s="52"/>
      <c r="P290" s="13"/>
      <c r="Q290" s="35"/>
      <c r="R290" s="13"/>
      <c r="S290" s="13"/>
      <c r="T290" s="12"/>
      <c r="U290" s="54" t="str">
        <f t="shared" si="44"/>
        <v/>
      </c>
      <c r="V290" s="54"/>
      <c r="W290" s="81">
        <f t="shared" si="42"/>
        <v>0</v>
      </c>
      <c r="X290" s="11"/>
      <c r="Y290" s="11"/>
      <c r="Z290" s="11"/>
      <c r="AA290" s="11"/>
      <c r="AB290" s="11"/>
      <c r="AC290" s="11"/>
      <c r="AD290" s="11"/>
      <c r="AE290" s="11"/>
      <c r="AF290" s="11"/>
      <c r="AG290" s="11"/>
      <c r="AH290" s="11"/>
      <c r="AI290" s="11"/>
      <c r="AJ290" s="11"/>
      <c r="AK290" s="11"/>
      <c r="AL290" s="11"/>
      <c r="AM290" s="11"/>
      <c r="AN290" s="11"/>
      <c r="AO290" s="11"/>
      <c r="AP290" s="11"/>
      <c r="AQ290" s="11"/>
      <c r="AR290" s="11"/>
      <c r="AS290" s="11"/>
      <c r="AT290" s="11"/>
      <c r="AU290" s="11"/>
      <c r="AV290" s="11"/>
      <c r="AW290" s="11"/>
      <c r="AX290" s="11"/>
      <c r="AY290" s="11"/>
      <c r="AZ290" s="11"/>
      <c r="BA290" s="11"/>
      <c r="BB290" s="11"/>
      <c r="BC290" s="11"/>
      <c r="BD290" s="11"/>
      <c r="BE290" s="11"/>
      <c r="BF290" s="11"/>
      <c r="BG290" s="11"/>
      <c r="BH290" s="11"/>
      <c r="BI290" s="11"/>
      <c r="BJ290" s="11"/>
      <c r="BK290" s="11"/>
      <c r="BL290" s="11"/>
      <c r="BM290" s="11"/>
    </row>
    <row r="291" spans="1:65" ht="150" customHeight="1" x14ac:dyDescent="0.25">
      <c r="A291" s="11">
        <v>8013</v>
      </c>
      <c r="B291" s="11">
        <v>-1</v>
      </c>
      <c r="C291" s="11" t="str">
        <f t="shared" si="43"/>
        <v>Bunker</v>
      </c>
      <c r="D291" s="11" t="s">
        <v>181</v>
      </c>
      <c r="E291" s="42"/>
      <c r="F291" s="42"/>
      <c r="G291" s="151" t="s">
        <v>484</v>
      </c>
      <c r="H291" s="328">
        <v>10</v>
      </c>
      <c r="I291" s="11">
        <v>1</v>
      </c>
      <c r="J291" s="55" t="str">
        <f t="shared" si="41"/>
        <v>BunkerDrill110Drei ist Trumpf im Grünbunker</v>
      </c>
      <c r="K291" s="58" t="s">
        <v>918</v>
      </c>
      <c r="L291" s="57" t="s">
        <v>540</v>
      </c>
      <c r="M291" s="227"/>
      <c r="N291" s="90" t="s">
        <v>535</v>
      </c>
      <c r="O291" s="52"/>
      <c r="P291" s="13"/>
      <c r="Q291" s="35"/>
      <c r="R291" s="13"/>
      <c r="S291" s="13"/>
      <c r="T291" s="12"/>
      <c r="U291" s="54" t="str">
        <f t="shared" si="44"/>
        <v/>
      </c>
      <c r="V291" s="54"/>
      <c r="W291" s="81">
        <f t="shared" si="42"/>
        <v>0</v>
      </c>
      <c r="X291" s="11"/>
      <c r="Y291" s="11"/>
      <c r="Z291" s="11"/>
      <c r="AA291" s="11"/>
      <c r="AB291" s="11"/>
      <c r="AC291" s="11"/>
      <c r="AD291" s="11"/>
      <c r="AE291" s="11"/>
      <c r="AF291" s="11"/>
      <c r="AG291" s="11"/>
      <c r="AH291" s="11"/>
      <c r="AI291" s="11"/>
      <c r="AJ291" s="11"/>
      <c r="AK291" s="11"/>
      <c r="AL291" s="11"/>
      <c r="AM291" s="11"/>
      <c r="AN291" s="11"/>
      <c r="AO291" s="11"/>
      <c r="AP291" s="11"/>
      <c r="AQ291" s="11"/>
      <c r="AR291" s="11"/>
      <c r="AS291" s="11"/>
      <c r="AT291" s="11"/>
      <c r="AU291" s="11"/>
      <c r="AV291" s="11"/>
      <c r="AW291" s="11"/>
      <c r="AX291" s="11"/>
      <c r="AY291" s="11"/>
      <c r="AZ291" s="11"/>
      <c r="BA291" s="11"/>
      <c r="BB291" s="11"/>
      <c r="BC291" s="11"/>
      <c r="BD291" s="11"/>
      <c r="BE291" s="11"/>
      <c r="BF291" s="11"/>
      <c r="BG291" s="11"/>
      <c r="BH291" s="11"/>
      <c r="BI291" s="11"/>
      <c r="BJ291" s="11"/>
      <c r="BK291" s="11"/>
      <c r="BL291" s="11"/>
      <c r="BM291" s="11"/>
    </row>
    <row r="292" spans="1:65" ht="150" customHeight="1" x14ac:dyDescent="0.25">
      <c r="A292" s="11">
        <v>8014</v>
      </c>
      <c r="B292" s="11">
        <v>1</v>
      </c>
      <c r="C292" s="11" t="str">
        <f t="shared" si="43"/>
        <v>Bunker</v>
      </c>
      <c r="D292" s="11" t="s">
        <v>51</v>
      </c>
      <c r="E292" s="42"/>
      <c r="F292" s="42"/>
      <c r="G292" s="151" t="s">
        <v>861</v>
      </c>
      <c r="H292" s="328">
        <v>5</v>
      </c>
      <c r="I292" s="11">
        <v>1</v>
      </c>
      <c r="J292" s="55" t="str">
        <f>C292&amp;D292&amp;I292&amp;H292&amp;K292</f>
        <v>BunkerTest15Bunker MEDIAN 5 Shots  9m 10yds</v>
      </c>
      <c r="K292" s="58" t="s">
        <v>1245</v>
      </c>
      <c r="L292" s="87" t="s">
        <v>1492</v>
      </c>
      <c r="M292" s="13"/>
      <c r="N292" s="90" t="s">
        <v>466</v>
      </c>
      <c r="O292" s="52"/>
      <c r="P292" s="13"/>
      <c r="Q292" s="35"/>
      <c r="R292" s="13"/>
      <c r="S292" s="13"/>
      <c r="T292" s="12"/>
      <c r="U292" s="307" t="str">
        <f>IFERROR(IF(LEN(X292)&gt;0,ROUND(INDEX(X292:BM292,0,DBE_HCP_ID),1)&amp;"m",""),"")</f>
        <v>7m</v>
      </c>
      <c r="V292" s="304" t="s">
        <v>1241</v>
      </c>
      <c r="W292" s="81">
        <f>MAX(X292:BM292)</f>
        <v>7</v>
      </c>
      <c r="X292" s="85">
        <f>5*_FeetsToMeter</f>
        <v>1.5240185320653499</v>
      </c>
      <c r="Y292" s="11">
        <v>1.6459400117673457</v>
      </c>
      <c r="Z292" s="11">
        <v>1.7678614914693416</v>
      </c>
      <c r="AA292" s="11">
        <v>1.8897829711713374</v>
      </c>
      <c r="AB292" s="11">
        <v>2.0117044508733333</v>
      </c>
      <c r="AC292" s="85">
        <f>7*_FeetsToMeter</f>
        <v>2.1336259448914898</v>
      </c>
      <c r="AD292" s="11">
        <v>2.5146305764108074</v>
      </c>
      <c r="AE292" s="11">
        <v>2.8956352079301251</v>
      </c>
      <c r="AF292" s="11">
        <v>3.2766398394494427</v>
      </c>
      <c r="AG292" s="11">
        <v>3.6576444709687603</v>
      </c>
      <c r="AH292" s="11">
        <v>4.038649102488078</v>
      </c>
      <c r="AI292" s="11">
        <v>4.4196537340073956</v>
      </c>
      <c r="AJ292" s="11">
        <v>4.8006583655267132</v>
      </c>
      <c r="AK292" s="85">
        <f>17*_FeetsToMeter</f>
        <v>5.1816630090221896</v>
      </c>
      <c r="AL292" s="11">
        <v>5.2426237488731875</v>
      </c>
      <c r="AM292" s="11">
        <v>5.3035844887241854</v>
      </c>
      <c r="AN292" s="11">
        <v>5.3645452285751833</v>
      </c>
      <c r="AO292" s="11">
        <v>5.4255059684261813</v>
      </c>
      <c r="AP292" s="11">
        <v>5.4864667082771792</v>
      </c>
      <c r="AQ292" s="11">
        <v>5.5474274481281771</v>
      </c>
      <c r="AR292" s="11">
        <v>5.608388187979175</v>
      </c>
      <c r="AS292" s="11">
        <v>5.669348927830173</v>
      </c>
      <c r="AT292" s="11">
        <v>5.7303096676811709</v>
      </c>
      <c r="AU292" s="85">
        <f>19*_FeetsToMeter</f>
        <v>5.7912704218483295</v>
      </c>
      <c r="AV292" s="11">
        <v>5.8827115316248264</v>
      </c>
      <c r="AW292" s="11">
        <v>5.9741526414013233</v>
      </c>
      <c r="AX292" s="11">
        <v>6.0655937511778202</v>
      </c>
      <c r="AY292" s="11">
        <v>6.1570348609543171</v>
      </c>
      <c r="AZ292" s="11">
        <v>6.248475970730814</v>
      </c>
      <c r="BA292" s="11">
        <v>6.3399170805073108</v>
      </c>
      <c r="BB292" s="11">
        <v>6.4313581902838077</v>
      </c>
      <c r="BC292" s="11">
        <v>6.5227993000603046</v>
      </c>
      <c r="BD292" s="11">
        <v>6.6142404098368015</v>
      </c>
      <c r="BE292" s="85">
        <f>22*_FeetsToMeter</f>
        <v>6.7056815410875394</v>
      </c>
      <c r="BF292" s="11">
        <v>7</v>
      </c>
      <c r="BG292" s="11">
        <v>7</v>
      </c>
      <c r="BH292" s="11">
        <v>7</v>
      </c>
      <c r="BI292" s="11">
        <v>7</v>
      </c>
      <c r="BJ292" s="11">
        <v>7</v>
      </c>
      <c r="BK292" s="11">
        <v>7</v>
      </c>
      <c r="BL292" s="11">
        <v>7</v>
      </c>
      <c r="BM292" s="11">
        <v>7</v>
      </c>
    </row>
    <row r="293" spans="1:65" ht="150" customHeight="1" x14ac:dyDescent="0.25">
      <c r="A293" s="11">
        <v>8015</v>
      </c>
      <c r="B293" s="11">
        <v>1</v>
      </c>
      <c r="C293" s="11" t="str">
        <f t="shared" si="43"/>
        <v>Bunker</v>
      </c>
      <c r="D293" s="11" t="s">
        <v>51</v>
      </c>
      <c r="E293" s="42"/>
      <c r="F293" s="42"/>
      <c r="G293" s="151" t="s">
        <v>861</v>
      </c>
      <c r="H293" s="328">
        <v>5</v>
      </c>
      <c r="I293" s="11">
        <v>1</v>
      </c>
      <c r="J293" s="55" t="str">
        <f>C293&amp;D293&amp;I293&amp;H293&amp;K293</f>
        <v>BunkerTest15Bunker MEDIAN 5 Shots  18m  20yds</v>
      </c>
      <c r="K293" s="58" t="s">
        <v>1244</v>
      </c>
      <c r="L293" s="87" t="s">
        <v>1493</v>
      </c>
      <c r="M293" s="13"/>
      <c r="N293" s="90" t="s">
        <v>466</v>
      </c>
      <c r="O293" s="52"/>
      <c r="P293" s="13"/>
      <c r="Q293" s="35"/>
      <c r="R293" s="13"/>
      <c r="S293" s="13"/>
      <c r="T293" s="12"/>
      <c r="U293" s="307" t="str">
        <f>IFERROR(IF(LEN(X293)&gt;0,ROUND(INDEX(X293:BM293,0,DBE_HCP_ID),1)&amp;"m",""),"")</f>
        <v>10m</v>
      </c>
      <c r="V293" s="304" t="s">
        <v>1241</v>
      </c>
      <c r="W293" s="81">
        <f>MAX(X293:BM293)</f>
        <v>10</v>
      </c>
      <c r="X293" s="85">
        <f>6*_FeetsToMeter</f>
        <v>1.8288222384784198</v>
      </c>
      <c r="Y293" s="11">
        <v>1.9507437181804157</v>
      </c>
      <c r="Z293" s="11">
        <v>2.0726651978824115</v>
      </c>
      <c r="AA293" s="11">
        <v>2.1945866775844074</v>
      </c>
      <c r="AB293" s="11">
        <v>2.3165081572864032</v>
      </c>
      <c r="AC293" s="85">
        <f>8*_FeetsToMeter</f>
        <v>2.4384296513045598</v>
      </c>
      <c r="AD293" s="11">
        <v>2.8194342828238774</v>
      </c>
      <c r="AE293" s="11">
        <v>3.2004389143431951</v>
      </c>
      <c r="AF293" s="11">
        <v>3.5814435458625127</v>
      </c>
      <c r="AG293" s="11">
        <v>3.9624481773818303</v>
      </c>
      <c r="AH293" s="11">
        <v>4.3434528089011479</v>
      </c>
      <c r="AI293" s="11">
        <v>4.7244574404204656</v>
      </c>
      <c r="AJ293" s="11">
        <v>5.1054620719397832</v>
      </c>
      <c r="AK293" s="85">
        <f>18*_FeetsToMeter</f>
        <v>5.4864667154352595</v>
      </c>
      <c r="AL293" s="11">
        <v>5.6693489349882533</v>
      </c>
      <c r="AM293" s="11">
        <v>5.8522311545412471</v>
      </c>
      <c r="AN293" s="11">
        <v>6.0351133740942409</v>
      </c>
      <c r="AO293" s="11">
        <v>6.2179955936472346</v>
      </c>
      <c r="AP293" s="11">
        <v>6.4008778132002284</v>
      </c>
      <c r="AQ293" s="11">
        <v>6.5837600327532222</v>
      </c>
      <c r="AR293" s="11">
        <v>6.766642252306216</v>
      </c>
      <c r="AS293" s="11">
        <v>6.9495244718592097</v>
      </c>
      <c r="AT293" s="11">
        <v>7.1324066914122035</v>
      </c>
      <c r="AU293" s="85">
        <f>24*_FeetsToMeter</f>
        <v>7.3152889539136794</v>
      </c>
      <c r="AV293" s="11">
        <v>7.4676908035411742</v>
      </c>
      <c r="AW293" s="11">
        <v>7.620092653168669</v>
      </c>
      <c r="AX293" s="11">
        <v>7.7724945027961638</v>
      </c>
      <c r="AY293" s="11">
        <v>7.9248963524236586</v>
      </c>
      <c r="AZ293" s="11">
        <v>8.0772982020511535</v>
      </c>
      <c r="BA293" s="11">
        <v>8.2297000516786483</v>
      </c>
      <c r="BB293" s="11">
        <v>8.3821019013061431</v>
      </c>
      <c r="BC293" s="11">
        <v>8.5345037509336379</v>
      </c>
      <c r="BD293" s="11">
        <v>8.6869056005611327</v>
      </c>
      <c r="BE293" s="85">
        <f>29*_FeetsToMeter</f>
        <v>8.8393074859790293</v>
      </c>
      <c r="BF293" s="11">
        <v>9</v>
      </c>
      <c r="BG293" s="11">
        <v>9</v>
      </c>
      <c r="BH293" s="11">
        <v>9</v>
      </c>
      <c r="BI293" s="11">
        <v>9</v>
      </c>
      <c r="BJ293" s="11">
        <v>10</v>
      </c>
      <c r="BK293" s="11">
        <v>10</v>
      </c>
      <c r="BL293" s="11">
        <v>10</v>
      </c>
      <c r="BM293" s="11">
        <v>10</v>
      </c>
    </row>
    <row r="294" spans="1:65" ht="150" customHeight="1" x14ac:dyDescent="0.25">
      <c r="A294" s="11">
        <v>8016</v>
      </c>
      <c r="B294" s="11">
        <v>1</v>
      </c>
      <c r="C294" s="11" t="str">
        <f t="shared" si="43"/>
        <v>Bunker</v>
      </c>
      <c r="D294" s="11" t="s">
        <v>51</v>
      </c>
      <c r="E294" s="42"/>
      <c r="F294" s="42"/>
      <c r="G294" s="151" t="s">
        <v>861</v>
      </c>
      <c r="H294" s="328">
        <v>5</v>
      </c>
      <c r="I294" s="11">
        <v>1</v>
      </c>
      <c r="J294" s="55" t="str">
        <f>C294&amp;D294&amp;I294&amp;H294&amp;K294</f>
        <v>BunkerTest15Bunker MEDIAN 5 Shots  27m  30yds</v>
      </c>
      <c r="K294" s="58" t="s">
        <v>1243</v>
      </c>
      <c r="L294" s="87" t="s">
        <v>1494</v>
      </c>
      <c r="M294" s="13"/>
      <c r="N294" s="90" t="s">
        <v>466</v>
      </c>
      <c r="O294" s="52"/>
      <c r="P294" s="13"/>
      <c r="Q294" s="35"/>
      <c r="R294" s="13"/>
      <c r="S294" s="13"/>
      <c r="T294" s="12"/>
      <c r="U294" s="307" t="str">
        <f>IFERROR(IF(LEN(X294)&gt;0,ROUND(INDEX(X294:BM294,0,DBE_HCP_ID),1)&amp;"m",""),"")</f>
        <v>14m</v>
      </c>
      <c r="V294" s="304" t="s">
        <v>1241</v>
      </c>
      <c r="W294" s="81">
        <f>MAX(X294:BM294)</f>
        <v>15</v>
      </c>
      <c r="X294" s="85">
        <f>9*_FeetsToMeter</f>
        <v>2.7432333577176298</v>
      </c>
      <c r="Y294" s="11">
        <v>2.8651548374196256</v>
      </c>
      <c r="Z294" s="11">
        <v>2.9870763171216215</v>
      </c>
      <c r="AA294" s="11">
        <v>3.1089977968236173</v>
      </c>
      <c r="AB294" s="11">
        <v>3.2309192765256132</v>
      </c>
      <c r="AC294" s="85">
        <f>11*_FeetsToMeter</f>
        <v>3.3528407705437697</v>
      </c>
      <c r="AD294" s="11">
        <v>3.6957449508320845</v>
      </c>
      <c r="AE294" s="11">
        <v>4.0386491311203994</v>
      </c>
      <c r="AF294" s="11">
        <v>4.3815533114087142</v>
      </c>
      <c r="AG294" s="11">
        <v>4.724457491697029</v>
      </c>
      <c r="AH294" s="11">
        <v>5.0673616719853438</v>
      </c>
      <c r="AI294" s="11">
        <v>5.4102658522736586</v>
      </c>
      <c r="AJ294" s="11">
        <v>5.7531700325619735</v>
      </c>
      <c r="AK294" s="85">
        <f>20*_FeetsToMeter</f>
        <v>6.0960741282613995</v>
      </c>
      <c r="AL294" s="11">
        <v>6.4313582123430493</v>
      </c>
      <c r="AM294" s="11">
        <v>6.7666422964246991</v>
      </c>
      <c r="AN294" s="11">
        <v>7.1019263805063488</v>
      </c>
      <c r="AO294" s="11">
        <v>7.4372104645879986</v>
      </c>
      <c r="AP294" s="11">
        <v>7.7724945486696484</v>
      </c>
      <c r="AQ294" s="11">
        <v>8.1077786327512982</v>
      </c>
      <c r="AR294" s="11">
        <v>8.443062716832948</v>
      </c>
      <c r="AS294" s="11">
        <v>8.7783468009145977</v>
      </c>
      <c r="AT294" s="11">
        <v>9.1136308849962475</v>
      </c>
      <c r="AU294" s="85">
        <f>31*_FeetsToMeter</f>
        <v>9.4489148988051692</v>
      </c>
      <c r="AV294" s="11">
        <v>9.7537185980601588</v>
      </c>
      <c r="AW294" s="11">
        <v>10.058522297315148</v>
      </c>
      <c r="AX294" s="11">
        <v>10.363325996570138</v>
      </c>
      <c r="AY294" s="11">
        <v>10.668129695825128</v>
      </c>
      <c r="AZ294" s="11">
        <v>10.972933395080117</v>
      </c>
      <c r="BA294" s="11">
        <v>11.277737094335107</v>
      </c>
      <c r="BB294" s="11">
        <v>11.582540793590097</v>
      </c>
      <c r="BC294" s="11">
        <v>11.887344492845086</v>
      </c>
      <c r="BD294" s="11">
        <v>12.192148192100076</v>
      </c>
      <c r="BE294" s="85">
        <f>41*_FeetsToMeter</f>
        <v>12.496951962935869</v>
      </c>
      <c r="BF294" s="11">
        <v>13</v>
      </c>
      <c r="BG294" s="11">
        <v>13</v>
      </c>
      <c r="BH294" s="11">
        <v>13</v>
      </c>
      <c r="BI294" s="11">
        <v>14</v>
      </c>
      <c r="BJ294" s="11">
        <v>14</v>
      </c>
      <c r="BK294" s="11">
        <v>14</v>
      </c>
      <c r="BL294" s="11">
        <v>15</v>
      </c>
      <c r="BM294" s="11">
        <v>15</v>
      </c>
    </row>
    <row r="295" spans="1:65" ht="150" customHeight="1" x14ac:dyDescent="0.25">
      <c r="A295" s="11">
        <v>8017</v>
      </c>
      <c r="B295" s="11">
        <v>1</v>
      </c>
      <c r="C295" s="11" t="str">
        <f t="shared" si="43"/>
        <v>Bunker</v>
      </c>
      <c r="D295" s="11" t="s">
        <v>51</v>
      </c>
      <c r="E295" s="42"/>
      <c r="F295" s="42"/>
      <c r="G295" s="151" t="s">
        <v>861</v>
      </c>
      <c r="H295" s="328">
        <v>5</v>
      </c>
      <c r="I295" s="11">
        <v>1</v>
      </c>
      <c r="J295" s="55" t="str">
        <f>C295&amp;D295&amp;I295&amp;H295&amp;K295</f>
        <v xml:space="preserve">BunkerTest15Bunker MEDIAN 5 Shots  37m 40yds </v>
      </c>
      <c r="K295" s="58" t="s">
        <v>1242</v>
      </c>
      <c r="L295" s="87" t="s">
        <v>1495</v>
      </c>
      <c r="M295" s="13"/>
      <c r="N295" s="90" t="s">
        <v>466</v>
      </c>
      <c r="O295" s="52"/>
      <c r="P295" s="13"/>
      <c r="Q295" s="35"/>
      <c r="R295" s="13"/>
      <c r="S295" s="13"/>
      <c r="T295" s="12"/>
      <c r="U295" s="307" t="str">
        <f>IFERROR(IF(LEN(X295)&gt;0,ROUND(INDEX(X295:BM295,0,DBE_HCP_ID),1)&amp;"m",""),"")</f>
        <v>21m</v>
      </c>
      <c r="V295" s="304" t="s">
        <v>1241</v>
      </c>
      <c r="W295" s="81">
        <f>MAX(X295:BM295)</f>
        <v>21</v>
      </c>
      <c r="X295" s="85">
        <f>11*_FeetsToMeter</f>
        <v>3.3528407705437697</v>
      </c>
      <c r="Y295" s="11">
        <v>3.6576444697987593</v>
      </c>
      <c r="Z295" s="11">
        <v>3.962448169053749</v>
      </c>
      <c r="AA295" s="11">
        <v>4.2672518683087386</v>
      </c>
      <c r="AB295" s="11">
        <v>4.5720555675637282</v>
      </c>
      <c r="AC295" s="85">
        <f>16*_FeetsToMeter</f>
        <v>4.8768593026091196</v>
      </c>
      <c r="AD295" s="11">
        <v>5.5626676631857492</v>
      </c>
      <c r="AE295" s="11">
        <v>6.2484760237623789</v>
      </c>
      <c r="AF295" s="11">
        <v>6.9342843843390085</v>
      </c>
      <c r="AG295" s="11">
        <v>7.6200927449156381</v>
      </c>
      <c r="AH295" s="11">
        <v>8.3059011054922678</v>
      </c>
      <c r="AI295" s="11">
        <v>8.9917094660688974</v>
      </c>
      <c r="AJ295" s="11">
        <v>9.6775178266455271</v>
      </c>
      <c r="AK295" s="85">
        <f>34*_FeetsToMeter</f>
        <v>10.363326018044379</v>
      </c>
      <c r="AL295" s="11">
        <v>10.911972706505683</v>
      </c>
      <c r="AM295" s="11">
        <v>11.460619394966987</v>
      </c>
      <c r="AN295" s="11">
        <v>12.00926608342829</v>
      </c>
      <c r="AO295" s="11">
        <v>12.557912771889594</v>
      </c>
      <c r="AP295" s="11">
        <v>13.106559460350898</v>
      </c>
      <c r="AQ295" s="11">
        <v>13.655206148812201</v>
      </c>
      <c r="AR295" s="11">
        <v>14.203852837273505</v>
      </c>
      <c r="AS295" s="11">
        <v>14.752499525734809</v>
      </c>
      <c r="AT295" s="11">
        <v>15.301146214196113</v>
      </c>
      <c r="AU295" s="85">
        <f>52*_FeetsToMeter</f>
        <v>15.849792733479639</v>
      </c>
      <c r="AV295" s="11">
        <v>16.154596432734628</v>
      </c>
      <c r="AW295" s="11">
        <v>16.459400131989618</v>
      </c>
      <c r="AX295" s="11">
        <v>16.764203831244608</v>
      </c>
      <c r="AY295" s="11">
        <v>17.069007530499597</v>
      </c>
      <c r="AZ295" s="11">
        <v>17.373811229754587</v>
      </c>
      <c r="BA295" s="11">
        <v>17.678614929009576</v>
      </c>
      <c r="BB295" s="11">
        <v>17.983418628264566</v>
      </c>
      <c r="BC295" s="11">
        <v>18.288222327519556</v>
      </c>
      <c r="BD295" s="11">
        <v>18.593026026774545</v>
      </c>
      <c r="BE295" s="85">
        <f>62*_FeetsToMeter</f>
        <v>18.897829797610338</v>
      </c>
      <c r="BF295" s="11">
        <v>19</v>
      </c>
      <c r="BG295" s="11">
        <v>20</v>
      </c>
      <c r="BH295" s="11">
        <v>20</v>
      </c>
      <c r="BI295" s="11">
        <v>20</v>
      </c>
      <c r="BJ295" s="11">
        <v>20</v>
      </c>
      <c r="BK295" s="11">
        <v>21</v>
      </c>
      <c r="BL295" s="11">
        <v>21</v>
      </c>
      <c r="BM295" s="11">
        <v>21</v>
      </c>
    </row>
    <row r="296" spans="1:65" ht="150" customHeight="1" x14ac:dyDescent="0.25">
      <c r="A296" s="11">
        <v>8500</v>
      </c>
      <c r="B296" s="11">
        <v>-1</v>
      </c>
      <c r="C296" s="11" t="str">
        <f t="shared" ref="C296:C320" si="45">MUI_STAT_T_MainTitel_9</f>
        <v>Round of Golf</v>
      </c>
      <c r="D296" s="11" t="s">
        <v>1084</v>
      </c>
      <c r="E296" s="42"/>
      <c r="F296" s="42"/>
      <c r="G296" s="151" t="s">
        <v>861</v>
      </c>
      <c r="H296" s="329">
        <v>240</v>
      </c>
      <c r="I296" s="14">
        <v>1</v>
      </c>
      <c r="J296" s="55" t="str">
        <f t="shared" si="41"/>
        <v>Round of GolfBest1240Normal 18 Holes</v>
      </c>
      <c r="K296" s="58" t="s">
        <v>1186</v>
      </c>
      <c r="L296" s="57" t="s">
        <v>711</v>
      </c>
      <c r="M296" s="13"/>
      <c r="N296" s="90"/>
      <c r="O296" s="52"/>
      <c r="P296" s="14" t="s">
        <v>8</v>
      </c>
      <c r="Q296" s="35" t="s">
        <v>10</v>
      </c>
      <c r="R296" s="13"/>
      <c r="S296" s="13" t="s">
        <v>10</v>
      </c>
      <c r="T296" s="12"/>
      <c r="U296" s="54" t="str">
        <f t="shared" si="44"/>
        <v/>
      </c>
      <c r="V296" s="54"/>
      <c r="W296" s="81">
        <f t="shared" si="42"/>
        <v>0</v>
      </c>
      <c r="X296" s="11"/>
      <c r="Y296" s="11"/>
      <c r="Z296" s="11"/>
      <c r="AA296" s="11"/>
      <c r="AB296" s="11"/>
      <c r="AC296" s="11"/>
      <c r="AD296" s="11"/>
      <c r="AE296" s="11"/>
      <c r="AF296" s="11"/>
      <c r="AG296" s="11"/>
      <c r="AH296" s="11"/>
      <c r="AI296" s="11"/>
      <c r="AJ296" s="11"/>
      <c r="AK296" s="11"/>
      <c r="AL296" s="11"/>
      <c r="AM296" s="11"/>
      <c r="AN296" s="11"/>
      <c r="AO296" s="11"/>
      <c r="AP296" s="11"/>
      <c r="AQ296" s="11"/>
      <c r="AR296" s="11"/>
      <c r="AS296" s="11"/>
      <c r="AT296" s="11"/>
      <c r="AU296" s="11"/>
      <c r="AV296" s="11"/>
      <c r="AW296" s="11"/>
      <c r="AX296" s="11"/>
      <c r="AY296" s="11"/>
      <c r="AZ296" s="11"/>
      <c r="BA296" s="11"/>
      <c r="BB296" s="11"/>
      <c r="BC296" s="11"/>
      <c r="BD296" s="11"/>
      <c r="BE296" s="11"/>
      <c r="BF296" s="11"/>
      <c r="BG296" s="11"/>
      <c r="BH296" s="11"/>
      <c r="BI296" s="11"/>
      <c r="BJ296" s="11"/>
      <c r="BK296" s="11"/>
      <c r="BL296" s="11"/>
      <c r="BM296" s="11"/>
    </row>
    <row r="297" spans="1:65" ht="150" customHeight="1" x14ac:dyDescent="0.25">
      <c r="A297" s="11">
        <v>8501</v>
      </c>
      <c r="B297" s="11">
        <v>-1</v>
      </c>
      <c r="C297" s="11" t="str">
        <f t="shared" si="45"/>
        <v>Round of Golf</v>
      </c>
      <c r="D297" s="11" t="s">
        <v>1084</v>
      </c>
      <c r="E297" s="42"/>
      <c r="F297" s="42"/>
      <c r="G297" s="151" t="s">
        <v>861</v>
      </c>
      <c r="H297" s="329">
        <v>240</v>
      </c>
      <c r="I297" s="14">
        <v>1</v>
      </c>
      <c r="J297" s="55" t="str">
        <f>C297&amp;D297&amp;I297&amp;H297&amp;K297</f>
        <v>Round of GolfBest1240Normal  9 Holes</v>
      </c>
      <c r="K297" s="58" t="s">
        <v>1187</v>
      </c>
      <c r="L297" s="57" t="s">
        <v>711</v>
      </c>
      <c r="M297" s="13"/>
      <c r="N297" s="90"/>
      <c r="O297" s="52"/>
      <c r="P297" s="14" t="s">
        <v>8</v>
      </c>
      <c r="Q297" s="35" t="s">
        <v>10</v>
      </c>
      <c r="R297" s="13"/>
      <c r="S297" s="13" t="s">
        <v>10</v>
      </c>
      <c r="T297" s="12"/>
      <c r="U297" s="54" t="str">
        <f t="shared" si="44"/>
        <v/>
      </c>
      <c r="V297" s="54"/>
      <c r="W297" s="81">
        <f>MAX(X297:BM297)</f>
        <v>0</v>
      </c>
      <c r="X297" s="11"/>
      <c r="Y297" s="11"/>
      <c r="Z297" s="11"/>
      <c r="AA297" s="11"/>
      <c r="AB297" s="11"/>
      <c r="AC297" s="11"/>
      <c r="AD297" s="11"/>
      <c r="AE297" s="11"/>
      <c r="AF297" s="11"/>
      <c r="AG297" s="11"/>
      <c r="AH297" s="11"/>
      <c r="AI297" s="11"/>
      <c r="AJ297" s="11"/>
      <c r="AK297" s="11"/>
      <c r="AL297" s="11"/>
      <c r="AM297" s="11"/>
      <c r="AN297" s="11"/>
      <c r="AO297" s="11"/>
      <c r="AP297" s="11"/>
      <c r="AQ297" s="11"/>
      <c r="AR297" s="11"/>
      <c r="AS297" s="11"/>
      <c r="AT297" s="11"/>
      <c r="AU297" s="11"/>
      <c r="AV297" s="11"/>
      <c r="AW297" s="11"/>
      <c r="AX297" s="11"/>
      <c r="AY297" s="11"/>
      <c r="AZ297" s="11"/>
      <c r="BA297" s="11"/>
      <c r="BB297" s="11"/>
      <c r="BC297" s="11"/>
      <c r="BD297" s="11"/>
      <c r="BE297" s="11"/>
      <c r="BF297" s="11"/>
      <c r="BG297" s="11"/>
      <c r="BH297" s="11"/>
      <c r="BI297" s="11"/>
      <c r="BJ297" s="11"/>
      <c r="BK297" s="11"/>
      <c r="BL297" s="11"/>
      <c r="BM297" s="11"/>
    </row>
    <row r="298" spans="1:65" ht="150" customHeight="1" x14ac:dyDescent="0.25">
      <c r="A298" s="11">
        <v>8502</v>
      </c>
      <c r="B298" s="11">
        <v>-1</v>
      </c>
      <c r="C298" s="11" t="str">
        <f t="shared" si="45"/>
        <v>Round of Golf</v>
      </c>
      <c r="D298" s="11" t="s">
        <v>1084</v>
      </c>
      <c r="E298" s="42"/>
      <c r="F298" s="42"/>
      <c r="G298" s="151" t="s">
        <v>861</v>
      </c>
      <c r="H298" s="329">
        <v>240</v>
      </c>
      <c r="I298" s="14">
        <v>1</v>
      </c>
      <c r="J298" s="55" t="str">
        <f>C298&amp;D298&amp;I298&amp;H298&amp;K298</f>
        <v>Round of GolfBest1240Best Ball 18 Holes</v>
      </c>
      <c r="K298" s="58" t="s">
        <v>1188</v>
      </c>
      <c r="L298" s="57" t="s">
        <v>1192</v>
      </c>
      <c r="M298" s="13"/>
      <c r="N298" s="90"/>
      <c r="O298" s="52"/>
      <c r="P298" s="14" t="s">
        <v>8</v>
      </c>
      <c r="Q298" s="35" t="s">
        <v>10</v>
      </c>
      <c r="R298" s="13"/>
      <c r="S298" s="13" t="s">
        <v>10</v>
      </c>
      <c r="T298" s="12"/>
      <c r="U298" s="54" t="str">
        <f t="shared" si="44"/>
        <v/>
      </c>
      <c r="V298" s="54"/>
      <c r="W298" s="81">
        <f>MAX(X298:BM298)</f>
        <v>0</v>
      </c>
      <c r="X298" s="11"/>
      <c r="Y298" s="11"/>
      <c r="Z298" s="11"/>
      <c r="AA298" s="11"/>
      <c r="AB298" s="11"/>
      <c r="AC298" s="11"/>
      <c r="AD298" s="11"/>
      <c r="AE298" s="11"/>
      <c r="AF298" s="11"/>
      <c r="AG298" s="11"/>
      <c r="AH298" s="11"/>
      <c r="AI298" s="11"/>
      <c r="AJ298" s="11"/>
      <c r="AK298" s="11"/>
      <c r="AL298" s="11"/>
      <c r="AM298" s="11"/>
      <c r="AN298" s="11"/>
      <c r="AO298" s="11"/>
      <c r="AP298" s="11"/>
      <c r="AQ298" s="11"/>
      <c r="AR298" s="11"/>
      <c r="AS298" s="11"/>
      <c r="AT298" s="11"/>
      <c r="AU298" s="11"/>
      <c r="AV298" s="11"/>
      <c r="AW298" s="11"/>
      <c r="AX298" s="11"/>
      <c r="AY298" s="11"/>
      <c r="AZ298" s="11"/>
      <c r="BA298" s="11"/>
      <c r="BB298" s="11"/>
      <c r="BC298" s="11"/>
      <c r="BD298" s="11"/>
      <c r="BE298" s="11"/>
      <c r="BF298" s="11"/>
      <c r="BG298" s="11"/>
      <c r="BH298" s="11"/>
      <c r="BI298" s="11"/>
      <c r="BJ298" s="11"/>
      <c r="BK298" s="11"/>
      <c r="BL298" s="11"/>
      <c r="BM298" s="11"/>
    </row>
    <row r="299" spans="1:65" ht="150" customHeight="1" x14ac:dyDescent="0.25">
      <c r="A299" s="11">
        <v>8503</v>
      </c>
      <c r="B299" s="11">
        <v>-1</v>
      </c>
      <c r="C299" s="11" t="str">
        <f t="shared" si="45"/>
        <v>Round of Golf</v>
      </c>
      <c r="D299" s="11" t="s">
        <v>1084</v>
      </c>
      <c r="E299" s="42"/>
      <c r="F299" s="42"/>
      <c r="G299" s="151" t="s">
        <v>861</v>
      </c>
      <c r="H299" s="329">
        <v>240</v>
      </c>
      <c r="I299" s="14">
        <v>1</v>
      </c>
      <c r="J299" s="55" t="str">
        <f>C299&amp;D299&amp;I299&amp;H299&amp;K299</f>
        <v>Round of GolfBest1240Best Ball 9 Holes</v>
      </c>
      <c r="K299" s="58" t="s">
        <v>1189</v>
      </c>
      <c r="L299" s="57" t="s">
        <v>1192</v>
      </c>
      <c r="M299" s="13"/>
      <c r="N299" s="90"/>
      <c r="O299" s="52"/>
      <c r="P299" s="14" t="s">
        <v>8</v>
      </c>
      <c r="Q299" s="35" t="s">
        <v>10</v>
      </c>
      <c r="R299" s="13"/>
      <c r="S299" s="13" t="s">
        <v>10</v>
      </c>
      <c r="T299" s="12"/>
      <c r="U299" s="54" t="str">
        <f t="shared" si="44"/>
        <v/>
      </c>
      <c r="V299" s="54"/>
      <c r="W299" s="81">
        <f>MAX(X299:BM299)</f>
        <v>0</v>
      </c>
      <c r="X299" s="11"/>
      <c r="Y299" s="11"/>
      <c r="Z299" s="11"/>
      <c r="AA299" s="11"/>
      <c r="AB299" s="11"/>
      <c r="AC299" s="11"/>
      <c r="AD299" s="11"/>
      <c r="AE299" s="11"/>
      <c r="AF299" s="11"/>
      <c r="AG299" s="11"/>
      <c r="AH299" s="11"/>
      <c r="AI299" s="11"/>
      <c r="AJ299" s="11"/>
      <c r="AK299" s="11"/>
      <c r="AL299" s="11"/>
      <c r="AM299" s="11"/>
      <c r="AN299" s="11"/>
      <c r="AO299" s="11"/>
      <c r="AP299" s="11"/>
      <c r="AQ299" s="11"/>
      <c r="AR299" s="11"/>
      <c r="AS299" s="11"/>
      <c r="AT299" s="11"/>
      <c r="AU299" s="11"/>
      <c r="AV299" s="11"/>
      <c r="AW299" s="11"/>
      <c r="AX299" s="11"/>
      <c r="AY299" s="11"/>
      <c r="AZ299" s="11"/>
      <c r="BA299" s="11"/>
      <c r="BB299" s="11"/>
      <c r="BC299" s="11"/>
      <c r="BD299" s="11"/>
      <c r="BE299" s="11"/>
      <c r="BF299" s="11"/>
      <c r="BG299" s="11"/>
      <c r="BH299" s="11"/>
      <c r="BI299" s="11"/>
      <c r="BJ299" s="11"/>
      <c r="BK299" s="11"/>
      <c r="BL299" s="11"/>
      <c r="BM299" s="11"/>
    </row>
    <row r="300" spans="1:65" ht="150" customHeight="1" x14ac:dyDescent="0.25">
      <c r="A300" s="11">
        <v>8504</v>
      </c>
      <c r="B300" s="11">
        <v>-1</v>
      </c>
      <c r="C300" s="11" t="str">
        <f t="shared" si="45"/>
        <v>Round of Golf</v>
      </c>
      <c r="D300" s="11" t="s">
        <v>1084</v>
      </c>
      <c r="E300" s="42"/>
      <c r="F300" s="42"/>
      <c r="G300" s="151" t="s">
        <v>861</v>
      </c>
      <c r="H300" s="329">
        <v>240</v>
      </c>
      <c r="I300" s="14">
        <v>1</v>
      </c>
      <c r="J300" s="55" t="str">
        <f t="shared" ref="J300:J319" si="46">C300&amp;D300&amp;I300&amp;H300&amp;K300</f>
        <v>Round of GolfBest1240Worst Ball 18 Holes</v>
      </c>
      <c r="K300" s="58" t="s">
        <v>1190</v>
      </c>
      <c r="L300" s="57" t="s">
        <v>1193</v>
      </c>
      <c r="M300" s="13"/>
      <c r="N300" s="90"/>
      <c r="O300" s="52"/>
      <c r="P300" s="14" t="s">
        <v>8</v>
      </c>
      <c r="Q300" s="35" t="s">
        <v>10</v>
      </c>
      <c r="R300" s="13"/>
      <c r="S300" s="13" t="s">
        <v>10</v>
      </c>
      <c r="T300" s="12"/>
      <c r="U300" s="54" t="str">
        <f t="shared" si="44"/>
        <v/>
      </c>
      <c r="V300" s="54"/>
      <c r="W300" s="81">
        <f t="shared" ref="W300:W319" si="47">MAX(X300:BM300)</f>
        <v>0</v>
      </c>
      <c r="X300" s="11"/>
      <c r="Y300" s="11"/>
      <c r="Z300" s="11"/>
      <c r="AA300" s="11"/>
      <c r="AB300" s="11"/>
      <c r="AC300" s="11"/>
      <c r="AD300" s="11"/>
      <c r="AE300" s="11"/>
      <c r="AF300" s="11"/>
      <c r="AG300" s="11"/>
      <c r="AH300" s="11"/>
      <c r="AI300" s="11"/>
      <c r="AJ300" s="11"/>
      <c r="AK300" s="11"/>
      <c r="AL300" s="11"/>
      <c r="AM300" s="11"/>
      <c r="AN300" s="11"/>
      <c r="AO300" s="11"/>
      <c r="AP300" s="11"/>
      <c r="AQ300" s="11"/>
      <c r="AR300" s="11"/>
      <c r="AS300" s="11"/>
      <c r="AT300" s="11"/>
      <c r="AU300" s="11"/>
      <c r="AV300" s="11"/>
      <c r="AW300" s="11"/>
      <c r="AX300" s="11"/>
      <c r="AY300" s="11"/>
      <c r="AZ300" s="11"/>
      <c r="BA300" s="11"/>
      <c r="BB300" s="11"/>
      <c r="BC300" s="11"/>
      <c r="BD300" s="11"/>
      <c r="BE300" s="11"/>
      <c r="BF300" s="11"/>
      <c r="BG300" s="11"/>
      <c r="BH300" s="11"/>
      <c r="BI300" s="11"/>
      <c r="BJ300" s="11"/>
      <c r="BK300" s="11"/>
      <c r="BL300" s="11"/>
      <c r="BM300" s="11"/>
    </row>
    <row r="301" spans="1:65" ht="150" customHeight="1" x14ac:dyDescent="0.25">
      <c r="A301" s="11">
        <v>8505</v>
      </c>
      <c r="B301" s="11">
        <v>-1</v>
      </c>
      <c r="C301" s="11" t="str">
        <f t="shared" si="45"/>
        <v>Round of Golf</v>
      </c>
      <c r="D301" s="11" t="s">
        <v>1084</v>
      </c>
      <c r="E301" s="42"/>
      <c r="F301" s="42"/>
      <c r="G301" s="151" t="s">
        <v>861</v>
      </c>
      <c r="H301" s="329">
        <v>240</v>
      </c>
      <c r="I301" s="14">
        <v>1</v>
      </c>
      <c r="J301" s="55" t="str">
        <f t="shared" si="46"/>
        <v>Round of GolfBest1240Worst Ball 9 Holes</v>
      </c>
      <c r="K301" s="58" t="s">
        <v>1191</v>
      </c>
      <c r="L301" s="57" t="s">
        <v>1193</v>
      </c>
      <c r="M301" s="13"/>
      <c r="N301" s="90"/>
      <c r="O301" s="52"/>
      <c r="P301" s="14" t="s">
        <v>8</v>
      </c>
      <c r="Q301" s="35" t="s">
        <v>10</v>
      </c>
      <c r="R301" s="13"/>
      <c r="S301" s="13" t="s">
        <v>10</v>
      </c>
      <c r="T301" s="12"/>
      <c r="U301" s="54" t="str">
        <f t="shared" si="44"/>
        <v/>
      </c>
      <c r="V301" s="54"/>
      <c r="W301" s="81">
        <f t="shared" si="47"/>
        <v>0</v>
      </c>
      <c r="X301" s="11"/>
      <c r="Y301" s="11"/>
      <c r="Z301" s="11"/>
      <c r="AA301" s="11"/>
      <c r="AB301" s="11"/>
      <c r="AC301" s="11"/>
      <c r="AD301" s="11"/>
      <c r="AE301" s="11"/>
      <c r="AF301" s="11"/>
      <c r="AG301" s="11"/>
      <c r="AH301" s="11"/>
      <c r="AI301" s="11"/>
      <c r="AJ301" s="11"/>
      <c r="AK301" s="11"/>
      <c r="AL301" s="11"/>
      <c r="AM301" s="11"/>
      <c r="AN301" s="11"/>
      <c r="AO301" s="11"/>
      <c r="AP301" s="11"/>
      <c r="AQ301" s="11"/>
      <c r="AR301" s="11"/>
      <c r="AS301" s="11"/>
      <c r="AT301" s="11"/>
      <c r="AU301" s="11"/>
      <c r="AV301" s="11"/>
      <c r="AW301" s="11"/>
      <c r="AX301" s="11"/>
      <c r="AY301" s="11"/>
      <c r="AZ301" s="11"/>
      <c r="BA301" s="11"/>
      <c r="BB301" s="11"/>
      <c r="BC301" s="11"/>
      <c r="BD301" s="11"/>
      <c r="BE301" s="11"/>
      <c r="BF301" s="11"/>
      <c r="BG301" s="11"/>
      <c r="BH301" s="11"/>
      <c r="BI301" s="11"/>
      <c r="BJ301" s="11"/>
      <c r="BK301" s="11"/>
      <c r="BL301" s="11"/>
      <c r="BM301" s="11"/>
    </row>
    <row r="302" spans="1:65" ht="150" customHeight="1" x14ac:dyDescent="0.25">
      <c r="A302" s="11">
        <v>8506</v>
      </c>
      <c r="B302" s="11">
        <v>-1</v>
      </c>
      <c r="C302" s="11" t="str">
        <f t="shared" si="45"/>
        <v>Round of Golf</v>
      </c>
      <c r="D302" s="11" t="s">
        <v>1084</v>
      </c>
      <c r="E302" s="42"/>
      <c r="F302" s="42"/>
      <c r="G302" s="151" t="s">
        <v>861</v>
      </c>
      <c r="H302" s="329">
        <v>240</v>
      </c>
      <c r="I302" s="14">
        <v>1</v>
      </c>
      <c r="J302" s="55" t="str">
        <f t="shared" si="46"/>
        <v>Round of GolfBest1240Approach Best Ball 18 Holes</v>
      </c>
      <c r="K302" s="58" t="s">
        <v>1194</v>
      </c>
      <c r="L302" s="57" t="s">
        <v>1198</v>
      </c>
      <c r="M302" s="13"/>
      <c r="N302" s="90"/>
      <c r="O302" s="52"/>
      <c r="P302" s="14" t="s">
        <v>8</v>
      </c>
      <c r="Q302" s="35" t="s">
        <v>10</v>
      </c>
      <c r="R302" s="13"/>
      <c r="S302" s="13" t="s">
        <v>10</v>
      </c>
      <c r="T302" s="12"/>
      <c r="U302" s="54" t="str">
        <f t="shared" si="44"/>
        <v/>
      </c>
      <c r="V302" s="54"/>
      <c r="W302" s="81">
        <f t="shared" si="47"/>
        <v>0</v>
      </c>
      <c r="X302" s="11"/>
      <c r="Y302" s="11"/>
      <c r="Z302" s="11"/>
      <c r="AA302" s="11"/>
      <c r="AB302" s="11"/>
      <c r="AC302" s="11"/>
      <c r="AD302" s="11"/>
      <c r="AE302" s="11"/>
      <c r="AF302" s="11"/>
      <c r="AG302" s="11"/>
      <c r="AH302" s="11"/>
      <c r="AI302" s="11"/>
      <c r="AJ302" s="11"/>
      <c r="AK302" s="11"/>
      <c r="AL302" s="11"/>
      <c r="AM302" s="11"/>
      <c r="AN302" s="11"/>
      <c r="AO302" s="11"/>
      <c r="AP302" s="11"/>
      <c r="AQ302" s="11"/>
      <c r="AR302" s="11"/>
      <c r="AS302" s="11"/>
      <c r="AT302" s="11"/>
      <c r="AU302" s="11"/>
      <c r="AV302" s="11"/>
      <c r="AW302" s="11"/>
      <c r="AX302" s="11"/>
      <c r="AY302" s="11"/>
      <c r="AZ302" s="11"/>
      <c r="BA302" s="11"/>
      <c r="BB302" s="11"/>
      <c r="BC302" s="11"/>
      <c r="BD302" s="11"/>
      <c r="BE302" s="11"/>
      <c r="BF302" s="11"/>
      <c r="BG302" s="11"/>
      <c r="BH302" s="11"/>
      <c r="BI302" s="11"/>
      <c r="BJ302" s="11"/>
      <c r="BK302" s="11"/>
      <c r="BL302" s="11"/>
      <c r="BM302" s="11"/>
    </row>
    <row r="303" spans="1:65" ht="150" customHeight="1" x14ac:dyDescent="0.25">
      <c r="A303" s="11">
        <v>8507</v>
      </c>
      <c r="B303" s="11">
        <v>-1</v>
      </c>
      <c r="C303" s="11" t="str">
        <f t="shared" si="45"/>
        <v>Round of Golf</v>
      </c>
      <c r="D303" s="11" t="s">
        <v>1084</v>
      </c>
      <c r="E303" s="42"/>
      <c r="F303" s="42"/>
      <c r="G303" s="151" t="s">
        <v>861</v>
      </c>
      <c r="H303" s="329">
        <v>240</v>
      </c>
      <c r="I303" s="14">
        <v>1</v>
      </c>
      <c r="J303" s="55" t="str">
        <f t="shared" si="46"/>
        <v>Round of GolfBest1240Approach Best Ball 9 Holes</v>
      </c>
      <c r="K303" s="58" t="s">
        <v>1195</v>
      </c>
      <c r="L303" s="57" t="s">
        <v>1198</v>
      </c>
      <c r="M303" s="13"/>
      <c r="N303" s="90"/>
      <c r="O303" s="52"/>
      <c r="P303" s="14" t="s">
        <v>8</v>
      </c>
      <c r="Q303" s="35" t="s">
        <v>10</v>
      </c>
      <c r="R303" s="13"/>
      <c r="S303" s="13" t="s">
        <v>10</v>
      </c>
      <c r="T303" s="12"/>
      <c r="U303" s="54" t="str">
        <f t="shared" si="44"/>
        <v/>
      </c>
      <c r="V303" s="54"/>
      <c r="W303" s="81">
        <f t="shared" si="47"/>
        <v>0</v>
      </c>
      <c r="X303" s="11"/>
      <c r="Y303" s="11"/>
      <c r="Z303" s="11"/>
      <c r="AA303" s="11"/>
      <c r="AB303" s="11"/>
      <c r="AC303" s="11"/>
      <c r="AD303" s="11"/>
      <c r="AE303" s="11"/>
      <c r="AF303" s="11"/>
      <c r="AG303" s="11"/>
      <c r="AH303" s="11"/>
      <c r="AI303" s="11"/>
      <c r="AJ303" s="11"/>
      <c r="AK303" s="11"/>
      <c r="AL303" s="11"/>
      <c r="AM303" s="11"/>
      <c r="AN303" s="11"/>
      <c r="AO303" s="11"/>
      <c r="AP303" s="11"/>
      <c r="AQ303" s="11"/>
      <c r="AR303" s="11"/>
      <c r="AS303" s="11"/>
      <c r="AT303" s="11"/>
      <c r="AU303" s="11"/>
      <c r="AV303" s="11"/>
      <c r="AW303" s="11"/>
      <c r="AX303" s="11"/>
      <c r="AY303" s="11"/>
      <c r="AZ303" s="11"/>
      <c r="BA303" s="11"/>
      <c r="BB303" s="11"/>
      <c r="BC303" s="11"/>
      <c r="BD303" s="11"/>
      <c r="BE303" s="11"/>
      <c r="BF303" s="11"/>
      <c r="BG303" s="11"/>
      <c r="BH303" s="11"/>
      <c r="BI303" s="11"/>
      <c r="BJ303" s="11"/>
      <c r="BK303" s="11"/>
      <c r="BL303" s="11"/>
      <c r="BM303" s="11"/>
    </row>
    <row r="304" spans="1:65" ht="150" customHeight="1" x14ac:dyDescent="0.25">
      <c r="A304" s="11">
        <v>8508</v>
      </c>
      <c r="B304" s="11">
        <v>-1</v>
      </c>
      <c r="C304" s="11" t="str">
        <f t="shared" si="45"/>
        <v>Round of Golf</v>
      </c>
      <c r="D304" s="11" t="s">
        <v>1084</v>
      </c>
      <c r="E304" s="42"/>
      <c r="F304" s="42"/>
      <c r="G304" s="151" t="s">
        <v>861</v>
      </c>
      <c r="H304" s="329">
        <v>240</v>
      </c>
      <c r="I304" s="14">
        <v>1</v>
      </c>
      <c r="J304" s="55" t="str">
        <f t="shared" si="46"/>
        <v>Round of GolfBest1240Approach Worst  Ball 18 Holes</v>
      </c>
      <c r="K304" s="58" t="s">
        <v>1196</v>
      </c>
      <c r="L304" s="57" t="s">
        <v>1199</v>
      </c>
      <c r="M304" s="13"/>
      <c r="N304" s="90"/>
      <c r="O304" s="52"/>
      <c r="P304" s="14" t="s">
        <v>8</v>
      </c>
      <c r="Q304" s="35" t="s">
        <v>10</v>
      </c>
      <c r="R304" s="13"/>
      <c r="S304" s="13" t="s">
        <v>10</v>
      </c>
      <c r="T304" s="12"/>
      <c r="U304" s="54" t="str">
        <f t="shared" si="44"/>
        <v/>
      </c>
      <c r="V304" s="54"/>
      <c r="W304" s="81">
        <f t="shared" si="47"/>
        <v>0</v>
      </c>
      <c r="X304" s="11"/>
      <c r="Y304" s="11"/>
      <c r="Z304" s="11"/>
      <c r="AA304" s="11"/>
      <c r="AB304" s="11"/>
      <c r="AC304" s="11"/>
      <c r="AD304" s="11"/>
      <c r="AE304" s="11"/>
      <c r="AF304" s="11"/>
      <c r="AG304" s="11"/>
      <c r="AH304" s="11"/>
      <c r="AI304" s="11"/>
      <c r="AJ304" s="11"/>
      <c r="AK304" s="11"/>
      <c r="AL304" s="11"/>
      <c r="AM304" s="11"/>
      <c r="AN304" s="11"/>
      <c r="AO304" s="11"/>
      <c r="AP304" s="11"/>
      <c r="AQ304" s="11"/>
      <c r="AR304" s="11"/>
      <c r="AS304" s="11"/>
      <c r="AT304" s="11"/>
      <c r="AU304" s="11"/>
      <c r="AV304" s="11"/>
      <c r="AW304" s="11"/>
      <c r="AX304" s="11"/>
      <c r="AY304" s="11"/>
      <c r="AZ304" s="11"/>
      <c r="BA304" s="11"/>
      <c r="BB304" s="11"/>
      <c r="BC304" s="11"/>
      <c r="BD304" s="11"/>
      <c r="BE304" s="11"/>
      <c r="BF304" s="11"/>
      <c r="BG304" s="11"/>
      <c r="BH304" s="11"/>
      <c r="BI304" s="11"/>
      <c r="BJ304" s="11"/>
      <c r="BK304" s="11"/>
      <c r="BL304" s="11"/>
      <c r="BM304" s="11"/>
    </row>
    <row r="305" spans="1:65" ht="150" customHeight="1" x14ac:dyDescent="0.25">
      <c r="A305" s="11">
        <v>8509</v>
      </c>
      <c r="B305" s="11">
        <v>-1</v>
      </c>
      <c r="C305" s="11" t="str">
        <f t="shared" si="45"/>
        <v>Round of Golf</v>
      </c>
      <c r="D305" s="11" t="s">
        <v>1084</v>
      </c>
      <c r="E305" s="42"/>
      <c r="F305" s="42"/>
      <c r="G305" s="151" t="s">
        <v>861</v>
      </c>
      <c r="H305" s="329">
        <v>240</v>
      </c>
      <c r="I305" s="14">
        <v>1</v>
      </c>
      <c r="J305" s="55" t="str">
        <f t="shared" si="46"/>
        <v>Round of GolfBest1240Approach Worst  Ball 9 Holes</v>
      </c>
      <c r="K305" s="58" t="s">
        <v>1197</v>
      </c>
      <c r="L305" s="57" t="s">
        <v>1199</v>
      </c>
      <c r="M305" s="13"/>
      <c r="N305" s="90"/>
      <c r="O305" s="52"/>
      <c r="P305" s="14" t="s">
        <v>8</v>
      </c>
      <c r="Q305" s="35" t="s">
        <v>10</v>
      </c>
      <c r="R305" s="13"/>
      <c r="S305" s="13" t="s">
        <v>10</v>
      </c>
      <c r="T305" s="12"/>
      <c r="U305" s="54" t="str">
        <f t="shared" si="44"/>
        <v/>
      </c>
      <c r="V305" s="54"/>
      <c r="W305" s="81">
        <f t="shared" si="47"/>
        <v>0</v>
      </c>
      <c r="X305" s="11"/>
      <c r="Y305" s="11"/>
      <c r="Z305" s="11"/>
      <c r="AA305" s="11"/>
      <c r="AB305" s="11"/>
      <c r="AC305" s="11"/>
      <c r="AD305" s="11"/>
      <c r="AE305" s="11"/>
      <c r="AF305" s="11"/>
      <c r="AG305" s="11"/>
      <c r="AH305" s="11"/>
      <c r="AI305" s="11"/>
      <c r="AJ305" s="11"/>
      <c r="AK305" s="11"/>
      <c r="AL305" s="11"/>
      <c r="AM305" s="11"/>
      <c r="AN305" s="11"/>
      <c r="AO305" s="11"/>
      <c r="AP305" s="11"/>
      <c r="AQ305" s="11"/>
      <c r="AR305" s="11"/>
      <c r="AS305" s="11"/>
      <c r="AT305" s="11"/>
      <c r="AU305" s="11"/>
      <c r="AV305" s="11"/>
      <c r="AW305" s="11"/>
      <c r="AX305" s="11"/>
      <c r="AY305" s="11"/>
      <c r="AZ305" s="11"/>
      <c r="BA305" s="11"/>
      <c r="BB305" s="11"/>
      <c r="BC305" s="11"/>
      <c r="BD305" s="11"/>
      <c r="BE305" s="11"/>
      <c r="BF305" s="11"/>
      <c r="BG305" s="11"/>
      <c r="BH305" s="11"/>
      <c r="BI305" s="11"/>
      <c r="BJ305" s="11"/>
      <c r="BK305" s="11"/>
      <c r="BL305" s="11"/>
      <c r="BM305" s="11"/>
    </row>
    <row r="306" spans="1:65" ht="150" customHeight="1" x14ac:dyDescent="0.25">
      <c r="A306" s="11">
        <v>8510</v>
      </c>
      <c r="B306" s="11">
        <v>-1</v>
      </c>
      <c r="C306" s="11" t="str">
        <f t="shared" si="45"/>
        <v>Round of Golf</v>
      </c>
      <c r="D306" s="11" t="s">
        <v>1084</v>
      </c>
      <c r="E306" s="42"/>
      <c r="F306" s="42"/>
      <c r="G306" s="151" t="s">
        <v>861</v>
      </c>
      <c r="H306" s="329">
        <v>240</v>
      </c>
      <c r="I306" s="14">
        <v>1</v>
      </c>
      <c r="J306" s="55" t="str">
        <f t="shared" si="46"/>
        <v>Round of GolfBest1240Putting Best Ball 18 Holes</v>
      </c>
      <c r="K306" s="58" t="s">
        <v>1200</v>
      </c>
      <c r="L306" s="57" t="s">
        <v>1204</v>
      </c>
      <c r="M306" s="13"/>
      <c r="N306" s="90"/>
      <c r="O306" s="52"/>
      <c r="P306" s="14" t="s">
        <v>8</v>
      </c>
      <c r="Q306" s="35" t="s">
        <v>10</v>
      </c>
      <c r="R306" s="13"/>
      <c r="S306" s="13" t="s">
        <v>10</v>
      </c>
      <c r="T306" s="12"/>
      <c r="U306" s="54" t="str">
        <f t="shared" si="44"/>
        <v/>
      </c>
      <c r="V306" s="54"/>
      <c r="W306" s="81">
        <f t="shared" si="47"/>
        <v>0</v>
      </c>
      <c r="X306" s="11"/>
      <c r="Y306" s="11"/>
      <c r="Z306" s="11"/>
      <c r="AA306" s="11"/>
      <c r="AB306" s="11"/>
      <c r="AC306" s="11"/>
      <c r="AD306" s="11"/>
      <c r="AE306" s="11"/>
      <c r="AF306" s="11"/>
      <c r="AG306" s="11"/>
      <c r="AH306" s="11"/>
      <c r="AI306" s="11"/>
      <c r="AJ306" s="11"/>
      <c r="AK306" s="11"/>
      <c r="AL306" s="11"/>
      <c r="AM306" s="11"/>
      <c r="AN306" s="11"/>
      <c r="AO306" s="11"/>
      <c r="AP306" s="11"/>
      <c r="AQ306" s="11"/>
      <c r="AR306" s="11"/>
      <c r="AS306" s="11"/>
      <c r="AT306" s="11"/>
      <c r="AU306" s="11"/>
      <c r="AV306" s="11"/>
      <c r="AW306" s="11"/>
      <c r="AX306" s="11"/>
      <c r="AY306" s="11"/>
      <c r="AZ306" s="11"/>
      <c r="BA306" s="11"/>
      <c r="BB306" s="11"/>
      <c r="BC306" s="11"/>
      <c r="BD306" s="11"/>
      <c r="BE306" s="11"/>
      <c r="BF306" s="11"/>
      <c r="BG306" s="11"/>
      <c r="BH306" s="11"/>
      <c r="BI306" s="11"/>
      <c r="BJ306" s="11"/>
      <c r="BK306" s="11"/>
      <c r="BL306" s="11"/>
      <c r="BM306" s="11"/>
    </row>
    <row r="307" spans="1:65" ht="150" customHeight="1" x14ac:dyDescent="0.25">
      <c r="A307" s="11">
        <v>8511</v>
      </c>
      <c r="B307" s="11">
        <v>-1</v>
      </c>
      <c r="C307" s="11" t="str">
        <f t="shared" si="45"/>
        <v>Round of Golf</v>
      </c>
      <c r="D307" s="11" t="s">
        <v>1084</v>
      </c>
      <c r="E307" s="42"/>
      <c r="F307" s="42"/>
      <c r="G307" s="151" t="s">
        <v>861</v>
      </c>
      <c r="H307" s="329">
        <v>240</v>
      </c>
      <c r="I307" s="14">
        <v>1</v>
      </c>
      <c r="J307" s="55" t="str">
        <f t="shared" si="46"/>
        <v>Round of GolfBest1240Putting Best Ball 9 Holes</v>
      </c>
      <c r="K307" s="58" t="s">
        <v>1201</v>
      </c>
      <c r="L307" s="57" t="s">
        <v>1204</v>
      </c>
      <c r="M307" s="13"/>
      <c r="N307" s="90"/>
      <c r="O307" s="52"/>
      <c r="P307" s="14" t="s">
        <v>8</v>
      </c>
      <c r="Q307" s="35" t="s">
        <v>10</v>
      </c>
      <c r="R307" s="13"/>
      <c r="S307" s="13" t="s">
        <v>10</v>
      </c>
      <c r="T307" s="12"/>
      <c r="U307" s="54" t="str">
        <f t="shared" si="44"/>
        <v/>
      </c>
      <c r="V307" s="54"/>
      <c r="W307" s="81">
        <f t="shared" si="47"/>
        <v>0</v>
      </c>
      <c r="X307" s="11"/>
      <c r="Y307" s="11"/>
      <c r="Z307" s="11"/>
      <c r="AA307" s="11"/>
      <c r="AB307" s="11"/>
      <c r="AC307" s="11"/>
      <c r="AD307" s="11"/>
      <c r="AE307" s="11"/>
      <c r="AF307" s="11"/>
      <c r="AG307" s="11"/>
      <c r="AH307" s="11"/>
      <c r="AI307" s="11"/>
      <c r="AJ307" s="11"/>
      <c r="AK307" s="11"/>
      <c r="AL307" s="11"/>
      <c r="AM307" s="11"/>
      <c r="AN307" s="11"/>
      <c r="AO307" s="11"/>
      <c r="AP307" s="11"/>
      <c r="AQ307" s="11"/>
      <c r="AR307" s="11"/>
      <c r="AS307" s="11"/>
      <c r="AT307" s="11"/>
      <c r="AU307" s="11"/>
      <c r="AV307" s="11"/>
      <c r="AW307" s="11"/>
      <c r="AX307" s="11"/>
      <c r="AY307" s="11"/>
      <c r="AZ307" s="11"/>
      <c r="BA307" s="11"/>
      <c r="BB307" s="11"/>
      <c r="BC307" s="11"/>
      <c r="BD307" s="11"/>
      <c r="BE307" s="11"/>
      <c r="BF307" s="11"/>
      <c r="BG307" s="11"/>
      <c r="BH307" s="11"/>
      <c r="BI307" s="11"/>
      <c r="BJ307" s="11"/>
      <c r="BK307" s="11"/>
      <c r="BL307" s="11"/>
      <c r="BM307" s="11"/>
    </row>
    <row r="308" spans="1:65" ht="150" customHeight="1" x14ac:dyDescent="0.25">
      <c r="A308" s="11">
        <v>8512</v>
      </c>
      <c r="B308" s="11">
        <v>-1</v>
      </c>
      <c r="C308" s="11" t="str">
        <f t="shared" si="45"/>
        <v>Round of Golf</v>
      </c>
      <c r="D308" s="11" t="s">
        <v>1084</v>
      </c>
      <c r="E308" s="42"/>
      <c r="F308" s="42"/>
      <c r="G308" s="151" t="s">
        <v>861</v>
      </c>
      <c r="H308" s="329">
        <v>240</v>
      </c>
      <c r="I308" s="14">
        <v>1</v>
      </c>
      <c r="J308" s="55" t="str">
        <f t="shared" si="46"/>
        <v>Round of GolfBest1240Putting Worst  Ball 18 Holes</v>
      </c>
      <c r="K308" s="58" t="s">
        <v>1202</v>
      </c>
      <c r="L308" s="57" t="s">
        <v>1205</v>
      </c>
      <c r="M308" s="13"/>
      <c r="N308" s="90"/>
      <c r="O308" s="52"/>
      <c r="P308" s="14" t="s">
        <v>8</v>
      </c>
      <c r="Q308" s="35" t="s">
        <v>10</v>
      </c>
      <c r="R308" s="13"/>
      <c r="S308" s="13" t="s">
        <v>10</v>
      </c>
      <c r="T308" s="12"/>
      <c r="U308" s="54" t="str">
        <f t="shared" si="44"/>
        <v/>
      </c>
      <c r="V308" s="54"/>
      <c r="W308" s="81">
        <f t="shared" si="47"/>
        <v>0</v>
      </c>
      <c r="X308" s="11"/>
      <c r="Y308" s="11"/>
      <c r="Z308" s="11"/>
      <c r="AA308" s="11"/>
      <c r="AB308" s="11"/>
      <c r="AC308" s="11"/>
      <c r="AD308" s="11"/>
      <c r="AE308" s="11"/>
      <c r="AF308" s="11"/>
      <c r="AG308" s="11"/>
      <c r="AH308" s="11"/>
      <c r="AI308" s="11"/>
      <c r="AJ308" s="11"/>
      <c r="AK308" s="11"/>
      <c r="AL308" s="11"/>
      <c r="AM308" s="11"/>
      <c r="AN308" s="11"/>
      <c r="AO308" s="11"/>
      <c r="AP308" s="11"/>
      <c r="AQ308" s="11"/>
      <c r="AR308" s="11"/>
      <c r="AS308" s="11"/>
      <c r="AT308" s="11"/>
      <c r="AU308" s="11"/>
      <c r="AV308" s="11"/>
      <c r="AW308" s="11"/>
      <c r="AX308" s="11"/>
      <c r="AY308" s="11"/>
      <c r="AZ308" s="11"/>
      <c r="BA308" s="11"/>
      <c r="BB308" s="11"/>
      <c r="BC308" s="11"/>
      <c r="BD308" s="11"/>
      <c r="BE308" s="11"/>
      <c r="BF308" s="11"/>
      <c r="BG308" s="11"/>
      <c r="BH308" s="11"/>
      <c r="BI308" s="11"/>
      <c r="BJ308" s="11"/>
      <c r="BK308" s="11"/>
      <c r="BL308" s="11"/>
      <c r="BM308" s="11"/>
    </row>
    <row r="309" spans="1:65" ht="150" customHeight="1" x14ac:dyDescent="0.25">
      <c r="A309" s="11">
        <v>8513</v>
      </c>
      <c r="B309" s="11">
        <v>-1</v>
      </c>
      <c r="C309" s="11" t="str">
        <f t="shared" si="45"/>
        <v>Round of Golf</v>
      </c>
      <c r="D309" s="11" t="s">
        <v>1084</v>
      </c>
      <c r="E309" s="42"/>
      <c r="F309" s="42"/>
      <c r="G309" s="151" t="s">
        <v>861</v>
      </c>
      <c r="H309" s="329">
        <v>240</v>
      </c>
      <c r="I309" s="14">
        <v>1</v>
      </c>
      <c r="J309" s="55" t="str">
        <f t="shared" si="46"/>
        <v>Round of GolfBest1240Putting Worst  Ball 9 Holes</v>
      </c>
      <c r="K309" s="58" t="s">
        <v>1203</v>
      </c>
      <c r="L309" s="57" t="s">
        <v>1206</v>
      </c>
      <c r="M309" s="13"/>
      <c r="N309" s="90"/>
      <c r="O309" s="52"/>
      <c r="P309" s="14" t="s">
        <v>8</v>
      </c>
      <c r="Q309" s="35" t="s">
        <v>10</v>
      </c>
      <c r="R309" s="13"/>
      <c r="S309" s="13" t="s">
        <v>10</v>
      </c>
      <c r="T309" s="12"/>
      <c r="U309" s="54" t="str">
        <f t="shared" si="44"/>
        <v/>
      </c>
      <c r="V309" s="54"/>
      <c r="W309" s="81">
        <f t="shared" si="47"/>
        <v>0</v>
      </c>
      <c r="X309" s="11"/>
      <c r="Y309" s="11"/>
      <c r="Z309" s="11"/>
      <c r="AA309" s="11"/>
      <c r="AB309" s="11"/>
      <c r="AC309" s="11"/>
      <c r="AD309" s="11"/>
      <c r="AE309" s="11"/>
      <c r="AF309" s="11"/>
      <c r="AG309" s="11"/>
      <c r="AH309" s="11"/>
      <c r="AI309" s="11"/>
      <c r="AJ309" s="11"/>
      <c r="AK309" s="11"/>
      <c r="AL309" s="11"/>
      <c r="AM309" s="11"/>
      <c r="AN309" s="11"/>
      <c r="AO309" s="11"/>
      <c r="AP309" s="11"/>
      <c r="AQ309" s="11"/>
      <c r="AR309" s="11"/>
      <c r="AS309" s="11"/>
      <c r="AT309" s="11"/>
      <c r="AU309" s="11"/>
      <c r="AV309" s="11"/>
      <c r="AW309" s="11"/>
      <c r="AX309" s="11"/>
      <c r="AY309" s="11"/>
      <c r="AZ309" s="11"/>
      <c r="BA309" s="11"/>
      <c r="BB309" s="11"/>
      <c r="BC309" s="11"/>
      <c r="BD309" s="11"/>
      <c r="BE309" s="11"/>
      <c r="BF309" s="11"/>
      <c r="BG309" s="11"/>
      <c r="BH309" s="11"/>
      <c r="BI309" s="11"/>
      <c r="BJ309" s="11"/>
      <c r="BK309" s="11"/>
      <c r="BL309" s="11"/>
      <c r="BM309" s="11"/>
    </row>
    <row r="310" spans="1:65" ht="150" customHeight="1" x14ac:dyDescent="0.25">
      <c r="A310" s="11">
        <v>8514</v>
      </c>
      <c r="B310" s="11">
        <v>-1</v>
      </c>
      <c r="C310" s="11" t="str">
        <f t="shared" si="45"/>
        <v>Round of Golf</v>
      </c>
      <c r="D310" s="11" t="s">
        <v>1084</v>
      </c>
      <c r="E310" s="42"/>
      <c r="F310" s="42"/>
      <c r="G310" s="151" t="s">
        <v>861</v>
      </c>
      <c r="H310" s="329">
        <v>240</v>
      </c>
      <c r="I310" s="14">
        <v>1</v>
      </c>
      <c r="J310" s="55" t="str">
        <f t="shared" si="46"/>
        <v>Round of GolfBest1240No Green in Regulation - 18 Holes</v>
      </c>
      <c r="K310" s="58" t="s">
        <v>1209</v>
      </c>
      <c r="L310" s="57" t="s">
        <v>1207</v>
      </c>
      <c r="M310" s="13"/>
      <c r="N310" s="90"/>
      <c r="O310" s="52"/>
      <c r="P310" s="14" t="s">
        <v>8</v>
      </c>
      <c r="Q310" s="35" t="s">
        <v>10</v>
      </c>
      <c r="R310" s="13"/>
      <c r="S310" s="13" t="s">
        <v>10</v>
      </c>
      <c r="T310" s="12"/>
      <c r="U310" s="54" t="str">
        <f t="shared" si="44"/>
        <v/>
      </c>
      <c r="V310" s="54"/>
      <c r="W310" s="81">
        <f t="shared" si="47"/>
        <v>0</v>
      </c>
      <c r="X310" s="11"/>
      <c r="Y310" s="11"/>
      <c r="Z310" s="11"/>
      <c r="AA310" s="11"/>
      <c r="AB310" s="11"/>
      <c r="AC310" s="11"/>
      <c r="AD310" s="11"/>
      <c r="AE310" s="11"/>
      <c r="AF310" s="11"/>
      <c r="AG310" s="11"/>
      <c r="AH310" s="11"/>
      <c r="AI310" s="11"/>
      <c r="AJ310" s="11"/>
      <c r="AK310" s="11"/>
      <c r="AL310" s="11"/>
      <c r="AM310" s="11"/>
      <c r="AN310" s="11"/>
      <c r="AO310" s="11"/>
      <c r="AP310" s="11"/>
      <c r="AQ310" s="11"/>
      <c r="AR310" s="11"/>
      <c r="AS310" s="11"/>
      <c r="AT310" s="11"/>
      <c r="AU310" s="11"/>
      <c r="AV310" s="11"/>
      <c r="AW310" s="11"/>
      <c r="AX310" s="11"/>
      <c r="AY310" s="11"/>
      <c r="AZ310" s="11"/>
      <c r="BA310" s="11"/>
      <c r="BB310" s="11"/>
      <c r="BC310" s="11"/>
      <c r="BD310" s="11"/>
      <c r="BE310" s="11"/>
      <c r="BF310" s="11"/>
      <c r="BG310" s="11"/>
      <c r="BH310" s="11"/>
      <c r="BI310" s="11"/>
      <c r="BJ310" s="11"/>
      <c r="BK310" s="11"/>
      <c r="BL310" s="11"/>
      <c r="BM310" s="11"/>
    </row>
    <row r="311" spans="1:65" ht="150" customHeight="1" x14ac:dyDescent="0.25">
      <c r="A311" s="11">
        <v>8515</v>
      </c>
      <c r="B311" s="11">
        <v>-1</v>
      </c>
      <c r="C311" s="11" t="str">
        <f t="shared" si="45"/>
        <v>Round of Golf</v>
      </c>
      <c r="D311" s="11" t="s">
        <v>1084</v>
      </c>
      <c r="E311" s="42"/>
      <c r="F311" s="42"/>
      <c r="G311" s="151" t="s">
        <v>861</v>
      </c>
      <c r="H311" s="329">
        <v>240</v>
      </c>
      <c r="I311" s="14">
        <v>1</v>
      </c>
      <c r="J311" s="55" t="str">
        <f t="shared" si="46"/>
        <v>Round of GolfBest1240No Green in Regulation - 9 Holes</v>
      </c>
      <c r="K311" s="58" t="s">
        <v>1208</v>
      </c>
      <c r="L311" s="57" t="s">
        <v>1207</v>
      </c>
      <c r="M311" s="13"/>
      <c r="N311" s="90"/>
      <c r="O311" s="52"/>
      <c r="P311" s="14" t="s">
        <v>8</v>
      </c>
      <c r="Q311" s="35" t="s">
        <v>10</v>
      </c>
      <c r="R311" s="13"/>
      <c r="S311" s="13" t="s">
        <v>10</v>
      </c>
      <c r="T311" s="12"/>
      <c r="U311" s="54" t="str">
        <f t="shared" si="44"/>
        <v/>
      </c>
      <c r="V311" s="54"/>
      <c r="W311" s="81">
        <f t="shared" si="47"/>
        <v>0</v>
      </c>
      <c r="X311" s="11"/>
      <c r="Y311" s="11"/>
      <c r="Z311" s="11"/>
      <c r="AA311" s="11"/>
      <c r="AB311" s="11"/>
      <c r="AC311" s="11"/>
      <c r="AD311" s="11"/>
      <c r="AE311" s="11"/>
      <c r="AF311" s="11"/>
      <c r="AG311" s="11"/>
      <c r="AH311" s="11"/>
      <c r="AI311" s="11"/>
      <c r="AJ311" s="11"/>
      <c r="AK311" s="11"/>
      <c r="AL311" s="11"/>
      <c r="AM311" s="11"/>
      <c r="AN311" s="11"/>
      <c r="AO311" s="11"/>
      <c r="AP311" s="11"/>
      <c r="AQ311" s="11"/>
      <c r="AR311" s="11"/>
      <c r="AS311" s="11"/>
      <c r="AT311" s="11"/>
      <c r="AU311" s="11"/>
      <c r="AV311" s="11"/>
      <c r="AW311" s="11"/>
      <c r="AX311" s="11"/>
      <c r="AY311" s="11"/>
      <c r="AZ311" s="11"/>
      <c r="BA311" s="11"/>
      <c r="BB311" s="11"/>
      <c r="BC311" s="11"/>
      <c r="BD311" s="11"/>
      <c r="BE311" s="11"/>
      <c r="BF311" s="11"/>
      <c r="BG311" s="11"/>
      <c r="BH311" s="11"/>
      <c r="BI311" s="11"/>
      <c r="BJ311" s="11"/>
      <c r="BK311" s="11"/>
      <c r="BL311" s="11"/>
      <c r="BM311" s="11"/>
    </row>
    <row r="312" spans="1:65" ht="150" customHeight="1" x14ac:dyDescent="0.25">
      <c r="A312" s="11">
        <v>8516</v>
      </c>
      <c r="B312" s="11">
        <v>-1</v>
      </c>
      <c r="C312" s="11" t="str">
        <f t="shared" si="45"/>
        <v>Round of Golf</v>
      </c>
      <c r="D312" s="11" t="s">
        <v>1084</v>
      </c>
      <c r="E312" s="42"/>
      <c r="F312" s="42"/>
      <c r="G312" s="151" t="s">
        <v>861</v>
      </c>
      <c r="H312" s="329">
        <v>240</v>
      </c>
      <c r="I312" s="14">
        <v>1</v>
      </c>
      <c r="J312" s="55" t="str">
        <f t="shared" si="46"/>
        <v>Round of GolfBest1240When the tough gets going - 18 Holes</v>
      </c>
      <c r="K312" s="58" t="s">
        <v>1211</v>
      </c>
      <c r="L312" s="57" t="s">
        <v>1210</v>
      </c>
      <c r="M312" s="13"/>
      <c r="N312" s="90"/>
      <c r="O312" s="52"/>
      <c r="P312" s="14" t="s">
        <v>8</v>
      </c>
      <c r="Q312" s="35" t="s">
        <v>10</v>
      </c>
      <c r="R312" s="13"/>
      <c r="S312" s="13" t="s">
        <v>10</v>
      </c>
      <c r="T312" s="12"/>
      <c r="U312" s="54" t="str">
        <f t="shared" si="44"/>
        <v/>
      </c>
      <c r="V312" s="54"/>
      <c r="W312" s="81">
        <f t="shared" si="47"/>
        <v>0</v>
      </c>
      <c r="X312" s="11"/>
      <c r="Y312" s="11"/>
      <c r="Z312" s="11"/>
      <c r="AA312" s="11"/>
      <c r="AB312" s="11"/>
      <c r="AC312" s="11"/>
      <c r="AD312" s="11"/>
      <c r="AE312" s="11"/>
      <c r="AF312" s="11"/>
      <c r="AG312" s="11"/>
      <c r="AH312" s="11"/>
      <c r="AI312" s="11"/>
      <c r="AJ312" s="11"/>
      <c r="AK312" s="11"/>
      <c r="AL312" s="11"/>
      <c r="AM312" s="11"/>
      <c r="AN312" s="11"/>
      <c r="AO312" s="11"/>
      <c r="AP312" s="11"/>
      <c r="AQ312" s="11"/>
      <c r="AR312" s="11"/>
      <c r="AS312" s="11"/>
      <c r="AT312" s="11"/>
      <c r="AU312" s="11"/>
      <c r="AV312" s="11"/>
      <c r="AW312" s="11"/>
      <c r="AX312" s="11"/>
      <c r="AY312" s="11"/>
      <c r="AZ312" s="11"/>
      <c r="BA312" s="11"/>
      <c r="BB312" s="11"/>
      <c r="BC312" s="11"/>
      <c r="BD312" s="11"/>
      <c r="BE312" s="11"/>
      <c r="BF312" s="11"/>
      <c r="BG312" s="11"/>
      <c r="BH312" s="11"/>
      <c r="BI312" s="11"/>
      <c r="BJ312" s="11"/>
      <c r="BK312" s="11"/>
      <c r="BL312" s="11"/>
      <c r="BM312" s="11"/>
    </row>
    <row r="313" spans="1:65" ht="150" customHeight="1" x14ac:dyDescent="0.25">
      <c r="A313" s="11">
        <v>8517</v>
      </c>
      <c r="B313" s="11">
        <v>-1</v>
      </c>
      <c r="C313" s="11" t="str">
        <f t="shared" si="45"/>
        <v>Round of Golf</v>
      </c>
      <c r="D313" s="11" t="s">
        <v>1084</v>
      </c>
      <c r="E313" s="42"/>
      <c r="F313" s="42"/>
      <c r="G313" s="151" t="s">
        <v>861</v>
      </c>
      <c r="H313" s="329">
        <v>240</v>
      </c>
      <c r="I313" s="14">
        <v>1</v>
      </c>
      <c r="J313" s="55" t="str">
        <f t="shared" si="46"/>
        <v>Round of GolfBest1240When the tough gets going - 9 Holes</v>
      </c>
      <c r="K313" s="58" t="s">
        <v>1212</v>
      </c>
      <c r="L313" s="57" t="s">
        <v>1210</v>
      </c>
      <c r="M313" s="13"/>
      <c r="N313" s="90"/>
      <c r="O313" s="52"/>
      <c r="P313" s="14" t="s">
        <v>8</v>
      </c>
      <c r="Q313" s="35" t="s">
        <v>10</v>
      </c>
      <c r="R313" s="13"/>
      <c r="S313" s="13" t="s">
        <v>10</v>
      </c>
      <c r="T313" s="12"/>
      <c r="U313" s="54" t="str">
        <f t="shared" si="44"/>
        <v/>
      </c>
      <c r="V313" s="54"/>
      <c r="W313" s="81">
        <f t="shared" si="47"/>
        <v>0</v>
      </c>
      <c r="X313" s="11"/>
      <c r="Y313" s="11"/>
      <c r="Z313" s="11"/>
      <c r="AA313" s="11"/>
      <c r="AB313" s="11"/>
      <c r="AC313" s="11"/>
      <c r="AD313" s="11"/>
      <c r="AE313" s="11"/>
      <c r="AF313" s="11"/>
      <c r="AG313" s="11"/>
      <c r="AH313" s="11"/>
      <c r="AI313" s="11"/>
      <c r="AJ313" s="11"/>
      <c r="AK313" s="11"/>
      <c r="AL313" s="11"/>
      <c r="AM313" s="11"/>
      <c r="AN313" s="11"/>
      <c r="AO313" s="11"/>
      <c r="AP313" s="11"/>
      <c r="AQ313" s="11"/>
      <c r="AR313" s="11"/>
      <c r="AS313" s="11"/>
      <c r="AT313" s="11"/>
      <c r="AU313" s="11"/>
      <c r="AV313" s="11"/>
      <c r="AW313" s="11"/>
      <c r="AX313" s="11"/>
      <c r="AY313" s="11"/>
      <c r="AZ313" s="11"/>
      <c r="BA313" s="11"/>
      <c r="BB313" s="11"/>
      <c r="BC313" s="11"/>
      <c r="BD313" s="11"/>
      <c r="BE313" s="11"/>
      <c r="BF313" s="11"/>
      <c r="BG313" s="11"/>
      <c r="BH313" s="11"/>
      <c r="BI313" s="11"/>
      <c r="BJ313" s="11"/>
      <c r="BK313" s="11"/>
      <c r="BL313" s="11"/>
      <c r="BM313" s="11"/>
    </row>
    <row r="314" spans="1:65" ht="150" customHeight="1" x14ac:dyDescent="0.25">
      <c r="A314" s="11">
        <v>8518</v>
      </c>
      <c r="B314" s="11">
        <v>-1</v>
      </c>
      <c r="C314" s="11" t="str">
        <f t="shared" si="45"/>
        <v>Round of Golf</v>
      </c>
      <c r="D314" s="11" t="s">
        <v>1084</v>
      </c>
      <c r="E314" s="42"/>
      <c r="F314" s="42"/>
      <c r="G314" s="151" t="s">
        <v>861</v>
      </c>
      <c r="H314" s="329">
        <v>240</v>
      </c>
      <c r="I314" s="14">
        <v>1</v>
      </c>
      <c r="J314" s="55" t="str">
        <f t="shared" si="46"/>
        <v>Round of GolfBest1240Aim for the flag - 18 Holes</v>
      </c>
      <c r="K314" s="58" t="s">
        <v>1213</v>
      </c>
      <c r="L314" s="57" t="s">
        <v>1214</v>
      </c>
      <c r="M314" s="13"/>
      <c r="N314" s="90"/>
      <c r="O314" s="52"/>
      <c r="P314" s="14" t="s">
        <v>8</v>
      </c>
      <c r="Q314" s="35" t="s">
        <v>10</v>
      </c>
      <c r="R314" s="13"/>
      <c r="S314" s="13" t="s">
        <v>10</v>
      </c>
      <c r="T314" s="12"/>
      <c r="U314" s="54" t="str">
        <f t="shared" si="44"/>
        <v/>
      </c>
      <c r="V314" s="54"/>
      <c r="W314" s="81">
        <f t="shared" si="47"/>
        <v>0</v>
      </c>
      <c r="X314" s="11"/>
      <c r="Y314" s="11"/>
      <c r="Z314" s="11"/>
      <c r="AA314" s="11"/>
      <c r="AB314" s="11"/>
      <c r="AC314" s="11"/>
      <c r="AD314" s="11"/>
      <c r="AE314" s="11"/>
      <c r="AF314" s="11"/>
      <c r="AG314" s="11"/>
      <c r="AH314" s="11"/>
      <c r="AI314" s="11"/>
      <c r="AJ314" s="11"/>
      <c r="AK314" s="11"/>
      <c r="AL314" s="11"/>
      <c r="AM314" s="11"/>
      <c r="AN314" s="11"/>
      <c r="AO314" s="11"/>
      <c r="AP314" s="11"/>
      <c r="AQ314" s="11"/>
      <c r="AR314" s="11"/>
      <c r="AS314" s="11"/>
      <c r="AT314" s="11"/>
      <c r="AU314" s="11"/>
      <c r="AV314" s="11"/>
      <c r="AW314" s="11"/>
      <c r="AX314" s="11"/>
      <c r="AY314" s="11"/>
      <c r="AZ314" s="11"/>
      <c r="BA314" s="11"/>
      <c r="BB314" s="11"/>
      <c r="BC314" s="11"/>
      <c r="BD314" s="11"/>
      <c r="BE314" s="11"/>
      <c r="BF314" s="11"/>
      <c r="BG314" s="11"/>
      <c r="BH314" s="11"/>
      <c r="BI314" s="11"/>
      <c r="BJ314" s="11"/>
      <c r="BK314" s="11"/>
      <c r="BL314" s="11"/>
      <c r="BM314" s="11"/>
    </row>
    <row r="315" spans="1:65" ht="150" customHeight="1" x14ac:dyDescent="0.25">
      <c r="A315" s="11">
        <v>8519</v>
      </c>
      <c r="B315" s="11">
        <v>-1</v>
      </c>
      <c r="C315" s="11" t="str">
        <f t="shared" si="45"/>
        <v>Round of Golf</v>
      </c>
      <c r="D315" s="11" t="s">
        <v>1084</v>
      </c>
      <c r="E315" s="42"/>
      <c r="F315" s="42"/>
      <c r="G315" s="151" t="s">
        <v>861</v>
      </c>
      <c r="H315" s="329">
        <v>240</v>
      </c>
      <c r="I315" s="14">
        <v>1</v>
      </c>
      <c r="J315" s="55" t="str">
        <f t="shared" si="46"/>
        <v>Round of GolfBest1240Aim for the flag - 9 Holes</v>
      </c>
      <c r="K315" s="58" t="s">
        <v>1215</v>
      </c>
      <c r="L315" s="57" t="s">
        <v>1214</v>
      </c>
      <c r="M315" s="13"/>
      <c r="N315" s="90"/>
      <c r="O315" s="52"/>
      <c r="P315" s="14" t="s">
        <v>8</v>
      </c>
      <c r="Q315" s="35" t="s">
        <v>10</v>
      </c>
      <c r="R315" s="13"/>
      <c r="S315" s="13" t="s">
        <v>10</v>
      </c>
      <c r="T315" s="12"/>
      <c r="U315" s="54" t="str">
        <f t="shared" si="44"/>
        <v/>
      </c>
      <c r="V315" s="54"/>
      <c r="W315" s="81">
        <f t="shared" si="47"/>
        <v>0</v>
      </c>
      <c r="X315" s="11"/>
      <c r="Y315" s="11"/>
      <c r="Z315" s="11"/>
      <c r="AA315" s="11"/>
      <c r="AB315" s="11"/>
      <c r="AC315" s="11"/>
      <c r="AD315" s="11"/>
      <c r="AE315" s="11"/>
      <c r="AF315" s="11"/>
      <c r="AG315" s="11"/>
      <c r="AH315" s="11"/>
      <c r="AI315" s="11"/>
      <c r="AJ315" s="11"/>
      <c r="AK315" s="11"/>
      <c r="AL315" s="11"/>
      <c r="AM315" s="11"/>
      <c r="AN315" s="11"/>
      <c r="AO315" s="11"/>
      <c r="AP315" s="11"/>
      <c r="AQ315" s="11"/>
      <c r="AR315" s="11"/>
      <c r="AS315" s="11"/>
      <c r="AT315" s="11"/>
      <c r="AU315" s="11"/>
      <c r="AV315" s="11"/>
      <c r="AW315" s="11"/>
      <c r="AX315" s="11"/>
      <c r="AY315" s="11"/>
      <c r="AZ315" s="11"/>
      <c r="BA315" s="11"/>
      <c r="BB315" s="11"/>
      <c r="BC315" s="11"/>
      <c r="BD315" s="11"/>
      <c r="BE315" s="11"/>
      <c r="BF315" s="11"/>
      <c r="BG315" s="11"/>
      <c r="BH315" s="11"/>
      <c r="BI315" s="11"/>
      <c r="BJ315" s="11"/>
      <c r="BK315" s="11"/>
      <c r="BL315" s="11"/>
      <c r="BM315" s="11"/>
    </row>
    <row r="316" spans="1:65" ht="150" customHeight="1" x14ac:dyDescent="0.25">
      <c r="A316" s="11">
        <v>8520</v>
      </c>
      <c r="B316" s="11">
        <v>-1</v>
      </c>
      <c r="C316" s="11" t="str">
        <f t="shared" si="45"/>
        <v>Round of Golf</v>
      </c>
      <c r="D316" s="11" t="s">
        <v>1084</v>
      </c>
      <c r="E316" s="42"/>
      <c r="F316" s="42"/>
      <c r="G316" s="151" t="s">
        <v>861</v>
      </c>
      <c r="H316" s="329">
        <v>240</v>
      </c>
      <c r="I316" s="14">
        <v>1</v>
      </c>
      <c r="J316" s="55" t="str">
        <f t="shared" si="46"/>
        <v>Round of GolfBest1240Stylish Golf - 18 Holes</v>
      </c>
      <c r="K316" s="58" t="s">
        <v>1216</v>
      </c>
      <c r="L316" s="57" t="s">
        <v>1217</v>
      </c>
      <c r="M316" s="13"/>
      <c r="N316" s="90"/>
      <c r="O316" s="52"/>
      <c r="P316" s="14" t="s">
        <v>8</v>
      </c>
      <c r="Q316" s="35" t="s">
        <v>10</v>
      </c>
      <c r="R316" s="13"/>
      <c r="S316" s="13" t="s">
        <v>10</v>
      </c>
      <c r="T316" s="12"/>
      <c r="U316" s="54" t="str">
        <f t="shared" si="44"/>
        <v/>
      </c>
      <c r="V316" s="54"/>
      <c r="W316" s="81">
        <f t="shared" si="47"/>
        <v>0</v>
      </c>
      <c r="X316" s="11"/>
      <c r="Y316" s="11"/>
      <c r="Z316" s="11"/>
      <c r="AA316" s="11"/>
      <c r="AB316" s="11"/>
      <c r="AC316" s="11"/>
      <c r="AD316" s="11"/>
      <c r="AE316" s="11"/>
      <c r="AF316" s="11"/>
      <c r="AG316" s="11"/>
      <c r="AH316" s="11"/>
      <c r="AI316" s="11"/>
      <c r="AJ316" s="11"/>
      <c r="AK316" s="11"/>
      <c r="AL316" s="11"/>
      <c r="AM316" s="11"/>
      <c r="AN316" s="11"/>
      <c r="AO316" s="11"/>
      <c r="AP316" s="11"/>
      <c r="AQ316" s="11"/>
      <c r="AR316" s="11"/>
      <c r="AS316" s="11"/>
      <c r="AT316" s="11"/>
      <c r="AU316" s="11"/>
      <c r="AV316" s="11"/>
      <c r="AW316" s="11"/>
      <c r="AX316" s="11"/>
      <c r="AY316" s="11"/>
      <c r="AZ316" s="11"/>
      <c r="BA316" s="11"/>
      <c r="BB316" s="11"/>
      <c r="BC316" s="11"/>
      <c r="BD316" s="11"/>
      <c r="BE316" s="11"/>
      <c r="BF316" s="11"/>
      <c r="BG316" s="11"/>
      <c r="BH316" s="11"/>
      <c r="BI316" s="11"/>
      <c r="BJ316" s="11"/>
      <c r="BK316" s="11"/>
      <c r="BL316" s="11"/>
      <c r="BM316" s="11"/>
    </row>
    <row r="317" spans="1:65" ht="150" customHeight="1" x14ac:dyDescent="0.25">
      <c r="A317" s="11">
        <v>8521</v>
      </c>
      <c r="B317" s="11">
        <v>-1</v>
      </c>
      <c r="C317" s="11" t="str">
        <f t="shared" si="45"/>
        <v>Round of Golf</v>
      </c>
      <c r="D317" s="11" t="s">
        <v>1084</v>
      </c>
      <c r="E317" s="42"/>
      <c r="F317" s="42"/>
      <c r="G317" s="151" t="s">
        <v>861</v>
      </c>
      <c r="H317" s="329">
        <v>240</v>
      </c>
      <c r="I317" s="14">
        <v>1</v>
      </c>
      <c r="J317" s="55" t="str">
        <f t="shared" si="46"/>
        <v>Round of GolfBest1240Stylish Golf - 9 Holes</v>
      </c>
      <c r="K317" s="58" t="s">
        <v>1218</v>
      </c>
      <c r="L317" s="57" t="s">
        <v>1217</v>
      </c>
      <c r="M317" s="13"/>
      <c r="N317" s="90"/>
      <c r="O317" s="52"/>
      <c r="P317" s="14" t="s">
        <v>8</v>
      </c>
      <c r="Q317" s="35" t="s">
        <v>10</v>
      </c>
      <c r="R317" s="13"/>
      <c r="S317" s="13" t="s">
        <v>10</v>
      </c>
      <c r="T317" s="12"/>
      <c r="U317" s="54" t="str">
        <f t="shared" si="44"/>
        <v/>
      </c>
      <c r="V317" s="54"/>
      <c r="W317" s="81">
        <f t="shared" si="47"/>
        <v>0</v>
      </c>
      <c r="X317" s="11"/>
      <c r="Y317" s="11"/>
      <c r="Z317" s="11"/>
      <c r="AA317" s="11"/>
      <c r="AB317" s="11"/>
      <c r="AC317" s="11"/>
      <c r="AD317" s="11"/>
      <c r="AE317" s="11"/>
      <c r="AF317" s="11"/>
      <c r="AG317" s="11"/>
      <c r="AH317" s="11"/>
      <c r="AI317" s="11"/>
      <c r="AJ317" s="11"/>
      <c r="AK317" s="11"/>
      <c r="AL317" s="11"/>
      <c r="AM317" s="11"/>
      <c r="AN317" s="11"/>
      <c r="AO317" s="11"/>
      <c r="AP317" s="11"/>
      <c r="AQ317" s="11"/>
      <c r="AR317" s="11"/>
      <c r="AS317" s="11"/>
      <c r="AT317" s="11"/>
      <c r="AU317" s="11"/>
      <c r="AV317" s="11"/>
      <c r="AW317" s="11"/>
      <c r="AX317" s="11"/>
      <c r="AY317" s="11"/>
      <c r="AZ317" s="11"/>
      <c r="BA317" s="11"/>
      <c r="BB317" s="11"/>
      <c r="BC317" s="11"/>
      <c r="BD317" s="11"/>
      <c r="BE317" s="11"/>
      <c r="BF317" s="11"/>
      <c r="BG317" s="11"/>
      <c r="BH317" s="11"/>
      <c r="BI317" s="11"/>
      <c r="BJ317" s="11"/>
      <c r="BK317" s="11"/>
      <c r="BL317" s="11"/>
      <c r="BM317" s="11"/>
    </row>
    <row r="318" spans="1:65" ht="150" customHeight="1" x14ac:dyDescent="0.25">
      <c r="A318" s="11">
        <v>8522</v>
      </c>
      <c r="B318" s="11">
        <v>-1</v>
      </c>
      <c r="C318" s="11" t="str">
        <f t="shared" si="45"/>
        <v>Round of Golf</v>
      </c>
      <c r="D318" s="11" t="s">
        <v>1084</v>
      </c>
      <c r="E318" s="42"/>
      <c r="F318" s="42"/>
      <c r="G318" s="151" t="s">
        <v>861</v>
      </c>
      <c r="H318" s="329">
        <v>240</v>
      </c>
      <c r="I318" s="14">
        <v>1</v>
      </c>
      <c r="J318" s="55" t="str">
        <f t="shared" si="46"/>
        <v>Round of GolfBest124018 Holes of Points</v>
      </c>
      <c r="K318" s="58" t="s">
        <v>1220</v>
      </c>
      <c r="L318" s="57" t="s">
        <v>1221</v>
      </c>
      <c r="M318" s="13"/>
      <c r="N318" s="90"/>
      <c r="O318" s="52"/>
      <c r="P318" s="14" t="s">
        <v>8</v>
      </c>
      <c r="Q318" s="35" t="s">
        <v>10</v>
      </c>
      <c r="R318" s="13"/>
      <c r="S318" s="13" t="s">
        <v>10</v>
      </c>
      <c r="T318" s="12"/>
      <c r="U318" s="54" t="str">
        <f t="shared" si="44"/>
        <v/>
      </c>
      <c r="V318" s="54"/>
      <c r="W318" s="81">
        <f t="shared" si="47"/>
        <v>0</v>
      </c>
      <c r="X318" s="11"/>
      <c r="Y318" s="11"/>
      <c r="Z318" s="11"/>
      <c r="AA318" s="11"/>
      <c r="AB318" s="11"/>
      <c r="AC318" s="11"/>
      <c r="AD318" s="11"/>
      <c r="AE318" s="11"/>
      <c r="AF318" s="11"/>
      <c r="AG318" s="11"/>
      <c r="AH318" s="11"/>
      <c r="AI318" s="11"/>
      <c r="AJ318" s="11"/>
      <c r="AK318" s="11"/>
      <c r="AL318" s="11"/>
      <c r="AM318" s="11"/>
      <c r="AN318" s="11"/>
      <c r="AO318" s="11"/>
      <c r="AP318" s="11"/>
      <c r="AQ318" s="11"/>
      <c r="AR318" s="11"/>
      <c r="AS318" s="11"/>
      <c r="AT318" s="11"/>
      <c r="AU318" s="11"/>
      <c r="AV318" s="11"/>
      <c r="AW318" s="11"/>
      <c r="AX318" s="11"/>
      <c r="AY318" s="11"/>
      <c r="AZ318" s="11"/>
      <c r="BA318" s="11"/>
      <c r="BB318" s="11"/>
      <c r="BC318" s="11"/>
      <c r="BD318" s="11"/>
      <c r="BE318" s="11"/>
      <c r="BF318" s="11"/>
      <c r="BG318" s="11"/>
      <c r="BH318" s="11"/>
      <c r="BI318" s="11"/>
      <c r="BJ318" s="11"/>
      <c r="BK318" s="11"/>
      <c r="BL318" s="11"/>
      <c r="BM318" s="11"/>
    </row>
    <row r="319" spans="1:65" ht="150" customHeight="1" x14ac:dyDescent="0.25">
      <c r="A319" s="11">
        <v>8523</v>
      </c>
      <c r="B319" s="11">
        <v>-1</v>
      </c>
      <c r="C319" s="11" t="str">
        <f t="shared" si="45"/>
        <v>Round of Golf</v>
      </c>
      <c r="D319" s="11" t="s">
        <v>1084</v>
      </c>
      <c r="E319" s="42"/>
      <c r="F319" s="42"/>
      <c r="G319" s="151" t="s">
        <v>861</v>
      </c>
      <c r="H319" s="329">
        <v>240</v>
      </c>
      <c r="I319" s="14">
        <v>1</v>
      </c>
      <c r="J319" s="55" t="str">
        <f t="shared" si="46"/>
        <v>Round of GolfBest12409 Holes of Points</v>
      </c>
      <c r="K319" s="58" t="s">
        <v>1219</v>
      </c>
      <c r="L319" s="57" t="s">
        <v>1221</v>
      </c>
      <c r="M319" s="13"/>
      <c r="N319" s="90"/>
      <c r="O319" s="52"/>
      <c r="P319" s="14" t="s">
        <v>8</v>
      </c>
      <c r="Q319" s="35" t="s">
        <v>10</v>
      </c>
      <c r="R319" s="13"/>
      <c r="S319" s="13" t="s">
        <v>10</v>
      </c>
      <c r="T319" s="12"/>
      <c r="U319" s="54" t="str">
        <f t="shared" si="44"/>
        <v/>
      </c>
      <c r="V319" s="54"/>
      <c r="W319" s="81">
        <f t="shared" si="47"/>
        <v>0</v>
      </c>
      <c r="X319" s="11"/>
      <c r="Y319" s="11"/>
      <c r="Z319" s="11"/>
      <c r="AA319" s="11"/>
      <c r="AB319" s="11"/>
      <c r="AC319" s="11"/>
      <c r="AD319" s="11"/>
      <c r="AE319" s="11"/>
      <c r="AF319" s="11"/>
      <c r="AG319" s="11"/>
      <c r="AH319" s="11"/>
      <c r="AI319" s="11"/>
      <c r="AJ319" s="11"/>
      <c r="AK319" s="11"/>
      <c r="AL319" s="11"/>
      <c r="AM319" s="11"/>
      <c r="AN319" s="11"/>
      <c r="AO319" s="11"/>
      <c r="AP319" s="11"/>
      <c r="AQ319" s="11"/>
      <c r="AR319" s="11"/>
      <c r="AS319" s="11"/>
      <c r="AT319" s="11"/>
      <c r="AU319" s="11"/>
      <c r="AV319" s="11"/>
      <c r="AW319" s="11"/>
      <c r="AX319" s="11"/>
      <c r="AY319" s="11"/>
      <c r="AZ319" s="11"/>
      <c r="BA319" s="11"/>
      <c r="BB319" s="11"/>
      <c r="BC319" s="11"/>
      <c r="BD319" s="11"/>
      <c r="BE319" s="11"/>
      <c r="BF319" s="11"/>
      <c r="BG319" s="11"/>
      <c r="BH319" s="11"/>
      <c r="BI319" s="11"/>
      <c r="BJ319" s="11"/>
      <c r="BK319" s="11"/>
      <c r="BL319" s="11"/>
      <c r="BM319" s="11"/>
    </row>
    <row r="320" spans="1:65" ht="150" customHeight="1" x14ac:dyDescent="0.25">
      <c r="A320" s="11">
        <v>9502</v>
      </c>
      <c r="B320" s="11">
        <v>-1</v>
      </c>
      <c r="C320" s="11" t="str">
        <f t="shared" si="45"/>
        <v>Round of Golf</v>
      </c>
      <c r="D320" s="11" t="s">
        <v>6</v>
      </c>
      <c r="E320" s="42"/>
      <c r="F320" s="42"/>
      <c r="G320" s="151" t="s">
        <v>861</v>
      </c>
      <c r="H320" s="329">
        <v>120</v>
      </c>
      <c r="I320" s="14">
        <v>1</v>
      </c>
      <c r="J320" s="55" t="str">
        <f t="shared" si="41"/>
        <v>Round of GolfGame1120</v>
      </c>
      <c r="K320" s="58"/>
      <c r="L320" s="57"/>
      <c r="M320" s="13"/>
      <c r="N320" s="90"/>
      <c r="O320" s="74"/>
      <c r="P320" s="14" t="s">
        <v>9</v>
      </c>
      <c r="Q320" s="35" t="s">
        <v>11</v>
      </c>
      <c r="R320" s="13"/>
      <c r="S320" s="13" t="s">
        <v>11</v>
      </c>
      <c r="T320" s="12"/>
      <c r="U320" s="54" t="str">
        <f t="shared" si="44"/>
        <v/>
      </c>
      <c r="V320" s="54"/>
      <c r="W320" s="81">
        <f t="shared" si="42"/>
        <v>0</v>
      </c>
      <c r="X320" s="11"/>
      <c r="Y320" s="11"/>
      <c r="Z320" s="11"/>
      <c r="AA320" s="11"/>
      <c r="AB320" s="11"/>
      <c r="AC320" s="11"/>
      <c r="AD320" s="11"/>
      <c r="AE320" s="11"/>
      <c r="AF320" s="11"/>
      <c r="AG320" s="11"/>
      <c r="AH320" s="11"/>
      <c r="AI320" s="11"/>
      <c r="AJ320" s="11"/>
      <c r="AK320" s="11"/>
      <c r="AL320" s="11"/>
      <c r="AM320" s="11"/>
      <c r="AN320" s="11"/>
      <c r="AO320" s="11"/>
      <c r="AP320" s="11"/>
      <c r="AQ320" s="11"/>
      <c r="AR320" s="11"/>
      <c r="AS320" s="11"/>
      <c r="AT320" s="11"/>
      <c r="AU320" s="11"/>
      <c r="AV320" s="11"/>
      <c r="AW320" s="11"/>
      <c r="AX320" s="11"/>
      <c r="AY320" s="11"/>
      <c r="AZ320" s="11"/>
      <c r="BA320" s="11"/>
      <c r="BB320" s="11"/>
      <c r="BC320" s="11"/>
      <c r="BD320" s="11"/>
      <c r="BE320" s="11"/>
      <c r="BF320" s="11"/>
      <c r="BG320" s="11"/>
      <c r="BH320" s="11"/>
      <c r="BI320" s="11"/>
      <c r="BJ320" s="11"/>
      <c r="BK320" s="11"/>
      <c r="BL320" s="11"/>
      <c r="BM320" s="11"/>
    </row>
    <row r="321" spans="1:65" ht="150" customHeight="1" x14ac:dyDescent="0.25">
      <c r="A321" s="11">
        <v>9800</v>
      </c>
      <c r="B321" s="11">
        <v>-1</v>
      </c>
      <c r="C321" s="11" t="s">
        <v>526</v>
      </c>
      <c r="D321" s="11" t="s">
        <v>526</v>
      </c>
      <c r="E321" s="42"/>
      <c r="F321" s="42"/>
      <c r="G321" s="151" t="s">
        <v>861</v>
      </c>
      <c r="H321" s="328">
        <v>10</v>
      </c>
      <c r="I321" s="11" t="s">
        <v>241</v>
      </c>
      <c r="J321" s="55" t="str">
        <f t="shared" si="41"/>
        <v>Warm UpWarm UpMany10Deckenball</v>
      </c>
      <c r="K321" s="58" t="s">
        <v>527</v>
      </c>
      <c r="L321" s="57" t="s">
        <v>528</v>
      </c>
      <c r="M321" s="13"/>
      <c r="N321" s="90" t="s">
        <v>529</v>
      </c>
      <c r="O321" s="74" t="s">
        <v>530</v>
      </c>
      <c r="P321" s="13"/>
      <c r="Q321" s="35"/>
      <c r="R321" s="13"/>
      <c r="S321" s="13"/>
      <c r="T321" s="12"/>
      <c r="U321" s="54" t="str">
        <f t="shared" si="44"/>
        <v/>
      </c>
      <c r="V321" s="54"/>
      <c r="W321" s="81">
        <f t="shared" si="42"/>
        <v>0</v>
      </c>
      <c r="X321" s="11"/>
      <c r="Y321" s="11"/>
      <c r="Z321" s="11"/>
      <c r="AA321" s="11"/>
      <c r="AB321" s="11"/>
      <c r="AC321" s="11"/>
      <c r="AD321" s="11"/>
      <c r="AE321" s="11"/>
      <c r="AF321" s="11"/>
      <c r="AG321" s="11"/>
      <c r="AH321" s="11"/>
      <c r="AI321" s="11"/>
      <c r="AJ321" s="11"/>
      <c r="AK321" s="11"/>
      <c r="AL321" s="11"/>
      <c r="AM321" s="11"/>
      <c r="AN321" s="11"/>
      <c r="AO321" s="11"/>
      <c r="AP321" s="11"/>
      <c r="AQ321" s="11"/>
      <c r="AR321" s="11"/>
      <c r="AS321" s="11"/>
      <c r="AT321" s="11"/>
      <c r="AU321" s="11"/>
      <c r="AV321" s="11"/>
      <c r="AW321" s="11"/>
      <c r="AX321" s="11"/>
      <c r="AY321" s="11"/>
      <c r="AZ321" s="11"/>
      <c r="BA321" s="11"/>
      <c r="BB321" s="11"/>
      <c r="BC321" s="11"/>
      <c r="BD321" s="11"/>
      <c r="BE321" s="11"/>
      <c r="BF321" s="11"/>
      <c r="BG321" s="11"/>
      <c r="BH321" s="11"/>
      <c r="BI321" s="11"/>
      <c r="BJ321" s="11"/>
      <c r="BK321" s="11"/>
      <c r="BL321" s="11"/>
      <c r="BM321" s="11"/>
    </row>
    <row r="322" spans="1:65" ht="150" customHeight="1" x14ac:dyDescent="0.25">
      <c r="A322" s="11"/>
      <c r="B322" s="11">
        <f t="shared" ref="B322:B354" si="48">DBE___UNRELEASED</f>
        <v>-1</v>
      </c>
      <c r="C322" s="11"/>
      <c r="D322" s="11"/>
      <c r="E322" s="42"/>
      <c r="F322" s="42"/>
      <c r="G322" s="151"/>
      <c r="H322" s="328"/>
      <c r="I322" s="11"/>
      <c r="J322" s="55" t="str">
        <f t="shared" si="41"/>
        <v/>
      </c>
      <c r="K322" s="58"/>
      <c r="L322" s="57"/>
      <c r="M322" s="13"/>
      <c r="N322" s="90"/>
      <c r="O322" s="52"/>
      <c r="P322" s="13"/>
      <c r="Q322" s="35"/>
      <c r="R322" s="13"/>
      <c r="S322" s="13"/>
      <c r="T322" s="12"/>
      <c r="U322" s="54" t="str">
        <f t="shared" si="44"/>
        <v/>
      </c>
      <c r="V322" s="54"/>
      <c r="W322" s="81">
        <f t="shared" si="42"/>
        <v>0</v>
      </c>
      <c r="X322" s="11"/>
      <c r="Y322" s="11"/>
      <c r="Z322" s="11"/>
      <c r="AA322" s="11"/>
      <c r="AB322" s="11"/>
      <c r="AC322" s="11"/>
      <c r="AD322" s="11"/>
      <c r="AE322" s="11"/>
      <c r="AF322" s="11"/>
      <c r="AG322" s="11"/>
      <c r="AH322" s="11"/>
      <c r="AI322" s="11"/>
      <c r="AJ322" s="11"/>
      <c r="AK322" s="11"/>
      <c r="AL322" s="11"/>
      <c r="AM322" s="11"/>
      <c r="AN322" s="11"/>
      <c r="AO322" s="11"/>
      <c r="AP322" s="11"/>
      <c r="AQ322" s="11"/>
      <c r="AR322" s="11"/>
      <c r="AS322" s="11"/>
      <c r="AT322" s="11"/>
      <c r="AU322" s="11"/>
      <c r="AV322" s="11"/>
      <c r="AW322" s="11"/>
      <c r="AX322" s="11"/>
      <c r="AY322" s="11"/>
      <c r="AZ322" s="11"/>
      <c r="BA322" s="11"/>
      <c r="BB322" s="11"/>
      <c r="BC322" s="11"/>
      <c r="BD322" s="11"/>
      <c r="BE322" s="11"/>
      <c r="BF322" s="11"/>
      <c r="BG322" s="11"/>
      <c r="BH322" s="11"/>
      <c r="BI322" s="11"/>
      <c r="BJ322" s="11"/>
      <c r="BK322" s="11"/>
      <c r="BL322" s="11"/>
      <c r="BM322" s="11"/>
    </row>
    <row r="323" spans="1:65" ht="150" customHeight="1" x14ac:dyDescent="0.25">
      <c r="A323" s="11"/>
      <c r="B323" s="11">
        <f t="shared" si="48"/>
        <v>-1</v>
      </c>
      <c r="C323" s="11"/>
      <c r="D323" s="11"/>
      <c r="E323" s="42"/>
      <c r="F323" s="42"/>
      <c r="G323" s="151"/>
      <c r="H323" s="328"/>
      <c r="I323" s="11"/>
      <c r="J323" s="55" t="str">
        <f t="shared" si="41"/>
        <v/>
      </c>
      <c r="K323" s="58"/>
      <c r="L323" s="57"/>
      <c r="M323" s="13"/>
      <c r="N323" s="90"/>
      <c r="O323" s="52"/>
      <c r="P323" s="13"/>
      <c r="Q323" s="35"/>
      <c r="R323" s="13"/>
      <c r="S323" s="13"/>
      <c r="T323" s="12"/>
      <c r="U323" s="54" t="str">
        <f t="shared" si="44"/>
        <v/>
      </c>
      <c r="V323" s="54"/>
      <c r="W323" s="81">
        <f t="shared" si="42"/>
        <v>0</v>
      </c>
      <c r="X323" s="11"/>
      <c r="Y323" s="11"/>
      <c r="Z323" s="11"/>
      <c r="AA323" s="11"/>
      <c r="AB323" s="11"/>
      <c r="AC323" s="11"/>
      <c r="AD323" s="11"/>
      <c r="AE323" s="11"/>
      <c r="AF323" s="11"/>
      <c r="AG323" s="11"/>
      <c r="AH323" s="11"/>
      <c r="AI323" s="11"/>
      <c r="AJ323" s="11"/>
      <c r="AK323" s="11"/>
      <c r="AL323" s="11"/>
      <c r="AM323" s="11"/>
      <c r="AN323" s="11"/>
      <c r="AO323" s="11"/>
      <c r="AP323" s="11"/>
      <c r="AQ323" s="11"/>
      <c r="AR323" s="11"/>
      <c r="AS323" s="11"/>
      <c r="AT323" s="11"/>
      <c r="AU323" s="11"/>
      <c r="AV323" s="11"/>
      <c r="AW323" s="11"/>
      <c r="AX323" s="11"/>
      <c r="AY323" s="11"/>
      <c r="AZ323" s="11"/>
      <c r="BA323" s="11"/>
      <c r="BB323" s="11"/>
      <c r="BC323" s="11"/>
      <c r="BD323" s="11"/>
      <c r="BE323" s="11"/>
      <c r="BF323" s="11"/>
      <c r="BG323" s="11"/>
      <c r="BH323" s="11"/>
      <c r="BI323" s="11"/>
      <c r="BJ323" s="11"/>
      <c r="BK323" s="11"/>
      <c r="BL323" s="11"/>
      <c r="BM323" s="11"/>
    </row>
    <row r="324" spans="1:65" ht="150" customHeight="1" x14ac:dyDescent="0.25">
      <c r="A324" s="11"/>
      <c r="B324" s="11">
        <f t="shared" si="48"/>
        <v>-1</v>
      </c>
      <c r="C324" s="11"/>
      <c r="D324" s="11"/>
      <c r="E324" s="42"/>
      <c r="F324" s="42"/>
      <c r="G324" s="151"/>
      <c r="H324" s="328"/>
      <c r="I324" s="11"/>
      <c r="J324" s="55" t="str">
        <f t="shared" si="41"/>
        <v/>
      </c>
      <c r="K324" s="58"/>
      <c r="L324" s="57"/>
      <c r="M324" s="13"/>
      <c r="N324" s="90"/>
      <c r="O324" s="52"/>
      <c r="P324" s="13"/>
      <c r="Q324" s="35"/>
      <c r="R324" s="13"/>
      <c r="S324" s="13"/>
      <c r="T324" s="12"/>
      <c r="U324" s="54" t="str">
        <f t="shared" si="44"/>
        <v/>
      </c>
      <c r="V324" s="54"/>
      <c r="W324" s="81">
        <f t="shared" si="42"/>
        <v>0</v>
      </c>
      <c r="X324" s="11"/>
      <c r="Y324" s="11"/>
      <c r="Z324" s="11"/>
      <c r="AA324" s="11"/>
      <c r="AB324" s="11"/>
      <c r="AC324" s="11"/>
      <c r="AD324" s="11"/>
      <c r="AE324" s="11"/>
      <c r="AF324" s="11"/>
      <c r="AG324" s="11"/>
      <c r="AH324" s="11"/>
      <c r="AI324" s="11"/>
      <c r="AJ324" s="11"/>
      <c r="AK324" s="11"/>
      <c r="AL324" s="11"/>
      <c r="AM324" s="11"/>
      <c r="AN324" s="11"/>
      <c r="AO324" s="11"/>
      <c r="AP324" s="11"/>
      <c r="AQ324" s="11"/>
      <c r="AR324" s="11"/>
      <c r="AS324" s="11"/>
      <c r="AT324" s="11"/>
      <c r="AU324" s="11"/>
      <c r="AV324" s="11"/>
      <c r="AW324" s="11"/>
      <c r="AX324" s="11"/>
      <c r="AY324" s="11"/>
      <c r="AZ324" s="11"/>
      <c r="BA324" s="11"/>
      <c r="BB324" s="11"/>
      <c r="BC324" s="11"/>
      <c r="BD324" s="11"/>
      <c r="BE324" s="11"/>
      <c r="BF324" s="11"/>
      <c r="BG324" s="11"/>
      <c r="BH324" s="11"/>
      <c r="BI324" s="11"/>
      <c r="BJ324" s="11"/>
      <c r="BK324" s="11"/>
      <c r="BL324" s="11"/>
      <c r="BM324" s="11"/>
    </row>
    <row r="325" spans="1:65" ht="150" customHeight="1" x14ac:dyDescent="0.25">
      <c r="A325" s="11"/>
      <c r="B325" s="11">
        <f t="shared" si="48"/>
        <v>-1</v>
      </c>
      <c r="C325" s="11"/>
      <c r="D325" s="11"/>
      <c r="E325" s="42"/>
      <c r="F325" s="42"/>
      <c r="G325" s="151"/>
      <c r="H325" s="328"/>
      <c r="I325" s="11"/>
      <c r="J325" s="55" t="str">
        <f t="shared" ref="J325:J354" si="49">C325&amp;D325&amp;I325&amp;H325&amp;K325</f>
        <v/>
      </c>
      <c r="K325" s="58"/>
      <c r="L325" s="57"/>
      <c r="M325" s="13"/>
      <c r="N325" s="90"/>
      <c r="O325" s="52"/>
      <c r="P325" s="13"/>
      <c r="Q325" s="35"/>
      <c r="R325" s="13"/>
      <c r="S325" s="13"/>
      <c r="T325" s="12"/>
      <c r="U325" s="54" t="str">
        <f t="shared" si="44"/>
        <v/>
      </c>
      <c r="V325" s="54"/>
      <c r="W325" s="81">
        <f t="shared" ref="W325:W354" si="50">MAX(X325:BM325)</f>
        <v>0</v>
      </c>
      <c r="X325" s="11"/>
      <c r="Y325" s="11"/>
      <c r="Z325" s="11"/>
      <c r="AA325" s="11"/>
      <c r="AB325" s="11"/>
      <c r="AC325" s="11"/>
      <c r="AD325" s="11"/>
      <c r="AE325" s="11"/>
      <c r="AF325" s="11"/>
      <c r="AG325" s="11"/>
      <c r="AH325" s="11"/>
      <c r="AI325" s="11"/>
      <c r="AJ325" s="11"/>
      <c r="AK325" s="11"/>
      <c r="AL325" s="11"/>
      <c r="AM325" s="11"/>
      <c r="AN325" s="11"/>
      <c r="AO325" s="11"/>
      <c r="AP325" s="11"/>
      <c r="AQ325" s="11"/>
      <c r="AR325" s="11"/>
      <c r="AS325" s="11"/>
      <c r="AT325" s="11"/>
      <c r="AU325" s="11"/>
      <c r="AV325" s="11"/>
      <c r="AW325" s="11"/>
      <c r="AX325" s="11"/>
      <c r="AY325" s="11"/>
      <c r="AZ325" s="11"/>
      <c r="BA325" s="11"/>
      <c r="BB325" s="11"/>
      <c r="BC325" s="11"/>
      <c r="BD325" s="11"/>
      <c r="BE325" s="11"/>
      <c r="BF325" s="11"/>
      <c r="BG325" s="11"/>
      <c r="BH325" s="11"/>
      <c r="BI325" s="11"/>
      <c r="BJ325" s="11"/>
      <c r="BK325" s="11"/>
      <c r="BL325" s="11"/>
      <c r="BM325" s="11"/>
    </row>
    <row r="326" spans="1:65" ht="150" customHeight="1" x14ac:dyDescent="0.25">
      <c r="A326" s="11"/>
      <c r="B326" s="11">
        <f t="shared" si="48"/>
        <v>-1</v>
      </c>
      <c r="C326" s="11"/>
      <c r="D326" s="11"/>
      <c r="E326" s="42"/>
      <c r="F326" s="42"/>
      <c r="G326" s="151"/>
      <c r="H326" s="328"/>
      <c r="I326" s="11"/>
      <c r="J326" s="55" t="str">
        <f t="shared" si="49"/>
        <v/>
      </c>
      <c r="K326" s="58"/>
      <c r="L326" s="57"/>
      <c r="M326" s="13"/>
      <c r="N326" s="90"/>
      <c r="O326" s="52"/>
      <c r="P326" s="13"/>
      <c r="Q326" s="35"/>
      <c r="R326" s="13"/>
      <c r="S326" s="13"/>
      <c r="T326" s="12"/>
      <c r="U326" s="54" t="str">
        <f t="shared" si="44"/>
        <v/>
      </c>
      <c r="V326" s="54"/>
      <c r="W326" s="81">
        <f t="shared" si="50"/>
        <v>0</v>
      </c>
      <c r="X326" s="11"/>
      <c r="Y326" s="11"/>
      <c r="Z326" s="11"/>
      <c r="AA326" s="11"/>
      <c r="AB326" s="11"/>
      <c r="AC326" s="11"/>
      <c r="AD326" s="11"/>
      <c r="AE326" s="11"/>
      <c r="AF326" s="11"/>
      <c r="AG326" s="11"/>
      <c r="AH326" s="11"/>
      <c r="AI326" s="11"/>
      <c r="AJ326" s="11"/>
      <c r="AK326" s="11"/>
      <c r="AL326" s="11"/>
      <c r="AM326" s="11"/>
      <c r="AN326" s="11"/>
      <c r="AO326" s="11"/>
      <c r="AP326" s="11"/>
      <c r="AQ326" s="11"/>
      <c r="AR326" s="11"/>
      <c r="AS326" s="11"/>
      <c r="AT326" s="11"/>
      <c r="AU326" s="11"/>
      <c r="AV326" s="11"/>
      <c r="AW326" s="11"/>
      <c r="AX326" s="11"/>
      <c r="AY326" s="11"/>
      <c r="AZ326" s="11"/>
      <c r="BA326" s="11"/>
      <c r="BB326" s="11"/>
      <c r="BC326" s="11"/>
      <c r="BD326" s="11"/>
      <c r="BE326" s="11"/>
      <c r="BF326" s="11"/>
      <c r="BG326" s="11"/>
      <c r="BH326" s="11"/>
      <c r="BI326" s="11"/>
      <c r="BJ326" s="11"/>
      <c r="BK326" s="11"/>
      <c r="BL326" s="11"/>
      <c r="BM326" s="11"/>
    </row>
    <row r="327" spans="1:65" ht="150" customHeight="1" x14ac:dyDescent="0.25">
      <c r="A327" s="11"/>
      <c r="B327" s="11">
        <f t="shared" si="48"/>
        <v>-1</v>
      </c>
      <c r="C327" s="11"/>
      <c r="D327" s="11"/>
      <c r="E327" s="42"/>
      <c r="F327" s="42"/>
      <c r="G327" s="151"/>
      <c r="H327" s="328"/>
      <c r="I327" s="11"/>
      <c r="J327" s="55" t="str">
        <f t="shared" si="49"/>
        <v/>
      </c>
      <c r="K327" s="58"/>
      <c r="L327" s="57"/>
      <c r="M327" s="13"/>
      <c r="N327" s="90"/>
      <c r="O327" s="52"/>
      <c r="P327" s="13"/>
      <c r="Q327" s="35"/>
      <c r="R327" s="13"/>
      <c r="S327" s="13"/>
      <c r="T327" s="12"/>
      <c r="U327" s="54" t="str">
        <f t="shared" si="44"/>
        <v/>
      </c>
      <c r="V327" s="54"/>
      <c r="W327" s="81">
        <f t="shared" si="50"/>
        <v>0</v>
      </c>
      <c r="X327" s="11"/>
      <c r="Y327" s="11"/>
      <c r="Z327" s="11"/>
      <c r="AA327" s="11"/>
      <c r="AB327" s="11"/>
      <c r="AC327" s="11"/>
      <c r="AD327" s="11"/>
      <c r="AE327" s="11"/>
      <c r="AF327" s="11"/>
      <c r="AG327" s="11"/>
      <c r="AH327" s="11"/>
      <c r="AI327" s="11"/>
      <c r="AJ327" s="11"/>
      <c r="AK327" s="11"/>
      <c r="AL327" s="11"/>
      <c r="AM327" s="11"/>
      <c r="AN327" s="11"/>
      <c r="AO327" s="11"/>
      <c r="AP327" s="11"/>
      <c r="AQ327" s="11"/>
      <c r="AR327" s="11"/>
      <c r="AS327" s="11"/>
      <c r="AT327" s="11"/>
      <c r="AU327" s="11"/>
      <c r="AV327" s="11"/>
      <c r="AW327" s="11"/>
      <c r="AX327" s="11"/>
      <c r="AY327" s="11"/>
      <c r="AZ327" s="11"/>
      <c r="BA327" s="11"/>
      <c r="BB327" s="11"/>
      <c r="BC327" s="11"/>
      <c r="BD327" s="11"/>
      <c r="BE327" s="11"/>
      <c r="BF327" s="11"/>
      <c r="BG327" s="11"/>
      <c r="BH327" s="11"/>
      <c r="BI327" s="11"/>
      <c r="BJ327" s="11"/>
      <c r="BK327" s="11"/>
      <c r="BL327" s="11"/>
      <c r="BM327" s="11"/>
    </row>
    <row r="328" spans="1:65" ht="150" customHeight="1" x14ac:dyDescent="0.25">
      <c r="A328" s="11"/>
      <c r="B328" s="11">
        <f t="shared" si="48"/>
        <v>-1</v>
      </c>
      <c r="C328" s="11"/>
      <c r="D328" s="11"/>
      <c r="E328" s="42"/>
      <c r="F328" s="42"/>
      <c r="G328" s="151"/>
      <c r="H328" s="328"/>
      <c r="I328" s="11"/>
      <c r="J328" s="55" t="str">
        <f t="shared" si="49"/>
        <v/>
      </c>
      <c r="K328" s="58"/>
      <c r="L328" s="57"/>
      <c r="M328" s="13"/>
      <c r="N328" s="90"/>
      <c r="O328" s="52"/>
      <c r="P328" s="13"/>
      <c r="Q328" s="35"/>
      <c r="R328" s="13"/>
      <c r="S328" s="13"/>
      <c r="T328" s="12"/>
      <c r="U328" s="54" t="str">
        <f t="shared" si="44"/>
        <v/>
      </c>
      <c r="V328" s="54"/>
      <c r="W328" s="81">
        <f t="shared" si="50"/>
        <v>0</v>
      </c>
      <c r="X328" s="11"/>
      <c r="Y328" s="11"/>
      <c r="Z328" s="11"/>
      <c r="AA328" s="11"/>
      <c r="AB328" s="11"/>
      <c r="AC328" s="11"/>
      <c r="AD328" s="11"/>
      <c r="AE328" s="11"/>
      <c r="AF328" s="11"/>
      <c r="AG328" s="11"/>
      <c r="AH328" s="11"/>
      <c r="AI328" s="11"/>
      <c r="AJ328" s="11"/>
      <c r="AK328" s="11"/>
      <c r="AL328" s="11"/>
      <c r="AM328" s="11"/>
      <c r="AN328" s="11"/>
      <c r="AO328" s="11"/>
      <c r="AP328" s="11"/>
      <c r="AQ328" s="11"/>
      <c r="AR328" s="11"/>
      <c r="AS328" s="11"/>
      <c r="AT328" s="11"/>
      <c r="AU328" s="11"/>
      <c r="AV328" s="11"/>
      <c r="AW328" s="11"/>
      <c r="AX328" s="11"/>
      <c r="AY328" s="11"/>
      <c r="AZ328" s="11"/>
      <c r="BA328" s="11"/>
      <c r="BB328" s="11"/>
      <c r="BC328" s="11"/>
      <c r="BD328" s="11"/>
      <c r="BE328" s="11"/>
      <c r="BF328" s="11"/>
      <c r="BG328" s="11"/>
      <c r="BH328" s="11"/>
      <c r="BI328" s="11"/>
      <c r="BJ328" s="11"/>
      <c r="BK328" s="11"/>
      <c r="BL328" s="11"/>
      <c r="BM328" s="11"/>
    </row>
    <row r="329" spans="1:65" ht="150" customHeight="1" x14ac:dyDescent="0.25">
      <c r="A329" s="11"/>
      <c r="B329" s="11">
        <f t="shared" si="48"/>
        <v>-1</v>
      </c>
      <c r="C329" s="11"/>
      <c r="D329" s="11"/>
      <c r="E329" s="42"/>
      <c r="F329" s="42"/>
      <c r="G329" s="151"/>
      <c r="H329" s="328"/>
      <c r="I329" s="11"/>
      <c r="J329" s="55" t="str">
        <f t="shared" si="49"/>
        <v/>
      </c>
      <c r="K329" s="58"/>
      <c r="L329" s="57"/>
      <c r="M329" s="13"/>
      <c r="N329" s="90"/>
      <c r="O329" s="52"/>
      <c r="P329" s="13"/>
      <c r="Q329" s="35"/>
      <c r="R329" s="13"/>
      <c r="S329" s="13"/>
      <c r="T329" s="12"/>
      <c r="U329" s="54" t="str">
        <f t="shared" si="44"/>
        <v/>
      </c>
      <c r="V329" s="54"/>
      <c r="W329" s="81">
        <f t="shared" si="50"/>
        <v>0</v>
      </c>
      <c r="X329" s="11"/>
      <c r="Y329" s="11"/>
      <c r="Z329" s="11"/>
      <c r="AA329" s="11"/>
      <c r="AB329" s="11"/>
      <c r="AC329" s="11"/>
      <c r="AD329" s="11"/>
      <c r="AE329" s="11"/>
      <c r="AF329" s="11"/>
      <c r="AG329" s="11"/>
      <c r="AH329" s="11"/>
      <c r="AI329" s="11"/>
      <c r="AJ329" s="11"/>
      <c r="AK329" s="11"/>
      <c r="AL329" s="11"/>
      <c r="AM329" s="11"/>
      <c r="AN329" s="11"/>
      <c r="AO329" s="11"/>
      <c r="AP329" s="11"/>
      <c r="AQ329" s="11"/>
      <c r="AR329" s="11"/>
      <c r="AS329" s="11"/>
      <c r="AT329" s="11"/>
      <c r="AU329" s="11"/>
      <c r="AV329" s="11"/>
      <c r="AW329" s="11"/>
      <c r="AX329" s="11"/>
      <c r="AY329" s="11"/>
      <c r="AZ329" s="11"/>
      <c r="BA329" s="11"/>
      <c r="BB329" s="11"/>
      <c r="BC329" s="11"/>
      <c r="BD329" s="11"/>
      <c r="BE329" s="11"/>
      <c r="BF329" s="11"/>
      <c r="BG329" s="11"/>
      <c r="BH329" s="11"/>
      <c r="BI329" s="11"/>
      <c r="BJ329" s="11"/>
      <c r="BK329" s="11"/>
      <c r="BL329" s="11"/>
      <c r="BM329" s="11"/>
    </row>
    <row r="330" spans="1:65" ht="150" customHeight="1" x14ac:dyDescent="0.25">
      <c r="A330" s="11"/>
      <c r="B330" s="11">
        <f t="shared" si="48"/>
        <v>-1</v>
      </c>
      <c r="C330" s="11"/>
      <c r="D330" s="11"/>
      <c r="E330" s="42"/>
      <c r="F330" s="42"/>
      <c r="G330" s="151"/>
      <c r="H330" s="328"/>
      <c r="I330" s="11"/>
      <c r="J330" s="55" t="str">
        <f t="shared" si="49"/>
        <v/>
      </c>
      <c r="K330" s="58"/>
      <c r="L330" s="57"/>
      <c r="M330" s="13"/>
      <c r="N330" s="90"/>
      <c r="O330" s="52"/>
      <c r="P330" s="13"/>
      <c r="Q330" s="35"/>
      <c r="R330" s="13"/>
      <c r="S330" s="13"/>
      <c r="T330" s="12"/>
      <c r="U330" s="54" t="str">
        <f t="shared" si="44"/>
        <v/>
      </c>
      <c r="V330" s="54"/>
      <c r="W330" s="81">
        <f t="shared" si="50"/>
        <v>0</v>
      </c>
      <c r="X330" s="11"/>
      <c r="Y330" s="11"/>
      <c r="Z330" s="11"/>
      <c r="AA330" s="11"/>
      <c r="AB330" s="11"/>
      <c r="AC330" s="11"/>
      <c r="AD330" s="11"/>
      <c r="AE330" s="11"/>
      <c r="AF330" s="11"/>
      <c r="AG330" s="11"/>
      <c r="AH330" s="11"/>
      <c r="AI330" s="11"/>
      <c r="AJ330" s="11"/>
      <c r="AK330" s="11"/>
      <c r="AL330" s="11"/>
      <c r="AM330" s="11"/>
      <c r="AN330" s="11"/>
      <c r="AO330" s="11"/>
      <c r="AP330" s="11"/>
      <c r="AQ330" s="11"/>
      <c r="AR330" s="11"/>
      <c r="AS330" s="11"/>
      <c r="AT330" s="11"/>
      <c r="AU330" s="11"/>
      <c r="AV330" s="11"/>
      <c r="AW330" s="11"/>
      <c r="AX330" s="11"/>
      <c r="AY330" s="11"/>
      <c r="AZ330" s="11"/>
      <c r="BA330" s="11"/>
      <c r="BB330" s="11"/>
      <c r="BC330" s="11"/>
      <c r="BD330" s="11"/>
      <c r="BE330" s="11"/>
      <c r="BF330" s="11"/>
      <c r="BG330" s="11"/>
      <c r="BH330" s="11"/>
      <c r="BI330" s="11"/>
      <c r="BJ330" s="11"/>
      <c r="BK330" s="11"/>
      <c r="BL330" s="11"/>
      <c r="BM330" s="11"/>
    </row>
    <row r="331" spans="1:65" ht="150" customHeight="1" x14ac:dyDescent="0.25">
      <c r="A331" s="11"/>
      <c r="B331" s="11">
        <f t="shared" si="48"/>
        <v>-1</v>
      </c>
      <c r="C331" s="11"/>
      <c r="D331" s="11"/>
      <c r="E331" s="42"/>
      <c r="F331" s="42"/>
      <c r="G331" s="151"/>
      <c r="H331" s="328"/>
      <c r="I331" s="11"/>
      <c r="J331" s="55" t="str">
        <f t="shared" si="49"/>
        <v/>
      </c>
      <c r="K331" s="58"/>
      <c r="L331" s="57"/>
      <c r="M331" s="13"/>
      <c r="N331" s="90"/>
      <c r="O331" s="52"/>
      <c r="P331" s="13"/>
      <c r="Q331" s="35"/>
      <c r="R331" s="13"/>
      <c r="S331" s="13"/>
      <c r="T331" s="12"/>
      <c r="U331" s="54" t="str">
        <f t="shared" si="44"/>
        <v/>
      </c>
      <c r="V331" s="54"/>
      <c r="W331" s="81">
        <f t="shared" si="50"/>
        <v>0</v>
      </c>
      <c r="X331" s="11"/>
      <c r="Y331" s="11"/>
      <c r="Z331" s="11"/>
      <c r="AA331" s="11"/>
      <c r="AB331" s="11"/>
      <c r="AC331" s="11"/>
      <c r="AD331" s="11"/>
      <c r="AE331" s="11"/>
      <c r="AF331" s="11"/>
      <c r="AG331" s="11"/>
      <c r="AH331" s="11"/>
      <c r="AI331" s="11"/>
      <c r="AJ331" s="11"/>
      <c r="AK331" s="11"/>
      <c r="AL331" s="11"/>
      <c r="AM331" s="11"/>
      <c r="AN331" s="11"/>
      <c r="AO331" s="11"/>
      <c r="AP331" s="11"/>
      <c r="AQ331" s="11"/>
      <c r="AR331" s="11"/>
      <c r="AS331" s="11"/>
      <c r="AT331" s="11"/>
      <c r="AU331" s="11"/>
      <c r="AV331" s="11"/>
      <c r="AW331" s="11"/>
      <c r="AX331" s="11"/>
      <c r="AY331" s="11"/>
      <c r="AZ331" s="11"/>
      <c r="BA331" s="11"/>
      <c r="BB331" s="11"/>
      <c r="BC331" s="11"/>
      <c r="BD331" s="11"/>
      <c r="BE331" s="11"/>
      <c r="BF331" s="11"/>
      <c r="BG331" s="11"/>
      <c r="BH331" s="11"/>
      <c r="BI331" s="11"/>
      <c r="BJ331" s="11"/>
      <c r="BK331" s="11"/>
      <c r="BL331" s="11"/>
      <c r="BM331" s="11"/>
    </row>
    <row r="332" spans="1:65" ht="150" customHeight="1" x14ac:dyDescent="0.25">
      <c r="A332" s="11"/>
      <c r="B332" s="11">
        <f t="shared" si="48"/>
        <v>-1</v>
      </c>
      <c r="C332" s="11"/>
      <c r="D332" s="11"/>
      <c r="E332" s="42"/>
      <c r="F332" s="42"/>
      <c r="G332" s="151"/>
      <c r="H332" s="328"/>
      <c r="I332" s="11"/>
      <c r="J332" s="55" t="str">
        <f t="shared" si="49"/>
        <v/>
      </c>
      <c r="K332" s="58"/>
      <c r="L332" s="57"/>
      <c r="M332" s="13"/>
      <c r="N332" s="90"/>
      <c r="O332" s="52"/>
      <c r="P332" s="13"/>
      <c r="Q332" s="35"/>
      <c r="R332" s="13"/>
      <c r="S332" s="13"/>
      <c r="T332" s="12"/>
      <c r="U332" s="54" t="str">
        <f t="shared" si="44"/>
        <v/>
      </c>
      <c r="V332" s="54"/>
      <c r="W332" s="81">
        <f t="shared" si="50"/>
        <v>0</v>
      </c>
      <c r="X332" s="11"/>
      <c r="Y332" s="11"/>
      <c r="Z332" s="11"/>
      <c r="AA332" s="11"/>
      <c r="AB332" s="11"/>
      <c r="AC332" s="11"/>
      <c r="AD332" s="11"/>
      <c r="AE332" s="11"/>
      <c r="AF332" s="11"/>
      <c r="AG332" s="11"/>
      <c r="AH332" s="11"/>
      <c r="AI332" s="11"/>
      <c r="AJ332" s="11"/>
      <c r="AK332" s="11"/>
      <c r="AL332" s="11"/>
      <c r="AM332" s="11"/>
      <c r="AN332" s="11"/>
      <c r="AO332" s="11"/>
      <c r="AP332" s="11"/>
      <c r="AQ332" s="11"/>
      <c r="AR332" s="11"/>
      <c r="AS332" s="11"/>
      <c r="AT332" s="11"/>
      <c r="AU332" s="11"/>
      <c r="AV332" s="11"/>
      <c r="AW332" s="11"/>
      <c r="AX332" s="11"/>
      <c r="AY332" s="11"/>
      <c r="AZ332" s="11"/>
      <c r="BA332" s="11"/>
      <c r="BB332" s="11"/>
      <c r="BC332" s="11"/>
      <c r="BD332" s="11"/>
      <c r="BE332" s="11"/>
      <c r="BF332" s="11"/>
      <c r="BG332" s="11"/>
      <c r="BH332" s="11"/>
      <c r="BI332" s="11"/>
      <c r="BJ332" s="11"/>
      <c r="BK332" s="11"/>
      <c r="BL332" s="11"/>
      <c r="BM332" s="11"/>
    </row>
    <row r="333" spans="1:65" ht="150" customHeight="1" x14ac:dyDescent="0.25">
      <c r="A333" s="11"/>
      <c r="B333" s="11">
        <f t="shared" si="48"/>
        <v>-1</v>
      </c>
      <c r="C333" s="11"/>
      <c r="D333" s="11"/>
      <c r="E333" s="42"/>
      <c r="F333" s="42"/>
      <c r="G333" s="151"/>
      <c r="H333" s="328"/>
      <c r="I333" s="11"/>
      <c r="J333" s="55" t="str">
        <f t="shared" si="49"/>
        <v/>
      </c>
      <c r="K333" s="58"/>
      <c r="L333" s="57"/>
      <c r="M333" s="13"/>
      <c r="N333" s="90"/>
      <c r="O333" s="52"/>
      <c r="P333" s="13"/>
      <c r="Q333" s="35"/>
      <c r="R333" s="13"/>
      <c r="S333" s="13"/>
      <c r="T333" s="12"/>
      <c r="U333" s="54" t="str">
        <f t="shared" si="44"/>
        <v/>
      </c>
      <c r="V333" s="54"/>
      <c r="W333" s="81">
        <f t="shared" si="50"/>
        <v>0</v>
      </c>
      <c r="X333" s="11"/>
      <c r="Y333" s="11"/>
      <c r="Z333" s="11"/>
      <c r="AA333" s="11"/>
      <c r="AB333" s="11"/>
      <c r="AC333" s="11"/>
      <c r="AD333" s="11"/>
      <c r="AE333" s="11"/>
      <c r="AF333" s="11"/>
      <c r="AG333" s="11"/>
      <c r="AH333" s="11"/>
      <c r="AI333" s="11"/>
      <c r="AJ333" s="11"/>
      <c r="AK333" s="11"/>
      <c r="AL333" s="11"/>
      <c r="AM333" s="11"/>
      <c r="AN333" s="11"/>
      <c r="AO333" s="11"/>
      <c r="AP333" s="11"/>
      <c r="AQ333" s="11"/>
      <c r="AR333" s="11"/>
      <c r="AS333" s="11"/>
      <c r="AT333" s="11"/>
      <c r="AU333" s="11"/>
      <c r="AV333" s="11"/>
      <c r="AW333" s="11"/>
      <c r="AX333" s="11"/>
      <c r="AY333" s="11"/>
      <c r="AZ333" s="11"/>
      <c r="BA333" s="11"/>
      <c r="BB333" s="11"/>
      <c r="BC333" s="11"/>
      <c r="BD333" s="11"/>
      <c r="BE333" s="11"/>
      <c r="BF333" s="11"/>
      <c r="BG333" s="11"/>
      <c r="BH333" s="11"/>
      <c r="BI333" s="11"/>
      <c r="BJ333" s="11"/>
      <c r="BK333" s="11"/>
      <c r="BL333" s="11"/>
      <c r="BM333" s="11"/>
    </row>
    <row r="334" spans="1:65" ht="150" customHeight="1" x14ac:dyDescent="0.25">
      <c r="A334" s="11"/>
      <c r="B334" s="11">
        <f t="shared" si="48"/>
        <v>-1</v>
      </c>
      <c r="C334" s="11"/>
      <c r="D334" s="11"/>
      <c r="E334" s="42"/>
      <c r="F334" s="42"/>
      <c r="G334" s="151"/>
      <c r="H334" s="328"/>
      <c r="I334" s="11"/>
      <c r="J334" s="55" t="str">
        <f t="shared" si="49"/>
        <v/>
      </c>
      <c r="K334" s="58"/>
      <c r="L334" s="57"/>
      <c r="M334" s="13"/>
      <c r="N334" s="90"/>
      <c r="O334" s="52"/>
      <c r="P334" s="13"/>
      <c r="Q334" s="35"/>
      <c r="R334" s="13"/>
      <c r="S334" s="13"/>
      <c r="T334" s="12"/>
      <c r="U334" s="54" t="str">
        <f t="shared" si="44"/>
        <v/>
      </c>
      <c r="V334" s="54"/>
      <c r="W334" s="81">
        <f t="shared" si="50"/>
        <v>0</v>
      </c>
      <c r="X334" s="11"/>
      <c r="Y334" s="11"/>
      <c r="Z334" s="11"/>
      <c r="AA334" s="11"/>
      <c r="AB334" s="11"/>
      <c r="AC334" s="11"/>
      <c r="AD334" s="11"/>
      <c r="AE334" s="11"/>
      <c r="AF334" s="11"/>
      <c r="AG334" s="11"/>
      <c r="AH334" s="11"/>
      <c r="AI334" s="11"/>
      <c r="AJ334" s="11"/>
      <c r="AK334" s="11"/>
      <c r="AL334" s="11"/>
      <c r="AM334" s="11"/>
      <c r="AN334" s="11"/>
      <c r="AO334" s="11"/>
      <c r="AP334" s="11"/>
      <c r="AQ334" s="11"/>
      <c r="AR334" s="11"/>
      <c r="AS334" s="11"/>
      <c r="AT334" s="11"/>
      <c r="AU334" s="11"/>
      <c r="AV334" s="11"/>
      <c r="AW334" s="11"/>
      <c r="AX334" s="11"/>
      <c r="AY334" s="11"/>
      <c r="AZ334" s="11"/>
      <c r="BA334" s="11"/>
      <c r="BB334" s="11"/>
      <c r="BC334" s="11"/>
      <c r="BD334" s="11"/>
      <c r="BE334" s="11"/>
      <c r="BF334" s="11"/>
      <c r="BG334" s="11"/>
      <c r="BH334" s="11"/>
      <c r="BI334" s="11"/>
      <c r="BJ334" s="11"/>
      <c r="BK334" s="11"/>
      <c r="BL334" s="11"/>
      <c r="BM334" s="11"/>
    </row>
    <row r="335" spans="1:65" ht="150" customHeight="1" x14ac:dyDescent="0.25">
      <c r="A335" s="11"/>
      <c r="B335" s="11">
        <f t="shared" si="48"/>
        <v>-1</v>
      </c>
      <c r="C335" s="11"/>
      <c r="D335" s="11"/>
      <c r="E335" s="42"/>
      <c r="F335" s="42"/>
      <c r="G335" s="151"/>
      <c r="H335" s="328"/>
      <c r="I335" s="11"/>
      <c r="J335" s="55" t="str">
        <f t="shared" si="49"/>
        <v/>
      </c>
      <c r="K335" s="58"/>
      <c r="L335" s="57"/>
      <c r="M335" s="13"/>
      <c r="N335" s="90"/>
      <c r="O335" s="52"/>
      <c r="P335" s="13"/>
      <c r="Q335" s="35"/>
      <c r="R335" s="13"/>
      <c r="S335" s="13"/>
      <c r="T335" s="12"/>
      <c r="U335" s="54" t="str">
        <f t="shared" si="44"/>
        <v/>
      </c>
      <c r="V335" s="54"/>
      <c r="W335" s="81">
        <f t="shared" si="50"/>
        <v>0</v>
      </c>
      <c r="X335" s="11"/>
      <c r="Y335" s="11"/>
      <c r="Z335" s="11"/>
      <c r="AA335" s="11"/>
      <c r="AB335" s="11"/>
      <c r="AC335" s="11"/>
      <c r="AD335" s="11"/>
      <c r="AE335" s="11"/>
      <c r="AF335" s="11"/>
      <c r="AG335" s="11"/>
      <c r="AH335" s="11"/>
      <c r="AI335" s="11"/>
      <c r="AJ335" s="11"/>
      <c r="AK335" s="11"/>
      <c r="AL335" s="11"/>
      <c r="AM335" s="11"/>
      <c r="AN335" s="11"/>
      <c r="AO335" s="11"/>
      <c r="AP335" s="11"/>
      <c r="AQ335" s="11"/>
      <c r="AR335" s="11"/>
      <c r="AS335" s="11"/>
      <c r="AT335" s="11"/>
      <c r="AU335" s="11"/>
      <c r="AV335" s="11"/>
      <c r="AW335" s="11"/>
      <c r="AX335" s="11"/>
      <c r="AY335" s="11"/>
      <c r="AZ335" s="11"/>
      <c r="BA335" s="11"/>
      <c r="BB335" s="11"/>
      <c r="BC335" s="11"/>
      <c r="BD335" s="11"/>
      <c r="BE335" s="11"/>
      <c r="BF335" s="11"/>
      <c r="BG335" s="11"/>
      <c r="BH335" s="11"/>
      <c r="BI335" s="11"/>
      <c r="BJ335" s="11"/>
      <c r="BK335" s="11"/>
      <c r="BL335" s="11"/>
      <c r="BM335" s="11"/>
    </row>
    <row r="336" spans="1:65" ht="150" customHeight="1" x14ac:dyDescent="0.25">
      <c r="A336" s="11"/>
      <c r="B336" s="11">
        <f t="shared" si="48"/>
        <v>-1</v>
      </c>
      <c r="C336" s="11"/>
      <c r="D336" s="11"/>
      <c r="E336" s="42"/>
      <c r="F336" s="42"/>
      <c r="G336" s="151"/>
      <c r="H336" s="328"/>
      <c r="I336" s="11"/>
      <c r="J336" s="55" t="str">
        <f t="shared" si="49"/>
        <v/>
      </c>
      <c r="K336" s="58"/>
      <c r="L336" s="57"/>
      <c r="M336" s="13"/>
      <c r="N336" s="90"/>
      <c r="O336" s="52"/>
      <c r="P336" s="13"/>
      <c r="Q336" s="35"/>
      <c r="R336" s="13"/>
      <c r="S336" s="13"/>
      <c r="T336" s="12"/>
      <c r="U336" s="54" t="str">
        <f t="shared" si="44"/>
        <v/>
      </c>
      <c r="V336" s="54"/>
      <c r="W336" s="81">
        <f t="shared" si="50"/>
        <v>0</v>
      </c>
      <c r="X336" s="11"/>
      <c r="Y336" s="11"/>
      <c r="Z336" s="11"/>
      <c r="AA336" s="11"/>
      <c r="AB336" s="11"/>
      <c r="AC336" s="11"/>
      <c r="AD336" s="11"/>
      <c r="AE336" s="11"/>
      <c r="AF336" s="11"/>
      <c r="AG336" s="11"/>
      <c r="AH336" s="11"/>
      <c r="AI336" s="11"/>
      <c r="AJ336" s="11"/>
      <c r="AK336" s="11"/>
      <c r="AL336" s="11"/>
      <c r="AM336" s="11"/>
      <c r="AN336" s="11"/>
      <c r="AO336" s="11"/>
      <c r="AP336" s="11"/>
      <c r="AQ336" s="11"/>
      <c r="AR336" s="11"/>
      <c r="AS336" s="11"/>
      <c r="AT336" s="11"/>
      <c r="AU336" s="11"/>
      <c r="AV336" s="11"/>
      <c r="AW336" s="11"/>
      <c r="AX336" s="11"/>
      <c r="AY336" s="11"/>
      <c r="AZ336" s="11"/>
      <c r="BA336" s="11"/>
      <c r="BB336" s="11"/>
      <c r="BC336" s="11"/>
      <c r="BD336" s="11"/>
      <c r="BE336" s="11"/>
      <c r="BF336" s="11"/>
      <c r="BG336" s="11"/>
      <c r="BH336" s="11"/>
      <c r="BI336" s="11"/>
      <c r="BJ336" s="11"/>
      <c r="BK336" s="11"/>
      <c r="BL336" s="11"/>
      <c r="BM336" s="11"/>
    </row>
    <row r="337" spans="1:65" ht="150" customHeight="1" x14ac:dyDescent="0.25">
      <c r="A337" s="11"/>
      <c r="B337" s="11">
        <f t="shared" si="48"/>
        <v>-1</v>
      </c>
      <c r="C337" s="11"/>
      <c r="D337" s="11"/>
      <c r="E337" s="42"/>
      <c r="F337" s="42"/>
      <c r="G337" s="151"/>
      <c r="H337" s="328"/>
      <c r="I337" s="11"/>
      <c r="J337" s="55" t="str">
        <f t="shared" si="49"/>
        <v/>
      </c>
      <c r="K337" s="58"/>
      <c r="L337" s="57"/>
      <c r="M337" s="13"/>
      <c r="N337" s="90"/>
      <c r="O337" s="52"/>
      <c r="P337" s="13"/>
      <c r="Q337" s="35"/>
      <c r="R337" s="13"/>
      <c r="S337" s="13"/>
      <c r="T337" s="12"/>
      <c r="U337" s="54" t="str">
        <f t="shared" si="44"/>
        <v/>
      </c>
      <c r="V337" s="54"/>
      <c r="W337" s="81">
        <f t="shared" si="50"/>
        <v>0</v>
      </c>
      <c r="X337" s="11"/>
      <c r="Y337" s="11"/>
      <c r="Z337" s="11"/>
      <c r="AA337" s="11"/>
      <c r="AB337" s="11"/>
      <c r="AC337" s="11"/>
      <c r="AD337" s="11"/>
      <c r="AE337" s="11"/>
      <c r="AF337" s="11"/>
      <c r="AG337" s="11"/>
      <c r="AH337" s="11"/>
      <c r="AI337" s="11"/>
      <c r="AJ337" s="11"/>
      <c r="AK337" s="11"/>
      <c r="AL337" s="11"/>
      <c r="AM337" s="11"/>
      <c r="AN337" s="11"/>
      <c r="AO337" s="11"/>
      <c r="AP337" s="11"/>
      <c r="AQ337" s="11"/>
      <c r="AR337" s="11"/>
      <c r="AS337" s="11"/>
      <c r="AT337" s="11"/>
      <c r="AU337" s="11"/>
      <c r="AV337" s="11"/>
      <c r="AW337" s="11"/>
      <c r="AX337" s="11"/>
      <c r="AY337" s="11"/>
      <c r="AZ337" s="11"/>
      <c r="BA337" s="11"/>
      <c r="BB337" s="11"/>
      <c r="BC337" s="11"/>
      <c r="BD337" s="11"/>
      <c r="BE337" s="11"/>
      <c r="BF337" s="11"/>
      <c r="BG337" s="11"/>
      <c r="BH337" s="11"/>
      <c r="BI337" s="11"/>
      <c r="BJ337" s="11"/>
      <c r="BK337" s="11"/>
      <c r="BL337" s="11"/>
      <c r="BM337" s="11"/>
    </row>
    <row r="338" spans="1:65" ht="150" customHeight="1" x14ac:dyDescent="0.25">
      <c r="A338" s="11"/>
      <c r="B338" s="11">
        <f t="shared" si="48"/>
        <v>-1</v>
      </c>
      <c r="C338" s="11"/>
      <c r="D338" s="11"/>
      <c r="E338" s="42"/>
      <c r="F338" s="42"/>
      <c r="G338" s="151"/>
      <c r="H338" s="328"/>
      <c r="I338" s="11"/>
      <c r="J338" s="55" t="str">
        <f t="shared" si="49"/>
        <v/>
      </c>
      <c r="K338" s="58"/>
      <c r="L338" s="57"/>
      <c r="M338" s="13"/>
      <c r="N338" s="90"/>
      <c r="O338" s="52"/>
      <c r="P338" s="13"/>
      <c r="Q338" s="35"/>
      <c r="R338" s="13"/>
      <c r="S338" s="13"/>
      <c r="T338" s="12"/>
      <c r="U338" s="54" t="str">
        <f t="shared" si="44"/>
        <v/>
      </c>
      <c r="V338" s="54"/>
      <c r="W338" s="81">
        <f t="shared" si="50"/>
        <v>0</v>
      </c>
      <c r="X338" s="11"/>
      <c r="Y338" s="11"/>
      <c r="Z338" s="11"/>
      <c r="AA338" s="11"/>
      <c r="AB338" s="11"/>
      <c r="AC338" s="11"/>
      <c r="AD338" s="11"/>
      <c r="AE338" s="11"/>
      <c r="AF338" s="11"/>
      <c r="AG338" s="11"/>
      <c r="AH338" s="11"/>
      <c r="AI338" s="11"/>
      <c r="AJ338" s="11"/>
      <c r="AK338" s="11"/>
      <c r="AL338" s="11"/>
      <c r="AM338" s="11"/>
      <c r="AN338" s="11"/>
      <c r="AO338" s="11"/>
      <c r="AP338" s="11"/>
      <c r="AQ338" s="11"/>
      <c r="AR338" s="11"/>
      <c r="AS338" s="11"/>
      <c r="AT338" s="11"/>
      <c r="AU338" s="11"/>
      <c r="AV338" s="11"/>
      <c r="AW338" s="11"/>
      <c r="AX338" s="11"/>
      <c r="AY338" s="11"/>
      <c r="AZ338" s="11"/>
      <c r="BA338" s="11"/>
      <c r="BB338" s="11"/>
      <c r="BC338" s="11"/>
      <c r="BD338" s="11"/>
      <c r="BE338" s="11"/>
      <c r="BF338" s="11"/>
      <c r="BG338" s="11"/>
      <c r="BH338" s="11"/>
      <c r="BI338" s="11"/>
      <c r="BJ338" s="11"/>
      <c r="BK338" s="11"/>
      <c r="BL338" s="11"/>
      <c r="BM338" s="11"/>
    </row>
    <row r="339" spans="1:65" ht="150" customHeight="1" x14ac:dyDescent="0.25">
      <c r="A339" s="11"/>
      <c r="B339" s="11">
        <f t="shared" si="48"/>
        <v>-1</v>
      </c>
      <c r="C339" s="11"/>
      <c r="D339" s="11"/>
      <c r="E339" s="42"/>
      <c r="F339" s="42"/>
      <c r="G339" s="151"/>
      <c r="H339" s="328"/>
      <c r="I339" s="11"/>
      <c r="J339" s="55" t="str">
        <f t="shared" si="49"/>
        <v/>
      </c>
      <c r="K339" s="58"/>
      <c r="L339" s="57"/>
      <c r="M339" s="13"/>
      <c r="N339" s="90"/>
      <c r="O339" s="52"/>
      <c r="P339" s="13"/>
      <c r="Q339" s="35"/>
      <c r="R339" s="13"/>
      <c r="S339" s="13"/>
      <c r="T339" s="12"/>
      <c r="U339" s="54" t="str">
        <f t="shared" si="44"/>
        <v/>
      </c>
      <c r="V339" s="54"/>
      <c r="W339" s="81">
        <f t="shared" si="50"/>
        <v>0</v>
      </c>
      <c r="X339" s="11"/>
      <c r="Y339" s="11"/>
      <c r="Z339" s="11"/>
      <c r="AA339" s="11"/>
      <c r="AB339" s="11"/>
      <c r="AC339" s="11"/>
      <c r="AD339" s="11"/>
      <c r="AE339" s="11"/>
      <c r="AF339" s="11"/>
      <c r="AG339" s="11"/>
      <c r="AH339" s="11"/>
      <c r="AI339" s="11"/>
      <c r="AJ339" s="11"/>
      <c r="AK339" s="11"/>
      <c r="AL339" s="11"/>
      <c r="AM339" s="11"/>
      <c r="AN339" s="11"/>
      <c r="AO339" s="11"/>
      <c r="AP339" s="11"/>
      <c r="AQ339" s="11"/>
      <c r="AR339" s="11"/>
      <c r="AS339" s="11"/>
      <c r="AT339" s="11"/>
      <c r="AU339" s="11"/>
      <c r="AV339" s="11"/>
      <c r="AW339" s="11"/>
      <c r="AX339" s="11"/>
      <c r="AY339" s="11"/>
      <c r="AZ339" s="11"/>
      <c r="BA339" s="11"/>
      <c r="BB339" s="11"/>
      <c r="BC339" s="11"/>
      <c r="BD339" s="11"/>
      <c r="BE339" s="11"/>
      <c r="BF339" s="11"/>
      <c r="BG339" s="11"/>
      <c r="BH339" s="11"/>
      <c r="BI339" s="11"/>
      <c r="BJ339" s="11"/>
      <c r="BK339" s="11"/>
      <c r="BL339" s="11"/>
      <c r="BM339" s="11"/>
    </row>
    <row r="340" spans="1:65" ht="150" customHeight="1" x14ac:dyDescent="0.25">
      <c r="A340" s="11"/>
      <c r="B340" s="11">
        <f t="shared" si="48"/>
        <v>-1</v>
      </c>
      <c r="C340" s="11"/>
      <c r="D340" s="11"/>
      <c r="E340" s="42"/>
      <c r="F340" s="42"/>
      <c r="G340" s="151"/>
      <c r="H340" s="328"/>
      <c r="I340" s="11"/>
      <c r="J340" s="55" t="str">
        <f t="shared" si="49"/>
        <v/>
      </c>
      <c r="K340" s="58"/>
      <c r="L340" s="57"/>
      <c r="M340" s="13"/>
      <c r="N340" s="90"/>
      <c r="O340" s="52"/>
      <c r="P340" s="13"/>
      <c r="Q340" s="35"/>
      <c r="R340" s="13"/>
      <c r="S340" s="13"/>
      <c r="T340" s="12"/>
      <c r="U340" s="54" t="str">
        <f t="shared" si="44"/>
        <v/>
      </c>
      <c r="V340" s="54"/>
      <c r="W340" s="81">
        <f t="shared" si="50"/>
        <v>0</v>
      </c>
      <c r="X340" s="11"/>
      <c r="Y340" s="11"/>
      <c r="Z340" s="11"/>
      <c r="AA340" s="11"/>
      <c r="AB340" s="11"/>
      <c r="AC340" s="11"/>
      <c r="AD340" s="11"/>
      <c r="AE340" s="11"/>
      <c r="AF340" s="11"/>
      <c r="AG340" s="11"/>
      <c r="AH340" s="11"/>
      <c r="AI340" s="11"/>
      <c r="AJ340" s="11"/>
      <c r="AK340" s="11"/>
      <c r="AL340" s="11"/>
      <c r="AM340" s="11"/>
      <c r="AN340" s="11"/>
      <c r="AO340" s="11"/>
      <c r="AP340" s="11"/>
      <c r="AQ340" s="11"/>
      <c r="AR340" s="11"/>
      <c r="AS340" s="11"/>
      <c r="AT340" s="11"/>
      <c r="AU340" s="11"/>
      <c r="AV340" s="11"/>
      <c r="AW340" s="11"/>
      <c r="AX340" s="11"/>
      <c r="AY340" s="11"/>
      <c r="AZ340" s="11"/>
      <c r="BA340" s="11"/>
      <c r="BB340" s="11"/>
      <c r="BC340" s="11"/>
      <c r="BD340" s="11"/>
      <c r="BE340" s="11"/>
      <c r="BF340" s="11"/>
      <c r="BG340" s="11"/>
      <c r="BH340" s="11"/>
      <c r="BI340" s="11"/>
      <c r="BJ340" s="11"/>
      <c r="BK340" s="11"/>
      <c r="BL340" s="11"/>
      <c r="BM340" s="11"/>
    </row>
    <row r="341" spans="1:65" ht="150" customHeight="1" x14ac:dyDescent="0.25">
      <c r="A341" s="11"/>
      <c r="B341" s="11">
        <f t="shared" si="48"/>
        <v>-1</v>
      </c>
      <c r="C341" s="11"/>
      <c r="D341" s="11"/>
      <c r="E341" s="42"/>
      <c r="F341" s="42"/>
      <c r="G341" s="151"/>
      <c r="H341" s="328"/>
      <c r="I341" s="11"/>
      <c r="J341" s="55" t="str">
        <f t="shared" si="49"/>
        <v/>
      </c>
      <c r="K341" s="58"/>
      <c r="L341" s="57"/>
      <c r="M341" s="13"/>
      <c r="N341" s="90"/>
      <c r="O341" s="52"/>
      <c r="P341" s="13"/>
      <c r="Q341" s="35"/>
      <c r="R341" s="13"/>
      <c r="S341" s="13"/>
      <c r="T341" s="12"/>
      <c r="U341" s="54" t="str">
        <f t="shared" si="44"/>
        <v/>
      </c>
      <c r="V341" s="54"/>
      <c r="W341" s="81">
        <f t="shared" si="50"/>
        <v>0</v>
      </c>
      <c r="X341" s="11"/>
      <c r="Y341" s="11"/>
      <c r="Z341" s="11"/>
      <c r="AA341" s="11"/>
      <c r="AB341" s="11"/>
      <c r="AC341" s="11"/>
      <c r="AD341" s="11"/>
      <c r="AE341" s="11"/>
      <c r="AF341" s="11"/>
      <c r="AG341" s="11"/>
      <c r="AH341" s="11"/>
      <c r="AI341" s="11"/>
      <c r="AJ341" s="11"/>
      <c r="AK341" s="11"/>
      <c r="AL341" s="11"/>
      <c r="AM341" s="11"/>
      <c r="AN341" s="11"/>
      <c r="AO341" s="11"/>
      <c r="AP341" s="11"/>
      <c r="AQ341" s="11"/>
      <c r="AR341" s="11"/>
      <c r="AS341" s="11"/>
      <c r="AT341" s="11"/>
      <c r="AU341" s="11"/>
      <c r="AV341" s="11"/>
      <c r="AW341" s="11"/>
      <c r="AX341" s="11"/>
      <c r="AY341" s="11"/>
      <c r="AZ341" s="11"/>
      <c r="BA341" s="11"/>
      <c r="BB341" s="11"/>
      <c r="BC341" s="11"/>
      <c r="BD341" s="11"/>
      <c r="BE341" s="11"/>
      <c r="BF341" s="11"/>
      <c r="BG341" s="11"/>
      <c r="BH341" s="11"/>
      <c r="BI341" s="11"/>
      <c r="BJ341" s="11"/>
      <c r="BK341" s="11"/>
      <c r="BL341" s="11"/>
      <c r="BM341" s="11"/>
    </row>
    <row r="342" spans="1:65" ht="150" customHeight="1" x14ac:dyDescent="0.25">
      <c r="A342" s="11"/>
      <c r="B342" s="11">
        <f t="shared" si="48"/>
        <v>-1</v>
      </c>
      <c r="C342" s="11"/>
      <c r="D342" s="11"/>
      <c r="E342" s="42"/>
      <c r="F342" s="42"/>
      <c r="G342" s="151"/>
      <c r="H342" s="328"/>
      <c r="I342" s="11"/>
      <c r="J342" s="55" t="str">
        <f t="shared" si="49"/>
        <v/>
      </c>
      <c r="K342" s="58"/>
      <c r="L342" s="57"/>
      <c r="M342" s="13"/>
      <c r="N342" s="90"/>
      <c r="O342" s="52"/>
      <c r="P342" s="13"/>
      <c r="Q342" s="35"/>
      <c r="R342" s="13"/>
      <c r="S342" s="13"/>
      <c r="T342" s="12"/>
      <c r="U342" s="54" t="str">
        <f t="shared" si="44"/>
        <v/>
      </c>
      <c r="V342" s="54"/>
      <c r="W342" s="81">
        <f t="shared" si="50"/>
        <v>0</v>
      </c>
      <c r="X342" s="11"/>
      <c r="Y342" s="11"/>
      <c r="Z342" s="11"/>
      <c r="AA342" s="11"/>
      <c r="AB342" s="11"/>
      <c r="AC342" s="11"/>
      <c r="AD342" s="11"/>
      <c r="AE342" s="11"/>
      <c r="AF342" s="11"/>
      <c r="AG342" s="11"/>
      <c r="AH342" s="11"/>
      <c r="AI342" s="11"/>
      <c r="AJ342" s="11"/>
      <c r="AK342" s="11"/>
      <c r="AL342" s="11"/>
      <c r="AM342" s="11"/>
      <c r="AN342" s="11"/>
      <c r="AO342" s="11"/>
      <c r="AP342" s="11"/>
      <c r="AQ342" s="11"/>
      <c r="AR342" s="11"/>
      <c r="AS342" s="11"/>
      <c r="AT342" s="11"/>
      <c r="AU342" s="11"/>
      <c r="AV342" s="11"/>
      <c r="AW342" s="11"/>
      <c r="AX342" s="11"/>
      <c r="AY342" s="11"/>
      <c r="AZ342" s="11"/>
      <c r="BA342" s="11"/>
      <c r="BB342" s="11"/>
      <c r="BC342" s="11"/>
      <c r="BD342" s="11"/>
      <c r="BE342" s="11"/>
      <c r="BF342" s="11"/>
      <c r="BG342" s="11"/>
      <c r="BH342" s="11"/>
      <c r="BI342" s="11"/>
      <c r="BJ342" s="11"/>
      <c r="BK342" s="11"/>
      <c r="BL342" s="11"/>
      <c r="BM342" s="11"/>
    </row>
    <row r="343" spans="1:65" ht="150" customHeight="1" x14ac:dyDescent="0.25">
      <c r="A343" s="11"/>
      <c r="B343" s="11">
        <f t="shared" si="48"/>
        <v>-1</v>
      </c>
      <c r="C343" s="11"/>
      <c r="D343" s="11"/>
      <c r="E343" s="42"/>
      <c r="F343" s="42"/>
      <c r="G343" s="151"/>
      <c r="H343" s="328"/>
      <c r="I343" s="11"/>
      <c r="J343" s="55" t="str">
        <f t="shared" si="49"/>
        <v/>
      </c>
      <c r="K343" s="58"/>
      <c r="L343" s="57"/>
      <c r="M343" s="13"/>
      <c r="N343" s="90"/>
      <c r="O343" s="52"/>
      <c r="P343" s="13"/>
      <c r="Q343" s="35"/>
      <c r="R343" s="13"/>
      <c r="S343" s="13"/>
      <c r="T343" s="12"/>
      <c r="U343" s="54" t="str">
        <f t="shared" si="44"/>
        <v/>
      </c>
      <c r="V343" s="54"/>
      <c r="W343" s="81">
        <f t="shared" si="50"/>
        <v>0</v>
      </c>
      <c r="X343" s="11"/>
      <c r="Y343" s="11"/>
      <c r="Z343" s="11"/>
      <c r="AA343" s="11"/>
      <c r="AB343" s="11"/>
      <c r="AC343" s="11"/>
      <c r="AD343" s="11"/>
      <c r="AE343" s="11"/>
      <c r="AF343" s="11"/>
      <c r="AG343" s="11"/>
      <c r="AH343" s="11"/>
      <c r="AI343" s="11"/>
      <c r="AJ343" s="11"/>
      <c r="AK343" s="11"/>
      <c r="AL343" s="11"/>
      <c r="AM343" s="11"/>
      <c r="AN343" s="11"/>
      <c r="AO343" s="11"/>
      <c r="AP343" s="11"/>
      <c r="AQ343" s="11"/>
      <c r="AR343" s="11"/>
      <c r="AS343" s="11"/>
      <c r="AT343" s="11"/>
      <c r="AU343" s="11"/>
      <c r="AV343" s="11"/>
      <c r="AW343" s="11"/>
      <c r="AX343" s="11"/>
      <c r="AY343" s="11"/>
      <c r="AZ343" s="11"/>
      <c r="BA343" s="11"/>
      <c r="BB343" s="11"/>
      <c r="BC343" s="11"/>
      <c r="BD343" s="11"/>
      <c r="BE343" s="11"/>
      <c r="BF343" s="11"/>
      <c r="BG343" s="11"/>
      <c r="BH343" s="11"/>
      <c r="BI343" s="11"/>
      <c r="BJ343" s="11"/>
      <c r="BK343" s="11"/>
      <c r="BL343" s="11"/>
      <c r="BM343" s="11"/>
    </row>
    <row r="344" spans="1:65" ht="150" customHeight="1" x14ac:dyDescent="0.25">
      <c r="A344" s="11"/>
      <c r="B344" s="11">
        <f t="shared" si="48"/>
        <v>-1</v>
      </c>
      <c r="C344" s="11"/>
      <c r="D344" s="11"/>
      <c r="E344" s="42"/>
      <c r="F344" s="42"/>
      <c r="G344" s="151"/>
      <c r="H344" s="328"/>
      <c r="I344" s="11"/>
      <c r="J344" s="55" t="str">
        <f t="shared" si="49"/>
        <v/>
      </c>
      <c r="K344" s="58"/>
      <c r="L344" s="57"/>
      <c r="M344" s="13"/>
      <c r="N344" s="90"/>
      <c r="O344" s="52"/>
      <c r="P344" s="13"/>
      <c r="Q344" s="35"/>
      <c r="R344" s="13"/>
      <c r="S344" s="13"/>
      <c r="T344" s="12"/>
      <c r="U344" s="54" t="str">
        <f t="shared" si="44"/>
        <v/>
      </c>
      <c r="V344" s="54"/>
      <c r="W344" s="81">
        <f t="shared" si="50"/>
        <v>0</v>
      </c>
      <c r="X344" s="11"/>
      <c r="Y344" s="11"/>
      <c r="Z344" s="11"/>
      <c r="AA344" s="11"/>
      <c r="AB344" s="11"/>
      <c r="AC344" s="11"/>
      <c r="AD344" s="11"/>
      <c r="AE344" s="11"/>
      <c r="AF344" s="11"/>
      <c r="AG344" s="11"/>
      <c r="AH344" s="11"/>
      <c r="AI344" s="11"/>
      <c r="AJ344" s="11"/>
      <c r="AK344" s="11"/>
      <c r="AL344" s="11"/>
      <c r="AM344" s="11"/>
      <c r="AN344" s="11"/>
      <c r="AO344" s="11"/>
      <c r="AP344" s="11"/>
      <c r="AQ344" s="11"/>
      <c r="AR344" s="11"/>
      <c r="AS344" s="11"/>
      <c r="AT344" s="11"/>
      <c r="AU344" s="11"/>
      <c r="AV344" s="11"/>
      <c r="AW344" s="11"/>
      <c r="AX344" s="11"/>
      <c r="AY344" s="11"/>
      <c r="AZ344" s="11"/>
      <c r="BA344" s="11"/>
      <c r="BB344" s="11"/>
      <c r="BC344" s="11"/>
      <c r="BD344" s="11"/>
      <c r="BE344" s="11"/>
      <c r="BF344" s="11"/>
      <c r="BG344" s="11"/>
      <c r="BH344" s="11"/>
      <c r="BI344" s="11"/>
      <c r="BJ344" s="11"/>
      <c r="BK344" s="11"/>
      <c r="BL344" s="11"/>
      <c r="BM344" s="11"/>
    </row>
    <row r="345" spans="1:65" ht="150" customHeight="1" x14ac:dyDescent="0.25">
      <c r="A345" s="11"/>
      <c r="B345" s="11">
        <f t="shared" si="48"/>
        <v>-1</v>
      </c>
      <c r="C345" s="11"/>
      <c r="D345" s="11"/>
      <c r="E345" s="42"/>
      <c r="F345" s="42"/>
      <c r="G345" s="151"/>
      <c r="H345" s="328"/>
      <c r="I345" s="11"/>
      <c r="J345" s="55" t="str">
        <f t="shared" si="49"/>
        <v/>
      </c>
      <c r="K345" s="58"/>
      <c r="L345" s="57"/>
      <c r="M345" s="13"/>
      <c r="N345" s="90"/>
      <c r="O345" s="52"/>
      <c r="P345" s="13"/>
      <c r="Q345" s="35"/>
      <c r="R345" s="13"/>
      <c r="S345" s="13"/>
      <c r="T345" s="12"/>
      <c r="U345" s="54" t="str">
        <f t="shared" si="44"/>
        <v/>
      </c>
      <c r="V345" s="54"/>
      <c r="W345" s="81">
        <f t="shared" si="50"/>
        <v>0</v>
      </c>
      <c r="X345" s="11"/>
      <c r="Y345" s="11"/>
      <c r="Z345" s="11"/>
      <c r="AA345" s="11"/>
      <c r="AB345" s="11"/>
      <c r="AC345" s="11"/>
      <c r="AD345" s="11"/>
      <c r="AE345" s="11"/>
      <c r="AF345" s="11"/>
      <c r="AG345" s="11"/>
      <c r="AH345" s="11"/>
      <c r="AI345" s="11"/>
      <c r="AJ345" s="11"/>
      <c r="AK345" s="11"/>
      <c r="AL345" s="11"/>
      <c r="AM345" s="11"/>
      <c r="AN345" s="11"/>
      <c r="AO345" s="11"/>
      <c r="AP345" s="11"/>
      <c r="AQ345" s="11"/>
      <c r="AR345" s="11"/>
      <c r="AS345" s="11"/>
      <c r="AT345" s="11"/>
      <c r="AU345" s="11"/>
      <c r="AV345" s="11"/>
      <c r="AW345" s="11"/>
      <c r="AX345" s="11"/>
      <c r="AY345" s="11"/>
      <c r="AZ345" s="11"/>
      <c r="BA345" s="11"/>
      <c r="BB345" s="11"/>
      <c r="BC345" s="11"/>
      <c r="BD345" s="11"/>
      <c r="BE345" s="11"/>
      <c r="BF345" s="11"/>
      <c r="BG345" s="11"/>
      <c r="BH345" s="11"/>
      <c r="BI345" s="11"/>
      <c r="BJ345" s="11"/>
      <c r="BK345" s="11"/>
      <c r="BL345" s="11"/>
      <c r="BM345" s="11"/>
    </row>
    <row r="346" spans="1:65" ht="150" customHeight="1" x14ac:dyDescent="0.25">
      <c r="A346" s="11"/>
      <c r="B346" s="11">
        <f t="shared" si="48"/>
        <v>-1</v>
      </c>
      <c r="C346" s="11"/>
      <c r="D346" s="11"/>
      <c r="E346" s="42"/>
      <c r="F346" s="42"/>
      <c r="G346" s="151"/>
      <c r="H346" s="328"/>
      <c r="I346" s="11"/>
      <c r="J346" s="55" t="str">
        <f t="shared" si="49"/>
        <v/>
      </c>
      <c r="K346" s="58"/>
      <c r="L346" s="57"/>
      <c r="M346" s="13"/>
      <c r="N346" s="90"/>
      <c r="O346" s="52"/>
      <c r="P346" s="13"/>
      <c r="Q346" s="35"/>
      <c r="R346" s="13"/>
      <c r="S346" s="13"/>
      <c r="T346" s="12"/>
      <c r="U346" s="54" t="str">
        <f t="shared" si="44"/>
        <v/>
      </c>
      <c r="V346" s="54"/>
      <c r="W346" s="81">
        <f t="shared" si="50"/>
        <v>0</v>
      </c>
      <c r="X346" s="11"/>
      <c r="Y346" s="11"/>
      <c r="Z346" s="11"/>
      <c r="AA346" s="11"/>
      <c r="AB346" s="11"/>
      <c r="AC346" s="11"/>
      <c r="AD346" s="11"/>
      <c r="AE346" s="11"/>
      <c r="AF346" s="11"/>
      <c r="AG346" s="11"/>
      <c r="AH346" s="11"/>
      <c r="AI346" s="11"/>
      <c r="AJ346" s="11"/>
      <c r="AK346" s="11"/>
      <c r="AL346" s="11"/>
      <c r="AM346" s="11"/>
      <c r="AN346" s="11"/>
      <c r="AO346" s="11"/>
      <c r="AP346" s="11"/>
      <c r="AQ346" s="11"/>
      <c r="AR346" s="11"/>
      <c r="AS346" s="11"/>
      <c r="AT346" s="11"/>
      <c r="AU346" s="11"/>
      <c r="AV346" s="11"/>
      <c r="AW346" s="11"/>
      <c r="AX346" s="11"/>
      <c r="AY346" s="11"/>
      <c r="AZ346" s="11"/>
      <c r="BA346" s="11"/>
      <c r="BB346" s="11"/>
      <c r="BC346" s="11"/>
      <c r="BD346" s="11"/>
      <c r="BE346" s="11"/>
      <c r="BF346" s="11"/>
      <c r="BG346" s="11"/>
      <c r="BH346" s="11"/>
      <c r="BI346" s="11"/>
      <c r="BJ346" s="11"/>
      <c r="BK346" s="11"/>
      <c r="BL346" s="11"/>
      <c r="BM346" s="11"/>
    </row>
    <row r="347" spans="1:65" ht="150" customHeight="1" x14ac:dyDescent="0.25">
      <c r="A347" s="11"/>
      <c r="B347" s="11">
        <f t="shared" si="48"/>
        <v>-1</v>
      </c>
      <c r="C347" s="11"/>
      <c r="D347" s="11"/>
      <c r="E347" s="42"/>
      <c r="F347" s="42"/>
      <c r="G347" s="151"/>
      <c r="H347" s="328"/>
      <c r="I347" s="11"/>
      <c r="J347" s="55" t="str">
        <f t="shared" si="49"/>
        <v/>
      </c>
      <c r="K347" s="58"/>
      <c r="L347" s="57"/>
      <c r="M347" s="13"/>
      <c r="N347" s="90"/>
      <c r="O347" s="52"/>
      <c r="P347" s="13"/>
      <c r="Q347" s="35"/>
      <c r="R347" s="13"/>
      <c r="S347" s="13"/>
      <c r="T347" s="12"/>
      <c r="U347" s="54" t="str">
        <f t="shared" si="44"/>
        <v/>
      </c>
      <c r="V347" s="54"/>
      <c r="W347" s="81">
        <f t="shared" si="50"/>
        <v>0</v>
      </c>
      <c r="X347" s="11"/>
      <c r="Y347" s="11"/>
      <c r="Z347" s="11"/>
      <c r="AA347" s="11"/>
      <c r="AB347" s="11"/>
      <c r="AC347" s="11"/>
      <c r="AD347" s="11"/>
      <c r="AE347" s="11"/>
      <c r="AF347" s="11"/>
      <c r="AG347" s="11"/>
      <c r="AH347" s="11"/>
      <c r="AI347" s="11"/>
      <c r="AJ347" s="11"/>
      <c r="AK347" s="11"/>
      <c r="AL347" s="11"/>
      <c r="AM347" s="11"/>
      <c r="AN347" s="11"/>
      <c r="AO347" s="11"/>
      <c r="AP347" s="11"/>
      <c r="AQ347" s="11"/>
      <c r="AR347" s="11"/>
      <c r="AS347" s="11"/>
      <c r="AT347" s="11"/>
      <c r="AU347" s="11"/>
      <c r="AV347" s="11"/>
      <c r="AW347" s="11"/>
      <c r="AX347" s="11"/>
      <c r="AY347" s="11"/>
      <c r="AZ347" s="11"/>
      <c r="BA347" s="11"/>
      <c r="BB347" s="11"/>
      <c r="BC347" s="11"/>
      <c r="BD347" s="11"/>
      <c r="BE347" s="11"/>
      <c r="BF347" s="11"/>
      <c r="BG347" s="11"/>
      <c r="BH347" s="11"/>
      <c r="BI347" s="11"/>
      <c r="BJ347" s="11"/>
      <c r="BK347" s="11"/>
      <c r="BL347" s="11"/>
      <c r="BM347" s="11"/>
    </row>
    <row r="348" spans="1:65" ht="150" customHeight="1" x14ac:dyDescent="0.25">
      <c r="A348" s="11"/>
      <c r="B348" s="11">
        <f t="shared" si="48"/>
        <v>-1</v>
      </c>
      <c r="C348" s="11"/>
      <c r="D348" s="11"/>
      <c r="E348" s="42"/>
      <c r="F348" s="42"/>
      <c r="G348" s="151"/>
      <c r="H348" s="328"/>
      <c r="I348" s="11"/>
      <c r="J348" s="55" t="str">
        <f t="shared" si="49"/>
        <v/>
      </c>
      <c r="K348" s="58"/>
      <c r="L348" s="57"/>
      <c r="M348" s="13"/>
      <c r="N348" s="90"/>
      <c r="O348" s="52"/>
      <c r="P348" s="13"/>
      <c r="Q348" s="35"/>
      <c r="R348" s="13"/>
      <c r="S348" s="13"/>
      <c r="T348" s="12"/>
      <c r="U348" s="54" t="str">
        <f t="shared" si="44"/>
        <v/>
      </c>
      <c r="V348" s="54"/>
      <c r="W348" s="81">
        <f t="shared" si="50"/>
        <v>0</v>
      </c>
      <c r="X348" s="11"/>
      <c r="Y348" s="11"/>
      <c r="Z348" s="11"/>
      <c r="AA348" s="11"/>
      <c r="AB348" s="11"/>
      <c r="AC348" s="11"/>
      <c r="AD348" s="11"/>
      <c r="AE348" s="11"/>
      <c r="AF348" s="11"/>
      <c r="AG348" s="11"/>
      <c r="AH348" s="11"/>
      <c r="AI348" s="11"/>
      <c r="AJ348" s="11"/>
      <c r="AK348" s="11"/>
      <c r="AL348" s="11"/>
      <c r="AM348" s="11"/>
      <c r="AN348" s="11"/>
      <c r="AO348" s="11"/>
      <c r="AP348" s="11"/>
      <c r="AQ348" s="11"/>
      <c r="AR348" s="11"/>
      <c r="AS348" s="11"/>
      <c r="AT348" s="11"/>
      <c r="AU348" s="11"/>
      <c r="AV348" s="11"/>
      <c r="AW348" s="11"/>
      <c r="AX348" s="11"/>
      <c r="AY348" s="11"/>
      <c r="AZ348" s="11"/>
      <c r="BA348" s="11"/>
      <c r="BB348" s="11"/>
      <c r="BC348" s="11"/>
      <c r="BD348" s="11"/>
      <c r="BE348" s="11"/>
      <c r="BF348" s="11"/>
      <c r="BG348" s="11"/>
      <c r="BH348" s="11"/>
      <c r="BI348" s="11"/>
      <c r="BJ348" s="11"/>
      <c r="BK348" s="11"/>
      <c r="BL348" s="11"/>
      <c r="BM348" s="11"/>
    </row>
    <row r="349" spans="1:65" ht="150" customHeight="1" x14ac:dyDescent="0.25">
      <c r="A349" s="11"/>
      <c r="B349" s="11">
        <f t="shared" si="48"/>
        <v>-1</v>
      </c>
      <c r="C349" s="11"/>
      <c r="D349" s="11"/>
      <c r="E349" s="42"/>
      <c r="F349" s="42"/>
      <c r="G349" s="151"/>
      <c r="H349" s="328"/>
      <c r="I349" s="11"/>
      <c r="J349" s="55" t="str">
        <f t="shared" si="49"/>
        <v/>
      </c>
      <c r="K349" s="58"/>
      <c r="L349" s="57"/>
      <c r="M349" s="13"/>
      <c r="N349" s="90"/>
      <c r="O349" s="52"/>
      <c r="P349" s="13"/>
      <c r="Q349" s="35"/>
      <c r="R349" s="13"/>
      <c r="S349" s="13"/>
      <c r="T349" s="12"/>
      <c r="U349" s="54" t="str">
        <f t="shared" si="44"/>
        <v/>
      </c>
      <c r="V349" s="54"/>
      <c r="W349" s="81">
        <f t="shared" si="50"/>
        <v>0</v>
      </c>
      <c r="X349" s="11"/>
      <c r="Y349" s="11"/>
      <c r="Z349" s="11"/>
      <c r="AA349" s="11"/>
      <c r="AB349" s="11"/>
      <c r="AC349" s="11"/>
      <c r="AD349" s="11"/>
      <c r="AE349" s="11"/>
      <c r="AF349" s="11"/>
      <c r="AG349" s="11"/>
      <c r="AH349" s="11"/>
      <c r="AI349" s="11"/>
      <c r="AJ349" s="11"/>
      <c r="AK349" s="11"/>
      <c r="AL349" s="11"/>
      <c r="AM349" s="11"/>
      <c r="AN349" s="11"/>
      <c r="AO349" s="11"/>
      <c r="AP349" s="11"/>
      <c r="AQ349" s="11"/>
      <c r="AR349" s="11"/>
      <c r="AS349" s="11"/>
      <c r="AT349" s="11"/>
      <c r="AU349" s="11"/>
      <c r="AV349" s="11"/>
      <c r="AW349" s="11"/>
      <c r="AX349" s="11"/>
      <c r="AY349" s="11"/>
      <c r="AZ349" s="11"/>
      <c r="BA349" s="11"/>
      <c r="BB349" s="11"/>
      <c r="BC349" s="11"/>
      <c r="BD349" s="11"/>
      <c r="BE349" s="11"/>
      <c r="BF349" s="11"/>
      <c r="BG349" s="11"/>
      <c r="BH349" s="11"/>
      <c r="BI349" s="11"/>
      <c r="BJ349" s="11"/>
      <c r="BK349" s="11"/>
      <c r="BL349" s="11"/>
      <c r="BM349" s="11"/>
    </row>
    <row r="350" spans="1:65" ht="150" customHeight="1" x14ac:dyDescent="0.25">
      <c r="A350" s="11"/>
      <c r="B350" s="11">
        <f t="shared" si="48"/>
        <v>-1</v>
      </c>
      <c r="C350" s="11"/>
      <c r="D350" s="11"/>
      <c r="E350" s="42"/>
      <c r="F350" s="42"/>
      <c r="G350" s="151"/>
      <c r="H350" s="328"/>
      <c r="I350" s="11"/>
      <c r="J350" s="55" t="str">
        <f t="shared" si="49"/>
        <v/>
      </c>
      <c r="K350" s="58"/>
      <c r="L350" s="57"/>
      <c r="M350" s="13"/>
      <c r="N350" s="90"/>
      <c r="O350" s="52"/>
      <c r="P350" s="13"/>
      <c r="Q350" s="35"/>
      <c r="R350" s="13"/>
      <c r="S350" s="13"/>
      <c r="T350" s="12"/>
      <c r="U350" s="54" t="str">
        <f t="shared" si="44"/>
        <v/>
      </c>
      <c r="V350" s="54"/>
      <c r="W350" s="81">
        <f t="shared" si="50"/>
        <v>0</v>
      </c>
      <c r="X350" s="11"/>
      <c r="Y350" s="11"/>
      <c r="Z350" s="11"/>
      <c r="AA350" s="11"/>
      <c r="AB350" s="11"/>
      <c r="AC350" s="11"/>
      <c r="AD350" s="11"/>
      <c r="AE350" s="11"/>
      <c r="AF350" s="11"/>
      <c r="AG350" s="11"/>
      <c r="AH350" s="11"/>
      <c r="AI350" s="11"/>
      <c r="AJ350" s="11"/>
      <c r="AK350" s="11"/>
      <c r="AL350" s="11"/>
      <c r="AM350" s="11"/>
      <c r="AN350" s="11"/>
      <c r="AO350" s="11"/>
      <c r="AP350" s="11"/>
      <c r="AQ350" s="11"/>
      <c r="AR350" s="11"/>
      <c r="AS350" s="11"/>
      <c r="AT350" s="11"/>
      <c r="AU350" s="11"/>
      <c r="AV350" s="11"/>
      <c r="AW350" s="11"/>
      <c r="AX350" s="11"/>
      <c r="AY350" s="11"/>
      <c r="AZ350" s="11"/>
      <c r="BA350" s="11"/>
      <c r="BB350" s="11"/>
      <c r="BC350" s="11"/>
      <c r="BD350" s="11"/>
      <c r="BE350" s="11"/>
      <c r="BF350" s="11"/>
      <c r="BG350" s="11"/>
      <c r="BH350" s="11"/>
      <c r="BI350" s="11"/>
      <c r="BJ350" s="11"/>
      <c r="BK350" s="11"/>
      <c r="BL350" s="11"/>
      <c r="BM350" s="11"/>
    </row>
    <row r="351" spans="1:65" ht="150" customHeight="1" x14ac:dyDescent="0.25">
      <c r="A351" s="11"/>
      <c r="B351" s="11">
        <f t="shared" si="48"/>
        <v>-1</v>
      </c>
      <c r="C351" s="11"/>
      <c r="D351" s="11"/>
      <c r="E351" s="42"/>
      <c r="F351" s="42"/>
      <c r="G351" s="151"/>
      <c r="H351" s="328"/>
      <c r="I351" s="11"/>
      <c r="J351" s="55" t="str">
        <f t="shared" si="49"/>
        <v/>
      </c>
      <c r="K351" s="58"/>
      <c r="L351" s="57"/>
      <c r="M351" s="13"/>
      <c r="N351" s="90"/>
      <c r="O351" s="52"/>
      <c r="P351" s="13"/>
      <c r="Q351" s="35"/>
      <c r="R351" s="13"/>
      <c r="S351" s="13"/>
      <c r="T351" s="12"/>
      <c r="U351" s="54" t="str">
        <f t="shared" si="44"/>
        <v/>
      </c>
      <c r="V351" s="54"/>
      <c r="W351" s="81">
        <f t="shared" si="50"/>
        <v>0</v>
      </c>
      <c r="X351" s="11"/>
      <c r="Y351" s="11"/>
      <c r="Z351" s="11"/>
      <c r="AA351" s="11"/>
      <c r="AB351" s="11"/>
      <c r="AC351" s="11"/>
      <c r="AD351" s="11"/>
      <c r="AE351" s="11"/>
      <c r="AF351" s="11"/>
      <c r="AG351" s="11"/>
      <c r="AH351" s="11"/>
      <c r="AI351" s="11"/>
      <c r="AJ351" s="11"/>
      <c r="AK351" s="11"/>
      <c r="AL351" s="11"/>
      <c r="AM351" s="11"/>
      <c r="AN351" s="11"/>
      <c r="AO351" s="11"/>
      <c r="AP351" s="11"/>
      <c r="AQ351" s="11"/>
      <c r="AR351" s="11"/>
      <c r="AS351" s="11"/>
      <c r="AT351" s="11"/>
      <c r="AU351" s="11"/>
      <c r="AV351" s="11"/>
      <c r="AW351" s="11"/>
      <c r="AX351" s="11"/>
      <c r="AY351" s="11"/>
      <c r="AZ351" s="11"/>
      <c r="BA351" s="11"/>
      <c r="BB351" s="11"/>
      <c r="BC351" s="11"/>
      <c r="BD351" s="11"/>
      <c r="BE351" s="11"/>
      <c r="BF351" s="11"/>
      <c r="BG351" s="11"/>
      <c r="BH351" s="11"/>
      <c r="BI351" s="11"/>
      <c r="BJ351" s="11"/>
      <c r="BK351" s="11"/>
      <c r="BL351" s="11"/>
      <c r="BM351" s="11"/>
    </row>
    <row r="352" spans="1:65" ht="150" customHeight="1" x14ac:dyDescent="0.25">
      <c r="A352" s="11"/>
      <c r="B352" s="11">
        <f t="shared" si="48"/>
        <v>-1</v>
      </c>
      <c r="C352" s="11"/>
      <c r="D352" s="11"/>
      <c r="E352" s="42"/>
      <c r="F352" s="42"/>
      <c r="G352" s="151"/>
      <c r="H352" s="328"/>
      <c r="I352" s="11"/>
      <c r="J352" s="55" t="str">
        <f t="shared" si="49"/>
        <v/>
      </c>
      <c r="K352" s="58"/>
      <c r="L352" s="57"/>
      <c r="M352" s="13"/>
      <c r="N352" s="90"/>
      <c r="O352" s="52"/>
      <c r="P352" s="13"/>
      <c r="Q352" s="35"/>
      <c r="R352" s="13"/>
      <c r="S352" s="13"/>
      <c r="T352" s="12"/>
      <c r="U352" s="54" t="str">
        <f t="shared" si="44"/>
        <v/>
      </c>
      <c r="V352" s="54"/>
      <c r="W352" s="81">
        <f t="shared" si="50"/>
        <v>0</v>
      </c>
      <c r="X352" s="11"/>
      <c r="Y352" s="11"/>
      <c r="Z352" s="11"/>
      <c r="AA352" s="11"/>
      <c r="AB352" s="11"/>
      <c r="AC352" s="11"/>
      <c r="AD352" s="11"/>
      <c r="AE352" s="11"/>
      <c r="AF352" s="11"/>
      <c r="AG352" s="11"/>
      <c r="AH352" s="11"/>
      <c r="AI352" s="11"/>
      <c r="AJ352" s="11"/>
      <c r="AK352" s="11"/>
      <c r="AL352" s="11"/>
      <c r="AM352" s="11"/>
      <c r="AN352" s="11"/>
      <c r="AO352" s="11"/>
      <c r="AP352" s="11"/>
      <c r="AQ352" s="11"/>
      <c r="AR352" s="11"/>
      <c r="AS352" s="11"/>
      <c r="AT352" s="11"/>
      <c r="AU352" s="11"/>
      <c r="AV352" s="11"/>
      <c r="AW352" s="11"/>
      <c r="AX352" s="11"/>
      <c r="AY352" s="11"/>
      <c r="AZ352" s="11"/>
      <c r="BA352" s="11"/>
      <c r="BB352" s="11"/>
      <c r="BC352" s="11"/>
      <c r="BD352" s="11"/>
      <c r="BE352" s="11"/>
      <c r="BF352" s="11"/>
      <c r="BG352" s="11"/>
      <c r="BH352" s="11"/>
      <c r="BI352" s="11"/>
      <c r="BJ352" s="11"/>
      <c r="BK352" s="11"/>
      <c r="BL352" s="11"/>
      <c r="BM352" s="11"/>
    </row>
    <row r="353" spans="1:65" ht="150" customHeight="1" x14ac:dyDescent="0.25">
      <c r="A353" s="11"/>
      <c r="B353" s="11">
        <f t="shared" si="48"/>
        <v>-1</v>
      </c>
      <c r="C353" s="11"/>
      <c r="D353" s="11"/>
      <c r="E353" s="42"/>
      <c r="F353" s="42"/>
      <c r="G353" s="151"/>
      <c r="H353" s="328"/>
      <c r="I353" s="11"/>
      <c r="J353" s="55" t="str">
        <f t="shared" si="49"/>
        <v/>
      </c>
      <c r="K353" s="58"/>
      <c r="L353" s="57"/>
      <c r="M353" s="13"/>
      <c r="N353" s="90"/>
      <c r="O353" s="52"/>
      <c r="P353" s="13"/>
      <c r="Q353" s="35"/>
      <c r="R353" s="13"/>
      <c r="S353" s="13"/>
      <c r="T353" s="12"/>
      <c r="U353" s="54" t="str">
        <f t="shared" si="44"/>
        <v/>
      </c>
      <c r="V353" s="54"/>
      <c r="W353" s="81">
        <f t="shared" si="50"/>
        <v>0</v>
      </c>
      <c r="X353" s="11"/>
      <c r="Y353" s="11"/>
      <c r="Z353" s="11"/>
      <c r="AA353" s="11"/>
      <c r="AB353" s="11"/>
      <c r="AC353" s="11"/>
      <c r="AD353" s="11"/>
      <c r="AE353" s="11"/>
      <c r="AF353" s="11"/>
      <c r="AG353" s="11"/>
      <c r="AH353" s="11"/>
      <c r="AI353" s="11"/>
      <c r="AJ353" s="11"/>
      <c r="AK353" s="11"/>
      <c r="AL353" s="11"/>
      <c r="AM353" s="11"/>
      <c r="AN353" s="11"/>
      <c r="AO353" s="11"/>
      <c r="AP353" s="11"/>
      <c r="AQ353" s="11"/>
      <c r="AR353" s="11"/>
      <c r="AS353" s="11"/>
      <c r="AT353" s="11"/>
      <c r="AU353" s="11"/>
      <c r="AV353" s="11"/>
      <c r="AW353" s="11"/>
      <c r="AX353" s="11"/>
      <c r="AY353" s="11"/>
      <c r="AZ353" s="11"/>
      <c r="BA353" s="11"/>
      <c r="BB353" s="11"/>
      <c r="BC353" s="11"/>
      <c r="BD353" s="11"/>
      <c r="BE353" s="11"/>
      <c r="BF353" s="11"/>
      <c r="BG353" s="11"/>
      <c r="BH353" s="11"/>
      <c r="BI353" s="11"/>
      <c r="BJ353" s="11"/>
      <c r="BK353" s="11"/>
      <c r="BL353" s="11"/>
      <c r="BM353" s="11"/>
    </row>
    <row r="354" spans="1:65" ht="150" customHeight="1" x14ac:dyDescent="0.25">
      <c r="A354" s="11"/>
      <c r="B354" s="11">
        <f t="shared" si="48"/>
        <v>-1</v>
      </c>
      <c r="C354" s="11"/>
      <c r="D354" s="11"/>
      <c r="E354" s="42"/>
      <c r="F354" s="42"/>
      <c r="G354" s="151"/>
      <c r="H354" s="328"/>
      <c r="I354" s="11"/>
      <c r="J354" s="55" t="str">
        <f t="shared" si="49"/>
        <v/>
      </c>
      <c r="K354" s="58"/>
      <c r="L354" s="57"/>
      <c r="M354" s="13"/>
      <c r="N354" s="90"/>
      <c r="O354" s="52"/>
      <c r="P354" s="13"/>
      <c r="Q354" s="35"/>
      <c r="R354" s="13"/>
      <c r="S354" s="13"/>
      <c r="T354" s="12"/>
      <c r="U354" s="54" t="str">
        <f t="shared" si="44"/>
        <v/>
      </c>
      <c r="V354" s="54"/>
      <c r="W354" s="81">
        <f t="shared" si="50"/>
        <v>0</v>
      </c>
      <c r="X354" s="11"/>
      <c r="Y354" s="11"/>
      <c r="Z354" s="11"/>
      <c r="AA354" s="11"/>
      <c r="AB354" s="11"/>
      <c r="AC354" s="11"/>
      <c r="AD354" s="11"/>
      <c r="AE354" s="11"/>
      <c r="AF354" s="11"/>
      <c r="AG354" s="11"/>
      <c r="AH354" s="11"/>
      <c r="AI354" s="11"/>
      <c r="AJ354" s="11"/>
      <c r="AK354" s="11"/>
      <c r="AL354" s="11"/>
      <c r="AM354" s="11"/>
      <c r="AN354" s="11"/>
      <c r="AO354" s="11"/>
      <c r="AP354" s="11"/>
      <c r="AQ354" s="11"/>
      <c r="AR354" s="11"/>
      <c r="AS354" s="11"/>
      <c r="AT354" s="11"/>
      <c r="AU354" s="11"/>
      <c r="AV354" s="11"/>
      <c r="AW354" s="11"/>
      <c r="AX354" s="11"/>
      <c r="AY354" s="11"/>
      <c r="AZ354" s="11"/>
      <c r="BA354" s="11"/>
      <c r="BB354" s="11"/>
      <c r="BC354" s="11"/>
      <c r="BD354" s="11"/>
      <c r="BE354" s="11"/>
      <c r="BF354" s="11"/>
      <c r="BG354" s="11"/>
      <c r="BH354" s="11"/>
      <c r="BI354" s="11"/>
      <c r="BJ354" s="11"/>
      <c r="BK354" s="11"/>
      <c r="BL354" s="11"/>
      <c r="BM354" s="11"/>
    </row>
    <row r="355" spans="1:65" x14ac:dyDescent="0.25">
      <c r="D355" s="11"/>
      <c r="G355" s="152"/>
      <c r="H355" s="330"/>
    </row>
    <row r="356" spans="1:65" x14ac:dyDescent="0.25">
      <c r="D356" s="11"/>
      <c r="G356" s="152"/>
      <c r="H356" s="330"/>
    </row>
    <row r="357" spans="1:65" x14ac:dyDescent="0.25">
      <c r="D357" s="11"/>
      <c r="G357" s="152"/>
      <c r="H357" s="330"/>
    </row>
    <row r="358" spans="1:65" x14ac:dyDescent="0.25">
      <c r="D358" s="11"/>
      <c r="G358" s="152"/>
      <c r="H358" s="330"/>
    </row>
    <row r="359" spans="1:65" x14ac:dyDescent="0.25">
      <c r="D359" s="11"/>
      <c r="G359" s="152"/>
      <c r="H359" s="330"/>
    </row>
    <row r="360" spans="1:65" x14ac:dyDescent="0.25">
      <c r="D360" s="11"/>
      <c r="G360" s="152"/>
      <c r="H360" s="330"/>
    </row>
    <row r="361" spans="1:65" x14ac:dyDescent="0.25">
      <c r="D361" s="11"/>
      <c r="G361" s="152"/>
      <c r="H361" s="330"/>
    </row>
    <row r="362" spans="1:65" x14ac:dyDescent="0.25">
      <c r="D362" s="11"/>
      <c r="G362" s="152"/>
      <c r="H362" s="330"/>
    </row>
    <row r="363" spans="1:65" x14ac:dyDescent="0.25">
      <c r="D363" s="11"/>
      <c r="G363" s="152"/>
      <c r="H363" s="330"/>
    </row>
    <row r="364" spans="1:65" x14ac:dyDescent="0.25">
      <c r="D364" s="11"/>
      <c r="G364" s="152"/>
      <c r="H364" s="330"/>
    </row>
    <row r="365" spans="1:65" x14ac:dyDescent="0.25">
      <c r="D365" s="11"/>
      <c r="G365" s="152"/>
      <c r="H365" s="330"/>
    </row>
    <row r="366" spans="1:65" x14ac:dyDescent="0.25">
      <c r="D366" s="11"/>
      <c r="G366" s="152"/>
      <c r="H366" s="330"/>
    </row>
    <row r="367" spans="1:65" x14ac:dyDescent="0.25">
      <c r="D367" s="11"/>
      <c r="G367" s="152"/>
      <c r="H367" s="330"/>
    </row>
    <row r="368" spans="1:65" x14ac:dyDescent="0.25">
      <c r="D368" s="11"/>
      <c r="G368" s="152"/>
      <c r="H368" s="330"/>
    </row>
    <row r="369" spans="4:8" x14ac:dyDescent="0.25">
      <c r="D369" s="11"/>
      <c r="G369" s="152"/>
      <c r="H369" s="330"/>
    </row>
    <row r="370" spans="4:8" x14ac:dyDescent="0.25">
      <c r="D370" s="11"/>
      <c r="G370" s="152"/>
      <c r="H370" s="330"/>
    </row>
    <row r="371" spans="4:8" x14ac:dyDescent="0.25">
      <c r="D371" s="11"/>
      <c r="G371" s="152"/>
      <c r="H371" s="330"/>
    </row>
    <row r="372" spans="4:8" x14ac:dyDescent="0.25">
      <c r="D372" s="11"/>
      <c r="G372" s="152"/>
      <c r="H372" s="330"/>
    </row>
    <row r="373" spans="4:8" x14ac:dyDescent="0.25">
      <c r="D373" s="11"/>
      <c r="G373" s="152"/>
      <c r="H373" s="330"/>
    </row>
    <row r="374" spans="4:8" x14ac:dyDescent="0.25">
      <c r="D374" s="11"/>
      <c r="G374" s="152"/>
      <c r="H374" s="330"/>
    </row>
    <row r="375" spans="4:8" x14ac:dyDescent="0.25">
      <c r="D375" s="11"/>
      <c r="G375" s="152"/>
      <c r="H375" s="330"/>
    </row>
    <row r="376" spans="4:8" x14ac:dyDescent="0.25">
      <c r="D376" s="11"/>
      <c r="G376" s="152"/>
      <c r="H376" s="330"/>
    </row>
    <row r="377" spans="4:8" x14ac:dyDescent="0.25">
      <c r="D377" s="11"/>
      <c r="G377" s="152"/>
      <c r="H377" s="330"/>
    </row>
    <row r="378" spans="4:8" x14ac:dyDescent="0.25">
      <c r="D378" s="11"/>
      <c r="G378" s="152"/>
      <c r="H378" s="330"/>
    </row>
    <row r="379" spans="4:8" x14ac:dyDescent="0.25">
      <c r="D379" s="11"/>
      <c r="G379" s="152"/>
      <c r="H379" s="330"/>
    </row>
    <row r="380" spans="4:8" x14ac:dyDescent="0.25">
      <c r="D380" s="11"/>
      <c r="G380" s="152"/>
      <c r="H380" s="330"/>
    </row>
    <row r="381" spans="4:8" x14ac:dyDescent="0.25">
      <c r="D381" s="11"/>
      <c r="G381" s="152"/>
      <c r="H381" s="330"/>
    </row>
    <row r="382" spans="4:8" x14ac:dyDescent="0.25">
      <c r="D382" s="11"/>
      <c r="G382" s="152"/>
      <c r="H382" s="330"/>
    </row>
    <row r="383" spans="4:8" x14ac:dyDescent="0.25">
      <c r="D383" s="11"/>
      <c r="G383" s="152"/>
      <c r="H383" s="330"/>
    </row>
    <row r="384" spans="4:8" x14ac:dyDescent="0.25">
      <c r="D384" s="11"/>
      <c r="G384" s="152"/>
      <c r="H384" s="330"/>
    </row>
    <row r="385" spans="4:8" x14ac:dyDescent="0.25">
      <c r="D385" s="11"/>
      <c r="G385" s="152"/>
      <c r="H385" s="330"/>
    </row>
    <row r="386" spans="4:8" x14ac:dyDescent="0.25">
      <c r="D386" s="11"/>
      <c r="G386" s="152"/>
      <c r="H386" s="330"/>
    </row>
    <row r="387" spans="4:8" x14ac:dyDescent="0.25">
      <c r="D387" s="11"/>
      <c r="G387" s="152"/>
      <c r="H387" s="330"/>
    </row>
    <row r="388" spans="4:8" x14ac:dyDescent="0.25">
      <c r="D388" s="11"/>
      <c r="G388" s="152"/>
      <c r="H388" s="330"/>
    </row>
    <row r="389" spans="4:8" x14ac:dyDescent="0.25">
      <c r="D389" s="11"/>
      <c r="G389" s="152"/>
      <c r="H389" s="330"/>
    </row>
    <row r="390" spans="4:8" x14ac:dyDescent="0.25">
      <c r="D390" s="11"/>
      <c r="G390" s="152"/>
      <c r="H390" s="330"/>
    </row>
    <row r="391" spans="4:8" x14ac:dyDescent="0.25">
      <c r="D391" s="11"/>
      <c r="G391" s="152"/>
      <c r="H391" s="330"/>
    </row>
    <row r="392" spans="4:8" x14ac:dyDescent="0.25">
      <c r="D392" s="11"/>
      <c r="G392" s="152"/>
      <c r="H392" s="330"/>
    </row>
    <row r="393" spans="4:8" x14ac:dyDescent="0.25">
      <c r="D393" s="11"/>
      <c r="G393" s="152"/>
      <c r="H393" s="330"/>
    </row>
    <row r="394" spans="4:8" x14ac:dyDescent="0.25">
      <c r="D394" s="11"/>
      <c r="G394" s="152"/>
      <c r="H394" s="330"/>
    </row>
    <row r="395" spans="4:8" x14ac:dyDescent="0.25">
      <c r="D395" s="11"/>
      <c r="G395" s="152"/>
      <c r="H395" s="330"/>
    </row>
    <row r="396" spans="4:8" x14ac:dyDescent="0.25">
      <c r="D396" s="11"/>
      <c r="G396" s="152"/>
      <c r="H396" s="330"/>
    </row>
    <row r="397" spans="4:8" x14ac:dyDescent="0.25">
      <c r="D397" s="11"/>
      <c r="G397" s="152"/>
      <c r="H397" s="330"/>
    </row>
    <row r="398" spans="4:8" x14ac:dyDescent="0.25">
      <c r="D398" s="11"/>
      <c r="G398" s="152"/>
      <c r="H398" s="330"/>
    </row>
    <row r="399" spans="4:8" x14ac:dyDescent="0.25">
      <c r="D399" s="11"/>
      <c r="G399" s="152"/>
      <c r="H399" s="330"/>
    </row>
    <row r="400" spans="4:8" x14ac:dyDescent="0.25">
      <c r="D400" s="11"/>
      <c r="G400" s="152"/>
      <c r="H400" s="330"/>
    </row>
    <row r="401" spans="4:8" x14ac:dyDescent="0.25">
      <c r="D401" s="11"/>
      <c r="G401" s="152"/>
      <c r="H401" s="330"/>
    </row>
    <row r="402" spans="4:8" x14ac:dyDescent="0.25">
      <c r="D402" s="11"/>
      <c r="G402" s="152"/>
      <c r="H402" s="330"/>
    </row>
    <row r="403" spans="4:8" x14ac:dyDescent="0.25">
      <c r="D403" s="11"/>
      <c r="G403" s="152"/>
      <c r="H403" s="330"/>
    </row>
    <row r="404" spans="4:8" x14ac:dyDescent="0.25">
      <c r="D404" s="11"/>
      <c r="G404" s="152"/>
      <c r="H404" s="330"/>
    </row>
    <row r="405" spans="4:8" x14ac:dyDescent="0.25">
      <c r="D405" s="11"/>
      <c r="G405" s="152"/>
      <c r="H405" s="330"/>
    </row>
    <row r="406" spans="4:8" x14ac:dyDescent="0.25">
      <c r="D406" s="11"/>
      <c r="G406" s="152"/>
      <c r="H406" s="330"/>
    </row>
    <row r="407" spans="4:8" x14ac:dyDescent="0.25">
      <c r="D407" s="11"/>
      <c r="G407" s="152"/>
      <c r="H407" s="330"/>
    </row>
    <row r="408" spans="4:8" x14ac:dyDescent="0.25">
      <c r="D408" s="11"/>
      <c r="G408" s="152"/>
      <c r="H408" s="330"/>
    </row>
    <row r="409" spans="4:8" x14ac:dyDescent="0.25">
      <c r="D409" s="11"/>
      <c r="G409" s="152"/>
      <c r="H409" s="330"/>
    </row>
    <row r="410" spans="4:8" x14ac:dyDescent="0.25">
      <c r="D410" s="11"/>
      <c r="G410" s="152"/>
      <c r="H410" s="330"/>
    </row>
    <row r="411" spans="4:8" x14ac:dyDescent="0.25">
      <c r="D411" s="11"/>
      <c r="G411" s="152"/>
      <c r="H411" s="330"/>
    </row>
    <row r="412" spans="4:8" x14ac:dyDescent="0.25">
      <c r="D412" s="11"/>
      <c r="G412" s="152"/>
      <c r="H412" s="330"/>
    </row>
    <row r="413" spans="4:8" x14ac:dyDescent="0.25">
      <c r="D413" s="11"/>
      <c r="G413" s="152"/>
      <c r="H413" s="330"/>
    </row>
    <row r="414" spans="4:8" x14ac:dyDescent="0.25">
      <c r="D414" s="11"/>
      <c r="G414" s="152"/>
      <c r="H414" s="330"/>
    </row>
    <row r="415" spans="4:8" x14ac:dyDescent="0.25">
      <c r="D415" s="11"/>
      <c r="G415" s="152"/>
      <c r="H415" s="330"/>
    </row>
    <row r="416" spans="4:8" x14ac:dyDescent="0.25">
      <c r="D416" s="11"/>
      <c r="G416" s="152"/>
      <c r="H416" s="330"/>
    </row>
    <row r="417" spans="4:8" x14ac:dyDescent="0.25">
      <c r="D417" s="11"/>
      <c r="G417" s="152"/>
      <c r="H417" s="330"/>
    </row>
    <row r="418" spans="4:8" x14ac:dyDescent="0.25">
      <c r="D418" s="11"/>
      <c r="G418" s="152"/>
      <c r="H418" s="330"/>
    </row>
    <row r="419" spans="4:8" x14ac:dyDescent="0.25">
      <c r="D419" s="11"/>
      <c r="G419" s="152"/>
      <c r="H419" s="330"/>
    </row>
    <row r="420" spans="4:8" x14ac:dyDescent="0.25">
      <c r="D420" s="11"/>
      <c r="G420" s="152"/>
      <c r="H420" s="330"/>
    </row>
    <row r="421" spans="4:8" x14ac:dyDescent="0.25">
      <c r="D421" s="11"/>
      <c r="G421" s="152"/>
      <c r="H421" s="330"/>
    </row>
    <row r="422" spans="4:8" x14ac:dyDescent="0.25">
      <c r="D422" s="11"/>
      <c r="G422" s="152"/>
      <c r="H422" s="330"/>
    </row>
    <row r="423" spans="4:8" x14ac:dyDescent="0.25">
      <c r="D423" s="11"/>
      <c r="G423" s="152"/>
      <c r="H423" s="330"/>
    </row>
    <row r="424" spans="4:8" x14ac:dyDescent="0.25">
      <c r="D424" s="11"/>
      <c r="G424" s="152"/>
      <c r="H424" s="330"/>
    </row>
    <row r="425" spans="4:8" x14ac:dyDescent="0.25">
      <c r="D425" s="11"/>
      <c r="G425" s="152"/>
      <c r="H425" s="330"/>
    </row>
    <row r="426" spans="4:8" x14ac:dyDescent="0.25">
      <c r="D426" s="11"/>
      <c r="G426" s="152"/>
      <c r="H426" s="330"/>
    </row>
    <row r="427" spans="4:8" x14ac:dyDescent="0.25">
      <c r="D427" s="11"/>
      <c r="G427" s="152"/>
      <c r="H427" s="330"/>
    </row>
    <row r="428" spans="4:8" x14ac:dyDescent="0.25">
      <c r="D428" s="11"/>
      <c r="G428" s="152"/>
      <c r="H428" s="330"/>
    </row>
    <row r="429" spans="4:8" x14ac:dyDescent="0.25">
      <c r="D429" s="11"/>
      <c r="G429" s="152"/>
      <c r="H429" s="330"/>
    </row>
    <row r="430" spans="4:8" x14ac:dyDescent="0.25">
      <c r="D430" s="11"/>
      <c r="G430" s="152"/>
      <c r="H430" s="330"/>
    </row>
    <row r="431" spans="4:8" x14ac:dyDescent="0.25">
      <c r="D431" s="11"/>
      <c r="G431" s="152"/>
      <c r="H431" s="330"/>
    </row>
    <row r="432" spans="4:8" x14ac:dyDescent="0.25">
      <c r="D432" s="11"/>
      <c r="G432" s="152"/>
      <c r="H432" s="330"/>
    </row>
    <row r="433" spans="4:8" x14ac:dyDescent="0.25">
      <c r="D433" s="11"/>
      <c r="G433" s="152"/>
      <c r="H433" s="330"/>
    </row>
    <row r="434" spans="4:8" x14ac:dyDescent="0.25">
      <c r="D434" s="11"/>
      <c r="G434" s="152"/>
      <c r="H434" s="330"/>
    </row>
    <row r="435" spans="4:8" x14ac:dyDescent="0.25">
      <c r="D435" s="11"/>
      <c r="G435" s="152"/>
      <c r="H435" s="330"/>
    </row>
    <row r="436" spans="4:8" x14ac:dyDescent="0.25">
      <c r="D436" s="11"/>
      <c r="G436" s="152"/>
      <c r="H436" s="330"/>
    </row>
    <row r="437" spans="4:8" x14ac:dyDescent="0.25">
      <c r="D437" s="11"/>
      <c r="G437" s="152"/>
      <c r="H437" s="330"/>
    </row>
    <row r="438" spans="4:8" x14ac:dyDescent="0.25">
      <c r="D438" s="11"/>
      <c r="G438" s="152"/>
      <c r="H438" s="330"/>
    </row>
    <row r="439" spans="4:8" x14ac:dyDescent="0.25">
      <c r="D439" s="11"/>
      <c r="G439" s="152"/>
      <c r="H439" s="330"/>
    </row>
    <row r="440" spans="4:8" x14ac:dyDescent="0.25">
      <c r="D440" s="11"/>
      <c r="G440" s="152"/>
      <c r="H440" s="330"/>
    </row>
    <row r="441" spans="4:8" x14ac:dyDescent="0.25">
      <c r="D441" s="11"/>
      <c r="G441" s="152"/>
      <c r="H441" s="330"/>
    </row>
    <row r="442" spans="4:8" x14ac:dyDescent="0.25">
      <c r="D442" s="11"/>
      <c r="G442" s="152"/>
      <c r="H442" s="330"/>
    </row>
    <row r="443" spans="4:8" x14ac:dyDescent="0.25">
      <c r="D443" s="11"/>
      <c r="G443" s="152"/>
      <c r="H443" s="330"/>
    </row>
    <row r="444" spans="4:8" x14ac:dyDescent="0.25">
      <c r="D444" s="11"/>
      <c r="G444" s="152"/>
      <c r="H444" s="330"/>
    </row>
    <row r="445" spans="4:8" x14ac:dyDescent="0.25">
      <c r="D445" s="11"/>
      <c r="G445" s="152"/>
      <c r="H445" s="330"/>
    </row>
    <row r="446" spans="4:8" x14ac:dyDescent="0.25">
      <c r="D446" s="11"/>
      <c r="G446" s="152"/>
      <c r="H446" s="330"/>
    </row>
    <row r="447" spans="4:8" x14ac:dyDescent="0.25">
      <c r="D447" s="11"/>
      <c r="G447" s="152"/>
      <c r="H447" s="330"/>
    </row>
    <row r="448" spans="4:8" x14ac:dyDescent="0.25">
      <c r="D448" s="11"/>
      <c r="G448" s="152"/>
      <c r="H448" s="330"/>
    </row>
    <row r="449" spans="4:8" x14ac:dyDescent="0.25">
      <c r="D449" s="11"/>
      <c r="G449" s="152"/>
      <c r="H449" s="330"/>
    </row>
    <row r="450" spans="4:8" x14ac:dyDescent="0.25">
      <c r="D450" s="11"/>
      <c r="G450" s="152"/>
      <c r="H450" s="330"/>
    </row>
    <row r="451" spans="4:8" x14ac:dyDescent="0.25">
      <c r="D451" s="11"/>
      <c r="G451" s="152"/>
      <c r="H451" s="330"/>
    </row>
    <row r="452" spans="4:8" x14ac:dyDescent="0.25">
      <c r="D452" s="11"/>
      <c r="G452" s="152"/>
      <c r="H452" s="330"/>
    </row>
    <row r="453" spans="4:8" x14ac:dyDescent="0.25">
      <c r="D453" s="11"/>
      <c r="G453" s="152"/>
      <c r="H453" s="330"/>
    </row>
    <row r="454" spans="4:8" x14ac:dyDescent="0.25">
      <c r="D454" s="11"/>
      <c r="G454" s="152"/>
      <c r="H454" s="330"/>
    </row>
    <row r="455" spans="4:8" x14ac:dyDescent="0.25">
      <c r="D455" s="11"/>
      <c r="G455" s="152"/>
      <c r="H455" s="330"/>
    </row>
    <row r="456" spans="4:8" x14ac:dyDescent="0.25">
      <c r="D456" s="11"/>
      <c r="G456" s="152"/>
      <c r="H456" s="330"/>
    </row>
    <row r="457" spans="4:8" x14ac:dyDescent="0.25">
      <c r="D457" s="11"/>
      <c r="G457" s="152"/>
      <c r="H457" s="330"/>
    </row>
    <row r="458" spans="4:8" x14ac:dyDescent="0.25">
      <c r="D458" s="11"/>
      <c r="G458" s="152"/>
      <c r="H458" s="330"/>
    </row>
    <row r="459" spans="4:8" x14ac:dyDescent="0.25">
      <c r="D459" s="11"/>
      <c r="G459" s="152"/>
      <c r="H459" s="330"/>
    </row>
    <row r="460" spans="4:8" x14ac:dyDescent="0.25">
      <c r="D460" s="11"/>
      <c r="G460" s="152"/>
      <c r="H460" s="330"/>
    </row>
    <row r="461" spans="4:8" x14ac:dyDescent="0.25">
      <c r="D461" s="11"/>
      <c r="G461" s="152"/>
      <c r="H461" s="330"/>
    </row>
    <row r="462" spans="4:8" x14ac:dyDescent="0.25">
      <c r="D462" s="11"/>
      <c r="G462" s="152"/>
      <c r="H462" s="330"/>
    </row>
    <row r="463" spans="4:8" x14ac:dyDescent="0.25">
      <c r="D463" s="11"/>
      <c r="G463" s="152"/>
      <c r="H463" s="330"/>
    </row>
    <row r="464" spans="4:8" x14ac:dyDescent="0.25">
      <c r="D464" s="11"/>
      <c r="G464" s="152"/>
      <c r="H464" s="330"/>
    </row>
    <row r="465" spans="4:8" x14ac:dyDescent="0.25">
      <c r="D465" s="11"/>
      <c r="G465" s="152"/>
      <c r="H465" s="330"/>
    </row>
    <row r="466" spans="4:8" x14ac:dyDescent="0.25">
      <c r="D466" s="11"/>
      <c r="G466" s="152"/>
      <c r="H466" s="330"/>
    </row>
    <row r="467" spans="4:8" x14ac:dyDescent="0.25">
      <c r="D467" s="11"/>
      <c r="G467" s="152"/>
      <c r="H467" s="330"/>
    </row>
    <row r="468" spans="4:8" x14ac:dyDescent="0.25">
      <c r="D468" s="11"/>
      <c r="G468" s="152"/>
      <c r="H468" s="330"/>
    </row>
    <row r="469" spans="4:8" x14ac:dyDescent="0.25">
      <c r="D469" s="11"/>
      <c r="G469" s="152"/>
      <c r="H469" s="330"/>
    </row>
    <row r="470" spans="4:8" x14ac:dyDescent="0.25">
      <c r="D470" s="11"/>
      <c r="G470" s="152"/>
      <c r="H470" s="330"/>
    </row>
    <row r="471" spans="4:8" x14ac:dyDescent="0.25">
      <c r="D471" s="11"/>
      <c r="G471" s="152"/>
      <c r="H471" s="330"/>
    </row>
    <row r="472" spans="4:8" x14ac:dyDescent="0.25">
      <c r="D472" s="11"/>
      <c r="G472" s="152"/>
      <c r="H472" s="330"/>
    </row>
    <row r="473" spans="4:8" x14ac:dyDescent="0.25">
      <c r="D473" s="11"/>
      <c r="G473" s="152"/>
      <c r="H473" s="330"/>
    </row>
    <row r="474" spans="4:8" x14ac:dyDescent="0.25">
      <c r="D474" s="11"/>
      <c r="G474" s="152"/>
      <c r="H474" s="330"/>
    </row>
    <row r="475" spans="4:8" x14ac:dyDescent="0.25">
      <c r="D475" s="11"/>
      <c r="G475" s="152"/>
      <c r="H475" s="330"/>
    </row>
    <row r="476" spans="4:8" x14ac:dyDescent="0.25">
      <c r="D476" s="11"/>
      <c r="G476" s="152"/>
      <c r="H476" s="330"/>
    </row>
    <row r="477" spans="4:8" x14ac:dyDescent="0.25">
      <c r="D477" s="11"/>
      <c r="G477" s="152"/>
      <c r="H477" s="330"/>
    </row>
    <row r="478" spans="4:8" x14ac:dyDescent="0.25">
      <c r="D478" s="11"/>
      <c r="G478" s="152"/>
      <c r="H478" s="330"/>
    </row>
    <row r="479" spans="4:8" x14ac:dyDescent="0.25">
      <c r="D479" s="11"/>
      <c r="G479" s="152"/>
      <c r="H479" s="330"/>
    </row>
    <row r="480" spans="4:8" x14ac:dyDescent="0.25">
      <c r="D480" s="11"/>
      <c r="G480" s="152"/>
      <c r="H480" s="330"/>
    </row>
    <row r="481" spans="4:8" x14ac:dyDescent="0.25">
      <c r="D481" s="11"/>
      <c r="G481" s="152"/>
      <c r="H481" s="330"/>
    </row>
    <row r="482" spans="4:8" x14ac:dyDescent="0.25">
      <c r="D482" s="11"/>
      <c r="G482" s="152"/>
      <c r="H482" s="330"/>
    </row>
    <row r="483" spans="4:8" x14ac:dyDescent="0.25">
      <c r="D483" s="11"/>
      <c r="G483" s="152"/>
      <c r="H483" s="330"/>
    </row>
    <row r="484" spans="4:8" x14ac:dyDescent="0.25">
      <c r="D484" s="11"/>
      <c r="G484" s="152"/>
      <c r="H484" s="330"/>
    </row>
    <row r="485" spans="4:8" x14ac:dyDescent="0.25">
      <c r="D485" s="11"/>
      <c r="G485" s="152"/>
      <c r="H485" s="330"/>
    </row>
    <row r="486" spans="4:8" x14ac:dyDescent="0.25">
      <c r="D486" s="11"/>
      <c r="G486" s="152"/>
      <c r="H486" s="330"/>
    </row>
    <row r="487" spans="4:8" x14ac:dyDescent="0.25">
      <c r="D487" s="11"/>
      <c r="G487" s="152"/>
      <c r="H487" s="330"/>
    </row>
    <row r="488" spans="4:8" x14ac:dyDescent="0.25">
      <c r="D488" s="11"/>
      <c r="G488" s="152"/>
      <c r="H488" s="330"/>
    </row>
    <row r="489" spans="4:8" x14ac:dyDescent="0.25">
      <c r="D489" s="11"/>
      <c r="G489" s="152"/>
      <c r="H489" s="330"/>
    </row>
    <row r="490" spans="4:8" x14ac:dyDescent="0.25">
      <c r="D490" s="11"/>
      <c r="G490" s="152"/>
      <c r="H490" s="330"/>
    </row>
    <row r="491" spans="4:8" x14ac:dyDescent="0.25">
      <c r="D491" s="11"/>
      <c r="G491" s="152"/>
      <c r="H491" s="330"/>
    </row>
    <row r="492" spans="4:8" x14ac:dyDescent="0.25">
      <c r="D492" s="11"/>
      <c r="G492" s="152"/>
      <c r="H492" s="330"/>
    </row>
    <row r="493" spans="4:8" x14ac:dyDescent="0.25">
      <c r="D493" s="11"/>
      <c r="G493" s="152"/>
      <c r="H493" s="330"/>
    </row>
    <row r="494" spans="4:8" x14ac:dyDescent="0.25">
      <c r="D494" s="11"/>
      <c r="G494" s="152"/>
      <c r="H494" s="330"/>
    </row>
    <row r="495" spans="4:8" x14ac:dyDescent="0.25">
      <c r="D495" s="11"/>
      <c r="G495" s="152"/>
      <c r="H495" s="330"/>
    </row>
    <row r="496" spans="4:8" x14ac:dyDescent="0.25">
      <c r="D496" s="11"/>
      <c r="G496" s="152"/>
      <c r="H496" s="330"/>
    </row>
    <row r="497" spans="4:8" x14ac:dyDescent="0.25">
      <c r="D497" s="11"/>
      <c r="G497" s="152"/>
      <c r="H497" s="330"/>
    </row>
    <row r="498" spans="4:8" x14ac:dyDescent="0.25">
      <c r="D498" s="11"/>
      <c r="G498" s="152"/>
      <c r="H498" s="330"/>
    </row>
    <row r="499" spans="4:8" x14ac:dyDescent="0.25">
      <c r="D499" s="11"/>
      <c r="G499" s="152"/>
      <c r="H499" s="330"/>
    </row>
    <row r="500" spans="4:8" x14ac:dyDescent="0.25">
      <c r="D500" s="11"/>
      <c r="G500" s="152"/>
      <c r="H500" s="330"/>
    </row>
    <row r="501" spans="4:8" x14ac:dyDescent="0.25">
      <c r="D501" s="11"/>
      <c r="G501" s="152"/>
      <c r="H501" s="330"/>
    </row>
    <row r="502" spans="4:8" x14ac:dyDescent="0.25">
      <c r="D502" s="11"/>
      <c r="G502" s="152"/>
      <c r="H502" s="330"/>
    </row>
    <row r="503" spans="4:8" x14ac:dyDescent="0.25">
      <c r="D503" s="11"/>
      <c r="G503" s="152"/>
      <c r="H503" s="330"/>
    </row>
    <row r="504" spans="4:8" x14ac:dyDescent="0.25">
      <c r="D504" s="11"/>
      <c r="G504" s="152"/>
      <c r="H504" s="330"/>
    </row>
    <row r="505" spans="4:8" x14ac:dyDescent="0.25">
      <c r="D505" s="11"/>
      <c r="G505" s="152"/>
      <c r="H505" s="330"/>
    </row>
    <row r="506" spans="4:8" x14ac:dyDescent="0.25">
      <c r="D506" s="11"/>
      <c r="G506" s="152"/>
      <c r="H506" s="330"/>
    </row>
    <row r="507" spans="4:8" x14ac:dyDescent="0.25">
      <c r="D507" s="11"/>
      <c r="G507" s="152"/>
      <c r="H507" s="330"/>
    </row>
    <row r="508" spans="4:8" x14ac:dyDescent="0.25">
      <c r="D508" s="11"/>
      <c r="G508" s="152"/>
      <c r="H508" s="330"/>
    </row>
    <row r="509" spans="4:8" x14ac:dyDescent="0.25">
      <c r="D509" s="11"/>
      <c r="G509" s="152"/>
      <c r="H509" s="330"/>
    </row>
    <row r="510" spans="4:8" x14ac:dyDescent="0.25">
      <c r="D510" s="11"/>
      <c r="G510" s="152"/>
      <c r="H510" s="330"/>
    </row>
    <row r="511" spans="4:8" x14ac:dyDescent="0.25">
      <c r="D511" s="11"/>
      <c r="G511" s="152"/>
      <c r="H511" s="330"/>
    </row>
    <row r="512" spans="4:8" x14ac:dyDescent="0.25">
      <c r="D512" s="11"/>
      <c r="G512" s="152"/>
      <c r="H512" s="330"/>
    </row>
    <row r="513" spans="4:8" x14ac:dyDescent="0.25">
      <c r="D513" s="11"/>
      <c r="G513" s="152"/>
      <c r="H513" s="330"/>
    </row>
    <row r="514" spans="4:8" x14ac:dyDescent="0.25">
      <c r="D514" s="11"/>
      <c r="G514" s="152"/>
      <c r="H514" s="330"/>
    </row>
    <row r="515" spans="4:8" x14ac:dyDescent="0.25">
      <c r="D515" s="11"/>
      <c r="G515" s="152"/>
      <c r="H515" s="330"/>
    </row>
    <row r="516" spans="4:8" x14ac:dyDescent="0.25">
      <c r="D516" s="11"/>
      <c r="G516" s="152"/>
      <c r="H516" s="330"/>
    </row>
    <row r="517" spans="4:8" x14ac:dyDescent="0.25">
      <c r="D517" s="11"/>
      <c r="G517" s="152"/>
      <c r="H517" s="330"/>
    </row>
    <row r="518" spans="4:8" x14ac:dyDescent="0.25">
      <c r="D518" s="11"/>
      <c r="G518" s="152"/>
      <c r="H518" s="330"/>
    </row>
    <row r="519" spans="4:8" x14ac:dyDescent="0.25">
      <c r="D519" s="11"/>
      <c r="G519" s="152"/>
      <c r="H519" s="330"/>
    </row>
    <row r="520" spans="4:8" x14ac:dyDescent="0.25">
      <c r="D520" s="11"/>
      <c r="G520" s="152"/>
      <c r="H520" s="330"/>
    </row>
    <row r="521" spans="4:8" x14ac:dyDescent="0.25">
      <c r="D521" s="11"/>
      <c r="G521" s="152"/>
      <c r="H521" s="330"/>
    </row>
    <row r="522" spans="4:8" x14ac:dyDescent="0.25">
      <c r="D522" s="11"/>
      <c r="G522" s="152"/>
      <c r="H522" s="330"/>
    </row>
    <row r="523" spans="4:8" x14ac:dyDescent="0.25">
      <c r="D523" s="11"/>
      <c r="G523" s="152"/>
      <c r="H523" s="330"/>
    </row>
    <row r="524" spans="4:8" x14ac:dyDescent="0.25">
      <c r="D524" s="11"/>
      <c r="G524" s="152"/>
      <c r="H524" s="330"/>
    </row>
    <row r="525" spans="4:8" x14ac:dyDescent="0.25">
      <c r="D525" s="11"/>
      <c r="G525" s="152"/>
      <c r="H525" s="330"/>
    </row>
    <row r="526" spans="4:8" x14ac:dyDescent="0.25">
      <c r="D526" s="11"/>
      <c r="G526" s="152"/>
      <c r="H526" s="330"/>
    </row>
    <row r="527" spans="4:8" x14ac:dyDescent="0.25">
      <c r="D527" s="11"/>
      <c r="G527" s="152"/>
      <c r="H527" s="330"/>
    </row>
    <row r="528" spans="4:8" x14ac:dyDescent="0.25">
      <c r="D528" s="11"/>
      <c r="G528" s="152"/>
      <c r="H528" s="330"/>
    </row>
    <row r="529" spans="4:8" x14ac:dyDescent="0.25">
      <c r="D529" s="11"/>
      <c r="G529" s="152"/>
      <c r="H529" s="330"/>
    </row>
    <row r="530" spans="4:8" x14ac:dyDescent="0.25">
      <c r="D530" s="11"/>
      <c r="G530" s="152"/>
      <c r="H530" s="330"/>
    </row>
    <row r="531" spans="4:8" x14ac:dyDescent="0.25">
      <c r="D531" s="11"/>
      <c r="G531" s="152"/>
      <c r="H531" s="330"/>
    </row>
    <row r="532" spans="4:8" x14ac:dyDescent="0.25">
      <c r="D532" s="11"/>
      <c r="G532" s="152"/>
      <c r="H532" s="330"/>
    </row>
    <row r="533" spans="4:8" x14ac:dyDescent="0.25">
      <c r="D533" s="11"/>
      <c r="G533" s="152"/>
      <c r="H533" s="330"/>
    </row>
    <row r="534" spans="4:8" x14ac:dyDescent="0.25">
      <c r="D534" s="11"/>
      <c r="G534" s="152"/>
      <c r="H534" s="330"/>
    </row>
    <row r="535" spans="4:8" x14ac:dyDescent="0.25">
      <c r="D535" s="11"/>
      <c r="G535" s="152"/>
      <c r="H535" s="330"/>
    </row>
    <row r="536" spans="4:8" x14ac:dyDescent="0.25">
      <c r="D536" s="11"/>
      <c r="G536" s="152"/>
      <c r="H536" s="330"/>
    </row>
    <row r="537" spans="4:8" x14ac:dyDescent="0.25">
      <c r="D537" s="11"/>
      <c r="G537" s="152"/>
      <c r="H537" s="330"/>
    </row>
    <row r="538" spans="4:8" x14ac:dyDescent="0.25">
      <c r="D538" s="11"/>
      <c r="G538" s="152"/>
      <c r="H538" s="330"/>
    </row>
    <row r="539" spans="4:8" x14ac:dyDescent="0.25">
      <c r="D539" s="11"/>
      <c r="G539" s="152"/>
      <c r="H539" s="330"/>
    </row>
    <row r="540" spans="4:8" x14ac:dyDescent="0.25">
      <c r="D540" s="11"/>
      <c r="G540" s="152"/>
      <c r="H540" s="330"/>
    </row>
    <row r="541" spans="4:8" x14ac:dyDescent="0.25">
      <c r="D541" s="11"/>
      <c r="G541" s="152"/>
      <c r="H541" s="330"/>
    </row>
    <row r="542" spans="4:8" x14ac:dyDescent="0.25">
      <c r="D542" s="11"/>
      <c r="G542" s="152"/>
      <c r="H542" s="330"/>
    </row>
    <row r="543" spans="4:8" x14ac:dyDescent="0.25">
      <c r="D543" s="11"/>
      <c r="G543" s="152"/>
      <c r="H543" s="330"/>
    </row>
    <row r="544" spans="4:8" x14ac:dyDescent="0.25">
      <c r="D544" s="11"/>
      <c r="G544" s="152"/>
      <c r="H544" s="330"/>
    </row>
    <row r="545" spans="4:8" x14ac:dyDescent="0.25">
      <c r="D545" s="11"/>
      <c r="G545" s="152"/>
      <c r="H545" s="330"/>
    </row>
    <row r="546" spans="4:8" x14ac:dyDescent="0.25">
      <c r="D546" s="11"/>
      <c r="G546" s="152"/>
      <c r="H546" s="330"/>
    </row>
    <row r="547" spans="4:8" x14ac:dyDescent="0.25">
      <c r="D547" s="11"/>
      <c r="G547" s="152"/>
      <c r="H547" s="330"/>
    </row>
    <row r="548" spans="4:8" x14ac:dyDescent="0.25">
      <c r="D548" s="11"/>
      <c r="G548" s="152"/>
      <c r="H548" s="330"/>
    </row>
    <row r="549" spans="4:8" x14ac:dyDescent="0.25">
      <c r="D549" s="11"/>
      <c r="G549" s="152"/>
      <c r="H549" s="330"/>
    </row>
    <row r="550" spans="4:8" x14ac:dyDescent="0.25">
      <c r="D550" s="11"/>
      <c r="G550" s="152"/>
      <c r="H550" s="330"/>
    </row>
    <row r="551" spans="4:8" x14ac:dyDescent="0.25">
      <c r="D551" s="11"/>
      <c r="G551" s="152"/>
      <c r="H551" s="330"/>
    </row>
    <row r="552" spans="4:8" x14ac:dyDescent="0.25">
      <c r="D552" s="11"/>
      <c r="G552" s="152"/>
      <c r="H552" s="330"/>
    </row>
    <row r="553" spans="4:8" x14ac:dyDescent="0.25">
      <c r="D553" s="11"/>
      <c r="G553" s="152"/>
      <c r="H553" s="330"/>
    </row>
    <row r="554" spans="4:8" x14ac:dyDescent="0.25">
      <c r="D554" s="11"/>
      <c r="G554" s="152"/>
      <c r="H554" s="330"/>
    </row>
    <row r="555" spans="4:8" x14ac:dyDescent="0.25">
      <c r="D555" s="11"/>
      <c r="G555" s="152"/>
      <c r="H555" s="330"/>
    </row>
    <row r="556" spans="4:8" x14ac:dyDescent="0.25">
      <c r="D556" s="11"/>
      <c r="G556" s="152"/>
      <c r="H556" s="330"/>
    </row>
    <row r="557" spans="4:8" x14ac:dyDescent="0.25">
      <c r="D557" s="11"/>
      <c r="G557" s="152"/>
      <c r="H557" s="330"/>
    </row>
    <row r="558" spans="4:8" x14ac:dyDescent="0.25">
      <c r="D558" s="11"/>
      <c r="G558" s="152"/>
      <c r="H558" s="330"/>
    </row>
    <row r="559" spans="4:8" x14ac:dyDescent="0.25">
      <c r="D559" s="11"/>
      <c r="G559" s="152"/>
      <c r="H559" s="330"/>
    </row>
    <row r="560" spans="4:8" x14ac:dyDescent="0.25">
      <c r="D560" s="11"/>
      <c r="G560" s="152"/>
      <c r="H560" s="330"/>
    </row>
    <row r="561" spans="4:8" x14ac:dyDescent="0.25">
      <c r="D561" s="11"/>
      <c r="G561" s="152"/>
      <c r="H561" s="330"/>
    </row>
    <row r="562" spans="4:8" x14ac:dyDescent="0.25">
      <c r="D562" s="11"/>
      <c r="G562" s="152"/>
      <c r="H562" s="330"/>
    </row>
    <row r="563" spans="4:8" x14ac:dyDescent="0.25">
      <c r="D563" s="11"/>
      <c r="G563" s="152"/>
      <c r="H563" s="330"/>
    </row>
    <row r="564" spans="4:8" x14ac:dyDescent="0.25">
      <c r="D564" s="11"/>
      <c r="G564" s="152"/>
      <c r="H564" s="330"/>
    </row>
    <row r="565" spans="4:8" x14ac:dyDescent="0.25">
      <c r="D565" s="11"/>
      <c r="G565" s="152"/>
      <c r="H565" s="330"/>
    </row>
    <row r="566" spans="4:8" x14ac:dyDescent="0.25">
      <c r="D566" s="11"/>
      <c r="G566" s="152"/>
      <c r="H566" s="330"/>
    </row>
    <row r="567" spans="4:8" x14ac:dyDescent="0.25">
      <c r="D567" s="11"/>
      <c r="G567" s="152"/>
      <c r="H567" s="330"/>
    </row>
    <row r="568" spans="4:8" x14ac:dyDescent="0.25">
      <c r="D568" s="11"/>
      <c r="G568" s="152"/>
      <c r="H568" s="330"/>
    </row>
    <row r="569" spans="4:8" x14ac:dyDescent="0.25">
      <c r="D569" s="11"/>
      <c r="G569" s="152"/>
      <c r="H569" s="330"/>
    </row>
    <row r="570" spans="4:8" x14ac:dyDescent="0.25">
      <c r="D570" s="11"/>
      <c r="G570" s="152"/>
      <c r="H570" s="330"/>
    </row>
    <row r="571" spans="4:8" x14ac:dyDescent="0.25">
      <c r="D571" s="11"/>
      <c r="G571" s="152"/>
      <c r="H571" s="330"/>
    </row>
    <row r="572" spans="4:8" x14ac:dyDescent="0.25">
      <c r="D572" s="11"/>
      <c r="G572" s="152"/>
      <c r="H572" s="330"/>
    </row>
    <row r="573" spans="4:8" x14ac:dyDescent="0.25">
      <c r="D573" s="11"/>
      <c r="G573" s="152"/>
      <c r="H573" s="330"/>
    </row>
    <row r="574" spans="4:8" x14ac:dyDescent="0.25">
      <c r="D574" s="11"/>
      <c r="G574" s="152"/>
      <c r="H574" s="330"/>
    </row>
    <row r="575" spans="4:8" x14ac:dyDescent="0.25">
      <c r="D575" s="11"/>
      <c r="G575" s="152"/>
      <c r="H575" s="330"/>
    </row>
    <row r="576" spans="4:8" x14ac:dyDescent="0.25">
      <c r="D576" s="11"/>
      <c r="G576" s="152"/>
      <c r="H576" s="330"/>
    </row>
    <row r="577" spans="4:8" x14ac:dyDescent="0.25">
      <c r="D577" s="11"/>
      <c r="G577" s="152"/>
      <c r="H577" s="330"/>
    </row>
    <row r="578" spans="4:8" x14ac:dyDescent="0.25">
      <c r="D578" s="11"/>
      <c r="G578" s="152"/>
      <c r="H578" s="330"/>
    </row>
    <row r="579" spans="4:8" x14ac:dyDescent="0.25">
      <c r="D579" s="11"/>
      <c r="G579" s="152"/>
      <c r="H579" s="330"/>
    </row>
    <row r="580" spans="4:8" x14ac:dyDescent="0.25">
      <c r="D580" s="11"/>
      <c r="G580" s="152"/>
      <c r="H580" s="330"/>
    </row>
    <row r="581" spans="4:8" x14ac:dyDescent="0.25">
      <c r="D581" s="11"/>
      <c r="G581" s="152"/>
      <c r="H581" s="330"/>
    </row>
    <row r="582" spans="4:8" x14ac:dyDescent="0.25">
      <c r="D582" s="11"/>
      <c r="G582" s="152"/>
      <c r="H582" s="330"/>
    </row>
    <row r="583" spans="4:8" x14ac:dyDescent="0.25">
      <c r="D583" s="11"/>
      <c r="G583" s="152"/>
      <c r="H583" s="330"/>
    </row>
    <row r="584" spans="4:8" x14ac:dyDescent="0.25">
      <c r="D584" s="11"/>
      <c r="G584" s="152"/>
      <c r="H584" s="330"/>
    </row>
    <row r="585" spans="4:8" x14ac:dyDescent="0.25">
      <c r="D585" s="11"/>
      <c r="G585" s="152"/>
      <c r="H585" s="330"/>
    </row>
    <row r="586" spans="4:8" x14ac:dyDescent="0.25">
      <c r="D586" s="11"/>
      <c r="G586" s="152"/>
      <c r="H586" s="330"/>
    </row>
    <row r="587" spans="4:8" x14ac:dyDescent="0.25">
      <c r="D587" s="11"/>
      <c r="G587" s="152"/>
      <c r="H587" s="330"/>
    </row>
    <row r="588" spans="4:8" x14ac:dyDescent="0.25">
      <c r="D588" s="11"/>
      <c r="G588" s="152"/>
      <c r="H588" s="330"/>
    </row>
    <row r="589" spans="4:8" x14ac:dyDescent="0.25">
      <c r="D589" s="11"/>
      <c r="G589" s="152"/>
      <c r="H589" s="330"/>
    </row>
    <row r="590" spans="4:8" x14ac:dyDescent="0.25">
      <c r="D590" s="11"/>
      <c r="G590" s="152"/>
      <c r="H590" s="330"/>
    </row>
    <row r="591" spans="4:8" x14ac:dyDescent="0.25">
      <c r="D591" s="11"/>
      <c r="G591" s="152"/>
      <c r="H591" s="330"/>
    </row>
    <row r="592" spans="4:8" x14ac:dyDescent="0.25">
      <c r="D592" s="11"/>
      <c r="G592" s="152"/>
      <c r="H592" s="330"/>
    </row>
    <row r="593" spans="4:8" x14ac:dyDescent="0.25">
      <c r="D593" s="11"/>
      <c r="G593" s="152"/>
      <c r="H593" s="330"/>
    </row>
    <row r="594" spans="4:8" x14ac:dyDescent="0.25">
      <c r="D594" s="11"/>
      <c r="G594" s="152"/>
      <c r="H594" s="330"/>
    </row>
    <row r="595" spans="4:8" x14ac:dyDescent="0.25">
      <c r="D595" s="11"/>
      <c r="G595" s="152"/>
      <c r="H595" s="330"/>
    </row>
    <row r="596" spans="4:8" x14ac:dyDescent="0.25">
      <c r="D596" s="11"/>
      <c r="G596" s="152"/>
      <c r="H596" s="330"/>
    </row>
    <row r="597" spans="4:8" x14ac:dyDescent="0.25">
      <c r="D597" s="11"/>
      <c r="G597" s="152"/>
      <c r="H597" s="330"/>
    </row>
    <row r="598" spans="4:8" x14ac:dyDescent="0.25">
      <c r="D598" s="11"/>
      <c r="G598" s="152"/>
      <c r="H598" s="330"/>
    </row>
    <row r="599" spans="4:8" x14ac:dyDescent="0.25">
      <c r="D599" s="11"/>
      <c r="G599" s="152"/>
      <c r="H599" s="330"/>
    </row>
    <row r="600" spans="4:8" x14ac:dyDescent="0.25">
      <c r="D600" s="11"/>
      <c r="G600" s="152"/>
      <c r="H600" s="330"/>
    </row>
    <row r="601" spans="4:8" x14ac:dyDescent="0.25">
      <c r="D601" s="11"/>
      <c r="G601" s="152"/>
      <c r="H601" s="330"/>
    </row>
    <row r="602" spans="4:8" x14ac:dyDescent="0.25">
      <c r="D602" s="11"/>
      <c r="G602" s="152"/>
      <c r="H602" s="330"/>
    </row>
    <row r="603" spans="4:8" x14ac:dyDescent="0.25">
      <c r="D603" s="11"/>
      <c r="G603" s="152"/>
      <c r="H603" s="330"/>
    </row>
    <row r="604" spans="4:8" x14ac:dyDescent="0.25">
      <c r="D604" s="11"/>
      <c r="G604" s="152"/>
      <c r="H604" s="330"/>
    </row>
    <row r="605" spans="4:8" x14ac:dyDescent="0.25">
      <c r="D605" s="11"/>
      <c r="G605" s="152"/>
      <c r="H605" s="330"/>
    </row>
    <row r="606" spans="4:8" x14ac:dyDescent="0.25">
      <c r="D606" s="11"/>
      <c r="G606" s="152"/>
      <c r="H606" s="330"/>
    </row>
    <row r="607" spans="4:8" x14ac:dyDescent="0.25">
      <c r="D607" s="11"/>
      <c r="G607" s="152"/>
      <c r="H607" s="330"/>
    </row>
    <row r="608" spans="4:8" x14ac:dyDescent="0.25">
      <c r="D608" s="11"/>
      <c r="G608" s="152"/>
      <c r="H608" s="330"/>
    </row>
    <row r="609" spans="4:8" x14ac:dyDescent="0.25">
      <c r="D609" s="11"/>
      <c r="G609" s="152"/>
      <c r="H609" s="330"/>
    </row>
    <row r="610" spans="4:8" x14ac:dyDescent="0.25">
      <c r="D610" s="11"/>
      <c r="G610" s="152"/>
      <c r="H610" s="330"/>
    </row>
    <row r="611" spans="4:8" x14ac:dyDescent="0.25">
      <c r="D611" s="11"/>
      <c r="G611" s="152"/>
      <c r="H611" s="330"/>
    </row>
    <row r="612" spans="4:8" x14ac:dyDescent="0.25">
      <c r="D612" s="11"/>
      <c r="G612" s="152"/>
      <c r="H612" s="330"/>
    </row>
    <row r="613" spans="4:8" x14ac:dyDescent="0.25">
      <c r="D613" s="11"/>
      <c r="G613" s="152"/>
      <c r="H613" s="330"/>
    </row>
    <row r="614" spans="4:8" x14ac:dyDescent="0.25">
      <c r="D614" s="11"/>
      <c r="G614" s="152"/>
      <c r="H614" s="330"/>
    </row>
    <row r="615" spans="4:8" x14ac:dyDescent="0.25">
      <c r="D615" s="11"/>
      <c r="G615" s="152"/>
      <c r="H615" s="330"/>
    </row>
    <row r="616" spans="4:8" x14ac:dyDescent="0.25">
      <c r="D616" s="11"/>
      <c r="G616" s="152"/>
      <c r="H616" s="330"/>
    </row>
    <row r="617" spans="4:8" x14ac:dyDescent="0.25">
      <c r="D617" s="11"/>
      <c r="G617" s="152"/>
      <c r="H617" s="330"/>
    </row>
    <row r="618" spans="4:8" x14ac:dyDescent="0.25">
      <c r="D618" s="11"/>
      <c r="G618" s="152"/>
      <c r="H618" s="330"/>
    </row>
    <row r="619" spans="4:8" x14ac:dyDescent="0.25">
      <c r="D619" s="11"/>
      <c r="G619" s="152"/>
      <c r="H619" s="330"/>
    </row>
    <row r="620" spans="4:8" x14ac:dyDescent="0.25">
      <c r="D620" s="11"/>
      <c r="G620" s="152"/>
      <c r="H620" s="330"/>
    </row>
    <row r="621" spans="4:8" x14ac:dyDescent="0.25">
      <c r="D621" s="11"/>
      <c r="G621" s="152"/>
      <c r="H621" s="330"/>
    </row>
    <row r="622" spans="4:8" x14ac:dyDescent="0.25">
      <c r="D622" s="11"/>
      <c r="G622" s="152"/>
      <c r="H622" s="330"/>
    </row>
    <row r="623" spans="4:8" x14ac:dyDescent="0.25">
      <c r="D623" s="11"/>
      <c r="G623" s="152"/>
      <c r="H623" s="330"/>
    </row>
    <row r="624" spans="4:8" x14ac:dyDescent="0.25">
      <c r="D624" s="11"/>
      <c r="G624" s="152"/>
      <c r="H624" s="330"/>
    </row>
    <row r="625" spans="4:8" x14ac:dyDescent="0.25">
      <c r="D625" s="11"/>
      <c r="G625" s="152"/>
      <c r="H625" s="330"/>
    </row>
    <row r="626" spans="4:8" x14ac:dyDescent="0.25">
      <c r="D626" s="11"/>
      <c r="G626" s="152"/>
      <c r="H626" s="330"/>
    </row>
    <row r="627" spans="4:8" x14ac:dyDescent="0.25">
      <c r="D627" s="11"/>
      <c r="G627" s="152"/>
      <c r="H627" s="330"/>
    </row>
    <row r="628" spans="4:8" x14ac:dyDescent="0.25">
      <c r="D628" s="11"/>
      <c r="G628" s="152"/>
      <c r="H628" s="330"/>
    </row>
    <row r="629" spans="4:8" x14ac:dyDescent="0.25">
      <c r="D629" s="11"/>
      <c r="G629" s="152"/>
      <c r="H629" s="330"/>
    </row>
    <row r="630" spans="4:8" x14ac:dyDescent="0.25">
      <c r="D630" s="11"/>
      <c r="G630" s="152"/>
      <c r="H630" s="330"/>
    </row>
    <row r="631" spans="4:8" x14ac:dyDescent="0.25">
      <c r="D631" s="11"/>
      <c r="G631" s="152"/>
      <c r="H631" s="330"/>
    </row>
    <row r="632" spans="4:8" x14ac:dyDescent="0.25">
      <c r="D632" s="11"/>
      <c r="G632" s="152"/>
      <c r="H632" s="330"/>
    </row>
    <row r="633" spans="4:8" x14ac:dyDescent="0.25">
      <c r="D633" s="11"/>
      <c r="G633" s="152"/>
      <c r="H633" s="330"/>
    </row>
    <row r="634" spans="4:8" x14ac:dyDescent="0.25">
      <c r="D634" s="11"/>
      <c r="G634" s="152"/>
      <c r="H634" s="330"/>
    </row>
    <row r="635" spans="4:8" x14ac:dyDescent="0.25">
      <c r="D635" s="11"/>
      <c r="G635" s="152"/>
      <c r="H635" s="330"/>
    </row>
    <row r="636" spans="4:8" x14ac:dyDescent="0.25">
      <c r="D636" s="11"/>
      <c r="G636" s="152"/>
      <c r="H636" s="330"/>
    </row>
    <row r="637" spans="4:8" x14ac:dyDescent="0.25">
      <c r="D637" s="11"/>
      <c r="G637" s="152"/>
      <c r="H637" s="330"/>
    </row>
    <row r="638" spans="4:8" x14ac:dyDescent="0.25">
      <c r="D638" s="11"/>
      <c r="G638" s="152"/>
      <c r="H638" s="330"/>
    </row>
    <row r="639" spans="4:8" x14ac:dyDescent="0.25">
      <c r="D639" s="11"/>
      <c r="G639" s="152"/>
      <c r="H639" s="330"/>
    </row>
    <row r="640" spans="4:8" x14ac:dyDescent="0.25">
      <c r="D640" s="11"/>
      <c r="G640" s="152"/>
      <c r="H640" s="330"/>
    </row>
    <row r="641" spans="4:8" x14ac:dyDescent="0.25">
      <c r="D641" s="11"/>
      <c r="G641" s="152"/>
      <c r="H641" s="330"/>
    </row>
    <row r="642" spans="4:8" x14ac:dyDescent="0.25">
      <c r="D642" s="11"/>
      <c r="G642" s="152"/>
      <c r="H642" s="330"/>
    </row>
    <row r="643" spans="4:8" x14ac:dyDescent="0.25">
      <c r="D643" s="11"/>
      <c r="G643" s="152"/>
      <c r="H643" s="330"/>
    </row>
    <row r="644" spans="4:8" x14ac:dyDescent="0.25">
      <c r="D644" s="11"/>
      <c r="G644" s="152"/>
      <c r="H644" s="330"/>
    </row>
    <row r="645" spans="4:8" x14ac:dyDescent="0.25">
      <c r="D645" s="11"/>
      <c r="G645" s="152"/>
      <c r="H645" s="330"/>
    </row>
    <row r="646" spans="4:8" x14ac:dyDescent="0.25">
      <c r="D646" s="11"/>
      <c r="G646" s="152"/>
      <c r="H646" s="330"/>
    </row>
    <row r="647" spans="4:8" x14ac:dyDescent="0.25">
      <c r="D647" s="11"/>
      <c r="G647" s="152"/>
      <c r="H647" s="330"/>
    </row>
    <row r="648" spans="4:8" x14ac:dyDescent="0.25">
      <c r="D648" s="11"/>
      <c r="G648" s="152"/>
      <c r="H648" s="330"/>
    </row>
    <row r="649" spans="4:8" x14ac:dyDescent="0.25">
      <c r="D649" s="11"/>
      <c r="G649" s="152"/>
      <c r="H649" s="330"/>
    </row>
    <row r="650" spans="4:8" x14ac:dyDescent="0.25">
      <c r="D650" s="11"/>
      <c r="G650" s="152"/>
      <c r="H650" s="330"/>
    </row>
    <row r="651" spans="4:8" x14ac:dyDescent="0.25">
      <c r="D651" s="11"/>
      <c r="G651" s="152"/>
      <c r="H651" s="330"/>
    </row>
    <row r="652" spans="4:8" x14ac:dyDescent="0.25">
      <c r="D652" s="11"/>
      <c r="G652" s="152"/>
      <c r="H652" s="330"/>
    </row>
    <row r="653" spans="4:8" x14ac:dyDescent="0.25">
      <c r="D653" s="11"/>
      <c r="G653" s="152"/>
      <c r="H653" s="330"/>
    </row>
    <row r="654" spans="4:8" x14ac:dyDescent="0.25">
      <c r="D654" s="11"/>
      <c r="G654" s="152"/>
      <c r="H654" s="330"/>
    </row>
    <row r="655" spans="4:8" x14ac:dyDescent="0.25">
      <c r="D655" s="11"/>
      <c r="G655" s="152"/>
      <c r="H655" s="330"/>
    </row>
    <row r="656" spans="4:8" x14ac:dyDescent="0.25">
      <c r="D656" s="11"/>
      <c r="G656" s="152"/>
      <c r="H656" s="330"/>
    </row>
    <row r="657" spans="4:8" x14ac:dyDescent="0.25">
      <c r="D657" s="11"/>
      <c r="G657" s="152"/>
      <c r="H657" s="330"/>
    </row>
    <row r="658" spans="4:8" x14ac:dyDescent="0.25">
      <c r="D658" s="11"/>
      <c r="G658" s="152"/>
      <c r="H658" s="330"/>
    </row>
    <row r="659" spans="4:8" x14ac:dyDescent="0.25">
      <c r="D659" s="11"/>
      <c r="G659" s="152"/>
      <c r="H659" s="330"/>
    </row>
    <row r="660" spans="4:8" x14ac:dyDescent="0.25">
      <c r="D660" s="11"/>
      <c r="G660" s="152"/>
      <c r="H660" s="330"/>
    </row>
    <row r="661" spans="4:8" x14ac:dyDescent="0.25">
      <c r="D661" s="11"/>
      <c r="G661" s="152"/>
      <c r="H661" s="330"/>
    </row>
    <row r="662" spans="4:8" x14ac:dyDescent="0.25">
      <c r="D662" s="11"/>
      <c r="G662" s="152"/>
      <c r="H662" s="330"/>
    </row>
    <row r="663" spans="4:8" x14ac:dyDescent="0.25">
      <c r="D663" s="11"/>
      <c r="G663" s="152"/>
      <c r="H663" s="330"/>
    </row>
    <row r="664" spans="4:8" x14ac:dyDescent="0.25">
      <c r="D664" s="11"/>
      <c r="G664" s="152"/>
      <c r="H664" s="330"/>
    </row>
    <row r="665" spans="4:8" x14ac:dyDescent="0.25">
      <c r="D665" s="11"/>
      <c r="G665" s="152"/>
      <c r="H665" s="330"/>
    </row>
    <row r="666" spans="4:8" x14ac:dyDescent="0.25">
      <c r="D666" s="11"/>
      <c r="G666" s="152"/>
      <c r="H666" s="330"/>
    </row>
    <row r="667" spans="4:8" x14ac:dyDescent="0.25">
      <c r="D667" s="11"/>
      <c r="G667" s="152"/>
      <c r="H667" s="330"/>
    </row>
    <row r="668" spans="4:8" x14ac:dyDescent="0.25">
      <c r="D668" s="11"/>
      <c r="G668" s="152"/>
      <c r="H668" s="330"/>
    </row>
    <row r="669" spans="4:8" x14ac:dyDescent="0.25">
      <c r="D669" s="11"/>
      <c r="G669" s="152"/>
      <c r="H669" s="330"/>
    </row>
    <row r="670" spans="4:8" x14ac:dyDescent="0.25">
      <c r="D670" s="11"/>
      <c r="G670" s="152"/>
      <c r="H670" s="330"/>
    </row>
    <row r="671" spans="4:8" x14ac:dyDescent="0.25">
      <c r="D671" s="11"/>
      <c r="G671" s="152"/>
      <c r="H671" s="330"/>
    </row>
    <row r="672" spans="4:8" x14ac:dyDescent="0.25">
      <c r="D672" s="11"/>
      <c r="G672" s="152"/>
      <c r="H672" s="330"/>
    </row>
    <row r="673" spans="4:8" x14ac:dyDescent="0.25">
      <c r="D673" s="11"/>
      <c r="G673" s="152"/>
      <c r="H673" s="330"/>
    </row>
    <row r="674" spans="4:8" x14ac:dyDescent="0.25">
      <c r="D674" s="11"/>
      <c r="G674" s="152"/>
      <c r="H674" s="330"/>
    </row>
    <row r="675" spans="4:8" x14ac:dyDescent="0.25">
      <c r="D675" s="11"/>
      <c r="G675" s="152"/>
      <c r="H675" s="330"/>
    </row>
    <row r="676" spans="4:8" x14ac:dyDescent="0.25">
      <c r="D676" s="11"/>
      <c r="G676" s="152"/>
      <c r="H676" s="330"/>
    </row>
    <row r="677" spans="4:8" x14ac:dyDescent="0.25">
      <c r="D677" s="11"/>
      <c r="G677" s="152"/>
      <c r="H677" s="330"/>
    </row>
    <row r="678" spans="4:8" x14ac:dyDescent="0.25">
      <c r="D678" s="11"/>
      <c r="G678" s="152"/>
      <c r="H678" s="330"/>
    </row>
    <row r="679" spans="4:8" x14ac:dyDescent="0.25">
      <c r="D679" s="11"/>
      <c r="G679" s="152"/>
      <c r="H679" s="330"/>
    </row>
    <row r="680" spans="4:8" x14ac:dyDescent="0.25">
      <c r="D680" s="11"/>
      <c r="G680" s="152"/>
      <c r="H680" s="330"/>
    </row>
    <row r="681" spans="4:8" x14ac:dyDescent="0.25">
      <c r="D681" s="11"/>
      <c r="G681" s="152"/>
      <c r="H681" s="330"/>
    </row>
    <row r="682" spans="4:8" x14ac:dyDescent="0.25">
      <c r="D682" s="11"/>
      <c r="G682" s="152"/>
      <c r="H682" s="330"/>
    </row>
    <row r="683" spans="4:8" x14ac:dyDescent="0.25">
      <c r="D683" s="11"/>
      <c r="G683" s="152"/>
      <c r="H683" s="330"/>
    </row>
    <row r="684" spans="4:8" x14ac:dyDescent="0.25">
      <c r="D684" s="11"/>
      <c r="G684" s="152"/>
      <c r="H684" s="330"/>
    </row>
    <row r="685" spans="4:8" x14ac:dyDescent="0.25">
      <c r="D685" s="11"/>
      <c r="G685" s="152"/>
      <c r="H685" s="330"/>
    </row>
    <row r="686" spans="4:8" x14ac:dyDescent="0.25">
      <c r="D686" s="11"/>
      <c r="G686" s="152"/>
      <c r="H686" s="330"/>
    </row>
    <row r="687" spans="4:8" x14ac:dyDescent="0.25">
      <c r="D687" s="11"/>
      <c r="G687" s="152"/>
      <c r="H687" s="330"/>
    </row>
    <row r="688" spans="4:8" x14ac:dyDescent="0.25">
      <c r="D688" s="11"/>
      <c r="G688" s="152"/>
      <c r="H688" s="330"/>
    </row>
    <row r="689" spans="4:8" x14ac:dyDescent="0.25">
      <c r="D689" s="11"/>
      <c r="G689" s="152"/>
      <c r="H689" s="330"/>
    </row>
    <row r="690" spans="4:8" x14ac:dyDescent="0.25">
      <c r="D690" s="11"/>
      <c r="G690" s="152"/>
      <c r="H690" s="330"/>
    </row>
    <row r="691" spans="4:8" x14ac:dyDescent="0.25">
      <c r="D691" s="11"/>
      <c r="G691" s="152"/>
      <c r="H691" s="330"/>
    </row>
    <row r="692" spans="4:8" x14ac:dyDescent="0.25">
      <c r="D692" s="11"/>
      <c r="G692" s="152"/>
      <c r="H692" s="330"/>
    </row>
    <row r="693" spans="4:8" x14ac:dyDescent="0.25">
      <c r="D693" s="11"/>
      <c r="G693" s="152"/>
      <c r="H693" s="330"/>
    </row>
    <row r="694" spans="4:8" x14ac:dyDescent="0.25">
      <c r="D694" s="11"/>
      <c r="G694" s="152"/>
      <c r="H694" s="330"/>
    </row>
    <row r="695" spans="4:8" x14ac:dyDescent="0.25">
      <c r="D695" s="11"/>
      <c r="G695" s="152"/>
      <c r="H695" s="330"/>
    </row>
    <row r="696" spans="4:8" x14ac:dyDescent="0.25">
      <c r="D696" s="11"/>
      <c r="G696" s="152"/>
      <c r="H696" s="330"/>
    </row>
    <row r="697" spans="4:8" x14ac:dyDescent="0.25">
      <c r="D697" s="11"/>
      <c r="G697" s="152"/>
      <c r="H697" s="330"/>
    </row>
    <row r="698" spans="4:8" x14ac:dyDescent="0.25">
      <c r="D698" s="11"/>
      <c r="G698" s="152"/>
      <c r="H698" s="330"/>
    </row>
    <row r="699" spans="4:8" x14ac:dyDescent="0.25">
      <c r="D699" s="11"/>
      <c r="G699" s="152"/>
      <c r="H699" s="330"/>
    </row>
    <row r="700" spans="4:8" x14ac:dyDescent="0.25">
      <c r="D700" s="11"/>
      <c r="G700" s="152"/>
      <c r="H700" s="330"/>
    </row>
    <row r="701" spans="4:8" x14ac:dyDescent="0.25">
      <c r="D701" s="11"/>
      <c r="G701" s="152"/>
      <c r="H701" s="330"/>
    </row>
    <row r="702" spans="4:8" x14ac:dyDescent="0.25">
      <c r="D702" s="11"/>
      <c r="G702" s="152"/>
      <c r="H702" s="330"/>
    </row>
    <row r="703" spans="4:8" x14ac:dyDescent="0.25">
      <c r="D703" s="11"/>
      <c r="G703" s="152"/>
      <c r="H703" s="330"/>
    </row>
    <row r="704" spans="4:8" x14ac:dyDescent="0.25">
      <c r="D704" s="11"/>
      <c r="G704" s="152"/>
      <c r="H704" s="330"/>
    </row>
    <row r="705" spans="4:8" x14ac:dyDescent="0.25">
      <c r="D705" s="11"/>
      <c r="G705" s="152"/>
      <c r="H705" s="330"/>
    </row>
    <row r="706" spans="4:8" x14ac:dyDescent="0.25">
      <c r="D706" s="11"/>
      <c r="G706" s="152"/>
      <c r="H706" s="330"/>
    </row>
    <row r="707" spans="4:8" x14ac:dyDescent="0.25">
      <c r="D707" s="11"/>
      <c r="G707" s="152"/>
      <c r="H707" s="330"/>
    </row>
    <row r="708" spans="4:8" x14ac:dyDescent="0.25">
      <c r="D708" s="11"/>
      <c r="G708" s="152"/>
      <c r="H708" s="330"/>
    </row>
    <row r="709" spans="4:8" x14ac:dyDescent="0.25">
      <c r="D709" s="11"/>
      <c r="G709" s="152"/>
      <c r="H709" s="330"/>
    </row>
    <row r="710" spans="4:8" x14ac:dyDescent="0.25">
      <c r="D710" s="11"/>
      <c r="G710" s="152"/>
      <c r="H710" s="330"/>
    </row>
    <row r="711" spans="4:8" x14ac:dyDescent="0.25">
      <c r="D711" s="11"/>
      <c r="G711" s="152"/>
      <c r="H711" s="330"/>
    </row>
    <row r="712" spans="4:8" x14ac:dyDescent="0.25">
      <c r="D712" s="11"/>
      <c r="G712" s="152"/>
      <c r="H712" s="330"/>
    </row>
    <row r="713" spans="4:8" x14ac:dyDescent="0.25">
      <c r="D713" s="11"/>
      <c r="G713" s="152"/>
      <c r="H713" s="330"/>
    </row>
    <row r="714" spans="4:8" x14ac:dyDescent="0.25">
      <c r="D714" s="11"/>
      <c r="G714" s="152"/>
      <c r="H714" s="330"/>
    </row>
    <row r="715" spans="4:8" x14ac:dyDescent="0.25">
      <c r="D715" s="11"/>
      <c r="G715" s="152"/>
      <c r="H715" s="330"/>
    </row>
    <row r="716" spans="4:8" x14ac:dyDescent="0.25">
      <c r="D716" s="11"/>
      <c r="G716" s="152"/>
      <c r="H716" s="330"/>
    </row>
    <row r="717" spans="4:8" x14ac:dyDescent="0.25">
      <c r="D717" s="11"/>
      <c r="G717" s="152"/>
      <c r="H717" s="330"/>
    </row>
    <row r="718" spans="4:8" x14ac:dyDescent="0.25">
      <c r="D718" s="11"/>
      <c r="G718" s="152"/>
      <c r="H718" s="330"/>
    </row>
    <row r="719" spans="4:8" x14ac:dyDescent="0.25">
      <c r="D719" s="11"/>
      <c r="G719" s="152"/>
      <c r="H719" s="330"/>
    </row>
    <row r="720" spans="4:8" x14ac:dyDescent="0.25">
      <c r="D720" s="11"/>
      <c r="G720" s="152"/>
      <c r="H720" s="330"/>
    </row>
    <row r="721" spans="4:8" x14ac:dyDescent="0.25">
      <c r="D721" s="11"/>
      <c r="G721" s="152"/>
      <c r="H721" s="330"/>
    </row>
    <row r="722" spans="4:8" x14ac:dyDescent="0.25">
      <c r="D722" s="11"/>
      <c r="G722" s="152"/>
      <c r="H722" s="330"/>
    </row>
    <row r="723" spans="4:8" x14ac:dyDescent="0.25">
      <c r="D723" s="11"/>
      <c r="G723" s="152"/>
      <c r="H723" s="330"/>
    </row>
    <row r="724" spans="4:8" x14ac:dyDescent="0.25">
      <c r="D724" s="11"/>
      <c r="G724" s="152"/>
      <c r="H724" s="330"/>
    </row>
    <row r="725" spans="4:8" x14ac:dyDescent="0.25">
      <c r="D725" s="11"/>
      <c r="G725" s="152"/>
      <c r="H725" s="330"/>
    </row>
    <row r="726" spans="4:8" x14ac:dyDescent="0.25">
      <c r="D726" s="11"/>
      <c r="G726" s="152"/>
      <c r="H726" s="330"/>
    </row>
    <row r="727" spans="4:8" x14ac:dyDescent="0.25">
      <c r="D727" s="11"/>
      <c r="G727" s="152"/>
      <c r="H727" s="330"/>
    </row>
    <row r="728" spans="4:8" x14ac:dyDescent="0.25">
      <c r="D728" s="11"/>
      <c r="G728" s="152"/>
      <c r="H728" s="330"/>
    </row>
    <row r="729" spans="4:8" x14ac:dyDescent="0.25">
      <c r="D729" s="11"/>
      <c r="G729" s="152"/>
      <c r="H729" s="330"/>
    </row>
    <row r="730" spans="4:8" x14ac:dyDescent="0.25">
      <c r="D730" s="11"/>
      <c r="G730" s="152"/>
      <c r="H730" s="330"/>
    </row>
    <row r="731" spans="4:8" x14ac:dyDescent="0.25">
      <c r="D731" s="11"/>
      <c r="G731" s="152"/>
      <c r="H731" s="330"/>
    </row>
    <row r="732" spans="4:8" x14ac:dyDescent="0.25">
      <c r="D732" s="11"/>
      <c r="G732" s="152"/>
      <c r="H732" s="330"/>
    </row>
    <row r="733" spans="4:8" x14ac:dyDescent="0.25">
      <c r="D733" s="11"/>
      <c r="G733" s="152"/>
      <c r="H733" s="330"/>
    </row>
    <row r="734" spans="4:8" x14ac:dyDescent="0.25">
      <c r="D734" s="11"/>
      <c r="G734" s="152"/>
      <c r="H734" s="330"/>
    </row>
    <row r="735" spans="4:8" x14ac:dyDescent="0.25">
      <c r="D735" s="11"/>
      <c r="G735" s="152"/>
      <c r="H735" s="330"/>
    </row>
    <row r="736" spans="4:8" x14ac:dyDescent="0.25">
      <c r="D736" s="11"/>
      <c r="G736" s="152"/>
      <c r="H736" s="330"/>
    </row>
    <row r="737" spans="4:8" x14ac:dyDescent="0.25">
      <c r="D737" s="11"/>
      <c r="G737" s="152"/>
      <c r="H737" s="330"/>
    </row>
    <row r="738" spans="4:8" x14ac:dyDescent="0.25">
      <c r="D738" s="11"/>
      <c r="G738" s="152"/>
      <c r="H738" s="330"/>
    </row>
    <row r="739" spans="4:8" x14ac:dyDescent="0.25">
      <c r="D739" s="11"/>
      <c r="G739" s="152"/>
      <c r="H739" s="330"/>
    </row>
    <row r="740" spans="4:8" x14ac:dyDescent="0.25">
      <c r="D740" s="11"/>
      <c r="G740" s="152"/>
      <c r="H740" s="330"/>
    </row>
    <row r="741" spans="4:8" x14ac:dyDescent="0.25">
      <c r="D741" s="11"/>
      <c r="G741" s="152"/>
      <c r="H741" s="330"/>
    </row>
    <row r="742" spans="4:8" x14ac:dyDescent="0.25">
      <c r="D742" s="11"/>
      <c r="G742" s="152"/>
      <c r="H742" s="330"/>
    </row>
    <row r="743" spans="4:8" x14ac:dyDescent="0.25">
      <c r="D743" s="11"/>
      <c r="G743" s="152"/>
      <c r="H743" s="330"/>
    </row>
    <row r="744" spans="4:8" x14ac:dyDescent="0.25">
      <c r="D744" s="11"/>
      <c r="G744" s="152"/>
      <c r="H744" s="330"/>
    </row>
    <row r="745" spans="4:8" x14ac:dyDescent="0.25">
      <c r="D745" s="11"/>
      <c r="G745" s="152"/>
      <c r="H745" s="330"/>
    </row>
    <row r="746" spans="4:8" x14ac:dyDescent="0.25">
      <c r="D746" s="11"/>
      <c r="G746" s="152"/>
      <c r="H746" s="330"/>
    </row>
    <row r="747" spans="4:8" x14ac:dyDescent="0.25">
      <c r="D747" s="11"/>
      <c r="G747" s="152"/>
      <c r="H747" s="330"/>
    </row>
    <row r="748" spans="4:8" x14ac:dyDescent="0.25">
      <c r="D748" s="11"/>
      <c r="G748" s="152"/>
      <c r="H748" s="330"/>
    </row>
    <row r="749" spans="4:8" x14ac:dyDescent="0.25">
      <c r="D749" s="11"/>
      <c r="G749" s="152"/>
      <c r="H749" s="330"/>
    </row>
    <row r="750" spans="4:8" x14ac:dyDescent="0.25">
      <c r="D750" s="11"/>
      <c r="G750" s="152"/>
      <c r="H750" s="330"/>
    </row>
    <row r="751" spans="4:8" x14ac:dyDescent="0.25">
      <c r="D751" s="11"/>
      <c r="G751" s="152"/>
      <c r="H751" s="330"/>
    </row>
    <row r="752" spans="4:8" x14ac:dyDescent="0.25">
      <c r="D752" s="11"/>
      <c r="G752" s="152"/>
      <c r="H752" s="330"/>
    </row>
    <row r="753" spans="4:8" x14ac:dyDescent="0.25">
      <c r="D753" s="11"/>
      <c r="G753" s="152"/>
      <c r="H753" s="330"/>
    </row>
    <row r="754" spans="4:8" x14ac:dyDescent="0.25">
      <c r="D754" s="11"/>
      <c r="G754" s="152"/>
      <c r="H754" s="330"/>
    </row>
    <row r="755" spans="4:8" x14ac:dyDescent="0.25">
      <c r="D755" s="11"/>
      <c r="G755" s="152"/>
      <c r="H755" s="330"/>
    </row>
    <row r="756" spans="4:8" x14ac:dyDescent="0.25">
      <c r="D756" s="11"/>
      <c r="G756" s="152"/>
      <c r="H756" s="330"/>
    </row>
    <row r="757" spans="4:8" x14ac:dyDescent="0.25">
      <c r="D757" s="11"/>
      <c r="G757" s="152"/>
      <c r="H757" s="330"/>
    </row>
    <row r="758" spans="4:8" x14ac:dyDescent="0.25">
      <c r="D758" s="11"/>
      <c r="G758" s="152"/>
      <c r="H758" s="330"/>
    </row>
    <row r="759" spans="4:8" x14ac:dyDescent="0.25">
      <c r="D759" s="11"/>
      <c r="G759" s="152"/>
      <c r="H759" s="330"/>
    </row>
    <row r="760" spans="4:8" x14ac:dyDescent="0.25">
      <c r="D760" s="11"/>
      <c r="G760" s="152"/>
      <c r="H760" s="330"/>
    </row>
    <row r="761" spans="4:8" x14ac:dyDescent="0.25">
      <c r="D761" s="11"/>
      <c r="G761" s="152"/>
      <c r="H761" s="330"/>
    </row>
    <row r="762" spans="4:8" x14ac:dyDescent="0.25">
      <c r="D762" s="11"/>
      <c r="G762" s="152"/>
      <c r="H762" s="330"/>
    </row>
    <row r="763" spans="4:8" x14ac:dyDescent="0.25">
      <c r="D763" s="11"/>
      <c r="G763" s="152"/>
      <c r="H763" s="330"/>
    </row>
    <row r="764" spans="4:8" x14ac:dyDescent="0.25">
      <c r="D764" s="11"/>
      <c r="G764" s="152"/>
      <c r="H764" s="330"/>
    </row>
    <row r="765" spans="4:8" x14ac:dyDescent="0.25">
      <c r="D765" s="11"/>
      <c r="G765" s="152"/>
      <c r="H765" s="330"/>
    </row>
    <row r="766" spans="4:8" x14ac:dyDescent="0.25">
      <c r="D766" s="11"/>
      <c r="G766" s="152"/>
      <c r="H766" s="330"/>
    </row>
    <row r="767" spans="4:8" x14ac:dyDescent="0.25">
      <c r="D767" s="11"/>
      <c r="G767" s="152"/>
      <c r="H767" s="330"/>
    </row>
    <row r="768" spans="4:8" x14ac:dyDescent="0.25">
      <c r="D768" s="11"/>
      <c r="G768" s="152"/>
      <c r="H768" s="330"/>
    </row>
    <row r="769" spans="4:8" x14ac:dyDescent="0.25">
      <c r="D769" s="11"/>
      <c r="G769" s="152"/>
      <c r="H769" s="330"/>
    </row>
    <row r="770" spans="4:8" x14ac:dyDescent="0.25">
      <c r="D770" s="11"/>
      <c r="G770" s="152"/>
      <c r="H770" s="330"/>
    </row>
    <row r="771" spans="4:8" x14ac:dyDescent="0.25">
      <c r="D771" s="11"/>
      <c r="G771" s="152"/>
      <c r="H771" s="330"/>
    </row>
    <row r="772" spans="4:8" x14ac:dyDescent="0.25">
      <c r="D772" s="11"/>
      <c r="G772" s="152"/>
      <c r="H772" s="330"/>
    </row>
    <row r="773" spans="4:8" x14ac:dyDescent="0.25">
      <c r="D773" s="11"/>
      <c r="G773" s="152"/>
      <c r="H773" s="330"/>
    </row>
    <row r="774" spans="4:8" x14ac:dyDescent="0.25">
      <c r="D774" s="11"/>
      <c r="G774" s="152"/>
      <c r="H774" s="330"/>
    </row>
    <row r="775" spans="4:8" x14ac:dyDescent="0.25">
      <c r="D775" s="11"/>
      <c r="G775" s="152"/>
      <c r="H775" s="330"/>
    </row>
    <row r="776" spans="4:8" x14ac:dyDescent="0.25">
      <c r="D776" s="11"/>
      <c r="G776" s="152"/>
      <c r="H776" s="330"/>
    </row>
    <row r="777" spans="4:8" x14ac:dyDescent="0.25">
      <c r="D777" s="11"/>
      <c r="G777" s="152"/>
      <c r="H777" s="330"/>
    </row>
    <row r="778" spans="4:8" x14ac:dyDescent="0.25">
      <c r="D778" s="11"/>
      <c r="G778" s="152"/>
      <c r="H778" s="330"/>
    </row>
    <row r="779" spans="4:8" x14ac:dyDescent="0.25">
      <c r="D779" s="11"/>
      <c r="G779" s="152"/>
      <c r="H779" s="330"/>
    </row>
    <row r="780" spans="4:8" x14ac:dyDescent="0.25">
      <c r="D780" s="11"/>
      <c r="G780" s="152"/>
      <c r="H780" s="330"/>
    </row>
    <row r="781" spans="4:8" x14ac:dyDescent="0.25">
      <c r="D781" s="11"/>
      <c r="G781" s="152"/>
      <c r="H781" s="330"/>
    </row>
    <row r="782" spans="4:8" x14ac:dyDescent="0.25">
      <c r="D782" s="11"/>
      <c r="G782" s="152"/>
      <c r="H782" s="330"/>
    </row>
    <row r="783" spans="4:8" x14ac:dyDescent="0.25">
      <c r="D783" s="11"/>
      <c r="G783" s="152"/>
      <c r="H783" s="330"/>
    </row>
    <row r="784" spans="4:8" x14ac:dyDescent="0.25">
      <c r="D784" s="11"/>
      <c r="G784" s="152"/>
      <c r="H784" s="330"/>
    </row>
    <row r="785" spans="4:8" x14ac:dyDescent="0.25">
      <c r="D785" s="11"/>
      <c r="G785" s="152"/>
      <c r="H785" s="330"/>
    </row>
    <row r="786" spans="4:8" x14ac:dyDescent="0.25">
      <c r="D786" s="11"/>
      <c r="G786" s="152"/>
      <c r="H786" s="330"/>
    </row>
    <row r="787" spans="4:8" x14ac:dyDescent="0.25">
      <c r="D787" s="11"/>
      <c r="G787" s="152"/>
      <c r="H787" s="330"/>
    </row>
    <row r="788" spans="4:8" x14ac:dyDescent="0.25">
      <c r="D788" s="11"/>
      <c r="G788" s="152"/>
      <c r="H788" s="330"/>
    </row>
    <row r="789" spans="4:8" x14ac:dyDescent="0.25">
      <c r="D789" s="11"/>
      <c r="G789" s="152"/>
      <c r="H789" s="330"/>
    </row>
    <row r="790" spans="4:8" x14ac:dyDescent="0.25">
      <c r="D790" s="11"/>
      <c r="G790" s="152"/>
      <c r="H790" s="330"/>
    </row>
    <row r="791" spans="4:8" x14ac:dyDescent="0.25">
      <c r="D791" s="11"/>
      <c r="G791" s="152"/>
      <c r="H791" s="330"/>
    </row>
    <row r="792" spans="4:8" x14ac:dyDescent="0.25">
      <c r="D792" s="11"/>
      <c r="G792" s="152"/>
      <c r="H792" s="330"/>
    </row>
    <row r="793" spans="4:8" x14ac:dyDescent="0.25">
      <c r="D793" s="11"/>
      <c r="G793" s="152"/>
      <c r="H793" s="330"/>
    </row>
    <row r="794" spans="4:8" x14ac:dyDescent="0.25">
      <c r="D794" s="11"/>
      <c r="G794" s="152"/>
      <c r="H794" s="330"/>
    </row>
    <row r="795" spans="4:8" x14ac:dyDescent="0.25">
      <c r="D795" s="11"/>
      <c r="G795" s="152"/>
      <c r="H795" s="330"/>
    </row>
    <row r="796" spans="4:8" x14ac:dyDescent="0.25">
      <c r="D796" s="11"/>
      <c r="G796" s="152"/>
      <c r="H796" s="330"/>
    </row>
    <row r="797" spans="4:8" x14ac:dyDescent="0.25">
      <c r="D797" s="11"/>
      <c r="G797" s="152"/>
      <c r="H797" s="330"/>
    </row>
    <row r="798" spans="4:8" x14ac:dyDescent="0.25">
      <c r="D798" s="11"/>
      <c r="G798" s="152"/>
      <c r="H798" s="330"/>
    </row>
    <row r="799" spans="4:8" x14ac:dyDescent="0.25">
      <c r="D799" s="11"/>
      <c r="G799" s="152"/>
      <c r="H799" s="330"/>
    </row>
    <row r="800" spans="4:8" x14ac:dyDescent="0.25">
      <c r="D800" s="11"/>
      <c r="G800" s="152"/>
      <c r="H800" s="330"/>
    </row>
    <row r="801" spans="4:8" x14ac:dyDescent="0.25">
      <c r="D801" s="11"/>
      <c r="G801" s="152"/>
      <c r="H801" s="330"/>
    </row>
    <row r="802" spans="4:8" x14ac:dyDescent="0.25">
      <c r="D802" s="11"/>
      <c r="G802" s="152"/>
      <c r="H802" s="330"/>
    </row>
    <row r="803" spans="4:8" x14ac:dyDescent="0.25">
      <c r="D803" s="11"/>
      <c r="G803" s="152"/>
      <c r="H803" s="330"/>
    </row>
    <row r="804" spans="4:8" x14ac:dyDescent="0.25">
      <c r="D804" s="11"/>
      <c r="G804" s="152"/>
      <c r="H804" s="330"/>
    </row>
    <row r="805" spans="4:8" x14ac:dyDescent="0.25">
      <c r="D805" s="11"/>
      <c r="G805" s="152"/>
      <c r="H805" s="330"/>
    </row>
    <row r="806" spans="4:8" x14ac:dyDescent="0.25">
      <c r="D806" s="11"/>
      <c r="G806" s="152"/>
      <c r="H806" s="330"/>
    </row>
    <row r="807" spans="4:8" x14ac:dyDescent="0.25">
      <c r="D807" s="11"/>
      <c r="G807" s="152"/>
      <c r="H807" s="330"/>
    </row>
    <row r="808" spans="4:8" x14ac:dyDescent="0.25">
      <c r="D808" s="11"/>
      <c r="G808" s="152"/>
      <c r="H808" s="330"/>
    </row>
    <row r="809" spans="4:8" x14ac:dyDescent="0.25">
      <c r="D809" s="11"/>
      <c r="G809" s="152"/>
      <c r="H809" s="330"/>
    </row>
    <row r="810" spans="4:8" x14ac:dyDescent="0.25">
      <c r="D810" s="11"/>
      <c r="G810" s="152"/>
      <c r="H810" s="330"/>
    </row>
    <row r="811" spans="4:8" x14ac:dyDescent="0.25">
      <c r="D811" s="11"/>
      <c r="G811" s="152"/>
      <c r="H811" s="330"/>
    </row>
    <row r="812" spans="4:8" x14ac:dyDescent="0.25">
      <c r="D812" s="11"/>
      <c r="G812" s="152"/>
      <c r="H812" s="330"/>
    </row>
    <row r="813" spans="4:8" x14ac:dyDescent="0.25">
      <c r="D813" s="11"/>
      <c r="G813" s="152"/>
      <c r="H813" s="330"/>
    </row>
    <row r="814" spans="4:8" x14ac:dyDescent="0.25">
      <c r="D814" s="11"/>
      <c r="G814" s="152"/>
      <c r="H814" s="330"/>
    </row>
    <row r="815" spans="4:8" x14ac:dyDescent="0.25">
      <c r="D815" s="11"/>
      <c r="G815" s="152"/>
      <c r="H815" s="330"/>
    </row>
    <row r="816" spans="4:8" x14ac:dyDescent="0.25">
      <c r="D816" s="11"/>
      <c r="G816" s="152"/>
      <c r="H816" s="330"/>
    </row>
    <row r="817" spans="4:7" x14ac:dyDescent="0.25">
      <c r="D817" s="11"/>
      <c r="G817" s="152"/>
    </row>
    <row r="818" spans="4:7" x14ac:dyDescent="0.25">
      <c r="D818" s="11"/>
      <c r="G818" s="152"/>
    </row>
    <row r="819" spans="4:7" x14ac:dyDescent="0.25">
      <c r="D819" s="11"/>
      <c r="G819" s="152"/>
    </row>
    <row r="820" spans="4:7" x14ac:dyDescent="0.25">
      <c r="D820" s="11"/>
      <c r="G820" s="152"/>
    </row>
    <row r="821" spans="4:7" x14ac:dyDescent="0.25">
      <c r="D821" s="11"/>
      <c r="G821" s="152"/>
    </row>
    <row r="822" spans="4:7" x14ac:dyDescent="0.25">
      <c r="D822" s="11"/>
      <c r="G822" s="152"/>
    </row>
    <row r="823" spans="4:7" x14ac:dyDescent="0.25">
      <c r="D823" s="11"/>
      <c r="G823" s="152"/>
    </row>
    <row r="824" spans="4:7" x14ac:dyDescent="0.25">
      <c r="D824" s="11"/>
      <c r="G824" s="152"/>
    </row>
    <row r="825" spans="4:7" x14ac:dyDescent="0.25">
      <c r="D825" s="11"/>
      <c r="G825" s="152"/>
    </row>
    <row r="826" spans="4:7" x14ac:dyDescent="0.25">
      <c r="D826" s="11"/>
      <c r="G826" s="152"/>
    </row>
    <row r="827" spans="4:7" x14ac:dyDescent="0.25">
      <c r="D827" s="11"/>
      <c r="G827" s="152"/>
    </row>
    <row r="828" spans="4:7" x14ac:dyDescent="0.25">
      <c r="D828" s="11"/>
      <c r="G828" s="152"/>
    </row>
    <row r="829" spans="4:7" x14ac:dyDescent="0.25">
      <c r="D829" s="11"/>
      <c r="G829" s="152"/>
    </row>
    <row r="830" spans="4:7" x14ac:dyDescent="0.25">
      <c r="D830" s="11"/>
      <c r="G830" s="152"/>
    </row>
    <row r="831" spans="4:7" x14ac:dyDescent="0.25">
      <c r="D831" s="11"/>
      <c r="G831" s="152"/>
    </row>
    <row r="832" spans="4:7" x14ac:dyDescent="0.25">
      <c r="D832" s="11"/>
      <c r="G832" s="152"/>
    </row>
    <row r="833" spans="4:7" x14ac:dyDescent="0.25">
      <c r="D833" s="11"/>
      <c r="G833" s="152"/>
    </row>
    <row r="834" spans="4:7" x14ac:dyDescent="0.25">
      <c r="D834" s="11"/>
      <c r="G834" s="152"/>
    </row>
    <row r="835" spans="4:7" x14ac:dyDescent="0.25">
      <c r="D835" s="11"/>
      <c r="G835" s="152"/>
    </row>
    <row r="836" spans="4:7" x14ac:dyDescent="0.25">
      <c r="D836" s="11"/>
      <c r="G836" s="152"/>
    </row>
    <row r="837" spans="4:7" x14ac:dyDescent="0.25">
      <c r="D837" s="11"/>
      <c r="G837" s="152"/>
    </row>
    <row r="838" spans="4:7" x14ac:dyDescent="0.25">
      <c r="D838" s="11"/>
      <c r="G838" s="152"/>
    </row>
    <row r="839" spans="4:7" x14ac:dyDescent="0.25">
      <c r="D839" s="11"/>
      <c r="G839" s="152"/>
    </row>
    <row r="840" spans="4:7" x14ac:dyDescent="0.25">
      <c r="D840" s="11"/>
      <c r="G840" s="152"/>
    </row>
    <row r="841" spans="4:7" x14ac:dyDescent="0.25">
      <c r="D841" s="11"/>
      <c r="G841" s="152"/>
    </row>
    <row r="842" spans="4:7" x14ac:dyDescent="0.25">
      <c r="D842" s="11"/>
      <c r="G842" s="152"/>
    </row>
    <row r="843" spans="4:7" x14ac:dyDescent="0.25">
      <c r="D843" s="11"/>
      <c r="G843" s="152"/>
    </row>
    <row r="844" spans="4:7" x14ac:dyDescent="0.25">
      <c r="D844" s="11"/>
      <c r="G844" s="152"/>
    </row>
    <row r="845" spans="4:7" x14ac:dyDescent="0.25">
      <c r="D845" s="11"/>
      <c r="G845" s="152"/>
    </row>
    <row r="846" spans="4:7" x14ac:dyDescent="0.25">
      <c r="D846" s="11"/>
      <c r="G846" s="152"/>
    </row>
    <row r="847" spans="4:7" x14ac:dyDescent="0.25">
      <c r="D847" s="11"/>
      <c r="G847" s="152"/>
    </row>
    <row r="848" spans="4:7" x14ac:dyDescent="0.25">
      <c r="D848" s="11"/>
      <c r="G848" s="152"/>
    </row>
    <row r="849" spans="4:7" x14ac:dyDescent="0.25">
      <c r="D849" s="11"/>
      <c r="G849" s="152"/>
    </row>
    <row r="850" spans="4:7" x14ac:dyDescent="0.25">
      <c r="D850" s="11"/>
      <c r="G850" s="152"/>
    </row>
    <row r="851" spans="4:7" x14ac:dyDescent="0.25">
      <c r="D851" s="11"/>
      <c r="G851" s="152"/>
    </row>
    <row r="852" spans="4:7" x14ac:dyDescent="0.25">
      <c r="D852" s="11"/>
      <c r="G852" s="152"/>
    </row>
    <row r="853" spans="4:7" x14ac:dyDescent="0.25">
      <c r="D853" s="11"/>
      <c r="G853" s="152"/>
    </row>
    <row r="854" spans="4:7" x14ac:dyDescent="0.25">
      <c r="D854" s="11"/>
      <c r="G854" s="152"/>
    </row>
    <row r="855" spans="4:7" x14ac:dyDescent="0.25">
      <c r="D855" s="11"/>
      <c r="G855" s="152"/>
    </row>
    <row r="856" spans="4:7" x14ac:dyDescent="0.25">
      <c r="D856" s="11"/>
      <c r="G856" s="152"/>
    </row>
    <row r="857" spans="4:7" x14ac:dyDescent="0.25">
      <c r="D857" s="11"/>
      <c r="G857" s="152"/>
    </row>
    <row r="858" spans="4:7" x14ac:dyDescent="0.25">
      <c r="D858" s="11"/>
      <c r="G858" s="152"/>
    </row>
    <row r="859" spans="4:7" x14ac:dyDescent="0.25">
      <c r="D859" s="11"/>
      <c r="G859" s="152"/>
    </row>
    <row r="860" spans="4:7" x14ac:dyDescent="0.25">
      <c r="D860" s="11"/>
      <c r="G860" s="152"/>
    </row>
    <row r="861" spans="4:7" x14ac:dyDescent="0.25">
      <c r="D861" s="11"/>
      <c r="G861" s="152"/>
    </row>
    <row r="862" spans="4:7" x14ac:dyDescent="0.25">
      <c r="D862" s="11"/>
      <c r="G862" s="152"/>
    </row>
    <row r="863" spans="4:7" x14ac:dyDescent="0.25">
      <c r="D863" s="11"/>
      <c r="G863" s="152"/>
    </row>
    <row r="864" spans="4:7" x14ac:dyDescent="0.25">
      <c r="D864" s="11"/>
      <c r="G864" s="152"/>
    </row>
    <row r="865" spans="4:7" x14ac:dyDescent="0.25">
      <c r="D865" s="11"/>
      <c r="G865" s="152"/>
    </row>
    <row r="866" spans="4:7" x14ac:dyDescent="0.25">
      <c r="D866" s="11"/>
      <c r="G866" s="152"/>
    </row>
    <row r="867" spans="4:7" x14ac:dyDescent="0.25">
      <c r="D867" s="11"/>
      <c r="G867" s="152"/>
    </row>
    <row r="868" spans="4:7" x14ac:dyDescent="0.25">
      <c r="D868" s="11"/>
      <c r="G868" s="152"/>
    </row>
    <row r="869" spans="4:7" x14ac:dyDescent="0.25">
      <c r="D869" s="11"/>
      <c r="G869" s="152"/>
    </row>
    <row r="870" spans="4:7" x14ac:dyDescent="0.25">
      <c r="D870" s="11"/>
      <c r="G870" s="152"/>
    </row>
    <row r="871" spans="4:7" x14ac:dyDescent="0.25">
      <c r="D871" s="11"/>
      <c r="G871" s="152"/>
    </row>
    <row r="872" spans="4:7" x14ac:dyDescent="0.25">
      <c r="D872" s="11"/>
      <c r="G872" s="152"/>
    </row>
    <row r="873" spans="4:7" x14ac:dyDescent="0.25">
      <c r="D873" s="11"/>
      <c r="G873" s="152"/>
    </row>
    <row r="874" spans="4:7" x14ac:dyDescent="0.25">
      <c r="D874" s="11"/>
      <c r="G874" s="152"/>
    </row>
    <row r="875" spans="4:7" x14ac:dyDescent="0.25">
      <c r="D875" s="11"/>
      <c r="G875" s="152"/>
    </row>
    <row r="876" spans="4:7" x14ac:dyDescent="0.25">
      <c r="D876" s="11"/>
      <c r="G876" s="152"/>
    </row>
    <row r="877" spans="4:7" x14ac:dyDescent="0.25">
      <c r="D877" s="11"/>
      <c r="G877" s="152"/>
    </row>
    <row r="878" spans="4:7" x14ac:dyDescent="0.25">
      <c r="D878" s="11"/>
      <c r="G878" s="152"/>
    </row>
    <row r="879" spans="4:7" x14ac:dyDescent="0.25">
      <c r="D879" s="11"/>
      <c r="G879" s="152"/>
    </row>
    <row r="880" spans="4:7" x14ac:dyDescent="0.25">
      <c r="D880" s="11"/>
      <c r="G880" s="152"/>
    </row>
    <row r="881" spans="4:7" x14ac:dyDescent="0.25">
      <c r="D881" s="11"/>
      <c r="G881" s="152"/>
    </row>
    <row r="882" spans="4:7" x14ac:dyDescent="0.25">
      <c r="D882" s="11"/>
      <c r="G882" s="152"/>
    </row>
    <row r="883" spans="4:7" x14ac:dyDescent="0.25">
      <c r="D883" s="11"/>
      <c r="G883" s="152"/>
    </row>
    <row r="884" spans="4:7" x14ac:dyDescent="0.25">
      <c r="D884" s="11"/>
      <c r="G884" s="152"/>
    </row>
    <row r="885" spans="4:7" x14ac:dyDescent="0.25">
      <c r="D885" s="11"/>
      <c r="G885" s="152"/>
    </row>
    <row r="886" spans="4:7" x14ac:dyDescent="0.25">
      <c r="D886" s="11"/>
      <c r="G886" s="152"/>
    </row>
    <row r="887" spans="4:7" x14ac:dyDescent="0.25">
      <c r="D887" s="11"/>
      <c r="G887" s="152"/>
    </row>
    <row r="888" spans="4:7" x14ac:dyDescent="0.25">
      <c r="D888" s="11"/>
      <c r="G888" s="152"/>
    </row>
    <row r="889" spans="4:7" x14ac:dyDescent="0.25">
      <c r="D889" s="11"/>
      <c r="G889" s="152"/>
    </row>
    <row r="890" spans="4:7" x14ac:dyDescent="0.25">
      <c r="D890" s="11"/>
      <c r="G890" s="152"/>
    </row>
    <row r="891" spans="4:7" x14ac:dyDescent="0.25">
      <c r="D891" s="11"/>
      <c r="G891" s="152"/>
    </row>
    <row r="892" spans="4:7" x14ac:dyDescent="0.25">
      <c r="D892" s="11"/>
      <c r="G892" s="152"/>
    </row>
    <row r="893" spans="4:7" x14ac:dyDescent="0.25">
      <c r="D893" s="11"/>
      <c r="G893" s="152"/>
    </row>
    <row r="894" spans="4:7" x14ac:dyDescent="0.25">
      <c r="D894" s="11"/>
      <c r="G894" s="152"/>
    </row>
    <row r="895" spans="4:7" x14ac:dyDescent="0.25">
      <c r="D895" s="11"/>
      <c r="G895" s="152"/>
    </row>
    <row r="896" spans="4:7" x14ac:dyDescent="0.25">
      <c r="D896" s="11"/>
      <c r="G896" s="152"/>
    </row>
    <row r="897" spans="4:7" x14ac:dyDescent="0.25">
      <c r="D897" s="11"/>
      <c r="G897" s="152"/>
    </row>
    <row r="898" spans="4:7" x14ac:dyDescent="0.25">
      <c r="D898" s="11"/>
      <c r="G898" s="152"/>
    </row>
    <row r="899" spans="4:7" x14ac:dyDescent="0.25">
      <c r="D899" s="11"/>
      <c r="G899" s="152"/>
    </row>
    <row r="900" spans="4:7" x14ac:dyDescent="0.25">
      <c r="D900" s="11"/>
      <c r="G900" s="152"/>
    </row>
    <row r="901" spans="4:7" x14ac:dyDescent="0.25">
      <c r="D901" s="11"/>
      <c r="G901" s="152"/>
    </row>
    <row r="902" spans="4:7" x14ac:dyDescent="0.25">
      <c r="D902" s="11"/>
      <c r="G902" s="152"/>
    </row>
    <row r="903" spans="4:7" x14ac:dyDescent="0.25">
      <c r="D903" s="11"/>
      <c r="G903" s="152"/>
    </row>
    <row r="904" spans="4:7" x14ac:dyDescent="0.25">
      <c r="D904" s="11"/>
      <c r="G904" s="152"/>
    </row>
    <row r="905" spans="4:7" x14ac:dyDescent="0.25">
      <c r="D905" s="11"/>
      <c r="G905" s="152"/>
    </row>
    <row r="906" spans="4:7" x14ac:dyDescent="0.25">
      <c r="D906" s="11"/>
      <c r="G906" s="152"/>
    </row>
    <row r="907" spans="4:7" x14ac:dyDescent="0.25">
      <c r="D907" s="11"/>
      <c r="G907" s="152"/>
    </row>
    <row r="908" spans="4:7" x14ac:dyDescent="0.25">
      <c r="D908" s="11"/>
      <c r="G908" s="152"/>
    </row>
    <row r="909" spans="4:7" x14ac:dyDescent="0.25">
      <c r="D909" s="11"/>
      <c r="G909" s="152"/>
    </row>
    <row r="910" spans="4:7" x14ac:dyDescent="0.25">
      <c r="D910" s="11"/>
      <c r="G910" s="152"/>
    </row>
    <row r="911" spans="4:7" x14ac:dyDescent="0.25">
      <c r="D911" s="11"/>
      <c r="G911" s="152"/>
    </row>
    <row r="912" spans="4:7" x14ac:dyDescent="0.25">
      <c r="D912" s="11"/>
      <c r="G912" s="152"/>
    </row>
    <row r="913" spans="4:7" x14ac:dyDescent="0.25">
      <c r="D913" s="11"/>
      <c r="G913" s="152"/>
    </row>
    <row r="914" spans="4:7" x14ac:dyDescent="0.25">
      <c r="D914" s="11"/>
      <c r="G914" s="152"/>
    </row>
    <row r="915" spans="4:7" x14ac:dyDescent="0.25">
      <c r="D915" s="11"/>
      <c r="G915" s="152"/>
    </row>
    <row r="916" spans="4:7" x14ac:dyDescent="0.25">
      <c r="D916" s="11"/>
      <c r="G916" s="152"/>
    </row>
    <row r="917" spans="4:7" x14ac:dyDescent="0.25">
      <c r="D917" s="11"/>
      <c r="G917" s="152"/>
    </row>
    <row r="918" spans="4:7" x14ac:dyDescent="0.25">
      <c r="D918" s="11"/>
      <c r="G918" s="152"/>
    </row>
    <row r="919" spans="4:7" x14ac:dyDescent="0.25">
      <c r="D919" s="11"/>
      <c r="G919" s="152"/>
    </row>
    <row r="920" spans="4:7" x14ac:dyDescent="0.25">
      <c r="D920" s="11"/>
      <c r="G920" s="152"/>
    </row>
    <row r="921" spans="4:7" x14ac:dyDescent="0.25">
      <c r="D921" s="11"/>
      <c r="G921" s="152"/>
    </row>
    <row r="922" spans="4:7" x14ac:dyDescent="0.25">
      <c r="D922" s="11"/>
      <c r="G922" s="152"/>
    </row>
    <row r="923" spans="4:7" x14ac:dyDescent="0.25">
      <c r="D923" s="11"/>
      <c r="G923" s="152"/>
    </row>
    <row r="924" spans="4:7" x14ac:dyDescent="0.25">
      <c r="D924" s="11"/>
      <c r="G924" s="152"/>
    </row>
    <row r="925" spans="4:7" x14ac:dyDescent="0.25">
      <c r="D925" s="11"/>
      <c r="G925" s="152"/>
    </row>
    <row r="926" spans="4:7" x14ac:dyDescent="0.25">
      <c r="D926" s="11"/>
      <c r="G926" s="152"/>
    </row>
    <row r="927" spans="4:7" x14ac:dyDescent="0.25">
      <c r="D927" s="11"/>
      <c r="G927" s="152"/>
    </row>
    <row r="928" spans="4:7" x14ac:dyDescent="0.25">
      <c r="D928" s="11"/>
      <c r="G928" s="152"/>
    </row>
    <row r="929" spans="4:7" x14ac:dyDescent="0.25">
      <c r="D929" s="11"/>
      <c r="G929" s="152"/>
    </row>
    <row r="930" spans="4:7" x14ac:dyDescent="0.25">
      <c r="D930" s="11"/>
      <c r="G930" s="152"/>
    </row>
    <row r="931" spans="4:7" x14ac:dyDescent="0.25">
      <c r="D931" s="11"/>
      <c r="G931" s="152"/>
    </row>
    <row r="932" spans="4:7" x14ac:dyDescent="0.25">
      <c r="D932" s="11"/>
      <c r="G932" s="152"/>
    </row>
    <row r="933" spans="4:7" x14ac:dyDescent="0.25">
      <c r="D933" s="11"/>
      <c r="G933" s="152"/>
    </row>
    <row r="934" spans="4:7" x14ac:dyDescent="0.25">
      <c r="D934" s="11"/>
      <c r="G934" s="152"/>
    </row>
    <row r="935" spans="4:7" x14ac:dyDescent="0.25">
      <c r="D935" s="11"/>
      <c r="G935" s="152"/>
    </row>
    <row r="936" spans="4:7" x14ac:dyDescent="0.25">
      <c r="D936" s="11"/>
      <c r="G936" s="152"/>
    </row>
    <row r="937" spans="4:7" x14ac:dyDescent="0.25">
      <c r="D937" s="11"/>
      <c r="G937" s="152"/>
    </row>
    <row r="938" spans="4:7" x14ac:dyDescent="0.25">
      <c r="D938" s="11"/>
      <c r="G938" s="152"/>
    </row>
    <row r="939" spans="4:7" x14ac:dyDescent="0.25">
      <c r="D939" s="11"/>
      <c r="G939" s="152"/>
    </row>
    <row r="940" spans="4:7" x14ac:dyDescent="0.25">
      <c r="D940" s="11"/>
      <c r="G940" s="152"/>
    </row>
    <row r="941" spans="4:7" x14ac:dyDescent="0.25">
      <c r="D941" s="11"/>
      <c r="G941" s="152"/>
    </row>
    <row r="942" spans="4:7" x14ac:dyDescent="0.25">
      <c r="D942" s="11"/>
      <c r="G942" s="152"/>
    </row>
    <row r="943" spans="4:7" x14ac:dyDescent="0.25">
      <c r="D943" s="11"/>
      <c r="G943" s="152"/>
    </row>
    <row r="944" spans="4:7" x14ac:dyDescent="0.25">
      <c r="D944" s="11"/>
      <c r="G944" s="152"/>
    </row>
    <row r="945" spans="4:7" x14ac:dyDescent="0.25">
      <c r="D945" s="11"/>
      <c r="G945" s="152"/>
    </row>
    <row r="946" spans="4:7" x14ac:dyDescent="0.25">
      <c r="D946" s="11"/>
      <c r="G946" s="152"/>
    </row>
    <row r="947" spans="4:7" x14ac:dyDescent="0.25">
      <c r="D947" s="11"/>
      <c r="G947" s="152"/>
    </row>
    <row r="948" spans="4:7" x14ac:dyDescent="0.25">
      <c r="D948" s="11"/>
      <c r="G948" s="152"/>
    </row>
    <row r="949" spans="4:7" x14ac:dyDescent="0.25">
      <c r="D949" s="11"/>
      <c r="G949" s="152"/>
    </row>
    <row r="950" spans="4:7" x14ac:dyDescent="0.25">
      <c r="D950" s="11"/>
      <c r="G950" s="152"/>
    </row>
    <row r="951" spans="4:7" x14ac:dyDescent="0.25">
      <c r="G951" s="152"/>
    </row>
    <row r="952" spans="4:7" x14ac:dyDescent="0.25">
      <c r="G952" s="152"/>
    </row>
    <row r="953" spans="4:7" x14ac:dyDescent="0.25">
      <c r="G953" s="152"/>
    </row>
    <row r="954" spans="4:7" x14ac:dyDescent="0.25">
      <c r="G954" s="152"/>
    </row>
    <row r="955" spans="4:7" x14ac:dyDescent="0.25">
      <c r="G955" s="152"/>
    </row>
    <row r="956" spans="4:7" x14ac:dyDescent="0.25">
      <c r="G956" s="152"/>
    </row>
    <row r="957" spans="4:7" x14ac:dyDescent="0.25">
      <c r="G957" s="152"/>
    </row>
    <row r="958" spans="4:7" x14ac:dyDescent="0.25">
      <c r="G958" s="152"/>
    </row>
    <row r="959" spans="4:7" x14ac:dyDescent="0.25">
      <c r="G959" s="152"/>
    </row>
    <row r="960" spans="4:7" x14ac:dyDescent="0.25">
      <c r="G960" s="152"/>
    </row>
    <row r="961" spans="7:7" x14ac:dyDescent="0.25">
      <c r="G961" s="152"/>
    </row>
    <row r="962" spans="7:7" x14ac:dyDescent="0.25">
      <c r="G962" s="152"/>
    </row>
    <row r="963" spans="7:7" x14ac:dyDescent="0.25">
      <c r="G963" s="152"/>
    </row>
    <row r="964" spans="7:7" x14ac:dyDescent="0.25">
      <c r="G964" s="152"/>
    </row>
    <row r="965" spans="7:7" x14ac:dyDescent="0.25">
      <c r="G965" s="152"/>
    </row>
    <row r="966" spans="7:7" x14ac:dyDescent="0.25">
      <c r="G966" s="152"/>
    </row>
    <row r="967" spans="7:7" x14ac:dyDescent="0.25">
      <c r="G967" s="152"/>
    </row>
    <row r="968" spans="7:7" x14ac:dyDescent="0.25">
      <c r="G968" s="152"/>
    </row>
    <row r="969" spans="7:7" x14ac:dyDescent="0.25">
      <c r="G969" s="152"/>
    </row>
    <row r="970" spans="7:7" x14ac:dyDescent="0.25">
      <c r="G970" s="152"/>
    </row>
    <row r="971" spans="7:7" x14ac:dyDescent="0.25">
      <c r="G971" s="152"/>
    </row>
    <row r="972" spans="7:7" x14ac:dyDescent="0.25">
      <c r="G972" s="152"/>
    </row>
    <row r="973" spans="7:7" x14ac:dyDescent="0.25">
      <c r="G973" s="152"/>
    </row>
    <row r="974" spans="7:7" x14ac:dyDescent="0.25">
      <c r="G974" s="152"/>
    </row>
    <row r="975" spans="7:7" x14ac:dyDescent="0.25">
      <c r="G975" s="152"/>
    </row>
    <row r="976" spans="7:7" x14ac:dyDescent="0.25">
      <c r="G976" s="152"/>
    </row>
    <row r="977" spans="7:7" x14ac:dyDescent="0.25">
      <c r="G977" s="152"/>
    </row>
    <row r="978" spans="7:7" x14ac:dyDescent="0.25">
      <c r="G978" s="152"/>
    </row>
    <row r="979" spans="7:7" x14ac:dyDescent="0.25">
      <c r="G979" s="152"/>
    </row>
    <row r="980" spans="7:7" x14ac:dyDescent="0.25">
      <c r="G980" s="152"/>
    </row>
    <row r="981" spans="7:7" x14ac:dyDescent="0.25">
      <c r="G981" s="152"/>
    </row>
    <row r="982" spans="7:7" x14ac:dyDescent="0.25">
      <c r="G982" s="152"/>
    </row>
    <row r="983" spans="7:7" x14ac:dyDescent="0.25">
      <c r="G983" s="152"/>
    </row>
    <row r="984" spans="7:7" x14ac:dyDescent="0.25">
      <c r="G984" s="152"/>
    </row>
    <row r="985" spans="7:7" x14ac:dyDescent="0.25">
      <c r="G985" s="152"/>
    </row>
    <row r="986" spans="7:7" x14ac:dyDescent="0.25">
      <c r="G986" s="152"/>
    </row>
    <row r="987" spans="7:7" x14ac:dyDescent="0.25">
      <c r="G987" s="152"/>
    </row>
    <row r="988" spans="7:7" x14ac:dyDescent="0.25">
      <c r="G988" s="152"/>
    </row>
    <row r="989" spans="7:7" x14ac:dyDescent="0.25">
      <c r="G989" s="152"/>
    </row>
    <row r="990" spans="7:7" x14ac:dyDescent="0.25">
      <c r="G990" s="152"/>
    </row>
    <row r="991" spans="7:7" x14ac:dyDescent="0.25">
      <c r="G991" s="152"/>
    </row>
    <row r="992" spans="7:7" x14ac:dyDescent="0.25">
      <c r="G992" s="152"/>
    </row>
    <row r="993" spans="7:7" x14ac:dyDescent="0.25">
      <c r="G993" s="152"/>
    </row>
    <row r="994" spans="7:7" x14ac:dyDescent="0.25">
      <c r="G994" s="152"/>
    </row>
    <row r="995" spans="7:7" x14ac:dyDescent="0.25">
      <c r="G995" s="152"/>
    </row>
    <row r="996" spans="7:7" x14ac:dyDescent="0.25">
      <c r="G996" s="152"/>
    </row>
    <row r="997" spans="7:7" x14ac:dyDescent="0.25">
      <c r="G997" s="152"/>
    </row>
    <row r="998" spans="7:7" x14ac:dyDescent="0.25">
      <c r="G998" s="152"/>
    </row>
    <row r="999" spans="7:7" x14ac:dyDescent="0.25">
      <c r="G999" s="152"/>
    </row>
    <row r="1000" spans="7:7" x14ac:dyDescent="0.25">
      <c r="G1000" s="152"/>
    </row>
    <row r="1001" spans="7:7" x14ac:dyDescent="0.25">
      <c r="G1001" s="152"/>
    </row>
    <row r="1002" spans="7:7" x14ac:dyDescent="0.25">
      <c r="G1002" s="152"/>
    </row>
    <row r="1003" spans="7:7" x14ac:dyDescent="0.25">
      <c r="G1003" s="152"/>
    </row>
    <row r="1004" spans="7:7" x14ac:dyDescent="0.25">
      <c r="G1004" s="152"/>
    </row>
    <row r="1005" spans="7:7" x14ac:dyDescent="0.25">
      <c r="G1005" s="152"/>
    </row>
    <row r="1006" spans="7:7" x14ac:dyDescent="0.25">
      <c r="G1006" s="152"/>
    </row>
    <row r="1007" spans="7:7" x14ac:dyDescent="0.25">
      <c r="G1007" s="152"/>
    </row>
    <row r="1008" spans="7:7" x14ac:dyDescent="0.25">
      <c r="G1008" s="152"/>
    </row>
    <row r="1009" spans="7:7" x14ac:dyDescent="0.25">
      <c r="G1009" s="152"/>
    </row>
    <row r="1010" spans="7:7" x14ac:dyDescent="0.25">
      <c r="G1010" s="152"/>
    </row>
    <row r="1011" spans="7:7" x14ac:dyDescent="0.25">
      <c r="G1011" s="152"/>
    </row>
    <row r="1012" spans="7:7" x14ac:dyDescent="0.25">
      <c r="G1012" s="152"/>
    </row>
    <row r="1013" spans="7:7" x14ac:dyDescent="0.25">
      <c r="G1013" s="152"/>
    </row>
    <row r="1014" spans="7:7" x14ac:dyDescent="0.25">
      <c r="G1014" s="152"/>
    </row>
    <row r="1015" spans="7:7" x14ac:dyDescent="0.25">
      <c r="G1015" s="152"/>
    </row>
    <row r="1016" spans="7:7" x14ac:dyDescent="0.25">
      <c r="G1016" s="152"/>
    </row>
    <row r="1017" spans="7:7" x14ac:dyDescent="0.25">
      <c r="G1017" s="152"/>
    </row>
    <row r="1018" spans="7:7" x14ac:dyDescent="0.25">
      <c r="G1018" s="152"/>
    </row>
    <row r="1019" spans="7:7" x14ac:dyDescent="0.25">
      <c r="G1019" s="152"/>
    </row>
    <row r="1020" spans="7:7" x14ac:dyDescent="0.25">
      <c r="G1020" s="152"/>
    </row>
    <row r="1021" spans="7:7" x14ac:dyDescent="0.25">
      <c r="G1021" s="152"/>
    </row>
    <row r="1022" spans="7:7" x14ac:dyDescent="0.25">
      <c r="G1022" s="152"/>
    </row>
    <row r="1023" spans="7:7" x14ac:dyDescent="0.25">
      <c r="G1023" s="152"/>
    </row>
    <row r="1024" spans="7:7" x14ac:dyDescent="0.25">
      <c r="G1024" s="152"/>
    </row>
    <row r="1025" spans="7:7" x14ac:dyDescent="0.25">
      <c r="G1025" s="152"/>
    </row>
    <row r="1026" spans="7:7" x14ac:dyDescent="0.25">
      <c r="G1026" s="152"/>
    </row>
    <row r="1027" spans="7:7" x14ac:dyDescent="0.25">
      <c r="G1027" s="152"/>
    </row>
    <row r="1028" spans="7:7" x14ac:dyDescent="0.25">
      <c r="G1028" s="152"/>
    </row>
    <row r="1029" spans="7:7" x14ac:dyDescent="0.25">
      <c r="G1029" s="152"/>
    </row>
    <row r="1030" spans="7:7" x14ac:dyDescent="0.25">
      <c r="G1030" s="152"/>
    </row>
    <row r="1031" spans="7:7" x14ac:dyDescent="0.25">
      <c r="G1031" s="152"/>
    </row>
    <row r="1032" spans="7:7" x14ac:dyDescent="0.25">
      <c r="G1032" s="152"/>
    </row>
    <row r="1033" spans="7:7" x14ac:dyDescent="0.25">
      <c r="G1033" s="152"/>
    </row>
    <row r="1034" spans="7:7" x14ac:dyDescent="0.25">
      <c r="G1034" s="152"/>
    </row>
    <row r="1035" spans="7:7" x14ac:dyDescent="0.25">
      <c r="G1035" s="152"/>
    </row>
    <row r="1036" spans="7:7" x14ac:dyDescent="0.25">
      <c r="G1036" s="152"/>
    </row>
    <row r="1037" spans="7:7" x14ac:dyDescent="0.25">
      <c r="G1037" s="152"/>
    </row>
    <row r="1038" spans="7:7" x14ac:dyDescent="0.25">
      <c r="G1038" s="152"/>
    </row>
    <row r="1039" spans="7:7" x14ac:dyDescent="0.25">
      <c r="G1039" s="152"/>
    </row>
    <row r="1040" spans="7:7" x14ac:dyDescent="0.25">
      <c r="G1040" s="152"/>
    </row>
    <row r="1041" spans="7:7" x14ac:dyDescent="0.25">
      <c r="G1041" s="152"/>
    </row>
    <row r="1042" spans="7:7" x14ac:dyDescent="0.25">
      <c r="G1042" s="152"/>
    </row>
    <row r="1043" spans="7:7" x14ac:dyDescent="0.25">
      <c r="G1043" s="152"/>
    </row>
    <row r="1044" spans="7:7" x14ac:dyDescent="0.25">
      <c r="G1044" s="152"/>
    </row>
    <row r="1045" spans="7:7" x14ac:dyDescent="0.25">
      <c r="G1045" s="152"/>
    </row>
    <row r="1046" spans="7:7" x14ac:dyDescent="0.25">
      <c r="G1046" s="152"/>
    </row>
    <row r="1047" spans="7:7" x14ac:dyDescent="0.25">
      <c r="G1047" s="152"/>
    </row>
    <row r="1048" spans="7:7" x14ac:dyDescent="0.25">
      <c r="G1048" s="152"/>
    </row>
    <row r="1049" spans="7:7" x14ac:dyDescent="0.25">
      <c r="G1049" s="152"/>
    </row>
    <row r="1050" spans="7:7" x14ac:dyDescent="0.25">
      <c r="G1050" s="152"/>
    </row>
    <row r="1051" spans="7:7" x14ac:dyDescent="0.25">
      <c r="G1051" s="152"/>
    </row>
    <row r="1052" spans="7:7" x14ac:dyDescent="0.25">
      <c r="G1052" s="152"/>
    </row>
    <row r="1053" spans="7:7" x14ac:dyDescent="0.25">
      <c r="G1053" s="152"/>
    </row>
    <row r="1054" spans="7:7" x14ac:dyDescent="0.25">
      <c r="G1054" s="152"/>
    </row>
    <row r="1055" spans="7:7" x14ac:dyDescent="0.25">
      <c r="G1055" s="152"/>
    </row>
    <row r="1056" spans="7:7" x14ac:dyDescent="0.25">
      <c r="G1056" s="152"/>
    </row>
    <row r="1057" spans="7:7" x14ac:dyDescent="0.25">
      <c r="G1057" s="152"/>
    </row>
    <row r="1058" spans="7:7" x14ac:dyDescent="0.25">
      <c r="G1058" s="152"/>
    </row>
    <row r="1059" spans="7:7" x14ac:dyDescent="0.25">
      <c r="G1059" s="152"/>
    </row>
    <row r="1060" spans="7:7" x14ac:dyDescent="0.25">
      <c r="G1060" s="152"/>
    </row>
    <row r="1061" spans="7:7" x14ac:dyDescent="0.25">
      <c r="G1061" s="152"/>
    </row>
    <row r="1062" spans="7:7" x14ac:dyDescent="0.25">
      <c r="G1062" s="152"/>
    </row>
    <row r="1063" spans="7:7" x14ac:dyDescent="0.25">
      <c r="G1063" s="152"/>
    </row>
    <row r="1064" spans="7:7" x14ac:dyDescent="0.25">
      <c r="G1064" s="152"/>
    </row>
    <row r="1065" spans="7:7" x14ac:dyDescent="0.25">
      <c r="G1065" s="152"/>
    </row>
    <row r="1066" spans="7:7" x14ac:dyDescent="0.25">
      <c r="G1066" s="152"/>
    </row>
    <row r="1067" spans="7:7" x14ac:dyDescent="0.25">
      <c r="G1067" s="152"/>
    </row>
    <row r="1068" spans="7:7" x14ac:dyDescent="0.25">
      <c r="G1068" s="152"/>
    </row>
    <row r="1069" spans="7:7" x14ac:dyDescent="0.25">
      <c r="G1069" s="152"/>
    </row>
    <row r="1070" spans="7:7" x14ac:dyDescent="0.25">
      <c r="G1070" s="152"/>
    </row>
    <row r="1071" spans="7:7" x14ac:dyDescent="0.25">
      <c r="G1071" s="152"/>
    </row>
    <row r="1072" spans="7:7" x14ac:dyDescent="0.25">
      <c r="G1072" s="152"/>
    </row>
    <row r="1073" spans="7:7" x14ac:dyDescent="0.25">
      <c r="G1073" s="152"/>
    </row>
    <row r="1074" spans="7:7" x14ac:dyDescent="0.25">
      <c r="G1074" s="152"/>
    </row>
    <row r="1075" spans="7:7" x14ac:dyDescent="0.25">
      <c r="G1075" s="152"/>
    </row>
    <row r="1076" spans="7:7" x14ac:dyDescent="0.25">
      <c r="G1076" s="152"/>
    </row>
    <row r="1077" spans="7:7" x14ac:dyDescent="0.25">
      <c r="G1077" s="152"/>
    </row>
    <row r="1078" spans="7:7" x14ac:dyDescent="0.25">
      <c r="G1078" s="152"/>
    </row>
    <row r="1079" spans="7:7" x14ac:dyDescent="0.25">
      <c r="G1079" s="152"/>
    </row>
    <row r="1080" spans="7:7" x14ac:dyDescent="0.25">
      <c r="G1080" s="152"/>
    </row>
    <row r="1081" spans="7:7" x14ac:dyDescent="0.25">
      <c r="G1081" s="152"/>
    </row>
    <row r="1082" spans="7:7" x14ac:dyDescent="0.25">
      <c r="G1082" s="152"/>
    </row>
    <row r="1083" spans="7:7" x14ac:dyDescent="0.25">
      <c r="G1083" s="152"/>
    </row>
    <row r="1084" spans="7:7" x14ac:dyDescent="0.25">
      <c r="G1084" s="152"/>
    </row>
    <row r="1085" spans="7:7" x14ac:dyDescent="0.25">
      <c r="G1085" s="152"/>
    </row>
    <row r="1086" spans="7:7" x14ac:dyDescent="0.25">
      <c r="G1086" s="152"/>
    </row>
    <row r="1087" spans="7:7" x14ac:dyDescent="0.25">
      <c r="G1087" s="152"/>
    </row>
    <row r="1088" spans="7:7" x14ac:dyDescent="0.25">
      <c r="G1088" s="152"/>
    </row>
    <row r="1089" spans="7:7" x14ac:dyDescent="0.25">
      <c r="G1089" s="152"/>
    </row>
    <row r="1090" spans="7:7" x14ac:dyDescent="0.25">
      <c r="G1090" s="152"/>
    </row>
    <row r="1091" spans="7:7" x14ac:dyDescent="0.25">
      <c r="G1091" s="152"/>
    </row>
    <row r="1092" spans="7:7" x14ac:dyDescent="0.25">
      <c r="G1092" s="152"/>
    </row>
    <row r="1093" spans="7:7" x14ac:dyDescent="0.25">
      <c r="G1093" s="152"/>
    </row>
    <row r="1094" spans="7:7" x14ac:dyDescent="0.25">
      <c r="G1094" s="152"/>
    </row>
    <row r="1095" spans="7:7" x14ac:dyDescent="0.25">
      <c r="G1095" s="152"/>
    </row>
    <row r="1096" spans="7:7" x14ac:dyDescent="0.25">
      <c r="G1096" s="152"/>
    </row>
    <row r="1097" spans="7:7" x14ac:dyDescent="0.25">
      <c r="G1097" s="152"/>
    </row>
    <row r="1098" spans="7:7" x14ac:dyDescent="0.25">
      <c r="G1098" s="152"/>
    </row>
    <row r="1099" spans="7:7" x14ac:dyDescent="0.25">
      <c r="G1099" s="152"/>
    </row>
    <row r="1100" spans="7:7" x14ac:dyDescent="0.25">
      <c r="G1100" s="152"/>
    </row>
    <row r="1101" spans="7:7" x14ac:dyDescent="0.25">
      <c r="G1101" s="152"/>
    </row>
    <row r="1102" spans="7:7" x14ac:dyDescent="0.25">
      <c r="G1102" s="152"/>
    </row>
    <row r="1103" spans="7:7" x14ac:dyDescent="0.25">
      <c r="G1103" s="152"/>
    </row>
    <row r="1104" spans="7:7" x14ac:dyDescent="0.25">
      <c r="G1104" s="152"/>
    </row>
    <row r="1105" spans="7:7" x14ac:dyDescent="0.25">
      <c r="G1105" s="152"/>
    </row>
    <row r="1106" spans="7:7" x14ac:dyDescent="0.25">
      <c r="G1106" s="152"/>
    </row>
    <row r="1107" spans="7:7" x14ac:dyDescent="0.25">
      <c r="G1107" s="152"/>
    </row>
    <row r="1108" spans="7:7" x14ac:dyDescent="0.25">
      <c r="G1108" s="152"/>
    </row>
    <row r="1109" spans="7:7" x14ac:dyDescent="0.25">
      <c r="G1109" s="152"/>
    </row>
    <row r="1110" spans="7:7" x14ac:dyDescent="0.25">
      <c r="G1110" s="152"/>
    </row>
    <row r="1111" spans="7:7" x14ac:dyDescent="0.25">
      <c r="G1111" s="152"/>
    </row>
    <row r="1112" spans="7:7" x14ac:dyDescent="0.25">
      <c r="G1112" s="152"/>
    </row>
    <row r="1113" spans="7:7" x14ac:dyDescent="0.25">
      <c r="G1113" s="152"/>
    </row>
    <row r="1114" spans="7:7" x14ac:dyDescent="0.25">
      <c r="G1114" s="152"/>
    </row>
    <row r="1115" spans="7:7" x14ac:dyDescent="0.25">
      <c r="G1115" s="152"/>
    </row>
    <row r="1116" spans="7:7" x14ac:dyDescent="0.25">
      <c r="G1116" s="152"/>
    </row>
    <row r="1117" spans="7:7" x14ac:dyDescent="0.25">
      <c r="G1117" s="152"/>
    </row>
    <row r="1118" spans="7:7" x14ac:dyDescent="0.25">
      <c r="G1118" s="152"/>
    </row>
    <row r="1119" spans="7:7" x14ac:dyDescent="0.25">
      <c r="G1119" s="152"/>
    </row>
    <row r="1120" spans="7:7" x14ac:dyDescent="0.25">
      <c r="G1120" s="152"/>
    </row>
    <row r="1121" spans="7:7" x14ac:dyDescent="0.25">
      <c r="G1121" s="152"/>
    </row>
    <row r="1122" spans="7:7" x14ac:dyDescent="0.25">
      <c r="G1122" s="152"/>
    </row>
    <row r="1123" spans="7:7" x14ac:dyDescent="0.25">
      <c r="G1123" s="152"/>
    </row>
    <row r="1124" spans="7:7" x14ac:dyDescent="0.25">
      <c r="G1124" s="152"/>
    </row>
    <row r="1125" spans="7:7" x14ac:dyDescent="0.25">
      <c r="G1125" s="152"/>
    </row>
    <row r="1126" spans="7:7" x14ac:dyDescent="0.25">
      <c r="G1126" s="152"/>
    </row>
    <row r="1127" spans="7:7" x14ac:dyDescent="0.25">
      <c r="G1127" s="152"/>
    </row>
    <row r="1128" spans="7:7" x14ac:dyDescent="0.25">
      <c r="G1128" s="152"/>
    </row>
    <row r="1129" spans="7:7" x14ac:dyDescent="0.25">
      <c r="G1129" s="152"/>
    </row>
    <row r="1130" spans="7:7" x14ac:dyDescent="0.25">
      <c r="G1130" s="152"/>
    </row>
    <row r="1131" spans="7:7" x14ac:dyDescent="0.25">
      <c r="G1131" s="152"/>
    </row>
    <row r="1132" spans="7:7" x14ac:dyDescent="0.25">
      <c r="G1132" s="152"/>
    </row>
    <row r="1133" spans="7:7" x14ac:dyDescent="0.25">
      <c r="G1133" s="152"/>
    </row>
    <row r="1134" spans="7:7" x14ac:dyDescent="0.25">
      <c r="G1134" s="152"/>
    </row>
    <row r="1135" spans="7:7" x14ac:dyDescent="0.25">
      <c r="G1135" s="152"/>
    </row>
    <row r="1136" spans="7:7" x14ac:dyDescent="0.25">
      <c r="G1136" s="152"/>
    </row>
    <row r="1137" spans="7:7" x14ac:dyDescent="0.25">
      <c r="G1137" s="152"/>
    </row>
    <row r="1138" spans="7:7" x14ac:dyDescent="0.25">
      <c r="G1138" s="152"/>
    </row>
    <row r="1139" spans="7:7" x14ac:dyDescent="0.25">
      <c r="G1139" s="152"/>
    </row>
    <row r="1140" spans="7:7" x14ac:dyDescent="0.25">
      <c r="G1140" s="152"/>
    </row>
    <row r="1141" spans="7:7" x14ac:dyDescent="0.25">
      <c r="G1141" s="152"/>
    </row>
    <row r="1142" spans="7:7" x14ac:dyDescent="0.25">
      <c r="G1142" s="152"/>
    </row>
    <row r="1143" spans="7:7" x14ac:dyDescent="0.25">
      <c r="G1143" s="152"/>
    </row>
    <row r="1144" spans="7:7" x14ac:dyDescent="0.25">
      <c r="G1144" s="152"/>
    </row>
    <row r="1145" spans="7:7" x14ac:dyDescent="0.25">
      <c r="G1145" s="152"/>
    </row>
    <row r="1146" spans="7:7" x14ac:dyDescent="0.25">
      <c r="G1146" s="152"/>
    </row>
    <row r="1147" spans="7:7" x14ac:dyDescent="0.25">
      <c r="G1147" s="152"/>
    </row>
    <row r="1148" spans="7:7" x14ac:dyDescent="0.25">
      <c r="G1148" s="152"/>
    </row>
    <row r="1149" spans="7:7" x14ac:dyDescent="0.25">
      <c r="G1149" s="152"/>
    </row>
    <row r="1150" spans="7:7" x14ac:dyDescent="0.25">
      <c r="G1150" s="152"/>
    </row>
    <row r="1151" spans="7:7" x14ac:dyDescent="0.25">
      <c r="G1151" s="152"/>
    </row>
    <row r="1152" spans="7:7" x14ac:dyDescent="0.25">
      <c r="G1152" s="152"/>
    </row>
    <row r="1153" spans="7:7" x14ac:dyDescent="0.25">
      <c r="G1153" s="152"/>
    </row>
    <row r="1154" spans="7:7" x14ac:dyDescent="0.25">
      <c r="G1154" s="152"/>
    </row>
    <row r="1155" spans="7:7" x14ac:dyDescent="0.25">
      <c r="G1155" s="152"/>
    </row>
    <row r="1156" spans="7:7" x14ac:dyDescent="0.25">
      <c r="G1156" s="152"/>
    </row>
    <row r="1157" spans="7:7" x14ac:dyDescent="0.25">
      <c r="G1157" s="152"/>
    </row>
    <row r="1158" spans="7:7" x14ac:dyDescent="0.25">
      <c r="G1158" s="152"/>
    </row>
    <row r="1159" spans="7:7" x14ac:dyDescent="0.25">
      <c r="G1159" s="152"/>
    </row>
    <row r="1160" spans="7:7" x14ac:dyDescent="0.25">
      <c r="G1160" s="152"/>
    </row>
    <row r="1161" spans="7:7" x14ac:dyDescent="0.25">
      <c r="G1161" s="152"/>
    </row>
    <row r="1162" spans="7:7" x14ac:dyDescent="0.25">
      <c r="G1162" s="152"/>
    </row>
    <row r="1163" spans="7:7" x14ac:dyDescent="0.25">
      <c r="G1163" s="152"/>
    </row>
    <row r="1164" spans="7:7" x14ac:dyDescent="0.25">
      <c r="G1164" s="152"/>
    </row>
    <row r="1165" spans="7:7" x14ac:dyDescent="0.25">
      <c r="G1165" s="152"/>
    </row>
    <row r="1166" spans="7:7" x14ac:dyDescent="0.25">
      <c r="G1166" s="152"/>
    </row>
    <row r="1167" spans="7:7" x14ac:dyDescent="0.25">
      <c r="G1167" s="152"/>
    </row>
    <row r="1168" spans="7:7" x14ac:dyDescent="0.25">
      <c r="G1168" s="152"/>
    </row>
    <row r="1169" spans="7:7" x14ac:dyDescent="0.25">
      <c r="G1169" s="152"/>
    </row>
    <row r="1170" spans="7:7" x14ac:dyDescent="0.25">
      <c r="G1170" s="152"/>
    </row>
    <row r="1171" spans="7:7" x14ac:dyDescent="0.25">
      <c r="G1171" s="152"/>
    </row>
    <row r="1172" spans="7:7" x14ac:dyDescent="0.25">
      <c r="G1172" s="152"/>
    </row>
    <row r="1173" spans="7:7" x14ac:dyDescent="0.25">
      <c r="G1173" s="152"/>
    </row>
    <row r="1174" spans="7:7" x14ac:dyDescent="0.25">
      <c r="G1174" s="152"/>
    </row>
    <row r="1175" spans="7:7" x14ac:dyDescent="0.25">
      <c r="G1175" s="152"/>
    </row>
    <row r="1176" spans="7:7" x14ac:dyDescent="0.25">
      <c r="G1176" s="152"/>
    </row>
    <row r="1177" spans="7:7" x14ac:dyDescent="0.25">
      <c r="G1177" s="152"/>
    </row>
    <row r="1178" spans="7:7" x14ac:dyDescent="0.25">
      <c r="G1178" s="152"/>
    </row>
    <row r="1179" spans="7:7" x14ac:dyDescent="0.25">
      <c r="G1179" s="152"/>
    </row>
    <row r="1180" spans="7:7" x14ac:dyDescent="0.25">
      <c r="G1180" s="152"/>
    </row>
    <row r="1181" spans="7:7" x14ac:dyDescent="0.25">
      <c r="G1181" s="152"/>
    </row>
    <row r="1182" spans="7:7" x14ac:dyDescent="0.25">
      <c r="G1182" s="152"/>
    </row>
    <row r="1183" spans="7:7" x14ac:dyDescent="0.25">
      <c r="G1183" s="152"/>
    </row>
    <row r="1184" spans="7:7" x14ac:dyDescent="0.25">
      <c r="G1184" s="152"/>
    </row>
    <row r="1185" spans="7:7" x14ac:dyDescent="0.25">
      <c r="G1185" s="152"/>
    </row>
    <row r="1186" spans="7:7" x14ac:dyDescent="0.25">
      <c r="G1186" s="152"/>
    </row>
    <row r="1187" spans="7:7" x14ac:dyDescent="0.25">
      <c r="G1187" s="152"/>
    </row>
    <row r="1188" spans="7:7" x14ac:dyDescent="0.25">
      <c r="G1188" s="152"/>
    </row>
    <row r="1189" spans="7:7" x14ac:dyDescent="0.25">
      <c r="G1189" s="152"/>
    </row>
    <row r="1190" spans="7:7" x14ac:dyDescent="0.25">
      <c r="G1190" s="152"/>
    </row>
    <row r="1191" spans="7:7" x14ac:dyDescent="0.25">
      <c r="G1191" s="152"/>
    </row>
    <row r="1192" spans="7:7" x14ac:dyDescent="0.25">
      <c r="G1192" s="152"/>
    </row>
    <row r="1193" spans="7:7" x14ac:dyDescent="0.25">
      <c r="G1193" s="152"/>
    </row>
    <row r="1194" spans="7:7" x14ac:dyDescent="0.25">
      <c r="G1194" s="152"/>
    </row>
    <row r="1195" spans="7:7" x14ac:dyDescent="0.25">
      <c r="G1195" s="152"/>
    </row>
    <row r="1196" spans="7:7" x14ac:dyDescent="0.25">
      <c r="G1196" s="152"/>
    </row>
    <row r="1197" spans="7:7" x14ac:dyDescent="0.25">
      <c r="G1197" s="152"/>
    </row>
    <row r="1198" spans="7:7" x14ac:dyDescent="0.25">
      <c r="G1198" s="152"/>
    </row>
    <row r="1199" spans="7:7" x14ac:dyDescent="0.25">
      <c r="G1199" s="152"/>
    </row>
    <row r="1200" spans="7:7" x14ac:dyDescent="0.25">
      <c r="G1200" s="152"/>
    </row>
    <row r="1201" spans="7:7" x14ac:dyDescent="0.25">
      <c r="G1201" s="152"/>
    </row>
    <row r="1202" spans="7:7" x14ac:dyDescent="0.25">
      <c r="G1202" s="152"/>
    </row>
    <row r="1203" spans="7:7" x14ac:dyDescent="0.25">
      <c r="G1203" s="152"/>
    </row>
    <row r="1204" spans="7:7" x14ac:dyDescent="0.25">
      <c r="G1204" s="152"/>
    </row>
    <row r="1205" spans="7:7" x14ac:dyDescent="0.25">
      <c r="G1205" s="152"/>
    </row>
    <row r="1206" spans="7:7" x14ac:dyDescent="0.25">
      <c r="G1206" s="152"/>
    </row>
    <row r="1207" spans="7:7" x14ac:dyDescent="0.25">
      <c r="G1207" s="152"/>
    </row>
    <row r="1208" spans="7:7" x14ac:dyDescent="0.25">
      <c r="G1208" s="152"/>
    </row>
    <row r="1209" spans="7:7" x14ac:dyDescent="0.25">
      <c r="G1209" s="152"/>
    </row>
    <row r="1210" spans="7:7" x14ac:dyDescent="0.25">
      <c r="G1210" s="152"/>
    </row>
    <row r="1211" spans="7:7" x14ac:dyDescent="0.25">
      <c r="G1211" s="152"/>
    </row>
    <row r="1212" spans="7:7" x14ac:dyDescent="0.25">
      <c r="G1212" s="152"/>
    </row>
    <row r="1213" spans="7:7" x14ac:dyDescent="0.25">
      <c r="G1213" s="152"/>
    </row>
    <row r="1214" spans="7:7" x14ac:dyDescent="0.25">
      <c r="G1214" s="152"/>
    </row>
    <row r="1215" spans="7:7" x14ac:dyDescent="0.25">
      <c r="G1215" s="152"/>
    </row>
    <row r="1216" spans="7:7" x14ac:dyDescent="0.25">
      <c r="G1216" s="152"/>
    </row>
    <row r="1217" spans="7:7" x14ac:dyDescent="0.25">
      <c r="G1217" s="152"/>
    </row>
    <row r="1218" spans="7:7" x14ac:dyDescent="0.25">
      <c r="G1218" s="152"/>
    </row>
    <row r="1219" spans="7:7" x14ac:dyDescent="0.25">
      <c r="G1219" s="152"/>
    </row>
    <row r="1220" spans="7:7" x14ac:dyDescent="0.25">
      <c r="G1220" s="152"/>
    </row>
    <row r="1221" spans="7:7" x14ac:dyDescent="0.25">
      <c r="G1221" s="152"/>
    </row>
    <row r="1222" spans="7:7" x14ac:dyDescent="0.25">
      <c r="G1222" s="152"/>
    </row>
    <row r="1223" spans="7:7" x14ac:dyDescent="0.25">
      <c r="G1223" s="152"/>
    </row>
    <row r="1224" spans="7:7" x14ac:dyDescent="0.25">
      <c r="G1224" s="152"/>
    </row>
    <row r="1225" spans="7:7" x14ac:dyDescent="0.25">
      <c r="G1225" s="152"/>
    </row>
    <row r="1226" spans="7:7" x14ac:dyDescent="0.25">
      <c r="G1226" s="152"/>
    </row>
    <row r="1227" spans="7:7" x14ac:dyDescent="0.25">
      <c r="G1227" s="152"/>
    </row>
    <row r="1228" spans="7:7" x14ac:dyDescent="0.25">
      <c r="G1228" s="152"/>
    </row>
    <row r="1229" spans="7:7" x14ac:dyDescent="0.25">
      <c r="G1229" s="152"/>
    </row>
    <row r="1230" spans="7:7" x14ac:dyDescent="0.25">
      <c r="G1230" s="152"/>
    </row>
    <row r="1231" spans="7:7" x14ac:dyDescent="0.25">
      <c r="G1231" s="152"/>
    </row>
    <row r="1232" spans="7:7" x14ac:dyDescent="0.25">
      <c r="G1232" s="152"/>
    </row>
    <row r="1233" spans="7:7" x14ac:dyDescent="0.25">
      <c r="G1233" s="152"/>
    </row>
    <row r="1234" spans="7:7" x14ac:dyDescent="0.25">
      <c r="G1234" s="152"/>
    </row>
    <row r="1235" spans="7:7" x14ac:dyDescent="0.25">
      <c r="G1235" s="152"/>
    </row>
    <row r="1236" spans="7:7" x14ac:dyDescent="0.25">
      <c r="G1236" s="152"/>
    </row>
    <row r="1237" spans="7:7" x14ac:dyDescent="0.25">
      <c r="G1237" s="152"/>
    </row>
    <row r="1238" spans="7:7" x14ac:dyDescent="0.25">
      <c r="G1238" s="152"/>
    </row>
    <row r="1239" spans="7:7" x14ac:dyDescent="0.25">
      <c r="G1239" s="152"/>
    </row>
    <row r="1240" spans="7:7" x14ac:dyDescent="0.25">
      <c r="G1240" s="152"/>
    </row>
    <row r="1241" spans="7:7" x14ac:dyDescent="0.25">
      <c r="G1241" s="152"/>
    </row>
    <row r="1242" spans="7:7" x14ac:dyDescent="0.25">
      <c r="G1242" s="152"/>
    </row>
    <row r="1243" spans="7:7" x14ac:dyDescent="0.25">
      <c r="G1243" s="152"/>
    </row>
    <row r="1244" spans="7:7" x14ac:dyDescent="0.25">
      <c r="G1244" s="152"/>
    </row>
    <row r="1245" spans="7:7" x14ac:dyDescent="0.25">
      <c r="G1245" s="152"/>
    </row>
    <row r="1246" spans="7:7" x14ac:dyDescent="0.25">
      <c r="G1246" s="152"/>
    </row>
    <row r="1247" spans="7:7" x14ac:dyDescent="0.25">
      <c r="G1247" s="152"/>
    </row>
    <row r="1248" spans="7:7" x14ac:dyDescent="0.25">
      <c r="G1248" s="152"/>
    </row>
    <row r="1249" spans="7:7" x14ac:dyDescent="0.25">
      <c r="G1249" s="152"/>
    </row>
    <row r="1250" spans="7:7" x14ac:dyDescent="0.25">
      <c r="G1250" s="152"/>
    </row>
    <row r="1251" spans="7:7" x14ac:dyDescent="0.25">
      <c r="G1251" s="152"/>
    </row>
    <row r="1252" spans="7:7" x14ac:dyDescent="0.25">
      <c r="G1252" s="152"/>
    </row>
    <row r="1253" spans="7:7" x14ac:dyDescent="0.25">
      <c r="G1253" s="152"/>
    </row>
    <row r="1254" spans="7:7" x14ac:dyDescent="0.25">
      <c r="G1254" s="152"/>
    </row>
    <row r="1255" spans="7:7" x14ac:dyDescent="0.25">
      <c r="G1255" s="152"/>
    </row>
    <row r="1256" spans="7:7" x14ac:dyDescent="0.25">
      <c r="G1256" s="152"/>
    </row>
    <row r="1257" spans="7:7" x14ac:dyDescent="0.25">
      <c r="G1257" s="152"/>
    </row>
    <row r="1258" spans="7:7" x14ac:dyDescent="0.25">
      <c r="G1258" s="152"/>
    </row>
    <row r="1259" spans="7:7" x14ac:dyDescent="0.25">
      <c r="G1259" s="152"/>
    </row>
    <row r="1260" spans="7:7" x14ac:dyDescent="0.25">
      <c r="G1260" s="152"/>
    </row>
    <row r="1261" spans="7:7" x14ac:dyDescent="0.25">
      <c r="G1261" s="152"/>
    </row>
    <row r="1262" spans="7:7" x14ac:dyDescent="0.25">
      <c r="G1262" s="152"/>
    </row>
    <row r="1263" spans="7:7" x14ac:dyDescent="0.25">
      <c r="G1263" s="152"/>
    </row>
    <row r="1264" spans="7:7" x14ac:dyDescent="0.25">
      <c r="G1264" s="152"/>
    </row>
    <row r="1265" spans="7:7" x14ac:dyDescent="0.25">
      <c r="G1265" s="152"/>
    </row>
    <row r="1266" spans="7:7" x14ac:dyDescent="0.25">
      <c r="G1266" s="152"/>
    </row>
    <row r="1267" spans="7:7" x14ac:dyDescent="0.25">
      <c r="G1267" s="152"/>
    </row>
    <row r="1268" spans="7:7" x14ac:dyDescent="0.25">
      <c r="G1268" s="152"/>
    </row>
    <row r="1269" spans="7:7" x14ac:dyDescent="0.25">
      <c r="G1269" s="152"/>
    </row>
    <row r="1270" spans="7:7" x14ac:dyDescent="0.25">
      <c r="G1270" s="152"/>
    </row>
    <row r="1271" spans="7:7" x14ac:dyDescent="0.25">
      <c r="G1271" s="152"/>
    </row>
    <row r="1272" spans="7:7" x14ac:dyDescent="0.25">
      <c r="G1272" s="152"/>
    </row>
    <row r="1273" spans="7:7" x14ac:dyDescent="0.25">
      <c r="G1273" s="152"/>
    </row>
    <row r="1274" spans="7:7" x14ac:dyDescent="0.25">
      <c r="G1274" s="152"/>
    </row>
    <row r="1275" spans="7:7" x14ac:dyDescent="0.25">
      <c r="G1275" s="152"/>
    </row>
    <row r="1276" spans="7:7" x14ac:dyDescent="0.25">
      <c r="G1276" s="152"/>
    </row>
    <row r="1277" spans="7:7" x14ac:dyDescent="0.25">
      <c r="G1277" s="152"/>
    </row>
    <row r="1278" spans="7:7" x14ac:dyDescent="0.25">
      <c r="G1278" s="152"/>
    </row>
    <row r="1279" spans="7:7" x14ac:dyDescent="0.25">
      <c r="G1279" s="152"/>
    </row>
    <row r="1280" spans="7:7" x14ac:dyDescent="0.25">
      <c r="G1280" s="152"/>
    </row>
    <row r="1281" spans="7:7" x14ac:dyDescent="0.25">
      <c r="G1281" s="152"/>
    </row>
    <row r="1282" spans="7:7" x14ac:dyDescent="0.25">
      <c r="G1282" s="152"/>
    </row>
    <row r="1283" spans="7:7" x14ac:dyDescent="0.25">
      <c r="G1283" s="152"/>
    </row>
    <row r="1284" spans="7:7" x14ac:dyDescent="0.25">
      <c r="G1284" s="152"/>
    </row>
    <row r="1285" spans="7:7" x14ac:dyDescent="0.25">
      <c r="G1285" s="152"/>
    </row>
    <row r="1286" spans="7:7" x14ac:dyDescent="0.25">
      <c r="G1286" s="152"/>
    </row>
    <row r="1287" spans="7:7" x14ac:dyDescent="0.25">
      <c r="G1287" s="152"/>
    </row>
    <row r="1288" spans="7:7" x14ac:dyDescent="0.25">
      <c r="G1288" s="152"/>
    </row>
    <row r="1289" spans="7:7" x14ac:dyDescent="0.25">
      <c r="G1289" s="152"/>
    </row>
    <row r="1290" spans="7:7" x14ac:dyDescent="0.25">
      <c r="G1290" s="152"/>
    </row>
    <row r="1291" spans="7:7" x14ac:dyDescent="0.25">
      <c r="G1291" s="152"/>
    </row>
    <row r="1292" spans="7:7" x14ac:dyDescent="0.25">
      <c r="G1292" s="152"/>
    </row>
    <row r="1293" spans="7:7" x14ac:dyDescent="0.25">
      <c r="G1293" s="152"/>
    </row>
    <row r="1294" spans="7:7" x14ac:dyDescent="0.25">
      <c r="G1294" s="152"/>
    </row>
    <row r="1295" spans="7:7" x14ac:dyDescent="0.25">
      <c r="G1295" s="152"/>
    </row>
    <row r="1296" spans="7:7" x14ac:dyDescent="0.25">
      <c r="G1296" s="152"/>
    </row>
    <row r="1297" spans="7:7" x14ac:dyDescent="0.25">
      <c r="G1297" s="152"/>
    </row>
    <row r="1298" spans="7:7" x14ac:dyDescent="0.25">
      <c r="G1298" s="152"/>
    </row>
    <row r="1299" spans="7:7" x14ac:dyDescent="0.25">
      <c r="G1299" s="152"/>
    </row>
    <row r="1300" spans="7:7" x14ac:dyDescent="0.25">
      <c r="G1300" s="152"/>
    </row>
    <row r="1301" spans="7:7" x14ac:dyDescent="0.25">
      <c r="G1301" s="152"/>
    </row>
    <row r="1302" spans="7:7" x14ac:dyDescent="0.25">
      <c r="G1302" s="152"/>
    </row>
    <row r="1303" spans="7:7" x14ac:dyDescent="0.25">
      <c r="G1303" s="152"/>
    </row>
    <row r="1304" spans="7:7" x14ac:dyDescent="0.25">
      <c r="G1304" s="152"/>
    </row>
    <row r="1305" spans="7:7" x14ac:dyDescent="0.25">
      <c r="G1305" s="152"/>
    </row>
    <row r="1306" spans="7:7" x14ac:dyDescent="0.25">
      <c r="G1306" s="152"/>
    </row>
    <row r="1307" spans="7:7" x14ac:dyDescent="0.25">
      <c r="G1307" s="152"/>
    </row>
    <row r="1308" spans="7:7" x14ac:dyDescent="0.25">
      <c r="G1308" s="152"/>
    </row>
    <row r="1309" spans="7:7" x14ac:dyDescent="0.25">
      <c r="G1309" s="152"/>
    </row>
    <row r="1310" spans="7:7" x14ac:dyDescent="0.25">
      <c r="G1310" s="152"/>
    </row>
    <row r="1311" spans="7:7" x14ac:dyDescent="0.25">
      <c r="G1311" s="152"/>
    </row>
    <row r="1312" spans="7:7" x14ac:dyDescent="0.25">
      <c r="G1312" s="152"/>
    </row>
    <row r="1313" spans="7:7" x14ac:dyDescent="0.25">
      <c r="G1313" s="152"/>
    </row>
    <row r="1314" spans="7:7" x14ac:dyDescent="0.25">
      <c r="G1314" s="152"/>
    </row>
    <row r="1315" spans="7:7" x14ac:dyDescent="0.25">
      <c r="G1315" s="152"/>
    </row>
    <row r="1316" spans="7:7" x14ac:dyDescent="0.25">
      <c r="G1316" s="152"/>
    </row>
    <row r="1317" spans="7:7" x14ac:dyDescent="0.25">
      <c r="G1317" s="152"/>
    </row>
    <row r="1318" spans="7:7" x14ac:dyDescent="0.25">
      <c r="G1318" s="152"/>
    </row>
    <row r="1319" spans="7:7" x14ac:dyDescent="0.25">
      <c r="G1319" s="152"/>
    </row>
    <row r="1320" spans="7:7" x14ac:dyDescent="0.25">
      <c r="G1320" s="152"/>
    </row>
    <row r="1321" spans="7:7" x14ac:dyDescent="0.25">
      <c r="G1321" s="152"/>
    </row>
    <row r="1322" spans="7:7" x14ac:dyDescent="0.25">
      <c r="G1322" s="152"/>
    </row>
    <row r="1323" spans="7:7" x14ac:dyDescent="0.25">
      <c r="G1323" s="152"/>
    </row>
    <row r="1324" spans="7:7" x14ac:dyDescent="0.25">
      <c r="G1324" s="152"/>
    </row>
    <row r="1325" spans="7:7" x14ac:dyDescent="0.25">
      <c r="G1325" s="152"/>
    </row>
    <row r="1326" spans="7:7" x14ac:dyDescent="0.25">
      <c r="G1326" s="152"/>
    </row>
    <row r="1327" spans="7:7" x14ac:dyDescent="0.25">
      <c r="G1327" s="152"/>
    </row>
    <row r="1328" spans="7:7" x14ac:dyDescent="0.25">
      <c r="G1328" s="152"/>
    </row>
    <row r="1329" spans="7:7" x14ac:dyDescent="0.25">
      <c r="G1329" s="152"/>
    </row>
    <row r="1330" spans="7:7" x14ac:dyDescent="0.25">
      <c r="G1330" s="152"/>
    </row>
    <row r="1331" spans="7:7" x14ac:dyDescent="0.25">
      <c r="G1331" s="152"/>
    </row>
    <row r="1332" spans="7:7" x14ac:dyDescent="0.25">
      <c r="G1332" s="152"/>
    </row>
    <row r="1333" spans="7:7" x14ac:dyDescent="0.25">
      <c r="G1333" s="152"/>
    </row>
    <row r="1334" spans="7:7" x14ac:dyDescent="0.25">
      <c r="G1334" s="152"/>
    </row>
    <row r="1335" spans="7:7" x14ac:dyDescent="0.25">
      <c r="G1335" s="152"/>
    </row>
    <row r="1336" spans="7:7" x14ac:dyDescent="0.25">
      <c r="G1336" s="152"/>
    </row>
    <row r="1337" spans="7:7" x14ac:dyDescent="0.25">
      <c r="G1337" s="152"/>
    </row>
    <row r="1338" spans="7:7" x14ac:dyDescent="0.25">
      <c r="G1338" s="152"/>
    </row>
    <row r="1339" spans="7:7" x14ac:dyDescent="0.25">
      <c r="G1339" s="152"/>
    </row>
    <row r="1340" spans="7:7" x14ac:dyDescent="0.25">
      <c r="G1340" s="152"/>
    </row>
    <row r="1341" spans="7:7" x14ac:dyDescent="0.25">
      <c r="G1341" s="152"/>
    </row>
    <row r="1342" spans="7:7" x14ac:dyDescent="0.25">
      <c r="G1342" s="152"/>
    </row>
    <row r="1343" spans="7:7" x14ac:dyDescent="0.25">
      <c r="G1343" s="152"/>
    </row>
    <row r="1344" spans="7:7" x14ac:dyDescent="0.25">
      <c r="G1344" s="152"/>
    </row>
    <row r="1345" spans="7:7" x14ac:dyDescent="0.25">
      <c r="G1345" s="152"/>
    </row>
    <row r="1346" spans="7:7" x14ac:dyDescent="0.25">
      <c r="G1346" s="152"/>
    </row>
    <row r="1347" spans="7:7" x14ac:dyDescent="0.25">
      <c r="G1347" s="152"/>
    </row>
    <row r="1348" spans="7:7" x14ac:dyDescent="0.25">
      <c r="G1348" s="152"/>
    </row>
    <row r="1349" spans="7:7" x14ac:dyDescent="0.25">
      <c r="G1349" s="152"/>
    </row>
    <row r="1350" spans="7:7" x14ac:dyDescent="0.25">
      <c r="G1350" s="152"/>
    </row>
    <row r="1351" spans="7:7" x14ac:dyDescent="0.25">
      <c r="G1351" s="152"/>
    </row>
    <row r="1352" spans="7:7" x14ac:dyDescent="0.25">
      <c r="G1352" s="152"/>
    </row>
    <row r="1353" spans="7:7" x14ac:dyDescent="0.25">
      <c r="G1353" s="152"/>
    </row>
    <row r="1354" spans="7:7" x14ac:dyDescent="0.25">
      <c r="G1354" s="152"/>
    </row>
    <row r="1355" spans="7:7" x14ac:dyDescent="0.25">
      <c r="G1355" s="152"/>
    </row>
    <row r="1356" spans="7:7" x14ac:dyDescent="0.25">
      <c r="G1356" s="152"/>
    </row>
    <row r="1357" spans="7:7" x14ac:dyDescent="0.25">
      <c r="G1357" s="152"/>
    </row>
    <row r="1358" spans="7:7" x14ac:dyDescent="0.25">
      <c r="G1358" s="152"/>
    </row>
    <row r="1359" spans="7:7" x14ac:dyDescent="0.25">
      <c r="G1359" s="152"/>
    </row>
    <row r="1360" spans="7:7" x14ac:dyDescent="0.25">
      <c r="G1360" s="152"/>
    </row>
    <row r="1361" spans="7:7" x14ac:dyDescent="0.25">
      <c r="G1361" s="152"/>
    </row>
    <row r="1362" spans="7:7" x14ac:dyDescent="0.25">
      <c r="G1362" s="152"/>
    </row>
    <row r="1363" spans="7:7" x14ac:dyDescent="0.25">
      <c r="G1363" s="152"/>
    </row>
    <row r="1364" spans="7:7" x14ac:dyDescent="0.25">
      <c r="G1364" s="152"/>
    </row>
    <row r="1365" spans="7:7" x14ac:dyDescent="0.25">
      <c r="G1365" s="152"/>
    </row>
    <row r="1366" spans="7:7" x14ac:dyDescent="0.25">
      <c r="G1366" s="152"/>
    </row>
    <row r="1367" spans="7:7" x14ac:dyDescent="0.25">
      <c r="G1367" s="152"/>
    </row>
    <row r="1368" spans="7:7" x14ac:dyDescent="0.25">
      <c r="G1368" s="152"/>
    </row>
    <row r="1369" spans="7:7" x14ac:dyDescent="0.25">
      <c r="G1369" s="152"/>
    </row>
    <row r="1370" spans="7:7" x14ac:dyDescent="0.25">
      <c r="G1370" s="152"/>
    </row>
    <row r="1371" spans="7:7" x14ac:dyDescent="0.25">
      <c r="G1371" s="152"/>
    </row>
    <row r="1372" spans="7:7" x14ac:dyDescent="0.25">
      <c r="G1372" s="152"/>
    </row>
    <row r="1373" spans="7:7" x14ac:dyDescent="0.25">
      <c r="G1373" s="152"/>
    </row>
    <row r="1374" spans="7:7" x14ac:dyDescent="0.25">
      <c r="G1374" s="152"/>
    </row>
    <row r="1375" spans="7:7" x14ac:dyDescent="0.25">
      <c r="G1375" s="152"/>
    </row>
    <row r="1376" spans="7:7" x14ac:dyDescent="0.25">
      <c r="G1376" s="152"/>
    </row>
    <row r="1377" spans="7:7" x14ac:dyDescent="0.25">
      <c r="G1377" s="152"/>
    </row>
    <row r="1378" spans="7:7" x14ac:dyDescent="0.25">
      <c r="G1378" s="152"/>
    </row>
    <row r="1379" spans="7:7" x14ac:dyDescent="0.25">
      <c r="G1379" s="152"/>
    </row>
    <row r="1380" spans="7:7" x14ac:dyDescent="0.25">
      <c r="G1380" s="152"/>
    </row>
    <row r="1381" spans="7:7" x14ac:dyDescent="0.25">
      <c r="G1381" s="152"/>
    </row>
    <row r="1382" spans="7:7" x14ac:dyDescent="0.25">
      <c r="G1382" s="152"/>
    </row>
    <row r="1383" spans="7:7" x14ac:dyDescent="0.25">
      <c r="G1383" s="152"/>
    </row>
    <row r="1384" spans="7:7" x14ac:dyDescent="0.25">
      <c r="G1384" s="152"/>
    </row>
    <row r="1385" spans="7:7" x14ac:dyDescent="0.25">
      <c r="G1385" s="152"/>
    </row>
    <row r="1386" spans="7:7" x14ac:dyDescent="0.25">
      <c r="G1386" s="152"/>
    </row>
    <row r="1387" spans="7:7" x14ac:dyDescent="0.25">
      <c r="G1387" s="152"/>
    </row>
    <row r="1388" spans="7:7" x14ac:dyDescent="0.25">
      <c r="G1388" s="152"/>
    </row>
    <row r="1389" spans="7:7" x14ac:dyDescent="0.25">
      <c r="G1389" s="152"/>
    </row>
    <row r="1390" spans="7:7" x14ac:dyDescent="0.25">
      <c r="G1390" s="152"/>
    </row>
    <row r="1391" spans="7:7" x14ac:dyDescent="0.25">
      <c r="G1391" s="152"/>
    </row>
    <row r="1392" spans="7:7" x14ac:dyDescent="0.25">
      <c r="G1392" s="152"/>
    </row>
    <row r="1393" spans="7:7" x14ac:dyDescent="0.25">
      <c r="G1393" s="152"/>
    </row>
    <row r="1394" spans="7:7" x14ac:dyDescent="0.25">
      <c r="G1394" s="152"/>
    </row>
    <row r="1395" spans="7:7" x14ac:dyDescent="0.25">
      <c r="G1395" s="152"/>
    </row>
    <row r="1396" spans="7:7" x14ac:dyDescent="0.25">
      <c r="G1396" s="152"/>
    </row>
    <row r="1397" spans="7:7" x14ac:dyDescent="0.25">
      <c r="G1397" s="152"/>
    </row>
    <row r="1398" spans="7:7" x14ac:dyDescent="0.25">
      <c r="G1398" s="152"/>
    </row>
    <row r="1399" spans="7:7" x14ac:dyDescent="0.25">
      <c r="G1399" s="152"/>
    </row>
    <row r="1400" spans="7:7" x14ac:dyDescent="0.25">
      <c r="G1400" s="152"/>
    </row>
    <row r="1401" spans="7:7" x14ac:dyDescent="0.25">
      <c r="G1401" s="152"/>
    </row>
    <row r="1402" spans="7:7" x14ac:dyDescent="0.25">
      <c r="G1402" s="152"/>
    </row>
    <row r="1403" spans="7:7" x14ac:dyDescent="0.25">
      <c r="G1403" s="152"/>
    </row>
    <row r="1404" spans="7:7" x14ac:dyDescent="0.25">
      <c r="G1404" s="152"/>
    </row>
    <row r="1405" spans="7:7" x14ac:dyDescent="0.25">
      <c r="G1405" s="152"/>
    </row>
    <row r="1406" spans="7:7" x14ac:dyDescent="0.25">
      <c r="G1406" s="152"/>
    </row>
    <row r="1407" spans="7:7" x14ac:dyDescent="0.25">
      <c r="G1407" s="152"/>
    </row>
    <row r="1408" spans="7:7" x14ac:dyDescent="0.25">
      <c r="G1408" s="152"/>
    </row>
    <row r="1409" spans="7:7" x14ac:dyDescent="0.25">
      <c r="G1409" s="152"/>
    </row>
    <row r="1410" spans="7:7" x14ac:dyDescent="0.25">
      <c r="G1410" s="152"/>
    </row>
    <row r="1411" spans="7:7" x14ac:dyDescent="0.25">
      <c r="G1411" s="152"/>
    </row>
    <row r="1412" spans="7:7" x14ac:dyDescent="0.25">
      <c r="G1412" s="152"/>
    </row>
    <row r="1413" spans="7:7" x14ac:dyDescent="0.25">
      <c r="G1413" s="152"/>
    </row>
    <row r="1414" spans="7:7" x14ac:dyDescent="0.25">
      <c r="G1414" s="152"/>
    </row>
    <row r="1415" spans="7:7" x14ac:dyDescent="0.25">
      <c r="G1415" s="152"/>
    </row>
    <row r="1416" spans="7:7" x14ac:dyDescent="0.25">
      <c r="G1416" s="152"/>
    </row>
    <row r="1417" spans="7:7" x14ac:dyDescent="0.25">
      <c r="G1417" s="152"/>
    </row>
    <row r="1418" spans="7:7" x14ac:dyDescent="0.25">
      <c r="G1418" s="152"/>
    </row>
    <row r="1419" spans="7:7" x14ac:dyDescent="0.25">
      <c r="G1419" s="152"/>
    </row>
    <row r="1420" spans="7:7" x14ac:dyDescent="0.25">
      <c r="G1420" s="152"/>
    </row>
    <row r="1421" spans="7:7" x14ac:dyDescent="0.25">
      <c r="G1421" s="152"/>
    </row>
    <row r="1422" spans="7:7" x14ac:dyDescent="0.25">
      <c r="G1422" s="152"/>
    </row>
    <row r="1423" spans="7:7" x14ac:dyDescent="0.25">
      <c r="G1423" s="152"/>
    </row>
    <row r="1424" spans="7:7" x14ac:dyDescent="0.25">
      <c r="G1424" s="152"/>
    </row>
    <row r="1425" spans="7:7" x14ac:dyDescent="0.25">
      <c r="G1425" s="152"/>
    </row>
    <row r="1426" spans="7:7" x14ac:dyDescent="0.25">
      <c r="G1426" s="152"/>
    </row>
    <row r="1427" spans="7:7" x14ac:dyDescent="0.25">
      <c r="G1427" s="152"/>
    </row>
    <row r="1428" spans="7:7" x14ac:dyDescent="0.25">
      <c r="G1428" s="152"/>
    </row>
    <row r="1429" spans="7:7" x14ac:dyDescent="0.25">
      <c r="G1429" s="152"/>
    </row>
    <row r="1430" spans="7:7" x14ac:dyDescent="0.25">
      <c r="G1430" s="152"/>
    </row>
    <row r="1431" spans="7:7" x14ac:dyDescent="0.25">
      <c r="G1431" s="152"/>
    </row>
    <row r="1432" spans="7:7" x14ac:dyDescent="0.25">
      <c r="G1432" s="152"/>
    </row>
    <row r="1433" spans="7:7" x14ac:dyDescent="0.25">
      <c r="G1433" s="152"/>
    </row>
    <row r="1434" spans="7:7" x14ac:dyDescent="0.25">
      <c r="G1434" s="152"/>
    </row>
    <row r="1435" spans="7:7" x14ac:dyDescent="0.25">
      <c r="G1435" s="152"/>
    </row>
    <row r="1436" spans="7:7" x14ac:dyDescent="0.25">
      <c r="G1436" s="152"/>
    </row>
    <row r="1437" spans="7:7" x14ac:dyDescent="0.25">
      <c r="G1437" s="152"/>
    </row>
    <row r="1438" spans="7:7" x14ac:dyDescent="0.25">
      <c r="G1438" s="152"/>
    </row>
    <row r="1439" spans="7:7" x14ac:dyDescent="0.25">
      <c r="G1439" s="152"/>
    </row>
    <row r="1440" spans="7:7" x14ac:dyDescent="0.25">
      <c r="G1440" s="152"/>
    </row>
    <row r="1441" spans="7:7" x14ac:dyDescent="0.25">
      <c r="G1441" s="152"/>
    </row>
    <row r="1442" spans="7:7" x14ac:dyDescent="0.25">
      <c r="G1442" s="152"/>
    </row>
    <row r="1443" spans="7:7" x14ac:dyDescent="0.25">
      <c r="G1443" s="152"/>
    </row>
    <row r="1444" spans="7:7" x14ac:dyDescent="0.25">
      <c r="G1444" s="152"/>
    </row>
    <row r="1445" spans="7:7" x14ac:dyDescent="0.25">
      <c r="G1445" s="152"/>
    </row>
    <row r="1446" spans="7:7" x14ac:dyDescent="0.25">
      <c r="G1446" s="152"/>
    </row>
    <row r="1447" spans="7:7" x14ac:dyDescent="0.25">
      <c r="G1447" s="152"/>
    </row>
    <row r="1448" spans="7:7" x14ac:dyDescent="0.25">
      <c r="G1448" s="152"/>
    </row>
    <row r="1449" spans="7:7" x14ac:dyDescent="0.25">
      <c r="G1449" s="152"/>
    </row>
    <row r="1450" spans="7:7" x14ac:dyDescent="0.25">
      <c r="G1450" s="152"/>
    </row>
    <row r="1451" spans="7:7" x14ac:dyDescent="0.25">
      <c r="G1451" s="152"/>
    </row>
    <row r="1452" spans="7:7" x14ac:dyDescent="0.25">
      <c r="G1452" s="152"/>
    </row>
    <row r="1453" spans="7:7" x14ac:dyDescent="0.25">
      <c r="G1453" s="152"/>
    </row>
    <row r="1454" spans="7:7" x14ac:dyDescent="0.25">
      <c r="G1454" s="152"/>
    </row>
    <row r="1455" spans="7:7" x14ac:dyDescent="0.25">
      <c r="G1455" s="152"/>
    </row>
    <row r="1456" spans="7:7" x14ac:dyDescent="0.25">
      <c r="G1456" s="152"/>
    </row>
    <row r="1457" spans="7:7" x14ac:dyDescent="0.25">
      <c r="G1457" s="152"/>
    </row>
    <row r="1458" spans="7:7" x14ac:dyDescent="0.25">
      <c r="G1458" s="152"/>
    </row>
    <row r="1459" spans="7:7" x14ac:dyDescent="0.25">
      <c r="G1459" s="152"/>
    </row>
    <row r="1460" spans="7:7" x14ac:dyDescent="0.25">
      <c r="G1460" s="152"/>
    </row>
    <row r="1461" spans="7:7" x14ac:dyDescent="0.25">
      <c r="G1461" s="152"/>
    </row>
    <row r="1462" spans="7:7" x14ac:dyDescent="0.25">
      <c r="G1462" s="152"/>
    </row>
    <row r="1463" spans="7:7" x14ac:dyDescent="0.25">
      <c r="G1463" s="152"/>
    </row>
    <row r="1464" spans="7:7" x14ac:dyDescent="0.25">
      <c r="G1464" s="152"/>
    </row>
    <row r="1465" spans="7:7" x14ac:dyDescent="0.25">
      <c r="G1465" s="152"/>
    </row>
    <row r="1466" spans="7:7" x14ac:dyDescent="0.25">
      <c r="G1466" s="152"/>
    </row>
    <row r="1467" spans="7:7" x14ac:dyDescent="0.25">
      <c r="G1467" s="152"/>
    </row>
    <row r="1468" spans="7:7" x14ac:dyDescent="0.25">
      <c r="G1468" s="152"/>
    </row>
    <row r="1469" spans="7:7" x14ac:dyDescent="0.25">
      <c r="G1469" s="152"/>
    </row>
    <row r="1470" spans="7:7" x14ac:dyDescent="0.25">
      <c r="G1470" s="152"/>
    </row>
    <row r="1471" spans="7:7" x14ac:dyDescent="0.25">
      <c r="G1471" s="152"/>
    </row>
    <row r="1472" spans="7:7" x14ac:dyDescent="0.25">
      <c r="G1472" s="152"/>
    </row>
    <row r="1473" spans="7:7" x14ac:dyDescent="0.25">
      <c r="G1473" s="152"/>
    </row>
    <row r="1474" spans="7:7" x14ac:dyDescent="0.25">
      <c r="G1474" s="152"/>
    </row>
    <row r="1475" spans="7:7" x14ac:dyDescent="0.25">
      <c r="G1475" s="152"/>
    </row>
    <row r="1476" spans="7:7" x14ac:dyDescent="0.25">
      <c r="G1476" s="152"/>
    </row>
    <row r="1477" spans="7:7" x14ac:dyDescent="0.25">
      <c r="G1477" s="152"/>
    </row>
    <row r="1478" spans="7:7" x14ac:dyDescent="0.25">
      <c r="G1478" s="152"/>
    </row>
    <row r="1479" spans="7:7" x14ac:dyDescent="0.25">
      <c r="G1479" s="152"/>
    </row>
    <row r="1480" spans="7:7" x14ac:dyDescent="0.25">
      <c r="G1480" s="152"/>
    </row>
    <row r="1481" spans="7:7" x14ac:dyDescent="0.25">
      <c r="G1481" s="152"/>
    </row>
    <row r="1482" spans="7:7" x14ac:dyDescent="0.25">
      <c r="G1482" s="152"/>
    </row>
    <row r="1483" spans="7:7" x14ac:dyDescent="0.25">
      <c r="G1483" s="152"/>
    </row>
    <row r="1484" spans="7:7" x14ac:dyDescent="0.25">
      <c r="G1484" s="152"/>
    </row>
    <row r="1485" spans="7:7" x14ac:dyDescent="0.25">
      <c r="G1485" s="152"/>
    </row>
    <row r="1486" spans="7:7" x14ac:dyDescent="0.25">
      <c r="G1486" s="152"/>
    </row>
    <row r="1487" spans="7:7" x14ac:dyDescent="0.25">
      <c r="G1487" s="152"/>
    </row>
    <row r="1488" spans="7:7" x14ac:dyDescent="0.25">
      <c r="G1488" s="152"/>
    </row>
    <row r="1489" spans="7:7" x14ac:dyDescent="0.25">
      <c r="G1489" s="152"/>
    </row>
    <row r="1490" spans="7:7" x14ac:dyDescent="0.25">
      <c r="G1490" s="152"/>
    </row>
    <row r="1491" spans="7:7" x14ac:dyDescent="0.25">
      <c r="G1491" s="152"/>
    </row>
    <row r="1492" spans="7:7" x14ac:dyDescent="0.25">
      <c r="G1492" s="152"/>
    </row>
    <row r="1493" spans="7:7" x14ac:dyDescent="0.25">
      <c r="G1493" s="152"/>
    </row>
    <row r="1494" spans="7:7" x14ac:dyDescent="0.25">
      <c r="G1494" s="152"/>
    </row>
    <row r="1495" spans="7:7" x14ac:dyDescent="0.25">
      <c r="G1495" s="152"/>
    </row>
    <row r="1496" spans="7:7" x14ac:dyDescent="0.25">
      <c r="G1496" s="152"/>
    </row>
    <row r="1497" spans="7:7" x14ac:dyDescent="0.25">
      <c r="G1497" s="152"/>
    </row>
    <row r="1498" spans="7:7" x14ac:dyDescent="0.25">
      <c r="G1498" s="152"/>
    </row>
    <row r="1499" spans="7:7" x14ac:dyDescent="0.25">
      <c r="G1499" s="152"/>
    </row>
    <row r="1500" spans="7:7" x14ac:dyDescent="0.25">
      <c r="G1500" s="152"/>
    </row>
    <row r="1501" spans="7:7" x14ac:dyDescent="0.25">
      <c r="G1501" s="152"/>
    </row>
    <row r="1502" spans="7:7" x14ac:dyDescent="0.25">
      <c r="G1502" s="152"/>
    </row>
    <row r="1503" spans="7:7" x14ac:dyDescent="0.25">
      <c r="G1503" s="152"/>
    </row>
    <row r="1504" spans="7:7" x14ac:dyDescent="0.25">
      <c r="G1504" s="152"/>
    </row>
    <row r="1505" spans="7:7" x14ac:dyDescent="0.25">
      <c r="G1505" s="152"/>
    </row>
    <row r="1506" spans="7:7" x14ac:dyDescent="0.25">
      <c r="G1506" s="152"/>
    </row>
    <row r="1507" spans="7:7" x14ac:dyDescent="0.25">
      <c r="G1507" s="152"/>
    </row>
    <row r="1508" spans="7:7" x14ac:dyDescent="0.25">
      <c r="G1508" s="152"/>
    </row>
    <row r="1509" spans="7:7" x14ac:dyDescent="0.25">
      <c r="G1509" s="152"/>
    </row>
    <row r="1510" spans="7:7" x14ac:dyDescent="0.25">
      <c r="G1510" s="152"/>
    </row>
    <row r="1511" spans="7:7" x14ac:dyDescent="0.25">
      <c r="G1511" s="152"/>
    </row>
    <row r="1512" spans="7:7" x14ac:dyDescent="0.25">
      <c r="G1512" s="152"/>
    </row>
    <row r="1513" spans="7:7" x14ac:dyDescent="0.25">
      <c r="G1513" s="152"/>
    </row>
    <row r="1514" spans="7:7" x14ac:dyDescent="0.25">
      <c r="G1514" s="152"/>
    </row>
    <row r="1515" spans="7:7" x14ac:dyDescent="0.25">
      <c r="G1515" s="152"/>
    </row>
    <row r="1516" spans="7:7" x14ac:dyDescent="0.25">
      <c r="G1516" s="152"/>
    </row>
    <row r="1517" spans="7:7" x14ac:dyDescent="0.25">
      <c r="G1517" s="152"/>
    </row>
    <row r="1518" spans="7:7" x14ac:dyDescent="0.25">
      <c r="G1518" s="152"/>
    </row>
    <row r="1519" spans="7:7" x14ac:dyDescent="0.25">
      <c r="G1519" s="152"/>
    </row>
    <row r="1520" spans="7:7" x14ac:dyDescent="0.25">
      <c r="G1520" s="152"/>
    </row>
    <row r="1521" spans="7:7" x14ac:dyDescent="0.25">
      <c r="G1521" s="152"/>
    </row>
    <row r="1522" spans="7:7" x14ac:dyDescent="0.25">
      <c r="G1522" s="152"/>
    </row>
    <row r="1523" spans="7:7" x14ac:dyDescent="0.25">
      <c r="G1523" s="152"/>
    </row>
    <row r="1524" spans="7:7" x14ac:dyDescent="0.25">
      <c r="G1524" s="152"/>
    </row>
    <row r="1525" spans="7:7" x14ac:dyDescent="0.25">
      <c r="G1525" s="152"/>
    </row>
    <row r="1526" spans="7:7" x14ac:dyDescent="0.25">
      <c r="G1526" s="152"/>
    </row>
    <row r="1527" spans="7:7" x14ac:dyDescent="0.25">
      <c r="G1527" s="152"/>
    </row>
    <row r="1528" spans="7:7" x14ac:dyDescent="0.25">
      <c r="G1528" s="152"/>
    </row>
    <row r="1529" spans="7:7" x14ac:dyDescent="0.25">
      <c r="G1529" s="152"/>
    </row>
    <row r="1530" spans="7:7" x14ac:dyDescent="0.25">
      <c r="G1530" s="152"/>
    </row>
    <row r="1531" spans="7:7" x14ac:dyDescent="0.25">
      <c r="G1531" s="152"/>
    </row>
    <row r="1532" spans="7:7" x14ac:dyDescent="0.25">
      <c r="G1532" s="152"/>
    </row>
    <row r="1533" spans="7:7" x14ac:dyDescent="0.25">
      <c r="G1533" s="152"/>
    </row>
    <row r="1534" spans="7:7" x14ac:dyDescent="0.25">
      <c r="G1534" s="152"/>
    </row>
    <row r="1535" spans="7:7" x14ac:dyDescent="0.25">
      <c r="G1535" s="152"/>
    </row>
    <row r="1536" spans="7:7" x14ac:dyDescent="0.25">
      <c r="G1536" s="152"/>
    </row>
    <row r="1537" spans="7:7" x14ac:dyDescent="0.25">
      <c r="G1537" s="152"/>
    </row>
    <row r="1538" spans="7:7" x14ac:dyDescent="0.25">
      <c r="G1538" s="152"/>
    </row>
    <row r="1539" spans="7:7" x14ac:dyDescent="0.25">
      <c r="G1539" s="152"/>
    </row>
    <row r="1540" spans="7:7" x14ac:dyDescent="0.25">
      <c r="G1540" s="152"/>
    </row>
    <row r="1541" spans="7:7" x14ac:dyDescent="0.25">
      <c r="G1541" s="152"/>
    </row>
    <row r="1542" spans="7:7" x14ac:dyDescent="0.25">
      <c r="G1542" s="152"/>
    </row>
    <row r="1543" spans="7:7" x14ac:dyDescent="0.25">
      <c r="G1543" s="152"/>
    </row>
    <row r="1544" spans="7:7" x14ac:dyDescent="0.25">
      <c r="G1544" s="152"/>
    </row>
    <row r="1545" spans="7:7" x14ac:dyDescent="0.25">
      <c r="G1545" s="152"/>
    </row>
    <row r="1546" spans="7:7" x14ac:dyDescent="0.25">
      <c r="G1546" s="152"/>
    </row>
    <row r="1547" spans="7:7" x14ac:dyDescent="0.25">
      <c r="G1547" s="152"/>
    </row>
    <row r="1548" spans="7:7" x14ac:dyDescent="0.25">
      <c r="G1548" s="152"/>
    </row>
    <row r="1549" spans="7:7" x14ac:dyDescent="0.25">
      <c r="G1549" s="152"/>
    </row>
    <row r="1550" spans="7:7" x14ac:dyDescent="0.25">
      <c r="G1550" s="152"/>
    </row>
    <row r="1551" spans="7:7" x14ac:dyDescent="0.25">
      <c r="G1551" s="152"/>
    </row>
    <row r="1552" spans="7:7" x14ac:dyDescent="0.25">
      <c r="G1552" s="152"/>
    </row>
    <row r="1553" spans="7:7" x14ac:dyDescent="0.25">
      <c r="G1553" s="152"/>
    </row>
    <row r="1554" spans="7:7" x14ac:dyDescent="0.25">
      <c r="G1554" s="152"/>
    </row>
    <row r="1555" spans="7:7" x14ac:dyDescent="0.25">
      <c r="G1555" s="152"/>
    </row>
    <row r="1556" spans="7:7" x14ac:dyDescent="0.25">
      <c r="G1556" s="152"/>
    </row>
    <row r="1557" spans="7:7" x14ac:dyDescent="0.25">
      <c r="G1557" s="152"/>
    </row>
    <row r="1558" spans="7:7" x14ac:dyDescent="0.25">
      <c r="G1558" s="152"/>
    </row>
    <row r="1559" spans="7:7" x14ac:dyDescent="0.25">
      <c r="G1559" s="152"/>
    </row>
    <row r="1560" spans="7:7" x14ac:dyDescent="0.25">
      <c r="G1560" s="152"/>
    </row>
    <row r="1561" spans="7:7" x14ac:dyDescent="0.25">
      <c r="G1561" s="152"/>
    </row>
    <row r="1562" spans="7:7" x14ac:dyDescent="0.25">
      <c r="G1562" s="152"/>
    </row>
    <row r="1563" spans="7:7" x14ac:dyDescent="0.25">
      <c r="G1563" s="152"/>
    </row>
    <row r="1564" spans="7:7" x14ac:dyDescent="0.25">
      <c r="G1564" s="152"/>
    </row>
    <row r="1565" spans="7:7" x14ac:dyDescent="0.25">
      <c r="G1565" s="152"/>
    </row>
    <row r="1566" spans="7:7" x14ac:dyDescent="0.25">
      <c r="G1566" s="152"/>
    </row>
    <row r="1567" spans="7:7" x14ac:dyDescent="0.25">
      <c r="G1567" s="152"/>
    </row>
    <row r="1568" spans="7:7" x14ac:dyDescent="0.25">
      <c r="G1568" s="152"/>
    </row>
    <row r="1569" spans="7:7" x14ac:dyDescent="0.25">
      <c r="G1569" s="152"/>
    </row>
    <row r="1570" spans="7:7" x14ac:dyDescent="0.25">
      <c r="G1570" s="152"/>
    </row>
    <row r="1571" spans="7:7" x14ac:dyDescent="0.25">
      <c r="G1571" s="152"/>
    </row>
    <row r="1572" spans="7:7" x14ac:dyDescent="0.25">
      <c r="G1572" s="152"/>
    </row>
    <row r="1573" spans="7:7" x14ac:dyDescent="0.25">
      <c r="G1573" s="152"/>
    </row>
    <row r="1574" spans="7:7" x14ac:dyDescent="0.25">
      <c r="G1574" s="152"/>
    </row>
    <row r="1575" spans="7:7" x14ac:dyDescent="0.25">
      <c r="G1575" s="152"/>
    </row>
    <row r="1576" spans="7:7" x14ac:dyDescent="0.25">
      <c r="G1576" s="152"/>
    </row>
    <row r="1577" spans="7:7" x14ac:dyDescent="0.25">
      <c r="G1577" s="152"/>
    </row>
    <row r="1578" spans="7:7" x14ac:dyDescent="0.25">
      <c r="G1578" s="152"/>
    </row>
    <row r="1579" spans="7:7" x14ac:dyDescent="0.25">
      <c r="G1579" s="152"/>
    </row>
    <row r="1580" spans="7:7" x14ac:dyDescent="0.25">
      <c r="G1580" s="152"/>
    </row>
    <row r="1581" spans="7:7" x14ac:dyDescent="0.25">
      <c r="G1581" s="152"/>
    </row>
    <row r="1582" spans="7:7" x14ac:dyDescent="0.25">
      <c r="G1582" s="152"/>
    </row>
    <row r="1583" spans="7:7" x14ac:dyDescent="0.25">
      <c r="G1583" s="152"/>
    </row>
    <row r="1584" spans="7:7" x14ac:dyDescent="0.25">
      <c r="G1584" s="152"/>
    </row>
    <row r="1585" spans="7:7" x14ac:dyDescent="0.25">
      <c r="G1585" s="152"/>
    </row>
    <row r="1586" spans="7:7" x14ac:dyDescent="0.25">
      <c r="G1586" s="152"/>
    </row>
    <row r="1587" spans="7:7" x14ac:dyDescent="0.25">
      <c r="G1587" s="152"/>
    </row>
    <row r="1588" spans="7:7" x14ac:dyDescent="0.25">
      <c r="G1588" s="152"/>
    </row>
    <row r="1589" spans="7:7" x14ac:dyDescent="0.25">
      <c r="G1589" s="152"/>
    </row>
    <row r="1590" spans="7:7" x14ac:dyDescent="0.25">
      <c r="G1590" s="152"/>
    </row>
    <row r="1591" spans="7:7" x14ac:dyDescent="0.25">
      <c r="G1591" s="152"/>
    </row>
    <row r="1592" spans="7:7" x14ac:dyDescent="0.25">
      <c r="G1592" s="152"/>
    </row>
    <row r="1593" spans="7:7" x14ac:dyDescent="0.25">
      <c r="G1593" s="152"/>
    </row>
    <row r="1594" spans="7:7" x14ac:dyDescent="0.25">
      <c r="G1594" s="152"/>
    </row>
    <row r="1595" spans="7:7" x14ac:dyDescent="0.25">
      <c r="G1595" s="152"/>
    </row>
    <row r="1596" spans="7:7" x14ac:dyDescent="0.25">
      <c r="G1596" s="152"/>
    </row>
    <row r="1597" spans="7:7" x14ac:dyDescent="0.25">
      <c r="G1597" s="152"/>
    </row>
    <row r="1598" spans="7:7" x14ac:dyDescent="0.25">
      <c r="G1598" s="152"/>
    </row>
    <row r="1599" spans="7:7" x14ac:dyDescent="0.25">
      <c r="G1599" s="152"/>
    </row>
    <row r="1600" spans="7:7" x14ac:dyDescent="0.25">
      <c r="G1600" s="152"/>
    </row>
    <row r="1601" spans="7:7" x14ac:dyDescent="0.25">
      <c r="G1601" s="152"/>
    </row>
    <row r="1602" spans="7:7" x14ac:dyDescent="0.25">
      <c r="G1602" s="152"/>
    </row>
    <row r="1603" spans="7:7" x14ac:dyDescent="0.25">
      <c r="G1603" s="152"/>
    </row>
    <row r="1604" spans="7:7" x14ac:dyDescent="0.25">
      <c r="G1604" s="152"/>
    </row>
    <row r="1605" spans="7:7" x14ac:dyDescent="0.25">
      <c r="G1605" s="152"/>
    </row>
    <row r="1606" spans="7:7" x14ac:dyDescent="0.25">
      <c r="G1606" s="152"/>
    </row>
    <row r="1607" spans="7:7" x14ac:dyDescent="0.25">
      <c r="G1607" s="152"/>
    </row>
    <row r="1608" spans="7:7" x14ac:dyDescent="0.25">
      <c r="G1608" s="152"/>
    </row>
    <row r="1609" spans="7:7" x14ac:dyDescent="0.25">
      <c r="G1609" s="152"/>
    </row>
    <row r="1610" spans="7:7" x14ac:dyDescent="0.25">
      <c r="G1610" s="152"/>
    </row>
    <row r="1611" spans="7:7" x14ac:dyDescent="0.25">
      <c r="G1611" s="152"/>
    </row>
    <row r="1612" spans="7:7" x14ac:dyDescent="0.25">
      <c r="G1612" s="152"/>
    </row>
    <row r="1613" spans="7:7" x14ac:dyDescent="0.25">
      <c r="G1613" s="152"/>
    </row>
    <row r="1614" spans="7:7" x14ac:dyDescent="0.25">
      <c r="G1614" s="152"/>
    </row>
    <row r="1615" spans="7:7" x14ac:dyDescent="0.25">
      <c r="G1615" s="152"/>
    </row>
    <row r="1616" spans="7:7" x14ac:dyDescent="0.25">
      <c r="G1616" s="152"/>
    </row>
    <row r="1617" spans="7:7" x14ac:dyDescent="0.25">
      <c r="G1617" s="152"/>
    </row>
    <row r="1618" spans="7:7" x14ac:dyDescent="0.25">
      <c r="G1618" s="152"/>
    </row>
    <row r="1619" spans="7:7" x14ac:dyDescent="0.25">
      <c r="G1619" s="152"/>
    </row>
    <row r="1620" spans="7:7" x14ac:dyDescent="0.25">
      <c r="G1620" s="152"/>
    </row>
    <row r="1621" spans="7:7" x14ac:dyDescent="0.25">
      <c r="G1621" s="152"/>
    </row>
    <row r="1622" spans="7:7" x14ac:dyDescent="0.25">
      <c r="G1622" s="152"/>
    </row>
    <row r="1623" spans="7:7" x14ac:dyDescent="0.25">
      <c r="G1623" s="152"/>
    </row>
    <row r="1624" spans="7:7" x14ac:dyDescent="0.25">
      <c r="G1624" s="152"/>
    </row>
    <row r="1625" spans="7:7" x14ac:dyDescent="0.25">
      <c r="G1625" s="152"/>
    </row>
    <row r="1626" spans="7:7" x14ac:dyDescent="0.25">
      <c r="G1626" s="152"/>
    </row>
    <row r="1627" spans="7:7" x14ac:dyDescent="0.25">
      <c r="G1627" s="152"/>
    </row>
    <row r="1628" spans="7:7" x14ac:dyDescent="0.25">
      <c r="G1628" s="152"/>
    </row>
    <row r="1629" spans="7:7" x14ac:dyDescent="0.25">
      <c r="G1629" s="152"/>
    </row>
    <row r="1630" spans="7:7" x14ac:dyDescent="0.25">
      <c r="G1630" s="152"/>
    </row>
    <row r="1631" spans="7:7" x14ac:dyDescent="0.25">
      <c r="G1631" s="152"/>
    </row>
    <row r="1632" spans="7:7" x14ac:dyDescent="0.25">
      <c r="G1632" s="152"/>
    </row>
    <row r="1633" spans="7:7" x14ac:dyDescent="0.25">
      <c r="G1633" s="152"/>
    </row>
    <row r="1634" spans="7:7" x14ac:dyDescent="0.25">
      <c r="G1634" s="152"/>
    </row>
    <row r="1635" spans="7:7" x14ac:dyDescent="0.25">
      <c r="G1635" s="152"/>
    </row>
    <row r="1636" spans="7:7" x14ac:dyDescent="0.25">
      <c r="G1636" s="152"/>
    </row>
    <row r="1637" spans="7:7" x14ac:dyDescent="0.25">
      <c r="G1637" s="152"/>
    </row>
    <row r="1638" spans="7:7" x14ac:dyDescent="0.25">
      <c r="G1638" s="152"/>
    </row>
    <row r="1639" spans="7:7" x14ac:dyDescent="0.25">
      <c r="G1639" s="152"/>
    </row>
    <row r="1640" spans="7:7" x14ac:dyDescent="0.25">
      <c r="G1640" s="152"/>
    </row>
    <row r="1641" spans="7:7" x14ac:dyDescent="0.25">
      <c r="G1641" s="152"/>
    </row>
    <row r="1642" spans="7:7" x14ac:dyDescent="0.25">
      <c r="G1642" s="152"/>
    </row>
    <row r="1643" spans="7:7" x14ac:dyDescent="0.25">
      <c r="G1643" s="152"/>
    </row>
    <row r="1644" spans="7:7" x14ac:dyDescent="0.25">
      <c r="G1644" s="152"/>
    </row>
    <row r="1645" spans="7:7" x14ac:dyDescent="0.25">
      <c r="G1645" s="152"/>
    </row>
    <row r="1646" spans="7:7" x14ac:dyDescent="0.25">
      <c r="G1646" s="152"/>
    </row>
    <row r="1647" spans="7:7" x14ac:dyDescent="0.25">
      <c r="G1647" s="152"/>
    </row>
    <row r="1648" spans="7:7" x14ac:dyDescent="0.25">
      <c r="G1648" s="152"/>
    </row>
    <row r="1649" spans="7:7" x14ac:dyDescent="0.25">
      <c r="G1649" s="152"/>
    </row>
    <row r="1650" spans="7:7" x14ac:dyDescent="0.25">
      <c r="G1650" s="152"/>
    </row>
    <row r="1651" spans="7:7" x14ac:dyDescent="0.25">
      <c r="G1651" s="152"/>
    </row>
    <row r="1652" spans="7:7" x14ac:dyDescent="0.25">
      <c r="G1652" s="152"/>
    </row>
    <row r="1653" spans="7:7" x14ac:dyDescent="0.25">
      <c r="G1653" s="152"/>
    </row>
    <row r="1654" spans="7:7" x14ac:dyDescent="0.25">
      <c r="G1654" s="152"/>
    </row>
    <row r="1655" spans="7:7" x14ac:dyDescent="0.25">
      <c r="G1655" s="152"/>
    </row>
    <row r="1656" spans="7:7" x14ac:dyDescent="0.25">
      <c r="G1656" s="152"/>
    </row>
    <row r="1657" spans="7:7" x14ac:dyDescent="0.25">
      <c r="G1657" s="152"/>
    </row>
    <row r="1658" spans="7:7" x14ac:dyDescent="0.25">
      <c r="G1658" s="152"/>
    </row>
    <row r="1659" spans="7:7" x14ac:dyDescent="0.25">
      <c r="G1659" s="152"/>
    </row>
    <row r="1660" spans="7:7" x14ac:dyDescent="0.25">
      <c r="G1660" s="152"/>
    </row>
    <row r="1661" spans="7:7" x14ac:dyDescent="0.25">
      <c r="G1661" s="152"/>
    </row>
    <row r="1662" spans="7:7" x14ac:dyDescent="0.25">
      <c r="G1662" s="152"/>
    </row>
    <row r="1663" spans="7:7" x14ac:dyDescent="0.25">
      <c r="G1663" s="152"/>
    </row>
    <row r="1664" spans="7:7" x14ac:dyDescent="0.25">
      <c r="G1664" s="152"/>
    </row>
    <row r="1665" spans="7:7" x14ac:dyDescent="0.25">
      <c r="G1665" s="152"/>
    </row>
    <row r="1666" spans="7:7" x14ac:dyDescent="0.25">
      <c r="G1666" s="152"/>
    </row>
    <row r="1667" spans="7:7" x14ac:dyDescent="0.25">
      <c r="G1667" s="152"/>
    </row>
    <row r="1668" spans="7:7" x14ac:dyDescent="0.25">
      <c r="G1668" s="152"/>
    </row>
    <row r="1669" spans="7:7" x14ac:dyDescent="0.25">
      <c r="G1669" s="152"/>
    </row>
    <row r="1670" spans="7:7" x14ac:dyDescent="0.25">
      <c r="G1670" s="152"/>
    </row>
    <row r="1671" spans="7:7" x14ac:dyDescent="0.25">
      <c r="G1671" s="152"/>
    </row>
    <row r="1672" spans="7:7" x14ac:dyDescent="0.25">
      <c r="G1672" s="152"/>
    </row>
    <row r="1673" spans="7:7" x14ac:dyDescent="0.25">
      <c r="G1673" s="152"/>
    </row>
    <row r="1674" spans="7:7" x14ac:dyDescent="0.25">
      <c r="G1674" s="152"/>
    </row>
    <row r="1675" spans="7:7" x14ac:dyDescent="0.25">
      <c r="G1675" s="152"/>
    </row>
    <row r="1676" spans="7:7" x14ac:dyDescent="0.25">
      <c r="G1676" s="152"/>
    </row>
    <row r="1677" spans="7:7" x14ac:dyDescent="0.25">
      <c r="G1677" s="152"/>
    </row>
    <row r="1678" spans="7:7" x14ac:dyDescent="0.25">
      <c r="G1678" s="152"/>
    </row>
    <row r="1679" spans="7:7" x14ac:dyDescent="0.25">
      <c r="G1679" s="152"/>
    </row>
    <row r="1680" spans="7:7" x14ac:dyDescent="0.25">
      <c r="G1680" s="152"/>
    </row>
    <row r="1681" spans="7:7" x14ac:dyDescent="0.25">
      <c r="G1681" s="152"/>
    </row>
    <row r="1682" spans="7:7" x14ac:dyDescent="0.25">
      <c r="G1682" s="152"/>
    </row>
    <row r="1683" spans="7:7" x14ac:dyDescent="0.25">
      <c r="G1683" s="152"/>
    </row>
    <row r="1684" spans="7:7" x14ac:dyDescent="0.25">
      <c r="G1684" s="152"/>
    </row>
    <row r="1685" spans="7:7" x14ac:dyDescent="0.25">
      <c r="G1685" s="152"/>
    </row>
    <row r="1686" spans="7:7" x14ac:dyDescent="0.25">
      <c r="G1686" s="152"/>
    </row>
    <row r="1687" spans="7:7" x14ac:dyDescent="0.25">
      <c r="G1687" s="152"/>
    </row>
    <row r="1688" spans="7:7" x14ac:dyDescent="0.25">
      <c r="G1688" s="152"/>
    </row>
    <row r="1689" spans="7:7" x14ac:dyDescent="0.25">
      <c r="G1689" s="152"/>
    </row>
    <row r="1690" spans="7:7" x14ac:dyDescent="0.25">
      <c r="G1690" s="152"/>
    </row>
    <row r="1691" spans="7:7" x14ac:dyDescent="0.25">
      <c r="G1691" s="152"/>
    </row>
    <row r="1692" spans="7:7" x14ac:dyDescent="0.25">
      <c r="G1692" s="152"/>
    </row>
    <row r="1693" spans="7:7" x14ac:dyDescent="0.25">
      <c r="G1693" s="152"/>
    </row>
    <row r="1694" spans="7:7" x14ac:dyDescent="0.25">
      <c r="G1694" s="152"/>
    </row>
    <row r="1695" spans="7:7" x14ac:dyDescent="0.25">
      <c r="G1695" s="152"/>
    </row>
    <row r="1696" spans="7:7" x14ac:dyDescent="0.25">
      <c r="G1696" s="152"/>
    </row>
    <row r="1697" spans="7:7" x14ac:dyDescent="0.25">
      <c r="G1697" s="152"/>
    </row>
    <row r="1698" spans="7:7" x14ac:dyDescent="0.25">
      <c r="G1698" s="152"/>
    </row>
    <row r="1699" spans="7:7" x14ac:dyDescent="0.25">
      <c r="G1699" s="152"/>
    </row>
    <row r="1700" spans="7:7" x14ac:dyDescent="0.25">
      <c r="G1700" s="152"/>
    </row>
    <row r="1701" spans="7:7" x14ac:dyDescent="0.25">
      <c r="G1701" s="152"/>
    </row>
    <row r="1702" spans="7:7" x14ac:dyDescent="0.25">
      <c r="G1702" s="152"/>
    </row>
    <row r="1703" spans="7:7" x14ac:dyDescent="0.25">
      <c r="G1703" s="152"/>
    </row>
    <row r="1704" spans="7:7" x14ac:dyDescent="0.25">
      <c r="G1704" s="152"/>
    </row>
    <row r="1705" spans="7:7" x14ac:dyDescent="0.25">
      <c r="G1705" s="152"/>
    </row>
    <row r="1706" spans="7:7" x14ac:dyDescent="0.25">
      <c r="G1706" s="152"/>
    </row>
    <row r="1707" spans="7:7" x14ac:dyDescent="0.25">
      <c r="G1707" s="152"/>
    </row>
    <row r="1708" spans="7:7" x14ac:dyDescent="0.25">
      <c r="G1708" s="152"/>
    </row>
    <row r="1709" spans="7:7" x14ac:dyDescent="0.25">
      <c r="G1709" s="152"/>
    </row>
    <row r="1710" spans="7:7" x14ac:dyDescent="0.25">
      <c r="G1710" s="152"/>
    </row>
    <row r="1711" spans="7:7" x14ac:dyDescent="0.25">
      <c r="G1711" s="152"/>
    </row>
    <row r="1712" spans="7:7" x14ac:dyDescent="0.25">
      <c r="G1712" s="152"/>
    </row>
    <row r="1713" spans="7:7" x14ac:dyDescent="0.25">
      <c r="G1713" s="152"/>
    </row>
    <row r="1714" spans="7:7" x14ac:dyDescent="0.25">
      <c r="G1714" s="152"/>
    </row>
    <row r="1715" spans="7:7" x14ac:dyDescent="0.25">
      <c r="G1715" s="152"/>
    </row>
    <row r="1716" spans="7:7" x14ac:dyDescent="0.25">
      <c r="G1716" s="152"/>
    </row>
    <row r="1717" spans="7:7" x14ac:dyDescent="0.25">
      <c r="G1717" s="152"/>
    </row>
    <row r="1718" spans="7:7" x14ac:dyDescent="0.25">
      <c r="G1718" s="152"/>
    </row>
    <row r="1719" spans="7:7" x14ac:dyDescent="0.25">
      <c r="G1719" s="152"/>
    </row>
    <row r="1720" spans="7:7" x14ac:dyDescent="0.25">
      <c r="G1720" s="152"/>
    </row>
    <row r="1721" spans="7:7" x14ac:dyDescent="0.25">
      <c r="G1721" s="152"/>
    </row>
    <row r="1722" spans="7:7" x14ac:dyDescent="0.25">
      <c r="G1722" s="152"/>
    </row>
    <row r="1723" spans="7:7" x14ac:dyDescent="0.25">
      <c r="G1723" s="152"/>
    </row>
    <row r="1724" spans="7:7" x14ac:dyDescent="0.25">
      <c r="G1724" s="152"/>
    </row>
    <row r="1725" spans="7:7" x14ac:dyDescent="0.25">
      <c r="G1725" s="152"/>
    </row>
    <row r="1726" spans="7:7" x14ac:dyDescent="0.25">
      <c r="G1726" s="152"/>
    </row>
    <row r="1727" spans="7:7" x14ac:dyDescent="0.25">
      <c r="G1727" s="152"/>
    </row>
    <row r="1728" spans="7:7" x14ac:dyDescent="0.25">
      <c r="G1728" s="152"/>
    </row>
    <row r="1729" spans="7:7" x14ac:dyDescent="0.25">
      <c r="G1729" s="152"/>
    </row>
    <row r="1730" spans="7:7" x14ac:dyDescent="0.25">
      <c r="G1730" s="152"/>
    </row>
    <row r="1731" spans="7:7" x14ac:dyDescent="0.25">
      <c r="G1731" s="152"/>
    </row>
    <row r="1732" spans="7:7" x14ac:dyDescent="0.25">
      <c r="G1732" s="152"/>
    </row>
    <row r="1733" spans="7:7" x14ac:dyDescent="0.25">
      <c r="G1733" s="152"/>
    </row>
    <row r="1734" spans="7:7" x14ac:dyDescent="0.25">
      <c r="G1734" s="152"/>
    </row>
    <row r="1735" spans="7:7" x14ac:dyDescent="0.25">
      <c r="G1735" s="152"/>
    </row>
    <row r="1736" spans="7:7" x14ac:dyDescent="0.25">
      <c r="G1736" s="152"/>
    </row>
    <row r="1737" spans="7:7" x14ac:dyDescent="0.25">
      <c r="G1737" s="152"/>
    </row>
    <row r="1738" spans="7:7" x14ac:dyDescent="0.25">
      <c r="G1738" s="152"/>
    </row>
    <row r="1739" spans="7:7" x14ac:dyDescent="0.25">
      <c r="G1739" s="152"/>
    </row>
    <row r="1740" spans="7:7" x14ac:dyDescent="0.25">
      <c r="G1740" s="152"/>
    </row>
    <row r="1741" spans="7:7" x14ac:dyDescent="0.25">
      <c r="G1741" s="152"/>
    </row>
    <row r="1742" spans="7:7" x14ac:dyDescent="0.25">
      <c r="G1742" s="152"/>
    </row>
    <row r="1743" spans="7:7" x14ac:dyDescent="0.25">
      <c r="G1743" s="152"/>
    </row>
    <row r="1744" spans="7:7" x14ac:dyDescent="0.25">
      <c r="G1744" s="152"/>
    </row>
    <row r="1745" spans="7:7" x14ac:dyDescent="0.25">
      <c r="G1745" s="152"/>
    </row>
    <row r="1746" spans="7:7" x14ac:dyDescent="0.25">
      <c r="G1746" s="152"/>
    </row>
    <row r="1747" spans="7:7" x14ac:dyDescent="0.25">
      <c r="G1747" s="152"/>
    </row>
    <row r="1748" spans="7:7" x14ac:dyDescent="0.25">
      <c r="G1748" s="152"/>
    </row>
    <row r="1749" spans="7:7" x14ac:dyDescent="0.25">
      <c r="G1749" s="152"/>
    </row>
    <row r="1750" spans="7:7" x14ac:dyDescent="0.25">
      <c r="G1750" s="152"/>
    </row>
    <row r="1751" spans="7:7" x14ac:dyDescent="0.25">
      <c r="G1751" s="152"/>
    </row>
    <row r="1752" spans="7:7" x14ac:dyDescent="0.25">
      <c r="G1752" s="152"/>
    </row>
    <row r="1753" spans="7:7" x14ac:dyDescent="0.25">
      <c r="G1753" s="152"/>
    </row>
    <row r="1754" spans="7:7" x14ac:dyDescent="0.25">
      <c r="G1754" s="152"/>
    </row>
    <row r="1755" spans="7:7" x14ac:dyDescent="0.25">
      <c r="G1755" s="152"/>
    </row>
    <row r="1756" spans="7:7" x14ac:dyDescent="0.25">
      <c r="G1756" s="152"/>
    </row>
    <row r="1757" spans="7:7" x14ac:dyDescent="0.25">
      <c r="G1757" s="152"/>
    </row>
    <row r="1758" spans="7:7" x14ac:dyDescent="0.25">
      <c r="G1758" s="152"/>
    </row>
    <row r="1759" spans="7:7" x14ac:dyDescent="0.25">
      <c r="G1759" s="152"/>
    </row>
    <row r="1760" spans="7:7" x14ac:dyDescent="0.25">
      <c r="G1760" s="152"/>
    </row>
    <row r="1761" spans="7:7" x14ac:dyDescent="0.25">
      <c r="G1761" s="152"/>
    </row>
    <row r="1762" spans="7:7" x14ac:dyDescent="0.25">
      <c r="G1762" s="152"/>
    </row>
    <row r="1763" spans="7:7" x14ac:dyDescent="0.25">
      <c r="G1763" s="152"/>
    </row>
    <row r="1764" spans="7:7" x14ac:dyDescent="0.25">
      <c r="G1764" s="152"/>
    </row>
    <row r="1765" spans="7:7" x14ac:dyDescent="0.25">
      <c r="G1765" s="152"/>
    </row>
    <row r="1766" spans="7:7" x14ac:dyDescent="0.25">
      <c r="G1766" s="152"/>
    </row>
    <row r="1767" spans="7:7" x14ac:dyDescent="0.25">
      <c r="G1767" s="152"/>
    </row>
    <row r="1768" spans="7:7" x14ac:dyDescent="0.25">
      <c r="G1768" s="152"/>
    </row>
    <row r="1769" spans="7:7" x14ac:dyDescent="0.25">
      <c r="G1769" s="152"/>
    </row>
    <row r="1770" spans="7:7" x14ac:dyDescent="0.25">
      <c r="G1770" s="152"/>
    </row>
    <row r="1771" spans="7:7" x14ac:dyDescent="0.25">
      <c r="G1771" s="152"/>
    </row>
    <row r="1772" spans="7:7" x14ac:dyDescent="0.25">
      <c r="G1772" s="152"/>
    </row>
    <row r="1773" spans="7:7" x14ac:dyDescent="0.25">
      <c r="G1773" s="152"/>
    </row>
    <row r="1774" spans="7:7" x14ac:dyDescent="0.25">
      <c r="G1774" s="152"/>
    </row>
    <row r="1775" spans="7:7" x14ac:dyDescent="0.25">
      <c r="G1775" s="152"/>
    </row>
    <row r="1776" spans="7:7" x14ac:dyDescent="0.25">
      <c r="G1776" s="152"/>
    </row>
    <row r="1777" spans="7:7" x14ac:dyDescent="0.25">
      <c r="G1777" s="152"/>
    </row>
    <row r="1778" spans="7:7" x14ac:dyDescent="0.25">
      <c r="G1778" s="152"/>
    </row>
    <row r="1779" spans="7:7" x14ac:dyDescent="0.25">
      <c r="G1779" s="152"/>
    </row>
    <row r="1780" spans="7:7" x14ac:dyDescent="0.25">
      <c r="G1780" s="152"/>
    </row>
    <row r="1781" spans="7:7" x14ac:dyDescent="0.25">
      <c r="G1781" s="152"/>
    </row>
    <row r="1782" spans="7:7" x14ac:dyDescent="0.25">
      <c r="G1782" s="152"/>
    </row>
    <row r="1783" spans="7:7" x14ac:dyDescent="0.25">
      <c r="G1783" s="152"/>
    </row>
    <row r="1784" spans="7:7" x14ac:dyDescent="0.25">
      <c r="G1784" s="152"/>
    </row>
    <row r="1785" spans="7:7" x14ac:dyDescent="0.25">
      <c r="G1785" s="152"/>
    </row>
    <row r="1786" spans="7:7" x14ac:dyDescent="0.25">
      <c r="G1786" s="152"/>
    </row>
    <row r="1787" spans="7:7" x14ac:dyDescent="0.25">
      <c r="G1787" s="152"/>
    </row>
    <row r="1788" spans="7:7" x14ac:dyDescent="0.25">
      <c r="G1788" s="152"/>
    </row>
    <row r="1789" spans="7:7" x14ac:dyDescent="0.25">
      <c r="G1789" s="152"/>
    </row>
    <row r="1790" spans="7:7" x14ac:dyDescent="0.25">
      <c r="G1790" s="152"/>
    </row>
    <row r="1791" spans="7:7" x14ac:dyDescent="0.25">
      <c r="G1791" s="152"/>
    </row>
    <row r="1792" spans="7:7" x14ac:dyDescent="0.25">
      <c r="G1792" s="152"/>
    </row>
    <row r="1793" spans="7:7" x14ac:dyDescent="0.25">
      <c r="G1793" s="152"/>
    </row>
    <row r="1794" spans="7:7" x14ac:dyDescent="0.25">
      <c r="G1794" s="152"/>
    </row>
    <row r="1795" spans="7:7" x14ac:dyDescent="0.25">
      <c r="G1795" s="152"/>
    </row>
    <row r="1796" spans="7:7" x14ac:dyDescent="0.25">
      <c r="G1796" s="152"/>
    </row>
    <row r="1797" spans="7:7" x14ac:dyDescent="0.25">
      <c r="G1797" s="152"/>
    </row>
    <row r="1798" spans="7:7" x14ac:dyDescent="0.25">
      <c r="G1798" s="152"/>
    </row>
    <row r="1799" spans="7:7" x14ac:dyDescent="0.25">
      <c r="G1799" s="152"/>
    </row>
    <row r="1800" spans="7:7" x14ac:dyDescent="0.25">
      <c r="G1800" s="152"/>
    </row>
    <row r="1801" spans="7:7" x14ac:dyDescent="0.25">
      <c r="G1801" s="152"/>
    </row>
    <row r="1802" spans="7:7" x14ac:dyDescent="0.25">
      <c r="G1802" s="152"/>
    </row>
    <row r="1803" spans="7:7" x14ac:dyDescent="0.25">
      <c r="G1803" s="152"/>
    </row>
    <row r="1804" spans="7:7" x14ac:dyDescent="0.25">
      <c r="G1804" s="152"/>
    </row>
    <row r="1805" spans="7:7" x14ac:dyDescent="0.25">
      <c r="G1805" s="152"/>
    </row>
    <row r="1806" spans="7:7" x14ac:dyDescent="0.25">
      <c r="G1806" s="152"/>
    </row>
    <row r="1807" spans="7:7" x14ac:dyDescent="0.25">
      <c r="G1807" s="152"/>
    </row>
    <row r="1808" spans="7:7" x14ac:dyDescent="0.25">
      <c r="G1808" s="152"/>
    </row>
    <row r="1809" spans="7:7" x14ac:dyDescent="0.25">
      <c r="G1809" s="152"/>
    </row>
    <row r="1810" spans="7:7" x14ac:dyDescent="0.25">
      <c r="G1810" s="152"/>
    </row>
    <row r="1811" spans="7:7" x14ac:dyDescent="0.25">
      <c r="G1811" s="152"/>
    </row>
    <row r="1812" spans="7:7" x14ac:dyDescent="0.25">
      <c r="G1812" s="152"/>
    </row>
    <row r="1813" spans="7:7" x14ac:dyDescent="0.25">
      <c r="G1813" s="152"/>
    </row>
    <row r="1814" spans="7:7" x14ac:dyDescent="0.25">
      <c r="G1814" s="152"/>
    </row>
    <row r="1815" spans="7:7" x14ac:dyDescent="0.25">
      <c r="G1815" s="152"/>
    </row>
    <row r="1816" spans="7:7" x14ac:dyDescent="0.25">
      <c r="G1816" s="152"/>
    </row>
    <row r="1817" spans="7:7" x14ac:dyDescent="0.25">
      <c r="G1817" s="152"/>
    </row>
    <row r="1818" spans="7:7" x14ac:dyDescent="0.25">
      <c r="G1818" s="152"/>
    </row>
    <row r="1819" spans="7:7" x14ac:dyDescent="0.25">
      <c r="G1819" s="152"/>
    </row>
    <row r="1820" spans="7:7" x14ac:dyDescent="0.25">
      <c r="G1820" s="152"/>
    </row>
    <row r="1821" spans="7:7" x14ac:dyDescent="0.25">
      <c r="G1821" s="152"/>
    </row>
    <row r="1822" spans="7:7" x14ac:dyDescent="0.25">
      <c r="G1822" s="152"/>
    </row>
    <row r="1823" spans="7:7" x14ac:dyDescent="0.25">
      <c r="G1823" s="152"/>
    </row>
    <row r="1824" spans="7:7" x14ac:dyDescent="0.25">
      <c r="G1824" s="152"/>
    </row>
    <row r="1825" spans="7:7" x14ac:dyDescent="0.25">
      <c r="G1825" s="152"/>
    </row>
    <row r="1826" spans="7:7" x14ac:dyDescent="0.25">
      <c r="G1826" s="152"/>
    </row>
    <row r="1827" spans="7:7" x14ac:dyDescent="0.25">
      <c r="G1827" s="152"/>
    </row>
    <row r="1828" spans="7:7" x14ac:dyDescent="0.25">
      <c r="G1828" s="152"/>
    </row>
    <row r="1829" spans="7:7" x14ac:dyDescent="0.25">
      <c r="G1829" s="152"/>
    </row>
    <row r="1830" spans="7:7" x14ac:dyDescent="0.25">
      <c r="G1830" s="152"/>
    </row>
    <row r="1831" spans="7:7" x14ac:dyDescent="0.25">
      <c r="G1831" s="152"/>
    </row>
    <row r="1832" spans="7:7" x14ac:dyDescent="0.25">
      <c r="G1832" s="152"/>
    </row>
    <row r="1833" spans="7:7" x14ac:dyDescent="0.25">
      <c r="G1833" s="152"/>
    </row>
    <row r="1834" spans="7:7" x14ac:dyDescent="0.25">
      <c r="G1834" s="152"/>
    </row>
    <row r="1835" spans="7:7" x14ac:dyDescent="0.25">
      <c r="G1835" s="152"/>
    </row>
    <row r="1836" spans="7:7" x14ac:dyDescent="0.25">
      <c r="G1836" s="152"/>
    </row>
    <row r="1837" spans="7:7" x14ac:dyDescent="0.25">
      <c r="G1837" s="152"/>
    </row>
    <row r="1838" spans="7:7" x14ac:dyDescent="0.25">
      <c r="G1838" s="152"/>
    </row>
    <row r="1839" spans="7:7" x14ac:dyDescent="0.25">
      <c r="G1839" s="152"/>
    </row>
    <row r="1840" spans="7:7" x14ac:dyDescent="0.25">
      <c r="G1840" s="152"/>
    </row>
    <row r="1841" spans="7:7" x14ac:dyDescent="0.25">
      <c r="G1841" s="152"/>
    </row>
    <row r="1842" spans="7:7" x14ac:dyDescent="0.25">
      <c r="G1842" s="152"/>
    </row>
    <row r="1843" spans="7:7" x14ac:dyDescent="0.25">
      <c r="G1843" s="152"/>
    </row>
    <row r="1844" spans="7:7" x14ac:dyDescent="0.25">
      <c r="G1844" s="152"/>
    </row>
    <row r="1845" spans="7:7" x14ac:dyDescent="0.25">
      <c r="G1845" s="152"/>
    </row>
    <row r="1846" spans="7:7" x14ac:dyDescent="0.25">
      <c r="G1846" s="152"/>
    </row>
    <row r="1847" spans="7:7" x14ac:dyDescent="0.25">
      <c r="G1847" s="152"/>
    </row>
    <row r="1848" spans="7:7" x14ac:dyDescent="0.25">
      <c r="G1848" s="152"/>
    </row>
    <row r="1849" spans="7:7" x14ac:dyDescent="0.25">
      <c r="G1849" s="152"/>
    </row>
    <row r="1850" spans="7:7" x14ac:dyDescent="0.25">
      <c r="G1850" s="152"/>
    </row>
    <row r="1851" spans="7:7" x14ac:dyDescent="0.25">
      <c r="G1851" s="152"/>
    </row>
    <row r="1852" spans="7:7" x14ac:dyDescent="0.25">
      <c r="G1852" s="152"/>
    </row>
    <row r="1853" spans="7:7" x14ac:dyDescent="0.25">
      <c r="G1853" s="152"/>
    </row>
    <row r="1854" spans="7:7" x14ac:dyDescent="0.25">
      <c r="G1854" s="152"/>
    </row>
    <row r="1855" spans="7:7" x14ac:dyDescent="0.25">
      <c r="G1855" s="152"/>
    </row>
    <row r="1856" spans="7:7" x14ac:dyDescent="0.25">
      <c r="G1856" s="152"/>
    </row>
    <row r="1857" spans="7:7" x14ac:dyDescent="0.25">
      <c r="G1857" s="152"/>
    </row>
    <row r="1858" spans="7:7" x14ac:dyDescent="0.25">
      <c r="G1858" s="152"/>
    </row>
    <row r="1859" spans="7:7" x14ac:dyDescent="0.25">
      <c r="G1859" s="152"/>
    </row>
    <row r="1860" spans="7:7" x14ac:dyDescent="0.25">
      <c r="G1860" s="152"/>
    </row>
    <row r="1861" spans="7:7" x14ac:dyDescent="0.25">
      <c r="G1861" s="152"/>
    </row>
    <row r="1862" spans="7:7" x14ac:dyDescent="0.25">
      <c r="G1862" s="152"/>
    </row>
    <row r="1863" spans="7:7" x14ac:dyDescent="0.25">
      <c r="G1863" s="152"/>
    </row>
    <row r="1864" spans="7:7" x14ac:dyDescent="0.25">
      <c r="G1864" s="152"/>
    </row>
    <row r="1865" spans="7:7" x14ac:dyDescent="0.25">
      <c r="G1865" s="152"/>
    </row>
    <row r="1866" spans="7:7" x14ac:dyDescent="0.25">
      <c r="G1866" s="152"/>
    </row>
    <row r="1867" spans="7:7" x14ac:dyDescent="0.25">
      <c r="G1867" s="152"/>
    </row>
    <row r="1868" spans="7:7" x14ac:dyDescent="0.25">
      <c r="G1868" s="152"/>
    </row>
    <row r="1869" spans="7:7" x14ac:dyDescent="0.25">
      <c r="G1869" s="152"/>
    </row>
    <row r="1870" spans="7:7" x14ac:dyDescent="0.25">
      <c r="G1870" s="152"/>
    </row>
    <row r="1871" spans="7:7" x14ac:dyDescent="0.25">
      <c r="G1871" s="152"/>
    </row>
    <row r="1872" spans="7:7" x14ac:dyDescent="0.25">
      <c r="G1872" s="152"/>
    </row>
    <row r="1873" spans="7:7" x14ac:dyDescent="0.25">
      <c r="G1873" s="152"/>
    </row>
    <row r="1874" spans="7:7" x14ac:dyDescent="0.25">
      <c r="G1874" s="152"/>
    </row>
    <row r="1875" spans="7:7" x14ac:dyDescent="0.25">
      <c r="G1875" s="152"/>
    </row>
    <row r="1876" spans="7:7" x14ac:dyDescent="0.25">
      <c r="G1876" s="152"/>
    </row>
    <row r="1877" spans="7:7" x14ac:dyDescent="0.25">
      <c r="G1877" s="152"/>
    </row>
    <row r="1878" spans="7:7" x14ac:dyDescent="0.25">
      <c r="G1878" s="152"/>
    </row>
    <row r="1879" spans="7:7" x14ac:dyDescent="0.25">
      <c r="G1879" s="152"/>
    </row>
    <row r="1880" spans="7:7" x14ac:dyDescent="0.25">
      <c r="G1880" s="152"/>
    </row>
    <row r="1881" spans="7:7" x14ac:dyDescent="0.25">
      <c r="G1881" s="152"/>
    </row>
    <row r="1882" spans="7:7" x14ac:dyDescent="0.25">
      <c r="G1882" s="152"/>
    </row>
    <row r="1883" spans="7:7" x14ac:dyDescent="0.25">
      <c r="G1883" s="152"/>
    </row>
    <row r="1884" spans="7:7" x14ac:dyDescent="0.25">
      <c r="G1884" s="152"/>
    </row>
    <row r="1885" spans="7:7" x14ac:dyDescent="0.25">
      <c r="G1885" s="152"/>
    </row>
    <row r="1886" spans="7:7" x14ac:dyDescent="0.25">
      <c r="G1886" s="152"/>
    </row>
    <row r="1887" spans="7:7" x14ac:dyDescent="0.25">
      <c r="G1887" s="152"/>
    </row>
    <row r="1888" spans="7:7" x14ac:dyDescent="0.25">
      <c r="G1888" s="152"/>
    </row>
    <row r="1889" spans="7:7" x14ac:dyDescent="0.25">
      <c r="G1889" s="152"/>
    </row>
    <row r="1890" spans="7:7" x14ac:dyDescent="0.25">
      <c r="G1890" s="152"/>
    </row>
    <row r="1891" spans="7:7" x14ac:dyDescent="0.25">
      <c r="G1891" s="152"/>
    </row>
    <row r="1892" spans="7:7" x14ac:dyDescent="0.25">
      <c r="G1892" s="152"/>
    </row>
    <row r="1893" spans="7:7" x14ac:dyDescent="0.25">
      <c r="G1893" s="152"/>
    </row>
    <row r="1894" spans="7:7" x14ac:dyDescent="0.25">
      <c r="G1894" s="152"/>
    </row>
    <row r="1895" spans="7:7" x14ac:dyDescent="0.25">
      <c r="G1895" s="152"/>
    </row>
    <row r="1896" spans="7:7" x14ac:dyDescent="0.25">
      <c r="G1896" s="152"/>
    </row>
    <row r="1897" spans="7:7" x14ac:dyDescent="0.25">
      <c r="G1897" s="152"/>
    </row>
    <row r="1898" spans="7:7" x14ac:dyDescent="0.25">
      <c r="G1898" s="152"/>
    </row>
    <row r="1899" spans="7:7" x14ac:dyDescent="0.25">
      <c r="G1899" s="152"/>
    </row>
    <row r="1900" spans="7:7" x14ac:dyDescent="0.25">
      <c r="G1900" s="152"/>
    </row>
    <row r="1901" spans="7:7" x14ac:dyDescent="0.25">
      <c r="G1901" s="152"/>
    </row>
    <row r="1902" spans="7:7" x14ac:dyDescent="0.25">
      <c r="G1902" s="152"/>
    </row>
    <row r="1903" spans="7:7" x14ac:dyDescent="0.25">
      <c r="G1903" s="152"/>
    </row>
    <row r="1904" spans="7:7" x14ac:dyDescent="0.25">
      <c r="G1904" s="152"/>
    </row>
    <row r="1905" spans="7:7" x14ac:dyDescent="0.25">
      <c r="G1905" s="152"/>
    </row>
    <row r="1906" spans="7:7" x14ac:dyDescent="0.25">
      <c r="G1906" s="152"/>
    </row>
    <row r="1907" spans="7:7" x14ac:dyDescent="0.25">
      <c r="G1907" s="152"/>
    </row>
    <row r="1908" spans="7:7" x14ac:dyDescent="0.25">
      <c r="G1908" s="152"/>
    </row>
    <row r="1909" spans="7:7" x14ac:dyDescent="0.25">
      <c r="G1909" s="152"/>
    </row>
    <row r="1910" spans="7:7" x14ac:dyDescent="0.25">
      <c r="G1910" s="152"/>
    </row>
    <row r="1911" spans="7:7" x14ac:dyDescent="0.25">
      <c r="G1911" s="152"/>
    </row>
    <row r="1912" spans="7:7" x14ac:dyDescent="0.25">
      <c r="G1912" s="152"/>
    </row>
    <row r="1913" spans="7:7" x14ac:dyDescent="0.25">
      <c r="G1913" s="152"/>
    </row>
    <row r="1914" spans="7:7" x14ac:dyDescent="0.25">
      <c r="G1914" s="152"/>
    </row>
    <row r="1915" spans="7:7" x14ac:dyDescent="0.25">
      <c r="G1915" s="152"/>
    </row>
    <row r="1916" spans="7:7" x14ac:dyDescent="0.25">
      <c r="G1916" s="152"/>
    </row>
    <row r="1917" spans="7:7" x14ac:dyDescent="0.25">
      <c r="G1917" s="152"/>
    </row>
    <row r="1918" spans="7:7" x14ac:dyDescent="0.25">
      <c r="G1918" s="152"/>
    </row>
    <row r="1919" spans="7:7" x14ac:dyDescent="0.25">
      <c r="G1919" s="152"/>
    </row>
    <row r="1920" spans="7:7" x14ac:dyDescent="0.25">
      <c r="G1920" s="152"/>
    </row>
    <row r="1921" spans="7:7" x14ac:dyDescent="0.25">
      <c r="G1921" s="152"/>
    </row>
    <row r="1922" spans="7:7" x14ac:dyDescent="0.25">
      <c r="G1922" s="152"/>
    </row>
    <row r="1923" spans="7:7" x14ac:dyDescent="0.25">
      <c r="G1923" s="152"/>
    </row>
    <row r="1924" spans="7:7" x14ac:dyDescent="0.25">
      <c r="G1924" s="152"/>
    </row>
    <row r="1925" spans="7:7" x14ac:dyDescent="0.25">
      <c r="G1925" s="152"/>
    </row>
    <row r="1926" spans="7:7" x14ac:dyDescent="0.25">
      <c r="G1926" s="152"/>
    </row>
    <row r="1927" spans="7:7" x14ac:dyDescent="0.25">
      <c r="G1927" s="152"/>
    </row>
    <row r="1928" spans="7:7" x14ac:dyDescent="0.25">
      <c r="G1928" s="152"/>
    </row>
    <row r="1929" spans="7:7" x14ac:dyDescent="0.25">
      <c r="G1929" s="152"/>
    </row>
    <row r="1930" spans="7:7" x14ac:dyDescent="0.25">
      <c r="G1930" s="152"/>
    </row>
    <row r="1931" spans="7:7" x14ac:dyDescent="0.25">
      <c r="G1931" s="152"/>
    </row>
    <row r="1932" spans="7:7" x14ac:dyDescent="0.25">
      <c r="G1932" s="152"/>
    </row>
    <row r="1933" spans="7:7" x14ac:dyDescent="0.25">
      <c r="G1933" s="152"/>
    </row>
    <row r="1934" spans="7:7" x14ac:dyDescent="0.25">
      <c r="G1934" s="152"/>
    </row>
    <row r="1935" spans="7:7" x14ac:dyDescent="0.25">
      <c r="G1935" s="152"/>
    </row>
    <row r="1936" spans="7:7" x14ac:dyDescent="0.25">
      <c r="G1936" s="152"/>
    </row>
    <row r="1937" spans="7:7" x14ac:dyDescent="0.25">
      <c r="G1937" s="152"/>
    </row>
    <row r="1938" spans="7:7" x14ac:dyDescent="0.25">
      <c r="G1938" s="152"/>
    </row>
    <row r="1939" spans="7:7" x14ac:dyDescent="0.25">
      <c r="G1939" s="152"/>
    </row>
    <row r="1940" spans="7:7" x14ac:dyDescent="0.25">
      <c r="G1940" s="152"/>
    </row>
    <row r="1941" spans="7:7" x14ac:dyDescent="0.25">
      <c r="G1941" s="152"/>
    </row>
    <row r="1942" spans="7:7" x14ac:dyDescent="0.25">
      <c r="G1942" s="152"/>
    </row>
    <row r="1943" spans="7:7" x14ac:dyDescent="0.25">
      <c r="G1943" s="152"/>
    </row>
    <row r="1944" spans="7:7" x14ac:dyDescent="0.25">
      <c r="G1944" s="152"/>
    </row>
    <row r="1945" spans="7:7" x14ac:dyDescent="0.25">
      <c r="G1945" s="152"/>
    </row>
    <row r="1946" spans="7:7" x14ac:dyDescent="0.25">
      <c r="G1946" s="152"/>
    </row>
    <row r="1947" spans="7:7" x14ac:dyDescent="0.25">
      <c r="G1947" s="152"/>
    </row>
    <row r="1948" spans="7:7" x14ac:dyDescent="0.25">
      <c r="G1948" s="152"/>
    </row>
    <row r="1949" spans="7:7" x14ac:dyDescent="0.25">
      <c r="G1949" s="152"/>
    </row>
    <row r="1950" spans="7:7" x14ac:dyDescent="0.25">
      <c r="G1950" s="152"/>
    </row>
    <row r="1951" spans="7:7" x14ac:dyDescent="0.25">
      <c r="G1951" s="152"/>
    </row>
    <row r="1952" spans="7:7" x14ac:dyDescent="0.25">
      <c r="G1952" s="152"/>
    </row>
    <row r="1953" spans="7:7" x14ac:dyDescent="0.25">
      <c r="G1953" s="152"/>
    </row>
    <row r="1954" spans="7:7" x14ac:dyDescent="0.25">
      <c r="G1954" s="152"/>
    </row>
    <row r="1955" spans="7:7" x14ac:dyDescent="0.25">
      <c r="G1955" s="152"/>
    </row>
    <row r="1956" spans="7:7" x14ac:dyDescent="0.25">
      <c r="G1956" s="152"/>
    </row>
    <row r="1957" spans="7:7" x14ac:dyDescent="0.25">
      <c r="G1957" s="152"/>
    </row>
    <row r="1958" spans="7:7" x14ac:dyDescent="0.25">
      <c r="G1958" s="152"/>
    </row>
    <row r="1959" spans="7:7" x14ac:dyDescent="0.25">
      <c r="G1959" s="152"/>
    </row>
    <row r="1960" spans="7:7" x14ac:dyDescent="0.25">
      <c r="G1960" s="152"/>
    </row>
    <row r="1961" spans="7:7" x14ac:dyDescent="0.25">
      <c r="G1961" s="152"/>
    </row>
    <row r="1962" spans="7:7" x14ac:dyDescent="0.25">
      <c r="G1962" s="152"/>
    </row>
    <row r="1963" spans="7:7" x14ac:dyDescent="0.25">
      <c r="G1963" s="152"/>
    </row>
    <row r="1964" spans="7:7" x14ac:dyDescent="0.25">
      <c r="G1964" s="152"/>
    </row>
    <row r="1965" spans="7:7" x14ac:dyDescent="0.25">
      <c r="G1965" s="152"/>
    </row>
    <row r="1966" spans="7:7" x14ac:dyDescent="0.25">
      <c r="G1966" s="152"/>
    </row>
    <row r="1967" spans="7:7" x14ac:dyDescent="0.25">
      <c r="G1967" s="152"/>
    </row>
    <row r="1968" spans="7:7" x14ac:dyDescent="0.25">
      <c r="G1968" s="152"/>
    </row>
    <row r="1969" spans="7:7" x14ac:dyDescent="0.25">
      <c r="G1969" s="152"/>
    </row>
    <row r="1970" spans="7:7" x14ac:dyDescent="0.25">
      <c r="G1970" s="152"/>
    </row>
    <row r="1971" spans="7:7" x14ac:dyDescent="0.25">
      <c r="G1971" s="152"/>
    </row>
    <row r="1972" spans="7:7" x14ac:dyDescent="0.25">
      <c r="G1972" s="152"/>
    </row>
    <row r="1973" spans="7:7" x14ac:dyDescent="0.25">
      <c r="G1973" s="152"/>
    </row>
    <row r="1974" spans="7:7" x14ac:dyDescent="0.25">
      <c r="G1974" s="152"/>
    </row>
    <row r="1975" spans="7:7" x14ac:dyDescent="0.25">
      <c r="G1975" s="152"/>
    </row>
    <row r="1976" spans="7:7" x14ac:dyDescent="0.25">
      <c r="G1976" s="152"/>
    </row>
    <row r="1977" spans="7:7" x14ac:dyDescent="0.25">
      <c r="G1977" s="152"/>
    </row>
    <row r="1978" spans="7:7" x14ac:dyDescent="0.25">
      <c r="G1978" s="152"/>
    </row>
    <row r="1979" spans="7:7" x14ac:dyDescent="0.25">
      <c r="G1979" s="152"/>
    </row>
    <row r="1980" spans="7:7" x14ac:dyDescent="0.25">
      <c r="G1980" s="152"/>
    </row>
    <row r="1981" spans="7:7" x14ac:dyDescent="0.25">
      <c r="G1981" s="152"/>
    </row>
    <row r="1982" spans="7:7" x14ac:dyDescent="0.25">
      <c r="G1982" s="152"/>
    </row>
    <row r="1983" spans="7:7" x14ac:dyDescent="0.25">
      <c r="G1983" s="152"/>
    </row>
    <row r="1984" spans="7:7" x14ac:dyDescent="0.25">
      <c r="G1984" s="152"/>
    </row>
    <row r="1985" spans="7:7" x14ac:dyDescent="0.25">
      <c r="G1985" s="152"/>
    </row>
    <row r="1986" spans="7:7" x14ac:dyDescent="0.25">
      <c r="G1986" s="152"/>
    </row>
    <row r="1987" spans="7:7" x14ac:dyDescent="0.25">
      <c r="G1987" s="152"/>
    </row>
    <row r="1988" spans="7:7" x14ac:dyDescent="0.25">
      <c r="G1988" s="152"/>
    </row>
    <row r="1989" spans="7:7" x14ac:dyDescent="0.25">
      <c r="G1989" s="152"/>
    </row>
    <row r="1990" spans="7:7" x14ac:dyDescent="0.25">
      <c r="G1990" s="152"/>
    </row>
    <row r="1991" spans="7:7" x14ac:dyDescent="0.25">
      <c r="G1991" s="152"/>
    </row>
    <row r="1992" spans="7:7" x14ac:dyDescent="0.25">
      <c r="G1992" s="152"/>
    </row>
    <row r="1993" spans="7:7" x14ac:dyDescent="0.25">
      <c r="G1993" s="152"/>
    </row>
    <row r="1994" spans="7:7" x14ac:dyDescent="0.25">
      <c r="G1994" s="152"/>
    </row>
    <row r="1995" spans="7:7" x14ac:dyDescent="0.25">
      <c r="G1995" s="152"/>
    </row>
    <row r="1996" spans="7:7" x14ac:dyDescent="0.25">
      <c r="G1996" s="152"/>
    </row>
    <row r="1997" spans="7:7" x14ac:dyDescent="0.25">
      <c r="G1997" s="152"/>
    </row>
    <row r="1998" spans="7:7" x14ac:dyDescent="0.25">
      <c r="G1998" s="152"/>
    </row>
    <row r="1999" spans="7:7" x14ac:dyDescent="0.25">
      <c r="G1999" s="152"/>
    </row>
    <row r="2000" spans="7:7" x14ac:dyDescent="0.25">
      <c r="G2000" s="152"/>
    </row>
    <row r="2001" spans="7:7" x14ac:dyDescent="0.25">
      <c r="G2001" s="152"/>
    </row>
    <row r="2002" spans="7:7" x14ac:dyDescent="0.25">
      <c r="G2002" s="152"/>
    </row>
    <row r="2003" spans="7:7" x14ac:dyDescent="0.25">
      <c r="G2003" s="152"/>
    </row>
    <row r="2004" spans="7:7" x14ac:dyDescent="0.25">
      <c r="G2004" s="152"/>
    </row>
    <row r="2005" spans="7:7" x14ac:dyDescent="0.25">
      <c r="G2005" s="152"/>
    </row>
    <row r="2006" spans="7:7" x14ac:dyDescent="0.25">
      <c r="G2006" s="152"/>
    </row>
    <row r="2007" spans="7:7" x14ac:dyDescent="0.25">
      <c r="G2007" s="152"/>
    </row>
    <row r="2008" spans="7:7" x14ac:dyDescent="0.25">
      <c r="G2008" s="152"/>
    </row>
    <row r="2009" spans="7:7" x14ac:dyDescent="0.25">
      <c r="G2009" s="152"/>
    </row>
    <row r="2010" spans="7:7" x14ac:dyDescent="0.25">
      <c r="G2010" s="152"/>
    </row>
    <row r="2011" spans="7:7" x14ac:dyDescent="0.25">
      <c r="G2011" s="152"/>
    </row>
    <row r="2012" spans="7:7" x14ac:dyDescent="0.25">
      <c r="G2012" s="152"/>
    </row>
    <row r="2013" spans="7:7" x14ac:dyDescent="0.25">
      <c r="G2013" s="152"/>
    </row>
    <row r="2014" spans="7:7" x14ac:dyDescent="0.25">
      <c r="G2014" s="152"/>
    </row>
    <row r="2015" spans="7:7" x14ac:dyDescent="0.25">
      <c r="G2015" s="152"/>
    </row>
    <row r="2016" spans="7:7" x14ac:dyDescent="0.25">
      <c r="G2016" s="152"/>
    </row>
    <row r="2017" spans="7:7" x14ac:dyDescent="0.25">
      <c r="G2017" s="152"/>
    </row>
    <row r="2018" spans="7:7" x14ac:dyDescent="0.25">
      <c r="G2018" s="152"/>
    </row>
    <row r="2019" spans="7:7" x14ac:dyDescent="0.25">
      <c r="G2019" s="152"/>
    </row>
    <row r="2020" spans="7:7" x14ac:dyDescent="0.25">
      <c r="G2020" s="152"/>
    </row>
    <row r="2021" spans="7:7" x14ac:dyDescent="0.25">
      <c r="G2021" s="152"/>
    </row>
    <row r="2022" spans="7:7" x14ac:dyDescent="0.25">
      <c r="G2022" s="152"/>
    </row>
    <row r="2023" spans="7:7" x14ac:dyDescent="0.25">
      <c r="G2023" s="152"/>
    </row>
    <row r="2024" spans="7:7" x14ac:dyDescent="0.25">
      <c r="G2024" s="152"/>
    </row>
    <row r="2025" spans="7:7" x14ac:dyDescent="0.25">
      <c r="G2025" s="152"/>
    </row>
    <row r="2026" spans="7:7" x14ac:dyDescent="0.25">
      <c r="G2026" s="152"/>
    </row>
    <row r="2027" spans="7:7" x14ac:dyDescent="0.25">
      <c r="G2027" s="152"/>
    </row>
    <row r="2028" spans="7:7" x14ac:dyDescent="0.25">
      <c r="G2028" s="152"/>
    </row>
    <row r="2029" spans="7:7" x14ac:dyDescent="0.25">
      <c r="G2029" s="152"/>
    </row>
    <row r="2030" spans="7:7" x14ac:dyDescent="0.25">
      <c r="G2030" s="152"/>
    </row>
    <row r="2031" spans="7:7" x14ac:dyDescent="0.25">
      <c r="G2031" s="152"/>
    </row>
    <row r="2032" spans="7:7" x14ac:dyDescent="0.25">
      <c r="G2032" s="152"/>
    </row>
    <row r="2033" spans="7:7" x14ac:dyDescent="0.25">
      <c r="G2033" s="152"/>
    </row>
    <row r="2034" spans="7:7" x14ac:dyDescent="0.25">
      <c r="G2034" s="152"/>
    </row>
    <row r="2035" spans="7:7" x14ac:dyDescent="0.25">
      <c r="G2035" s="152"/>
    </row>
    <row r="2036" spans="7:7" x14ac:dyDescent="0.25">
      <c r="G2036" s="152"/>
    </row>
    <row r="2037" spans="7:7" x14ac:dyDescent="0.25">
      <c r="G2037" s="152"/>
    </row>
    <row r="2038" spans="7:7" x14ac:dyDescent="0.25">
      <c r="G2038" s="152"/>
    </row>
    <row r="2039" spans="7:7" x14ac:dyDescent="0.25">
      <c r="G2039" s="152"/>
    </row>
    <row r="2040" spans="7:7" x14ac:dyDescent="0.25">
      <c r="G2040" s="152"/>
    </row>
    <row r="2041" spans="7:7" x14ac:dyDescent="0.25">
      <c r="G2041" s="152"/>
    </row>
    <row r="2042" spans="7:7" x14ac:dyDescent="0.25">
      <c r="G2042" s="152"/>
    </row>
    <row r="2043" spans="7:7" x14ac:dyDescent="0.25">
      <c r="G2043" s="152"/>
    </row>
    <row r="2044" spans="7:7" x14ac:dyDescent="0.25">
      <c r="G2044" s="152"/>
    </row>
    <row r="2045" spans="7:7" x14ac:dyDescent="0.25">
      <c r="G2045" s="152"/>
    </row>
    <row r="2046" spans="7:7" x14ac:dyDescent="0.25">
      <c r="G2046" s="152"/>
    </row>
    <row r="2047" spans="7:7" x14ac:dyDescent="0.25">
      <c r="G2047" s="152"/>
    </row>
    <row r="2048" spans="7:7" x14ac:dyDescent="0.25">
      <c r="G2048" s="152"/>
    </row>
    <row r="2049" spans="7:7" x14ac:dyDescent="0.25">
      <c r="G2049" s="152"/>
    </row>
    <row r="2050" spans="7:7" x14ac:dyDescent="0.25">
      <c r="G2050" s="152"/>
    </row>
    <row r="2051" spans="7:7" x14ac:dyDescent="0.25">
      <c r="G2051" s="152"/>
    </row>
    <row r="2052" spans="7:7" x14ac:dyDescent="0.25">
      <c r="G2052" s="152"/>
    </row>
    <row r="2053" spans="7:7" x14ac:dyDescent="0.25">
      <c r="G2053" s="152"/>
    </row>
    <row r="2054" spans="7:7" x14ac:dyDescent="0.25">
      <c r="G2054" s="152"/>
    </row>
    <row r="2055" spans="7:7" x14ac:dyDescent="0.25">
      <c r="G2055" s="152"/>
    </row>
    <row r="2056" spans="7:7" x14ac:dyDescent="0.25">
      <c r="G2056" s="152"/>
    </row>
    <row r="2057" spans="7:7" x14ac:dyDescent="0.25">
      <c r="G2057" s="152"/>
    </row>
    <row r="2058" spans="7:7" x14ac:dyDescent="0.25">
      <c r="G2058" s="152"/>
    </row>
    <row r="2059" spans="7:7" x14ac:dyDescent="0.25">
      <c r="G2059" s="152"/>
    </row>
    <row r="2060" spans="7:7" x14ac:dyDescent="0.25">
      <c r="G2060" s="152"/>
    </row>
    <row r="2061" spans="7:7" x14ac:dyDescent="0.25">
      <c r="G2061" s="152"/>
    </row>
    <row r="2062" spans="7:7" x14ac:dyDescent="0.25">
      <c r="G2062" s="152"/>
    </row>
    <row r="2063" spans="7:7" x14ac:dyDescent="0.25">
      <c r="G2063" s="152"/>
    </row>
    <row r="2064" spans="7:7" x14ac:dyDescent="0.25">
      <c r="G2064" s="152"/>
    </row>
    <row r="2065" spans="7:7" x14ac:dyDescent="0.25">
      <c r="G2065" s="152"/>
    </row>
    <row r="2066" spans="7:7" x14ac:dyDescent="0.25">
      <c r="G2066" s="152"/>
    </row>
    <row r="2067" spans="7:7" x14ac:dyDescent="0.25">
      <c r="G2067" s="152"/>
    </row>
    <row r="2068" spans="7:7" x14ac:dyDescent="0.25">
      <c r="G2068" s="152"/>
    </row>
    <row r="2069" spans="7:7" x14ac:dyDescent="0.25">
      <c r="G2069" s="152"/>
    </row>
    <row r="2070" spans="7:7" x14ac:dyDescent="0.25">
      <c r="G2070" s="152"/>
    </row>
    <row r="2071" spans="7:7" x14ac:dyDescent="0.25">
      <c r="G2071" s="152"/>
    </row>
    <row r="2072" spans="7:7" x14ac:dyDescent="0.25">
      <c r="G2072" s="152"/>
    </row>
    <row r="2073" spans="7:7" x14ac:dyDescent="0.25">
      <c r="G2073" s="152"/>
    </row>
    <row r="2074" spans="7:7" x14ac:dyDescent="0.25">
      <c r="G2074" s="152"/>
    </row>
    <row r="2075" spans="7:7" x14ac:dyDescent="0.25">
      <c r="G2075" s="152"/>
    </row>
    <row r="2076" spans="7:7" x14ac:dyDescent="0.25">
      <c r="G2076" s="152"/>
    </row>
    <row r="2077" spans="7:7" x14ac:dyDescent="0.25">
      <c r="G2077" s="152"/>
    </row>
    <row r="2078" spans="7:7" x14ac:dyDescent="0.25">
      <c r="G2078" s="152"/>
    </row>
    <row r="2079" spans="7:7" x14ac:dyDescent="0.25">
      <c r="G2079" s="152"/>
    </row>
    <row r="2080" spans="7:7" x14ac:dyDescent="0.25">
      <c r="G2080" s="152"/>
    </row>
    <row r="2081" spans="7:7" x14ac:dyDescent="0.25">
      <c r="G2081" s="152"/>
    </row>
    <row r="2082" spans="7:7" x14ac:dyDescent="0.25">
      <c r="G2082" s="152"/>
    </row>
    <row r="2083" spans="7:7" x14ac:dyDescent="0.25">
      <c r="G2083" s="152"/>
    </row>
    <row r="2084" spans="7:7" x14ac:dyDescent="0.25">
      <c r="G2084" s="152"/>
    </row>
    <row r="2085" spans="7:7" x14ac:dyDescent="0.25">
      <c r="G2085" s="152"/>
    </row>
    <row r="2086" spans="7:7" x14ac:dyDescent="0.25">
      <c r="G2086" s="152"/>
    </row>
    <row r="2087" spans="7:7" x14ac:dyDescent="0.25">
      <c r="G2087" s="152"/>
    </row>
    <row r="2088" spans="7:7" x14ac:dyDescent="0.25">
      <c r="G2088" s="152"/>
    </row>
    <row r="2089" spans="7:7" x14ac:dyDescent="0.25">
      <c r="G2089" s="152"/>
    </row>
    <row r="2090" spans="7:7" x14ac:dyDescent="0.25">
      <c r="G2090" s="152"/>
    </row>
    <row r="2091" spans="7:7" x14ac:dyDescent="0.25">
      <c r="G2091" s="152"/>
    </row>
    <row r="2092" spans="7:7" x14ac:dyDescent="0.25">
      <c r="G2092" s="152"/>
    </row>
    <row r="2093" spans="7:7" x14ac:dyDescent="0.25">
      <c r="G2093" s="152"/>
    </row>
    <row r="2094" spans="7:7" x14ac:dyDescent="0.25">
      <c r="G2094" s="152"/>
    </row>
    <row r="2095" spans="7:7" x14ac:dyDescent="0.25">
      <c r="G2095" s="152"/>
    </row>
    <row r="2096" spans="7:7" x14ac:dyDescent="0.25">
      <c r="G2096" s="152"/>
    </row>
    <row r="2097" spans="7:7" x14ac:dyDescent="0.25">
      <c r="G2097" s="152"/>
    </row>
    <row r="2098" spans="7:7" x14ac:dyDescent="0.25">
      <c r="G2098" s="152"/>
    </row>
    <row r="2099" spans="7:7" x14ac:dyDescent="0.25">
      <c r="G2099" s="152"/>
    </row>
    <row r="2100" spans="7:7" x14ac:dyDescent="0.25">
      <c r="G2100" s="152"/>
    </row>
    <row r="2101" spans="7:7" x14ac:dyDescent="0.25">
      <c r="G2101" s="152"/>
    </row>
    <row r="2102" spans="7:7" x14ac:dyDescent="0.25">
      <c r="G2102" s="152"/>
    </row>
    <row r="2103" spans="7:7" x14ac:dyDescent="0.25">
      <c r="G2103" s="152"/>
    </row>
    <row r="2104" spans="7:7" x14ac:dyDescent="0.25">
      <c r="G2104" s="152"/>
    </row>
    <row r="2105" spans="7:7" x14ac:dyDescent="0.25">
      <c r="G2105" s="152"/>
    </row>
    <row r="2106" spans="7:7" x14ac:dyDescent="0.25">
      <c r="G2106" s="152"/>
    </row>
    <row r="2107" spans="7:7" x14ac:dyDescent="0.25">
      <c r="G2107" s="152"/>
    </row>
    <row r="2108" spans="7:7" x14ac:dyDescent="0.25">
      <c r="G2108" s="152"/>
    </row>
    <row r="2109" spans="7:7" x14ac:dyDescent="0.25">
      <c r="G2109" s="152"/>
    </row>
    <row r="2110" spans="7:7" x14ac:dyDescent="0.25">
      <c r="G2110" s="152"/>
    </row>
    <row r="2111" spans="7:7" x14ac:dyDescent="0.25">
      <c r="G2111" s="152"/>
    </row>
    <row r="2112" spans="7:7" x14ac:dyDescent="0.25">
      <c r="G2112" s="152"/>
    </row>
    <row r="2113" spans="7:7" x14ac:dyDescent="0.25">
      <c r="G2113" s="152"/>
    </row>
    <row r="2114" spans="7:7" x14ac:dyDescent="0.25">
      <c r="G2114" s="152"/>
    </row>
    <row r="2115" spans="7:7" x14ac:dyDescent="0.25">
      <c r="G2115" s="152"/>
    </row>
    <row r="2116" spans="7:7" x14ac:dyDescent="0.25">
      <c r="G2116" s="152"/>
    </row>
    <row r="2117" spans="7:7" x14ac:dyDescent="0.25">
      <c r="G2117" s="152"/>
    </row>
    <row r="2118" spans="7:7" x14ac:dyDescent="0.25">
      <c r="G2118" s="152"/>
    </row>
    <row r="2119" spans="7:7" x14ac:dyDescent="0.25">
      <c r="G2119" s="152"/>
    </row>
    <row r="2120" spans="7:7" x14ac:dyDescent="0.25">
      <c r="G2120" s="152"/>
    </row>
    <row r="2121" spans="7:7" x14ac:dyDescent="0.25">
      <c r="G2121" s="152"/>
    </row>
    <row r="2122" spans="7:7" x14ac:dyDescent="0.25">
      <c r="G2122" s="152"/>
    </row>
    <row r="2123" spans="7:7" x14ac:dyDescent="0.25">
      <c r="G2123" s="152"/>
    </row>
    <row r="2124" spans="7:7" x14ac:dyDescent="0.25">
      <c r="G2124" s="152"/>
    </row>
    <row r="2125" spans="7:7" x14ac:dyDescent="0.25">
      <c r="G2125" s="152"/>
    </row>
    <row r="2126" spans="7:7" x14ac:dyDescent="0.25">
      <c r="G2126" s="152"/>
    </row>
    <row r="2127" spans="7:7" x14ac:dyDescent="0.25">
      <c r="G2127" s="152"/>
    </row>
    <row r="2128" spans="7:7" x14ac:dyDescent="0.25">
      <c r="G2128" s="152"/>
    </row>
    <row r="2129" spans="7:7" x14ac:dyDescent="0.25">
      <c r="G2129" s="152"/>
    </row>
    <row r="2130" spans="7:7" x14ac:dyDescent="0.25">
      <c r="G2130" s="152"/>
    </row>
    <row r="2131" spans="7:7" x14ac:dyDescent="0.25">
      <c r="G2131" s="152"/>
    </row>
    <row r="2132" spans="7:7" x14ac:dyDescent="0.25">
      <c r="G2132" s="152"/>
    </row>
    <row r="2133" spans="7:7" x14ac:dyDescent="0.25">
      <c r="G2133" s="152"/>
    </row>
    <row r="2134" spans="7:7" x14ac:dyDescent="0.25">
      <c r="G2134" s="152"/>
    </row>
    <row r="2135" spans="7:7" x14ac:dyDescent="0.25">
      <c r="G2135" s="152"/>
    </row>
    <row r="2136" spans="7:7" x14ac:dyDescent="0.25">
      <c r="G2136" s="152"/>
    </row>
    <row r="2137" spans="7:7" x14ac:dyDescent="0.25">
      <c r="G2137" s="152"/>
    </row>
    <row r="2138" spans="7:7" x14ac:dyDescent="0.25">
      <c r="G2138" s="152"/>
    </row>
    <row r="2139" spans="7:7" x14ac:dyDescent="0.25">
      <c r="G2139" s="152"/>
    </row>
    <row r="2140" spans="7:7" x14ac:dyDescent="0.25">
      <c r="G2140" s="152"/>
    </row>
    <row r="2141" spans="7:7" x14ac:dyDescent="0.25">
      <c r="G2141" s="152"/>
    </row>
    <row r="2142" spans="7:7" x14ac:dyDescent="0.25">
      <c r="G2142" s="152"/>
    </row>
    <row r="2143" spans="7:7" x14ac:dyDescent="0.25">
      <c r="G2143" s="152"/>
    </row>
    <row r="2144" spans="7:7" x14ac:dyDescent="0.25">
      <c r="G2144" s="152"/>
    </row>
    <row r="2145" spans="7:7" x14ac:dyDescent="0.25">
      <c r="G2145" s="152"/>
    </row>
    <row r="2146" spans="7:7" x14ac:dyDescent="0.25">
      <c r="G2146" s="152"/>
    </row>
    <row r="2147" spans="7:7" x14ac:dyDescent="0.25">
      <c r="G2147" s="152"/>
    </row>
    <row r="2148" spans="7:7" x14ac:dyDescent="0.25">
      <c r="G2148" s="152"/>
    </row>
    <row r="2149" spans="7:7" x14ac:dyDescent="0.25">
      <c r="G2149" s="152"/>
    </row>
    <row r="2150" spans="7:7" x14ac:dyDescent="0.25">
      <c r="G2150" s="152"/>
    </row>
    <row r="2151" spans="7:7" x14ac:dyDescent="0.25">
      <c r="G2151" s="152"/>
    </row>
    <row r="2152" spans="7:7" x14ac:dyDescent="0.25">
      <c r="G2152" s="152"/>
    </row>
    <row r="2153" spans="7:7" x14ac:dyDescent="0.25">
      <c r="G2153" s="152"/>
    </row>
    <row r="2154" spans="7:7" x14ac:dyDescent="0.25">
      <c r="G2154" s="152"/>
    </row>
    <row r="2155" spans="7:7" x14ac:dyDescent="0.25">
      <c r="G2155" s="152"/>
    </row>
    <row r="2156" spans="7:7" x14ac:dyDescent="0.25">
      <c r="G2156" s="152"/>
    </row>
    <row r="2157" spans="7:7" x14ac:dyDescent="0.25">
      <c r="G2157" s="152"/>
    </row>
    <row r="2158" spans="7:7" x14ac:dyDescent="0.25">
      <c r="G2158" s="152"/>
    </row>
    <row r="2159" spans="7:7" x14ac:dyDescent="0.25">
      <c r="G2159" s="152"/>
    </row>
    <row r="2160" spans="7:7" x14ac:dyDescent="0.25">
      <c r="G2160" s="152"/>
    </row>
    <row r="2161" spans="7:7" x14ac:dyDescent="0.25">
      <c r="G2161" s="152"/>
    </row>
    <row r="2162" spans="7:7" x14ac:dyDescent="0.25">
      <c r="G2162" s="152"/>
    </row>
    <row r="2163" spans="7:7" x14ac:dyDescent="0.25">
      <c r="G2163" s="152"/>
    </row>
    <row r="2164" spans="7:7" x14ac:dyDescent="0.25">
      <c r="G2164" s="152"/>
    </row>
    <row r="2165" spans="7:7" x14ac:dyDescent="0.25">
      <c r="G2165" s="152"/>
    </row>
    <row r="2166" spans="7:7" x14ac:dyDescent="0.25">
      <c r="G2166" s="152"/>
    </row>
    <row r="2167" spans="7:7" x14ac:dyDescent="0.25">
      <c r="G2167" s="152"/>
    </row>
    <row r="2168" spans="7:7" x14ac:dyDescent="0.25">
      <c r="G2168" s="152"/>
    </row>
    <row r="2169" spans="7:7" x14ac:dyDescent="0.25">
      <c r="G2169" s="152"/>
    </row>
    <row r="2170" spans="7:7" x14ac:dyDescent="0.25">
      <c r="G2170" s="152"/>
    </row>
    <row r="2171" spans="7:7" x14ac:dyDescent="0.25">
      <c r="G2171" s="152"/>
    </row>
    <row r="2172" spans="7:7" x14ac:dyDescent="0.25">
      <c r="G2172" s="152"/>
    </row>
    <row r="2173" spans="7:7" x14ac:dyDescent="0.25">
      <c r="G2173" s="152"/>
    </row>
    <row r="2174" spans="7:7" x14ac:dyDescent="0.25">
      <c r="G2174" s="152"/>
    </row>
    <row r="2175" spans="7:7" x14ac:dyDescent="0.25">
      <c r="G2175" s="152"/>
    </row>
    <row r="2176" spans="7:7" x14ac:dyDescent="0.25">
      <c r="G2176" s="152"/>
    </row>
    <row r="2177" spans="7:7" x14ac:dyDescent="0.25">
      <c r="G2177" s="152"/>
    </row>
    <row r="2178" spans="7:7" x14ac:dyDescent="0.25">
      <c r="G2178" s="152"/>
    </row>
    <row r="2179" spans="7:7" x14ac:dyDescent="0.25">
      <c r="G2179" s="152"/>
    </row>
    <row r="2180" spans="7:7" x14ac:dyDescent="0.25">
      <c r="G2180" s="152"/>
    </row>
    <row r="2181" spans="7:7" x14ac:dyDescent="0.25">
      <c r="G2181" s="152"/>
    </row>
    <row r="2182" spans="7:7" x14ac:dyDescent="0.25">
      <c r="G2182" s="152"/>
    </row>
    <row r="2183" spans="7:7" x14ac:dyDescent="0.25">
      <c r="G2183" s="152"/>
    </row>
    <row r="2184" spans="7:7" x14ac:dyDescent="0.25">
      <c r="G2184" s="152"/>
    </row>
    <row r="2185" spans="7:7" x14ac:dyDescent="0.25">
      <c r="G2185" s="152"/>
    </row>
    <row r="2186" spans="7:7" x14ac:dyDescent="0.25">
      <c r="G2186" s="152"/>
    </row>
    <row r="2187" spans="7:7" x14ac:dyDescent="0.25">
      <c r="G2187" s="152"/>
    </row>
    <row r="2188" spans="7:7" x14ac:dyDescent="0.25">
      <c r="G2188" s="152"/>
    </row>
    <row r="2189" spans="7:7" x14ac:dyDescent="0.25">
      <c r="G2189" s="152"/>
    </row>
    <row r="2190" spans="7:7" x14ac:dyDescent="0.25">
      <c r="G2190" s="152"/>
    </row>
    <row r="2191" spans="7:7" x14ac:dyDescent="0.25">
      <c r="G2191" s="152"/>
    </row>
    <row r="2192" spans="7:7" x14ac:dyDescent="0.25">
      <c r="G2192" s="152"/>
    </row>
    <row r="2193" spans="7:7" x14ac:dyDescent="0.25">
      <c r="G2193" s="152"/>
    </row>
    <row r="2194" spans="7:7" x14ac:dyDescent="0.25">
      <c r="G2194" s="152"/>
    </row>
    <row r="2195" spans="7:7" x14ac:dyDescent="0.25">
      <c r="G2195" s="152"/>
    </row>
    <row r="2196" spans="7:7" x14ac:dyDescent="0.25">
      <c r="G2196" s="152"/>
    </row>
    <row r="2197" spans="7:7" x14ac:dyDescent="0.25">
      <c r="G2197" s="152"/>
    </row>
    <row r="2198" spans="7:7" x14ac:dyDescent="0.25">
      <c r="G2198" s="152"/>
    </row>
    <row r="2199" spans="7:7" x14ac:dyDescent="0.25">
      <c r="G2199" s="152"/>
    </row>
    <row r="2200" spans="7:7" x14ac:dyDescent="0.25">
      <c r="G2200" s="152"/>
    </row>
    <row r="2201" spans="7:7" x14ac:dyDescent="0.25">
      <c r="G2201" s="152"/>
    </row>
    <row r="2202" spans="7:7" x14ac:dyDescent="0.25">
      <c r="G2202" s="152"/>
    </row>
    <row r="2203" spans="7:7" x14ac:dyDescent="0.25">
      <c r="G2203" s="152"/>
    </row>
    <row r="2204" spans="7:7" x14ac:dyDescent="0.25">
      <c r="G2204" s="152"/>
    </row>
    <row r="2205" spans="7:7" x14ac:dyDescent="0.25">
      <c r="G2205" s="152"/>
    </row>
    <row r="2206" spans="7:7" x14ac:dyDescent="0.25">
      <c r="G2206" s="152"/>
    </row>
    <row r="2207" spans="7:7" x14ac:dyDescent="0.25">
      <c r="G2207" s="152"/>
    </row>
    <row r="2208" spans="7:7" x14ac:dyDescent="0.25">
      <c r="G2208" s="152"/>
    </row>
    <row r="2209" spans="7:7" x14ac:dyDescent="0.25">
      <c r="G2209" s="152"/>
    </row>
    <row r="2210" spans="7:7" x14ac:dyDescent="0.25">
      <c r="G2210" s="152"/>
    </row>
    <row r="2211" spans="7:7" x14ac:dyDescent="0.25">
      <c r="G2211" s="152"/>
    </row>
    <row r="2212" spans="7:7" x14ac:dyDescent="0.25">
      <c r="G2212" s="152"/>
    </row>
    <row r="2213" spans="7:7" x14ac:dyDescent="0.25">
      <c r="G2213" s="152"/>
    </row>
    <row r="2214" spans="7:7" x14ac:dyDescent="0.25">
      <c r="G2214" s="152"/>
    </row>
    <row r="2215" spans="7:7" x14ac:dyDescent="0.25">
      <c r="G2215" s="152"/>
    </row>
    <row r="2216" spans="7:7" x14ac:dyDescent="0.25">
      <c r="G2216" s="152"/>
    </row>
    <row r="2217" spans="7:7" x14ac:dyDescent="0.25">
      <c r="G2217" s="152"/>
    </row>
    <row r="2218" spans="7:7" x14ac:dyDescent="0.25">
      <c r="G2218" s="152"/>
    </row>
    <row r="2219" spans="7:7" x14ac:dyDescent="0.25">
      <c r="G2219" s="152"/>
    </row>
    <row r="2220" spans="7:7" x14ac:dyDescent="0.25">
      <c r="G2220" s="152"/>
    </row>
    <row r="2221" spans="7:7" x14ac:dyDescent="0.25">
      <c r="G2221" s="152"/>
    </row>
    <row r="2222" spans="7:7" x14ac:dyDescent="0.25">
      <c r="G2222" s="152"/>
    </row>
    <row r="2223" spans="7:7" x14ac:dyDescent="0.25">
      <c r="G2223" s="152"/>
    </row>
    <row r="2224" spans="7:7" x14ac:dyDescent="0.25">
      <c r="G2224" s="152"/>
    </row>
    <row r="2225" spans="7:7" x14ac:dyDescent="0.25">
      <c r="G2225" s="152"/>
    </row>
    <row r="2226" spans="7:7" x14ac:dyDescent="0.25">
      <c r="G2226" s="152"/>
    </row>
    <row r="2227" spans="7:7" x14ac:dyDescent="0.25">
      <c r="G2227" s="152"/>
    </row>
    <row r="2228" spans="7:7" x14ac:dyDescent="0.25">
      <c r="G2228" s="152"/>
    </row>
    <row r="2229" spans="7:7" x14ac:dyDescent="0.25">
      <c r="G2229" s="152"/>
    </row>
    <row r="2230" spans="7:7" x14ac:dyDescent="0.25">
      <c r="G2230" s="152"/>
    </row>
    <row r="2231" spans="7:7" x14ac:dyDescent="0.25">
      <c r="G2231" s="152"/>
    </row>
    <row r="2232" spans="7:7" x14ac:dyDescent="0.25">
      <c r="G2232" s="152"/>
    </row>
    <row r="2233" spans="7:7" x14ac:dyDescent="0.25">
      <c r="G2233" s="152"/>
    </row>
    <row r="2234" spans="7:7" x14ac:dyDescent="0.25">
      <c r="G2234" s="152"/>
    </row>
    <row r="2235" spans="7:7" x14ac:dyDescent="0.25">
      <c r="G2235" s="152"/>
    </row>
    <row r="2236" spans="7:7" x14ac:dyDescent="0.25">
      <c r="G2236" s="152"/>
    </row>
    <row r="2237" spans="7:7" x14ac:dyDescent="0.25">
      <c r="G2237" s="152"/>
    </row>
    <row r="2238" spans="7:7" x14ac:dyDescent="0.25">
      <c r="G2238" s="152"/>
    </row>
    <row r="2239" spans="7:7" x14ac:dyDescent="0.25">
      <c r="G2239" s="152"/>
    </row>
    <row r="2240" spans="7:7" x14ac:dyDescent="0.25">
      <c r="G2240" s="152"/>
    </row>
    <row r="2241" spans="7:7" x14ac:dyDescent="0.25">
      <c r="G2241" s="152"/>
    </row>
    <row r="2242" spans="7:7" x14ac:dyDescent="0.25">
      <c r="G2242" s="152"/>
    </row>
    <row r="2243" spans="7:7" x14ac:dyDescent="0.25">
      <c r="G2243" s="152"/>
    </row>
    <row r="2244" spans="7:7" x14ac:dyDescent="0.25">
      <c r="G2244" s="152"/>
    </row>
    <row r="2245" spans="7:7" x14ac:dyDescent="0.25">
      <c r="G2245" s="152"/>
    </row>
    <row r="2246" spans="7:7" x14ac:dyDescent="0.25">
      <c r="G2246" s="152"/>
    </row>
    <row r="2247" spans="7:7" x14ac:dyDescent="0.25">
      <c r="G2247" s="152"/>
    </row>
    <row r="2248" spans="7:7" x14ac:dyDescent="0.25">
      <c r="G2248" s="152"/>
    </row>
    <row r="2249" spans="7:7" x14ac:dyDescent="0.25">
      <c r="G2249" s="152"/>
    </row>
    <row r="2250" spans="7:7" x14ac:dyDescent="0.25">
      <c r="G2250" s="152"/>
    </row>
    <row r="2251" spans="7:7" x14ac:dyDescent="0.25">
      <c r="G2251" s="152"/>
    </row>
    <row r="2252" spans="7:7" x14ac:dyDescent="0.25">
      <c r="G2252" s="152"/>
    </row>
    <row r="2253" spans="7:7" x14ac:dyDescent="0.25">
      <c r="G2253" s="152"/>
    </row>
    <row r="2254" spans="7:7" x14ac:dyDescent="0.25">
      <c r="G2254" s="152"/>
    </row>
    <row r="2255" spans="7:7" x14ac:dyDescent="0.25">
      <c r="G2255" s="152"/>
    </row>
    <row r="2256" spans="7:7" x14ac:dyDescent="0.25">
      <c r="G2256" s="152"/>
    </row>
    <row r="2257" spans="7:7" x14ac:dyDescent="0.25">
      <c r="G2257" s="152"/>
    </row>
    <row r="2258" spans="7:7" x14ac:dyDescent="0.25">
      <c r="G2258" s="152"/>
    </row>
    <row r="2259" spans="7:7" x14ac:dyDescent="0.25">
      <c r="G2259" s="152"/>
    </row>
    <row r="2260" spans="7:7" x14ac:dyDescent="0.25">
      <c r="G2260" s="152"/>
    </row>
    <row r="2261" spans="7:7" x14ac:dyDescent="0.25">
      <c r="G2261" s="152"/>
    </row>
    <row r="2262" spans="7:7" x14ac:dyDescent="0.25">
      <c r="G2262" s="152"/>
    </row>
    <row r="2263" spans="7:7" x14ac:dyDescent="0.25">
      <c r="G2263" s="152"/>
    </row>
    <row r="2264" spans="7:7" x14ac:dyDescent="0.25">
      <c r="G2264" s="152"/>
    </row>
    <row r="2265" spans="7:7" x14ac:dyDescent="0.25">
      <c r="G2265" s="152"/>
    </row>
    <row r="2266" spans="7:7" x14ac:dyDescent="0.25">
      <c r="G2266" s="152"/>
    </row>
    <row r="2267" spans="7:7" x14ac:dyDescent="0.25">
      <c r="G2267" s="152"/>
    </row>
    <row r="2268" spans="7:7" x14ac:dyDescent="0.25">
      <c r="G2268" s="152"/>
    </row>
    <row r="2269" spans="7:7" x14ac:dyDescent="0.25">
      <c r="G2269" s="152"/>
    </row>
    <row r="2270" spans="7:7" x14ac:dyDescent="0.25">
      <c r="G2270" s="152"/>
    </row>
    <row r="2271" spans="7:7" x14ac:dyDescent="0.25">
      <c r="G2271" s="152"/>
    </row>
    <row r="2272" spans="7:7" x14ac:dyDescent="0.25">
      <c r="G2272" s="152"/>
    </row>
    <row r="2273" spans="7:7" x14ac:dyDescent="0.25">
      <c r="G2273" s="152"/>
    </row>
    <row r="2274" spans="7:7" x14ac:dyDescent="0.25">
      <c r="G2274" s="152"/>
    </row>
    <row r="2275" spans="7:7" x14ac:dyDescent="0.25">
      <c r="G2275" s="152"/>
    </row>
    <row r="2276" spans="7:7" x14ac:dyDescent="0.25">
      <c r="G2276" s="152"/>
    </row>
    <row r="2277" spans="7:7" x14ac:dyDescent="0.25">
      <c r="G2277" s="152"/>
    </row>
    <row r="2278" spans="7:7" x14ac:dyDescent="0.25">
      <c r="G2278" s="152"/>
    </row>
    <row r="2279" spans="7:7" x14ac:dyDescent="0.25">
      <c r="G2279" s="152"/>
    </row>
    <row r="2280" spans="7:7" x14ac:dyDescent="0.25">
      <c r="G2280" s="152"/>
    </row>
    <row r="2281" spans="7:7" x14ac:dyDescent="0.25">
      <c r="G2281" s="152"/>
    </row>
    <row r="2282" spans="7:7" x14ac:dyDescent="0.25">
      <c r="G2282" s="152"/>
    </row>
    <row r="2283" spans="7:7" x14ac:dyDescent="0.25">
      <c r="G2283" s="152"/>
    </row>
    <row r="2284" spans="7:7" x14ac:dyDescent="0.25">
      <c r="G2284" s="152"/>
    </row>
    <row r="2285" spans="7:7" x14ac:dyDescent="0.25">
      <c r="G2285" s="152"/>
    </row>
    <row r="2286" spans="7:7" x14ac:dyDescent="0.25">
      <c r="G2286" s="152"/>
    </row>
    <row r="2287" spans="7:7" x14ac:dyDescent="0.25">
      <c r="G2287" s="152"/>
    </row>
    <row r="2288" spans="7:7" x14ac:dyDescent="0.25">
      <c r="G2288" s="152"/>
    </row>
    <row r="2289" spans="7:7" x14ac:dyDescent="0.25">
      <c r="G2289" s="152"/>
    </row>
    <row r="2290" spans="7:7" x14ac:dyDescent="0.25">
      <c r="G2290" s="152"/>
    </row>
    <row r="2291" spans="7:7" x14ac:dyDescent="0.25">
      <c r="G2291" s="152"/>
    </row>
    <row r="2292" spans="7:7" x14ac:dyDescent="0.25">
      <c r="G2292" s="152"/>
    </row>
    <row r="2293" spans="7:7" x14ac:dyDescent="0.25">
      <c r="G2293" s="152"/>
    </row>
    <row r="2294" spans="7:7" x14ac:dyDescent="0.25">
      <c r="G2294" s="152"/>
    </row>
    <row r="2295" spans="7:7" x14ac:dyDescent="0.25">
      <c r="G2295" s="152"/>
    </row>
    <row r="2296" spans="7:7" x14ac:dyDescent="0.25">
      <c r="G2296" s="152"/>
    </row>
    <row r="2297" spans="7:7" x14ac:dyDescent="0.25">
      <c r="G2297" s="152"/>
    </row>
    <row r="2298" spans="7:7" x14ac:dyDescent="0.25">
      <c r="G2298" s="152"/>
    </row>
    <row r="2299" spans="7:7" x14ac:dyDescent="0.25">
      <c r="G2299" s="152"/>
    </row>
    <row r="2300" spans="7:7" x14ac:dyDescent="0.25">
      <c r="G2300" s="152"/>
    </row>
    <row r="2301" spans="7:7" x14ac:dyDescent="0.25">
      <c r="G2301" s="152"/>
    </row>
    <row r="2302" spans="7:7" x14ac:dyDescent="0.25">
      <c r="G2302" s="152"/>
    </row>
    <row r="2303" spans="7:7" x14ac:dyDescent="0.25">
      <c r="G2303" s="152"/>
    </row>
    <row r="2304" spans="7:7" x14ac:dyDescent="0.25">
      <c r="G2304" s="152"/>
    </row>
    <row r="2305" spans="7:7" x14ac:dyDescent="0.25">
      <c r="G2305" s="152"/>
    </row>
    <row r="2306" spans="7:7" x14ac:dyDescent="0.25">
      <c r="G2306" s="152"/>
    </row>
    <row r="2307" spans="7:7" x14ac:dyDescent="0.25">
      <c r="G2307" s="152"/>
    </row>
    <row r="2308" spans="7:7" x14ac:dyDescent="0.25">
      <c r="G2308" s="152"/>
    </row>
    <row r="2309" spans="7:7" x14ac:dyDescent="0.25">
      <c r="G2309" s="152"/>
    </row>
    <row r="2310" spans="7:7" x14ac:dyDescent="0.25">
      <c r="G2310" s="152"/>
    </row>
    <row r="2311" spans="7:7" x14ac:dyDescent="0.25">
      <c r="G2311" s="152"/>
    </row>
    <row r="2312" spans="7:7" x14ac:dyDescent="0.25">
      <c r="G2312" s="152"/>
    </row>
    <row r="2313" spans="7:7" x14ac:dyDescent="0.25">
      <c r="G2313" s="152"/>
    </row>
    <row r="2314" spans="7:7" x14ac:dyDescent="0.25">
      <c r="G2314" s="152"/>
    </row>
    <row r="2315" spans="7:7" x14ac:dyDescent="0.25">
      <c r="G2315" s="152"/>
    </row>
    <row r="2316" spans="7:7" x14ac:dyDescent="0.25">
      <c r="G2316" s="152"/>
    </row>
    <row r="2317" spans="7:7" x14ac:dyDescent="0.25">
      <c r="G2317" s="152"/>
    </row>
    <row r="2318" spans="7:7" x14ac:dyDescent="0.25">
      <c r="G2318" s="152"/>
    </row>
    <row r="2319" spans="7:7" x14ac:dyDescent="0.25">
      <c r="G2319" s="152"/>
    </row>
    <row r="2320" spans="7:7" x14ac:dyDescent="0.25">
      <c r="G2320" s="152"/>
    </row>
    <row r="2321" spans="7:7" x14ac:dyDescent="0.25">
      <c r="G2321" s="152"/>
    </row>
    <row r="2322" spans="7:7" x14ac:dyDescent="0.25">
      <c r="G2322" s="152"/>
    </row>
    <row r="2323" spans="7:7" x14ac:dyDescent="0.25">
      <c r="G2323" s="152"/>
    </row>
    <row r="2324" spans="7:7" x14ac:dyDescent="0.25">
      <c r="G2324" s="152"/>
    </row>
    <row r="2325" spans="7:7" x14ac:dyDescent="0.25">
      <c r="G2325" s="152"/>
    </row>
    <row r="2326" spans="7:7" x14ac:dyDescent="0.25">
      <c r="G2326" s="152"/>
    </row>
    <row r="2327" spans="7:7" x14ac:dyDescent="0.25">
      <c r="G2327" s="152"/>
    </row>
    <row r="2328" spans="7:7" x14ac:dyDescent="0.25">
      <c r="G2328" s="152"/>
    </row>
    <row r="2329" spans="7:7" x14ac:dyDescent="0.25">
      <c r="G2329" s="152"/>
    </row>
    <row r="2330" spans="7:7" x14ac:dyDescent="0.25">
      <c r="G2330" s="152"/>
    </row>
    <row r="2331" spans="7:7" x14ac:dyDescent="0.25">
      <c r="G2331" s="152"/>
    </row>
    <row r="2332" spans="7:7" x14ac:dyDescent="0.25">
      <c r="G2332" s="152"/>
    </row>
    <row r="2333" spans="7:7" x14ac:dyDescent="0.25">
      <c r="G2333" s="152"/>
    </row>
    <row r="2334" spans="7:7" x14ac:dyDescent="0.25">
      <c r="G2334" s="152"/>
    </row>
    <row r="2335" spans="7:7" x14ac:dyDescent="0.25">
      <c r="G2335" s="152"/>
    </row>
    <row r="2336" spans="7:7" x14ac:dyDescent="0.25">
      <c r="G2336" s="152"/>
    </row>
    <row r="2337" spans="7:7" x14ac:dyDescent="0.25">
      <c r="G2337" s="152"/>
    </row>
    <row r="2338" spans="7:7" x14ac:dyDescent="0.25">
      <c r="G2338" s="152"/>
    </row>
    <row r="2339" spans="7:7" x14ac:dyDescent="0.25">
      <c r="G2339" s="152"/>
    </row>
    <row r="2340" spans="7:7" x14ac:dyDescent="0.25">
      <c r="G2340" s="152"/>
    </row>
    <row r="2341" spans="7:7" x14ac:dyDescent="0.25">
      <c r="G2341" s="152"/>
    </row>
    <row r="2342" spans="7:7" x14ac:dyDescent="0.25">
      <c r="G2342" s="152"/>
    </row>
    <row r="2343" spans="7:7" x14ac:dyDescent="0.25">
      <c r="G2343" s="152"/>
    </row>
    <row r="2344" spans="7:7" x14ac:dyDescent="0.25">
      <c r="G2344" s="152"/>
    </row>
    <row r="2345" spans="7:7" x14ac:dyDescent="0.25">
      <c r="G2345" s="152"/>
    </row>
    <row r="2346" spans="7:7" x14ac:dyDescent="0.25">
      <c r="G2346" s="152"/>
    </row>
    <row r="2347" spans="7:7" x14ac:dyDescent="0.25">
      <c r="G2347" s="152"/>
    </row>
    <row r="2348" spans="7:7" x14ac:dyDescent="0.25">
      <c r="G2348" s="152"/>
    </row>
    <row r="2349" spans="7:7" x14ac:dyDescent="0.25">
      <c r="G2349" s="152"/>
    </row>
    <row r="2350" spans="7:7" x14ac:dyDescent="0.25">
      <c r="G2350" s="152"/>
    </row>
    <row r="2351" spans="7:7" x14ac:dyDescent="0.25">
      <c r="G2351" s="152"/>
    </row>
    <row r="2352" spans="7:7" x14ac:dyDescent="0.25">
      <c r="G2352" s="152"/>
    </row>
    <row r="2353" spans="7:7" x14ac:dyDescent="0.25">
      <c r="G2353" s="152"/>
    </row>
    <row r="2354" spans="7:7" x14ac:dyDescent="0.25">
      <c r="G2354" s="152"/>
    </row>
    <row r="2355" spans="7:7" x14ac:dyDescent="0.25">
      <c r="G2355" s="152"/>
    </row>
    <row r="2356" spans="7:7" x14ac:dyDescent="0.25">
      <c r="G2356" s="152"/>
    </row>
    <row r="2357" spans="7:7" x14ac:dyDescent="0.25">
      <c r="G2357" s="152"/>
    </row>
    <row r="2358" spans="7:7" x14ac:dyDescent="0.25">
      <c r="G2358" s="152"/>
    </row>
    <row r="2359" spans="7:7" x14ac:dyDescent="0.25">
      <c r="G2359" s="152"/>
    </row>
    <row r="2360" spans="7:7" x14ac:dyDescent="0.25">
      <c r="G2360" s="152"/>
    </row>
    <row r="2361" spans="7:7" x14ac:dyDescent="0.25">
      <c r="G2361" s="152"/>
    </row>
    <row r="2362" spans="7:7" x14ac:dyDescent="0.25">
      <c r="G2362" s="152"/>
    </row>
    <row r="2363" spans="7:7" x14ac:dyDescent="0.25">
      <c r="G2363" s="152"/>
    </row>
    <row r="2364" spans="7:7" x14ac:dyDescent="0.25">
      <c r="G2364" s="152"/>
    </row>
    <row r="2365" spans="7:7" x14ac:dyDescent="0.25">
      <c r="G2365" s="152"/>
    </row>
    <row r="2366" spans="7:7" x14ac:dyDescent="0.25">
      <c r="G2366" s="152"/>
    </row>
    <row r="2367" spans="7:7" x14ac:dyDescent="0.25">
      <c r="G2367" s="152"/>
    </row>
    <row r="2368" spans="7:7" x14ac:dyDescent="0.25">
      <c r="G2368" s="152"/>
    </row>
    <row r="2369" spans="7:7" x14ac:dyDescent="0.25">
      <c r="G2369" s="152"/>
    </row>
    <row r="2370" spans="7:7" x14ac:dyDescent="0.25">
      <c r="G2370" s="152"/>
    </row>
    <row r="2371" spans="7:7" x14ac:dyDescent="0.25">
      <c r="G2371" s="152"/>
    </row>
    <row r="2372" spans="7:7" x14ac:dyDescent="0.25">
      <c r="G2372" s="152"/>
    </row>
    <row r="2373" spans="7:7" x14ac:dyDescent="0.25">
      <c r="G2373" s="152"/>
    </row>
    <row r="2374" spans="7:7" x14ac:dyDescent="0.25">
      <c r="G2374" s="152"/>
    </row>
    <row r="2375" spans="7:7" x14ac:dyDescent="0.25">
      <c r="G2375" s="152"/>
    </row>
    <row r="2376" spans="7:7" x14ac:dyDescent="0.25">
      <c r="G2376" s="152"/>
    </row>
    <row r="2377" spans="7:7" x14ac:dyDescent="0.25">
      <c r="G2377" s="152"/>
    </row>
    <row r="2378" spans="7:7" x14ac:dyDescent="0.25">
      <c r="G2378" s="152"/>
    </row>
    <row r="2379" spans="7:7" x14ac:dyDescent="0.25">
      <c r="G2379" s="152"/>
    </row>
    <row r="2380" spans="7:7" x14ac:dyDescent="0.25">
      <c r="G2380" s="152"/>
    </row>
    <row r="2381" spans="7:7" x14ac:dyDescent="0.25">
      <c r="G2381" s="152"/>
    </row>
    <row r="2382" spans="7:7" x14ac:dyDescent="0.25">
      <c r="G2382" s="152"/>
    </row>
    <row r="2383" spans="7:7" x14ac:dyDescent="0.25">
      <c r="G2383" s="152"/>
    </row>
    <row r="2384" spans="7:7" x14ac:dyDescent="0.25">
      <c r="G2384" s="152"/>
    </row>
    <row r="2385" spans="7:7" x14ac:dyDescent="0.25">
      <c r="G2385" s="152"/>
    </row>
    <row r="2386" spans="7:7" x14ac:dyDescent="0.25">
      <c r="G2386" s="152"/>
    </row>
    <row r="2387" spans="7:7" x14ac:dyDescent="0.25">
      <c r="G2387" s="152"/>
    </row>
    <row r="2388" spans="7:7" x14ac:dyDescent="0.25">
      <c r="G2388" s="152"/>
    </row>
    <row r="2389" spans="7:7" x14ac:dyDescent="0.25">
      <c r="G2389" s="152"/>
    </row>
    <row r="2390" spans="7:7" x14ac:dyDescent="0.25">
      <c r="G2390" s="152"/>
    </row>
    <row r="2391" spans="7:7" x14ac:dyDescent="0.25">
      <c r="G2391" s="152"/>
    </row>
    <row r="2392" spans="7:7" x14ac:dyDescent="0.25">
      <c r="G2392" s="152"/>
    </row>
    <row r="2393" spans="7:7" x14ac:dyDescent="0.25">
      <c r="G2393" s="152"/>
    </row>
    <row r="2394" spans="7:7" x14ac:dyDescent="0.25">
      <c r="G2394" s="152"/>
    </row>
    <row r="2395" spans="7:7" x14ac:dyDescent="0.25">
      <c r="G2395" s="152"/>
    </row>
    <row r="2396" spans="7:7" x14ac:dyDescent="0.25">
      <c r="G2396" s="152"/>
    </row>
    <row r="2397" spans="7:7" x14ac:dyDescent="0.25">
      <c r="G2397" s="152"/>
    </row>
    <row r="2398" spans="7:7" x14ac:dyDescent="0.25">
      <c r="G2398" s="152"/>
    </row>
    <row r="2399" spans="7:7" x14ac:dyDescent="0.25">
      <c r="G2399" s="152"/>
    </row>
    <row r="2400" spans="7:7" x14ac:dyDescent="0.25">
      <c r="G2400" s="152"/>
    </row>
    <row r="2401" spans="7:7" x14ac:dyDescent="0.25">
      <c r="G2401" s="152"/>
    </row>
    <row r="2402" spans="7:7" x14ac:dyDescent="0.25">
      <c r="G2402" s="152"/>
    </row>
    <row r="2403" spans="7:7" x14ac:dyDescent="0.25">
      <c r="G2403" s="152"/>
    </row>
    <row r="2404" spans="7:7" x14ac:dyDescent="0.25">
      <c r="G2404" s="152"/>
    </row>
    <row r="2405" spans="7:7" x14ac:dyDescent="0.25">
      <c r="G2405" s="152"/>
    </row>
    <row r="2406" spans="7:7" x14ac:dyDescent="0.25">
      <c r="G2406" s="152"/>
    </row>
    <row r="2407" spans="7:7" x14ac:dyDescent="0.25">
      <c r="G2407" s="152"/>
    </row>
    <row r="2408" spans="7:7" x14ac:dyDescent="0.25">
      <c r="G2408" s="152"/>
    </row>
    <row r="2409" spans="7:7" x14ac:dyDescent="0.25">
      <c r="G2409" s="152"/>
    </row>
    <row r="2410" spans="7:7" x14ac:dyDescent="0.25">
      <c r="G2410" s="152"/>
    </row>
    <row r="2411" spans="7:7" x14ac:dyDescent="0.25">
      <c r="G2411" s="152"/>
    </row>
    <row r="2412" spans="7:7" x14ac:dyDescent="0.25">
      <c r="G2412" s="152"/>
    </row>
    <row r="2413" spans="7:7" x14ac:dyDescent="0.25">
      <c r="G2413" s="152"/>
    </row>
    <row r="2414" spans="7:7" x14ac:dyDescent="0.25">
      <c r="G2414" s="152"/>
    </row>
    <row r="2415" spans="7:7" x14ac:dyDescent="0.25">
      <c r="G2415" s="152"/>
    </row>
    <row r="2416" spans="7:7" x14ac:dyDescent="0.25">
      <c r="G2416" s="152"/>
    </row>
    <row r="2417" spans="7:7" x14ac:dyDescent="0.25">
      <c r="G2417" s="152"/>
    </row>
    <row r="2418" spans="7:7" x14ac:dyDescent="0.25">
      <c r="G2418" s="152"/>
    </row>
    <row r="2419" spans="7:7" x14ac:dyDescent="0.25">
      <c r="G2419" s="152"/>
    </row>
    <row r="2420" spans="7:7" x14ac:dyDescent="0.25">
      <c r="G2420" s="152"/>
    </row>
    <row r="2421" spans="7:7" x14ac:dyDescent="0.25">
      <c r="G2421" s="152"/>
    </row>
    <row r="2422" spans="7:7" x14ac:dyDescent="0.25">
      <c r="G2422" s="152"/>
    </row>
    <row r="2423" spans="7:7" x14ac:dyDescent="0.25">
      <c r="G2423" s="152"/>
    </row>
    <row r="2424" spans="7:7" x14ac:dyDescent="0.25">
      <c r="G2424" s="152"/>
    </row>
    <row r="2425" spans="7:7" x14ac:dyDescent="0.25">
      <c r="G2425" s="152"/>
    </row>
    <row r="2426" spans="7:7" x14ac:dyDescent="0.25">
      <c r="G2426" s="152"/>
    </row>
    <row r="2427" spans="7:7" x14ac:dyDescent="0.25">
      <c r="G2427" s="152"/>
    </row>
    <row r="2428" spans="7:7" x14ac:dyDescent="0.25">
      <c r="G2428" s="152"/>
    </row>
    <row r="2429" spans="7:7" x14ac:dyDescent="0.25">
      <c r="G2429" s="152"/>
    </row>
    <row r="2430" spans="7:7" x14ac:dyDescent="0.25">
      <c r="G2430" s="152"/>
    </row>
    <row r="2431" spans="7:7" x14ac:dyDescent="0.25">
      <c r="G2431" s="152"/>
    </row>
    <row r="2432" spans="7:7" x14ac:dyDescent="0.25">
      <c r="G2432" s="152"/>
    </row>
    <row r="2433" spans="7:7" x14ac:dyDescent="0.25">
      <c r="G2433" s="152"/>
    </row>
    <row r="2434" spans="7:7" x14ac:dyDescent="0.25">
      <c r="G2434" s="152"/>
    </row>
    <row r="2435" spans="7:7" x14ac:dyDescent="0.25">
      <c r="G2435" s="152"/>
    </row>
    <row r="2436" spans="7:7" x14ac:dyDescent="0.25">
      <c r="G2436" s="152"/>
    </row>
    <row r="2437" spans="7:7" x14ac:dyDescent="0.25">
      <c r="G2437" s="152"/>
    </row>
    <row r="2438" spans="7:7" x14ac:dyDescent="0.25">
      <c r="G2438" s="152"/>
    </row>
    <row r="2439" spans="7:7" x14ac:dyDescent="0.25">
      <c r="G2439" s="152"/>
    </row>
    <row r="2440" spans="7:7" x14ac:dyDescent="0.25">
      <c r="G2440" s="152"/>
    </row>
    <row r="2441" spans="7:7" x14ac:dyDescent="0.25">
      <c r="G2441" s="152"/>
    </row>
    <row r="2442" spans="7:7" x14ac:dyDescent="0.25">
      <c r="G2442" s="152"/>
    </row>
    <row r="2443" spans="7:7" x14ac:dyDescent="0.25">
      <c r="G2443" s="152"/>
    </row>
    <row r="2444" spans="7:7" x14ac:dyDescent="0.25">
      <c r="G2444" s="152"/>
    </row>
    <row r="2445" spans="7:7" x14ac:dyDescent="0.25">
      <c r="G2445" s="152"/>
    </row>
    <row r="2446" spans="7:7" x14ac:dyDescent="0.25">
      <c r="G2446" s="152"/>
    </row>
    <row r="2447" spans="7:7" x14ac:dyDescent="0.25">
      <c r="G2447" s="152"/>
    </row>
    <row r="2448" spans="7:7" x14ac:dyDescent="0.25">
      <c r="G2448" s="152"/>
    </row>
    <row r="2449" spans="7:7" x14ac:dyDescent="0.25">
      <c r="G2449" s="152"/>
    </row>
    <row r="2450" spans="7:7" x14ac:dyDescent="0.25">
      <c r="G2450" s="152"/>
    </row>
    <row r="2451" spans="7:7" x14ac:dyDescent="0.25">
      <c r="G2451" s="152"/>
    </row>
    <row r="2452" spans="7:7" x14ac:dyDescent="0.25">
      <c r="G2452" s="152"/>
    </row>
    <row r="2453" spans="7:7" x14ac:dyDescent="0.25">
      <c r="G2453" s="152"/>
    </row>
    <row r="2454" spans="7:7" x14ac:dyDescent="0.25">
      <c r="G2454" s="152"/>
    </row>
    <row r="2455" spans="7:7" x14ac:dyDescent="0.25">
      <c r="G2455" s="152"/>
    </row>
    <row r="2456" spans="7:7" x14ac:dyDescent="0.25">
      <c r="G2456" s="152"/>
    </row>
    <row r="2457" spans="7:7" x14ac:dyDescent="0.25">
      <c r="G2457" s="152"/>
    </row>
    <row r="2458" spans="7:7" x14ac:dyDescent="0.25">
      <c r="G2458" s="152"/>
    </row>
    <row r="2459" spans="7:7" x14ac:dyDescent="0.25">
      <c r="G2459" s="152"/>
    </row>
    <row r="2460" spans="7:7" x14ac:dyDescent="0.25">
      <c r="G2460" s="152"/>
    </row>
    <row r="2461" spans="7:7" x14ac:dyDescent="0.25">
      <c r="G2461" s="152"/>
    </row>
    <row r="2462" spans="7:7" x14ac:dyDescent="0.25">
      <c r="G2462" s="152"/>
    </row>
    <row r="2463" spans="7:7" x14ac:dyDescent="0.25">
      <c r="G2463" s="152"/>
    </row>
    <row r="2464" spans="7:7" x14ac:dyDescent="0.25">
      <c r="G2464" s="152"/>
    </row>
    <row r="2465" spans="7:7" x14ac:dyDescent="0.25">
      <c r="G2465" s="152"/>
    </row>
    <row r="2466" spans="7:7" x14ac:dyDescent="0.25">
      <c r="G2466" s="152"/>
    </row>
    <row r="2467" spans="7:7" x14ac:dyDescent="0.25">
      <c r="G2467" s="152"/>
    </row>
    <row r="2468" spans="7:7" x14ac:dyDescent="0.25">
      <c r="G2468" s="152"/>
    </row>
    <row r="2469" spans="7:7" x14ac:dyDescent="0.25">
      <c r="G2469" s="152"/>
    </row>
    <row r="2470" spans="7:7" x14ac:dyDescent="0.25">
      <c r="G2470" s="152"/>
    </row>
    <row r="2471" spans="7:7" x14ac:dyDescent="0.25">
      <c r="G2471" s="152"/>
    </row>
    <row r="2472" spans="7:7" x14ac:dyDescent="0.25">
      <c r="G2472" s="152"/>
    </row>
    <row r="2473" spans="7:7" x14ac:dyDescent="0.25">
      <c r="G2473" s="152"/>
    </row>
    <row r="2474" spans="7:7" x14ac:dyDescent="0.25">
      <c r="G2474" s="152"/>
    </row>
    <row r="2475" spans="7:7" x14ac:dyDescent="0.25">
      <c r="G2475" s="152"/>
    </row>
    <row r="2476" spans="7:7" x14ac:dyDescent="0.25">
      <c r="G2476" s="152"/>
    </row>
    <row r="2477" spans="7:7" x14ac:dyDescent="0.25">
      <c r="G2477" s="152"/>
    </row>
    <row r="2478" spans="7:7" x14ac:dyDescent="0.25">
      <c r="G2478" s="152"/>
    </row>
    <row r="2479" spans="7:7" x14ac:dyDescent="0.25">
      <c r="G2479" s="152"/>
    </row>
    <row r="2480" spans="7:7" x14ac:dyDescent="0.25">
      <c r="G2480" s="152"/>
    </row>
    <row r="2481" spans="7:7" x14ac:dyDescent="0.25">
      <c r="G2481" s="152"/>
    </row>
    <row r="2482" spans="7:7" x14ac:dyDescent="0.25">
      <c r="G2482" s="152"/>
    </row>
    <row r="2483" spans="7:7" x14ac:dyDescent="0.25">
      <c r="G2483" s="152"/>
    </row>
    <row r="2484" spans="7:7" x14ac:dyDescent="0.25">
      <c r="G2484" s="152"/>
    </row>
    <row r="2485" spans="7:7" x14ac:dyDescent="0.25">
      <c r="G2485" s="152"/>
    </row>
    <row r="2486" spans="7:7" x14ac:dyDescent="0.25">
      <c r="G2486" s="152"/>
    </row>
    <row r="2487" spans="7:7" x14ac:dyDescent="0.25">
      <c r="G2487" s="152"/>
    </row>
    <row r="2488" spans="7:7" x14ac:dyDescent="0.25">
      <c r="G2488" s="152"/>
    </row>
    <row r="2489" spans="7:7" x14ac:dyDescent="0.25">
      <c r="G2489" s="152"/>
    </row>
    <row r="2490" spans="7:7" x14ac:dyDescent="0.25">
      <c r="G2490" s="152"/>
    </row>
    <row r="2491" spans="7:7" x14ac:dyDescent="0.25">
      <c r="G2491" s="152"/>
    </row>
    <row r="2492" spans="7:7" x14ac:dyDescent="0.25">
      <c r="G2492" s="152"/>
    </row>
    <row r="2493" spans="7:7" x14ac:dyDescent="0.25">
      <c r="G2493" s="152"/>
    </row>
    <row r="2494" spans="7:7" x14ac:dyDescent="0.25">
      <c r="G2494" s="152"/>
    </row>
    <row r="2495" spans="7:7" x14ac:dyDescent="0.25">
      <c r="G2495" s="152"/>
    </row>
    <row r="2496" spans="7:7" x14ac:dyDescent="0.25">
      <c r="G2496" s="152"/>
    </row>
    <row r="2497" spans="7:7" x14ac:dyDescent="0.25">
      <c r="G2497" s="152"/>
    </row>
    <row r="2498" spans="7:7" x14ac:dyDescent="0.25">
      <c r="G2498" s="152"/>
    </row>
    <row r="2499" spans="7:7" x14ac:dyDescent="0.25">
      <c r="G2499" s="152"/>
    </row>
    <row r="2500" spans="7:7" x14ac:dyDescent="0.25">
      <c r="G2500" s="152"/>
    </row>
    <row r="2501" spans="7:7" x14ac:dyDescent="0.25">
      <c r="G2501" s="152"/>
    </row>
    <row r="2502" spans="7:7" x14ac:dyDescent="0.25">
      <c r="G2502" s="152"/>
    </row>
    <row r="2503" spans="7:7" x14ac:dyDescent="0.25">
      <c r="G2503" s="152"/>
    </row>
    <row r="2504" spans="7:7" x14ac:dyDescent="0.25">
      <c r="G2504" s="152"/>
    </row>
    <row r="2505" spans="7:7" x14ac:dyDescent="0.25">
      <c r="G2505" s="152"/>
    </row>
    <row r="2506" spans="7:7" x14ac:dyDescent="0.25">
      <c r="G2506" s="152"/>
    </row>
    <row r="2507" spans="7:7" x14ac:dyDescent="0.25">
      <c r="G2507" s="152"/>
    </row>
    <row r="2508" spans="7:7" x14ac:dyDescent="0.25">
      <c r="G2508" s="152"/>
    </row>
    <row r="2509" spans="7:7" x14ac:dyDescent="0.25">
      <c r="G2509" s="152"/>
    </row>
    <row r="2510" spans="7:7" x14ac:dyDescent="0.25">
      <c r="G2510" s="152"/>
    </row>
    <row r="2511" spans="7:7" x14ac:dyDescent="0.25">
      <c r="G2511" s="152"/>
    </row>
    <row r="2512" spans="7:7" x14ac:dyDescent="0.25">
      <c r="G2512" s="152"/>
    </row>
    <row r="2513" spans="7:7" x14ac:dyDescent="0.25">
      <c r="G2513" s="152"/>
    </row>
    <row r="2514" spans="7:7" x14ac:dyDescent="0.25">
      <c r="G2514" s="152"/>
    </row>
    <row r="2515" spans="7:7" x14ac:dyDescent="0.25">
      <c r="G2515" s="152"/>
    </row>
    <row r="2516" spans="7:7" x14ac:dyDescent="0.25">
      <c r="G2516" s="152"/>
    </row>
    <row r="2517" spans="7:7" x14ac:dyDescent="0.25">
      <c r="G2517" s="152"/>
    </row>
    <row r="2518" spans="7:7" x14ac:dyDescent="0.25">
      <c r="G2518" s="152"/>
    </row>
    <row r="2519" spans="7:7" x14ac:dyDescent="0.25">
      <c r="G2519" s="152"/>
    </row>
    <row r="2520" spans="7:7" x14ac:dyDescent="0.25">
      <c r="G2520" s="152"/>
    </row>
    <row r="2521" spans="7:7" x14ac:dyDescent="0.25">
      <c r="G2521" s="152"/>
    </row>
    <row r="2522" spans="7:7" x14ac:dyDescent="0.25">
      <c r="G2522" s="152"/>
    </row>
    <row r="2523" spans="7:7" x14ac:dyDescent="0.25">
      <c r="G2523" s="152"/>
    </row>
    <row r="2524" spans="7:7" x14ac:dyDescent="0.25">
      <c r="G2524" s="152"/>
    </row>
    <row r="2525" spans="7:7" x14ac:dyDescent="0.25">
      <c r="G2525" s="152"/>
    </row>
    <row r="2526" spans="7:7" x14ac:dyDescent="0.25">
      <c r="G2526" s="152"/>
    </row>
    <row r="2527" spans="7:7" x14ac:dyDescent="0.25">
      <c r="G2527" s="152"/>
    </row>
    <row r="2528" spans="7:7" x14ac:dyDescent="0.25">
      <c r="G2528" s="152"/>
    </row>
    <row r="2529" spans="7:7" x14ac:dyDescent="0.25">
      <c r="G2529" s="152"/>
    </row>
    <row r="2530" spans="7:7" x14ac:dyDescent="0.25">
      <c r="G2530" s="152"/>
    </row>
    <row r="2531" spans="7:7" x14ac:dyDescent="0.25">
      <c r="G2531" s="152"/>
    </row>
    <row r="2532" spans="7:7" x14ac:dyDescent="0.25">
      <c r="G2532" s="152"/>
    </row>
    <row r="2533" spans="7:7" x14ac:dyDescent="0.25">
      <c r="G2533" s="152"/>
    </row>
    <row r="2534" spans="7:7" x14ac:dyDescent="0.25">
      <c r="G2534" s="152"/>
    </row>
    <row r="2535" spans="7:7" x14ac:dyDescent="0.25">
      <c r="G2535" s="152"/>
    </row>
    <row r="2536" spans="7:7" x14ac:dyDescent="0.25">
      <c r="G2536" s="152"/>
    </row>
    <row r="2537" spans="7:7" x14ac:dyDescent="0.25">
      <c r="G2537" s="152"/>
    </row>
    <row r="2538" spans="7:7" x14ac:dyDescent="0.25">
      <c r="G2538" s="152"/>
    </row>
    <row r="2539" spans="7:7" x14ac:dyDescent="0.25">
      <c r="G2539" s="152"/>
    </row>
    <row r="2540" spans="7:7" x14ac:dyDescent="0.25">
      <c r="G2540" s="152"/>
    </row>
    <row r="2541" spans="7:7" x14ac:dyDescent="0.25">
      <c r="G2541" s="152"/>
    </row>
    <row r="2542" spans="7:7" x14ac:dyDescent="0.25">
      <c r="G2542" s="152"/>
    </row>
    <row r="2543" spans="7:7" x14ac:dyDescent="0.25">
      <c r="G2543" s="152"/>
    </row>
    <row r="2544" spans="7:7" x14ac:dyDescent="0.25">
      <c r="G2544" s="152"/>
    </row>
    <row r="2545" spans="7:7" x14ac:dyDescent="0.25">
      <c r="G2545" s="152"/>
    </row>
    <row r="2546" spans="7:7" x14ac:dyDescent="0.25">
      <c r="G2546" s="152"/>
    </row>
    <row r="2547" spans="7:7" x14ac:dyDescent="0.25">
      <c r="G2547" s="152"/>
    </row>
    <row r="2548" spans="7:7" x14ac:dyDescent="0.25">
      <c r="G2548" s="152"/>
    </row>
    <row r="2549" spans="7:7" x14ac:dyDescent="0.25">
      <c r="G2549" s="152"/>
    </row>
    <row r="2550" spans="7:7" x14ac:dyDescent="0.25">
      <c r="G2550" s="152"/>
    </row>
    <row r="2551" spans="7:7" x14ac:dyDescent="0.25">
      <c r="G2551" s="152"/>
    </row>
    <row r="2552" spans="7:7" x14ac:dyDescent="0.25">
      <c r="G2552" s="152"/>
    </row>
    <row r="2553" spans="7:7" x14ac:dyDescent="0.25">
      <c r="G2553" s="152"/>
    </row>
    <row r="2554" spans="7:7" x14ac:dyDescent="0.25">
      <c r="G2554" s="152"/>
    </row>
    <row r="2555" spans="7:7" x14ac:dyDescent="0.25">
      <c r="G2555" s="152"/>
    </row>
    <row r="2556" spans="7:7" x14ac:dyDescent="0.25">
      <c r="G2556" s="152"/>
    </row>
    <row r="2557" spans="7:7" x14ac:dyDescent="0.25">
      <c r="G2557" s="152"/>
    </row>
    <row r="2558" spans="7:7" x14ac:dyDescent="0.25">
      <c r="G2558" s="152"/>
    </row>
    <row r="2559" spans="7:7" x14ac:dyDescent="0.25">
      <c r="G2559" s="152"/>
    </row>
    <row r="2560" spans="7:7" x14ac:dyDescent="0.25">
      <c r="G2560" s="152"/>
    </row>
    <row r="2561" spans="7:7" x14ac:dyDescent="0.25">
      <c r="G2561" s="152"/>
    </row>
    <row r="2562" spans="7:7" x14ac:dyDescent="0.25">
      <c r="G2562" s="152"/>
    </row>
    <row r="2563" spans="7:7" x14ac:dyDescent="0.25">
      <c r="G2563" s="152"/>
    </row>
    <row r="2564" spans="7:7" x14ac:dyDescent="0.25">
      <c r="G2564" s="152"/>
    </row>
    <row r="2565" spans="7:7" x14ac:dyDescent="0.25">
      <c r="G2565" s="152"/>
    </row>
    <row r="2566" spans="7:7" x14ac:dyDescent="0.25">
      <c r="G2566" s="152"/>
    </row>
    <row r="2567" spans="7:7" x14ac:dyDescent="0.25">
      <c r="G2567" s="152"/>
    </row>
    <row r="2568" spans="7:7" x14ac:dyDescent="0.25">
      <c r="G2568" s="152"/>
    </row>
    <row r="2569" spans="7:7" x14ac:dyDescent="0.25">
      <c r="G2569" s="152"/>
    </row>
    <row r="2570" spans="7:7" x14ac:dyDescent="0.25">
      <c r="G2570" s="152"/>
    </row>
    <row r="2571" spans="7:7" x14ac:dyDescent="0.25">
      <c r="G2571" s="152"/>
    </row>
    <row r="2572" spans="7:7" x14ac:dyDescent="0.25">
      <c r="G2572" s="152"/>
    </row>
    <row r="2573" spans="7:7" x14ac:dyDescent="0.25">
      <c r="G2573" s="152"/>
    </row>
    <row r="2574" spans="7:7" x14ac:dyDescent="0.25">
      <c r="G2574" s="152"/>
    </row>
    <row r="2575" spans="7:7" x14ac:dyDescent="0.25">
      <c r="G2575" s="152"/>
    </row>
    <row r="2576" spans="7:7" x14ac:dyDescent="0.25">
      <c r="G2576" s="152"/>
    </row>
    <row r="2577" spans="7:7" x14ac:dyDescent="0.25">
      <c r="G2577" s="152"/>
    </row>
    <row r="2578" spans="7:7" x14ac:dyDescent="0.25">
      <c r="G2578" s="152"/>
    </row>
    <row r="2579" spans="7:7" x14ac:dyDescent="0.25">
      <c r="G2579" s="152"/>
    </row>
    <row r="2580" spans="7:7" x14ac:dyDescent="0.25">
      <c r="G2580" s="152"/>
    </row>
    <row r="2581" spans="7:7" x14ac:dyDescent="0.25">
      <c r="G2581" s="152"/>
    </row>
    <row r="2582" spans="7:7" x14ac:dyDescent="0.25">
      <c r="G2582" s="152"/>
    </row>
    <row r="2583" spans="7:7" x14ac:dyDescent="0.25">
      <c r="G2583" s="152"/>
    </row>
    <row r="2584" spans="7:7" x14ac:dyDescent="0.25">
      <c r="G2584" s="152"/>
    </row>
    <row r="2585" spans="7:7" x14ac:dyDescent="0.25">
      <c r="G2585" s="152"/>
    </row>
    <row r="2586" spans="7:7" x14ac:dyDescent="0.25">
      <c r="G2586" s="152"/>
    </row>
    <row r="2587" spans="7:7" x14ac:dyDescent="0.25">
      <c r="G2587" s="152"/>
    </row>
    <row r="2588" spans="7:7" x14ac:dyDescent="0.25">
      <c r="G2588" s="152"/>
    </row>
    <row r="2589" spans="7:7" x14ac:dyDescent="0.25">
      <c r="G2589" s="152"/>
    </row>
    <row r="2590" spans="7:7" x14ac:dyDescent="0.25">
      <c r="G2590" s="152"/>
    </row>
    <row r="2591" spans="7:7" x14ac:dyDescent="0.25">
      <c r="G2591" s="152"/>
    </row>
    <row r="2592" spans="7:7" x14ac:dyDescent="0.25">
      <c r="G2592" s="152"/>
    </row>
    <row r="2593" spans="7:7" x14ac:dyDescent="0.25">
      <c r="G2593" s="152"/>
    </row>
    <row r="2594" spans="7:7" x14ac:dyDescent="0.25">
      <c r="G2594" s="152"/>
    </row>
    <row r="2595" spans="7:7" x14ac:dyDescent="0.25">
      <c r="G2595" s="152"/>
    </row>
    <row r="2596" spans="7:7" x14ac:dyDescent="0.25">
      <c r="G2596" s="152"/>
    </row>
    <row r="2597" spans="7:7" x14ac:dyDescent="0.25">
      <c r="G2597" s="152"/>
    </row>
    <row r="2598" spans="7:7" x14ac:dyDescent="0.25">
      <c r="G2598" s="152"/>
    </row>
    <row r="2599" spans="7:7" x14ac:dyDescent="0.25">
      <c r="G2599" s="152"/>
    </row>
    <row r="2600" spans="7:7" x14ac:dyDescent="0.25">
      <c r="G2600" s="152"/>
    </row>
    <row r="2601" spans="7:7" x14ac:dyDescent="0.25">
      <c r="G2601" s="152"/>
    </row>
    <row r="2602" spans="7:7" x14ac:dyDescent="0.25">
      <c r="G2602" s="152"/>
    </row>
    <row r="2603" spans="7:7" x14ac:dyDescent="0.25">
      <c r="G2603" s="152"/>
    </row>
    <row r="2604" spans="7:7" x14ac:dyDescent="0.25">
      <c r="G2604" s="152"/>
    </row>
    <row r="2605" spans="7:7" x14ac:dyDescent="0.25">
      <c r="G2605" s="152"/>
    </row>
    <row r="2606" spans="7:7" x14ac:dyDescent="0.25">
      <c r="G2606" s="152"/>
    </row>
    <row r="2607" spans="7:7" x14ac:dyDescent="0.25">
      <c r="G2607" s="152"/>
    </row>
    <row r="2608" spans="7:7" x14ac:dyDescent="0.25">
      <c r="G2608" s="152"/>
    </row>
    <row r="2609" spans="7:7" x14ac:dyDescent="0.25">
      <c r="G2609" s="152"/>
    </row>
    <row r="2610" spans="7:7" x14ac:dyDescent="0.25">
      <c r="G2610" s="152"/>
    </row>
    <row r="2611" spans="7:7" x14ac:dyDescent="0.25">
      <c r="G2611" s="152"/>
    </row>
    <row r="2612" spans="7:7" x14ac:dyDescent="0.25">
      <c r="G2612" s="152"/>
    </row>
    <row r="2613" spans="7:7" x14ac:dyDescent="0.25">
      <c r="G2613" s="152"/>
    </row>
    <row r="2614" spans="7:7" x14ac:dyDescent="0.25">
      <c r="G2614" s="152"/>
    </row>
    <row r="2615" spans="7:7" x14ac:dyDescent="0.25">
      <c r="G2615" s="152"/>
    </row>
    <row r="2616" spans="7:7" x14ac:dyDescent="0.25">
      <c r="G2616" s="152"/>
    </row>
    <row r="2617" spans="7:7" x14ac:dyDescent="0.25">
      <c r="G2617" s="152"/>
    </row>
    <row r="2618" spans="7:7" x14ac:dyDescent="0.25">
      <c r="G2618" s="152"/>
    </row>
    <row r="2619" spans="7:7" x14ac:dyDescent="0.25">
      <c r="G2619" s="152"/>
    </row>
    <row r="2620" spans="7:7" x14ac:dyDescent="0.25">
      <c r="G2620" s="152"/>
    </row>
    <row r="2621" spans="7:7" x14ac:dyDescent="0.25">
      <c r="G2621" s="152"/>
    </row>
    <row r="2622" spans="7:7" x14ac:dyDescent="0.25">
      <c r="G2622" s="152"/>
    </row>
    <row r="2623" spans="7:7" x14ac:dyDescent="0.25">
      <c r="G2623" s="152"/>
    </row>
    <row r="2624" spans="7:7" x14ac:dyDescent="0.25">
      <c r="G2624" s="152"/>
    </row>
    <row r="2625" spans="7:7" x14ac:dyDescent="0.25">
      <c r="G2625" s="152"/>
    </row>
    <row r="2626" spans="7:7" x14ac:dyDescent="0.25">
      <c r="G2626" s="152"/>
    </row>
    <row r="2627" spans="7:7" x14ac:dyDescent="0.25">
      <c r="G2627" s="152"/>
    </row>
    <row r="2628" spans="7:7" x14ac:dyDescent="0.25">
      <c r="G2628" s="152"/>
    </row>
    <row r="2629" spans="7:7" x14ac:dyDescent="0.25">
      <c r="G2629" s="152"/>
    </row>
    <row r="2630" spans="7:7" x14ac:dyDescent="0.25">
      <c r="G2630" s="152"/>
    </row>
    <row r="2631" spans="7:7" x14ac:dyDescent="0.25">
      <c r="G2631" s="152"/>
    </row>
    <row r="2632" spans="7:7" x14ac:dyDescent="0.25">
      <c r="G2632" s="152"/>
    </row>
    <row r="2633" spans="7:7" x14ac:dyDescent="0.25">
      <c r="G2633" s="152"/>
    </row>
    <row r="2634" spans="7:7" x14ac:dyDescent="0.25">
      <c r="G2634" s="152"/>
    </row>
    <row r="2635" spans="7:7" x14ac:dyDescent="0.25">
      <c r="G2635" s="152"/>
    </row>
    <row r="2636" spans="7:7" x14ac:dyDescent="0.25">
      <c r="G2636" s="152"/>
    </row>
    <row r="2637" spans="7:7" x14ac:dyDescent="0.25">
      <c r="G2637" s="152"/>
    </row>
    <row r="2638" spans="7:7" x14ac:dyDescent="0.25">
      <c r="G2638" s="152"/>
    </row>
    <row r="2639" spans="7:7" x14ac:dyDescent="0.25">
      <c r="G2639" s="152"/>
    </row>
    <row r="2640" spans="7:7" x14ac:dyDescent="0.25">
      <c r="G2640" s="152"/>
    </row>
    <row r="2641" spans="7:7" x14ac:dyDescent="0.25">
      <c r="G2641" s="152"/>
    </row>
    <row r="2642" spans="7:7" x14ac:dyDescent="0.25">
      <c r="G2642" s="152"/>
    </row>
    <row r="2643" spans="7:7" x14ac:dyDescent="0.25">
      <c r="G2643" s="152"/>
    </row>
    <row r="2644" spans="7:7" x14ac:dyDescent="0.25">
      <c r="G2644" s="152"/>
    </row>
    <row r="2645" spans="7:7" x14ac:dyDescent="0.25">
      <c r="G2645" s="152"/>
    </row>
    <row r="2646" spans="7:7" x14ac:dyDescent="0.25">
      <c r="G2646" s="152"/>
    </row>
    <row r="2647" spans="7:7" x14ac:dyDescent="0.25">
      <c r="G2647" s="152"/>
    </row>
    <row r="2648" spans="7:7" x14ac:dyDescent="0.25">
      <c r="G2648" s="152"/>
    </row>
    <row r="2649" spans="7:7" x14ac:dyDescent="0.25">
      <c r="G2649" s="152"/>
    </row>
    <row r="2650" spans="7:7" x14ac:dyDescent="0.25">
      <c r="G2650" s="152"/>
    </row>
    <row r="2651" spans="7:7" x14ac:dyDescent="0.25">
      <c r="G2651" s="152"/>
    </row>
    <row r="2652" spans="7:7" x14ac:dyDescent="0.25">
      <c r="G2652" s="152"/>
    </row>
    <row r="2653" spans="7:7" x14ac:dyDescent="0.25">
      <c r="G2653" s="152"/>
    </row>
    <row r="2654" spans="7:7" x14ac:dyDescent="0.25">
      <c r="G2654" s="152"/>
    </row>
    <row r="2655" spans="7:7" x14ac:dyDescent="0.25">
      <c r="G2655" s="152"/>
    </row>
    <row r="2656" spans="7:7" x14ac:dyDescent="0.25">
      <c r="G2656" s="152"/>
    </row>
    <row r="2657" spans="7:7" x14ac:dyDescent="0.25">
      <c r="G2657" s="152"/>
    </row>
    <row r="2658" spans="7:7" x14ac:dyDescent="0.25">
      <c r="G2658" s="152"/>
    </row>
    <row r="2659" spans="7:7" x14ac:dyDescent="0.25">
      <c r="G2659" s="152"/>
    </row>
    <row r="2660" spans="7:7" x14ac:dyDescent="0.25">
      <c r="G2660" s="152"/>
    </row>
    <row r="2661" spans="7:7" x14ac:dyDescent="0.25">
      <c r="G2661" s="152"/>
    </row>
    <row r="2662" spans="7:7" x14ac:dyDescent="0.25">
      <c r="G2662" s="152"/>
    </row>
    <row r="2663" spans="7:7" x14ac:dyDescent="0.25">
      <c r="G2663" s="152"/>
    </row>
    <row r="2664" spans="7:7" x14ac:dyDescent="0.25">
      <c r="G2664" s="152"/>
    </row>
    <row r="2665" spans="7:7" x14ac:dyDescent="0.25">
      <c r="G2665" s="152"/>
    </row>
    <row r="2666" spans="7:7" x14ac:dyDescent="0.25">
      <c r="G2666" s="152"/>
    </row>
    <row r="2667" spans="7:7" x14ac:dyDescent="0.25">
      <c r="G2667" s="152"/>
    </row>
    <row r="2668" spans="7:7" x14ac:dyDescent="0.25">
      <c r="G2668" s="152"/>
    </row>
    <row r="2669" spans="7:7" x14ac:dyDescent="0.25">
      <c r="G2669" s="152"/>
    </row>
    <row r="2670" spans="7:7" x14ac:dyDescent="0.25">
      <c r="G2670" s="152"/>
    </row>
    <row r="2671" spans="7:7" x14ac:dyDescent="0.25">
      <c r="G2671" s="152"/>
    </row>
    <row r="2672" spans="7:7" x14ac:dyDescent="0.25">
      <c r="G2672" s="152"/>
    </row>
    <row r="2673" spans="7:7" x14ac:dyDescent="0.25">
      <c r="G2673" s="152"/>
    </row>
    <row r="2674" spans="7:7" x14ac:dyDescent="0.25">
      <c r="G2674" s="152"/>
    </row>
    <row r="2675" spans="7:7" x14ac:dyDescent="0.25">
      <c r="G2675" s="152"/>
    </row>
    <row r="2676" spans="7:7" x14ac:dyDescent="0.25">
      <c r="G2676" s="152"/>
    </row>
    <row r="2677" spans="7:7" x14ac:dyDescent="0.25">
      <c r="G2677" s="152"/>
    </row>
    <row r="2678" spans="7:7" x14ac:dyDescent="0.25">
      <c r="G2678" s="152"/>
    </row>
    <row r="2679" spans="7:7" x14ac:dyDescent="0.25">
      <c r="G2679" s="152"/>
    </row>
    <row r="2680" spans="7:7" x14ac:dyDescent="0.25">
      <c r="G2680" s="152"/>
    </row>
    <row r="2681" spans="7:7" x14ac:dyDescent="0.25">
      <c r="G2681" s="152"/>
    </row>
    <row r="2682" spans="7:7" x14ac:dyDescent="0.25">
      <c r="G2682" s="152"/>
    </row>
    <row r="2683" spans="7:7" x14ac:dyDescent="0.25">
      <c r="G2683" s="152"/>
    </row>
    <row r="2684" spans="7:7" x14ac:dyDescent="0.25">
      <c r="G2684" s="152"/>
    </row>
    <row r="2685" spans="7:7" x14ac:dyDescent="0.25">
      <c r="G2685" s="152"/>
    </row>
    <row r="2686" spans="7:7" x14ac:dyDescent="0.25">
      <c r="G2686" s="152"/>
    </row>
    <row r="2687" spans="7:7" x14ac:dyDescent="0.25">
      <c r="G2687" s="152"/>
    </row>
    <row r="2688" spans="7:7" x14ac:dyDescent="0.25">
      <c r="G2688" s="152"/>
    </row>
    <row r="2689" spans="7:7" x14ac:dyDescent="0.25">
      <c r="G2689" s="152"/>
    </row>
    <row r="2690" spans="7:7" x14ac:dyDescent="0.25">
      <c r="G2690" s="152"/>
    </row>
    <row r="2691" spans="7:7" x14ac:dyDescent="0.25">
      <c r="G2691" s="152"/>
    </row>
    <row r="2692" spans="7:7" x14ac:dyDescent="0.25">
      <c r="G2692" s="152"/>
    </row>
    <row r="2693" spans="7:7" x14ac:dyDescent="0.25">
      <c r="G2693" s="152"/>
    </row>
    <row r="2694" spans="7:7" x14ac:dyDescent="0.25">
      <c r="G2694" s="152"/>
    </row>
    <row r="2695" spans="7:7" x14ac:dyDescent="0.25">
      <c r="G2695" s="152"/>
    </row>
    <row r="2696" spans="7:7" x14ac:dyDescent="0.25">
      <c r="G2696" s="152"/>
    </row>
    <row r="2697" spans="7:7" x14ac:dyDescent="0.25">
      <c r="G2697" s="152"/>
    </row>
    <row r="2698" spans="7:7" x14ac:dyDescent="0.25">
      <c r="G2698" s="152"/>
    </row>
    <row r="2699" spans="7:7" x14ac:dyDescent="0.25">
      <c r="G2699" s="152"/>
    </row>
    <row r="2700" spans="7:7" x14ac:dyDescent="0.25">
      <c r="G2700" s="152"/>
    </row>
    <row r="2701" spans="7:7" x14ac:dyDescent="0.25">
      <c r="G2701" s="152"/>
    </row>
    <row r="2702" spans="7:7" x14ac:dyDescent="0.25">
      <c r="G2702" s="152"/>
    </row>
    <row r="2703" spans="7:7" x14ac:dyDescent="0.25">
      <c r="G2703" s="152"/>
    </row>
    <row r="2704" spans="7:7" x14ac:dyDescent="0.25">
      <c r="G2704" s="152"/>
    </row>
    <row r="2705" spans="7:7" x14ac:dyDescent="0.25">
      <c r="G2705" s="152"/>
    </row>
    <row r="2706" spans="7:7" x14ac:dyDescent="0.25">
      <c r="G2706" s="152"/>
    </row>
    <row r="2707" spans="7:7" x14ac:dyDescent="0.25">
      <c r="G2707" s="152"/>
    </row>
    <row r="2708" spans="7:7" x14ac:dyDescent="0.25">
      <c r="G2708" s="152"/>
    </row>
    <row r="2709" spans="7:7" x14ac:dyDescent="0.25">
      <c r="G2709" s="152"/>
    </row>
    <row r="2710" spans="7:7" x14ac:dyDescent="0.25">
      <c r="G2710" s="152"/>
    </row>
    <row r="2711" spans="7:7" x14ac:dyDescent="0.25">
      <c r="G2711" s="152"/>
    </row>
    <row r="2712" spans="7:7" x14ac:dyDescent="0.25">
      <c r="G2712" s="152"/>
    </row>
    <row r="2713" spans="7:7" x14ac:dyDescent="0.25">
      <c r="G2713" s="152"/>
    </row>
    <row r="2714" spans="7:7" x14ac:dyDescent="0.25">
      <c r="G2714" s="152"/>
    </row>
    <row r="2715" spans="7:7" x14ac:dyDescent="0.25">
      <c r="G2715" s="152"/>
    </row>
    <row r="2716" spans="7:7" x14ac:dyDescent="0.25">
      <c r="G2716" s="152"/>
    </row>
    <row r="2717" spans="7:7" x14ac:dyDescent="0.25">
      <c r="G2717" s="152"/>
    </row>
    <row r="2718" spans="7:7" x14ac:dyDescent="0.25">
      <c r="G2718" s="152"/>
    </row>
    <row r="2719" spans="7:7" x14ac:dyDescent="0.25">
      <c r="G2719" s="152"/>
    </row>
    <row r="2720" spans="7:7" x14ac:dyDescent="0.25">
      <c r="G2720" s="152"/>
    </row>
    <row r="2721" spans="7:7" x14ac:dyDescent="0.25">
      <c r="G2721" s="152"/>
    </row>
    <row r="2722" spans="7:7" x14ac:dyDescent="0.25">
      <c r="G2722" s="152"/>
    </row>
    <row r="2723" spans="7:7" x14ac:dyDescent="0.25">
      <c r="G2723" s="152"/>
    </row>
    <row r="2724" spans="7:7" x14ac:dyDescent="0.25">
      <c r="G2724" s="152"/>
    </row>
    <row r="2725" spans="7:7" x14ac:dyDescent="0.25">
      <c r="G2725" s="152"/>
    </row>
    <row r="2726" spans="7:7" x14ac:dyDescent="0.25">
      <c r="G2726" s="152"/>
    </row>
    <row r="2727" spans="7:7" x14ac:dyDescent="0.25">
      <c r="G2727" s="152"/>
    </row>
    <row r="2728" spans="7:7" x14ac:dyDescent="0.25">
      <c r="G2728" s="152"/>
    </row>
    <row r="2729" spans="7:7" x14ac:dyDescent="0.25">
      <c r="G2729" s="152"/>
    </row>
    <row r="2730" spans="7:7" x14ac:dyDescent="0.25">
      <c r="G2730" s="152"/>
    </row>
    <row r="2731" spans="7:7" x14ac:dyDescent="0.25">
      <c r="G2731" s="152"/>
    </row>
    <row r="2732" spans="7:7" x14ac:dyDescent="0.25">
      <c r="G2732" s="152"/>
    </row>
    <row r="2733" spans="7:7" x14ac:dyDescent="0.25">
      <c r="G2733" s="152"/>
    </row>
    <row r="2734" spans="7:7" x14ac:dyDescent="0.25">
      <c r="G2734" s="152"/>
    </row>
    <row r="2735" spans="7:7" x14ac:dyDescent="0.25">
      <c r="G2735" s="152"/>
    </row>
    <row r="2736" spans="7:7" x14ac:dyDescent="0.25">
      <c r="G2736" s="152"/>
    </row>
    <row r="2737" spans="7:7" x14ac:dyDescent="0.25">
      <c r="G2737" s="152"/>
    </row>
    <row r="2738" spans="7:7" x14ac:dyDescent="0.25">
      <c r="G2738" s="152"/>
    </row>
    <row r="2739" spans="7:7" x14ac:dyDescent="0.25">
      <c r="G2739" s="152"/>
    </row>
    <row r="2740" spans="7:7" x14ac:dyDescent="0.25">
      <c r="G2740" s="152"/>
    </row>
    <row r="2741" spans="7:7" x14ac:dyDescent="0.25">
      <c r="G2741" s="152"/>
    </row>
    <row r="2742" spans="7:7" x14ac:dyDescent="0.25">
      <c r="G2742" s="152"/>
    </row>
    <row r="2743" spans="7:7" x14ac:dyDescent="0.25">
      <c r="G2743" s="152"/>
    </row>
    <row r="2744" spans="7:7" x14ac:dyDescent="0.25">
      <c r="G2744" s="152"/>
    </row>
    <row r="2745" spans="7:7" x14ac:dyDescent="0.25">
      <c r="G2745" s="152"/>
    </row>
    <row r="2746" spans="7:7" x14ac:dyDescent="0.25">
      <c r="G2746" s="152"/>
    </row>
    <row r="2747" spans="7:7" x14ac:dyDescent="0.25">
      <c r="G2747" s="152"/>
    </row>
    <row r="2748" spans="7:7" x14ac:dyDescent="0.25">
      <c r="G2748" s="152"/>
    </row>
    <row r="2749" spans="7:7" x14ac:dyDescent="0.25">
      <c r="G2749" s="152"/>
    </row>
    <row r="2750" spans="7:7" x14ac:dyDescent="0.25">
      <c r="G2750" s="152"/>
    </row>
    <row r="2751" spans="7:7" x14ac:dyDescent="0.25">
      <c r="G2751" s="152"/>
    </row>
    <row r="2752" spans="7:7" x14ac:dyDescent="0.25">
      <c r="G2752" s="152"/>
    </row>
    <row r="2753" spans="7:7" x14ac:dyDescent="0.25">
      <c r="G2753" s="152"/>
    </row>
    <row r="2754" spans="7:7" x14ac:dyDescent="0.25">
      <c r="G2754" s="152"/>
    </row>
    <row r="2755" spans="7:7" x14ac:dyDescent="0.25">
      <c r="G2755" s="152"/>
    </row>
    <row r="2756" spans="7:7" x14ac:dyDescent="0.25">
      <c r="G2756" s="152"/>
    </row>
    <row r="2757" spans="7:7" x14ac:dyDescent="0.25">
      <c r="G2757" s="152"/>
    </row>
    <row r="2758" spans="7:7" x14ac:dyDescent="0.25">
      <c r="G2758" s="152"/>
    </row>
    <row r="2759" spans="7:7" x14ac:dyDescent="0.25">
      <c r="G2759" s="152"/>
    </row>
    <row r="2760" spans="7:7" x14ac:dyDescent="0.25">
      <c r="G2760" s="152"/>
    </row>
    <row r="2761" spans="7:7" x14ac:dyDescent="0.25">
      <c r="G2761" s="152"/>
    </row>
    <row r="2762" spans="7:7" x14ac:dyDescent="0.25">
      <c r="G2762" s="152"/>
    </row>
    <row r="2763" spans="7:7" x14ac:dyDescent="0.25">
      <c r="G2763" s="152"/>
    </row>
    <row r="2764" spans="7:7" x14ac:dyDescent="0.25">
      <c r="G2764" s="152"/>
    </row>
    <row r="2765" spans="7:7" x14ac:dyDescent="0.25">
      <c r="G2765" s="152"/>
    </row>
    <row r="2766" spans="7:7" x14ac:dyDescent="0.25">
      <c r="G2766" s="152"/>
    </row>
    <row r="2767" spans="7:7" x14ac:dyDescent="0.25">
      <c r="G2767" s="152"/>
    </row>
    <row r="2768" spans="7:7" x14ac:dyDescent="0.25">
      <c r="G2768" s="152"/>
    </row>
    <row r="2769" spans="7:7" x14ac:dyDescent="0.25">
      <c r="G2769" s="152"/>
    </row>
    <row r="2770" spans="7:7" x14ac:dyDescent="0.25">
      <c r="G2770" s="152"/>
    </row>
    <row r="2771" spans="7:7" x14ac:dyDescent="0.25">
      <c r="G2771" s="152"/>
    </row>
    <row r="2772" spans="7:7" x14ac:dyDescent="0.25">
      <c r="G2772" s="152"/>
    </row>
    <row r="2773" spans="7:7" x14ac:dyDescent="0.25">
      <c r="G2773" s="152"/>
    </row>
    <row r="2774" spans="7:7" x14ac:dyDescent="0.25">
      <c r="G2774" s="152"/>
    </row>
    <row r="2775" spans="7:7" x14ac:dyDescent="0.25">
      <c r="G2775" s="152"/>
    </row>
    <row r="2776" spans="7:7" x14ac:dyDescent="0.25">
      <c r="G2776" s="152"/>
    </row>
    <row r="2777" spans="7:7" x14ac:dyDescent="0.25">
      <c r="G2777" s="152"/>
    </row>
    <row r="2778" spans="7:7" x14ac:dyDescent="0.25">
      <c r="G2778" s="152"/>
    </row>
    <row r="2779" spans="7:7" x14ac:dyDescent="0.25">
      <c r="G2779" s="152"/>
    </row>
    <row r="2780" spans="7:7" x14ac:dyDescent="0.25">
      <c r="G2780" s="152"/>
    </row>
    <row r="2781" spans="7:7" x14ac:dyDescent="0.25">
      <c r="G2781" s="152"/>
    </row>
    <row r="2782" spans="7:7" x14ac:dyDescent="0.25">
      <c r="G2782" s="152"/>
    </row>
    <row r="2783" spans="7:7" x14ac:dyDescent="0.25">
      <c r="G2783" s="152"/>
    </row>
    <row r="2784" spans="7:7" x14ac:dyDescent="0.25">
      <c r="G2784" s="152"/>
    </row>
    <row r="2785" spans="7:7" x14ac:dyDescent="0.25">
      <c r="G2785" s="152"/>
    </row>
    <row r="2786" spans="7:7" x14ac:dyDescent="0.25">
      <c r="G2786" s="152"/>
    </row>
    <row r="2787" spans="7:7" x14ac:dyDescent="0.25">
      <c r="G2787" s="152"/>
    </row>
    <row r="2788" spans="7:7" x14ac:dyDescent="0.25">
      <c r="G2788" s="152"/>
    </row>
    <row r="2789" spans="7:7" x14ac:dyDescent="0.25">
      <c r="G2789" s="152"/>
    </row>
    <row r="2790" spans="7:7" x14ac:dyDescent="0.25">
      <c r="G2790" s="152"/>
    </row>
    <row r="2791" spans="7:7" x14ac:dyDescent="0.25">
      <c r="G2791" s="152"/>
    </row>
    <row r="2792" spans="7:7" x14ac:dyDescent="0.25">
      <c r="G2792" s="152"/>
    </row>
    <row r="2793" spans="7:7" x14ac:dyDescent="0.25">
      <c r="G2793" s="152"/>
    </row>
    <row r="2794" spans="7:7" x14ac:dyDescent="0.25">
      <c r="G2794" s="152"/>
    </row>
    <row r="2795" spans="7:7" x14ac:dyDescent="0.25">
      <c r="G2795" s="152"/>
    </row>
    <row r="2796" spans="7:7" x14ac:dyDescent="0.25">
      <c r="G2796" s="152"/>
    </row>
    <row r="2797" spans="7:7" x14ac:dyDescent="0.25">
      <c r="G2797" s="152"/>
    </row>
    <row r="2798" spans="7:7" x14ac:dyDescent="0.25">
      <c r="G2798" s="152"/>
    </row>
    <row r="2799" spans="7:7" x14ac:dyDescent="0.25">
      <c r="G2799" s="152"/>
    </row>
    <row r="2800" spans="7:7" x14ac:dyDescent="0.25">
      <c r="G2800" s="152"/>
    </row>
    <row r="2801" spans="7:7" x14ac:dyDescent="0.25">
      <c r="G2801" s="152"/>
    </row>
    <row r="2802" spans="7:7" x14ac:dyDescent="0.25">
      <c r="G2802" s="152"/>
    </row>
    <row r="2803" spans="7:7" x14ac:dyDescent="0.25">
      <c r="G2803" s="152"/>
    </row>
    <row r="2804" spans="7:7" x14ac:dyDescent="0.25">
      <c r="G2804" s="152"/>
    </row>
    <row r="2805" spans="7:7" x14ac:dyDescent="0.25">
      <c r="G2805" s="152"/>
    </row>
    <row r="2806" spans="7:7" x14ac:dyDescent="0.25">
      <c r="G2806" s="152"/>
    </row>
    <row r="2807" spans="7:7" x14ac:dyDescent="0.25">
      <c r="G2807" s="152"/>
    </row>
    <row r="2808" spans="7:7" x14ac:dyDescent="0.25">
      <c r="G2808" s="152"/>
    </row>
    <row r="2809" spans="7:7" x14ac:dyDescent="0.25">
      <c r="G2809" s="152"/>
    </row>
    <row r="2810" spans="7:7" x14ac:dyDescent="0.25">
      <c r="G2810" s="152"/>
    </row>
    <row r="2811" spans="7:7" x14ac:dyDescent="0.25">
      <c r="G2811" s="152"/>
    </row>
    <row r="2812" spans="7:7" x14ac:dyDescent="0.25">
      <c r="G2812" s="152"/>
    </row>
    <row r="2813" spans="7:7" x14ac:dyDescent="0.25">
      <c r="G2813" s="152"/>
    </row>
    <row r="2814" spans="7:7" x14ac:dyDescent="0.25">
      <c r="G2814" s="152"/>
    </row>
    <row r="2815" spans="7:7" x14ac:dyDescent="0.25">
      <c r="G2815" s="152"/>
    </row>
    <row r="2816" spans="7:7" x14ac:dyDescent="0.25">
      <c r="G2816" s="152"/>
    </row>
    <row r="2817" spans="7:7" x14ac:dyDescent="0.25">
      <c r="G2817" s="152"/>
    </row>
    <row r="2818" spans="7:7" x14ac:dyDescent="0.25">
      <c r="G2818" s="152"/>
    </row>
    <row r="2819" spans="7:7" x14ac:dyDescent="0.25">
      <c r="G2819" s="152"/>
    </row>
    <row r="2820" spans="7:7" x14ac:dyDescent="0.25">
      <c r="G2820" s="152"/>
    </row>
    <row r="2821" spans="7:7" x14ac:dyDescent="0.25">
      <c r="G2821" s="152"/>
    </row>
    <row r="2822" spans="7:7" x14ac:dyDescent="0.25">
      <c r="G2822" s="152"/>
    </row>
    <row r="2823" spans="7:7" x14ac:dyDescent="0.25">
      <c r="G2823" s="152"/>
    </row>
    <row r="2824" spans="7:7" x14ac:dyDescent="0.25">
      <c r="G2824" s="152"/>
    </row>
    <row r="2825" spans="7:7" x14ac:dyDescent="0.25">
      <c r="G2825" s="152"/>
    </row>
    <row r="2826" spans="7:7" x14ac:dyDescent="0.25">
      <c r="G2826" s="152"/>
    </row>
    <row r="2827" spans="7:7" x14ac:dyDescent="0.25">
      <c r="G2827" s="152"/>
    </row>
    <row r="2828" spans="7:7" x14ac:dyDescent="0.25">
      <c r="G2828" s="152"/>
    </row>
    <row r="2829" spans="7:7" x14ac:dyDescent="0.25">
      <c r="G2829" s="152"/>
    </row>
    <row r="2830" spans="7:7" x14ac:dyDescent="0.25">
      <c r="G2830" s="152"/>
    </row>
    <row r="2831" spans="7:7" x14ac:dyDescent="0.25">
      <c r="G2831" s="152"/>
    </row>
    <row r="2832" spans="7:7" x14ac:dyDescent="0.25">
      <c r="G2832" s="152"/>
    </row>
    <row r="2833" spans="7:7" x14ac:dyDescent="0.25">
      <c r="G2833" s="152"/>
    </row>
    <row r="2834" spans="7:7" x14ac:dyDescent="0.25">
      <c r="G2834" s="152"/>
    </row>
    <row r="2835" spans="7:7" x14ac:dyDescent="0.25">
      <c r="G2835" s="152"/>
    </row>
    <row r="2836" spans="7:7" x14ac:dyDescent="0.25">
      <c r="G2836" s="152"/>
    </row>
    <row r="2837" spans="7:7" x14ac:dyDescent="0.25">
      <c r="G2837" s="152"/>
    </row>
    <row r="2838" spans="7:7" x14ac:dyDescent="0.25">
      <c r="G2838" s="152"/>
    </row>
    <row r="2839" spans="7:7" x14ac:dyDescent="0.25">
      <c r="G2839" s="152"/>
    </row>
    <row r="2840" spans="7:7" x14ac:dyDescent="0.25">
      <c r="G2840" s="152"/>
    </row>
    <row r="2841" spans="7:7" x14ac:dyDescent="0.25">
      <c r="G2841" s="152"/>
    </row>
    <row r="2842" spans="7:7" x14ac:dyDescent="0.25">
      <c r="G2842" s="152"/>
    </row>
    <row r="2843" spans="7:7" x14ac:dyDescent="0.25">
      <c r="G2843" s="152"/>
    </row>
    <row r="2844" spans="7:7" x14ac:dyDescent="0.25">
      <c r="G2844" s="152"/>
    </row>
    <row r="2845" spans="7:7" x14ac:dyDescent="0.25">
      <c r="G2845" s="152"/>
    </row>
    <row r="2846" spans="7:7" x14ac:dyDescent="0.25">
      <c r="G2846" s="152"/>
    </row>
    <row r="2847" spans="7:7" x14ac:dyDescent="0.25">
      <c r="G2847" s="152"/>
    </row>
    <row r="2848" spans="7:7" x14ac:dyDescent="0.25">
      <c r="G2848" s="152"/>
    </row>
    <row r="2849" spans="7:7" x14ac:dyDescent="0.25">
      <c r="G2849" s="152"/>
    </row>
    <row r="2850" spans="7:7" x14ac:dyDescent="0.25">
      <c r="G2850" s="152"/>
    </row>
    <row r="2851" spans="7:7" x14ac:dyDescent="0.25">
      <c r="G2851" s="152"/>
    </row>
    <row r="2852" spans="7:7" x14ac:dyDescent="0.25">
      <c r="G2852" s="152"/>
    </row>
    <row r="2853" spans="7:7" x14ac:dyDescent="0.25">
      <c r="G2853" s="152"/>
    </row>
    <row r="2854" spans="7:7" x14ac:dyDescent="0.25">
      <c r="G2854" s="152"/>
    </row>
    <row r="2855" spans="7:7" x14ac:dyDescent="0.25">
      <c r="G2855" s="152"/>
    </row>
    <row r="2856" spans="7:7" x14ac:dyDescent="0.25">
      <c r="G2856" s="152"/>
    </row>
    <row r="2857" spans="7:7" x14ac:dyDescent="0.25">
      <c r="G2857" s="152"/>
    </row>
    <row r="2858" spans="7:7" x14ac:dyDescent="0.25">
      <c r="G2858" s="152"/>
    </row>
    <row r="2859" spans="7:7" x14ac:dyDescent="0.25">
      <c r="G2859" s="152"/>
    </row>
    <row r="2860" spans="7:7" x14ac:dyDescent="0.25">
      <c r="G2860" s="152"/>
    </row>
    <row r="2861" spans="7:7" x14ac:dyDescent="0.25">
      <c r="G2861" s="152"/>
    </row>
    <row r="2862" spans="7:7" x14ac:dyDescent="0.25">
      <c r="G2862" s="152"/>
    </row>
    <row r="2863" spans="7:7" x14ac:dyDescent="0.25">
      <c r="G2863" s="152"/>
    </row>
    <row r="2864" spans="7:7" x14ac:dyDescent="0.25">
      <c r="G2864" s="152"/>
    </row>
    <row r="2865" spans="7:7" x14ac:dyDescent="0.25">
      <c r="G2865" s="152"/>
    </row>
    <row r="2866" spans="7:7" x14ac:dyDescent="0.25">
      <c r="G2866" s="152"/>
    </row>
    <row r="2867" spans="7:7" x14ac:dyDescent="0.25">
      <c r="G2867" s="152"/>
    </row>
    <row r="2868" spans="7:7" x14ac:dyDescent="0.25">
      <c r="G2868" s="152"/>
    </row>
    <row r="2869" spans="7:7" x14ac:dyDescent="0.25">
      <c r="G2869" s="152"/>
    </row>
    <row r="2870" spans="7:7" x14ac:dyDescent="0.25">
      <c r="G2870" s="152"/>
    </row>
    <row r="2871" spans="7:7" x14ac:dyDescent="0.25">
      <c r="G2871" s="152"/>
    </row>
    <row r="2872" spans="7:7" x14ac:dyDescent="0.25">
      <c r="G2872" s="152"/>
    </row>
    <row r="2873" spans="7:7" x14ac:dyDescent="0.25">
      <c r="G2873" s="152"/>
    </row>
    <row r="2874" spans="7:7" x14ac:dyDescent="0.25">
      <c r="G2874" s="152"/>
    </row>
    <row r="2875" spans="7:7" x14ac:dyDescent="0.25">
      <c r="G2875" s="152"/>
    </row>
    <row r="2876" spans="7:7" x14ac:dyDescent="0.25">
      <c r="G2876" s="152"/>
    </row>
    <row r="2877" spans="7:7" x14ac:dyDescent="0.25">
      <c r="G2877" s="152"/>
    </row>
    <row r="2878" spans="7:7" x14ac:dyDescent="0.25">
      <c r="G2878" s="152"/>
    </row>
    <row r="2879" spans="7:7" x14ac:dyDescent="0.25">
      <c r="G2879" s="152"/>
    </row>
    <row r="2880" spans="7:7" x14ac:dyDescent="0.25">
      <c r="G2880" s="152"/>
    </row>
    <row r="2881" spans="7:7" x14ac:dyDescent="0.25">
      <c r="G2881" s="152"/>
    </row>
    <row r="2882" spans="7:7" x14ac:dyDescent="0.25">
      <c r="G2882" s="152"/>
    </row>
    <row r="2883" spans="7:7" x14ac:dyDescent="0.25">
      <c r="G2883" s="152"/>
    </row>
    <row r="2884" spans="7:7" x14ac:dyDescent="0.25">
      <c r="G2884" s="152"/>
    </row>
    <row r="2885" spans="7:7" x14ac:dyDescent="0.25">
      <c r="G2885" s="152"/>
    </row>
    <row r="2886" spans="7:7" x14ac:dyDescent="0.25">
      <c r="G2886" s="152"/>
    </row>
    <row r="2887" spans="7:7" x14ac:dyDescent="0.25">
      <c r="G2887" s="152"/>
    </row>
    <row r="2888" spans="7:7" x14ac:dyDescent="0.25">
      <c r="G2888" s="152"/>
    </row>
    <row r="2889" spans="7:7" x14ac:dyDescent="0.25">
      <c r="G2889" s="152"/>
    </row>
    <row r="2890" spans="7:7" x14ac:dyDescent="0.25">
      <c r="G2890" s="152"/>
    </row>
    <row r="2891" spans="7:7" x14ac:dyDescent="0.25">
      <c r="G2891" s="152"/>
    </row>
    <row r="2892" spans="7:7" x14ac:dyDescent="0.25">
      <c r="G2892" s="152"/>
    </row>
    <row r="2893" spans="7:7" x14ac:dyDescent="0.25">
      <c r="G2893" s="152"/>
    </row>
    <row r="2894" spans="7:7" x14ac:dyDescent="0.25">
      <c r="G2894" s="152"/>
    </row>
    <row r="2895" spans="7:7" x14ac:dyDescent="0.25">
      <c r="G2895" s="152"/>
    </row>
    <row r="2896" spans="7:7" x14ac:dyDescent="0.25">
      <c r="G2896" s="152"/>
    </row>
    <row r="2897" spans="7:7" x14ac:dyDescent="0.25">
      <c r="G2897" s="152"/>
    </row>
    <row r="2898" spans="7:7" x14ac:dyDescent="0.25">
      <c r="G2898" s="152"/>
    </row>
    <row r="2899" spans="7:7" x14ac:dyDescent="0.25">
      <c r="G2899" s="152"/>
    </row>
    <row r="2900" spans="7:7" x14ac:dyDescent="0.25">
      <c r="G2900" s="152"/>
    </row>
    <row r="2901" spans="7:7" x14ac:dyDescent="0.25">
      <c r="G2901" s="152"/>
    </row>
    <row r="2902" spans="7:7" x14ac:dyDescent="0.25">
      <c r="G2902" s="152"/>
    </row>
    <row r="2903" spans="7:7" x14ac:dyDescent="0.25">
      <c r="G2903" s="152"/>
    </row>
    <row r="2904" spans="7:7" x14ac:dyDescent="0.25">
      <c r="G2904" s="152"/>
    </row>
    <row r="2905" spans="7:7" x14ac:dyDescent="0.25">
      <c r="G2905" s="152"/>
    </row>
    <row r="2906" spans="7:7" x14ac:dyDescent="0.25">
      <c r="G2906" s="152"/>
    </row>
    <row r="2907" spans="7:7" x14ac:dyDescent="0.25">
      <c r="G2907" s="152"/>
    </row>
    <row r="2908" spans="7:7" x14ac:dyDescent="0.25">
      <c r="G2908" s="152"/>
    </row>
    <row r="2909" spans="7:7" x14ac:dyDescent="0.25">
      <c r="G2909" s="152"/>
    </row>
    <row r="2910" spans="7:7" x14ac:dyDescent="0.25">
      <c r="G2910" s="152"/>
    </row>
    <row r="2911" spans="7:7" x14ac:dyDescent="0.25">
      <c r="G2911" s="152"/>
    </row>
    <row r="2912" spans="7:7" x14ac:dyDescent="0.25">
      <c r="G2912" s="152"/>
    </row>
    <row r="2913" spans="7:7" x14ac:dyDescent="0.25">
      <c r="G2913" s="152"/>
    </row>
    <row r="2914" spans="7:7" x14ac:dyDescent="0.25">
      <c r="G2914" s="152"/>
    </row>
    <row r="2915" spans="7:7" x14ac:dyDescent="0.25">
      <c r="G2915" s="152"/>
    </row>
    <row r="2916" spans="7:7" x14ac:dyDescent="0.25">
      <c r="G2916" s="152"/>
    </row>
    <row r="2917" spans="7:7" x14ac:dyDescent="0.25">
      <c r="G2917" s="152"/>
    </row>
    <row r="2918" spans="7:7" x14ac:dyDescent="0.25">
      <c r="G2918" s="152"/>
    </row>
    <row r="2919" spans="7:7" x14ac:dyDescent="0.25">
      <c r="G2919" s="152"/>
    </row>
    <row r="2920" spans="7:7" x14ac:dyDescent="0.25">
      <c r="G2920" s="152"/>
    </row>
    <row r="2921" spans="7:7" x14ac:dyDescent="0.25">
      <c r="G2921" s="152"/>
    </row>
    <row r="2922" spans="7:7" x14ac:dyDescent="0.25">
      <c r="G2922" s="152"/>
    </row>
    <row r="2923" spans="7:7" x14ac:dyDescent="0.25">
      <c r="G2923" s="152"/>
    </row>
    <row r="2924" spans="7:7" x14ac:dyDescent="0.25">
      <c r="G2924" s="152"/>
    </row>
    <row r="2925" spans="7:7" x14ac:dyDescent="0.25">
      <c r="G2925" s="152"/>
    </row>
    <row r="2926" spans="7:7" x14ac:dyDescent="0.25">
      <c r="G2926" s="152"/>
    </row>
    <row r="2927" spans="7:7" x14ac:dyDescent="0.25">
      <c r="G2927" s="152"/>
    </row>
    <row r="2928" spans="7:7" x14ac:dyDescent="0.25">
      <c r="G2928" s="152"/>
    </row>
    <row r="2929" spans="7:7" x14ac:dyDescent="0.25">
      <c r="G2929" s="152"/>
    </row>
    <row r="2930" spans="7:7" x14ac:dyDescent="0.25">
      <c r="G2930" s="152"/>
    </row>
    <row r="2931" spans="7:7" x14ac:dyDescent="0.25">
      <c r="G2931" s="152"/>
    </row>
    <row r="2932" spans="7:7" x14ac:dyDescent="0.25">
      <c r="G2932" s="152"/>
    </row>
    <row r="2933" spans="7:7" x14ac:dyDescent="0.25">
      <c r="G2933" s="152"/>
    </row>
    <row r="2934" spans="7:7" x14ac:dyDescent="0.25">
      <c r="G2934" s="152"/>
    </row>
    <row r="2935" spans="7:7" x14ac:dyDescent="0.25">
      <c r="G2935" s="152"/>
    </row>
    <row r="2936" spans="7:7" x14ac:dyDescent="0.25">
      <c r="G2936" s="152"/>
    </row>
    <row r="2937" spans="7:7" x14ac:dyDescent="0.25">
      <c r="G2937" s="152"/>
    </row>
    <row r="2938" spans="7:7" x14ac:dyDescent="0.25">
      <c r="G2938" s="152"/>
    </row>
    <row r="2939" spans="7:7" x14ac:dyDescent="0.25">
      <c r="G2939" s="152"/>
    </row>
    <row r="2940" spans="7:7" x14ac:dyDescent="0.25">
      <c r="G2940" s="152"/>
    </row>
    <row r="2941" spans="7:7" x14ac:dyDescent="0.25">
      <c r="G2941" s="152"/>
    </row>
    <row r="2942" spans="7:7" x14ac:dyDescent="0.25">
      <c r="G2942" s="152"/>
    </row>
    <row r="2943" spans="7:7" x14ac:dyDescent="0.25">
      <c r="G2943" s="152"/>
    </row>
    <row r="2944" spans="7:7" x14ac:dyDescent="0.25">
      <c r="G2944" s="152"/>
    </row>
    <row r="2945" spans="7:7" x14ac:dyDescent="0.25">
      <c r="G2945" s="152"/>
    </row>
    <row r="2946" spans="7:7" x14ac:dyDescent="0.25">
      <c r="G2946" s="152"/>
    </row>
    <row r="2947" spans="7:7" x14ac:dyDescent="0.25">
      <c r="G2947" s="152"/>
    </row>
    <row r="2948" spans="7:7" x14ac:dyDescent="0.25">
      <c r="G2948" s="152"/>
    </row>
    <row r="2949" spans="7:7" x14ac:dyDescent="0.25">
      <c r="G2949" s="152"/>
    </row>
    <row r="2950" spans="7:7" x14ac:dyDescent="0.25">
      <c r="G2950" s="152"/>
    </row>
    <row r="2951" spans="7:7" x14ac:dyDescent="0.25">
      <c r="G2951" s="152"/>
    </row>
    <row r="2952" spans="7:7" x14ac:dyDescent="0.25">
      <c r="G2952" s="152"/>
    </row>
    <row r="2953" spans="7:7" x14ac:dyDescent="0.25">
      <c r="G2953" s="152"/>
    </row>
    <row r="2954" spans="7:7" x14ac:dyDescent="0.25">
      <c r="G2954" s="152"/>
    </row>
    <row r="2955" spans="7:7" x14ac:dyDescent="0.25">
      <c r="G2955" s="152"/>
    </row>
    <row r="2956" spans="7:7" x14ac:dyDescent="0.25">
      <c r="G2956" s="152"/>
    </row>
    <row r="2957" spans="7:7" x14ac:dyDescent="0.25">
      <c r="G2957" s="152"/>
    </row>
    <row r="2958" spans="7:7" x14ac:dyDescent="0.25">
      <c r="G2958" s="152"/>
    </row>
    <row r="2959" spans="7:7" x14ac:dyDescent="0.25">
      <c r="G2959" s="152"/>
    </row>
    <row r="2960" spans="7:7" x14ac:dyDescent="0.25">
      <c r="G2960" s="152"/>
    </row>
    <row r="2961" spans="7:7" x14ac:dyDescent="0.25">
      <c r="G2961" s="152"/>
    </row>
    <row r="2962" spans="7:7" x14ac:dyDescent="0.25">
      <c r="G2962" s="152"/>
    </row>
    <row r="2963" spans="7:7" x14ac:dyDescent="0.25">
      <c r="G2963" s="152"/>
    </row>
    <row r="2964" spans="7:7" x14ac:dyDescent="0.25">
      <c r="G2964" s="152"/>
    </row>
    <row r="2965" spans="7:7" x14ac:dyDescent="0.25">
      <c r="G2965" s="152"/>
    </row>
    <row r="2966" spans="7:7" x14ac:dyDescent="0.25">
      <c r="G2966" s="152"/>
    </row>
    <row r="2967" spans="7:7" x14ac:dyDescent="0.25">
      <c r="G2967" s="152"/>
    </row>
    <row r="2968" spans="7:7" x14ac:dyDescent="0.25">
      <c r="G2968" s="152"/>
    </row>
    <row r="2969" spans="7:7" x14ac:dyDescent="0.25">
      <c r="G2969" s="152"/>
    </row>
    <row r="2970" spans="7:7" x14ac:dyDescent="0.25">
      <c r="G2970" s="152"/>
    </row>
    <row r="2971" spans="7:7" x14ac:dyDescent="0.25">
      <c r="G2971" s="152"/>
    </row>
    <row r="2972" spans="7:7" x14ac:dyDescent="0.25">
      <c r="G2972" s="152"/>
    </row>
    <row r="2973" spans="7:7" x14ac:dyDescent="0.25">
      <c r="G2973" s="152"/>
    </row>
    <row r="2974" spans="7:7" x14ac:dyDescent="0.25">
      <c r="G2974" s="152"/>
    </row>
    <row r="2975" spans="7:7" x14ac:dyDescent="0.25">
      <c r="G2975" s="152"/>
    </row>
    <row r="2976" spans="7:7" x14ac:dyDescent="0.25">
      <c r="G2976" s="152"/>
    </row>
    <row r="2977" spans="7:7" x14ac:dyDescent="0.25">
      <c r="G2977" s="152"/>
    </row>
    <row r="2978" spans="7:7" x14ac:dyDescent="0.25">
      <c r="G2978" s="152"/>
    </row>
    <row r="2979" spans="7:7" x14ac:dyDescent="0.25">
      <c r="G2979" s="152"/>
    </row>
    <row r="2980" spans="7:7" x14ac:dyDescent="0.25">
      <c r="G2980" s="152"/>
    </row>
    <row r="2981" spans="7:7" x14ac:dyDescent="0.25">
      <c r="G2981" s="152"/>
    </row>
    <row r="2982" spans="7:7" x14ac:dyDescent="0.25">
      <c r="G2982" s="152"/>
    </row>
    <row r="2983" spans="7:7" x14ac:dyDescent="0.25">
      <c r="G2983" s="152"/>
    </row>
    <row r="2984" spans="7:7" x14ac:dyDescent="0.25">
      <c r="G2984" s="152"/>
    </row>
    <row r="2985" spans="7:7" x14ac:dyDescent="0.25">
      <c r="G2985" s="152"/>
    </row>
    <row r="2986" spans="7:7" x14ac:dyDescent="0.25">
      <c r="G2986" s="152"/>
    </row>
    <row r="2987" spans="7:7" x14ac:dyDescent="0.25">
      <c r="G2987" s="152"/>
    </row>
    <row r="2988" spans="7:7" x14ac:dyDescent="0.25">
      <c r="G2988" s="152"/>
    </row>
    <row r="2989" spans="7:7" x14ac:dyDescent="0.25">
      <c r="G2989" s="152"/>
    </row>
    <row r="2990" spans="7:7" x14ac:dyDescent="0.25">
      <c r="G2990" s="152"/>
    </row>
    <row r="2991" spans="7:7" x14ac:dyDescent="0.25">
      <c r="G2991" s="152"/>
    </row>
    <row r="2992" spans="7:7" x14ac:dyDescent="0.25">
      <c r="G2992" s="152"/>
    </row>
    <row r="2993" spans="7:7" x14ac:dyDescent="0.25">
      <c r="G2993" s="152"/>
    </row>
    <row r="2994" spans="7:7" x14ac:dyDescent="0.25">
      <c r="G2994" s="152"/>
    </row>
    <row r="2995" spans="7:7" x14ac:dyDescent="0.25">
      <c r="G2995" s="152"/>
    </row>
    <row r="2996" spans="7:7" x14ac:dyDescent="0.25">
      <c r="G2996" s="152"/>
    </row>
    <row r="2997" spans="7:7" x14ac:dyDescent="0.25">
      <c r="G2997" s="152"/>
    </row>
    <row r="2998" spans="7:7" x14ac:dyDescent="0.25">
      <c r="G2998" s="152"/>
    </row>
    <row r="2999" spans="7:7" x14ac:dyDescent="0.25">
      <c r="G2999" s="152"/>
    </row>
    <row r="3000" spans="7:7" x14ac:dyDescent="0.25">
      <c r="G3000" s="152"/>
    </row>
    <row r="3001" spans="7:7" x14ac:dyDescent="0.25">
      <c r="G3001" s="152"/>
    </row>
    <row r="3002" spans="7:7" x14ac:dyDescent="0.25">
      <c r="G3002" s="152"/>
    </row>
    <row r="3003" spans="7:7" x14ac:dyDescent="0.25">
      <c r="G3003" s="152"/>
    </row>
    <row r="3004" spans="7:7" x14ac:dyDescent="0.25">
      <c r="G3004" s="152"/>
    </row>
    <row r="3005" spans="7:7" x14ac:dyDescent="0.25">
      <c r="G3005" s="152"/>
    </row>
    <row r="3006" spans="7:7" x14ac:dyDescent="0.25">
      <c r="G3006" s="152"/>
    </row>
    <row r="3007" spans="7:7" x14ac:dyDescent="0.25">
      <c r="G3007" s="152"/>
    </row>
    <row r="3008" spans="7:7" x14ac:dyDescent="0.25">
      <c r="G3008" s="152"/>
    </row>
    <row r="3009" spans="7:7" x14ac:dyDescent="0.25">
      <c r="G3009" s="152"/>
    </row>
    <row r="3010" spans="7:7" x14ac:dyDescent="0.25">
      <c r="G3010" s="152"/>
    </row>
    <row r="3011" spans="7:7" x14ac:dyDescent="0.25">
      <c r="G3011" s="152"/>
    </row>
    <row r="3012" spans="7:7" x14ac:dyDescent="0.25">
      <c r="G3012" s="152"/>
    </row>
    <row r="3013" spans="7:7" x14ac:dyDescent="0.25">
      <c r="G3013" s="152"/>
    </row>
    <row r="3014" spans="7:7" x14ac:dyDescent="0.25">
      <c r="G3014" s="152"/>
    </row>
    <row r="3015" spans="7:7" x14ac:dyDescent="0.25">
      <c r="G3015" s="152"/>
    </row>
    <row r="3016" spans="7:7" x14ac:dyDescent="0.25">
      <c r="G3016" s="152"/>
    </row>
    <row r="3017" spans="7:7" x14ac:dyDescent="0.25">
      <c r="G3017" s="152"/>
    </row>
    <row r="3018" spans="7:7" x14ac:dyDescent="0.25">
      <c r="G3018" s="152"/>
    </row>
    <row r="3019" spans="7:7" x14ac:dyDescent="0.25">
      <c r="G3019" s="152"/>
    </row>
    <row r="3020" spans="7:7" x14ac:dyDescent="0.25">
      <c r="G3020" s="152"/>
    </row>
    <row r="3021" spans="7:7" x14ac:dyDescent="0.25">
      <c r="G3021" s="152"/>
    </row>
    <row r="3022" spans="7:7" x14ac:dyDescent="0.25">
      <c r="G3022" s="152"/>
    </row>
    <row r="3023" spans="7:7" x14ac:dyDescent="0.25">
      <c r="G3023" s="152"/>
    </row>
    <row r="3024" spans="7:7" x14ac:dyDescent="0.25">
      <c r="G3024" s="152"/>
    </row>
    <row r="3025" spans="7:7" x14ac:dyDescent="0.25">
      <c r="G3025" s="152"/>
    </row>
    <row r="3026" spans="7:7" x14ac:dyDescent="0.25">
      <c r="G3026" s="152"/>
    </row>
    <row r="3027" spans="7:7" x14ac:dyDescent="0.25">
      <c r="G3027" s="152"/>
    </row>
    <row r="3028" spans="7:7" x14ac:dyDescent="0.25">
      <c r="G3028" s="152"/>
    </row>
    <row r="3029" spans="7:7" x14ac:dyDescent="0.25">
      <c r="G3029" s="152"/>
    </row>
    <row r="3030" spans="7:7" x14ac:dyDescent="0.25">
      <c r="G3030" s="152"/>
    </row>
    <row r="3031" spans="7:7" x14ac:dyDescent="0.25">
      <c r="G3031" s="152"/>
    </row>
    <row r="3032" spans="7:7" x14ac:dyDescent="0.25">
      <c r="G3032" s="152"/>
    </row>
    <row r="3033" spans="7:7" x14ac:dyDescent="0.25">
      <c r="G3033" s="152"/>
    </row>
    <row r="3034" spans="7:7" x14ac:dyDescent="0.25">
      <c r="G3034" s="152"/>
    </row>
    <row r="3035" spans="7:7" x14ac:dyDescent="0.25">
      <c r="G3035" s="152"/>
    </row>
    <row r="3036" spans="7:7" x14ac:dyDescent="0.25">
      <c r="G3036" s="152"/>
    </row>
    <row r="3037" spans="7:7" x14ac:dyDescent="0.25">
      <c r="G3037" s="152"/>
    </row>
    <row r="3038" spans="7:7" x14ac:dyDescent="0.25">
      <c r="G3038" s="152"/>
    </row>
    <row r="3039" spans="7:7" x14ac:dyDescent="0.25">
      <c r="G3039" s="152"/>
    </row>
    <row r="3040" spans="7:7" x14ac:dyDescent="0.25">
      <c r="G3040" s="152"/>
    </row>
    <row r="3041" spans="7:7" x14ac:dyDescent="0.25">
      <c r="G3041" s="152"/>
    </row>
    <row r="3042" spans="7:7" x14ac:dyDescent="0.25">
      <c r="G3042" s="152"/>
    </row>
    <row r="3043" spans="7:7" x14ac:dyDescent="0.25">
      <c r="G3043" s="152"/>
    </row>
    <row r="3044" spans="7:7" x14ac:dyDescent="0.25">
      <c r="G3044" s="152"/>
    </row>
    <row r="3045" spans="7:7" x14ac:dyDescent="0.25">
      <c r="G3045" s="152"/>
    </row>
    <row r="3046" spans="7:7" x14ac:dyDescent="0.25">
      <c r="G3046" s="152"/>
    </row>
    <row r="3047" spans="7:7" x14ac:dyDescent="0.25">
      <c r="G3047" s="152"/>
    </row>
    <row r="3048" spans="7:7" x14ac:dyDescent="0.25">
      <c r="G3048" s="152"/>
    </row>
    <row r="3049" spans="7:7" x14ac:dyDescent="0.25">
      <c r="G3049" s="152"/>
    </row>
    <row r="3050" spans="7:7" x14ac:dyDescent="0.25">
      <c r="G3050" s="152"/>
    </row>
    <row r="3051" spans="7:7" x14ac:dyDescent="0.25">
      <c r="G3051" s="152"/>
    </row>
    <row r="3052" spans="7:7" x14ac:dyDescent="0.25">
      <c r="G3052" s="152"/>
    </row>
    <row r="3053" spans="7:7" x14ac:dyDescent="0.25">
      <c r="G3053" s="152"/>
    </row>
    <row r="3054" spans="7:7" x14ac:dyDescent="0.25">
      <c r="G3054" s="152"/>
    </row>
    <row r="3055" spans="7:7" x14ac:dyDescent="0.25">
      <c r="G3055" s="152"/>
    </row>
    <row r="3056" spans="7:7" x14ac:dyDescent="0.25">
      <c r="G3056" s="152"/>
    </row>
    <row r="3057" spans="7:7" x14ac:dyDescent="0.25">
      <c r="G3057" s="152"/>
    </row>
    <row r="3058" spans="7:7" x14ac:dyDescent="0.25">
      <c r="G3058" s="152"/>
    </row>
    <row r="3059" spans="7:7" x14ac:dyDescent="0.25">
      <c r="G3059" s="152"/>
    </row>
    <row r="3060" spans="7:7" x14ac:dyDescent="0.25">
      <c r="G3060" s="152"/>
    </row>
    <row r="3061" spans="7:7" x14ac:dyDescent="0.25">
      <c r="G3061" s="152"/>
    </row>
    <row r="3062" spans="7:7" x14ac:dyDescent="0.25">
      <c r="G3062" s="152"/>
    </row>
    <row r="3063" spans="7:7" x14ac:dyDescent="0.25">
      <c r="G3063" s="152"/>
    </row>
    <row r="3064" spans="7:7" x14ac:dyDescent="0.25">
      <c r="G3064" s="152"/>
    </row>
    <row r="3065" spans="7:7" x14ac:dyDescent="0.25">
      <c r="G3065" s="152"/>
    </row>
    <row r="3066" spans="7:7" x14ac:dyDescent="0.25">
      <c r="G3066" s="152"/>
    </row>
    <row r="3067" spans="7:7" x14ac:dyDescent="0.25">
      <c r="G3067" s="152"/>
    </row>
    <row r="3068" spans="7:7" x14ac:dyDescent="0.25">
      <c r="G3068" s="152"/>
    </row>
    <row r="3069" spans="7:7" x14ac:dyDescent="0.25">
      <c r="G3069" s="152"/>
    </row>
    <row r="3070" spans="7:7" x14ac:dyDescent="0.25">
      <c r="G3070" s="152"/>
    </row>
    <row r="3071" spans="7:7" x14ac:dyDescent="0.25">
      <c r="G3071" s="152"/>
    </row>
    <row r="3072" spans="7:7" x14ac:dyDescent="0.25">
      <c r="G3072" s="152"/>
    </row>
    <row r="3073" spans="7:7" x14ac:dyDescent="0.25">
      <c r="G3073" s="152"/>
    </row>
    <row r="3074" spans="7:7" x14ac:dyDescent="0.25">
      <c r="G3074" s="152"/>
    </row>
    <row r="3075" spans="7:7" x14ac:dyDescent="0.25">
      <c r="G3075" s="152"/>
    </row>
    <row r="3076" spans="7:7" x14ac:dyDescent="0.25">
      <c r="G3076" s="152"/>
    </row>
    <row r="3077" spans="7:7" x14ac:dyDescent="0.25">
      <c r="G3077" s="152"/>
    </row>
    <row r="3078" spans="7:7" x14ac:dyDescent="0.25">
      <c r="G3078" s="152"/>
    </row>
    <row r="3079" spans="7:7" x14ac:dyDescent="0.25">
      <c r="G3079" s="152"/>
    </row>
    <row r="3080" spans="7:7" x14ac:dyDescent="0.25">
      <c r="G3080" s="152"/>
    </row>
    <row r="3081" spans="7:7" x14ac:dyDescent="0.25">
      <c r="G3081" s="152"/>
    </row>
    <row r="3082" spans="7:7" x14ac:dyDescent="0.25">
      <c r="G3082" s="152"/>
    </row>
    <row r="3083" spans="7:7" x14ac:dyDescent="0.25">
      <c r="G3083" s="152"/>
    </row>
    <row r="3084" spans="7:7" x14ac:dyDescent="0.25">
      <c r="G3084" s="152"/>
    </row>
    <row r="3085" spans="7:7" x14ac:dyDescent="0.25">
      <c r="G3085" s="152"/>
    </row>
    <row r="3086" spans="7:7" x14ac:dyDescent="0.25">
      <c r="G3086" s="152"/>
    </row>
    <row r="3087" spans="7:7" x14ac:dyDescent="0.25">
      <c r="G3087" s="152"/>
    </row>
    <row r="3088" spans="7:7" x14ac:dyDescent="0.25">
      <c r="G3088" s="152"/>
    </row>
    <row r="3089" spans="7:7" x14ac:dyDescent="0.25">
      <c r="G3089" s="152"/>
    </row>
    <row r="3090" spans="7:7" x14ac:dyDescent="0.25">
      <c r="G3090" s="152"/>
    </row>
    <row r="3091" spans="7:7" x14ac:dyDescent="0.25">
      <c r="G3091" s="152"/>
    </row>
    <row r="3092" spans="7:7" x14ac:dyDescent="0.25">
      <c r="G3092" s="152"/>
    </row>
    <row r="3093" spans="7:7" x14ac:dyDescent="0.25">
      <c r="G3093" s="152"/>
    </row>
    <row r="3094" spans="7:7" x14ac:dyDescent="0.25">
      <c r="G3094" s="152"/>
    </row>
    <row r="3095" spans="7:7" x14ac:dyDescent="0.25">
      <c r="G3095" s="152"/>
    </row>
    <row r="3096" spans="7:7" x14ac:dyDescent="0.25">
      <c r="G3096" s="152"/>
    </row>
    <row r="3097" spans="7:7" x14ac:dyDescent="0.25">
      <c r="G3097" s="152"/>
    </row>
    <row r="3098" spans="7:7" x14ac:dyDescent="0.25">
      <c r="G3098" s="152"/>
    </row>
    <row r="3099" spans="7:7" x14ac:dyDescent="0.25">
      <c r="G3099" s="152"/>
    </row>
    <row r="3100" spans="7:7" x14ac:dyDescent="0.25">
      <c r="G3100" s="152"/>
    </row>
    <row r="3101" spans="7:7" x14ac:dyDescent="0.25">
      <c r="G3101" s="152"/>
    </row>
    <row r="3102" spans="7:7" x14ac:dyDescent="0.25">
      <c r="G3102" s="152"/>
    </row>
    <row r="3103" spans="7:7" x14ac:dyDescent="0.25">
      <c r="G3103" s="152"/>
    </row>
    <row r="3104" spans="7:7" x14ac:dyDescent="0.25">
      <c r="G3104" s="152"/>
    </row>
    <row r="3105" spans="7:7" x14ac:dyDescent="0.25">
      <c r="G3105" s="152"/>
    </row>
    <row r="3106" spans="7:7" x14ac:dyDescent="0.25">
      <c r="G3106" s="152"/>
    </row>
    <row r="3107" spans="7:7" x14ac:dyDescent="0.25">
      <c r="G3107" s="152"/>
    </row>
    <row r="3108" spans="7:7" x14ac:dyDescent="0.25">
      <c r="G3108" s="152"/>
    </row>
    <row r="3109" spans="7:7" x14ac:dyDescent="0.25">
      <c r="G3109" s="152"/>
    </row>
    <row r="3110" spans="7:7" x14ac:dyDescent="0.25">
      <c r="G3110" s="152"/>
    </row>
    <row r="3111" spans="7:7" x14ac:dyDescent="0.25">
      <c r="G3111" s="152"/>
    </row>
    <row r="3112" spans="7:7" x14ac:dyDescent="0.25">
      <c r="G3112" s="152"/>
    </row>
    <row r="3113" spans="7:7" x14ac:dyDescent="0.25">
      <c r="G3113" s="152"/>
    </row>
    <row r="3114" spans="7:7" x14ac:dyDescent="0.25">
      <c r="G3114" s="152"/>
    </row>
    <row r="3115" spans="7:7" x14ac:dyDescent="0.25">
      <c r="G3115" s="152"/>
    </row>
    <row r="3116" spans="7:7" x14ac:dyDescent="0.25">
      <c r="G3116" s="152"/>
    </row>
    <row r="3117" spans="7:7" x14ac:dyDescent="0.25">
      <c r="G3117" s="152"/>
    </row>
    <row r="3118" spans="7:7" x14ac:dyDescent="0.25">
      <c r="G3118" s="152"/>
    </row>
    <row r="3119" spans="7:7" x14ac:dyDescent="0.25">
      <c r="G3119" s="152"/>
    </row>
    <row r="3120" spans="7:7" x14ac:dyDescent="0.25">
      <c r="G3120" s="152"/>
    </row>
    <row r="3121" spans="7:7" x14ac:dyDescent="0.25">
      <c r="G3121" s="152"/>
    </row>
    <row r="3122" spans="7:7" x14ac:dyDescent="0.25">
      <c r="G3122" s="152"/>
    </row>
    <row r="3123" spans="7:7" x14ac:dyDescent="0.25">
      <c r="G3123" s="152"/>
    </row>
    <row r="3124" spans="7:7" x14ac:dyDescent="0.25">
      <c r="G3124" s="152"/>
    </row>
    <row r="3125" spans="7:7" x14ac:dyDescent="0.25">
      <c r="G3125" s="152"/>
    </row>
    <row r="3126" spans="7:7" x14ac:dyDescent="0.25">
      <c r="G3126" s="152"/>
    </row>
    <row r="3127" spans="7:7" x14ac:dyDescent="0.25">
      <c r="G3127" s="152"/>
    </row>
    <row r="3128" spans="7:7" x14ac:dyDescent="0.25">
      <c r="G3128" s="152"/>
    </row>
    <row r="3129" spans="7:7" x14ac:dyDescent="0.25">
      <c r="G3129" s="152"/>
    </row>
    <row r="3130" spans="7:7" x14ac:dyDescent="0.25">
      <c r="G3130" s="152"/>
    </row>
    <row r="3131" spans="7:7" x14ac:dyDescent="0.25">
      <c r="G3131" s="152"/>
    </row>
    <row r="3132" spans="7:7" x14ac:dyDescent="0.25">
      <c r="G3132" s="152"/>
    </row>
    <row r="3133" spans="7:7" x14ac:dyDescent="0.25">
      <c r="G3133" s="152"/>
    </row>
    <row r="3134" spans="7:7" x14ac:dyDescent="0.25">
      <c r="G3134" s="152"/>
    </row>
    <row r="3135" spans="7:7" x14ac:dyDescent="0.25">
      <c r="G3135" s="152"/>
    </row>
    <row r="3136" spans="7:7" x14ac:dyDescent="0.25">
      <c r="G3136" s="152"/>
    </row>
    <row r="3137" spans="7:7" x14ac:dyDescent="0.25">
      <c r="G3137" s="152"/>
    </row>
    <row r="3138" spans="7:7" x14ac:dyDescent="0.25">
      <c r="G3138" s="152"/>
    </row>
    <row r="3139" spans="7:7" x14ac:dyDescent="0.25">
      <c r="G3139" s="152"/>
    </row>
    <row r="3140" spans="7:7" x14ac:dyDescent="0.25">
      <c r="G3140" s="152"/>
    </row>
    <row r="3141" spans="7:7" x14ac:dyDescent="0.25">
      <c r="G3141" s="152"/>
    </row>
    <row r="3142" spans="7:7" x14ac:dyDescent="0.25">
      <c r="G3142" s="152"/>
    </row>
    <row r="3143" spans="7:7" x14ac:dyDescent="0.25">
      <c r="G3143" s="152"/>
    </row>
    <row r="3144" spans="7:7" x14ac:dyDescent="0.25">
      <c r="G3144" s="152"/>
    </row>
    <row r="3145" spans="7:7" x14ac:dyDescent="0.25">
      <c r="G3145" s="152"/>
    </row>
    <row r="3146" spans="7:7" x14ac:dyDescent="0.25">
      <c r="G3146" s="152"/>
    </row>
    <row r="3147" spans="7:7" x14ac:dyDescent="0.25">
      <c r="G3147" s="152"/>
    </row>
    <row r="3148" spans="7:7" x14ac:dyDescent="0.25">
      <c r="G3148" s="152"/>
    </row>
    <row r="3149" spans="7:7" x14ac:dyDescent="0.25">
      <c r="G3149" s="152"/>
    </row>
    <row r="3150" spans="7:7" x14ac:dyDescent="0.25">
      <c r="G3150" s="152"/>
    </row>
    <row r="3151" spans="7:7" x14ac:dyDescent="0.25">
      <c r="G3151" s="152"/>
    </row>
    <row r="3152" spans="7:7" x14ac:dyDescent="0.25">
      <c r="G3152" s="152"/>
    </row>
    <row r="3153" spans="7:7" x14ac:dyDescent="0.25">
      <c r="G3153" s="152"/>
    </row>
    <row r="3154" spans="7:7" x14ac:dyDescent="0.25">
      <c r="G3154" s="152"/>
    </row>
    <row r="3155" spans="7:7" x14ac:dyDescent="0.25">
      <c r="G3155" s="152"/>
    </row>
    <row r="3156" spans="7:7" x14ac:dyDescent="0.25">
      <c r="G3156" s="152"/>
    </row>
    <row r="3157" spans="7:7" x14ac:dyDescent="0.25">
      <c r="G3157" s="152"/>
    </row>
    <row r="3158" spans="7:7" x14ac:dyDescent="0.25">
      <c r="G3158" s="152"/>
    </row>
    <row r="3159" spans="7:7" x14ac:dyDescent="0.25">
      <c r="G3159" s="152"/>
    </row>
    <row r="3160" spans="7:7" x14ac:dyDescent="0.25">
      <c r="G3160" s="152"/>
    </row>
    <row r="3161" spans="7:7" x14ac:dyDescent="0.25">
      <c r="G3161" s="152"/>
    </row>
    <row r="3162" spans="7:7" x14ac:dyDescent="0.25">
      <c r="G3162" s="152"/>
    </row>
    <row r="3163" spans="7:7" x14ac:dyDescent="0.25">
      <c r="G3163" s="152"/>
    </row>
    <row r="3164" spans="7:7" x14ac:dyDescent="0.25">
      <c r="G3164" s="152"/>
    </row>
    <row r="3165" spans="7:7" x14ac:dyDescent="0.25">
      <c r="G3165" s="152"/>
    </row>
    <row r="3166" spans="7:7" x14ac:dyDescent="0.25">
      <c r="G3166" s="152"/>
    </row>
    <row r="3167" spans="7:7" x14ac:dyDescent="0.25">
      <c r="G3167" s="152"/>
    </row>
    <row r="3168" spans="7:7" x14ac:dyDescent="0.25">
      <c r="G3168" s="152"/>
    </row>
    <row r="3169" spans="7:7" x14ac:dyDescent="0.25">
      <c r="G3169" s="152"/>
    </row>
    <row r="3170" spans="7:7" x14ac:dyDescent="0.25">
      <c r="G3170" s="152"/>
    </row>
    <row r="3171" spans="7:7" x14ac:dyDescent="0.25">
      <c r="G3171" s="152"/>
    </row>
    <row r="3172" spans="7:7" x14ac:dyDescent="0.25">
      <c r="G3172" s="152"/>
    </row>
    <row r="3173" spans="7:7" x14ac:dyDescent="0.25">
      <c r="G3173" s="152"/>
    </row>
    <row r="3174" spans="7:7" x14ac:dyDescent="0.25">
      <c r="G3174" s="152"/>
    </row>
    <row r="3175" spans="7:7" x14ac:dyDescent="0.25">
      <c r="G3175" s="152"/>
    </row>
    <row r="3176" spans="7:7" x14ac:dyDescent="0.25">
      <c r="G3176" s="152"/>
    </row>
    <row r="3177" spans="7:7" x14ac:dyDescent="0.25">
      <c r="G3177" s="152"/>
    </row>
    <row r="3178" spans="7:7" x14ac:dyDescent="0.25">
      <c r="G3178" s="152"/>
    </row>
    <row r="3179" spans="7:7" x14ac:dyDescent="0.25">
      <c r="G3179" s="152"/>
    </row>
    <row r="3180" spans="7:7" x14ac:dyDescent="0.25">
      <c r="G3180" s="152"/>
    </row>
    <row r="3181" spans="7:7" x14ac:dyDescent="0.25">
      <c r="G3181" s="152"/>
    </row>
    <row r="3182" spans="7:7" x14ac:dyDescent="0.25">
      <c r="G3182" s="152"/>
    </row>
    <row r="3183" spans="7:7" x14ac:dyDescent="0.25">
      <c r="G3183" s="152"/>
    </row>
    <row r="3184" spans="7:7" x14ac:dyDescent="0.25">
      <c r="G3184" s="152"/>
    </row>
    <row r="3185" spans="7:7" x14ac:dyDescent="0.25">
      <c r="G3185" s="152"/>
    </row>
    <row r="3186" spans="7:7" x14ac:dyDescent="0.25">
      <c r="G3186" s="152"/>
    </row>
    <row r="3187" spans="7:7" x14ac:dyDescent="0.25">
      <c r="G3187" s="152"/>
    </row>
    <row r="3188" spans="7:7" x14ac:dyDescent="0.25">
      <c r="G3188" s="152"/>
    </row>
    <row r="3189" spans="7:7" x14ac:dyDescent="0.25">
      <c r="G3189" s="152"/>
    </row>
    <row r="3190" spans="7:7" x14ac:dyDescent="0.25">
      <c r="G3190" s="152"/>
    </row>
    <row r="3191" spans="7:7" x14ac:dyDescent="0.25">
      <c r="G3191" s="152"/>
    </row>
    <row r="3192" spans="7:7" x14ac:dyDescent="0.25">
      <c r="G3192" s="152"/>
    </row>
    <row r="3193" spans="7:7" x14ac:dyDescent="0.25">
      <c r="G3193" s="152"/>
    </row>
    <row r="3194" spans="7:7" x14ac:dyDescent="0.25">
      <c r="G3194" s="152"/>
    </row>
    <row r="3195" spans="7:7" x14ac:dyDescent="0.25">
      <c r="G3195" s="152"/>
    </row>
    <row r="3196" spans="7:7" x14ac:dyDescent="0.25">
      <c r="G3196" s="152"/>
    </row>
    <row r="3197" spans="7:7" x14ac:dyDescent="0.25">
      <c r="G3197" s="152"/>
    </row>
    <row r="3198" spans="7:7" x14ac:dyDescent="0.25">
      <c r="G3198" s="152"/>
    </row>
    <row r="3199" spans="7:7" x14ac:dyDescent="0.25">
      <c r="G3199" s="152"/>
    </row>
    <row r="3200" spans="7:7" x14ac:dyDescent="0.25">
      <c r="G3200" s="152"/>
    </row>
    <row r="3201" spans="7:7" x14ac:dyDescent="0.25">
      <c r="G3201" s="152"/>
    </row>
    <row r="3202" spans="7:7" x14ac:dyDescent="0.25">
      <c r="G3202" s="152"/>
    </row>
    <row r="3203" spans="7:7" x14ac:dyDescent="0.25">
      <c r="G3203" s="152"/>
    </row>
    <row r="3204" spans="7:7" x14ac:dyDescent="0.25">
      <c r="G3204" s="152"/>
    </row>
    <row r="3205" spans="7:7" x14ac:dyDescent="0.25">
      <c r="G3205" s="152"/>
    </row>
    <row r="3206" spans="7:7" x14ac:dyDescent="0.25">
      <c r="G3206" s="152"/>
    </row>
    <row r="3207" spans="7:7" x14ac:dyDescent="0.25">
      <c r="G3207" s="152"/>
    </row>
    <row r="3208" spans="7:7" x14ac:dyDescent="0.25">
      <c r="G3208" s="152"/>
    </row>
    <row r="3209" spans="7:7" x14ac:dyDescent="0.25">
      <c r="G3209" s="152"/>
    </row>
    <row r="3210" spans="7:7" x14ac:dyDescent="0.25">
      <c r="G3210" s="152"/>
    </row>
    <row r="3211" spans="7:7" x14ac:dyDescent="0.25">
      <c r="G3211" s="152"/>
    </row>
    <row r="3212" spans="7:7" x14ac:dyDescent="0.25">
      <c r="G3212" s="152"/>
    </row>
    <row r="3213" spans="7:7" x14ac:dyDescent="0.25">
      <c r="G3213" s="152"/>
    </row>
    <row r="3214" spans="7:7" x14ac:dyDescent="0.25">
      <c r="G3214" s="152"/>
    </row>
    <row r="3215" spans="7:7" x14ac:dyDescent="0.25">
      <c r="G3215" s="152"/>
    </row>
    <row r="3216" spans="7:7" x14ac:dyDescent="0.25">
      <c r="G3216" s="152"/>
    </row>
    <row r="3217" spans="7:7" x14ac:dyDescent="0.25">
      <c r="G3217" s="152"/>
    </row>
    <row r="3218" spans="7:7" x14ac:dyDescent="0.25">
      <c r="G3218" s="152"/>
    </row>
    <row r="3219" spans="7:7" x14ac:dyDescent="0.25">
      <c r="G3219" s="152"/>
    </row>
    <row r="3220" spans="7:7" x14ac:dyDescent="0.25">
      <c r="G3220" s="152"/>
    </row>
    <row r="3221" spans="7:7" x14ac:dyDescent="0.25">
      <c r="G3221" s="152"/>
    </row>
    <row r="3222" spans="7:7" x14ac:dyDescent="0.25">
      <c r="G3222" s="152"/>
    </row>
    <row r="3223" spans="7:7" x14ac:dyDescent="0.25">
      <c r="G3223" s="152"/>
    </row>
    <row r="3224" spans="7:7" x14ac:dyDescent="0.25">
      <c r="G3224" s="152"/>
    </row>
    <row r="3225" spans="7:7" x14ac:dyDescent="0.25">
      <c r="G3225" s="152"/>
    </row>
    <row r="3226" spans="7:7" x14ac:dyDescent="0.25">
      <c r="G3226" s="152"/>
    </row>
    <row r="3227" spans="7:7" x14ac:dyDescent="0.25">
      <c r="G3227" s="152"/>
    </row>
    <row r="3228" spans="7:7" x14ac:dyDescent="0.25">
      <c r="G3228" s="152"/>
    </row>
    <row r="3229" spans="7:7" x14ac:dyDescent="0.25">
      <c r="G3229" s="152"/>
    </row>
    <row r="3230" spans="7:7" x14ac:dyDescent="0.25">
      <c r="G3230" s="152"/>
    </row>
    <row r="3231" spans="7:7" x14ac:dyDescent="0.25">
      <c r="G3231" s="152"/>
    </row>
    <row r="3232" spans="7:7" x14ac:dyDescent="0.25">
      <c r="G3232" s="152"/>
    </row>
    <row r="3233" spans="7:7" x14ac:dyDescent="0.25">
      <c r="G3233" s="152"/>
    </row>
    <row r="3234" spans="7:7" x14ac:dyDescent="0.25">
      <c r="G3234" s="152"/>
    </row>
    <row r="3235" spans="7:7" x14ac:dyDescent="0.25">
      <c r="G3235" s="152"/>
    </row>
    <row r="3236" spans="7:7" x14ac:dyDescent="0.25">
      <c r="G3236" s="152"/>
    </row>
    <row r="3237" spans="7:7" x14ac:dyDescent="0.25">
      <c r="G3237" s="152"/>
    </row>
    <row r="3238" spans="7:7" x14ac:dyDescent="0.25">
      <c r="G3238" s="152"/>
    </row>
    <row r="3239" spans="7:7" x14ac:dyDescent="0.25">
      <c r="G3239" s="152"/>
    </row>
    <row r="3240" spans="7:7" x14ac:dyDescent="0.25">
      <c r="G3240" s="152"/>
    </row>
    <row r="3241" spans="7:7" x14ac:dyDescent="0.25">
      <c r="G3241" s="152"/>
    </row>
    <row r="3242" spans="7:7" x14ac:dyDescent="0.25">
      <c r="G3242" s="152"/>
    </row>
    <row r="3243" spans="7:7" x14ac:dyDescent="0.25">
      <c r="G3243" s="152"/>
    </row>
    <row r="3244" spans="7:7" x14ac:dyDescent="0.25">
      <c r="G3244" s="152"/>
    </row>
    <row r="3245" spans="7:7" x14ac:dyDescent="0.25">
      <c r="G3245" s="152"/>
    </row>
    <row r="3246" spans="7:7" x14ac:dyDescent="0.25">
      <c r="G3246" s="152"/>
    </row>
    <row r="3247" spans="7:7" x14ac:dyDescent="0.25">
      <c r="G3247" s="152"/>
    </row>
    <row r="3248" spans="7:7" x14ac:dyDescent="0.25">
      <c r="G3248" s="152"/>
    </row>
    <row r="3249" spans="7:7" x14ac:dyDescent="0.25">
      <c r="G3249" s="152"/>
    </row>
    <row r="3250" spans="7:7" x14ac:dyDescent="0.25">
      <c r="G3250" s="152"/>
    </row>
    <row r="3251" spans="7:7" x14ac:dyDescent="0.25">
      <c r="G3251" s="152"/>
    </row>
    <row r="3252" spans="7:7" x14ac:dyDescent="0.25">
      <c r="G3252" s="152"/>
    </row>
    <row r="3253" spans="7:7" x14ac:dyDescent="0.25">
      <c r="G3253" s="152"/>
    </row>
    <row r="3254" spans="7:7" x14ac:dyDescent="0.25">
      <c r="G3254" s="152"/>
    </row>
    <row r="3255" spans="7:7" x14ac:dyDescent="0.25">
      <c r="G3255" s="152"/>
    </row>
    <row r="3256" spans="7:7" x14ac:dyDescent="0.25">
      <c r="G3256" s="152"/>
    </row>
    <row r="3257" spans="7:7" x14ac:dyDescent="0.25">
      <c r="G3257" s="152"/>
    </row>
    <row r="3258" spans="7:7" x14ac:dyDescent="0.25">
      <c r="G3258" s="152"/>
    </row>
    <row r="3259" spans="7:7" x14ac:dyDescent="0.25">
      <c r="G3259" s="152"/>
    </row>
    <row r="3260" spans="7:7" x14ac:dyDescent="0.25">
      <c r="G3260" s="152"/>
    </row>
    <row r="3261" spans="7:7" x14ac:dyDescent="0.25">
      <c r="G3261" s="152"/>
    </row>
    <row r="3262" spans="7:7" x14ac:dyDescent="0.25">
      <c r="G3262" s="152"/>
    </row>
    <row r="3263" spans="7:7" x14ac:dyDescent="0.25">
      <c r="G3263" s="152"/>
    </row>
    <row r="3264" spans="7:7" x14ac:dyDescent="0.25">
      <c r="G3264" s="152"/>
    </row>
    <row r="3265" spans="7:7" x14ac:dyDescent="0.25">
      <c r="G3265" s="152"/>
    </row>
    <row r="3266" spans="7:7" x14ac:dyDescent="0.25">
      <c r="G3266" s="152"/>
    </row>
    <row r="3267" spans="7:7" x14ac:dyDescent="0.25">
      <c r="G3267" s="152"/>
    </row>
    <row r="3268" spans="7:7" x14ac:dyDescent="0.25">
      <c r="G3268" s="152"/>
    </row>
    <row r="3269" spans="7:7" x14ac:dyDescent="0.25">
      <c r="G3269" s="152"/>
    </row>
    <row r="3270" spans="7:7" x14ac:dyDescent="0.25">
      <c r="G3270" s="152"/>
    </row>
    <row r="3271" spans="7:7" x14ac:dyDescent="0.25">
      <c r="G3271" s="152"/>
    </row>
    <row r="3272" spans="7:7" x14ac:dyDescent="0.25">
      <c r="G3272" s="152"/>
    </row>
    <row r="3273" spans="7:7" x14ac:dyDescent="0.25">
      <c r="G3273" s="152"/>
    </row>
    <row r="3274" spans="7:7" x14ac:dyDescent="0.25">
      <c r="G3274" s="152"/>
    </row>
    <row r="3275" spans="7:7" x14ac:dyDescent="0.25">
      <c r="G3275" s="152"/>
    </row>
    <row r="3276" spans="7:7" x14ac:dyDescent="0.25">
      <c r="G3276" s="152"/>
    </row>
    <row r="3277" spans="7:7" x14ac:dyDescent="0.25">
      <c r="G3277" s="152"/>
    </row>
    <row r="3278" spans="7:7" x14ac:dyDescent="0.25">
      <c r="G3278" s="152"/>
    </row>
    <row r="3279" spans="7:7" x14ac:dyDescent="0.25">
      <c r="G3279" s="152"/>
    </row>
    <row r="3280" spans="7:7" x14ac:dyDescent="0.25">
      <c r="G3280" s="152"/>
    </row>
    <row r="3281" spans="7:7" x14ac:dyDescent="0.25">
      <c r="G3281" s="152"/>
    </row>
    <row r="3282" spans="7:7" x14ac:dyDescent="0.25">
      <c r="G3282" s="152"/>
    </row>
    <row r="3283" spans="7:7" x14ac:dyDescent="0.25">
      <c r="G3283" s="152"/>
    </row>
    <row r="3284" spans="7:7" x14ac:dyDescent="0.25">
      <c r="G3284" s="152"/>
    </row>
    <row r="3285" spans="7:7" x14ac:dyDescent="0.25">
      <c r="G3285" s="152"/>
    </row>
    <row r="3286" spans="7:7" x14ac:dyDescent="0.25">
      <c r="G3286" s="152"/>
    </row>
    <row r="3287" spans="7:7" x14ac:dyDescent="0.25">
      <c r="G3287" s="152"/>
    </row>
    <row r="3288" spans="7:7" x14ac:dyDescent="0.25">
      <c r="G3288" s="152"/>
    </row>
    <row r="3289" spans="7:7" x14ac:dyDescent="0.25">
      <c r="G3289" s="152"/>
    </row>
    <row r="3290" spans="7:7" x14ac:dyDescent="0.25">
      <c r="G3290" s="152"/>
    </row>
    <row r="3291" spans="7:7" x14ac:dyDescent="0.25">
      <c r="G3291" s="152"/>
    </row>
    <row r="3292" spans="7:7" x14ac:dyDescent="0.25">
      <c r="G3292" s="152"/>
    </row>
    <row r="3293" spans="7:7" x14ac:dyDescent="0.25">
      <c r="G3293" s="152"/>
    </row>
    <row r="3294" spans="7:7" x14ac:dyDescent="0.25">
      <c r="G3294" s="152"/>
    </row>
    <row r="3295" spans="7:7" x14ac:dyDescent="0.25">
      <c r="G3295" s="152"/>
    </row>
    <row r="3296" spans="7:7" x14ac:dyDescent="0.25">
      <c r="G3296" s="152"/>
    </row>
    <row r="3297" spans="7:7" x14ac:dyDescent="0.25">
      <c r="G3297" s="152"/>
    </row>
    <row r="3298" spans="7:7" x14ac:dyDescent="0.25">
      <c r="G3298" s="152"/>
    </row>
    <row r="3299" spans="7:7" x14ac:dyDescent="0.25">
      <c r="G3299" s="152"/>
    </row>
    <row r="3300" spans="7:7" x14ac:dyDescent="0.25">
      <c r="G3300" s="152"/>
    </row>
    <row r="3301" spans="7:7" x14ac:dyDescent="0.25">
      <c r="G3301" s="152"/>
    </row>
    <row r="3302" spans="7:7" x14ac:dyDescent="0.25">
      <c r="G3302" s="152"/>
    </row>
    <row r="3303" spans="7:7" x14ac:dyDescent="0.25">
      <c r="G3303" s="152"/>
    </row>
    <row r="3304" spans="7:7" x14ac:dyDescent="0.25">
      <c r="G3304" s="152"/>
    </row>
    <row r="3305" spans="7:7" x14ac:dyDescent="0.25">
      <c r="G3305" s="152"/>
    </row>
    <row r="3306" spans="7:7" x14ac:dyDescent="0.25">
      <c r="G3306" s="152"/>
    </row>
    <row r="3307" spans="7:7" x14ac:dyDescent="0.25">
      <c r="G3307" s="152"/>
    </row>
    <row r="3308" spans="7:7" x14ac:dyDescent="0.25">
      <c r="G3308" s="152"/>
    </row>
    <row r="3309" spans="7:7" x14ac:dyDescent="0.25">
      <c r="G3309" s="152"/>
    </row>
    <row r="3310" spans="7:7" x14ac:dyDescent="0.25">
      <c r="G3310" s="152"/>
    </row>
    <row r="3311" spans="7:7" x14ac:dyDescent="0.25">
      <c r="G3311" s="152"/>
    </row>
    <row r="3312" spans="7:7" x14ac:dyDescent="0.25">
      <c r="G3312" s="152"/>
    </row>
    <row r="3313" spans="7:7" x14ac:dyDescent="0.25">
      <c r="G3313" s="152"/>
    </row>
    <row r="3314" spans="7:7" x14ac:dyDescent="0.25">
      <c r="G3314" s="152"/>
    </row>
    <row r="3315" spans="7:7" x14ac:dyDescent="0.25">
      <c r="G3315" s="152"/>
    </row>
    <row r="3316" spans="7:7" x14ac:dyDescent="0.25">
      <c r="G3316" s="152"/>
    </row>
    <row r="3317" spans="7:7" x14ac:dyDescent="0.25">
      <c r="G3317" s="152"/>
    </row>
    <row r="3318" spans="7:7" x14ac:dyDescent="0.25">
      <c r="G3318" s="152"/>
    </row>
    <row r="3319" spans="7:7" x14ac:dyDescent="0.25">
      <c r="G3319" s="152"/>
    </row>
    <row r="3320" spans="7:7" x14ac:dyDescent="0.25">
      <c r="G3320" s="152"/>
    </row>
    <row r="3321" spans="7:7" x14ac:dyDescent="0.25">
      <c r="G3321" s="152"/>
    </row>
    <row r="3322" spans="7:7" x14ac:dyDescent="0.25">
      <c r="G3322" s="152"/>
    </row>
    <row r="3323" spans="7:7" x14ac:dyDescent="0.25">
      <c r="G3323" s="152"/>
    </row>
    <row r="3324" spans="7:7" x14ac:dyDescent="0.25">
      <c r="G3324" s="152"/>
    </row>
    <row r="3325" spans="7:7" x14ac:dyDescent="0.25">
      <c r="G3325" s="152"/>
    </row>
    <row r="3326" spans="7:7" x14ac:dyDescent="0.25">
      <c r="G3326" s="152"/>
    </row>
    <row r="3327" spans="7:7" x14ac:dyDescent="0.25">
      <c r="G3327" s="152"/>
    </row>
    <row r="3328" spans="7:7" x14ac:dyDescent="0.25">
      <c r="G3328" s="152"/>
    </row>
    <row r="3329" spans="7:7" x14ac:dyDescent="0.25">
      <c r="G3329" s="152"/>
    </row>
    <row r="3330" spans="7:7" x14ac:dyDescent="0.25">
      <c r="G3330" s="152"/>
    </row>
    <row r="3331" spans="7:7" x14ac:dyDescent="0.25">
      <c r="G3331" s="152"/>
    </row>
    <row r="3332" spans="7:7" x14ac:dyDescent="0.25">
      <c r="G3332" s="152"/>
    </row>
    <row r="3333" spans="7:7" x14ac:dyDescent="0.25">
      <c r="G3333" s="152"/>
    </row>
    <row r="3334" spans="7:7" x14ac:dyDescent="0.25">
      <c r="G3334" s="152"/>
    </row>
    <row r="3335" spans="7:7" x14ac:dyDescent="0.25">
      <c r="G3335" s="152"/>
    </row>
    <row r="3336" spans="7:7" x14ac:dyDescent="0.25">
      <c r="G3336" s="152"/>
    </row>
    <row r="3337" spans="7:7" x14ac:dyDescent="0.25">
      <c r="G3337" s="152"/>
    </row>
    <row r="3338" spans="7:7" x14ac:dyDescent="0.25">
      <c r="G3338" s="152"/>
    </row>
    <row r="3339" spans="7:7" x14ac:dyDescent="0.25">
      <c r="G3339" s="152"/>
    </row>
    <row r="3340" spans="7:7" x14ac:dyDescent="0.25">
      <c r="G3340" s="152"/>
    </row>
    <row r="3341" spans="7:7" x14ac:dyDescent="0.25">
      <c r="G3341" s="152"/>
    </row>
    <row r="3342" spans="7:7" x14ac:dyDescent="0.25">
      <c r="G3342" s="152"/>
    </row>
    <row r="3343" spans="7:7" x14ac:dyDescent="0.25">
      <c r="G3343" s="152"/>
    </row>
    <row r="3344" spans="7:7" x14ac:dyDescent="0.25">
      <c r="G3344" s="152"/>
    </row>
    <row r="3345" spans="7:7" x14ac:dyDescent="0.25">
      <c r="G3345" s="152"/>
    </row>
    <row r="3346" spans="7:7" x14ac:dyDescent="0.25">
      <c r="G3346" s="152"/>
    </row>
    <row r="3347" spans="7:7" x14ac:dyDescent="0.25">
      <c r="G3347" s="152"/>
    </row>
    <row r="3348" spans="7:7" x14ac:dyDescent="0.25">
      <c r="G3348" s="152"/>
    </row>
    <row r="3349" spans="7:7" x14ac:dyDescent="0.25">
      <c r="G3349" s="152"/>
    </row>
    <row r="3350" spans="7:7" x14ac:dyDescent="0.25">
      <c r="G3350" s="152"/>
    </row>
    <row r="3351" spans="7:7" x14ac:dyDescent="0.25">
      <c r="G3351" s="152"/>
    </row>
    <row r="3352" spans="7:7" x14ac:dyDescent="0.25">
      <c r="G3352" s="152"/>
    </row>
    <row r="3353" spans="7:7" x14ac:dyDescent="0.25">
      <c r="G3353" s="152"/>
    </row>
    <row r="3354" spans="7:7" x14ac:dyDescent="0.25">
      <c r="G3354" s="152"/>
    </row>
    <row r="3355" spans="7:7" x14ac:dyDescent="0.25">
      <c r="G3355" s="152"/>
    </row>
    <row r="3356" spans="7:7" x14ac:dyDescent="0.25">
      <c r="G3356" s="152"/>
    </row>
    <row r="3357" spans="7:7" x14ac:dyDescent="0.25">
      <c r="G3357" s="152"/>
    </row>
    <row r="3358" spans="7:7" x14ac:dyDescent="0.25">
      <c r="G3358" s="152"/>
    </row>
    <row r="3359" spans="7:7" x14ac:dyDescent="0.25">
      <c r="G3359" s="152"/>
    </row>
    <row r="3360" spans="7:7" x14ac:dyDescent="0.25">
      <c r="G3360" s="152"/>
    </row>
    <row r="3361" spans="7:7" x14ac:dyDescent="0.25">
      <c r="G3361" s="152"/>
    </row>
    <row r="3362" spans="7:7" x14ac:dyDescent="0.25">
      <c r="G3362" s="152"/>
    </row>
    <row r="3363" spans="7:7" x14ac:dyDescent="0.25">
      <c r="G3363" s="152"/>
    </row>
    <row r="3364" spans="7:7" x14ac:dyDescent="0.25">
      <c r="G3364" s="152"/>
    </row>
    <row r="3365" spans="7:7" x14ac:dyDescent="0.25">
      <c r="G3365" s="152"/>
    </row>
    <row r="3366" spans="7:7" x14ac:dyDescent="0.25">
      <c r="G3366" s="152"/>
    </row>
    <row r="3367" spans="7:7" x14ac:dyDescent="0.25">
      <c r="G3367" s="152"/>
    </row>
    <row r="3368" spans="7:7" x14ac:dyDescent="0.25">
      <c r="G3368" s="152"/>
    </row>
    <row r="3369" spans="7:7" x14ac:dyDescent="0.25">
      <c r="G3369" s="152"/>
    </row>
    <row r="3370" spans="7:7" x14ac:dyDescent="0.25">
      <c r="G3370" s="152"/>
    </row>
    <row r="3371" spans="7:7" x14ac:dyDescent="0.25">
      <c r="G3371" s="152"/>
    </row>
    <row r="3372" spans="7:7" x14ac:dyDescent="0.25">
      <c r="G3372" s="152"/>
    </row>
    <row r="3373" spans="7:7" x14ac:dyDescent="0.25">
      <c r="G3373" s="152"/>
    </row>
    <row r="3374" spans="7:7" x14ac:dyDescent="0.25">
      <c r="G3374" s="152"/>
    </row>
    <row r="3375" spans="7:7" x14ac:dyDescent="0.25">
      <c r="G3375" s="152"/>
    </row>
    <row r="3376" spans="7:7" x14ac:dyDescent="0.25">
      <c r="G3376" s="152"/>
    </row>
    <row r="3377" spans="7:7" x14ac:dyDescent="0.25">
      <c r="G3377" s="152"/>
    </row>
    <row r="3378" spans="7:7" x14ac:dyDescent="0.25">
      <c r="G3378" s="152"/>
    </row>
    <row r="3379" spans="7:7" x14ac:dyDescent="0.25">
      <c r="G3379" s="152"/>
    </row>
    <row r="3380" spans="7:7" x14ac:dyDescent="0.25">
      <c r="G3380" s="152"/>
    </row>
    <row r="3381" spans="7:7" x14ac:dyDescent="0.25">
      <c r="G3381" s="152"/>
    </row>
    <row r="3382" spans="7:7" x14ac:dyDescent="0.25">
      <c r="G3382" s="152"/>
    </row>
    <row r="3383" spans="7:7" x14ac:dyDescent="0.25">
      <c r="G3383" s="152"/>
    </row>
    <row r="3384" spans="7:7" x14ac:dyDescent="0.25">
      <c r="G3384" s="152"/>
    </row>
    <row r="3385" spans="7:7" x14ac:dyDescent="0.25">
      <c r="G3385" s="152"/>
    </row>
    <row r="3386" spans="7:7" x14ac:dyDescent="0.25">
      <c r="G3386" s="152"/>
    </row>
    <row r="3387" spans="7:7" x14ac:dyDescent="0.25">
      <c r="G3387" s="152"/>
    </row>
    <row r="3388" spans="7:7" x14ac:dyDescent="0.25">
      <c r="G3388" s="152"/>
    </row>
    <row r="3389" spans="7:7" x14ac:dyDescent="0.25">
      <c r="G3389" s="152"/>
    </row>
    <row r="3390" spans="7:7" x14ac:dyDescent="0.25">
      <c r="G3390" s="152"/>
    </row>
    <row r="3391" spans="7:7" x14ac:dyDescent="0.25">
      <c r="G3391" s="152"/>
    </row>
    <row r="3392" spans="7:7" x14ac:dyDescent="0.25">
      <c r="G3392" s="152"/>
    </row>
    <row r="3393" spans="7:7" x14ac:dyDescent="0.25">
      <c r="G3393" s="152"/>
    </row>
    <row r="3394" spans="7:7" x14ac:dyDescent="0.25">
      <c r="G3394" s="152"/>
    </row>
    <row r="3395" spans="7:7" x14ac:dyDescent="0.25">
      <c r="G3395" s="152"/>
    </row>
    <row r="3396" spans="7:7" x14ac:dyDescent="0.25">
      <c r="G3396" s="152"/>
    </row>
    <row r="3397" spans="7:7" x14ac:dyDescent="0.25">
      <c r="G3397" s="152"/>
    </row>
    <row r="3398" spans="7:7" x14ac:dyDescent="0.25">
      <c r="G3398" s="152"/>
    </row>
    <row r="3399" spans="7:7" x14ac:dyDescent="0.25">
      <c r="G3399" s="152"/>
    </row>
    <row r="3400" spans="7:7" x14ac:dyDescent="0.25">
      <c r="G3400" s="152"/>
    </row>
    <row r="3401" spans="7:7" x14ac:dyDescent="0.25">
      <c r="G3401" s="152"/>
    </row>
    <row r="3402" spans="7:7" x14ac:dyDescent="0.25">
      <c r="G3402" s="152"/>
    </row>
    <row r="3403" spans="7:7" x14ac:dyDescent="0.25">
      <c r="G3403" s="152"/>
    </row>
    <row r="3404" spans="7:7" x14ac:dyDescent="0.25">
      <c r="G3404" s="152"/>
    </row>
    <row r="3405" spans="7:7" x14ac:dyDescent="0.25">
      <c r="G3405" s="152"/>
    </row>
    <row r="3406" spans="7:7" x14ac:dyDescent="0.25">
      <c r="G3406" s="152"/>
    </row>
    <row r="3407" spans="7:7" x14ac:dyDescent="0.25">
      <c r="G3407" s="152"/>
    </row>
    <row r="3408" spans="7:7" x14ac:dyDescent="0.25">
      <c r="G3408" s="152"/>
    </row>
    <row r="3409" spans="7:7" x14ac:dyDescent="0.25">
      <c r="G3409" s="152"/>
    </row>
    <row r="3410" spans="7:7" x14ac:dyDescent="0.25">
      <c r="G3410" s="152"/>
    </row>
    <row r="3411" spans="7:7" x14ac:dyDescent="0.25">
      <c r="G3411" s="152"/>
    </row>
    <row r="3412" spans="7:7" x14ac:dyDescent="0.25">
      <c r="G3412" s="152"/>
    </row>
    <row r="3413" spans="7:7" x14ac:dyDescent="0.25">
      <c r="G3413" s="152"/>
    </row>
    <row r="3414" spans="7:7" x14ac:dyDescent="0.25">
      <c r="G3414" s="152"/>
    </row>
    <row r="3415" spans="7:7" x14ac:dyDescent="0.25">
      <c r="G3415" s="152"/>
    </row>
    <row r="3416" spans="7:7" x14ac:dyDescent="0.25">
      <c r="G3416" s="152"/>
    </row>
    <row r="3417" spans="7:7" x14ac:dyDescent="0.25">
      <c r="G3417" s="152"/>
    </row>
    <row r="3418" spans="7:7" x14ac:dyDescent="0.25">
      <c r="G3418" s="152"/>
    </row>
    <row r="3419" spans="7:7" x14ac:dyDescent="0.25">
      <c r="G3419" s="152"/>
    </row>
    <row r="3420" spans="7:7" x14ac:dyDescent="0.25">
      <c r="G3420" s="152"/>
    </row>
    <row r="3421" spans="7:7" x14ac:dyDescent="0.25">
      <c r="G3421" s="152"/>
    </row>
    <row r="3422" spans="7:7" x14ac:dyDescent="0.25">
      <c r="G3422" s="152"/>
    </row>
    <row r="3423" spans="7:7" x14ac:dyDescent="0.25">
      <c r="G3423" s="152"/>
    </row>
    <row r="3424" spans="7:7" x14ac:dyDescent="0.25">
      <c r="G3424" s="152"/>
    </row>
    <row r="3425" spans="7:7" x14ac:dyDescent="0.25">
      <c r="G3425" s="152"/>
    </row>
    <row r="3426" spans="7:7" x14ac:dyDescent="0.25">
      <c r="G3426" s="152"/>
    </row>
    <row r="3427" spans="7:7" x14ac:dyDescent="0.25">
      <c r="G3427" s="152"/>
    </row>
    <row r="3428" spans="7:7" x14ac:dyDescent="0.25">
      <c r="G3428" s="152"/>
    </row>
    <row r="3429" spans="7:7" x14ac:dyDescent="0.25">
      <c r="G3429" s="152"/>
    </row>
    <row r="3430" spans="7:7" x14ac:dyDescent="0.25">
      <c r="G3430" s="152"/>
    </row>
    <row r="3431" spans="7:7" x14ac:dyDescent="0.25">
      <c r="G3431" s="152"/>
    </row>
    <row r="3432" spans="7:7" x14ac:dyDescent="0.25">
      <c r="G3432" s="152"/>
    </row>
    <row r="3433" spans="7:7" x14ac:dyDescent="0.25">
      <c r="G3433" s="152"/>
    </row>
    <row r="3434" spans="7:7" x14ac:dyDescent="0.25">
      <c r="G3434" s="152"/>
    </row>
    <row r="3435" spans="7:7" x14ac:dyDescent="0.25">
      <c r="G3435" s="152"/>
    </row>
    <row r="3436" spans="7:7" x14ac:dyDescent="0.25">
      <c r="G3436" s="152"/>
    </row>
    <row r="3437" spans="7:7" x14ac:dyDescent="0.25">
      <c r="G3437" s="152"/>
    </row>
    <row r="3438" spans="7:7" x14ac:dyDescent="0.25">
      <c r="G3438" s="152"/>
    </row>
    <row r="3439" spans="7:7" x14ac:dyDescent="0.25">
      <c r="G3439" s="152"/>
    </row>
    <row r="3440" spans="7:7" x14ac:dyDescent="0.25">
      <c r="G3440" s="152"/>
    </row>
    <row r="3441" spans="7:7" x14ac:dyDescent="0.25">
      <c r="G3441" s="152"/>
    </row>
    <row r="3442" spans="7:7" x14ac:dyDescent="0.25">
      <c r="G3442" s="152"/>
    </row>
    <row r="3443" spans="7:7" x14ac:dyDescent="0.25">
      <c r="G3443" s="152"/>
    </row>
    <row r="3444" spans="7:7" x14ac:dyDescent="0.25">
      <c r="G3444" s="152"/>
    </row>
    <row r="3445" spans="7:7" x14ac:dyDescent="0.25">
      <c r="G3445" s="152"/>
    </row>
    <row r="3446" spans="7:7" x14ac:dyDescent="0.25">
      <c r="G3446" s="152"/>
    </row>
    <row r="3447" spans="7:7" x14ac:dyDescent="0.25">
      <c r="G3447" s="152"/>
    </row>
    <row r="3448" spans="7:7" x14ac:dyDescent="0.25">
      <c r="G3448" s="152"/>
    </row>
    <row r="3449" spans="7:7" x14ac:dyDescent="0.25">
      <c r="G3449" s="152"/>
    </row>
    <row r="3450" spans="7:7" x14ac:dyDescent="0.25">
      <c r="G3450" s="152"/>
    </row>
    <row r="3451" spans="7:7" x14ac:dyDescent="0.25">
      <c r="G3451" s="152"/>
    </row>
    <row r="3452" spans="7:7" x14ac:dyDescent="0.25">
      <c r="G3452" s="152"/>
    </row>
    <row r="3453" spans="7:7" x14ac:dyDescent="0.25">
      <c r="G3453" s="152"/>
    </row>
    <row r="3454" spans="7:7" x14ac:dyDescent="0.25">
      <c r="G3454" s="152"/>
    </row>
    <row r="3455" spans="7:7" x14ac:dyDescent="0.25">
      <c r="G3455" s="152"/>
    </row>
    <row r="3456" spans="7:7" x14ac:dyDescent="0.25">
      <c r="G3456" s="152"/>
    </row>
    <row r="3457" spans="7:7" x14ac:dyDescent="0.25">
      <c r="G3457" s="152"/>
    </row>
    <row r="3458" spans="7:7" x14ac:dyDescent="0.25">
      <c r="G3458" s="152"/>
    </row>
    <row r="3459" spans="7:7" x14ac:dyDescent="0.25">
      <c r="G3459" s="152"/>
    </row>
    <row r="3460" spans="7:7" x14ac:dyDescent="0.25">
      <c r="G3460" s="152"/>
    </row>
    <row r="3461" spans="7:7" x14ac:dyDescent="0.25">
      <c r="G3461" s="152"/>
    </row>
    <row r="3462" spans="7:7" x14ac:dyDescent="0.25">
      <c r="G3462" s="152"/>
    </row>
    <row r="3463" spans="7:7" x14ac:dyDescent="0.25">
      <c r="G3463" s="152"/>
    </row>
    <row r="3464" spans="7:7" x14ac:dyDescent="0.25">
      <c r="G3464" s="152"/>
    </row>
    <row r="3465" spans="7:7" x14ac:dyDescent="0.25">
      <c r="G3465" s="152"/>
    </row>
    <row r="3466" spans="7:7" x14ac:dyDescent="0.25">
      <c r="G3466" s="152"/>
    </row>
    <row r="3467" spans="7:7" x14ac:dyDescent="0.25">
      <c r="G3467" s="152"/>
    </row>
    <row r="3468" spans="7:7" x14ac:dyDescent="0.25">
      <c r="G3468" s="152"/>
    </row>
    <row r="3469" spans="7:7" x14ac:dyDescent="0.25">
      <c r="G3469" s="152"/>
    </row>
    <row r="3470" spans="7:7" x14ac:dyDescent="0.25">
      <c r="G3470" s="152"/>
    </row>
    <row r="3471" spans="7:7" x14ac:dyDescent="0.25">
      <c r="G3471" s="152"/>
    </row>
    <row r="3472" spans="7:7" x14ac:dyDescent="0.25">
      <c r="G3472" s="152"/>
    </row>
    <row r="3473" spans="7:7" x14ac:dyDescent="0.25">
      <c r="G3473" s="152"/>
    </row>
    <row r="3474" spans="7:7" x14ac:dyDescent="0.25">
      <c r="G3474" s="152"/>
    </row>
    <row r="3475" spans="7:7" x14ac:dyDescent="0.25">
      <c r="G3475" s="152"/>
    </row>
    <row r="3476" spans="7:7" x14ac:dyDescent="0.25">
      <c r="G3476" s="152"/>
    </row>
    <row r="3477" spans="7:7" x14ac:dyDescent="0.25">
      <c r="G3477" s="152"/>
    </row>
    <row r="3478" spans="7:7" x14ac:dyDescent="0.25">
      <c r="G3478" s="152"/>
    </row>
    <row r="3479" spans="7:7" x14ac:dyDescent="0.25">
      <c r="G3479" s="152"/>
    </row>
    <row r="3480" spans="7:7" x14ac:dyDescent="0.25">
      <c r="G3480" s="152"/>
    </row>
    <row r="3481" spans="7:7" x14ac:dyDescent="0.25">
      <c r="G3481" s="152"/>
    </row>
    <row r="3482" spans="7:7" x14ac:dyDescent="0.25">
      <c r="G3482" s="152"/>
    </row>
    <row r="3483" spans="7:7" x14ac:dyDescent="0.25">
      <c r="G3483" s="152"/>
    </row>
    <row r="3484" spans="7:7" x14ac:dyDescent="0.25">
      <c r="G3484" s="152"/>
    </row>
    <row r="3485" spans="7:7" x14ac:dyDescent="0.25">
      <c r="G3485" s="152"/>
    </row>
    <row r="3486" spans="7:7" x14ac:dyDescent="0.25">
      <c r="G3486" s="152"/>
    </row>
    <row r="3487" spans="7:7" x14ac:dyDescent="0.25">
      <c r="G3487" s="152"/>
    </row>
    <row r="3488" spans="7:7" x14ac:dyDescent="0.25">
      <c r="G3488" s="152"/>
    </row>
    <row r="3489" spans="7:7" x14ac:dyDescent="0.25">
      <c r="G3489" s="152"/>
    </row>
    <row r="3490" spans="7:7" x14ac:dyDescent="0.25">
      <c r="G3490" s="152"/>
    </row>
    <row r="3491" spans="7:7" x14ac:dyDescent="0.25">
      <c r="G3491" s="152"/>
    </row>
    <row r="3492" spans="7:7" x14ac:dyDescent="0.25">
      <c r="G3492" s="152"/>
    </row>
    <row r="3493" spans="7:7" x14ac:dyDescent="0.25">
      <c r="G3493" s="152"/>
    </row>
    <row r="3494" spans="7:7" x14ac:dyDescent="0.25">
      <c r="G3494" s="152"/>
    </row>
    <row r="3495" spans="7:7" x14ac:dyDescent="0.25">
      <c r="G3495" s="152"/>
    </row>
    <row r="3496" spans="7:7" x14ac:dyDescent="0.25">
      <c r="G3496" s="152"/>
    </row>
    <row r="3497" spans="7:7" x14ac:dyDescent="0.25">
      <c r="G3497" s="152"/>
    </row>
    <row r="3498" spans="7:7" x14ac:dyDescent="0.25">
      <c r="G3498" s="152"/>
    </row>
    <row r="3499" spans="7:7" x14ac:dyDescent="0.25">
      <c r="G3499" s="152"/>
    </row>
    <row r="3500" spans="7:7" x14ac:dyDescent="0.25">
      <c r="G3500" s="152"/>
    </row>
    <row r="3501" spans="7:7" x14ac:dyDescent="0.25">
      <c r="G3501" s="152"/>
    </row>
    <row r="3502" spans="7:7" x14ac:dyDescent="0.25">
      <c r="G3502" s="152"/>
    </row>
    <row r="3503" spans="7:7" x14ac:dyDescent="0.25">
      <c r="G3503" s="152"/>
    </row>
    <row r="3504" spans="7:7" x14ac:dyDescent="0.25">
      <c r="G3504" s="152"/>
    </row>
    <row r="3505" spans="7:7" x14ac:dyDescent="0.25">
      <c r="G3505" s="152"/>
    </row>
    <row r="3506" spans="7:7" x14ac:dyDescent="0.25">
      <c r="G3506" s="152"/>
    </row>
    <row r="3507" spans="7:7" x14ac:dyDescent="0.25">
      <c r="G3507" s="152"/>
    </row>
    <row r="3508" spans="7:7" x14ac:dyDescent="0.25">
      <c r="G3508" s="152"/>
    </row>
    <row r="3509" spans="7:7" x14ac:dyDescent="0.25">
      <c r="G3509" s="152"/>
    </row>
    <row r="3510" spans="7:7" x14ac:dyDescent="0.25">
      <c r="G3510" s="152"/>
    </row>
    <row r="3511" spans="7:7" x14ac:dyDescent="0.25">
      <c r="G3511" s="152"/>
    </row>
    <row r="3512" spans="7:7" x14ac:dyDescent="0.25">
      <c r="G3512" s="152"/>
    </row>
    <row r="3513" spans="7:7" x14ac:dyDescent="0.25">
      <c r="G3513" s="152"/>
    </row>
    <row r="3514" spans="7:7" x14ac:dyDescent="0.25">
      <c r="G3514" s="152"/>
    </row>
    <row r="3515" spans="7:7" x14ac:dyDescent="0.25">
      <c r="G3515" s="152"/>
    </row>
    <row r="3516" spans="7:7" x14ac:dyDescent="0.25">
      <c r="G3516" s="152"/>
    </row>
    <row r="3517" spans="7:7" x14ac:dyDescent="0.25">
      <c r="G3517" s="152"/>
    </row>
    <row r="3518" spans="7:7" x14ac:dyDescent="0.25">
      <c r="G3518" s="152"/>
    </row>
    <row r="3519" spans="7:7" x14ac:dyDescent="0.25">
      <c r="G3519" s="152"/>
    </row>
    <row r="3520" spans="7:7" x14ac:dyDescent="0.25">
      <c r="G3520" s="152"/>
    </row>
    <row r="3521" spans="7:7" x14ac:dyDescent="0.25">
      <c r="G3521" s="152"/>
    </row>
    <row r="3522" spans="7:7" x14ac:dyDescent="0.25">
      <c r="G3522" s="152"/>
    </row>
    <row r="3523" spans="7:7" x14ac:dyDescent="0.25">
      <c r="G3523" s="152"/>
    </row>
    <row r="3524" spans="7:7" x14ac:dyDescent="0.25">
      <c r="G3524" s="152"/>
    </row>
    <row r="3525" spans="7:7" x14ac:dyDescent="0.25">
      <c r="G3525" s="152"/>
    </row>
    <row r="3526" spans="7:7" x14ac:dyDescent="0.25">
      <c r="G3526" s="152"/>
    </row>
    <row r="3527" spans="7:7" x14ac:dyDescent="0.25">
      <c r="G3527" s="152"/>
    </row>
    <row r="3528" spans="7:7" x14ac:dyDescent="0.25">
      <c r="G3528" s="152"/>
    </row>
    <row r="3529" spans="7:7" x14ac:dyDescent="0.25">
      <c r="G3529" s="152"/>
    </row>
    <row r="3530" spans="7:7" x14ac:dyDescent="0.25">
      <c r="G3530" s="152"/>
    </row>
    <row r="3531" spans="7:7" x14ac:dyDescent="0.25">
      <c r="G3531" s="152"/>
    </row>
    <row r="3532" spans="7:7" x14ac:dyDescent="0.25">
      <c r="G3532" s="152"/>
    </row>
    <row r="3533" spans="7:7" x14ac:dyDescent="0.25">
      <c r="G3533" s="152"/>
    </row>
    <row r="3534" spans="7:7" x14ac:dyDescent="0.25">
      <c r="G3534" s="152"/>
    </row>
    <row r="3535" spans="7:7" x14ac:dyDescent="0.25">
      <c r="G3535" s="152"/>
    </row>
    <row r="3536" spans="7:7" x14ac:dyDescent="0.25">
      <c r="G3536" s="152"/>
    </row>
    <row r="3537" spans="7:7" x14ac:dyDescent="0.25">
      <c r="G3537" s="152"/>
    </row>
    <row r="3538" spans="7:7" x14ac:dyDescent="0.25">
      <c r="G3538" s="152"/>
    </row>
    <row r="3539" spans="7:7" x14ac:dyDescent="0.25">
      <c r="G3539" s="152"/>
    </row>
    <row r="3540" spans="7:7" x14ac:dyDescent="0.25">
      <c r="G3540" s="152"/>
    </row>
    <row r="3541" spans="7:7" x14ac:dyDescent="0.25">
      <c r="G3541" s="152"/>
    </row>
    <row r="3542" spans="7:7" x14ac:dyDescent="0.25">
      <c r="G3542" s="152"/>
    </row>
    <row r="3543" spans="7:7" x14ac:dyDescent="0.25">
      <c r="G3543" s="152"/>
    </row>
    <row r="3544" spans="7:7" x14ac:dyDescent="0.25">
      <c r="G3544" s="152"/>
    </row>
    <row r="3545" spans="7:7" x14ac:dyDescent="0.25">
      <c r="G3545" s="152"/>
    </row>
    <row r="3546" spans="7:7" x14ac:dyDescent="0.25">
      <c r="G3546" s="152"/>
    </row>
    <row r="3547" spans="7:7" x14ac:dyDescent="0.25">
      <c r="G3547" s="152"/>
    </row>
    <row r="3548" spans="7:7" x14ac:dyDescent="0.25">
      <c r="G3548" s="152"/>
    </row>
    <row r="3549" spans="7:7" x14ac:dyDescent="0.25">
      <c r="G3549" s="152"/>
    </row>
    <row r="3550" spans="7:7" x14ac:dyDescent="0.25">
      <c r="G3550" s="152"/>
    </row>
    <row r="3551" spans="7:7" x14ac:dyDescent="0.25">
      <c r="G3551" s="152"/>
    </row>
    <row r="3552" spans="7:7" x14ac:dyDescent="0.25">
      <c r="G3552" s="152"/>
    </row>
    <row r="3553" spans="7:7" x14ac:dyDescent="0.25">
      <c r="G3553" s="152"/>
    </row>
    <row r="3554" spans="7:7" x14ac:dyDescent="0.25">
      <c r="G3554" s="152"/>
    </row>
    <row r="3555" spans="7:7" x14ac:dyDescent="0.25">
      <c r="G3555" s="152"/>
    </row>
    <row r="3556" spans="7:7" x14ac:dyDescent="0.25">
      <c r="G3556" s="152"/>
    </row>
    <row r="3557" spans="7:7" x14ac:dyDescent="0.25">
      <c r="G3557" s="152"/>
    </row>
    <row r="3558" spans="7:7" x14ac:dyDescent="0.25">
      <c r="G3558" s="152"/>
    </row>
    <row r="3559" spans="7:7" x14ac:dyDescent="0.25">
      <c r="G3559" s="152"/>
    </row>
    <row r="3560" spans="7:7" x14ac:dyDescent="0.25">
      <c r="G3560" s="152"/>
    </row>
    <row r="3561" spans="7:7" x14ac:dyDescent="0.25">
      <c r="G3561" s="152"/>
    </row>
    <row r="3562" spans="7:7" x14ac:dyDescent="0.25">
      <c r="G3562" s="152"/>
    </row>
    <row r="3563" spans="7:7" x14ac:dyDescent="0.25">
      <c r="G3563" s="152"/>
    </row>
    <row r="3564" spans="7:7" x14ac:dyDescent="0.25">
      <c r="G3564" s="152"/>
    </row>
    <row r="3565" spans="7:7" x14ac:dyDescent="0.25">
      <c r="G3565" s="152"/>
    </row>
    <row r="3566" spans="7:7" x14ac:dyDescent="0.25">
      <c r="G3566" s="152"/>
    </row>
    <row r="3567" spans="7:7" x14ac:dyDescent="0.25">
      <c r="G3567" s="152"/>
    </row>
    <row r="3568" spans="7:7" x14ac:dyDescent="0.25">
      <c r="G3568" s="152"/>
    </row>
    <row r="3569" spans="7:7" x14ac:dyDescent="0.25">
      <c r="G3569" s="152"/>
    </row>
    <row r="3570" spans="7:7" x14ac:dyDescent="0.25">
      <c r="G3570" s="152"/>
    </row>
    <row r="3571" spans="7:7" x14ac:dyDescent="0.25">
      <c r="G3571" s="152"/>
    </row>
    <row r="3572" spans="7:7" x14ac:dyDescent="0.25">
      <c r="G3572" s="152"/>
    </row>
    <row r="3573" spans="7:7" x14ac:dyDescent="0.25">
      <c r="G3573" s="152"/>
    </row>
    <row r="3574" spans="7:7" x14ac:dyDescent="0.25">
      <c r="G3574" s="152"/>
    </row>
    <row r="3575" spans="7:7" x14ac:dyDescent="0.25">
      <c r="G3575" s="152"/>
    </row>
    <row r="3576" spans="7:7" x14ac:dyDescent="0.25">
      <c r="G3576" s="152"/>
    </row>
    <row r="3577" spans="7:7" x14ac:dyDescent="0.25">
      <c r="G3577" s="152"/>
    </row>
    <row r="3578" spans="7:7" x14ac:dyDescent="0.25">
      <c r="G3578" s="152"/>
    </row>
    <row r="3579" spans="7:7" x14ac:dyDescent="0.25">
      <c r="G3579" s="152"/>
    </row>
    <row r="3580" spans="7:7" x14ac:dyDescent="0.25">
      <c r="G3580" s="152"/>
    </row>
    <row r="3581" spans="7:7" x14ac:dyDescent="0.25">
      <c r="G3581" s="152"/>
    </row>
    <row r="3582" spans="7:7" x14ac:dyDescent="0.25">
      <c r="G3582" s="152"/>
    </row>
    <row r="3583" spans="7:7" x14ac:dyDescent="0.25">
      <c r="G3583" s="152"/>
    </row>
    <row r="3584" spans="7:7" x14ac:dyDescent="0.25">
      <c r="G3584" s="152"/>
    </row>
    <row r="3585" spans="7:7" x14ac:dyDescent="0.25">
      <c r="G3585" s="152"/>
    </row>
    <row r="3586" spans="7:7" x14ac:dyDescent="0.25">
      <c r="G3586" s="152"/>
    </row>
    <row r="3587" spans="7:7" x14ac:dyDescent="0.25">
      <c r="G3587" s="152"/>
    </row>
    <row r="3588" spans="7:7" x14ac:dyDescent="0.25">
      <c r="G3588" s="152"/>
    </row>
    <row r="3589" spans="7:7" x14ac:dyDescent="0.25">
      <c r="G3589" s="152"/>
    </row>
    <row r="3590" spans="7:7" x14ac:dyDescent="0.25">
      <c r="G3590" s="152"/>
    </row>
    <row r="3591" spans="7:7" x14ac:dyDescent="0.25">
      <c r="G3591" s="152"/>
    </row>
    <row r="3592" spans="7:7" x14ac:dyDescent="0.25">
      <c r="G3592" s="152"/>
    </row>
    <row r="3593" spans="7:7" x14ac:dyDescent="0.25">
      <c r="G3593" s="152"/>
    </row>
    <row r="3594" spans="7:7" x14ac:dyDescent="0.25">
      <c r="G3594" s="152"/>
    </row>
    <row r="3595" spans="7:7" x14ac:dyDescent="0.25">
      <c r="G3595" s="152"/>
    </row>
    <row r="3596" spans="7:7" x14ac:dyDescent="0.25">
      <c r="G3596" s="152"/>
    </row>
    <row r="3597" spans="7:7" x14ac:dyDescent="0.25">
      <c r="G3597" s="152"/>
    </row>
    <row r="3598" spans="7:7" x14ac:dyDescent="0.25">
      <c r="G3598" s="152"/>
    </row>
    <row r="3599" spans="7:7" x14ac:dyDescent="0.25">
      <c r="G3599" s="152"/>
    </row>
    <row r="3600" spans="7:7" x14ac:dyDescent="0.25">
      <c r="G3600" s="152"/>
    </row>
    <row r="3601" spans="7:7" x14ac:dyDescent="0.25">
      <c r="G3601" s="152"/>
    </row>
    <row r="3602" spans="7:7" x14ac:dyDescent="0.25">
      <c r="G3602" s="152"/>
    </row>
    <row r="3603" spans="7:7" x14ac:dyDescent="0.25">
      <c r="G3603" s="152"/>
    </row>
    <row r="3604" spans="7:7" x14ac:dyDescent="0.25">
      <c r="G3604" s="152"/>
    </row>
    <row r="3605" spans="7:7" x14ac:dyDescent="0.25">
      <c r="G3605" s="152"/>
    </row>
    <row r="3606" spans="7:7" x14ac:dyDescent="0.25">
      <c r="G3606" s="152"/>
    </row>
    <row r="3607" spans="7:7" x14ac:dyDescent="0.25">
      <c r="G3607" s="152"/>
    </row>
    <row r="3608" spans="7:7" x14ac:dyDescent="0.25">
      <c r="G3608" s="152"/>
    </row>
    <row r="3609" spans="7:7" x14ac:dyDescent="0.25">
      <c r="G3609" s="152"/>
    </row>
    <row r="3610" spans="7:7" x14ac:dyDescent="0.25">
      <c r="G3610" s="152"/>
    </row>
    <row r="3611" spans="7:7" x14ac:dyDescent="0.25">
      <c r="G3611" s="152"/>
    </row>
    <row r="3612" spans="7:7" x14ac:dyDescent="0.25">
      <c r="G3612" s="152"/>
    </row>
    <row r="3613" spans="7:7" x14ac:dyDescent="0.25">
      <c r="G3613" s="152"/>
    </row>
    <row r="3614" spans="7:7" x14ac:dyDescent="0.25">
      <c r="G3614" s="152"/>
    </row>
    <row r="3615" spans="7:7" x14ac:dyDescent="0.25">
      <c r="G3615" s="152"/>
    </row>
    <row r="3616" spans="7:7" x14ac:dyDescent="0.25">
      <c r="G3616" s="152"/>
    </row>
    <row r="3617" spans="7:7" x14ac:dyDescent="0.25">
      <c r="G3617" s="152"/>
    </row>
    <row r="3618" spans="7:7" x14ac:dyDescent="0.25">
      <c r="G3618" s="152"/>
    </row>
    <row r="3619" spans="7:7" x14ac:dyDescent="0.25">
      <c r="G3619" s="152"/>
    </row>
    <row r="3620" spans="7:7" x14ac:dyDescent="0.25">
      <c r="G3620" s="152"/>
    </row>
    <row r="3621" spans="7:7" x14ac:dyDescent="0.25">
      <c r="G3621" s="152"/>
    </row>
    <row r="3622" spans="7:7" x14ac:dyDescent="0.25">
      <c r="G3622" s="152"/>
    </row>
    <row r="3623" spans="7:7" x14ac:dyDescent="0.25">
      <c r="G3623" s="152"/>
    </row>
    <row r="3624" spans="7:7" x14ac:dyDescent="0.25">
      <c r="G3624" s="152"/>
    </row>
    <row r="3625" spans="7:7" x14ac:dyDescent="0.25">
      <c r="G3625" s="152"/>
    </row>
    <row r="3626" spans="7:7" x14ac:dyDescent="0.25">
      <c r="G3626" s="152"/>
    </row>
    <row r="3627" spans="7:7" x14ac:dyDescent="0.25">
      <c r="G3627" s="152"/>
    </row>
    <row r="3628" spans="7:7" x14ac:dyDescent="0.25">
      <c r="G3628" s="152"/>
    </row>
    <row r="3629" spans="7:7" x14ac:dyDescent="0.25">
      <c r="G3629" s="152"/>
    </row>
    <row r="3630" spans="7:7" x14ac:dyDescent="0.25">
      <c r="G3630" s="152"/>
    </row>
    <row r="3631" spans="7:7" x14ac:dyDescent="0.25">
      <c r="G3631" s="152"/>
    </row>
    <row r="3632" spans="7:7" x14ac:dyDescent="0.25">
      <c r="G3632" s="152"/>
    </row>
    <row r="3633" spans="7:7" x14ac:dyDescent="0.25">
      <c r="G3633" s="152"/>
    </row>
    <row r="3634" spans="7:7" x14ac:dyDescent="0.25">
      <c r="G3634" s="152"/>
    </row>
    <row r="3635" spans="7:7" x14ac:dyDescent="0.25">
      <c r="G3635" s="152"/>
    </row>
    <row r="3636" spans="7:7" x14ac:dyDescent="0.25">
      <c r="G3636" s="152"/>
    </row>
    <row r="3637" spans="7:7" x14ac:dyDescent="0.25">
      <c r="G3637" s="152"/>
    </row>
    <row r="3638" spans="7:7" x14ac:dyDescent="0.25">
      <c r="G3638" s="152"/>
    </row>
    <row r="3639" spans="7:7" x14ac:dyDescent="0.25">
      <c r="G3639" s="152"/>
    </row>
    <row r="3640" spans="7:7" x14ac:dyDescent="0.25">
      <c r="G3640" s="152"/>
    </row>
    <row r="3641" spans="7:7" x14ac:dyDescent="0.25">
      <c r="G3641" s="152"/>
    </row>
    <row r="3642" spans="7:7" x14ac:dyDescent="0.25">
      <c r="G3642" s="152"/>
    </row>
    <row r="3643" spans="7:7" x14ac:dyDescent="0.25">
      <c r="G3643" s="152"/>
    </row>
    <row r="3644" spans="7:7" x14ac:dyDescent="0.25">
      <c r="G3644" s="152"/>
    </row>
    <row r="3645" spans="7:7" x14ac:dyDescent="0.25">
      <c r="G3645" s="152"/>
    </row>
    <row r="3646" spans="7:7" x14ac:dyDescent="0.25">
      <c r="G3646" s="152"/>
    </row>
    <row r="3647" spans="7:7" x14ac:dyDescent="0.25">
      <c r="G3647" s="152"/>
    </row>
    <row r="3648" spans="7:7" x14ac:dyDescent="0.25">
      <c r="G3648" s="152"/>
    </row>
    <row r="3649" spans="7:7" x14ac:dyDescent="0.25">
      <c r="G3649" s="152"/>
    </row>
    <row r="3650" spans="7:7" x14ac:dyDescent="0.25">
      <c r="G3650" s="152"/>
    </row>
    <row r="3651" spans="7:7" x14ac:dyDescent="0.25">
      <c r="G3651" s="152"/>
    </row>
    <row r="3652" spans="7:7" x14ac:dyDescent="0.25">
      <c r="G3652" s="152"/>
    </row>
    <row r="3653" spans="7:7" x14ac:dyDescent="0.25">
      <c r="G3653" s="152"/>
    </row>
    <row r="3654" spans="7:7" x14ac:dyDescent="0.25">
      <c r="G3654" s="152"/>
    </row>
    <row r="3655" spans="7:7" x14ac:dyDescent="0.25">
      <c r="G3655" s="152"/>
    </row>
    <row r="3656" spans="7:7" x14ac:dyDescent="0.25">
      <c r="G3656" s="152"/>
    </row>
    <row r="3657" spans="7:7" x14ac:dyDescent="0.25">
      <c r="G3657" s="152"/>
    </row>
    <row r="3658" spans="7:7" x14ac:dyDescent="0.25">
      <c r="G3658" s="152"/>
    </row>
    <row r="3659" spans="7:7" x14ac:dyDescent="0.25">
      <c r="G3659" s="152"/>
    </row>
    <row r="3660" spans="7:7" x14ac:dyDescent="0.25">
      <c r="G3660" s="152"/>
    </row>
    <row r="3661" spans="7:7" x14ac:dyDescent="0.25">
      <c r="G3661" s="152"/>
    </row>
    <row r="3662" spans="7:7" x14ac:dyDescent="0.25">
      <c r="G3662" s="152"/>
    </row>
    <row r="3663" spans="7:7" x14ac:dyDescent="0.25">
      <c r="G3663" s="152"/>
    </row>
    <row r="3664" spans="7:7" x14ac:dyDescent="0.25">
      <c r="G3664" s="152"/>
    </row>
    <row r="3665" spans="7:7" x14ac:dyDescent="0.25">
      <c r="G3665" s="152"/>
    </row>
    <row r="3666" spans="7:7" x14ac:dyDescent="0.25">
      <c r="G3666" s="152"/>
    </row>
    <row r="3667" spans="7:7" x14ac:dyDescent="0.25">
      <c r="G3667" s="152"/>
    </row>
    <row r="3668" spans="7:7" x14ac:dyDescent="0.25">
      <c r="G3668" s="152"/>
    </row>
    <row r="3669" spans="7:7" x14ac:dyDescent="0.25">
      <c r="G3669" s="152"/>
    </row>
    <row r="3670" spans="7:7" x14ac:dyDescent="0.25">
      <c r="G3670" s="152"/>
    </row>
    <row r="3671" spans="7:7" x14ac:dyDescent="0.25">
      <c r="G3671" s="152"/>
    </row>
    <row r="3672" spans="7:7" x14ac:dyDescent="0.25">
      <c r="G3672" s="152"/>
    </row>
    <row r="3673" spans="7:7" x14ac:dyDescent="0.25">
      <c r="G3673" s="152"/>
    </row>
    <row r="3674" spans="7:7" x14ac:dyDescent="0.25">
      <c r="G3674" s="152"/>
    </row>
    <row r="3675" spans="7:7" x14ac:dyDescent="0.25">
      <c r="G3675" s="152"/>
    </row>
    <row r="3676" spans="7:7" x14ac:dyDescent="0.25">
      <c r="G3676" s="152"/>
    </row>
    <row r="3677" spans="7:7" x14ac:dyDescent="0.25">
      <c r="G3677" s="152"/>
    </row>
    <row r="3678" spans="7:7" x14ac:dyDescent="0.25">
      <c r="G3678" s="152"/>
    </row>
    <row r="3679" spans="7:7" x14ac:dyDescent="0.25">
      <c r="G3679" s="152"/>
    </row>
    <row r="3680" spans="7:7" x14ac:dyDescent="0.25">
      <c r="G3680" s="152"/>
    </row>
    <row r="3681" spans="7:7" x14ac:dyDescent="0.25">
      <c r="G3681" s="152"/>
    </row>
    <row r="3682" spans="7:7" x14ac:dyDescent="0.25">
      <c r="G3682" s="152"/>
    </row>
    <row r="3683" spans="7:7" x14ac:dyDescent="0.25">
      <c r="G3683" s="152"/>
    </row>
    <row r="3684" spans="7:7" x14ac:dyDescent="0.25">
      <c r="G3684" s="152"/>
    </row>
    <row r="3685" spans="7:7" x14ac:dyDescent="0.25">
      <c r="G3685" s="152"/>
    </row>
    <row r="3686" spans="7:7" x14ac:dyDescent="0.25">
      <c r="G3686" s="152"/>
    </row>
    <row r="3687" spans="7:7" x14ac:dyDescent="0.25">
      <c r="G3687" s="152"/>
    </row>
    <row r="3688" spans="7:7" x14ac:dyDescent="0.25">
      <c r="G3688" s="152"/>
    </row>
    <row r="3689" spans="7:7" x14ac:dyDescent="0.25">
      <c r="G3689" s="152"/>
    </row>
    <row r="3690" spans="7:7" x14ac:dyDescent="0.25">
      <c r="G3690" s="152"/>
    </row>
    <row r="3691" spans="7:7" x14ac:dyDescent="0.25">
      <c r="G3691" s="152"/>
    </row>
    <row r="3692" spans="7:7" x14ac:dyDescent="0.25">
      <c r="G3692" s="152"/>
    </row>
    <row r="3693" spans="7:7" x14ac:dyDescent="0.25">
      <c r="G3693" s="152"/>
    </row>
    <row r="3694" spans="7:7" x14ac:dyDescent="0.25">
      <c r="G3694" s="152"/>
    </row>
    <row r="3695" spans="7:7" x14ac:dyDescent="0.25">
      <c r="G3695" s="152"/>
    </row>
    <row r="3696" spans="7:7" x14ac:dyDescent="0.25">
      <c r="G3696" s="152"/>
    </row>
    <row r="3697" spans="7:7" x14ac:dyDescent="0.25">
      <c r="G3697" s="152"/>
    </row>
    <row r="3698" spans="7:7" x14ac:dyDescent="0.25">
      <c r="G3698" s="152"/>
    </row>
    <row r="3699" spans="7:7" x14ac:dyDescent="0.25">
      <c r="G3699" s="152"/>
    </row>
    <row r="3700" spans="7:7" x14ac:dyDescent="0.25">
      <c r="G3700" s="152"/>
    </row>
    <row r="3701" spans="7:7" x14ac:dyDescent="0.25">
      <c r="G3701" s="152"/>
    </row>
    <row r="3702" spans="7:7" x14ac:dyDescent="0.25">
      <c r="G3702" s="152"/>
    </row>
    <row r="3703" spans="7:7" x14ac:dyDescent="0.25">
      <c r="G3703" s="152"/>
    </row>
    <row r="3704" spans="7:7" x14ac:dyDescent="0.25">
      <c r="G3704" s="152"/>
    </row>
    <row r="3705" spans="7:7" x14ac:dyDescent="0.25">
      <c r="G3705" s="152"/>
    </row>
    <row r="3706" spans="7:7" x14ac:dyDescent="0.25">
      <c r="G3706" s="152"/>
    </row>
    <row r="3707" spans="7:7" x14ac:dyDescent="0.25">
      <c r="G3707" s="152"/>
    </row>
    <row r="3708" spans="7:7" x14ac:dyDescent="0.25">
      <c r="G3708" s="152"/>
    </row>
    <row r="3709" spans="7:7" x14ac:dyDescent="0.25">
      <c r="G3709" s="152"/>
    </row>
    <row r="3710" spans="7:7" x14ac:dyDescent="0.25">
      <c r="G3710" s="152"/>
    </row>
    <row r="3711" spans="7:7" x14ac:dyDescent="0.25">
      <c r="G3711" s="152"/>
    </row>
    <row r="3712" spans="7:7" x14ac:dyDescent="0.25">
      <c r="G3712" s="152"/>
    </row>
    <row r="3713" spans="7:7" x14ac:dyDescent="0.25">
      <c r="G3713" s="152"/>
    </row>
    <row r="3714" spans="7:7" x14ac:dyDescent="0.25">
      <c r="G3714" s="152"/>
    </row>
    <row r="3715" spans="7:7" x14ac:dyDescent="0.25">
      <c r="G3715" s="152"/>
    </row>
    <row r="3716" spans="7:7" x14ac:dyDescent="0.25">
      <c r="G3716" s="152"/>
    </row>
    <row r="3717" spans="7:7" x14ac:dyDescent="0.25">
      <c r="G3717" s="152"/>
    </row>
    <row r="3718" spans="7:7" x14ac:dyDescent="0.25">
      <c r="G3718" s="152"/>
    </row>
    <row r="3719" spans="7:7" x14ac:dyDescent="0.25">
      <c r="G3719" s="152"/>
    </row>
    <row r="3720" spans="7:7" x14ac:dyDescent="0.25">
      <c r="G3720" s="152"/>
    </row>
    <row r="3721" spans="7:7" x14ac:dyDescent="0.25">
      <c r="G3721" s="152"/>
    </row>
    <row r="3722" spans="7:7" x14ac:dyDescent="0.25">
      <c r="G3722" s="152"/>
    </row>
    <row r="3723" spans="7:7" x14ac:dyDescent="0.25">
      <c r="G3723" s="152"/>
    </row>
    <row r="3724" spans="7:7" x14ac:dyDescent="0.25">
      <c r="G3724" s="152"/>
    </row>
    <row r="3725" spans="7:7" x14ac:dyDescent="0.25">
      <c r="G3725" s="152"/>
    </row>
    <row r="3726" spans="7:7" x14ac:dyDescent="0.25">
      <c r="G3726" s="152"/>
    </row>
    <row r="3727" spans="7:7" x14ac:dyDescent="0.25">
      <c r="G3727" s="152"/>
    </row>
    <row r="3728" spans="7:7" x14ac:dyDescent="0.25">
      <c r="G3728" s="152"/>
    </row>
    <row r="3729" spans="7:7" x14ac:dyDescent="0.25">
      <c r="G3729" s="152"/>
    </row>
    <row r="3730" spans="7:7" x14ac:dyDescent="0.25">
      <c r="G3730" s="152"/>
    </row>
    <row r="3731" spans="7:7" x14ac:dyDescent="0.25">
      <c r="G3731" s="152"/>
    </row>
    <row r="3732" spans="7:7" x14ac:dyDescent="0.25">
      <c r="G3732" s="152"/>
    </row>
    <row r="3733" spans="7:7" x14ac:dyDescent="0.25">
      <c r="G3733" s="152"/>
    </row>
    <row r="3734" spans="7:7" x14ac:dyDescent="0.25">
      <c r="G3734" s="152"/>
    </row>
    <row r="3735" spans="7:7" x14ac:dyDescent="0.25">
      <c r="G3735" s="152"/>
    </row>
    <row r="3736" spans="7:7" x14ac:dyDescent="0.25">
      <c r="G3736" s="152"/>
    </row>
    <row r="3737" spans="7:7" x14ac:dyDescent="0.25">
      <c r="G3737" s="152"/>
    </row>
    <row r="3738" spans="7:7" x14ac:dyDescent="0.25">
      <c r="G3738" s="152"/>
    </row>
    <row r="3739" spans="7:7" x14ac:dyDescent="0.25">
      <c r="G3739" s="152"/>
    </row>
    <row r="3740" spans="7:7" x14ac:dyDescent="0.25">
      <c r="G3740" s="152"/>
    </row>
    <row r="3741" spans="7:7" x14ac:dyDescent="0.25">
      <c r="G3741" s="152"/>
    </row>
    <row r="3742" spans="7:7" x14ac:dyDescent="0.25">
      <c r="G3742" s="152"/>
    </row>
    <row r="3743" spans="7:7" x14ac:dyDescent="0.25">
      <c r="G3743" s="152"/>
    </row>
    <row r="3744" spans="7:7" x14ac:dyDescent="0.25">
      <c r="G3744" s="152"/>
    </row>
    <row r="3745" spans="7:7" x14ac:dyDescent="0.25">
      <c r="G3745" s="152"/>
    </row>
    <row r="3746" spans="7:7" x14ac:dyDescent="0.25">
      <c r="G3746" s="152"/>
    </row>
    <row r="3747" spans="7:7" x14ac:dyDescent="0.25">
      <c r="G3747" s="152"/>
    </row>
    <row r="3748" spans="7:7" x14ac:dyDescent="0.25">
      <c r="G3748" s="152"/>
    </row>
    <row r="3749" spans="7:7" x14ac:dyDescent="0.25">
      <c r="G3749" s="152"/>
    </row>
    <row r="3750" spans="7:7" x14ac:dyDescent="0.25">
      <c r="G3750" s="152"/>
    </row>
    <row r="3751" spans="7:7" x14ac:dyDescent="0.25">
      <c r="G3751" s="152"/>
    </row>
    <row r="3752" spans="7:7" x14ac:dyDescent="0.25">
      <c r="G3752" s="152"/>
    </row>
    <row r="3753" spans="7:7" x14ac:dyDescent="0.25">
      <c r="G3753" s="152"/>
    </row>
    <row r="3754" spans="7:7" x14ac:dyDescent="0.25">
      <c r="G3754" s="152"/>
    </row>
    <row r="3755" spans="7:7" x14ac:dyDescent="0.25">
      <c r="G3755" s="152"/>
    </row>
    <row r="3756" spans="7:7" x14ac:dyDescent="0.25">
      <c r="G3756" s="152"/>
    </row>
    <row r="3757" spans="7:7" x14ac:dyDescent="0.25">
      <c r="G3757" s="152"/>
    </row>
    <row r="3758" spans="7:7" x14ac:dyDescent="0.25">
      <c r="G3758" s="152"/>
    </row>
    <row r="3759" spans="7:7" x14ac:dyDescent="0.25">
      <c r="G3759" s="152"/>
    </row>
    <row r="3760" spans="7:7" x14ac:dyDescent="0.25">
      <c r="G3760" s="152"/>
    </row>
    <row r="3761" spans="7:7" x14ac:dyDescent="0.25">
      <c r="G3761" s="152"/>
    </row>
    <row r="3762" spans="7:7" x14ac:dyDescent="0.25">
      <c r="G3762" s="152"/>
    </row>
    <row r="3763" spans="7:7" x14ac:dyDescent="0.25">
      <c r="G3763" s="152"/>
    </row>
    <row r="3764" spans="7:7" x14ac:dyDescent="0.25">
      <c r="G3764" s="152"/>
    </row>
    <row r="3765" spans="7:7" x14ac:dyDescent="0.25">
      <c r="G3765" s="152"/>
    </row>
    <row r="3766" spans="7:7" x14ac:dyDescent="0.25">
      <c r="G3766" s="152"/>
    </row>
    <row r="3767" spans="7:7" x14ac:dyDescent="0.25">
      <c r="G3767" s="152"/>
    </row>
    <row r="3768" spans="7:7" x14ac:dyDescent="0.25">
      <c r="G3768" s="152"/>
    </row>
    <row r="3769" spans="7:7" x14ac:dyDescent="0.25">
      <c r="G3769" s="152"/>
    </row>
    <row r="3770" spans="7:7" x14ac:dyDescent="0.25">
      <c r="G3770" s="152"/>
    </row>
    <row r="3771" spans="7:7" x14ac:dyDescent="0.25">
      <c r="G3771" s="152"/>
    </row>
    <row r="3772" spans="7:7" x14ac:dyDescent="0.25">
      <c r="G3772" s="152"/>
    </row>
    <row r="3773" spans="7:7" x14ac:dyDescent="0.25">
      <c r="G3773" s="152"/>
    </row>
    <row r="3774" spans="7:7" x14ac:dyDescent="0.25">
      <c r="G3774" s="152"/>
    </row>
    <row r="3775" spans="7:7" x14ac:dyDescent="0.25">
      <c r="G3775" s="152"/>
    </row>
    <row r="3776" spans="7:7" x14ac:dyDescent="0.25">
      <c r="G3776" s="152"/>
    </row>
    <row r="3777" spans="7:7" x14ac:dyDescent="0.25">
      <c r="G3777" s="152"/>
    </row>
    <row r="3778" spans="7:7" x14ac:dyDescent="0.25">
      <c r="G3778" s="152"/>
    </row>
    <row r="3779" spans="7:7" x14ac:dyDescent="0.25">
      <c r="G3779" s="152"/>
    </row>
    <row r="3780" spans="7:7" x14ac:dyDescent="0.25">
      <c r="G3780" s="152"/>
    </row>
    <row r="3781" spans="7:7" x14ac:dyDescent="0.25">
      <c r="G3781" s="152"/>
    </row>
    <row r="3782" spans="7:7" x14ac:dyDescent="0.25">
      <c r="G3782" s="152"/>
    </row>
    <row r="3783" spans="7:7" x14ac:dyDescent="0.25">
      <c r="G3783" s="152"/>
    </row>
    <row r="3784" spans="7:7" x14ac:dyDescent="0.25">
      <c r="G3784" s="152"/>
    </row>
    <row r="3785" spans="7:7" x14ac:dyDescent="0.25">
      <c r="G3785" s="152"/>
    </row>
    <row r="3786" spans="7:7" x14ac:dyDescent="0.25">
      <c r="G3786" s="152"/>
    </row>
    <row r="3787" spans="7:7" x14ac:dyDescent="0.25">
      <c r="G3787" s="152"/>
    </row>
    <row r="3788" spans="7:7" x14ac:dyDescent="0.25">
      <c r="G3788" s="152"/>
    </row>
    <row r="3789" spans="7:7" x14ac:dyDescent="0.25">
      <c r="G3789" s="152"/>
    </row>
    <row r="3790" spans="7:7" x14ac:dyDescent="0.25">
      <c r="G3790" s="152"/>
    </row>
    <row r="3791" spans="7:7" x14ac:dyDescent="0.25">
      <c r="G3791" s="152"/>
    </row>
    <row r="3792" spans="7:7" x14ac:dyDescent="0.25">
      <c r="G3792" s="152"/>
    </row>
    <row r="3793" spans="7:7" x14ac:dyDescent="0.25">
      <c r="G3793" s="152"/>
    </row>
    <row r="3794" spans="7:7" x14ac:dyDescent="0.25">
      <c r="G3794" s="152"/>
    </row>
    <row r="3795" spans="7:7" x14ac:dyDescent="0.25">
      <c r="G3795" s="152"/>
    </row>
    <row r="3796" spans="7:7" x14ac:dyDescent="0.25">
      <c r="G3796" s="152"/>
    </row>
    <row r="3797" spans="7:7" x14ac:dyDescent="0.25">
      <c r="G3797" s="152"/>
    </row>
    <row r="3798" spans="7:7" x14ac:dyDescent="0.25">
      <c r="G3798" s="152"/>
    </row>
    <row r="3799" spans="7:7" x14ac:dyDescent="0.25">
      <c r="G3799" s="152"/>
    </row>
    <row r="3800" spans="7:7" x14ac:dyDescent="0.25">
      <c r="G3800" s="152"/>
    </row>
    <row r="3801" spans="7:7" x14ac:dyDescent="0.25">
      <c r="G3801" s="152"/>
    </row>
    <row r="3802" spans="7:7" x14ac:dyDescent="0.25">
      <c r="G3802" s="152"/>
    </row>
    <row r="3803" spans="7:7" x14ac:dyDescent="0.25">
      <c r="G3803" s="152"/>
    </row>
    <row r="3804" spans="7:7" x14ac:dyDescent="0.25">
      <c r="G3804" s="152"/>
    </row>
    <row r="3805" spans="7:7" x14ac:dyDescent="0.25">
      <c r="G3805" s="152"/>
    </row>
    <row r="3806" spans="7:7" x14ac:dyDescent="0.25">
      <c r="G3806" s="152"/>
    </row>
    <row r="3807" spans="7:7" x14ac:dyDescent="0.25">
      <c r="G3807" s="152"/>
    </row>
    <row r="3808" spans="7:7" x14ac:dyDescent="0.25">
      <c r="G3808" s="152"/>
    </row>
    <row r="3809" spans="7:7" x14ac:dyDescent="0.25">
      <c r="G3809" s="152"/>
    </row>
    <row r="3810" spans="7:7" x14ac:dyDescent="0.25">
      <c r="G3810" s="152"/>
    </row>
    <row r="3811" spans="7:7" x14ac:dyDescent="0.25">
      <c r="G3811" s="152"/>
    </row>
    <row r="3812" spans="7:7" x14ac:dyDescent="0.25">
      <c r="G3812" s="152"/>
    </row>
    <row r="3813" spans="7:7" x14ac:dyDescent="0.25">
      <c r="G3813" s="152"/>
    </row>
    <row r="3814" spans="7:7" x14ac:dyDescent="0.25">
      <c r="G3814" s="152"/>
    </row>
    <row r="3815" spans="7:7" x14ac:dyDescent="0.25">
      <c r="G3815" s="152"/>
    </row>
    <row r="3816" spans="7:7" x14ac:dyDescent="0.25">
      <c r="G3816" s="152"/>
    </row>
    <row r="3817" spans="7:7" x14ac:dyDescent="0.25">
      <c r="G3817" s="152"/>
    </row>
    <row r="3818" spans="7:7" x14ac:dyDescent="0.25">
      <c r="G3818" s="152"/>
    </row>
    <row r="3819" spans="7:7" x14ac:dyDescent="0.25">
      <c r="G3819" s="152"/>
    </row>
    <row r="3820" spans="7:7" x14ac:dyDescent="0.25">
      <c r="G3820" s="152"/>
    </row>
    <row r="3821" spans="7:7" x14ac:dyDescent="0.25">
      <c r="G3821" s="152"/>
    </row>
    <row r="3822" spans="7:7" x14ac:dyDescent="0.25">
      <c r="G3822" s="152"/>
    </row>
    <row r="3823" spans="7:7" x14ac:dyDescent="0.25">
      <c r="G3823" s="152"/>
    </row>
    <row r="3824" spans="7:7" x14ac:dyDescent="0.25">
      <c r="G3824" s="152"/>
    </row>
    <row r="3825" spans="7:7" x14ac:dyDescent="0.25">
      <c r="G3825" s="152"/>
    </row>
    <row r="3826" spans="7:7" x14ac:dyDescent="0.25">
      <c r="G3826" s="152"/>
    </row>
    <row r="3827" spans="7:7" x14ac:dyDescent="0.25">
      <c r="G3827" s="152"/>
    </row>
    <row r="3828" spans="7:7" x14ac:dyDescent="0.25">
      <c r="G3828" s="152"/>
    </row>
    <row r="3829" spans="7:7" x14ac:dyDescent="0.25">
      <c r="G3829" s="152"/>
    </row>
    <row r="3830" spans="7:7" x14ac:dyDescent="0.25">
      <c r="G3830" s="152"/>
    </row>
    <row r="3831" spans="7:7" x14ac:dyDescent="0.25">
      <c r="G3831" s="152"/>
    </row>
    <row r="3832" spans="7:7" x14ac:dyDescent="0.25">
      <c r="G3832" s="152"/>
    </row>
    <row r="3833" spans="7:7" x14ac:dyDescent="0.25">
      <c r="G3833" s="152"/>
    </row>
    <row r="3834" spans="7:7" x14ac:dyDescent="0.25">
      <c r="G3834" s="152"/>
    </row>
    <row r="3835" spans="7:7" x14ac:dyDescent="0.25">
      <c r="G3835" s="152"/>
    </row>
    <row r="3836" spans="7:7" x14ac:dyDescent="0.25">
      <c r="G3836" s="152"/>
    </row>
    <row r="3837" spans="7:7" x14ac:dyDescent="0.25">
      <c r="G3837" s="152"/>
    </row>
    <row r="3838" spans="7:7" x14ac:dyDescent="0.25">
      <c r="G3838" s="152"/>
    </row>
    <row r="3839" spans="7:7" x14ac:dyDescent="0.25">
      <c r="G3839" s="152"/>
    </row>
    <row r="3840" spans="7:7" x14ac:dyDescent="0.25">
      <c r="G3840" s="152"/>
    </row>
    <row r="3841" spans="7:7" x14ac:dyDescent="0.25">
      <c r="G3841" s="152"/>
    </row>
    <row r="3842" spans="7:7" x14ac:dyDescent="0.25">
      <c r="G3842" s="152"/>
    </row>
    <row r="3843" spans="7:7" x14ac:dyDescent="0.25">
      <c r="G3843" s="152"/>
    </row>
    <row r="3844" spans="7:7" x14ac:dyDescent="0.25">
      <c r="G3844" s="152"/>
    </row>
    <row r="3845" spans="7:7" x14ac:dyDescent="0.25">
      <c r="G3845" s="152"/>
    </row>
    <row r="3846" spans="7:7" x14ac:dyDescent="0.25">
      <c r="G3846" s="152"/>
    </row>
    <row r="3847" spans="7:7" x14ac:dyDescent="0.25">
      <c r="G3847" s="152"/>
    </row>
    <row r="3848" spans="7:7" x14ac:dyDescent="0.25">
      <c r="G3848" s="152"/>
    </row>
    <row r="3849" spans="7:7" x14ac:dyDescent="0.25">
      <c r="G3849" s="152"/>
    </row>
    <row r="3850" spans="7:7" x14ac:dyDescent="0.25">
      <c r="G3850" s="152"/>
    </row>
    <row r="3851" spans="7:7" x14ac:dyDescent="0.25">
      <c r="G3851" s="152"/>
    </row>
    <row r="3852" spans="7:7" x14ac:dyDescent="0.25">
      <c r="G3852" s="152"/>
    </row>
    <row r="3853" spans="7:7" x14ac:dyDescent="0.25">
      <c r="G3853" s="152"/>
    </row>
    <row r="3854" spans="7:7" x14ac:dyDescent="0.25">
      <c r="G3854" s="152"/>
    </row>
    <row r="3855" spans="7:7" x14ac:dyDescent="0.25">
      <c r="G3855" s="152"/>
    </row>
    <row r="3856" spans="7:7" x14ac:dyDescent="0.25">
      <c r="G3856" s="152"/>
    </row>
    <row r="3857" spans="7:7" x14ac:dyDescent="0.25">
      <c r="G3857" s="152"/>
    </row>
    <row r="3858" spans="7:7" x14ac:dyDescent="0.25">
      <c r="G3858" s="152"/>
    </row>
    <row r="3859" spans="7:7" x14ac:dyDescent="0.25">
      <c r="G3859" s="152"/>
    </row>
    <row r="3860" spans="7:7" x14ac:dyDescent="0.25">
      <c r="G3860" s="152"/>
    </row>
    <row r="3861" spans="7:7" x14ac:dyDescent="0.25">
      <c r="G3861" s="152"/>
    </row>
    <row r="3862" spans="7:7" x14ac:dyDescent="0.25">
      <c r="G3862" s="152"/>
    </row>
    <row r="3863" spans="7:7" x14ac:dyDescent="0.25">
      <c r="G3863" s="152"/>
    </row>
    <row r="3864" spans="7:7" x14ac:dyDescent="0.25">
      <c r="G3864" s="152"/>
    </row>
    <row r="3865" spans="7:7" x14ac:dyDescent="0.25">
      <c r="G3865" s="152"/>
    </row>
    <row r="3866" spans="7:7" x14ac:dyDescent="0.25">
      <c r="G3866" s="152"/>
    </row>
    <row r="3867" spans="7:7" x14ac:dyDescent="0.25">
      <c r="G3867" s="152"/>
    </row>
    <row r="3868" spans="7:7" x14ac:dyDescent="0.25">
      <c r="G3868" s="152"/>
    </row>
    <row r="3869" spans="7:7" x14ac:dyDescent="0.25">
      <c r="G3869" s="152"/>
    </row>
    <row r="3870" spans="7:7" x14ac:dyDescent="0.25">
      <c r="G3870" s="152"/>
    </row>
    <row r="3871" spans="7:7" x14ac:dyDescent="0.25">
      <c r="G3871" s="152"/>
    </row>
    <row r="3872" spans="7:7" x14ac:dyDescent="0.25">
      <c r="G3872" s="152"/>
    </row>
    <row r="3873" spans="7:7" x14ac:dyDescent="0.25">
      <c r="G3873" s="152"/>
    </row>
    <row r="3874" spans="7:7" x14ac:dyDescent="0.25">
      <c r="G3874" s="152"/>
    </row>
    <row r="3875" spans="7:7" x14ac:dyDescent="0.25">
      <c r="G3875" s="152"/>
    </row>
    <row r="3876" spans="7:7" x14ac:dyDescent="0.25">
      <c r="G3876" s="152"/>
    </row>
    <row r="3877" spans="7:7" x14ac:dyDescent="0.25">
      <c r="G3877" s="152"/>
    </row>
    <row r="3878" spans="7:7" x14ac:dyDescent="0.25">
      <c r="G3878" s="152"/>
    </row>
    <row r="3879" spans="7:7" x14ac:dyDescent="0.25">
      <c r="G3879" s="152"/>
    </row>
    <row r="3880" spans="7:7" x14ac:dyDescent="0.25">
      <c r="G3880" s="152"/>
    </row>
    <row r="3881" spans="7:7" x14ac:dyDescent="0.25">
      <c r="G3881" s="152"/>
    </row>
    <row r="3882" spans="7:7" x14ac:dyDescent="0.25">
      <c r="G3882" s="152"/>
    </row>
    <row r="3883" spans="7:7" x14ac:dyDescent="0.25">
      <c r="G3883" s="152"/>
    </row>
    <row r="3884" spans="7:7" x14ac:dyDescent="0.25">
      <c r="G3884" s="152"/>
    </row>
    <row r="3885" spans="7:7" x14ac:dyDescent="0.25">
      <c r="G3885" s="152"/>
    </row>
    <row r="3886" spans="7:7" x14ac:dyDescent="0.25">
      <c r="G3886" s="152"/>
    </row>
    <row r="3887" spans="7:7" x14ac:dyDescent="0.25">
      <c r="G3887" s="152"/>
    </row>
    <row r="3888" spans="7:7" x14ac:dyDescent="0.25">
      <c r="G3888" s="152"/>
    </row>
    <row r="3889" spans="7:7" x14ac:dyDescent="0.25">
      <c r="G3889" s="152"/>
    </row>
    <row r="3890" spans="7:7" x14ac:dyDescent="0.25">
      <c r="G3890" s="152"/>
    </row>
    <row r="3891" spans="7:7" x14ac:dyDescent="0.25">
      <c r="G3891" s="152"/>
    </row>
    <row r="3892" spans="7:7" x14ac:dyDescent="0.25">
      <c r="G3892" s="152"/>
    </row>
    <row r="3893" spans="7:7" x14ac:dyDescent="0.25">
      <c r="G3893" s="152"/>
    </row>
    <row r="3894" spans="7:7" x14ac:dyDescent="0.25">
      <c r="G3894" s="152"/>
    </row>
    <row r="3895" spans="7:7" x14ac:dyDescent="0.25">
      <c r="G3895" s="152"/>
    </row>
    <row r="3896" spans="7:7" x14ac:dyDescent="0.25">
      <c r="G3896" s="152"/>
    </row>
    <row r="3897" spans="7:7" x14ac:dyDescent="0.25">
      <c r="G3897" s="152"/>
    </row>
    <row r="3898" spans="7:7" x14ac:dyDescent="0.25">
      <c r="G3898" s="152"/>
    </row>
    <row r="3899" spans="7:7" x14ac:dyDescent="0.25">
      <c r="G3899" s="152"/>
    </row>
    <row r="3900" spans="7:7" x14ac:dyDescent="0.25">
      <c r="G3900" s="152"/>
    </row>
    <row r="3901" spans="7:7" x14ac:dyDescent="0.25">
      <c r="G3901" s="152"/>
    </row>
    <row r="3902" spans="7:7" x14ac:dyDescent="0.25">
      <c r="G3902" s="152"/>
    </row>
    <row r="3903" spans="7:7" x14ac:dyDescent="0.25">
      <c r="G3903" s="152"/>
    </row>
    <row r="3904" spans="7:7" x14ac:dyDescent="0.25">
      <c r="G3904" s="152"/>
    </row>
    <row r="3905" spans="7:7" x14ac:dyDescent="0.25">
      <c r="G3905" s="152"/>
    </row>
    <row r="3906" spans="7:7" x14ac:dyDescent="0.25">
      <c r="G3906" s="152"/>
    </row>
    <row r="3907" spans="7:7" x14ac:dyDescent="0.25">
      <c r="G3907" s="152"/>
    </row>
    <row r="3908" spans="7:7" x14ac:dyDescent="0.25">
      <c r="G3908" s="152"/>
    </row>
    <row r="3909" spans="7:7" x14ac:dyDescent="0.25">
      <c r="G3909" s="152"/>
    </row>
    <row r="3910" spans="7:7" x14ac:dyDescent="0.25">
      <c r="G3910" s="152"/>
    </row>
    <row r="3911" spans="7:7" x14ac:dyDescent="0.25">
      <c r="G3911" s="152"/>
    </row>
    <row r="3912" spans="7:7" x14ac:dyDescent="0.25">
      <c r="G3912" s="152"/>
    </row>
    <row r="3913" spans="7:7" x14ac:dyDescent="0.25">
      <c r="G3913" s="152"/>
    </row>
    <row r="3914" spans="7:7" x14ac:dyDescent="0.25">
      <c r="G3914" s="152"/>
    </row>
    <row r="3915" spans="7:7" x14ac:dyDescent="0.25">
      <c r="G3915" s="152"/>
    </row>
    <row r="3916" spans="7:7" x14ac:dyDescent="0.25">
      <c r="G3916" s="152"/>
    </row>
    <row r="3917" spans="7:7" x14ac:dyDescent="0.25">
      <c r="G3917" s="152"/>
    </row>
    <row r="3918" spans="7:7" x14ac:dyDescent="0.25">
      <c r="G3918" s="152"/>
    </row>
    <row r="3919" spans="7:7" x14ac:dyDescent="0.25">
      <c r="G3919" s="152"/>
    </row>
    <row r="3920" spans="7:7" x14ac:dyDescent="0.25">
      <c r="G3920" s="152"/>
    </row>
    <row r="3921" spans="7:7" x14ac:dyDescent="0.25">
      <c r="G3921" s="152"/>
    </row>
    <row r="3922" spans="7:7" x14ac:dyDescent="0.25">
      <c r="G3922" s="152"/>
    </row>
    <row r="3923" spans="7:7" x14ac:dyDescent="0.25">
      <c r="G3923" s="152"/>
    </row>
    <row r="3924" spans="7:7" x14ac:dyDescent="0.25">
      <c r="G3924" s="152"/>
    </row>
    <row r="3925" spans="7:7" x14ac:dyDescent="0.25">
      <c r="G3925" s="152"/>
    </row>
    <row r="3926" spans="7:7" x14ac:dyDescent="0.25">
      <c r="G3926" s="152"/>
    </row>
    <row r="3927" spans="7:7" x14ac:dyDescent="0.25">
      <c r="G3927" s="152"/>
    </row>
    <row r="3928" spans="7:7" x14ac:dyDescent="0.25">
      <c r="G3928" s="152"/>
    </row>
    <row r="3929" spans="7:7" x14ac:dyDescent="0.25">
      <c r="G3929" s="152"/>
    </row>
    <row r="3930" spans="7:7" x14ac:dyDescent="0.25">
      <c r="G3930" s="152"/>
    </row>
    <row r="3931" spans="7:7" x14ac:dyDescent="0.25">
      <c r="G3931" s="152"/>
    </row>
    <row r="3932" spans="7:7" x14ac:dyDescent="0.25">
      <c r="G3932" s="152"/>
    </row>
    <row r="3933" spans="7:7" x14ac:dyDescent="0.25">
      <c r="G3933" s="152"/>
    </row>
    <row r="3934" spans="7:7" x14ac:dyDescent="0.25">
      <c r="G3934" s="152"/>
    </row>
    <row r="3935" spans="7:7" x14ac:dyDescent="0.25">
      <c r="G3935" s="152"/>
    </row>
    <row r="3936" spans="7:7" x14ac:dyDescent="0.25">
      <c r="G3936" s="152"/>
    </row>
    <row r="3937" spans="7:7" x14ac:dyDescent="0.25">
      <c r="G3937" s="152"/>
    </row>
    <row r="3938" spans="7:7" x14ac:dyDescent="0.25">
      <c r="G3938" s="152"/>
    </row>
    <row r="3939" spans="7:7" x14ac:dyDescent="0.25">
      <c r="G3939" s="152"/>
    </row>
    <row r="3940" spans="7:7" x14ac:dyDescent="0.25">
      <c r="G3940" s="152"/>
    </row>
    <row r="3941" spans="7:7" x14ac:dyDescent="0.25">
      <c r="G3941" s="152"/>
    </row>
    <row r="3942" spans="7:7" x14ac:dyDescent="0.25">
      <c r="G3942" s="152"/>
    </row>
    <row r="3943" spans="7:7" x14ac:dyDescent="0.25">
      <c r="G3943" s="152"/>
    </row>
    <row r="3944" spans="7:7" x14ac:dyDescent="0.25">
      <c r="G3944" s="152"/>
    </row>
    <row r="3945" spans="7:7" x14ac:dyDescent="0.25">
      <c r="G3945" s="152"/>
    </row>
    <row r="3946" spans="7:7" x14ac:dyDescent="0.25">
      <c r="G3946" s="152"/>
    </row>
    <row r="3947" spans="7:7" x14ac:dyDescent="0.25">
      <c r="G3947" s="152"/>
    </row>
    <row r="3948" spans="7:7" x14ac:dyDescent="0.25">
      <c r="G3948" s="152"/>
    </row>
    <row r="3949" spans="7:7" x14ac:dyDescent="0.25">
      <c r="G3949" s="152"/>
    </row>
    <row r="3950" spans="7:7" x14ac:dyDescent="0.25">
      <c r="G3950" s="152"/>
    </row>
    <row r="3951" spans="7:7" x14ac:dyDescent="0.25">
      <c r="G3951" s="152"/>
    </row>
    <row r="3952" spans="7:7" x14ac:dyDescent="0.25">
      <c r="G3952" s="152"/>
    </row>
    <row r="3953" spans="7:7" x14ac:dyDescent="0.25">
      <c r="G3953" s="152"/>
    </row>
    <row r="3954" spans="7:7" x14ac:dyDescent="0.25">
      <c r="G3954" s="152"/>
    </row>
    <row r="3955" spans="7:7" x14ac:dyDescent="0.25">
      <c r="G3955" s="152"/>
    </row>
    <row r="3956" spans="7:7" x14ac:dyDescent="0.25">
      <c r="G3956" s="152"/>
    </row>
    <row r="3957" spans="7:7" x14ac:dyDescent="0.25">
      <c r="G3957" s="152"/>
    </row>
    <row r="3958" spans="7:7" x14ac:dyDescent="0.25">
      <c r="G3958" s="152"/>
    </row>
    <row r="3959" spans="7:7" x14ac:dyDescent="0.25">
      <c r="G3959" s="152"/>
    </row>
    <row r="3960" spans="7:7" x14ac:dyDescent="0.25">
      <c r="G3960" s="152"/>
    </row>
    <row r="3961" spans="7:7" x14ac:dyDescent="0.25">
      <c r="G3961" s="152"/>
    </row>
    <row r="3962" spans="7:7" x14ac:dyDescent="0.25">
      <c r="G3962" s="152"/>
    </row>
    <row r="3963" spans="7:7" x14ac:dyDescent="0.25">
      <c r="G3963" s="152"/>
    </row>
    <row r="3964" spans="7:7" x14ac:dyDescent="0.25">
      <c r="G3964" s="152"/>
    </row>
    <row r="3965" spans="7:7" x14ac:dyDescent="0.25">
      <c r="G3965" s="152"/>
    </row>
    <row r="3966" spans="7:7" x14ac:dyDescent="0.25">
      <c r="G3966" s="152"/>
    </row>
    <row r="3967" spans="7:7" x14ac:dyDescent="0.25">
      <c r="G3967" s="152"/>
    </row>
    <row r="3968" spans="7:7" x14ac:dyDescent="0.25">
      <c r="G3968" s="152"/>
    </row>
    <row r="3969" spans="7:7" x14ac:dyDescent="0.25">
      <c r="G3969" s="152"/>
    </row>
    <row r="3970" spans="7:7" x14ac:dyDescent="0.25">
      <c r="G3970" s="152"/>
    </row>
    <row r="3971" spans="7:7" x14ac:dyDescent="0.25">
      <c r="G3971" s="152"/>
    </row>
    <row r="3972" spans="7:7" x14ac:dyDescent="0.25">
      <c r="G3972" s="152"/>
    </row>
    <row r="3973" spans="7:7" x14ac:dyDescent="0.25">
      <c r="G3973" s="152"/>
    </row>
    <row r="3974" spans="7:7" x14ac:dyDescent="0.25">
      <c r="G3974" s="152"/>
    </row>
    <row r="3975" spans="7:7" x14ac:dyDescent="0.25">
      <c r="G3975" s="152"/>
    </row>
    <row r="3976" spans="7:7" x14ac:dyDescent="0.25">
      <c r="G3976" s="152"/>
    </row>
    <row r="3977" spans="7:7" x14ac:dyDescent="0.25">
      <c r="G3977" s="152"/>
    </row>
    <row r="3978" spans="7:7" x14ac:dyDescent="0.25">
      <c r="G3978" s="152"/>
    </row>
    <row r="3979" spans="7:7" x14ac:dyDescent="0.25">
      <c r="G3979" s="152"/>
    </row>
    <row r="3980" spans="7:7" x14ac:dyDescent="0.25">
      <c r="G3980" s="152"/>
    </row>
    <row r="3981" spans="7:7" x14ac:dyDescent="0.25">
      <c r="G3981" s="152"/>
    </row>
    <row r="3982" spans="7:7" x14ac:dyDescent="0.25">
      <c r="G3982" s="152"/>
    </row>
    <row r="3983" spans="7:7" x14ac:dyDescent="0.25">
      <c r="G3983" s="152"/>
    </row>
    <row r="3984" spans="7:7" x14ac:dyDescent="0.25">
      <c r="G3984" s="152"/>
    </row>
    <row r="3985" spans="7:7" x14ac:dyDescent="0.25">
      <c r="G3985" s="152"/>
    </row>
    <row r="3986" spans="7:7" x14ac:dyDescent="0.25">
      <c r="G3986" s="152"/>
    </row>
    <row r="3987" spans="7:7" x14ac:dyDescent="0.25">
      <c r="G3987" s="152"/>
    </row>
    <row r="3988" spans="7:7" x14ac:dyDescent="0.25">
      <c r="G3988" s="152"/>
    </row>
    <row r="3989" spans="7:7" x14ac:dyDescent="0.25">
      <c r="G3989" s="152"/>
    </row>
    <row r="3990" spans="7:7" x14ac:dyDescent="0.25">
      <c r="G3990" s="152"/>
    </row>
    <row r="3991" spans="7:7" x14ac:dyDescent="0.25">
      <c r="G3991" s="152"/>
    </row>
    <row r="3992" spans="7:7" x14ac:dyDescent="0.25">
      <c r="G3992" s="152"/>
    </row>
    <row r="3993" spans="7:7" x14ac:dyDescent="0.25">
      <c r="G3993" s="152"/>
    </row>
    <row r="3994" spans="7:7" x14ac:dyDescent="0.25">
      <c r="G3994" s="152"/>
    </row>
    <row r="3995" spans="7:7" x14ac:dyDescent="0.25">
      <c r="G3995" s="152"/>
    </row>
    <row r="3996" spans="7:7" x14ac:dyDescent="0.25">
      <c r="G3996" s="152"/>
    </row>
    <row r="3997" spans="7:7" x14ac:dyDescent="0.25">
      <c r="G3997" s="152"/>
    </row>
    <row r="3998" spans="7:7" x14ac:dyDescent="0.25">
      <c r="G3998" s="152"/>
    </row>
    <row r="3999" spans="7:7" x14ac:dyDescent="0.25">
      <c r="G3999" s="152"/>
    </row>
    <row r="4000" spans="7:7" x14ac:dyDescent="0.25">
      <c r="G4000" s="152"/>
    </row>
    <row r="4001" spans="7:7" x14ac:dyDescent="0.25">
      <c r="G4001" s="152"/>
    </row>
    <row r="4002" spans="7:7" x14ac:dyDescent="0.25">
      <c r="G4002" s="152"/>
    </row>
    <row r="4003" spans="7:7" x14ac:dyDescent="0.25">
      <c r="G4003" s="152"/>
    </row>
    <row r="4004" spans="7:7" x14ac:dyDescent="0.25">
      <c r="G4004" s="152"/>
    </row>
    <row r="4005" spans="7:7" x14ac:dyDescent="0.25">
      <c r="G4005" s="152"/>
    </row>
    <row r="4006" spans="7:7" x14ac:dyDescent="0.25">
      <c r="G4006" s="152"/>
    </row>
    <row r="4007" spans="7:7" x14ac:dyDescent="0.25">
      <c r="G4007" s="152"/>
    </row>
    <row r="4008" spans="7:7" x14ac:dyDescent="0.25">
      <c r="G4008" s="152"/>
    </row>
    <row r="4009" spans="7:7" x14ac:dyDescent="0.25">
      <c r="G4009" s="152"/>
    </row>
    <row r="4010" spans="7:7" x14ac:dyDescent="0.25">
      <c r="G4010" s="152"/>
    </row>
    <row r="4011" spans="7:7" x14ac:dyDescent="0.25">
      <c r="G4011" s="152"/>
    </row>
    <row r="4012" spans="7:7" x14ac:dyDescent="0.25">
      <c r="G4012" s="152"/>
    </row>
    <row r="4013" spans="7:7" x14ac:dyDescent="0.25">
      <c r="G4013" s="152"/>
    </row>
    <row r="4014" spans="7:7" x14ac:dyDescent="0.25">
      <c r="G4014" s="152"/>
    </row>
    <row r="4015" spans="7:7" x14ac:dyDescent="0.25">
      <c r="G4015" s="152"/>
    </row>
    <row r="4016" spans="7:7" x14ac:dyDescent="0.25">
      <c r="G4016" s="152"/>
    </row>
    <row r="4017" spans="7:7" x14ac:dyDescent="0.25">
      <c r="G4017" s="152"/>
    </row>
    <row r="4018" spans="7:7" x14ac:dyDescent="0.25">
      <c r="G4018" s="152"/>
    </row>
    <row r="4019" spans="7:7" x14ac:dyDescent="0.25">
      <c r="G4019" s="152"/>
    </row>
    <row r="4020" spans="7:7" x14ac:dyDescent="0.25">
      <c r="G4020" s="152"/>
    </row>
    <row r="4021" spans="7:7" x14ac:dyDescent="0.25">
      <c r="G4021" s="152"/>
    </row>
    <row r="4022" spans="7:7" x14ac:dyDescent="0.25">
      <c r="G4022" s="152"/>
    </row>
    <row r="4023" spans="7:7" x14ac:dyDescent="0.25">
      <c r="G4023" s="152"/>
    </row>
    <row r="4024" spans="7:7" x14ac:dyDescent="0.25">
      <c r="G4024" s="152"/>
    </row>
    <row r="4025" spans="7:7" x14ac:dyDescent="0.25">
      <c r="G4025" s="152"/>
    </row>
    <row r="4026" spans="7:7" x14ac:dyDescent="0.25">
      <c r="G4026" s="152"/>
    </row>
    <row r="4027" spans="7:7" x14ac:dyDescent="0.25">
      <c r="G4027" s="152"/>
    </row>
    <row r="4028" spans="7:7" x14ac:dyDescent="0.25">
      <c r="G4028" s="152"/>
    </row>
    <row r="4029" spans="7:7" x14ac:dyDescent="0.25">
      <c r="G4029" s="152"/>
    </row>
    <row r="4030" spans="7:7" x14ac:dyDescent="0.25">
      <c r="G4030" s="152"/>
    </row>
    <row r="4031" spans="7:7" x14ac:dyDescent="0.25">
      <c r="G4031" s="152"/>
    </row>
    <row r="4032" spans="7:7" x14ac:dyDescent="0.25">
      <c r="G4032" s="152"/>
    </row>
    <row r="4033" spans="7:7" x14ac:dyDescent="0.25">
      <c r="G4033" s="152"/>
    </row>
    <row r="4034" spans="7:7" x14ac:dyDescent="0.25">
      <c r="G4034" s="152"/>
    </row>
    <row r="4035" spans="7:7" x14ac:dyDescent="0.25">
      <c r="G4035" s="152"/>
    </row>
    <row r="4036" spans="7:7" x14ac:dyDescent="0.25">
      <c r="G4036" s="152"/>
    </row>
    <row r="4037" spans="7:7" x14ac:dyDescent="0.25">
      <c r="G4037" s="152"/>
    </row>
    <row r="4038" spans="7:7" x14ac:dyDescent="0.25">
      <c r="G4038" s="152"/>
    </row>
    <row r="4039" spans="7:7" x14ac:dyDescent="0.25">
      <c r="G4039" s="152"/>
    </row>
    <row r="4040" spans="7:7" x14ac:dyDescent="0.25">
      <c r="G4040" s="152"/>
    </row>
    <row r="4041" spans="7:7" x14ac:dyDescent="0.25">
      <c r="G4041" s="152"/>
    </row>
    <row r="4042" spans="7:7" x14ac:dyDescent="0.25">
      <c r="G4042" s="152"/>
    </row>
    <row r="4043" spans="7:7" x14ac:dyDescent="0.25">
      <c r="G4043" s="152"/>
    </row>
    <row r="4044" spans="7:7" x14ac:dyDescent="0.25">
      <c r="G4044" s="152"/>
    </row>
    <row r="4045" spans="7:7" x14ac:dyDescent="0.25">
      <c r="G4045" s="152"/>
    </row>
    <row r="4046" spans="7:7" x14ac:dyDescent="0.25">
      <c r="G4046" s="152"/>
    </row>
    <row r="4047" spans="7:7" x14ac:dyDescent="0.25">
      <c r="G4047" s="152"/>
    </row>
    <row r="4048" spans="7:7" x14ac:dyDescent="0.25">
      <c r="G4048" s="152"/>
    </row>
    <row r="4049" spans="7:7" x14ac:dyDescent="0.25">
      <c r="G4049" s="152"/>
    </row>
    <row r="4050" spans="7:7" x14ac:dyDescent="0.25">
      <c r="G4050" s="152"/>
    </row>
    <row r="4051" spans="7:7" x14ac:dyDescent="0.25">
      <c r="G4051" s="152"/>
    </row>
    <row r="4052" spans="7:7" x14ac:dyDescent="0.25">
      <c r="G4052" s="152"/>
    </row>
    <row r="4053" spans="7:7" x14ac:dyDescent="0.25">
      <c r="G4053" s="152"/>
    </row>
    <row r="4054" spans="7:7" x14ac:dyDescent="0.25">
      <c r="G4054" s="152"/>
    </row>
    <row r="4055" spans="7:7" x14ac:dyDescent="0.25">
      <c r="G4055" s="152"/>
    </row>
    <row r="4056" spans="7:7" x14ac:dyDescent="0.25">
      <c r="G4056" s="152"/>
    </row>
    <row r="4057" spans="7:7" x14ac:dyDescent="0.25">
      <c r="G4057" s="152"/>
    </row>
    <row r="4058" spans="7:7" x14ac:dyDescent="0.25">
      <c r="G4058" s="152"/>
    </row>
    <row r="4059" spans="7:7" x14ac:dyDescent="0.25">
      <c r="G4059" s="152"/>
    </row>
    <row r="4060" spans="7:7" x14ac:dyDescent="0.25">
      <c r="G4060" s="152"/>
    </row>
    <row r="4061" spans="7:7" x14ac:dyDescent="0.25">
      <c r="G4061" s="152"/>
    </row>
    <row r="4062" spans="7:7" x14ac:dyDescent="0.25">
      <c r="G4062" s="152"/>
    </row>
    <row r="4063" spans="7:7" x14ac:dyDescent="0.25">
      <c r="G4063" s="152"/>
    </row>
    <row r="4064" spans="7:7" x14ac:dyDescent="0.25">
      <c r="G4064" s="152"/>
    </row>
    <row r="4065" spans="7:7" x14ac:dyDescent="0.25">
      <c r="G4065" s="152"/>
    </row>
    <row r="4066" spans="7:7" x14ac:dyDescent="0.25">
      <c r="G4066" s="152"/>
    </row>
    <row r="4067" spans="7:7" x14ac:dyDescent="0.25">
      <c r="G4067" s="152"/>
    </row>
    <row r="4068" spans="7:7" x14ac:dyDescent="0.25">
      <c r="G4068" s="152"/>
    </row>
    <row r="4069" spans="7:7" x14ac:dyDescent="0.25">
      <c r="G4069" s="152"/>
    </row>
    <row r="4070" spans="7:7" x14ac:dyDescent="0.25">
      <c r="G4070" s="152"/>
    </row>
    <row r="4071" spans="7:7" x14ac:dyDescent="0.25">
      <c r="G4071" s="152"/>
    </row>
    <row r="4072" spans="7:7" x14ac:dyDescent="0.25">
      <c r="G4072" s="152"/>
    </row>
    <row r="4073" spans="7:7" x14ac:dyDescent="0.25">
      <c r="G4073" s="152"/>
    </row>
    <row r="4074" spans="7:7" x14ac:dyDescent="0.25">
      <c r="G4074" s="152"/>
    </row>
    <row r="4075" spans="7:7" x14ac:dyDescent="0.25">
      <c r="G4075" s="152"/>
    </row>
    <row r="4076" spans="7:7" x14ac:dyDescent="0.25">
      <c r="G4076" s="152"/>
    </row>
    <row r="4077" spans="7:7" x14ac:dyDescent="0.25">
      <c r="G4077" s="152"/>
    </row>
    <row r="4078" spans="7:7" x14ac:dyDescent="0.25">
      <c r="G4078" s="152"/>
    </row>
    <row r="4079" spans="7:7" x14ac:dyDescent="0.25">
      <c r="G4079" s="152"/>
    </row>
    <row r="4080" spans="7:7" x14ac:dyDescent="0.25">
      <c r="G4080" s="152"/>
    </row>
    <row r="4081" spans="7:7" x14ac:dyDescent="0.25">
      <c r="G4081" s="152"/>
    </row>
    <row r="4082" spans="7:7" x14ac:dyDescent="0.25">
      <c r="G4082" s="152"/>
    </row>
    <row r="4083" spans="7:7" x14ac:dyDescent="0.25">
      <c r="G4083" s="152"/>
    </row>
    <row r="4084" spans="7:7" x14ac:dyDescent="0.25">
      <c r="G4084" s="152"/>
    </row>
    <row r="4085" spans="7:7" x14ac:dyDescent="0.25">
      <c r="G4085" s="152"/>
    </row>
    <row r="4086" spans="7:7" x14ac:dyDescent="0.25">
      <c r="G4086" s="152"/>
    </row>
    <row r="4087" spans="7:7" x14ac:dyDescent="0.25">
      <c r="G4087" s="152"/>
    </row>
    <row r="4088" spans="7:7" x14ac:dyDescent="0.25">
      <c r="G4088" s="152"/>
    </row>
    <row r="4089" spans="7:7" x14ac:dyDescent="0.25">
      <c r="G4089" s="152"/>
    </row>
    <row r="4090" spans="7:7" x14ac:dyDescent="0.25">
      <c r="G4090" s="152"/>
    </row>
    <row r="4091" spans="7:7" x14ac:dyDescent="0.25">
      <c r="G4091" s="152"/>
    </row>
    <row r="4092" spans="7:7" x14ac:dyDescent="0.25">
      <c r="G4092" s="152"/>
    </row>
    <row r="4093" spans="7:7" x14ac:dyDescent="0.25">
      <c r="G4093" s="152"/>
    </row>
    <row r="4094" spans="7:7" x14ac:dyDescent="0.25">
      <c r="G4094" s="152"/>
    </row>
    <row r="4095" spans="7:7" x14ac:dyDescent="0.25">
      <c r="G4095" s="152"/>
    </row>
    <row r="4096" spans="7:7" x14ac:dyDescent="0.25">
      <c r="G4096" s="152"/>
    </row>
    <row r="4097" spans="7:7" x14ac:dyDescent="0.25">
      <c r="G4097" s="152"/>
    </row>
    <row r="4098" spans="7:7" x14ac:dyDescent="0.25">
      <c r="G4098" s="152"/>
    </row>
    <row r="4099" spans="7:7" x14ac:dyDescent="0.25">
      <c r="G4099" s="152"/>
    </row>
    <row r="4100" spans="7:7" x14ac:dyDescent="0.25">
      <c r="G4100" s="152"/>
    </row>
    <row r="4101" spans="7:7" x14ac:dyDescent="0.25">
      <c r="G4101" s="152"/>
    </row>
    <row r="4102" spans="7:7" x14ac:dyDescent="0.25">
      <c r="G4102" s="152"/>
    </row>
    <row r="4103" spans="7:7" x14ac:dyDescent="0.25">
      <c r="G4103" s="152"/>
    </row>
    <row r="4104" spans="7:7" x14ac:dyDescent="0.25">
      <c r="G4104" s="152"/>
    </row>
    <row r="4105" spans="7:7" x14ac:dyDescent="0.25">
      <c r="G4105" s="152"/>
    </row>
    <row r="4106" spans="7:7" x14ac:dyDescent="0.25">
      <c r="G4106" s="152"/>
    </row>
    <row r="4107" spans="7:7" x14ac:dyDescent="0.25">
      <c r="G4107" s="152"/>
    </row>
    <row r="4108" spans="7:7" x14ac:dyDescent="0.25">
      <c r="G4108" s="152"/>
    </row>
    <row r="4109" spans="7:7" x14ac:dyDescent="0.25">
      <c r="G4109" s="152"/>
    </row>
    <row r="4110" spans="7:7" x14ac:dyDescent="0.25">
      <c r="G4110" s="152"/>
    </row>
    <row r="4111" spans="7:7" x14ac:dyDescent="0.25">
      <c r="G4111" s="152"/>
    </row>
    <row r="4112" spans="7:7" x14ac:dyDescent="0.25">
      <c r="G4112" s="152"/>
    </row>
    <row r="4113" spans="7:7" x14ac:dyDescent="0.25">
      <c r="G4113" s="152"/>
    </row>
    <row r="4114" spans="7:7" x14ac:dyDescent="0.25">
      <c r="G4114" s="152"/>
    </row>
    <row r="4115" spans="7:7" x14ac:dyDescent="0.25">
      <c r="G4115" s="152"/>
    </row>
    <row r="4116" spans="7:7" x14ac:dyDescent="0.25">
      <c r="G4116" s="152"/>
    </row>
    <row r="4117" spans="7:7" x14ac:dyDescent="0.25">
      <c r="G4117" s="152"/>
    </row>
    <row r="4118" spans="7:7" x14ac:dyDescent="0.25">
      <c r="G4118" s="152"/>
    </row>
    <row r="4119" spans="7:7" x14ac:dyDescent="0.25">
      <c r="G4119" s="152"/>
    </row>
    <row r="4120" spans="7:7" x14ac:dyDescent="0.25">
      <c r="G4120" s="152"/>
    </row>
    <row r="4121" spans="7:7" x14ac:dyDescent="0.25">
      <c r="G4121" s="152"/>
    </row>
    <row r="4122" spans="7:7" x14ac:dyDescent="0.25">
      <c r="G4122" s="152"/>
    </row>
    <row r="4123" spans="7:7" x14ac:dyDescent="0.25">
      <c r="G4123" s="152"/>
    </row>
    <row r="4124" spans="7:7" x14ac:dyDescent="0.25">
      <c r="G4124" s="152"/>
    </row>
    <row r="4125" spans="7:7" x14ac:dyDescent="0.25">
      <c r="G4125" s="152"/>
    </row>
    <row r="4126" spans="7:7" x14ac:dyDescent="0.25">
      <c r="G4126" s="152"/>
    </row>
    <row r="4127" spans="7:7" x14ac:dyDescent="0.25">
      <c r="G4127" s="152"/>
    </row>
    <row r="4128" spans="7:7" x14ac:dyDescent="0.25">
      <c r="G4128" s="152"/>
    </row>
    <row r="4129" spans="7:7" x14ac:dyDescent="0.25">
      <c r="G4129" s="152"/>
    </row>
    <row r="4130" spans="7:7" x14ac:dyDescent="0.25">
      <c r="G4130" s="152"/>
    </row>
    <row r="4131" spans="7:7" x14ac:dyDescent="0.25">
      <c r="G4131" s="152"/>
    </row>
    <row r="4132" spans="7:7" x14ac:dyDescent="0.25">
      <c r="G4132" s="152"/>
    </row>
    <row r="4133" spans="7:7" x14ac:dyDescent="0.25">
      <c r="G4133" s="152"/>
    </row>
    <row r="4134" spans="7:7" x14ac:dyDescent="0.25">
      <c r="G4134" s="152"/>
    </row>
    <row r="4135" spans="7:7" x14ac:dyDescent="0.25">
      <c r="G4135" s="152"/>
    </row>
    <row r="4136" spans="7:7" x14ac:dyDescent="0.25">
      <c r="G4136" s="152"/>
    </row>
    <row r="4137" spans="7:7" x14ac:dyDescent="0.25">
      <c r="G4137" s="152"/>
    </row>
    <row r="4138" spans="7:7" x14ac:dyDescent="0.25">
      <c r="G4138" s="152"/>
    </row>
    <row r="4139" spans="7:7" x14ac:dyDescent="0.25">
      <c r="G4139" s="152"/>
    </row>
    <row r="4140" spans="7:7" x14ac:dyDescent="0.25">
      <c r="G4140" s="152"/>
    </row>
    <row r="4141" spans="7:7" x14ac:dyDescent="0.25">
      <c r="G4141" s="152"/>
    </row>
    <row r="4142" spans="7:7" x14ac:dyDescent="0.25">
      <c r="G4142" s="152"/>
    </row>
    <row r="4143" spans="7:7" x14ac:dyDescent="0.25">
      <c r="G4143" s="152"/>
    </row>
    <row r="4144" spans="7:7" x14ac:dyDescent="0.25">
      <c r="G4144" s="152"/>
    </row>
    <row r="4145" spans="7:7" x14ac:dyDescent="0.25">
      <c r="G4145" s="152"/>
    </row>
    <row r="4146" spans="7:7" x14ac:dyDescent="0.25">
      <c r="G4146" s="152"/>
    </row>
    <row r="4147" spans="7:7" x14ac:dyDescent="0.25">
      <c r="G4147" s="152"/>
    </row>
    <row r="4148" spans="7:7" x14ac:dyDescent="0.25">
      <c r="G4148" s="152"/>
    </row>
    <row r="4149" spans="7:7" x14ac:dyDescent="0.25">
      <c r="G4149" s="152"/>
    </row>
    <row r="4150" spans="7:7" x14ac:dyDescent="0.25">
      <c r="G4150" s="152"/>
    </row>
    <row r="4151" spans="7:7" x14ac:dyDescent="0.25">
      <c r="G4151" s="152"/>
    </row>
    <row r="4152" spans="7:7" x14ac:dyDescent="0.25">
      <c r="G4152" s="152"/>
    </row>
    <row r="4153" spans="7:7" x14ac:dyDescent="0.25">
      <c r="G4153" s="152"/>
    </row>
    <row r="4154" spans="7:7" x14ac:dyDescent="0.25">
      <c r="G4154" s="152"/>
    </row>
    <row r="4155" spans="7:7" x14ac:dyDescent="0.25">
      <c r="G4155" s="152"/>
    </row>
    <row r="4156" spans="7:7" x14ac:dyDescent="0.25">
      <c r="G4156" s="152"/>
    </row>
    <row r="4157" spans="7:7" x14ac:dyDescent="0.25">
      <c r="G4157" s="152"/>
    </row>
    <row r="4158" spans="7:7" x14ac:dyDescent="0.25">
      <c r="G4158" s="152"/>
    </row>
    <row r="4159" spans="7:7" x14ac:dyDescent="0.25">
      <c r="G4159" s="152"/>
    </row>
    <row r="4160" spans="7:7" x14ac:dyDescent="0.25">
      <c r="G4160" s="152"/>
    </row>
    <row r="4161" spans="7:7" x14ac:dyDescent="0.25">
      <c r="G4161" s="152"/>
    </row>
    <row r="4162" spans="7:7" x14ac:dyDescent="0.25">
      <c r="G4162" s="152"/>
    </row>
  </sheetData>
  <autoFilter ref="A5:BM950">
    <sortState ref="A6:BM890">
      <sortCondition ref="A5:A890"/>
    </sortState>
  </autoFilter>
  <mergeCells count="2">
    <mergeCell ref="K1:O1"/>
    <mergeCell ref="P1:T1"/>
  </mergeCells>
  <conditionalFormatting sqref="A6:L251 A256:L1001 B253:L255 A253 A255">
    <cfRule type="expression" dxfId="13" priority="375">
      <formula>$B6&lt;0</formula>
    </cfRule>
    <cfRule type="expression" dxfId="12" priority="381">
      <formula>LEN(A6)=0</formula>
    </cfRule>
  </conditionalFormatting>
  <conditionalFormatting sqref="B6:L251 B253:L1001">
    <cfRule type="expression" dxfId="11" priority="385">
      <formula>$B6&gt;0</formula>
    </cfRule>
  </conditionalFormatting>
  <conditionalFormatting sqref="A6:A251 A253 A255:A1001">
    <cfRule type="expression" dxfId="10" priority="262">
      <formula>COUNTIF(OFFSET(DBEA_ExID,0,0,DBE_COUNT+10,1),A6)&gt;1</formula>
    </cfRule>
  </conditionalFormatting>
  <conditionalFormatting sqref="A252 A254">
    <cfRule type="expression" dxfId="9" priority="1">
      <formula>COUNTIF(OFFSET(DBEA_ExID,0,0,DBE_COUNT+10,1),A252)&gt;1</formula>
    </cfRule>
  </conditionalFormatting>
  <dataValidations count="1">
    <dataValidation type="list" allowBlank="1" showInputMessage="1" showErrorMessage="1" sqref="D6:D11 D212 D216:D217">
      <formula1>DL_ExerciseType</formula1>
    </dataValidation>
  </dataValidations>
  <hyperlinks>
    <hyperlink ref="N277" r:id="rId1"/>
  </hyperlinks>
  <pageMargins left="0.7" right="0.7" top="0.75" bottom="0.75" header="0.3" footer="0.3"/>
  <pageSetup paperSize="9" orientation="portrait" r:id="rId2"/>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E61"/>
  <sheetViews>
    <sheetView zoomScale="70" zoomScaleNormal="70" workbookViewId="0">
      <selection activeCell="B12" sqref="B12"/>
    </sheetView>
  </sheetViews>
  <sheetFormatPr baseColWidth="10" defaultRowHeight="15" x14ac:dyDescent="0.25"/>
  <cols>
    <col min="1" max="1" width="44.85546875" customWidth="1"/>
    <col min="2" max="2" width="35.7109375" customWidth="1"/>
    <col min="3" max="3" width="41.140625" customWidth="1"/>
    <col min="4" max="4" width="69.85546875" customWidth="1"/>
    <col min="6" max="6" width="9.42578125" customWidth="1"/>
    <col min="8" max="8" width="12.7109375" customWidth="1"/>
  </cols>
  <sheetData>
    <row r="1" spans="1:5" ht="36" x14ac:dyDescent="0.25">
      <c r="A1" s="24" t="str">
        <f>MUI_Title</f>
        <v>Golf Workplan Manager</v>
      </c>
      <c r="B1" s="23"/>
      <c r="C1" s="23"/>
      <c r="D1" s="23"/>
    </row>
    <row r="2" spans="1:5" ht="20.25" customHeight="1" x14ac:dyDescent="0.25">
      <c r="A2" s="23" t="str">
        <f>MUI_CONFIG_Description</f>
        <v>Config Table</v>
      </c>
      <c r="B2" s="23"/>
      <c r="C2" s="23"/>
      <c r="D2" s="23"/>
    </row>
    <row r="3" spans="1:5" ht="24.75" customHeight="1" x14ac:dyDescent="0.25">
      <c r="A3" s="25"/>
      <c r="B3" s="25"/>
      <c r="C3" s="25"/>
      <c r="D3" s="25"/>
    </row>
    <row r="4" spans="1:5" x14ac:dyDescent="0.25">
      <c r="A4" s="25" t="s">
        <v>34</v>
      </c>
      <c r="B4" s="25" t="s">
        <v>50</v>
      </c>
      <c r="C4" s="25" t="s">
        <v>51</v>
      </c>
      <c r="D4" s="25" t="s">
        <v>609</v>
      </c>
    </row>
    <row r="5" spans="1:5" x14ac:dyDescent="0.25">
      <c r="A5" t="s">
        <v>33</v>
      </c>
      <c r="B5" t="s">
        <v>31</v>
      </c>
      <c r="C5" t="str">
        <f>MUI_SEL_LANG</f>
        <v>English</v>
      </c>
    </row>
    <row r="6" spans="1:5" x14ac:dyDescent="0.25">
      <c r="A6" t="s">
        <v>116</v>
      </c>
      <c r="B6" t="s">
        <v>117</v>
      </c>
    </row>
    <row r="7" spans="1:5" x14ac:dyDescent="0.25">
      <c r="A7" t="s">
        <v>118</v>
      </c>
      <c r="B7">
        <v>1000</v>
      </c>
      <c r="E7">
        <f>MaxLine</f>
        <v>1000</v>
      </c>
    </row>
    <row r="8" spans="1:5" x14ac:dyDescent="0.25">
      <c r="A8" t="s">
        <v>161</v>
      </c>
      <c r="C8">
        <f ca="1">DBEI_ROWID</f>
        <v>28</v>
      </c>
    </row>
    <row r="9" spans="1:5" x14ac:dyDescent="0.25">
      <c r="A9" t="s">
        <v>608</v>
      </c>
      <c r="B9">
        <v>0.1</v>
      </c>
      <c r="C9">
        <f>TH_DELTA_HCP</f>
        <v>0.1</v>
      </c>
      <c r="D9" t="s">
        <v>610</v>
      </c>
    </row>
    <row r="10" spans="1:5" x14ac:dyDescent="0.25">
      <c r="A10" t="s">
        <v>614</v>
      </c>
      <c r="B10">
        <v>2</v>
      </c>
      <c r="C10">
        <f>TH_STD_HCP</f>
        <v>2</v>
      </c>
      <c r="D10" t="s">
        <v>615</v>
      </c>
    </row>
    <row r="11" spans="1:5" x14ac:dyDescent="0.25">
      <c r="A11" t="s">
        <v>1362</v>
      </c>
      <c r="B11">
        <f>0.9144</f>
        <v>0.91439999999999999</v>
      </c>
    </row>
    <row r="12" spans="1:5" x14ac:dyDescent="0.25">
      <c r="A12" t="s">
        <v>1361</v>
      </c>
      <c r="B12" s="312">
        <v>0.30480370641306997</v>
      </c>
      <c r="C12" s="313"/>
    </row>
    <row r="15" spans="1:5" ht="23.25" customHeight="1" x14ac:dyDescent="0.25">
      <c r="C15" s="229" t="s">
        <v>1143</v>
      </c>
    </row>
    <row r="16" spans="1:5" ht="23.25" customHeight="1" x14ac:dyDescent="0.35">
      <c r="A16" s="230" t="s">
        <v>1141</v>
      </c>
      <c r="B16" t="s">
        <v>1142</v>
      </c>
      <c r="C16">
        <v>1000</v>
      </c>
    </row>
    <row r="17" spans="2:4" ht="23.25" customHeight="1" x14ac:dyDescent="0.25">
      <c r="B17" s="96" t="str">
        <f>MUI_STAT_T_MainTitel_1</f>
        <v>Putting</v>
      </c>
      <c r="C17">
        <v>2000</v>
      </c>
    </row>
    <row r="18" spans="2:4" ht="23.25" customHeight="1" x14ac:dyDescent="0.25">
      <c r="B18" s="96" t="str">
        <f>MUI_STAT_T_MainTitel_2</f>
        <v>Chipping</v>
      </c>
      <c r="C18">
        <v>3000</v>
      </c>
    </row>
    <row r="19" spans="2:4" ht="23.25" customHeight="1" x14ac:dyDescent="0.25">
      <c r="B19" s="96" t="str">
        <f>MUI_STAT_T_MainTitel_3</f>
        <v>Pitching</v>
      </c>
      <c r="C19">
        <v>4000</v>
      </c>
    </row>
    <row r="20" spans="2:4" ht="23.25" customHeight="1" x14ac:dyDescent="0.25">
      <c r="B20" s="96" t="str">
        <f>MUI_STAT_T_MainTitel_4</f>
        <v>Approach Shot</v>
      </c>
      <c r="C20">
        <v>5000</v>
      </c>
    </row>
    <row r="21" spans="2:4" ht="23.25" customHeight="1" x14ac:dyDescent="0.25">
      <c r="B21" s="96" t="str">
        <f>MUI_STAT_T_MainTitel_5</f>
        <v>Wood</v>
      </c>
      <c r="C21">
        <v>6000</v>
      </c>
    </row>
    <row r="22" spans="2:4" ht="23.25" customHeight="1" x14ac:dyDescent="0.25">
      <c r="B22" s="96" t="str">
        <f>MUI_STAT_T_MainTitel_6</f>
        <v>Driver</v>
      </c>
      <c r="C22">
        <v>7000</v>
      </c>
    </row>
    <row r="23" spans="2:4" ht="23.25" customHeight="1" x14ac:dyDescent="0.25">
      <c r="B23" s="96" t="str">
        <f>MUI_STAT_T_MainTitel_7</f>
        <v>Bunker</v>
      </c>
      <c r="C23">
        <v>8000</v>
      </c>
    </row>
    <row r="24" spans="2:4" ht="23.25" customHeight="1" x14ac:dyDescent="0.25">
      <c r="B24" s="96" t="str">
        <f>MUI_STAT_T_MainTitel_8</f>
        <v>Mental</v>
      </c>
      <c r="C24">
        <v>9000</v>
      </c>
    </row>
    <row r="25" spans="2:4" ht="23.25" customHeight="1" x14ac:dyDescent="0.25">
      <c r="B25" s="96" t="str">
        <f>MUI_STAT_T_MainTitel_9</f>
        <v>Round of Golf</v>
      </c>
      <c r="C25">
        <v>9500</v>
      </c>
    </row>
    <row r="26" spans="2:4" ht="23.25" customHeight="1" x14ac:dyDescent="0.25">
      <c r="B26" t="s">
        <v>1145</v>
      </c>
      <c r="C26">
        <v>9800</v>
      </c>
      <c r="D26" t="s">
        <v>1146</v>
      </c>
    </row>
    <row r="27" spans="2:4" ht="23.25" customHeight="1" x14ac:dyDescent="0.25"/>
    <row r="37" spans="1:1" x14ac:dyDescent="0.25">
      <c r="A37" t="s">
        <v>1112</v>
      </c>
    </row>
    <row r="39" spans="1:1" ht="117" customHeight="1" x14ac:dyDescent="0.25"/>
    <row r="55" spans="1:2" x14ac:dyDescent="0.25">
      <c r="A55" s="47" t="s">
        <v>157</v>
      </c>
      <c r="B55" s="47" t="s">
        <v>457</v>
      </c>
    </row>
    <row r="56" spans="1:2" x14ac:dyDescent="0.25">
      <c r="A56" t="s">
        <v>31</v>
      </c>
      <c r="B56" t="s">
        <v>494</v>
      </c>
    </row>
    <row r="57" spans="1:2" x14ac:dyDescent="0.25">
      <c r="A57" t="s">
        <v>19</v>
      </c>
      <c r="B57" t="s">
        <v>181</v>
      </c>
    </row>
    <row r="58" spans="1:2" x14ac:dyDescent="0.25">
      <c r="B58" t="s">
        <v>98</v>
      </c>
    </row>
    <row r="59" spans="1:2" x14ac:dyDescent="0.25">
      <c r="B59" t="s">
        <v>51</v>
      </c>
    </row>
    <row r="60" spans="1:2" x14ac:dyDescent="0.25">
      <c r="B60" t="s">
        <v>6</v>
      </c>
    </row>
    <row r="61" spans="1:2" x14ac:dyDescent="0.25">
      <c r="B61" t="s">
        <v>526</v>
      </c>
    </row>
  </sheetData>
  <pageMargins left="0.7" right="0.7" top="0.78740157499999996" bottom="0.78740157499999996"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4"/>
  <dimension ref="A1:E101"/>
  <sheetViews>
    <sheetView topLeftCell="A43" workbookViewId="0">
      <selection activeCell="B71" sqref="B71"/>
    </sheetView>
  </sheetViews>
  <sheetFormatPr baseColWidth="10" defaultRowHeight="15" x14ac:dyDescent="0.25"/>
  <cols>
    <col min="2" max="2" width="12.5703125" bestFit="1" customWidth="1"/>
    <col min="5" max="5" width="12.5703125" bestFit="1" customWidth="1"/>
  </cols>
  <sheetData>
    <row r="1" spans="1:5" x14ac:dyDescent="0.25">
      <c r="A1" s="309" t="s">
        <v>1359</v>
      </c>
      <c r="B1" s="310" t="s">
        <v>1360</v>
      </c>
      <c r="D1" s="309" t="s">
        <v>1363</v>
      </c>
      <c r="E1" s="310" t="s">
        <v>1360</v>
      </c>
    </row>
    <row r="2" spans="1:5" x14ac:dyDescent="0.25">
      <c r="A2" s="11">
        <v>1</v>
      </c>
      <c r="B2" s="311">
        <f t="shared" ref="B2:B33" si="0">A2*_YardsToMeter</f>
        <v>0.91439999999999999</v>
      </c>
      <c r="D2" s="11">
        <v>1</v>
      </c>
      <c r="E2" s="311">
        <f t="shared" ref="E2:E33" si="1">D2*_FeetsToMeter</f>
        <v>0.30480370641306997</v>
      </c>
    </row>
    <row r="3" spans="1:5" x14ac:dyDescent="0.25">
      <c r="A3" s="11">
        <v>2</v>
      </c>
      <c r="B3" s="311">
        <f t="shared" si="0"/>
        <v>1.8288</v>
      </c>
      <c r="D3" s="11">
        <v>2</v>
      </c>
      <c r="E3" s="311">
        <f t="shared" si="1"/>
        <v>0.60960741282613995</v>
      </c>
    </row>
    <row r="4" spans="1:5" x14ac:dyDescent="0.25">
      <c r="A4" s="11">
        <v>3</v>
      </c>
      <c r="B4" s="311">
        <f t="shared" si="0"/>
        <v>2.7431999999999999</v>
      </c>
      <c r="D4" s="11">
        <v>3</v>
      </c>
      <c r="E4" s="311">
        <f t="shared" si="1"/>
        <v>0.91441111923920992</v>
      </c>
    </row>
    <row r="5" spans="1:5" x14ac:dyDescent="0.25">
      <c r="A5" s="11">
        <v>4</v>
      </c>
      <c r="B5" s="311">
        <f t="shared" si="0"/>
        <v>3.6576</v>
      </c>
      <c r="D5" s="11">
        <v>4</v>
      </c>
      <c r="E5" s="311">
        <f t="shared" si="1"/>
        <v>1.2192148256522799</v>
      </c>
    </row>
    <row r="6" spans="1:5" x14ac:dyDescent="0.25">
      <c r="A6" s="11">
        <v>5</v>
      </c>
      <c r="B6" s="311">
        <f t="shared" si="0"/>
        <v>4.5720000000000001</v>
      </c>
      <c r="D6" s="11">
        <v>5</v>
      </c>
      <c r="E6" s="311">
        <f t="shared" si="1"/>
        <v>1.5240185320653499</v>
      </c>
    </row>
    <row r="7" spans="1:5" x14ac:dyDescent="0.25">
      <c r="A7" s="11">
        <v>6</v>
      </c>
      <c r="B7" s="311">
        <f t="shared" si="0"/>
        <v>5.4863999999999997</v>
      </c>
      <c r="D7" s="11">
        <v>6</v>
      </c>
      <c r="E7" s="311">
        <f t="shared" si="1"/>
        <v>1.8288222384784198</v>
      </c>
    </row>
    <row r="8" spans="1:5" x14ac:dyDescent="0.25">
      <c r="A8" s="11">
        <v>7</v>
      </c>
      <c r="B8" s="311">
        <f t="shared" si="0"/>
        <v>6.4008000000000003</v>
      </c>
      <c r="D8" s="11">
        <v>7</v>
      </c>
      <c r="E8" s="311">
        <f t="shared" si="1"/>
        <v>2.1336259448914898</v>
      </c>
    </row>
    <row r="9" spans="1:5" x14ac:dyDescent="0.25">
      <c r="A9" s="11">
        <v>8</v>
      </c>
      <c r="B9" s="311">
        <f t="shared" si="0"/>
        <v>7.3151999999999999</v>
      </c>
      <c r="D9" s="11">
        <v>8</v>
      </c>
      <c r="E9" s="311">
        <f t="shared" si="1"/>
        <v>2.4384296513045598</v>
      </c>
    </row>
    <row r="10" spans="1:5" x14ac:dyDescent="0.25">
      <c r="A10" s="11">
        <v>9</v>
      </c>
      <c r="B10" s="311">
        <f t="shared" si="0"/>
        <v>8.2295999999999996</v>
      </c>
      <c r="D10" s="11">
        <v>9</v>
      </c>
      <c r="E10" s="311">
        <f t="shared" si="1"/>
        <v>2.7432333577176298</v>
      </c>
    </row>
    <row r="11" spans="1:5" x14ac:dyDescent="0.25">
      <c r="A11" s="11">
        <v>10</v>
      </c>
      <c r="B11" s="311">
        <f t="shared" si="0"/>
        <v>9.1440000000000001</v>
      </c>
      <c r="D11" s="11">
        <v>10</v>
      </c>
      <c r="E11" s="311">
        <f t="shared" si="1"/>
        <v>3.0480370641306997</v>
      </c>
    </row>
    <row r="12" spans="1:5" x14ac:dyDescent="0.25">
      <c r="A12" s="11">
        <v>11</v>
      </c>
      <c r="B12" s="311">
        <f t="shared" si="0"/>
        <v>10.058400000000001</v>
      </c>
      <c r="D12" s="11">
        <v>11</v>
      </c>
      <c r="E12" s="311">
        <f t="shared" si="1"/>
        <v>3.3528407705437697</v>
      </c>
    </row>
    <row r="13" spans="1:5" x14ac:dyDescent="0.25">
      <c r="A13" s="11">
        <v>12</v>
      </c>
      <c r="B13" s="311">
        <f t="shared" si="0"/>
        <v>10.972799999999999</v>
      </c>
      <c r="D13" s="11">
        <v>12</v>
      </c>
      <c r="E13" s="311">
        <f t="shared" si="1"/>
        <v>3.6576444769568397</v>
      </c>
    </row>
    <row r="14" spans="1:5" x14ac:dyDescent="0.25">
      <c r="A14" s="11">
        <v>13</v>
      </c>
      <c r="B14" s="311">
        <f t="shared" si="0"/>
        <v>11.8872</v>
      </c>
      <c r="D14" s="11">
        <v>13</v>
      </c>
      <c r="E14" s="311">
        <f t="shared" si="1"/>
        <v>3.9624481833699097</v>
      </c>
    </row>
    <row r="15" spans="1:5" x14ac:dyDescent="0.25">
      <c r="A15" s="11">
        <v>14</v>
      </c>
      <c r="B15" s="311">
        <f t="shared" si="0"/>
        <v>12.801600000000001</v>
      </c>
      <c r="D15" s="11">
        <v>14</v>
      </c>
      <c r="E15" s="311">
        <f t="shared" si="1"/>
        <v>4.2672518897829796</v>
      </c>
    </row>
    <row r="16" spans="1:5" x14ac:dyDescent="0.25">
      <c r="A16" s="11">
        <v>15</v>
      </c>
      <c r="B16" s="311">
        <f t="shared" si="0"/>
        <v>13.715999999999999</v>
      </c>
      <c r="D16" s="11">
        <v>15</v>
      </c>
      <c r="E16" s="311">
        <f t="shared" si="1"/>
        <v>4.5720555961960496</v>
      </c>
    </row>
    <row r="17" spans="1:5" x14ac:dyDescent="0.25">
      <c r="A17" s="11">
        <v>16</v>
      </c>
      <c r="B17" s="311">
        <f t="shared" si="0"/>
        <v>14.6304</v>
      </c>
      <c r="D17" s="11">
        <v>16</v>
      </c>
      <c r="E17" s="311">
        <f t="shared" si="1"/>
        <v>4.8768593026091196</v>
      </c>
    </row>
    <row r="18" spans="1:5" x14ac:dyDescent="0.25">
      <c r="A18" s="11">
        <v>17</v>
      </c>
      <c r="B18" s="311">
        <f t="shared" si="0"/>
        <v>15.5448</v>
      </c>
      <c r="D18" s="11">
        <v>17</v>
      </c>
      <c r="E18" s="311">
        <f t="shared" si="1"/>
        <v>5.1816630090221896</v>
      </c>
    </row>
    <row r="19" spans="1:5" x14ac:dyDescent="0.25">
      <c r="A19" s="11">
        <v>18</v>
      </c>
      <c r="B19" s="311">
        <f t="shared" si="0"/>
        <v>16.459199999999999</v>
      </c>
      <c r="D19" s="11">
        <v>18</v>
      </c>
      <c r="E19" s="311">
        <f t="shared" si="1"/>
        <v>5.4864667154352595</v>
      </c>
    </row>
    <row r="20" spans="1:5" x14ac:dyDescent="0.25">
      <c r="A20" s="11">
        <v>19</v>
      </c>
      <c r="B20" s="311">
        <f t="shared" si="0"/>
        <v>17.3736</v>
      </c>
      <c r="D20" s="11">
        <v>19</v>
      </c>
      <c r="E20" s="311">
        <f t="shared" si="1"/>
        <v>5.7912704218483295</v>
      </c>
    </row>
    <row r="21" spans="1:5" x14ac:dyDescent="0.25">
      <c r="A21" s="11">
        <v>20</v>
      </c>
      <c r="B21" s="311">
        <f t="shared" si="0"/>
        <v>18.288</v>
      </c>
      <c r="D21" s="11">
        <v>20</v>
      </c>
      <c r="E21" s="311">
        <f t="shared" si="1"/>
        <v>6.0960741282613995</v>
      </c>
    </row>
    <row r="22" spans="1:5" x14ac:dyDescent="0.25">
      <c r="A22" s="11">
        <v>21</v>
      </c>
      <c r="B22" s="311">
        <f t="shared" si="0"/>
        <v>19.202400000000001</v>
      </c>
      <c r="D22" s="11">
        <v>21</v>
      </c>
      <c r="E22" s="311">
        <f t="shared" si="1"/>
        <v>6.4008778346744695</v>
      </c>
    </row>
    <row r="23" spans="1:5" x14ac:dyDescent="0.25">
      <c r="A23" s="11">
        <v>22</v>
      </c>
      <c r="B23" s="311">
        <f t="shared" si="0"/>
        <v>20.116800000000001</v>
      </c>
      <c r="D23" s="11">
        <v>22</v>
      </c>
      <c r="E23" s="311">
        <f t="shared" si="1"/>
        <v>6.7056815410875394</v>
      </c>
    </row>
    <row r="24" spans="1:5" x14ac:dyDescent="0.25">
      <c r="A24" s="11">
        <v>23</v>
      </c>
      <c r="B24" s="311">
        <f t="shared" si="0"/>
        <v>21.031199999999998</v>
      </c>
      <c r="D24" s="11">
        <v>23</v>
      </c>
      <c r="E24" s="311">
        <f t="shared" si="1"/>
        <v>7.0104852475006094</v>
      </c>
    </row>
    <row r="25" spans="1:5" x14ac:dyDescent="0.25">
      <c r="A25" s="11">
        <v>24</v>
      </c>
      <c r="B25" s="311">
        <f t="shared" si="0"/>
        <v>21.945599999999999</v>
      </c>
      <c r="D25" s="11">
        <v>24</v>
      </c>
      <c r="E25" s="311">
        <f t="shared" si="1"/>
        <v>7.3152889539136794</v>
      </c>
    </row>
    <row r="26" spans="1:5" x14ac:dyDescent="0.25">
      <c r="A26" s="11">
        <v>25</v>
      </c>
      <c r="B26" s="311">
        <f t="shared" si="0"/>
        <v>22.86</v>
      </c>
      <c r="D26" s="11">
        <v>25</v>
      </c>
      <c r="E26" s="311">
        <f t="shared" si="1"/>
        <v>7.6200926603267494</v>
      </c>
    </row>
    <row r="27" spans="1:5" x14ac:dyDescent="0.25">
      <c r="A27" s="11">
        <v>26</v>
      </c>
      <c r="B27" s="311">
        <f t="shared" si="0"/>
        <v>23.7744</v>
      </c>
      <c r="D27" s="11">
        <v>26</v>
      </c>
      <c r="E27" s="311">
        <f t="shared" si="1"/>
        <v>7.9248963667398193</v>
      </c>
    </row>
    <row r="28" spans="1:5" x14ac:dyDescent="0.25">
      <c r="A28" s="11">
        <v>27</v>
      </c>
      <c r="B28" s="311">
        <f t="shared" si="0"/>
        <v>24.688800000000001</v>
      </c>
      <c r="D28" s="11">
        <v>27</v>
      </c>
      <c r="E28" s="311">
        <f t="shared" si="1"/>
        <v>8.2297000731528893</v>
      </c>
    </row>
    <row r="29" spans="1:5" x14ac:dyDescent="0.25">
      <c r="A29" s="11">
        <v>28</v>
      </c>
      <c r="B29" s="311">
        <f t="shared" si="0"/>
        <v>25.603200000000001</v>
      </c>
      <c r="D29" s="11">
        <v>28</v>
      </c>
      <c r="E29" s="311">
        <f t="shared" si="1"/>
        <v>8.5345037795659593</v>
      </c>
    </row>
    <row r="30" spans="1:5" x14ac:dyDescent="0.25">
      <c r="A30" s="11">
        <v>29</v>
      </c>
      <c r="B30" s="311">
        <f t="shared" si="0"/>
        <v>26.517599999999998</v>
      </c>
      <c r="D30" s="11">
        <v>29</v>
      </c>
      <c r="E30" s="311">
        <f t="shared" si="1"/>
        <v>8.8393074859790293</v>
      </c>
    </row>
    <row r="31" spans="1:5" x14ac:dyDescent="0.25">
      <c r="A31" s="11">
        <v>30</v>
      </c>
      <c r="B31" s="311">
        <f t="shared" si="0"/>
        <v>27.431999999999999</v>
      </c>
      <c r="D31" s="11">
        <v>30</v>
      </c>
      <c r="E31" s="311">
        <f t="shared" si="1"/>
        <v>9.1441111923920992</v>
      </c>
    </row>
    <row r="32" spans="1:5" x14ac:dyDescent="0.25">
      <c r="A32" s="11">
        <v>31</v>
      </c>
      <c r="B32" s="311">
        <f t="shared" si="0"/>
        <v>28.346399999999999</v>
      </c>
      <c r="D32" s="11">
        <v>31</v>
      </c>
      <c r="E32" s="311">
        <f t="shared" si="1"/>
        <v>9.4489148988051692</v>
      </c>
    </row>
    <row r="33" spans="1:5" x14ac:dyDescent="0.25">
      <c r="A33" s="11">
        <v>32</v>
      </c>
      <c r="B33" s="311">
        <f t="shared" si="0"/>
        <v>29.2608</v>
      </c>
      <c r="D33" s="11">
        <v>32</v>
      </c>
      <c r="E33" s="311">
        <f t="shared" si="1"/>
        <v>9.7537186052182392</v>
      </c>
    </row>
    <row r="34" spans="1:5" x14ac:dyDescent="0.25">
      <c r="A34" s="11">
        <v>33</v>
      </c>
      <c r="B34" s="311">
        <f t="shared" ref="B34:B65" si="2">A34*_YardsToMeter</f>
        <v>30.1752</v>
      </c>
      <c r="D34" s="11">
        <v>33</v>
      </c>
      <c r="E34" s="311">
        <f t="shared" ref="E34:E65" si="3">D34*_FeetsToMeter</f>
        <v>10.058522311631309</v>
      </c>
    </row>
    <row r="35" spans="1:5" x14ac:dyDescent="0.25">
      <c r="A35" s="11">
        <v>34</v>
      </c>
      <c r="B35" s="311">
        <f t="shared" si="2"/>
        <v>31.089600000000001</v>
      </c>
      <c r="D35" s="11">
        <v>34</v>
      </c>
      <c r="E35" s="311">
        <f t="shared" si="3"/>
        <v>10.363326018044379</v>
      </c>
    </row>
    <row r="36" spans="1:5" x14ac:dyDescent="0.25">
      <c r="A36" s="11">
        <v>35</v>
      </c>
      <c r="B36" s="311">
        <f t="shared" si="2"/>
        <v>32.003999999999998</v>
      </c>
      <c r="D36" s="11">
        <v>35</v>
      </c>
      <c r="E36" s="311">
        <f t="shared" si="3"/>
        <v>10.668129724457449</v>
      </c>
    </row>
    <row r="37" spans="1:5" x14ac:dyDescent="0.25">
      <c r="A37" s="11">
        <v>36</v>
      </c>
      <c r="B37" s="311">
        <f t="shared" si="2"/>
        <v>32.918399999999998</v>
      </c>
      <c r="D37" s="11">
        <v>36</v>
      </c>
      <c r="E37" s="311">
        <f t="shared" si="3"/>
        <v>10.972933430870519</v>
      </c>
    </row>
    <row r="38" spans="1:5" x14ac:dyDescent="0.25">
      <c r="A38" s="11">
        <v>37</v>
      </c>
      <c r="B38" s="311">
        <f t="shared" si="2"/>
        <v>33.832799999999999</v>
      </c>
      <c r="D38" s="11">
        <v>37</v>
      </c>
      <c r="E38" s="311">
        <f t="shared" si="3"/>
        <v>11.277737137283589</v>
      </c>
    </row>
    <row r="39" spans="1:5" x14ac:dyDescent="0.25">
      <c r="A39" s="11">
        <v>38</v>
      </c>
      <c r="B39" s="311">
        <f t="shared" si="2"/>
        <v>34.747199999999999</v>
      </c>
      <c r="D39" s="11">
        <v>38</v>
      </c>
      <c r="E39" s="311">
        <f t="shared" si="3"/>
        <v>11.582540843696659</v>
      </c>
    </row>
    <row r="40" spans="1:5" x14ac:dyDescent="0.25">
      <c r="A40" s="11">
        <v>39</v>
      </c>
      <c r="B40" s="311">
        <f t="shared" si="2"/>
        <v>35.6616</v>
      </c>
      <c r="D40" s="11">
        <v>39</v>
      </c>
      <c r="E40" s="311">
        <f t="shared" si="3"/>
        <v>11.887344550109729</v>
      </c>
    </row>
    <row r="41" spans="1:5" x14ac:dyDescent="0.25">
      <c r="A41" s="11">
        <v>40</v>
      </c>
      <c r="B41" s="311">
        <f t="shared" si="2"/>
        <v>36.576000000000001</v>
      </c>
      <c r="D41" s="11">
        <v>40</v>
      </c>
      <c r="E41" s="311">
        <f t="shared" si="3"/>
        <v>12.192148256522799</v>
      </c>
    </row>
    <row r="42" spans="1:5" x14ac:dyDescent="0.25">
      <c r="A42" s="11">
        <v>41</v>
      </c>
      <c r="B42" s="311">
        <f t="shared" si="2"/>
        <v>37.490400000000001</v>
      </c>
      <c r="D42" s="11">
        <v>41</v>
      </c>
      <c r="E42" s="311">
        <f t="shared" si="3"/>
        <v>12.496951962935869</v>
      </c>
    </row>
    <row r="43" spans="1:5" x14ac:dyDescent="0.25">
      <c r="A43" s="11">
        <v>42</v>
      </c>
      <c r="B43" s="311">
        <f t="shared" si="2"/>
        <v>38.404800000000002</v>
      </c>
      <c r="D43" s="11">
        <v>42</v>
      </c>
      <c r="E43" s="311">
        <f t="shared" si="3"/>
        <v>12.801755669348939</v>
      </c>
    </row>
    <row r="44" spans="1:5" x14ac:dyDescent="0.25">
      <c r="A44" s="11">
        <v>43</v>
      </c>
      <c r="B44" s="311">
        <f t="shared" si="2"/>
        <v>39.319200000000002</v>
      </c>
      <c r="D44" s="11">
        <v>43</v>
      </c>
      <c r="E44" s="311">
        <f t="shared" si="3"/>
        <v>13.106559375762009</v>
      </c>
    </row>
    <row r="45" spans="1:5" x14ac:dyDescent="0.25">
      <c r="A45" s="11">
        <v>44</v>
      </c>
      <c r="B45" s="311">
        <f t="shared" si="2"/>
        <v>40.233600000000003</v>
      </c>
      <c r="D45" s="11">
        <v>44</v>
      </c>
      <c r="E45" s="311">
        <f t="shared" si="3"/>
        <v>13.411363082175079</v>
      </c>
    </row>
    <row r="46" spans="1:5" x14ac:dyDescent="0.25">
      <c r="A46" s="11">
        <v>45</v>
      </c>
      <c r="B46" s="311">
        <f t="shared" si="2"/>
        <v>41.147999999999996</v>
      </c>
      <c r="D46" s="11">
        <v>45</v>
      </c>
      <c r="E46" s="311">
        <f t="shared" si="3"/>
        <v>13.716166788588149</v>
      </c>
    </row>
    <row r="47" spans="1:5" x14ac:dyDescent="0.25">
      <c r="A47" s="11">
        <v>46</v>
      </c>
      <c r="B47" s="311">
        <f t="shared" si="2"/>
        <v>42.062399999999997</v>
      </c>
      <c r="D47" s="11">
        <v>46</v>
      </c>
      <c r="E47" s="311">
        <f t="shared" si="3"/>
        <v>14.020970495001219</v>
      </c>
    </row>
    <row r="48" spans="1:5" x14ac:dyDescent="0.25">
      <c r="A48" s="11">
        <v>47</v>
      </c>
      <c r="B48" s="311">
        <f t="shared" si="2"/>
        <v>42.976799999999997</v>
      </c>
      <c r="D48" s="11">
        <v>47</v>
      </c>
      <c r="E48" s="311">
        <f t="shared" si="3"/>
        <v>14.325774201414289</v>
      </c>
    </row>
    <row r="49" spans="1:5" x14ac:dyDescent="0.25">
      <c r="A49" s="11">
        <v>48</v>
      </c>
      <c r="B49" s="311">
        <f t="shared" si="2"/>
        <v>43.891199999999998</v>
      </c>
      <c r="D49" s="11">
        <v>48</v>
      </c>
      <c r="E49" s="311">
        <f t="shared" si="3"/>
        <v>14.630577907827359</v>
      </c>
    </row>
    <row r="50" spans="1:5" x14ac:dyDescent="0.25">
      <c r="A50" s="11">
        <v>49</v>
      </c>
      <c r="B50" s="311">
        <f t="shared" si="2"/>
        <v>44.805599999999998</v>
      </c>
      <c r="D50" s="11">
        <v>49</v>
      </c>
      <c r="E50" s="311">
        <f t="shared" si="3"/>
        <v>14.935381614240429</v>
      </c>
    </row>
    <row r="51" spans="1:5" x14ac:dyDescent="0.25">
      <c r="A51" s="11">
        <v>50</v>
      </c>
      <c r="B51" s="311">
        <f t="shared" si="2"/>
        <v>45.72</v>
      </c>
      <c r="D51" s="11">
        <v>50</v>
      </c>
      <c r="E51" s="311">
        <f t="shared" si="3"/>
        <v>15.240185320653499</v>
      </c>
    </row>
    <row r="52" spans="1:5" x14ac:dyDescent="0.25">
      <c r="A52" s="11">
        <v>51</v>
      </c>
      <c r="B52" s="311">
        <f t="shared" si="2"/>
        <v>46.634399999999999</v>
      </c>
      <c r="D52" s="11">
        <v>51</v>
      </c>
      <c r="E52" s="311">
        <f t="shared" si="3"/>
        <v>15.544989027066569</v>
      </c>
    </row>
    <row r="53" spans="1:5" x14ac:dyDescent="0.25">
      <c r="A53" s="11">
        <v>52</v>
      </c>
      <c r="B53" s="311">
        <f t="shared" si="2"/>
        <v>47.5488</v>
      </c>
      <c r="D53" s="11">
        <v>52</v>
      </c>
      <c r="E53" s="311">
        <f t="shared" si="3"/>
        <v>15.849792733479639</v>
      </c>
    </row>
    <row r="54" spans="1:5" x14ac:dyDescent="0.25">
      <c r="A54" s="11">
        <v>53</v>
      </c>
      <c r="B54" s="311">
        <f t="shared" si="2"/>
        <v>48.463200000000001</v>
      </c>
      <c r="D54" s="11">
        <v>53</v>
      </c>
      <c r="E54" s="311">
        <f t="shared" si="3"/>
        <v>16.154596439892707</v>
      </c>
    </row>
    <row r="55" spans="1:5" x14ac:dyDescent="0.25">
      <c r="A55" s="11">
        <v>54</v>
      </c>
      <c r="B55" s="311">
        <f t="shared" si="2"/>
        <v>49.377600000000001</v>
      </c>
      <c r="D55" s="11">
        <v>54</v>
      </c>
      <c r="E55" s="311">
        <f t="shared" si="3"/>
        <v>16.459400146305779</v>
      </c>
    </row>
    <row r="56" spans="1:5" x14ac:dyDescent="0.25">
      <c r="A56" s="11">
        <v>55</v>
      </c>
      <c r="B56" s="311">
        <f t="shared" si="2"/>
        <v>50.292000000000002</v>
      </c>
      <c r="D56" s="11">
        <v>55</v>
      </c>
      <c r="E56" s="311">
        <f t="shared" si="3"/>
        <v>16.76420385271885</v>
      </c>
    </row>
    <row r="57" spans="1:5" x14ac:dyDescent="0.25">
      <c r="A57" s="11">
        <v>56</v>
      </c>
      <c r="B57" s="311">
        <f t="shared" si="2"/>
        <v>51.206400000000002</v>
      </c>
      <c r="D57" s="11">
        <v>56</v>
      </c>
      <c r="E57" s="311">
        <f t="shared" si="3"/>
        <v>17.069007559131919</v>
      </c>
    </row>
    <row r="58" spans="1:5" x14ac:dyDescent="0.25">
      <c r="A58" s="11">
        <v>57</v>
      </c>
      <c r="B58" s="311">
        <f t="shared" si="2"/>
        <v>52.120800000000003</v>
      </c>
      <c r="D58" s="11">
        <v>57</v>
      </c>
      <c r="E58" s="311">
        <f t="shared" si="3"/>
        <v>17.373811265544987</v>
      </c>
    </row>
    <row r="59" spans="1:5" x14ac:dyDescent="0.25">
      <c r="A59" s="11">
        <v>58</v>
      </c>
      <c r="B59" s="311">
        <f t="shared" si="2"/>
        <v>53.035199999999996</v>
      </c>
      <c r="D59" s="11">
        <v>58</v>
      </c>
      <c r="E59" s="311">
        <f t="shared" si="3"/>
        <v>17.678614971958059</v>
      </c>
    </row>
    <row r="60" spans="1:5" x14ac:dyDescent="0.25">
      <c r="A60" s="11">
        <v>59</v>
      </c>
      <c r="B60" s="311">
        <f t="shared" si="2"/>
        <v>53.949599999999997</v>
      </c>
      <c r="D60" s="11">
        <v>59</v>
      </c>
      <c r="E60" s="311">
        <f t="shared" si="3"/>
        <v>17.98341867837113</v>
      </c>
    </row>
    <row r="61" spans="1:5" x14ac:dyDescent="0.25">
      <c r="A61" s="11">
        <v>60</v>
      </c>
      <c r="B61" s="311">
        <f t="shared" si="2"/>
        <v>54.863999999999997</v>
      </c>
      <c r="D61" s="11">
        <v>60</v>
      </c>
      <c r="E61" s="311">
        <f t="shared" si="3"/>
        <v>18.288222384784198</v>
      </c>
    </row>
    <row r="62" spans="1:5" x14ac:dyDescent="0.25">
      <c r="A62" s="11">
        <v>61</v>
      </c>
      <c r="B62" s="311">
        <f t="shared" si="2"/>
        <v>55.778399999999998</v>
      </c>
      <c r="D62" s="11">
        <v>61</v>
      </c>
      <c r="E62" s="311">
        <f t="shared" si="3"/>
        <v>18.593026091197267</v>
      </c>
    </row>
    <row r="63" spans="1:5" x14ac:dyDescent="0.25">
      <c r="A63" s="11">
        <v>62</v>
      </c>
      <c r="B63" s="311">
        <f t="shared" si="2"/>
        <v>56.692799999999998</v>
      </c>
      <c r="D63" s="11">
        <v>62</v>
      </c>
      <c r="E63" s="311">
        <f t="shared" si="3"/>
        <v>18.897829797610338</v>
      </c>
    </row>
    <row r="64" spans="1:5" x14ac:dyDescent="0.25">
      <c r="A64" s="11">
        <v>63</v>
      </c>
      <c r="B64" s="311">
        <f t="shared" si="2"/>
        <v>57.607199999999999</v>
      </c>
      <c r="D64" s="11">
        <v>63</v>
      </c>
      <c r="E64" s="311">
        <f t="shared" si="3"/>
        <v>19.20263350402341</v>
      </c>
    </row>
    <row r="65" spans="1:5" x14ac:dyDescent="0.25">
      <c r="A65" s="11">
        <v>64</v>
      </c>
      <c r="B65" s="311">
        <f t="shared" si="2"/>
        <v>58.521599999999999</v>
      </c>
      <c r="D65" s="11">
        <v>64</v>
      </c>
      <c r="E65" s="311">
        <f t="shared" si="3"/>
        <v>19.507437210436478</v>
      </c>
    </row>
    <row r="66" spans="1:5" x14ac:dyDescent="0.25">
      <c r="A66" s="11">
        <v>65</v>
      </c>
      <c r="B66" s="311">
        <f t="shared" ref="B66:B97" si="4">A66*_YardsToMeter</f>
        <v>59.436</v>
      </c>
      <c r="D66" s="11">
        <v>65</v>
      </c>
      <c r="E66" s="311">
        <f t="shared" ref="E66:E97" si="5">D66*_FeetsToMeter</f>
        <v>19.812240916849547</v>
      </c>
    </row>
    <row r="67" spans="1:5" x14ac:dyDescent="0.25">
      <c r="A67" s="11">
        <v>66</v>
      </c>
      <c r="B67" s="311">
        <f t="shared" si="4"/>
        <v>60.3504</v>
      </c>
      <c r="D67" s="11">
        <v>66</v>
      </c>
      <c r="E67" s="311">
        <f t="shared" si="5"/>
        <v>20.117044623262618</v>
      </c>
    </row>
    <row r="68" spans="1:5" x14ac:dyDescent="0.25">
      <c r="A68" s="11">
        <v>67</v>
      </c>
      <c r="B68" s="311">
        <f t="shared" si="4"/>
        <v>61.264800000000001</v>
      </c>
      <c r="D68" s="11">
        <v>67</v>
      </c>
      <c r="E68" s="311">
        <f t="shared" si="5"/>
        <v>20.42184832967569</v>
      </c>
    </row>
    <row r="69" spans="1:5" x14ac:dyDescent="0.25">
      <c r="A69" s="11">
        <v>68</v>
      </c>
      <c r="B69" s="311">
        <f t="shared" si="4"/>
        <v>62.179200000000002</v>
      </c>
      <c r="D69" s="11">
        <v>68</v>
      </c>
      <c r="E69" s="311">
        <f t="shared" si="5"/>
        <v>20.726652036088758</v>
      </c>
    </row>
    <row r="70" spans="1:5" x14ac:dyDescent="0.25">
      <c r="A70" s="11">
        <v>69</v>
      </c>
      <c r="B70" s="311">
        <f t="shared" si="4"/>
        <v>63.093600000000002</v>
      </c>
      <c r="D70" s="11">
        <v>69</v>
      </c>
      <c r="E70" s="311">
        <f t="shared" si="5"/>
        <v>21.031455742501826</v>
      </c>
    </row>
    <row r="71" spans="1:5" x14ac:dyDescent="0.25">
      <c r="A71" s="11">
        <v>70</v>
      </c>
      <c r="B71" s="311">
        <f t="shared" si="4"/>
        <v>64.007999999999996</v>
      </c>
      <c r="D71" s="11">
        <v>70</v>
      </c>
      <c r="E71" s="311">
        <f t="shared" si="5"/>
        <v>21.336259448914898</v>
      </c>
    </row>
    <row r="72" spans="1:5" x14ac:dyDescent="0.25">
      <c r="A72" s="11">
        <v>71</v>
      </c>
      <c r="B72" s="311">
        <f t="shared" si="4"/>
        <v>64.922399999999996</v>
      </c>
      <c r="D72" s="11">
        <v>71</v>
      </c>
      <c r="E72" s="311">
        <f t="shared" si="5"/>
        <v>21.64106315532797</v>
      </c>
    </row>
    <row r="73" spans="1:5" x14ac:dyDescent="0.25">
      <c r="A73" s="11">
        <v>72</v>
      </c>
      <c r="B73" s="311">
        <f t="shared" si="4"/>
        <v>65.836799999999997</v>
      </c>
      <c r="D73" s="11">
        <v>72</v>
      </c>
      <c r="E73" s="311">
        <f t="shared" si="5"/>
        <v>21.945866861741038</v>
      </c>
    </row>
    <row r="74" spans="1:5" x14ac:dyDescent="0.25">
      <c r="A74" s="11">
        <v>73</v>
      </c>
      <c r="B74" s="311">
        <f t="shared" si="4"/>
        <v>66.751199999999997</v>
      </c>
      <c r="D74" s="11">
        <v>73</v>
      </c>
      <c r="E74" s="311">
        <f t="shared" si="5"/>
        <v>22.250670568154106</v>
      </c>
    </row>
    <row r="75" spans="1:5" x14ac:dyDescent="0.25">
      <c r="A75" s="11">
        <v>74</v>
      </c>
      <c r="B75" s="311">
        <f t="shared" si="4"/>
        <v>67.665599999999998</v>
      </c>
      <c r="D75" s="11">
        <v>74</v>
      </c>
      <c r="E75" s="311">
        <f t="shared" si="5"/>
        <v>22.555474274567178</v>
      </c>
    </row>
    <row r="76" spans="1:5" x14ac:dyDescent="0.25">
      <c r="A76" s="11">
        <v>75</v>
      </c>
      <c r="B76" s="311">
        <f t="shared" si="4"/>
        <v>68.58</v>
      </c>
      <c r="D76" s="11">
        <v>75</v>
      </c>
      <c r="E76" s="311">
        <f t="shared" si="5"/>
        <v>22.86027798098025</v>
      </c>
    </row>
    <row r="77" spans="1:5" x14ac:dyDescent="0.25">
      <c r="A77" s="11">
        <v>76</v>
      </c>
      <c r="B77" s="311">
        <f t="shared" si="4"/>
        <v>69.494399999999999</v>
      </c>
      <c r="D77" s="11">
        <v>76</v>
      </c>
      <c r="E77" s="311">
        <f t="shared" si="5"/>
        <v>23.165081687393318</v>
      </c>
    </row>
    <row r="78" spans="1:5" x14ac:dyDescent="0.25">
      <c r="A78" s="11">
        <v>77</v>
      </c>
      <c r="B78" s="311">
        <f t="shared" si="4"/>
        <v>70.408799999999999</v>
      </c>
      <c r="D78" s="11">
        <v>77</v>
      </c>
      <c r="E78" s="311">
        <f t="shared" si="5"/>
        <v>23.469885393806386</v>
      </c>
    </row>
    <row r="79" spans="1:5" x14ac:dyDescent="0.25">
      <c r="A79" s="11">
        <v>78</v>
      </c>
      <c r="B79" s="311">
        <f t="shared" si="4"/>
        <v>71.3232</v>
      </c>
      <c r="D79" s="11">
        <v>78</v>
      </c>
      <c r="E79" s="311">
        <f t="shared" si="5"/>
        <v>23.774689100219458</v>
      </c>
    </row>
    <row r="80" spans="1:5" x14ac:dyDescent="0.25">
      <c r="A80" s="11">
        <v>79</v>
      </c>
      <c r="B80" s="311">
        <f t="shared" si="4"/>
        <v>72.2376</v>
      </c>
      <c r="D80" s="11">
        <v>79</v>
      </c>
      <c r="E80" s="311">
        <f t="shared" si="5"/>
        <v>24.07949280663253</v>
      </c>
    </row>
    <row r="81" spans="1:5" x14ac:dyDescent="0.25">
      <c r="A81" s="11">
        <v>80</v>
      </c>
      <c r="B81" s="311">
        <f t="shared" si="4"/>
        <v>73.152000000000001</v>
      </c>
      <c r="D81" s="11">
        <v>80</v>
      </c>
      <c r="E81" s="311">
        <f t="shared" si="5"/>
        <v>24.384296513045598</v>
      </c>
    </row>
    <row r="82" spans="1:5" x14ac:dyDescent="0.25">
      <c r="A82" s="11">
        <v>81</v>
      </c>
      <c r="B82" s="311">
        <f t="shared" si="4"/>
        <v>74.066400000000002</v>
      </c>
      <c r="D82" s="11">
        <v>81</v>
      </c>
      <c r="E82" s="311">
        <f t="shared" si="5"/>
        <v>24.689100219458666</v>
      </c>
    </row>
    <row r="83" spans="1:5" x14ac:dyDescent="0.25">
      <c r="A83" s="11">
        <v>82</v>
      </c>
      <c r="B83" s="311">
        <f t="shared" si="4"/>
        <v>74.980800000000002</v>
      </c>
      <c r="D83" s="11">
        <v>82</v>
      </c>
      <c r="E83" s="311">
        <f t="shared" si="5"/>
        <v>24.993903925871738</v>
      </c>
    </row>
    <row r="84" spans="1:5" x14ac:dyDescent="0.25">
      <c r="A84" s="11">
        <v>83</v>
      </c>
      <c r="B84" s="311">
        <f t="shared" si="4"/>
        <v>75.895200000000003</v>
      </c>
      <c r="D84" s="11">
        <v>83</v>
      </c>
      <c r="E84" s="311">
        <f t="shared" si="5"/>
        <v>25.29870763228481</v>
      </c>
    </row>
    <row r="85" spans="1:5" x14ac:dyDescent="0.25">
      <c r="A85" s="11">
        <v>84</v>
      </c>
      <c r="B85" s="311">
        <f t="shared" si="4"/>
        <v>76.809600000000003</v>
      </c>
      <c r="D85" s="11">
        <v>84</v>
      </c>
      <c r="E85" s="311">
        <f t="shared" si="5"/>
        <v>25.603511338697878</v>
      </c>
    </row>
    <row r="86" spans="1:5" x14ac:dyDescent="0.25">
      <c r="A86" s="11">
        <v>85</v>
      </c>
      <c r="B86" s="311">
        <f t="shared" si="4"/>
        <v>77.724000000000004</v>
      </c>
      <c r="D86" s="11">
        <v>85</v>
      </c>
      <c r="E86" s="311">
        <f t="shared" si="5"/>
        <v>25.908315045110946</v>
      </c>
    </row>
    <row r="87" spans="1:5" x14ac:dyDescent="0.25">
      <c r="A87" s="11">
        <v>86</v>
      </c>
      <c r="B87" s="311">
        <f t="shared" si="4"/>
        <v>78.638400000000004</v>
      </c>
      <c r="D87" s="11">
        <v>86</v>
      </c>
      <c r="E87" s="311">
        <f t="shared" si="5"/>
        <v>26.213118751524018</v>
      </c>
    </row>
    <row r="88" spans="1:5" x14ac:dyDescent="0.25">
      <c r="A88" s="11">
        <v>87</v>
      </c>
      <c r="B88" s="311">
        <f t="shared" si="4"/>
        <v>79.552800000000005</v>
      </c>
      <c r="D88" s="11">
        <v>87</v>
      </c>
      <c r="E88" s="311">
        <f t="shared" si="5"/>
        <v>26.51792245793709</v>
      </c>
    </row>
    <row r="89" spans="1:5" x14ac:dyDescent="0.25">
      <c r="A89" s="11">
        <v>88</v>
      </c>
      <c r="B89" s="311">
        <f t="shared" si="4"/>
        <v>80.467200000000005</v>
      </c>
      <c r="D89" s="11">
        <v>88</v>
      </c>
      <c r="E89" s="311">
        <f t="shared" si="5"/>
        <v>26.822726164350158</v>
      </c>
    </row>
    <row r="90" spans="1:5" x14ac:dyDescent="0.25">
      <c r="A90" s="11">
        <v>89</v>
      </c>
      <c r="B90" s="311">
        <f t="shared" si="4"/>
        <v>81.381600000000006</v>
      </c>
      <c r="D90" s="11">
        <v>89</v>
      </c>
      <c r="E90" s="311">
        <f t="shared" si="5"/>
        <v>27.127529870763226</v>
      </c>
    </row>
    <row r="91" spans="1:5" x14ac:dyDescent="0.25">
      <c r="A91" s="11">
        <v>90</v>
      </c>
      <c r="B91" s="311">
        <f t="shared" si="4"/>
        <v>82.295999999999992</v>
      </c>
      <c r="D91" s="11">
        <v>90</v>
      </c>
      <c r="E91" s="311">
        <f t="shared" si="5"/>
        <v>27.432333577176298</v>
      </c>
    </row>
    <row r="92" spans="1:5" x14ac:dyDescent="0.25">
      <c r="A92" s="11">
        <v>91</v>
      </c>
      <c r="B92" s="311">
        <f t="shared" si="4"/>
        <v>83.210399999999993</v>
      </c>
      <c r="D92" s="11">
        <v>91</v>
      </c>
      <c r="E92" s="311">
        <f t="shared" si="5"/>
        <v>27.737137283589369</v>
      </c>
    </row>
    <row r="93" spans="1:5" x14ac:dyDescent="0.25">
      <c r="A93" s="11">
        <v>92</v>
      </c>
      <c r="B93" s="311">
        <f t="shared" si="4"/>
        <v>84.124799999999993</v>
      </c>
      <c r="D93" s="11">
        <v>92</v>
      </c>
      <c r="E93" s="311">
        <f t="shared" si="5"/>
        <v>28.041940990002438</v>
      </c>
    </row>
    <row r="94" spans="1:5" x14ac:dyDescent="0.25">
      <c r="A94" s="11">
        <v>93</v>
      </c>
      <c r="B94" s="311">
        <f t="shared" si="4"/>
        <v>85.039199999999994</v>
      </c>
      <c r="D94" s="11">
        <v>93</v>
      </c>
      <c r="E94" s="311">
        <f t="shared" si="5"/>
        <v>28.346744696415506</v>
      </c>
    </row>
    <row r="95" spans="1:5" x14ac:dyDescent="0.25">
      <c r="A95" s="11">
        <v>94</v>
      </c>
      <c r="B95" s="311">
        <f t="shared" si="4"/>
        <v>85.953599999999994</v>
      </c>
      <c r="D95" s="11">
        <v>94</v>
      </c>
      <c r="E95" s="311">
        <f t="shared" si="5"/>
        <v>28.651548402828578</v>
      </c>
    </row>
    <row r="96" spans="1:5" x14ac:dyDescent="0.25">
      <c r="A96" s="11">
        <v>95</v>
      </c>
      <c r="B96" s="311">
        <f t="shared" si="4"/>
        <v>86.867999999999995</v>
      </c>
      <c r="D96" s="11">
        <v>95</v>
      </c>
      <c r="E96" s="311">
        <f t="shared" si="5"/>
        <v>28.956352109241649</v>
      </c>
    </row>
    <row r="97" spans="1:5" x14ac:dyDescent="0.25">
      <c r="A97" s="11">
        <v>96</v>
      </c>
      <c r="B97" s="311">
        <f t="shared" si="4"/>
        <v>87.782399999999996</v>
      </c>
      <c r="D97" s="11">
        <v>96</v>
      </c>
      <c r="E97" s="311">
        <f t="shared" si="5"/>
        <v>29.261155815654718</v>
      </c>
    </row>
    <row r="98" spans="1:5" x14ac:dyDescent="0.25">
      <c r="A98" s="11">
        <v>97</v>
      </c>
      <c r="B98" s="311">
        <f>A98*_YardsToMeter</f>
        <v>88.696799999999996</v>
      </c>
      <c r="D98" s="11">
        <v>97</v>
      </c>
      <c r="E98" s="311">
        <f>D98*_FeetsToMeter</f>
        <v>29.565959522067786</v>
      </c>
    </row>
    <row r="99" spans="1:5" x14ac:dyDescent="0.25">
      <c r="A99" s="11">
        <v>98</v>
      </c>
      <c r="B99" s="311">
        <f>A99*_YardsToMeter</f>
        <v>89.611199999999997</v>
      </c>
      <c r="D99" s="11">
        <v>98</v>
      </c>
      <c r="E99" s="311">
        <f>D99*_FeetsToMeter</f>
        <v>29.870763228480858</v>
      </c>
    </row>
    <row r="100" spans="1:5" x14ac:dyDescent="0.25">
      <c r="A100" s="11">
        <v>99</v>
      </c>
      <c r="B100" s="311">
        <f>A100*_YardsToMeter</f>
        <v>90.525599999999997</v>
      </c>
      <c r="D100" s="11">
        <v>99</v>
      </c>
      <c r="E100" s="311">
        <f>D100*_FeetsToMeter</f>
        <v>30.175566934893929</v>
      </c>
    </row>
    <row r="101" spans="1:5" x14ac:dyDescent="0.25">
      <c r="A101" s="11">
        <v>100</v>
      </c>
      <c r="B101" s="311">
        <f>A101*_YardsToMeter</f>
        <v>91.44</v>
      </c>
      <c r="D101" s="11">
        <v>100</v>
      </c>
      <c r="E101" s="311">
        <f>D101*_FeetsToMeter</f>
        <v>30.480370641306997</v>
      </c>
    </row>
  </sheetData>
  <pageMargins left="0.7" right="0.7" top="0.78740157499999996" bottom="0.78740157499999996"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3"/>
  <dimension ref="A1:Z175"/>
  <sheetViews>
    <sheetView workbookViewId="0">
      <selection activeCell="E14" sqref="E14"/>
    </sheetView>
  </sheetViews>
  <sheetFormatPr baseColWidth="10" defaultRowHeight="15" x14ac:dyDescent="0.25"/>
  <cols>
    <col min="1" max="1" width="42.28515625" customWidth="1"/>
    <col min="2" max="5" width="21" style="1" customWidth="1"/>
    <col min="8" max="8" width="23.28515625" customWidth="1"/>
    <col min="9" max="9" width="15.7109375" customWidth="1"/>
    <col min="10" max="10" width="14.7109375" customWidth="1"/>
    <col min="11" max="11" width="15" customWidth="1"/>
    <col min="14" max="14" width="21.28515625" bestFit="1" customWidth="1"/>
    <col min="15" max="15" width="17.7109375" bestFit="1" customWidth="1"/>
    <col min="17" max="17" width="15.5703125" customWidth="1"/>
    <col min="22" max="23" width="17.5703125" customWidth="1"/>
  </cols>
  <sheetData>
    <row r="1" spans="1:26" x14ac:dyDescent="0.25">
      <c r="A1" s="524" t="s">
        <v>757</v>
      </c>
      <c r="B1" s="524"/>
      <c r="C1" s="524"/>
      <c r="D1" s="524"/>
      <c r="E1" s="524"/>
      <c r="F1" s="524"/>
      <c r="G1" s="493" t="s">
        <v>935</v>
      </c>
      <c r="H1" s="493"/>
      <c r="I1" s="493"/>
      <c r="J1" s="493"/>
      <c r="K1" s="493"/>
      <c r="L1" s="525" t="s">
        <v>1115</v>
      </c>
      <c r="M1" s="525"/>
      <c r="N1" s="525"/>
      <c r="O1" s="525"/>
      <c r="P1" s="525"/>
      <c r="Q1" s="526" t="s">
        <v>1107</v>
      </c>
      <c r="R1" s="526"/>
      <c r="S1" s="526"/>
      <c r="T1" s="526"/>
      <c r="U1" s="526"/>
      <c r="V1" s="525" t="s">
        <v>1116</v>
      </c>
      <c r="W1" s="525"/>
      <c r="X1" s="525"/>
      <c r="Y1" s="525"/>
      <c r="Z1" s="525"/>
    </row>
    <row r="2" spans="1:26" x14ac:dyDescent="0.25">
      <c r="A2" s="150" t="str">
        <f>MUI_DBE_T_EX_Title</f>
        <v>ExTitle</v>
      </c>
      <c r="B2" s="150" t="str">
        <f>MUI_DBE_T_EX_Topic</f>
        <v>ExTopic</v>
      </c>
      <c r="C2" s="150" t="str">
        <f>MUI_DBE_T_EX_Type</f>
        <v>ExType</v>
      </c>
      <c r="D2" s="150" t="str">
        <f>MUI_DBE_T_EX_NrOfPlayers</f>
        <v>ExNrOfPlayers</v>
      </c>
      <c r="E2" s="150" t="str">
        <f>MUI_DBE_T_EX_Duration</f>
        <v>ExDuration</v>
      </c>
      <c r="F2" s="150" t="str">
        <f>MUI_DBE_T_EX_Level</f>
        <v>ExLevel</v>
      </c>
      <c r="G2" s="112" t="str">
        <f>MUI_DBR_T_PlayerTeam</f>
        <v>PlayerTeam</v>
      </c>
      <c r="H2" s="112" t="str">
        <f>MUI_DBR_T_PlayerName</f>
        <v>PlayerName</v>
      </c>
      <c r="I2" s="112" t="str">
        <f>MUI_DBR_T_PlayerID</f>
        <v>PlayerID</v>
      </c>
      <c r="J2" s="112" t="str">
        <f>MUI_DBR_T_WorkplanDate</f>
        <v>WorkplanDate</v>
      </c>
      <c r="K2" s="112" t="str">
        <f>MUI_DBR_T_WorkplanID</f>
        <v>WPID</v>
      </c>
      <c r="L2" s="193" t="str">
        <f>MUI_DBR_T_PlayerName</f>
        <v>PlayerName</v>
      </c>
      <c r="M2" s="193" t="str">
        <f>MUI_DBR_T_PlayerID</f>
        <v>PlayerID</v>
      </c>
      <c r="N2" s="193"/>
      <c r="O2" s="193"/>
      <c r="P2" s="193"/>
      <c r="Q2" s="213" t="str">
        <f>MUI_DBR_T_WorkplanDate</f>
        <v>WorkplanDate</v>
      </c>
      <c r="R2" s="213"/>
      <c r="S2" s="213"/>
      <c r="T2" s="213"/>
      <c r="U2" s="213"/>
      <c r="V2" s="219" t="str">
        <f>MUI_DBR_T_PlayerName</f>
        <v>PlayerName</v>
      </c>
      <c r="W2" s="219" t="str">
        <f>MUI_DBR_T_PlayerID</f>
        <v>PlayerID</v>
      </c>
      <c r="X2" s="219"/>
      <c r="Y2" s="219"/>
      <c r="Z2" s="219"/>
    </row>
    <row r="3" spans="1:26" x14ac:dyDescent="0.25">
      <c r="A3" s="105">
        <f ca="1">DL_ExTitle_Count</f>
        <v>136</v>
      </c>
      <c r="B3" s="105">
        <f ca="1">DL_ExTopic_Count</f>
        <v>5</v>
      </c>
      <c r="C3" s="105">
        <f ca="1">DL_ExType_Count</f>
        <v>5</v>
      </c>
      <c r="D3" s="105">
        <f ca="1">DL_ExNrOfPlayers_Count</f>
        <v>2</v>
      </c>
      <c r="E3" s="105">
        <f ca="1">DL_ExDuration_Count</f>
        <v>5</v>
      </c>
      <c r="F3" s="105">
        <f ca="1">DL_ExLevel_Count</f>
        <v>5</v>
      </c>
      <c r="G3" s="105">
        <f ca="1">DL_PlayerTeam_Count</f>
        <v>7</v>
      </c>
      <c r="H3" s="105">
        <f ca="1">DL_PlayerName_Count</f>
        <v>17</v>
      </c>
      <c r="I3" s="105">
        <f ca="1">DL_PlayerID_Count</f>
        <v>17</v>
      </c>
      <c r="J3" s="105">
        <f ca="1">DL_WorkplanDate_Count</f>
        <v>28</v>
      </c>
      <c r="K3" s="105">
        <f ca="1">DL_WorkplanID_Count</f>
        <v>25</v>
      </c>
      <c r="L3" s="105">
        <f ca="1">DL_SELPlayer_PlayerNameAndID_Count</f>
        <v>17</v>
      </c>
      <c r="V3" s="105">
        <f ca="1">DL_SELPlayer_WPM_PlayerNameAndID_Count</f>
        <v>1</v>
      </c>
    </row>
    <row r="4" spans="1:26" x14ac:dyDescent="0.25">
      <c r="A4" s="1" t="str">
        <f t="shared" ref="A4:K4" si="0">DL___TAG_ALL</f>
        <v>&lt;ALL&gt;</v>
      </c>
      <c r="B4" s="1" t="str">
        <f t="shared" si="0"/>
        <v>&lt;ALL&gt;</v>
      </c>
      <c r="C4" s="1" t="str">
        <f t="shared" si="0"/>
        <v>&lt;ALL&gt;</v>
      </c>
      <c r="D4" s="1" t="str">
        <f t="shared" si="0"/>
        <v>&lt;ALL&gt;</v>
      </c>
      <c r="E4" s="1" t="str">
        <f t="shared" si="0"/>
        <v>&lt;ALL&gt;</v>
      </c>
      <c r="F4" s="1" t="str">
        <f t="shared" si="0"/>
        <v>&lt;ALL&gt;</v>
      </c>
      <c r="G4" s="1" t="str">
        <f t="shared" si="0"/>
        <v>&lt;ALL&gt;</v>
      </c>
      <c r="H4" s="1" t="str">
        <f t="shared" si="0"/>
        <v>&lt;ALL&gt;</v>
      </c>
      <c r="I4" s="1" t="str">
        <f t="shared" si="0"/>
        <v>&lt;ALL&gt;</v>
      </c>
      <c r="J4" s="1" t="str">
        <f t="shared" si="0"/>
        <v>&lt;ALL&gt;</v>
      </c>
      <c r="K4" s="1" t="str">
        <f t="shared" si="0"/>
        <v>&lt;ALL&gt;</v>
      </c>
      <c r="V4" t="str">
        <f>MUI_TEMPLATE</f>
        <v>&lt; TEMPLATE &gt;</v>
      </c>
    </row>
    <row r="5" spans="1:26" x14ac:dyDescent="0.25">
      <c r="A5" t="s">
        <v>686</v>
      </c>
      <c r="B5" t="s">
        <v>1177</v>
      </c>
      <c r="C5" t="s">
        <v>1084</v>
      </c>
      <c r="D5"/>
      <c r="E5" t="s">
        <v>1447</v>
      </c>
      <c r="F5" t="s">
        <v>861</v>
      </c>
      <c r="H5" t="s">
        <v>1230</v>
      </c>
      <c r="I5" t="s">
        <v>1238</v>
      </c>
      <c r="J5" t="s">
        <v>1559</v>
      </c>
      <c r="K5" s="174" t="s">
        <v>709</v>
      </c>
      <c r="L5" t="s">
        <v>1230</v>
      </c>
      <c r="M5" t="s">
        <v>524</v>
      </c>
      <c r="Q5" s="118">
        <v>42095</v>
      </c>
      <c r="R5" t="s">
        <v>1237</v>
      </c>
      <c r="V5" t="s">
        <v>405</v>
      </c>
      <c r="W5" s="237" t="s">
        <v>1672</v>
      </c>
    </row>
    <row r="6" spans="1:26" x14ac:dyDescent="0.25">
      <c r="A6" t="s">
        <v>683</v>
      </c>
      <c r="B6" t="s">
        <v>249</v>
      </c>
      <c r="C6" t="s">
        <v>98</v>
      </c>
      <c r="D6">
        <v>1</v>
      </c>
      <c r="E6" t="s">
        <v>1451</v>
      </c>
      <c r="F6" t="s">
        <v>478</v>
      </c>
      <c r="G6" t="s">
        <v>1500</v>
      </c>
      <c r="H6" t="s">
        <v>1232</v>
      </c>
      <c r="I6" t="s">
        <v>524</v>
      </c>
      <c r="J6" s="118" t="s">
        <v>1563</v>
      </c>
      <c r="K6" s="174" t="s">
        <v>1447</v>
      </c>
      <c r="L6" t="s">
        <v>1232</v>
      </c>
      <c r="M6" t="s">
        <v>1238</v>
      </c>
      <c r="Q6" s="118">
        <v>42096</v>
      </c>
      <c r="R6" t="s">
        <v>1342</v>
      </c>
      <c r="W6" s="237" t="s">
        <v>1637</v>
      </c>
    </row>
    <row r="7" spans="1:26" x14ac:dyDescent="0.25">
      <c r="A7" t="s">
        <v>694</v>
      </c>
      <c r="B7" t="s">
        <v>12</v>
      </c>
      <c r="C7" t="s">
        <v>181</v>
      </c>
      <c r="D7">
        <v>2</v>
      </c>
      <c r="E7" t="s">
        <v>1457</v>
      </c>
      <c r="F7" t="s">
        <v>484</v>
      </c>
      <c r="G7" t="s">
        <v>1497</v>
      </c>
      <c r="H7" t="s">
        <v>405</v>
      </c>
      <c r="I7" t="s">
        <v>1238</v>
      </c>
      <c r="J7" s="118" t="s">
        <v>1544</v>
      </c>
      <c r="K7" s="174" t="s">
        <v>1448</v>
      </c>
      <c r="L7" t="s">
        <v>405</v>
      </c>
      <c r="M7" t="s">
        <v>1637</v>
      </c>
      <c r="Q7" s="118">
        <v>42097</v>
      </c>
      <c r="W7" t="s">
        <v>1471</v>
      </c>
    </row>
    <row r="8" spans="1:26" x14ac:dyDescent="0.25">
      <c r="A8" t="s">
        <v>691</v>
      </c>
      <c r="B8" t="s">
        <v>412</v>
      </c>
      <c r="C8" t="s">
        <v>6</v>
      </c>
      <c r="D8"/>
      <c r="E8" t="s">
        <v>1464</v>
      </c>
      <c r="F8" t="s">
        <v>480</v>
      </c>
      <c r="G8" t="s">
        <v>1498</v>
      </c>
      <c r="H8" t="s">
        <v>1266</v>
      </c>
      <c r="I8" t="s">
        <v>1267</v>
      </c>
      <c r="J8" s="118" t="s">
        <v>1564</v>
      </c>
      <c r="K8" s="174" t="s">
        <v>1449</v>
      </c>
      <c r="L8" t="s">
        <v>405</v>
      </c>
      <c r="M8" t="s">
        <v>1471</v>
      </c>
      <c r="Q8" s="118">
        <v>42098</v>
      </c>
      <c r="R8" t="s">
        <v>1108</v>
      </c>
      <c r="W8" t="s">
        <v>1267</v>
      </c>
    </row>
    <row r="9" spans="1:26" x14ac:dyDescent="0.25">
      <c r="A9" t="s">
        <v>1272</v>
      </c>
      <c r="B9" t="s">
        <v>7</v>
      </c>
      <c r="C9" t="s">
        <v>51</v>
      </c>
      <c r="D9"/>
      <c r="E9" t="s">
        <v>1446</v>
      </c>
      <c r="F9" t="s">
        <v>485</v>
      </c>
      <c r="G9" t="s">
        <v>1499</v>
      </c>
      <c r="H9" t="s">
        <v>1531</v>
      </c>
      <c r="I9" t="s">
        <v>524</v>
      </c>
      <c r="J9" s="118" t="s">
        <v>1548</v>
      </c>
      <c r="K9" t="s">
        <v>1450</v>
      </c>
      <c r="L9" t="s">
        <v>1266</v>
      </c>
      <c r="M9" t="s">
        <v>1267</v>
      </c>
      <c r="Q9" s="118">
        <v>42099</v>
      </c>
      <c r="R9" t="s">
        <v>1108</v>
      </c>
      <c r="W9" t="s">
        <v>1510</v>
      </c>
    </row>
    <row r="10" spans="1:26" x14ac:dyDescent="0.25">
      <c r="A10" t="s">
        <v>1273</v>
      </c>
      <c r="B10"/>
      <c r="C10"/>
      <c r="D10"/>
      <c r="E10"/>
      <c r="G10" t="s">
        <v>1542</v>
      </c>
      <c r="H10" t="s">
        <v>1525</v>
      </c>
      <c r="I10" t="s">
        <v>1511</v>
      </c>
      <c r="J10" s="118" t="s">
        <v>1565</v>
      </c>
      <c r="K10" t="s">
        <v>1451</v>
      </c>
      <c r="L10" t="s">
        <v>1525</v>
      </c>
      <c r="M10" t="s">
        <v>1510</v>
      </c>
      <c r="Q10" s="118">
        <v>42100</v>
      </c>
      <c r="R10" t="s">
        <v>1108</v>
      </c>
      <c r="W10" t="s">
        <v>1517</v>
      </c>
    </row>
    <row r="11" spans="1:26" x14ac:dyDescent="0.25">
      <c r="A11" t="s">
        <v>1274</v>
      </c>
      <c r="B11"/>
      <c r="C11"/>
      <c r="D11"/>
      <c r="E11"/>
      <c r="G11" t="s">
        <v>1542</v>
      </c>
      <c r="H11" t="s">
        <v>1534</v>
      </c>
      <c r="I11" t="s">
        <v>1512</v>
      </c>
      <c r="J11" s="118" t="s">
        <v>1552</v>
      </c>
      <c r="K11" t="s">
        <v>1452</v>
      </c>
      <c r="L11" t="s">
        <v>1534</v>
      </c>
      <c r="M11" t="s">
        <v>1517</v>
      </c>
      <c r="Q11" s="118">
        <v>42101</v>
      </c>
      <c r="R11" t="s">
        <v>1108</v>
      </c>
      <c r="W11" t="s">
        <v>1519</v>
      </c>
    </row>
    <row r="12" spans="1:26" x14ac:dyDescent="0.25">
      <c r="A12" t="s">
        <v>1271</v>
      </c>
      <c r="B12"/>
      <c r="C12"/>
      <c r="D12"/>
      <c r="E12"/>
      <c r="G12" t="s">
        <v>1542</v>
      </c>
      <c r="H12" t="s">
        <v>1533</v>
      </c>
      <c r="I12" t="s">
        <v>1513</v>
      </c>
      <c r="J12" s="118" t="s">
        <v>1556</v>
      </c>
      <c r="K12" t="s">
        <v>1453</v>
      </c>
      <c r="L12" t="s">
        <v>1533</v>
      </c>
      <c r="M12" t="s">
        <v>1519</v>
      </c>
      <c r="Q12" s="118">
        <v>42102</v>
      </c>
      <c r="R12" t="s">
        <v>1108</v>
      </c>
      <c r="W12" t="s">
        <v>1515</v>
      </c>
    </row>
    <row r="13" spans="1:26" x14ac:dyDescent="0.25">
      <c r="A13" t="s">
        <v>1276</v>
      </c>
      <c r="B13"/>
      <c r="C13"/>
      <c r="E13"/>
      <c r="H13" t="s">
        <v>1530</v>
      </c>
      <c r="I13" t="s">
        <v>1514</v>
      </c>
      <c r="J13" s="118" t="s">
        <v>1560</v>
      </c>
      <c r="K13" t="s">
        <v>1454</v>
      </c>
      <c r="L13" t="s">
        <v>1530</v>
      </c>
      <c r="M13" t="s">
        <v>1515</v>
      </c>
      <c r="Q13" s="118">
        <v>42103</v>
      </c>
      <c r="R13" t="s">
        <v>1108</v>
      </c>
      <c r="W13" t="s">
        <v>1518</v>
      </c>
    </row>
    <row r="14" spans="1:26" x14ac:dyDescent="0.25">
      <c r="A14" t="s">
        <v>1277</v>
      </c>
      <c r="E14"/>
      <c r="H14" t="s">
        <v>1594</v>
      </c>
      <c r="I14" t="s">
        <v>1515</v>
      </c>
      <c r="J14" s="118" t="s">
        <v>1545</v>
      </c>
      <c r="K14" t="s">
        <v>1455</v>
      </c>
      <c r="L14" t="s">
        <v>1532</v>
      </c>
      <c r="M14" t="s">
        <v>1518</v>
      </c>
      <c r="Q14" s="118">
        <v>42104</v>
      </c>
      <c r="W14" t="s">
        <v>1513</v>
      </c>
    </row>
    <row r="15" spans="1:26" x14ac:dyDescent="0.25">
      <c r="A15" t="s">
        <v>1278</v>
      </c>
      <c r="E15"/>
      <c r="H15" t="s">
        <v>1528</v>
      </c>
      <c r="I15" t="s">
        <v>1516</v>
      </c>
      <c r="J15" s="118" t="s">
        <v>1549</v>
      </c>
      <c r="K15" t="s">
        <v>1456</v>
      </c>
      <c r="L15" t="s">
        <v>1528</v>
      </c>
      <c r="M15" t="s">
        <v>1513</v>
      </c>
      <c r="Q15" s="118">
        <v>42105</v>
      </c>
      <c r="R15" t="s">
        <v>1109</v>
      </c>
      <c r="W15" t="s">
        <v>1520</v>
      </c>
    </row>
    <row r="16" spans="1:26" x14ac:dyDescent="0.25">
      <c r="A16" t="s">
        <v>1275</v>
      </c>
      <c r="E16"/>
      <c r="H16" t="s">
        <v>1538</v>
      </c>
      <c r="I16" t="s">
        <v>1517</v>
      </c>
      <c r="J16" s="118" t="s">
        <v>1553</v>
      </c>
      <c r="K16" t="s">
        <v>1457</v>
      </c>
      <c r="L16" t="s">
        <v>1538</v>
      </c>
      <c r="M16" t="s">
        <v>1520</v>
      </c>
      <c r="Q16" s="118">
        <v>42106</v>
      </c>
      <c r="W16" t="s">
        <v>1514</v>
      </c>
    </row>
    <row r="17" spans="1:23" x14ac:dyDescent="0.25">
      <c r="A17" t="s">
        <v>1282</v>
      </c>
      <c r="E17"/>
      <c r="H17" t="s">
        <v>1529</v>
      </c>
      <c r="I17" t="s">
        <v>1518</v>
      </c>
      <c r="J17" s="118" t="s">
        <v>1535</v>
      </c>
      <c r="K17" t="s">
        <v>1458</v>
      </c>
      <c r="L17" t="s">
        <v>1529</v>
      </c>
      <c r="M17" t="s">
        <v>1514</v>
      </c>
      <c r="Q17" s="118">
        <v>42109</v>
      </c>
      <c r="W17" t="s">
        <v>1238</v>
      </c>
    </row>
    <row r="18" spans="1:23" x14ac:dyDescent="0.25">
      <c r="A18" t="s">
        <v>1283</v>
      </c>
      <c r="E18"/>
      <c r="H18" t="s">
        <v>1232</v>
      </c>
      <c r="I18" t="s">
        <v>1519</v>
      </c>
      <c r="J18" s="118" t="s">
        <v>1470</v>
      </c>
      <c r="K18" t="s">
        <v>1459</v>
      </c>
      <c r="L18" t="s">
        <v>1232</v>
      </c>
      <c r="M18" t="s">
        <v>1238</v>
      </c>
      <c r="Q18" s="118">
        <v>42110</v>
      </c>
      <c r="W18" t="s">
        <v>1471</v>
      </c>
    </row>
    <row r="19" spans="1:23" x14ac:dyDescent="0.25">
      <c r="A19" t="s">
        <v>1284</v>
      </c>
      <c r="E19"/>
      <c r="H19" t="s">
        <v>405</v>
      </c>
      <c r="I19" t="s">
        <v>1520</v>
      </c>
      <c r="J19" s="118" t="s">
        <v>1536</v>
      </c>
      <c r="K19" t="s">
        <v>1460</v>
      </c>
      <c r="L19" t="s">
        <v>405</v>
      </c>
      <c r="M19" t="s">
        <v>1471</v>
      </c>
      <c r="Q19" s="118">
        <v>42111</v>
      </c>
      <c r="R19" t="s">
        <v>1237</v>
      </c>
      <c r="W19" t="s">
        <v>1511</v>
      </c>
    </row>
    <row r="20" spans="1:23" x14ac:dyDescent="0.25">
      <c r="A20" t="s">
        <v>522</v>
      </c>
      <c r="E20"/>
      <c r="H20" t="s">
        <v>1526</v>
      </c>
      <c r="I20" t="s">
        <v>1267</v>
      </c>
      <c r="J20" s="118" t="s">
        <v>1537</v>
      </c>
      <c r="K20" t="s">
        <v>1461</v>
      </c>
      <c r="L20" t="s">
        <v>1526</v>
      </c>
      <c r="M20" t="s">
        <v>1511</v>
      </c>
      <c r="Q20" s="118">
        <v>42112</v>
      </c>
      <c r="W20" t="s">
        <v>1267</v>
      </c>
    </row>
    <row r="21" spans="1:23" x14ac:dyDescent="0.25">
      <c r="A21" t="s">
        <v>792</v>
      </c>
      <c r="E21"/>
      <c r="H21" t="s">
        <v>1266</v>
      </c>
      <c r="I21" t="s">
        <v>524</v>
      </c>
      <c r="J21" s="118" t="s">
        <v>1550</v>
      </c>
      <c r="K21" t="s">
        <v>1462</v>
      </c>
      <c r="L21" t="s">
        <v>1266</v>
      </c>
      <c r="M21" t="s">
        <v>1267</v>
      </c>
      <c r="Q21" s="118">
        <v>42113</v>
      </c>
    </row>
    <row r="22" spans="1:23" x14ac:dyDescent="0.25">
      <c r="A22" t="s">
        <v>706</v>
      </c>
      <c r="E22"/>
      <c r="J22" s="118" t="s">
        <v>1554</v>
      </c>
      <c r="K22" t="s">
        <v>1463</v>
      </c>
      <c r="Q22" s="118">
        <v>42116</v>
      </c>
    </row>
    <row r="23" spans="1:23" x14ac:dyDescent="0.25">
      <c r="A23" t="s">
        <v>794</v>
      </c>
      <c r="E23"/>
      <c r="J23" s="118" t="s">
        <v>1557</v>
      </c>
      <c r="K23" t="s">
        <v>1464</v>
      </c>
      <c r="Q23" s="118">
        <v>42117</v>
      </c>
      <c r="R23" t="s">
        <v>1109</v>
      </c>
    </row>
    <row r="24" spans="1:23" x14ac:dyDescent="0.25">
      <c r="A24" t="s">
        <v>793</v>
      </c>
      <c r="E24"/>
      <c r="J24" s="118" t="s">
        <v>1561</v>
      </c>
      <c r="K24" t="s">
        <v>1465</v>
      </c>
      <c r="Q24" s="118">
        <v>42118</v>
      </c>
      <c r="R24" t="s">
        <v>1108</v>
      </c>
    </row>
    <row r="25" spans="1:23" x14ac:dyDescent="0.25">
      <c r="A25" t="s">
        <v>687</v>
      </c>
      <c r="E25"/>
      <c r="J25" s="118" t="s">
        <v>1546</v>
      </c>
      <c r="K25" t="s">
        <v>1446</v>
      </c>
      <c r="Q25" s="118">
        <v>42119</v>
      </c>
    </row>
    <row r="26" spans="1:23" x14ac:dyDescent="0.25">
      <c r="A26" t="s">
        <v>684</v>
      </c>
      <c r="E26"/>
      <c r="J26" s="118" t="s">
        <v>1551</v>
      </c>
      <c r="K26" t="s">
        <v>1466</v>
      </c>
      <c r="Q26" s="118">
        <v>42120</v>
      </c>
    </row>
    <row r="27" spans="1:23" x14ac:dyDescent="0.25">
      <c r="A27" t="s">
        <v>688</v>
      </c>
      <c r="E27"/>
      <c r="J27" s="118" t="s">
        <v>1555</v>
      </c>
      <c r="K27" t="s">
        <v>1467</v>
      </c>
      <c r="Q27" s="118">
        <v>42123</v>
      </c>
    </row>
    <row r="28" spans="1:23" x14ac:dyDescent="0.25">
      <c r="A28" t="s">
        <v>685</v>
      </c>
      <c r="E28"/>
      <c r="J28" s="118" t="s">
        <v>1558</v>
      </c>
      <c r="K28" t="s">
        <v>1468</v>
      </c>
      <c r="Q28" s="118">
        <v>42124</v>
      </c>
    </row>
    <row r="29" spans="1:23" x14ac:dyDescent="0.25">
      <c r="A29" t="s">
        <v>1134</v>
      </c>
      <c r="E29"/>
      <c r="J29" s="118" t="s">
        <v>1562</v>
      </c>
      <c r="K29" t="s">
        <v>1469</v>
      </c>
      <c r="Q29" s="118">
        <v>42125</v>
      </c>
    </row>
    <row r="30" spans="1:23" x14ac:dyDescent="0.25">
      <c r="A30" t="s">
        <v>1131</v>
      </c>
      <c r="E30"/>
      <c r="J30" s="118" t="s">
        <v>1547</v>
      </c>
      <c r="Q30" s="118">
        <v>42126</v>
      </c>
    </row>
    <row r="31" spans="1:23" x14ac:dyDescent="0.25">
      <c r="A31" t="s">
        <v>1137</v>
      </c>
      <c r="B31"/>
      <c r="C31"/>
      <c r="D31"/>
      <c r="E31"/>
      <c r="J31" s="118" t="s">
        <v>1566</v>
      </c>
      <c r="Q31" s="118">
        <v>42127</v>
      </c>
      <c r="R31" t="s">
        <v>1109</v>
      </c>
    </row>
    <row r="32" spans="1:23" x14ac:dyDescent="0.25">
      <c r="A32" t="s">
        <v>1139</v>
      </c>
      <c r="B32"/>
      <c r="C32"/>
      <c r="D32"/>
      <c r="E32"/>
      <c r="J32" s="118">
        <v>42127</v>
      </c>
      <c r="Q32" s="118"/>
      <c r="R32" t="s">
        <v>1237</v>
      </c>
    </row>
    <row r="33" spans="1:5" x14ac:dyDescent="0.25">
      <c r="A33" t="s">
        <v>1135</v>
      </c>
      <c r="B33"/>
      <c r="C33"/>
      <c r="D33"/>
      <c r="E33"/>
    </row>
    <row r="34" spans="1:5" x14ac:dyDescent="0.25">
      <c r="A34" t="s">
        <v>707</v>
      </c>
      <c r="B34"/>
      <c r="C34"/>
      <c r="D34"/>
      <c r="E34"/>
    </row>
    <row r="35" spans="1:5" x14ac:dyDescent="0.25">
      <c r="A35" t="s">
        <v>703</v>
      </c>
      <c r="B35"/>
      <c r="C35"/>
      <c r="D35"/>
      <c r="E35"/>
    </row>
    <row r="36" spans="1:5" x14ac:dyDescent="0.25">
      <c r="A36" t="s">
        <v>704</v>
      </c>
      <c r="B36"/>
      <c r="C36"/>
      <c r="D36"/>
      <c r="E36"/>
    </row>
    <row r="37" spans="1:5" x14ac:dyDescent="0.25">
      <c r="A37" t="s">
        <v>705</v>
      </c>
      <c r="B37"/>
      <c r="C37"/>
      <c r="D37"/>
      <c r="E37"/>
    </row>
    <row r="38" spans="1:5" x14ac:dyDescent="0.25">
      <c r="A38" t="s">
        <v>702</v>
      </c>
      <c r="B38"/>
      <c r="C38"/>
      <c r="D38"/>
      <c r="E38"/>
    </row>
    <row r="39" spans="1:5" x14ac:dyDescent="0.25">
      <c r="A39" t="s">
        <v>695</v>
      </c>
      <c r="B39"/>
      <c r="C39"/>
      <c r="D39"/>
      <c r="E39"/>
    </row>
    <row r="40" spans="1:5" x14ac:dyDescent="0.25">
      <c r="A40" t="s">
        <v>696</v>
      </c>
      <c r="B40"/>
      <c r="C40"/>
      <c r="D40"/>
      <c r="E40"/>
    </row>
    <row r="41" spans="1:5" x14ac:dyDescent="0.25">
      <c r="A41" t="s">
        <v>697</v>
      </c>
      <c r="B41"/>
      <c r="C41"/>
      <c r="D41"/>
      <c r="E41"/>
    </row>
    <row r="42" spans="1:5" x14ac:dyDescent="0.25">
      <c r="A42" t="s">
        <v>748</v>
      </c>
      <c r="B42"/>
      <c r="C42"/>
      <c r="D42"/>
      <c r="E42"/>
    </row>
    <row r="43" spans="1:5" x14ac:dyDescent="0.25">
      <c r="A43" t="s">
        <v>699</v>
      </c>
      <c r="B43"/>
      <c r="C43"/>
      <c r="D43"/>
      <c r="E43"/>
    </row>
    <row r="44" spans="1:5" x14ac:dyDescent="0.25">
      <c r="A44" t="s">
        <v>700</v>
      </c>
      <c r="B44"/>
      <c r="C44"/>
      <c r="D44"/>
      <c r="E44"/>
    </row>
    <row r="45" spans="1:5" x14ac:dyDescent="0.25">
      <c r="A45" t="s">
        <v>701</v>
      </c>
      <c r="B45"/>
      <c r="C45"/>
      <c r="D45"/>
      <c r="E45"/>
    </row>
    <row r="46" spans="1:5" x14ac:dyDescent="0.25">
      <c r="A46" t="s">
        <v>698</v>
      </c>
      <c r="B46"/>
      <c r="C46"/>
      <c r="D46"/>
      <c r="E46"/>
    </row>
    <row r="47" spans="1:5" x14ac:dyDescent="0.25">
      <c r="A47" t="s">
        <v>692</v>
      </c>
      <c r="B47"/>
      <c r="C47"/>
      <c r="D47"/>
      <c r="E47"/>
    </row>
    <row r="48" spans="1:5" x14ac:dyDescent="0.25">
      <c r="A48" t="s">
        <v>689</v>
      </c>
      <c r="B48"/>
      <c r="C48"/>
      <c r="D48"/>
      <c r="E48"/>
    </row>
    <row r="49" spans="1:5" x14ac:dyDescent="0.25">
      <c r="A49" t="s">
        <v>1298</v>
      </c>
      <c r="B49"/>
      <c r="C49"/>
      <c r="D49"/>
      <c r="E49"/>
    </row>
    <row r="50" spans="1:5" x14ac:dyDescent="0.25">
      <c r="A50" t="s">
        <v>625</v>
      </c>
      <c r="B50"/>
      <c r="C50"/>
      <c r="D50"/>
      <c r="E50"/>
    </row>
    <row r="51" spans="1:5" x14ac:dyDescent="0.25">
      <c r="A51" t="s">
        <v>1153</v>
      </c>
      <c r="B51"/>
      <c r="C51"/>
      <c r="D51"/>
      <c r="E51"/>
    </row>
    <row r="52" spans="1:5" x14ac:dyDescent="0.25">
      <c r="A52" t="s">
        <v>1149</v>
      </c>
      <c r="B52"/>
      <c r="C52"/>
      <c r="D52"/>
      <c r="E52"/>
    </row>
    <row r="53" spans="1:5" x14ac:dyDescent="0.25">
      <c r="A53" t="s">
        <v>1150</v>
      </c>
      <c r="B53"/>
      <c r="C53"/>
      <c r="D53"/>
      <c r="E53"/>
    </row>
    <row r="54" spans="1:5" x14ac:dyDescent="0.25">
      <c r="A54" t="s">
        <v>1151</v>
      </c>
      <c r="B54"/>
      <c r="C54"/>
      <c r="D54"/>
      <c r="E54"/>
    </row>
    <row r="55" spans="1:5" x14ac:dyDescent="0.25">
      <c r="A55" t="s">
        <v>1152</v>
      </c>
      <c r="B55"/>
      <c r="C55"/>
      <c r="D55"/>
      <c r="E55"/>
    </row>
    <row r="56" spans="1:5" x14ac:dyDescent="0.25">
      <c r="A56" t="s">
        <v>1279</v>
      </c>
      <c r="B56"/>
      <c r="C56"/>
      <c r="D56"/>
      <c r="E56"/>
    </row>
    <row r="57" spans="1:5" x14ac:dyDescent="0.25">
      <c r="A57" t="s">
        <v>1280</v>
      </c>
      <c r="B57"/>
      <c r="C57"/>
      <c r="D57"/>
      <c r="E57"/>
    </row>
    <row r="58" spans="1:5" x14ac:dyDescent="0.25">
      <c r="A58" t="s">
        <v>1281</v>
      </c>
      <c r="B58"/>
      <c r="C58"/>
      <c r="D58"/>
      <c r="E58"/>
    </row>
    <row r="59" spans="1:5" x14ac:dyDescent="0.25">
      <c r="A59" t="s">
        <v>693</v>
      </c>
      <c r="B59"/>
      <c r="C59"/>
      <c r="D59"/>
      <c r="E59"/>
    </row>
    <row r="60" spans="1:5" x14ac:dyDescent="0.25">
      <c r="A60" t="s">
        <v>690</v>
      </c>
      <c r="B60"/>
      <c r="C60"/>
      <c r="D60"/>
      <c r="E60"/>
    </row>
    <row r="61" spans="1:5" x14ac:dyDescent="0.25">
      <c r="A61" t="s">
        <v>1037</v>
      </c>
      <c r="B61"/>
      <c r="C61"/>
      <c r="D61"/>
      <c r="E61"/>
    </row>
    <row r="62" spans="1:5" x14ac:dyDescent="0.25">
      <c r="A62" t="s">
        <v>1039</v>
      </c>
      <c r="B62"/>
      <c r="C62"/>
      <c r="D62"/>
      <c r="E62"/>
    </row>
    <row r="63" spans="1:5" x14ac:dyDescent="0.25">
      <c r="A63" t="s">
        <v>1071</v>
      </c>
      <c r="B63"/>
      <c r="C63"/>
      <c r="D63"/>
      <c r="E63"/>
    </row>
    <row r="64" spans="1:5" x14ac:dyDescent="0.25">
      <c r="A64" t="s">
        <v>1072</v>
      </c>
      <c r="B64"/>
      <c r="C64"/>
      <c r="D64"/>
      <c r="E64"/>
    </row>
    <row r="65" spans="1:5" x14ac:dyDescent="0.25">
      <c r="A65" t="s">
        <v>1073</v>
      </c>
      <c r="B65"/>
      <c r="C65"/>
      <c r="D65"/>
      <c r="E65"/>
    </row>
    <row r="66" spans="1:5" x14ac:dyDescent="0.25">
      <c r="A66" t="s">
        <v>1074</v>
      </c>
      <c r="B66"/>
      <c r="C66"/>
      <c r="D66"/>
      <c r="E66"/>
    </row>
    <row r="67" spans="1:5" x14ac:dyDescent="0.25">
      <c r="A67" t="s">
        <v>1085</v>
      </c>
    </row>
    <row r="68" spans="1:5" x14ac:dyDescent="0.25">
      <c r="A68" t="s">
        <v>1086</v>
      </c>
    </row>
    <row r="69" spans="1:5" x14ac:dyDescent="0.25">
      <c r="A69" t="s">
        <v>1244</v>
      </c>
    </row>
    <row r="70" spans="1:5" x14ac:dyDescent="0.25">
      <c r="A70" t="s">
        <v>1243</v>
      </c>
    </row>
    <row r="71" spans="1:5" x14ac:dyDescent="0.25">
      <c r="A71" t="s">
        <v>1242</v>
      </c>
    </row>
    <row r="72" spans="1:5" x14ac:dyDescent="0.25">
      <c r="A72" t="s">
        <v>1245</v>
      </c>
    </row>
    <row r="73" spans="1:5" x14ac:dyDescent="0.25">
      <c r="A73" t="s">
        <v>95</v>
      </c>
    </row>
    <row r="74" spans="1:5" x14ac:dyDescent="0.25">
      <c r="A74" t="s">
        <v>521</v>
      </c>
    </row>
    <row r="75" spans="1:5" x14ac:dyDescent="0.25">
      <c r="A75" t="s">
        <v>1234</v>
      </c>
    </row>
    <row r="76" spans="1:5" x14ac:dyDescent="0.25">
      <c r="A76" t="s">
        <v>16</v>
      </c>
    </row>
    <row r="77" spans="1:5" x14ac:dyDescent="0.25">
      <c r="A77" t="s">
        <v>832</v>
      </c>
    </row>
    <row r="78" spans="1:5" x14ac:dyDescent="0.25">
      <c r="A78" t="s">
        <v>824</v>
      </c>
    </row>
    <row r="79" spans="1:5" x14ac:dyDescent="0.25">
      <c r="A79" t="s">
        <v>834</v>
      </c>
    </row>
    <row r="80" spans="1:5" x14ac:dyDescent="0.25">
      <c r="A80" t="s">
        <v>1293</v>
      </c>
    </row>
    <row r="81" spans="1:1" x14ac:dyDescent="0.25">
      <c r="A81" t="s">
        <v>1296</v>
      </c>
    </row>
    <row r="82" spans="1:1" x14ac:dyDescent="0.25">
      <c r="A82" t="s">
        <v>1297</v>
      </c>
    </row>
    <row r="83" spans="1:1" x14ac:dyDescent="0.25">
      <c r="A83" t="s">
        <v>849</v>
      </c>
    </row>
    <row r="84" spans="1:1" x14ac:dyDescent="0.25">
      <c r="A84" t="s">
        <v>1127</v>
      </c>
    </row>
    <row r="85" spans="1:1" x14ac:dyDescent="0.25">
      <c r="A85" t="s">
        <v>1126</v>
      </c>
    </row>
    <row r="86" spans="1:1" x14ac:dyDescent="0.25">
      <c r="A86" t="s">
        <v>1125</v>
      </c>
    </row>
    <row r="87" spans="1:1" x14ac:dyDescent="0.25">
      <c r="A87" t="s">
        <v>1128</v>
      </c>
    </row>
    <row r="88" spans="1:1" x14ac:dyDescent="0.25">
      <c r="A88" t="s">
        <v>1129</v>
      </c>
    </row>
    <row r="89" spans="1:1" x14ac:dyDescent="0.25">
      <c r="A89" t="s">
        <v>1130</v>
      </c>
    </row>
    <row r="90" spans="1:1" x14ac:dyDescent="0.25">
      <c r="A90" t="s">
        <v>1370</v>
      </c>
    </row>
    <row r="91" spans="1:1" x14ac:dyDescent="0.25">
      <c r="A91" t="s">
        <v>1368</v>
      </c>
    </row>
    <row r="92" spans="1:1" x14ac:dyDescent="0.25">
      <c r="A92" t="s">
        <v>1367</v>
      </c>
    </row>
    <row r="93" spans="1:1" x14ac:dyDescent="0.25">
      <c r="A93" t="s">
        <v>1366</v>
      </c>
    </row>
    <row r="94" spans="1:1" x14ac:dyDescent="0.25">
      <c r="A94" t="s">
        <v>1365</v>
      </c>
    </row>
    <row r="95" spans="1:1" x14ac:dyDescent="0.25">
      <c r="A95" t="s">
        <v>1364</v>
      </c>
    </row>
    <row r="96" spans="1:1" x14ac:dyDescent="0.25">
      <c r="A96" t="s">
        <v>1372</v>
      </c>
    </row>
    <row r="97" spans="1:1" x14ac:dyDescent="0.25">
      <c r="A97" t="s">
        <v>1371</v>
      </c>
    </row>
    <row r="98" spans="1:1" x14ac:dyDescent="0.25">
      <c r="A98" t="s">
        <v>1373</v>
      </c>
    </row>
    <row r="99" spans="1:1" x14ac:dyDescent="0.25">
      <c r="A99" t="s">
        <v>1369</v>
      </c>
    </row>
    <row r="100" spans="1:1" x14ac:dyDescent="0.25">
      <c r="A100" t="s">
        <v>851</v>
      </c>
    </row>
    <row r="101" spans="1:1" x14ac:dyDescent="0.25">
      <c r="A101" t="s">
        <v>624</v>
      </c>
    </row>
    <row r="102" spans="1:1" x14ac:dyDescent="0.25">
      <c r="A102" t="s">
        <v>991</v>
      </c>
    </row>
    <row r="103" spans="1:1" x14ac:dyDescent="0.25">
      <c r="A103" t="s">
        <v>193</v>
      </c>
    </row>
    <row r="104" spans="1:1" x14ac:dyDescent="0.25">
      <c r="A104" t="s">
        <v>192</v>
      </c>
    </row>
    <row r="105" spans="1:1" x14ac:dyDescent="0.25">
      <c r="A105" t="s">
        <v>972</v>
      </c>
    </row>
    <row r="106" spans="1:1" x14ac:dyDescent="0.25">
      <c r="A106" t="s">
        <v>985</v>
      </c>
    </row>
    <row r="107" spans="1:1" x14ac:dyDescent="0.25">
      <c r="A107" t="s">
        <v>986</v>
      </c>
    </row>
    <row r="108" spans="1:1" x14ac:dyDescent="0.25">
      <c r="A108" t="s">
        <v>987</v>
      </c>
    </row>
    <row r="109" spans="1:1" x14ac:dyDescent="0.25">
      <c r="A109" t="s">
        <v>988</v>
      </c>
    </row>
    <row r="110" spans="1:1" x14ac:dyDescent="0.25">
      <c r="A110" t="s">
        <v>989</v>
      </c>
    </row>
    <row r="111" spans="1:1" x14ac:dyDescent="0.25">
      <c r="A111" t="s">
        <v>8</v>
      </c>
    </row>
    <row r="112" spans="1:1" x14ac:dyDescent="0.25">
      <c r="A112" t="s">
        <v>97</v>
      </c>
    </row>
    <row r="113" spans="1:1" x14ac:dyDescent="0.25">
      <c r="A113" t="s">
        <v>96</v>
      </c>
    </row>
    <row r="114" spans="1:1" x14ac:dyDescent="0.25">
      <c r="A114" t="s">
        <v>848</v>
      </c>
    </row>
    <row r="115" spans="1:1" x14ac:dyDescent="0.25">
      <c r="A115" t="s">
        <v>746</v>
      </c>
    </row>
    <row r="116" spans="1:1" x14ac:dyDescent="0.25">
      <c r="A116" t="s">
        <v>744</v>
      </c>
    </row>
    <row r="117" spans="1:1" x14ac:dyDescent="0.25">
      <c r="A117" t="s">
        <v>747</v>
      </c>
    </row>
    <row r="118" spans="1:1" x14ac:dyDescent="0.25">
      <c r="A118" t="s">
        <v>795</v>
      </c>
    </row>
    <row r="119" spans="1:1" x14ac:dyDescent="0.25">
      <c r="A119" t="s">
        <v>745</v>
      </c>
    </row>
    <row r="120" spans="1:1" x14ac:dyDescent="0.25">
      <c r="A120" t="s">
        <v>632</v>
      </c>
    </row>
    <row r="121" spans="1:1" x14ac:dyDescent="0.25">
      <c r="A121" t="s">
        <v>630</v>
      </c>
    </row>
    <row r="122" spans="1:1" x14ac:dyDescent="0.25">
      <c r="A122" t="s">
        <v>631</v>
      </c>
    </row>
    <row r="123" spans="1:1" x14ac:dyDescent="0.25">
      <c r="A123" t="s">
        <v>628</v>
      </c>
    </row>
    <row r="124" spans="1:1" x14ac:dyDescent="0.25">
      <c r="A124" t="s">
        <v>629</v>
      </c>
    </row>
    <row r="125" spans="1:1" x14ac:dyDescent="0.25">
      <c r="A125" t="s">
        <v>196</v>
      </c>
    </row>
    <row r="126" spans="1:1" x14ac:dyDescent="0.25">
      <c r="A126" t="s">
        <v>677</v>
      </c>
    </row>
    <row r="127" spans="1:1" x14ac:dyDescent="0.25">
      <c r="A127" t="s">
        <v>678</v>
      </c>
    </row>
    <row r="128" spans="1:1" x14ac:dyDescent="0.25">
      <c r="A128" t="s">
        <v>676</v>
      </c>
    </row>
    <row r="129" spans="1:1" x14ac:dyDescent="0.25">
      <c r="A129" t="s">
        <v>675</v>
      </c>
    </row>
    <row r="130" spans="1:1" x14ac:dyDescent="0.25">
      <c r="A130" t="s">
        <v>681</v>
      </c>
    </row>
    <row r="131" spans="1:1" x14ac:dyDescent="0.25">
      <c r="A131" t="s">
        <v>680</v>
      </c>
    </row>
    <row r="132" spans="1:1" x14ac:dyDescent="0.25">
      <c r="A132" t="s">
        <v>1038</v>
      </c>
    </row>
    <row r="133" spans="1:1" x14ac:dyDescent="0.25">
      <c r="A133" t="s">
        <v>1040</v>
      </c>
    </row>
    <row r="134" spans="1:1" x14ac:dyDescent="0.25">
      <c r="A134" t="s">
        <v>1087</v>
      </c>
    </row>
    <row r="135" spans="1:1" x14ac:dyDescent="0.25">
      <c r="A135" t="s">
        <v>1088</v>
      </c>
    </row>
    <row r="136" spans="1:1" x14ac:dyDescent="0.25">
      <c r="A136" t="s">
        <v>1089</v>
      </c>
    </row>
    <row r="137" spans="1:1" x14ac:dyDescent="0.25">
      <c r="A137" t="s">
        <v>1090</v>
      </c>
    </row>
    <row r="138" spans="1:1" x14ac:dyDescent="0.25">
      <c r="A138" t="s">
        <v>1091</v>
      </c>
    </row>
    <row r="139" spans="1:1" x14ac:dyDescent="0.25">
      <c r="A139" t="s">
        <v>1092</v>
      </c>
    </row>
    <row r="175" spans="1:1" x14ac:dyDescent="0.25">
      <c r="A175" t="s">
        <v>679</v>
      </c>
    </row>
  </sheetData>
  <sortState ref="V5:W8">
    <sortCondition ref="V5"/>
  </sortState>
  <dataConsolidate/>
  <mergeCells count="5">
    <mergeCell ref="G1:K1"/>
    <mergeCell ref="A1:F1"/>
    <mergeCell ref="L1:P1"/>
    <mergeCell ref="Q1:U1"/>
    <mergeCell ref="V1:Z1"/>
  </mergeCells>
  <pageMargins left="0.7" right="0.7" top="0.78740157499999996" bottom="0.78740157499999996" header="0.3" footer="0.3"/>
  <pageSetup paperSize="9"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9"/>
  <dimension ref="A1:E5"/>
  <sheetViews>
    <sheetView workbookViewId="0">
      <selection activeCell="A5" sqref="A5"/>
    </sheetView>
  </sheetViews>
  <sheetFormatPr baseColWidth="10" defaultRowHeight="15" x14ac:dyDescent="0.25"/>
  <cols>
    <col min="1" max="1" width="20.85546875" customWidth="1"/>
  </cols>
  <sheetData>
    <row r="1" spans="1:5" x14ac:dyDescent="0.25">
      <c r="A1" s="527" t="s">
        <v>1148</v>
      </c>
      <c r="B1" s="527"/>
      <c r="C1" s="527"/>
      <c r="D1" s="527"/>
      <c r="E1" s="527"/>
    </row>
    <row r="2" spans="1:5" x14ac:dyDescent="0.25">
      <c r="A2" s="105"/>
    </row>
    <row r="3" spans="1:5" x14ac:dyDescent="0.25">
      <c r="A3" s="105"/>
    </row>
    <row r="4" spans="1:5" x14ac:dyDescent="0.25">
      <c r="A4" s="193" t="e">
        <f>MUI_DBR_</f>
        <v>#NAME?</v>
      </c>
      <c r="B4" s="193" t="str">
        <f>MUI_DBR_T_PlayerName</f>
        <v>PlayerName</v>
      </c>
    </row>
    <row r="5" spans="1:5" x14ac:dyDescent="0.25">
      <c r="A5" s="105"/>
    </row>
  </sheetData>
  <mergeCells count="1">
    <mergeCell ref="A1:E1"/>
  </mergeCells>
  <pageMargins left="0.7" right="0.7" top="0.78740157499999996" bottom="0.78740157499999996" header="0.3" footer="0.3"/>
  <legacy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2"/>
  <dimension ref="A1:CA202"/>
  <sheetViews>
    <sheetView workbookViewId="0">
      <selection activeCell="K4" sqref="K4:K6"/>
    </sheetView>
  </sheetViews>
  <sheetFormatPr baseColWidth="10" defaultRowHeight="15" x14ac:dyDescent="0.25"/>
  <cols>
    <col min="2" max="2" width="49" customWidth="1"/>
    <col min="5" max="5" width="15.42578125" customWidth="1"/>
    <col min="6" max="6" width="15" customWidth="1"/>
  </cols>
  <sheetData>
    <row r="1" spans="1:79" x14ac:dyDescent="0.25">
      <c r="A1" s="15" t="str">
        <f>MUI_DBE_T_EX_ID</f>
        <v>ID</v>
      </c>
      <c r="B1" s="15" t="str">
        <f>MUI_DBE_T_EX_Title</f>
        <v>ExTitle</v>
      </c>
      <c r="C1" s="15" t="str">
        <f>MUI_DBE_T_EX_Topic</f>
        <v>ExTopic</v>
      </c>
      <c r="D1" s="15" t="str">
        <f>MUI_DBE_T_EX_Type</f>
        <v>ExType</v>
      </c>
      <c r="E1" s="15" t="str">
        <f>MUI_DBE_T_EX_Duration</f>
        <v>ExDuration</v>
      </c>
      <c r="F1" s="15" t="str">
        <f>MUI_DBE_T_EX_NrOfPlayers</f>
        <v>ExNrOfPlayers</v>
      </c>
      <c r="G1" s="15">
        <v>-9</v>
      </c>
      <c r="H1">
        <f>SQL_CID_Title</f>
        <v>2</v>
      </c>
      <c r="I1" s="21"/>
      <c r="J1" s="21"/>
      <c r="BN1" s="118"/>
    </row>
    <row r="2" spans="1:79" x14ac:dyDescent="0.25">
      <c r="A2" s="148">
        <f ca="1">SQL_RG_ROWS_Count</f>
        <v>158</v>
      </c>
      <c r="B2" s="149"/>
      <c r="C2" s="148"/>
      <c r="D2" s="148"/>
      <c r="E2" s="148"/>
      <c r="F2" s="148"/>
      <c r="G2" s="148"/>
      <c r="I2" s="21"/>
      <c r="J2" s="21"/>
      <c r="AG2">
        <v>5</v>
      </c>
      <c r="AH2">
        <v>7</v>
      </c>
      <c r="AI2">
        <v>5</v>
      </c>
      <c r="BA2">
        <v>-6</v>
      </c>
      <c r="BB2">
        <v>-8</v>
      </c>
      <c r="BC2">
        <v>-8</v>
      </c>
      <c r="BN2" s="118"/>
      <c r="BU2" t="s">
        <v>412</v>
      </c>
      <c r="BV2" t="s">
        <v>412</v>
      </c>
      <c r="BW2" t="s">
        <v>249</v>
      </c>
      <c r="BX2" t="s">
        <v>444</v>
      </c>
    </row>
    <row r="3" spans="1:79" x14ac:dyDescent="0.25">
      <c r="A3">
        <v>1002</v>
      </c>
      <c r="B3" t="s">
        <v>677</v>
      </c>
      <c r="C3" t="s">
        <v>249</v>
      </c>
      <c r="D3" t="s">
        <v>51</v>
      </c>
      <c r="E3">
        <v>1</v>
      </c>
      <c r="F3" t="s">
        <v>1446</v>
      </c>
      <c r="G3" t="s">
        <v>861</v>
      </c>
      <c r="I3" s="21"/>
      <c r="J3" s="21"/>
      <c r="BA3">
        <v>-6</v>
      </c>
      <c r="BB3">
        <v>-8</v>
      </c>
      <c r="BC3">
        <v>-8</v>
      </c>
      <c r="BN3" s="118"/>
      <c r="BU3" t="s">
        <v>412</v>
      </c>
      <c r="BV3" t="s">
        <v>412</v>
      </c>
      <c r="BW3" t="s">
        <v>412</v>
      </c>
      <c r="BX3" t="s">
        <v>412</v>
      </c>
      <c r="BY3" t="s">
        <v>412</v>
      </c>
      <c r="BZ3" t="s">
        <v>7</v>
      </c>
      <c r="CA3" t="s">
        <v>7</v>
      </c>
    </row>
    <row r="4" spans="1:79" x14ac:dyDescent="0.25">
      <c r="A4">
        <v>1003</v>
      </c>
      <c r="B4" t="s">
        <v>678</v>
      </c>
      <c r="C4" t="s">
        <v>12</v>
      </c>
      <c r="D4" t="s">
        <v>51</v>
      </c>
      <c r="E4">
        <v>1</v>
      </c>
      <c r="F4" t="s">
        <v>1446</v>
      </c>
      <c r="G4" t="s">
        <v>861</v>
      </c>
      <c r="I4" s="21"/>
      <c r="J4" s="21"/>
      <c r="BN4" s="118"/>
      <c r="BU4" t="s">
        <v>12</v>
      </c>
      <c r="BW4" t="s">
        <v>51</v>
      </c>
      <c r="BX4" t="s">
        <v>6</v>
      </c>
    </row>
    <row r="5" spans="1:79" x14ac:dyDescent="0.25">
      <c r="A5">
        <v>1004</v>
      </c>
      <c r="B5" t="s">
        <v>675</v>
      </c>
      <c r="C5" t="s">
        <v>412</v>
      </c>
      <c r="D5" t="s">
        <v>51</v>
      </c>
      <c r="E5">
        <v>1</v>
      </c>
      <c r="F5" t="s">
        <v>1446</v>
      </c>
      <c r="G5" t="s">
        <v>861</v>
      </c>
      <c r="I5" s="21"/>
      <c r="J5" s="21"/>
      <c r="BN5" s="118"/>
    </row>
    <row r="6" spans="1:79" x14ac:dyDescent="0.25">
      <c r="A6">
        <v>1005</v>
      </c>
      <c r="B6" t="s">
        <v>676</v>
      </c>
      <c r="C6" t="s">
        <v>412</v>
      </c>
      <c r="D6" t="s">
        <v>51</v>
      </c>
      <c r="E6">
        <v>1</v>
      </c>
      <c r="F6" t="s">
        <v>1446</v>
      </c>
      <c r="G6" t="s">
        <v>861</v>
      </c>
      <c r="I6" s="21"/>
      <c r="J6" s="21"/>
    </row>
    <row r="7" spans="1:79" x14ac:dyDescent="0.25">
      <c r="A7">
        <v>1006</v>
      </c>
      <c r="B7" t="s">
        <v>680</v>
      </c>
      <c r="C7" t="s">
        <v>7</v>
      </c>
      <c r="D7" t="s">
        <v>51</v>
      </c>
      <c r="E7">
        <v>1</v>
      </c>
      <c r="F7" t="s">
        <v>1446</v>
      </c>
      <c r="G7" t="s">
        <v>861</v>
      </c>
      <c r="I7" s="21"/>
      <c r="J7" s="21"/>
    </row>
    <row r="8" spans="1:79" x14ac:dyDescent="0.25">
      <c r="A8">
        <v>1007</v>
      </c>
      <c r="B8" t="s">
        <v>681</v>
      </c>
      <c r="C8" t="s">
        <v>7</v>
      </c>
      <c r="D8" t="s">
        <v>51</v>
      </c>
      <c r="E8">
        <v>1</v>
      </c>
      <c r="F8" t="s">
        <v>1446</v>
      </c>
      <c r="G8" t="s">
        <v>861</v>
      </c>
      <c r="I8" s="21"/>
      <c r="J8" s="21"/>
    </row>
    <row r="9" spans="1:79" x14ac:dyDescent="0.25">
      <c r="A9">
        <v>2006</v>
      </c>
      <c r="B9" t="s">
        <v>8</v>
      </c>
      <c r="C9" t="s">
        <v>7</v>
      </c>
      <c r="D9" t="s">
        <v>98</v>
      </c>
      <c r="E9">
        <v>1</v>
      </c>
      <c r="F9" t="s">
        <v>1446</v>
      </c>
      <c r="G9" t="s">
        <v>478</v>
      </c>
      <c r="I9" s="21"/>
      <c r="J9" s="21"/>
    </row>
    <row r="10" spans="1:79" x14ac:dyDescent="0.25">
      <c r="A10">
        <v>2007</v>
      </c>
      <c r="B10" t="s">
        <v>8</v>
      </c>
      <c r="C10" t="s">
        <v>7</v>
      </c>
      <c r="D10" t="s">
        <v>98</v>
      </c>
      <c r="E10">
        <v>1</v>
      </c>
      <c r="F10" t="s">
        <v>1446</v>
      </c>
      <c r="G10" t="s">
        <v>480</v>
      </c>
      <c r="I10" s="21"/>
      <c r="J10" s="21"/>
    </row>
    <row r="11" spans="1:79" x14ac:dyDescent="0.25">
      <c r="A11">
        <v>2008</v>
      </c>
      <c r="B11" t="s">
        <v>97</v>
      </c>
      <c r="C11" t="s">
        <v>7</v>
      </c>
      <c r="D11" t="s">
        <v>98</v>
      </c>
      <c r="E11">
        <v>1</v>
      </c>
      <c r="F11" t="s">
        <v>1447</v>
      </c>
      <c r="G11" t="s">
        <v>484</v>
      </c>
      <c r="I11" s="21"/>
      <c r="J11" s="21"/>
    </row>
    <row r="12" spans="1:79" x14ac:dyDescent="0.25">
      <c r="A12">
        <v>2009</v>
      </c>
      <c r="B12" t="s">
        <v>96</v>
      </c>
      <c r="C12" t="s">
        <v>7</v>
      </c>
      <c r="D12" t="s">
        <v>98</v>
      </c>
      <c r="E12">
        <v>1</v>
      </c>
      <c r="F12" t="s">
        <v>1447</v>
      </c>
      <c r="G12" t="s">
        <v>485</v>
      </c>
      <c r="I12" s="21"/>
      <c r="J12" s="21"/>
    </row>
    <row r="13" spans="1:79" x14ac:dyDescent="0.25">
      <c r="A13">
        <v>2015</v>
      </c>
      <c r="B13" t="s">
        <v>991</v>
      </c>
      <c r="C13" t="s">
        <v>7</v>
      </c>
      <c r="D13" t="s">
        <v>1147</v>
      </c>
      <c r="E13">
        <v>1</v>
      </c>
      <c r="F13" t="s">
        <v>1447</v>
      </c>
      <c r="G13" t="s">
        <v>861</v>
      </c>
    </row>
    <row r="14" spans="1:79" x14ac:dyDescent="0.25">
      <c r="A14">
        <v>2019</v>
      </c>
      <c r="B14" t="s">
        <v>192</v>
      </c>
      <c r="C14" t="s">
        <v>7</v>
      </c>
      <c r="D14" t="s">
        <v>181</v>
      </c>
      <c r="E14">
        <v>1</v>
      </c>
      <c r="F14" t="s">
        <v>1446</v>
      </c>
      <c r="G14" t="s">
        <v>861</v>
      </c>
    </row>
    <row r="15" spans="1:79" x14ac:dyDescent="0.25">
      <c r="A15">
        <v>2020</v>
      </c>
      <c r="B15" t="s">
        <v>193</v>
      </c>
      <c r="C15" t="s">
        <v>7</v>
      </c>
      <c r="D15" t="s">
        <v>51</v>
      </c>
      <c r="E15">
        <v>1</v>
      </c>
      <c r="F15" t="s">
        <v>1446</v>
      </c>
      <c r="G15" t="s">
        <v>861</v>
      </c>
    </row>
    <row r="16" spans="1:79" x14ac:dyDescent="0.25">
      <c r="A16">
        <v>2021</v>
      </c>
      <c r="B16" t="s">
        <v>196</v>
      </c>
      <c r="C16" t="s">
        <v>7</v>
      </c>
      <c r="D16" t="s">
        <v>51</v>
      </c>
      <c r="E16">
        <v>1</v>
      </c>
      <c r="F16" t="s">
        <v>1446</v>
      </c>
      <c r="G16" t="s">
        <v>861</v>
      </c>
      <c r="I16" s="21"/>
      <c r="J16" s="21"/>
    </row>
    <row r="17" spans="1:10" x14ac:dyDescent="0.25">
      <c r="A17">
        <v>2022</v>
      </c>
      <c r="B17" t="s">
        <v>848</v>
      </c>
      <c r="C17" t="s">
        <v>7</v>
      </c>
      <c r="D17" t="s">
        <v>98</v>
      </c>
      <c r="E17">
        <v>1</v>
      </c>
      <c r="F17" t="s">
        <v>1446</v>
      </c>
      <c r="G17" t="s">
        <v>478</v>
      </c>
    </row>
    <row r="18" spans="1:10" x14ac:dyDescent="0.25">
      <c r="A18">
        <v>2023</v>
      </c>
      <c r="B18" t="s">
        <v>851</v>
      </c>
      <c r="C18" t="s">
        <v>7</v>
      </c>
      <c r="D18" t="s">
        <v>98</v>
      </c>
      <c r="E18">
        <v>1</v>
      </c>
      <c r="F18" t="s">
        <v>1446</v>
      </c>
      <c r="G18" t="s">
        <v>480</v>
      </c>
      <c r="I18" s="21"/>
      <c r="J18" s="21"/>
    </row>
    <row r="19" spans="1:10" x14ac:dyDescent="0.25">
      <c r="A19">
        <v>2024</v>
      </c>
      <c r="B19" t="s">
        <v>849</v>
      </c>
      <c r="C19" t="s">
        <v>7</v>
      </c>
      <c r="D19" t="s">
        <v>98</v>
      </c>
      <c r="E19">
        <v>1</v>
      </c>
      <c r="F19" t="s">
        <v>1446</v>
      </c>
      <c r="G19" t="s">
        <v>480</v>
      </c>
      <c r="I19" s="21"/>
      <c r="J19" s="21"/>
    </row>
    <row r="20" spans="1:10" x14ac:dyDescent="0.25">
      <c r="A20">
        <v>2044</v>
      </c>
      <c r="B20" t="s">
        <v>683</v>
      </c>
      <c r="C20" t="s">
        <v>7</v>
      </c>
      <c r="D20" t="s">
        <v>51</v>
      </c>
      <c r="E20">
        <v>1</v>
      </c>
      <c r="F20" t="s">
        <v>1447</v>
      </c>
      <c r="G20" t="s">
        <v>861</v>
      </c>
    </row>
    <row r="21" spans="1:10" x14ac:dyDescent="0.25">
      <c r="A21">
        <v>2045</v>
      </c>
      <c r="B21" t="s">
        <v>684</v>
      </c>
      <c r="C21" t="s">
        <v>7</v>
      </c>
      <c r="D21" t="s">
        <v>51</v>
      </c>
      <c r="E21">
        <v>1</v>
      </c>
      <c r="F21" t="s">
        <v>1447</v>
      </c>
      <c r="G21" t="s">
        <v>484</v>
      </c>
      <c r="I21" s="21"/>
      <c r="J21" s="21"/>
    </row>
    <row r="22" spans="1:10" x14ac:dyDescent="0.25">
      <c r="A22">
        <v>2046</v>
      </c>
      <c r="B22" t="s">
        <v>685</v>
      </c>
      <c r="C22" t="s">
        <v>7</v>
      </c>
      <c r="D22" t="s">
        <v>51</v>
      </c>
      <c r="E22">
        <v>1</v>
      </c>
      <c r="F22" t="s">
        <v>1447</v>
      </c>
      <c r="G22" t="s">
        <v>484</v>
      </c>
    </row>
    <row r="23" spans="1:10" x14ac:dyDescent="0.25">
      <c r="A23">
        <v>2047</v>
      </c>
      <c r="B23" t="s">
        <v>689</v>
      </c>
      <c r="C23" t="s">
        <v>7</v>
      </c>
      <c r="D23" t="s">
        <v>51</v>
      </c>
      <c r="E23">
        <v>1</v>
      </c>
      <c r="F23" t="s">
        <v>1447</v>
      </c>
      <c r="G23" t="s">
        <v>484</v>
      </c>
    </row>
    <row r="24" spans="1:10" x14ac:dyDescent="0.25">
      <c r="A24">
        <v>2048</v>
      </c>
      <c r="B24" t="s">
        <v>690</v>
      </c>
      <c r="C24" t="s">
        <v>7</v>
      </c>
      <c r="D24" t="s">
        <v>51</v>
      </c>
      <c r="E24">
        <v>1</v>
      </c>
      <c r="F24" t="s">
        <v>1447</v>
      </c>
      <c r="G24" t="s">
        <v>861</v>
      </c>
    </row>
    <row r="25" spans="1:10" x14ac:dyDescent="0.25">
      <c r="A25">
        <v>2049</v>
      </c>
      <c r="B25" t="s">
        <v>691</v>
      </c>
      <c r="C25" t="s">
        <v>7</v>
      </c>
      <c r="D25" t="s">
        <v>51</v>
      </c>
      <c r="E25">
        <v>1</v>
      </c>
      <c r="F25" t="s">
        <v>1447</v>
      </c>
      <c r="G25" t="s">
        <v>861</v>
      </c>
    </row>
    <row r="26" spans="1:10" x14ac:dyDescent="0.25">
      <c r="A26">
        <v>2050</v>
      </c>
      <c r="B26" t="s">
        <v>686</v>
      </c>
      <c r="C26" t="s">
        <v>7</v>
      </c>
      <c r="D26" t="s">
        <v>51</v>
      </c>
      <c r="E26">
        <v>1</v>
      </c>
      <c r="F26" t="s">
        <v>1447</v>
      </c>
      <c r="G26" t="s">
        <v>480</v>
      </c>
      <c r="I26" s="21"/>
      <c r="J26" s="21"/>
    </row>
    <row r="27" spans="1:10" x14ac:dyDescent="0.25">
      <c r="A27">
        <v>2051</v>
      </c>
      <c r="B27" t="s">
        <v>687</v>
      </c>
      <c r="C27" t="s">
        <v>7</v>
      </c>
      <c r="D27" t="s">
        <v>51</v>
      </c>
      <c r="E27">
        <v>1</v>
      </c>
      <c r="F27" t="s">
        <v>1447</v>
      </c>
      <c r="G27" t="s">
        <v>480</v>
      </c>
    </row>
    <row r="28" spans="1:10" x14ac:dyDescent="0.25">
      <c r="A28">
        <v>2052</v>
      </c>
      <c r="B28" t="s">
        <v>688</v>
      </c>
      <c r="C28" t="s">
        <v>7</v>
      </c>
      <c r="D28" t="s">
        <v>51</v>
      </c>
      <c r="E28">
        <v>1</v>
      </c>
      <c r="F28" t="s">
        <v>1447</v>
      </c>
      <c r="G28" t="s">
        <v>480</v>
      </c>
    </row>
    <row r="29" spans="1:10" x14ac:dyDescent="0.25">
      <c r="A29">
        <v>2053</v>
      </c>
      <c r="B29" t="s">
        <v>692</v>
      </c>
      <c r="C29" t="s">
        <v>7</v>
      </c>
      <c r="D29" t="s">
        <v>51</v>
      </c>
      <c r="E29">
        <v>1</v>
      </c>
      <c r="F29" t="s">
        <v>1447</v>
      </c>
      <c r="G29" t="s">
        <v>861</v>
      </c>
    </row>
    <row r="30" spans="1:10" x14ac:dyDescent="0.25">
      <c r="A30">
        <v>2054</v>
      </c>
      <c r="B30" t="s">
        <v>693</v>
      </c>
      <c r="C30" t="s">
        <v>7</v>
      </c>
      <c r="D30" t="s">
        <v>51</v>
      </c>
      <c r="E30">
        <v>1</v>
      </c>
      <c r="F30" t="s">
        <v>1447</v>
      </c>
      <c r="G30" t="s">
        <v>861</v>
      </c>
    </row>
    <row r="31" spans="1:10" x14ac:dyDescent="0.25">
      <c r="A31">
        <v>2055</v>
      </c>
      <c r="B31" t="s">
        <v>694</v>
      </c>
      <c r="C31" t="s">
        <v>7</v>
      </c>
      <c r="D31" t="s">
        <v>51</v>
      </c>
      <c r="E31">
        <v>1</v>
      </c>
      <c r="F31" t="s">
        <v>1447</v>
      </c>
      <c r="G31" t="s">
        <v>861</v>
      </c>
      <c r="I31" s="21"/>
      <c r="J31" s="21"/>
    </row>
    <row r="32" spans="1:10" x14ac:dyDescent="0.25">
      <c r="A32">
        <v>2056</v>
      </c>
      <c r="B32" t="s">
        <v>795</v>
      </c>
      <c r="C32" t="s">
        <v>7</v>
      </c>
      <c r="D32" t="s">
        <v>51</v>
      </c>
      <c r="E32">
        <v>1</v>
      </c>
      <c r="F32" t="s">
        <v>1446</v>
      </c>
      <c r="G32" t="s">
        <v>861</v>
      </c>
      <c r="I32" s="21"/>
      <c r="J32" s="21"/>
    </row>
    <row r="33" spans="1:10" x14ac:dyDescent="0.25">
      <c r="A33">
        <v>2057</v>
      </c>
      <c r="B33" t="s">
        <v>746</v>
      </c>
      <c r="C33" t="s">
        <v>7</v>
      </c>
      <c r="D33" t="s">
        <v>51</v>
      </c>
      <c r="E33">
        <v>1</v>
      </c>
      <c r="F33" t="s">
        <v>1446</v>
      </c>
      <c r="G33" t="s">
        <v>861</v>
      </c>
    </row>
    <row r="34" spans="1:10" x14ac:dyDescent="0.25">
      <c r="A34">
        <v>2058</v>
      </c>
      <c r="B34" t="s">
        <v>745</v>
      </c>
      <c r="C34" t="s">
        <v>7</v>
      </c>
      <c r="D34" t="s">
        <v>51</v>
      </c>
      <c r="E34">
        <v>1</v>
      </c>
      <c r="F34" t="s">
        <v>1447</v>
      </c>
      <c r="G34" t="s">
        <v>861</v>
      </c>
      <c r="I34" s="21"/>
      <c r="J34" s="21"/>
    </row>
    <row r="35" spans="1:10" x14ac:dyDescent="0.25">
      <c r="A35">
        <v>2059</v>
      </c>
      <c r="B35" t="s">
        <v>744</v>
      </c>
      <c r="C35" t="s">
        <v>7</v>
      </c>
      <c r="D35" t="s">
        <v>51</v>
      </c>
      <c r="E35">
        <v>1</v>
      </c>
      <c r="F35" t="s">
        <v>1451</v>
      </c>
      <c r="G35" t="s">
        <v>484</v>
      </c>
      <c r="I35" s="21"/>
      <c r="J35" s="21"/>
    </row>
    <row r="36" spans="1:10" x14ac:dyDescent="0.25">
      <c r="A36">
        <v>2060</v>
      </c>
      <c r="B36" t="s">
        <v>747</v>
      </c>
      <c r="C36" t="s">
        <v>7</v>
      </c>
      <c r="D36" t="s">
        <v>51</v>
      </c>
      <c r="E36">
        <v>1</v>
      </c>
      <c r="F36" t="s">
        <v>1457</v>
      </c>
      <c r="G36" t="s">
        <v>485</v>
      </c>
      <c r="I36" s="21"/>
      <c r="J36" s="21"/>
    </row>
    <row r="37" spans="1:10" x14ac:dyDescent="0.25">
      <c r="A37">
        <v>2061</v>
      </c>
      <c r="B37" t="s">
        <v>706</v>
      </c>
      <c r="C37" t="s">
        <v>7</v>
      </c>
      <c r="D37" t="s">
        <v>98</v>
      </c>
      <c r="E37">
        <v>1</v>
      </c>
      <c r="F37" t="s">
        <v>1446</v>
      </c>
      <c r="G37" t="s">
        <v>478</v>
      </c>
    </row>
    <row r="38" spans="1:10" x14ac:dyDescent="0.25">
      <c r="A38">
        <v>2062</v>
      </c>
      <c r="B38" t="s">
        <v>792</v>
      </c>
      <c r="C38" t="s">
        <v>7</v>
      </c>
      <c r="D38" t="s">
        <v>98</v>
      </c>
      <c r="E38">
        <v>1</v>
      </c>
      <c r="F38" t="s">
        <v>1446</v>
      </c>
      <c r="G38" t="s">
        <v>480</v>
      </c>
    </row>
    <row r="39" spans="1:10" x14ac:dyDescent="0.25">
      <c r="A39">
        <v>2063</v>
      </c>
      <c r="B39" t="s">
        <v>793</v>
      </c>
      <c r="C39" t="s">
        <v>7</v>
      </c>
      <c r="D39" t="s">
        <v>98</v>
      </c>
      <c r="E39">
        <v>1</v>
      </c>
      <c r="F39" t="s">
        <v>1446</v>
      </c>
      <c r="G39" t="s">
        <v>484</v>
      </c>
      <c r="I39" s="21"/>
      <c r="J39" s="21"/>
    </row>
    <row r="40" spans="1:10" x14ac:dyDescent="0.25">
      <c r="A40">
        <v>2064</v>
      </c>
      <c r="B40" t="s">
        <v>794</v>
      </c>
      <c r="C40" t="s">
        <v>7</v>
      </c>
      <c r="D40" t="s">
        <v>98</v>
      </c>
      <c r="E40">
        <v>1</v>
      </c>
      <c r="F40" t="s">
        <v>1446</v>
      </c>
      <c r="G40" t="s">
        <v>485</v>
      </c>
      <c r="I40" s="21"/>
      <c r="J40" s="21"/>
    </row>
    <row r="41" spans="1:10" x14ac:dyDescent="0.25">
      <c r="A41">
        <v>2065</v>
      </c>
      <c r="B41" t="s">
        <v>707</v>
      </c>
      <c r="C41" t="s">
        <v>7</v>
      </c>
      <c r="D41" t="s">
        <v>98</v>
      </c>
      <c r="E41">
        <v>1</v>
      </c>
      <c r="F41" t="s">
        <v>1446</v>
      </c>
      <c r="G41" t="s">
        <v>478</v>
      </c>
      <c r="I41" s="21"/>
      <c r="J41" s="21"/>
    </row>
    <row r="42" spans="1:10" x14ac:dyDescent="0.25">
      <c r="A42">
        <v>2066</v>
      </c>
      <c r="B42" t="s">
        <v>1134</v>
      </c>
      <c r="C42" t="s">
        <v>7</v>
      </c>
      <c r="D42" t="s">
        <v>98</v>
      </c>
      <c r="E42">
        <v>1</v>
      </c>
      <c r="F42" t="s">
        <v>1446</v>
      </c>
      <c r="G42" t="s">
        <v>478</v>
      </c>
      <c r="I42" s="21"/>
      <c r="J42" s="21"/>
    </row>
    <row r="43" spans="1:10" x14ac:dyDescent="0.25">
      <c r="A43">
        <v>2067</v>
      </c>
      <c r="B43" t="s">
        <v>1131</v>
      </c>
      <c r="C43" t="s">
        <v>7</v>
      </c>
      <c r="D43" t="s">
        <v>98</v>
      </c>
      <c r="E43">
        <v>1</v>
      </c>
      <c r="F43" t="s">
        <v>1446</v>
      </c>
      <c r="G43" t="s">
        <v>480</v>
      </c>
      <c r="I43" s="21"/>
      <c r="J43" s="21"/>
    </row>
    <row r="44" spans="1:10" x14ac:dyDescent="0.25">
      <c r="A44">
        <v>2068</v>
      </c>
      <c r="B44" t="s">
        <v>1135</v>
      </c>
      <c r="C44" t="s">
        <v>7</v>
      </c>
      <c r="D44" t="s">
        <v>98</v>
      </c>
      <c r="E44">
        <v>1</v>
      </c>
      <c r="F44" t="s">
        <v>1446</v>
      </c>
      <c r="G44" t="s">
        <v>480</v>
      </c>
      <c r="I44" s="21"/>
      <c r="J44" s="21"/>
    </row>
    <row r="45" spans="1:10" x14ac:dyDescent="0.25">
      <c r="A45">
        <v>2069</v>
      </c>
      <c r="B45" t="s">
        <v>1137</v>
      </c>
      <c r="C45" t="s">
        <v>7</v>
      </c>
      <c r="D45" t="s">
        <v>98</v>
      </c>
      <c r="E45">
        <v>1</v>
      </c>
      <c r="F45" t="s">
        <v>1446</v>
      </c>
      <c r="G45" t="s">
        <v>484</v>
      </c>
      <c r="I45" s="21"/>
      <c r="J45" s="21"/>
    </row>
    <row r="46" spans="1:10" x14ac:dyDescent="0.25">
      <c r="A46">
        <v>2070</v>
      </c>
      <c r="B46" t="s">
        <v>1139</v>
      </c>
      <c r="C46" t="s">
        <v>7</v>
      </c>
      <c r="D46" t="s">
        <v>98</v>
      </c>
      <c r="E46">
        <v>1</v>
      </c>
      <c r="F46" t="s">
        <v>1446</v>
      </c>
      <c r="G46" t="s">
        <v>485</v>
      </c>
      <c r="I46" s="21"/>
      <c r="J46" s="21"/>
    </row>
    <row r="47" spans="1:10" x14ac:dyDescent="0.25">
      <c r="A47">
        <v>2071</v>
      </c>
      <c r="B47" t="s">
        <v>625</v>
      </c>
      <c r="C47" t="s">
        <v>7</v>
      </c>
      <c r="D47" t="s">
        <v>98</v>
      </c>
      <c r="E47">
        <v>1</v>
      </c>
      <c r="F47" t="s">
        <v>1446</v>
      </c>
      <c r="G47" t="s">
        <v>478</v>
      </c>
      <c r="I47" s="21"/>
      <c r="J47" s="21"/>
    </row>
    <row r="48" spans="1:10" x14ac:dyDescent="0.25">
      <c r="A48">
        <v>2072</v>
      </c>
      <c r="B48" t="s">
        <v>1149</v>
      </c>
      <c r="C48" t="s">
        <v>7</v>
      </c>
      <c r="D48" t="s">
        <v>98</v>
      </c>
      <c r="E48">
        <v>1</v>
      </c>
      <c r="F48" t="s">
        <v>1446</v>
      </c>
      <c r="G48" t="s">
        <v>480</v>
      </c>
      <c r="I48" s="21"/>
      <c r="J48" s="21"/>
    </row>
    <row r="49" spans="1:10" x14ac:dyDescent="0.25">
      <c r="A49">
        <v>2073</v>
      </c>
      <c r="B49" t="s">
        <v>1150</v>
      </c>
      <c r="C49" t="s">
        <v>7</v>
      </c>
      <c r="D49" t="s">
        <v>98</v>
      </c>
      <c r="E49">
        <v>1</v>
      </c>
      <c r="F49" t="s">
        <v>1446</v>
      </c>
      <c r="G49" t="s">
        <v>480</v>
      </c>
      <c r="I49" s="21"/>
      <c r="J49" s="21"/>
    </row>
    <row r="50" spans="1:10" x14ac:dyDescent="0.25">
      <c r="A50">
        <v>2074</v>
      </c>
      <c r="B50" t="s">
        <v>1151</v>
      </c>
      <c r="C50" t="s">
        <v>7</v>
      </c>
      <c r="D50" t="s">
        <v>98</v>
      </c>
      <c r="E50">
        <v>1</v>
      </c>
      <c r="F50" t="s">
        <v>1446</v>
      </c>
      <c r="G50" t="s">
        <v>480</v>
      </c>
      <c r="I50" s="21"/>
      <c r="J50" s="21"/>
    </row>
    <row r="51" spans="1:10" x14ac:dyDescent="0.25">
      <c r="A51">
        <v>2075</v>
      </c>
      <c r="B51" t="s">
        <v>1152</v>
      </c>
      <c r="C51" t="s">
        <v>7</v>
      </c>
      <c r="D51" t="s">
        <v>98</v>
      </c>
      <c r="E51">
        <v>1</v>
      </c>
      <c r="F51" t="s">
        <v>1446</v>
      </c>
      <c r="G51" t="s">
        <v>480</v>
      </c>
      <c r="I51" s="21"/>
      <c r="J51" s="21"/>
    </row>
    <row r="52" spans="1:10" x14ac:dyDescent="0.25">
      <c r="A52">
        <v>2076</v>
      </c>
      <c r="B52" t="s">
        <v>1153</v>
      </c>
      <c r="C52" t="s">
        <v>7</v>
      </c>
      <c r="D52" t="s">
        <v>98</v>
      </c>
      <c r="E52">
        <v>1</v>
      </c>
      <c r="F52" t="s">
        <v>1446</v>
      </c>
      <c r="G52" t="s">
        <v>484</v>
      </c>
      <c r="I52" s="21"/>
      <c r="J52" s="21"/>
    </row>
    <row r="53" spans="1:10" x14ac:dyDescent="0.25">
      <c r="A53">
        <v>2111</v>
      </c>
      <c r="B53" t="s">
        <v>1596</v>
      </c>
      <c r="C53" t="s">
        <v>7</v>
      </c>
      <c r="D53" t="s">
        <v>98</v>
      </c>
      <c r="E53">
        <v>1</v>
      </c>
      <c r="F53" t="s">
        <v>1457</v>
      </c>
      <c r="G53" t="s">
        <v>861</v>
      </c>
      <c r="I53" s="21"/>
      <c r="J53" s="21"/>
    </row>
    <row r="54" spans="1:10" x14ac:dyDescent="0.25">
      <c r="A54">
        <v>2112</v>
      </c>
      <c r="B54" t="s">
        <v>1597</v>
      </c>
      <c r="C54" t="s">
        <v>7</v>
      </c>
      <c r="D54" t="s">
        <v>98</v>
      </c>
      <c r="E54">
        <v>1</v>
      </c>
      <c r="F54" t="s">
        <v>1457</v>
      </c>
      <c r="G54" t="s">
        <v>861</v>
      </c>
      <c r="I54" s="21"/>
      <c r="J54" s="21"/>
    </row>
    <row r="55" spans="1:10" x14ac:dyDescent="0.25">
      <c r="A55">
        <v>2113</v>
      </c>
      <c r="B55" t="s">
        <v>1598</v>
      </c>
      <c r="C55" t="s">
        <v>7</v>
      </c>
      <c r="D55" t="s">
        <v>98</v>
      </c>
      <c r="E55">
        <v>1</v>
      </c>
      <c r="F55" t="s">
        <v>1457</v>
      </c>
      <c r="G55" t="s">
        <v>861</v>
      </c>
      <c r="I55" s="21"/>
      <c r="J55" s="21"/>
    </row>
    <row r="56" spans="1:10" x14ac:dyDescent="0.25">
      <c r="A56">
        <v>2114</v>
      </c>
      <c r="B56" t="s">
        <v>1599</v>
      </c>
      <c r="C56" t="s">
        <v>7</v>
      </c>
      <c r="D56" t="s">
        <v>98</v>
      </c>
      <c r="E56">
        <v>1</v>
      </c>
      <c r="F56" t="s">
        <v>1457</v>
      </c>
      <c r="G56" t="s">
        <v>861</v>
      </c>
      <c r="I56" s="21"/>
      <c r="J56" s="21"/>
    </row>
    <row r="57" spans="1:10" x14ac:dyDescent="0.25">
      <c r="A57">
        <v>2115</v>
      </c>
      <c r="B57" t="s">
        <v>1600</v>
      </c>
      <c r="C57" t="s">
        <v>7</v>
      </c>
      <c r="D57" t="s">
        <v>98</v>
      </c>
      <c r="E57">
        <v>1</v>
      </c>
      <c r="F57" t="s">
        <v>1457</v>
      </c>
      <c r="G57" t="s">
        <v>861</v>
      </c>
      <c r="I57" s="21"/>
      <c r="J57" s="21"/>
    </row>
    <row r="58" spans="1:10" x14ac:dyDescent="0.25">
      <c r="A58">
        <v>2116</v>
      </c>
      <c r="B58" t="s">
        <v>1601</v>
      </c>
      <c r="C58" t="s">
        <v>7</v>
      </c>
      <c r="D58" t="s">
        <v>98</v>
      </c>
      <c r="E58">
        <v>1</v>
      </c>
      <c r="F58" t="s">
        <v>1457</v>
      </c>
      <c r="G58" t="s">
        <v>861</v>
      </c>
      <c r="I58" s="21"/>
      <c r="J58" s="21"/>
    </row>
    <row r="59" spans="1:10" x14ac:dyDescent="0.25">
      <c r="A59">
        <v>2117</v>
      </c>
      <c r="B59" t="s">
        <v>1602</v>
      </c>
      <c r="C59" t="s">
        <v>7</v>
      </c>
      <c r="D59" t="s">
        <v>1084</v>
      </c>
      <c r="E59">
        <v>1</v>
      </c>
      <c r="F59" t="s">
        <v>1447</v>
      </c>
      <c r="G59" t="s">
        <v>478</v>
      </c>
      <c r="I59" s="21"/>
      <c r="J59" s="21"/>
    </row>
    <row r="60" spans="1:10" x14ac:dyDescent="0.25">
      <c r="A60">
        <v>2118</v>
      </c>
      <c r="B60" t="s">
        <v>1603</v>
      </c>
      <c r="C60" t="s">
        <v>7</v>
      </c>
      <c r="D60" t="s">
        <v>1084</v>
      </c>
      <c r="E60">
        <v>1</v>
      </c>
      <c r="F60" t="s">
        <v>1447</v>
      </c>
      <c r="G60" t="s">
        <v>480</v>
      </c>
      <c r="I60" s="21"/>
      <c r="J60" s="21"/>
    </row>
    <row r="61" spans="1:10" x14ac:dyDescent="0.25">
      <c r="A61">
        <v>2119</v>
      </c>
      <c r="B61" t="s">
        <v>1604</v>
      </c>
      <c r="C61" t="s">
        <v>7</v>
      </c>
      <c r="D61" t="s">
        <v>1084</v>
      </c>
      <c r="E61">
        <v>1</v>
      </c>
      <c r="F61" t="s">
        <v>1447</v>
      </c>
      <c r="G61" t="s">
        <v>478</v>
      </c>
      <c r="I61" s="21"/>
      <c r="J61" s="21"/>
    </row>
    <row r="62" spans="1:10" x14ac:dyDescent="0.25">
      <c r="A62">
        <v>2120</v>
      </c>
      <c r="B62" t="s">
        <v>1605</v>
      </c>
      <c r="C62" t="s">
        <v>7</v>
      </c>
      <c r="D62" t="s">
        <v>1084</v>
      </c>
      <c r="E62">
        <v>1</v>
      </c>
      <c r="F62" t="s">
        <v>1447</v>
      </c>
      <c r="G62" t="s">
        <v>480</v>
      </c>
      <c r="I62" s="21"/>
      <c r="J62" s="21"/>
    </row>
    <row r="63" spans="1:10" x14ac:dyDescent="0.25">
      <c r="A63">
        <v>2121</v>
      </c>
      <c r="B63" t="s">
        <v>1606</v>
      </c>
      <c r="C63" t="s">
        <v>7</v>
      </c>
      <c r="D63" t="s">
        <v>1084</v>
      </c>
      <c r="E63">
        <v>1</v>
      </c>
      <c r="F63" t="s">
        <v>1447</v>
      </c>
      <c r="G63" t="s">
        <v>480</v>
      </c>
      <c r="I63" s="21"/>
      <c r="J63" s="21"/>
    </row>
    <row r="64" spans="1:10" x14ac:dyDescent="0.25">
      <c r="A64">
        <v>2122</v>
      </c>
      <c r="B64" t="s">
        <v>1607</v>
      </c>
      <c r="C64" t="s">
        <v>7</v>
      </c>
      <c r="D64" t="s">
        <v>1084</v>
      </c>
      <c r="E64">
        <v>1</v>
      </c>
      <c r="F64" t="s">
        <v>1447</v>
      </c>
      <c r="G64" t="s">
        <v>480</v>
      </c>
    </row>
    <row r="65" spans="1:10" x14ac:dyDescent="0.25">
      <c r="A65">
        <v>2123</v>
      </c>
      <c r="B65" t="s">
        <v>1608</v>
      </c>
      <c r="C65" t="s">
        <v>7</v>
      </c>
      <c r="D65" t="s">
        <v>1084</v>
      </c>
      <c r="E65">
        <v>1</v>
      </c>
      <c r="F65" t="s">
        <v>1447</v>
      </c>
      <c r="G65" t="s">
        <v>478</v>
      </c>
      <c r="I65" s="21"/>
      <c r="J65" s="21"/>
    </row>
    <row r="66" spans="1:10" x14ac:dyDescent="0.25">
      <c r="A66">
        <v>2124</v>
      </c>
      <c r="B66" t="s">
        <v>1609</v>
      </c>
      <c r="C66" t="s">
        <v>7</v>
      </c>
      <c r="D66" t="s">
        <v>1084</v>
      </c>
      <c r="E66">
        <v>1</v>
      </c>
      <c r="F66" t="s">
        <v>1447</v>
      </c>
      <c r="G66" t="s">
        <v>480</v>
      </c>
      <c r="I66" s="21"/>
      <c r="J66" s="21"/>
    </row>
    <row r="67" spans="1:10" x14ac:dyDescent="0.25">
      <c r="A67">
        <v>2125</v>
      </c>
      <c r="B67" t="s">
        <v>1610</v>
      </c>
      <c r="C67" t="s">
        <v>7</v>
      </c>
      <c r="D67" t="s">
        <v>1084</v>
      </c>
      <c r="E67">
        <v>1</v>
      </c>
      <c r="F67" t="s">
        <v>1447</v>
      </c>
      <c r="G67" t="s">
        <v>484</v>
      </c>
    </row>
    <row r="68" spans="1:10" x14ac:dyDescent="0.25">
      <c r="A68">
        <v>2126</v>
      </c>
      <c r="B68" t="s">
        <v>1611</v>
      </c>
      <c r="C68" t="s">
        <v>7</v>
      </c>
      <c r="D68" t="s">
        <v>1084</v>
      </c>
      <c r="E68">
        <v>1</v>
      </c>
      <c r="F68" t="s">
        <v>1451</v>
      </c>
      <c r="G68" t="s">
        <v>484</v>
      </c>
    </row>
    <row r="69" spans="1:10" x14ac:dyDescent="0.25">
      <c r="A69">
        <v>2127</v>
      </c>
      <c r="B69" t="s">
        <v>1612</v>
      </c>
      <c r="C69" t="s">
        <v>7</v>
      </c>
      <c r="D69" t="s">
        <v>1084</v>
      </c>
      <c r="E69">
        <v>1</v>
      </c>
      <c r="F69" t="s">
        <v>1451</v>
      </c>
      <c r="G69" t="s">
        <v>485</v>
      </c>
      <c r="I69" s="21"/>
      <c r="J69" s="21"/>
    </row>
    <row r="70" spans="1:10" x14ac:dyDescent="0.25">
      <c r="A70">
        <v>2128</v>
      </c>
      <c r="B70" t="s">
        <v>1613</v>
      </c>
      <c r="C70" t="s">
        <v>7</v>
      </c>
      <c r="D70" t="s">
        <v>1084</v>
      </c>
      <c r="E70">
        <v>1</v>
      </c>
      <c r="F70" t="s">
        <v>1451</v>
      </c>
      <c r="G70" t="s">
        <v>485</v>
      </c>
      <c r="I70" s="21"/>
      <c r="J70" s="21"/>
    </row>
    <row r="71" spans="1:10" x14ac:dyDescent="0.25">
      <c r="A71">
        <v>3000</v>
      </c>
      <c r="B71" t="s">
        <v>16</v>
      </c>
      <c r="C71" t="s">
        <v>12</v>
      </c>
      <c r="D71" t="s">
        <v>6</v>
      </c>
      <c r="F71" t="s">
        <v>1447</v>
      </c>
      <c r="G71" t="s">
        <v>861</v>
      </c>
      <c r="I71" s="21"/>
      <c r="J71" s="21"/>
    </row>
    <row r="72" spans="1:10" x14ac:dyDescent="0.25">
      <c r="A72">
        <v>3001</v>
      </c>
      <c r="B72" t="s">
        <v>16</v>
      </c>
      <c r="C72" t="s">
        <v>12</v>
      </c>
      <c r="D72" t="s">
        <v>98</v>
      </c>
      <c r="E72">
        <v>1</v>
      </c>
      <c r="F72" t="s">
        <v>1451</v>
      </c>
      <c r="G72" t="s">
        <v>861</v>
      </c>
      <c r="I72" s="21"/>
      <c r="J72" s="21"/>
    </row>
    <row r="73" spans="1:10" x14ac:dyDescent="0.25">
      <c r="A73">
        <v>3002</v>
      </c>
      <c r="B73" t="s">
        <v>624</v>
      </c>
      <c r="C73" t="s">
        <v>12</v>
      </c>
      <c r="D73" t="s">
        <v>6</v>
      </c>
      <c r="F73" t="s">
        <v>1447</v>
      </c>
      <c r="G73" t="s">
        <v>861</v>
      </c>
      <c r="I73" s="21"/>
      <c r="J73" s="21"/>
    </row>
    <row r="74" spans="1:10" x14ac:dyDescent="0.25">
      <c r="A74">
        <v>3003</v>
      </c>
      <c r="B74" t="s">
        <v>95</v>
      </c>
      <c r="C74" t="s">
        <v>12</v>
      </c>
      <c r="D74" t="s">
        <v>51</v>
      </c>
      <c r="E74">
        <v>1</v>
      </c>
      <c r="F74" t="s">
        <v>1447</v>
      </c>
      <c r="G74" t="s">
        <v>478</v>
      </c>
      <c r="I74" s="21"/>
      <c r="J74" s="21"/>
    </row>
    <row r="75" spans="1:10" x14ac:dyDescent="0.25">
      <c r="A75">
        <v>3024</v>
      </c>
      <c r="B75" t="s">
        <v>834</v>
      </c>
      <c r="C75" t="s">
        <v>12</v>
      </c>
      <c r="D75" t="s">
        <v>98</v>
      </c>
      <c r="E75">
        <v>1</v>
      </c>
      <c r="F75" t="s">
        <v>1447</v>
      </c>
      <c r="G75" t="s">
        <v>478</v>
      </c>
      <c r="I75" s="21"/>
      <c r="J75" s="21"/>
    </row>
    <row r="76" spans="1:10" x14ac:dyDescent="0.25">
      <c r="A76">
        <v>3025</v>
      </c>
      <c r="B76" t="s">
        <v>834</v>
      </c>
      <c r="C76" t="s">
        <v>12</v>
      </c>
      <c r="D76" t="s">
        <v>98</v>
      </c>
      <c r="E76">
        <v>1</v>
      </c>
      <c r="F76" t="s">
        <v>1447</v>
      </c>
      <c r="G76" t="s">
        <v>480</v>
      </c>
      <c r="I76" s="21"/>
      <c r="J76" s="21"/>
    </row>
    <row r="77" spans="1:10" x14ac:dyDescent="0.25">
      <c r="A77">
        <v>3026</v>
      </c>
      <c r="B77" t="s">
        <v>834</v>
      </c>
      <c r="C77" t="s">
        <v>12</v>
      </c>
      <c r="D77" t="s">
        <v>98</v>
      </c>
      <c r="E77">
        <v>1</v>
      </c>
      <c r="F77" t="s">
        <v>1447</v>
      </c>
      <c r="G77" t="s">
        <v>484</v>
      </c>
      <c r="I77" s="21"/>
      <c r="J77" s="21"/>
    </row>
    <row r="78" spans="1:10" x14ac:dyDescent="0.25">
      <c r="A78">
        <v>3027</v>
      </c>
      <c r="B78" t="s">
        <v>834</v>
      </c>
      <c r="C78" t="s">
        <v>12</v>
      </c>
      <c r="D78" t="s">
        <v>98</v>
      </c>
      <c r="E78">
        <v>1</v>
      </c>
      <c r="F78" t="s">
        <v>1447</v>
      </c>
      <c r="G78" t="s">
        <v>485</v>
      </c>
      <c r="I78" s="21"/>
      <c r="J78" s="21"/>
    </row>
    <row r="79" spans="1:10" x14ac:dyDescent="0.25">
      <c r="A79">
        <v>3028</v>
      </c>
      <c r="B79" t="s">
        <v>521</v>
      </c>
      <c r="C79" t="s">
        <v>12</v>
      </c>
      <c r="D79" t="s">
        <v>1084</v>
      </c>
      <c r="E79">
        <v>1</v>
      </c>
      <c r="F79" t="s">
        <v>1446</v>
      </c>
      <c r="G79" t="s">
        <v>478</v>
      </c>
      <c r="I79" s="21"/>
      <c r="J79" s="21"/>
    </row>
    <row r="80" spans="1:10" x14ac:dyDescent="0.25">
      <c r="A80">
        <v>3029</v>
      </c>
      <c r="B80" t="s">
        <v>521</v>
      </c>
      <c r="C80" t="s">
        <v>12</v>
      </c>
      <c r="D80" t="s">
        <v>1084</v>
      </c>
      <c r="E80">
        <v>1</v>
      </c>
      <c r="F80" t="s">
        <v>1446</v>
      </c>
      <c r="G80" t="s">
        <v>480</v>
      </c>
      <c r="I80" s="21"/>
      <c r="J80" s="21"/>
    </row>
    <row r="81" spans="1:10" x14ac:dyDescent="0.25">
      <c r="A81">
        <v>3030</v>
      </c>
      <c r="B81" t="s">
        <v>521</v>
      </c>
      <c r="C81" t="s">
        <v>12</v>
      </c>
      <c r="D81" t="s">
        <v>1084</v>
      </c>
      <c r="E81">
        <v>1</v>
      </c>
      <c r="F81" t="s">
        <v>1447</v>
      </c>
      <c r="G81" t="s">
        <v>484</v>
      </c>
    </row>
    <row r="82" spans="1:10" x14ac:dyDescent="0.25">
      <c r="A82">
        <v>3031</v>
      </c>
      <c r="B82" t="s">
        <v>521</v>
      </c>
      <c r="C82" t="s">
        <v>12</v>
      </c>
      <c r="D82" t="s">
        <v>1084</v>
      </c>
      <c r="E82">
        <v>1</v>
      </c>
      <c r="F82" t="s">
        <v>1451</v>
      </c>
      <c r="G82" t="s">
        <v>485</v>
      </c>
      <c r="I82" s="21"/>
      <c r="J82" s="21"/>
    </row>
    <row r="83" spans="1:10" x14ac:dyDescent="0.25">
      <c r="A83">
        <v>3032</v>
      </c>
      <c r="B83" t="s">
        <v>1234</v>
      </c>
      <c r="C83" t="s">
        <v>12</v>
      </c>
      <c r="D83" t="s">
        <v>1084</v>
      </c>
      <c r="E83">
        <v>1</v>
      </c>
      <c r="F83" t="s">
        <v>1457</v>
      </c>
      <c r="G83" t="s">
        <v>478</v>
      </c>
      <c r="I83" s="21"/>
      <c r="J83" s="21"/>
    </row>
    <row r="84" spans="1:10" x14ac:dyDescent="0.25">
      <c r="A84">
        <v>3033</v>
      </c>
      <c r="B84" t="s">
        <v>1234</v>
      </c>
      <c r="C84" t="s">
        <v>12</v>
      </c>
      <c r="D84" t="s">
        <v>1084</v>
      </c>
      <c r="E84">
        <v>1</v>
      </c>
      <c r="F84" t="s">
        <v>1457</v>
      </c>
      <c r="G84" t="s">
        <v>480</v>
      </c>
      <c r="I84" s="21"/>
      <c r="J84" s="21"/>
    </row>
    <row r="85" spans="1:10" x14ac:dyDescent="0.25">
      <c r="A85">
        <v>3034</v>
      </c>
      <c r="B85" t="s">
        <v>1234</v>
      </c>
      <c r="C85" t="s">
        <v>12</v>
      </c>
      <c r="D85" t="s">
        <v>1084</v>
      </c>
      <c r="E85">
        <v>1</v>
      </c>
      <c r="F85" t="s">
        <v>1457</v>
      </c>
      <c r="G85" t="s">
        <v>484</v>
      </c>
      <c r="I85" s="21"/>
      <c r="J85" s="21"/>
    </row>
    <row r="86" spans="1:10" x14ac:dyDescent="0.25">
      <c r="A86">
        <v>3035</v>
      </c>
      <c r="B86" t="s">
        <v>1234</v>
      </c>
      <c r="C86" t="s">
        <v>12</v>
      </c>
      <c r="D86" t="s">
        <v>1084</v>
      </c>
      <c r="E86">
        <v>1</v>
      </c>
      <c r="F86" t="s">
        <v>1457</v>
      </c>
      <c r="G86" t="s">
        <v>485</v>
      </c>
      <c r="I86" s="21"/>
      <c r="J86" s="21"/>
    </row>
    <row r="87" spans="1:10" x14ac:dyDescent="0.25">
      <c r="A87">
        <v>3036</v>
      </c>
      <c r="B87" t="s">
        <v>1614</v>
      </c>
      <c r="C87" t="s">
        <v>12</v>
      </c>
      <c r="D87" t="s">
        <v>1084</v>
      </c>
      <c r="E87">
        <v>1</v>
      </c>
      <c r="F87" t="s">
        <v>1457</v>
      </c>
      <c r="G87" t="s">
        <v>485</v>
      </c>
      <c r="I87" s="21"/>
      <c r="J87" s="21"/>
    </row>
    <row r="88" spans="1:10" x14ac:dyDescent="0.25">
      <c r="A88">
        <v>3037</v>
      </c>
      <c r="B88" t="s">
        <v>1615</v>
      </c>
      <c r="C88" t="s">
        <v>12</v>
      </c>
      <c r="D88" t="s">
        <v>1084</v>
      </c>
      <c r="E88">
        <v>1</v>
      </c>
      <c r="F88" t="s">
        <v>1457</v>
      </c>
      <c r="G88" t="s">
        <v>485</v>
      </c>
      <c r="I88" s="21"/>
      <c r="J88" s="21"/>
    </row>
    <row r="89" spans="1:10" x14ac:dyDescent="0.25">
      <c r="A89">
        <v>3038</v>
      </c>
      <c r="B89" t="s">
        <v>1616</v>
      </c>
      <c r="C89" t="s">
        <v>12</v>
      </c>
      <c r="D89" t="s">
        <v>1084</v>
      </c>
      <c r="E89">
        <v>1</v>
      </c>
      <c r="F89" t="s">
        <v>1457</v>
      </c>
      <c r="G89" t="s">
        <v>485</v>
      </c>
      <c r="I89" s="21"/>
      <c r="J89" s="21"/>
    </row>
    <row r="90" spans="1:10" x14ac:dyDescent="0.25">
      <c r="A90">
        <v>3040</v>
      </c>
      <c r="B90" t="s">
        <v>832</v>
      </c>
      <c r="C90" t="s">
        <v>12</v>
      </c>
      <c r="D90" t="s">
        <v>98</v>
      </c>
      <c r="E90">
        <v>1</v>
      </c>
      <c r="F90" t="s">
        <v>1447</v>
      </c>
      <c r="G90" t="s">
        <v>478</v>
      </c>
      <c r="I90" s="21"/>
      <c r="J90" s="21"/>
    </row>
    <row r="91" spans="1:10" x14ac:dyDescent="0.25">
      <c r="A91">
        <v>3041</v>
      </c>
      <c r="B91" t="s">
        <v>832</v>
      </c>
      <c r="C91" t="s">
        <v>12</v>
      </c>
      <c r="D91" t="s">
        <v>98</v>
      </c>
      <c r="E91">
        <v>1</v>
      </c>
      <c r="F91" t="s">
        <v>1447</v>
      </c>
      <c r="G91" t="s">
        <v>480</v>
      </c>
      <c r="I91" s="21"/>
      <c r="J91" s="21"/>
    </row>
    <row r="92" spans="1:10" x14ac:dyDescent="0.25">
      <c r="A92">
        <v>3042</v>
      </c>
      <c r="B92" t="s">
        <v>832</v>
      </c>
      <c r="C92" t="s">
        <v>12</v>
      </c>
      <c r="D92" t="s">
        <v>98</v>
      </c>
      <c r="E92">
        <v>1</v>
      </c>
      <c r="F92" t="s">
        <v>1447</v>
      </c>
      <c r="G92" t="s">
        <v>484</v>
      </c>
      <c r="I92" s="21"/>
      <c r="J92" s="21"/>
    </row>
    <row r="93" spans="1:10" x14ac:dyDescent="0.25">
      <c r="A93">
        <v>3043</v>
      </c>
      <c r="B93" t="s">
        <v>832</v>
      </c>
      <c r="C93" t="s">
        <v>12</v>
      </c>
      <c r="D93" t="s">
        <v>98</v>
      </c>
      <c r="E93">
        <v>1</v>
      </c>
      <c r="F93" t="s">
        <v>1447</v>
      </c>
      <c r="G93" t="s">
        <v>485</v>
      </c>
      <c r="I93" s="21"/>
      <c r="J93" s="21"/>
    </row>
    <row r="94" spans="1:10" x14ac:dyDescent="0.25">
      <c r="A94">
        <v>3044</v>
      </c>
      <c r="B94" t="s">
        <v>824</v>
      </c>
      <c r="C94" t="s">
        <v>12</v>
      </c>
      <c r="D94" t="s">
        <v>98</v>
      </c>
      <c r="E94">
        <v>1</v>
      </c>
      <c r="F94" t="s">
        <v>1447</v>
      </c>
      <c r="G94" t="s">
        <v>478</v>
      </c>
      <c r="I94" s="21"/>
      <c r="J94" s="21"/>
    </row>
    <row r="95" spans="1:10" x14ac:dyDescent="0.25">
      <c r="A95">
        <v>3045</v>
      </c>
      <c r="B95" t="s">
        <v>824</v>
      </c>
      <c r="C95" t="s">
        <v>12</v>
      </c>
      <c r="D95" t="s">
        <v>98</v>
      </c>
      <c r="E95">
        <v>1</v>
      </c>
      <c r="F95" t="s">
        <v>1447</v>
      </c>
      <c r="G95" t="s">
        <v>480</v>
      </c>
      <c r="I95" s="21"/>
      <c r="J95" s="21"/>
    </row>
    <row r="96" spans="1:10" x14ac:dyDescent="0.25">
      <c r="A96">
        <v>3046</v>
      </c>
      <c r="B96" t="s">
        <v>824</v>
      </c>
      <c r="C96" t="s">
        <v>12</v>
      </c>
      <c r="D96" t="s">
        <v>98</v>
      </c>
      <c r="E96">
        <v>1</v>
      </c>
      <c r="F96" t="s">
        <v>1447</v>
      </c>
      <c r="G96" t="s">
        <v>484</v>
      </c>
      <c r="I96" s="21"/>
      <c r="J96" s="21"/>
    </row>
    <row r="97" spans="1:10" x14ac:dyDescent="0.25">
      <c r="A97">
        <v>3047</v>
      </c>
      <c r="B97" t="s">
        <v>824</v>
      </c>
      <c r="C97" t="s">
        <v>12</v>
      </c>
      <c r="D97" t="s">
        <v>98</v>
      </c>
      <c r="E97">
        <v>1</v>
      </c>
      <c r="F97" t="s">
        <v>1447</v>
      </c>
      <c r="G97" t="s">
        <v>485</v>
      </c>
      <c r="I97" s="21"/>
      <c r="J97" s="21"/>
    </row>
    <row r="98" spans="1:10" x14ac:dyDescent="0.25">
      <c r="A98">
        <v>3056</v>
      </c>
      <c r="B98" t="s">
        <v>1298</v>
      </c>
      <c r="C98" t="s">
        <v>12</v>
      </c>
      <c r="D98" t="s">
        <v>6</v>
      </c>
      <c r="E98">
        <v>2</v>
      </c>
      <c r="F98" t="s">
        <v>1447</v>
      </c>
      <c r="G98" t="s">
        <v>861</v>
      </c>
      <c r="I98" s="21"/>
      <c r="J98" s="21"/>
    </row>
    <row r="99" spans="1:10" x14ac:dyDescent="0.25">
      <c r="A99">
        <v>4001</v>
      </c>
      <c r="B99" t="s">
        <v>748</v>
      </c>
      <c r="C99" t="s">
        <v>412</v>
      </c>
      <c r="D99" t="s">
        <v>51</v>
      </c>
      <c r="E99">
        <v>1</v>
      </c>
      <c r="F99" t="s">
        <v>1464</v>
      </c>
      <c r="G99" t="s">
        <v>861</v>
      </c>
      <c r="I99" s="21"/>
      <c r="J99" s="21"/>
    </row>
    <row r="100" spans="1:10" x14ac:dyDescent="0.25">
      <c r="A100">
        <v>4002</v>
      </c>
      <c r="B100" t="s">
        <v>695</v>
      </c>
      <c r="C100" t="s">
        <v>412</v>
      </c>
      <c r="D100" t="s">
        <v>51</v>
      </c>
      <c r="E100">
        <v>1</v>
      </c>
      <c r="F100" t="s">
        <v>1464</v>
      </c>
      <c r="G100" t="s">
        <v>861</v>
      </c>
      <c r="I100" s="21"/>
      <c r="J100" s="21"/>
    </row>
    <row r="101" spans="1:10" x14ac:dyDescent="0.25">
      <c r="A101">
        <v>4003</v>
      </c>
      <c r="B101" t="s">
        <v>696</v>
      </c>
      <c r="C101" t="s">
        <v>412</v>
      </c>
      <c r="D101" t="s">
        <v>51</v>
      </c>
      <c r="E101">
        <v>1</v>
      </c>
      <c r="F101" t="s">
        <v>1464</v>
      </c>
      <c r="G101" t="s">
        <v>861</v>
      </c>
      <c r="I101" s="21"/>
      <c r="J101" s="21"/>
    </row>
    <row r="102" spans="1:10" x14ac:dyDescent="0.25">
      <c r="A102">
        <v>4004</v>
      </c>
      <c r="B102" t="s">
        <v>697</v>
      </c>
      <c r="C102" t="s">
        <v>412</v>
      </c>
      <c r="D102" t="s">
        <v>51</v>
      </c>
      <c r="E102">
        <v>1</v>
      </c>
      <c r="F102" t="s">
        <v>1464</v>
      </c>
      <c r="G102" t="s">
        <v>861</v>
      </c>
      <c r="I102" s="21"/>
      <c r="J102" s="21"/>
    </row>
    <row r="103" spans="1:10" x14ac:dyDescent="0.25">
      <c r="A103">
        <v>4005</v>
      </c>
      <c r="B103" t="s">
        <v>1271</v>
      </c>
      <c r="C103" t="s">
        <v>412</v>
      </c>
      <c r="D103" t="s">
        <v>51</v>
      </c>
      <c r="E103">
        <v>1</v>
      </c>
      <c r="F103" t="s">
        <v>1464</v>
      </c>
      <c r="G103" t="s">
        <v>861</v>
      </c>
      <c r="I103" s="21"/>
      <c r="J103" s="21"/>
    </row>
    <row r="104" spans="1:10" x14ac:dyDescent="0.25">
      <c r="A104">
        <v>4006</v>
      </c>
      <c r="B104" t="s">
        <v>1272</v>
      </c>
      <c r="C104" t="s">
        <v>412</v>
      </c>
      <c r="D104" t="s">
        <v>51</v>
      </c>
      <c r="E104">
        <v>1</v>
      </c>
      <c r="F104" t="s">
        <v>1464</v>
      </c>
      <c r="G104" t="s">
        <v>861</v>
      </c>
      <c r="I104" s="21"/>
      <c r="J104" s="21"/>
    </row>
    <row r="105" spans="1:10" x14ac:dyDescent="0.25">
      <c r="A105">
        <v>4007</v>
      </c>
      <c r="B105" t="s">
        <v>1273</v>
      </c>
      <c r="C105" t="s">
        <v>412</v>
      </c>
      <c r="D105" t="s">
        <v>51</v>
      </c>
      <c r="E105">
        <v>1</v>
      </c>
      <c r="F105" t="s">
        <v>1464</v>
      </c>
      <c r="G105" t="s">
        <v>861</v>
      </c>
      <c r="I105" s="21"/>
      <c r="J105" s="21"/>
    </row>
    <row r="106" spans="1:10" x14ac:dyDescent="0.25">
      <c r="A106">
        <v>4008</v>
      </c>
      <c r="B106" t="s">
        <v>1274</v>
      </c>
      <c r="C106" t="s">
        <v>412</v>
      </c>
      <c r="D106" t="s">
        <v>51</v>
      </c>
      <c r="E106">
        <v>1</v>
      </c>
      <c r="F106" t="s">
        <v>1464</v>
      </c>
      <c r="G106" t="s">
        <v>861</v>
      </c>
      <c r="I106" s="21"/>
      <c r="J106" s="21"/>
    </row>
    <row r="107" spans="1:10" x14ac:dyDescent="0.25">
      <c r="A107">
        <v>4009</v>
      </c>
      <c r="B107" t="s">
        <v>698</v>
      </c>
      <c r="C107" t="s">
        <v>412</v>
      </c>
      <c r="D107" t="s">
        <v>51</v>
      </c>
      <c r="E107">
        <v>1</v>
      </c>
      <c r="F107" t="s">
        <v>1464</v>
      </c>
      <c r="G107" t="s">
        <v>861</v>
      </c>
      <c r="I107" s="21"/>
      <c r="J107" s="21"/>
    </row>
    <row r="108" spans="1:10" x14ac:dyDescent="0.25">
      <c r="A108">
        <v>4010</v>
      </c>
      <c r="B108" t="s">
        <v>699</v>
      </c>
      <c r="C108" t="s">
        <v>412</v>
      </c>
      <c r="D108" t="s">
        <v>51</v>
      </c>
      <c r="E108">
        <v>1</v>
      </c>
      <c r="F108" t="s">
        <v>1464</v>
      </c>
      <c r="G108" t="s">
        <v>861</v>
      </c>
      <c r="I108" s="21"/>
      <c r="J108" s="21"/>
    </row>
    <row r="109" spans="1:10" x14ac:dyDescent="0.25">
      <c r="A109">
        <v>4011</v>
      </c>
      <c r="B109" t="s">
        <v>700</v>
      </c>
      <c r="C109" t="s">
        <v>412</v>
      </c>
      <c r="D109" t="s">
        <v>51</v>
      </c>
      <c r="E109">
        <v>1</v>
      </c>
      <c r="F109" t="s">
        <v>1464</v>
      </c>
      <c r="G109" t="s">
        <v>861</v>
      </c>
      <c r="I109" s="21"/>
      <c r="J109" s="21"/>
    </row>
    <row r="110" spans="1:10" x14ac:dyDescent="0.25">
      <c r="A110">
        <v>4012</v>
      </c>
      <c r="B110" t="s">
        <v>701</v>
      </c>
      <c r="C110" t="s">
        <v>412</v>
      </c>
      <c r="D110" t="s">
        <v>51</v>
      </c>
      <c r="E110">
        <v>1</v>
      </c>
      <c r="F110" t="s">
        <v>1464</v>
      </c>
      <c r="G110" t="s">
        <v>861</v>
      </c>
      <c r="I110" s="21"/>
      <c r="J110" s="21"/>
    </row>
    <row r="111" spans="1:10" x14ac:dyDescent="0.25">
      <c r="A111">
        <v>4013</v>
      </c>
      <c r="B111" t="s">
        <v>1275</v>
      </c>
      <c r="C111" t="s">
        <v>412</v>
      </c>
      <c r="D111" t="s">
        <v>51</v>
      </c>
      <c r="E111">
        <v>1</v>
      </c>
      <c r="F111" t="s">
        <v>1464</v>
      </c>
      <c r="G111" t="s">
        <v>861</v>
      </c>
      <c r="I111" s="21"/>
      <c r="J111" s="21"/>
    </row>
    <row r="112" spans="1:10" x14ac:dyDescent="0.25">
      <c r="A112">
        <v>4014</v>
      </c>
      <c r="B112" t="s">
        <v>1276</v>
      </c>
      <c r="C112" t="s">
        <v>412</v>
      </c>
      <c r="D112" t="s">
        <v>51</v>
      </c>
      <c r="E112">
        <v>1</v>
      </c>
      <c r="F112" t="s">
        <v>1464</v>
      </c>
      <c r="G112" t="s">
        <v>861</v>
      </c>
      <c r="I112" s="21"/>
      <c r="J112" s="21"/>
    </row>
    <row r="113" spans="1:10" x14ac:dyDescent="0.25">
      <c r="A113">
        <v>4015</v>
      </c>
      <c r="B113" t="s">
        <v>1277</v>
      </c>
      <c r="C113" t="s">
        <v>412</v>
      </c>
      <c r="D113" t="s">
        <v>51</v>
      </c>
      <c r="E113">
        <v>1</v>
      </c>
      <c r="F113" t="s">
        <v>1464</v>
      </c>
      <c r="G113" t="s">
        <v>861</v>
      </c>
      <c r="I113" s="21"/>
      <c r="J113" s="21"/>
    </row>
    <row r="114" spans="1:10" x14ac:dyDescent="0.25">
      <c r="A114">
        <v>4016</v>
      </c>
      <c r="B114" t="s">
        <v>1278</v>
      </c>
      <c r="C114" t="s">
        <v>412</v>
      </c>
      <c r="D114" t="s">
        <v>51</v>
      </c>
      <c r="E114">
        <v>1</v>
      </c>
      <c r="F114" t="s">
        <v>1464</v>
      </c>
      <c r="G114" t="s">
        <v>861</v>
      </c>
      <c r="I114" s="21"/>
      <c r="J114" s="21"/>
    </row>
    <row r="115" spans="1:10" x14ac:dyDescent="0.25">
      <c r="A115">
        <v>4021</v>
      </c>
      <c r="B115" t="s">
        <v>522</v>
      </c>
      <c r="C115" t="s">
        <v>412</v>
      </c>
      <c r="D115" t="s">
        <v>98</v>
      </c>
      <c r="E115">
        <v>1</v>
      </c>
      <c r="F115" t="s">
        <v>1457</v>
      </c>
      <c r="G115" t="s">
        <v>484</v>
      </c>
      <c r="I115" s="21"/>
      <c r="J115" s="21"/>
    </row>
    <row r="116" spans="1:10" x14ac:dyDescent="0.25">
      <c r="A116">
        <v>4023</v>
      </c>
      <c r="B116" t="s">
        <v>1037</v>
      </c>
      <c r="C116" t="s">
        <v>412</v>
      </c>
      <c r="D116" t="s">
        <v>1084</v>
      </c>
      <c r="E116">
        <v>1</v>
      </c>
      <c r="F116" t="s">
        <v>1447</v>
      </c>
      <c r="G116" t="s">
        <v>478</v>
      </c>
      <c r="I116" s="21"/>
      <c r="J116" s="21"/>
    </row>
    <row r="117" spans="1:10" x14ac:dyDescent="0.25">
      <c r="A117">
        <v>4024</v>
      </c>
      <c r="B117" t="s">
        <v>1037</v>
      </c>
      <c r="C117" t="s">
        <v>412</v>
      </c>
      <c r="D117" t="s">
        <v>1084</v>
      </c>
      <c r="E117">
        <v>1</v>
      </c>
      <c r="F117" t="s">
        <v>1447</v>
      </c>
      <c r="G117" t="s">
        <v>480</v>
      </c>
      <c r="I117" s="21"/>
      <c r="J117" s="21"/>
    </row>
    <row r="118" spans="1:10" x14ac:dyDescent="0.25">
      <c r="A118">
        <v>4025</v>
      </c>
      <c r="B118" t="s">
        <v>1038</v>
      </c>
      <c r="C118" t="s">
        <v>412</v>
      </c>
      <c r="D118" t="s">
        <v>1084</v>
      </c>
      <c r="E118">
        <v>1</v>
      </c>
      <c r="F118" t="s">
        <v>1447</v>
      </c>
      <c r="G118" t="s">
        <v>484</v>
      </c>
      <c r="I118" s="21"/>
      <c r="J118" s="21"/>
    </row>
    <row r="119" spans="1:10" x14ac:dyDescent="0.25">
      <c r="A119">
        <v>4026</v>
      </c>
      <c r="B119" t="s">
        <v>1038</v>
      </c>
      <c r="C119" t="s">
        <v>412</v>
      </c>
      <c r="D119" t="s">
        <v>1084</v>
      </c>
      <c r="E119">
        <v>1</v>
      </c>
      <c r="F119" t="s">
        <v>1447</v>
      </c>
      <c r="G119" t="s">
        <v>485</v>
      </c>
      <c r="I119" s="21"/>
      <c r="J119" s="21"/>
    </row>
    <row r="120" spans="1:10" x14ac:dyDescent="0.25">
      <c r="A120">
        <v>4027</v>
      </c>
      <c r="B120" t="s">
        <v>1039</v>
      </c>
      <c r="C120" t="s">
        <v>412</v>
      </c>
      <c r="D120" t="s">
        <v>1084</v>
      </c>
      <c r="E120">
        <v>1</v>
      </c>
      <c r="F120" t="s">
        <v>1447</v>
      </c>
      <c r="G120" t="s">
        <v>478</v>
      </c>
      <c r="I120" s="21"/>
      <c r="J120" s="21"/>
    </row>
    <row r="121" spans="1:10" x14ac:dyDescent="0.25">
      <c r="A121">
        <v>4028</v>
      </c>
      <c r="B121" t="s">
        <v>1039</v>
      </c>
      <c r="C121" t="s">
        <v>412</v>
      </c>
      <c r="D121" t="s">
        <v>1084</v>
      </c>
      <c r="E121">
        <v>1</v>
      </c>
      <c r="F121" t="s">
        <v>1447</v>
      </c>
      <c r="G121" t="s">
        <v>480</v>
      </c>
      <c r="I121" s="21"/>
      <c r="J121" s="21"/>
    </row>
    <row r="122" spans="1:10" x14ac:dyDescent="0.25">
      <c r="A122">
        <v>4029</v>
      </c>
      <c r="B122" t="s">
        <v>1040</v>
      </c>
      <c r="C122" t="s">
        <v>412</v>
      </c>
      <c r="D122" t="s">
        <v>1084</v>
      </c>
      <c r="E122">
        <v>1</v>
      </c>
      <c r="F122" t="s">
        <v>1447</v>
      </c>
      <c r="G122" t="s">
        <v>484</v>
      </c>
      <c r="I122" s="21"/>
      <c r="J122" s="21"/>
    </row>
    <row r="123" spans="1:10" x14ac:dyDescent="0.25">
      <c r="A123">
        <v>4030</v>
      </c>
      <c r="B123" t="s">
        <v>1040</v>
      </c>
      <c r="C123" t="s">
        <v>412</v>
      </c>
      <c r="D123" t="s">
        <v>1084</v>
      </c>
      <c r="E123">
        <v>1</v>
      </c>
      <c r="F123" t="s">
        <v>1447</v>
      </c>
      <c r="G123" t="s">
        <v>485</v>
      </c>
    </row>
    <row r="124" spans="1:10" x14ac:dyDescent="0.25">
      <c r="A124">
        <v>4039</v>
      </c>
      <c r="B124" t="s">
        <v>1279</v>
      </c>
      <c r="C124" t="s">
        <v>412</v>
      </c>
      <c r="D124" t="s">
        <v>51</v>
      </c>
      <c r="F124" t="s">
        <v>1451</v>
      </c>
      <c r="G124" t="s">
        <v>861</v>
      </c>
    </row>
    <row r="125" spans="1:10" x14ac:dyDescent="0.25">
      <c r="A125">
        <v>4040</v>
      </c>
      <c r="B125" t="s">
        <v>1280</v>
      </c>
      <c r="C125" t="s">
        <v>412</v>
      </c>
      <c r="D125" t="s">
        <v>51</v>
      </c>
      <c r="F125" t="s">
        <v>1451</v>
      </c>
      <c r="G125" t="s">
        <v>861</v>
      </c>
    </row>
    <row r="126" spans="1:10" x14ac:dyDescent="0.25">
      <c r="A126">
        <v>4041</v>
      </c>
      <c r="B126" t="s">
        <v>1281</v>
      </c>
      <c r="C126" t="s">
        <v>412</v>
      </c>
      <c r="D126" t="s">
        <v>51</v>
      </c>
      <c r="F126" t="s">
        <v>1451</v>
      </c>
      <c r="G126" t="s">
        <v>861</v>
      </c>
    </row>
    <row r="127" spans="1:10" x14ac:dyDescent="0.25">
      <c r="A127">
        <v>4042</v>
      </c>
      <c r="B127" t="s">
        <v>1282</v>
      </c>
      <c r="C127" t="s">
        <v>412</v>
      </c>
      <c r="D127" t="s">
        <v>51</v>
      </c>
      <c r="F127" t="s">
        <v>1451</v>
      </c>
      <c r="G127" t="s">
        <v>861</v>
      </c>
    </row>
    <row r="128" spans="1:10" x14ac:dyDescent="0.25">
      <c r="A128">
        <v>4043</v>
      </c>
      <c r="B128" t="s">
        <v>1283</v>
      </c>
      <c r="C128" t="s">
        <v>412</v>
      </c>
      <c r="D128" t="s">
        <v>51</v>
      </c>
      <c r="F128" t="s">
        <v>1451</v>
      </c>
      <c r="G128" t="s">
        <v>861</v>
      </c>
    </row>
    <row r="129" spans="1:10" x14ac:dyDescent="0.25">
      <c r="A129">
        <v>4044</v>
      </c>
      <c r="B129" t="s">
        <v>1284</v>
      </c>
      <c r="C129" t="s">
        <v>412</v>
      </c>
      <c r="D129" t="s">
        <v>51</v>
      </c>
      <c r="F129" t="s">
        <v>1451</v>
      </c>
      <c r="G129" t="s">
        <v>861</v>
      </c>
    </row>
    <row r="130" spans="1:10" x14ac:dyDescent="0.25">
      <c r="A130">
        <v>4045</v>
      </c>
      <c r="B130" t="s">
        <v>1584</v>
      </c>
      <c r="C130" t="s">
        <v>412</v>
      </c>
      <c r="D130" t="s">
        <v>51</v>
      </c>
      <c r="E130">
        <v>1</v>
      </c>
      <c r="F130" t="s">
        <v>1451</v>
      </c>
      <c r="G130" t="s">
        <v>861</v>
      </c>
    </row>
    <row r="131" spans="1:10" x14ac:dyDescent="0.25">
      <c r="A131">
        <v>4046</v>
      </c>
      <c r="B131" t="s">
        <v>1585</v>
      </c>
      <c r="C131" t="s">
        <v>412</v>
      </c>
      <c r="D131" t="s">
        <v>51</v>
      </c>
      <c r="E131">
        <v>1</v>
      </c>
      <c r="F131" t="s">
        <v>1451</v>
      </c>
      <c r="G131" t="s">
        <v>861</v>
      </c>
    </row>
    <row r="132" spans="1:10" x14ac:dyDescent="0.25">
      <c r="A132">
        <v>4047</v>
      </c>
      <c r="B132" t="s">
        <v>1586</v>
      </c>
      <c r="C132" t="s">
        <v>412</v>
      </c>
      <c r="D132" t="s">
        <v>51</v>
      </c>
      <c r="E132">
        <v>1</v>
      </c>
      <c r="F132" t="s">
        <v>1451</v>
      </c>
      <c r="G132" t="s">
        <v>861</v>
      </c>
    </row>
    <row r="133" spans="1:10" x14ac:dyDescent="0.25">
      <c r="A133">
        <v>4048</v>
      </c>
      <c r="B133" t="s">
        <v>1587</v>
      </c>
      <c r="C133" t="s">
        <v>412</v>
      </c>
      <c r="D133" t="s">
        <v>51</v>
      </c>
      <c r="E133">
        <v>1</v>
      </c>
      <c r="F133" t="s">
        <v>1451</v>
      </c>
      <c r="G133" t="s">
        <v>861</v>
      </c>
    </row>
    <row r="134" spans="1:10" x14ac:dyDescent="0.25">
      <c r="A134">
        <v>4049</v>
      </c>
      <c r="B134" t="s">
        <v>1588</v>
      </c>
      <c r="C134" t="s">
        <v>412</v>
      </c>
      <c r="D134" t="s">
        <v>51</v>
      </c>
      <c r="E134">
        <v>1</v>
      </c>
      <c r="F134" t="s">
        <v>1451</v>
      </c>
      <c r="G134" t="s">
        <v>861</v>
      </c>
    </row>
    <row r="135" spans="1:10" x14ac:dyDescent="0.25">
      <c r="A135">
        <v>4050</v>
      </c>
      <c r="B135" t="s">
        <v>1589</v>
      </c>
      <c r="C135" t="s">
        <v>412</v>
      </c>
      <c r="D135" t="s">
        <v>51</v>
      </c>
      <c r="E135">
        <v>1</v>
      </c>
      <c r="F135" t="s">
        <v>1451</v>
      </c>
      <c r="G135" t="s">
        <v>861</v>
      </c>
      <c r="I135" s="21"/>
      <c r="J135" s="21"/>
    </row>
    <row r="136" spans="1:10" x14ac:dyDescent="0.25">
      <c r="A136">
        <v>4051</v>
      </c>
      <c r="B136" t="s">
        <v>1590</v>
      </c>
      <c r="C136" t="s">
        <v>412</v>
      </c>
      <c r="D136" t="s">
        <v>51</v>
      </c>
      <c r="E136">
        <v>1</v>
      </c>
      <c r="F136" t="s">
        <v>1451</v>
      </c>
      <c r="G136" t="s">
        <v>861</v>
      </c>
      <c r="I136" s="21"/>
      <c r="J136" s="21"/>
    </row>
    <row r="137" spans="1:10" x14ac:dyDescent="0.25">
      <c r="A137">
        <v>4052</v>
      </c>
      <c r="B137" t="s">
        <v>1591</v>
      </c>
      <c r="C137" t="s">
        <v>412</v>
      </c>
      <c r="D137" t="s">
        <v>51</v>
      </c>
      <c r="E137">
        <v>1</v>
      </c>
      <c r="F137" t="s">
        <v>1451</v>
      </c>
      <c r="G137" t="s">
        <v>861</v>
      </c>
      <c r="I137" s="21"/>
      <c r="J137" s="21"/>
    </row>
    <row r="138" spans="1:10" x14ac:dyDescent="0.25">
      <c r="A138">
        <v>4053</v>
      </c>
      <c r="B138" t="s">
        <v>1592</v>
      </c>
      <c r="C138" t="s">
        <v>412</v>
      </c>
      <c r="D138" t="s">
        <v>51</v>
      </c>
      <c r="E138">
        <v>1</v>
      </c>
      <c r="F138" t="s">
        <v>1451</v>
      </c>
      <c r="G138" t="s">
        <v>861</v>
      </c>
      <c r="I138" s="21"/>
      <c r="J138" s="21"/>
    </row>
    <row r="139" spans="1:10" x14ac:dyDescent="0.25">
      <c r="A139">
        <v>4054</v>
      </c>
      <c r="B139" t="s">
        <v>1593</v>
      </c>
      <c r="C139" t="s">
        <v>412</v>
      </c>
      <c r="D139" t="s">
        <v>51</v>
      </c>
      <c r="E139">
        <v>1</v>
      </c>
      <c r="F139" t="s">
        <v>1451</v>
      </c>
      <c r="G139" t="s">
        <v>861</v>
      </c>
      <c r="I139" s="21"/>
      <c r="J139" s="21"/>
    </row>
    <row r="140" spans="1:10" x14ac:dyDescent="0.25">
      <c r="A140">
        <v>4055</v>
      </c>
      <c r="B140" t="s">
        <v>1298</v>
      </c>
      <c r="C140" t="s">
        <v>412</v>
      </c>
      <c r="D140" t="s">
        <v>6</v>
      </c>
      <c r="E140">
        <v>2</v>
      </c>
      <c r="F140" t="s">
        <v>1447</v>
      </c>
      <c r="G140" t="s">
        <v>861</v>
      </c>
    </row>
    <row r="141" spans="1:10" x14ac:dyDescent="0.25">
      <c r="A141">
        <v>5000</v>
      </c>
      <c r="B141" t="s">
        <v>1127</v>
      </c>
      <c r="C141" t="s">
        <v>1177</v>
      </c>
      <c r="D141" t="s">
        <v>51</v>
      </c>
      <c r="E141">
        <v>1</v>
      </c>
      <c r="F141" t="s">
        <v>1451</v>
      </c>
      <c r="G141" t="s">
        <v>861</v>
      </c>
    </row>
    <row r="142" spans="1:10" x14ac:dyDescent="0.25">
      <c r="A142">
        <v>5001</v>
      </c>
      <c r="B142" t="s">
        <v>1126</v>
      </c>
      <c r="C142" t="s">
        <v>1177</v>
      </c>
      <c r="D142" t="s">
        <v>51</v>
      </c>
      <c r="E142">
        <v>1</v>
      </c>
      <c r="F142" t="s">
        <v>1451</v>
      </c>
      <c r="G142" t="s">
        <v>861</v>
      </c>
    </row>
    <row r="143" spans="1:10" x14ac:dyDescent="0.25">
      <c r="A143">
        <v>5002</v>
      </c>
      <c r="B143" t="s">
        <v>1125</v>
      </c>
      <c r="C143" t="s">
        <v>1177</v>
      </c>
      <c r="D143" t="s">
        <v>51</v>
      </c>
      <c r="E143">
        <v>1</v>
      </c>
      <c r="F143" t="s">
        <v>1451</v>
      </c>
      <c r="G143" t="s">
        <v>861</v>
      </c>
    </row>
    <row r="144" spans="1:10" x14ac:dyDescent="0.25">
      <c r="A144">
        <v>5003</v>
      </c>
      <c r="B144" t="s">
        <v>1128</v>
      </c>
      <c r="C144" t="s">
        <v>1177</v>
      </c>
      <c r="D144" t="s">
        <v>51</v>
      </c>
      <c r="E144">
        <v>1</v>
      </c>
      <c r="F144" t="s">
        <v>1451</v>
      </c>
      <c r="G144" t="s">
        <v>861</v>
      </c>
    </row>
    <row r="145" spans="1:10" x14ac:dyDescent="0.25">
      <c r="A145">
        <v>5004</v>
      </c>
      <c r="B145" t="s">
        <v>1129</v>
      </c>
      <c r="C145" t="s">
        <v>1177</v>
      </c>
      <c r="D145" t="s">
        <v>51</v>
      </c>
      <c r="E145">
        <v>1</v>
      </c>
      <c r="F145" t="s">
        <v>1451</v>
      </c>
      <c r="G145" t="s">
        <v>861</v>
      </c>
    </row>
    <row r="146" spans="1:10" x14ac:dyDescent="0.25">
      <c r="A146">
        <v>5005</v>
      </c>
      <c r="B146" t="s">
        <v>1130</v>
      </c>
      <c r="C146" t="s">
        <v>1177</v>
      </c>
      <c r="D146" t="s">
        <v>51</v>
      </c>
      <c r="E146">
        <v>1</v>
      </c>
      <c r="F146" t="s">
        <v>1451</v>
      </c>
      <c r="G146" t="s">
        <v>861</v>
      </c>
    </row>
    <row r="147" spans="1:10" x14ac:dyDescent="0.25">
      <c r="A147">
        <v>5010</v>
      </c>
      <c r="B147" t="s">
        <v>628</v>
      </c>
      <c r="C147" t="s">
        <v>1177</v>
      </c>
      <c r="D147" t="s">
        <v>98</v>
      </c>
      <c r="E147">
        <v>1</v>
      </c>
      <c r="F147" t="s">
        <v>1447</v>
      </c>
      <c r="G147" t="s">
        <v>861</v>
      </c>
    </row>
    <row r="148" spans="1:10" x14ac:dyDescent="0.25">
      <c r="A148">
        <v>5011</v>
      </c>
      <c r="B148" t="s">
        <v>629</v>
      </c>
      <c r="C148" t="s">
        <v>1177</v>
      </c>
      <c r="D148" t="s">
        <v>98</v>
      </c>
      <c r="E148">
        <v>1</v>
      </c>
      <c r="F148" t="s">
        <v>1447</v>
      </c>
      <c r="G148" t="s">
        <v>861</v>
      </c>
    </row>
    <row r="149" spans="1:10" x14ac:dyDescent="0.25">
      <c r="A149">
        <v>5012</v>
      </c>
      <c r="B149" t="s">
        <v>630</v>
      </c>
      <c r="C149" t="s">
        <v>1177</v>
      </c>
      <c r="D149" t="s">
        <v>98</v>
      </c>
      <c r="E149">
        <v>1</v>
      </c>
      <c r="F149" t="s">
        <v>1447</v>
      </c>
      <c r="G149" t="s">
        <v>861</v>
      </c>
    </row>
    <row r="150" spans="1:10" x14ac:dyDescent="0.25">
      <c r="A150">
        <v>5013</v>
      </c>
      <c r="B150" t="s">
        <v>631</v>
      </c>
      <c r="C150" t="s">
        <v>1177</v>
      </c>
      <c r="D150" t="s">
        <v>98</v>
      </c>
      <c r="E150">
        <v>1</v>
      </c>
      <c r="F150" t="s">
        <v>1447</v>
      </c>
      <c r="G150" t="s">
        <v>861</v>
      </c>
    </row>
    <row r="151" spans="1:10" x14ac:dyDescent="0.25">
      <c r="A151">
        <v>5014</v>
      </c>
      <c r="B151" t="s">
        <v>632</v>
      </c>
      <c r="C151" t="s">
        <v>1177</v>
      </c>
      <c r="D151" t="s">
        <v>98</v>
      </c>
      <c r="E151">
        <v>1</v>
      </c>
      <c r="F151" t="s">
        <v>1447</v>
      </c>
      <c r="G151" t="s">
        <v>861</v>
      </c>
    </row>
    <row r="152" spans="1:10" x14ac:dyDescent="0.25">
      <c r="A152">
        <v>8008</v>
      </c>
      <c r="B152" t="s">
        <v>702</v>
      </c>
      <c r="C152" t="s">
        <v>249</v>
      </c>
      <c r="D152" t="s">
        <v>51</v>
      </c>
      <c r="E152">
        <v>1</v>
      </c>
      <c r="F152" t="s">
        <v>1446</v>
      </c>
      <c r="G152" t="s">
        <v>861</v>
      </c>
    </row>
    <row r="153" spans="1:10" x14ac:dyDescent="0.25">
      <c r="A153">
        <v>8009</v>
      </c>
      <c r="B153" t="s">
        <v>703</v>
      </c>
      <c r="C153" t="s">
        <v>249</v>
      </c>
      <c r="D153" t="s">
        <v>51</v>
      </c>
      <c r="E153">
        <v>1</v>
      </c>
      <c r="F153" t="s">
        <v>1446</v>
      </c>
      <c r="G153" t="s">
        <v>861</v>
      </c>
    </row>
    <row r="154" spans="1:10" x14ac:dyDescent="0.25">
      <c r="A154">
        <v>8010</v>
      </c>
      <c r="B154" t="s">
        <v>704</v>
      </c>
      <c r="C154" t="s">
        <v>249</v>
      </c>
      <c r="D154" t="s">
        <v>51</v>
      </c>
      <c r="E154">
        <v>1</v>
      </c>
      <c r="F154" t="s">
        <v>1446</v>
      </c>
      <c r="G154" t="s">
        <v>861</v>
      </c>
    </row>
    <row r="155" spans="1:10" x14ac:dyDescent="0.25">
      <c r="A155">
        <v>8011</v>
      </c>
      <c r="B155" t="s">
        <v>705</v>
      </c>
      <c r="C155" t="s">
        <v>249</v>
      </c>
      <c r="D155" t="s">
        <v>51</v>
      </c>
      <c r="E155">
        <v>1</v>
      </c>
      <c r="F155" t="s">
        <v>1446</v>
      </c>
      <c r="G155" t="s">
        <v>861</v>
      </c>
    </row>
    <row r="156" spans="1:10" x14ac:dyDescent="0.25">
      <c r="A156">
        <v>8014</v>
      </c>
      <c r="B156" t="s">
        <v>1245</v>
      </c>
      <c r="C156" t="s">
        <v>249</v>
      </c>
      <c r="D156" t="s">
        <v>51</v>
      </c>
      <c r="E156">
        <v>1</v>
      </c>
      <c r="F156" t="s">
        <v>1446</v>
      </c>
      <c r="G156" t="s">
        <v>861</v>
      </c>
      <c r="I156" s="21"/>
      <c r="J156" s="21"/>
    </row>
    <row r="157" spans="1:10" x14ac:dyDescent="0.25">
      <c r="A157">
        <v>8015</v>
      </c>
      <c r="B157" t="s">
        <v>1244</v>
      </c>
      <c r="C157" t="s">
        <v>249</v>
      </c>
      <c r="D157" t="s">
        <v>51</v>
      </c>
      <c r="E157">
        <v>1</v>
      </c>
      <c r="F157" t="s">
        <v>1446</v>
      </c>
      <c r="G157" t="s">
        <v>861</v>
      </c>
      <c r="I157" s="21"/>
      <c r="J157" s="21"/>
    </row>
    <row r="158" spans="1:10" x14ac:dyDescent="0.25">
      <c r="A158">
        <v>8016</v>
      </c>
      <c r="B158" t="s">
        <v>1243</v>
      </c>
      <c r="C158" t="s">
        <v>249</v>
      </c>
      <c r="D158" t="s">
        <v>51</v>
      </c>
      <c r="E158">
        <v>1</v>
      </c>
      <c r="F158" t="s">
        <v>1446</v>
      </c>
      <c r="G158" t="s">
        <v>861</v>
      </c>
      <c r="I158" s="21"/>
      <c r="J158" s="21"/>
    </row>
    <row r="159" spans="1:10" x14ac:dyDescent="0.25">
      <c r="A159">
        <v>8017</v>
      </c>
      <c r="B159" t="s">
        <v>1242</v>
      </c>
      <c r="C159" t="s">
        <v>249</v>
      </c>
      <c r="D159" t="s">
        <v>51</v>
      </c>
      <c r="E159">
        <v>1</v>
      </c>
      <c r="F159" t="s">
        <v>1446</v>
      </c>
      <c r="G159" t="s">
        <v>861</v>
      </c>
      <c r="I159" s="21"/>
      <c r="J159" s="21"/>
    </row>
    <row r="160" spans="1:10" x14ac:dyDescent="0.25">
      <c r="I160" s="21"/>
      <c r="J160" s="21"/>
    </row>
    <row r="161" spans="9:10" x14ac:dyDescent="0.25">
      <c r="I161" s="21"/>
      <c r="J161" s="21"/>
    </row>
    <row r="162" spans="9:10" x14ac:dyDescent="0.25">
      <c r="I162" s="21"/>
      <c r="J162" s="21"/>
    </row>
    <row r="163" spans="9:10" x14ac:dyDescent="0.25">
      <c r="I163" s="21"/>
      <c r="J163" s="21"/>
    </row>
    <row r="164" spans="9:10" x14ac:dyDescent="0.25">
      <c r="I164" s="21"/>
      <c r="J164" s="21"/>
    </row>
    <row r="165" spans="9:10" x14ac:dyDescent="0.25">
      <c r="I165" s="21"/>
      <c r="J165" s="21"/>
    </row>
    <row r="166" spans="9:10" x14ac:dyDescent="0.25">
      <c r="I166" s="21"/>
      <c r="J166" s="21"/>
    </row>
    <row r="167" spans="9:10" x14ac:dyDescent="0.25">
      <c r="I167" s="21"/>
      <c r="J167" s="21"/>
    </row>
    <row r="168" spans="9:10" x14ac:dyDescent="0.25">
      <c r="I168" s="21"/>
      <c r="J168" s="21"/>
    </row>
    <row r="169" spans="9:10" x14ac:dyDescent="0.25">
      <c r="I169" s="21"/>
      <c r="J169" s="21"/>
    </row>
    <row r="170" spans="9:10" x14ac:dyDescent="0.25">
      <c r="I170" s="21"/>
      <c r="J170" s="21"/>
    </row>
    <row r="171" spans="9:10" x14ac:dyDescent="0.25">
      <c r="I171" s="21"/>
      <c r="J171" s="21"/>
    </row>
    <row r="172" spans="9:10" x14ac:dyDescent="0.25">
      <c r="I172" s="21"/>
      <c r="J172" s="21"/>
    </row>
    <row r="173" spans="9:10" x14ac:dyDescent="0.25">
      <c r="I173" s="21"/>
      <c r="J173" s="21"/>
    </row>
    <row r="174" spans="9:10" x14ac:dyDescent="0.25">
      <c r="I174" s="21"/>
      <c r="J174" s="21"/>
    </row>
    <row r="175" spans="9:10" x14ac:dyDescent="0.25">
      <c r="I175" s="21"/>
      <c r="J175" s="21"/>
    </row>
    <row r="176" spans="9:10" x14ac:dyDescent="0.25">
      <c r="I176" s="21"/>
      <c r="J176" s="21"/>
    </row>
    <row r="177" spans="9:10" x14ac:dyDescent="0.25">
      <c r="I177" s="21"/>
      <c r="J177" s="21"/>
    </row>
    <row r="178" spans="9:10" x14ac:dyDescent="0.25">
      <c r="I178" s="21"/>
      <c r="J178" s="21"/>
    </row>
    <row r="179" spans="9:10" x14ac:dyDescent="0.25">
      <c r="I179" s="21"/>
      <c r="J179" s="21"/>
    </row>
    <row r="180" spans="9:10" x14ac:dyDescent="0.25">
      <c r="I180" s="21"/>
      <c r="J180" s="21"/>
    </row>
    <row r="181" spans="9:10" x14ac:dyDescent="0.25">
      <c r="I181" s="21"/>
      <c r="J181" s="21"/>
    </row>
    <row r="182" spans="9:10" x14ac:dyDescent="0.25">
      <c r="I182" s="21"/>
      <c r="J182" s="21"/>
    </row>
    <row r="184" spans="9:10" x14ac:dyDescent="0.25">
      <c r="I184" s="21"/>
      <c r="J184" s="21"/>
    </row>
    <row r="185" spans="9:10" x14ac:dyDescent="0.25">
      <c r="I185" s="21"/>
      <c r="J185" s="21"/>
    </row>
    <row r="186" spans="9:10" x14ac:dyDescent="0.25">
      <c r="I186" s="21"/>
      <c r="J186" s="21"/>
    </row>
    <row r="187" spans="9:10" x14ac:dyDescent="0.25">
      <c r="I187" s="21"/>
      <c r="J187" s="21"/>
    </row>
    <row r="188" spans="9:10" x14ac:dyDescent="0.25">
      <c r="I188" s="21"/>
      <c r="J188" s="21"/>
    </row>
    <row r="189" spans="9:10" x14ac:dyDescent="0.25">
      <c r="I189" s="21"/>
      <c r="J189" s="21"/>
    </row>
    <row r="190" spans="9:10" x14ac:dyDescent="0.25">
      <c r="I190" s="21"/>
      <c r="J190" s="21"/>
    </row>
    <row r="202" spans="1:7" x14ac:dyDescent="0.25">
      <c r="A202">
        <v>200</v>
      </c>
      <c r="B202" t="s">
        <v>824</v>
      </c>
      <c r="C202" t="s">
        <v>12</v>
      </c>
      <c r="D202" t="s">
        <v>98</v>
      </c>
      <c r="E202" t="s">
        <v>709</v>
      </c>
      <c r="G202" t="s">
        <v>484</v>
      </c>
    </row>
  </sheetData>
  <pageMargins left="0.7" right="0.7" top="0.78740157499999996" bottom="0.78740157499999996" header="0.3" footer="0.3"/>
  <pageSetup paperSize="9" orientation="portrait"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20"/>
  <dimension ref="A1:H20"/>
  <sheetViews>
    <sheetView workbookViewId="0">
      <selection activeCell="C3" sqref="C3"/>
    </sheetView>
  </sheetViews>
  <sheetFormatPr baseColWidth="10" defaultRowHeight="15" x14ac:dyDescent="0.25"/>
  <cols>
    <col min="1" max="1" width="13.7109375" style="198" customWidth="1"/>
    <col min="2" max="8" width="29.140625" customWidth="1"/>
  </cols>
  <sheetData>
    <row r="1" spans="1:8" x14ac:dyDescent="0.25">
      <c r="A1" s="198" t="s">
        <v>1006</v>
      </c>
      <c r="B1" s="15" t="str">
        <f>MUI_DBR_T_PlayerName</f>
        <v>PlayerName</v>
      </c>
      <c r="C1" s="15" t="str">
        <f>MUI_DBR_T_PlayerName</f>
        <v>PlayerName</v>
      </c>
      <c r="D1" s="15"/>
      <c r="E1" s="15"/>
      <c r="F1" s="15"/>
      <c r="G1" s="15"/>
      <c r="H1" s="15"/>
    </row>
    <row r="2" spans="1:8" x14ac:dyDescent="0.25">
      <c r="A2" s="198" t="s">
        <v>1007</v>
      </c>
      <c r="B2" s="148">
        <f ca="1">IMP_TMP_PlayerNameUnique_Count</f>
        <v>0</v>
      </c>
      <c r="C2" s="148">
        <f ca="1">IMP_TMP_PlayerNameUnique_Count</f>
        <v>0</v>
      </c>
      <c r="D2" s="148"/>
      <c r="E2" s="148"/>
      <c r="F2" s="148"/>
      <c r="G2" s="148"/>
      <c r="H2" s="148"/>
    </row>
    <row r="3" spans="1:8" x14ac:dyDescent="0.25">
      <c r="A3" s="198" t="s">
        <v>1008</v>
      </c>
      <c r="B3" s="1"/>
    </row>
    <row r="4" spans="1:8" x14ac:dyDescent="0.25">
      <c r="A4" s="198" t="s">
        <v>1009</v>
      </c>
      <c r="B4" t="s">
        <v>1232</v>
      </c>
    </row>
    <row r="5" spans="1:8" x14ac:dyDescent="0.25">
      <c r="B5" s="1" t="s">
        <v>1266</v>
      </c>
    </row>
    <row r="6" spans="1:8" x14ac:dyDescent="0.25">
      <c r="B6" t="s">
        <v>1230</v>
      </c>
    </row>
    <row r="7" spans="1:8" x14ac:dyDescent="0.25">
      <c r="B7" t="s">
        <v>405</v>
      </c>
    </row>
    <row r="8" spans="1:8" x14ac:dyDescent="0.25">
      <c r="B8" t="s">
        <v>1525</v>
      </c>
    </row>
    <row r="9" spans="1:8" x14ac:dyDescent="0.25">
      <c r="B9" t="s">
        <v>1526</v>
      </c>
    </row>
    <row r="10" spans="1:8" x14ac:dyDescent="0.25">
      <c r="B10" t="s">
        <v>1527</v>
      </c>
    </row>
    <row r="11" spans="1:8" x14ac:dyDescent="0.25">
      <c r="B11" t="s">
        <v>1528</v>
      </c>
    </row>
    <row r="12" spans="1:8" x14ac:dyDescent="0.25">
      <c r="B12" t="s">
        <v>1529</v>
      </c>
    </row>
    <row r="13" spans="1:8" x14ac:dyDescent="0.25">
      <c r="B13" t="s">
        <v>1530</v>
      </c>
    </row>
    <row r="14" spans="1:8" x14ac:dyDescent="0.25">
      <c r="B14" t="s">
        <v>1531</v>
      </c>
    </row>
    <row r="15" spans="1:8" x14ac:dyDescent="0.25">
      <c r="B15" t="s">
        <v>1534</v>
      </c>
    </row>
    <row r="16" spans="1:8" x14ac:dyDescent="0.25">
      <c r="B16" t="s">
        <v>1532</v>
      </c>
    </row>
    <row r="17" spans="2:2" x14ac:dyDescent="0.25">
      <c r="B17" t="s">
        <v>1533</v>
      </c>
    </row>
    <row r="18" spans="2:2" x14ac:dyDescent="0.25">
      <c r="B18" t="s">
        <v>1538</v>
      </c>
    </row>
    <row r="19" spans="2:2" x14ac:dyDescent="0.25">
      <c r="B19" t="s">
        <v>1445</v>
      </c>
    </row>
    <row r="20" spans="2:2" x14ac:dyDescent="0.25">
      <c r="B20" t="s">
        <v>1571</v>
      </c>
    </row>
  </sheetData>
  <pageMargins left="0.7" right="0.7" top="0.78740157499999996" bottom="0.78740157499999996" header="0.3" footer="0.3"/>
  <legacy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8"/>
  <dimension ref="A1:CA429"/>
  <sheetViews>
    <sheetView topLeftCell="A4" workbookViewId="0">
      <selection activeCell="E17" sqref="E17"/>
    </sheetView>
  </sheetViews>
  <sheetFormatPr baseColWidth="10" defaultRowHeight="15" x14ac:dyDescent="0.25"/>
  <cols>
    <col min="1" max="1" width="24" customWidth="1"/>
    <col min="2" max="2" width="49" customWidth="1"/>
    <col min="3" max="3" width="17" style="99" customWidth="1"/>
    <col min="4" max="4" width="20.140625" style="99" customWidth="1"/>
    <col min="5" max="5" width="15.42578125" style="167" customWidth="1"/>
    <col min="6" max="6" width="31.5703125" style="165" customWidth="1"/>
    <col min="7" max="7" width="11.42578125" style="165"/>
  </cols>
  <sheetData>
    <row r="1" spans="1:79" x14ac:dyDescent="0.25">
      <c r="C1" s="326"/>
      <c r="D1" s="326"/>
      <c r="H1">
        <f>SQL_CID_Title</f>
        <v>2</v>
      </c>
      <c r="I1" s="21">
        <f ca="1">SQL_WL_ROWS_Count</f>
        <v>29</v>
      </c>
      <c r="J1" s="21">
        <f>SQL_WL_CID_WorkplanUID</f>
        <v>6</v>
      </c>
    </row>
    <row r="2" spans="1:79" x14ac:dyDescent="0.25">
      <c r="A2" s="15" t="str">
        <f>MUI_DBR_T_PlayerTeam</f>
        <v>PlayerTeam</v>
      </c>
      <c r="B2" s="15" t="str">
        <f>MUI_DBR_T_PlayerName</f>
        <v>PlayerName</v>
      </c>
      <c r="C2" s="15" t="str">
        <f>MUI_DBR_T_PlayerID</f>
        <v>PlayerID</v>
      </c>
      <c r="D2" s="15" t="str">
        <f>MUI_DBR_T_WorkplanDate</f>
        <v>WorkplanDate</v>
      </c>
      <c r="E2" s="166" t="str">
        <f>MUI_DBR_T_WorkplanID</f>
        <v>WPID</v>
      </c>
      <c r="F2" s="166" t="str">
        <f>MUI_DBR_T_WorkplanUID</f>
        <v>WorkplanUID</v>
      </c>
      <c r="G2" s="164"/>
      <c r="BN2" s="118"/>
    </row>
    <row r="3" spans="1:79" x14ac:dyDescent="0.25">
      <c r="C3"/>
      <c r="D3" s="118"/>
      <c r="E3" s="174"/>
      <c r="G3" s="168"/>
      <c r="H3" s="118"/>
      <c r="I3" s="21"/>
      <c r="J3" s="21"/>
      <c r="AG3">
        <v>5</v>
      </c>
      <c r="AH3">
        <v>7</v>
      </c>
      <c r="AI3">
        <v>5</v>
      </c>
      <c r="BA3">
        <v>-6</v>
      </c>
      <c r="BB3">
        <v>-8</v>
      </c>
      <c r="BC3">
        <v>-8</v>
      </c>
      <c r="BN3" s="118"/>
      <c r="BU3" t="s">
        <v>412</v>
      </c>
      <c r="BV3" t="s">
        <v>412</v>
      </c>
      <c r="BW3" t="s">
        <v>249</v>
      </c>
      <c r="BX3" t="s">
        <v>444</v>
      </c>
    </row>
    <row r="4" spans="1:79" x14ac:dyDescent="0.25">
      <c r="A4" t="s">
        <v>1500</v>
      </c>
      <c r="B4" t="s">
        <v>1230</v>
      </c>
      <c r="C4" t="s">
        <v>524</v>
      </c>
      <c r="D4" t="s">
        <v>1537</v>
      </c>
      <c r="E4" s="174" t="s">
        <v>1466</v>
      </c>
      <c r="F4" s="174" t="s">
        <v>1444</v>
      </c>
      <c r="G4" s="118"/>
      <c r="H4" s="118"/>
      <c r="I4" s="118"/>
      <c r="J4" s="118"/>
      <c r="K4" s="118"/>
      <c r="L4" s="118"/>
      <c r="M4" s="118"/>
      <c r="BA4">
        <v>-6</v>
      </c>
      <c r="BB4">
        <v>-8</v>
      </c>
      <c r="BC4">
        <v>-8</v>
      </c>
      <c r="BN4" s="118"/>
      <c r="BU4" t="s">
        <v>412</v>
      </c>
      <c r="BV4" t="s">
        <v>412</v>
      </c>
      <c r="BW4" t="s">
        <v>412</v>
      </c>
      <c r="BX4" t="s">
        <v>412</v>
      </c>
      <c r="BY4" t="s">
        <v>412</v>
      </c>
      <c r="BZ4" t="s">
        <v>7</v>
      </c>
      <c r="CA4" t="s">
        <v>7</v>
      </c>
    </row>
    <row r="5" spans="1:79" x14ac:dyDescent="0.25">
      <c r="A5" t="s">
        <v>1500</v>
      </c>
      <c r="B5" t="s">
        <v>1230</v>
      </c>
      <c r="C5" t="s">
        <v>524</v>
      </c>
      <c r="D5" t="s">
        <v>1536</v>
      </c>
      <c r="E5" s="174" t="s">
        <v>1446</v>
      </c>
      <c r="F5" s="174" t="s">
        <v>1442</v>
      </c>
      <c r="G5" s="118"/>
      <c r="H5" s="118"/>
      <c r="I5" s="118"/>
      <c r="J5" s="118"/>
      <c r="K5" s="118"/>
      <c r="L5" s="118"/>
      <c r="M5" s="118"/>
      <c r="BN5" s="118"/>
      <c r="BU5" t="s">
        <v>12</v>
      </c>
      <c r="BW5" t="s">
        <v>51</v>
      </c>
      <c r="BX5" t="s">
        <v>6</v>
      </c>
    </row>
    <row r="6" spans="1:79" x14ac:dyDescent="0.25">
      <c r="A6" t="s">
        <v>1500</v>
      </c>
      <c r="B6" t="s">
        <v>1230</v>
      </c>
      <c r="C6" t="s">
        <v>524</v>
      </c>
      <c r="D6" t="s">
        <v>1470</v>
      </c>
      <c r="E6" s="174" t="s">
        <v>1464</v>
      </c>
      <c r="F6" s="174" t="s">
        <v>1441</v>
      </c>
      <c r="G6" s="118"/>
      <c r="H6" s="118"/>
      <c r="I6" s="118"/>
      <c r="J6" s="118"/>
      <c r="K6" s="118"/>
      <c r="L6" s="118"/>
      <c r="M6" s="118"/>
      <c r="BN6" s="118"/>
    </row>
    <row r="7" spans="1:79" x14ac:dyDescent="0.25">
      <c r="A7" t="s">
        <v>1500</v>
      </c>
      <c r="B7" t="s">
        <v>1230</v>
      </c>
      <c r="C7" t="s">
        <v>524</v>
      </c>
      <c r="D7" t="s">
        <v>1535</v>
      </c>
      <c r="E7" s="174" t="s">
        <v>1465</v>
      </c>
      <c r="F7" s="174" t="s">
        <v>1440</v>
      </c>
      <c r="G7" s="118"/>
      <c r="H7" s="118"/>
      <c r="I7" s="118"/>
      <c r="J7" s="118"/>
      <c r="K7" s="118"/>
      <c r="L7" s="118"/>
      <c r="M7" s="118"/>
    </row>
    <row r="8" spans="1:79" x14ac:dyDescent="0.25">
      <c r="B8" t="s">
        <v>1232</v>
      </c>
      <c r="C8" t="s">
        <v>1238</v>
      </c>
      <c r="D8" t="s">
        <v>1547</v>
      </c>
      <c r="E8" s="174" t="s">
        <v>1446</v>
      </c>
      <c r="F8" s="174" t="s">
        <v>1418</v>
      </c>
      <c r="G8" s="118"/>
      <c r="H8" s="118"/>
      <c r="I8" s="118"/>
      <c r="J8" s="118"/>
      <c r="K8" s="118"/>
      <c r="L8" s="118"/>
      <c r="M8" s="118"/>
    </row>
    <row r="9" spans="1:79" x14ac:dyDescent="0.25">
      <c r="B9" t="s">
        <v>1232</v>
      </c>
      <c r="C9" t="s">
        <v>1238</v>
      </c>
      <c r="D9" t="s">
        <v>1562</v>
      </c>
      <c r="E9" s="174" t="s">
        <v>1460</v>
      </c>
      <c r="F9" s="174" t="s">
        <v>1435</v>
      </c>
      <c r="G9" s="118"/>
      <c r="H9" s="118"/>
      <c r="I9" s="118"/>
      <c r="J9" s="118"/>
      <c r="K9" s="118"/>
      <c r="L9" s="118"/>
      <c r="M9" s="118"/>
    </row>
    <row r="10" spans="1:79" x14ac:dyDescent="0.25">
      <c r="B10" t="s">
        <v>1232</v>
      </c>
      <c r="C10" t="s">
        <v>1238</v>
      </c>
      <c r="D10" t="s">
        <v>1558</v>
      </c>
      <c r="E10" s="174" t="s">
        <v>1454</v>
      </c>
      <c r="F10" s="174" t="s">
        <v>1430</v>
      </c>
      <c r="G10" s="118"/>
      <c r="H10" s="118"/>
      <c r="I10" s="118"/>
      <c r="J10" s="118"/>
      <c r="K10" s="118"/>
      <c r="L10" s="118"/>
      <c r="M10" s="118"/>
    </row>
    <row r="11" spans="1:79" x14ac:dyDescent="0.25">
      <c r="B11" t="s">
        <v>1232</v>
      </c>
      <c r="C11" t="s">
        <v>1238</v>
      </c>
      <c r="D11" t="s">
        <v>1555</v>
      </c>
      <c r="E11" s="174" t="s">
        <v>1450</v>
      </c>
      <c r="F11" s="174" t="s">
        <v>1426</v>
      </c>
      <c r="G11" s="118"/>
      <c r="H11" s="118"/>
      <c r="I11" s="118"/>
      <c r="J11" s="118"/>
      <c r="K11" s="118"/>
      <c r="L11" s="118"/>
      <c r="M11" s="118"/>
    </row>
    <row r="12" spans="1:79" x14ac:dyDescent="0.25">
      <c r="B12" t="s">
        <v>1232</v>
      </c>
      <c r="C12" t="s">
        <v>1238</v>
      </c>
      <c r="D12" t="s">
        <v>1551</v>
      </c>
      <c r="E12" s="174" t="s">
        <v>1469</v>
      </c>
      <c r="F12" s="174" t="s">
        <v>1422</v>
      </c>
      <c r="G12" s="118"/>
      <c r="H12" s="118"/>
      <c r="I12" s="118"/>
      <c r="J12" s="118"/>
      <c r="K12" s="118"/>
      <c r="L12" s="118"/>
      <c r="M12" s="118"/>
    </row>
    <row r="13" spans="1:79" x14ac:dyDescent="0.25">
      <c r="B13" t="s">
        <v>1232</v>
      </c>
      <c r="C13" t="s">
        <v>1238</v>
      </c>
      <c r="D13" t="s">
        <v>1546</v>
      </c>
      <c r="E13" s="174" t="s">
        <v>1465</v>
      </c>
      <c r="F13" s="174" t="s">
        <v>1417</v>
      </c>
      <c r="G13" s="118"/>
      <c r="H13" s="118"/>
      <c r="I13" s="118"/>
      <c r="J13" s="118"/>
      <c r="K13" s="118"/>
      <c r="L13" s="118"/>
      <c r="M13" s="118"/>
    </row>
    <row r="14" spans="1:79" x14ac:dyDescent="0.25">
      <c r="B14" t="s">
        <v>1232</v>
      </c>
      <c r="C14" t="s">
        <v>1238</v>
      </c>
      <c r="D14" t="s">
        <v>1561</v>
      </c>
      <c r="E14" s="174" t="s">
        <v>1459</v>
      </c>
      <c r="F14" s="174" t="s">
        <v>1434</v>
      </c>
      <c r="G14" s="118"/>
      <c r="H14" s="118"/>
      <c r="I14" s="118"/>
      <c r="J14" s="118"/>
      <c r="K14" s="118"/>
      <c r="L14" s="118"/>
      <c r="M14" s="118"/>
    </row>
    <row r="15" spans="1:79" x14ac:dyDescent="0.25">
      <c r="B15" t="s">
        <v>1232</v>
      </c>
      <c r="C15" t="s">
        <v>1238</v>
      </c>
      <c r="D15" t="s">
        <v>1557</v>
      </c>
      <c r="E15" s="174" t="s">
        <v>1453</v>
      </c>
      <c r="F15" s="174" t="s">
        <v>1429</v>
      </c>
      <c r="G15" s="118"/>
      <c r="H15" s="118"/>
      <c r="I15" s="118"/>
      <c r="J15" s="118"/>
      <c r="K15" s="118"/>
      <c r="L15" s="118"/>
      <c r="M15" s="118"/>
    </row>
    <row r="16" spans="1:79" x14ac:dyDescent="0.25">
      <c r="B16" t="s">
        <v>1232</v>
      </c>
      <c r="C16" t="s">
        <v>1238</v>
      </c>
      <c r="D16" t="s">
        <v>1554</v>
      </c>
      <c r="E16" s="174" t="s">
        <v>1449</v>
      </c>
      <c r="F16" s="174" t="s">
        <v>1425</v>
      </c>
      <c r="G16" s="118"/>
      <c r="H16" s="118"/>
      <c r="I16" s="118"/>
      <c r="J16" s="118"/>
      <c r="K16" s="118"/>
      <c r="L16" s="118"/>
      <c r="M16" s="118"/>
    </row>
    <row r="17" spans="2:13" x14ac:dyDescent="0.25">
      <c r="B17" t="s">
        <v>1232</v>
      </c>
      <c r="C17" t="s">
        <v>1238</v>
      </c>
      <c r="D17" t="s">
        <v>1550</v>
      </c>
      <c r="E17" s="174" t="s">
        <v>1468</v>
      </c>
      <c r="F17" s="174" t="s">
        <v>1421</v>
      </c>
      <c r="G17" s="118"/>
      <c r="H17" s="118"/>
      <c r="I17" s="118"/>
      <c r="J17" s="118"/>
      <c r="K17" s="118"/>
      <c r="L17" s="118"/>
      <c r="M17" s="118"/>
    </row>
    <row r="18" spans="2:13" x14ac:dyDescent="0.25">
      <c r="B18" t="s">
        <v>1232</v>
      </c>
      <c r="C18" t="s">
        <v>1238</v>
      </c>
      <c r="D18" t="s">
        <v>1537</v>
      </c>
      <c r="E18" s="174" t="s">
        <v>1464</v>
      </c>
      <c r="F18" s="174" t="s">
        <v>1416</v>
      </c>
      <c r="G18" s="118"/>
      <c r="H18" s="118"/>
      <c r="I18" s="118"/>
      <c r="J18" s="118"/>
    </row>
    <row r="19" spans="2:13" x14ac:dyDescent="0.25">
      <c r="B19" t="s">
        <v>1232</v>
      </c>
      <c r="C19" t="s">
        <v>1238</v>
      </c>
      <c r="D19" t="s">
        <v>1536</v>
      </c>
      <c r="E19" s="174" t="s">
        <v>1458</v>
      </c>
      <c r="F19" s="174" t="s">
        <v>1433</v>
      </c>
      <c r="G19" s="118"/>
      <c r="H19" s="118"/>
      <c r="I19" s="118"/>
      <c r="J19" s="118"/>
    </row>
    <row r="20" spans="2:13" x14ac:dyDescent="0.25">
      <c r="B20" t="s">
        <v>1232</v>
      </c>
      <c r="C20" t="s">
        <v>1238</v>
      </c>
      <c r="D20" t="s">
        <v>1535</v>
      </c>
      <c r="E20" s="174" t="s">
        <v>1452</v>
      </c>
      <c r="F20" s="174" t="s">
        <v>1428</v>
      </c>
      <c r="G20" s="118"/>
      <c r="H20" s="118"/>
      <c r="I20" s="118"/>
      <c r="J20" s="118"/>
    </row>
    <row r="21" spans="2:13" x14ac:dyDescent="0.25">
      <c r="B21" t="s">
        <v>1232</v>
      </c>
      <c r="C21" t="s">
        <v>1238</v>
      </c>
      <c r="D21" t="s">
        <v>1553</v>
      </c>
      <c r="E21" s="174" t="s">
        <v>1448</v>
      </c>
      <c r="F21" s="174" t="s">
        <v>1424</v>
      </c>
      <c r="G21" s="118"/>
      <c r="H21" s="118"/>
      <c r="I21" s="118"/>
      <c r="J21" s="118"/>
    </row>
    <row r="22" spans="2:13" x14ac:dyDescent="0.25">
      <c r="B22" t="s">
        <v>1232</v>
      </c>
      <c r="C22" t="s">
        <v>1238</v>
      </c>
      <c r="D22" t="s">
        <v>1549</v>
      </c>
      <c r="E22" s="174" t="s">
        <v>1467</v>
      </c>
      <c r="F22" s="174" t="s">
        <v>1420</v>
      </c>
      <c r="G22" s="118"/>
      <c r="H22" s="118"/>
      <c r="I22" s="118"/>
      <c r="J22" s="118"/>
    </row>
    <row r="23" spans="2:13" x14ac:dyDescent="0.25">
      <c r="B23" t="s">
        <v>1232</v>
      </c>
      <c r="C23" t="s">
        <v>1238</v>
      </c>
      <c r="D23" t="s">
        <v>1545</v>
      </c>
      <c r="E23" s="174" t="s">
        <v>1456</v>
      </c>
      <c r="F23" s="174" t="s">
        <v>1415</v>
      </c>
      <c r="G23" s="118"/>
      <c r="H23" s="118"/>
      <c r="I23" s="118"/>
      <c r="J23" s="118"/>
    </row>
    <row r="24" spans="2:13" x14ac:dyDescent="0.25">
      <c r="B24" t="s">
        <v>1232</v>
      </c>
      <c r="C24" t="s">
        <v>1238</v>
      </c>
      <c r="D24" t="s">
        <v>1560</v>
      </c>
      <c r="E24" s="174" t="s">
        <v>1457</v>
      </c>
      <c r="F24" s="174" t="s">
        <v>1432</v>
      </c>
      <c r="G24" s="118"/>
      <c r="H24" s="118"/>
      <c r="I24" s="118"/>
      <c r="J24" s="118"/>
    </row>
    <row r="25" spans="2:13" x14ac:dyDescent="0.25">
      <c r="B25" t="s">
        <v>1232</v>
      </c>
      <c r="C25" t="s">
        <v>1238</v>
      </c>
      <c r="D25" t="s">
        <v>1556</v>
      </c>
      <c r="E25" s="174" t="s">
        <v>1451</v>
      </c>
      <c r="F25" s="174" t="s">
        <v>1427</v>
      </c>
      <c r="G25" s="118"/>
      <c r="H25" s="118"/>
      <c r="I25" s="118"/>
      <c r="J25" s="118"/>
    </row>
    <row r="26" spans="2:13" x14ac:dyDescent="0.25">
      <c r="B26" t="s">
        <v>1232</v>
      </c>
      <c r="C26" t="s">
        <v>1238</v>
      </c>
      <c r="D26" t="s">
        <v>1552</v>
      </c>
      <c r="E26" s="174" t="s">
        <v>1447</v>
      </c>
      <c r="F26" s="174" t="s">
        <v>1423</v>
      </c>
      <c r="G26" s="118"/>
      <c r="H26" s="118"/>
      <c r="I26" s="118"/>
      <c r="J26" s="118"/>
    </row>
    <row r="27" spans="2:13" x14ac:dyDescent="0.25">
      <c r="B27" t="s">
        <v>1232</v>
      </c>
      <c r="C27" t="s">
        <v>1238</v>
      </c>
      <c r="D27" t="s">
        <v>1565</v>
      </c>
      <c r="E27" s="174" t="s">
        <v>1463</v>
      </c>
      <c r="F27" s="174" t="s">
        <v>1438</v>
      </c>
      <c r="G27" s="118"/>
      <c r="H27" s="118"/>
      <c r="I27" s="118"/>
      <c r="J27" s="118"/>
    </row>
    <row r="28" spans="2:13" x14ac:dyDescent="0.25">
      <c r="B28" t="s">
        <v>1232</v>
      </c>
      <c r="C28" t="s">
        <v>1238</v>
      </c>
      <c r="D28" t="s">
        <v>1548</v>
      </c>
      <c r="E28" s="174" t="s">
        <v>1466</v>
      </c>
      <c r="F28" s="174" t="s">
        <v>1419</v>
      </c>
      <c r="G28" s="118"/>
      <c r="H28" s="118"/>
      <c r="I28" s="118"/>
      <c r="J28" s="118"/>
    </row>
    <row r="29" spans="2:13" x14ac:dyDescent="0.25">
      <c r="B29" t="s">
        <v>1232</v>
      </c>
      <c r="C29" t="s">
        <v>1238</v>
      </c>
      <c r="D29" t="s">
        <v>1564</v>
      </c>
      <c r="E29" s="174" t="s">
        <v>1462</v>
      </c>
      <c r="F29" s="174" t="s">
        <v>1437</v>
      </c>
      <c r="G29" s="118"/>
      <c r="H29" s="118"/>
      <c r="I29" s="118"/>
      <c r="J29" s="118"/>
    </row>
    <row r="30" spans="2:13" x14ac:dyDescent="0.25">
      <c r="B30" t="s">
        <v>1232</v>
      </c>
      <c r="C30" t="s">
        <v>1238</v>
      </c>
      <c r="D30" t="s">
        <v>1544</v>
      </c>
      <c r="E30" s="174" t="s">
        <v>709</v>
      </c>
      <c r="F30" s="174" t="s">
        <v>1414</v>
      </c>
      <c r="G30" s="118"/>
      <c r="H30" s="118"/>
      <c r="I30" s="118"/>
      <c r="J30" s="118"/>
    </row>
    <row r="31" spans="2:13" x14ac:dyDescent="0.25">
      <c r="B31" t="s">
        <v>1232</v>
      </c>
      <c r="C31" t="s">
        <v>1238</v>
      </c>
      <c r="D31" t="s">
        <v>1563</v>
      </c>
      <c r="E31" s="174" t="s">
        <v>1461</v>
      </c>
      <c r="F31" s="174" t="s">
        <v>1436</v>
      </c>
      <c r="G31" s="118"/>
      <c r="H31" s="118"/>
      <c r="I31" s="118"/>
      <c r="J31" s="118"/>
    </row>
    <row r="32" spans="2:13" x14ac:dyDescent="0.25">
      <c r="B32" t="s">
        <v>1232</v>
      </c>
      <c r="C32" t="s">
        <v>1238</v>
      </c>
      <c r="D32" t="s">
        <v>1559</v>
      </c>
      <c r="E32" s="174" t="s">
        <v>1455</v>
      </c>
      <c r="F32" s="174" t="s">
        <v>1431</v>
      </c>
      <c r="G32" s="118"/>
      <c r="H32" s="118"/>
      <c r="I32" s="118"/>
      <c r="J32" s="118"/>
    </row>
    <row r="33" spans="3:10" x14ac:dyDescent="0.25">
      <c r="C33"/>
      <c r="D33"/>
      <c r="E33"/>
      <c r="F33"/>
      <c r="G33" s="118"/>
      <c r="H33" s="118"/>
      <c r="I33" s="118"/>
      <c r="J33" s="118"/>
    </row>
    <row r="34" spans="3:10" x14ac:dyDescent="0.25">
      <c r="C34"/>
      <c r="D34"/>
      <c r="E34"/>
      <c r="F34"/>
      <c r="G34" s="118"/>
      <c r="H34" s="118"/>
      <c r="I34" s="118"/>
      <c r="J34" s="118"/>
    </row>
    <row r="35" spans="3:10" x14ac:dyDescent="0.25">
      <c r="C35"/>
      <c r="D35"/>
      <c r="E35"/>
      <c r="F35"/>
      <c r="G35" s="118"/>
      <c r="H35" s="118"/>
      <c r="I35" s="118"/>
      <c r="J35" s="118"/>
    </row>
    <row r="36" spans="3:10" x14ac:dyDescent="0.25">
      <c r="C36"/>
      <c r="D36"/>
      <c r="E36"/>
      <c r="F36"/>
      <c r="G36" s="118"/>
      <c r="H36" s="118"/>
      <c r="I36" s="118"/>
      <c r="J36" s="118"/>
    </row>
    <row r="37" spans="3:10" x14ac:dyDescent="0.25">
      <c r="C37"/>
      <c r="D37"/>
      <c r="E37"/>
      <c r="F37"/>
      <c r="G37" s="118"/>
      <c r="H37" s="118"/>
      <c r="I37" s="118"/>
      <c r="J37" s="118"/>
    </row>
    <row r="38" spans="3:10" x14ac:dyDescent="0.25">
      <c r="C38"/>
      <c r="D38"/>
      <c r="E38"/>
      <c r="F38"/>
      <c r="G38" s="118"/>
      <c r="H38" s="118"/>
      <c r="I38" s="118"/>
      <c r="J38" s="118"/>
    </row>
    <row r="39" spans="3:10" x14ac:dyDescent="0.25">
      <c r="C39"/>
      <c r="D39"/>
      <c r="E39"/>
      <c r="F39"/>
      <c r="G39" s="118"/>
      <c r="H39" s="118"/>
      <c r="I39" s="118"/>
      <c r="J39" s="118"/>
    </row>
    <row r="40" spans="3:10" x14ac:dyDescent="0.25">
      <c r="C40"/>
      <c r="D40"/>
      <c r="E40"/>
      <c r="F40"/>
      <c r="G40" s="118"/>
      <c r="H40" s="118"/>
      <c r="I40" s="118"/>
      <c r="J40" s="118"/>
    </row>
    <row r="41" spans="3:10" x14ac:dyDescent="0.25">
      <c r="C41"/>
      <c r="D41"/>
      <c r="E41"/>
      <c r="F41"/>
      <c r="G41" s="118"/>
      <c r="H41" s="118"/>
      <c r="I41" s="118"/>
      <c r="J41" s="118"/>
    </row>
    <row r="42" spans="3:10" x14ac:dyDescent="0.25">
      <c r="C42"/>
      <c r="D42"/>
      <c r="E42"/>
      <c r="F42"/>
      <c r="G42" s="118"/>
      <c r="H42" s="118"/>
      <c r="I42" s="118"/>
      <c r="J42" s="118"/>
    </row>
    <row r="43" spans="3:10" x14ac:dyDescent="0.25">
      <c r="C43"/>
      <c r="D43"/>
      <c r="E43"/>
      <c r="F43"/>
      <c r="G43" s="118"/>
      <c r="H43" s="118"/>
      <c r="I43" s="118"/>
      <c r="J43" s="118"/>
    </row>
    <row r="44" spans="3:10" x14ac:dyDescent="0.25">
      <c r="C44"/>
      <c r="D44"/>
      <c r="E44"/>
      <c r="F44"/>
      <c r="G44" s="118"/>
      <c r="H44" s="118"/>
      <c r="I44" s="118"/>
      <c r="J44" s="118"/>
    </row>
    <row r="45" spans="3:10" x14ac:dyDescent="0.25">
      <c r="C45"/>
      <c r="D45"/>
      <c r="E45"/>
      <c r="F45"/>
      <c r="G45" s="118"/>
      <c r="H45" s="118"/>
      <c r="I45" s="118"/>
      <c r="J45" s="118"/>
    </row>
    <row r="46" spans="3:10" x14ac:dyDescent="0.25">
      <c r="C46"/>
      <c r="D46"/>
      <c r="E46"/>
      <c r="F46"/>
      <c r="G46" s="118"/>
      <c r="H46" s="118"/>
      <c r="I46" s="118"/>
      <c r="J46" s="118"/>
    </row>
    <row r="47" spans="3:10" x14ac:dyDescent="0.25">
      <c r="C47"/>
      <c r="D47"/>
      <c r="E47"/>
      <c r="F47"/>
      <c r="G47" s="118"/>
      <c r="H47" s="118"/>
      <c r="I47" s="118"/>
      <c r="J47" s="118"/>
    </row>
    <row r="48" spans="3:10" x14ac:dyDescent="0.25">
      <c r="C48"/>
      <c r="D48"/>
      <c r="E48"/>
      <c r="F48"/>
      <c r="G48" s="118"/>
      <c r="H48" s="118"/>
      <c r="I48" s="118"/>
      <c r="J48" s="118"/>
    </row>
    <row r="49" spans="3:10" x14ac:dyDescent="0.25">
      <c r="C49"/>
      <c r="D49"/>
      <c r="E49"/>
      <c r="F49"/>
      <c r="G49" s="118"/>
      <c r="H49" s="118"/>
      <c r="I49" s="118"/>
      <c r="J49" s="118"/>
    </row>
    <row r="50" spans="3:10" x14ac:dyDescent="0.25">
      <c r="C50"/>
      <c r="D50"/>
      <c r="E50"/>
      <c r="F50"/>
      <c r="G50" s="118"/>
      <c r="H50" s="118"/>
      <c r="I50" s="118"/>
      <c r="J50" s="118"/>
    </row>
    <row r="51" spans="3:10" x14ac:dyDescent="0.25">
      <c r="C51"/>
      <c r="D51"/>
      <c r="E51"/>
      <c r="F51"/>
      <c r="G51" s="118"/>
      <c r="H51" s="118"/>
      <c r="I51" s="118"/>
      <c r="J51" s="118"/>
    </row>
    <row r="52" spans="3:10" x14ac:dyDescent="0.25">
      <c r="C52"/>
      <c r="D52"/>
      <c r="E52"/>
      <c r="F52"/>
      <c r="G52" s="118"/>
      <c r="H52" s="118"/>
      <c r="I52" s="118"/>
      <c r="J52" s="118"/>
    </row>
    <row r="53" spans="3:10" x14ac:dyDescent="0.25">
      <c r="C53"/>
      <c r="D53"/>
      <c r="E53"/>
      <c r="F53"/>
      <c r="G53" s="118"/>
      <c r="H53" s="118"/>
      <c r="I53" s="118"/>
      <c r="J53" s="118"/>
    </row>
    <row r="54" spans="3:10" x14ac:dyDescent="0.25">
      <c r="C54"/>
      <c r="D54"/>
      <c r="E54"/>
      <c r="F54"/>
      <c r="G54" s="118"/>
      <c r="H54" s="118"/>
      <c r="I54" s="118"/>
      <c r="J54" s="118"/>
    </row>
    <row r="55" spans="3:10" x14ac:dyDescent="0.25">
      <c r="C55"/>
      <c r="D55"/>
      <c r="E55"/>
      <c r="F55"/>
      <c r="G55" s="118"/>
      <c r="H55" s="118"/>
      <c r="I55" s="118"/>
      <c r="J55" s="118"/>
    </row>
    <row r="56" spans="3:10" x14ac:dyDescent="0.25">
      <c r="C56"/>
      <c r="D56"/>
      <c r="E56"/>
      <c r="F56"/>
      <c r="G56" s="118"/>
      <c r="H56" s="118"/>
      <c r="I56" s="118"/>
      <c r="J56" s="118"/>
    </row>
    <row r="57" spans="3:10" x14ac:dyDescent="0.25">
      <c r="C57"/>
      <c r="D57"/>
      <c r="E57"/>
      <c r="F57"/>
      <c r="G57" s="118"/>
      <c r="H57" s="118"/>
      <c r="I57" s="118"/>
      <c r="J57" s="118"/>
    </row>
    <row r="58" spans="3:10" x14ac:dyDescent="0.25">
      <c r="C58"/>
      <c r="D58"/>
      <c r="E58"/>
      <c r="F58"/>
      <c r="G58" s="118"/>
      <c r="H58" s="118"/>
      <c r="I58" s="118"/>
      <c r="J58" s="118"/>
    </row>
    <row r="59" spans="3:10" x14ac:dyDescent="0.25">
      <c r="C59"/>
      <c r="D59"/>
      <c r="E59"/>
      <c r="F59"/>
      <c r="G59" s="118"/>
      <c r="H59" s="118"/>
      <c r="I59" s="118"/>
      <c r="J59" s="118"/>
    </row>
    <row r="60" spans="3:10" x14ac:dyDescent="0.25">
      <c r="C60"/>
      <c r="D60"/>
      <c r="E60"/>
      <c r="F60"/>
      <c r="G60" s="118"/>
      <c r="H60" s="118"/>
      <c r="I60" s="118"/>
      <c r="J60" s="118"/>
    </row>
    <row r="61" spans="3:10" x14ac:dyDescent="0.25">
      <c r="C61"/>
      <c r="D61"/>
      <c r="E61"/>
      <c r="F61"/>
      <c r="G61" s="118"/>
      <c r="H61" s="118"/>
      <c r="I61" s="118"/>
      <c r="J61" s="118"/>
    </row>
    <row r="62" spans="3:10" x14ac:dyDescent="0.25">
      <c r="C62"/>
      <c r="D62"/>
      <c r="E62"/>
      <c r="F62"/>
      <c r="G62" s="118"/>
      <c r="H62" s="118"/>
      <c r="I62" s="118"/>
      <c r="J62" s="118"/>
    </row>
    <row r="63" spans="3:10" x14ac:dyDescent="0.25">
      <c r="C63"/>
      <c r="D63"/>
      <c r="E63"/>
      <c r="F63"/>
      <c r="G63" s="118"/>
      <c r="H63" s="118"/>
      <c r="I63" s="118"/>
      <c r="J63" s="118"/>
    </row>
    <row r="64" spans="3:10" x14ac:dyDescent="0.25">
      <c r="C64"/>
      <c r="D64"/>
      <c r="E64"/>
      <c r="F64"/>
      <c r="G64" s="118"/>
      <c r="H64" s="118"/>
      <c r="I64" s="118"/>
      <c r="J64" s="118"/>
    </row>
    <row r="65" spans="3:10" x14ac:dyDescent="0.25">
      <c r="C65"/>
      <c r="D65"/>
      <c r="E65"/>
      <c r="F65"/>
      <c r="G65" s="118"/>
      <c r="H65" s="118"/>
      <c r="I65" s="118"/>
      <c r="J65" s="118"/>
    </row>
    <row r="66" spans="3:10" x14ac:dyDescent="0.25">
      <c r="C66"/>
      <c r="D66"/>
      <c r="E66"/>
      <c r="F66"/>
      <c r="G66" s="118"/>
      <c r="H66" s="118"/>
      <c r="I66" s="118"/>
      <c r="J66" s="118"/>
    </row>
    <row r="67" spans="3:10" x14ac:dyDescent="0.25">
      <c r="C67"/>
      <c r="D67"/>
      <c r="E67"/>
      <c r="F67"/>
      <c r="G67" s="118"/>
      <c r="H67" s="118"/>
      <c r="I67" s="118"/>
      <c r="J67" s="118"/>
    </row>
    <row r="68" spans="3:10" x14ac:dyDescent="0.25">
      <c r="C68"/>
      <c r="D68"/>
      <c r="E68"/>
      <c r="F68"/>
      <c r="G68" s="118"/>
      <c r="H68" s="118"/>
      <c r="I68" s="118"/>
      <c r="J68" s="118"/>
    </row>
    <row r="69" spans="3:10" x14ac:dyDescent="0.25">
      <c r="C69"/>
      <c r="D69"/>
      <c r="E69"/>
      <c r="F69"/>
      <c r="G69" s="118"/>
      <c r="H69" s="118"/>
      <c r="I69" s="118"/>
      <c r="J69" s="118"/>
    </row>
    <row r="70" spans="3:10" x14ac:dyDescent="0.25">
      <c r="C70"/>
      <c r="D70"/>
      <c r="E70"/>
      <c r="F70"/>
      <c r="G70" s="118"/>
      <c r="H70" s="118"/>
      <c r="I70" s="118"/>
      <c r="J70" s="118"/>
    </row>
    <row r="71" spans="3:10" x14ac:dyDescent="0.25">
      <c r="C71"/>
      <c r="D71"/>
      <c r="E71"/>
      <c r="F71"/>
      <c r="G71" s="118"/>
      <c r="H71" s="118"/>
      <c r="I71" s="118"/>
      <c r="J71" s="118"/>
    </row>
    <row r="72" spans="3:10" x14ac:dyDescent="0.25">
      <c r="C72"/>
      <c r="D72"/>
      <c r="E72"/>
      <c r="F72"/>
      <c r="G72" s="118"/>
      <c r="H72" s="118"/>
      <c r="I72" s="118"/>
      <c r="J72" s="118"/>
    </row>
    <row r="73" spans="3:10" x14ac:dyDescent="0.25">
      <c r="C73"/>
      <c r="D73"/>
      <c r="E73"/>
      <c r="F73"/>
      <c r="G73" s="118"/>
      <c r="H73" s="118"/>
      <c r="I73" s="118"/>
      <c r="J73" s="118"/>
    </row>
    <row r="74" spans="3:10" x14ac:dyDescent="0.25">
      <c r="C74"/>
      <c r="D74"/>
      <c r="E74"/>
      <c r="F74"/>
      <c r="G74" s="118"/>
      <c r="H74" s="118"/>
      <c r="I74" s="118"/>
      <c r="J74" s="118"/>
    </row>
    <row r="75" spans="3:10" x14ac:dyDescent="0.25">
      <c r="C75"/>
      <c r="D75"/>
      <c r="E75"/>
      <c r="F75"/>
      <c r="G75" s="118"/>
      <c r="H75" s="118"/>
      <c r="I75" s="118"/>
      <c r="J75" s="118"/>
    </row>
    <row r="76" spans="3:10" x14ac:dyDescent="0.25">
      <c r="C76"/>
      <c r="D76"/>
      <c r="E76"/>
      <c r="F76"/>
      <c r="G76" s="118"/>
      <c r="H76" s="118"/>
      <c r="I76" s="118"/>
      <c r="J76" s="118"/>
    </row>
    <row r="77" spans="3:10" x14ac:dyDescent="0.25">
      <c r="C77"/>
      <c r="D77"/>
      <c r="E77"/>
      <c r="F77"/>
      <c r="G77" s="118"/>
      <c r="H77" s="118"/>
      <c r="I77" s="118"/>
      <c r="J77" s="118"/>
    </row>
    <row r="78" spans="3:10" x14ac:dyDescent="0.25">
      <c r="C78"/>
      <c r="D78"/>
      <c r="E78"/>
      <c r="F78"/>
      <c r="G78" s="118"/>
      <c r="H78" s="118"/>
      <c r="I78" s="118"/>
      <c r="J78" s="118"/>
    </row>
    <row r="79" spans="3:10" x14ac:dyDescent="0.25">
      <c r="C79"/>
      <c r="D79"/>
      <c r="E79"/>
      <c r="F79"/>
      <c r="G79" s="118"/>
      <c r="H79" s="118"/>
      <c r="I79" s="118"/>
      <c r="J79" s="118"/>
    </row>
    <row r="80" spans="3:10" x14ac:dyDescent="0.25">
      <c r="C80"/>
      <c r="D80"/>
      <c r="E80"/>
      <c r="F80"/>
      <c r="G80" s="118"/>
      <c r="H80" s="118"/>
      <c r="I80" s="118"/>
      <c r="J80" s="118"/>
    </row>
    <row r="81" spans="3:10" x14ac:dyDescent="0.25">
      <c r="C81"/>
      <c r="D81"/>
      <c r="E81"/>
      <c r="F81"/>
      <c r="G81" s="118"/>
      <c r="H81" s="118"/>
      <c r="I81" s="118"/>
      <c r="J81" s="118"/>
    </row>
    <row r="82" spans="3:10" x14ac:dyDescent="0.25">
      <c r="C82"/>
      <c r="D82"/>
      <c r="E82"/>
      <c r="F82"/>
      <c r="G82" s="118"/>
      <c r="H82" s="118"/>
      <c r="I82" s="118"/>
      <c r="J82" s="118"/>
    </row>
    <row r="83" spans="3:10" x14ac:dyDescent="0.25">
      <c r="C83"/>
      <c r="D83"/>
      <c r="E83"/>
      <c r="F83"/>
      <c r="G83" s="118"/>
      <c r="H83" s="118"/>
      <c r="I83" s="118"/>
      <c r="J83" s="118"/>
    </row>
    <row r="84" spans="3:10" x14ac:dyDescent="0.25">
      <c r="C84"/>
      <c r="D84"/>
      <c r="E84"/>
      <c r="F84"/>
      <c r="G84" s="118"/>
      <c r="H84" s="118"/>
      <c r="I84" s="118"/>
      <c r="J84" s="118"/>
    </row>
    <row r="85" spans="3:10" x14ac:dyDescent="0.25">
      <c r="C85"/>
      <c r="D85"/>
      <c r="E85"/>
      <c r="F85"/>
      <c r="G85" s="118"/>
      <c r="H85" s="118"/>
      <c r="I85" s="118"/>
      <c r="J85" s="118"/>
    </row>
    <row r="86" spans="3:10" x14ac:dyDescent="0.25">
      <c r="C86"/>
      <c r="D86"/>
      <c r="E86"/>
      <c r="F86"/>
      <c r="G86" s="118"/>
      <c r="H86" s="118"/>
      <c r="I86" s="118"/>
      <c r="J86" s="118"/>
    </row>
    <row r="87" spans="3:10" x14ac:dyDescent="0.25">
      <c r="C87"/>
      <c r="D87"/>
      <c r="E87"/>
      <c r="F87"/>
      <c r="G87" s="118"/>
      <c r="H87" s="118"/>
      <c r="I87" s="118"/>
      <c r="J87" s="118"/>
    </row>
    <row r="88" spans="3:10" x14ac:dyDescent="0.25">
      <c r="C88"/>
      <c r="D88"/>
      <c r="E88"/>
      <c r="F88"/>
      <c r="G88" s="118"/>
      <c r="H88" s="118"/>
      <c r="I88" s="118"/>
      <c r="J88" s="118"/>
    </row>
    <row r="89" spans="3:10" x14ac:dyDescent="0.25">
      <c r="C89"/>
      <c r="D89"/>
      <c r="E89"/>
      <c r="F89"/>
      <c r="G89" s="118"/>
      <c r="H89" s="118"/>
      <c r="I89" s="118"/>
      <c r="J89" s="118"/>
    </row>
    <row r="90" spans="3:10" x14ac:dyDescent="0.25">
      <c r="C90"/>
      <c r="D90"/>
      <c r="E90"/>
      <c r="F90"/>
      <c r="G90" s="118"/>
      <c r="H90" s="118"/>
      <c r="I90" s="118"/>
      <c r="J90" s="118"/>
    </row>
    <row r="91" spans="3:10" x14ac:dyDescent="0.25">
      <c r="C91"/>
      <c r="D91"/>
      <c r="E91"/>
      <c r="F91"/>
      <c r="G91" s="118"/>
      <c r="H91" s="118"/>
      <c r="I91" s="118"/>
      <c r="J91" s="118"/>
    </row>
    <row r="92" spans="3:10" x14ac:dyDescent="0.25">
      <c r="C92"/>
      <c r="D92"/>
      <c r="E92"/>
      <c r="F92"/>
      <c r="G92" s="118"/>
      <c r="H92" s="118"/>
      <c r="I92" s="118"/>
      <c r="J92" s="118"/>
    </row>
    <row r="93" spans="3:10" x14ac:dyDescent="0.25">
      <c r="C93"/>
      <c r="D93"/>
      <c r="E93"/>
      <c r="F93"/>
      <c r="G93" s="118"/>
      <c r="H93" s="118"/>
      <c r="I93" s="118"/>
      <c r="J93" s="118"/>
    </row>
    <row r="94" spans="3:10" x14ac:dyDescent="0.25">
      <c r="C94"/>
      <c r="D94"/>
      <c r="E94"/>
      <c r="F94"/>
      <c r="G94" s="118"/>
      <c r="H94" s="118"/>
      <c r="I94" s="118"/>
      <c r="J94" s="118"/>
    </row>
    <row r="95" spans="3:10" x14ac:dyDescent="0.25">
      <c r="C95"/>
      <c r="D95"/>
      <c r="E95"/>
      <c r="F95"/>
      <c r="G95" s="118"/>
      <c r="H95" s="118"/>
      <c r="I95" s="118"/>
      <c r="J95" s="118"/>
    </row>
    <row r="96" spans="3:10" x14ac:dyDescent="0.25">
      <c r="C96"/>
      <c r="D96"/>
      <c r="E96"/>
      <c r="F96"/>
      <c r="G96" s="118"/>
      <c r="H96" s="118"/>
      <c r="I96" s="118"/>
      <c r="J96" s="118"/>
    </row>
    <row r="97" spans="3:10" x14ac:dyDescent="0.25">
      <c r="C97"/>
      <c r="D97"/>
      <c r="E97"/>
      <c r="F97"/>
      <c r="G97" s="118"/>
      <c r="H97" s="118"/>
      <c r="I97" s="118"/>
      <c r="J97" s="118"/>
    </row>
    <row r="98" spans="3:10" x14ac:dyDescent="0.25">
      <c r="C98"/>
      <c r="D98"/>
      <c r="E98"/>
      <c r="F98"/>
      <c r="G98" s="118"/>
      <c r="H98" s="118"/>
      <c r="I98" s="118"/>
      <c r="J98" s="118"/>
    </row>
    <row r="99" spans="3:10" x14ac:dyDescent="0.25">
      <c r="C99"/>
      <c r="D99"/>
      <c r="E99"/>
      <c r="F99"/>
      <c r="G99" s="118"/>
      <c r="H99" s="118"/>
      <c r="I99" s="118"/>
      <c r="J99" s="118"/>
    </row>
    <row r="100" spans="3:10" x14ac:dyDescent="0.25">
      <c r="C100"/>
      <c r="D100"/>
      <c r="E100"/>
      <c r="F100"/>
      <c r="G100" s="118"/>
      <c r="H100" s="118"/>
      <c r="I100" s="118"/>
      <c r="J100" s="118"/>
    </row>
    <row r="101" spans="3:10" x14ac:dyDescent="0.25">
      <c r="C101"/>
      <c r="D101"/>
      <c r="E101"/>
      <c r="F101"/>
      <c r="G101" s="118"/>
      <c r="H101" s="118"/>
      <c r="I101" s="118"/>
      <c r="J101" s="118"/>
    </row>
    <row r="102" spans="3:10" x14ac:dyDescent="0.25">
      <c r="C102"/>
      <c r="D102"/>
      <c r="E102"/>
      <c r="F102"/>
      <c r="G102" s="118"/>
      <c r="H102" s="118"/>
      <c r="I102" s="118"/>
      <c r="J102" s="118"/>
    </row>
    <row r="103" spans="3:10" x14ac:dyDescent="0.25">
      <c r="C103"/>
      <c r="D103"/>
      <c r="E103"/>
      <c r="F103"/>
      <c r="G103" s="118"/>
      <c r="H103" s="118"/>
      <c r="I103" s="118"/>
      <c r="J103" s="118"/>
    </row>
    <row r="104" spans="3:10" x14ac:dyDescent="0.25">
      <c r="C104"/>
      <c r="D104"/>
      <c r="E104"/>
      <c r="F104"/>
      <c r="G104" s="118"/>
      <c r="H104" s="118"/>
      <c r="I104" s="118"/>
      <c r="J104" s="118"/>
    </row>
    <row r="105" spans="3:10" x14ac:dyDescent="0.25">
      <c r="C105"/>
      <c r="D105"/>
      <c r="E105"/>
      <c r="F105"/>
      <c r="G105" s="118"/>
      <c r="H105" s="118"/>
      <c r="I105" s="118"/>
      <c r="J105" s="118"/>
    </row>
    <row r="106" spans="3:10" x14ac:dyDescent="0.25">
      <c r="C106"/>
      <c r="D106"/>
      <c r="E106"/>
      <c r="F106"/>
      <c r="G106" s="118"/>
      <c r="H106" s="118"/>
      <c r="I106" s="118"/>
      <c r="J106" s="118"/>
    </row>
    <row r="107" spans="3:10" x14ac:dyDescent="0.25">
      <c r="C107"/>
      <c r="D107"/>
      <c r="E107"/>
      <c r="F107"/>
      <c r="G107" s="118"/>
      <c r="H107" s="118"/>
      <c r="I107" s="118"/>
      <c r="J107" s="118"/>
    </row>
    <row r="108" spans="3:10" x14ac:dyDescent="0.25">
      <c r="C108"/>
      <c r="D108"/>
      <c r="E108"/>
      <c r="F108"/>
      <c r="G108" s="118"/>
      <c r="H108" s="118"/>
      <c r="I108" s="118"/>
      <c r="J108" s="118"/>
    </row>
    <row r="109" spans="3:10" x14ac:dyDescent="0.25">
      <c r="C109"/>
      <c r="D109"/>
      <c r="E109"/>
      <c r="F109"/>
      <c r="G109" s="118"/>
      <c r="H109" s="118"/>
      <c r="I109" s="118"/>
      <c r="J109" s="118"/>
    </row>
    <row r="110" spans="3:10" x14ac:dyDescent="0.25">
      <c r="C110"/>
      <c r="D110"/>
      <c r="E110"/>
      <c r="F110"/>
      <c r="G110" s="118"/>
      <c r="H110" s="118"/>
      <c r="I110" s="118"/>
      <c r="J110" s="118"/>
    </row>
    <row r="111" spans="3:10" x14ac:dyDescent="0.25">
      <c r="C111"/>
      <c r="D111"/>
      <c r="E111"/>
      <c r="F111"/>
      <c r="G111" s="118"/>
      <c r="H111" s="118"/>
      <c r="I111" s="118"/>
      <c r="J111" s="118"/>
    </row>
    <row r="112" spans="3:10" x14ac:dyDescent="0.25">
      <c r="C112"/>
      <c r="D112"/>
      <c r="E112"/>
      <c r="F112"/>
      <c r="G112" s="118"/>
      <c r="H112" s="118"/>
      <c r="I112" s="118"/>
      <c r="J112" s="118"/>
    </row>
    <row r="113" spans="3:10" x14ac:dyDescent="0.25">
      <c r="C113"/>
      <c r="D113"/>
      <c r="E113"/>
      <c r="F113"/>
      <c r="G113" s="118"/>
      <c r="H113" s="118"/>
      <c r="I113" s="118"/>
      <c r="J113" s="118"/>
    </row>
    <row r="114" spans="3:10" x14ac:dyDescent="0.25">
      <c r="C114"/>
      <c r="D114"/>
      <c r="E114"/>
      <c r="F114"/>
      <c r="G114" s="118"/>
      <c r="H114" s="118"/>
      <c r="I114" s="118"/>
      <c r="J114" s="118"/>
    </row>
    <row r="115" spans="3:10" x14ac:dyDescent="0.25">
      <c r="C115"/>
      <c r="D115"/>
      <c r="E115"/>
      <c r="F115"/>
      <c r="G115" s="118"/>
      <c r="H115" s="118"/>
      <c r="I115" s="118"/>
      <c r="J115" s="118"/>
    </row>
    <row r="116" spans="3:10" x14ac:dyDescent="0.25">
      <c r="C116"/>
      <c r="D116"/>
      <c r="E116"/>
      <c r="F116"/>
      <c r="G116" s="118"/>
      <c r="H116" s="118"/>
      <c r="I116" s="118"/>
      <c r="J116" s="118"/>
    </row>
    <row r="117" spans="3:10" x14ac:dyDescent="0.25">
      <c r="C117"/>
      <c r="D117"/>
      <c r="E117"/>
      <c r="F117"/>
      <c r="G117" s="118"/>
      <c r="H117" s="118"/>
      <c r="I117" s="118"/>
      <c r="J117" s="118"/>
    </row>
    <row r="118" spans="3:10" x14ac:dyDescent="0.25">
      <c r="C118"/>
      <c r="D118"/>
      <c r="E118"/>
      <c r="F118"/>
      <c r="G118" s="118"/>
      <c r="H118" s="118"/>
      <c r="I118" s="118"/>
      <c r="J118" s="118"/>
    </row>
    <row r="119" spans="3:10" x14ac:dyDescent="0.25">
      <c r="C119"/>
      <c r="D119"/>
      <c r="E119"/>
      <c r="F119"/>
      <c r="G119" s="118"/>
      <c r="H119" s="118"/>
      <c r="I119" s="118"/>
      <c r="J119" s="118"/>
    </row>
    <row r="120" spans="3:10" x14ac:dyDescent="0.25">
      <c r="C120"/>
      <c r="D120"/>
      <c r="E120"/>
      <c r="F120"/>
      <c r="G120" s="118"/>
      <c r="H120" s="118"/>
      <c r="I120" s="118"/>
      <c r="J120" s="118"/>
    </row>
    <row r="121" spans="3:10" x14ac:dyDescent="0.25">
      <c r="C121"/>
      <c r="D121"/>
      <c r="E121"/>
      <c r="F121"/>
      <c r="G121" s="118"/>
      <c r="H121" s="118"/>
      <c r="I121" s="118"/>
      <c r="J121" s="118"/>
    </row>
    <row r="122" spans="3:10" x14ac:dyDescent="0.25">
      <c r="C122"/>
      <c r="D122"/>
      <c r="E122"/>
      <c r="F122"/>
      <c r="G122" s="118"/>
      <c r="H122" s="118"/>
      <c r="I122" s="118"/>
      <c r="J122" s="118"/>
    </row>
    <row r="123" spans="3:10" x14ac:dyDescent="0.25">
      <c r="C123"/>
      <c r="D123"/>
      <c r="E123"/>
      <c r="F123"/>
      <c r="G123" s="118"/>
      <c r="H123" s="118"/>
      <c r="I123" s="118"/>
      <c r="J123" s="118"/>
    </row>
    <row r="124" spans="3:10" x14ac:dyDescent="0.25">
      <c r="C124"/>
      <c r="D124"/>
      <c r="E124"/>
      <c r="F124"/>
      <c r="G124" s="118"/>
      <c r="H124" s="118"/>
      <c r="I124" s="118"/>
      <c r="J124" s="118"/>
    </row>
    <row r="125" spans="3:10" x14ac:dyDescent="0.25">
      <c r="C125"/>
      <c r="D125"/>
      <c r="E125"/>
      <c r="F125"/>
      <c r="G125" s="118"/>
      <c r="H125" s="118"/>
      <c r="I125" s="118"/>
      <c r="J125" s="118"/>
    </row>
    <row r="126" spans="3:10" x14ac:dyDescent="0.25">
      <c r="C126"/>
      <c r="D126"/>
      <c r="E126"/>
      <c r="F126"/>
      <c r="G126" s="118"/>
      <c r="H126" s="118"/>
      <c r="I126" s="118"/>
      <c r="J126" s="118"/>
    </row>
    <row r="127" spans="3:10" x14ac:dyDescent="0.25">
      <c r="C127"/>
      <c r="D127"/>
      <c r="E127"/>
      <c r="F127"/>
      <c r="G127" s="118"/>
      <c r="H127" s="118"/>
      <c r="I127" s="118"/>
      <c r="J127" s="118"/>
    </row>
    <row r="128" spans="3:10" x14ac:dyDescent="0.25">
      <c r="C128"/>
      <c r="D128"/>
      <c r="E128"/>
      <c r="F128"/>
      <c r="G128" s="118"/>
      <c r="H128" s="118"/>
      <c r="I128" s="118"/>
      <c r="J128" s="118"/>
    </row>
    <row r="129" spans="3:10" x14ac:dyDescent="0.25">
      <c r="C129"/>
      <c r="D129"/>
      <c r="E129"/>
      <c r="F129"/>
      <c r="G129" s="118"/>
      <c r="H129" s="118"/>
      <c r="I129" s="118"/>
      <c r="J129" s="118"/>
    </row>
    <row r="130" spans="3:10" x14ac:dyDescent="0.25">
      <c r="C130"/>
      <c r="D130"/>
      <c r="E130"/>
      <c r="F130"/>
      <c r="G130" s="118"/>
      <c r="H130" s="118"/>
      <c r="I130" s="118"/>
      <c r="J130" s="118"/>
    </row>
    <row r="131" spans="3:10" x14ac:dyDescent="0.25">
      <c r="C131"/>
      <c r="D131"/>
      <c r="E131"/>
      <c r="F131"/>
      <c r="G131" s="118"/>
      <c r="H131" s="118"/>
      <c r="I131" s="118"/>
      <c r="J131" s="118"/>
    </row>
    <row r="132" spans="3:10" x14ac:dyDescent="0.25">
      <c r="C132"/>
      <c r="D132"/>
      <c r="E132"/>
      <c r="F132"/>
      <c r="G132" s="118"/>
      <c r="H132" s="118"/>
      <c r="I132" s="118"/>
      <c r="J132" s="118"/>
    </row>
    <row r="133" spans="3:10" x14ac:dyDescent="0.25">
      <c r="C133"/>
      <c r="D133"/>
      <c r="E133"/>
      <c r="F133"/>
      <c r="G133" s="118"/>
      <c r="H133" s="118"/>
      <c r="I133" s="118"/>
      <c r="J133" s="118"/>
    </row>
    <row r="134" spans="3:10" x14ac:dyDescent="0.25">
      <c r="C134"/>
      <c r="D134"/>
      <c r="E134"/>
      <c r="F134"/>
      <c r="G134" s="118"/>
      <c r="H134" s="118"/>
      <c r="I134" s="118"/>
      <c r="J134" s="118"/>
    </row>
    <row r="135" spans="3:10" x14ac:dyDescent="0.25">
      <c r="C135"/>
      <c r="D135"/>
      <c r="E135"/>
      <c r="F135"/>
      <c r="G135" s="118"/>
      <c r="H135" s="118"/>
      <c r="I135" s="118"/>
      <c r="J135" s="118"/>
    </row>
    <row r="136" spans="3:10" x14ac:dyDescent="0.25">
      <c r="C136"/>
      <c r="D136"/>
      <c r="E136"/>
      <c r="F136"/>
      <c r="G136" s="118"/>
      <c r="H136" s="118"/>
      <c r="I136" s="118"/>
      <c r="J136" s="118"/>
    </row>
    <row r="137" spans="3:10" x14ac:dyDescent="0.25">
      <c r="C137"/>
      <c r="D137"/>
      <c r="E137"/>
      <c r="F137"/>
      <c r="G137" s="118"/>
      <c r="H137" s="118"/>
      <c r="I137" s="118"/>
      <c r="J137" s="118"/>
    </row>
    <row r="138" spans="3:10" x14ac:dyDescent="0.25">
      <c r="C138"/>
      <c r="D138"/>
      <c r="E138"/>
      <c r="F138"/>
      <c r="G138" s="118"/>
      <c r="H138" s="118"/>
      <c r="I138" s="118"/>
      <c r="J138" s="118"/>
    </row>
    <row r="139" spans="3:10" x14ac:dyDescent="0.25">
      <c r="C139"/>
      <c r="D139"/>
      <c r="E139"/>
      <c r="F139"/>
      <c r="G139" s="118"/>
      <c r="H139" s="118"/>
      <c r="I139" s="118"/>
      <c r="J139" s="118"/>
    </row>
    <row r="140" spans="3:10" x14ac:dyDescent="0.25">
      <c r="C140"/>
      <c r="D140"/>
      <c r="E140"/>
      <c r="F140"/>
      <c r="G140" s="118"/>
      <c r="H140" s="118"/>
      <c r="I140" s="118"/>
      <c r="J140" s="118"/>
    </row>
    <row r="141" spans="3:10" x14ac:dyDescent="0.25">
      <c r="C141"/>
      <c r="D141"/>
      <c r="E141"/>
      <c r="F141"/>
      <c r="G141" s="118"/>
      <c r="H141" s="118"/>
      <c r="I141" s="118"/>
      <c r="J141" s="118"/>
    </row>
    <row r="142" spans="3:10" x14ac:dyDescent="0.25">
      <c r="C142"/>
      <c r="D142"/>
      <c r="E142"/>
      <c r="F142"/>
      <c r="G142" s="118"/>
      <c r="H142" s="118"/>
      <c r="I142" s="118"/>
      <c r="J142" s="118"/>
    </row>
    <row r="143" spans="3:10" x14ac:dyDescent="0.25">
      <c r="C143"/>
      <c r="D143"/>
      <c r="E143"/>
      <c r="F143"/>
      <c r="G143" s="118"/>
      <c r="H143" s="118"/>
      <c r="I143" s="118"/>
      <c r="J143" s="118"/>
    </row>
    <row r="144" spans="3:10" x14ac:dyDescent="0.25">
      <c r="C144"/>
      <c r="D144"/>
      <c r="E144"/>
      <c r="F144"/>
      <c r="G144" s="118"/>
      <c r="H144" s="118"/>
      <c r="I144" s="118"/>
      <c r="J144" s="118"/>
    </row>
    <row r="145" spans="3:10" x14ac:dyDescent="0.25">
      <c r="C145"/>
      <c r="D145"/>
      <c r="E145"/>
      <c r="F145"/>
      <c r="G145" s="118"/>
      <c r="H145" s="118"/>
      <c r="I145" s="118"/>
      <c r="J145" s="118"/>
    </row>
    <row r="146" spans="3:10" x14ac:dyDescent="0.25">
      <c r="C146"/>
      <c r="D146"/>
      <c r="E146"/>
      <c r="F146"/>
      <c r="G146" s="118"/>
      <c r="H146" s="118"/>
      <c r="I146" s="118"/>
      <c r="J146" s="118"/>
    </row>
    <row r="147" spans="3:10" x14ac:dyDescent="0.25">
      <c r="C147"/>
      <c r="D147"/>
      <c r="E147"/>
      <c r="F147"/>
      <c r="G147" s="118"/>
      <c r="H147" s="118"/>
      <c r="I147" s="118"/>
      <c r="J147" s="118"/>
    </row>
    <row r="148" spans="3:10" x14ac:dyDescent="0.25">
      <c r="C148"/>
      <c r="D148"/>
      <c r="E148"/>
      <c r="F148"/>
      <c r="G148" s="118"/>
      <c r="H148" s="118"/>
      <c r="I148" s="118"/>
      <c r="J148" s="118"/>
    </row>
    <row r="149" spans="3:10" x14ac:dyDescent="0.25">
      <c r="C149"/>
      <c r="D149"/>
      <c r="E149"/>
      <c r="F149" s="174" t="s">
        <v>1439</v>
      </c>
      <c r="G149" s="118"/>
      <c r="H149" s="118"/>
      <c r="I149" s="118"/>
      <c r="J149" s="118"/>
    </row>
    <row r="150" spans="3:10" x14ac:dyDescent="0.25">
      <c r="C150"/>
      <c r="D150"/>
      <c r="E150"/>
      <c r="F150" s="174" t="s">
        <v>1438</v>
      </c>
      <c r="G150" s="118"/>
      <c r="H150" s="118"/>
      <c r="I150" s="118"/>
      <c r="J150" s="118"/>
    </row>
    <row r="151" spans="3:10" x14ac:dyDescent="0.25">
      <c r="C151"/>
      <c r="D151"/>
      <c r="E151"/>
      <c r="F151"/>
      <c r="G151"/>
    </row>
    <row r="152" spans="3:10" x14ac:dyDescent="0.25">
      <c r="C152"/>
      <c r="D152"/>
      <c r="E152"/>
      <c r="F152"/>
      <c r="G152"/>
    </row>
    <row r="153" spans="3:10" x14ac:dyDescent="0.25">
      <c r="C153"/>
      <c r="D153"/>
      <c r="E153"/>
      <c r="F153"/>
      <c r="G153"/>
    </row>
    <row r="154" spans="3:10" x14ac:dyDescent="0.25">
      <c r="C154"/>
      <c r="D154"/>
      <c r="E154"/>
      <c r="F154"/>
      <c r="G154"/>
    </row>
    <row r="155" spans="3:10" x14ac:dyDescent="0.25">
      <c r="C155"/>
      <c r="D155"/>
      <c r="E155"/>
      <c r="F155"/>
      <c r="G155"/>
    </row>
    <row r="156" spans="3:10" x14ac:dyDescent="0.25">
      <c r="C156"/>
      <c r="D156"/>
      <c r="E156"/>
      <c r="F156"/>
      <c r="G156"/>
    </row>
    <row r="157" spans="3:10" x14ac:dyDescent="0.25">
      <c r="C157"/>
      <c r="D157"/>
      <c r="E157"/>
      <c r="F157"/>
      <c r="G157"/>
    </row>
    <row r="158" spans="3:10" x14ac:dyDescent="0.25">
      <c r="C158"/>
      <c r="D158"/>
      <c r="E158"/>
      <c r="F158"/>
      <c r="G158"/>
    </row>
    <row r="159" spans="3:10" x14ac:dyDescent="0.25">
      <c r="C159"/>
      <c r="D159"/>
      <c r="E159"/>
      <c r="F159"/>
      <c r="G159"/>
    </row>
    <row r="160" spans="3:10" x14ac:dyDescent="0.25">
      <c r="C160"/>
      <c r="D160"/>
      <c r="E160"/>
      <c r="F160"/>
      <c r="G160"/>
    </row>
    <row r="161" spans="3:7" x14ac:dyDescent="0.25">
      <c r="C161"/>
      <c r="D161"/>
      <c r="E161"/>
      <c r="F161"/>
      <c r="G161"/>
    </row>
    <row r="162" spans="3:7" x14ac:dyDescent="0.25">
      <c r="C162"/>
      <c r="D162"/>
      <c r="E162"/>
      <c r="F162"/>
      <c r="G162"/>
    </row>
    <row r="163" spans="3:7" x14ac:dyDescent="0.25">
      <c r="C163"/>
      <c r="D163"/>
      <c r="E163"/>
      <c r="F163"/>
      <c r="G163"/>
    </row>
    <row r="164" spans="3:7" x14ac:dyDescent="0.25">
      <c r="C164"/>
      <c r="D164"/>
      <c r="E164"/>
      <c r="F164"/>
      <c r="G164"/>
    </row>
    <row r="165" spans="3:7" x14ac:dyDescent="0.25">
      <c r="C165"/>
      <c r="D165"/>
      <c r="E165"/>
      <c r="F165"/>
      <c r="G165"/>
    </row>
    <row r="166" spans="3:7" x14ac:dyDescent="0.25">
      <c r="C166"/>
      <c r="D166"/>
      <c r="E166"/>
      <c r="F166"/>
      <c r="G166"/>
    </row>
    <row r="167" spans="3:7" x14ac:dyDescent="0.25">
      <c r="C167"/>
      <c r="D167"/>
      <c r="E167"/>
      <c r="F167"/>
      <c r="G167"/>
    </row>
    <row r="168" spans="3:7" x14ac:dyDescent="0.25">
      <c r="C168"/>
      <c r="D168"/>
      <c r="E168"/>
      <c r="F168"/>
      <c r="G168"/>
    </row>
    <row r="169" spans="3:7" x14ac:dyDescent="0.25">
      <c r="C169"/>
      <c r="D169"/>
      <c r="E169"/>
      <c r="F169"/>
      <c r="G169"/>
    </row>
    <row r="170" spans="3:7" x14ac:dyDescent="0.25">
      <c r="C170"/>
      <c r="D170"/>
      <c r="E170"/>
      <c r="F170"/>
      <c r="G170"/>
    </row>
    <row r="171" spans="3:7" x14ac:dyDescent="0.25">
      <c r="C171"/>
      <c r="D171"/>
      <c r="E171"/>
      <c r="F171"/>
      <c r="G171"/>
    </row>
    <row r="172" spans="3:7" x14ac:dyDescent="0.25">
      <c r="C172"/>
      <c r="D172"/>
      <c r="E172"/>
      <c r="F172"/>
      <c r="G172"/>
    </row>
    <row r="173" spans="3:7" x14ac:dyDescent="0.25">
      <c r="C173"/>
      <c r="D173"/>
      <c r="E173"/>
      <c r="F173"/>
      <c r="G173"/>
    </row>
    <row r="174" spans="3:7" x14ac:dyDescent="0.25">
      <c r="C174"/>
      <c r="D174"/>
      <c r="E174"/>
      <c r="F174"/>
      <c r="G174"/>
    </row>
    <row r="175" spans="3:7" x14ac:dyDescent="0.25">
      <c r="C175"/>
      <c r="D175"/>
      <c r="E175"/>
      <c r="F175"/>
      <c r="G175"/>
    </row>
    <row r="176" spans="3:7" x14ac:dyDescent="0.25">
      <c r="C176"/>
      <c r="D176"/>
      <c r="E176"/>
      <c r="F176"/>
      <c r="G176"/>
    </row>
    <row r="177" spans="3:7" x14ac:dyDescent="0.25">
      <c r="C177"/>
      <c r="D177"/>
      <c r="E177"/>
      <c r="F177"/>
      <c r="G177"/>
    </row>
    <row r="178" spans="3:7" x14ac:dyDescent="0.25">
      <c r="C178"/>
      <c r="D178"/>
      <c r="E178"/>
      <c r="F178"/>
      <c r="G178"/>
    </row>
    <row r="179" spans="3:7" x14ac:dyDescent="0.25">
      <c r="C179"/>
      <c r="D179"/>
      <c r="E179"/>
      <c r="F179"/>
      <c r="G179"/>
    </row>
    <row r="180" spans="3:7" x14ac:dyDescent="0.25">
      <c r="C180"/>
      <c r="D180"/>
      <c r="E180"/>
      <c r="F180"/>
      <c r="G180"/>
    </row>
    <row r="181" spans="3:7" x14ac:dyDescent="0.25">
      <c r="C181"/>
      <c r="D181"/>
      <c r="E181"/>
      <c r="F181"/>
      <c r="G181"/>
    </row>
    <row r="182" spans="3:7" x14ac:dyDescent="0.25">
      <c r="C182"/>
      <c r="D182"/>
      <c r="E182"/>
      <c r="F182"/>
      <c r="G182"/>
    </row>
    <row r="183" spans="3:7" x14ac:dyDescent="0.25">
      <c r="C183"/>
      <c r="D183"/>
      <c r="E183"/>
      <c r="F183"/>
      <c r="G183"/>
    </row>
    <row r="184" spans="3:7" x14ac:dyDescent="0.25">
      <c r="C184"/>
      <c r="D184"/>
      <c r="E184"/>
      <c r="F184"/>
      <c r="G184"/>
    </row>
    <row r="185" spans="3:7" x14ac:dyDescent="0.25">
      <c r="C185"/>
      <c r="D185"/>
      <c r="E185"/>
      <c r="F185"/>
      <c r="G185"/>
    </row>
    <row r="186" spans="3:7" x14ac:dyDescent="0.25">
      <c r="C186"/>
      <c r="D186"/>
      <c r="E186"/>
      <c r="F186"/>
      <c r="G186"/>
    </row>
    <row r="187" spans="3:7" x14ac:dyDescent="0.25">
      <c r="C187"/>
      <c r="D187"/>
      <c r="E187"/>
      <c r="F187"/>
      <c r="G187"/>
    </row>
    <row r="188" spans="3:7" x14ac:dyDescent="0.25">
      <c r="C188"/>
      <c r="D188"/>
      <c r="E188"/>
      <c r="F188"/>
      <c r="G188"/>
    </row>
    <row r="189" spans="3:7" x14ac:dyDescent="0.25">
      <c r="C189"/>
      <c r="D189"/>
      <c r="E189"/>
      <c r="F189"/>
      <c r="G189"/>
    </row>
    <row r="190" spans="3:7" x14ac:dyDescent="0.25">
      <c r="C190"/>
      <c r="D190"/>
      <c r="E190"/>
      <c r="F190"/>
      <c r="G190"/>
    </row>
    <row r="191" spans="3:7" x14ac:dyDescent="0.25">
      <c r="C191"/>
      <c r="D191"/>
      <c r="E191"/>
      <c r="F191"/>
      <c r="G191"/>
    </row>
    <row r="192" spans="3:7" x14ac:dyDescent="0.25">
      <c r="C192"/>
      <c r="D192"/>
      <c r="E192"/>
      <c r="F192"/>
      <c r="G192"/>
    </row>
    <row r="193" spans="3:7" x14ac:dyDescent="0.25">
      <c r="C193"/>
      <c r="D193"/>
      <c r="E193"/>
      <c r="F193"/>
      <c r="G193"/>
    </row>
    <row r="194" spans="3:7" x14ac:dyDescent="0.25">
      <c r="C194"/>
      <c r="D194"/>
      <c r="E194"/>
      <c r="F194"/>
      <c r="G194"/>
    </row>
    <row r="195" spans="3:7" x14ac:dyDescent="0.25">
      <c r="C195"/>
      <c r="D195"/>
      <c r="E195"/>
      <c r="F195"/>
      <c r="G195"/>
    </row>
    <row r="196" spans="3:7" x14ac:dyDescent="0.25">
      <c r="C196"/>
      <c r="D196"/>
      <c r="E196"/>
      <c r="F196"/>
      <c r="G196"/>
    </row>
    <row r="197" spans="3:7" x14ac:dyDescent="0.25">
      <c r="C197"/>
      <c r="D197"/>
      <c r="E197"/>
      <c r="F197"/>
      <c r="G197"/>
    </row>
    <row r="198" spans="3:7" x14ac:dyDescent="0.25">
      <c r="C198"/>
      <c r="D198"/>
      <c r="E198"/>
      <c r="F198"/>
      <c r="G198"/>
    </row>
    <row r="199" spans="3:7" x14ac:dyDescent="0.25">
      <c r="C199"/>
      <c r="D199"/>
      <c r="E199"/>
      <c r="F199"/>
      <c r="G199"/>
    </row>
    <row r="200" spans="3:7" x14ac:dyDescent="0.25">
      <c r="C200"/>
      <c r="D200"/>
      <c r="E200"/>
      <c r="F200"/>
      <c r="G200"/>
    </row>
    <row r="201" spans="3:7" x14ac:dyDescent="0.25">
      <c r="C201"/>
      <c r="D201"/>
      <c r="E201"/>
      <c r="F201"/>
      <c r="G201"/>
    </row>
    <row r="202" spans="3:7" x14ac:dyDescent="0.25">
      <c r="C202"/>
      <c r="D202"/>
      <c r="E202"/>
      <c r="F202"/>
      <c r="G202"/>
    </row>
    <row r="203" spans="3:7" x14ac:dyDescent="0.25">
      <c r="C203"/>
      <c r="D203"/>
      <c r="E203"/>
      <c r="F203"/>
      <c r="G203"/>
    </row>
    <row r="204" spans="3:7" x14ac:dyDescent="0.25">
      <c r="C204"/>
      <c r="D204"/>
      <c r="E204"/>
      <c r="F204"/>
      <c r="G204"/>
    </row>
    <row r="205" spans="3:7" x14ac:dyDescent="0.25">
      <c r="C205"/>
      <c r="D205"/>
      <c r="E205"/>
      <c r="F205"/>
      <c r="G205"/>
    </row>
    <row r="206" spans="3:7" x14ac:dyDescent="0.25">
      <c r="C206"/>
      <c r="D206"/>
      <c r="E206"/>
      <c r="F206"/>
      <c r="G206"/>
    </row>
    <row r="207" spans="3:7" x14ac:dyDescent="0.25">
      <c r="C207"/>
      <c r="D207"/>
      <c r="E207"/>
      <c r="F207"/>
      <c r="G207"/>
    </row>
    <row r="208" spans="3:7" x14ac:dyDescent="0.25">
      <c r="C208"/>
      <c r="D208"/>
      <c r="E208"/>
      <c r="F208"/>
      <c r="G208"/>
    </row>
    <row r="209" spans="3:7" x14ac:dyDescent="0.25">
      <c r="C209"/>
      <c r="D209"/>
      <c r="E209"/>
      <c r="F209"/>
      <c r="G209"/>
    </row>
    <row r="210" spans="3:7" x14ac:dyDescent="0.25">
      <c r="C210"/>
      <c r="D210"/>
      <c r="E210"/>
      <c r="F210"/>
      <c r="G210"/>
    </row>
    <row r="211" spans="3:7" x14ac:dyDescent="0.25">
      <c r="C211"/>
      <c r="D211"/>
      <c r="E211"/>
      <c r="F211"/>
      <c r="G211"/>
    </row>
    <row r="212" spans="3:7" x14ac:dyDescent="0.25">
      <c r="C212"/>
      <c r="D212"/>
      <c r="E212"/>
      <c r="F212"/>
      <c r="G212"/>
    </row>
    <row r="213" spans="3:7" x14ac:dyDescent="0.25">
      <c r="C213"/>
      <c r="D213"/>
      <c r="E213"/>
      <c r="F213"/>
      <c r="G213"/>
    </row>
    <row r="214" spans="3:7" x14ac:dyDescent="0.25">
      <c r="C214"/>
      <c r="D214"/>
      <c r="E214"/>
      <c r="F214"/>
      <c r="G214"/>
    </row>
    <row r="215" spans="3:7" x14ac:dyDescent="0.25">
      <c r="C215"/>
      <c r="D215"/>
      <c r="E215"/>
      <c r="F215"/>
      <c r="G215"/>
    </row>
    <row r="216" spans="3:7" x14ac:dyDescent="0.25">
      <c r="C216"/>
      <c r="D216"/>
      <c r="E216"/>
      <c r="F216"/>
      <c r="G216"/>
    </row>
    <row r="217" spans="3:7" x14ac:dyDescent="0.25">
      <c r="C217"/>
      <c r="D217"/>
      <c r="E217"/>
      <c r="F217"/>
      <c r="G217"/>
    </row>
    <row r="218" spans="3:7" x14ac:dyDescent="0.25">
      <c r="C218"/>
      <c r="D218"/>
      <c r="E218"/>
      <c r="F218"/>
      <c r="G218"/>
    </row>
    <row r="219" spans="3:7" x14ac:dyDescent="0.25">
      <c r="C219"/>
      <c r="D219"/>
      <c r="E219"/>
      <c r="F219"/>
      <c r="G219"/>
    </row>
    <row r="220" spans="3:7" x14ac:dyDescent="0.25">
      <c r="C220"/>
      <c r="D220"/>
      <c r="E220"/>
      <c r="F220"/>
      <c r="G220"/>
    </row>
    <row r="221" spans="3:7" x14ac:dyDescent="0.25">
      <c r="C221"/>
      <c r="D221"/>
      <c r="E221"/>
      <c r="F221"/>
      <c r="G221"/>
    </row>
    <row r="222" spans="3:7" x14ac:dyDescent="0.25">
      <c r="C222"/>
      <c r="D222"/>
      <c r="E222"/>
      <c r="F222"/>
      <c r="G222"/>
    </row>
    <row r="223" spans="3:7" x14ac:dyDescent="0.25">
      <c r="C223"/>
      <c r="D223"/>
      <c r="E223"/>
      <c r="F223"/>
      <c r="G223"/>
    </row>
    <row r="224" spans="3:7" x14ac:dyDescent="0.25">
      <c r="C224"/>
      <c r="D224"/>
      <c r="E224"/>
      <c r="F224"/>
      <c r="G224"/>
    </row>
    <row r="225" spans="3:7" x14ac:dyDescent="0.25">
      <c r="C225"/>
      <c r="D225"/>
      <c r="E225"/>
      <c r="F225"/>
      <c r="G225"/>
    </row>
    <row r="226" spans="3:7" x14ac:dyDescent="0.25">
      <c r="C226"/>
      <c r="D226"/>
      <c r="E226"/>
      <c r="F226"/>
      <c r="G226"/>
    </row>
    <row r="227" spans="3:7" x14ac:dyDescent="0.25">
      <c r="C227"/>
      <c r="D227"/>
      <c r="E227"/>
      <c r="F227"/>
      <c r="G227"/>
    </row>
    <row r="228" spans="3:7" x14ac:dyDescent="0.25">
      <c r="C228"/>
      <c r="D228"/>
      <c r="E228"/>
      <c r="F228"/>
      <c r="G228"/>
    </row>
    <row r="229" spans="3:7" x14ac:dyDescent="0.25">
      <c r="C229"/>
      <c r="D229"/>
      <c r="E229"/>
      <c r="F229"/>
      <c r="G229"/>
    </row>
    <row r="230" spans="3:7" x14ac:dyDescent="0.25">
      <c r="C230"/>
      <c r="D230"/>
      <c r="E230"/>
      <c r="F230"/>
      <c r="G230"/>
    </row>
    <row r="231" spans="3:7" x14ac:dyDescent="0.25">
      <c r="C231"/>
      <c r="D231"/>
      <c r="E231"/>
      <c r="F231"/>
      <c r="G231"/>
    </row>
    <row r="232" spans="3:7" x14ac:dyDescent="0.25">
      <c r="C232"/>
      <c r="D232"/>
      <c r="E232"/>
      <c r="F232"/>
      <c r="G232"/>
    </row>
    <row r="233" spans="3:7" x14ac:dyDescent="0.25">
      <c r="C233"/>
      <c r="D233"/>
      <c r="E233"/>
      <c r="F233"/>
      <c r="G233"/>
    </row>
    <row r="234" spans="3:7" x14ac:dyDescent="0.25">
      <c r="C234"/>
      <c r="D234"/>
      <c r="E234"/>
      <c r="F234"/>
      <c r="G234"/>
    </row>
    <row r="235" spans="3:7" x14ac:dyDescent="0.25">
      <c r="C235"/>
      <c r="D235"/>
      <c r="E235"/>
      <c r="F235"/>
      <c r="G235"/>
    </row>
    <row r="236" spans="3:7" x14ac:dyDescent="0.25">
      <c r="C236"/>
      <c r="D236"/>
      <c r="E236"/>
      <c r="F236"/>
      <c r="G236"/>
    </row>
    <row r="237" spans="3:7" x14ac:dyDescent="0.25">
      <c r="C237"/>
      <c r="D237"/>
      <c r="E237"/>
      <c r="F237"/>
      <c r="G237"/>
    </row>
    <row r="238" spans="3:7" x14ac:dyDescent="0.25">
      <c r="C238"/>
      <c r="D238"/>
      <c r="E238"/>
      <c r="F238"/>
      <c r="G238"/>
    </row>
    <row r="239" spans="3:7" x14ac:dyDescent="0.25">
      <c r="C239"/>
      <c r="D239"/>
      <c r="E239"/>
      <c r="F239"/>
      <c r="G239"/>
    </row>
    <row r="240" spans="3:7" x14ac:dyDescent="0.25">
      <c r="C240"/>
      <c r="D240"/>
      <c r="E240"/>
      <c r="F240"/>
      <c r="G240"/>
    </row>
    <row r="241" spans="3:7" x14ac:dyDescent="0.25">
      <c r="C241"/>
      <c r="D241"/>
      <c r="E241"/>
      <c r="F241"/>
      <c r="G241"/>
    </row>
    <row r="242" spans="3:7" x14ac:dyDescent="0.25">
      <c r="C242"/>
      <c r="D242"/>
      <c r="E242"/>
      <c r="F242"/>
      <c r="G242"/>
    </row>
    <row r="243" spans="3:7" x14ac:dyDescent="0.25">
      <c r="C243"/>
      <c r="D243"/>
      <c r="E243"/>
      <c r="F243"/>
      <c r="G243"/>
    </row>
    <row r="244" spans="3:7" x14ac:dyDescent="0.25">
      <c r="C244"/>
      <c r="D244"/>
      <c r="E244"/>
      <c r="F244"/>
      <c r="G244"/>
    </row>
    <row r="245" spans="3:7" x14ac:dyDescent="0.25">
      <c r="C245"/>
      <c r="D245"/>
      <c r="E245"/>
      <c r="F245"/>
      <c r="G245"/>
    </row>
    <row r="246" spans="3:7" x14ac:dyDescent="0.25">
      <c r="C246"/>
      <c r="D246"/>
      <c r="E246"/>
      <c r="F246"/>
      <c r="G246"/>
    </row>
    <row r="247" spans="3:7" x14ac:dyDescent="0.25">
      <c r="C247"/>
      <c r="D247"/>
      <c r="E247"/>
      <c r="F247"/>
      <c r="G247"/>
    </row>
    <row r="248" spans="3:7" x14ac:dyDescent="0.25">
      <c r="C248"/>
      <c r="D248"/>
      <c r="E248"/>
      <c r="F248"/>
      <c r="G248"/>
    </row>
    <row r="249" spans="3:7" x14ac:dyDescent="0.25">
      <c r="C249"/>
      <c r="D249"/>
      <c r="E249"/>
      <c r="F249"/>
      <c r="G249"/>
    </row>
    <row r="250" spans="3:7" x14ac:dyDescent="0.25">
      <c r="C250"/>
      <c r="D250"/>
      <c r="E250"/>
      <c r="F250"/>
      <c r="G250"/>
    </row>
    <row r="251" spans="3:7" x14ac:dyDescent="0.25">
      <c r="C251"/>
      <c r="D251"/>
      <c r="E251"/>
      <c r="F251"/>
      <c r="G251"/>
    </row>
    <row r="252" spans="3:7" x14ac:dyDescent="0.25">
      <c r="C252"/>
      <c r="D252"/>
      <c r="E252"/>
      <c r="F252"/>
      <c r="G252"/>
    </row>
    <row r="253" spans="3:7" x14ac:dyDescent="0.25">
      <c r="C253"/>
      <c r="D253"/>
      <c r="E253"/>
      <c r="F253"/>
      <c r="G253"/>
    </row>
    <row r="254" spans="3:7" x14ac:dyDescent="0.25">
      <c r="C254"/>
      <c r="D254"/>
      <c r="E254"/>
      <c r="F254"/>
      <c r="G254"/>
    </row>
    <row r="255" spans="3:7" x14ac:dyDescent="0.25">
      <c r="C255"/>
      <c r="D255"/>
      <c r="E255"/>
      <c r="F255"/>
      <c r="G255"/>
    </row>
    <row r="256" spans="3:7" x14ac:dyDescent="0.25">
      <c r="C256"/>
      <c r="D256"/>
      <c r="E256"/>
      <c r="F256"/>
      <c r="G256"/>
    </row>
    <row r="257" spans="3:7" x14ac:dyDescent="0.25">
      <c r="C257"/>
      <c r="D257"/>
      <c r="E257"/>
      <c r="F257"/>
      <c r="G257"/>
    </row>
    <row r="258" spans="3:7" x14ac:dyDescent="0.25">
      <c r="C258"/>
      <c r="D258"/>
      <c r="E258"/>
      <c r="F258"/>
      <c r="G258"/>
    </row>
    <row r="259" spans="3:7" x14ac:dyDescent="0.25">
      <c r="C259"/>
      <c r="D259"/>
      <c r="E259"/>
      <c r="F259"/>
      <c r="G259"/>
    </row>
    <row r="260" spans="3:7" x14ac:dyDescent="0.25">
      <c r="C260"/>
      <c r="D260"/>
      <c r="E260"/>
      <c r="F260"/>
      <c r="G260"/>
    </row>
    <row r="261" spans="3:7" x14ac:dyDescent="0.25">
      <c r="C261"/>
      <c r="D261"/>
      <c r="E261"/>
      <c r="F261"/>
      <c r="G261"/>
    </row>
    <row r="262" spans="3:7" x14ac:dyDescent="0.25">
      <c r="C262"/>
      <c r="D262"/>
      <c r="E262"/>
      <c r="F262"/>
      <c r="G262"/>
    </row>
    <row r="263" spans="3:7" x14ac:dyDescent="0.25">
      <c r="C263"/>
      <c r="D263"/>
      <c r="E263"/>
      <c r="F263"/>
      <c r="G263"/>
    </row>
    <row r="264" spans="3:7" x14ac:dyDescent="0.25">
      <c r="C264"/>
      <c r="D264"/>
      <c r="E264"/>
      <c r="F264"/>
      <c r="G264"/>
    </row>
    <row r="265" spans="3:7" x14ac:dyDescent="0.25">
      <c r="C265"/>
      <c r="D265"/>
      <c r="E265"/>
      <c r="F265"/>
      <c r="G265"/>
    </row>
    <row r="266" spans="3:7" x14ac:dyDescent="0.25">
      <c r="C266"/>
      <c r="D266"/>
      <c r="E266"/>
      <c r="F266"/>
      <c r="G266"/>
    </row>
    <row r="267" spans="3:7" x14ac:dyDescent="0.25">
      <c r="C267"/>
      <c r="D267"/>
      <c r="E267"/>
      <c r="F267"/>
      <c r="G267"/>
    </row>
    <row r="268" spans="3:7" x14ac:dyDescent="0.25">
      <c r="C268"/>
      <c r="D268"/>
      <c r="E268"/>
      <c r="F268"/>
      <c r="G268"/>
    </row>
    <row r="269" spans="3:7" x14ac:dyDescent="0.25">
      <c r="C269"/>
      <c r="D269"/>
      <c r="E269"/>
      <c r="F269"/>
      <c r="G269"/>
    </row>
    <row r="270" spans="3:7" x14ac:dyDescent="0.25">
      <c r="C270"/>
      <c r="D270"/>
      <c r="E270"/>
      <c r="F270"/>
      <c r="G270"/>
    </row>
    <row r="271" spans="3:7" x14ac:dyDescent="0.25">
      <c r="C271"/>
      <c r="D271"/>
      <c r="E271"/>
      <c r="F271"/>
      <c r="G271"/>
    </row>
    <row r="272" spans="3:7" x14ac:dyDescent="0.25">
      <c r="C272"/>
      <c r="D272"/>
      <c r="E272"/>
      <c r="F272"/>
      <c r="G272"/>
    </row>
    <row r="273" spans="3:7" x14ac:dyDescent="0.25">
      <c r="C273"/>
      <c r="D273"/>
      <c r="E273"/>
      <c r="F273"/>
      <c r="G273"/>
    </row>
    <row r="274" spans="3:7" x14ac:dyDescent="0.25">
      <c r="C274"/>
      <c r="D274"/>
      <c r="E274"/>
      <c r="F274"/>
      <c r="G274"/>
    </row>
    <row r="275" spans="3:7" x14ac:dyDescent="0.25">
      <c r="C275"/>
      <c r="D275"/>
      <c r="E275"/>
      <c r="F275"/>
      <c r="G275"/>
    </row>
    <row r="276" spans="3:7" x14ac:dyDescent="0.25">
      <c r="C276"/>
      <c r="D276"/>
      <c r="E276"/>
      <c r="F276"/>
      <c r="G276"/>
    </row>
    <row r="277" spans="3:7" x14ac:dyDescent="0.25">
      <c r="C277"/>
      <c r="D277"/>
      <c r="E277"/>
      <c r="F277"/>
      <c r="G277"/>
    </row>
    <row r="278" spans="3:7" x14ac:dyDescent="0.25">
      <c r="C278"/>
      <c r="D278"/>
      <c r="E278"/>
      <c r="F278"/>
      <c r="G278"/>
    </row>
    <row r="279" spans="3:7" x14ac:dyDescent="0.25">
      <c r="C279"/>
      <c r="D279"/>
      <c r="E279"/>
      <c r="F279"/>
      <c r="G279"/>
    </row>
    <row r="280" spans="3:7" x14ac:dyDescent="0.25">
      <c r="C280"/>
      <c r="D280"/>
      <c r="E280"/>
      <c r="F280"/>
      <c r="G280"/>
    </row>
    <row r="281" spans="3:7" x14ac:dyDescent="0.25">
      <c r="C281"/>
      <c r="D281"/>
      <c r="E281"/>
      <c r="F281"/>
      <c r="G281"/>
    </row>
    <row r="282" spans="3:7" x14ac:dyDescent="0.25">
      <c r="C282"/>
      <c r="D282"/>
      <c r="E282"/>
      <c r="F282"/>
      <c r="G282"/>
    </row>
    <row r="283" spans="3:7" x14ac:dyDescent="0.25">
      <c r="C283"/>
      <c r="D283"/>
      <c r="E283"/>
      <c r="F283"/>
      <c r="G283"/>
    </row>
    <row r="284" spans="3:7" x14ac:dyDescent="0.25">
      <c r="C284"/>
      <c r="D284"/>
      <c r="E284"/>
      <c r="F284"/>
      <c r="G284"/>
    </row>
    <row r="285" spans="3:7" x14ac:dyDescent="0.25">
      <c r="C285"/>
      <c r="D285"/>
      <c r="E285"/>
      <c r="F285"/>
      <c r="G285"/>
    </row>
    <row r="286" spans="3:7" x14ac:dyDescent="0.25">
      <c r="C286"/>
      <c r="D286"/>
      <c r="E286"/>
      <c r="F286"/>
      <c r="G286"/>
    </row>
    <row r="287" spans="3:7" x14ac:dyDescent="0.25">
      <c r="C287"/>
      <c r="D287"/>
      <c r="E287"/>
      <c r="F287"/>
      <c r="G287"/>
    </row>
    <row r="288" spans="3:7" x14ac:dyDescent="0.25">
      <c r="C288"/>
      <c r="D288"/>
      <c r="E288"/>
      <c r="F288"/>
      <c r="G288"/>
    </row>
    <row r="289" spans="3:7" x14ac:dyDescent="0.25">
      <c r="C289"/>
      <c r="D289"/>
      <c r="E289"/>
      <c r="F289"/>
      <c r="G289"/>
    </row>
    <row r="290" spans="3:7" x14ac:dyDescent="0.25">
      <c r="C290"/>
      <c r="D290"/>
      <c r="E290"/>
      <c r="F290"/>
      <c r="G290"/>
    </row>
    <row r="291" spans="3:7" x14ac:dyDescent="0.25">
      <c r="C291"/>
      <c r="D291"/>
      <c r="E291"/>
      <c r="F291"/>
      <c r="G291"/>
    </row>
    <row r="292" spans="3:7" x14ac:dyDescent="0.25">
      <c r="C292"/>
      <c r="D292"/>
      <c r="E292"/>
      <c r="F292"/>
      <c r="G292"/>
    </row>
    <row r="293" spans="3:7" x14ac:dyDescent="0.25">
      <c r="C293"/>
      <c r="D293"/>
      <c r="E293"/>
      <c r="F293"/>
      <c r="G293"/>
    </row>
    <row r="294" spans="3:7" x14ac:dyDescent="0.25">
      <c r="C294"/>
      <c r="D294"/>
      <c r="E294"/>
      <c r="F294"/>
      <c r="G294"/>
    </row>
    <row r="295" spans="3:7" x14ac:dyDescent="0.25">
      <c r="C295"/>
      <c r="D295"/>
      <c r="E295"/>
      <c r="F295"/>
      <c r="G295"/>
    </row>
    <row r="296" spans="3:7" x14ac:dyDescent="0.25">
      <c r="C296"/>
      <c r="D296"/>
      <c r="E296"/>
      <c r="F296"/>
      <c r="G296"/>
    </row>
    <row r="297" spans="3:7" x14ac:dyDescent="0.25">
      <c r="C297"/>
      <c r="D297"/>
      <c r="E297"/>
      <c r="F297"/>
      <c r="G297"/>
    </row>
    <row r="298" spans="3:7" x14ac:dyDescent="0.25">
      <c r="C298"/>
      <c r="D298"/>
      <c r="E298"/>
      <c r="F298"/>
      <c r="G298"/>
    </row>
    <row r="299" spans="3:7" x14ac:dyDescent="0.25">
      <c r="C299"/>
      <c r="D299"/>
      <c r="E299"/>
      <c r="F299"/>
      <c r="G299"/>
    </row>
    <row r="300" spans="3:7" x14ac:dyDescent="0.25">
      <c r="C300"/>
      <c r="D300"/>
      <c r="E300"/>
      <c r="F300"/>
      <c r="G300"/>
    </row>
    <row r="301" spans="3:7" x14ac:dyDescent="0.25">
      <c r="C301"/>
      <c r="D301"/>
      <c r="E301"/>
      <c r="F301"/>
      <c r="G301"/>
    </row>
    <row r="302" spans="3:7" x14ac:dyDescent="0.25">
      <c r="C302"/>
      <c r="D302"/>
      <c r="E302"/>
      <c r="F302"/>
      <c r="G302"/>
    </row>
    <row r="303" spans="3:7" x14ac:dyDescent="0.25">
      <c r="C303"/>
      <c r="D303"/>
      <c r="E303"/>
      <c r="F303"/>
      <c r="G303"/>
    </row>
    <row r="304" spans="3:7" x14ac:dyDescent="0.25">
      <c r="C304"/>
      <c r="D304"/>
      <c r="E304"/>
      <c r="F304"/>
      <c r="G304"/>
    </row>
    <row r="305" spans="3:7" x14ac:dyDescent="0.25">
      <c r="C305"/>
      <c r="D305"/>
      <c r="E305"/>
      <c r="F305"/>
      <c r="G305"/>
    </row>
    <row r="306" spans="3:7" x14ac:dyDescent="0.25">
      <c r="C306"/>
      <c r="D306"/>
      <c r="E306"/>
      <c r="F306"/>
      <c r="G306"/>
    </row>
    <row r="307" spans="3:7" x14ac:dyDescent="0.25">
      <c r="C307"/>
      <c r="D307"/>
      <c r="E307"/>
      <c r="F307"/>
      <c r="G307"/>
    </row>
    <row r="308" spans="3:7" x14ac:dyDescent="0.25">
      <c r="C308"/>
      <c r="D308"/>
      <c r="E308"/>
      <c r="F308"/>
      <c r="G308"/>
    </row>
    <row r="309" spans="3:7" x14ac:dyDescent="0.25">
      <c r="C309"/>
      <c r="D309"/>
      <c r="E309"/>
      <c r="F309"/>
      <c r="G309"/>
    </row>
    <row r="310" spans="3:7" x14ac:dyDescent="0.25">
      <c r="C310"/>
      <c r="D310"/>
      <c r="E310"/>
      <c r="F310"/>
      <c r="G310"/>
    </row>
    <row r="311" spans="3:7" x14ac:dyDescent="0.25">
      <c r="C311"/>
      <c r="D311"/>
      <c r="E311"/>
      <c r="F311"/>
      <c r="G311"/>
    </row>
    <row r="312" spans="3:7" x14ac:dyDescent="0.25">
      <c r="C312"/>
      <c r="D312"/>
      <c r="E312"/>
      <c r="F312"/>
      <c r="G312"/>
    </row>
    <row r="313" spans="3:7" x14ac:dyDescent="0.25">
      <c r="C313"/>
      <c r="D313"/>
      <c r="E313"/>
      <c r="F313"/>
      <c r="G313"/>
    </row>
    <row r="314" spans="3:7" x14ac:dyDescent="0.25">
      <c r="C314"/>
      <c r="D314"/>
      <c r="E314"/>
      <c r="F314"/>
      <c r="G314"/>
    </row>
    <row r="315" spans="3:7" x14ac:dyDescent="0.25">
      <c r="C315"/>
      <c r="D315"/>
      <c r="E315"/>
      <c r="F315"/>
      <c r="G315"/>
    </row>
    <row r="316" spans="3:7" x14ac:dyDescent="0.25">
      <c r="C316"/>
      <c r="D316"/>
      <c r="E316"/>
      <c r="F316"/>
      <c r="G316"/>
    </row>
    <row r="317" spans="3:7" x14ac:dyDescent="0.25">
      <c r="C317"/>
      <c r="D317"/>
      <c r="E317"/>
      <c r="F317"/>
      <c r="G317"/>
    </row>
    <row r="318" spans="3:7" x14ac:dyDescent="0.25">
      <c r="C318"/>
      <c r="D318"/>
      <c r="E318"/>
      <c r="F318"/>
      <c r="G318"/>
    </row>
    <row r="319" spans="3:7" x14ac:dyDescent="0.25">
      <c r="C319"/>
      <c r="D319"/>
      <c r="E319"/>
      <c r="F319"/>
      <c r="G319"/>
    </row>
    <row r="320" spans="3:7" x14ac:dyDescent="0.25">
      <c r="C320"/>
      <c r="D320"/>
      <c r="E320"/>
      <c r="F320"/>
      <c r="G320"/>
    </row>
    <row r="321" spans="3:7" x14ac:dyDescent="0.25">
      <c r="C321"/>
      <c r="D321"/>
      <c r="E321"/>
      <c r="F321"/>
      <c r="G321"/>
    </row>
    <row r="322" spans="3:7" x14ac:dyDescent="0.25">
      <c r="C322"/>
      <c r="D322"/>
      <c r="E322"/>
      <c r="F322"/>
      <c r="G322"/>
    </row>
    <row r="323" spans="3:7" x14ac:dyDescent="0.25">
      <c r="C323"/>
      <c r="D323"/>
      <c r="E323"/>
      <c r="F323"/>
      <c r="G323"/>
    </row>
    <row r="324" spans="3:7" x14ac:dyDescent="0.25">
      <c r="C324"/>
      <c r="D324"/>
      <c r="E324"/>
      <c r="F324"/>
      <c r="G324"/>
    </row>
    <row r="325" spans="3:7" x14ac:dyDescent="0.25">
      <c r="C325"/>
      <c r="D325"/>
      <c r="E325"/>
      <c r="F325"/>
      <c r="G325"/>
    </row>
    <row r="326" spans="3:7" x14ac:dyDescent="0.25">
      <c r="C326"/>
      <c r="D326"/>
      <c r="E326"/>
      <c r="F326"/>
      <c r="G326"/>
    </row>
    <row r="327" spans="3:7" x14ac:dyDescent="0.25">
      <c r="C327"/>
      <c r="D327"/>
      <c r="E327"/>
      <c r="F327"/>
      <c r="G327"/>
    </row>
    <row r="328" spans="3:7" x14ac:dyDescent="0.25">
      <c r="C328"/>
      <c r="D328"/>
      <c r="E328"/>
      <c r="F328"/>
      <c r="G328"/>
    </row>
    <row r="329" spans="3:7" x14ac:dyDescent="0.25">
      <c r="C329"/>
      <c r="D329"/>
      <c r="E329"/>
      <c r="F329"/>
      <c r="G329"/>
    </row>
    <row r="330" spans="3:7" x14ac:dyDescent="0.25">
      <c r="C330"/>
      <c r="D330"/>
      <c r="E330"/>
      <c r="F330"/>
      <c r="G330"/>
    </row>
    <row r="331" spans="3:7" x14ac:dyDescent="0.25">
      <c r="C331"/>
      <c r="D331"/>
      <c r="E331"/>
      <c r="F331"/>
      <c r="G331"/>
    </row>
    <row r="332" spans="3:7" x14ac:dyDescent="0.25">
      <c r="C332"/>
      <c r="D332"/>
      <c r="E332"/>
      <c r="F332"/>
      <c r="G332"/>
    </row>
    <row r="333" spans="3:7" x14ac:dyDescent="0.25">
      <c r="C333"/>
      <c r="D333"/>
      <c r="E333"/>
      <c r="F333"/>
      <c r="G333"/>
    </row>
    <row r="334" spans="3:7" x14ac:dyDescent="0.25">
      <c r="C334"/>
      <c r="D334"/>
      <c r="E334"/>
      <c r="F334"/>
      <c r="G334"/>
    </row>
    <row r="335" spans="3:7" x14ac:dyDescent="0.25">
      <c r="C335"/>
      <c r="D335"/>
      <c r="E335"/>
      <c r="F335"/>
      <c r="G335"/>
    </row>
    <row r="336" spans="3:7" x14ac:dyDescent="0.25">
      <c r="C336"/>
      <c r="D336"/>
      <c r="E336"/>
      <c r="F336"/>
      <c r="G336"/>
    </row>
    <row r="337" spans="3:7" x14ac:dyDescent="0.25">
      <c r="C337"/>
      <c r="D337"/>
      <c r="E337"/>
      <c r="F337"/>
      <c r="G337"/>
    </row>
    <row r="338" spans="3:7" x14ac:dyDescent="0.25">
      <c r="C338"/>
      <c r="D338"/>
      <c r="E338"/>
      <c r="F338"/>
      <c r="G338"/>
    </row>
    <row r="339" spans="3:7" x14ac:dyDescent="0.25">
      <c r="C339"/>
      <c r="D339"/>
      <c r="E339"/>
      <c r="F339"/>
      <c r="G339"/>
    </row>
    <row r="340" spans="3:7" x14ac:dyDescent="0.25">
      <c r="C340"/>
      <c r="D340"/>
      <c r="E340"/>
      <c r="F340"/>
      <c r="G340"/>
    </row>
    <row r="341" spans="3:7" x14ac:dyDescent="0.25">
      <c r="C341"/>
      <c r="D341"/>
      <c r="E341"/>
      <c r="F341"/>
      <c r="G341"/>
    </row>
    <row r="342" spans="3:7" x14ac:dyDescent="0.25">
      <c r="C342"/>
      <c r="D342"/>
      <c r="E342"/>
      <c r="F342"/>
      <c r="G342"/>
    </row>
    <row r="343" spans="3:7" x14ac:dyDescent="0.25">
      <c r="C343"/>
      <c r="D343"/>
      <c r="E343"/>
      <c r="F343"/>
      <c r="G343"/>
    </row>
    <row r="344" spans="3:7" x14ac:dyDescent="0.25">
      <c r="C344"/>
      <c r="D344"/>
      <c r="E344"/>
      <c r="F344"/>
      <c r="G344"/>
    </row>
    <row r="345" spans="3:7" x14ac:dyDescent="0.25">
      <c r="C345"/>
      <c r="D345"/>
      <c r="E345"/>
      <c r="F345"/>
      <c r="G345"/>
    </row>
    <row r="346" spans="3:7" x14ac:dyDescent="0.25">
      <c r="C346"/>
      <c r="D346"/>
      <c r="E346"/>
      <c r="F346"/>
      <c r="G346"/>
    </row>
    <row r="347" spans="3:7" x14ac:dyDescent="0.25">
      <c r="C347"/>
      <c r="D347"/>
      <c r="E347"/>
      <c r="F347"/>
      <c r="G347"/>
    </row>
    <row r="348" spans="3:7" x14ac:dyDescent="0.25">
      <c r="C348"/>
      <c r="D348"/>
      <c r="E348"/>
      <c r="F348"/>
      <c r="G348"/>
    </row>
    <row r="349" spans="3:7" x14ac:dyDescent="0.25">
      <c r="C349"/>
      <c r="D349"/>
      <c r="E349"/>
      <c r="F349"/>
      <c r="G349"/>
    </row>
    <row r="350" spans="3:7" x14ac:dyDescent="0.25">
      <c r="C350"/>
      <c r="D350"/>
      <c r="E350"/>
      <c r="F350"/>
      <c r="G350"/>
    </row>
    <row r="351" spans="3:7" x14ac:dyDescent="0.25">
      <c r="C351"/>
      <c r="D351"/>
      <c r="E351"/>
      <c r="F351"/>
      <c r="G351"/>
    </row>
    <row r="352" spans="3:7" x14ac:dyDescent="0.25">
      <c r="C352"/>
      <c r="D352"/>
      <c r="E352"/>
      <c r="F352"/>
      <c r="G352"/>
    </row>
    <row r="353" spans="3:7" x14ac:dyDescent="0.25">
      <c r="C353"/>
      <c r="D353"/>
      <c r="E353"/>
      <c r="F353"/>
      <c r="G353"/>
    </row>
    <row r="354" spans="3:7" x14ac:dyDescent="0.25">
      <c r="C354"/>
      <c r="D354"/>
      <c r="E354"/>
      <c r="F354"/>
      <c r="G354"/>
    </row>
    <row r="355" spans="3:7" x14ac:dyDescent="0.25">
      <c r="C355"/>
      <c r="D355"/>
      <c r="E355"/>
      <c r="F355"/>
      <c r="G355"/>
    </row>
    <row r="356" spans="3:7" x14ac:dyDescent="0.25">
      <c r="C356"/>
      <c r="D356"/>
      <c r="E356"/>
      <c r="F356"/>
      <c r="G356"/>
    </row>
    <row r="357" spans="3:7" x14ac:dyDescent="0.25">
      <c r="C357"/>
      <c r="D357"/>
      <c r="E357"/>
      <c r="F357"/>
      <c r="G357"/>
    </row>
    <row r="358" spans="3:7" x14ac:dyDescent="0.25">
      <c r="C358"/>
      <c r="D358"/>
      <c r="E358"/>
      <c r="F358"/>
      <c r="G358"/>
    </row>
    <row r="359" spans="3:7" x14ac:dyDescent="0.25">
      <c r="C359"/>
      <c r="D359"/>
      <c r="E359"/>
      <c r="F359"/>
      <c r="G359"/>
    </row>
    <row r="360" spans="3:7" x14ac:dyDescent="0.25">
      <c r="C360"/>
      <c r="D360"/>
      <c r="E360"/>
      <c r="F360"/>
      <c r="G360"/>
    </row>
    <row r="361" spans="3:7" x14ac:dyDescent="0.25">
      <c r="C361"/>
      <c r="D361"/>
      <c r="E361"/>
      <c r="F361"/>
      <c r="G361"/>
    </row>
    <row r="362" spans="3:7" x14ac:dyDescent="0.25">
      <c r="C362"/>
      <c r="D362"/>
      <c r="E362"/>
      <c r="F362"/>
      <c r="G362"/>
    </row>
    <row r="363" spans="3:7" x14ac:dyDescent="0.25">
      <c r="C363"/>
      <c r="D363"/>
      <c r="E363"/>
      <c r="F363"/>
      <c r="G363"/>
    </row>
    <row r="364" spans="3:7" x14ac:dyDescent="0.25">
      <c r="C364"/>
      <c r="D364"/>
      <c r="E364"/>
      <c r="F364"/>
      <c r="G364"/>
    </row>
    <row r="365" spans="3:7" x14ac:dyDescent="0.25">
      <c r="C365"/>
      <c r="D365"/>
      <c r="E365"/>
      <c r="F365"/>
      <c r="G365"/>
    </row>
    <row r="366" spans="3:7" x14ac:dyDescent="0.25">
      <c r="C366"/>
      <c r="D366"/>
      <c r="E366"/>
      <c r="F366"/>
      <c r="G366"/>
    </row>
    <row r="367" spans="3:7" x14ac:dyDescent="0.25">
      <c r="C367"/>
      <c r="D367"/>
      <c r="E367"/>
      <c r="F367"/>
      <c r="G367"/>
    </row>
    <row r="368" spans="3:7" x14ac:dyDescent="0.25">
      <c r="C368"/>
      <c r="D368"/>
      <c r="E368"/>
      <c r="F368"/>
      <c r="G368"/>
    </row>
    <row r="369" spans="3:7" x14ac:dyDescent="0.25">
      <c r="C369"/>
      <c r="D369"/>
      <c r="E369"/>
      <c r="F369"/>
      <c r="G369"/>
    </row>
    <row r="370" spans="3:7" x14ac:dyDescent="0.25">
      <c r="C370"/>
      <c r="D370"/>
      <c r="E370"/>
      <c r="F370"/>
      <c r="G370"/>
    </row>
    <row r="371" spans="3:7" x14ac:dyDescent="0.25">
      <c r="C371"/>
      <c r="D371"/>
      <c r="E371"/>
      <c r="F371"/>
      <c r="G371"/>
    </row>
    <row r="372" spans="3:7" x14ac:dyDescent="0.25">
      <c r="C372"/>
      <c r="D372"/>
      <c r="E372"/>
      <c r="F372"/>
      <c r="G372"/>
    </row>
    <row r="373" spans="3:7" x14ac:dyDescent="0.25">
      <c r="C373"/>
      <c r="D373"/>
      <c r="E373"/>
      <c r="F373"/>
      <c r="G373"/>
    </row>
    <row r="374" spans="3:7" x14ac:dyDescent="0.25">
      <c r="C374"/>
      <c r="D374"/>
      <c r="E374"/>
      <c r="F374"/>
      <c r="G374"/>
    </row>
    <row r="375" spans="3:7" x14ac:dyDescent="0.25">
      <c r="C375"/>
      <c r="D375"/>
      <c r="E375"/>
      <c r="F375"/>
      <c r="G375"/>
    </row>
    <row r="376" spans="3:7" x14ac:dyDescent="0.25">
      <c r="C376"/>
      <c r="D376"/>
      <c r="E376"/>
      <c r="F376"/>
      <c r="G376"/>
    </row>
    <row r="377" spans="3:7" x14ac:dyDescent="0.25">
      <c r="C377"/>
      <c r="D377"/>
      <c r="E377"/>
      <c r="F377"/>
      <c r="G377"/>
    </row>
    <row r="378" spans="3:7" x14ac:dyDescent="0.25">
      <c r="C378"/>
      <c r="D378"/>
      <c r="E378"/>
      <c r="F378"/>
      <c r="G378"/>
    </row>
    <row r="379" spans="3:7" x14ac:dyDescent="0.25">
      <c r="C379"/>
      <c r="D379"/>
      <c r="E379"/>
      <c r="F379"/>
      <c r="G379"/>
    </row>
    <row r="380" spans="3:7" x14ac:dyDescent="0.25">
      <c r="C380"/>
      <c r="D380"/>
      <c r="E380"/>
      <c r="F380"/>
      <c r="G380"/>
    </row>
    <row r="381" spans="3:7" x14ac:dyDescent="0.25">
      <c r="C381"/>
      <c r="D381"/>
      <c r="E381"/>
      <c r="F381"/>
      <c r="G381"/>
    </row>
    <row r="382" spans="3:7" x14ac:dyDescent="0.25">
      <c r="C382"/>
      <c r="D382"/>
      <c r="E382"/>
      <c r="F382"/>
      <c r="G382"/>
    </row>
    <row r="383" spans="3:7" x14ac:dyDescent="0.25">
      <c r="C383"/>
      <c r="D383"/>
      <c r="E383"/>
      <c r="F383"/>
      <c r="G383"/>
    </row>
    <row r="384" spans="3:7" x14ac:dyDescent="0.25">
      <c r="C384"/>
      <c r="D384"/>
      <c r="E384"/>
      <c r="F384"/>
      <c r="G384"/>
    </row>
    <row r="385" spans="3:7" x14ac:dyDescent="0.25">
      <c r="C385"/>
      <c r="D385"/>
      <c r="E385"/>
      <c r="F385"/>
      <c r="G385"/>
    </row>
    <row r="386" spans="3:7" x14ac:dyDescent="0.25">
      <c r="C386"/>
      <c r="D386"/>
      <c r="E386"/>
      <c r="F386"/>
      <c r="G386"/>
    </row>
    <row r="387" spans="3:7" x14ac:dyDescent="0.25">
      <c r="C387"/>
      <c r="D387"/>
      <c r="E387"/>
      <c r="F387"/>
      <c r="G387"/>
    </row>
    <row r="388" spans="3:7" x14ac:dyDescent="0.25">
      <c r="C388"/>
      <c r="D388"/>
      <c r="E388"/>
      <c r="F388"/>
      <c r="G388"/>
    </row>
    <row r="389" spans="3:7" x14ac:dyDescent="0.25">
      <c r="C389"/>
      <c r="D389"/>
      <c r="E389"/>
      <c r="F389"/>
      <c r="G389"/>
    </row>
    <row r="390" spans="3:7" x14ac:dyDescent="0.25">
      <c r="C390"/>
      <c r="D390"/>
      <c r="E390"/>
      <c r="F390"/>
      <c r="G390"/>
    </row>
    <row r="391" spans="3:7" x14ac:dyDescent="0.25">
      <c r="C391"/>
      <c r="D391"/>
      <c r="E391"/>
      <c r="F391"/>
      <c r="G391"/>
    </row>
    <row r="392" spans="3:7" x14ac:dyDescent="0.25">
      <c r="C392"/>
      <c r="D392"/>
      <c r="E392"/>
      <c r="F392"/>
      <c r="G392"/>
    </row>
    <row r="393" spans="3:7" x14ac:dyDescent="0.25">
      <c r="C393"/>
      <c r="D393"/>
      <c r="E393"/>
      <c r="F393"/>
      <c r="G393"/>
    </row>
    <row r="394" spans="3:7" x14ac:dyDescent="0.25">
      <c r="C394"/>
      <c r="D394"/>
      <c r="E394"/>
      <c r="F394"/>
      <c r="G394"/>
    </row>
    <row r="395" spans="3:7" x14ac:dyDescent="0.25">
      <c r="C395"/>
      <c r="D395"/>
      <c r="E395"/>
      <c r="F395"/>
      <c r="G395"/>
    </row>
    <row r="396" spans="3:7" x14ac:dyDescent="0.25">
      <c r="C396"/>
      <c r="D396"/>
      <c r="E396"/>
      <c r="F396"/>
      <c r="G396"/>
    </row>
    <row r="397" spans="3:7" x14ac:dyDescent="0.25">
      <c r="C397"/>
      <c r="D397"/>
      <c r="E397"/>
      <c r="F397"/>
      <c r="G397"/>
    </row>
    <row r="398" spans="3:7" x14ac:dyDescent="0.25">
      <c r="C398"/>
      <c r="D398"/>
      <c r="E398"/>
      <c r="F398"/>
      <c r="G398"/>
    </row>
    <row r="399" spans="3:7" x14ac:dyDescent="0.25">
      <c r="C399"/>
      <c r="D399"/>
      <c r="E399"/>
      <c r="F399"/>
      <c r="G399"/>
    </row>
    <row r="400" spans="3:7" x14ac:dyDescent="0.25">
      <c r="C400"/>
      <c r="D400"/>
      <c r="E400"/>
      <c r="F400"/>
      <c r="G400"/>
    </row>
    <row r="401" spans="3:7" x14ac:dyDescent="0.25">
      <c r="C401"/>
      <c r="D401"/>
      <c r="E401"/>
      <c r="F401"/>
      <c r="G401"/>
    </row>
    <row r="402" spans="3:7" x14ac:dyDescent="0.25">
      <c r="C402"/>
      <c r="D402"/>
      <c r="E402"/>
      <c r="F402"/>
      <c r="G402"/>
    </row>
    <row r="403" spans="3:7" x14ac:dyDescent="0.25">
      <c r="C403"/>
      <c r="D403"/>
      <c r="E403"/>
      <c r="F403"/>
      <c r="G403"/>
    </row>
    <row r="404" spans="3:7" x14ac:dyDescent="0.25">
      <c r="C404"/>
      <c r="D404"/>
      <c r="E404"/>
      <c r="F404"/>
      <c r="G404"/>
    </row>
    <row r="405" spans="3:7" x14ac:dyDescent="0.25">
      <c r="C405"/>
      <c r="D405"/>
      <c r="E405"/>
      <c r="F405"/>
      <c r="G405"/>
    </row>
    <row r="406" spans="3:7" x14ac:dyDescent="0.25">
      <c r="C406"/>
      <c r="D406"/>
      <c r="E406"/>
      <c r="F406"/>
      <c r="G406"/>
    </row>
    <row r="407" spans="3:7" x14ac:dyDescent="0.25">
      <c r="C407"/>
      <c r="D407"/>
      <c r="E407"/>
      <c r="F407"/>
      <c r="G407"/>
    </row>
    <row r="408" spans="3:7" x14ac:dyDescent="0.25">
      <c r="C408"/>
      <c r="D408"/>
      <c r="E408"/>
      <c r="F408"/>
      <c r="G408"/>
    </row>
    <row r="409" spans="3:7" x14ac:dyDescent="0.25">
      <c r="C409"/>
      <c r="D409"/>
      <c r="E409"/>
      <c r="F409"/>
      <c r="G409"/>
    </row>
    <row r="410" spans="3:7" x14ac:dyDescent="0.25">
      <c r="C410"/>
      <c r="D410"/>
      <c r="E410"/>
      <c r="F410"/>
      <c r="G410"/>
    </row>
    <row r="411" spans="3:7" x14ac:dyDescent="0.25">
      <c r="C411"/>
      <c r="D411"/>
      <c r="E411"/>
      <c r="F411"/>
      <c r="G411"/>
    </row>
    <row r="412" spans="3:7" x14ac:dyDescent="0.25">
      <c r="C412"/>
      <c r="D412"/>
      <c r="E412"/>
      <c r="F412"/>
      <c r="G412"/>
    </row>
    <row r="413" spans="3:7" x14ac:dyDescent="0.25">
      <c r="C413"/>
      <c r="D413"/>
      <c r="E413"/>
      <c r="F413"/>
      <c r="G413"/>
    </row>
    <row r="414" spans="3:7" x14ac:dyDescent="0.25">
      <c r="C414"/>
      <c r="D414"/>
      <c r="E414"/>
      <c r="F414"/>
      <c r="G414"/>
    </row>
    <row r="415" spans="3:7" x14ac:dyDescent="0.25">
      <c r="C415"/>
      <c r="D415"/>
      <c r="E415"/>
      <c r="F415"/>
      <c r="G415"/>
    </row>
    <row r="416" spans="3:7" x14ac:dyDescent="0.25">
      <c r="C416"/>
      <c r="D416"/>
      <c r="E416"/>
      <c r="F416"/>
      <c r="G416"/>
    </row>
    <row r="417" spans="3:7" x14ac:dyDescent="0.25">
      <c r="C417"/>
      <c r="D417"/>
      <c r="E417"/>
      <c r="F417"/>
      <c r="G417"/>
    </row>
    <row r="418" spans="3:7" x14ac:dyDescent="0.25">
      <c r="C418"/>
      <c r="D418"/>
      <c r="E418"/>
      <c r="F418"/>
      <c r="G418"/>
    </row>
    <row r="419" spans="3:7" x14ac:dyDescent="0.25">
      <c r="C419"/>
      <c r="D419"/>
      <c r="E419"/>
      <c r="F419"/>
      <c r="G419"/>
    </row>
    <row r="420" spans="3:7" x14ac:dyDescent="0.25">
      <c r="C420"/>
      <c r="D420"/>
      <c r="E420"/>
      <c r="F420"/>
      <c r="G420"/>
    </row>
    <row r="421" spans="3:7" x14ac:dyDescent="0.25">
      <c r="C421"/>
      <c r="D421"/>
      <c r="E421"/>
      <c r="F421"/>
      <c r="G421"/>
    </row>
    <row r="422" spans="3:7" x14ac:dyDescent="0.25">
      <c r="C422"/>
      <c r="D422"/>
      <c r="E422"/>
      <c r="F422"/>
      <c r="G422"/>
    </row>
    <row r="423" spans="3:7" x14ac:dyDescent="0.25">
      <c r="C423"/>
      <c r="D423"/>
      <c r="E423"/>
      <c r="F423"/>
      <c r="G423"/>
    </row>
    <row r="424" spans="3:7" x14ac:dyDescent="0.25">
      <c r="C424"/>
      <c r="D424"/>
      <c r="E424"/>
      <c r="F424"/>
      <c r="G424"/>
    </row>
    <row r="425" spans="3:7" x14ac:dyDescent="0.25">
      <c r="C425"/>
      <c r="D425"/>
      <c r="E425"/>
      <c r="F425"/>
      <c r="G425"/>
    </row>
    <row r="426" spans="3:7" x14ac:dyDescent="0.25">
      <c r="C426"/>
      <c r="D426"/>
      <c r="E426"/>
      <c r="F426"/>
      <c r="G426"/>
    </row>
    <row r="427" spans="3:7" x14ac:dyDescent="0.25">
      <c r="C427"/>
      <c r="D427"/>
      <c r="E427"/>
      <c r="F427"/>
      <c r="G427"/>
    </row>
    <row r="428" spans="3:7" x14ac:dyDescent="0.25">
      <c r="C428"/>
      <c r="D428"/>
      <c r="E428"/>
      <c r="F428"/>
      <c r="G428"/>
    </row>
    <row r="429" spans="3:7" x14ac:dyDescent="0.25">
      <c r="C429"/>
      <c r="D429"/>
      <c r="E429"/>
      <c r="F429"/>
      <c r="G429"/>
    </row>
  </sheetData>
  <sortState ref="A4:F32">
    <sortCondition ref="B4"/>
    <sortCondition descending="1" ref="D4"/>
  </sortState>
  <pageMargins left="0.7" right="0.7" top="0.78740157499999996" bottom="0.78740157499999996"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7"/>
  <dimension ref="A1:AU79416"/>
  <sheetViews>
    <sheetView workbookViewId="0">
      <selection activeCell="A3" sqref="A3"/>
    </sheetView>
  </sheetViews>
  <sheetFormatPr baseColWidth="10" defaultRowHeight="15" x14ac:dyDescent="0.25"/>
  <cols>
    <col min="3" max="3" width="156.5703125" style="143" customWidth="1"/>
  </cols>
  <sheetData>
    <row r="1" spans="1:47" ht="36" x14ac:dyDescent="0.25">
      <c r="A1" s="56" t="str">
        <f>Version</f>
        <v>Golf Workout Manager V0.1</v>
      </c>
      <c r="B1" s="140"/>
      <c r="C1" s="141"/>
      <c r="D1" s="139" t="str">
        <f>MUI_STAT_MAIN_HEADER</f>
        <v>Status Report</v>
      </c>
    </row>
    <row r="2" spans="1:47" s="138" customFormat="1" ht="17.25" customHeight="1" x14ac:dyDescent="0.25">
      <c r="A2" s="137" t="s">
        <v>842</v>
      </c>
      <c r="B2" s="137"/>
      <c r="C2" s="142"/>
      <c r="D2" s="137"/>
    </row>
    <row r="3" spans="1:47" s="138" customFormat="1" ht="17.25" customHeight="1" x14ac:dyDescent="0.25">
      <c r="A3" s="137">
        <f>COUNTA(A5:A100000)</f>
        <v>0</v>
      </c>
      <c r="B3" s="137"/>
      <c r="C3" s="142"/>
      <c r="D3" s="137"/>
    </row>
    <row r="4" spans="1:47" s="138" customFormat="1" ht="17.25" customHeight="1" x14ac:dyDescent="0.25">
      <c r="A4" s="137" t="s">
        <v>839</v>
      </c>
      <c r="B4" s="137" t="s">
        <v>840</v>
      </c>
      <c r="C4" s="142" t="s">
        <v>841</v>
      </c>
      <c r="D4" s="137" t="s">
        <v>622</v>
      </c>
      <c r="AU4" s="138">
        <v>2</v>
      </c>
    </row>
    <row r="5" spans="1:47" x14ac:dyDescent="0.25">
      <c r="A5" s="118"/>
      <c r="B5" s="136"/>
      <c r="C5" s="118"/>
    </row>
    <row r="6" spans="1:47" x14ac:dyDescent="0.25">
      <c r="A6" s="118"/>
      <c r="B6" s="136"/>
      <c r="C6" s="118"/>
    </row>
    <row r="7" spans="1:47" x14ac:dyDescent="0.25">
      <c r="A7" s="118"/>
      <c r="B7" s="136"/>
      <c r="C7" s="118"/>
    </row>
    <row r="8" spans="1:47" x14ac:dyDescent="0.25">
      <c r="A8" s="118"/>
      <c r="B8" s="136"/>
      <c r="C8" s="118"/>
    </row>
    <row r="9" spans="1:47" x14ac:dyDescent="0.25">
      <c r="A9" s="118"/>
      <c r="B9" s="136"/>
      <c r="C9" s="118"/>
    </row>
    <row r="10" spans="1:47" x14ac:dyDescent="0.25">
      <c r="A10" s="118"/>
      <c r="B10" s="136"/>
      <c r="C10" s="118"/>
    </row>
    <row r="11" spans="1:47" x14ac:dyDescent="0.25">
      <c r="A11" s="118"/>
      <c r="B11" s="136"/>
    </row>
    <row r="12" spans="1:47" x14ac:dyDescent="0.25">
      <c r="A12" s="118"/>
      <c r="B12" s="136"/>
    </row>
    <row r="13" spans="1:47" x14ac:dyDescent="0.25">
      <c r="A13" s="118"/>
      <c r="B13" s="136"/>
    </row>
    <row r="14" spans="1:47" x14ac:dyDescent="0.25">
      <c r="A14" s="118"/>
      <c r="B14" s="136"/>
    </row>
    <row r="15" spans="1:47" x14ac:dyDescent="0.25">
      <c r="A15" s="118"/>
      <c r="B15" s="136"/>
    </row>
    <row r="16" spans="1:47" x14ac:dyDescent="0.25">
      <c r="A16" s="118"/>
      <c r="B16" s="136"/>
    </row>
    <row r="17" spans="1:2" x14ac:dyDescent="0.25">
      <c r="A17" s="118"/>
      <c r="B17" s="136"/>
    </row>
    <row r="18" spans="1:2" x14ac:dyDescent="0.25">
      <c r="A18" s="118"/>
      <c r="B18" s="136"/>
    </row>
    <row r="19" spans="1:2" x14ac:dyDescent="0.25">
      <c r="A19" s="118"/>
      <c r="B19" s="136"/>
    </row>
    <row r="20" spans="1:2" x14ac:dyDescent="0.25">
      <c r="A20" s="118"/>
      <c r="B20" s="136"/>
    </row>
    <row r="21" spans="1:2" x14ac:dyDescent="0.25">
      <c r="A21" s="118"/>
      <c r="B21" s="136"/>
    </row>
    <row r="22" spans="1:2" x14ac:dyDescent="0.25">
      <c r="A22" s="118"/>
      <c r="B22" s="136"/>
    </row>
    <row r="23" spans="1:2" x14ac:dyDescent="0.25">
      <c r="A23" s="118"/>
      <c r="B23" s="136"/>
    </row>
    <row r="24" spans="1:2" x14ac:dyDescent="0.25">
      <c r="A24" s="118"/>
      <c r="B24" s="136"/>
    </row>
    <row r="25" spans="1:2" x14ac:dyDescent="0.25">
      <c r="A25" s="118"/>
      <c r="B25" s="136"/>
    </row>
    <row r="26" spans="1:2" x14ac:dyDescent="0.25">
      <c r="A26" s="118"/>
      <c r="B26" s="136"/>
    </row>
    <row r="27" spans="1:2" x14ac:dyDescent="0.25">
      <c r="A27" s="118"/>
      <c r="B27" s="136"/>
    </row>
    <row r="28" spans="1:2" x14ac:dyDescent="0.25">
      <c r="A28" s="118"/>
      <c r="B28" s="136"/>
    </row>
    <row r="29" spans="1:2" x14ac:dyDescent="0.25">
      <c r="A29" s="118"/>
      <c r="B29" s="136"/>
    </row>
    <row r="30" spans="1:2" x14ac:dyDescent="0.25">
      <c r="A30" s="118"/>
      <c r="B30" s="136"/>
    </row>
    <row r="31" spans="1:2" x14ac:dyDescent="0.25">
      <c r="A31" s="118"/>
      <c r="B31" s="136"/>
    </row>
    <row r="32" spans="1:2" x14ac:dyDescent="0.25">
      <c r="A32" s="118"/>
      <c r="B32" s="136"/>
    </row>
    <row r="33" spans="1:2" x14ac:dyDescent="0.25">
      <c r="A33" s="118"/>
      <c r="B33" s="136"/>
    </row>
    <row r="34" spans="1:2" x14ac:dyDescent="0.25">
      <c r="A34" s="118"/>
      <c r="B34" s="136"/>
    </row>
    <row r="35" spans="1:2" x14ac:dyDescent="0.25">
      <c r="A35" s="118"/>
      <c r="B35" s="136"/>
    </row>
    <row r="36" spans="1:2" x14ac:dyDescent="0.25">
      <c r="A36" s="118"/>
      <c r="B36" s="136"/>
    </row>
    <row r="37" spans="1:2" x14ac:dyDescent="0.25">
      <c r="A37" s="118"/>
      <c r="B37" s="136"/>
    </row>
    <row r="38" spans="1:2" x14ac:dyDescent="0.25">
      <c r="A38" s="118"/>
      <c r="B38" s="136"/>
    </row>
    <row r="39" spans="1:2" x14ac:dyDescent="0.25">
      <c r="A39" s="118"/>
      <c r="B39" s="136"/>
    </row>
    <row r="40" spans="1:2" x14ac:dyDescent="0.25">
      <c r="A40" s="118"/>
      <c r="B40" s="136"/>
    </row>
    <row r="41" spans="1:2" x14ac:dyDescent="0.25">
      <c r="A41" s="118"/>
      <c r="B41" s="136"/>
    </row>
    <row r="42" spans="1:2" x14ac:dyDescent="0.25">
      <c r="A42" s="118"/>
      <c r="B42" s="136"/>
    </row>
    <row r="43" spans="1:2" x14ac:dyDescent="0.25">
      <c r="A43" s="118"/>
      <c r="B43" s="136"/>
    </row>
    <row r="44" spans="1:2" x14ac:dyDescent="0.25">
      <c r="A44" s="118"/>
      <c r="B44" s="136"/>
    </row>
    <row r="45" spans="1:2" x14ac:dyDescent="0.25">
      <c r="A45" s="118"/>
      <c r="B45" s="136"/>
    </row>
    <row r="46" spans="1:2" x14ac:dyDescent="0.25">
      <c r="A46" s="118"/>
      <c r="B46" s="136"/>
    </row>
    <row r="47" spans="1:2" x14ac:dyDescent="0.25">
      <c r="A47" s="118"/>
      <c r="B47" s="136"/>
    </row>
    <row r="48" spans="1:2" x14ac:dyDescent="0.25">
      <c r="A48" s="118"/>
      <c r="B48" s="136"/>
    </row>
    <row r="49" spans="1:2" x14ac:dyDescent="0.25">
      <c r="A49" s="118"/>
      <c r="B49" s="136"/>
    </row>
    <row r="50" spans="1:2" x14ac:dyDescent="0.25">
      <c r="A50" s="118"/>
      <c r="B50" s="136"/>
    </row>
    <row r="51" spans="1:2" x14ac:dyDescent="0.25">
      <c r="A51" s="118"/>
      <c r="B51" s="136"/>
    </row>
    <row r="52" spans="1:2" x14ac:dyDescent="0.25">
      <c r="A52" s="118"/>
      <c r="B52" s="136"/>
    </row>
    <row r="53" spans="1:2" x14ac:dyDescent="0.25">
      <c r="A53" s="118"/>
      <c r="B53" s="136"/>
    </row>
    <row r="54" spans="1:2" x14ac:dyDescent="0.25">
      <c r="A54" s="118"/>
      <c r="B54" s="136"/>
    </row>
    <row r="55" spans="1:2" x14ac:dyDescent="0.25">
      <c r="A55" s="118"/>
      <c r="B55" s="136"/>
    </row>
    <row r="56" spans="1:2" x14ac:dyDescent="0.25">
      <c r="A56" s="118"/>
      <c r="B56" s="136"/>
    </row>
    <row r="57" spans="1:2" x14ac:dyDescent="0.25">
      <c r="A57" s="118"/>
      <c r="B57" s="136"/>
    </row>
    <row r="58" spans="1:2" x14ac:dyDescent="0.25">
      <c r="A58" s="118"/>
      <c r="B58" s="136"/>
    </row>
    <row r="59" spans="1:2" x14ac:dyDescent="0.25">
      <c r="A59" s="118"/>
      <c r="B59" s="136"/>
    </row>
    <row r="60" spans="1:2" x14ac:dyDescent="0.25">
      <c r="A60" s="118"/>
      <c r="B60" s="136"/>
    </row>
    <row r="61" spans="1:2" x14ac:dyDescent="0.25">
      <c r="A61" s="118"/>
      <c r="B61" s="136"/>
    </row>
    <row r="62" spans="1:2" x14ac:dyDescent="0.25">
      <c r="A62" s="118"/>
      <c r="B62" s="136"/>
    </row>
    <row r="63" spans="1:2" x14ac:dyDescent="0.25">
      <c r="A63" s="118"/>
      <c r="B63" s="136"/>
    </row>
    <row r="64" spans="1:2" x14ac:dyDescent="0.25">
      <c r="A64" s="118"/>
      <c r="B64" s="136"/>
    </row>
    <row r="65" spans="1:2" x14ac:dyDescent="0.25">
      <c r="A65" s="118"/>
      <c r="B65" s="136"/>
    </row>
    <row r="66" spans="1:2" x14ac:dyDescent="0.25">
      <c r="A66" s="118"/>
      <c r="B66" s="136"/>
    </row>
    <row r="67" spans="1:2" x14ac:dyDescent="0.25">
      <c r="A67" s="118"/>
      <c r="B67" s="136"/>
    </row>
    <row r="68" spans="1:2" x14ac:dyDescent="0.25">
      <c r="A68" s="118"/>
      <c r="B68" s="136"/>
    </row>
    <row r="69" spans="1:2" x14ac:dyDescent="0.25">
      <c r="A69" s="118"/>
      <c r="B69" s="136"/>
    </row>
    <row r="70" spans="1:2" x14ac:dyDescent="0.25">
      <c r="A70" s="118"/>
      <c r="B70" s="136"/>
    </row>
    <row r="71" spans="1:2" x14ac:dyDescent="0.25">
      <c r="A71" s="118"/>
      <c r="B71" s="136"/>
    </row>
    <row r="72" spans="1:2" x14ac:dyDescent="0.25">
      <c r="A72" s="118"/>
      <c r="B72" s="136"/>
    </row>
    <row r="73" spans="1:2" x14ac:dyDescent="0.25">
      <c r="A73" s="118"/>
      <c r="B73" s="136"/>
    </row>
    <row r="74" spans="1:2" x14ac:dyDescent="0.25">
      <c r="A74" s="118"/>
      <c r="B74" s="136"/>
    </row>
    <row r="75" spans="1:2" x14ac:dyDescent="0.25">
      <c r="A75" s="118"/>
      <c r="B75" s="136"/>
    </row>
    <row r="76" spans="1:2" x14ac:dyDescent="0.25">
      <c r="A76" s="118"/>
      <c r="B76" s="136"/>
    </row>
    <row r="77" spans="1:2" x14ac:dyDescent="0.25">
      <c r="A77" s="118"/>
      <c r="B77" s="136"/>
    </row>
    <row r="78" spans="1:2" x14ac:dyDescent="0.25">
      <c r="A78" s="118"/>
      <c r="B78" s="136"/>
    </row>
    <row r="79" spans="1:2" x14ac:dyDescent="0.25">
      <c r="A79" s="118"/>
      <c r="B79" s="136"/>
    </row>
    <row r="80" spans="1:2" x14ac:dyDescent="0.25">
      <c r="A80" s="118"/>
      <c r="B80" s="136"/>
    </row>
    <row r="81" spans="1:2" x14ac:dyDescent="0.25">
      <c r="A81" s="118"/>
      <c r="B81" s="136"/>
    </row>
    <row r="82" spans="1:2" x14ac:dyDescent="0.25">
      <c r="A82" s="118"/>
      <c r="B82" s="136"/>
    </row>
    <row r="83" spans="1:2" x14ac:dyDescent="0.25">
      <c r="A83" s="118"/>
      <c r="B83" s="136"/>
    </row>
    <row r="84" spans="1:2" x14ac:dyDescent="0.25">
      <c r="A84" s="118"/>
      <c r="B84" s="136"/>
    </row>
    <row r="85" spans="1:2" x14ac:dyDescent="0.25">
      <c r="A85" s="118"/>
      <c r="B85" s="136"/>
    </row>
    <row r="86" spans="1:2" x14ac:dyDescent="0.25">
      <c r="A86" s="118"/>
      <c r="B86" s="136"/>
    </row>
    <row r="87" spans="1:2" x14ac:dyDescent="0.25">
      <c r="A87" s="118"/>
      <c r="B87" s="136"/>
    </row>
    <row r="88" spans="1:2" x14ac:dyDescent="0.25">
      <c r="A88" s="118"/>
      <c r="B88" s="136"/>
    </row>
    <row r="89" spans="1:2" x14ac:dyDescent="0.25">
      <c r="A89" s="118"/>
      <c r="B89" s="136"/>
    </row>
    <row r="90" spans="1:2" x14ac:dyDescent="0.25">
      <c r="A90" s="118"/>
      <c r="B90" s="136"/>
    </row>
    <row r="91" spans="1:2" x14ac:dyDescent="0.25">
      <c r="A91" s="118"/>
      <c r="B91" s="136"/>
    </row>
    <row r="92" spans="1:2" x14ac:dyDescent="0.25">
      <c r="A92" s="118"/>
      <c r="B92" s="136"/>
    </row>
    <row r="93" spans="1:2" x14ac:dyDescent="0.25">
      <c r="A93" s="118"/>
      <c r="B93" s="136"/>
    </row>
    <row r="94" spans="1:2" x14ac:dyDescent="0.25">
      <c r="A94" s="118"/>
      <c r="B94" s="136"/>
    </row>
    <row r="95" spans="1:2" x14ac:dyDescent="0.25">
      <c r="A95" s="118"/>
      <c r="B95" s="136"/>
    </row>
    <row r="96" spans="1:2" x14ac:dyDescent="0.25">
      <c r="A96" s="118"/>
      <c r="B96" s="136"/>
    </row>
    <row r="97" spans="1:2" x14ac:dyDescent="0.25">
      <c r="A97" s="118"/>
      <c r="B97" s="136"/>
    </row>
    <row r="98" spans="1:2" x14ac:dyDescent="0.25">
      <c r="A98" s="118"/>
      <c r="B98" s="136"/>
    </row>
    <row r="99" spans="1:2" x14ac:dyDescent="0.25">
      <c r="A99" s="118"/>
      <c r="B99" s="136"/>
    </row>
    <row r="100" spans="1:2" x14ac:dyDescent="0.25">
      <c r="A100" s="118"/>
      <c r="B100" s="136"/>
    </row>
    <row r="101" spans="1:2" x14ac:dyDescent="0.25">
      <c r="A101" s="118"/>
      <c r="B101" s="136"/>
    </row>
    <row r="102" spans="1:2" x14ac:dyDescent="0.25">
      <c r="A102" s="118"/>
      <c r="B102" s="136"/>
    </row>
    <row r="103" spans="1:2" x14ac:dyDescent="0.25">
      <c r="A103" s="118"/>
      <c r="B103" s="136"/>
    </row>
    <row r="104" spans="1:2" x14ac:dyDescent="0.25">
      <c r="A104" s="118"/>
      <c r="B104" s="136"/>
    </row>
    <row r="105" spans="1:2" x14ac:dyDescent="0.25">
      <c r="A105" s="118"/>
      <c r="B105" s="136"/>
    </row>
    <row r="106" spans="1:2" x14ac:dyDescent="0.25">
      <c r="A106" s="118"/>
      <c r="B106" s="136"/>
    </row>
    <row r="107" spans="1:2" x14ac:dyDescent="0.25">
      <c r="A107" s="118"/>
      <c r="B107" s="136"/>
    </row>
    <row r="108" spans="1:2" x14ac:dyDescent="0.25">
      <c r="A108" s="118"/>
      <c r="B108" s="136"/>
    </row>
    <row r="109" spans="1:2" x14ac:dyDescent="0.25">
      <c r="A109" s="118"/>
      <c r="B109" s="136"/>
    </row>
    <row r="110" spans="1:2" x14ac:dyDescent="0.25">
      <c r="A110" s="118"/>
      <c r="B110" s="136"/>
    </row>
    <row r="111" spans="1:2" x14ac:dyDescent="0.25">
      <c r="A111" s="118"/>
      <c r="B111" s="136"/>
    </row>
    <row r="112" spans="1:2" x14ac:dyDescent="0.25">
      <c r="A112" s="118"/>
      <c r="B112" s="136"/>
    </row>
    <row r="113" spans="1:2" x14ac:dyDescent="0.25">
      <c r="A113" s="118"/>
      <c r="B113" s="136"/>
    </row>
    <row r="114" spans="1:2" x14ac:dyDescent="0.25">
      <c r="A114" s="118"/>
      <c r="B114" s="136"/>
    </row>
    <row r="115" spans="1:2" x14ac:dyDescent="0.25">
      <c r="A115" s="118"/>
      <c r="B115" s="136"/>
    </row>
    <row r="116" spans="1:2" x14ac:dyDescent="0.25">
      <c r="A116" s="118"/>
      <c r="B116" s="136"/>
    </row>
    <row r="117" spans="1:2" x14ac:dyDescent="0.25">
      <c r="A117" s="118"/>
      <c r="B117" s="136"/>
    </row>
    <row r="118" spans="1:2" x14ac:dyDescent="0.25">
      <c r="A118" s="118"/>
      <c r="B118" s="136"/>
    </row>
    <row r="119" spans="1:2" x14ac:dyDescent="0.25">
      <c r="A119" s="118"/>
      <c r="B119" s="136"/>
    </row>
    <row r="120" spans="1:2" x14ac:dyDescent="0.25">
      <c r="A120" s="118"/>
      <c r="B120" s="136"/>
    </row>
    <row r="121" spans="1:2" x14ac:dyDescent="0.25">
      <c r="A121" s="118"/>
      <c r="B121" s="136"/>
    </row>
    <row r="122" spans="1:2" x14ac:dyDescent="0.25">
      <c r="A122" s="118"/>
      <c r="B122" s="136"/>
    </row>
    <row r="123" spans="1:2" x14ac:dyDescent="0.25">
      <c r="A123" s="118"/>
      <c r="B123" s="136"/>
    </row>
    <row r="124" spans="1:2" x14ac:dyDescent="0.25">
      <c r="A124" s="118"/>
      <c r="B124" s="136"/>
    </row>
    <row r="125" spans="1:2" x14ac:dyDescent="0.25">
      <c r="A125" s="118"/>
      <c r="B125" s="136"/>
    </row>
    <row r="126" spans="1:2" x14ac:dyDescent="0.25">
      <c r="A126" s="118"/>
      <c r="B126" s="136"/>
    </row>
    <row r="127" spans="1:2" x14ac:dyDescent="0.25">
      <c r="A127" s="118"/>
      <c r="B127" s="136"/>
    </row>
    <row r="128" spans="1:2" x14ac:dyDescent="0.25">
      <c r="A128" s="118"/>
      <c r="B128" s="136"/>
    </row>
    <row r="129" spans="1:2" x14ac:dyDescent="0.25">
      <c r="A129" s="118"/>
      <c r="B129" s="136"/>
    </row>
    <row r="130" spans="1:2" x14ac:dyDescent="0.25">
      <c r="A130" s="118"/>
      <c r="B130" s="136"/>
    </row>
    <row r="131" spans="1:2" x14ac:dyDescent="0.25">
      <c r="A131" s="118"/>
      <c r="B131" s="136"/>
    </row>
    <row r="132" spans="1:2" x14ac:dyDescent="0.25">
      <c r="A132" s="118"/>
      <c r="B132" s="136"/>
    </row>
    <row r="133" spans="1:2" x14ac:dyDescent="0.25">
      <c r="A133" s="118"/>
      <c r="B133" s="136"/>
    </row>
    <row r="134" spans="1:2" x14ac:dyDescent="0.25">
      <c r="A134" s="118"/>
      <c r="B134" s="136"/>
    </row>
    <row r="135" spans="1:2" x14ac:dyDescent="0.25">
      <c r="A135" s="118"/>
      <c r="B135" s="136"/>
    </row>
    <row r="136" spans="1:2" x14ac:dyDescent="0.25">
      <c r="A136" s="118"/>
      <c r="B136" s="136"/>
    </row>
    <row r="137" spans="1:2" x14ac:dyDescent="0.25">
      <c r="A137" s="118"/>
      <c r="B137" s="136"/>
    </row>
    <row r="138" spans="1:2" x14ac:dyDescent="0.25">
      <c r="A138" s="118"/>
      <c r="B138" s="136"/>
    </row>
    <row r="139" spans="1:2" x14ac:dyDescent="0.25">
      <c r="A139" s="118"/>
      <c r="B139" s="136"/>
    </row>
    <row r="140" spans="1:2" x14ac:dyDescent="0.25">
      <c r="A140" s="118"/>
      <c r="B140" s="136"/>
    </row>
    <row r="141" spans="1:2" x14ac:dyDescent="0.25">
      <c r="A141" s="118"/>
      <c r="B141" s="136"/>
    </row>
    <row r="142" spans="1:2" x14ac:dyDescent="0.25">
      <c r="A142" s="118"/>
      <c r="B142" s="136"/>
    </row>
    <row r="143" spans="1:2" x14ac:dyDescent="0.25">
      <c r="A143" s="118"/>
      <c r="B143" s="136"/>
    </row>
    <row r="144" spans="1:2" x14ac:dyDescent="0.25">
      <c r="A144" s="118"/>
      <c r="B144" s="136"/>
    </row>
    <row r="145" spans="1:2" x14ac:dyDescent="0.25">
      <c r="A145" s="118"/>
      <c r="B145" s="136"/>
    </row>
    <row r="146" spans="1:2" x14ac:dyDescent="0.25">
      <c r="A146" s="118"/>
      <c r="B146" s="136"/>
    </row>
    <row r="147" spans="1:2" x14ac:dyDescent="0.25">
      <c r="A147" s="118"/>
      <c r="B147" s="136"/>
    </row>
    <row r="148" spans="1:2" x14ac:dyDescent="0.25">
      <c r="A148" s="118"/>
      <c r="B148" s="136"/>
    </row>
    <row r="149" spans="1:2" x14ac:dyDescent="0.25">
      <c r="A149" s="118"/>
      <c r="B149" s="136"/>
    </row>
    <row r="150" spans="1:2" x14ac:dyDescent="0.25">
      <c r="A150" s="118"/>
      <c r="B150" s="136"/>
    </row>
    <row r="151" spans="1:2" x14ac:dyDescent="0.25">
      <c r="A151" s="118"/>
      <c r="B151" s="136"/>
    </row>
    <row r="152" spans="1:2" x14ac:dyDescent="0.25">
      <c r="A152" s="118"/>
      <c r="B152" s="136"/>
    </row>
    <row r="153" spans="1:2" x14ac:dyDescent="0.25">
      <c r="A153" s="118"/>
      <c r="B153" s="136"/>
    </row>
    <row r="154" spans="1:2" x14ac:dyDescent="0.25">
      <c r="A154" s="118"/>
      <c r="B154" s="136"/>
    </row>
    <row r="155" spans="1:2" x14ac:dyDescent="0.25">
      <c r="A155" s="118"/>
      <c r="B155" s="136"/>
    </row>
    <row r="156" spans="1:2" x14ac:dyDescent="0.25">
      <c r="A156" s="118"/>
      <c r="B156" s="136"/>
    </row>
    <row r="157" spans="1:2" x14ac:dyDescent="0.25">
      <c r="A157" s="118"/>
      <c r="B157" s="136"/>
    </row>
    <row r="158" spans="1:2" x14ac:dyDescent="0.25">
      <c r="A158" s="118"/>
      <c r="B158" s="136"/>
    </row>
    <row r="159" spans="1:2" x14ac:dyDescent="0.25">
      <c r="A159" s="118"/>
      <c r="B159" s="136"/>
    </row>
    <row r="160" spans="1:2" x14ac:dyDescent="0.25">
      <c r="A160" s="118"/>
      <c r="B160" s="136"/>
    </row>
    <row r="161" spans="1:2" x14ac:dyDescent="0.25">
      <c r="A161" s="118"/>
      <c r="B161" s="136"/>
    </row>
    <row r="162" spans="1:2" x14ac:dyDescent="0.25">
      <c r="A162" s="118"/>
      <c r="B162" s="136"/>
    </row>
    <row r="163" spans="1:2" x14ac:dyDescent="0.25">
      <c r="A163" s="118"/>
      <c r="B163" s="136"/>
    </row>
    <row r="164" spans="1:2" x14ac:dyDescent="0.25">
      <c r="A164" s="118"/>
      <c r="B164" s="136"/>
    </row>
    <row r="165" spans="1:2" x14ac:dyDescent="0.25">
      <c r="A165" s="118"/>
      <c r="B165" s="136"/>
    </row>
    <row r="166" spans="1:2" x14ac:dyDescent="0.25">
      <c r="A166" s="118"/>
      <c r="B166" s="136"/>
    </row>
    <row r="167" spans="1:2" x14ac:dyDescent="0.25">
      <c r="A167" s="118"/>
      <c r="B167" s="136"/>
    </row>
    <row r="168" spans="1:2" x14ac:dyDescent="0.25">
      <c r="A168" s="118"/>
      <c r="B168" s="136"/>
    </row>
    <row r="169" spans="1:2" x14ac:dyDescent="0.25">
      <c r="A169" s="118"/>
      <c r="B169" s="136"/>
    </row>
    <row r="170" spans="1:2" x14ac:dyDescent="0.25">
      <c r="A170" s="118"/>
      <c r="B170" s="136"/>
    </row>
    <row r="171" spans="1:2" x14ac:dyDescent="0.25">
      <c r="A171" s="118"/>
      <c r="B171" s="136"/>
    </row>
    <row r="172" spans="1:2" x14ac:dyDescent="0.25">
      <c r="A172" s="118"/>
      <c r="B172" s="136"/>
    </row>
    <row r="173" spans="1:2" x14ac:dyDescent="0.25">
      <c r="A173" s="118"/>
      <c r="B173" s="136"/>
    </row>
    <row r="174" spans="1:2" x14ac:dyDescent="0.25">
      <c r="A174" s="118"/>
      <c r="B174" s="136"/>
    </row>
    <row r="175" spans="1:2" x14ac:dyDescent="0.25">
      <c r="A175" s="118"/>
      <c r="B175" s="136"/>
    </row>
    <row r="176" spans="1:2" x14ac:dyDescent="0.25">
      <c r="A176" s="118"/>
      <c r="B176" s="136"/>
    </row>
    <row r="177" spans="1:2" x14ac:dyDescent="0.25">
      <c r="A177" s="118"/>
      <c r="B177" s="136"/>
    </row>
    <row r="178" spans="1:2" x14ac:dyDescent="0.25">
      <c r="A178" s="118"/>
      <c r="B178" s="136"/>
    </row>
    <row r="179" spans="1:2" x14ac:dyDescent="0.25">
      <c r="A179" s="118"/>
      <c r="B179" s="136"/>
    </row>
    <row r="180" spans="1:2" x14ac:dyDescent="0.25">
      <c r="A180" s="118"/>
      <c r="B180" s="136"/>
    </row>
    <row r="181" spans="1:2" x14ac:dyDescent="0.25">
      <c r="A181" s="118"/>
      <c r="B181" s="136"/>
    </row>
    <row r="182" spans="1:2" x14ac:dyDescent="0.25">
      <c r="A182" s="118"/>
      <c r="B182" s="136"/>
    </row>
    <row r="183" spans="1:2" x14ac:dyDescent="0.25">
      <c r="A183" s="118"/>
      <c r="B183" s="136"/>
    </row>
    <row r="184" spans="1:2" x14ac:dyDescent="0.25">
      <c r="A184" s="118"/>
      <c r="B184" s="136"/>
    </row>
    <row r="185" spans="1:2" x14ac:dyDescent="0.25">
      <c r="A185" s="118"/>
      <c r="B185" s="136"/>
    </row>
    <row r="186" spans="1:2" x14ac:dyDescent="0.25">
      <c r="A186" s="118"/>
      <c r="B186" s="136"/>
    </row>
    <row r="187" spans="1:2" x14ac:dyDescent="0.25">
      <c r="A187" s="118"/>
      <c r="B187" s="136"/>
    </row>
    <row r="188" spans="1:2" x14ac:dyDescent="0.25">
      <c r="A188" s="118"/>
      <c r="B188" s="136"/>
    </row>
    <row r="189" spans="1:2" x14ac:dyDescent="0.25">
      <c r="A189" s="118"/>
      <c r="B189" s="136"/>
    </row>
    <row r="190" spans="1:2" x14ac:dyDescent="0.25">
      <c r="A190" s="118"/>
      <c r="B190" s="136"/>
    </row>
    <row r="191" spans="1:2" x14ac:dyDescent="0.25">
      <c r="A191" s="118"/>
      <c r="B191" s="136"/>
    </row>
    <row r="192" spans="1:2" x14ac:dyDescent="0.25">
      <c r="A192" s="118"/>
      <c r="B192" s="136"/>
    </row>
    <row r="193" spans="1:3" x14ac:dyDescent="0.25">
      <c r="A193" s="118"/>
      <c r="B193" s="136"/>
    </row>
    <row r="194" spans="1:3" x14ac:dyDescent="0.25">
      <c r="A194" s="118"/>
      <c r="B194" s="136"/>
    </row>
    <row r="195" spans="1:3" x14ac:dyDescent="0.25">
      <c r="A195" s="118"/>
      <c r="B195" s="136"/>
    </row>
    <row r="196" spans="1:3" x14ac:dyDescent="0.25">
      <c r="A196" s="118"/>
      <c r="B196" s="136"/>
    </row>
    <row r="197" spans="1:3" x14ac:dyDescent="0.25">
      <c r="A197" s="118"/>
      <c r="B197" s="136"/>
    </row>
    <row r="198" spans="1:3" x14ac:dyDescent="0.25">
      <c r="A198" s="118"/>
      <c r="B198" s="136"/>
    </row>
    <row r="199" spans="1:3" x14ac:dyDescent="0.25">
      <c r="A199" s="118"/>
      <c r="B199" s="136"/>
    </row>
    <row r="200" spans="1:3" x14ac:dyDescent="0.25">
      <c r="A200" s="118"/>
      <c r="B200" s="136"/>
    </row>
    <row r="201" spans="1:3" x14ac:dyDescent="0.25">
      <c r="A201" s="118"/>
      <c r="B201" s="136"/>
    </row>
    <row r="202" spans="1:3" x14ac:dyDescent="0.25">
      <c r="A202" s="118"/>
      <c r="B202" s="136"/>
    </row>
    <row r="203" spans="1:3" x14ac:dyDescent="0.25">
      <c r="A203" s="118"/>
      <c r="B203" s="136"/>
    </row>
    <row r="204" spans="1:3" x14ac:dyDescent="0.25">
      <c r="A204" s="118"/>
      <c r="B204" s="136"/>
      <c r="C204" s="147"/>
    </row>
    <row r="205" spans="1:3" x14ac:dyDescent="0.25">
      <c r="A205" s="118"/>
      <c r="B205" s="136"/>
    </row>
    <row r="206" spans="1:3" x14ac:dyDescent="0.25">
      <c r="A206" s="118"/>
      <c r="B206" s="136"/>
    </row>
    <row r="207" spans="1:3" x14ac:dyDescent="0.25">
      <c r="A207" s="118"/>
      <c r="B207" s="136"/>
    </row>
    <row r="208" spans="1:3" x14ac:dyDescent="0.25">
      <c r="A208" s="118"/>
      <c r="B208" s="136"/>
    </row>
    <row r="209" spans="1:3" x14ac:dyDescent="0.25">
      <c r="A209" s="118"/>
      <c r="B209" s="136"/>
    </row>
    <row r="210" spans="1:3" x14ac:dyDescent="0.25">
      <c r="A210" s="118"/>
      <c r="B210" s="136"/>
    </row>
    <row r="211" spans="1:3" x14ac:dyDescent="0.25">
      <c r="A211" s="118"/>
      <c r="B211" s="136"/>
      <c r="C211" s="147"/>
    </row>
    <row r="212" spans="1:3" x14ac:dyDescent="0.25">
      <c r="A212" s="118"/>
      <c r="B212" s="136"/>
    </row>
    <row r="213" spans="1:3" x14ac:dyDescent="0.25">
      <c r="A213" s="118"/>
      <c r="B213" s="136"/>
    </row>
    <row r="214" spans="1:3" x14ac:dyDescent="0.25">
      <c r="A214" s="118"/>
      <c r="B214" s="136"/>
    </row>
    <row r="215" spans="1:3" x14ac:dyDescent="0.25">
      <c r="A215" s="118"/>
      <c r="B215" s="136"/>
    </row>
    <row r="216" spans="1:3" x14ac:dyDescent="0.25">
      <c r="A216" s="118"/>
      <c r="B216" s="136"/>
    </row>
    <row r="217" spans="1:3" x14ac:dyDescent="0.25">
      <c r="A217" s="118"/>
      <c r="B217" s="136"/>
    </row>
    <row r="218" spans="1:3" x14ac:dyDescent="0.25">
      <c r="A218" s="118"/>
      <c r="B218" s="136"/>
      <c r="C218" s="147"/>
    </row>
    <row r="219" spans="1:3" x14ac:dyDescent="0.25">
      <c r="A219" s="118"/>
      <c r="B219" s="136"/>
    </row>
    <row r="220" spans="1:3" x14ac:dyDescent="0.25">
      <c r="A220" s="118"/>
      <c r="B220" s="136"/>
    </row>
    <row r="221" spans="1:3" x14ac:dyDescent="0.25">
      <c r="A221" s="118"/>
      <c r="B221" s="136"/>
    </row>
    <row r="222" spans="1:3" x14ac:dyDescent="0.25">
      <c r="A222" s="118"/>
      <c r="B222" s="136"/>
    </row>
    <row r="223" spans="1:3" x14ac:dyDescent="0.25">
      <c r="A223" s="118"/>
      <c r="B223" s="136"/>
    </row>
    <row r="224" spans="1:3" x14ac:dyDescent="0.25">
      <c r="A224" s="118"/>
      <c r="B224" s="136"/>
    </row>
    <row r="225" spans="1:3" x14ac:dyDescent="0.25">
      <c r="A225" s="118"/>
      <c r="B225" s="136"/>
      <c r="C225" s="147"/>
    </row>
    <row r="226" spans="1:3" x14ac:dyDescent="0.25">
      <c r="A226" s="118"/>
      <c r="B226" s="136"/>
    </row>
    <row r="227" spans="1:3" x14ac:dyDescent="0.25">
      <c r="A227" s="118"/>
      <c r="B227" s="136"/>
    </row>
    <row r="228" spans="1:3" x14ac:dyDescent="0.25">
      <c r="A228" s="118"/>
      <c r="B228" s="136"/>
    </row>
    <row r="229" spans="1:3" x14ac:dyDescent="0.25">
      <c r="A229" s="118"/>
      <c r="B229" s="136"/>
    </row>
    <row r="230" spans="1:3" x14ac:dyDescent="0.25">
      <c r="A230" s="118"/>
      <c r="B230" s="136"/>
    </row>
    <row r="231" spans="1:3" x14ac:dyDescent="0.25">
      <c r="A231" s="118"/>
      <c r="B231" s="136"/>
    </row>
    <row r="232" spans="1:3" x14ac:dyDescent="0.25">
      <c r="A232" s="118"/>
      <c r="B232" s="136"/>
    </row>
    <row r="233" spans="1:3" x14ac:dyDescent="0.25">
      <c r="A233" s="118"/>
      <c r="B233" s="136"/>
    </row>
    <row r="234" spans="1:3" x14ac:dyDescent="0.25">
      <c r="A234" s="118"/>
      <c r="B234" s="136"/>
    </row>
    <row r="235" spans="1:3" x14ac:dyDescent="0.25">
      <c r="A235" s="118"/>
      <c r="B235" s="136"/>
    </row>
    <row r="236" spans="1:3" x14ac:dyDescent="0.25">
      <c r="A236" s="118"/>
      <c r="B236" s="136"/>
    </row>
    <row r="237" spans="1:3" x14ac:dyDescent="0.25">
      <c r="A237" s="118"/>
      <c r="B237" s="136"/>
    </row>
    <row r="238" spans="1:3" x14ac:dyDescent="0.25">
      <c r="A238" s="118"/>
      <c r="B238" s="136"/>
    </row>
    <row r="239" spans="1:3" x14ac:dyDescent="0.25">
      <c r="A239" s="118"/>
      <c r="B239" s="136"/>
    </row>
    <row r="240" spans="1:3" x14ac:dyDescent="0.25">
      <c r="A240" s="118"/>
      <c r="B240" s="136"/>
    </row>
    <row r="241" spans="1:2" x14ac:dyDescent="0.25">
      <c r="A241" s="118"/>
      <c r="B241" s="136"/>
    </row>
    <row r="242" spans="1:2" x14ac:dyDescent="0.25">
      <c r="A242" s="118"/>
      <c r="B242" s="136"/>
    </row>
    <row r="243" spans="1:2" x14ac:dyDescent="0.25">
      <c r="A243" s="118"/>
      <c r="B243" s="136"/>
    </row>
    <row r="244" spans="1:2" x14ac:dyDescent="0.25">
      <c r="A244" s="118"/>
      <c r="B244" s="136"/>
    </row>
    <row r="245" spans="1:2" x14ac:dyDescent="0.25">
      <c r="A245" s="118"/>
      <c r="B245" s="136"/>
    </row>
    <row r="246" spans="1:2" x14ac:dyDescent="0.25">
      <c r="A246" s="118"/>
      <c r="B246" s="136"/>
    </row>
    <row r="247" spans="1:2" x14ac:dyDescent="0.25">
      <c r="A247" s="118"/>
      <c r="B247" s="136"/>
    </row>
    <row r="248" spans="1:2" x14ac:dyDescent="0.25">
      <c r="A248" s="118"/>
      <c r="B248" s="136"/>
    </row>
    <row r="249" spans="1:2" x14ac:dyDescent="0.25">
      <c r="A249" s="118"/>
      <c r="B249" s="136"/>
    </row>
    <row r="250" spans="1:2" x14ac:dyDescent="0.25">
      <c r="A250" s="118"/>
      <c r="B250" s="136"/>
    </row>
    <row r="251" spans="1:2" x14ac:dyDescent="0.25">
      <c r="A251" s="118"/>
      <c r="B251" s="136"/>
    </row>
    <row r="252" spans="1:2" x14ac:dyDescent="0.25">
      <c r="A252" s="118"/>
      <c r="B252" s="136"/>
    </row>
    <row r="253" spans="1:2" x14ac:dyDescent="0.25">
      <c r="A253" s="118"/>
      <c r="B253" s="136"/>
    </row>
    <row r="254" spans="1:2" x14ac:dyDescent="0.25">
      <c r="A254" s="118"/>
      <c r="B254" s="136"/>
    </row>
    <row r="255" spans="1:2" x14ac:dyDescent="0.25">
      <c r="A255" s="118"/>
      <c r="B255" s="136"/>
    </row>
    <row r="256" spans="1:2" x14ac:dyDescent="0.25">
      <c r="A256" s="118"/>
      <c r="B256" s="136"/>
    </row>
    <row r="257" spans="1:2" x14ac:dyDescent="0.25">
      <c r="A257" s="118"/>
      <c r="B257" s="136"/>
    </row>
    <row r="258" spans="1:2" x14ac:dyDescent="0.25">
      <c r="A258" s="118"/>
      <c r="B258" s="136"/>
    </row>
    <row r="259" spans="1:2" x14ac:dyDescent="0.25">
      <c r="A259" s="118"/>
      <c r="B259" s="136"/>
    </row>
    <row r="260" spans="1:2" x14ac:dyDescent="0.25">
      <c r="A260" s="118"/>
      <c r="B260" s="136"/>
    </row>
    <row r="261" spans="1:2" x14ac:dyDescent="0.25">
      <c r="A261" s="118"/>
      <c r="B261" s="136"/>
    </row>
    <row r="262" spans="1:2" x14ac:dyDescent="0.25">
      <c r="A262" s="118"/>
      <c r="B262" s="136"/>
    </row>
    <row r="263" spans="1:2" x14ac:dyDescent="0.25">
      <c r="A263" s="118"/>
      <c r="B263" s="136"/>
    </row>
    <row r="264" spans="1:2" x14ac:dyDescent="0.25">
      <c r="A264" s="118"/>
      <c r="B264" s="136"/>
    </row>
    <row r="265" spans="1:2" x14ac:dyDescent="0.25">
      <c r="A265" s="118"/>
      <c r="B265" s="136"/>
    </row>
    <row r="266" spans="1:2" x14ac:dyDescent="0.25">
      <c r="A266" s="118"/>
      <c r="B266" s="136"/>
    </row>
    <row r="267" spans="1:2" x14ac:dyDescent="0.25">
      <c r="A267" s="118"/>
      <c r="B267" s="136"/>
    </row>
    <row r="268" spans="1:2" x14ac:dyDescent="0.25">
      <c r="A268" s="118"/>
      <c r="B268" s="136"/>
    </row>
    <row r="269" spans="1:2" x14ac:dyDescent="0.25">
      <c r="A269" s="118"/>
      <c r="B269" s="136"/>
    </row>
    <row r="270" spans="1:2" x14ac:dyDescent="0.25">
      <c r="A270" s="118"/>
      <c r="B270" s="136"/>
    </row>
    <row r="271" spans="1:2" x14ac:dyDescent="0.25">
      <c r="A271" s="118"/>
      <c r="B271" s="136"/>
    </row>
    <row r="272" spans="1:2" x14ac:dyDescent="0.25">
      <c r="A272" s="118"/>
      <c r="B272" s="136"/>
    </row>
    <row r="273" spans="1:2" x14ac:dyDescent="0.25">
      <c r="A273" s="118"/>
      <c r="B273" s="136"/>
    </row>
    <row r="274" spans="1:2" x14ac:dyDescent="0.25">
      <c r="A274" s="118"/>
      <c r="B274" s="136"/>
    </row>
    <row r="275" spans="1:2" x14ac:dyDescent="0.25">
      <c r="A275" s="118"/>
      <c r="B275" s="136"/>
    </row>
    <row r="276" spans="1:2" x14ac:dyDescent="0.25">
      <c r="A276" s="118"/>
      <c r="B276" s="136"/>
    </row>
    <row r="277" spans="1:2" x14ac:dyDescent="0.25">
      <c r="A277" s="118"/>
      <c r="B277" s="136"/>
    </row>
    <row r="278" spans="1:2" x14ac:dyDescent="0.25">
      <c r="A278" s="118"/>
      <c r="B278" s="136"/>
    </row>
    <row r="279" spans="1:2" x14ac:dyDescent="0.25">
      <c r="A279" s="118"/>
      <c r="B279" s="136"/>
    </row>
    <row r="280" spans="1:2" x14ac:dyDescent="0.25">
      <c r="A280" s="118"/>
      <c r="B280" s="136"/>
    </row>
    <row r="281" spans="1:2" x14ac:dyDescent="0.25">
      <c r="A281" s="118"/>
      <c r="B281" s="136"/>
    </row>
    <row r="282" spans="1:2" x14ac:dyDescent="0.25">
      <c r="A282" s="118"/>
      <c r="B282" s="136"/>
    </row>
    <row r="283" spans="1:2" x14ac:dyDescent="0.25">
      <c r="A283" s="118"/>
      <c r="B283" s="136"/>
    </row>
    <row r="284" spans="1:2" x14ac:dyDescent="0.25">
      <c r="A284" s="118"/>
      <c r="B284" s="136"/>
    </row>
    <row r="285" spans="1:2" x14ac:dyDescent="0.25">
      <c r="A285" s="118"/>
      <c r="B285" s="136"/>
    </row>
    <row r="286" spans="1:2" x14ac:dyDescent="0.25">
      <c r="A286" s="118"/>
      <c r="B286" s="136"/>
    </row>
    <row r="287" spans="1:2" x14ac:dyDescent="0.25">
      <c r="A287" s="118"/>
      <c r="B287" s="136"/>
    </row>
    <row r="288" spans="1:2" x14ac:dyDescent="0.25">
      <c r="A288" s="118"/>
      <c r="B288" s="136"/>
    </row>
    <row r="289" spans="1:2" x14ac:dyDescent="0.25">
      <c r="A289" s="118"/>
      <c r="B289" s="136"/>
    </row>
    <row r="290" spans="1:2" x14ac:dyDescent="0.25">
      <c r="A290" s="118"/>
      <c r="B290" s="136"/>
    </row>
    <row r="291" spans="1:2" x14ac:dyDescent="0.25">
      <c r="A291" s="118"/>
      <c r="B291" s="136"/>
    </row>
    <row r="292" spans="1:2" x14ac:dyDescent="0.25">
      <c r="A292" s="118"/>
      <c r="B292" s="136"/>
    </row>
    <row r="293" spans="1:2" x14ac:dyDescent="0.25">
      <c r="A293" s="118"/>
      <c r="B293" s="136"/>
    </row>
    <row r="294" spans="1:2" x14ac:dyDescent="0.25">
      <c r="A294" s="118"/>
      <c r="B294" s="136"/>
    </row>
    <row r="295" spans="1:2" x14ac:dyDescent="0.25">
      <c r="A295" s="118"/>
      <c r="B295" s="136"/>
    </row>
    <row r="296" spans="1:2" x14ac:dyDescent="0.25">
      <c r="A296" s="118"/>
      <c r="B296" s="136"/>
    </row>
    <row r="297" spans="1:2" x14ac:dyDescent="0.25">
      <c r="A297" s="118"/>
      <c r="B297" s="136"/>
    </row>
    <row r="298" spans="1:2" x14ac:dyDescent="0.25">
      <c r="A298" s="118"/>
      <c r="B298" s="136"/>
    </row>
    <row r="299" spans="1:2" x14ac:dyDescent="0.25">
      <c r="A299" s="118"/>
      <c r="B299" s="136"/>
    </row>
    <row r="300" spans="1:2" x14ac:dyDescent="0.25">
      <c r="A300" s="118"/>
      <c r="B300" s="136"/>
    </row>
    <row r="301" spans="1:2" x14ac:dyDescent="0.25">
      <c r="A301" s="118"/>
      <c r="B301" s="136"/>
    </row>
    <row r="302" spans="1:2" x14ac:dyDescent="0.25">
      <c r="A302" s="118"/>
      <c r="B302" s="136"/>
    </row>
    <row r="303" spans="1:2" x14ac:dyDescent="0.25">
      <c r="A303" s="118"/>
      <c r="B303" s="136"/>
    </row>
    <row r="304" spans="1:2" x14ac:dyDescent="0.25">
      <c r="A304" s="118"/>
      <c r="B304" s="136"/>
    </row>
    <row r="305" spans="1:2" x14ac:dyDescent="0.25">
      <c r="A305" s="118"/>
      <c r="B305" s="136"/>
    </row>
    <row r="306" spans="1:2" x14ac:dyDescent="0.25">
      <c r="A306" s="118"/>
      <c r="B306" s="136"/>
    </row>
    <row r="307" spans="1:2" x14ac:dyDescent="0.25">
      <c r="A307" s="118"/>
      <c r="B307" s="136"/>
    </row>
    <row r="308" spans="1:2" x14ac:dyDescent="0.25">
      <c r="A308" s="118"/>
      <c r="B308" s="136"/>
    </row>
    <row r="309" spans="1:2" x14ac:dyDescent="0.25">
      <c r="A309" s="118"/>
      <c r="B309" s="136"/>
    </row>
    <row r="310" spans="1:2" x14ac:dyDescent="0.25">
      <c r="A310" s="118"/>
      <c r="B310" s="136"/>
    </row>
    <row r="311" spans="1:2" x14ac:dyDescent="0.25">
      <c r="A311" s="118"/>
      <c r="B311" s="136"/>
    </row>
    <row r="312" spans="1:2" x14ac:dyDescent="0.25">
      <c r="A312" s="118"/>
      <c r="B312" s="136"/>
    </row>
    <row r="313" spans="1:2" x14ac:dyDescent="0.25">
      <c r="A313" s="118"/>
      <c r="B313" s="136"/>
    </row>
    <row r="314" spans="1:2" x14ac:dyDescent="0.25">
      <c r="A314" s="118"/>
      <c r="B314" s="136"/>
    </row>
    <row r="315" spans="1:2" x14ac:dyDescent="0.25">
      <c r="A315" s="118"/>
      <c r="B315" s="136"/>
    </row>
    <row r="316" spans="1:2" x14ac:dyDescent="0.25">
      <c r="A316" s="118"/>
      <c r="B316" s="136"/>
    </row>
    <row r="317" spans="1:2" x14ac:dyDescent="0.25">
      <c r="A317" s="118"/>
      <c r="B317" s="136"/>
    </row>
    <row r="318" spans="1:2" x14ac:dyDescent="0.25">
      <c r="A318" s="118"/>
      <c r="B318" s="136"/>
    </row>
    <row r="319" spans="1:2" x14ac:dyDescent="0.25">
      <c r="A319" s="118"/>
      <c r="B319" s="136"/>
    </row>
    <row r="320" spans="1:2" x14ac:dyDescent="0.25">
      <c r="A320" s="118"/>
      <c r="B320" s="136"/>
    </row>
    <row r="321" spans="1:2" x14ac:dyDescent="0.25">
      <c r="A321" s="118"/>
      <c r="B321" s="136"/>
    </row>
    <row r="322" spans="1:2" x14ac:dyDescent="0.25">
      <c r="A322" s="118"/>
      <c r="B322" s="136"/>
    </row>
    <row r="323" spans="1:2" x14ac:dyDescent="0.25">
      <c r="A323" s="118"/>
      <c r="B323" s="136"/>
    </row>
    <row r="324" spans="1:2" x14ac:dyDescent="0.25">
      <c r="A324" s="118"/>
      <c r="B324" s="136"/>
    </row>
    <row r="325" spans="1:2" x14ac:dyDescent="0.25">
      <c r="A325" s="118"/>
      <c r="B325" s="136"/>
    </row>
    <row r="326" spans="1:2" x14ac:dyDescent="0.25">
      <c r="A326" s="118"/>
      <c r="B326" s="136"/>
    </row>
    <row r="327" spans="1:2" x14ac:dyDescent="0.25">
      <c r="A327" s="118"/>
      <c r="B327" s="136"/>
    </row>
    <row r="328" spans="1:2" x14ac:dyDescent="0.25">
      <c r="A328" s="118"/>
      <c r="B328" s="136"/>
    </row>
    <row r="329" spans="1:2" x14ac:dyDescent="0.25">
      <c r="A329" s="118"/>
      <c r="B329" s="136"/>
    </row>
    <row r="330" spans="1:2" x14ac:dyDescent="0.25">
      <c r="A330" s="118"/>
      <c r="B330" s="136"/>
    </row>
    <row r="331" spans="1:2" x14ac:dyDescent="0.25">
      <c r="A331" s="118"/>
      <c r="B331" s="136"/>
    </row>
    <row r="332" spans="1:2" x14ac:dyDescent="0.25">
      <c r="A332" s="118"/>
      <c r="B332" s="136"/>
    </row>
    <row r="333" spans="1:2" x14ac:dyDescent="0.25">
      <c r="A333" s="118"/>
      <c r="B333" s="136"/>
    </row>
    <row r="334" spans="1:2" x14ac:dyDescent="0.25">
      <c r="A334" s="118"/>
      <c r="B334" s="136"/>
    </row>
    <row r="335" spans="1:2" x14ac:dyDescent="0.25">
      <c r="A335" s="118"/>
      <c r="B335" s="136"/>
    </row>
    <row r="336" spans="1:2" x14ac:dyDescent="0.25">
      <c r="A336" s="118"/>
      <c r="B336" s="136"/>
    </row>
    <row r="337" spans="1:2" x14ac:dyDescent="0.25">
      <c r="A337" s="118"/>
      <c r="B337" s="136"/>
    </row>
    <row r="338" spans="1:2" x14ac:dyDescent="0.25">
      <c r="A338" s="118"/>
      <c r="B338" s="136"/>
    </row>
    <row r="339" spans="1:2" x14ac:dyDescent="0.25">
      <c r="A339" s="118"/>
      <c r="B339" s="136"/>
    </row>
    <row r="340" spans="1:2" x14ac:dyDescent="0.25">
      <c r="A340" s="118"/>
      <c r="B340" s="136"/>
    </row>
    <row r="341" spans="1:2" x14ac:dyDescent="0.25">
      <c r="A341" s="118"/>
      <c r="B341" s="136"/>
    </row>
    <row r="342" spans="1:2" x14ac:dyDescent="0.25">
      <c r="A342" s="118"/>
      <c r="B342" s="136"/>
    </row>
    <row r="343" spans="1:2" x14ac:dyDescent="0.25">
      <c r="A343" s="118"/>
      <c r="B343" s="136"/>
    </row>
    <row r="344" spans="1:2" x14ac:dyDescent="0.25">
      <c r="A344" s="118"/>
      <c r="B344" s="136"/>
    </row>
    <row r="345" spans="1:2" x14ac:dyDescent="0.25">
      <c r="A345" s="118"/>
      <c r="B345" s="136"/>
    </row>
    <row r="346" spans="1:2" x14ac:dyDescent="0.25">
      <c r="A346" s="118"/>
      <c r="B346" s="136"/>
    </row>
    <row r="347" spans="1:2" x14ac:dyDescent="0.25">
      <c r="A347" s="118"/>
      <c r="B347" s="136"/>
    </row>
    <row r="348" spans="1:2" x14ac:dyDescent="0.25">
      <c r="A348" s="118"/>
      <c r="B348" s="136"/>
    </row>
    <row r="349" spans="1:2" x14ac:dyDescent="0.25">
      <c r="A349" s="118"/>
      <c r="B349" s="136"/>
    </row>
    <row r="350" spans="1:2" x14ac:dyDescent="0.25">
      <c r="A350" s="118"/>
      <c r="B350" s="136"/>
    </row>
    <row r="351" spans="1:2" x14ac:dyDescent="0.25">
      <c r="A351" s="118"/>
      <c r="B351" s="136"/>
    </row>
    <row r="352" spans="1:2" x14ac:dyDescent="0.25">
      <c r="A352" s="118"/>
      <c r="B352" s="136"/>
    </row>
    <row r="353" spans="1:2" x14ac:dyDescent="0.25">
      <c r="A353" s="118"/>
      <c r="B353" s="136"/>
    </row>
    <row r="354" spans="1:2" x14ac:dyDescent="0.25">
      <c r="A354" s="118"/>
      <c r="B354" s="136"/>
    </row>
    <row r="355" spans="1:2" x14ac:dyDescent="0.25">
      <c r="A355" s="118"/>
      <c r="B355" s="136"/>
    </row>
    <row r="356" spans="1:2" x14ac:dyDescent="0.25">
      <c r="A356" s="118"/>
      <c r="B356" s="136"/>
    </row>
    <row r="357" spans="1:2" x14ac:dyDescent="0.25">
      <c r="A357" s="118"/>
      <c r="B357" s="136"/>
    </row>
    <row r="358" spans="1:2" x14ac:dyDescent="0.25">
      <c r="A358" s="118"/>
      <c r="B358" s="136"/>
    </row>
    <row r="359" spans="1:2" x14ac:dyDescent="0.25">
      <c r="A359" s="118"/>
      <c r="B359" s="136"/>
    </row>
    <row r="360" spans="1:2" x14ac:dyDescent="0.25">
      <c r="A360" s="118"/>
      <c r="B360" s="136"/>
    </row>
    <row r="361" spans="1:2" x14ac:dyDescent="0.25">
      <c r="A361" s="118"/>
      <c r="B361" s="136"/>
    </row>
    <row r="362" spans="1:2" x14ac:dyDescent="0.25">
      <c r="A362" s="118"/>
      <c r="B362" s="136"/>
    </row>
    <row r="363" spans="1:2" x14ac:dyDescent="0.25">
      <c r="A363" s="118"/>
      <c r="B363" s="136"/>
    </row>
    <row r="364" spans="1:2" x14ac:dyDescent="0.25">
      <c r="A364" s="118"/>
      <c r="B364" s="136"/>
    </row>
    <row r="365" spans="1:2" x14ac:dyDescent="0.25">
      <c r="A365" s="118"/>
      <c r="B365" s="136"/>
    </row>
    <row r="366" spans="1:2" x14ac:dyDescent="0.25">
      <c r="A366" s="118"/>
      <c r="B366" s="136"/>
    </row>
    <row r="367" spans="1:2" x14ac:dyDescent="0.25">
      <c r="A367" s="118"/>
      <c r="B367" s="136"/>
    </row>
    <row r="368" spans="1:2" x14ac:dyDescent="0.25">
      <c r="A368" s="118"/>
      <c r="B368" s="136"/>
    </row>
    <row r="369" spans="1:2" x14ac:dyDescent="0.25">
      <c r="A369" s="118"/>
      <c r="B369" s="136"/>
    </row>
    <row r="370" spans="1:2" x14ac:dyDescent="0.25">
      <c r="A370" s="118"/>
      <c r="B370" s="136"/>
    </row>
    <row r="371" spans="1:2" x14ac:dyDescent="0.25">
      <c r="A371" s="118"/>
      <c r="B371" s="136"/>
    </row>
    <row r="372" spans="1:2" x14ac:dyDescent="0.25">
      <c r="A372" s="118"/>
      <c r="B372" s="136"/>
    </row>
    <row r="373" spans="1:2" x14ac:dyDescent="0.25">
      <c r="A373" s="118"/>
      <c r="B373" s="136"/>
    </row>
    <row r="374" spans="1:2" x14ac:dyDescent="0.25">
      <c r="A374" s="118"/>
      <c r="B374" s="136"/>
    </row>
    <row r="375" spans="1:2" x14ac:dyDescent="0.25">
      <c r="A375" s="118"/>
      <c r="B375" s="136"/>
    </row>
    <row r="376" spans="1:2" x14ac:dyDescent="0.25">
      <c r="A376" s="118"/>
      <c r="B376" s="136"/>
    </row>
    <row r="377" spans="1:2" x14ac:dyDescent="0.25">
      <c r="A377" s="118"/>
      <c r="B377" s="136"/>
    </row>
    <row r="378" spans="1:2" x14ac:dyDescent="0.25">
      <c r="A378" s="118"/>
      <c r="B378" s="136"/>
    </row>
    <row r="379" spans="1:2" x14ac:dyDescent="0.25">
      <c r="A379" s="118"/>
      <c r="B379" s="136"/>
    </row>
    <row r="380" spans="1:2" x14ac:dyDescent="0.25">
      <c r="A380" s="118"/>
      <c r="B380" s="136"/>
    </row>
    <row r="381" spans="1:2" x14ac:dyDescent="0.25">
      <c r="A381" s="118"/>
      <c r="B381" s="136"/>
    </row>
    <row r="382" spans="1:2" x14ac:dyDescent="0.25">
      <c r="A382" s="118"/>
      <c r="B382" s="136"/>
    </row>
    <row r="383" spans="1:2" x14ac:dyDescent="0.25">
      <c r="A383" s="118"/>
      <c r="B383" s="136"/>
    </row>
    <row r="384" spans="1:2" x14ac:dyDescent="0.25">
      <c r="A384" s="118"/>
      <c r="B384" s="136"/>
    </row>
    <row r="385" spans="1:2" x14ac:dyDescent="0.25">
      <c r="A385" s="118"/>
      <c r="B385" s="136"/>
    </row>
    <row r="386" spans="1:2" x14ac:dyDescent="0.25">
      <c r="A386" s="118"/>
      <c r="B386" s="136"/>
    </row>
    <row r="387" spans="1:2" x14ac:dyDescent="0.25">
      <c r="A387" s="118"/>
      <c r="B387" s="136"/>
    </row>
    <row r="388" spans="1:2" x14ac:dyDescent="0.25">
      <c r="A388" s="118"/>
      <c r="B388" s="136"/>
    </row>
    <row r="389" spans="1:2" x14ac:dyDescent="0.25">
      <c r="A389" s="118"/>
      <c r="B389" s="136"/>
    </row>
    <row r="390" spans="1:2" x14ac:dyDescent="0.25">
      <c r="A390" s="118"/>
      <c r="B390" s="136"/>
    </row>
    <row r="391" spans="1:2" x14ac:dyDescent="0.25">
      <c r="A391" s="118"/>
      <c r="B391" s="136"/>
    </row>
    <row r="392" spans="1:2" x14ac:dyDescent="0.25">
      <c r="A392" s="118"/>
      <c r="B392" s="136"/>
    </row>
    <row r="393" spans="1:2" x14ac:dyDescent="0.25">
      <c r="A393" s="118"/>
      <c r="B393" s="136"/>
    </row>
    <row r="394" spans="1:2" x14ac:dyDescent="0.25">
      <c r="A394" s="118"/>
      <c r="B394" s="136"/>
    </row>
    <row r="395" spans="1:2" x14ac:dyDescent="0.25">
      <c r="A395" s="118"/>
      <c r="B395" s="136"/>
    </row>
    <row r="396" spans="1:2" x14ac:dyDescent="0.25">
      <c r="A396" s="118"/>
      <c r="B396" s="136"/>
    </row>
    <row r="397" spans="1:2" x14ac:dyDescent="0.25">
      <c r="A397" s="118"/>
      <c r="B397" s="136"/>
    </row>
    <row r="398" spans="1:2" x14ac:dyDescent="0.25">
      <c r="A398" s="118"/>
      <c r="B398" s="136"/>
    </row>
    <row r="399" spans="1:2" x14ac:dyDescent="0.25">
      <c r="A399" s="118"/>
      <c r="B399" s="136"/>
    </row>
    <row r="400" spans="1:2" x14ac:dyDescent="0.25">
      <c r="A400" s="118"/>
      <c r="B400" s="136"/>
    </row>
    <row r="401" spans="1:2" x14ac:dyDescent="0.25">
      <c r="A401" s="118"/>
      <c r="B401" s="136"/>
    </row>
    <row r="402" spans="1:2" x14ac:dyDescent="0.25">
      <c r="A402" s="118"/>
      <c r="B402" s="136"/>
    </row>
    <row r="403" spans="1:2" x14ac:dyDescent="0.25">
      <c r="A403" s="118"/>
      <c r="B403" s="136"/>
    </row>
    <row r="404" spans="1:2" x14ac:dyDescent="0.25">
      <c r="A404" s="118"/>
      <c r="B404" s="136"/>
    </row>
    <row r="405" spans="1:2" x14ac:dyDescent="0.25">
      <c r="A405" s="118"/>
      <c r="B405" s="136"/>
    </row>
    <row r="406" spans="1:2" x14ac:dyDescent="0.25">
      <c r="A406" s="118"/>
      <c r="B406" s="136"/>
    </row>
    <row r="407" spans="1:2" x14ac:dyDescent="0.25">
      <c r="A407" s="118"/>
      <c r="B407" s="136"/>
    </row>
    <row r="408" spans="1:2" x14ac:dyDescent="0.25">
      <c r="A408" s="118"/>
      <c r="B408" s="136"/>
    </row>
    <row r="409" spans="1:2" x14ac:dyDescent="0.25">
      <c r="A409" s="118"/>
      <c r="B409" s="136"/>
    </row>
    <row r="410" spans="1:2" x14ac:dyDescent="0.25">
      <c r="A410" s="118"/>
      <c r="B410" s="136"/>
    </row>
    <row r="411" spans="1:2" x14ac:dyDescent="0.25">
      <c r="A411" s="118"/>
      <c r="B411" s="136"/>
    </row>
    <row r="412" spans="1:2" x14ac:dyDescent="0.25">
      <c r="A412" s="118"/>
      <c r="B412" s="136"/>
    </row>
    <row r="413" spans="1:2" x14ac:dyDescent="0.25">
      <c r="A413" s="118"/>
      <c r="B413" s="136"/>
    </row>
    <row r="414" spans="1:2" x14ac:dyDescent="0.25">
      <c r="A414" s="118"/>
      <c r="B414" s="136"/>
    </row>
    <row r="415" spans="1:2" x14ac:dyDescent="0.25">
      <c r="A415" s="118"/>
      <c r="B415" s="136"/>
    </row>
    <row r="416" spans="1:2" x14ac:dyDescent="0.25">
      <c r="A416" s="118"/>
      <c r="B416" s="136"/>
    </row>
    <row r="417" spans="1:2" x14ac:dyDescent="0.25">
      <c r="A417" s="118"/>
      <c r="B417" s="136"/>
    </row>
    <row r="418" spans="1:2" x14ac:dyDescent="0.25">
      <c r="A418" s="118"/>
      <c r="B418" s="136"/>
    </row>
    <row r="419" spans="1:2" x14ac:dyDescent="0.25">
      <c r="A419" s="118"/>
      <c r="B419" s="136"/>
    </row>
    <row r="420" spans="1:2" x14ac:dyDescent="0.25">
      <c r="A420" s="118"/>
      <c r="B420" s="136"/>
    </row>
    <row r="421" spans="1:2" x14ac:dyDescent="0.25">
      <c r="A421" s="118"/>
      <c r="B421" s="136"/>
    </row>
    <row r="422" spans="1:2" x14ac:dyDescent="0.25">
      <c r="A422" s="118"/>
      <c r="B422" s="136"/>
    </row>
    <row r="423" spans="1:2" x14ac:dyDescent="0.25">
      <c r="A423" s="118"/>
      <c r="B423" s="136"/>
    </row>
    <row r="424" spans="1:2" x14ac:dyDescent="0.25">
      <c r="A424" s="118"/>
      <c r="B424" s="136"/>
    </row>
    <row r="425" spans="1:2" x14ac:dyDescent="0.25">
      <c r="A425" s="118"/>
      <c r="B425" s="136"/>
    </row>
    <row r="426" spans="1:2" x14ac:dyDescent="0.25">
      <c r="A426" s="118"/>
      <c r="B426" s="136"/>
    </row>
    <row r="427" spans="1:2" x14ac:dyDescent="0.25">
      <c r="A427" s="118"/>
      <c r="B427" s="136"/>
    </row>
    <row r="428" spans="1:2" x14ac:dyDescent="0.25">
      <c r="A428" s="118"/>
      <c r="B428" s="136"/>
    </row>
    <row r="429" spans="1:2" x14ac:dyDescent="0.25">
      <c r="A429" s="118"/>
      <c r="B429" s="136"/>
    </row>
    <row r="430" spans="1:2" x14ac:dyDescent="0.25">
      <c r="A430" s="118"/>
      <c r="B430" s="136"/>
    </row>
    <row r="431" spans="1:2" x14ac:dyDescent="0.25">
      <c r="A431" s="118"/>
      <c r="B431" s="136"/>
    </row>
    <row r="432" spans="1:2" x14ac:dyDescent="0.25">
      <c r="A432" s="118"/>
      <c r="B432" s="136"/>
    </row>
    <row r="433" spans="1:2" x14ac:dyDescent="0.25">
      <c r="A433" s="118"/>
      <c r="B433" s="136"/>
    </row>
    <row r="434" spans="1:2" x14ac:dyDescent="0.25">
      <c r="A434" s="118"/>
      <c r="B434" s="136"/>
    </row>
    <row r="435" spans="1:2" x14ac:dyDescent="0.25">
      <c r="A435" s="118"/>
      <c r="B435" s="136"/>
    </row>
    <row r="436" spans="1:2" x14ac:dyDescent="0.25">
      <c r="A436" s="118"/>
      <c r="B436" s="136"/>
    </row>
    <row r="437" spans="1:2" x14ac:dyDescent="0.25">
      <c r="A437" s="118"/>
      <c r="B437" s="136"/>
    </row>
    <row r="438" spans="1:2" x14ac:dyDescent="0.25">
      <c r="A438" s="118"/>
      <c r="B438" s="136"/>
    </row>
    <row r="439" spans="1:2" x14ac:dyDescent="0.25">
      <c r="A439" s="118"/>
      <c r="B439" s="136"/>
    </row>
    <row r="440" spans="1:2" x14ac:dyDescent="0.25">
      <c r="A440" s="118"/>
      <c r="B440" s="136"/>
    </row>
    <row r="441" spans="1:2" x14ac:dyDescent="0.25">
      <c r="A441" s="118"/>
      <c r="B441" s="136"/>
    </row>
    <row r="442" spans="1:2" x14ac:dyDescent="0.25">
      <c r="A442" s="118"/>
      <c r="B442" s="136"/>
    </row>
    <row r="443" spans="1:2" x14ac:dyDescent="0.25">
      <c r="A443" s="118"/>
      <c r="B443" s="136"/>
    </row>
    <row r="444" spans="1:2" x14ac:dyDescent="0.25">
      <c r="A444" s="118"/>
      <c r="B444" s="136"/>
    </row>
    <row r="445" spans="1:2" x14ac:dyDescent="0.25">
      <c r="A445" s="118"/>
      <c r="B445" s="136"/>
    </row>
    <row r="446" spans="1:2" x14ac:dyDescent="0.25">
      <c r="A446" s="118"/>
      <c r="B446" s="136"/>
    </row>
    <row r="447" spans="1:2" x14ac:dyDescent="0.25">
      <c r="A447" s="118"/>
      <c r="B447" s="136"/>
    </row>
    <row r="448" spans="1:2" x14ac:dyDescent="0.25">
      <c r="A448" s="118"/>
      <c r="B448" s="136"/>
    </row>
    <row r="449" spans="1:2" x14ac:dyDescent="0.25">
      <c r="A449" s="118"/>
      <c r="B449" s="136"/>
    </row>
    <row r="450" spans="1:2" x14ac:dyDescent="0.25">
      <c r="A450" s="118"/>
      <c r="B450" s="136"/>
    </row>
    <row r="451" spans="1:2" x14ac:dyDescent="0.25">
      <c r="A451" s="118"/>
      <c r="B451" s="136"/>
    </row>
    <row r="452" spans="1:2" x14ac:dyDescent="0.25">
      <c r="A452" s="118"/>
      <c r="B452" s="136"/>
    </row>
    <row r="453" spans="1:2" x14ac:dyDescent="0.25">
      <c r="A453" s="118"/>
      <c r="B453" s="136"/>
    </row>
    <row r="454" spans="1:2" x14ac:dyDescent="0.25">
      <c r="A454" s="118"/>
      <c r="B454" s="136"/>
    </row>
    <row r="455" spans="1:2" x14ac:dyDescent="0.25">
      <c r="A455" s="118"/>
      <c r="B455" s="136"/>
    </row>
    <row r="456" spans="1:2" x14ac:dyDescent="0.25">
      <c r="A456" s="118"/>
      <c r="B456" s="136"/>
    </row>
    <row r="457" spans="1:2" x14ac:dyDescent="0.25">
      <c r="A457" s="118"/>
      <c r="B457" s="136"/>
    </row>
    <row r="458" spans="1:2" x14ac:dyDescent="0.25">
      <c r="A458" s="118"/>
      <c r="B458" s="136"/>
    </row>
    <row r="459" spans="1:2" x14ac:dyDescent="0.25">
      <c r="A459" s="118"/>
      <c r="B459" s="136"/>
    </row>
    <row r="460" spans="1:2" x14ac:dyDescent="0.25">
      <c r="A460" s="118"/>
      <c r="B460" s="136"/>
    </row>
    <row r="461" spans="1:2" x14ac:dyDescent="0.25">
      <c r="A461" s="118"/>
      <c r="B461" s="136"/>
    </row>
    <row r="462" spans="1:2" x14ac:dyDescent="0.25">
      <c r="A462" s="118"/>
      <c r="B462" s="136"/>
    </row>
    <row r="463" spans="1:2" x14ac:dyDescent="0.25">
      <c r="A463" s="118"/>
      <c r="B463" s="136"/>
    </row>
    <row r="464" spans="1:2" x14ac:dyDescent="0.25">
      <c r="A464" s="118"/>
      <c r="B464" s="136"/>
    </row>
    <row r="465" spans="1:2" x14ac:dyDescent="0.25">
      <c r="A465" s="118"/>
      <c r="B465" s="136"/>
    </row>
    <row r="466" spans="1:2" x14ac:dyDescent="0.25">
      <c r="A466" s="118"/>
      <c r="B466" s="136"/>
    </row>
    <row r="467" spans="1:2" x14ac:dyDescent="0.25">
      <c r="A467" s="118"/>
      <c r="B467" s="136"/>
    </row>
    <row r="468" spans="1:2" x14ac:dyDescent="0.25">
      <c r="A468" s="118"/>
      <c r="B468" s="136"/>
    </row>
    <row r="469" spans="1:2" x14ac:dyDescent="0.25">
      <c r="A469" s="118"/>
      <c r="B469" s="136"/>
    </row>
    <row r="470" spans="1:2" x14ac:dyDescent="0.25">
      <c r="A470" s="118"/>
      <c r="B470" s="136"/>
    </row>
    <row r="471" spans="1:2" x14ac:dyDescent="0.25">
      <c r="A471" s="118"/>
      <c r="B471" s="136"/>
    </row>
    <row r="472" spans="1:2" x14ac:dyDescent="0.25">
      <c r="A472" s="118"/>
      <c r="B472" s="136"/>
    </row>
    <row r="473" spans="1:2" x14ac:dyDescent="0.25">
      <c r="A473" s="118"/>
      <c r="B473" s="136"/>
    </row>
    <row r="474" spans="1:2" x14ac:dyDescent="0.25">
      <c r="A474" s="118"/>
      <c r="B474" s="136"/>
    </row>
    <row r="475" spans="1:2" x14ac:dyDescent="0.25">
      <c r="A475" s="118"/>
      <c r="B475" s="136"/>
    </row>
    <row r="476" spans="1:2" x14ac:dyDescent="0.25">
      <c r="A476" s="118"/>
      <c r="B476" s="136"/>
    </row>
    <row r="477" spans="1:2" x14ac:dyDescent="0.25">
      <c r="A477" s="118"/>
      <c r="B477" s="136"/>
    </row>
    <row r="478" spans="1:2" x14ac:dyDescent="0.25">
      <c r="A478" s="118"/>
      <c r="B478" s="136"/>
    </row>
    <row r="479" spans="1:2" x14ac:dyDescent="0.25">
      <c r="A479" s="118"/>
      <c r="B479" s="136"/>
    </row>
    <row r="480" spans="1:2" x14ac:dyDescent="0.25">
      <c r="A480" s="118"/>
      <c r="B480" s="136"/>
    </row>
    <row r="481" spans="1:2" x14ac:dyDescent="0.25">
      <c r="A481" s="118"/>
      <c r="B481" s="136"/>
    </row>
    <row r="482" spans="1:2" x14ac:dyDescent="0.25">
      <c r="A482" s="118"/>
      <c r="B482" s="136"/>
    </row>
    <row r="483" spans="1:2" x14ac:dyDescent="0.25">
      <c r="A483" s="118"/>
      <c r="B483" s="136"/>
    </row>
    <row r="484" spans="1:2" x14ac:dyDescent="0.25">
      <c r="A484" s="118"/>
      <c r="B484" s="136"/>
    </row>
    <row r="485" spans="1:2" x14ac:dyDescent="0.25">
      <c r="A485" s="118"/>
      <c r="B485" s="136"/>
    </row>
    <row r="486" spans="1:2" x14ac:dyDescent="0.25">
      <c r="A486" s="118"/>
      <c r="B486" s="136"/>
    </row>
    <row r="487" spans="1:2" x14ac:dyDescent="0.25">
      <c r="A487" s="118"/>
      <c r="B487" s="136"/>
    </row>
    <row r="488" spans="1:2" x14ac:dyDescent="0.25">
      <c r="A488" s="118"/>
      <c r="B488" s="136"/>
    </row>
    <row r="489" spans="1:2" x14ac:dyDescent="0.25">
      <c r="A489" s="118"/>
      <c r="B489" s="136"/>
    </row>
    <row r="490" spans="1:2" x14ac:dyDescent="0.25">
      <c r="A490" s="118"/>
      <c r="B490" s="136"/>
    </row>
    <row r="491" spans="1:2" x14ac:dyDescent="0.25">
      <c r="A491" s="118"/>
      <c r="B491" s="136"/>
    </row>
    <row r="492" spans="1:2" x14ac:dyDescent="0.25">
      <c r="A492" s="118"/>
      <c r="B492" s="136"/>
    </row>
    <row r="493" spans="1:2" x14ac:dyDescent="0.25">
      <c r="A493" s="118"/>
      <c r="B493" s="136"/>
    </row>
    <row r="494" spans="1:2" x14ac:dyDescent="0.25">
      <c r="A494" s="118"/>
      <c r="B494" s="136"/>
    </row>
    <row r="495" spans="1:2" x14ac:dyDescent="0.25">
      <c r="A495" s="118"/>
      <c r="B495" s="136"/>
    </row>
    <row r="496" spans="1:2" x14ac:dyDescent="0.25">
      <c r="A496" s="118"/>
      <c r="B496" s="136"/>
    </row>
    <row r="497" spans="1:2" x14ac:dyDescent="0.25">
      <c r="A497" s="118"/>
      <c r="B497" s="136"/>
    </row>
    <row r="498" spans="1:2" x14ac:dyDescent="0.25">
      <c r="A498" s="118"/>
      <c r="B498" s="136"/>
    </row>
    <row r="499" spans="1:2" x14ac:dyDescent="0.25">
      <c r="A499" s="118"/>
      <c r="B499" s="136"/>
    </row>
    <row r="500" spans="1:2" x14ac:dyDescent="0.25">
      <c r="A500" s="118"/>
      <c r="B500" s="136"/>
    </row>
    <row r="501" spans="1:2" x14ac:dyDescent="0.25">
      <c r="A501" s="118"/>
      <c r="B501" s="136"/>
    </row>
    <row r="502" spans="1:2" x14ac:dyDescent="0.25">
      <c r="A502" s="118"/>
      <c r="B502" s="136"/>
    </row>
    <row r="503" spans="1:2" x14ac:dyDescent="0.25">
      <c r="A503" s="118"/>
      <c r="B503" s="136"/>
    </row>
    <row r="504" spans="1:2" x14ac:dyDescent="0.25">
      <c r="A504" s="118"/>
      <c r="B504" s="136"/>
    </row>
    <row r="505" spans="1:2" x14ac:dyDescent="0.25">
      <c r="A505" s="118"/>
      <c r="B505" s="136"/>
    </row>
    <row r="506" spans="1:2" x14ac:dyDescent="0.25">
      <c r="A506" s="118"/>
      <c r="B506" s="136"/>
    </row>
    <row r="507" spans="1:2" x14ac:dyDescent="0.25">
      <c r="A507" s="118"/>
      <c r="B507" s="136"/>
    </row>
    <row r="508" spans="1:2" x14ac:dyDescent="0.25">
      <c r="A508" s="118"/>
      <c r="B508" s="136"/>
    </row>
    <row r="509" spans="1:2" x14ac:dyDescent="0.25">
      <c r="A509" s="118"/>
      <c r="B509" s="136"/>
    </row>
    <row r="510" spans="1:2" x14ac:dyDescent="0.25">
      <c r="A510" s="118"/>
      <c r="B510" s="136"/>
    </row>
    <row r="511" spans="1:2" x14ac:dyDescent="0.25">
      <c r="A511" s="118"/>
      <c r="B511" s="136"/>
    </row>
    <row r="512" spans="1:2" x14ac:dyDescent="0.25">
      <c r="A512" s="118"/>
      <c r="B512" s="136"/>
    </row>
    <row r="513" spans="1:2" x14ac:dyDescent="0.25">
      <c r="A513" s="118"/>
      <c r="B513" s="136"/>
    </row>
    <row r="514" spans="1:2" x14ac:dyDescent="0.25">
      <c r="A514" s="118"/>
      <c r="B514" s="136"/>
    </row>
    <row r="515" spans="1:2" x14ac:dyDescent="0.25">
      <c r="A515" s="118"/>
      <c r="B515" s="136"/>
    </row>
    <row r="516" spans="1:2" x14ac:dyDescent="0.25">
      <c r="A516" s="118"/>
      <c r="B516" s="136"/>
    </row>
    <row r="517" spans="1:2" x14ac:dyDescent="0.25">
      <c r="A517" s="118"/>
      <c r="B517" s="136"/>
    </row>
    <row r="518" spans="1:2" x14ac:dyDescent="0.25">
      <c r="A518" s="118"/>
      <c r="B518" s="136"/>
    </row>
    <row r="519" spans="1:2" x14ac:dyDescent="0.25">
      <c r="A519" s="118"/>
      <c r="B519" s="136"/>
    </row>
    <row r="520" spans="1:2" x14ac:dyDescent="0.25">
      <c r="A520" s="118"/>
      <c r="B520" s="136"/>
    </row>
    <row r="521" spans="1:2" x14ac:dyDescent="0.25">
      <c r="A521" s="118"/>
      <c r="B521" s="136"/>
    </row>
    <row r="522" spans="1:2" x14ac:dyDescent="0.25">
      <c r="A522" s="118"/>
      <c r="B522" s="136"/>
    </row>
    <row r="523" spans="1:2" x14ac:dyDescent="0.25">
      <c r="A523" s="118"/>
      <c r="B523" s="136"/>
    </row>
    <row r="524" spans="1:2" x14ac:dyDescent="0.25">
      <c r="A524" s="118"/>
      <c r="B524" s="136"/>
    </row>
    <row r="525" spans="1:2" x14ac:dyDescent="0.25">
      <c r="A525" s="118"/>
      <c r="B525" s="136"/>
    </row>
    <row r="526" spans="1:2" x14ac:dyDescent="0.25">
      <c r="A526" s="118"/>
      <c r="B526" s="136"/>
    </row>
    <row r="527" spans="1:2" x14ac:dyDescent="0.25">
      <c r="A527" s="118"/>
      <c r="B527" s="136"/>
    </row>
    <row r="528" spans="1:2" x14ac:dyDescent="0.25">
      <c r="A528" s="118"/>
      <c r="B528" s="136"/>
    </row>
    <row r="529" spans="1:2" x14ac:dyDescent="0.25">
      <c r="A529" s="118"/>
      <c r="B529" s="136"/>
    </row>
    <row r="530" spans="1:2" x14ac:dyDescent="0.25">
      <c r="A530" s="118"/>
      <c r="B530" s="136"/>
    </row>
    <row r="531" spans="1:2" x14ac:dyDescent="0.25">
      <c r="A531" s="118"/>
      <c r="B531" s="136"/>
    </row>
    <row r="532" spans="1:2" x14ac:dyDescent="0.25">
      <c r="A532" s="118"/>
      <c r="B532" s="136"/>
    </row>
    <row r="533" spans="1:2" x14ac:dyDescent="0.25">
      <c r="A533" s="118"/>
      <c r="B533" s="136"/>
    </row>
    <row r="534" spans="1:2" x14ac:dyDescent="0.25">
      <c r="A534" s="118"/>
      <c r="B534" s="136"/>
    </row>
    <row r="535" spans="1:2" x14ac:dyDescent="0.25">
      <c r="A535" s="118"/>
      <c r="B535" s="136"/>
    </row>
    <row r="536" spans="1:2" x14ac:dyDescent="0.25">
      <c r="A536" s="118"/>
      <c r="B536" s="136"/>
    </row>
    <row r="537" spans="1:2" x14ac:dyDescent="0.25">
      <c r="A537" s="118"/>
      <c r="B537" s="136"/>
    </row>
    <row r="538" spans="1:2" x14ac:dyDescent="0.25">
      <c r="A538" s="118"/>
      <c r="B538" s="136"/>
    </row>
    <row r="539" spans="1:2" x14ac:dyDescent="0.25">
      <c r="A539" s="118"/>
      <c r="B539" s="136"/>
    </row>
    <row r="540" spans="1:2" x14ac:dyDescent="0.25">
      <c r="A540" s="118"/>
      <c r="B540" s="136"/>
    </row>
    <row r="541" spans="1:2" x14ac:dyDescent="0.25">
      <c r="A541" s="118"/>
      <c r="B541" s="136"/>
    </row>
    <row r="542" spans="1:2" x14ac:dyDescent="0.25">
      <c r="A542" s="118"/>
      <c r="B542" s="136"/>
    </row>
    <row r="543" spans="1:2" x14ac:dyDescent="0.25">
      <c r="A543" s="118"/>
      <c r="B543" s="136"/>
    </row>
    <row r="544" spans="1:2" x14ac:dyDescent="0.25">
      <c r="A544" s="118"/>
      <c r="B544" s="136"/>
    </row>
    <row r="545" spans="1:2" x14ac:dyDescent="0.25">
      <c r="A545" s="118"/>
      <c r="B545" s="136"/>
    </row>
    <row r="546" spans="1:2" x14ac:dyDescent="0.25">
      <c r="A546" s="118"/>
      <c r="B546" s="136"/>
    </row>
    <row r="547" spans="1:2" x14ac:dyDescent="0.25">
      <c r="A547" s="118"/>
      <c r="B547" s="136"/>
    </row>
    <row r="548" spans="1:2" x14ac:dyDescent="0.25">
      <c r="A548" s="118"/>
      <c r="B548" s="136"/>
    </row>
    <row r="549" spans="1:2" x14ac:dyDescent="0.25">
      <c r="A549" s="118"/>
      <c r="B549" s="136"/>
    </row>
    <row r="550" spans="1:2" x14ac:dyDescent="0.25">
      <c r="A550" s="118"/>
      <c r="B550" s="136"/>
    </row>
    <row r="551" spans="1:2" x14ac:dyDescent="0.25">
      <c r="A551" s="118"/>
      <c r="B551" s="136"/>
    </row>
    <row r="552" spans="1:2" x14ac:dyDescent="0.25">
      <c r="A552" s="118"/>
      <c r="B552" s="136"/>
    </row>
    <row r="553" spans="1:2" x14ac:dyDescent="0.25">
      <c r="A553" s="118"/>
      <c r="B553" s="136"/>
    </row>
    <row r="554" spans="1:2" x14ac:dyDescent="0.25">
      <c r="A554" s="118"/>
      <c r="B554" s="136"/>
    </row>
    <row r="555" spans="1:2" x14ac:dyDescent="0.25">
      <c r="A555" s="118"/>
      <c r="B555" s="136"/>
    </row>
    <row r="556" spans="1:2" x14ac:dyDescent="0.25">
      <c r="A556" s="118"/>
      <c r="B556" s="136"/>
    </row>
    <row r="557" spans="1:2" x14ac:dyDescent="0.25">
      <c r="A557" s="118"/>
      <c r="B557" s="136"/>
    </row>
    <row r="558" spans="1:2" x14ac:dyDescent="0.25">
      <c r="A558" s="118"/>
      <c r="B558" s="136"/>
    </row>
    <row r="559" spans="1:2" x14ac:dyDescent="0.25">
      <c r="A559" s="118"/>
      <c r="B559" s="136"/>
    </row>
    <row r="560" spans="1:2" x14ac:dyDescent="0.25">
      <c r="A560" s="118"/>
      <c r="B560" s="136"/>
    </row>
    <row r="561" spans="1:2" x14ac:dyDescent="0.25">
      <c r="A561" s="118"/>
      <c r="B561" s="136"/>
    </row>
    <row r="562" spans="1:2" x14ac:dyDescent="0.25">
      <c r="A562" s="118"/>
      <c r="B562" s="136"/>
    </row>
    <row r="563" spans="1:2" x14ac:dyDescent="0.25">
      <c r="A563" s="118"/>
      <c r="B563" s="136"/>
    </row>
    <row r="564" spans="1:2" x14ac:dyDescent="0.25">
      <c r="A564" s="118"/>
      <c r="B564" s="136"/>
    </row>
    <row r="565" spans="1:2" x14ac:dyDescent="0.25">
      <c r="A565" s="118"/>
      <c r="B565" s="136"/>
    </row>
    <row r="566" spans="1:2" x14ac:dyDescent="0.25">
      <c r="A566" s="118"/>
      <c r="B566" s="136"/>
    </row>
    <row r="567" spans="1:2" x14ac:dyDescent="0.25">
      <c r="A567" s="118"/>
      <c r="B567" s="136"/>
    </row>
    <row r="568" spans="1:2" x14ac:dyDescent="0.25">
      <c r="A568" s="118"/>
      <c r="B568" s="136"/>
    </row>
    <row r="569" spans="1:2" x14ac:dyDescent="0.25">
      <c r="A569" s="118"/>
      <c r="B569" s="136"/>
    </row>
    <row r="570" spans="1:2" x14ac:dyDescent="0.25">
      <c r="A570" s="118"/>
      <c r="B570" s="136"/>
    </row>
    <row r="571" spans="1:2" x14ac:dyDescent="0.25">
      <c r="A571" s="118"/>
      <c r="B571" s="136"/>
    </row>
    <row r="572" spans="1:2" x14ac:dyDescent="0.25">
      <c r="A572" s="118"/>
      <c r="B572" s="136"/>
    </row>
    <row r="573" spans="1:2" x14ac:dyDescent="0.25">
      <c r="A573" s="118"/>
      <c r="B573" s="136"/>
    </row>
    <row r="574" spans="1:2" x14ac:dyDescent="0.25">
      <c r="A574" s="118"/>
      <c r="B574" s="136"/>
    </row>
    <row r="575" spans="1:2" x14ac:dyDescent="0.25">
      <c r="A575" s="118"/>
      <c r="B575" s="136"/>
    </row>
    <row r="576" spans="1:2" x14ac:dyDescent="0.25">
      <c r="A576" s="118"/>
      <c r="B576" s="136"/>
    </row>
    <row r="577" spans="1:2" x14ac:dyDescent="0.25">
      <c r="A577" s="118"/>
      <c r="B577" s="136"/>
    </row>
    <row r="578" spans="1:2" x14ac:dyDescent="0.25">
      <c r="A578" s="118"/>
      <c r="B578" s="136"/>
    </row>
    <row r="579" spans="1:2" x14ac:dyDescent="0.25">
      <c r="A579" s="118"/>
      <c r="B579" s="136"/>
    </row>
    <row r="580" spans="1:2" x14ac:dyDescent="0.25">
      <c r="A580" s="118"/>
      <c r="B580" s="136"/>
    </row>
    <row r="581" spans="1:2" x14ac:dyDescent="0.25">
      <c r="A581" s="118"/>
      <c r="B581" s="136"/>
    </row>
    <row r="582" spans="1:2" x14ac:dyDescent="0.25">
      <c r="A582" s="118"/>
      <c r="B582" s="136"/>
    </row>
    <row r="583" spans="1:2" x14ac:dyDescent="0.25">
      <c r="A583" s="118"/>
      <c r="B583" s="136"/>
    </row>
    <row r="584" spans="1:2" x14ac:dyDescent="0.25">
      <c r="A584" s="118"/>
      <c r="B584" s="136"/>
    </row>
    <row r="585" spans="1:2" x14ac:dyDescent="0.25">
      <c r="A585" s="118"/>
      <c r="B585" s="136"/>
    </row>
    <row r="586" spans="1:2" x14ac:dyDescent="0.25">
      <c r="A586" s="118"/>
      <c r="B586" s="136"/>
    </row>
    <row r="587" spans="1:2" x14ac:dyDescent="0.25">
      <c r="A587" s="118"/>
      <c r="B587" s="136"/>
    </row>
    <row r="588" spans="1:2" x14ac:dyDescent="0.25">
      <c r="A588" s="118"/>
      <c r="B588" s="136"/>
    </row>
    <row r="589" spans="1:2" x14ac:dyDescent="0.25">
      <c r="A589" s="118"/>
      <c r="B589" s="136"/>
    </row>
    <row r="590" spans="1:2" x14ac:dyDescent="0.25">
      <c r="A590" s="118"/>
      <c r="B590" s="136"/>
    </row>
    <row r="591" spans="1:2" x14ac:dyDescent="0.25">
      <c r="A591" s="118"/>
      <c r="B591" s="136"/>
    </row>
    <row r="592" spans="1:2" x14ac:dyDescent="0.25">
      <c r="A592" s="118"/>
      <c r="B592" s="136"/>
    </row>
    <row r="593" spans="1:2" x14ac:dyDescent="0.25">
      <c r="A593" s="118"/>
      <c r="B593" s="136"/>
    </row>
    <row r="594" spans="1:2" x14ac:dyDescent="0.25">
      <c r="A594" s="118"/>
      <c r="B594" s="136"/>
    </row>
    <row r="595" spans="1:2" x14ac:dyDescent="0.25">
      <c r="A595" s="118"/>
      <c r="B595" s="136"/>
    </row>
    <row r="596" spans="1:2" x14ac:dyDescent="0.25">
      <c r="A596" s="118"/>
      <c r="B596" s="136"/>
    </row>
    <row r="597" spans="1:2" x14ac:dyDescent="0.25">
      <c r="A597" s="118"/>
      <c r="B597" s="136"/>
    </row>
    <row r="598" spans="1:2" x14ac:dyDescent="0.25">
      <c r="A598" s="118"/>
      <c r="B598" s="136"/>
    </row>
    <row r="599" spans="1:2" x14ac:dyDescent="0.25">
      <c r="A599" s="118"/>
      <c r="B599" s="136"/>
    </row>
    <row r="600" spans="1:2" x14ac:dyDescent="0.25">
      <c r="A600" s="118"/>
      <c r="B600" s="136"/>
    </row>
    <row r="601" spans="1:2" x14ac:dyDescent="0.25">
      <c r="A601" s="118"/>
      <c r="B601" s="136"/>
    </row>
    <row r="602" spans="1:2" x14ac:dyDescent="0.25">
      <c r="A602" s="118"/>
      <c r="B602" s="136"/>
    </row>
    <row r="603" spans="1:2" x14ac:dyDescent="0.25">
      <c r="A603" s="118"/>
      <c r="B603" s="136"/>
    </row>
    <row r="604" spans="1:2" x14ac:dyDescent="0.25">
      <c r="A604" s="118"/>
      <c r="B604" s="136"/>
    </row>
    <row r="605" spans="1:2" x14ac:dyDescent="0.25">
      <c r="A605" s="118"/>
      <c r="B605" s="136"/>
    </row>
    <row r="606" spans="1:2" x14ac:dyDescent="0.25">
      <c r="A606" s="118"/>
      <c r="B606" s="136"/>
    </row>
    <row r="607" spans="1:2" x14ac:dyDescent="0.25">
      <c r="A607" s="118"/>
      <c r="B607" s="136"/>
    </row>
    <row r="608" spans="1:2" x14ac:dyDescent="0.25">
      <c r="A608" s="118"/>
      <c r="B608" s="136"/>
    </row>
    <row r="609" spans="1:2" x14ac:dyDescent="0.25">
      <c r="A609" s="118"/>
      <c r="B609" s="136"/>
    </row>
    <row r="610" spans="1:2" x14ac:dyDescent="0.25">
      <c r="A610" s="118"/>
      <c r="B610" s="136"/>
    </row>
    <row r="611" spans="1:2" x14ac:dyDescent="0.25">
      <c r="A611" s="118"/>
      <c r="B611" s="136"/>
    </row>
    <row r="612" spans="1:2" x14ac:dyDescent="0.25">
      <c r="A612" s="118"/>
      <c r="B612" s="136"/>
    </row>
    <row r="613" spans="1:2" x14ac:dyDescent="0.25">
      <c r="A613" s="118"/>
      <c r="B613" s="136"/>
    </row>
    <row r="614" spans="1:2" x14ac:dyDescent="0.25">
      <c r="A614" s="118"/>
      <c r="B614" s="136"/>
    </row>
    <row r="615" spans="1:2" x14ac:dyDescent="0.25">
      <c r="A615" s="118"/>
      <c r="B615" s="136"/>
    </row>
    <row r="616" spans="1:2" x14ac:dyDescent="0.25">
      <c r="A616" s="118"/>
      <c r="B616" s="136"/>
    </row>
    <row r="617" spans="1:2" x14ac:dyDescent="0.25">
      <c r="A617" s="118"/>
      <c r="B617" s="136"/>
    </row>
    <row r="618" spans="1:2" x14ac:dyDescent="0.25">
      <c r="A618" s="118"/>
      <c r="B618" s="136"/>
    </row>
    <row r="619" spans="1:2" x14ac:dyDescent="0.25">
      <c r="A619" s="118"/>
      <c r="B619" s="136"/>
    </row>
    <row r="620" spans="1:2" x14ac:dyDescent="0.25">
      <c r="A620" s="118"/>
      <c r="B620" s="136"/>
    </row>
    <row r="621" spans="1:2" x14ac:dyDescent="0.25">
      <c r="A621" s="118"/>
      <c r="B621" s="136"/>
    </row>
    <row r="622" spans="1:2" x14ac:dyDescent="0.25">
      <c r="A622" s="118"/>
      <c r="B622" s="136"/>
    </row>
    <row r="623" spans="1:2" x14ac:dyDescent="0.25">
      <c r="A623" s="118"/>
      <c r="B623" s="136"/>
    </row>
    <row r="624" spans="1:2" x14ac:dyDescent="0.25">
      <c r="A624" s="118"/>
      <c r="B624" s="136"/>
    </row>
    <row r="625" spans="1:2" x14ac:dyDescent="0.25">
      <c r="A625" s="118"/>
      <c r="B625" s="136"/>
    </row>
    <row r="626" spans="1:2" x14ac:dyDescent="0.25">
      <c r="A626" s="118"/>
      <c r="B626" s="136"/>
    </row>
    <row r="627" spans="1:2" x14ac:dyDescent="0.25">
      <c r="A627" s="118"/>
      <c r="B627" s="136"/>
    </row>
    <row r="628" spans="1:2" x14ac:dyDescent="0.25">
      <c r="A628" s="118"/>
      <c r="B628" s="136"/>
    </row>
    <row r="629" spans="1:2" x14ac:dyDescent="0.25">
      <c r="A629" s="118"/>
      <c r="B629" s="136"/>
    </row>
    <row r="630" spans="1:2" x14ac:dyDescent="0.25">
      <c r="A630" s="118"/>
      <c r="B630" s="136"/>
    </row>
    <row r="631" spans="1:2" x14ac:dyDescent="0.25">
      <c r="A631" s="118"/>
      <c r="B631" s="136"/>
    </row>
    <row r="632" spans="1:2" x14ac:dyDescent="0.25">
      <c r="A632" s="118"/>
      <c r="B632" s="136"/>
    </row>
    <row r="633" spans="1:2" x14ac:dyDescent="0.25">
      <c r="A633" s="118"/>
      <c r="B633" s="136"/>
    </row>
    <row r="634" spans="1:2" x14ac:dyDescent="0.25">
      <c r="A634" s="118"/>
      <c r="B634" s="136"/>
    </row>
    <row r="635" spans="1:2" x14ac:dyDescent="0.25">
      <c r="A635" s="118"/>
      <c r="B635" s="136"/>
    </row>
    <row r="636" spans="1:2" x14ac:dyDescent="0.25">
      <c r="A636" s="118"/>
      <c r="B636" s="136"/>
    </row>
    <row r="637" spans="1:2" x14ac:dyDescent="0.25">
      <c r="A637" s="118"/>
      <c r="B637" s="136"/>
    </row>
    <row r="638" spans="1:2" x14ac:dyDescent="0.25">
      <c r="A638" s="118"/>
      <c r="B638" s="136"/>
    </row>
    <row r="639" spans="1:2" x14ac:dyDescent="0.25">
      <c r="A639" s="118"/>
      <c r="B639" s="136"/>
    </row>
    <row r="640" spans="1:2" x14ac:dyDescent="0.25">
      <c r="A640" s="118"/>
      <c r="B640" s="136"/>
    </row>
    <row r="641" spans="1:2" x14ac:dyDescent="0.25">
      <c r="A641" s="118"/>
      <c r="B641" s="136"/>
    </row>
    <row r="642" spans="1:2" x14ac:dyDescent="0.25">
      <c r="A642" s="118"/>
      <c r="B642" s="136"/>
    </row>
    <row r="643" spans="1:2" x14ac:dyDescent="0.25">
      <c r="A643" s="118"/>
      <c r="B643" s="136"/>
    </row>
    <row r="644" spans="1:2" x14ac:dyDescent="0.25">
      <c r="A644" s="118"/>
      <c r="B644" s="136"/>
    </row>
    <row r="645" spans="1:2" x14ac:dyDescent="0.25">
      <c r="A645" s="118"/>
      <c r="B645" s="136"/>
    </row>
    <row r="646" spans="1:2" x14ac:dyDescent="0.25">
      <c r="A646" s="118"/>
      <c r="B646" s="136"/>
    </row>
    <row r="647" spans="1:2" x14ac:dyDescent="0.25">
      <c r="A647" s="118"/>
      <c r="B647" s="136"/>
    </row>
    <row r="648" spans="1:2" x14ac:dyDescent="0.25">
      <c r="A648" s="118"/>
      <c r="B648" s="136"/>
    </row>
    <row r="649" spans="1:2" x14ac:dyDescent="0.25">
      <c r="A649" s="118"/>
      <c r="B649" s="136"/>
    </row>
    <row r="650" spans="1:2" x14ac:dyDescent="0.25">
      <c r="A650" s="118"/>
      <c r="B650" s="136"/>
    </row>
    <row r="651" spans="1:2" x14ac:dyDescent="0.25">
      <c r="A651" s="118"/>
      <c r="B651" s="136"/>
    </row>
    <row r="652" spans="1:2" x14ac:dyDescent="0.25">
      <c r="A652" s="118"/>
      <c r="B652" s="136"/>
    </row>
    <row r="653" spans="1:2" x14ac:dyDescent="0.25">
      <c r="A653" s="118"/>
      <c r="B653" s="136"/>
    </row>
    <row r="654" spans="1:2" x14ac:dyDescent="0.25">
      <c r="A654" s="118"/>
      <c r="B654" s="136"/>
    </row>
    <row r="655" spans="1:2" x14ac:dyDescent="0.25">
      <c r="A655" s="118"/>
      <c r="B655" s="136"/>
    </row>
    <row r="656" spans="1:2" x14ac:dyDescent="0.25">
      <c r="A656" s="118"/>
      <c r="B656" s="136"/>
    </row>
    <row r="657" spans="1:2" x14ac:dyDescent="0.25">
      <c r="A657" s="118"/>
      <c r="B657" s="136"/>
    </row>
    <row r="658" spans="1:2" x14ac:dyDescent="0.25">
      <c r="A658" s="118"/>
      <c r="B658" s="136"/>
    </row>
    <row r="659" spans="1:2" x14ac:dyDescent="0.25">
      <c r="A659" s="118"/>
      <c r="B659" s="136"/>
    </row>
    <row r="660" spans="1:2" x14ac:dyDescent="0.25">
      <c r="A660" s="118"/>
      <c r="B660" s="136"/>
    </row>
    <row r="661" spans="1:2" x14ac:dyDescent="0.25">
      <c r="A661" s="118"/>
      <c r="B661" s="136"/>
    </row>
    <row r="662" spans="1:2" x14ac:dyDescent="0.25">
      <c r="A662" s="118"/>
      <c r="B662" s="136"/>
    </row>
    <row r="663" spans="1:2" x14ac:dyDescent="0.25">
      <c r="A663" s="118"/>
      <c r="B663" s="136"/>
    </row>
    <row r="664" spans="1:2" x14ac:dyDescent="0.25">
      <c r="A664" s="118"/>
      <c r="B664" s="136"/>
    </row>
    <row r="665" spans="1:2" x14ac:dyDescent="0.25">
      <c r="A665" s="118"/>
      <c r="B665" s="136"/>
    </row>
    <row r="666" spans="1:2" x14ac:dyDescent="0.25">
      <c r="A666" s="118"/>
      <c r="B666" s="136"/>
    </row>
    <row r="667" spans="1:2" x14ac:dyDescent="0.25">
      <c r="A667" s="118"/>
      <c r="B667" s="136"/>
    </row>
    <row r="668" spans="1:2" x14ac:dyDescent="0.25">
      <c r="A668" s="118"/>
      <c r="B668" s="136"/>
    </row>
    <row r="669" spans="1:2" x14ac:dyDescent="0.25">
      <c r="A669" s="118"/>
      <c r="B669" s="136"/>
    </row>
    <row r="670" spans="1:2" x14ac:dyDescent="0.25">
      <c r="A670" s="118"/>
      <c r="B670" s="136"/>
    </row>
    <row r="671" spans="1:2" x14ac:dyDescent="0.25">
      <c r="A671" s="118"/>
      <c r="B671" s="136"/>
    </row>
    <row r="672" spans="1:2" x14ac:dyDescent="0.25">
      <c r="A672" s="118"/>
      <c r="B672" s="136"/>
    </row>
    <row r="673" spans="1:2" x14ac:dyDescent="0.25">
      <c r="A673" s="118"/>
      <c r="B673" s="136"/>
    </row>
    <row r="674" spans="1:2" x14ac:dyDescent="0.25">
      <c r="A674" s="118"/>
      <c r="B674" s="136"/>
    </row>
    <row r="675" spans="1:2" x14ac:dyDescent="0.25">
      <c r="A675" s="118"/>
      <c r="B675" s="136"/>
    </row>
    <row r="676" spans="1:2" x14ac:dyDescent="0.25">
      <c r="A676" s="118"/>
      <c r="B676" s="136"/>
    </row>
    <row r="677" spans="1:2" x14ac:dyDescent="0.25">
      <c r="A677" s="118"/>
      <c r="B677" s="136"/>
    </row>
    <row r="678" spans="1:2" x14ac:dyDescent="0.25">
      <c r="A678" s="118"/>
      <c r="B678" s="136"/>
    </row>
    <row r="679" spans="1:2" x14ac:dyDescent="0.25">
      <c r="A679" s="118"/>
      <c r="B679" s="136"/>
    </row>
    <row r="680" spans="1:2" x14ac:dyDescent="0.25">
      <c r="A680" s="118"/>
      <c r="B680" s="136"/>
    </row>
    <row r="681" spans="1:2" x14ac:dyDescent="0.25">
      <c r="A681" s="118"/>
      <c r="B681" s="136"/>
    </row>
    <row r="682" spans="1:2" x14ac:dyDescent="0.25">
      <c r="A682" s="118"/>
      <c r="B682" s="136"/>
    </row>
    <row r="683" spans="1:2" x14ac:dyDescent="0.25">
      <c r="A683" s="118"/>
      <c r="B683" s="136"/>
    </row>
    <row r="684" spans="1:2" x14ac:dyDescent="0.25">
      <c r="A684" s="118"/>
      <c r="B684" s="136"/>
    </row>
    <row r="685" spans="1:2" x14ac:dyDescent="0.25">
      <c r="A685" s="118"/>
      <c r="B685" s="136"/>
    </row>
    <row r="686" spans="1:2" x14ac:dyDescent="0.25">
      <c r="A686" s="118"/>
      <c r="B686" s="136"/>
    </row>
    <row r="687" spans="1:2" x14ac:dyDescent="0.25">
      <c r="A687" s="118"/>
      <c r="B687" s="136"/>
    </row>
    <row r="688" spans="1:2" x14ac:dyDescent="0.25">
      <c r="A688" s="118"/>
      <c r="B688" s="136"/>
    </row>
    <row r="689" spans="1:2" x14ac:dyDescent="0.25">
      <c r="A689" s="118"/>
      <c r="B689" s="136"/>
    </row>
    <row r="690" spans="1:2" x14ac:dyDescent="0.25">
      <c r="A690" s="118"/>
      <c r="B690" s="136"/>
    </row>
    <row r="691" spans="1:2" x14ac:dyDescent="0.25">
      <c r="A691" s="118"/>
      <c r="B691" s="136"/>
    </row>
    <row r="692" spans="1:2" x14ac:dyDescent="0.25">
      <c r="A692" s="118"/>
      <c r="B692" s="136"/>
    </row>
    <row r="693" spans="1:2" x14ac:dyDescent="0.25">
      <c r="A693" s="118"/>
      <c r="B693" s="136"/>
    </row>
    <row r="694" spans="1:2" x14ac:dyDescent="0.25">
      <c r="A694" s="118"/>
      <c r="B694" s="136"/>
    </row>
    <row r="695" spans="1:2" x14ac:dyDescent="0.25">
      <c r="A695" s="118"/>
      <c r="B695" s="136"/>
    </row>
    <row r="696" spans="1:2" x14ac:dyDescent="0.25">
      <c r="A696" s="118"/>
      <c r="B696" s="136"/>
    </row>
    <row r="697" spans="1:2" x14ac:dyDescent="0.25">
      <c r="A697" s="118"/>
      <c r="B697" s="136"/>
    </row>
    <row r="698" spans="1:2" x14ac:dyDescent="0.25">
      <c r="A698" s="118"/>
      <c r="B698" s="136"/>
    </row>
    <row r="699" spans="1:2" x14ac:dyDescent="0.25">
      <c r="A699" s="118"/>
      <c r="B699" s="136"/>
    </row>
    <row r="700" spans="1:2" x14ac:dyDescent="0.25">
      <c r="A700" s="118"/>
      <c r="B700" s="136"/>
    </row>
    <row r="701" spans="1:2" x14ac:dyDescent="0.25">
      <c r="A701" s="118"/>
      <c r="B701" s="136"/>
    </row>
    <row r="702" spans="1:2" x14ac:dyDescent="0.25">
      <c r="A702" s="118"/>
      <c r="B702" s="136"/>
    </row>
    <row r="703" spans="1:2" x14ac:dyDescent="0.25">
      <c r="A703" s="118"/>
      <c r="B703" s="136"/>
    </row>
    <row r="704" spans="1:2" x14ac:dyDescent="0.25">
      <c r="A704" s="118"/>
      <c r="B704" s="136"/>
    </row>
    <row r="705" spans="1:2" x14ac:dyDescent="0.25">
      <c r="A705" s="118"/>
      <c r="B705" s="136"/>
    </row>
    <row r="706" spans="1:2" x14ac:dyDescent="0.25">
      <c r="A706" s="118"/>
      <c r="B706" s="136"/>
    </row>
    <row r="707" spans="1:2" x14ac:dyDescent="0.25">
      <c r="A707" s="118"/>
      <c r="B707" s="136"/>
    </row>
    <row r="708" spans="1:2" x14ac:dyDescent="0.25">
      <c r="A708" s="118"/>
      <c r="B708" s="136"/>
    </row>
    <row r="709" spans="1:2" x14ac:dyDescent="0.25">
      <c r="A709" s="118"/>
      <c r="B709" s="136"/>
    </row>
    <row r="710" spans="1:2" x14ac:dyDescent="0.25">
      <c r="A710" s="118"/>
      <c r="B710" s="136"/>
    </row>
    <row r="711" spans="1:2" x14ac:dyDescent="0.25">
      <c r="A711" s="118"/>
      <c r="B711" s="136"/>
    </row>
    <row r="712" spans="1:2" x14ac:dyDescent="0.25">
      <c r="A712" s="118"/>
      <c r="B712" s="136"/>
    </row>
    <row r="713" spans="1:2" x14ac:dyDescent="0.25">
      <c r="A713" s="118"/>
      <c r="B713" s="136"/>
    </row>
    <row r="714" spans="1:2" x14ac:dyDescent="0.25">
      <c r="A714" s="118"/>
      <c r="B714" s="136"/>
    </row>
    <row r="715" spans="1:2" x14ac:dyDescent="0.25">
      <c r="A715" s="118"/>
      <c r="B715" s="136"/>
    </row>
    <row r="716" spans="1:2" x14ac:dyDescent="0.25">
      <c r="A716" s="118"/>
      <c r="B716" s="136"/>
    </row>
    <row r="717" spans="1:2" x14ac:dyDescent="0.25">
      <c r="A717" s="118"/>
      <c r="B717" s="136"/>
    </row>
    <row r="718" spans="1:2" x14ac:dyDescent="0.25">
      <c r="A718" s="118"/>
      <c r="B718" s="136"/>
    </row>
    <row r="719" spans="1:2" x14ac:dyDescent="0.25">
      <c r="A719" s="118"/>
      <c r="B719" s="136"/>
    </row>
    <row r="720" spans="1:2" x14ac:dyDescent="0.25">
      <c r="A720" s="118"/>
      <c r="B720" s="136"/>
    </row>
    <row r="721" spans="1:2" x14ac:dyDescent="0.25">
      <c r="A721" s="118"/>
      <c r="B721" s="136"/>
    </row>
    <row r="722" spans="1:2" x14ac:dyDescent="0.25">
      <c r="A722" s="118"/>
      <c r="B722" s="136"/>
    </row>
    <row r="723" spans="1:2" x14ac:dyDescent="0.25">
      <c r="A723" s="118"/>
      <c r="B723" s="136"/>
    </row>
    <row r="724" spans="1:2" x14ac:dyDescent="0.25">
      <c r="A724" s="118"/>
      <c r="B724" s="136"/>
    </row>
    <row r="725" spans="1:2" x14ac:dyDescent="0.25">
      <c r="A725" s="118"/>
      <c r="B725" s="136"/>
    </row>
    <row r="726" spans="1:2" x14ac:dyDescent="0.25">
      <c r="A726" s="118"/>
      <c r="B726" s="136"/>
    </row>
    <row r="727" spans="1:2" x14ac:dyDescent="0.25">
      <c r="A727" s="118"/>
      <c r="B727" s="136"/>
    </row>
    <row r="728" spans="1:2" x14ac:dyDescent="0.25">
      <c r="A728" s="118"/>
      <c r="B728" s="136"/>
    </row>
    <row r="729" spans="1:2" x14ac:dyDescent="0.25">
      <c r="A729" s="118"/>
      <c r="B729" s="136"/>
    </row>
    <row r="730" spans="1:2" x14ac:dyDescent="0.25">
      <c r="A730" s="118"/>
      <c r="B730" s="136"/>
    </row>
    <row r="731" spans="1:2" x14ac:dyDescent="0.25">
      <c r="A731" s="118"/>
      <c r="B731" s="136"/>
    </row>
    <row r="732" spans="1:2" x14ac:dyDescent="0.25">
      <c r="A732" s="118"/>
      <c r="B732" s="136"/>
    </row>
    <row r="733" spans="1:2" x14ac:dyDescent="0.25">
      <c r="A733" s="118"/>
      <c r="B733" s="136"/>
    </row>
    <row r="734" spans="1:2" x14ac:dyDescent="0.25">
      <c r="A734" s="118"/>
      <c r="B734" s="136"/>
    </row>
    <row r="735" spans="1:2" x14ac:dyDescent="0.25">
      <c r="A735" s="118"/>
      <c r="B735" s="136"/>
    </row>
    <row r="736" spans="1:2" x14ac:dyDescent="0.25">
      <c r="A736" s="118"/>
      <c r="B736" s="136"/>
    </row>
    <row r="737" spans="1:2" x14ac:dyDescent="0.25">
      <c r="A737" s="118"/>
      <c r="B737" s="136"/>
    </row>
    <row r="738" spans="1:2" x14ac:dyDescent="0.25">
      <c r="A738" s="118"/>
      <c r="B738" s="136"/>
    </row>
    <row r="739" spans="1:2" x14ac:dyDescent="0.25">
      <c r="A739" s="118"/>
      <c r="B739" s="136"/>
    </row>
    <row r="740" spans="1:2" x14ac:dyDescent="0.25">
      <c r="A740" s="118"/>
      <c r="B740" s="136"/>
    </row>
    <row r="741" spans="1:2" x14ac:dyDescent="0.25">
      <c r="A741" s="118"/>
      <c r="B741" s="136"/>
    </row>
    <row r="742" spans="1:2" x14ac:dyDescent="0.25">
      <c r="A742" s="118"/>
      <c r="B742" s="136"/>
    </row>
    <row r="743" spans="1:2" x14ac:dyDescent="0.25">
      <c r="A743" s="118"/>
      <c r="B743" s="136"/>
    </row>
    <row r="744" spans="1:2" x14ac:dyDescent="0.25">
      <c r="A744" s="118"/>
      <c r="B744" s="136"/>
    </row>
    <row r="745" spans="1:2" x14ac:dyDescent="0.25">
      <c r="A745" s="118"/>
      <c r="B745" s="136"/>
    </row>
    <row r="746" spans="1:2" x14ac:dyDescent="0.25">
      <c r="A746" s="118"/>
      <c r="B746" s="136"/>
    </row>
    <row r="747" spans="1:2" x14ac:dyDescent="0.25">
      <c r="A747" s="118"/>
      <c r="B747" s="136"/>
    </row>
    <row r="748" spans="1:2" x14ac:dyDescent="0.25">
      <c r="A748" s="118"/>
      <c r="B748" s="136"/>
    </row>
    <row r="749" spans="1:2" x14ac:dyDescent="0.25">
      <c r="A749" s="118"/>
      <c r="B749" s="136"/>
    </row>
    <row r="750" spans="1:2" x14ac:dyDescent="0.25">
      <c r="A750" s="118"/>
      <c r="B750" s="136"/>
    </row>
    <row r="751" spans="1:2" x14ac:dyDescent="0.25">
      <c r="A751" s="118"/>
      <c r="B751" s="136"/>
    </row>
    <row r="752" spans="1:2" x14ac:dyDescent="0.25">
      <c r="A752" s="118"/>
      <c r="B752" s="136"/>
    </row>
    <row r="753" spans="1:2" x14ac:dyDescent="0.25">
      <c r="A753" s="118"/>
      <c r="B753" s="136"/>
    </row>
    <row r="754" spans="1:2" x14ac:dyDescent="0.25">
      <c r="A754" s="118"/>
      <c r="B754" s="136"/>
    </row>
    <row r="755" spans="1:2" x14ac:dyDescent="0.25">
      <c r="A755" s="118"/>
      <c r="B755" s="136"/>
    </row>
    <row r="756" spans="1:2" x14ac:dyDescent="0.25">
      <c r="A756" s="118"/>
      <c r="B756" s="136"/>
    </row>
    <row r="757" spans="1:2" x14ac:dyDescent="0.25">
      <c r="A757" s="118"/>
      <c r="B757" s="136"/>
    </row>
    <row r="758" spans="1:2" x14ac:dyDescent="0.25">
      <c r="A758" s="118"/>
      <c r="B758" s="136"/>
    </row>
    <row r="759" spans="1:2" x14ac:dyDescent="0.25">
      <c r="A759" s="118"/>
      <c r="B759" s="136"/>
    </row>
    <row r="760" spans="1:2" x14ac:dyDescent="0.25">
      <c r="A760" s="118"/>
      <c r="B760" s="136"/>
    </row>
    <row r="761" spans="1:2" x14ac:dyDescent="0.25">
      <c r="A761" s="118"/>
      <c r="B761" s="136"/>
    </row>
    <row r="762" spans="1:2" x14ac:dyDescent="0.25">
      <c r="A762" s="118"/>
      <c r="B762" s="136"/>
    </row>
    <row r="763" spans="1:2" x14ac:dyDescent="0.25">
      <c r="A763" s="118"/>
      <c r="B763" s="136"/>
    </row>
    <row r="764" spans="1:2" x14ac:dyDescent="0.25">
      <c r="A764" s="118"/>
      <c r="B764" s="136"/>
    </row>
    <row r="765" spans="1:2" x14ac:dyDescent="0.25">
      <c r="A765" s="118"/>
      <c r="B765" s="136"/>
    </row>
    <row r="766" spans="1:2" x14ac:dyDescent="0.25">
      <c r="A766" s="118"/>
      <c r="B766" s="136"/>
    </row>
    <row r="767" spans="1:2" x14ac:dyDescent="0.25">
      <c r="A767" s="118"/>
      <c r="B767" s="136"/>
    </row>
    <row r="768" spans="1:2" x14ac:dyDescent="0.25">
      <c r="A768" s="118"/>
      <c r="B768" s="136"/>
    </row>
    <row r="769" spans="1:2" x14ac:dyDescent="0.25">
      <c r="A769" s="118"/>
      <c r="B769" s="136"/>
    </row>
    <row r="770" spans="1:2" x14ac:dyDescent="0.25">
      <c r="A770" s="118"/>
      <c r="B770" s="136"/>
    </row>
    <row r="771" spans="1:2" x14ac:dyDescent="0.25">
      <c r="A771" s="118"/>
      <c r="B771" s="136"/>
    </row>
    <row r="772" spans="1:2" x14ac:dyDescent="0.25">
      <c r="A772" s="118"/>
      <c r="B772" s="136"/>
    </row>
    <row r="773" spans="1:2" x14ac:dyDescent="0.25">
      <c r="A773" s="118"/>
      <c r="B773" s="136"/>
    </row>
    <row r="774" spans="1:2" x14ac:dyDescent="0.25">
      <c r="A774" s="118"/>
      <c r="B774" s="136"/>
    </row>
    <row r="775" spans="1:2" x14ac:dyDescent="0.25">
      <c r="A775" s="118"/>
      <c r="B775" s="136"/>
    </row>
    <row r="776" spans="1:2" x14ac:dyDescent="0.25">
      <c r="A776" s="118"/>
      <c r="B776" s="136"/>
    </row>
    <row r="777" spans="1:2" x14ac:dyDescent="0.25">
      <c r="A777" s="118"/>
      <c r="B777" s="136"/>
    </row>
    <row r="778" spans="1:2" x14ac:dyDescent="0.25">
      <c r="A778" s="118"/>
      <c r="B778" s="136"/>
    </row>
    <row r="779" spans="1:2" x14ac:dyDescent="0.25">
      <c r="A779" s="118"/>
      <c r="B779" s="136"/>
    </row>
    <row r="780" spans="1:2" x14ac:dyDescent="0.25">
      <c r="A780" s="118"/>
      <c r="B780" s="136"/>
    </row>
    <row r="781" spans="1:2" x14ac:dyDescent="0.25">
      <c r="A781" s="118"/>
      <c r="B781" s="136"/>
    </row>
    <row r="782" spans="1:2" x14ac:dyDescent="0.25">
      <c r="A782" s="118"/>
      <c r="B782" s="136"/>
    </row>
    <row r="783" spans="1:2" x14ac:dyDescent="0.25">
      <c r="A783" s="118"/>
      <c r="B783" s="136"/>
    </row>
    <row r="784" spans="1:2" x14ac:dyDescent="0.25">
      <c r="A784" s="118"/>
      <c r="B784" s="136"/>
    </row>
    <row r="785" spans="1:2" x14ac:dyDescent="0.25">
      <c r="A785" s="118"/>
      <c r="B785" s="136"/>
    </row>
    <row r="786" spans="1:2" x14ac:dyDescent="0.25">
      <c r="A786" s="118"/>
      <c r="B786" s="136"/>
    </row>
    <row r="787" spans="1:2" x14ac:dyDescent="0.25">
      <c r="A787" s="118"/>
      <c r="B787" s="136"/>
    </row>
    <row r="788" spans="1:2" x14ac:dyDescent="0.25">
      <c r="A788" s="118"/>
      <c r="B788" s="136"/>
    </row>
    <row r="789" spans="1:2" x14ac:dyDescent="0.25">
      <c r="A789" s="118"/>
      <c r="B789" s="136"/>
    </row>
    <row r="790" spans="1:2" x14ac:dyDescent="0.25">
      <c r="A790" s="118"/>
      <c r="B790" s="136"/>
    </row>
    <row r="791" spans="1:2" x14ac:dyDescent="0.25">
      <c r="A791" s="118"/>
      <c r="B791" s="136"/>
    </row>
    <row r="792" spans="1:2" x14ac:dyDescent="0.25">
      <c r="A792" s="118"/>
      <c r="B792" s="136"/>
    </row>
    <row r="793" spans="1:2" x14ac:dyDescent="0.25">
      <c r="A793" s="118"/>
      <c r="B793" s="136"/>
    </row>
    <row r="794" spans="1:2" x14ac:dyDescent="0.25">
      <c r="A794" s="118"/>
      <c r="B794" s="136"/>
    </row>
    <row r="795" spans="1:2" x14ac:dyDescent="0.25">
      <c r="A795" s="118"/>
      <c r="B795" s="136"/>
    </row>
    <row r="796" spans="1:2" x14ac:dyDescent="0.25">
      <c r="A796" s="118"/>
      <c r="B796" s="136"/>
    </row>
    <row r="797" spans="1:2" x14ac:dyDescent="0.25">
      <c r="A797" s="118"/>
      <c r="B797" s="136"/>
    </row>
    <row r="798" spans="1:2" x14ac:dyDescent="0.25">
      <c r="A798" s="118"/>
      <c r="B798" s="136"/>
    </row>
    <row r="799" spans="1:2" x14ac:dyDescent="0.25">
      <c r="A799" s="118"/>
      <c r="B799" s="136"/>
    </row>
    <row r="800" spans="1:2" x14ac:dyDescent="0.25">
      <c r="A800" s="118"/>
      <c r="B800" s="136"/>
    </row>
    <row r="801" spans="1:2" x14ac:dyDescent="0.25">
      <c r="A801" s="118"/>
      <c r="B801" s="136"/>
    </row>
    <row r="802" spans="1:2" x14ac:dyDescent="0.25">
      <c r="A802" s="118"/>
      <c r="B802" s="136"/>
    </row>
    <row r="803" spans="1:2" x14ac:dyDescent="0.25">
      <c r="A803" s="118"/>
      <c r="B803" s="136"/>
    </row>
    <row r="804" spans="1:2" x14ac:dyDescent="0.25">
      <c r="A804" s="118"/>
      <c r="B804" s="136"/>
    </row>
    <row r="805" spans="1:2" x14ac:dyDescent="0.25">
      <c r="A805" s="118"/>
      <c r="B805" s="136"/>
    </row>
    <row r="806" spans="1:2" x14ac:dyDescent="0.25">
      <c r="A806" s="118"/>
      <c r="B806" s="136"/>
    </row>
    <row r="807" spans="1:2" x14ac:dyDescent="0.25">
      <c r="A807" s="118"/>
      <c r="B807" s="136"/>
    </row>
    <row r="808" spans="1:2" x14ac:dyDescent="0.25">
      <c r="A808" s="118"/>
      <c r="B808" s="136"/>
    </row>
    <row r="809" spans="1:2" x14ac:dyDescent="0.25">
      <c r="A809" s="118"/>
      <c r="B809" s="136"/>
    </row>
    <row r="810" spans="1:2" x14ac:dyDescent="0.25">
      <c r="A810" s="118"/>
      <c r="B810" s="136"/>
    </row>
    <row r="811" spans="1:2" x14ac:dyDescent="0.25">
      <c r="A811" s="118"/>
      <c r="B811" s="136"/>
    </row>
    <row r="812" spans="1:2" x14ac:dyDescent="0.25">
      <c r="A812" s="118"/>
      <c r="B812" s="136"/>
    </row>
    <row r="813" spans="1:2" x14ac:dyDescent="0.25">
      <c r="A813" s="118"/>
      <c r="B813" s="136"/>
    </row>
    <row r="814" spans="1:2" x14ac:dyDescent="0.25">
      <c r="A814" s="118"/>
      <c r="B814" s="136"/>
    </row>
    <row r="815" spans="1:2" x14ac:dyDescent="0.25">
      <c r="A815" s="118"/>
      <c r="B815" s="136"/>
    </row>
    <row r="816" spans="1:2" x14ac:dyDescent="0.25">
      <c r="A816" s="118"/>
      <c r="B816" s="136"/>
    </row>
    <row r="817" spans="1:2" x14ac:dyDescent="0.25">
      <c r="A817" s="118"/>
      <c r="B817" s="136"/>
    </row>
    <row r="818" spans="1:2" x14ac:dyDescent="0.25">
      <c r="A818" s="118"/>
      <c r="B818" s="136"/>
    </row>
    <row r="819" spans="1:2" x14ac:dyDescent="0.25">
      <c r="A819" s="118"/>
      <c r="B819" s="136"/>
    </row>
    <row r="820" spans="1:2" x14ac:dyDescent="0.25">
      <c r="A820" s="118"/>
      <c r="B820" s="136"/>
    </row>
    <row r="821" spans="1:2" x14ac:dyDescent="0.25">
      <c r="A821" s="118"/>
      <c r="B821" s="136"/>
    </row>
    <row r="822" spans="1:2" x14ac:dyDescent="0.25">
      <c r="A822" s="118"/>
      <c r="B822" s="136"/>
    </row>
    <row r="823" spans="1:2" x14ac:dyDescent="0.25">
      <c r="A823" s="118"/>
      <c r="B823" s="136"/>
    </row>
    <row r="824" spans="1:2" x14ac:dyDescent="0.25">
      <c r="A824" s="118"/>
      <c r="B824" s="136"/>
    </row>
    <row r="825" spans="1:2" x14ac:dyDescent="0.25">
      <c r="A825" s="118"/>
      <c r="B825" s="136"/>
    </row>
    <row r="826" spans="1:2" x14ac:dyDescent="0.25">
      <c r="A826" s="118"/>
      <c r="B826" s="136"/>
    </row>
    <row r="827" spans="1:2" x14ac:dyDescent="0.25">
      <c r="A827" s="118"/>
      <c r="B827" s="136"/>
    </row>
    <row r="828" spans="1:2" x14ac:dyDescent="0.25">
      <c r="A828" s="118"/>
      <c r="B828" s="136"/>
    </row>
    <row r="829" spans="1:2" x14ac:dyDescent="0.25">
      <c r="A829" s="118"/>
      <c r="B829" s="136"/>
    </row>
    <row r="830" spans="1:2" x14ac:dyDescent="0.25">
      <c r="A830" s="118"/>
      <c r="B830" s="136"/>
    </row>
    <row r="831" spans="1:2" x14ac:dyDescent="0.25">
      <c r="A831" s="118"/>
      <c r="B831" s="136"/>
    </row>
    <row r="832" spans="1:2" x14ac:dyDescent="0.25">
      <c r="A832" s="118"/>
      <c r="B832" s="136"/>
    </row>
    <row r="833" spans="1:2" x14ac:dyDescent="0.25">
      <c r="A833" s="118"/>
      <c r="B833" s="136"/>
    </row>
    <row r="834" spans="1:2" x14ac:dyDescent="0.25">
      <c r="A834" s="118"/>
      <c r="B834" s="136"/>
    </row>
    <row r="835" spans="1:2" x14ac:dyDescent="0.25">
      <c r="A835" s="118"/>
      <c r="B835" s="136"/>
    </row>
    <row r="836" spans="1:2" x14ac:dyDescent="0.25">
      <c r="A836" s="118"/>
      <c r="B836" s="136"/>
    </row>
    <row r="837" spans="1:2" x14ac:dyDescent="0.25">
      <c r="A837" s="118"/>
      <c r="B837" s="136"/>
    </row>
    <row r="838" spans="1:2" x14ac:dyDescent="0.25">
      <c r="A838" s="118"/>
      <c r="B838" s="136"/>
    </row>
    <row r="839" spans="1:2" x14ac:dyDescent="0.25">
      <c r="A839" s="118"/>
      <c r="B839" s="136"/>
    </row>
    <row r="840" spans="1:2" x14ac:dyDescent="0.25">
      <c r="A840" s="118"/>
      <c r="B840" s="136"/>
    </row>
    <row r="841" spans="1:2" x14ac:dyDescent="0.25">
      <c r="A841" s="118"/>
      <c r="B841" s="136"/>
    </row>
    <row r="842" spans="1:2" x14ac:dyDescent="0.25">
      <c r="A842" s="118"/>
      <c r="B842" s="136"/>
    </row>
    <row r="843" spans="1:2" x14ac:dyDescent="0.25">
      <c r="A843" s="118"/>
      <c r="B843" s="136"/>
    </row>
    <row r="844" spans="1:2" x14ac:dyDescent="0.25">
      <c r="A844" s="118"/>
      <c r="B844" s="136"/>
    </row>
    <row r="845" spans="1:2" x14ac:dyDescent="0.25">
      <c r="A845" s="118"/>
      <c r="B845" s="136"/>
    </row>
    <row r="846" spans="1:2" x14ac:dyDescent="0.25">
      <c r="A846" s="118"/>
      <c r="B846" s="136"/>
    </row>
    <row r="847" spans="1:2" x14ac:dyDescent="0.25">
      <c r="A847" s="118"/>
      <c r="B847" s="136"/>
    </row>
    <row r="848" spans="1:2" x14ac:dyDescent="0.25">
      <c r="A848" s="118"/>
      <c r="B848" s="136"/>
    </row>
    <row r="849" spans="1:2" x14ac:dyDescent="0.25">
      <c r="A849" s="118"/>
      <c r="B849" s="136"/>
    </row>
    <row r="850" spans="1:2" x14ac:dyDescent="0.25">
      <c r="A850" s="118"/>
      <c r="B850" s="136"/>
    </row>
    <row r="851" spans="1:2" x14ac:dyDescent="0.25">
      <c r="A851" s="118"/>
      <c r="B851" s="136"/>
    </row>
    <row r="852" spans="1:2" x14ac:dyDescent="0.25">
      <c r="A852" s="118"/>
      <c r="B852" s="136"/>
    </row>
    <row r="853" spans="1:2" x14ac:dyDescent="0.25">
      <c r="A853" s="118"/>
      <c r="B853" s="136"/>
    </row>
    <row r="854" spans="1:2" x14ac:dyDescent="0.25">
      <c r="A854" s="118"/>
      <c r="B854" s="136"/>
    </row>
    <row r="855" spans="1:2" x14ac:dyDescent="0.25">
      <c r="A855" s="118"/>
      <c r="B855" s="136"/>
    </row>
    <row r="856" spans="1:2" x14ac:dyDescent="0.25">
      <c r="A856" s="118"/>
      <c r="B856" s="136"/>
    </row>
    <row r="857" spans="1:2" x14ac:dyDescent="0.25">
      <c r="A857" s="118"/>
      <c r="B857" s="136"/>
    </row>
    <row r="858" spans="1:2" x14ac:dyDescent="0.25">
      <c r="A858" s="118"/>
      <c r="B858" s="136"/>
    </row>
    <row r="859" spans="1:2" x14ac:dyDescent="0.25">
      <c r="A859" s="118"/>
      <c r="B859" s="136"/>
    </row>
    <row r="860" spans="1:2" x14ac:dyDescent="0.25">
      <c r="A860" s="118"/>
      <c r="B860" s="136"/>
    </row>
    <row r="861" spans="1:2" x14ac:dyDescent="0.25">
      <c r="A861" s="118"/>
      <c r="B861" s="136"/>
    </row>
    <row r="862" spans="1:2" x14ac:dyDescent="0.25">
      <c r="A862" s="118"/>
      <c r="B862" s="136"/>
    </row>
    <row r="863" spans="1:2" x14ac:dyDescent="0.25">
      <c r="A863" s="118"/>
      <c r="B863" s="136"/>
    </row>
    <row r="864" spans="1:2" x14ac:dyDescent="0.25">
      <c r="A864" s="118"/>
      <c r="B864" s="136"/>
    </row>
    <row r="865" spans="1:2" x14ac:dyDescent="0.25">
      <c r="A865" s="118"/>
      <c r="B865" s="136"/>
    </row>
    <row r="866" spans="1:2" x14ac:dyDescent="0.25">
      <c r="A866" s="118"/>
      <c r="B866" s="136"/>
    </row>
    <row r="867" spans="1:2" x14ac:dyDescent="0.25">
      <c r="A867" s="118"/>
      <c r="B867" s="136"/>
    </row>
    <row r="868" spans="1:2" x14ac:dyDescent="0.25">
      <c r="A868" s="118"/>
      <c r="B868" s="136"/>
    </row>
    <row r="869" spans="1:2" x14ac:dyDescent="0.25">
      <c r="A869" s="118"/>
      <c r="B869" s="136"/>
    </row>
    <row r="870" spans="1:2" x14ac:dyDescent="0.25">
      <c r="A870" s="118"/>
      <c r="B870" s="136"/>
    </row>
    <row r="871" spans="1:2" x14ac:dyDescent="0.25">
      <c r="A871" s="118"/>
      <c r="B871" s="136"/>
    </row>
    <row r="872" spans="1:2" x14ac:dyDescent="0.25">
      <c r="A872" s="118"/>
      <c r="B872" s="136"/>
    </row>
    <row r="873" spans="1:2" x14ac:dyDescent="0.25">
      <c r="A873" s="118"/>
      <c r="B873" s="136"/>
    </row>
    <row r="874" spans="1:2" x14ac:dyDescent="0.25">
      <c r="A874" s="118"/>
      <c r="B874" s="136"/>
    </row>
    <row r="875" spans="1:2" x14ac:dyDescent="0.25">
      <c r="A875" s="118"/>
      <c r="B875" s="136"/>
    </row>
    <row r="876" spans="1:2" x14ac:dyDescent="0.25">
      <c r="A876" s="118"/>
      <c r="B876" s="136"/>
    </row>
    <row r="877" spans="1:2" x14ac:dyDescent="0.25">
      <c r="A877" s="118"/>
      <c r="B877" s="136"/>
    </row>
    <row r="878" spans="1:2" x14ac:dyDescent="0.25">
      <c r="A878" s="118"/>
      <c r="B878" s="136"/>
    </row>
    <row r="879" spans="1:2" x14ac:dyDescent="0.25">
      <c r="A879" s="118"/>
      <c r="B879" s="136"/>
    </row>
    <row r="880" spans="1:2" x14ac:dyDescent="0.25">
      <c r="A880" s="118"/>
      <c r="B880" s="136"/>
    </row>
    <row r="881" spans="1:2" x14ac:dyDescent="0.25">
      <c r="A881" s="118"/>
      <c r="B881" s="136"/>
    </row>
    <row r="882" spans="1:2" x14ac:dyDescent="0.25">
      <c r="A882" s="118"/>
      <c r="B882" s="136"/>
    </row>
    <row r="883" spans="1:2" x14ac:dyDescent="0.25">
      <c r="A883" s="118"/>
      <c r="B883" s="136"/>
    </row>
    <row r="884" spans="1:2" x14ac:dyDescent="0.25">
      <c r="A884" s="118"/>
      <c r="B884" s="136"/>
    </row>
    <row r="885" spans="1:2" x14ac:dyDescent="0.25">
      <c r="A885" s="118"/>
      <c r="B885" s="136"/>
    </row>
    <row r="886" spans="1:2" x14ac:dyDescent="0.25">
      <c r="A886" s="118"/>
      <c r="B886" s="136"/>
    </row>
    <row r="887" spans="1:2" x14ac:dyDescent="0.25">
      <c r="A887" s="118"/>
      <c r="B887" s="136"/>
    </row>
    <row r="888" spans="1:2" x14ac:dyDescent="0.25">
      <c r="A888" s="118"/>
      <c r="B888" s="136"/>
    </row>
    <row r="889" spans="1:2" x14ac:dyDescent="0.25">
      <c r="A889" s="118"/>
      <c r="B889" s="136"/>
    </row>
    <row r="890" spans="1:2" x14ac:dyDescent="0.25">
      <c r="A890" s="118"/>
      <c r="B890" s="136"/>
    </row>
    <row r="891" spans="1:2" x14ac:dyDescent="0.25">
      <c r="A891" s="118"/>
      <c r="B891" s="136"/>
    </row>
    <row r="892" spans="1:2" x14ac:dyDescent="0.25">
      <c r="A892" s="118"/>
      <c r="B892" s="136"/>
    </row>
    <row r="893" spans="1:2" x14ac:dyDescent="0.25">
      <c r="A893" s="118"/>
      <c r="B893" s="136"/>
    </row>
    <row r="894" spans="1:2" x14ac:dyDescent="0.25">
      <c r="A894" s="118"/>
      <c r="B894" s="136"/>
    </row>
    <row r="895" spans="1:2" x14ac:dyDescent="0.25">
      <c r="A895" s="118"/>
      <c r="B895" s="136"/>
    </row>
    <row r="896" spans="1:2" x14ac:dyDescent="0.25">
      <c r="A896" s="118"/>
      <c r="B896" s="136"/>
    </row>
    <row r="897" spans="1:2" x14ac:dyDescent="0.25">
      <c r="A897" s="118"/>
      <c r="B897" s="136"/>
    </row>
    <row r="898" spans="1:2" x14ac:dyDescent="0.25">
      <c r="A898" s="118"/>
      <c r="B898" s="136"/>
    </row>
    <row r="899" spans="1:2" x14ac:dyDescent="0.25">
      <c r="A899" s="118"/>
      <c r="B899" s="136"/>
    </row>
    <row r="900" spans="1:2" x14ac:dyDescent="0.25">
      <c r="A900" s="118"/>
      <c r="B900" s="136"/>
    </row>
    <row r="901" spans="1:2" x14ac:dyDescent="0.25">
      <c r="A901" s="118"/>
      <c r="B901" s="136"/>
    </row>
    <row r="902" spans="1:2" x14ac:dyDescent="0.25">
      <c r="A902" s="118"/>
      <c r="B902" s="136"/>
    </row>
    <row r="903" spans="1:2" x14ac:dyDescent="0.25">
      <c r="A903" s="118"/>
      <c r="B903" s="136"/>
    </row>
    <row r="904" spans="1:2" x14ac:dyDescent="0.25">
      <c r="A904" s="118"/>
      <c r="B904" s="136"/>
    </row>
    <row r="905" spans="1:2" x14ac:dyDescent="0.25">
      <c r="A905" s="118"/>
      <c r="B905" s="136"/>
    </row>
    <row r="906" spans="1:2" x14ac:dyDescent="0.25">
      <c r="A906" s="118"/>
      <c r="B906" s="136"/>
    </row>
    <row r="907" spans="1:2" x14ac:dyDescent="0.25">
      <c r="A907" s="118"/>
      <c r="B907" s="136"/>
    </row>
    <row r="908" spans="1:2" x14ac:dyDescent="0.25">
      <c r="A908" s="118"/>
      <c r="B908" s="136"/>
    </row>
    <row r="909" spans="1:2" x14ac:dyDescent="0.25">
      <c r="A909" s="118"/>
      <c r="B909" s="136"/>
    </row>
    <row r="910" spans="1:2" x14ac:dyDescent="0.25">
      <c r="A910" s="118"/>
      <c r="B910" s="136"/>
    </row>
    <row r="911" spans="1:2" x14ac:dyDescent="0.25">
      <c r="A911" s="118"/>
      <c r="B911" s="136"/>
    </row>
    <row r="912" spans="1:2" x14ac:dyDescent="0.25">
      <c r="A912" s="118"/>
      <c r="B912" s="136"/>
    </row>
    <row r="913" spans="1:2" x14ac:dyDescent="0.25">
      <c r="A913" s="118"/>
      <c r="B913" s="136"/>
    </row>
    <row r="914" spans="1:2" x14ac:dyDescent="0.25">
      <c r="A914" s="118"/>
      <c r="B914" s="136"/>
    </row>
    <row r="915" spans="1:2" x14ac:dyDescent="0.25">
      <c r="A915" s="118"/>
      <c r="B915" s="136"/>
    </row>
    <row r="916" spans="1:2" x14ac:dyDescent="0.25">
      <c r="A916" s="118"/>
      <c r="B916" s="136"/>
    </row>
    <row r="917" spans="1:2" x14ac:dyDescent="0.25">
      <c r="A917" s="118"/>
      <c r="B917" s="136"/>
    </row>
    <row r="918" spans="1:2" x14ac:dyDescent="0.25">
      <c r="A918" s="118"/>
      <c r="B918" s="136"/>
    </row>
    <row r="919" spans="1:2" x14ac:dyDescent="0.25">
      <c r="A919" s="118"/>
      <c r="B919" s="136"/>
    </row>
    <row r="920" spans="1:2" x14ac:dyDescent="0.25">
      <c r="A920" s="118"/>
      <c r="B920" s="136"/>
    </row>
    <row r="921" spans="1:2" x14ac:dyDescent="0.25">
      <c r="A921" s="118"/>
      <c r="B921" s="136"/>
    </row>
    <row r="922" spans="1:2" x14ac:dyDescent="0.25">
      <c r="A922" s="118"/>
      <c r="B922" s="136"/>
    </row>
    <row r="923" spans="1:2" x14ac:dyDescent="0.25">
      <c r="A923" s="118"/>
      <c r="B923" s="136"/>
    </row>
    <row r="924" spans="1:2" x14ac:dyDescent="0.25">
      <c r="A924" s="118"/>
      <c r="B924" s="136"/>
    </row>
    <row r="925" spans="1:2" x14ac:dyDescent="0.25">
      <c r="A925" s="118"/>
      <c r="B925" s="136"/>
    </row>
    <row r="926" spans="1:2" x14ac:dyDescent="0.25">
      <c r="A926" s="118"/>
      <c r="B926" s="136"/>
    </row>
    <row r="927" spans="1:2" x14ac:dyDescent="0.25">
      <c r="A927" s="118"/>
      <c r="B927" s="136"/>
    </row>
    <row r="928" spans="1:2" x14ac:dyDescent="0.25">
      <c r="A928" s="118"/>
      <c r="B928" s="136"/>
    </row>
    <row r="929" spans="1:2" x14ac:dyDescent="0.25">
      <c r="A929" s="118"/>
      <c r="B929" s="136"/>
    </row>
    <row r="930" spans="1:2" x14ac:dyDescent="0.25">
      <c r="A930" s="118"/>
      <c r="B930" s="136"/>
    </row>
    <row r="931" spans="1:2" x14ac:dyDescent="0.25">
      <c r="A931" s="118"/>
      <c r="B931" s="136"/>
    </row>
    <row r="932" spans="1:2" x14ac:dyDescent="0.25">
      <c r="A932" s="118"/>
      <c r="B932" s="136"/>
    </row>
    <row r="933" spans="1:2" x14ac:dyDescent="0.25">
      <c r="A933" s="118"/>
      <c r="B933" s="136"/>
    </row>
    <row r="934" spans="1:2" x14ac:dyDescent="0.25">
      <c r="A934" s="118"/>
      <c r="B934" s="136"/>
    </row>
    <row r="935" spans="1:2" x14ac:dyDescent="0.25">
      <c r="A935" s="118"/>
      <c r="B935" s="136"/>
    </row>
    <row r="936" spans="1:2" x14ac:dyDescent="0.25">
      <c r="A936" s="118"/>
      <c r="B936" s="136"/>
    </row>
    <row r="937" spans="1:2" x14ac:dyDescent="0.25">
      <c r="A937" s="118"/>
      <c r="B937" s="136"/>
    </row>
    <row r="938" spans="1:2" x14ac:dyDescent="0.25">
      <c r="A938" s="118"/>
      <c r="B938" s="136"/>
    </row>
    <row r="939" spans="1:2" x14ac:dyDescent="0.25">
      <c r="A939" s="118"/>
      <c r="B939" s="136"/>
    </row>
    <row r="940" spans="1:2" x14ac:dyDescent="0.25">
      <c r="A940" s="118"/>
      <c r="B940" s="136"/>
    </row>
    <row r="941" spans="1:2" x14ac:dyDescent="0.25">
      <c r="A941" s="118"/>
      <c r="B941" s="136"/>
    </row>
    <row r="942" spans="1:2" x14ac:dyDescent="0.25">
      <c r="A942" s="118"/>
      <c r="B942" s="136"/>
    </row>
    <row r="943" spans="1:2" x14ac:dyDescent="0.25">
      <c r="A943" s="118"/>
      <c r="B943" s="136"/>
    </row>
    <row r="944" spans="1:2" x14ac:dyDescent="0.25">
      <c r="A944" s="118"/>
      <c r="B944" s="136"/>
    </row>
    <row r="945" spans="1:2" x14ac:dyDescent="0.25">
      <c r="A945" s="118"/>
      <c r="B945" s="136"/>
    </row>
    <row r="946" spans="1:2" x14ac:dyDescent="0.25">
      <c r="A946" s="118"/>
      <c r="B946" s="136"/>
    </row>
    <row r="947" spans="1:2" x14ac:dyDescent="0.25">
      <c r="A947" s="118"/>
      <c r="B947" s="136"/>
    </row>
    <row r="948" spans="1:2" x14ac:dyDescent="0.25">
      <c r="A948" s="118"/>
      <c r="B948" s="136"/>
    </row>
    <row r="949" spans="1:2" x14ac:dyDescent="0.25">
      <c r="A949" s="118"/>
      <c r="B949" s="136"/>
    </row>
    <row r="950" spans="1:2" x14ac:dyDescent="0.25">
      <c r="A950" s="118"/>
      <c r="B950" s="136"/>
    </row>
    <row r="951" spans="1:2" x14ac:dyDescent="0.25">
      <c r="A951" s="118"/>
      <c r="B951" s="136"/>
    </row>
    <row r="952" spans="1:2" x14ac:dyDescent="0.25">
      <c r="A952" s="118"/>
      <c r="B952" s="136"/>
    </row>
    <row r="953" spans="1:2" x14ac:dyDescent="0.25">
      <c r="A953" s="118"/>
      <c r="B953" s="136"/>
    </row>
    <row r="954" spans="1:2" x14ac:dyDescent="0.25">
      <c r="A954" s="118"/>
      <c r="B954" s="136"/>
    </row>
    <row r="955" spans="1:2" x14ac:dyDescent="0.25">
      <c r="A955" s="118"/>
      <c r="B955" s="136"/>
    </row>
    <row r="956" spans="1:2" x14ac:dyDescent="0.25">
      <c r="A956" s="118"/>
      <c r="B956" s="136"/>
    </row>
    <row r="957" spans="1:2" x14ac:dyDescent="0.25">
      <c r="A957" s="118"/>
      <c r="B957" s="136"/>
    </row>
    <row r="958" spans="1:2" x14ac:dyDescent="0.25">
      <c r="A958" s="118"/>
      <c r="B958" s="136"/>
    </row>
    <row r="959" spans="1:2" x14ac:dyDescent="0.25">
      <c r="A959" s="118"/>
      <c r="B959" s="136"/>
    </row>
    <row r="960" spans="1:2" x14ac:dyDescent="0.25">
      <c r="A960" s="118"/>
      <c r="B960" s="136"/>
    </row>
    <row r="961" spans="1:2" x14ac:dyDescent="0.25">
      <c r="A961" s="118"/>
      <c r="B961" s="136"/>
    </row>
    <row r="962" spans="1:2" x14ac:dyDescent="0.25">
      <c r="A962" s="118"/>
      <c r="B962" s="136"/>
    </row>
    <row r="963" spans="1:2" x14ac:dyDescent="0.25">
      <c r="A963" s="118"/>
      <c r="B963" s="136"/>
    </row>
    <row r="964" spans="1:2" x14ac:dyDescent="0.25">
      <c r="A964" s="118"/>
      <c r="B964" s="136"/>
    </row>
    <row r="965" spans="1:2" x14ac:dyDescent="0.25">
      <c r="A965" s="118"/>
      <c r="B965" s="136"/>
    </row>
    <row r="966" spans="1:2" x14ac:dyDescent="0.25">
      <c r="A966" s="118"/>
      <c r="B966" s="136"/>
    </row>
    <row r="967" spans="1:2" x14ac:dyDescent="0.25">
      <c r="A967" s="118"/>
      <c r="B967" s="136"/>
    </row>
    <row r="968" spans="1:2" x14ac:dyDescent="0.25">
      <c r="A968" s="118"/>
      <c r="B968" s="136"/>
    </row>
    <row r="969" spans="1:2" x14ac:dyDescent="0.25">
      <c r="A969" s="118"/>
      <c r="B969" s="136"/>
    </row>
    <row r="970" spans="1:2" x14ac:dyDescent="0.25">
      <c r="A970" s="118"/>
      <c r="B970" s="136"/>
    </row>
    <row r="971" spans="1:2" x14ac:dyDescent="0.25">
      <c r="A971" s="118"/>
      <c r="B971" s="136"/>
    </row>
    <row r="972" spans="1:2" x14ac:dyDescent="0.25">
      <c r="A972" s="118"/>
      <c r="B972" s="136"/>
    </row>
    <row r="973" spans="1:2" x14ac:dyDescent="0.25">
      <c r="A973" s="118"/>
      <c r="B973" s="136"/>
    </row>
    <row r="974" spans="1:2" x14ac:dyDescent="0.25">
      <c r="A974" s="118"/>
      <c r="B974" s="136"/>
    </row>
    <row r="975" spans="1:2" x14ac:dyDescent="0.25">
      <c r="A975" s="118"/>
      <c r="B975" s="136"/>
    </row>
    <row r="976" spans="1:2" x14ac:dyDescent="0.25">
      <c r="A976" s="118"/>
      <c r="B976" s="136"/>
    </row>
    <row r="977" spans="1:2" x14ac:dyDescent="0.25">
      <c r="A977" s="118"/>
      <c r="B977" s="136"/>
    </row>
    <row r="978" spans="1:2" x14ac:dyDescent="0.25">
      <c r="A978" s="118"/>
      <c r="B978" s="136"/>
    </row>
    <row r="979" spans="1:2" x14ac:dyDescent="0.25">
      <c r="A979" s="118"/>
      <c r="B979" s="136"/>
    </row>
    <row r="980" spans="1:2" x14ac:dyDescent="0.25">
      <c r="A980" s="118"/>
      <c r="B980" s="136"/>
    </row>
    <row r="981" spans="1:2" x14ac:dyDescent="0.25">
      <c r="A981" s="118"/>
      <c r="B981" s="136"/>
    </row>
    <row r="982" spans="1:2" x14ac:dyDescent="0.25">
      <c r="A982" s="118"/>
      <c r="B982" s="136"/>
    </row>
    <row r="983" spans="1:2" x14ac:dyDescent="0.25">
      <c r="A983" s="118"/>
      <c r="B983" s="136"/>
    </row>
    <row r="984" spans="1:2" x14ac:dyDescent="0.25">
      <c r="A984" s="118"/>
      <c r="B984" s="136"/>
    </row>
    <row r="985" spans="1:2" x14ac:dyDescent="0.25">
      <c r="A985" s="118"/>
      <c r="B985" s="136"/>
    </row>
    <row r="986" spans="1:2" x14ac:dyDescent="0.25">
      <c r="A986" s="118"/>
      <c r="B986" s="136"/>
    </row>
    <row r="987" spans="1:2" x14ac:dyDescent="0.25">
      <c r="A987" s="118"/>
      <c r="B987" s="136"/>
    </row>
    <row r="988" spans="1:2" x14ac:dyDescent="0.25">
      <c r="A988" s="118"/>
      <c r="B988" s="136"/>
    </row>
    <row r="989" spans="1:2" x14ac:dyDescent="0.25">
      <c r="A989" s="118"/>
      <c r="B989" s="136"/>
    </row>
    <row r="990" spans="1:2" x14ac:dyDescent="0.25">
      <c r="A990" s="118"/>
      <c r="B990" s="136"/>
    </row>
    <row r="991" spans="1:2" x14ac:dyDescent="0.25">
      <c r="A991" s="118"/>
      <c r="B991" s="136"/>
    </row>
    <row r="992" spans="1:2" x14ac:dyDescent="0.25">
      <c r="A992" s="118"/>
      <c r="B992" s="136"/>
    </row>
    <row r="993" spans="1:2" x14ac:dyDescent="0.25">
      <c r="A993" s="118"/>
      <c r="B993" s="136"/>
    </row>
    <row r="994" spans="1:2" x14ac:dyDescent="0.25">
      <c r="A994" s="118"/>
      <c r="B994" s="136"/>
    </row>
    <row r="995" spans="1:2" x14ac:dyDescent="0.25">
      <c r="A995" s="118"/>
      <c r="B995" s="136"/>
    </row>
    <row r="996" spans="1:2" x14ac:dyDescent="0.25">
      <c r="A996" s="118"/>
      <c r="B996" s="136"/>
    </row>
    <row r="997" spans="1:2" x14ac:dyDescent="0.25">
      <c r="A997" s="118"/>
      <c r="B997" s="136"/>
    </row>
    <row r="998" spans="1:2" x14ac:dyDescent="0.25">
      <c r="A998" s="118"/>
      <c r="B998" s="136"/>
    </row>
    <row r="999" spans="1:2" x14ac:dyDescent="0.25">
      <c r="A999" s="118"/>
      <c r="B999" s="136"/>
    </row>
    <row r="1000" spans="1:2" x14ac:dyDescent="0.25">
      <c r="A1000" s="118"/>
      <c r="B1000" s="136"/>
    </row>
    <row r="1001" spans="1:2" x14ac:dyDescent="0.25">
      <c r="A1001" s="118"/>
      <c r="B1001" s="136"/>
    </row>
    <row r="1002" spans="1:2" x14ac:dyDescent="0.25">
      <c r="A1002" s="118"/>
      <c r="B1002" s="136"/>
    </row>
    <row r="1003" spans="1:2" x14ac:dyDescent="0.25">
      <c r="A1003" s="118"/>
      <c r="B1003" s="136"/>
    </row>
    <row r="1004" spans="1:2" x14ac:dyDescent="0.25">
      <c r="A1004" s="118"/>
      <c r="B1004" s="136"/>
    </row>
    <row r="1005" spans="1:2" x14ac:dyDescent="0.25">
      <c r="A1005" s="118"/>
      <c r="B1005" s="136"/>
    </row>
    <row r="1006" spans="1:2" x14ac:dyDescent="0.25">
      <c r="A1006" s="118"/>
      <c r="B1006" s="136"/>
    </row>
    <row r="1007" spans="1:2" x14ac:dyDescent="0.25">
      <c r="A1007" s="118"/>
      <c r="B1007" s="136"/>
    </row>
    <row r="1008" spans="1:2" x14ac:dyDescent="0.25">
      <c r="A1008" s="118"/>
      <c r="B1008" s="136"/>
    </row>
    <row r="1009" spans="1:2" x14ac:dyDescent="0.25">
      <c r="A1009" s="118"/>
      <c r="B1009" s="136"/>
    </row>
    <row r="1010" spans="1:2" x14ac:dyDescent="0.25">
      <c r="A1010" s="118"/>
      <c r="B1010" s="136"/>
    </row>
    <row r="1011" spans="1:2" x14ac:dyDescent="0.25">
      <c r="A1011" s="118"/>
      <c r="B1011" s="136"/>
    </row>
    <row r="1012" spans="1:2" x14ac:dyDescent="0.25">
      <c r="A1012" s="118"/>
      <c r="B1012" s="136"/>
    </row>
    <row r="1013" spans="1:2" x14ac:dyDescent="0.25">
      <c r="A1013" s="118"/>
      <c r="B1013" s="136"/>
    </row>
    <row r="1014" spans="1:2" x14ac:dyDescent="0.25">
      <c r="A1014" s="118"/>
      <c r="B1014" s="136"/>
    </row>
    <row r="1015" spans="1:2" x14ac:dyDescent="0.25">
      <c r="A1015" s="118"/>
      <c r="B1015" s="136"/>
    </row>
    <row r="1016" spans="1:2" x14ac:dyDescent="0.25">
      <c r="A1016" s="118"/>
      <c r="B1016" s="136"/>
    </row>
    <row r="1017" spans="1:2" x14ac:dyDescent="0.25">
      <c r="A1017" s="118"/>
      <c r="B1017" s="136"/>
    </row>
    <row r="1018" spans="1:2" x14ac:dyDescent="0.25">
      <c r="A1018" s="118"/>
      <c r="B1018" s="136"/>
    </row>
    <row r="1019" spans="1:2" x14ac:dyDescent="0.25">
      <c r="A1019" s="118"/>
      <c r="B1019" s="136"/>
    </row>
    <row r="1020" spans="1:2" x14ac:dyDescent="0.25">
      <c r="A1020" s="118"/>
      <c r="B1020" s="136"/>
    </row>
    <row r="1021" spans="1:2" x14ac:dyDescent="0.25">
      <c r="A1021" s="118"/>
      <c r="B1021" s="136"/>
    </row>
    <row r="1022" spans="1:2" x14ac:dyDescent="0.25">
      <c r="A1022" s="118"/>
      <c r="B1022" s="136"/>
    </row>
    <row r="1023" spans="1:2" x14ac:dyDescent="0.25">
      <c r="A1023" s="118"/>
      <c r="B1023" s="136"/>
    </row>
    <row r="1024" spans="1:2" x14ac:dyDescent="0.25">
      <c r="A1024" s="118"/>
      <c r="B1024" s="136"/>
    </row>
    <row r="1025" spans="1:2" x14ac:dyDescent="0.25">
      <c r="A1025" s="118"/>
      <c r="B1025" s="136"/>
    </row>
    <row r="1026" spans="1:2" x14ac:dyDescent="0.25">
      <c r="A1026" s="118"/>
      <c r="B1026" s="136"/>
    </row>
    <row r="1027" spans="1:2" x14ac:dyDescent="0.25">
      <c r="A1027" s="118"/>
      <c r="B1027" s="136"/>
    </row>
    <row r="1028" spans="1:2" x14ac:dyDescent="0.25">
      <c r="A1028" s="118"/>
      <c r="B1028" s="136"/>
    </row>
    <row r="1029" spans="1:2" x14ac:dyDescent="0.25">
      <c r="A1029" s="118"/>
      <c r="B1029" s="136"/>
    </row>
    <row r="1030" spans="1:2" x14ac:dyDescent="0.25">
      <c r="A1030" s="118"/>
      <c r="B1030" s="136"/>
    </row>
    <row r="1031" spans="1:2" x14ac:dyDescent="0.25">
      <c r="A1031" s="118"/>
      <c r="B1031" s="136"/>
    </row>
    <row r="1032" spans="1:2" x14ac:dyDescent="0.25">
      <c r="A1032" s="118"/>
      <c r="B1032" s="136"/>
    </row>
    <row r="1033" spans="1:2" x14ac:dyDescent="0.25">
      <c r="A1033" s="118"/>
      <c r="B1033" s="136"/>
    </row>
    <row r="1034" spans="1:2" x14ac:dyDescent="0.25">
      <c r="A1034" s="118"/>
      <c r="B1034" s="136"/>
    </row>
    <row r="1035" spans="1:2" x14ac:dyDescent="0.25">
      <c r="A1035" s="118"/>
      <c r="B1035" s="136"/>
    </row>
    <row r="1036" spans="1:2" x14ac:dyDescent="0.25">
      <c r="A1036" s="118"/>
      <c r="B1036" s="136"/>
    </row>
    <row r="1037" spans="1:2" x14ac:dyDescent="0.25">
      <c r="A1037" s="118"/>
      <c r="B1037" s="136"/>
    </row>
    <row r="1038" spans="1:2" x14ac:dyDescent="0.25">
      <c r="A1038" s="118"/>
      <c r="B1038" s="136"/>
    </row>
    <row r="1039" spans="1:2" x14ac:dyDescent="0.25">
      <c r="A1039" s="118"/>
      <c r="B1039" s="136"/>
    </row>
    <row r="1040" spans="1:2" x14ac:dyDescent="0.25">
      <c r="A1040" s="118"/>
      <c r="B1040" s="136"/>
    </row>
    <row r="1041" spans="1:2" x14ac:dyDescent="0.25">
      <c r="A1041" s="118"/>
      <c r="B1041" s="136"/>
    </row>
    <row r="1042" spans="1:2" x14ac:dyDescent="0.25">
      <c r="A1042" s="118"/>
      <c r="B1042" s="136"/>
    </row>
    <row r="1043" spans="1:2" x14ac:dyDescent="0.25">
      <c r="A1043" s="118"/>
      <c r="B1043" s="136"/>
    </row>
    <row r="1044" spans="1:2" x14ac:dyDescent="0.25">
      <c r="A1044" s="118"/>
      <c r="B1044" s="136"/>
    </row>
    <row r="1045" spans="1:2" x14ac:dyDescent="0.25">
      <c r="A1045" s="118"/>
      <c r="B1045" s="136"/>
    </row>
    <row r="1046" spans="1:2" x14ac:dyDescent="0.25">
      <c r="A1046" s="118"/>
      <c r="B1046" s="136"/>
    </row>
    <row r="1047" spans="1:2" x14ac:dyDescent="0.25">
      <c r="A1047" s="118"/>
      <c r="B1047" s="136"/>
    </row>
    <row r="1048" spans="1:2" x14ac:dyDescent="0.25">
      <c r="A1048" s="118"/>
      <c r="B1048" s="136"/>
    </row>
    <row r="1049" spans="1:2" x14ac:dyDescent="0.25">
      <c r="A1049" s="118"/>
      <c r="B1049" s="136"/>
    </row>
    <row r="1050" spans="1:2" x14ac:dyDescent="0.25">
      <c r="A1050" s="118"/>
      <c r="B1050" s="136"/>
    </row>
    <row r="1051" spans="1:2" x14ac:dyDescent="0.25">
      <c r="A1051" s="118"/>
      <c r="B1051" s="136"/>
    </row>
    <row r="1052" spans="1:2" x14ac:dyDescent="0.25">
      <c r="A1052" s="118"/>
      <c r="B1052" s="136"/>
    </row>
    <row r="1053" spans="1:2" x14ac:dyDescent="0.25">
      <c r="A1053" s="118"/>
      <c r="B1053" s="136"/>
    </row>
    <row r="1054" spans="1:2" x14ac:dyDescent="0.25">
      <c r="A1054" s="118"/>
      <c r="B1054" s="136"/>
    </row>
    <row r="1055" spans="1:2" x14ac:dyDescent="0.25">
      <c r="A1055" s="118"/>
      <c r="B1055" s="136"/>
    </row>
    <row r="1056" spans="1:2" x14ac:dyDescent="0.25">
      <c r="A1056" s="118"/>
      <c r="B1056" s="136"/>
    </row>
    <row r="1057" spans="1:2" x14ac:dyDescent="0.25">
      <c r="A1057" s="118"/>
      <c r="B1057" s="136"/>
    </row>
    <row r="1058" spans="1:2" x14ac:dyDescent="0.25">
      <c r="A1058" s="118"/>
      <c r="B1058" s="136"/>
    </row>
    <row r="1059" spans="1:2" x14ac:dyDescent="0.25">
      <c r="A1059" s="118"/>
      <c r="B1059" s="136"/>
    </row>
    <row r="1060" spans="1:2" x14ac:dyDescent="0.25">
      <c r="A1060" s="118"/>
      <c r="B1060" s="136"/>
    </row>
    <row r="1061" spans="1:2" x14ac:dyDescent="0.25">
      <c r="A1061" s="118"/>
      <c r="B1061" s="136"/>
    </row>
    <row r="1062" spans="1:2" x14ac:dyDescent="0.25">
      <c r="A1062" s="118"/>
      <c r="B1062" s="136"/>
    </row>
    <row r="1063" spans="1:2" x14ac:dyDescent="0.25">
      <c r="A1063" s="118"/>
      <c r="B1063" s="136"/>
    </row>
    <row r="1064" spans="1:2" x14ac:dyDescent="0.25">
      <c r="A1064" s="118"/>
      <c r="B1064" s="136"/>
    </row>
    <row r="1065" spans="1:2" x14ac:dyDescent="0.25">
      <c r="A1065" s="118"/>
      <c r="B1065" s="136"/>
    </row>
    <row r="1066" spans="1:2" x14ac:dyDescent="0.25">
      <c r="A1066" s="118"/>
      <c r="B1066" s="136"/>
    </row>
    <row r="1067" spans="1:2" x14ac:dyDescent="0.25">
      <c r="A1067" s="118"/>
      <c r="B1067" s="136"/>
    </row>
    <row r="1068" spans="1:2" x14ac:dyDescent="0.25">
      <c r="A1068" s="118"/>
      <c r="B1068" s="136"/>
    </row>
    <row r="1069" spans="1:2" x14ac:dyDescent="0.25">
      <c r="A1069" s="118"/>
      <c r="B1069" s="136"/>
    </row>
    <row r="1070" spans="1:2" x14ac:dyDescent="0.25">
      <c r="A1070" s="118"/>
      <c r="B1070" s="136"/>
    </row>
    <row r="1071" spans="1:2" x14ac:dyDescent="0.25">
      <c r="A1071" s="118"/>
      <c r="B1071" s="136"/>
    </row>
    <row r="1072" spans="1:2" x14ac:dyDescent="0.25">
      <c r="A1072" s="118"/>
      <c r="B1072" s="136"/>
    </row>
    <row r="1073" spans="1:2" x14ac:dyDescent="0.25">
      <c r="A1073" s="118"/>
      <c r="B1073" s="136"/>
    </row>
    <row r="1074" spans="1:2" x14ac:dyDescent="0.25">
      <c r="A1074" s="118"/>
      <c r="B1074" s="136"/>
    </row>
    <row r="1075" spans="1:2" x14ac:dyDescent="0.25">
      <c r="A1075" s="118"/>
      <c r="B1075" s="136"/>
    </row>
    <row r="1076" spans="1:2" x14ac:dyDescent="0.25">
      <c r="A1076" s="118"/>
      <c r="B1076" s="136"/>
    </row>
    <row r="1077" spans="1:2" x14ac:dyDescent="0.25">
      <c r="A1077" s="118"/>
      <c r="B1077" s="136"/>
    </row>
    <row r="1078" spans="1:2" x14ac:dyDescent="0.25">
      <c r="A1078" s="118"/>
      <c r="B1078" s="136"/>
    </row>
    <row r="1079" spans="1:2" x14ac:dyDescent="0.25">
      <c r="A1079" s="118"/>
      <c r="B1079" s="136"/>
    </row>
    <row r="1080" spans="1:2" x14ac:dyDescent="0.25">
      <c r="A1080" s="118"/>
      <c r="B1080" s="136"/>
    </row>
    <row r="1081" spans="1:2" x14ac:dyDescent="0.25">
      <c r="A1081" s="118"/>
      <c r="B1081" s="136"/>
    </row>
    <row r="1082" spans="1:2" x14ac:dyDescent="0.25">
      <c r="A1082" s="118"/>
      <c r="B1082" s="136"/>
    </row>
    <row r="1083" spans="1:2" x14ac:dyDescent="0.25">
      <c r="A1083" s="118"/>
      <c r="B1083" s="136"/>
    </row>
    <row r="1084" spans="1:2" x14ac:dyDescent="0.25">
      <c r="A1084" s="118"/>
      <c r="B1084" s="136"/>
    </row>
    <row r="1085" spans="1:2" x14ac:dyDescent="0.25">
      <c r="A1085" s="118"/>
      <c r="B1085" s="136"/>
    </row>
    <row r="1086" spans="1:2" x14ac:dyDescent="0.25">
      <c r="A1086" s="118"/>
      <c r="B1086" s="136"/>
    </row>
    <row r="1087" spans="1:2" x14ac:dyDescent="0.25">
      <c r="A1087" s="118"/>
      <c r="B1087" s="136"/>
    </row>
    <row r="1088" spans="1:2" x14ac:dyDescent="0.25">
      <c r="A1088" s="118"/>
      <c r="B1088" s="136"/>
    </row>
    <row r="1089" spans="1:2" x14ac:dyDescent="0.25">
      <c r="A1089" s="118"/>
      <c r="B1089" s="136"/>
    </row>
    <row r="1090" spans="1:2" x14ac:dyDescent="0.25">
      <c r="A1090" s="118"/>
      <c r="B1090" s="136"/>
    </row>
    <row r="1091" spans="1:2" x14ac:dyDescent="0.25">
      <c r="A1091" s="118"/>
      <c r="B1091" s="136"/>
    </row>
    <row r="1092" spans="1:2" x14ac:dyDescent="0.25">
      <c r="A1092" s="118"/>
      <c r="B1092" s="136"/>
    </row>
    <row r="1093" spans="1:2" x14ac:dyDescent="0.25">
      <c r="A1093" s="118"/>
      <c r="B1093" s="136"/>
    </row>
    <row r="1094" spans="1:2" x14ac:dyDescent="0.25">
      <c r="A1094" s="118"/>
      <c r="B1094" s="136"/>
    </row>
    <row r="1095" spans="1:2" x14ac:dyDescent="0.25">
      <c r="A1095" s="118"/>
      <c r="B1095" s="136"/>
    </row>
    <row r="1096" spans="1:2" x14ac:dyDescent="0.25">
      <c r="A1096" s="118"/>
      <c r="B1096" s="136"/>
    </row>
    <row r="1097" spans="1:2" x14ac:dyDescent="0.25">
      <c r="A1097" s="118"/>
      <c r="B1097" s="136"/>
    </row>
    <row r="1098" spans="1:2" x14ac:dyDescent="0.25">
      <c r="A1098" s="118"/>
      <c r="B1098" s="136"/>
    </row>
    <row r="1099" spans="1:2" x14ac:dyDescent="0.25">
      <c r="A1099" s="118"/>
      <c r="B1099" s="136"/>
    </row>
    <row r="1100" spans="1:2" x14ac:dyDescent="0.25">
      <c r="A1100" s="118"/>
      <c r="B1100" s="136"/>
    </row>
    <row r="1101" spans="1:2" x14ac:dyDescent="0.25">
      <c r="A1101" s="118"/>
      <c r="B1101" s="136"/>
    </row>
    <row r="1102" spans="1:2" x14ac:dyDescent="0.25">
      <c r="A1102" s="118"/>
      <c r="B1102" s="136"/>
    </row>
    <row r="1103" spans="1:2" x14ac:dyDescent="0.25">
      <c r="A1103" s="118"/>
      <c r="B1103" s="136"/>
    </row>
    <row r="1104" spans="1:2" x14ac:dyDescent="0.25">
      <c r="A1104" s="118"/>
      <c r="B1104" s="136"/>
    </row>
    <row r="1105" spans="1:2" x14ac:dyDescent="0.25">
      <c r="A1105" s="118"/>
      <c r="B1105" s="136"/>
    </row>
    <row r="1106" spans="1:2" x14ac:dyDescent="0.25">
      <c r="A1106" s="118"/>
      <c r="B1106" s="136"/>
    </row>
    <row r="1107" spans="1:2" x14ac:dyDescent="0.25">
      <c r="A1107" s="118"/>
      <c r="B1107" s="136"/>
    </row>
    <row r="1108" spans="1:2" x14ac:dyDescent="0.25">
      <c r="A1108" s="118"/>
      <c r="B1108" s="136"/>
    </row>
    <row r="1109" spans="1:2" x14ac:dyDescent="0.25">
      <c r="A1109" s="118"/>
      <c r="B1109" s="136"/>
    </row>
    <row r="1110" spans="1:2" x14ac:dyDescent="0.25">
      <c r="A1110" s="118"/>
      <c r="B1110" s="136"/>
    </row>
    <row r="1111" spans="1:2" x14ac:dyDescent="0.25">
      <c r="A1111" s="118"/>
      <c r="B1111" s="136"/>
    </row>
    <row r="1112" spans="1:2" x14ac:dyDescent="0.25">
      <c r="A1112" s="118"/>
      <c r="B1112" s="136"/>
    </row>
    <row r="1113" spans="1:2" x14ac:dyDescent="0.25">
      <c r="A1113" s="118"/>
      <c r="B1113" s="136"/>
    </row>
    <row r="1114" spans="1:2" x14ac:dyDescent="0.25">
      <c r="A1114" s="118"/>
      <c r="B1114" s="136"/>
    </row>
    <row r="1115" spans="1:2" x14ac:dyDescent="0.25">
      <c r="A1115" s="118"/>
      <c r="B1115" s="136"/>
    </row>
    <row r="1116" spans="1:2" x14ac:dyDescent="0.25">
      <c r="A1116" s="118"/>
      <c r="B1116" s="136"/>
    </row>
    <row r="1117" spans="1:2" x14ac:dyDescent="0.25">
      <c r="A1117" s="118"/>
      <c r="B1117" s="136"/>
    </row>
    <row r="1118" spans="1:2" x14ac:dyDescent="0.25">
      <c r="A1118" s="118"/>
      <c r="B1118" s="136"/>
    </row>
    <row r="1119" spans="1:2" x14ac:dyDescent="0.25">
      <c r="A1119" s="118"/>
      <c r="B1119" s="136"/>
    </row>
    <row r="1120" spans="1:2" x14ac:dyDescent="0.25">
      <c r="A1120" s="118"/>
      <c r="B1120" s="136"/>
    </row>
    <row r="1121" spans="1:2" x14ac:dyDescent="0.25">
      <c r="A1121" s="118"/>
      <c r="B1121" s="136"/>
    </row>
    <row r="1122" spans="1:2" x14ac:dyDescent="0.25">
      <c r="A1122" s="118"/>
      <c r="B1122" s="136"/>
    </row>
    <row r="1123" spans="1:2" x14ac:dyDescent="0.25">
      <c r="A1123" s="118"/>
      <c r="B1123" s="136"/>
    </row>
    <row r="1124" spans="1:2" x14ac:dyDescent="0.25">
      <c r="A1124" s="118"/>
      <c r="B1124" s="136"/>
    </row>
    <row r="1125" spans="1:2" x14ac:dyDescent="0.25">
      <c r="A1125" s="118"/>
      <c r="B1125" s="136"/>
    </row>
    <row r="1126" spans="1:2" x14ac:dyDescent="0.25">
      <c r="A1126" s="118"/>
      <c r="B1126" s="136"/>
    </row>
    <row r="1127" spans="1:2" x14ac:dyDescent="0.25">
      <c r="A1127" s="118"/>
      <c r="B1127" s="136"/>
    </row>
    <row r="1128" spans="1:2" x14ac:dyDescent="0.25">
      <c r="A1128" s="118"/>
      <c r="B1128" s="136"/>
    </row>
    <row r="1129" spans="1:2" x14ac:dyDescent="0.25">
      <c r="A1129" s="118"/>
      <c r="B1129" s="136"/>
    </row>
    <row r="1130" spans="1:2" x14ac:dyDescent="0.25">
      <c r="A1130" s="118"/>
      <c r="B1130" s="136"/>
    </row>
    <row r="1131" spans="1:2" x14ac:dyDescent="0.25">
      <c r="A1131" s="118"/>
      <c r="B1131" s="136"/>
    </row>
    <row r="1132" spans="1:2" x14ac:dyDescent="0.25">
      <c r="A1132" s="118"/>
      <c r="B1132" s="136"/>
    </row>
    <row r="1133" spans="1:2" x14ac:dyDescent="0.25">
      <c r="A1133" s="118"/>
      <c r="B1133" s="136"/>
    </row>
    <row r="1134" spans="1:2" x14ac:dyDescent="0.25">
      <c r="A1134" s="118"/>
      <c r="B1134" s="136"/>
    </row>
    <row r="1135" spans="1:2" x14ac:dyDescent="0.25">
      <c r="A1135" s="118"/>
      <c r="B1135" s="136"/>
    </row>
    <row r="1136" spans="1:2" x14ac:dyDescent="0.25">
      <c r="A1136" s="118"/>
      <c r="B1136" s="136"/>
    </row>
    <row r="1137" spans="1:2" x14ac:dyDescent="0.25">
      <c r="A1137" s="118"/>
      <c r="B1137" s="136"/>
    </row>
    <row r="1138" spans="1:2" x14ac:dyDescent="0.25">
      <c r="A1138" s="118"/>
      <c r="B1138" s="136"/>
    </row>
    <row r="1139" spans="1:2" x14ac:dyDescent="0.25">
      <c r="A1139" s="118"/>
      <c r="B1139" s="136"/>
    </row>
    <row r="1140" spans="1:2" x14ac:dyDescent="0.25">
      <c r="A1140" s="118"/>
      <c r="B1140" s="136"/>
    </row>
    <row r="1141" spans="1:2" x14ac:dyDescent="0.25">
      <c r="A1141" s="118"/>
      <c r="B1141" s="136"/>
    </row>
    <row r="1142" spans="1:2" x14ac:dyDescent="0.25">
      <c r="A1142" s="118"/>
      <c r="B1142" s="136"/>
    </row>
    <row r="1143" spans="1:2" x14ac:dyDescent="0.25">
      <c r="A1143" s="118"/>
      <c r="B1143" s="136"/>
    </row>
    <row r="1144" spans="1:2" x14ac:dyDescent="0.25">
      <c r="A1144" s="118"/>
      <c r="B1144" s="136"/>
    </row>
    <row r="1145" spans="1:2" x14ac:dyDescent="0.25">
      <c r="A1145" s="118"/>
      <c r="B1145" s="136"/>
    </row>
    <row r="1146" spans="1:2" x14ac:dyDescent="0.25">
      <c r="A1146" s="118"/>
      <c r="B1146" s="136"/>
    </row>
    <row r="1147" spans="1:2" x14ac:dyDescent="0.25">
      <c r="A1147" s="118"/>
      <c r="B1147" s="136"/>
    </row>
    <row r="1148" spans="1:2" x14ac:dyDescent="0.25">
      <c r="A1148" s="118"/>
      <c r="B1148" s="136"/>
    </row>
    <row r="1149" spans="1:2" x14ac:dyDescent="0.25">
      <c r="A1149" s="118"/>
      <c r="B1149" s="136"/>
    </row>
    <row r="1150" spans="1:2" x14ac:dyDescent="0.25">
      <c r="A1150" s="118"/>
      <c r="B1150" s="136"/>
    </row>
    <row r="1151" spans="1:2" x14ac:dyDescent="0.25">
      <c r="A1151" s="118"/>
      <c r="B1151" s="136"/>
    </row>
    <row r="1152" spans="1:2" x14ac:dyDescent="0.25">
      <c r="A1152" s="118"/>
      <c r="B1152" s="136"/>
    </row>
    <row r="1153" spans="1:2" x14ac:dyDescent="0.25">
      <c r="A1153" s="118"/>
      <c r="B1153" s="136"/>
    </row>
    <row r="1154" spans="1:2" x14ac:dyDescent="0.25">
      <c r="A1154" s="118"/>
      <c r="B1154" s="136"/>
    </row>
    <row r="1155" spans="1:2" x14ac:dyDescent="0.25">
      <c r="A1155" s="118"/>
      <c r="B1155" s="136"/>
    </row>
    <row r="1156" spans="1:2" x14ac:dyDescent="0.25">
      <c r="A1156" s="118"/>
      <c r="B1156" s="136"/>
    </row>
    <row r="1157" spans="1:2" x14ac:dyDescent="0.25">
      <c r="A1157" s="118"/>
      <c r="B1157" s="136"/>
    </row>
    <row r="1158" spans="1:2" x14ac:dyDescent="0.25">
      <c r="A1158" s="118"/>
      <c r="B1158" s="136"/>
    </row>
    <row r="1159" spans="1:2" x14ac:dyDescent="0.25">
      <c r="A1159" s="118"/>
      <c r="B1159" s="136"/>
    </row>
    <row r="1160" spans="1:2" x14ac:dyDescent="0.25">
      <c r="A1160" s="118"/>
      <c r="B1160" s="136"/>
    </row>
    <row r="1161" spans="1:2" x14ac:dyDescent="0.25">
      <c r="A1161" s="118"/>
      <c r="B1161" s="136"/>
    </row>
    <row r="1162" spans="1:2" x14ac:dyDescent="0.25">
      <c r="A1162" s="118"/>
      <c r="B1162" s="136"/>
    </row>
    <row r="1163" spans="1:2" x14ac:dyDescent="0.25">
      <c r="A1163" s="118"/>
      <c r="B1163" s="136"/>
    </row>
    <row r="1164" spans="1:2" x14ac:dyDescent="0.25">
      <c r="A1164" s="118"/>
      <c r="B1164" s="136"/>
    </row>
    <row r="1165" spans="1:2" x14ac:dyDescent="0.25">
      <c r="A1165" s="118"/>
      <c r="B1165" s="136"/>
    </row>
    <row r="1166" spans="1:2" x14ac:dyDescent="0.25">
      <c r="A1166" s="118"/>
      <c r="B1166" s="136"/>
    </row>
    <row r="1167" spans="1:2" x14ac:dyDescent="0.25">
      <c r="A1167" s="118"/>
      <c r="B1167" s="136"/>
    </row>
    <row r="1168" spans="1:2" x14ac:dyDescent="0.25">
      <c r="A1168" s="118"/>
      <c r="B1168" s="136"/>
    </row>
    <row r="1169" spans="1:2" x14ac:dyDescent="0.25">
      <c r="A1169" s="118"/>
      <c r="B1169" s="136"/>
    </row>
    <row r="1170" spans="1:2" x14ac:dyDescent="0.25">
      <c r="A1170" s="118"/>
      <c r="B1170" s="136"/>
    </row>
    <row r="1171" spans="1:2" x14ac:dyDescent="0.25">
      <c r="A1171" s="118"/>
      <c r="B1171" s="136"/>
    </row>
    <row r="1172" spans="1:2" x14ac:dyDescent="0.25">
      <c r="A1172" s="118"/>
      <c r="B1172" s="136"/>
    </row>
    <row r="1173" spans="1:2" x14ac:dyDescent="0.25">
      <c r="A1173" s="118"/>
      <c r="B1173" s="136"/>
    </row>
    <row r="1174" spans="1:2" x14ac:dyDescent="0.25">
      <c r="A1174" s="118"/>
      <c r="B1174" s="136"/>
    </row>
    <row r="1175" spans="1:2" x14ac:dyDescent="0.25">
      <c r="A1175" s="118"/>
      <c r="B1175" s="136"/>
    </row>
    <row r="1176" spans="1:2" x14ac:dyDescent="0.25">
      <c r="A1176" s="118"/>
      <c r="B1176" s="136"/>
    </row>
    <row r="1177" spans="1:2" x14ac:dyDescent="0.25">
      <c r="A1177" s="118"/>
      <c r="B1177" s="136"/>
    </row>
    <row r="1178" spans="1:2" x14ac:dyDescent="0.25">
      <c r="A1178" s="118"/>
      <c r="B1178" s="136"/>
    </row>
    <row r="1179" spans="1:2" x14ac:dyDescent="0.25">
      <c r="A1179" s="118"/>
      <c r="B1179" s="136"/>
    </row>
    <row r="1180" spans="1:2" x14ac:dyDescent="0.25">
      <c r="A1180" s="118"/>
      <c r="B1180" s="136"/>
    </row>
    <row r="1181" spans="1:2" x14ac:dyDescent="0.25">
      <c r="A1181" s="118"/>
      <c r="B1181" s="136"/>
    </row>
    <row r="1182" spans="1:2" x14ac:dyDescent="0.25">
      <c r="A1182" s="118"/>
      <c r="B1182" s="136"/>
    </row>
    <row r="1183" spans="1:2" x14ac:dyDescent="0.25">
      <c r="A1183" s="118"/>
      <c r="B1183" s="136"/>
    </row>
    <row r="1184" spans="1:2" x14ac:dyDescent="0.25">
      <c r="A1184" s="118"/>
      <c r="B1184" s="136"/>
    </row>
    <row r="1185" spans="1:2" x14ac:dyDescent="0.25">
      <c r="A1185" s="118"/>
      <c r="B1185" s="136"/>
    </row>
    <row r="1186" spans="1:2" x14ac:dyDescent="0.25">
      <c r="A1186" s="118"/>
      <c r="B1186" s="136"/>
    </row>
    <row r="1187" spans="1:2" x14ac:dyDescent="0.25">
      <c r="A1187" s="118"/>
      <c r="B1187" s="136"/>
    </row>
    <row r="1188" spans="1:2" x14ac:dyDescent="0.25">
      <c r="A1188" s="118"/>
      <c r="B1188" s="136"/>
    </row>
    <row r="1189" spans="1:2" x14ac:dyDescent="0.25">
      <c r="A1189" s="118"/>
      <c r="B1189" s="136"/>
    </row>
    <row r="1190" spans="1:2" x14ac:dyDescent="0.25">
      <c r="A1190" s="118"/>
      <c r="B1190" s="136"/>
    </row>
    <row r="1191" spans="1:2" x14ac:dyDescent="0.25">
      <c r="A1191" s="118"/>
      <c r="B1191" s="136"/>
    </row>
    <row r="1192" spans="1:2" x14ac:dyDescent="0.25">
      <c r="A1192" s="118"/>
      <c r="B1192" s="136"/>
    </row>
    <row r="1193" spans="1:2" x14ac:dyDescent="0.25">
      <c r="A1193" s="118"/>
      <c r="B1193" s="136"/>
    </row>
    <row r="1194" spans="1:2" x14ac:dyDescent="0.25">
      <c r="A1194" s="118"/>
      <c r="B1194" s="136"/>
    </row>
    <row r="1195" spans="1:2" x14ac:dyDescent="0.25">
      <c r="A1195" s="118"/>
      <c r="B1195" s="136"/>
    </row>
    <row r="1196" spans="1:2" x14ac:dyDescent="0.25">
      <c r="A1196" s="118"/>
      <c r="B1196" s="136"/>
    </row>
    <row r="1197" spans="1:2" x14ac:dyDescent="0.25">
      <c r="A1197" s="118"/>
      <c r="B1197" s="136"/>
    </row>
    <row r="1198" spans="1:2" x14ac:dyDescent="0.25">
      <c r="A1198" s="118"/>
      <c r="B1198" s="136"/>
    </row>
    <row r="1199" spans="1:2" x14ac:dyDescent="0.25">
      <c r="A1199" s="118"/>
      <c r="B1199" s="136"/>
    </row>
    <row r="1200" spans="1:2" x14ac:dyDescent="0.25">
      <c r="A1200" s="118"/>
      <c r="B1200" s="136"/>
    </row>
    <row r="1201" spans="1:2" x14ac:dyDescent="0.25">
      <c r="A1201" s="118"/>
      <c r="B1201" s="136"/>
    </row>
    <row r="1202" spans="1:2" x14ac:dyDescent="0.25">
      <c r="A1202" s="118"/>
      <c r="B1202" s="136"/>
    </row>
    <row r="1203" spans="1:2" x14ac:dyDescent="0.25">
      <c r="A1203" s="118"/>
      <c r="B1203" s="136"/>
    </row>
    <row r="1204" spans="1:2" x14ac:dyDescent="0.25">
      <c r="A1204" s="118"/>
      <c r="B1204" s="136"/>
    </row>
    <row r="1205" spans="1:2" x14ac:dyDescent="0.25">
      <c r="A1205" s="118"/>
      <c r="B1205" s="136"/>
    </row>
    <row r="1206" spans="1:2" x14ac:dyDescent="0.25">
      <c r="A1206" s="118"/>
      <c r="B1206" s="136"/>
    </row>
    <row r="1207" spans="1:2" x14ac:dyDescent="0.25">
      <c r="A1207" s="118"/>
      <c r="B1207" s="136"/>
    </row>
    <row r="1208" spans="1:2" x14ac:dyDescent="0.25">
      <c r="A1208" s="118"/>
      <c r="B1208" s="136"/>
    </row>
    <row r="1209" spans="1:2" x14ac:dyDescent="0.25">
      <c r="A1209" s="118"/>
      <c r="B1209" s="136"/>
    </row>
    <row r="1210" spans="1:2" x14ac:dyDescent="0.25">
      <c r="A1210" s="118"/>
      <c r="B1210" s="136"/>
    </row>
    <row r="1211" spans="1:2" x14ac:dyDescent="0.25">
      <c r="A1211" s="118"/>
      <c r="B1211" s="136"/>
    </row>
    <row r="1212" spans="1:2" x14ac:dyDescent="0.25">
      <c r="A1212" s="118"/>
      <c r="B1212" s="136"/>
    </row>
    <row r="1213" spans="1:2" x14ac:dyDescent="0.25">
      <c r="A1213" s="118"/>
      <c r="B1213" s="136"/>
    </row>
    <row r="1214" spans="1:2" x14ac:dyDescent="0.25">
      <c r="A1214" s="118"/>
      <c r="B1214" s="136"/>
    </row>
    <row r="1215" spans="1:2" x14ac:dyDescent="0.25">
      <c r="A1215" s="118"/>
      <c r="B1215" s="136"/>
    </row>
    <row r="1216" spans="1:2" x14ac:dyDescent="0.25">
      <c r="A1216" s="118"/>
      <c r="B1216" s="136"/>
    </row>
    <row r="1217" spans="1:2" x14ac:dyDescent="0.25">
      <c r="A1217" s="118"/>
      <c r="B1217" s="136"/>
    </row>
    <row r="1218" spans="1:2" x14ac:dyDescent="0.25">
      <c r="A1218" s="118"/>
      <c r="B1218" s="136"/>
    </row>
    <row r="1219" spans="1:2" x14ac:dyDescent="0.25">
      <c r="A1219" s="118"/>
      <c r="B1219" s="136"/>
    </row>
    <row r="1220" spans="1:2" x14ac:dyDescent="0.25">
      <c r="A1220" s="118"/>
      <c r="B1220" s="136"/>
    </row>
    <row r="1221" spans="1:2" x14ac:dyDescent="0.25">
      <c r="A1221" s="118"/>
      <c r="B1221" s="136"/>
    </row>
    <row r="1222" spans="1:2" x14ac:dyDescent="0.25">
      <c r="A1222" s="118"/>
      <c r="B1222" s="136"/>
    </row>
    <row r="1223" spans="1:2" x14ac:dyDescent="0.25">
      <c r="A1223" s="118"/>
      <c r="B1223" s="136"/>
    </row>
    <row r="1224" spans="1:2" x14ac:dyDescent="0.25">
      <c r="A1224" s="118"/>
      <c r="B1224" s="136"/>
    </row>
    <row r="1225" spans="1:2" x14ac:dyDescent="0.25">
      <c r="A1225" s="118"/>
      <c r="B1225" s="136"/>
    </row>
    <row r="1226" spans="1:2" x14ac:dyDescent="0.25">
      <c r="A1226" s="118"/>
      <c r="B1226" s="136"/>
    </row>
    <row r="1227" spans="1:2" x14ac:dyDescent="0.25">
      <c r="A1227" s="118"/>
      <c r="B1227" s="136"/>
    </row>
    <row r="1228" spans="1:2" x14ac:dyDescent="0.25">
      <c r="A1228" s="118"/>
      <c r="B1228" s="136"/>
    </row>
    <row r="1229" spans="1:2" x14ac:dyDescent="0.25">
      <c r="A1229" s="118"/>
      <c r="B1229" s="136"/>
    </row>
    <row r="1230" spans="1:2" x14ac:dyDescent="0.25">
      <c r="A1230" s="118"/>
      <c r="B1230" s="136"/>
    </row>
    <row r="1231" spans="1:2" x14ac:dyDescent="0.25">
      <c r="A1231" s="118"/>
      <c r="B1231" s="136"/>
    </row>
    <row r="1232" spans="1:2" x14ac:dyDescent="0.25">
      <c r="A1232" s="118"/>
      <c r="B1232" s="136"/>
    </row>
    <row r="1233" spans="1:2" x14ac:dyDescent="0.25">
      <c r="A1233" s="118"/>
      <c r="B1233" s="136"/>
    </row>
    <row r="1234" spans="1:2" x14ac:dyDescent="0.25">
      <c r="A1234" s="118"/>
      <c r="B1234" s="136"/>
    </row>
    <row r="1235" spans="1:2" x14ac:dyDescent="0.25">
      <c r="A1235" s="118"/>
      <c r="B1235" s="136"/>
    </row>
    <row r="1236" spans="1:2" x14ac:dyDescent="0.25">
      <c r="A1236" s="118"/>
      <c r="B1236" s="136"/>
    </row>
    <row r="1237" spans="1:2" x14ac:dyDescent="0.25">
      <c r="A1237" s="118"/>
      <c r="B1237" s="136"/>
    </row>
    <row r="1238" spans="1:2" x14ac:dyDescent="0.25">
      <c r="A1238" s="118"/>
      <c r="B1238" s="136"/>
    </row>
    <row r="1239" spans="1:2" x14ac:dyDescent="0.25">
      <c r="A1239" s="118"/>
      <c r="B1239" s="136"/>
    </row>
    <row r="1240" spans="1:2" x14ac:dyDescent="0.25">
      <c r="A1240" s="118"/>
      <c r="B1240" s="136"/>
    </row>
    <row r="1241" spans="1:2" x14ac:dyDescent="0.25">
      <c r="A1241" s="118"/>
      <c r="B1241" s="136"/>
    </row>
    <row r="1242" spans="1:2" x14ac:dyDescent="0.25">
      <c r="A1242" s="118"/>
      <c r="B1242" s="136"/>
    </row>
    <row r="1243" spans="1:2" x14ac:dyDescent="0.25">
      <c r="A1243" s="118"/>
      <c r="B1243" s="136"/>
    </row>
    <row r="1244" spans="1:2" x14ac:dyDescent="0.25">
      <c r="A1244" s="118"/>
      <c r="B1244" s="136"/>
    </row>
    <row r="1245" spans="1:2" x14ac:dyDescent="0.25">
      <c r="A1245" s="118"/>
      <c r="B1245" s="136"/>
    </row>
    <row r="1246" spans="1:2" x14ac:dyDescent="0.25">
      <c r="A1246" s="118"/>
      <c r="B1246" s="136"/>
    </row>
    <row r="1247" spans="1:2" x14ac:dyDescent="0.25">
      <c r="A1247" s="118"/>
      <c r="B1247" s="136"/>
    </row>
    <row r="1248" spans="1:2" x14ac:dyDescent="0.25">
      <c r="A1248" s="118"/>
      <c r="B1248" s="136"/>
    </row>
    <row r="1249" spans="1:2" x14ac:dyDescent="0.25">
      <c r="A1249" s="118"/>
      <c r="B1249" s="136"/>
    </row>
    <row r="1250" spans="1:2" x14ac:dyDescent="0.25">
      <c r="A1250" s="118"/>
      <c r="B1250" s="136"/>
    </row>
    <row r="1251" spans="1:2" x14ac:dyDescent="0.25">
      <c r="A1251" s="118"/>
      <c r="B1251" s="136"/>
    </row>
    <row r="1252" spans="1:2" x14ac:dyDescent="0.25">
      <c r="A1252" s="118"/>
      <c r="B1252" s="136"/>
    </row>
    <row r="1253" spans="1:2" x14ac:dyDescent="0.25">
      <c r="A1253" s="118"/>
      <c r="B1253" s="136"/>
    </row>
    <row r="1254" spans="1:2" x14ac:dyDescent="0.25">
      <c r="A1254" s="118"/>
      <c r="B1254" s="136"/>
    </row>
    <row r="1255" spans="1:2" x14ac:dyDescent="0.25">
      <c r="A1255" s="118"/>
      <c r="B1255" s="136"/>
    </row>
    <row r="1256" spans="1:2" x14ac:dyDescent="0.25">
      <c r="A1256" s="118"/>
      <c r="B1256" s="136"/>
    </row>
    <row r="1257" spans="1:2" x14ac:dyDescent="0.25">
      <c r="A1257" s="118"/>
      <c r="B1257" s="136"/>
    </row>
    <row r="1258" spans="1:2" x14ac:dyDescent="0.25">
      <c r="A1258" s="118"/>
      <c r="B1258" s="136"/>
    </row>
    <row r="1259" spans="1:2" x14ac:dyDescent="0.25">
      <c r="A1259" s="118"/>
      <c r="B1259" s="136"/>
    </row>
    <row r="1260" spans="1:2" x14ac:dyDescent="0.25">
      <c r="A1260" s="118"/>
      <c r="B1260" s="136"/>
    </row>
    <row r="1261" spans="1:2" x14ac:dyDescent="0.25">
      <c r="A1261" s="118"/>
      <c r="B1261" s="136"/>
    </row>
    <row r="1262" spans="1:2" x14ac:dyDescent="0.25">
      <c r="A1262" s="118"/>
      <c r="B1262" s="136"/>
    </row>
    <row r="1263" spans="1:2" x14ac:dyDescent="0.25">
      <c r="A1263" s="118"/>
      <c r="B1263" s="136"/>
    </row>
    <row r="1264" spans="1:2" x14ac:dyDescent="0.25">
      <c r="A1264" s="118"/>
      <c r="B1264" s="136"/>
    </row>
    <row r="1265" spans="1:2" x14ac:dyDescent="0.25">
      <c r="A1265" s="118"/>
      <c r="B1265" s="136"/>
    </row>
    <row r="1266" spans="1:2" x14ac:dyDescent="0.25">
      <c r="A1266" s="118"/>
      <c r="B1266" s="136"/>
    </row>
    <row r="1267" spans="1:2" x14ac:dyDescent="0.25">
      <c r="A1267" s="118"/>
      <c r="B1267" s="136"/>
    </row>
    <row r="1268" spans="1:2" x14ac:dyDescent="0.25">
      <c r="A1268" s="118"/>
      <c r="B1268" s="136"/>
    </row>
    <row r="1269" spans="1:2" x14ac:dyDescent="0.25">
      <c r="A1269" s="118"/>
      <c r="B1269" s="136"/>
    </row>
    <row r="1270" spans="1:2" x14ac:dyDescent="0.25">
      <c r="A1270" s="118"/>
      <c r="B1270" s="136"/>
    </row>
    <row r="1271" spans="1:2" x14ac:dyDescent="0.25">
      <c r="A1271" s="118"/>
      <c r="B1271" s="136"/>
    </row>
    <row r="1272" spans="1:2" x14ac:dyDescent="0.25">
      <c r="A1272" s="118"/>
      <c r="B1272" s="136"/>
    </row>
    <row r="1273" spans="1:2" x14ac:dyDescent="0.25">
      <c r="A1273" s="118"/>
      <c r="B1273" s="136"/>
    </row>
    <row r="1274" spans="1:2" x14ac:dyDescent="0.25">
      <c r="A1274" s="118"/>
      <c r="B1274" s="136"/>
    </row>
    <row r="1275" spans="1:2" x14ac:dyDescent="0.25">
      <c r="A1275" s="118"/>
      <c r="B1275" s="136"/>
    </row>
    <row r="1276" spans="1:2" x14ac:dyDescent="0.25">
      <c r="A1276" s="118"/>
      <c r="B1276" s="136"/>
    </row>
    <row r="1277" spans="1:2" x14ac:dyDescent="0.25">
      <c r="A1277" s="118"/>
      <c r="B1277" s="136"/>
    </row>
    <row r="1278" spans="1:2" x14ac:dyDescent="0.25">
      <c r="A1278" s="118"/>
      <c r="B1278" s="136"/>
    </row>
    <row r="1279" spans="1:2" x14ac:dyDescent="0.25">
      <c r="A1279" s="118"/>
      <c r="B1279" s="136"/>
    </row>
    <row r="1280" spans="1:2" x14ac:dyDescent="0.25">
      <c r="A1280" s="118"/>
      <c r="B1280" s="136"/>
    </row>
    <row r="1281" spans="1:2" x14ac:dyDescent="0.25">
      <c r="A1281" s="118"/>
      <c r="B1281" s="136"/>
    </row>
    <row r="1282" spans="1:2" x14ac:dyDescent="0.25">
      <c r="A1282" s="118"/>
      <c r="B1282" s="136"/>
    </row>
    <row r="1283" spans="1:2" x14ac:dyDescent="0.25">
      <c r="A1283" s="118"/>
      <c r="B1283" s="136"/>
    </row>
    <row r="1284" spans="1:2" x14ac:dyDescent="0.25">
      <c r="A1284" s="118"/>
      <c r="B1284" s="136"/>
    </row>
    <row r="1285" spans="1:2" x14ac:dyDescent="0.25">
      <c r="A1285" s="118"/>
      <c r="B1285" s="136"/>
    </row>
    <row r="1286" spans="1:2" x14ac:dyDescent="0.25">
      <c r="A1286" s="118"/>
      <c r="B1286" s="136"/>
    </row>
    <row r="1287" spans="1:2" x14ac:dyDescent="0.25">
      <c r="A1287" s="118"/>
      <c r="B1287" s="136"/>
    </row>
    <row r="1288" spans="1:2" x14ac:dyDescent="0.25">
      <c r="A1288" s="118"/>
      <c r="B1288" s="136"/>
    </row>
    <row r="1289" spans="1:2" x14ac:dyDescent="0.25">
      <c r="A1289" s="118"/>
      <c r="B1289" s="136"/>
    </row>
    <row r="1290" spans="1:2" x14ac:dyDescent="0.25">
      <c r="A1290" s="118"/>
      <c r="B1290" s="136"/>
    </row>
    <row r="1291" spans="1:2" x14ac:dyDescent="0.25">
      <c r="A1291" s="118"/>
      <c r="B1291" s="136"/>
    </row>
    <row r="1292" spans="1:2" x14ac:dyDescent="0.25">
      <c r="A1292" s="118"/>
      <c r="B1292" s="136"/>
    </row>
    <row r="1293" spans="1:2" x14ac:dyDescent="0.25">
      <c r="A1293" s="118"/>
      <c r="B1293" s="136"/>
    </row>
    <row r="1294" spans="1:2" x14ac:dyDescent="0.25">
      <c r="A1294" s="118"/>
      <c r="B1294" s="136"/>
    </row>
    <row r="1295" spans="1:2" x14ac:dyDescent="0.25">
      <c r="A1295" s="118"/>
      <c r="B1295" s="136"/>
    </row>
    <row r="1296" spans="1:2" x14ac:dyDescent="0.25">
      <c r="A1296" s="118"/>
      <c r="B1296" s="136"/>
    </row>
    <row r="1297" spans="1:2" x14ac:dyDescent="0.25">
      <c r="A1297" s="118"/>
      <c r="B1297" s="136"/>
    </row>
    <row r="1298" spans="1:2" x14ac:dyDescent="0.25">
      <c r="A1298" s="118"/>
      <c r="B1298" s="136"/>
    </row>
    <row r="1299" spans="1:2" x14ac:dyDescent="0.25">
      <c r="A1299" s="118"/>
      <c r="B1299" s="136"/>
    </row>
    <row r="1300" spans="1:2" x14ac:dyDescent="0.25">
      <c r="A1300" s="118"/>
      <c r="B1300" s="136"/>
    </row>
    <row r="1301" spans="1:2" x14ac:dyDescent="0.25">
      <c r="A1301" s="118"/>
      <c r="B1301" s="136"/>
    </row>
    <row r="1302" spans="1:2" x14ac:dyDescent="0.25">
      <c r="A1302" s="118"/>
      <c r="B1302" s="136"/>
    </row>
    <row r="1303" spans="1:2" x14ac:dyDescent="0.25">
      <c r="A1303" s="118"/>
      <c r="B1303" s="136"/>
    </row>
    <row r="1304" spans="1:2" x14ac:dyDescent="0.25">
      <c r="A1304" s="118"/>
      <c r="B1304" s="136"/>
    </row>
    <row r="1305" spans="1:2" x14ac:dyDescent="0.25">
      <c r="A1305" s="118"/>
      <c r="B1305" s="136"/>
    </row>
    <row r="1306" spans="1:2" x14ac:dyDescent="0.25">
      <c r="A1306" s="118"/>
      <c r="B1306" s="136"/>
    </row>
    <row r="1307" spans="1:2" x14ac:dyDescent="0.25">
      <c r="A1307" s="118"/>
      <c r="B1307" s="136"/>
    </row>
    <row r="1308" spans="1:2" x14ac:dyDescent="0.25">
      <c r="A1308" s="118"/>
      <c r="B1308" s="136"/>
    </row>
    <row r="1309" spans="1:2" x14ac:dyDescent="0.25">
      <c r="A1309" s="118"/>
      <c r="B1309" s="136"/>
    </row>
    <row r="1310" spans="1:2" x14ac:dyDescent="0.25">
      <c r="A1310" s="118"/>
      <c r="B1310" s="136"/>
    </row>
    <row r="1311" spans="1:2" x14ac:dyDescent="0.25">
      <c r="A1311" s="118"/>
      <c r="B1311" s="136"/>
    </row>
    <row r="1312" spans="1:2" x14ac:dyDescent="0.25">
      <c r="A1312" s="118"/>
      <c r="B1312" s="136"/>
    </row>
    <row r="1313" spans="1:2" x14ac:dyDescent="0.25">
      <c r="A1313" s="118"/>
      <c r="B1313" s="136"/>
    </row>
    <row r="1314" spans="1:2" x14ac:dyDescent="0.25">
      <c r="A1314" s="118"/>
      <c r="B1314" s="136"/>
    </row>
    <row r="1315" spans="1:2" x14ac:dyDescent="0.25">
      <c r="A1315" s="118"/>
      <c r="B1315" s="136"/>
    </row>
    <row r="1316" spans="1:2" x14ac:dyDescent="0.25">
      <c r="A1316" s="118"/>
      <c r="B1316" s="136"/>
    </row>
    <row r="1317" spans="1:2" x14ac:dyDescent="0.25">
      <c r="A1317" s="118"/>
      <c r="B1317" s="136"/>
    </row>
    <row r="1318" spans="1:2" x14ac:dyDescent="0.25">
      <c r="A1318" s="118"/>
      <c r="B1318" s="136"/>
    </row>
    <row r="1319" spans="1:2" x14ac:dyDescent="0.25">
      <c r="A1319" s="118"/>
      <c r="B1319" s="136"/>
    </row>
    <row r="1320" spans="1:2" x14ac:dyDescent="0.25">
      <c r="A1320" s="118"/>
      <c r="B1320" s="136"/>
    </row>
    <row r="1321" spans="1:2" x14ac:dyDescent="0.25">
      <c r="A1321" s="118"/>
      <c r="B1321" s="136"/>
    </row>
    <row r="1322" spans="1:2" x14ac:dyDescent="0.25">
      <c r="A1322" s="118"/>
      <c r="B1322" s="136"/>
    </row>
    <row r="1323" spans="1:2" x14ac:dyDescent="0.25">
      <c r="A1323" s="118"/>
      <c r="B1323" s="136"/>
    </row>
    <row r="1324" spans="1:2" x14ac:dyDescent="0.25">
      <c r="A1324" s="118"/>
      <c r="B1324" s="136"/>
    </row>
    <row r="1325" spans="1:2" x14ac:dyDescent="0.25">
      <c r="A1325" s="118"/>
      <c r="B1325" s="136"/>
    </row>
    <row r="1326" spans="1:2" x14ac:dyDescent="0.25">
      <c r="A1326" s="118"/>
      <c r="B1326" s="136"/>
    </row>
    <row r="1327" spans="1:2" x14ac:dyDescent="0.25">
      <c r="A1327" s="118"/>
      <c r="B1327" s="136"/>
    </row>
    <row r="1328" spans="1:2" x14ac:dyDescent="0.25">
      <c r="A1328" s="118"/>
      <c r="B1328" s="136"/>
    </row>
    <row r="1329" spans="1:2" x14ac:dyDescent="0.25">
      <c r="A1329" s="118"/>
      <c r="B1329" s="136"/>
    </row>
    <row r="1330" spans="1:2" x14ac:dyDescent="0.25">
      <c r="A1330" s="118"/>
      <c r="B1330" s="136"/>
    </row>
    <row r="1331" spans="1:2" x14ac:dyDescent="0.25">
      <c r="A1331" s="118"/>
      <c r="B1331" s="136"/>
    </row>
    <row r="1332" spans="1:2" x14ac:dyDescent="0.25">
      <c r="A1332" s="118"/>
      <c r="B1332" s="136"/>
    </row>
    <row r="1333" spans="1:2" x14ac:dyDescent="0.25">
      <c r="A1333" s="118"/>
      <c r="B1333" s="136"/>
    </row>
    <row r="1334" spans="1:2" x14ac:dyDescent="0.25">
      <c r="A1334" s="118"/>
      <c r="B1334" s="136"/>
    </row>
    <row r="1335" spans="1:2" x14ac:dyDescent="0.25">
      <c r="A1335" s="118"/>
      <c r="B1335" s="136"/>
    </row>
    <row r="1336" spans="1:2" x14ac:dyDescent="0.25">
      <c r="A1336" s="118"/>
      <c r="B1336" s="136"/>
    </row>
    <row r="1337" spans="1:2" x14ac:dyDescent="0.25">
      <c r="A1337" s="118"/>
      <c r="B1337" s="136"/>
    </row>
    <row r="1338" spans="1:2" x14ac:dyDescent="0.25">
      <c r="A1338" s="118"/>
      <c r="B1338" s="136"/>
    </row>
    <row r="1339" spans="1:2" x14ac:dyDescent="0.25">
      <c r="A1339" s="118"/>
      <c r="B1339" s="136"/>
    </row>
    <row r="1340" spans="1:2" x14ac:dyDescent="0.25">
      <c r="A1340" s="118"/>
      <c r="B1340" s="136"/>
    </row>
    <row r="1341" spans="1:2" x14ac:dyDescent="0.25">
      <c r="A1341" s="118"/>
      <c r="B1341" s="136"/>
    </row>
    <row r="1342" spans="1:2" x14ac:dyDescent="0.25">
      <c r="A1342" s="118"/>
      <c r="B1342" s="136"/>
    </row>
    <row r="1343" spans="1:2" x14ac:dyDescent="0.25">
      <c r="A1343" s="118"/>
      <c r="B1343" s="136"/>
    </row>
    <row r="1344" spans="1:2" x14ac:dyDescent="0.25">
      <c r="A1344" s="118"/>
      <c r="B1344" s="136"/>
    </row>
    <row r="1345" spans="1:2" x14ac:dyDescent="0.25">
      <c r="A1345" s="118"/>
      <c r="B1345" s="136"/>
    </row>
    <row r="1346" spans="1:2" x14ac:dyDescent="0.25">
      <c r="A1346" s="118"/>
      <c r="B1346" s="136"/>
    </row>
    <row r="1347" spans="1:2" x14ac:dyDescent="0.25">
      <c r="A1347" s="118"/>
      <c r="B1347" s="136"/>
    </row>
    <row r="1348" spans="1:2" x14ac:dyDescent="0.25">
      <c r="A1348" s="118"/>
      <c r="B1348" s="136"/>
    </row>
    <row r="1349" spans="1:2" x14ac:dyDescent="0.25">
      <c r="A1349" s="118"/>
      <c r="B1349" s="136"/>
    </row>
    <row r="1350" spans="1:2" x14ac:dyDescent="0.25">
      <c r="A1350" s="118"/>
      <c r="B1350" s="136"/>
    </row>
    <row r="1351" spans="1:2" x14ac:dyDescent="0.25">
      <c r="A1351" s="118"/>
      <c r="B1351" s="136"/>
    </row>
    <row r="1352" spans="1:2" x14ac:dyDescent="0.25">
      <c r="A1352" s="118"/>
      <c r="B1352" s="136"/>
    </row>
    <row r="1353" spans="1:2" x14ac:dyDescent="0.25">
      <c r="A1353" s="118"/>
      <c r="B1353" s="136"/>
    </row>
    <row r="1354" spans="1:2" x14ac:dyDescent="0.25">
      <c r="A1354" s="118"/>
      <c r="B1354" s="136"/>
    </row>
    <row r="1355" spans="1:2" x14ac:dyDescent="0.25">
      <c r="A1355" s="118"/>
      <c r="B1355" s="136"/>
    </row>
    <row r="1356" spans="1:2" x14ac:dyDescent="0.25">
      <c r="A1356" s="118"/>
      <c r="B1356" s="136"/>
    </row>
    <row r="1357" spans="1:2" x14ac:dyDescent="0.25">
      <c r="A1357" s="118"/>
      <c r="B1357" s="136"/>
    </row>
    <row r="1358" spans="1:2" x14ac:dyDescent="0.25">
      <c r="A1358" s="118"/>
      <c r="B1358" s="136"/>
    </row>
    <row r="1359" spans="1:2" x14ac:dyDescent="0.25">
      <c r="A1359" s="118"/>
      <c r="B1359" s="136"/>
    </row>
    <row r="1360" spans="1:2" x14ac:dyDescent="0.25">
      <c r="A1360" s="118"/>
      <c r="B1360" s="136"/>
    </row>
    <row r="1361" spans="1:2" x14ac:dyDescent="0.25">
      <c r="A1361" s="118"/>
      <c r="B1361" s="136"/>
    </row>
    <row r="1362" spans="1:2" x14ac:dyDescent="0.25">
      <c r="A1362" s="118"/>
      <c r="B1362" s="136"/>
    </row>
    <row r="1363" spans="1:2" x14ac:dyDescent="0.25">
      <c r="A1363" s="118"/>
      <c r="B1363" s="136"/>
    </row>
    <row r="1364" spans="1:2" x14ac:dyDescent="0.25">
      <c r="A1364" s="118"/>
      <c r="B1364" s="136"/>
    </row>
    <row r="1365" spans="1:2" x14ac:dyDescent="0.25">
      <c r="A1365" s="118"/>
      <c r="B1365" s="136"/>
    </row>
    <row r="1366" spans="1:2" x14ac:dyDescent="0.25">
      <c r="A1366" s="118"/>
      <c r="B1366" s="136"/>
    </row>
    <row r="1367" spans="1:2" x14ac:dyDescent="0.25">
      <c r="A1367" s="118"/>
      <c r="B1367" s="136"/>
    </row>
    <row r="1368" spans="1:2" x14ac:dyDescent="0.25">
      <c r="A1368" s="118"/>
      <c r="B1368" s="136"/>
    </row>
    <row r="1369" spans="1:2" x14ac:dyDescent="0.25">
      <c r="A1369" s="118"/>
      <c r="B1369" s="136"/>
    </row>
    <row r="1370" spans="1:2" x14ac:dyDescent="0.25">
      <c r="A1370" s="118"/>
      <c r="B1370" s="136"/>
    </row>
    <row r="1371" spans="1:2" x14ac:dyDescent="0.25">
      <c r="A1371" s="118"/>
      <c r="B1371" s="136"/>
    </row>
    <row r="1372" spans="1:2" x14ac:dyDescent="0.25">
      <c r="A1372" s="118"/>
      <c r="B1372" s="136"/>
    </row>
    <row r="1373" spans="1:2" x14ac:dyDescent="0.25">
      <c r="A1373" s="118"/>
      <c r="B1373" s="136"/>
    </row>
    <row r="1374" spans="1:2" x14ac:dyDescent="0.25">
      <c r="A1374" s="118"/>
      <c r="B1374" s="136"/>
    </row>
    <row r="1375" spans="1:2" x14ac:dyDescent="0.25">
      <c r="A1375" s="118"/>
      <c r="B1375" s="136"/>
    </row>
    <row r="1376" spans="1:2" x14ac:dyDescent="0.25">
      <c r="A1376" s="118"/>
      <c r="B1376" s="136"/>
    </row>
    <row r="1377" spans="1:2" x14ac:dyDescent="0.25">
      <c r="A1377" s="118"/>
      <c r="B1377" s="136"/>
    </row>
    <row r="1378" spans="1:2" x14ac:dyDescent="0.25">
      <c r="A1378" s="118"/>
      <c r="B1378" s="136"/>
    </row>
    <row r="1379" spans="1:2" x14ac:dyDescent="0.25">
      <c r="A1379" s="118"/>
      <c r="B1379" s="136"/>
    </row>
    <row r="1380" spans="1:2" x14ac:dyDescent="0.25">
      <c r="A1380" s="118"/>
      <c r="B1380" s="136"/>
    </row>
    <row r="1381" spans="1:2" x14ac:dyDescent="0.25">
      <c r="A1381" s="118"/>
      <c r="B1381" s="136"/>
    </row>
    <row r="1382" spans="1:2" x14ac:dyDescent="0.25">
      <c r="A1382" s="118"/>
      <c r="B1382" s="136"/>
    </row>
    <row r="1383" spans="1:2" x14ac:dyDescent="0.25">
      <c r="A1383" s="118"/>
      <c r="B1383" s="136"/>
    </row>
    <row r="1384" spans="1:2" x14ac:dyDescent="0.25">
      <c r="A1384" s="118"/>
      <c r="B1384" s="136"/>
    </row>
    <row r="1385" spans="1:2" x14ac:dyDescent="0.25">
      <c r="A1385" s="118"/>
      <c r="B1385" s="136"/>
    </row>
    <row r="1386" spans="1:2" x14ac:dyDescent="0.25">
      <c r="A1386" s="118"/>
      <c r="B1386" s="136"/>
    </row>
    <row r="1387" spans="1:2" x14ac:dyDescent="0.25">
      <c r="A1387" s="118"/>
      <c r="B1387" s="136"/>
    </row>
    <row r="1388" spans="1:2" x14ac:dyDescent="0.25">
      <c r="A1388" s="118"/>
      <c r="B1388" s="136"/>
    </row>
    <row r="1389" spans="1:2" x14ac:dyDescent="0.25">
      <c r="A1389" s="118"/>
      <c r="B1389" s="136"/>
    </row>
    <row r="1390" spans="1:2" x14ac:dyDescent="0.25">
      <c r="A1390" s="118"/>
      <c r="B1390" s="136"/>
    </row>
    <row r="1391" spans="1:2" x14ac:dyDescent="0.25">
      <c r="A1391" s="118"/>
      <c r="B1391" s="136"/>
    </row>
    <row r="1392" spans="1:2" x14ac:dyDescent="0.25">
      <c r="A1392" s="118"/>
      <c r="B1392" s="136"/>
    </row>
    <row r="1393" spans="1:2" x14ac:dyDescent="0.25">
      <c r="A1393" s="118"/>
      <c r="B1393" s="136"/>
    </row>
    <row r="1394" spans="1:2" x14ac:dyDescent="0.25">
      <c r="A1394" s="118"/>
      <c r="B1394" s="136"/>
    </row>
    <row r="1395" spans="1:2" x14ac:dyDescent="0.25">
      <c r="A1395" s="118"/>
      <c r="B1395" s="136"/>
    </row>
    <row r="1396" spans="1:2" x14ac:dyDescent="0.25">
      <c r="A1396" s="118"/>
      <c r="B1396" s="136"/>
    </row>
    <row r="1397" spans="1:2" x14ac:dyDescent="0.25">
      <c r="A1397" s="118"/>
      <c r="B1397" s="136"/>
    </row>
    <row r="1398" spans="1:2" x14ac:dyDescent="0.25">
      <c r="A1398" s="118"/>
      <c r="B1398" s="136"/>
    </row>
    <row r="1399" spans="1:2" x14ac:dyDescent="0.25">
      <c r="A1399" s="118"/>
      <c r="B1399" s="136"/>
    </row>
    <row r="1400" spans="1:2" x14ac:dyDescent="0.25">
      <c r="A1400" s="118"/>
      <c r="B1400" s="136"/>
    </row>
    <row r="1401" spans="1:2" x14ac:dyDescent="0.25">
      <c r="A1401" s="118"/>
      <c r="B1401" s="136"/>
    </row>
    <row r="1402" spans="1:2" x14ac:dyDescent="0.25">
      <c r="A1402" s="118"/>
      <c r="B1402" s="136"/>
    </row>
    <row r="1403" spans="1:2" x14ac:dyDescent="0.25">
      <c r="A1403" s="118"/>
      <c r="B1403" s="136"/>
    </row>
    <row r="1404" spans="1:2" x14ac:dyDescent="0.25">
      <c r="A1404" s="118"/>
      <c r="B1404" s="136"/>
    </row>
    <row r="1405" spans="1:2" x14ac:dyDescent="0.25">
      <c r="A1405" s="118"/>
      <c r="B1405" s="136"/>
    </row>
    <row r="1406" spans="1:2" x14ac:dyDescent="0.25">
      <c r="A1406" s="118"/>
      <c r="B1406" s="136"/>
    </row>
    <row r="1407" spans="1:2" x14ac:dyDescent="0.25">
      <c r="A1407" s="118"/>
      <c r="B1407" s="136"/>
    </row>
    <row r="1408" spans="1:2" x14ac:dyDescent="0.25">
      <c r="A1408" s="118"/>
      <c r="B1408" s="136"/>
    </row>
    <row r="1409" spans="1:2" x14ac:dyDescent="0.25">
      <c r="A1409" s="118"/>
      <c r="B1409" s="136"/>
    </row>
    <row r="1410" spans="1:2" x14ac:dyDescent="0.25">
      <c r="A1410" s="118"/>
      <c r="B1410" s="136"/>
    </row>
    <row r="1411" spans="1:2" x14ac:dyDescent="0.25">
      <c r="A1411" s="118"/>
      <c r="B1411" s="136"/>
    </row>
    <row r="1412" spans="1:2" x14ac:dyDescent="0.25">
      <c r="A1412" s="118"/>
      <c r="B1412" s="136"/>
    </row>
    <row r="1413" spans="1:2" x14ac:dyDescent="0.25">
      <c r="A1413" s="118"/>
      <c r="B1413" s="136"/>
    </row>
    <row r="1414" spans="1:2" x14ac:dyDescent="0.25">
      <c r="A1414" s="118"/>
      <c r="B1414" s="136"/>
    </row>
    <row r="1415" spans="1:2" x14ac:dyDescent="0.25">
      <c r="A1415" s="118"/>
      <c r="B1415" s="136"/>
    </row>
    <row r="1416" spans="1:2" x14ac:dyDescent="0.25">
      <c r="A1416" s="118"/>
      <c r="B1416" s="136"/>
    </row>
    <row r="1417" spans="1:2" x14ac:dyDescent="0.25">
      <c r="A1417" s="118"/>
      <c r="B1417" s="136"/>
    </row>
    <row r="1418" spans="1:2" x14ac:dyDescent="0.25">
      <c r="A1418" s="118"/>
      <c r="B1418" s="136"/>
    </row>
    <row r="1419" spans="1:2" x14ac:dyDescent="0.25">
      <c r="A1419" s="118"/>
      <c r="B1419" s="136"/>
    </row>
    <row r="1420" spans="1:2" x14ac:dyDescent="0.25">
      <c r="A1420" s="118"/>
      <c r="B1420" s="136"/>
    </row>
    <row r="1421" spans="1:2" x14ac:dyDescent="0.25">
      <c r="A1421" s="118"/>
      <c r="B1421" s="136"/>
    </row>
    <row r="1422" spans="1:2" x14ac:dyDescent="0.25">
      <c r="A1422" s="118"/>
      <c r="B1422" s="136"/>
    </row>
    <row r="1423" spans="1:2" x14ac:dyDescent="0.25">
      <c r="A1423" s="118"/>
      <c r="B1423" s="136"/>
    </row>
    <row r="1424" spans="1:2" x14ac:dyDescent="0.25">
      <c r="A1424" s="118"/>
      <c r="B1424" s="136"/>
    </row>
    <row r="1425" spans="1:2" x14ac:dyDescent="0.25">
      <c r="A1425" s="118"/>
      <c r="B1425" s="136"/>
    </row>
    <row r="1426" spans="1:2" x14ac:dyDescent="0.25">
      <c r="A1426" s="118"/>
      <c r="B1426" s="136"/>
    </row>
    <row r="1427" spans="1:2" x14ac:dyDescent="0.25">
      <c r="A1427" s="118"/>
      <c r="B1427" s="136"/>
    </row>
    <row r="1428" spans="1:2" x14ac:dyDescent="0.25">
      <c r="A1428" s="118"/>
      <c r="B1428" s="136"/>
    </row>
    <row r="1429" spans="1:2" x14ac:dyDescent="0.25">
      <c r="A1429" s="118"/>
      <c r="B1429" s="136"/>
    </row>
    <row r="1430" spans="1:2" x14ac:dyDescent="0.25">
      <c r="A1430" s="118"/>
      <c r="B1430" s="136"/>
    </row>
    <row r="1431" spans="1:2" x14ac:dyDescent="0.25">
      <c r="A1431" s="118"/>
      <c r="B1431" s="136"/>
    </row>
    <row r="1432" spans="1:2" x14ac:dyDescent="0.25">
      <c r="A1432" s="118"/>
      <c r="B1432" s="136"/>
    </row>
    <row r="1433" spans="1:2" x14ac:dyDescent="0.25">
      <c r="A1433" s="118"/>
      <c r="B1433" s="136"/>
    </row>
    <row r="1434" spans="1:2" x14ac:dyDescent="0.25">
      <c r="A1434" s="118"/>
      <c r="B1434" s="136"/>
    </row>
    <row r="1435" spans="1:2" x14ac:dyDescent="0.25">
      <c r="A1435" s="118"/>
      <c r="B1435" s="136"/>
    </row>
    <row r="1436" spans="1:2" x14ac:dyDescent="0.25">
      <c r="A1436" s="118"/>
      <c r="B1436" s="136"/>
    </row>
    <row r="1437" spans="1:2" x14ac:dyDescent="0.25">
      <c r="A1437" s="118"/>
      <c r="B1437" s="136"/>
    </row>
    <row r="1438" spans="1:2" x14ac:dyDescent="0.25">
      <c r="A1438" s="118"/>
      <c r="B1438" s="136"/>
    </row>
    <row r="1439" spans="1:2" x14ac:dyDescent="0.25">
      <c r="A1439" s="118"/>
      <c r="B1439" s="136"/>
    </row>
    <row r="1440" spans="1:2" x14ac:dyDescent="0.25">
      <c r="A1440" s="118"/>
      <c r="B1440" s="136"/>
    </row>
    <row r="1441" spans="1:2" x14ac:dyDescent="0.25">
      <c r="A1441" s="118"/>
      <c r="B1441" s="136"/>
    </row>
    <row r="1442" spans="1:2" x14ac:dyDescent="0.25">
      <c r="A1442" s="118"/>
      <c r="B1442" s="136"/>
    </row>
    <row r="1443" spans="1:2" x14ac:dyDescent="0.25">
      <c r="A1443" s="118"/>
      <c r="B1443" s="136"/>
    </row>
    <row r="1444" spans="1:2" x14ac:dyDescent="0.25">
      <c r="A1444" s="118"/>
      <c r="B1444" s="136"/>
    </row>
    <row r="1445" spans="1:2" x14ac:dyDescent="0.25">
      <c r="A1445" s="118"/>
      <c r="B1445" s="136"/>
    </row>
    <row r="1446" spans="1:2" x14ac:dyDescent="0.25">
      <c r="A1446" s="118"/>
      <c r="B1446" s="136"/>
    </row>
    <row r="1447" spans="1:2" x14ac:dyDescent="0.25">
      <c r="A1447" s="118"/>
      <c r="B1447" s="136"/>
    </row>
    <row r="1448" spans="1:2" x14ac:dyDescent="0.25">
      <c r="A1448" s="118"/>
      <c r="B1448" s="136"/>
    </row>
    <row r="1449" spans="1:2" x14ac:dyDescent="0.25">
      <c r="A1449" s="118"/>
      <c r="B1449" s="136"/>
    </row>
    <row r="1450" spans="1:2" x14ac:dyDescent="0.25">
      <c r="A1450" s="118"/>
      <c r="B1450" s="136"/>
    </row>
    <row r="1451" spans="1:2" x14ac:dyDescent="0.25">
      <c r="A1451" s="118"/>
      <c r="B1451" s="136"/>
    </row>
    <row r="1452" spans="1:2" x14ac:dyDescent="0.25">
      <c r="A1452" s="118"/>
      <c r="B1452" s="136"/>
    </row>
    <row r="1453" spans="1:2" x14ac:dyDescent="0.25">
      <c r="A1453" s="118"/>
      <c r="B1453" s="136"/>
    </row>
    <row r="1454" spans="1:2" x14ac:dyDescent="0.25">
      <c r="A1454" s="118"/>
      <c r="B1454" s="136"/>
    </row>
    <row r="1455" spans="1:2" x14ac:dyDescent="0.25">
      <c r="A1455" s="118"/>
      <c r="B1455" s="136"/>
    </row>
    <row r="1456" spans="1:2" x14ac:dyDescent="0.25">
      <c r="A1456" s="118"/>
      <c r="B1456" s="136"/>
    </row>
    <row r="1457" spans="1:2" x14ac:dyDescent="0.25">
      <c r="A1457" s="118"/>
      <c r="B1457" s="136"/>
    </row>
    <row r="1458" spans="1:2" x14ac:dyDescent="0.25">
      <c r="A1458" s="118"/>
      <c r="B1458" s="136"/>
    </row>
    <row r="1459" spans="1:2" x14ac:dyDescent="0.25">
      <c r="A1459" s="118"/>
      <c r="B1459" s="136"/>
    </row>
    <row r="1460" spans="1:2" x14ac:dyDescent="0.25">
      <c r="A1460" s="118"/>
      <c r="B1460" s="136"/>
    </row>
    <row r="1461" spans="1:2" x14ac:dyDescent="0.25">
      <c r="A1461" s="118"/>
      <c r="B1461" s="136"/>
    </row>
    <row r="1462" spans="1:2" x14ac:dyDescent="0.25">
      <c r="A1462" s="118"/>
      <c r="B1462" s="136"/>
    </row>
    <row r="1463" spans="1:2" x14ac:dyDescent="0.25">
      <c r="A1463" s="118"/>
      <c r="B1463" s="136"/>
    </row>
    <row r="1464" spans="1:2" x14ac:dyDescent="0.25">
      <c r="A1464" s="118"/>
      <c r="B1464" s="136"/>
    </row>
    <row r="1465" spans="1:2" x14ac:dyDescent="0.25">
      <c r="A1465" s="118"/>
      <c r="B1465" s="136"/>
    </row>
    <row r="1466" spans="1:2" x14ac:dyDescent="0.25">
      <c r="A1466" s="118"/>
      <c r="B1466" s="136"/>
    </row>
    <row r="1467" spans="1:2" x14ac:dyDescent="0.25">
      <c r="A1467" s="118"/>
      <c r="B1467" s="136"/>
    </row>
    <row r="1468" spans="1:2" x14ac:dyDescent="0.25">
      <c r="A1468" s="118"/>
      <c r="B1468" s="136"/>
    </row>
    <row r="1469" spans="1:2" x14ac:dyDescent="0.25">
      <c r="A1469" s="118"/>
      <c r="B1469" s="136"/>
    </row>
    <row r="1470" spans="1:2" x14ac:dyDescent="0.25">
      <c r="A1470" s="118"/>
      <c r="B1470" s="136"/>
    </row>
    <row r="1471" spans="1:2" x14ac:dyDescent="0.25">
      <c r="A1471" s="118"/>
      <c r="B1471" s="136"/>
    </row>
    <row r="1472" spans="1:2" x14ac:dyDescent="0.25">
      <c r="A1472" s="118"/>
      <c r="B1472" s="136"/>
    </row>
    <row r="1473" spans="1:2" x14ac:dyDescent="0.25">
      <c r="A1473" s="118"/>
      <c r="B1473" s="136"/>
    </row>
    <row r="1474" spans="1:2" x14ac:dyDescent="0.25">
      <c r="A1474" s="118"/>
      <c r="B1474" s="136"/>
    </row>
    <row r="1475" spans="1:2" x14ac:dyDescent="0.25">
      <c r="A1475" s="118"/>
      <c r="B1475" s="136"/>
    </row>
    <row r="1476" spans="1:2" x14ac:dyDescent="0.25">
      <c r="A1476" s="118"/>
      <c r="B1476" s="136"/>
    </row>
    <row r="1477" spans="1:2" x14ac:dyDescent="0.25">
      <c r="A1477" s="118"/>
      <c r="B1477" s="136"/>
    </row>
    <row r="1478" spans="1:2" x14ac:dyDescent="0.25">
      <c r="A1478" s="118"/>
      <c r="B1478" s="136"/>
    </row>
    <row r="1479" spans="1:2" x14ac:dyDescent="0.25">
      <c r="A1479" s="118"/>
      <c r="B1479" s="136"/>
    </row>
    <row r="1480" spans="1:2" x14ac:dyDescent="0.25">
      <c r="A1480" s="118"/>
      <c r="B1480" s="136"/>
    </row>
    <row r="1481" spans="1:2" x14ac:dyDescent="0.25">
      <c r="A1481" s="118"/>
      <c r="B1481" s="136"/>
    </row>
    <row r="1482" spans="1:2" x14ac:dyDescent="0.25">
      <c r="A1482" s="118"/>
      <c r="B1482" s="136"/>
    </row>
    <row r="1483" spans="1:2" x14ac:dyDescent="0.25">
      <c r="A1483" s="118"/>
      <c r="B1483" s="136"/>
    </row>
    <row r="1484" spans="1:2" x14ac:dyDescent="0.25">
      <c r="A1484" s="118"/>
      <c r="B1484" s="136"/>
    </row>
    <row r="1485" spans="1:2" x14ac:dyDescent="0.25">
      <c r="A1485" s="118"/>
      <c r="B1485" s="136"/>
    </row>
    <row r="1486" spans="1:2" x14ac:dyDescent="0.25">
      <c r="A1486" s="118"/>
      <c r="B1486" s="136"/>
    </row>
    <row r="1487" spans="1:2" x14ac:dyDescent="0.25">
      <c r="A1487" s="118"/>
      <c r="B1487" s="136"/>
    </row>
    <row r="1488" spans="1:2" x14ac:dyDescent="0.25">
      <c r="A1488" s="118"/>
      <c r="B1488" s="136"/>
    </row>
    <row r="1489" spans="1:2" x14ac:dyDescent="0.25">
      <c r="A1489" s="118"/>
      <c r="B1489" s="136"/>
    </row>
    <row r="1490" spans="1:2" x14ac:dyDescent="0.25">
      <c r="A1490" s="118"/>
      <c r="B1490" s="136"/>
    </row>
    <row r="1491" spans="1:2" x14ac:dyDescent="0.25">
      <c r="A1491" s="118"/>
      <c r="B1491" s="136"/>
    </row>
    <row r="1492" spans="1:2" x14ac:dyDescent="0.25">
      <c r="A1492" s="118"/>
      <c r="B1492" s="136"/>
    </row>
    <row r="1493" spans="1:2" x14ac:dyDescent="0.25">
      <c r="A1493" s="118"/>
      <c r="B1493" s="136"/>
    </row>
    <row r="1494" spans="1:2" x14ac:dyDescent="0.25">
      <c r="A1494" s="118"/>
      <c r="B1494" s="136"/>
    </row>
    <row r="1495" spans="1:2" x14ac:dyDescent="0.25">
      <c r="A1495" s="118"/>
      <c r="B1495" s="136"/>
    </row>
    <row r="1496" spans="1:2" x14ac:dyDescent="0.25">
      <c r="A1496" s="118"/>
      <c r="B1496" s="136"/>
    </row>
    <row r="1497" spans="1:2" x14ac:dyDescent="0.25">
      <c r="A1497" s="118"/>
      <c r="B1497" s="136"/>
    </row>
    <row r="1498" spans="1:2" x14ac:dyDescent="0.25">
      <c r="A1498" s="118"/>
      <c r="B1498" s="136"/>
    </row>
    <row r="1499" spans="1:2" x14ac:dyDescent="0.25">
      <c r="A1499" s="118"/>
      <c r="B1499" s="136"/>
    </row>
    <row r="1500" spans="1:2" x14ac:dyDescent="0.25">
      <c r="A1500" s="118"/>
      <c r="B1500" s="136"/>
    </row>
    <row r="1501" spans="1:2" x14ac:dyDescent="0.25">
      <c r="A1501" s="118"/>
      <c r="B1501" s="136"/>
    </row>
    <row r="1502" spans="1:2" x14ac:dyDescent="0.25">
      <c r="A1502" s="118"/>
      <c r="B1502" s="136"/>
    </row>
    <row r="1503" spans="1:2" x14ac:dyDescent="0.25">
      <c r="A1503" s="118"/>
      <c r="B1503" s="136"/>
    </row>
    <row r="1504" spans="1:2" x14ac:dyDescent="0.25">
      <c r="A1504" s="118"/>
      <c r="B1504" s="136"/>
    </row>
    <row r="1505" spans="1:2" x14ac:dyDescent="0.25">
      <c r="A1505" s="118"/>
      <c r="B1505" s="136"/>
    </row>
    <row r="1506" spans="1:2" x14ac:dyDescent="0.25">
      <c r="A1506" s="118"/>
      <c r="B1506" s="136"/>
    </row>
    <row r="1507" spans="1:2" x14ac:dyDescent="0.25">
      <c r="A1507" s="118"/>
      <c r="B1507" s="136"/>
    </row>
    <row r="1508" spans="1:2" x14ac:dyDescent="0.25">
      <c r="A1508" s="118"/>
      <c r="B1508" s="136"/>
    </row>
    <row r="1509" spans="1:2" x14ac:dyDescent="0.25">
      <c r="A1509" s="118"/>
      <c r="B1509" s="136"/>
    </row>
    <row r="1510" spans="1:2" x14ac:dyDescent="0.25">
      <c r="A1510" s="118"/>
      <c r="B1510" s="136"/>
    </row>
    <row r="1511" spans="1:2" x14ac:dyDescent="0.25">
      <c r="A1511" s="118"/>
      <c r="B1511" s="136"/>
    </row>
    <row r="1512" spans="1:2" x14ac:dyDescent="0.25">
      <c r="A1512" s="118"/>
      <c r="B1512" s="136"/>
    </row>
    <row r="1513" spans="1:2" x14ac:dyDescent="0.25">
      <c r="A1513" s="118"/>
      <c r="B1513" s="136"/>
    </row>
    <row r="1514" spans="1:2" x14ac:dyDescent="0.25">
      <c r="A1514" s="118"/>
      <c r="B1514" s="136"/>
    </row>
    <row r="1515" spans="1:2" x14ac:dyDescent="0.25">
      <c r="A1515" s="118"/>
      <c r="B1515" s="136"/>
    </row>
    <row r="1516" spans="1:2" x14ac:dyDescent="0.25">
      <c r="A1516" s="118"/>
      <c r="B1516" s="136"/>
    </row>
    <row r="1517" spans="1:2" x14ac:dyDescent="0.25">
      <c r="A1517" s="118"/>
      <c r="B1517" s="136"/>
    </row>
    <row r="1518" spans="1:2" x14ac:dyDescent="0.25">
      <c r="A1518" s="118"/>
      <c r="B1518" s="136"/>
    </row>
    <row r="1519" spans="1:2" x14ac:dyDescent="0.25">
      <c r="A1519" s="118"/>
      <c r="B1519" s="136"/>
    </row>
    <row r="1520" spans="1:2" x14ac:dyDescent="0.25">
      <c r="A1520" s="118"/>
      <c r="B1520" s="136"/>
    </row>
    <row r="1521" spans="1:2" x14ac:dyDescent="0.25">
      <c r="A1521" s="118"/>
      <c r="B1521" s="136"/>
    </row>
    <row r="1522" spans="1:2" x14ac:dyDescent="0.25">
      <c r="A1522" s="118"/>
      <c r="B1522" s="136"/>
    </row>
    <row r="1523" spans="1:2" x14ac:dyDescent="0.25">
      <c r="A1523" s="118"/>
      <c r="B1523" s="136"/>
    </row>
    <row r="1524" spans="1:2" x14ac:dyDescent="0.25">
      <c r="A1524" s="118"/>
      <c r="B1524" s="136"/>
    </row>
    <row r="1525" spans="1:2" x14ac:dyDescent="0.25">
      <c r="A1525" s="118"/>
      <c r="B1525" s="136"/>
    </row>
    <row r="1526" spans="1:2" x14ac:dyDescent="0.25">
      <c r="A1526" s="118"/>
      <c r="B1526" s="136"/>
    </row>
    <row r="1527" spans="1:2" x14ac:dyDescent="0.25">
      <c r="A1527" s="118"/>
      <c r="B1527" s="136"/>
    </row>
    <row r="1528" spans="1:2" x14ac:dyDescent="0.25">
      <c r="A1528" s="118"/>
      <c r="B1528" s="136"/>
    </row>
    <row r="1529" spans="1:2" x14ac:dyDescent="0.25">
      <c r="A1529" s="118"/>
      <c r="B1529" s="136"/>
    </row>
    <row r="1530" spans="1:2" x14ac:dyDescent="0.25">
      <c r="A1530" s="118"/>
      <c r="B1530" s="136"/>
    </row>
    <row r="1531" spans="1:2" x14ac:dyDescent="0.25">
      <c r="A1531" s="118"/>
      <c r="B1531" s="136"/>
    </row>
    <row r="1532" spans="1:2" x14ac:dyDescent="0.25">
      <c r="A1532" s="118"/>
      <c r="B1532" s="136"/>
    </row>
    <row r="1533" spans="1:2" x14ac:dyDescent="0.25">
      <c r="A1533" s="118"/>
      <c r="B1533" s="136"/>
    </row>
    <row r="1534" spans="1:2" x14ac:dyDescent="0.25">
      <c r="A1534" s="118"/>
      <c r="B1534" s="136"/>
    </row>
    <row r="1535" spans="1:2" x14ac:dyDescent="0.25">
      <c r="A1535" s="118"/>
      <c r="B1535" s="136"/>
    </row>
    <row r="1536" spans="1:2" x14ac:dyDescent="0.25">
      <c r="A1536" s="118"/>
      <c r="B1536" s="136"/>
    </row>
    <row r="1537" spans="1:2" x14ac:dyDescent="0.25">
      <c r="A1537" s="118"/>
      <c r="B1537" s="136"/>
    </row>
    <row r="1538" spans="1:2" x14ac:dyDescent="0.25">
      <c r="A1538" s="118"/>
      <c r="B1538" s="136"/>
    </row>
    <row r="1539" spans="1:2" x14ac:dyDescent="0.25">
      <c r="A1539" s="118"/>
      <c r="B1539" s="136"/>
    </row>
    <row r="1540" spans="1:2" x14ac:dyDescent="0.25">
      <c r="A1540" s="118"/>
      <c r="B1540" s="136"/>
    </row>
    <row r="1541" spans="1:2" x14ac:dyDescent="0.25">
      <c r="A1541" s="118"/>
      <c r="B1541" s="136"/>
    </row>
    <row r="1542" spans="1:2" x14ac:dyDescent="0.25">
      <c r="A1542" s="118"/>
      <c r="B1542" s="136"/>
    </row>
    <row r="1543" spans="1:2" x14ac:dyDescent="0.25">
      <c r="A1543" s="118"/>
      <c r="B1543" s="136"/>
    </row>
    <row r="1544" spans="1:2" x14ac:dyDescent="0.25">
      <c r="A1544" s="118"/>
      <c r="B1544" s="136"/>
    </row>
    <row r="1545" spans="1:2" x14ac:dyDescent="0.25">
      <c r="A1545" s="118"/>
      <c r="B1545" s="136"/>
    </row>
    <row r="1546" spans="1:2" x14ac:dyDescent="0.25">
      <c r="A1546" s="118"/>
      <c r="B1546" s="136"/>
    </row>
    <row r="1547" spans="1:2" x14ac:dyDescent="0.25">
      <c r="A1547" s="118"/>
      <c r="B1547" s="136"/>
    </row>
    <row r="1548" spans="1:2" x14ac:dyDescent="0.25">
      <c r="A1548" s="118"/>
      <c r="B1548" s="136"/>
    </row>
    <row r="1549" spans="1:2" x14ac:dyDescent="0.25">
      <c r="A1549" s="118"/>
      <c r="B1549" s="136"/>
    </row>
    <row r="1550" spans="1:2" x14ac:dyDescent="0.25">
      <c r="A1550" s="118"/>
      <c r="B1550" s="136"/>
    </row>
    <row r="1551" spans="1:2" x14ac:dyDescent="0.25">
      <c r="A1551" s="118"/>
      <c r="B1551" s="136"/>
    </row>
    <row r="1552" spans="1:2" x14ac:dyDescent="0.25">
      <c r="A1552" s="118"/>
      <c r="B1552" s="136"/>
    </row>
    <row r="1553" spans="1:2" x14ac:dyDescent="0.25">
      <c r="A1553" s="118"/>
      <c r="B1553" s="136"/>
    </row>
    <row r="1554" spans="1:2" x14ac:dyDescent="0.25">
      <c r="A1554" s="118"/>
      <c r="B1554" s="136"/>
    </row>
    <row r="1555" spans="1:2" x14ac:dyDescent="0.25">
      <c r="A1555" s="118"/>
      <c r="B1555" s="136"/>
    </row>
    <row r="1556" spans="1:2" x14ac:dyDescent="0.25">
      <c r="A1556" s="118"/>
      <c r="B1556" s="136"/>
    </row>
    <row r="1557" spans="1:2" x14ac:dyDescent="0.25">
      <c r="A1557" s="118"/>
      <c r="B1557" s="136"/>
    </row>
    <row r="1558" spans="1:2" x14ac:dyDescent="0.25">
      <c r="A1558" s="118"/>
      <c r="B1558" s="136"/>
    </row>
    <row r="1559" spans="1:2" x14ac:dyDescent="0.25">
      <c r="A1559" s="118"/>
      <c r="B1559" s="136"/>
    </row>
    <row r="1560" spans="1:2" x14ac:dyDescent="0.25">
      <c r="A1560" s="118"/>
      <c r="B1560" s="136"/>
    </row>
    <row r="1561" spans="1:2" x14ac:dyDescent="0.25">
      <c r="A1561" s="118"/>
      <c r="B1561" s="136"/>
    </row>
    <row r="1562" spans="1:2" x14ac:dyDescent="0.25">
      <c r="A1562" s="118"/>
      <c r="B1562" s="136"/>
    </row>
    <row r="1563" spans="1:2" x14ac:dyDescent="0.25">
      <c r="A1563" s="118"/>
      <c r="B1563" s="136"/>
    </row>
    <row r="1564" spans="1:2" x14ac:dyDescent="0.25">
      <c r="A1564" s="118"/>
      <c r="B1564" s="136"/>
    </row>
    <row r="1565" spans="1:2" x14ac:dyDescent="0.25">
      <c r="A1565" s="118"/>
      <c r="B1565" s="136"/>
    </row>
    <row r="1566" spans="1:2" x14ac:dyDescent="0.25">
      <c r="A1566" s="118"/>
      <c r="B1566" s="136"/>
    </row>
    <row r="1567" spans="1:2" x14ac:dyDescent="0.25">
      <c r="A1567" s="118"/>
      <c r="B1567" s="136"/>
    </row>
    <row r="1568" spans="1:2" x14ac:dyDescent="0.25">
      <c r="A1568" s="118"/>
      <c r="B1568" s="136"/>
    </row>
    <row r="1569" spans="1:2" x14ac:dyDescent="0.25">
      <c r="A1569" s="118"/>
      <c r="B1569" s="136"/>
    </row>
    <row r="1570" spans="1:2" x14ac:dyDescent="0.25">
      <c r="A1570" s="118"/>
      <c r="B1570" s="136"/>
    </row>
    <row r="1571" spans="1:2" x14ac:dyDescent="0.25">
      <c r="A1571" s="118"/>
      <c r="B1571" s="136"/>
    </row>
    <row r="1572" spans="1:2" x14ac:dyDescent="0.25">
      <c r="A1572" s="118"/>
      <c r="B1572" s="136"/>
    </row>
    <row r="1573" spans="1:2" x14ac:dyDescent="0.25">
      <c r="A1573" s="118"/>
      <c r="B1573" s="136"/>
    </row>
    <row r="1574" spans="1:2" x14ac:dyDescent="0.25">
      <c r="A1574" s="118"/>
      <c r="B1574" s="136"/>
    </row>
    <row r="1575" spans="1:2" x14ac:dyDescent="0.25">
      <c r="A1575" s="118"/>
      <c r="B1575" s="136"/>
    </row>
    <row r="1576" spans="1:2" x14ac:dyDescent="0.25">
      <c r="A1576" s="118"/>
      <c r="B1576" s="136"/>
    </row>
    <row r="1577" spans="1:2" x14ac:dyDescent="0.25">
      <c r="A1577" s="118"/>
      <c r="B1577" s="136"/>
    </row>
    <row r="1578" spans="1:2" x14ac:dyDescent="0.25">
      <c r="A1578" s="118"/>
      <c r="B1578" s="136"/>
    </row>
    <row r="1579" spans="1:2" x14ac:dyDescent="0.25">
      <c r="A1579" s="118"/>
      <c r="B1579" s="136"/>
    </row>
    <row r="1580" spans="1:2" x14ac:dyDescent="0.25">
      <c r="A1580" s="118"/>
      <c r="B1580" s="136"/>
    </row>
    <row r="1581" spans="1:2" x14ac:dyDescent="0.25">
      <c r="A1581" s="118"/>
      <c r="B1581" s="136"/>
    </row>
    <row r="1582" spans="1:2" x14ac:dyDescent="0.25">
      <c r="A1582" s="118"/>
      <c r="B1582" s="136"/>
    </row>
    <row r="1583" spans="1:2" x14ac:dyDescent="0.25">
      <c r="A1583" s="118"/>
      <c r="B1583" s="136"/>
    </row>
    <row r="1584" spans="1:2" x14ac:dyDescent="0.25">
      <c r="A1584" s="118"/>
      <c r="B1584" s="136"/>
    </row>
    <row r="1585" spans="1:2" x14ac:dyDescent="0.25">
      <c r="A1585" s="118"/>
      <c r="B1585" s="136"/>
    </row>
    <row r="1586" spans="1:2" x14ac:dyDescent="0.25">
      <c r="A1586" s="118"/>
      <c r="B1586" s="136"/>
    </row>
    <row r="1587" spans="1:2" x14ac:dyDescent="0.25">
      <c r="A1587" s="118"/>
      <c r="B1587" s="136"/>
    </row>
    <row r="1588" spans="1:2" x14ac:dyDescent="0.25">
      <c r="A1588" s="118"/>
      <c r="B1588" s="136"/>
    </row>
    <row r="1589" spans="1:2" x14ac:dyDescent="0.25">
      <c r="A1589" s="118"/>
      <c r="B1589" s="136"/>
    </row>
    <row r="1590" spans="1:2" x14ac:dyDescent="0.25">
      <c r="A1590" s="118"/>
      <c r="B1590" s="136"/>
    </row>
    <row r="1591" spans="1:2" x14ac:dyDescent="0.25">
      <c r="A1591" s="118"/>
      <c r="B1591" s="136"/>
    </row>
    <row r="1592" spans="1:2" x14ac:dyDescent="0.25">
      <c r="A1592" s="118"/>
      <c r="B1592" s="136"/>
    </row>
    <row r="1593" spans="1:2" x14ac:dyDescent="0.25">
      <c r="A1593" s="118"/>
      <c r="B1593" s="136"/>
    </row>
    <row r="1594" spans="1:2" x14ac:dyDescent="0.25">
      <c r="A1594" s="118"/>
      <c r="B1594" s="136"/>
    </row>
    <row r="1595" spans="1:2" x14ac:dyDescent="0.25">
      <c r="A1595" s="118"/>
      <c r="B1595" s="136"/>
    </row>
    <row r="1596" spans="1:2" x14ac:dyDescent="0.25">
      <c r="A1596" s="118"/>
      <c r="B1596" s="136"/>
    </row>
    <row r="1597" spans="1:2" x14ac:dyDescent="0.25">
      <c r="A1597" s="118"/>
      <c r="B1597" s="136"/>
    </row>
    <row r="1598" spans="1:2" x14ac:dyDescent="0.25">
      <c r="A1598" s="118"/>
      <c r="B1598" s="136"/>
    </row>
    <row r="1599" spans="1:2" x14ac:dyDescent="0.25">
      <c r="A1599" s="118"/>
      <c r="B1599" s="136"/>
    </row>
    <row r="1600" spans="1:2" x14ac:dyDescent="0.25">
      <c r="A1600" s="118"/>
      <c r="B1600" s="136"/>
    </row>
    <row r="1601" spans="1:2" x14ac:dyDescent="0.25">
      <c r="A1601" s="118"/>
      <c r="B1601" s="136"/>
    </row>
    <row r="1602" spans="1:2" x14ac:dyDescent="0.25">
      <c r="A1602" s="118"/>
      <c r="B1602" s="136"/>
    </row>
    <row r="1603" spans="1:2" x14ac:dyDescent="0.25">
      <c r="A1603" s="118"/>
      <c r="B1603" s="136"/>
    </row>
    <row r="1604" spans="1:2" x14ac:dyDescent="0.25">
      <c r="A1604" s="118"/>
      <c r="B1604" s="136"/>
    </row>
    <row r="1605" spans="1:2" x14ac:dyDescent="0.25">
      <c r="A1605" s="118"/>
      <c r="B1605" s="136"/>
    </row>
    <row r="1606" spans="1:2" x14ac:dyDescent="0.25">
      <c r="A1606" s="118"/>
      <c r="B1606" s="136"/>
    </row>
    <row r="1607" spans="1:2" x14ac:dyDescent="0.25">
      <c r="A1607" s="118"/>
      <c r="B1607" s="136"/>
    </row>
    <row r="1608" spans="1:2" x14ac:dyDescent="0.25">
      <c r="A1608" s="118"/>
      <c r="B1608" s="136"/>
    </row>
    <row r="1609" spans="1:2" x14ac:dyDescent="0.25">
      <c r="A1609" s="118"/>
      <c r="B1609" s="136"/>
    </row>
    <row r="1610" spans="1:2" x14ac:dyDescent="0.25">
      <c r="A1610" s="118"/>
      <c r="B1610" s="136"/>
    </row>
    <row r="1611" spans="1:2" x14ac:dyDescent="0.25">
      <c r="A1611" s="118"/>
      <c r="B1611" s="136"/>
    </row>
    <row r="1612" spans="1:2" x14ac:dyDescent="0.25">
      <c r="A1612" s="118"/>
      <c r="B1612" s="136"/>
    </row>
    <row r="1613" spans="1:2" x14ac:dyDescent="0.25">
      <c r="A1613" s="118"/>
      <c r="B1613" s="136"/>
    </row>
    <row r="1614" spans="1:2" x14ac:dyDescent="0.25">
      <c r="A1614" s="118"/>
      <c r="B1614" s="136"/>
    </row>
    <row r="1615" spans="1:2" x14ac:dyDescent="0.25">
      <c r="A1615" s="118"/>
      <c r="B1615" s="136"/>
    </row>
    <row r="1616" spans="1:2" x14ac:dyDescent="0.25">
      <c r="A1616" s="118"/>
      <c r="B1616" s="136"/>
    </row>
    <row r="1617" spans="1:2" x14ac:dyDescent="0.25">
      <c r="A1617" s="118"/>
      <c r="B1617" s="136"/>
    </row>
    <row r="1618" spans="1:2" x14ac:dyDescent="0.25">
      <c r="A1618" s="118"/>
      <c r="B1618" s="136"/>
    </row>
    <row r="1619" spans="1:2" x14ac:dyDescent="0.25">
      <c r="A1619" s="118"/>
      <c r="B1619" s="136"/>
    </row>
    <row r="1620" spans="1:2" x14ac:dyDescent="0.25">
      <c r="A1620" s="118"/>
      <c r="B1620" s="136"/>
    </row>
    <row r="1621" spans="1:2" x14ac:dyDescent="0.25">
      <c r="A1621" s="118"/>
      <c r="B1621" s="136"/>
    </row>
    <row r="1622" spans="1:2" x14ac:dyDescent="0.25">
      <c r="A1622" s="118"/>
      <c r="B1622" s="136"/>
    </row>
    <row r="1623" spans="1:2" x14ac:dyDescent="0.25">
      <c r="A1623" s="118"/>
      <c r="B1623" s="136"/>
    </row>
    <row r="1624" spans="1:2" x14ac:dyDescent="0.25">
      <c r="A1624" s="118"/>
      <c r="B1624" s="136"/>
    </row>
    <row r="1625" spans="1:2" x14ac:dyDescent="0.25">
      <c r="A1625" s="118"/>
      <c r="B1625" s="136"/>
    </row>
    <row r="1626" spans="1:2" x14ac:dyDescent="0.25">
      <c r="A1626" s="118"/>
      <c r="B1626" s="136"/>
    </row>
    <row r="1627" spans="1:2" x14ac:dyDescent="0.25">
      <c r="A1627" s="118"/>
      <c r="B1627" s="136"/>
    </row>
    <row r="1628" spans="1:2" x14ac:dyDescent="0.25">
      <c r="A1628" s="118"/>
      <c r="B1628" s="136"/>
    </row>
    <row r="1629" spans="1:2" x14ac:dyDescent="0.25">
      <c r="A1629" s="118"/>
      <c r="B1629" s="136"/>
    </row>
    <row r="1630" spans="1:2" x14ac:dyDescent="0.25">
      <c r="A1630" s="118"/>
      <c r="B1630" s="136"/>
    </row>
    <row r="1631" spans="1:2" x14ac:dyDescent="0.25">
      <c r="A1631" s="118"/>
      <c r="B1631" s="136"/>
    </row>
    <row r="1632" spans="1:2" x14ac:dyDescent="0.25">
      <c r="A1632" s="118"/>
      <c r="B1632" s="136"/>
    </row>
    <row r="1633" spans="1:2" x14ac:dyDescent="0.25">
      <c r="A1633" s="118"/>
      <c r="B1633" s="136"/>
    </row>
    <row r="1634" spans="1:2" x14ac:dyDescent="0.25">
      <c r="A1634" s="118"/>
      <c r="B1634" s="136"/>
    </row>
    <row r="1635" spans="1:2" x14ac:dyDescent="0.25">
      <c r="A1635" s="118"/>
      <c r="B1635" s="136"/>
    </row>
    <row r="1636" spans="1:2" x14ac:dyDescent="0.25">
      <c r="A1636" s="118"/>
      <c r="B1636" s="136"/>
    </row>
    <row r="1637" spans="1:2" x14ac:dyDescent="0.25">
      <c r="A1637" s="118"/>
      <c r="B1637" s="136"/>
    </row>
    <row r="1638" spans="1:2" x14ac:dyDescent="0.25">
      <c r="A1638" s="118"/>
      <c r="B1638" s="136"/>
    </row>
    <row r="1639" spans="1:2" x14ac:dyDescent="0.25">
      <c r="A1639" s="118"/>
      <c r="B1639" s="136"/>
    </row>
    <row r="1640" spans="1:2" x14ac:dyDescent="0.25">
      <c r="A1640" s="118"/>
      <c r="B1640" s="136"/>
    </row>
    <row r="1641" spans="1:2" x14ac:dyDescent="0.25">
      <c r="A1641" s="118"/>
      <c r="B1641" s="136"/>
    </row>
    <row r="1642" spans="1:2" x14ac:dyDescent="0.25">
      <c r="A1642" s="118"/>
      <c r="B1642" s="136"/>
    </row>
    <row r="1643" spans="1:2" x14ac:dyDescent="0.25">
      <c r="A1643" s="118"/>
      <c r="B1643" s="136"/>
    </row>
    <row r="1644" spans="1:2" x14ac:dyDescent="0.25">
      <c r="A1644" s="118"/>
      <c r="B1644" s="136"/>
    </row>
    <row r="1645" spans="1:2" x14ac:dyDescent="0.25">
      <c r="A1645" s="118"/>
      <c r="B1645" s="136"/>
    </row>
    <row r="1646" spans="1:2" x14ac:dyDescent="0.25">
      <c r="A1646" s="118"/>
      <c r="B1646" s="136"/>
    </row>
    <row r="1647" spans="1:2" x14ac:dyDescent="0.25">
      <c r="A1647" s="118"/>
      <c r="B1647" s="136"/>
    </row>
    <row r="1648" spans="1:2" x14ac:dyDescent="0.25">
      <c r="A1648" s="118"/>
      <c r="B1648" s="136"/>
    </row>
    <row r="1649" spans="1:2" x14ac:dyDescent="0.25">
      <c r="A1649" s="118"/>
      <c r="B1649" s="136"/>
    </row>
    <row r="1650" spans="1:2" x14ac:dyDescent="0.25">
      <c r="A1650" s="118"/>
      <c r="B1650" s="136"/>
    </row>
    <row r="1651" spans="1:2" x14ac:dyDescent="0.25">
      <c r="A1651" s="118"/>
      <c r="B1651" s="136"/>
    </row>
    <row r="1652" spans="1:2" x14ac:dyDescent="0.25">
      <c r="A1652" s="118"/>
      <c r="B1652" s="136"/>
    </row>
    <row r="1653" spans="1:2" x14ac:dyDescent="0.25">
      <c r="A1653" s="118"/>
      <c r="B1653" s="136"/>
    </row>
    <row r="1654" spans="1:2" x14ac:dyDescent="0.25">
      <c r="A1654" s="118"/>
      <c r="B1654" s="136"/>
    </row>
    <row r="1655" spans="1:2" x14ac:dyDescent="0.25">
      <c r="A1655" s="118"/>
      <c r="B1655" s="136"/>
    </row>
    <row r="1656" spans="1:2" x14ac:dyDescent="0.25">
      <c r="A1656" s="118"/>
      <c r="B1656" s="136"/>
    </row>
    <row r="1657" spans="1:2" x14ac:dyDescent="0.25">
      <c r="A1657" s="118"/>
      <c r="B1657" s="136"/>
    </row>
    <row r="1658" spans="1:2" x14ac:dyDescent="0.25">
      <c r="A1658" s="118"/>
      <c r="B1658" s="136"/>
    </row>
    <row r="1659" spans="1:2" x14ac:dyDescent="0.25">
      <c r="A1659" s="118"/>
      <c r="B1659" s="136"/>
    </row>
    <row r="1660" spans="1:2" x14ac:dyDescent="0.25">
      <c r="A1660" s="118"/>
      <c r="B1660" s="136"/>
    </row>
    <row r="1661" spans="1:2" x14ac:dyDescent="0.25">
      <c r="A1661" s="118"/>
      <c r="B1661" s="136"/>
    </row>
    <row r="1662" spans="1:2" x14ac:dyDescent="0.25">
      <c r="A1662" s="118"/>
      <c r="B1662" s="136"/>
    </row>
    <row r="1663" spans="1:2" x14ac:dyDescent="0.25">
      <c r="A1663" s="118"/>
      <c r="B1663" s="136"/>
    </row>
    <row r="1664" spans="1:2" x14ac:dyDescent="0.25">
      <c r="A1664" s="118"/>
      <c r="B1664" s="136"/>
    </row>
    <row r="1665" spans="1:2" x14ac:dyDescent="0.25">
      <c r="A1665" s="118"/>
      <c r="B1665" s="136"/>
    </row>
    <row r="1666" spans="1:2" x14ac:dyDescent="0.25">
      <c r="A1666" s="118"/>
      <c r="B1666" s="136"/>
    </row>
    <row r="1667" spans="1:2" x14ac:dyDescent="0.25">
      <c r="A1667" s="118"/>
      <c r="B1667" s="136"/>
    </row>
    <row r="1668" spans="1:2" x14ac:dyDescent="0.25">
      <c r="A1668" s="118"/>
      <c r="B1668" s="136"/>
    </row>
    <row r="1669" spans="1:2" x14ac:dyDescent="0.25">
      <c r="A1669" s="118"/>
      <c r="B1669" s="136"/>
    </row>
    <row r="1670" spans="1:2" x14ac:dyDescent="0.25">
      <c r="A1670" s="118"/>
      <c r="B1670" s="136"/>
    </row>
    <row r="1671" spans="1:2" x14ac:dyDescent="0.25">
      <c r="A1671" s="118"/>
      <c r="B1671" s="136"/>
    </row>
    <row r="1672" spans="1:2" x14ac:dyDescent="0.25">
      <c r="A1672" s="118"/>
      <c r="B1672" s="136"/>
    </row>
    <row r="1673" spans="1:2" x14ac:dyDescent="0.25">
      <c r="A1673" s="118"/>
      <c r="B1673" s="136"/>
    </row>
    <row r="1674" spans="1:2" x14ac:dyDescent="0.25">
      <c r="A1674" s="118"/>
      <c r="B1674" s="136"/>
    </row>
    <row r="1675" spans="1:2" x14ac:dyDescent="0.25">
      <c r="A1675" s="118"/>
      <c r="B1675" s="136"/>
    </row>
    <row r="1676" spans="1:2" x14ac:dyDescent="0.25">
      <c r="A1676" s="118"/>
      <c r="B1676" s="136"/>
    </row>
    <row r="1677" spans="1:2" x14ac:dyDescent="0.25">
      <c r="A1677" s="118"/>
      <c r="B1677" s="136"/>
    </row>
    <row r="1678" spans="1:2" x14ac:dyDescent="0.25">
      <c r="A1678" s="118"/>
      <c r="B1678" s="136"/>
    </row>
    <row r="1679" spans="1:2" x14ac:dyDescent="0.25">
      <c r="A1679" s="118"/>
      <c r="B1679" s="136"/>
    </row>
    <row r="1680" spans="1:2" x14ac:dyDescent="0.25">
      <c r="A1680" s="118"/>
      <c r="B1680" s="136"/>
    </row>
    <row r="1681" spans="1:2" x14ac:dyDescent="0.25">
      <c r="A1681" s="118"/>
      <c r="B1681" s="136"/>
    </row>
    <row r="1682" spans="1:2" x14ac:dyDescent="0.25">
      <c r="A1682" s="118"/>
      <c r="B1682" s="136"/>
    </row>
    <row r="1683" spans="1:2" x14ac:dyDescent="0.25">
      <c r="A1683" s="118"/>
      <c r="B1683" s="136"/>
    </row>
    <row r="1684" spans="1:2" x14ac:dyDescent="0.25">
      <c r="A1684" s="118"/>
      <c r="B1684" s="136"/>
    </row>
    <row r="1685" spans="1:2" x14ac:dyDescent="0.25">
      <c r="A1685" s="118"/>
      <c r="B1685" s="136"/>
    </row>
    <row r="1686" spans="1:2" x14ac:dyDescent="0.25">
      <c r="A1686" s="118"/>
      <c r="B1686" s="136"/>
    </row>
    <row r="1687" spans="1:2" x14ac:dyDescent="0.25">
      <c r="A1687" s="118"/>
      <c r="B1687" s="136"/>
    </row>
    <row r="1688" spans="1:2" x14ac:dyDescent="0.25">
      <c r="A1688" s="118"/>
      <c r="B1688" s="136"/>
    </row>
    <row r="1689" spans="1:2" x14ac:dyDescent="0.25">
      <c r="A1689" s="118"/>
      <c r="B1689" s="136"/>
    </row>
    <row r="1690" spans="1:2" x14ac:dyDescent="0.25">
      <c r="A1690" s="118"/>
      <c r="B1690" s="136"/>
    </row>
    <row r="1691" spans="1:2" x14ac:dyDescent="0.25">
      <c r="A1691" s="118"/>
      <c r="B1691" s="136"/>
    </row>
    <row r="1692" spans="1:2" x14ac:dyDescent="0.25">
      <c r="A1692" s="118"/>
      <c r="B1692" s="136"/>
    </row>
    <row r="1693" spans="1:2" x14ac:dyDescent="0.25">
      <c r="A1693" s="118"/>
      <c r="B1693" s="136"/>
    </row>
    <row r="1694" spans="1:2" x14ac:dyDescent="0.25">
      <c r="A1694" s="118"/>
      <c r="B1694" s="136"/>
    </row>
    <row r="1695" spans="1:2" x14ac:dyDescent="0.25">
      <c r="A1695" s="118"/>
      <c r="B1695" s="136"/>
    </row>
    <row r="1696" spans="1:2" x14ac:dyDescent="0.25">
      <c r="A1696" s="118"/>
      <c r="B1696" s="136"/>
    </row>
    <row r="1697" spans="1:2" x14ac:dyDescent="0.25">
      <c r="A1697" s="118"/>
      <c r="B1697" s="136"/>
    </row>
    <row r="1698" spans="1:2" x14ac:dyDescent="0.25">
      <c r="A1698" s="118"/>
      <c r="B1698" s="136"/>
    </row>
    <row r="1699" spans="1:2" x14ac:dyDescent="0.25">
      <c r="A1699" s="118"/>
      <c r="B1699" s="136"/>
    </row>
    <row r="1700" spans="1:2" x14ac:dyDescent="0.25">
      <c r="A1700" s="118"/>
      <c r="B1700" s="136"/>
    </row>
    <row r="1701" spans="1:2" x14ac:dyDescent="0.25">
      <c r="A1701" s="118"/>
      <c r="B1701" s="136"/>
    </row>
    <row r="1702" spans="1:2" x14ac:dyDescent="0.25">
      <c r="A1702" s="118"/>
      <c r="B1702" s="136"/>
    </row>
    <row r="1703" spans="1:2" x14ac:dyDescent="0.25">
      <c r="A1703" s="118"/>
      <c r="B1703" s="136"/>
    </row>
    <row r="1704" spans="1:2" x14ac:dyDescent="0.25">
      <c r="A1704" s="118"/>
      <c r="B1704" s="136"/>
    </row>
    <row r="1705" spans="1:2" x14ac:dyDescent="0.25">
      <c r="A1705" s="118"/>
      <c r="B1705" s="136"/>
    </row>
    <row r="1706" spans="1:2" x14ac:dyDescent="0.25">
      <c r="A1706" s="118"/>
      <c r="B1706" s="136"/>
    </row>
    <row r="1707" spans="1:2" x14ac:dyDescent="0.25">
      <c r="A1707" s="118"/>
      <c r="B1707" s="136"/>
    </row>
    <row r="1708" spans="1:2" x14ac:dyDescent="0.25">
      <c r="A1708" s="118"/>
      <c r="B1708" s="136"/>
    </row>
    <row r="1709" spans="1:2" x14ac:dyDescent="0.25">
      <c r="A1709" s="118"/>
      <c r="B1709" s="136"/>
    </row>
    <row r="1710" spans="1:2" x14ac:dyDescent="0.25">
      <c r="A1710" s="118"/>
      <c r="B1710" s="136"/>
    </row>
    <row r="1711" spans="1:2" x14ac:dyDescent="0.25">
      <c r="A1711" s="118"/>
      <c r="B1711" s="136"/>
    </row>
    <row r="1712" spans="1:2" x14ac:dyDescent="0.25">
      <c r="A1712" s="118"/>
      <c r="B1712" s="136"/>
    </row>
    <row r="1713" spans="1:2" x14ac:dyDescent="0.25">
      <c r="A1713" s="118"/>
      <c r="B1713" s="136"/>
    </row>
    <row r="1714" spans="1:2" x14ac:dyDescent="0.25">
      <c r="A1714" s="118"/>
      <c r="B1714" s="136"/>
    </row>
    <row r="1715" spans="1:2" x14ac:dyDescent="0.25">
      <c r="A1715" s="118"/>
      <c r="B1715" s="136"/>
    </row>
    <row r="1716" spans="1:2" x14ac:dyDescent="0.25">
      <c r="A1716" s="118"/>
      <c r="B1716" s="136"/>
    </row>
    <row r="1717" spans="1:2" x14ac:dyDescent="0.25">
      <c r="A1717" s="118"/>
      <c r="B1717" s="136"/>
    </row>
    <row r="1718" spans="1:2" x14ac:dyDescent="0.25">
      <c r="A1718" s="118"/>
      <c r="B1718" s="136"/>
    </row>
    <row r="1719" spans="1:2" x14ac:dyDescent="0.25">
      <c r="A1719" s="118"/>
      <c r="B1719" s="136"/>
    </row>
    <row r="1720" spans="1:2" x14ac:dyDescent="0.25">
      <c r="A1720" s="118"/>
      <c r="B1720" s="136"/>
    </row>
    <row r="1721" spans="1:2" x14ac:dyDescent="0.25">
      <c r="A1721" s="118"/>
      <c r="B1721" s="136"/>
    </row>
    <row r="1722" spans="1:2" x14ac:dyDescent="0.25">
      <c r="A1722" s="118"/>
      <c r="B1722" s="136"/>
    </row>
    <row r="1723" spans="1:2" x14ac:dyDescent="0.25">
      <c r="A1723" s="118"/>
      <c r="B1723" s="136"/>
    </row>
    <row r="1724" spans="1:2" x14ac:dyDescent="0.25">
      <c r="A1724" s="118"/>
      <c r="B1724" s="136"/>
    </row>
    <row r="1725" spans="1:2" x14ac:dyDescent="0.25">
      <c r="A1725" s="118"/>
      <c r="B1725" s="136"/>
    </row>
    <row r="1726" spans="1:2" x14ac:dyDescent="0.25">
      <c r="A1726" s="118"/>
      <c r="B1726" s="136"/>
    </row>
    <row r="1727" spans="1:2" x14ac:dyDescent="0.25">
      <c r="A1727" s="118"/>
      <c r="B1727" s="136"/>
    </row>
    <row r="1728" spans="1:2" x14ac:dyDescent="0.25">
      <c r="A1728" s="118"/>
      <c r="B1728" s="136"/>
    </row>
    <row r="1729" spans="1:2" x14ac:dyDescent="0.25">
      <c r="A1729" s="118"/>
      <c r="B1729" s="136"/>
    </row>
    <row r="1730" spans="1:2" x14ac:dyDescent="0.25">
      <c r="A1730" s="118"/>
      <c r="B1730" s="136"/>
    </row>
    <row r="1731" spans="1:2" x14ac:dyDescent="0.25">
      <c r="A1731" s="118"/>
      <c r="B1731" s="136"/>
    </row>
    <row r="1732" spans="1:2" x14ac:dyDescent="0.25">
      <c r="A1732" s="118"/>
      <c r="B1732" s="136"/>
    </row>
    <row r="1733" spans="1:2" x14ac:dyDescent="0.25">
      <c r="A1733" s="118"/>
      <c r="B1733" s="136"/>
    </row>
    <row r="1734" spans="1:2" x14ac:dyDescent="0.25">
      <c r="A1734" s="118"/>
      <c r="B1734" s="136"/>
    </row>
    <row r="1735" spans="1:2" x14ac:dyDescent="0.25">
      <c r="A1735" s="118"/>
      <c r="B1735" s="136"/>
    </row>
    <row r="1736" spans="1:2" x14ac:dyDescent="0.25">
      <c r="A1736" s="118"/>
      <c r="B1736" s="136"/>
    </row>
    <row r="1737" spans="1:2" x14ac:dyDescent="0.25">
      <c r="A1737" s="118"/>
      <c r="B1737" s="136"/>
    </row>
    <row r="1738" spans="1:2" x14ac:dyDescent="0.25">
      <c r="A1738" s="118"/>
      <c r="B1738" s="136"/>
    </row>
    <row r="1739" spans="1:2" x14ac:dyDescent="0.25">
      <c r="A1739" s="118"/>
      <c r="B1739" s="136"/>
    </row>
    <row r="1740" spans="1:2" x14ac:dyDescent="0.25">
      <c r="A1740" s="118"/>
      <c r="B1740" s="136"/>
    </row>
    <row r="1741" spans="1:2" x14ac:dyDescent="0.25">
      <c r="A1741" s="118"/>
      <c r="B1741" s="136"/>
    </row>
    <row r="1742" spans="1:2" x14ac:dyDescent="0.25">
      <c r="A1742" s="118"/>
      <c r="B1742" s="136"/>
    </row>
    <row r="1743" spans="1:2" x14ac:dyDescent="0.25">
      <c r="A1743" s="118"/>
      <c r="B1743" s="136"/>
    </row>
    <row r="1744" spans="1:2" x14ac:dyDescent="0.25">
      <c r="A1744" s="118"/>
      <c r="B1744" s="136"/>
    </row>
    <row r="1745" spans="1:2" x14ac:dyDescent="0.25">
      <c r="A1745" s="118"/>
      <c r="B1745" s="136"/>
    </row>
    <row r="1746" spans="1:2" x14ac:dyDescent="0.25">
      <c r="A1746" s="118"/>
      <c r="B1746" s="136"/>
    </row>
    <row r="1747" spans="1:2" x14ac:dyDescent="0.25">
      <c r="A1747" s="118"/>
      <c r="B1747" s="136"/>
    </row>
    <row r="1748" spans="1:2" x14ac:dyDescent="0.25">
      <c r="A1748" s="118"/>
      <c r="B1748" s="136"/>
    </row>
    <row r="1749" spans="1:2" x14ac:dyDescent="0.25">
      <c r="A1749" s="118"/>
      <c r="B1749" s="136"/>
    </row>
    <row r="1750" spans="1:2" x14ac:dyDescent="0.25">
      <c r="A1750" s="118"/>
      <c r="B1750" s="136"/>
    </row>
    <row r="1751" spans="1:2" x14ac:dyDescent="0.25">
      <c r="A1751" s="118"/>
      <c r="B1751" s="136"/>
    </row>
    <row r="1752" spans="1:2" x14ac:dyDescent="0.25">
      <c r="A1752" s="118"/>
      <c r="B1752" s="136"/>
    </row>
    <row r="1753" spans="1:2" x14ac:dyDescent="0.25">
      <c r="A1753" s="118"/>
      <c r="B1753" s="136"/>
    </row>
    <row r="1754" spans="1:2" x14ac:dyDescent="0.25">
      <c r="A1754" s="118"/>
      <c r="B1754" s="136"/>
    </row>
    <row r="1755" spans="1:2" x14ac:dyDescent="0.25">
      <c r="A1755" s="118"/>
      <c r="B1755" s="136"/>
    </row>
    <row r="1756" spans="1:2" x14ac:dyDescent="0.25">
      <c r="A1756" s="118"/>
      <c r="B1756" s="136"/>
    </row>
    <row r="1757" spans="1:2" x14ac:dyDescent="0.25">
      <c r="A1757" s="118"/>
      <c r="B1757" s="136"/>
    </row>
    <row r="1758" spans="1:2" x14ac:dyDescent="0.25">
      <c r="A1758" s="118"/>
      <c r="B1758" s="136"/>
    </row>
    <row r="1759" spans="1:2" x14ac:dyDescent="0.25">
      <c r="A1759" s="118"/>
      <c r="B1759" s="136"/>
    </row>
    <row r="1760" spans="1:2" x14ac:dyDescent="0.25">
      <c r="A1760" s="118"/>
      <c r="B1760" s="136"/>
    </row>
    <row r="1761" spans="1:2" x14ac:dyDescent="0.25">
      <c r="A1761" s="118"/>
      <c r="B1761" s="136"/>
    </row>
    <row r="1762" spans="1:2" x14ac:dyDescent="0.25">
      <c r="A1762" s="118"/>
      <c r="B1762" s="136"/>
    </row>
    <row r="1763" spans="1:2" x14ac:dyDescent="0.25">
      <c r="A1763" s="118"/>
      <c r="B1763" s="136"/>
    </row>
    <row r="1764" spans="1:2" x14ac:dyDescent="0.25">
      <c r="A1764" s="118"/>
      <c r="B1764" s="136"/>
    </row>
    <row r="1765" spans="1:2" x14ac:dyDescent="0.25">
      <c r="A1765" s="118"/>
      <c r="B1765" s="136"/>
    </row>
    <row r="1766" spans="1:2" x14ac:dyDescent="0.25">
      <c r="A1766" s="118"/>
      <c r="B1766" s="136"/>
    </row>
    <row r="1767" spans="1:2" x14ac:dyDescent="0.25">
      <c r="A1767" s="118"/>
      <c r="B1767" s="136"/>
    </row>
    <row r="1768" spans="1:2" x14ac:dyDescent="0.25">
      <c r="A1768" s="118"/>
      <c r="B1768" s="136"/>
    </row>
    <row r="1769" spans="1:2" x14ac:dyDescent="0.25">
      <c r="A1769" s="118"/>
      <c r="B1769" s="136"/>
    </row>
    <row r="1770" spans="1:2" x14ac:dyDescent="0.25">
      <c r="A1770" s="118"/>
      <c r="B1770" s="136"/>
    </row>
    <row r="1771" spans="1:2" x14ac:dyDescent="0.25">
      <c r="A1771" s="118"/>
      <c r="B1771" s="136"/>
    </row>
    <row r="1772" spans="1:2" x14ac:dyDescent="0.25">
      <c r="A1772" s="118"/>
      <c r="B1772" s="136"/>
    </row>
    <row r="1773" spans="1:2" x14ac:dyDescent="0.25">
      <c r="A1773" s="118"/>
      <c r="B1773" s="136"/>
    </row>
    <row r="1774" spans="1:2" x14ac:dyDescent="0.25">
      <c r="A1774" s="118"/>
      <c r="B1774" s="136"/>
    </row>
    <row r="1775" spans="1:2" x14ac:dyDescent="0.25">
      <c r="A1775" s="118"/>
      <c r="B1775" s="136"/>
    </row>
    <row r="1776" spans="1:2" x14ac:dyDescent="0.25">
      <c r="A1776" s="118"/>
      <c r="B1776" s="136"/>
    </row>
    <row r="1777" spans="1:2" x14ac:dyDescent="0.25">
      <c r="A1777" s="118"/>
      <c r="B1777" s="136"/>
    </row>
    <row r="1778" spans="1:2" x14ac:dyDescent="0.25">
      <c r="A1778" s="118"/>
      <c r="B1778" s="136"/>
    </row>
    <row r="1779" spans="1:2" x14ac:dyDescent="0.25">
      <c r="A1779" s="118"/>
      <c r="B1779" s="136"/>
    </row>
    <row r="1780" spans="1:2" x14ac:dyDescent="0.25">
      <c r="A1780" s="118"/>
      <c r="B1780" s="136"/>
    </row>
    <row r="1781" spans="1:2" x14ac:dyDescent="0.25">
      <c r="A1781" s="118"/>
      <c r="B1781" s="136"/>
    </row>
    <row r="1782" spans="1:2" x14ac:dyDescent="0.25">
      <c r="A1782" s="118"/>
      <c r="B1782" s="136"/>
    </row>
    <row r="1783" spans="1:2" x14ac:dyDescent="0.25">
      <c r="A1783" s="118"/>
      <c r="B1783" s="136"/>
    </row>
    <row r="1784" spans="1:2" x14ac:dyDescent="0.25">
      <c r="A1784" s="118"/>
      <c r="B1784" s="136"/>
    </row>
    <row r="1785" spans="1:2" x14ac:dyDescent="0.25">
      <c r="A1785" s="118"/>
      <c r="B1785" s="136"/>
    </row>
    <row r="1786" spans="1:2" x14ac:dyDescent="0.25">
      <c r="A1786" s="118"/>
      <c r="B1786" s="136"/>
    </row>
    <row r="1787" spans="1:2" x14ac:dyDescent="0.25">
      <c r="A1787" s="118"/>
      <c r="B1787" s="136"/>
    </row>
    <row r="1788" spans="1:2" x14ac:dyDescent="0.25">
      <c r="A1788" s="118"/>
      <c r="B1788" s="136"/>
    </row>
    <row r="1789" spans="1:2" x14ac:dyDescent="0.25">
      <c r="A1789" s="118"/>
      <c r="B1789" s="136"/>
    </row>
    <row r="1790" spans="1:2" x14ac:dyDescent="0.25">
      <c r="A1790" s="118"/>
      <c r="B1790" s="136"/>
    </row>
    <row r="1791" spans="1:2" x14ac:dyDescent="0.25">
      <c r="A1791" s="118"/>
      <c r="B1791" s="136"/>
    </row>
    <row r="1792" spans="1:2" x14ac:dyDescent="0.25">
      <c r="A1792" s="118"/>
      <c r="B1792" s="136"/>
    </row>
    <row r="1793" spans="1:2" x14ac:dyDescent="0.25">
      <c r="A1793" s="118"/>
      <c r="B1793" s="136"/>
    </row>
    <row r="1794" spans="1:2" x14ac:dyDescent="0.25">
      <c r="A1794" s="118"/>
      <c r="B1794" s="136"/>
    </row>
    <row r="1795" spans="1:2" x14ac:dyDescent="0.25">
      <c r="A1795" s="118"/>
      <c r="B1795" s="136"/>
    </row>
    <row r="1796" spans="1:2" x14ac:dyDescent="0.25">
      <c r="A1796" s="118"/>
      <c r="B1796" s="136"/>
    </row>
    <row r="1797" spans="1:2" x14ac:dyDescent="0.25">
      <c r="A1797" s="118"/>
      <c r="B1797" s="136"/>
    </row>
    <row r="1798" spans="1:2" x14ac:dyDescent="0.25">
      <c r="A1798" s="118"/>
      <c r="B1798" s="136"/>
    </row>
    <row r="1799" spans="1:2" x14ac:dyDescent="0.25">
      <c r="A1799" s="118"/>
      <c r="B1799" s="136"/>
    </row>
    <row r="1800" spans="1:2" x14ac:dyDescent="0.25">
      <c r="A1800" s="118"/>
      <c r="B1800" s="136"/>
    </row>
    <row r="1801" spans="1:2" x14ac:dyDescent="0.25">
      <c r="A1801" s="118"/>
      <c r="B1801" s="136"/>
    </row>
    <row r="1802" spans="1:2" x14ac:dyDescent="0.25">
      <c r="A1802" s="118"/>
      <c r="B1802" s="136"/>
    </row>
    <row r="1803" spans="1:2" x14ac:dyDescent="0.25">
      <c r="A1803" s="118"/>
      <c r="B1803" s="136"/>
    </row>
    <row r="1804" spans="1:2" x14ac:dyDescent="0.25">
      <c r="A1804" s="118"/>
      <c r="B1804" s="136"/>
    </row>
    <row r="1805" spans="1:2" x14ac:dyDescent="0.25">
      <c r="A1805" s="118"/>
      <c r="B1805" s="136"/>
    </row>
    <row r="1806" spans="1:2" x14ac:dyDescent="0.25">
      <c r="A1806" s="118"/>
      <c r="B1806" s="136"/>
    </row>
    <row r="1807" spans="1:2" x14ac:dyDescent="0.25">
      <c r="A1807" s="118"/>
      <c r="B1807" s="136"/>
    </row>
    <row r="1808" spans="1:2" x14ac:dyDescent="0.25">
      <c r="A1808" s="118"/>
      <c r="B1808" s="136"/>
    </row>
    <row r="1809" spans="1:2" x14ac:dyDescent="0.25">
      <c r="A1809" s="118"/>
      <c r="B1809" s="136"/>
    </row>
    <row r="1810" spans="1:2" x14ac:dyDescent="0.25">
      <c r="A1810" s="118"/>
      <c r="B1810" s="136"/>
    </row>
    <row r="1811" spans="1:2" x14ac:dyDescent="0.25">
      <c r="A1811" s="118"/>
      <c r="B1811" s="136"/>
    </row>
    <row r="1812" spans="1:2" x14ac:dyDescent="0.25">
      <c r="A1812" s="118"/>
      <c r="B1812" s="136"/>
    </row>
    <row r="1813" spans="1:2" x14ac:dyDescent="0.25">
      <c r="A1813" s="118"/>
      <c r="B1813" s="136"/>
    </row>
    <row r="1814" spans="1:2" x14ac:dyDescent="0.25">
      <c r="A1814" s="118"/>
      <c r="B1814" s="136"/>
    </row>
    <row r="1815" spans="1:2" x14ac:dyDescent="0.25">
      <c r="A1815" s="118"/>
      <c r="B1815" s="136"/>
    </row>
    <row r="1816" spans="1:2" x14ac:dyDescent="0.25">
      <c r="A1816" s="118"/>
      <c r="B1816" s="136"/>
    </row>
    <row r="1817" spans="1:2" x14ac:dyDescent="0.25">
      <c r="A1817" s="118"/>
      <c r="B1817" s="136"/>
    </row>
    <row r="1818" spans="1:2" x14ac:dyDescent="0.25">
      <c r="A1818" s="118"/>
      <c r="B1818" s="136"/>
    </row>
    <row r="1819" spans="1:2" x14ac:dyDescent="0.25">
      <c r="A1819" s="118"/>
      <c r="B1819" s="136"/>
    </row>
    <row r="1820" spans="1:2" x14ac:dyDescent="0.25">
      <c r="A1820" s="118"/>
      <c r="B1820" s="136"/>
    </row>
    <row r="1821" spans="1:2" x14ac:dyDescent="0.25">
      <c r="A1821" s="118"/>
      <c r="B1821" s="136"/>
    </row>
    <row r="1822" spans="1:2" x14ac:dyDescent="0.25">
      <c r="A1822" s="118"/>
      <c r="B1822" s="136"/>
    </row>
    <row r="1823" spans="1:2" x14ac:dyDescent="0.25">
      <c r="A1823" s="118"/>
      <c r="B1823" s="136"/>
    </row>
    <row r="1824" spans="1:2" x14ac:dyDescent="0.25">
      <c r="A1824" s="118"/>
      <c r="B1824" s="136"/>
    </row>
    <row r="1825" spans="1:2" x14ac:dyDescent="0.25">
      <c r="A1825" s="118"/>
      <c r="B1825" s="136"/>
    </row>
    <row r="1826" spans="1:2" x14ac:dyDescent="0.25">
      <c r="A1826" s="118"/>
      <c r="B1826" s="136"/>
    </row>
    <row r="1827" spans="1:2" x14ac:dyDescent="0.25">
      <c r="A1827" s="118"/>
      <c r="B1827" s="136"/>
    </row>
    <row r="1828" spans="1:2" x14ac:dyDescent="0.25">
      <c r="A1828" s="118"/>
      <c r="B1828" s="136"/>
    </row>
    <row r="1829" spans="1:2" x14ac:dyDescent="0.25">
      <c r="A1829" s="118"/>
      <c r="B1829" s="136"/>
    </row>
    <row r="1830" spans="1:2" x14ac:dyDescent="0.25">
      <c r="A1830" s="118"/>
      <c r="B1830" s="136"/>
    </row>
    <row r="1831" spans="1:2" x14ac:dyDescent="0.25">
      <c r="A1831" s="118"/>
      <c r="B1831" s="136"/>
    </row>
    <row r="1832" spans="1:2" x14ac:dyDescent="0.25">
      <c r="A1832" s="118"/>
      <c r="B1832" s="136"/>
    </row>
    <row r="1833" spans="1:2" x14ac:dyDescent="0.25">
      <c r="A1833" s="118"/>
      <c r="B1833" s="136"/>
    </row>
    <row r="1834" spans="1:2" x14ac:dyDescent="0.25">
      <c r="A1834" s="118"/>
      <c r="B1834" s="136"/>
    </row>
    <row r="1835" spans="1:2" x14ac:dyDescent="0.25">
      <c r="A1835" s="118"/>
      <c r="B1835" s="136"/>
    </row>
    <row r="1836" spans="1:2" x14ac:dyDescent="0.25">
      <c r="A1836" s="118"/>
      <c r="B1836" s="136"/>
    </row>
    <row r="1837" spans="1:2" x14ac:dyDescent="0.25">
      <c r="A1837" s="118"/>
      <c r="B1837" s="136"/>
    </row>
    <row r="1838" spans="1:2" x14ac:dyDescent="0.25">
      <c r="A1838" s="118"/>
      <c r="B1838" s="136"/>
    </row>
    <row r="1839" spans="1:2" x14ac:dyDescent="0.25">
      <c r="A1839" s="118"/>
      <c r="B1839" s="136"/>
    </row>
    <row r="1840" spans="1:2" x14ac:dyDescent="0.25">
      <c r="A1840" s="118"/>
      <c r="B1840" s="136"/>
    </row>
    <row r="1841" spans="1:2" x14ac:dyDescent="0.25">
      <c r="A1841" s="118"/>
      <c r="B1841" s="136"/>
    </row>
    <row r="1842" spans="1:2" x14ac:dyDescent="0.25">
      <c r="A1842" s="118"/>
      <c r="B1842" s="136"/>
    </row>
    <row r="1843" spans="1:2" x14ac:dyDescent="0.25">
      <c r="A1843" s="118"/>
      <c r="B1843" s="136"/>
    </row>
    <row r="1844" spans="1:2" x14ac:dyDescent="0.25">
      <c r="A1844" s="118"/>
      <c r="B1844" s="136"/>
    </row>
    <row r="1845" spans="1:2" x14ac:dyDescent="0.25">
      <c r="A1845" s="118"/>
      <c r="B1845" s="136"/>
    </row>
    <row r="1846" spans="1:2" x14ac:dyDescent="0.25">
      <c r="A1846" s="118"/>
      <c r="B1846" s="136"/>
    </row>
    <row r="1847" spans="1:2" x14ac:dyDescent="0.25">
      <c r="A1847" s="118"/>
      <c r="B1847" s="136"/>
    </row>
    <row r="1848" spans="1:2" x14ac:dyDescent="0.25">
      <c r="A1848" s="118"/>
      <c r="B1848" s="136"/>
    </row>
    <row r="1849" spans="1:2" x14ac:dyDescent="0.25">
      <c r="A1849" s="118"/>
      <c r="B1849" s="136"/>
    </row>
    <row r="1850" spans="1:2" x14ac:dyDescent="0.25">
      <c r="A1850" s="118"/>
      <c r="B1850" s="136"/>
    </row>
    <row r="1851" spans="1:2" x14ac:dyDescent="0.25">
      <c r="A1851" s="118"/>
      <c r="B1851" s="136"/>
    </row>
    <row r="1852" spans="1:2" x14ac:dyDescent="0.25">
      <c r="A1852" s="118"/>
      <c r="B1852" s="136"/>
    </row>
    <row r="1853" spans="1:2" x14ac:dyDescent="0.25">
      <c r="A1853" s="118"/>
      <c r="B1853" s="136"/>
    </row>
    <row r="1854" spans="1:2" x14ac:dyDescent="0.25">
      <c r="A1854" s="118"/>
      <c r="B1854" s="136"/>
    </row>
    <row r="1855" spans="1:2" x14ac:dyDescent="0.25">
      <c r="A1855" s="118"/>
      <c r="B1855" s="136"/>
    </row>
    <row r="1856" spans="1:2" x14ac:dyDescent="0.25">
      <c r="A1856" s="118"/>
      <c r="B1856" s="136"/>
    </row>
    <row r="1857" spans="1:2" x14ac:dyDescent="0.25">
      <c r="A1857" s="118"/>
      <c r="B1857" s="136"/>
    </row>
    <row r="1858" spans="1:2" x14ac:dyDescent="0.25">
      <c r="A1858" s="118"/>
      <c r="B1858" s="136"/>
    </row>
    <row r="1859" spans="1:2" x14ac:dyDescent="0.25">
      <c r="A1859" s="118"/>
      <c r="B1859" s="136"/>
    </row>
    <row r="1860" spans="1:2" x14ac:dyDescent="0.25">
      <c r="A1860" s="118"/>
      <c r="B1860" s="136"/>
    </row>
    <row r="1861" spans="1:2" x14ac:dyDescent="0.25">
      <c r="A1861" s="118"/>
      <c r="B1861" s="136"/>
    </row>
    <row r="1862" spans="1:2" x14ac:dyDescent="0.25">
      <c r="A1862" s="118"/>
      <c r="B1862" s="136"/>
    </row>
    <row r="1863" spans="1:2" x14ac:dyDescent="0.25">
      <c r="A1863" s="118"/>
      <c r="B1863" s="136"/>
    </row>
    <row r="1864" spans="1:2" x14ac:dyDescent="0.25">
      <c r="A1864" s="118"/>
      <c r="B1864" s="136"/>
    </row>
    <row r="1865" spans="1:2" x14ac:dyDescent="0.25">
      <c r="A1865" s="118"/>
      <c r="B1865" s="136"/>
    </row>
    <row r="1866" spans="1:2" x14ac:dyDescent="0.25">
      <c r="A1866" s="118"/>
      <c r="B1866" s="136"/>
    </row>
    <row r="1867" spans="1:2" x14ac:dyDescent="0.25">
      <c r="A1867" s="118"/>
      <c r="B1867" s="136"/>
    </row>
    <row r="1868" spans="1:2" x14ac:dyDescent="0.25">
      <c r="A1868" s="118"/>
      <c r="B1868" s="136"/>
    </row>
    <row r="1869" spans="1:2" x14ac:dyDescent="0.25">
      <c r="A1869" s="118"/>
      <c r="B1869" s="136"/>
    </row>
    <row r="1870" spans="1:2" x14ac:dyDescent="0.25">
      <c r="A1870" s="118"/>
      <c r="B1870" s="136"/>
    </row>
    <row r="1871" spans="1:2" x14ac:dyDescent="0.25">
      <c r="A1871" s="118"/>
      <c r="B1871" s="136"/>
    </row>
    <row r="1872" spans="1:2" x14ac:dyDescent="0.25">
      <c r="A1872" s="118"/>
      <c r="B1872" s="136"/>
    </row>
    <row r="1873" spans="1:2" x14ac:dyDescent="0.25">
      <c r="A1873" s="118"/>
      <c r="B1873" s="136"/>
    </row>
    <row r="1874" spans="1:2" x14ac:dyDescent="0.25">
      <c r="A1874" s="118"/>
      <c r="B1874" s="136"/>
    </row>
    <row r="1875" spans="1:2" x14ac:dyDescent="0.25">
      <c r="A1875" s="118"/>
      <c r="B1875" s="136"/>
    </row>
    <row r="1876" spans="1:2" x14ac:dyDescent="0.25">
      <c r="A1876" s="118"/>
      <c r="B1876" s="136"/>
    </row>
    <row r="1877" spans="1:2" x14ac:dyDescent="0.25">
      <c r="A1877" s="118"/>
      <c r="B1877" s="136"/>
    </row>
    <row r="1878" spans="1:2" x14ac:dyDescent="0.25">
      <c r="A1878" s="118"/>
      <c r="B1878" s="136"/>
    </row>
    <row r="1879" spans="1:2" x14ac:dyDescent="0.25">
      <c r="A1879" s="118"/>
      <c r="B1879" s="136"/>
    </row>
    <row r="1880" spans="1:2" x14ac:dyDescent="0.25">
      <c r="A1880" s="118"/>
      <c r="B1880" s="136"/>
    </row>
    <row r="1881" spans="1:2" x14ac:dyDescent="0.25">
      <c r="A1881" s="118"/>
      <c r="B1881" s="136"/>
    </row>
    <row r="1882" spans="1:2" x14ac:dyDescent="0.25">
      <c r="A1882" s="118"/>
      <c r="B1882" s="136"/>
    </row>
    <row r="1883" spans="1:2" x14ac:dyDescent="0.25">
      <c r="A1883" s="118"/>
      <c r="B1883" s="136"/>
    </row>
    <row r="1884" spans="1:2" x14ac:dyDescent="0.25">
      <c r="A1884" s="118"/>
      <c r="B1884" s="136"/>
    </row>
    <row r="1885" spans="1:2" x14ac:dyDescent="0.25">
      <c r="A1885" s="118"/>
      <c r="B1885" s="136"/>
    </row>
    <row r="1886" spans="1:2" x14ac:dyDescent="0.25">
      <c r="A1886" s="118"/>
      <c r="B1886" s="136"/>
    </row>
    <row r="1887" spans="1:2" x14ac:dyDescent="0.25">
      <c r="A1887" s="118"/>
      <c r="B1887" s="136"/>
    </row>
    <row r="1888" spans="1:2" x14ac:dyDescent="0.25">
      <c r="A1888" s="118"/>
      <c r="B1888" s="136"/>
    </row>
    <row r="1889" spans="1:2" x14ac:dyDescent="0.25">
      <c r="A1889" s="118"/>
      <c r="B1889" s="136"/>
    </row>
    <row r="1890" spans="1:2" x14ac:dyDescent="0.25">
      <c r="A1890" s="118"/>
      <c r="B1890" s="136"/>
    </row>
    <row r="1891" spans="1:2" x14ac:dyDescent="0.25">
      <c r="A1891" s="118"/>
      <c r="B1891" s="136"/>
    </row>
    <row r="1892" spans="1:2" x14ac:dyDescent="0.25">
      <c r="A1892" s="118"/>
      <c r="B1892" s="136"/>
    </row>
    <row r="1893" spans="1:2" x14ac:dyDescent="0.25">
      <c r="A1893" s="118"/>
      <c r="B1893" s="136"/>
    </row>
    <row r="1894" spans="1:2" x14ac:dyDescent="0.25">
      <c r="A1894" s="118"/>
      <c r="B1894" s="136"/>
    </row>
    <row r="1895" spans="1:2" x14ac:dyDescent="0.25">
      <c r="A1895" s="118"/>
      <c r="B1895" s="136"/>
    </row>
    <row r="1896" spans="1:2" x14ac:dyDescent="0.25">
      <c r="A1896" s="118"/>
      <c r="B1896" s="136"/>
    </row>
    <row r="1897" spans="1:2" x14ac:dyDescent="0.25">
      <c r="A1897" s="118"/>
      <c r="B1897" s="136"/>
    </row>
    <row r="1898" spans="1:2" x14ac:dyDescent="0.25">
      <c r="A1898" s="118"/>
      <c r="B1898" s="136"/>
    </row>
    <row r="1899" spans="1:2" x14ac:dyDescent="0.25">
      <c r="A1899" s="118"/>
      <c r="B1899" s="136"/>
    </row>
    <row r="1900" spans="1:2" x14ac:dyDescent="0.25">
      <c r="A1900" s="118"/>
      <c r="B1900" s="136"/>
    </row>
    <row r="1901" spans="1:2" x14ac:dyDescent="0.25">
      <c r="A1901" s="118"/>
      <c r="B1901" s="136"/>
    </row>
    <row r="1902" spans="1:2" x14ac:dyDescent="0.25">
      <c r="A1902" s="118"/>
      <c r="B1902" s="136"/>
    </row>
    <row r="1903" spans="1:2" x14ac:dyDescent="0.25">
      <c r="A1903" s="118"/>
      <c r="B1903" s="136"/>
    </row>
    <row r="1904" spans="1:2" x14ac:dyDescent="0.25">
      <c r="A1904" s="118"/>
      <c r="B1904" s="136"/>
    </row>
    <row r="1905" spans="1:2" x14ac:dyDescent="0.25">
      <c r="A1905" s="118"/>
      <c r="B1905" s="136"/>
    </row>
    <row r="1906" spans="1:2" x14ac:dyDescent="0.25">
      <c r="A1906" s="118"/>
      <c r="B1906" s="136"/>
    </row>
    <row r="1907" spans="1:2" x14ac:dyDescent="0.25">
      <c r="A1907" s="118"/>
      <c r="B1907" s="136"/>
    </row>
    <row r="1908" spans="1:2" x14ac:dyDescent="0.25">
      <c r="A1908" s="118"/>
      <c r="B1908" s="136"/>
    </row>
    <row r="1909" spans="1:2" x14ac:dyDescent="0.25">
      <c r="A1909" s="118"/>
      <c r="B1909" s="136"/>
    </row>
    <row r="1910" spans="1:2" x14ac:dyDescent="0.25">
      <c r="A1910" s="118"/>
      <c r="B1910" s="136"/>
    </row>
    <row r="1911" spans="1:2" x14ac:dyDescent="0.25">
      <c r="A1911" s="118"/>
      <c r="B1911" s="136"/>
    </row>
    <row r="1912" spans="1:2" x14ac:dyDescent="0.25">
      <c r="A1912" s="118"/>
      <c r="B1912" s="136"/>
    </row>
    <row r="1913" spans="1:2" x14ac:dyDescent="0.25">
      <c r="A1913" s="118"/>
      <c r="B1913" s="136"/>
    </row>
    <row r="1914" spans="1:2" x14ac:dyDescent="0.25">
      <c r="A1914" s="118"/>
      <c r="B1914" s="136"/>
    </row>
    <row r="1915" spans="1:2" x14ac:dyDescent="0.25">
      <c r="A1915" s="118"/>
      <c r="B1915" s="136"/>
    </row>
    <row r="1916" spans="1:2" x14ac:dyDescent="0.25">
      <c r="A1916" s="118"/>
      <c r="B1916" s="136"/>
    </row>
    <row r="1917" spans="1:2" x14ac:dyDescent="0.25">
      <c r="A1917" s="118"/>
      <c r="B1917" s="136"/>
    </row>
    <row r="1918" spans="1:2" x14ac:dyDescent="0.25">
      <c r="A1918" s="118"/>
      <c r="B1918" s="136"/>
    </row>
    <row r="1919" spans="1:2" x14ac:dyDescent="0.25">
      <c r="A1919" s="118"/>
      <c r="B1919" s="136"/>
    </row>
    <row r="1920" spans="1:2" x14ac:dyDescent="0.25">
      <c r="A1920" s="118"/>
      <c r="B1920" s="136"/>
    </row>
    <row r="1921" spans="1:2" x14ac:dyDescent="0.25">
      <c r="A1921" s="118"/>
      <c r="B1921" s="136"/>
    </row>
    <row r="1922" spans="1:2" x14ac:dyDescent="0.25">
      <c r="A1922" s="118"/>
      <c r="B1922" s="136"/>
    </row>
    <row r="1923" spans="1:2" x14ac:dyDescent="0.25">
      <c r="A1923" s="118"/>
      <c r="B1923" s="136"/>
    </row>
    <row r="1924" spans="1:2" x14ac:dyDescent="0.25">
      <c r="A1924" s="118"/>
      <c r="B1924" s="136"/>
    </row>
    <row r="1925" spans="1:2" x14ac:dyDescent="0.25">
      <c r="A1925" s="118"/>
      <c r="B1925" s="136"/>
    </row>
    <row r="1926" spans="1:2" x14ac:dyDescent="0.25">
      <c r="A1926" s="118"/>
      <c r="B1926" s="136"/>
    </row>
    <row r="1927" spans="1:2" x14ac:dyDescent="0.25">
      <c r="A1927" s="118"/>
      <c r="B1927" s="136"/>
    </row>
    <row r="1928" spans="1:2" x14ac:dyDescent="0.25">
      <c r="A1928" s="118"/>
      <c r="B1928" s="136"/>
    </row>
    <row r="1929" spans="1:2" x14ac:dyDescent="0.25">
      <c r="A1929" s="118"/>
      <c r="B1929" s="136"/>
    </row>
    <row r="1930" spans="1:2" x14ac:dyDescent="0.25">
      <c r="A1930" s="118"/>
      <c r="B1930" s="136"/>
    </row>
    <row r="1931" spans="1:2" x14ac:dyDescent="0.25">
      <c r="A1931" s="118"/>
      <c r="B1931" s="136"/>
    </row>
    <row r="1932" spans="1:2" x14ac:dyDescent="0.25">
      <c r="A1932" s="118"/>
      <c r="B1932" s="136"/>
    </row>
    <row r="1933" spans="1:2" x14ac:dyDescent="0.25">
      <c r="A1933" s="118"/>
      <c r="B1933" s="136"/>
    </row>
    <row r="1934" spans="1:2" x14ac:dyDescent="0.25">
      <c r="A1934" s="118"/>
      <c r="B1934" s="136"/>
    </row>
    <row r="1935" spans="1:2" x14ac:dyDescent="0.25">
      <c r="A1935" s="118"/>
      <c r="B1935" s="136"/>
    </row>
    <row r="1936" spans="1:2" x14ac:dyDescent="0.25">
      <c r="A1936" s="118"/>
      <c r="B1936" s="136"/>
    </row>
    <row r="1937" spans="1:2" x14ac:dyDescent="0.25">
      <c r="A1937" s="118"/>
      <c r="B1937" s="136"/>
    </row>
    <row r="1938" spans="1:2" x14ac:dyDescent="0.25">
      <c r="A1938" s="118"/>
      <c r="B1938" s="136"/>
    </row>
    <row r="1939" spans="1:2" x14ac:dyDescent="0.25">
      <c r="A1939" s="118"/>
      <c r="B1939" s="136"/>
    </row>
    <row r="1940" spans="1:2" x14ac:dyDescent="0.25">
      <c r="A1940" s="118"/>
      <c r="B1940" s="136"/>
    </row>
    <row r="1941" spans="1:2" x14ac:dyDescent="0.25">
      <c r="A1941" s="118"/>
      <c r="B1941" s="136"/>
    </row>
    <row r="1942" spans="1:2" x14ac:dyDescent="0.25">
      <c r="A1942" s="118"/>
      <c r="B1942" s="136"/>
    </row>
    <row r="1943" spans="1:2" x14ac:dyDescent="0.25">
      <c r="A1943" s="118"/>
      <c r="B1943" s="136"/>
    </row>
    <row r="1944" spans="1:2" x14ac:dyDescent="0.25">
      <c r="A1944" s="118"/>
      <c r="B1944" s="136"/>
    </row>
    <row r="1945" spans="1:2" x14ac:dyDescent="0.25">
      <c r="A1945" s="118"/>
      <c r="B1945" s="136"/>
    </row>
    <row r="1946" spans="1:2" x14ac:dyDescent="0.25">
      <c r="A1946" s="118"/>
      <c r="B1946" s="136"/>
    </row>
    <row r="1947" spans="1:2" x14ac:dyDescent="0.25">
      <c r="A1947" s="118"/>
      <c r="B1947" s="136"/>
    </row>
    <row r="1948" spans="1:2" x14ac:dyDescent="0.25">
      <c r="A1948" s="118"/>
      <c r="B1948" s="136"/>
    </row>
    <row r="1949" spans="1:2" x14ac:dyDescent="0.25">
      <c r="A1949" s="118"/>
      <c r="B1949" s="136"/>
    </row>
    <row r="1950" spans="1:2" x14ac:dyDescent="0.25">
      <c r="A1950" s="118"/>
      <c r="B1950" s="136"/>
    </row>
    <row r="1951" spans="1:2" x14ac:dyDescent="0.25">
      <c r="A1951" s="118"/>
      <c r="B1951" s="136"/>
    </row>
    <row r="1952" spans="1:2" x14ac:dyDescent="0.25">
      <c r="A1952" s="118"/>
      <c r="B1952" s="136"/>
    </row>
    <row r="1953" spans="1:2" x14ac:dyDescent="0.25">
      <c r="A1953" s="118"/>
      <c r="B1953" s="136"/>
    </row>
    <row r="1954" spans="1:2" x14ac:dyDescent="0.25">
      <c r="A1954" s="118"/>
      <c r="B1954" s="136"/>
    </row>
    <row r="1955" spans="1:2" x14ac:dyDescent="0.25">
      <c r="A1955" s="118"/>
      <c r="B1955" s="136"/>
    </row>
    <row r="1956" spans="1:2" x14ac:dyDescent="0.25">
      <c r="A1956" s="118"/>
      <c r="B1956" s="136"/>
    </row>
    <row r="1957" spans="1:2" x14ac:dyDescent="0.25">
      <c r="A1957" s="118"/>
      <c r="B1957" s="136"/>
    </row>
    <row r="1958" spans="1:2" x14ac:dyDescent="0.25">
      <c r="A1958" s="118"/>
      <c r="B1958" s="136"/>
    </row>
    <row r="1959" spans="1:2" x14ac:dyDescent="0.25">
      <c r="A1959" s="118"/>
      <c r="B1959" s="136"/>
    </row>
    <row r="1960" spans="1:2" x14ac:dyDescent="0.25">
      <c r="A1960" s="118"/>
      <c r="B1960" s="136"/>
    </row>
    <row r="1961" spans="1:2" x14ac:dyDescent="0.25">
      <c r="A1961" s="118"/>
      <c r="B1961" s="136"/>
    </row>
    <row r="1962" spans="1:2" x14ac:dyDescent="0.25">
      <c r="A1962" s="118"/>
      <c r="B1962" s="136"/>
    </row>
    <row r="1963" spans="1:2" x14ac:dyDescent="0.25">
      <c r="A1963" s="118"/>
      <c r="B1963" s="136"/>
    </row>
    <row r="1964" spans="1:2" x14ac:dyDescent="0.25">
      <c r="A1964" s="118"/>
      <c r="B1964" s="136"/>
    </row>
    <row r="1965" spans="1:2" x14ac:dyDescent="0.25">
      <c r="A1965" s="118"/>
      <c r="B1965" s="136"/>
    </row>
    <row r="1966" spans="1:2" x14ac:dyDescent="0.25">
      <c r="A1966" s="118"/>
      <c r="B1966" s="136"/>
    </row>
    <row r="1967" spans="1:2" x14ac:dyDescent="0.25">
      <c r="A1967" s="118"/>
      <c r="B1967" s="136"/>
    </row>
    <row r="1968" spans="1:2" x14ac:dyDescent="0.25">
      <c r="A1968" s="118"/>
      <c r="B1968" s="136"/>
    </row>
    <row r="1969" spans="1:2" x14ac:dyDescent="0.25">
      <c r="A1969" s="118"/>
      <c r="B1969" s="136"/>
    </row>
    <row r="1970" spans="1:2" x14ac:dyDescent="0.25">
      <c r="A1970" s="118"/>
      <c r="B1970" s="136"/>
    </row>
    <row r="1971" spans="1:2" x14ac:dyDescent="0.25">
      <c r="A1971" s="118"/>
      <c r="B1971" s="136"/>
    </row>
    <row r="1972" spans="1:2" x14ac:dyDescent="0.25">
      <c r="A1972" s="118"/>
      <c r="B1972" s="136"/>
    </row>
    <row r="1973" spans="1:2" x14ac:dyDescent="0.25">
      <c r="A1973" s="118"/>
      <c r="B1973" s="136"/>
    </row>
    <row r="1974" spans="1:2" x14ac:dyDescent="0.25">
      <c r="A1974" s="118"/>
      <c r="B1974" s="136"/>
    </row>
    <row r="1975" spans="1:2" x14ac:dyDescent="0.25">
      <c r="A1975" s="118"/>
      <c r="B1975" s="136"/>
    </row>
    <row r="1976" spans="1:2" x14ac:dyDescent="0.25">
      <c r="A1976" s="118"/>
      <c r="B1976" s="136"/>
    </row>
    <row r="1977" spans="1:2" x14ac:dyDescent="0.25">
      <c r="A1977" s="118"/>
      <c r="B1977" s="136"/>
    </row>
    <row r="1978" spans="1:2" x14ac:dyDescent="0.25">
      <c r="A1978" s="118"/>
      <c r="B1978" s="136"/>
    </row>
    <row r="1979" spans="1:2" x14ac:dyDescent="0.25">
      <c r="A1979" s="118"/>
      <c r="B1979" s="136"/>
    </row>
    <row r="1980" spans="1:2" x14ac:dyDescent="0.25">
      <c r="A1980" s="118"/>
      <c r="B1980" s="136"/>
    </row>
    <row r="1981" spans="1:2" x14ac:dyDescent="0.25">
      <c r="A1981" s="118"/>
      <c r="B1981" s="136"/>
    </row>
    <row r="1982" spans="1:2" x14ac:dyDescent="0.25">
      <c r="A1982" s="118"/>
      <c r="B1982" s="136"/>
    </row>
    <row r="1983" spans="1:2" x14ac:dyDescent="0.25">
      <c r="A1983" s="118"/>
      <c r="B1983" s="136"/>
    </row>
    <row r="1984" spans="1:2" x14ac:dyDescent="0.25">
      <c r="A1984" s="118"/>
      <c r="B1984" s="136"/>
    </row>
    <row r="1985" spans="1:2" x14ac:dyDescent="0.25">
      <c r="A1985" s="118"/>
      <c r="B1985" s="136"/>
    </row>
    <row r="1986" spans="1:2" x14ac:dyDescent="0.25">
      <c r="A1986" s="118"/>
      <c r="B1986" s="136"/>
    </row>
    <row r="1987" spans="1:2" x14ac:dyDescent="0.25">
      <c r="A1987" s="118"/>
      <c r="B1987" s="136"/>
    </row>
    <row r="1988" spans="1:2" x14ac:dyDescent="0.25">
      <c r="A1988" s="118"/>
      <c r="B1988" s="136"/>
    </row>
    <row r="1989" spans="1:2" x14ac:dyDescent="0.25">
      <c r="A1989" s="118"/>
      <c r="B1989" s="136"/>
    </row>
    <row r="1990" spans="1:2" x14ac:dyDescent="0.25">
      <c r="A1990" s="118"/>
      <c r="B1990" s="136"/>
    </row>
    <row r="1991" spans="1:2" x14ac:dyDescent="0.25">
      <c r="A1991" s="118"/>
      <c r="B1991" s="136"/>
    </row>
    <row r="1992" spans="1:2" x14ac:dyDescent="0.25">
      <c r="A1992" s="118"/>
      <c r="B1992" s="136"/>
    </row>
    <row r="1993" spans="1:2" x14ac:dyDescent="0.25">
      <c r="A1993" s="118"/>
      <c r="B1993" s="136"/>
    </row>
    <row r="1994" spans="1:2" x14ac:dyDescent="0.25">
      <c r="A1994" s="118"/>
      <c r="B1994" s="136"/>
    </row>
    <row r="1995" spans="1:2" x14ac:dyDescent="0.25">
      <c r="A1995" s="118"/>
      <c r="B1995" s="136"/>
    </row>
    <row r="1996" spans="1:2" x14ac:dyDescent="0.25">
      <c r="A1996" s="118"/>
      <c r="B1996" s="136"/>
    </row>
    <row r="1997" spans="1:2" x14ac:dyDescent="0.25">
      <c r="A1997" s="118"/>
      <c r="B1997" s="136"/>
    </row>
    <row r="1998" spans="1:2" x14ac:dyDescent="0.25">
      <c r="A1998" s="118"/>
      <c r="B1998" s="136"/>
    </row>
    <row r="1999" spans="1:2" x14ac:dyDescent="0.25">
      <c r="A1999" s="118"/>
      <c r="B1999" s="136"/>
    </row>
    <row r="2000" spans="1:2" x14ac:dyDescent="0.25">
      <c r="A2000" s="118"/>
      <c r="B2000" s="136"/>
    </row>
    <row r="2001" spans="1:2" x14ac:dyDescent="0.25">
      <c r="A2001" s="118"/>
      <c r="B2001" s="136"/>
    </row>
    <row r="2002" spans="1:2" x14ac:dyDescent="0.25">
      <c r="A2002" s="118"/>
      <c r="B2002" s="136"/>
    </row>
    <row r="2003" spans="1:2" x14ac:dyDescent="0.25">
      <c r="A2003" s="118"/>
      <c r="B2003" s="136"/>
    </row>
    <row r="2004" spans="1:2" x14ac:dyDescent="0.25">
      <c r="A2004" s="118"/>
      <c r="B2004" s="136"/>
    </row>
    <row r="2005" spans="1:2" x14ac:dyDescent="0.25">
      <c r="A2005" s="118"/>
      <c r="B2005" s="136"/>
    </row>
    <row r="2006" spans="1:2" x14ac:dyDescent="0.25">
      <c r="A2006" s="118"/>
      <c r="B2006" s="136"/>
    </row>
    <row r="2007" spans="1:2" x14ac:dyDescent="0.25">
      <c r="A2007" s="118"/>
      <c r="B2007" s="136"/>
    </row>
    <row r="2008" spans="1:2" x14ac:dyDescent="0.25">
      <c r="A2008" s="118"/>
      <c r="B2008" s="136"/>
    </row>
    <row r="2009" spans="1:2" x14ac:dyDescent="0.25">
      <c r="A2009" s="118"/>
      <c r="B2009" s="136"/>
    </row>
    <row r="2010" spans="1:2" x14ac:dyDescent="0.25">
      <c r="A2010" s="118"/>
      <c r="B2010" s="136"/>
    </row>
    <row r="2011" spans="1:2" x14ac:dyDescent="0.25">
      <c r="A2011" s="118"/>
      <c r="B2011" s="136"/>
    </row>
    <row r="2012" spans="1:2" x14ac:dyDescent="0.25">
      <c r="A2012" s="118"/>
      <c r="B2012" s="136"/>
    </row>
    <row r="2013" spans="1:2" x14ac:dyDescent="0.25">
      <c r="A2013" s="118"/>
      <c r="B2013" s="136"/>
    </row>
    <row r="2014" spans="1:2" x14ac:dyDescent="0.25">
      <c r="A2014" s="118"/>
      <c r="B2014" s="136"/>
    </row>
    <row r="2015" spans="1:2" x14ac:dyDescent="0.25">
      <c r="A2015" s="118"/>
      <c r="B2015" s="136"/>
    </row>
    <row r="2016" spans="1:2" x14ac:dyDescent="0.25">
      <c r="A2016" s="118"/>
      <c r="B2016" s="136"/>
    </row>
    <row r="2017" spans="1:2" x14ac:dyDescent="0.25">
      <c r="A2017" s="118"/>
      <c r="B2017" s="136"/>
    </row>
    <row r="2018" spans="1:2" x14ac:dyDescent="0.25">
      <c r="A2018" s="118"/>
      <c r="B2018" s="136"/>
    </row>
    <row r="2019" spans="1:2" x14ac:dyDescent="0.25">
      <c r="A2019" s="118"/>
      <c r="B2019" s="136"/>
    </row>
    <row r="2020" spans="1:2" x14ac:dyDescent="0.25">
      <c r="A2020" s="118"/>
      <c r="B2020" s="136"/>
    </row>
    <row r="2021" spans="1:2" x14ac:dyDescent="0.25">
      <c r="A2021" s="118"/>
      <c r="B2021" s="136"/>
    </row>
    <row r="2022" spans="1:2" x14ac:dyDescent="0.25">
      <c r="A2022" s="118"/>
      <c r="B2022" s="136"/>
    </row>
    <row r="2023" spans="1:2" x14ac:dyDescent="0.25">
      <c r="A2023" s="118"/>
      <c r="B2023" s="136"/>
    </row>
    <row r="2024" spans="1:2" x14ac:dyDescent="0.25">
      <c r="A2024" s="118"/>
      <c r="B2024" s="136"/>
    </row>
    <row r="2025" spans="1:2" x14ac:dyDescent="0.25">
      <c r="A2025" s="118"/>
      <c r="B2025" s="136"/>
    </row>
    <row r="2026" spans="1:2" x14ac:dyDescent="0.25">
      <c r="A2026" s="118"/>
      <c r="B2026" s="136"/>
    </row>
    <row r="2027" spans="1:2" x14ac:dyDescent="0.25">
      <c r="A2027" s="118"/>
      <c r="B2027" s="136"/>
    </row>
    <row r="2028" spans="1:2" x14ac:dyDescent="0.25">
      <c r="A2028" s="118"/>
      <c r="B2028" s="136"/>
    </row>
    <row r="2029" spans="1:2" x14ac:dyDescent="0.25">
      <c r="A2029" s="118"/>
      <c r="B2029" s="136"/>
    </row>
    <row r="2030" spans="1:2" x14ac:dyDescent="0.25">
      <c r="A2030" s="118"/>
      <c r="B2030" s="136"/>
    </row>
    <row r="2031" spans="1:2" x14ac:dyDescent="0.25">
      <c r="A2031" s="118"/>
      <c r="B2031" s="136"/>
    </row>
    <row r="2032" spans="1:2" x14ac:dyDescent="0.25">
      <c r="A2032" s="118"/>
      <c r="B2032" s="136"/>
    </row>
    <row r="2033" spans="1:2" x14ac:dyDescent="0.25">
      <c r="A2033" s="118"/>
      <c r="B2033" s="136"/>
    </row>
    <row r="2034" spans="1:2" x14ac:dyDescent="0.25">
      <c r="A2034" s="118"/>
      <c r="B2034" s="136"/>
    </row>
    <row r="2035" spans="1:2" x14ac:dyDescent="0.25">
      <c r="A2035" s="118"/>
      <c r="B2035" s="136"/>
    </row>
    <row r="2036" spans="1:2" x14ac:dyDescent="0.25">
      <c r="A2036" s="118"/>
      <c r="B2036" s="136"/>
    </row>
    <row r="2037" spans="1:2" x14ac:dyDescent="0.25">
      <c r="A2037" s="118"/>
      <c r="B2037" s="136"/>
    </row>
    <row r="2038" spans="1:2" x14ac:dyDescent="0.25">
      <c r="A2038" s="118"/>
      <c r="B2038" s="136"/>
    </row>
    <row r="2039" spans="1:2" x14ac:dyDescent="0.25">
      <c r="A2039" s="118"/>
      <c r="B2039" s="136"/>
    </row>
    <row r="2040" spans="1:2" x14ac:dyDescent="0.25">
      <c r="A2040" s="118"/>
      <c r="B2040" s="136"/>
    </row>
    <row r="2041" spans="1:2" x14ac:dyDescent="0.25">
      <c r="A2041" s="118"/>
      <c r="B2041" s="136"/>
    </row>
    <row r="2042" spans="1:2" x14ac:dyDescent="0.25">
      <c r="A2042" s="118"/>
      <c r="B2042" s="136"/>
    </row>
    <row r="2043" spans="1:2" x14ac:dyDescent="0.25">
      <c r="A2043" s="118"/>
      <c r="B2043" s="136"/>
    </row>
    <row r="2044" spans="1:2" x14ac:dyDescent="0.25">
      <c r="A2044" s="118"/>
      <c r="B2044" s="136"/>
    </row>
    <row r="2045" spans="1:2" x14ac:dyDescent="0.25">
      <c r="A2045" s="118"/>
      <c r="B2045" s="136"/>
    </row>
    <row r="2046" spans="1:2" x14ac:dyDescent="0.25">
      <c r="A2046" s="118"/>
      <c r="B2046" s="136"/>
    </row>
    <row r="2047" spans="1:2" x14ac:dyDescent="0.25">
      <c r="A2047" s="118"/>
      <c r="B2047" s="136"/>
    </row>
    <row r="2048" spans="1:2" x14ac:dyDescent="0.25">
      <c r="A2048" s="118"/>
      <c r="B2048" s="136"/>
    </row>
    <row r="2049" spans="1:2" x14ac:dyDescent="0.25">
      <c r="A2049" s="118"/>
      <c r="B2049" s="136"/>
    </row>
    <row r="2050" spans="1:2" x14ac:dyDescent="0.25">
      <c r="A2050" s="118"/>
      <c r="B2050" s="136"/>
    </row>
    <row r="2051" spans="1:2" x14ac:dyDescent="0.25">
      <c r="A2051" s="118"/>
      <c r="B2051" s="136"/>
    </row>
    <row r="2052" spans="1:2" x14ac:dyDescent="0.25">
      <c r="A2052" s="118"/>
      <c r="B2052" s="136"/>
    </row>
    <row r="2053" spans="1:2" x14ac:dyDescent="0.25">
      <c r="A2053" s="118"/>
      <c r="B2053" s="136"/>
    </row>
    <row r="2054" spans="1:2" x14ac:dyDescent="0.25">
      <c r="A2054" s="118"/>
      <c r="B2054" s="136"/>
    </row>
    <row r="2055" spans="1:2" x14ac:dyDescent="0.25">
      <c r="A2055" s="118"/>
      <c r="B2055" s="136"/>
    </row>
    <row r="2056" spans="1:2" x14ac:dyDescent="0.25">
      <c r="A2056" s="118"/>
      <c r="B2056" s="136"/>
    </row>
    <row r="2057" spans="1:2" x14ac:dyDescent="0.25">
      <c r="A2057" s="118"/>
      <c r="B2057" s="136"/>
    </row>
    <row r="2058" spans="1:2" x14ac:dyDescent="0.25">
      <c r="A2058" s="118"/>
      <c r="B2058" s="136"/>
    </row>
    <row r="2059" spans="1:2" x14ac:dyDescent="0.25">
      <c r="A2059" s="118"/>
      <c r="B2059" s="136"/>
    </row>
    <row r="2060" spans="1:2" x14ac:dyDescent="0.25">
      <c r="A2060" s="118"/>
      <c r="B2060" s="136"/>
    </row>
    <row r="2061" spans="1:2" x14ac:dyDescent="0.25">
      <c r="A2061" s="118"/>
      <c r="B2061" s="136"/>
    </row>
    <row r="2062" spans="1:2" x14ac:dyDescent="0.25">
      <c r="A2062" s="118"/>
      <c r="B2062" s="136"/>
    </row>
    <row r="2063" spans="1:2" x14ac:dyDescent="0.25">
      <c r="A2063" s="118"/>
      <c r="B2063" s="136"/>
    </row>
    <row r="2064" spans="1:2" x14ac:dyDescent="0.25">
      <c r="A2064" s="118"/>
      <c r="B2064" s="136"/>
    </row>
    <row r="2065" spans="1:2" x14ac:dyDescent="0.25">
      <c r="A2065" s="118"/>
      <c r="B2065" s="136"/>
    </row>
    <row r="2066" spans="1:2" x14ac:dyDescent="0.25">
      <c r="A2066" s="118"/>
      <c r="B2066" s="136"/>
    </row>
    <row r="2067" spans="1:2" x14ac:dyDescent="0.25">
      <c r="A2067" s="118"/>
      <c r="B2067" s="136"/>
    </row>
    <row r="2068" spans="1:2" x14ac:dyDescent="0.25">
      <c r="A2068" s="118"/>
      <c r="B2068" s="136"/>
    </row>
    <row r="2069" spans="1:2" x14ac:dyDescent="0.25">
      <c r="A2069" s="118"/>
      <c r="B2069" s="136"/>
    </row>
    <row r="2070" spans="1:2" x14ac:dyDescent="0.25">
      <c r="A2070" s="118"/>
      <c r="B2070" s="136"/>
    </row>
    <row r="2071" spans="1:2" x14ac:dyDescent="0.25">
      <c r="A2071" s="118"/>
      <c r="B2071" s="136"/>
    </row>
    <row r="2072" spans="1:2" x14ac:dyDescent="0.25">
      <c r="A2072" s="118"/>
      <c r="B2072" s="136"/>
    </row>
    <row r="2073" spans="1:2" x14ac:dyDescent="0.25">
      <c r="A2073" s="118"/>
      <c r="B2073" s="136"/>
    </row>
    <row r="2074" spans="1:2" x14ac:dyDescent="0.25">
      <c r="A2074" s="118"/>
      <c r="B2074" s="136"/>
    </row>
    <row r="2075" spans="1:2" x14ac:dyDescent="0.25">
      <c r="A2075" s="118"/>
      <c r="B2075" s="136"/>
    </row>
    <row r="2076" spans="1:2" x14ac:dyDescent="0.25">
      <c r="A2076" s="118"/>
      <c r="B2076" s="136"/>
    </row>
    <row r="2077" spans="1:2" x14ac:dyDescent="0.25">
      <c r="A2077" s="118"/>
      <c r="B2077" s="136"/>
    </row>
    <row r="2078" spans="1:2" x14ac:dyDescent="0.25">
      <c r="A2078" s="118"/>
      <c r="B2078" s="136"/>
    </row>
    <row r="2079" spans="1:2" x14ac:dyDescent="0.25">
      <c r="A2079" s="118"/>
      <c r="B2079" s="136"/>
    </row>
    <row r="2080" spans="1:2" x14ac:dyDescent="0.25">
      <c r="A2080" s="118"/>
      <c r="B2080" s="136"/>
    </row>
    <row r="2081" spans="1:2" x14ac:dyDescent="0.25">
      <c r="A2081" s="118"/>
      <c r="B2081" s="136"/>
    </row>
    <row r="2082" spans="1:2" x14ac:dyDescent="0.25">
      <c r="A2082" s="118"/>
      <c r="B2082" s="136"/>
    </row>
    <row r="2083" spans="1:2" x14ac:dyDescent="0.25">
      <c r="A2083" s="118"/>
      <c r="B2083" s="136"/>
    </row>
    <row r="2084" spans="1:2" x14ac:dyDescent="0.25">
      <c r="A2084" s="118"/>
      <c r="B2084" s="136"/>
    </row>
    <row r="2085" spans="1:2" x14ac:dyDescent="0.25">
      <c r="A2085" s="118"/>
      <c r="B2085" s="136"/>
    </row>
    <row r="2086" spans="1:2" x14ac:dyDescent="0.25">
      <c r="A2086" s="118"/>
      <c r="B2086" s="136"/>
    </row>
    <row r="2087" spans="1:2" x14ac:dyDescent="0.25">
      <c r="A2087" s="118"/>
      <c r="B2087" s="136"/>
    </row>
    <row r="2088" spans="1:2" x14ac:dyDescent="0.25">
      <c r="A2088" s="118"/>
      <c r="B2088" s="136"/>
    </row>
    <row r="2089" spans="1:2" x14ac:dyDescent="0.25">
      <c r="A2089" s="118"/>
      <c r="B2089" s="136"/>
    </row>
    <row r="2090" spans="1:2" x14ac:dyDescent="0.25">
      <c r="A2090" s="118"/>
      <c r="B2090" s="136"/>
    </row>
    <row r="2091" spans="1:2" x14ac:dyDescent="0.25">
      <c r="A2091" s="118"/>
      <c r="B2091" s="136"/>
    </row>
    <row r="2092" spans="1:2" x14ac:dyDescent="0.25">
      <c r="A2092" s="118"/>
      <c r="B2092" s="136"/>
    </row>
    <row r="2093" spans="1:2" x14ac:dyDescent="0.25">
      <c r="A2093" s="118"/>
      <c r="B2093" s="136"/>
    </row>
    <row r="2094" spans="1:2" x14ac:dyDescent="0.25">
      <c r="A2094" s="118"/>
      <c r="B2094" s="136"/>
    </row>
    <row r="2095" spans="1:2" x14ac:dyDescent="0.25">
      <c r="A2095" s="118"/>
      <c r="B2095" s="136"/>
    </row>
    <row r="2096" spans="1:2" x14ac:dyDescent="0.25">
      <c r="A2096" s="118"/>
      <c r="B2096" s="136"/>
    </row>
    <row r="2097" spans="1:2" x14ac:dyDescent="0.25">
      <c r="A2097" s="118"/>
      <c r="B2097" s="136"/>
    </row>
    <row r="2098" spans="1:2" x14ac:dyDescent="0.25">
      <c r="A2098" s="118"/>
      <c r="B2098" s="136"/>
    </row>
    <row r="2099" spans="1:2" x14ac:dyDescent="0.25">
      <c r="A2099" s="118"/>
      <c r="B2099" s="136"/>
    </row>
    <row r="2100" spans="1:2" x14ac:dyDescent="0.25">
      <c r="A2100" s="118"/>
      <c r="B2100" s="136"/>
    </row>
    <row r="2101" spans="1:2" x14ac:dyDescent="0.25">
      <c r="A2101" s="118"/>
      <c r="B2101" s="136"/>
    </row>
    <row r="2102" spans="1:2" x14ac:dyDescent="0.25">
      <c r="A2102" s="118"/>
      <c r="B2102" s="136"/>
    </row>
    <row r="2103" spans="1:2" x14ac:dyDescent="0.25">
      <c r="A2103" s="118"/>
      <c r="B2103" s="136"/>
    </row>
    <row r="2104" spans="1:2" x14ac:dyDescent="0.25">
      <c r="A2104" s="118"/>
      <c r="B2104" s="136"/>
    </row>
    <row r="2105" spans="1:2" x14ac:dyDescent="0.25">
      <c r="A2105" s="118"/>
      <c r="B2105" s="136"/>
    </row>
    <row r="2106" spans="1:2" x14ac:dyDescent="0.25">
      <c r="A2106" s="118"/>
      <c r="B2106" s="136"/>
    </row>
    <row r="2107" spans="1:2" x14ac:dyDescent="0.25">
      <c r="A2107" s="118"/>
      <c r="B2107" s="136"/>
    </row>
    <row r="2108" spans="1:2" x14ac:dyDescent="0.25">
      <c r="A2108" s="118"/>
      <c r="B2108" s="136"/>
    </row>
    <row r="2109" spans="1:2" x14ac:dyDescent="0.25">
      <c r="A2109" s="118"/>
      <c r="B2109" s="136"/>
    </row>
    <row r="2110" spans="1:2" x14ac:dyDescent="0.25">
      <c r="A2110" s="118"/>
      <c r="B2110" s="136"/>
    </row>
    <row r="2111" spans="1:2" x14ac:dyDescent="0.25">
      <c r="A2111" s="118"/>
      <c r="B2111" s="136"/>
    </row>
    <row r="2112" spans="1:2" x14ac:dyDescent="0.25">
      <c r="A2112" s="118"/>
      <c r="B2112" s="136"/>
    </row>
    <row r="2113" spans="1:2" x14ac:dyDescent="0.25">
      <c r="A2113" s="118"/>
      <c r="B2113" s="136"/>
    </row>
    <row r="2114" spans="1:2" x14ac:dyDescent="0.25">
      <c r="A2114" s="118"/>
      <c r="B2114" s="136"/>
    </row>
    <row r="2115" spans="1:2" x14ac:dyDescent="0.25">
      <c r="A2115" s="118"/>
      <c r="B2115" s="136"/>
    </row>
    <row r="2116" spans="1:2" x14ac:dyDescent="0.25">
      <c r="A2116" s="118"/>
      <c r="B2116" s="136"/>
    </row>
    <row r="2117" spans="1:2" x14ac:dyDescent="0.25">
      <c r="A2117" s="118"/>
      <c r="B2117" s="136"/>
    </row>
    <row r="2118" spans="1:2" x14ac:dyDescent="0.25">
      <c r="A2118" s="118"/>
      <c r="B2118" s="136"/>
    </row>
    <row r="2119" spans="1:2" x14ac:dyDescent="0.25">
      <c r="A2119" s="118"/>
      <c r="B2119" s="136"/>
    </row>
    <row r="2120" spans="1:2" x14ac:dyDescent="0.25">
      <c r="A2120" s="118"/>
      <c r="B2120" s="136"/>
    </row>
    <row r="2121" spans="1:2" x14ac:dyDescent="0.25">
      <c r="A2121" s="118"/>
      <c r="B2121" s="136"/>
    </row>
    <row r="2122" spans="1:2" x14ac:dyDescent="0.25">
      <c r="A2122" s="118"/>
      <c r="B2122" s="136"/>
    </row>
    <row r="2123" spans="1:2" x14ac:dyDescent="0.25">
      <c r="A2123" s="118"/>
      <c r="B2123" s="136"/>
    </row>
    <row r="2124" spans="1:2" x14ac:dyDescent="0.25">
      <c r="A2124" s="118"/>
      <c r="B2124" s="136"/>
    </row>
    <row r="2125" spans="1:2" x14ac:dyDescent="0.25">
      <c r="A2125" s="118"/>
      <c r="B2125" s="136"/>
    </row>
    <row r="2126" spans="1:2" x14ac:dyDescent="0.25">
      <c r="A2126" s="118"/>
      <c r="B2126" s="136"/>
    </row>
    <row r="2127" spans="1:2" x14ac:dyDescent="0.25">
      <c r="A2127" s="118"/>
      <c r="B2127" s="136"/>
    </row>
    <row r="2128" spans="1:2" x14ac:dyDescent="0.25">
      <c r="A2128" s="118"/>
      <c r="B2128" s="136"/>
    </row>
    <row r="2129" spans="1:2" x14ac:dyDescent="0.25">
      <c r="A2129" s="118"/>
      <c r="B2129" s="136"/>
    </row>
    <row r="2130" spans="1:2" x14ac:dyDescent="0.25">
      <c r="A2130" s="118"/>
      <c r="B2130" s="136"/>
    </row>
    <row r="2131" spans="1:2" x14ac:dyDescent="0.25">
      <c r="A2131" s="118"/>
      <c r="B2131" s="136"/>
    </row>
    <row r="2132" spans="1:2" x14ac:dyDescent="0.25">
      <c r="A2132" s="118"/>
      <c r="B2132" s="136"/>
    </row>
    <row r="2133" spans="1:2" x14ac:dyDescent="0.25">
      <c r="A2133" s="118"/>
      <c r="B2133" s="136"/>
    </row>
    <row r="2134" spans="1:2" x14ac:dyDescent="0.25">
      <c r="A2134" s="118"/>
      <c r="B2134" s="136"/>
    </row>
    <row r="2135" spans="1:2" x14ac:dyDescent="0.25">
      <c r="A2135" s="118"/>
      <c r="B2135" s="136"/>
    </row>
    <row r="2136" spans="1:2" x14ac:dyDescent="0.25">
      <c r="A2136" s="118"/>
      <c r="B2136" s="136"/>
    </row>
    <row r="2137" spans="1:2" x14ac:dyDescent="0.25">
      <c r="A2137" s="118"/>
      <c r="B2137" s="136"/>
    </row>
    <row r="2138" spans="1:2" x14ac:dyDescent="0.25">
      <c r="A2138" s="118"/>
      <c r="B2138" s="136"/>
    </row>
    <row r="2139" spans="1:2" x14ac:dyDescent="0.25">
      <c r="A2139" s="118"/>
      <c r="B2139" s="136"/>
    </row>
    <row r="2140" spans="1:2" x14ac:dyDescent="0.25">
      <c r="A2140" s="118"/>
      <c r="B2140" s="136"/>
    </row>
    <row r="2141" spans="1:2" x14ac:dyDescent="0.25">
      <c r="A2141" s="118"/>
      <c r="B2141" s="136"/>
    </row>
    <row r="2142" spans="1:2" x14ac:dyDescent="0.25">
      <c r="A2142" s="118"/>
      <c r="B2142" s="136"/>
    </row>
    <row r="2143" spans="1:2" x14ac:dyDescent="0.25">
      <c r="A2143" s="118"/>
      <c r="B2143" s="136"/>
    </row>
    <row r="2144" spans="1:2" x14ac:dyDescent="0.25">
      <c r="A2144" s="118"/>
      <c r="B2144" s="136"/>
    </row>
    <row r="2145" spans="1:2" x14ac:dyDescent="0.25">
      <c r="A2145" s="118"/>
      <c r="B2145" s="136"/>
    </row>
    <row r="2146" spans="1:2" x14ac:dyDescent="0.25">
      <c r="A2146" s="118"/>
      <c r="B2146" s="136"/>
    </row>
    <row r="2147" spans="1:2" x14ac:dyDescent="0.25">
      <c r="A2147" s="118"/>
      <c r="B2147" s="136"/>
    </row>
    <row r="2148" spans="1:2" x14ac:dyDescent="0.25">
      <c r="A2148" s="118"/>
      <c r="B2148" s="136"/>
    </row>
    <row r="2149" spans="1:2" x14ac:dyDescent="0.25">
      <c r="A2149" s="118"/>
      <c r="B2149" s="136"/>
    </row>
    <row r="2150" spans="1:2" x14ac:dyDescent="0.25">
      <c r="A2150" s="118"/>
      <c r="B2150" s="136"/>
    </row>
    <row r="2151" spans="1:2" x14ac:dyDescent="0.25">
      <c r="A2151" s="118"/>
      <c r="B2151" s="136"/>
    </row>
    <row r="2152" spans="1:2" x14ac:dyDescent="0.25">
      <c r="A2152" s="118"/>
      <c r="B2152" s="136"/>
    </row>
    <row r="2153" spans="1:2" x14ac:dyDescent="0.25">
      <c r="A2153" s="118"/>
      <c r="B2153" s="136"/>
    </row>
    <row r="2154" spans="1:2" x14ac:dyDescent="0.25">
      <c r="A2154" s="118"/>
      <c r="B2154" s="136"/>
    </row>
    <row r="2155" spans="1:2" x14ac:dyDescent="0.25">
      <c r="A2155" s="118"/>
      <c r="B2155" s="136"/>
    </row>
    <row r="2156" spans="1:2" x14ac:dyDescent="0.25">
      <c r="A2156" s="118"/>
      <c r="B2156" s="136"/>
    </row>
    <row r="2157" spans="1:2" x14ac:dyDescent="0.25">
      <c r="A2157" s="118"/>
      <c r="B2157" s="136"/>
    </row>
    <row r="2158" spans="1:2" x14ac:dyDescent="0.25">
      <c r="A2158" s="118"/>
      <c r="B2158" s="136"/>
    </row>
    <row r="2159" spans="1:2" x14ac:dyDescent="0.25">
      <c r="A2159" s="118"/>
      <c r="B2159" s="136"/>
    </row>
    <row r="2160" spans="1:2" x14ac:dyDescent="0.25">
      <c r="A2160" s="118"/>
      <c r="B2160" s="136"/>
    </row>
    <row r="2161" spans="1:2" x14ac:dyDescent="0.25">
      <c r="A2161" s="118"/>
      <c r="B2161" s="136"/>
    </row>
    <row r="2162" spans="1:2" x14ac:dyDescent="0.25">
      <c r="A2162" s="118"/>
      <c r="B2162" s="136"/>
    </row>
    <row r="2163" spans="1:2" x14ac:dyDescent="0.25">
      <c r="A2163" s="118"/>
      <c r="B2163" s="136"/>
    </row>
    <row r="2164" spans="1:2" x14ac:dyDescent="0.25">
      <c r="A2164" s="118"/>
      <c r="B2164" s="136"/>
    </row>
    <row r="2165" spans="1:2" x14ac:dyDescent="0.25">
      <c r="A2165" s="118"/>
      <c r="B2165" s="136"/>
    </row>
    <row r="2166" spans="1:2" x14ac:dyDescent="0.25">
      <c r="A2166" s="118"/>
      <c r="B2166" s="136"/>
    </row>
    <row r="2167" spans="1:2" x14ac:dyDescent="0.25">
      <c r="A2167" s="118"/>
      <c r="B2167" s="136"/>
    </row>
    <row r="2168" spans="1:2" x14ac:dyDescent="0.25">
      <c r="A2168" s="118"/>
      <c r="B2168" s="136"/>
    </row>
    <row r="2169" spans="1:2" x14ac:dyDescent="0.25">
      <c r="A2169" s="118"/>
      <c r="B2169" s="136"/>
    </row>
    <row r="2170" spans="1:2" x14ac:dyDescent="0.25">
      <c r="A2170" s="118"/>
      <c r="B2170" s="136"/>
    </row>
    <row r="2171" spans="1:2" x14ac:dyDescent="0.25">
      <c r="A2171" s="118"/>
      <c r="B2171" s="136"/>
    </row>
    <row r="2172" spans="1:2" x14ac:dyDescent="0.25">
      <c r="A2172" s="118"/>
      <c r="B2172" s="136"/>
    </row>
    <row r="2173" spans="1:2" x14ac:dyDescent="0.25">
      <c r="A2173" s="118"/>
      <c r="B2173" s="136"/>
    </row>
    <row r="2174" spans="1:2" x14ac:dyDescent="0.25">
      <c r="A2174" s="118"/>
      <c r="B2174" s="136"/>
    </row>
    <row r="2175" spans="1:2" x14ac:dyDescent="0.25">
      <c r="A2175" s="118"/>
      <c r="B2175" s="136"/>
    </row>
    <row r="2176" spans="1:2" x14ac:dyDescent="0.25">
      <c r="A2176" s="118"/>
      <c r="B2176" s="136"/>
    </row>
    <row r="2177" spans="1:2" x14ac:dyDescent="0.25">
      <c r="A2177" s="118"/>
      <c r="B2177" s="136"/>
    </row>
    <row r="2178" spans="1:2" x14ac:dyDescent="0.25">
      <c r="A2178" s="118"/>
      <c r="B2178" s="136"/>
    </row>
    <row r="2179" spans="1:2" x14ac:dyDescent="0.25">
      <c r="A2179" s="118"/>
      <c r="B2179" s="136"/>
    </row>
    <row r="2180" spans="1:2" x14ac:dyDescent="0.25">
      <c r="A2180" s="118"/>
      <c r="B2180" s="136"/>
    </row>
    <row r="2181" spans="1:2" x14ac:dyDescent="0.25">
      <c r="A2181" s="118"/>
      <c r="B2181" s="136"/>
    </row>
    <row r="2182" spans="1:2" x14ac:dyDescent="0.25">
      <c r="A2182" s="118"/>
      <c r="B2182" s="136"/>
    </row>
    <row r="2183" spans="1:2" x14ac:dyDescent="0.25">
      <c r="A2183" s="118"/>
      <c r="B2183" s="136"/>
    </row>
    <row r="2184" spans="1:2" x14ac:dyDescent="0.25">
      <c r="A2184" s="118"/>
      <c r="B2184" s="136"/>
    </row>
    <row r="2185" spans="1:2" x14ac:dyDescent="0.25">
      <c r="A2185" s="118"/>
      <c r="B2185" s="136"/>
    </row>
    <row r="2186" spans="1:2" x14ac:dyDescent="0.25">
      <c r="A2186" s="118"/>
      <c r="B2186" s="136"/>
    </row>
    <row r="2187" spans="1:2" x14ac:dyDescent="0.25">
      <c r="A2187" s="118"/>
      <c r="B2187" s="136"/>
    </row>
    <row r="2188" spans="1:2" x14ac:dyDescent="0.25">
      <c r="A2188" s="118"/>
      <c r="B2188" s="136"/>
    </row>
    <row r="2189" spans="1:2" x14ac:dyDescent="0.25">
      <c r="A2189" s="118"/>
      <c r="B2189" s="136"/>
    </row>
    <row r="2190" spans="1:2" x14ac:dyDescent="0.25">
      <c r="A2190" s="118"/>
      <c r="B2190" s="136"/>
    </row>
    <row r="2191" spans="1:2" x14ac:dyDescent="0.25">
      <c r="A2191" s="118"/>
      <c r="B2191" s="136"/>
    </row>
    <row r="2192" spans="1:2" x14ac:dyDescent="0.25">
      <c r="A2192" s="118"/>
      <c r="B2192" s="136"/>
    </row>
    <row r="2193" spans="1:2" x14ac:dyDescent="0.25">
      <c r="A2193" s="118"/>
      <c r="B2193" s="136"/>
    </row>
    <row r="2194" spans="1:2" x14ac:dyDescent="0.25">
      <c r="A2194" s="118"/>
      <c r="B2194" s="136"/>
    </row>
    <row r="2195" spans="1:2" x14ac:dyDescent="0.25">
      <c r="A2195" s="118"/>
      <c r="B2195" s="136"/>
    </row>
    <row r="2196" spans="1:2" x14ac:dyDescent="0.25">
      <c r="A2196" s="118"/>
      <c r="B2196" s="136"/>
    </row>
    <row r="2197" spans="1:2" x14ac:dyDescent="0.25">
      <c r="A2197" s="118"/>
      <c r="B2197" s="136"/>
    </row>
    <row r="2198" spans="1:2" x14ac:dyDescent="0.25">
      <c r="A2198" s="118"/>
      <c r="B2198" s="136"/>
    </row>
    <row r="2199" spans="1:2" x14ac:dyDescent="0.25">
      <c r="A2199" s="118"/>
      <c r="B2199" s="136"/>
    </row>
    <row r="2200" spans="1:2" x14ac:dyDescent="0.25">
      <c r="A2200" s="118"/>
      <c r="B2200" s="136"/>
    </row>
    <row r="2201" spans="1:2" x14ac:dyDescent="0.25">
      <c r="A2201" s="118"/>
      <c r="B2201" s="136"/>
    </row>
    <row r="2202" spans="1:2" x14ac:dyDescent="0.25">
      <c r="A2202" s="118"/>
      <c r="B2202" s="136"/>
    </row>
    <row r="2203" spans="1:2" x14ac:dyDescent="0.25">
      <c r="A2203" s="118"/>
      <c r="B2203" s="136"/>
    </row>
    <row r="2204" spans="1:2" x14ac:dyDescent="0.25">
      <c r="A2204" s="118"/>
      <c r="B2204" s="136"/>
    </row>
    <row r="2205" spans="1:2" x14ac:dyDescent="0.25">
      <c r="A2205" s="118"/>
      <c r="B2205" s="136"/>
    </row>
    <row r="2206" spans="1:2" x14ac:dyDescent="0.25">
      <c r="A2206" s="118"/>
      <c r="B2206" s="136"/>
    </row>
    <row r="2207" spans="1:2" x14ac:dyDescent="0.25">
      <c r="A2207" s="118"/>
      <c r="B2207" s="136"/>
    </row>
    <row r="2208" spans="1:2" x14ac:dyDescent="0.25">
      <c r="A2208" s="118"/>
      <c r="B2208" s="136"/>
    </row>
    <row r="2209" spans="1:2" x14ac:dyDescent="0.25">
      <c r="A2209" s="118"/>
      <c r="B2209" s="136"/>
    </row>
    <row r="2210" spans="1:2" x14ac:dyDescent="0.25">
      <c r="A2210" s="118"/>
      <c r="B2210" s="136"/>
    </row>
    <row r="2211" spans="1:2" x14ac:dyDescent="0.25">
      <c r="A2211" s="118"/>
      <c r="B2211" s="136"/>
    </row>
    <row r="2212" spans="1:2" x14ac:dyDescent="0.25">
      <c r="A2212" s="118"/>
      <c r="B2212" s="136"/>
    </row>
    <row r="2213" spans="1:2" x14ac:dyDescent="0.25">
      <c r="A2213" s="118"/>
      <c r="B2213" s="136"/>
    </row>
    <row r="2214" spans="1:2" x14ac:dyDescent="0.25">
      <c r="A2214" s="118"/>
      <c r="B2214" s="136"/>
    </row>
    <row r="2215" spans="1:2" x14ac:dyDescent="0.25">
      <c r="A2215" s="118"/>
      <c r="B2215" s="136"/>
    </row>
    <row r="2216" spans="1:2" x14ac:dyDescent="0.25">
      <c r="A2216" s="118"/>
      <c r="B2216" s="136"/>
    </row>
    <row r="2217" spans="1:2" x14ac:dyDescent="0.25">
      <c r="A2217" s="118"/>
      <c r="B2217" s="136"/>
    </row>
    <row r="2218" spans="1:2" x14ac:dyDescent="0.25">
      <c r="A2218" s="118"/>
      <c r="B2218" s="136"/>
    </row>
    <row r="2219" spans="1:2" x14ac:dyDescent="0.25">
      <c r="A2219" s="118"/>
      <c r="B2219" s="136"/>
    </row>
    <row r="2220" spans="1:2" x14ac:dyDescent="0.25">
      <c r="A2220" s="118"/>
      <c r="B2220" s="136"/>
    </row>
    <row r="2221" spans="1:2" x14ac:dyDescent="0.25">
      <c r="A2221" s="118"/>
      <c r="B2221" s="136"/>
    </row>
    <row r="2222" spans="1:2" x14ac:dyDescent="0.25">
      <c r="A2222" s="118"/>
      <c r="B2222" s="136"/>
    </row>
    <row r="2223" spans="1:2" x14ac:dyDescent="0.25">
      <c r="A2223" s="118"/>
      <c r="B2223" s="136"/>
    </row>
    <row r="2224" spans="1:2" x14ac:dyDescent="0.25">
      <c r="A2224" s="118"/>
      <c r="B2224" s="136"/>
    </row>
    <row r="2225" spans="1:2" x14ac:dyDescent="0.25">
      <c r="A2225" s="118"/>
      <c r="B2225" s="136"/>
    </row>
    <row r="2226" spans="1:2" x14ac:dyDescent="0.25">
      <c r="A2226" s="118"/>
      <c r="B2226" s="136"/>
    </row>
    <row r="2227" spans="1:2" x14ac:dyDescent="0.25">
      <c r="A2227" s="118"/>
      <c r="B2227" s="136"/>
    </row>
    <row r="2228" spans="1:2" x14ac:dyDescent="0.25">
      <c r="A2228" s="118"/>
      <c r="B2228" s="136"/>
    </row>
    <row r="2229" spans="1:2" x14ac:dyDescent="0.25">
      <c r="A2229" s="118"/>
      <c r="B2229" s="136"/>
    </row>
    <row r="2230" spans="1:2" x14ac:dyDescent="0.25">
      <c r="A2230" s="118"/>
      <c r="B2230" s="136"/>
    </row>
    <row r="2231" spans="1:2" x14ac:dyDescent="0.25">
      <c r="A2231" s="118"/>
      <c r="B2231" s="136"/>
    </row>
    <row r="2232" spans="1:2" x14ac:dyDescent="0.25">
      <c r="A2232" s="118"/>
      <c r="B2232" s="136"/>
    </row>
    <row r="2233" spans="1:2" x14ac:dyDescent="0.25">
      <c r="A2233" s="118"/>
      <c r="B2233" s="136"/>
    </row>
    <row r="2234" spans="1:2" x14ac:dyDescent="0.25">
      <c r="A2234" s="118"/>
      <c r="B2234" s="136"/>
    </row>
    <row r="2235" spans="1:2" x14ac:dyDescent="0.25">
      <c r="A2235" s="118"/>
      <c r="B2235" s="136"/>
    </row>
    <row r="2236" spans="1:2" x14ac:dyDescent="0.25">
      <c r="A2236" s="118"/>
      <c r="B2236" s="136"/>
    </row>
    <row r="2237" spans="1:2" x14ac:dyDescent="0.25">
      <c r="A2237" s="118"/>
      <c r="B2237" s="136"/>
    </row>
    <row r="2238" spans="1:2" x14ac:dyDescent="0.25">
      <c r="A2238" s="118"/>
      <c r="B2238" s="136"/>
    </row>
    <row r="2239" spans="1:2" x14ac:dyDescent="0.25">
      <c r="A2239" s="118"/>
      <c r="B2239" s="136"/>
    </row>
    <row r="2240" spans="1:2" x14ac:dyDescent="0.25">
      <c r="A2240" s="118"/>
      <c r="B2240" s="136"/>
    </row>
    <row r="2241" spans="1:2" x14ac:dyDescent="0.25">
      <c r="A2241" s="118"/>
      <c r="B2241" s="136"/>
    </row>
    <row r="2242" spans="1:2" x14ac:dyDescent="0.25">
      <c r="A2242" s="118"/>
      <c r="B2242" s="136"/>
    </row>
    <row r="2243" spans="1:2" x14ac:dyDescent="0.25">
      <c r="A2243" s="118"/>
      <c r="B2243" s="136"/>
    </row>
    <row r="2244" spans="1:2" x14ac:dyDescent="0.25">
      <c r="A2244" s="118"/>
      <c r="B2244" s="136"/>
    </row>
    <row r="2245" spans="1:2" x14ac:dyDescent="0.25">
      <c r="A2245" s="118"/>
      <c r="B2245" s="136"/>
    </row>
    <row r="2246" spans="1:2" x14ac:dyDescent="0.25">
      <c r="A2246" s="118"/>
      <c r="B2246" s="136"/>
    </row>
    <row r="2247" spans="1:2" x14ac:dyDescent="0.25">
      <c r="A2247" s="118"/>
      <c r="B2247" s="136"/>
    </row>
    <row r="2248" spans="1:2" x14ac:dyDescent="0.25">
      <c r="A2248" s="118"/>
      <c r="B2248" s="136"/>
    </row>
    <row r="2249" spans="1:2" x14ac:dyDescent="0.25">
      <c r="A2249" s="118"/>
      <c r="B2249" s="136"/>
    </row>
    <row r="2250" spans="1:2" x14ac:dyDescent="0.25">
      <c r="A2250" s="118"/>
      <c r="B2250" s="136"/>
    </row>
    <row r="2251" spans="1:2" x14ac:dyDescent="0.25">
      <c r="A2251" s="118"/>
      <c r="B2251" s="136"/>
    </row>
    <row r="2252" spans="1:2" x14ac:dyDescent="0.25">
      <c r="A2252" s="118"/>
      <c r="B2252" s="136"/>
    </row>
    <row r="2253" spans="1:2" x14ac:dyDescent="0.25">
      <c r="A2253" s="118"/>
      <c r="B2253" s="136"/>
    </row>
    <row r="2254" spans="1:2" x14ac:dyDescent="0.25">
      <c r="A2254" s="118"/>
      <c r="B2254" s="136"/>
    </row>
    <row r="2255" spans="1:2" x14ac:dyDescent="0.25">
      <c r="A2255" s="118"/>
      <c r="B2255" s="136"/>
    </row>
    <row r="2256" spans="1:2" x14ac:dyDescent="0.25">
      <c r="A2256" s="118"/>
      <c r="B2256" s="136"/>
    </row>
    <row r="2257" spans="1:2" x14ac:dyDescent="0.25">
      <c r="A2257" s="118"/>
      <c r="B2257" s="136"/>
    </row>
    <row r="2258" spans="1:2" x14ac:dyDescent="0.25">
      <c r="A2258" s="118"/>
      <c r="B2258" s="136"/>
    </row>
    <row r="2259" spans="1:2" x14ac:dyDescent="0.25">
      <c r="A2259" s="118"/>
      <c r="B2259" s="136"/>
    </row>
    <row r="2260" spans="1:2" x14ac:dyDescent="0.25">
      <c r="A2260" s="118"/>
      <c r="B2260" s="136"/>
    </row>
    <row r="2261" spans="1:2" x14ac:dyDescent="0.25">
      <c r="A2261" s="118"/>
      <c r="B2261" s="136"/>
    </row>
    <row r="2262" spans="1:2" x14ac:dyDescent="0.25">
      <c r="A2262" s="118"/>
      <c r="B2262" s="136"/>
    </row>
    <row r="2263" spans="1:2" x14ac:dyDescent="0.25">
      <c r="A2263" s="118"/>
      <c r="B2263" s="136"/>
    </row>
    <row r="2264" spans="1:2" x14ac:dyDescent="0.25">
      <c r="A2264" s="118"/>
      <c r="B2264" s="136"/>
    </row>
    <row r="2265" spans="1:2" x14ac:dyDescent="0.25">
      <c r="A2265" s="118"/>
      <c r="B2265" s="136"/>
    </row>
    <row r="2266" spans="1:2" x14ac:dyDescent="0.25">
      <c r="A2266" s="118"/>
      <c r="B2266" s="136"/>
    </row>
    <row r="2267" spans="1:2" x14ac:dyDescent="0.25">
      <c r="A2267" s="118"/>
      <c r="B2267" s="136"/>
    </row>
    <row r="2268" spans="1:2" x14ac:dyDescent="0.25">
      <c r="A2268" s="118"/>
      <c r="B2268" s="136"/>
    </row>
    <row r="2269" spans="1:2" x14ac:dyDescent="0.25">
      <c r="A2269" s="118"/>
      <c r="B2269" s="136"/>
    </row>
    <row r="2270" spans="1:2" x14ac:dyDescent="0.25">
      <c r="A2270" s="118"/>
      <c r="B2270" s="136"/>
    </row>
    <row r="2271" spans="1:2" x14ac:dyDescent="0.25">
      <c r="A2271" s="118"/>
      <c r="B2271" s="136"/>
    </row>
    <row r="2272" spans="1:2" x14ac:dyDescent="0.25">
      <c r="A2272" s="118"/>
      <c r="B2272" s="136"/>
    </row>
    <row r="2273" spans="1:2" x14ac:dyDescent="0.25">
      <c r="A2273" s="118"/>
      <c r="B2273" s="136"/>
    </row>
    <row r="2274" spans="1:2" x14ac:dyDescent="0.25">
      <c r="A2274" s="118"/>
      <c r="B2274" s="136"/>
    </row>
    <row r="2275" spans="1:2" x14ac:dyDescent="0.25">
      <c r="A2275" s="118"/>
      <c r="B2275" s="136"/>
    </row>
    <row r="2276" spans="1:2" x14ac:dyDescent="0.25">
      <c r="A2276" s="118"/>
      <c r="B2276" s="136"/>
    </row>
    <row r="2277" spans="1:2" x14ac:dyDescent="0.25">
      <c r="A2277" s="118"/>
      <c r="B2277" s="136"/>
    </row>
    <row r="2278" spans="1:2" x14ac:dyDescent="0.25">
      <c r="A2278" s="118"/>
      <c r="B2278" s="136"/>
    </row>
    <row r="2279" spans="1:2" x14ac:dyDescent="0.25">
      <c r="A2279" s="118"/>
      <c r="B2279" s="136"/>
    </row>
    <row r="2280" spans="1:2" x14ac:dyDescent="0.25">
      <c r="A2280" s="118"/>
      <c r="B2280" s="136"/>
    </row>
    <row r="2281" spans="1:2" x14ac:dyDescent="0.25">
      <c r="A2281" s="118"/>
      <c r="B2281" s="136"/>
    </row>
    <row r="2282" spans="1:2" x14ac:dyDescent="0.25">
      <c r="A2282" s="118"/>
      <c r="B2282" s="136"/>
    </row>
    <row r="2283" spans="1:2" x14ac:dyDescent="0.25">
      <c r="A2283" s="118"/>
      <c r="B2283" s="136"/>
    </row>
    <row r="2284" spans="1:2" x14ac:dyDescent="0.25">
      <c r="A2284" s="118"/>
      <c r="B2284" s="136"/>
    </row>
    <row r="2285" spans="1:2" x14ac:dyDescent="0.25">
      <c r="A2285" s="118"/>
      <c r="B2285" s="136"/>
    </row>
    <row r="2286" spans="1:2" x14ac:dyDescent="0.25">
      <c r="A2286" s="118"/>
      <c r="B2286" s="136"/>
    </row>
    <row r="2287" spans="1:2" x14ac:dyDescent="0.25">
      <c r="A2287" s="118"/>
      <c r="B2287" s="136"/>
    </row>
    <row r="2288" spans="1:2" x14ac:dyDescent="0.25">
      <c r="A2288" s="118"/>
      <c r="B2288" s="136"/>
    </row>
    <row r="2289" spans="1:2" x14ac:dyDescent="0.25">
      <c r="A2289" s="118"/>
      <c r="B2289" s="136"/>
    </row>
    <row r="2290" spans="1:2" x14ac:dyDescent="0.25">
      <c r="A2290" s="118"/>
      <c r="B2290" s="136"/>
    </row>
    <row r="2291" spans="1:2" x14ac:dyDescent="0.25">
      <c r="A2291" s="118"/>
      <c r="B2291" s="136"/>
    </row>
    <row r="2292" spans="1:2" x14ac:dyDescent="0.25">
      <c r="A2292" s="118"/>
      <c r="B2292" s="136"/>
    </row>
    <row r="2293" spans="1:2" x14ac:dyDescent="0.25">
      <c r="A2293" s="118"/>
      <c r="B2293" s="136"/>
    </row>
    <row r="2294" spans="1:2" x14ac:dyDescent="0.25">
      <c r="A2294" s="118"/>
      <c r="B2294" s="136"/>
    </row>
    <row r="2295" spans="1:2" x14ac:dyDescent="0.25">
      <c r="A2295" s="118"/>
      <c r="B2295" s="136"/>
    </row>
    <row r="2296" spans="1:2" x14ac:dyDescent="0.25">
      <c r="A2296" s="118"/>
      <c r="B2296" s="136"/>
    </row>
    <row r="2297" spans="1:2" x14ac:dyDescent="0.25">
      <c r="A2297" s="118"/>
      <c r="B2297" s="136"/>
    </row>
    <row r="2298" spans="1:2" x14ac:dyDescent="0.25">
      <c r="A2298" s="118"/>
      <c r="B2298" s="136"/>
    </row>
    <row r="2299" spans="1:2" x14ac:dyDescent="0.25">
      <c r="A2299" s="118"/>
      <c r="B2299" s="136"/>
    </row>
    <row r="2300" spans="1:2" x14ac:dyDescent="0.25">
      <c r="A2300" s="118"/>
      <c r="B2300" s="136"/>
    </row>
    <row r="2301" spans="1:2" x14ac:dyDescent="0.25">
      <c r="A2301" s="118"/>
      <c r="B2301" s="136"/>
    </row>
    <row r="2302" spans="1:2" x14ac:dyDescent="0.25">
      <c r="A2302" s="118"/>
      <c r="B2302" s="136"/>
    </row>
    <row r="2303" spans="1:2" x14ac:dyDescent="0.25">
      <c r="A2303" s="118"/>
      <c r="B2303" s="136"/>
    </row>
    <row r="2304" spans="1:2" x14ac:dyDescent="0.25">
      <c r="A2304" s="118"/>
      <c r="B2304" s="136"/>
    </row>
    <row r="2305" spans="1:2" x14ac:dyDescent="0.25">
      <c r="A2305" s="118"/>
      <c r="B2305" s="136"/>
    </row>
    <row r="2306" spans="1:2" x14ac:dyDescent="0.25">
      <c r="A2306" s="118"/>
      <c r="B2306" s="136"/>
    </row>
    <row r="2307" spans="1:2" x14ac:dyDescent="0.25">
      <c r="A2307" s="118"/>
      <c r="B2307" s="136"/>
    </row>
    <row r="2308" spans="1:2" x14ac:dyDescent="0.25">
      <c r="A2308" s="118"/>
      <c r="B2308" s="136"/>
    </row>
    <row r="2309" spans="1:2" x14ac:dyDescent="0.25">
      <c r="A2309" s="118"/>
      <c r="B2309" s="136"/>
    </row>
    <row r="2310" spans="1:2" x14ac:dyDescent="0.25">
      <c r="A2310" s="118"/>
      <c r="B2310" s="136"/>
    </row>
    <row r="2311" spans="1:2" x14ac:dyDescent="0.25">
      <c r="A2311" s="118"/>
      <c r="B2311" s="136"/>
    </row>
    <row r="2312" spans="1:2" x14ac:dyDescent="0.25">
      <c r="A2312" s="118"/>
      <c r="B2312" s="136"/>
    </row>
    <row r="2313" spans="1:2" x14ac:dyDescent="0.25">
      <c r="A2313" s="118"/>
      <c r="B2313" s="136"/>
    </row>
    <row r="2314" spans="1:2" x14ac:dyDescent="0.25">
      <c r="A2314" s="118"/>
      <c r="B2314" s="136"/>
    </row>
    <row r="2315" spans="1:2" x14ac:dyDescent="0.25">
      <c r="A2315" s="118"/>
      <c r="B2315" s="136"/>
    </row>
    <row r="2316" spans="1:2" x14ac:dyDescent="0.25">
      <c r="A2316" s="118"/>
      <c r="B2316" s="136"/>
    </row>
    <row r="2317" spans="1:2" x14ac:dyDescent="0.25">
      <c r="A2317" s="118"/>
      <c r="B2317" s="136"/>
    </row>
    <row r="2318" spans="1:2" x14ac:dyDescent="0.25">
      <c r="A2318" s="118"/>
      <c r="B2318" s="136"/>
    </row>
    <row r="2319" spans="1:2" x14ac:dyDescent="0.25">
      <c r="A2319" s="118"/>
      <c r="B2319" s="136"/>
    </row>
    <row r="2320" spans="1:2" x14ac:dyDescent="0.25">
      <c r="A2320" s="118"/>
      <c r="B2320" s="136"/>
    </row>
    <row r="2321" spans="1:2" x14ac:dyDescent="0.25">
      <c r="A2321" s="118"/>
      <c r="B2321" s="136"/>
    </row>
    <row r="2322" spans="1:2" x14ac:dyDescent="0.25">
      <c r="A2322" s="118"/>
      <c r="B2322" s="136"/>
    </row>
    <row r="2323" spans="1:2" x14ac:dyDescent="0.25">
      <c r="A2323" s="118"/>
      <c r="B2323" s="136"/>
    </row>
    <row r="2324" spans="1:2" x14ac:dyDescent="0.25">
      <c r="A2324" s="118"/>
      <c r="B2324" s="136"/>
    </row>
    <row r="2325" spans="1:2" x14ac:dyDescent="0.25">
      <c r="A2325" s="118"/>
      <c r="B2325" s="136"/>
    </row>
    <row r="2326" spans="1:2" x14ac:dyDescent="0.25">
      <c r="A2326" s="118"/>
      <c r="B2326" s="136"/>
    </row>
    <row r="2327" spans="1:2" x14ac:dyDescent="0.25">
      <c r="A2327" s="118"/>
      <c r="B2327" s="136"/>
    </row>
    <row r="2328" spans="1:2" x14ac:dyDescent="0.25">
      <c r="A2328" s="118"/>
      <c r="B2328" s="136"/>
    </row>
    <row r="2329" spans="1:2" x14ac:dyDescent="0.25">
      <c r="A2329" s="118"/>
      <c r="B2329" s="136"/>
    </row>
    <row r="2330" spans="1:2" x14ac:dyDescent="0.25">
      <c r="A2330" s="118"/>
      <c r="B2330" s="136"/>
    </row>
    <row r="2331" spans="1:2" x14ac:dyDescent="0.25">
      <c r="A2331" s="118"/>
      <c r="B2331" s="136"/>
    </row>
    <row r="2332" spans="1:2" x14ac:dyDescent="0.25">
      <c r="A2332" s="118"/>
      <c r="B2332" s="136"/>
    </row>
    <row r="2333" spans="1:2" x14ac:dyDescent="0.25">
      <c r="A2333" s="118"/>
      <c r="B2333" s="136"/>
    </row>
    <row r="2334" spans="1:2" x14ac:dyDescent="0.25">
      <c r="A2334" s="118"/>
      <c r="B2334" s="136"/>
    </row>
    <row r="2335" spans="1:2" x14ac:dyDescent="0.25">
      <c r="A2335" s="118"/>
      <c r="B2335" s="136"/>
    </row>
    <row r="2336" spans="1:2" x14ac:dyDescent="0.25">
      <c r="A2336" s="118"/>
      <c r="B2336" s="136"/>
    </row>
    <row r="2337" spans="1:2" x14ac:dyDescent="0.25">
      <c r="A2337" s="118"/>
      <c r="B2337" s="136"/>
    </row>
    <row r="2338" spans="1:2" x14ac:dyDescent="0.25">
      <c r="A2338" s="118"/>
      <c r="B2338" s="136"/>
    </row>
    <row r="2339" spans="1:2" x14ac:dyDescent="0.25">
      <c r="A2339" s="118"/>
      <c r="B2339" s="136"/>
    </row>
    <row r="2340" spans="1:2" x14ac:dyDescent="0.25">
      <c r="A2340" s="118"/>
      <c r="B2340" s="136"/>
    </row>
    <row r="2341" spans="1:2" x14ac:dyDescent="0.25">
      <c r="A2341" s="118"/>
      <c r="B2341" s="136"/>
    </row>
    <row r="2342" spans="1:2" x14ac:dyDescent="0.25">
      <c r="A2342" s="118"/>
      <c r="B2342" s="136"/>
    </row>
    <row r="2343" spans="1:2" x14ac:dyDescent="0.25">
      <c r="A2343" s="118"/>
      <c r="B2343" s="136"/>
    </row>
    <row r="2344" spans="1:2" x14ac:dyDescent="0.25">
      <c r="A2344" s="118"/>
      <c r="B2344" s="136"/>
    </row>
    <row r="2345" spans="1:2" x14ac:dyDescent="0.25">
      <c r="A2345" s="118"/>
      <c r="B2345" s="136"/>
    </row>
    <row r="2346" spans="1:2" x14ac:dyDescent="0.25">
      <c r="A2346" s="118"/>
      <c r="B2346" s="136"/>
    </row>
    <row r="2347" spans="1:2" x14ac:dyDescent="0.25">
      <c r="A2347" s="118"/>
      <c r="B2347" s="136"/>
    </row>
    <row r="2348" spans="1:2" x14ac:dyDescent="0.25">
      <c r="A2348" s="118"/>
      <c r="B2348" s="136"/>
    </row>
    <row r="2349" spans="1:2" x14ac:dyDescent="0.25">
      <c r="A2349" s="118"/>
      <c r="B2349" s="136"/>
    </row>
    <row r="2350" spans="1:2" x14ac:dyDescent="0.25">
      <c r="A2350" s="118"/>
      <c r="B2350" s="136"/>
    </row>
    <row r="2351" spans="1:2" x14ac:dyDescent="0.25">
      <c r="A2351" s="118"/>
      <c r="B2351" s="136"/>
    </row>
    <row r="2352" spans="1:2" x14ac:dyDescent="0.25">
      <c r="A2352" s="118"/>
      <c r="B2352" s="136"/>
    </row>
    <row r="2353" spans="1:2" x14ac:dyDescent="0.25">
      <c r="A2353" s="118"/>
      <c r="B2353" s="136"/>
    </row>
    <row r="2354" spans="1:2" x14ac:dyDescent="0.25">
      <c r="A2354" s="118"/>
      <c r="B2354" s="136"/>
    </row>
    <row r="2355" spans="1:2" x14ac:dyDescent="0.25">
      <c r="A2355" s="118"/>
      <c r="B2355" s="136"/>
    </row>
    <row r="2356" spans="1:2" x14ac:dyDescent="0.25">
      <c r="A2356" s="118"/>
      <c r="B2356" s="136"/>
    </row>
    <row r="2357" spans="1:2" x14ac:dyDescent="0.25">
      <c r="A2357" s="118"/>
      <c r="B2357" s="136"/>
    </row>
    <row r="2358" spans="1:2" x14ac:dyDescent="0.25">
      <c r="A2358" s="118"/>
      <c r="B2358" s="136"/>
    </row>
    <row r="2359" spans="1:2" x14ac:dyDescent="0.25">
      <c r="A2359" s="118"/>
      <c r="B2359" s="136"/>
    </row>
    <row r="2360" spans="1:2" x14ac:dyDescent="0.25">
      <c r="A2360" s="118"/>
      <c r="B2360" s="136"/>
    </row>
    <row r="2361" spans="1:2" x14ac:dyDescent="0.25">
      <c r="A2361" s="118"/>
      <c r="B2361" s="136"/>
    </row>
    <row r="2362" spans="1:2" x14ac:dyDescent="0.25">
      <c r="A2362" s="118"/>
      <c r="B2362" s="136"/>
    </row>
    <row r="2363" spans="1:2" x14ac:dyDescent="0.25">
      <c r="A2363" s="118"/>
      <c r="B2363" s="136"/>
    </row>
    <row r="2364" spans="1:2" x14ac:dyDescent="0.25">
      <c r="A2364" s="118"/>
      <c r="B2364" s="136"/>
    </row>
    <row r="2365" spans="1:2" x14ac:dyDescent="0.25">
      <c r="A2365" s="118"/>
      <c r="B2365" s="136"/>
    </row>
    <row r="2366" spans="1:2" x14ac:dyDescent="0.25">
      <c r="A2366" s="118"/>
      <c r="B2366" s="136"/>
    </row>
    <row r="2367" spans="1:2" x14ac:dyDescent="0.25">
      <c r="A2367" s="118"/>
      <c r="B2367" s="136"/>
    </row>
    <row r="2368" spans="1:2" x14ac:dyDescent="0.25">
      <c r="A2368" s="118"/>
      <c r="B2368" s="136"/>
    </row>
    <row r="2369" spans="1:2" x14ac:dyDescent="0.25">
      <c r="A2369" s="118"/>
      <c r="B2369" s="136"/>
    </row>
    <row r="2370" spans="1:2" x14ac:dyDescent="0.25">
      <c r="A2370" s="118"/>
      <c r="B2370" s="136"/>
    </row>
    <row r="2371" spans="1:2" x14ac:dyDescent="0.25">
      <c r="A2371" s="118"/>
      <c r="B2371" s="136"/>
    </row>
    <row r="2372" spans="1:2" x14ac:dyDescent="0.25">
      <c r="A2372" s="118"/>
      <c r="B2372" s="136"/>
    </row>
    <row r="2373" spans="1:2" x14ac:dyDescent="0.25">
      <c r="A2373" s="118"/>
      <c r="B2373" s="136"/>
    </row>
    <row r="2374" spans="1:2" x14ac:dyDescent="0.25">
      <c r="A2374" s="118"/>
      <c r="B2374" s="136"/>
    </row>
    <row r="2375" spans="1:2" x14ac:dyDescent="0.25">
      <c r="A2375" s="118"/>
      <c r="B2375" s="136"/>
    </row>
    <row r="2376" spans="1:2" x14ac:dyDescent="0.25">
      <c r="A2376" s="118"/>
      <c r="B2376" s="136"/>
    </row>
    <row r="2377" spans="1:2" x14ac:dyDescent="0.25">
      <c r="A2377" s="118"/>
      <c r="B2377" s="136"/>
    </row>
    <row r="2378" spans="1:2" x14ac:dyDescent="0.25">
      <c r="A2378" s="118"/>
      <c r="B2378" s="136"/>
    </row>
    <row r="2379" spans="1:2" x14ac:dyDescent="0.25">
      <c r="A2379" s="118"/>
      <c r="B2379" s="136"/>
    </row>
    <row r="2380" spans="1:2" x14ac:dyDescent="0.25">
      <c r="A2380" s="118"/>
      <c r="B2380" s="136"/>
    </row>
    <row r="2381" spans="1:2" x14ac:dyDescent="0.25">
      <c r="A2381" s="118"/>
      <c r="B2381" s="136"/>
    </row>
    <row r="2382" spans="1:2" x14ac:dyDescent="0.25">
      <c r="A2382" s="118"/>
      <c r="B2382" s="136"/>
    </row>
    <row r="2383" spans="1:2" x14ac:dyDescent="0.25">
      <c r="A2383" s="118"/>
      <c r="B2383" s="136"/>
    </row>
    <row r="2384" spans="1:2" x14ac:dyDescent="0.25">
      <c r="A2384" s="118"/>
      <c r="B2384" s="136"/>
    </row>
    <row r="2385" spans="1:2" x14ac:dyDescent="0.25">
      <c r="A2385" s="118"/>
      <c r="B2385" s="136"/>
    </row>
    <row r="2386" spans="1:2" x14ac:dyDescent="0.25">
      <c r="A2386" s="118"/>
      <c r="B2386" s="136"/>
    </row>
    <row r="2387" spans="1:2" x14ac:dyDescent="0.25">
      <c r="A2387" s="118"/>
      <c r="B2387" s="136"/>
    </row>
    <row r="2388" spans="1:2" x14ac:dyDescent="0.25">
      <c r="A2388" s="118"/>
      <c r="B2388" s="136"/>
    </row>
    <row r="2389" spans="1:2" x14ac:dyDescent="0.25">
      <c r="A2389" s="118"/>
      <c r="B2389" s="136"/>
    </row>
    <row r="2390" spans="1:2" x14ac:dyDescent="0.25">
      <c r="A2390" s="118"/>
      <c r="B2390" s="136"/>
    </row>
    <row r="2391" spans="1:2" x14ac:dyDescent="0.25">
      <c r="A2391" s="118"/>
      <c r="B2391" s="136"/>
    </row>
    <row r="2392" spans="1:2" x14ac:dyDescent="0.25">
      <c r="A2392" s="118"/>
      <c r="B2392" s="136"/>
    </row>
    <row r="2393" spans="1:2" x14ac:dyDescent="0.25">
      <c r="A2393" s="118"/>
      <c r="B2393" s="136"/>
    </row>
    <row r="2394" spans="1:2" x14ac:dyDescent="0.25">
      <c r="A2394" s="118"/>
      <c r="B2394" s="136"/>
    </row>
    <row r="2395" spans="1:2" x14ac:dyDescent="0.25">
      <c r="A2395" s="118"/>
      <c r="B2395" s="136"/>
    </row>
    <row r="2396" spans="1:2" x14ac:dyDescent="0.25">
      <c r="A2396" s="118"/>
      <c r="B2396" s="136"/>
    </row>
    <row r="2397" spans="1:2" x14ac:dyDescent="0.25">
      <c r="A2397" s="118"/>
      <c r="B2397" s="136"/>
    </row>
    <row r="2398" spans="1:2" x14ac:dyDescent="0.25">
      <c r="A2398" s="118"/>
      <c r="B2398" s="136"/>
    </row>
    <row r="2399" spans="1:2" x14ac:dyDescent="0.25">
      <c r="A2399" s="118"/>
      <c r="B2399" s="136"/>
    </row>
    <row r="2400" spans="1:2" x14ac:dyDescent="0.25">
      <c r="A2400" s="118"/>
      <c r="B2400" s="136"/>
    </row>
    <row r="2401" spans="1:2" x14ac:dyDescent="0.25">
      <c r="A2401" s="118"/>
      <c r="B2401" s="136"/>
    </row>
    <row r="2402" spans="1:2" x14ac:dyDescent="0.25">
      <c r="A2402" s="118"/>
      <c r="B2402" s="136"/>
    </row>
    <row r="2403" spans="1:2" x14ac:dyDescent="0.25">
      <c r="A2403" s="118"/>
      <c r="B2403" s="136"/>
    </row>
    <row r="2404" spans="1:2" x14ac:dyDescent="0.25">
      <c r="A2404" s="118"/>
      <c r="B2404" s="136"/>
    </row>
    <row r="2405" spans="1:2" x14ac:dyDescent="0.25">
      <c r="A2405" s="118"/>
      <c r="B2405" s="136"/>
    </row>
    <row r="2406" spans="1:2" x14ac:dyDescent="0.25">
      <c r="A2406" s="118"/>
      <c r="B2406" s="136"/>
    </row>
    <row r="2407" spans="1:2" x14ac:dyDescent="0.25">
      <c r="A2407" s="118"/>
      <c r="B2407" s="136"/>
    </row>
    <row r="2408" spans="1:2" x14ac:dyDescent="0.25">
      <c r="A2408" s="118"/>
      <c r="B2408" s="136"/>
    </row>
    <row r="2409" spans="1:2" x14ac:dyDescent="0.25">
      <c r="A2409" s="118"/>
      <c r="B2409" s="136"/>
    </row>
    <row r="2410" spans="1:2" x14ac:dyDescent="0.25">
      <c r="A2410" s="118"/>
      <c r="B2410" s="136"/>
    </row>
    <row r="2411" spans="1:2" x14ac:dyDescent="0.25">
      <c r="A2411" s="118"/>
      <c r="B2411" s="136"/>
    </row>
    <row r="2412" spans="1:2" x14ac:dyDescent="0.25">
      <c r="A2412" s="118"/>
      <c r="B2412" s="136"/>
    </row>
    <row r="2413" spans="1:2" x14ac:dyDescent="0.25">
      <c r="A2413" s="118"/>
      <c r="B2413" s="136"/>
    </row>
    <row r="2414" spans="1:2" x14ac:dyDescent="0.25">
      <c r="A2414" s="118"/>
      <c r="B2414" s="136"/>
    </row>
    <row r="2415" spans="1:2" x14ac:dyDescent="0.25">
      <c r="A2415" s="118"/>
      <c r="B2415" s="136"/>
    </row>
    <row r="2416" spans="1:2" x14ac:dyDescent="0.25">
      <c r="A2416" s="118"/>
      <c r="B2416" s="136"/>
    </row>
    <row r="2417" spans="1:2" x14ac:dyDescent="0.25">
      <c r="A2417" s="118"/>
      <c r="B2417" s="136"/>
    </row>
    <row r="2418" spans="1:2" x14ac:dyDescent="0.25">
      <c r="A2418" s="118"/>
      <c r="B2418" s="136"/>
    </row>
    <row r="2419" spans="1:2" x14ac:dyDescent="0.25">
      <c r="A2419" s="118"/>
      <c r="B2419" s="136"/>
    </row>
    <row r="2420" spans="1:2" x14ac:dyDescent="0.25">
      <c r="A2420" s="118"/>
      <c r="B2420" s="136"/>
    </row>
    <row r="2421" spans="1:2" x14ac:dyDescent="0.25">
      <c r="A2421" s="118"/>
      <c r="B2421" s="136"/>
    </row>
    <row r="2422" spans="1:2" x14ac:dyDescent="0.25">
      <c r="A2422" s="118"/>
      <c r="B2422" s="136"/>
    </row>
    <row r="2423" spans="1:2" x14ac:dyDescent="0.25">
      <c r="A2423" s="118"/>
      <c r="B2423" s="136"/>
    </row>
    <row r="2424" spans="1:2" x14ac:dyDescent="0.25">
      <c r="A2424" s="118"/>
      <c r="B2424" s="136"/>
    </row>
    <row r="2425" spans="1:2" x14ac:dyDescent="0.25">
      <c r="A2425" s="118"/>
      <c r="B2425" s="136"/>
    </row>
    <row r="2426" spans="1:2" x14ac:dyDescent="0.25">
      <c r="A2426" s="118"/>
      <c r="B2426" s="136"/>
    </row>
    <row r="2427" spans="1:2" x14ac:dyDescent="0.25">
      <c r="A2427" s="118"/>
      <c r="B2427" s="136"/>
    </row>
    <row r="2428" spans="1:2" x14ac:dyDescent="0.25">
      <c r="A2428" s="118"/>
      <c r="B2428" s="136"/>
    </row>
    <row r="2429" spans="1:2" x14ac:dyDescent="0.25">
      <c r="A2429" s="118"/>
      <c r="B2429" s="136"/>
    </row>
    <row r="2430" spans="1:2" x14ac:dyDescent="0.25">
      <c r="A2430" s="118"/>
      <c r="B2430" s="136"/>
    </row>
    <row r="2431" spans="1:2" x14ac:dyDescent="0.25">
      <c r="A2431" s="118"/>
      <c r="B2431" s="136"/>
    </row>
    <row r="2432" spans="1:2" x14ac:dyDescent="0.25">
      <c r="A2432" s="118"/>
      <c r="B2432" s="136"/>
    </row>
    <row r="2433" spans="1:2" x14ac:dyDescent="0.25">
      <c r="A2433" s="118"/>
      <c r="B2433" s="136"/>
    </row>
    <row r="2434" spans="1:2" x14ac:dyDescent="0.25">
      <c r="A2434" s="118"/>
      <c r="B2434" s="136"/>
    </row>
    <row r="2435" spans="1:2" x14ac:dyDescent="0.25">
      <c r="A2435" s="118"/>
      <c r="B2435" s="136"/>
    </row>
    <row r="2436" spans="1:2" x14ac:dyDescent="0.25">
      <c r="A2436" s="118"/>
      <c r="B2436" s="136"/>
    </row>
    <row r="2437" spans="1:2" x14ac:dyDescent="0.25">
      <c r="A2437" s="118"/>
      <c r="B2437" s="136"/>
    </row>
    <row r="2438" spans="1:2" x14ac:dyDescent="0.25">
      <c r="A2438" s="118"/>
      <c r="B2438" s="136"/>
    </row>
    <row r="2439" spans="1:2" x14ac:dyDescent="0.25">
      <c r="A2439" s="118"/>
      <c r="B2439" s="136"/>
    </row>
    <row r="2440" spans="1:2" x14ac:dyDescent="0.25">
      <c r="A2440" s="118"/>
      <c r="B2440" s="136"/>
    </row>
    <row r="2441" spans="1:2" x14ac:dyDescent="0.25">
      <c r="A2441" s="118"/>
      <c r="B2441" s="136"/>
    </row>
    <row r="2442" spans="1:2" x14ac:dyDescent="0.25">
      <c r="A2442" s="118"/>
      <c r="B2442" s="136"/>
    </row>
    <row r="2443" spans="1:2" x14ac:dyDescent="0.25">
      <c r="A2443" s="118"/>
      <c r="B2443" s="136"/>
    </row>
    <row r="2444" spans="1:2" x14ac:dyDescent="0.25">
      <c r="A2444" s="118"/>
      <c r="B2444" s="136"/>
    </row>
    <row r="2445" spans="1:2" x14ac:dyDescent="0.25">
      <c r="A2445" s="118"/>
      <c r="B2445" s="136"/>
    </row>
    <row r="2446" spans="1:2" x14ac:dyDescent="0.25">
      <c r="A2446" s="118"/>
      <c r="B2446" s="136"/>
    </row>
    <row r="2447" spans="1:2" x14ac:dyDescent="0.25">
      <c r="A2447" s="118"/>
      <c r="B2447" s="136"/>
    </row>
    <row r="2448" spans="1:2" x14ac:dyDescent="0.25">
      <c r="A2448" s="118"/>
      <c r="B2448" s="136"/>
    </row>
    <row r="2449" spans="1:2" x14ac:dyDescent="0.25">
      <c r="A2449" s="118"/>
      <c r="B2449" s="136"/>
    </row>
    <row r="2450" spans="1:2" x14ac:dyDescent="0.25">
      <c r="A2450" s="118"/>
      <c r="B2450" s="136"/>
    </row>
    <row r="2451" spans="1:2" x14ac:dyDescent="0.25">
      <c r="A2451" s="118"/>
      <c r="B2451" s="136"/>
    </row>
    <row r="2452" spans="1:2" x14ac:dyDescent="0.25">
      <c r="A2452" s="118"/>
      <c r="B2452" s="136"/>
    </row>
    <row r="2453" spans="1:2" x14ac:dyDescent="0.25">
      <c r="A2453" s="118"/>
      <c r="B2453" s="136"/>
    </row>
    <row r="2454" spans="1:2" x14ac:dyDescent="0.25">
      <c r="A2454" s="118"/>
      <c r="B2454" s="136"/>
    </row>
    <row r="2455" spans="1:2" x14ac:dyDescent="0.25">
      <c r="A2455" s="118"/>
      <c r="B2455" s="136"/>
    </row>
    <row r="2456" spans="1:2" x14ac:dyDescent="0.25">
      <c r="A2456" s="118"/>
      <c r="B2456" s="136"/>
    </row>
    <row r="2457" spans="1:2" x14ac:dyDescent="0.25">
      <c r="A2457" s="118"/>
      <c r="B2457" s="136"/>
    </row>
    <row r="2458" spans="1:2" x14ac:dyDescent="0.25">
      <c r="A2458" s="118"/>
      <c r="B2458" s="136"/>
    </row>
    <row r="2459" spans="1:2" x14ac:dyDescent="0.25">
      <c r="A2459" s="118"/>
      <c r="B2459" s="136"/>
    </row>
    <row r="2460" spans="1:2" x14ac:dyDescent="0.25">
      <c r="A2460" s="118"/>
      <c r="B2460" s="136"/>
    </row>
    <row r="2461" spans="1:2" x14ac:dyDescent="0.25">
      <c r="A2461" s="118"/>
      <c r="B2461" s="136"/>
    </row>
    <row r="2462" spans="1:2" x14ac:dyDescent="0.25">
      <c r="A2462" s="118"/>
      <c r="B2462" s="136"/>
    </row>
    <row r="2463" spans="1:2" x14ac:dyDescent="0.25">
      <c r="A2463" s="118"/>
      <c r="B2463" s="136"/>
    </row>
    <row r="2464" spans="1:2" x14ac:dyDescent="0.25">
      <c r="A2464" s="118"/>
      <c r="B2464" s="136"/>
    </row>
    <row r="2465" spans="1:2" x14ac:dyDescent="0.25">
      <c r="A2465" s="118"/>
      <c r="B2465" s="136"/>
    </row>
    <row r="2466" spans="1:2" x14ac:dyDescent="0.25">
      <c r="A2466" s="118"/>
      <c r="B2466" s="136"/>
    </row>
    <row r="2467" spans="1:2" x14ac:dyDescent="0.25">
      <c r="A2467" s="118"/>
      <c r="B2467" s="136"/>
    </row>
    <row r="2468" spans="1:2" x14ac:dyDescent="0.25">
      <c r="A2468" s="118"/>
      <c r="B2468" s="136"/>
    </row>
    <row r="2469" spans="1:2" x14ac:dyDescent="0.25">
      <c r="A2469" s="118"/>
      <c r="B2469" s="136"/>
    </row>
    <row r="2470" spans="1:2" x14ac:dyDescent="0.25">
      <c r="A2470" s="118"/>
      <c r="B2470" s="136"/>
    </row>
    <row r="2471" spans="1:2" x14ac:dyDescent="0.25">
      <c r="A2471" s="118"/>
      <c r="B2471" s="136"/>
    </row>
    <row r="2472" spans="1:2" x14ac:dyDescent="0.25">
      <c r="A2472" s="118"/>
      <c r="B2472" s="136"/>
    </row>
    <row r="2473" spans="1:2" x14ac:dyDescent="0.25">
      <c r="A2473" s="118"/>
      <c r="B2473" s="136"/>
    </row>
    <row r="2474" spans="1:2" x14ac:dyDescent="0.25">
      <c r="A2474" s="118"/>
      <c r="B2474" s="136"/>
    </row>
    <row r="2475" spans="1:2" x14ac:dyDescent="0.25">
      <c r="A2475" s="118"/>
      <c r="B2475" s="136"/>
    </row>
    <row r="2476" spans="1:2" x14ac:dyDescent="0.25">
      <c r="A2476" s="118"/>
      <c r="B2476" s="136"/>
    </row>
    <row r="2477" spans="1:2" x14ac:dyDescent="0.25">
      <c r="A2477" s="118"/>
      <c r="B2477" s="136"/>
    </row>
    <row r="2478" spans="1:2" x14ac:dyDescent="0.25">
      <c r="A2478" s="118"/>
      <c r="B2478" s="136"/>
    </row>
    <row r="2479" spans="1:2" x14ac:dyDescent="0.25">
      <c r="A2479" s="118"/>
      <c r="B2479" s="136"/>
    </row>
    <row r="2480" spans="1:2" x14ac:dyDescent="0.25">
      <c r="A2480" s="118"/>
      <c r="B2480" s="136"/>
    </row>
    <row r="2481" spans="1:2" x14ac:dyDescent="0.25">
      <c r="A2481" s="118"/>
      <c r="B2481" s="136"/>
    </row>
    <row r="2482" spans="1:2" x14ac:dyDescent="0.25">
      <c r="A2482" s="118"/>
      <c r="B2482" s="136"/>
    </row>
    <row r="2483" spans="1:2" x14ac:dyDescent="0.25">
      <c r="A2483" s="118"/>
      <c r="B2483" s="136"/>
    </row>
    <row r="2484" spans="1:2" x14ac:dyDescent="0.25">
      <c r="A2484" s="118"/>
      <c r="B2484" s="136"/>
    </row>
    <row r="2485" spans="1:2" x14ac:dyDescent="0.25">
      <c r="A2485" s="118"/>
      <c r="B2485" s="136"/>
    </row>
    <row r="2486" spans="1:2" x14ac:dyDescent="0.25">
      <c r="A2486" s="118"/>
      <c r="B2486" s="136"/>
    </row>
    <row r="2487" spans="1:2" x14ac:dyDescent="0.25">
      <c r="A2487" s="118"/>
      <c r="B2487" s="136"/>
    </row>
    <row r="2488" spans="1:2" x14ac:dyDescent="0.25">
      <c r="A2488" s="118"/>
      <c r="B2488" s="136"/>
    </row>
    <row r="2489" spans="1:2" x14ac:dyDescent="0.25">
      <c r="A2489" s="118"/>
      <c r="B2489" s="136"/>
    </row>
    <row r="2490" spans="1:2" x14ac:dyDescent="0.25">
      <c r="A2490" s="118"/>
      <c r="B2490" s="136"/>
    </row>
    <row r="2491" spans="1:2" x14ac:dyDescent="0.25">
      <c r="A2491" s="118"/>
      <c r="B2491" s="136"/>
    </row>
    <row r="2492" spans="1:2" x14ac:dyDescent="0.25">
      <c r="A2492" s="118"/>
      <c r="B2492" s="136"/>
    </row>
    <row r="2493" spans="1:2" x14ac:dyDescent="0.25">
      <c r="A2493" s="118"/>
      <c r="B2493" s="136"/>
    </row>
    <row r="2494" spans="1:2" x14ac:dyDescent="0.25">
      <c r="A2494" s="118"/>
      <c r="B2494" s="136"/>
    </row>
    <row r="2495" spans="1:2" x14ac:dyDescent="0.25">
      <c r="A2495" s="118"/>
      <c r="B2495" s="136"/>
    </row>
    <row r="2496" spans="1:2" x14ac:dyDescent="0.25">
      <c r="A2496" s="118"/>
      <c r="B2496" s="136"/>
    </row>
    <row r="2497" spans="1:2" x14ac:dyDescent="0.25">
      <c r="A2497" s="118"/>
      <c r="B2497" s="136"/>
    </row>
    <row r="2498" spans="1:2" x14ac:dyDescent="0.25">
      <c r="A2498" s="118"/>
      <c r="B2498" s="136"/>
    </row>
    <row r="2499" spans="1:2" x14ac:dyDescent="0.25">
      <c r="A2499" s="118"/>
      <c r="B2499" s="136"/>
    </row>
    <row r="2500" spans="1:2" x14ac:dyDescent="0.25">
      <c r="A2500" s="118"/>
      <c r="B2500" s="136"/>
    </row>
    <row r="2501" spans="1:2" x14ac:dyDescent="0.25">
      <c r="A2501" s="118"/>
      <c r="B2501" s="136"/>
    </row>
    <row r="2502" spans="1:2" x14ac:dyDescent="0.25">
      <c r="A2502" s="118"/>
      <c r="B2502" s="136"/>
    </row>
    <row r="2503" spans="1:2" x14ac:dyDescent="0.25">
      <c r="A2503" s="118"/>
      <c r="B2503" s="136"/>
    </row>
    <row r="2504" spans="1:2" x14ac:dyDescent="0.25">
      <c r="A2504" s="118"/>
      <c r="B2504" s="136"/>
    </row>
    <row r="2505" spans="1:2" x14ac:dyDescent="0.25">
      <c r="A2505" s="118"/>
      <c r="B2505" s="136"/>
    </row>
    <row r="2506" spans="1:2" x14ac:dyDescent="0.25">
      <c r="A2506" s="118"/>
      <c r="B2506" s="136"/>
    </row>
    <row r="2507" spans="1:2" x14ac:dyDescent="0.25">
      <c r="A2507" s="118"/>
      <c r="B2507" s="136"/>
    </row>
    <row r="2508" spans="1:2" x14ac:dyDescent="0.25">
      <c r="A2508" s="118"/>
      <c r="B2508" s="136"/>
    </row>
    <row r="2509" spans="1:2" x14ac:dyDescent="0.25">
      <c r="A2509" s="118"/>
      <c r="B2509" s="136"/>
    </row>
    <row r="2510" spans="1:2" x14ac:dyDescent="0.25">
      <c r="A2510" s="118"/>
      <c r="B2510" s="136"/>
    </row>
    <row r="2511" spans="1:2" x14ac:dyDescent="0.25">
      <c r="A2511" s="118"/>
      <c r="B2511" s="136"/>
    </row>
    <row r="2512" spans="1:2" x14ac:dyDescent="0.25">
      <c r="A2512" s="118"/>
      <c r="B2512" s="136"/>
    </row>
    <row r="2513" spans="1:2" x14ac:dyDescent="0.25">
      <c r="A2513" s="118"/>
      <c r="B2513" s="136"/>
    </row>
    <row r="2514" spans="1:2" x14ac:dyDescent="0.25">
      <c r="A2514" s="118"/>
      <c r="B2514" s="136"/>
    </row>
    <row r="2515" spans="1:2" x14ac:dyDescent="0.25">
      <c r="A2515" s="118"/>
      <c r="B2515" s="136"/>
    </row>
    <row r="2516" spans="1:2" x14ac:dyDescent="0.25">
      <c r="A2516" s="118"/>
      <c r="B2516" s="136"/>
    </row>
    <row r="2517" spans="1:2" x14ac:dyDescent="0.25">
      <c r="A2517" s="118"/>
      <c r="B2517" s="136"/>
    </row>
    <row r="2518" spans="1:2" x14ac:dyDescent="0.25">
      <c r="A2518" s="118"/>
      <c r="B2518" s="136"/>
    </row>
    <row r="2519" spans="1:2" x14ac:dyDescent="0.25">
      <c r="A2519" s="118"/>
      <c r="B2519" s="136"/>
    </row>
    <row r="2520" spans="1:2" x14ac:dyDescent="0.25">
      <c r="A2520" s="118"/>
      <c r="B2520" s="136"/>
    </row>
    <row r="2521" spans="1:2" x14ac:dyDescent="0.25">
      <c r="A2521" s="118"/>
      <c r="B2521" s="136"/>
    </row>
    <row r="2522" spans="1:2" x14ac:dyDescent="0.25">
      <c r="A2522" s="118"/>
      <c r="B2522" s="136"/>
    </row>
    <row r="2523" spans="1:2" x14ac:dyDescent="0.25">
      <c r="A2523" s="118"/>
      <c r="B2523" s="136"/>
    </row>
    <row r="2524" spans="1:2" x14ac:dyDescent="0.25">
      <c r="A2524" s="118"/>
      <c r="B2524" s="136"/>
    </row>
    <row r="2525" spans="1:2" x14ac:dyDescent="0.25">
      <c r="A2525" s="118"/>
      <c r="B2525" s="136"/>
    </row>
    <row r="2526" spans="1:2" x14ac:dyDescent="0.25">
      <c r="A2526" s="118"/>
      <c r="B2526" s="136"/>
    </row>
    <row r="2527" spans="1:2" x14ac:dyDescent="0.25">
      <c r="A2527" s="118"/>
      <c r="B2527" s="136"/>
    </row>
    <row r="2528" spans="1:2" x14ac:dyDescent="0.25">
      <c r="A2528" s="118"/>
      <c r="B2528" s="136"/>
    </row>
    <row r="2529" spans="1:2" x14ac:dyDescent="0.25">
      <c r="A2529" s="118"/>
      <c r="B2529" s="136"/>
    </row>
    <row r="2530" spans="1:2" x14ac:dyDescent="0.25">
      <c r="A2530" s="118"/>
      <c r="B2530" s="136"/>
    </row>
    <row r="2531" spans="1:2" x14ac:dyDescent="0.25">
      <c r="A2531" s="118"/>
      <c r="B2531" s="136"/>
    </row>
    <row r="2532" spans="1:2" x14ac:dyDescent="0.25">
      <c r="A2532" s="118"/>
      <c r="B2532" s="136"/>
    </row>
    <row r="2533" spans="1:2" x14ac:dyDescent="0.25">
      <c r="A2533" s="118"/>
      <c r="B2533" s="136"/>
    </row>
    <row r="2534" spans="1:2" x14ac:dyDescent="0.25">
      <c r="A2534" s="118"/>
      <c r="B2534" s="136"/>
    </row>
    <row r="2535" spans="1:2" x14ac:dyDescent="0.25">
      <c r="A2535" s="118"/>
      <c r="B2535" s="136"/>
    </row>
    <row r="2536" spans="1:2" x14ac:dyDescent="0.25">
      <c r="A2536" s="118"/>
      <c r="B2536" s="136"/>
    </row>
    <row r="2537" spans="1:2" x14ac:dyDescent="0.25">
      <c r="A2537" s="118"/>
      <c r="B2537" s="136"/>
    </row>
    <row r="2538" spans="1:2" x14ac:dyDescent="0.25">
      <c r="A2538" s="118"/>
      <c r="B2538" s="136"/>
    </row>
    <row r="2539" spans="1:2" x14ac:dyDescent="0.25">
      <c r="A2539" s="118"/>
      <c r="B2539" s="136"/>
    </row>
    <row r="2540" spans="1:2" x14ac:dyDescent="0.25">
      <c r="A2540" s="118"/>
      <c r="B2540" s="136"/>
    </row>
    <row r="2541" spans="1:2" x14ac:dyDescent="0.25">
      <c r="A2541" s="118"/>
      <c r="B2541" s="136"/>
    </row>
    <row r="2542" spans="1:2" x14ac:dyDescent="0.25">
      <c r="A2542" s="118"/>
      <c r="B2542" s="136"/>
    </row>
    <row r="2543" spans="1:2" x14ac:dyDescent="0.25">
      <c r="A2543" s="118"/>
      <c r="B2543" s="136"/>
    </row>
    <row r="2544" spans="1:2" x14ac:dyDescent="0.25">
      <c r="A2544" s="118"/>
      <c r="B2544" s="136"/>
    </row>
    <row r="2545" spans="1:2" x14ac:dyDescent="0.25">
      <c r="A2545" s="118"/>
      <c r="B2545" s="136"/>
    </row>
    <row r="2546" spans="1:2" x14ac:dyDescent="0.25">
      <c r="A2546" s="118"/>
      <c r="B2546" s="136"/>
    </row>
    <row r="2547" spans="1:2" x14ac:dyDescent="0.25">
      <c r="A2547" s="118"/>
      <c r="B2547" s="136"/>
    </row>
    <row r="2548" spans="1:2" x14ac:dyDescent="0.25">
      <c r="A2548" s="118"/>
      <c r="B2548" s="136"/>
    </row>
    <row r="2549" spans="1:2" x14ac:dyDescent="0.25">
      <c r="A2549" s="118"/>
      <c r="B2549" s="136"/>
    </row>
    <row r="2550" spans="1:2" x14ac:dyDescent="0.25">
      <c r="A2550" s="118"/>
      <c r="B2550" s="136"/>
    </row>
    <row r="2551" spans="1:2" x14ac:dyDescent="0.25">
      <c r="A2551" s="118"/>
      <c r="B2551" s="136"/>
    </row>
    <row r="2552" spans="1:2" x14ac:dyDescent="0.25">
      <c r="A2552" s="118"/>
      <c r="B2552" s="136"/>
    </row>
    <row r="2553" spans="1:2" x14ac:dyDescent="0.25">
      <c r="A2553" s="118"/>
      <c r="B2553" s="136"/>
    </row>
    <row r="2554" spans="1:2" x14ac:dyDescent="0.25">
      <c r="A2554" s="118"/>
      <c r="B2554" s="136"/>
    </row>
    <row r="2555" spans="1:2" x14ac:dyDescent="0.25">
      <c r="A2555" s="118"/>
      <c r="B2555" s="136"/>
    </row>
    <row r="2556" spans="1:2" x14ac:dyDescent="0.25">
      <c r="A2556" s="118"/>
      <c r="B2556" s="136"/>
    </row>
    <row r="2557" spans="1:2" x14ac:dyDescent="0.25">
      <c r="A2557" s="118"/>
      <c r="B2557" s="136"/>
    </row>
    <row r="2558" spans="1:2" x14ac:dyDescent="0.25">
      <c r="A2558" s="118"/>
      <c r="B2558" s="136"/>
    </row>
    <row r="2559" spans="1:2" x14ac:dyDescent="0.25">
      <c r="A2559" s="118"/>
      <c r="B2559" s="136"/>
    </row>
    <row r="2560" spans="1:2" x14ac:dyDescent="0.25">
      <c r="A2560" s="118"/>
      <c r="B2560" s="136"/>
    </row>
    <row r="2561" spans="1:2" x14ac:dyDescent="0.25">
      <c r="A2561" s="118"/>
      <c r="B2561" s="136"/>
    </row>
    <row r="2562" spans="1:2" x14ac:dyDescent="0.25">
      <c r="A2562" s="118"/>
      <c r="B2562" s="136"/>
    </row>
    <row r="2563" spans="1:2" x14ac:dyDescent="0.25">
      <c r="A2563" s="118"/>
      <c r="B2563" s="136"/>
    </row>
    <row r="2564" spans="1:2" x14ac:dyDescent="0.25">
      <c r="A2564" s="118"/>
      <c r="B2564" s="136"/>
    </row>
    <row r="2565" spans="1:2" x14ac:dyDescent="0.25">
      <c r="A2565" s="118"/>
      <c r="B2565" s="136"/>
    </row>
    <row r="2566" spans="1:2" x14ac:dyDescent="0.25">
      <c r="A2566" s="118"/>
      <c r="B2566" s="136"/>
    </row>
    <row r="2567" spans="1:2" x14ac:dyDescent="0.25">
      <c r="A2567" s="118"/>
      <c r="B2567" s="136"/>
    </row>
    <row r="2568" spans="1:2" x14ac:dyDescent="0.25">
      <c r="A2568" s="118"/>
      <c r="B2568" s="136"/>
    </row>
    <row r="2569" spans="1:2" x14ac:dyDescent="0.25">
      <c r="A2569" s="118"/>
      <c r="B2569" s="136"/>
    </row>
    <row r="2570" spans="1:2" x14ac:dyDescent="0.25">
      <c r="A2570" s="118"/>
      <c r="B2570" s="136"/>
    </row>
    <row r="2571" spans="1:2" x14ac:dyDescent="0.25">
      <c r="A2571" s="118"/>
      <c r="B2571" s="136"/>
    </row>
    <row r="2572" spans="1:2" x14ac:dyDescent="0.25">
      <c r="A2572" s="118"/>
      <c r="B2572" s="136"/>
    </row>
    <row r="2573" spans="1:2" x14ac:dyDescent="0.25">
      <c r="A2573" s="118"/>
      <c r="B2573" s="136"/>
    </row>
    <row r="2574" spans="1:2" x14ac:dyDescent="0.25">
      <c r="A2574" s="118"/>
      <c r="B2574" s="136"/>
    </row>
    <row r="2575" spans="1:2" x14ac:dyDescent="0.25">
      <c r="A2575" s="118"/>
      <c r="B2575" s="136"/>
    </row>
    <row r="2576" spans="1:2" x14ac:dyDescent="0.25">
      <c r="A2576" s="118"/>
      <c r="B2576" s="136"/>
    </row>
    <row r="2577" spans="1:2" x14ac:dyDescent="0.25">
      <c r="A2577" s="118"/>
      <c r="B2577" s="136"/>
    </row>
    <row r="2578" spans="1:2" x14ac:dyDescent="0.25">
      <c r="A2578" s="118"/>
      <c r="B2578" s="136"/>
    </row>
    <row r="2579" spans="1:2" x14ac:dyDescent="0.25">
      <c r="A2579" s="118"/>
      <c r="B2579" s="136"/>
    </row>
    <row r="2580" spans="1:2" x14ac:dyDescent="0.25">
      <c r="A2580" s="118"/>
      <c r="B2580" s="136"/>
    </row>
    <row r="2581" spans="1:2" x14ac:dyDescent="0.25">
      <c r="A2581" s="118"/>
      <c r="B2581" s="136"/>
    </row>
    <row r="2582" spans="1:2" x14ac:dyDescent="0.25">
      <c r="A2582" s="118"/>
      <c r="B2582" s="136"/>
    </row>
    <row r="2583" spans="1:2" x14ac:dyDescent="0.25">
      <c r="A2583" s="118"/>
      <c r="B2583" s="136"/>
    </row>
    <row r="2584" spans="1:2" x14ac:dyDescent="0.25">
      <c r="A2584" s="118"/>
      <c r="B2584" s="136"/>
    </row>
    <row r="2585" spans="1:2" x14ac:dyDescent="0.25">
      <c r="A2585" s="118"/>
      <c r="B2585" s="136"/>
    </row>
    <row r="2586" spans="1:2" x14ac:dyDescent="0.25">
      <c r="A2586" s="118"/>
      <c r="B2586" s="136"/>
    </row>
    <row r="2587" spans="1:2" x14ac:dyDescent="0.25">
      <c r="A2587" s="118"/>
      <c r="B2587" s="136"/>
    </row>
    <row r="2588" spans="1:2" x14ac:dyDescent="0.25">
      <c r="A2588" s="118"/>
      <c r="B2588" s="136"/>
    </row>
    <row r="2589" spans="1:2" x14ac:dyDescent="0.25">
      <c r="A2589" s="118"/>
      <c r="B2589" s="136"/>
    </row>
    <row r="2590" spans="1:2" x14ac:dyDescent="0.25">
      <c r="A2590" s="118"/>
      <c r="B2590" s="136"/>
    </row>
    <row r="2591" spans="1:2" x14ac:dyDescent="0.25">
      <c r="A2591" s="118"/>
      <c r="B2591" s="136"/>
    </row>
    <row r="2592" spans="1:2" x14ac:dyDescent="0.25">
      <c r="A2592" s="118"/>
      <c r="B2592" s="136"/>
    </row>
    <row r="2593" spans="1:2" x14ac:dyDescent="0.25">
      <c r="A2593" s="118"/>
      <c r="B2593" s="136"/>
    </row>
    <row r="2594" spans="1:2" x14ac:dyDescent="0.25">
      <c r="A2594" s="118"/>
      <c r="B2594" s="136"/>
    </row>
    <row r="2595" spans="1:2" x14ac:dyDescent="0.25">
      <c r="A2595" s="118"/>
      <c r="B2595" s="136"/>
    </row>
    <row r="2596" spans="1:2" x14ac:dyDescent="0.25">
      <c r="A2596" s="118"/>
      <c r="B2596" s="136"/>
    </row>
    <row r="2597" spans="1:2" x14ac:dyDescent="0.25">
      <c r="A2597" s="118"/>
      <c r="B2597" s="136"/>
    </row>
    <row r="2598" spans="1:2" x14ac:dyDescent="0.25">
      <c r="A2598" s="118"/>
      <c r="B2598" s="136"/>
    </row>
    <row r="2599" spans="1:2" x14ac:dyDescent="0.25">
      <c r="A2599" s="118"/>
      <c r="B2599" s="136"/>
    </row>
    <row r="2600" spans="1:2" x14ac:dyDescent="0.25">
      <c r="A2600" s="118"/>
      <c r="B2600" s="136"/>
    </row>
    <row r="2601" spans="1:2" x14ac:dyDescent="0.25">
      <c r="A2601" s="118"/>
      <c r="B2601" s="136"/>
    </row>
    <row r="2602" spans="1:2" x14ac:dyDescent="0.25">
      <c r="A2602" s="118"/>
      <c r="B2602" s="136"/>
    </row>
    <row r="2603" spans="1:2" x14ac:dyDescent="0.25">
      <c r="A2603" s="118"/>
      <c r="B2603" s="136"/>
    </row>
    <row r="2604" spans="1:2" x14ac:dyDescent="0.25">
      <c r="A2604" s="118"/>
      <c r="B2604" s="136"/>
    </row>
    <row r="2605" spans="1:2" x14ac:dyDescent="0.25">
      <c r="A2605" s="118"/>
      <c r="B2605" s="136"/>
    </row>
    <row r="2606" spans="1:2" x14ac:dyDescent="0.25">
      <c r="A2606" s="118"/>
      <c r="B2606" s="136"/>
    </row>
    <row r="2607" spans="1:2" x14ac:dyDescent="0.25">
      <c r="A2607" s="118"/>
      <c r="B2607" s="136"/>
    </row>
    <row r="2608" spans="1:2" x14ac:dyDescent="0.25">
      <c r="A2608" s="118"/>
      <c r="B2608" s="136"/>
    </row>
    <row r="2609" spans="1:2" x14ac:dyDescent="0.25">
      <c r="A2609" s="118"/>
      <c r="B2609" s="136"/>
    </row>
    <row r="2610" spans="1:2" x14ac:dyDescent="0.25">
      <c r="A2610" s="118"/>
      <c r="B2610" s="136"/>
    </row>
    <row r="2611" spans="1:2" x14ac:dyDescent="0.25">
      <c r="A2611" s="118"/>
      <c r="B2611" s="136"/>
    </row>
    <row r="2612" spans="1:2" x14ac:dyDescent="0.25">
      <c r="A2612" s="118"/>
      <c r="B2612" s="136"/>
    </row>
    <row r="2613" spans="1:2" x14ac:dyDescent="0.25">
      <c r="A2613" s="118"/>
      <c r="B2613" s="136"/>
    </row>
    <row r="2614" spans="1:2" x14ac:dyDescent="0.25">
      <c r="A2614" s="118"/>
      <c r="B2614" s="136"/>
    </row>
    <row r="2615" spans="1:2" x14ac:dyDescent="0.25">
      <c r="A2615" s="118"/>
      <c r="B2615" s="136"/>
    </row>
    <row r="2616" spans="1:2" x14ac:dyDescent="0.25">
      <c r="A2616" s="118"/>
      <c r="B2616" s="136"/>
    </row>
    <row r="2617" spans="1:2" x14ac:dyDescent="0.25">
      <c r="A2617" s="118"/>
      <c r="B2617" s="136"/>
    </row>
    <row r="2618" spans="1:2" x14ac:dyDescent="0.25">
      <c r="A2618" s="118"/>
      <c r="B2618" s="136"/>
    </row>
    <row r="2619" spans="1:2" x14ac:dyDescent="0.25">
      <c r="A2619" s="118"/>
      <c r="B2619" s="136"/>
    </row>
    <row r="2620" spans="1:2" x14ac:dyDescent="0.25">
      <c r="A2620" s="118"/>
      <c r="B2620" s="136"/>
    </row>
    <row r="2621" spans="1:2" x14ac:dyDescent="0.25">
      <c r="A2621" s="118"/>
      <c r="B2621" s="136"/>
    </row>
    <row r="2622" spans="1:2" x14ac:dyDescent="0.25">
      <c r="A2622" s="118"/>
      <c r="B2622" s="136"/>
    </row>
    <row r="2623" spans="1:2" x14ac:dyDescent="0.25">
      <c r="A2623" s="118"/>
      <c r="B2623" s="136"/>
    </row>
    <row r="2624" spans="1:2" x14ac:dyDescent="0.25">
      <c r="A2624" s="118"/>
      <c r="B2624" s="136"/>
    </row>
    <row r="2625" spans="1:2" x14ac:dyDescent="0.25">
      <c r="A2625" s="118"/>
      <c r="B2625" s="136"/>
    </row>
    <row r="2626" spans="1:2" x14ac:dyDescent="0.25">
      <c r="A2626" s="118"/>
      <c r="B2626" s="136"/>
    </row>
    <row r="2627" spans="1:2" x14ac:dyDescent="0.25">
      <c r="A2627" s="118"/>
      <c r="B2627" s="136"/>
    </row>
    <row r="2628" spans="1:2" x14ac:dyDescent="0.25">
      <c r="A2628" s="118"/>
      <c r="B2628" s="136"/>
    </row>
    <row r="2629" spans="1:2" x14ac:dyDescent="0.25">
      <c r="A2629" s="118"/>
      <c r="B2629" s="136"/>
    </row>
    <row r="2630" spans="1:2" x14ac:dyDescent="0.25">
      <c r="A2630" s="118"/>
      <c r="B2630" s="136"/>
    </row>
    <row r="2631" spans="1:2" x14ac:dyDescent="0.25">
      <c r="A2631" s="118"/>
      <c r="B2631" s="136"/>
    </row>
    <row r="2632" spans="1:2" x14ac:dyDescent="0.25">
      <c r="A2632" s="118"/>
      <c r="B2632" s="136"/>
    </row>
    <row r="2633" spans="1:2" x14ac:dyDescent="0.25">
      <c r="A2633" s="118"/>
      <c r="B2633" s="136"/>
    </row>
    <row r="2634" spans="1:2" x14ac:dyDescent="0.25">
      <c r="A2634" s="118"/>
      <c r="B2634" s="136"/>
    </row>
    <row r="2635" spans="1:2" x14ac:dyDescent="0.25">
      <c r="A2635" s="118"/>
      <c r="B2635" s="136"/>
    </row>
    <row r="2636" spans="1:2" x14ac:dyDescent="0.25">
      <c r="A2636" s="118"/>
      <c r="B2636" s="136"/>
    </row>
    <row r="2637" spans="1:2" x14ac:dyDescent="0.25">
      <c r="A2637" s="118"/>
      <c r="B2637" s="136"/>
    </row>
    <row r="2638" spans="1:2" x14ac:dyDescent="0.25">
      <c r="A2638" s="118"/>
      <c r="B2638" s="136"/>
    </row>
    <row r="2639" spans="1:2" x14ac:dyDescent="0.25">
      <c r="A2639" s="118"/>
      <c r="B2639" s="136"/>
    </row>
    <row r="2640" spans="1:2" x14ac:dyDescent="0.25">
      <c r="A2640" s="118"/>
      <c r="B2640" s="136"/>
    </row>
    <row r="2641" spans="1:2" x14ac:dyDescent="0.25">
      <c r="A2641" s="118"/>
      <c r="B2641" s="136"/>
    </row>
    <row r="2642" spans="1:2" x14ac:dyDescent="0.25">
      <c r="A2642" s="118"/>
      <c r="B2642" s="136"/>
    </row>
    <row r="2643" spans="1:2" x14ac:dyDescent="0.25">
      <c r="A2643" s="118"/>
      <c r="B2643" s="136"/>
    </row>
    <row r="2644" spans="1:2" x14ac:dyDescent="0.25">
      <c r="A2644" s="118"/>
      <c r="B2644" s="136"/>
    </row>
    <row r="2645" spans="1:2" x14ac:dyDescent="0.25">
      <c r="A2645" s="118"/>
      <c r="B2645" s="136"/>
    </row>
    <row r="2646" spans="1:2" x14ac:dyDescent="0.25">
      <c r="A2646" s="118"/>
      <c r="B2646" s="136"/>
    </row>
    <row r="2647" spans="1:2" x14ac:dyDescent="0.25">
      <c r="A2647" s="118"/>
      <c r="B2647" s="136"/>
    </row>
    <row r="2648" spans="1:2" x14ac:dyDescent="0.25">
      <c r="A2648" s="118"/>
      <c r="B2648" s="136"/>
    </row>
    <row r="2649" spans="1:2" x14ac:dyDescent="0.25">
      <c r="A2649" s="118"/>
      <c r="B2649" s="136"/>
    </row>
    <row r="2650" spans="1:2" x14ac:dyDescent="0.25">
      <c r="A2650" s="118"/>
      <c r="B2650" s="136"/>
    </row>
    <row r="2651" spans="1:2" x14ac:dyDescent="0.25">
      <c r="A2651" s="118"/>
      <c r="B2651" s="136"/>
    </row>
    <row r="2652" spans="1:2" x14ac:dyDescent="0.25">
      <c r="A2652" s="118"/>
      <c r="B2652" s="136"/>
    </row>
    <row r="2653" spans="1:2" x14ac:dyDescent="0.25">
      <c r="A2653" s="118"/>
      <c r="B2653" s="136"/>
    </row>
    <row r="2654" spans="1:2" x14ac:dyDescent="0.25">
      <c r="A2654" s="118"/>
      <c r="B2654" s="136"/>
    </row>
    <row r="2655" spans="1:2" x14ac:dyDescent="0.25">
      <c r="A2655" s="118"/>
      <c r="B2655" s="136"/>
    </row>
    <row r="2656" spans="1:2" x14ac:dyDescent="0.25">
      <c r="A2656" s="118"/>
      <c r="B2656" s="136"/>
    </row>
    <row r="2657" spans="1:2" x14ac:dyDescent="0.25">
      <c r="A2657" s="118"/>
      <c r="B2657" s="136"/>
    </row>
    <row r="2658" spans="1:2" x14ac:dyDescent="0.25">
      <c r="A2658" s="118"/>
      <c r="B2658" s="136"/>
    </row>
    <row r="2659" spans="1:2" x14ac:dyDescent="0.25">
      <c r="A2659" s="118"/>
      <c r="B2659" s="136"/>
    </row>
    <row r="2660" spans="1:2" x14ac:dyDescent="0.25">
      <c r="A2660" s="118"/>
      <c r="B2660" s="136"/>
    </row>
    <row r="2661" spans="1:2" x14ac:dyDescent="0.25">
      <c r="A2661" s="118"/>
      <c r="B2661" s="136"/>
    </row>
    <row r="2662" spans="1:2" x14ac:dyDescent="0.25">
      <c r="A2662" s="118"/>
      <c r="B2662" s="136"/>
    </row>
    <row r="2663" spans="1:2" x14ac:dyDescent="0.25">
      <c r="A2663" s="118"/>
      <c r="B2663" s="136"/>
    </row>
    <row r="2664" spans="1:2" x14ac:dyDescent="0.25">
      <c r="A2664" s="118"/>
      <c r="B2664" s="136"/>
    </row>
    <row r="2665" spans="1:2" x14ac:dyDescent="0.25">
      <c r="A2665" s="118"/>
      <c r="B2665" s="136"/>
    </row>
    <row r="2666" spans="1:2" x14ac:dyDescent="0.25">
      <c r="A2666" s="118"/>
      <c r="B2666" s="136"/>
    </row>
    <row r="2667" spans="1:2" x14ac:dyDescent="0.25">
      <c r="A2667" s="118"/>
      <c r="B2667" s="136"/>
    </row>
    <row r="2668" spans="1:2" x14ac:dyDescent="0.25">
      <c r="A2668" s="118"/>
      <c r="B2668" s="136"/>
    </row>
    <row r="2669" spans="1:2" x14ac:dyDescent="0.25">
      <c r="A2669" s="118"/>
      <c r="B2669" s="136"/>
    </row>
    <row r="2670" spans="1:2" x14ac:dyDescent="0.25">
      <c r="A2670" s="118"/>
      <c r="B2670" s="136"/>
    </row>
    <row r="2671" spans="1:2" x14ac:dyDescent="0.25">
      <c r="A2671" s="118"/>
      <c r="B2671" s="136"/>
    </row>
    <row r="2672" spans="1:2" x14ac:dyDescent="0.25">
      <c r="A2672" s="118"/>
      <c r="B2672" s="136"/>
    </row>
    <row r="2673" spans="1:2" x14ac:dyDescent="0.25">
      <c r="A2673" s="118"/>
      <c r="B2673" s="136"/>
    </row>
    <row r="2674" spans="1:2" x14ac:dyDescent="0.25">
      <c r="A2674" s="118"/>
      <c r="B2674" s="136"/>
    </row>
    <row r="2675" spans="1:2" x14ac:dyDescent="0.25">
      <c r="A2675" s="118"/>
      <c r="B2675" s="136"/>
    </row>
    <row r="2676" spans="1:2" x14ac:dyDescent="0.25">
      <c r="A2676" s="118"/>
      <c r="B2676" s="136"/>
    </row>
    <row r="2677" spans="1:2" x14ac:dyDescent="0.25">
      <c r="A2677" s="118"/>
      <c r="B2677" s="136"/>
    </row>
    <row r="2678" spans="1:2" x14ac:dyDescent="0.25">
      <c r="A2678" s="118"/>
      <c r="B2678" s="136"/>
    </row>
    <row r="2679" spans="1:2" x14ac:dyDescent="0.25">
      <c r="A2679" s="118"/>
      <c r="B2679" s="136"/>
    </row>
    <row r="2680" spans="1:2" x14ac:dyDescent="0.25">
      <c r="A2680" s="118"/>
      <c r="B2680" s="136"/>
    </row>
    <row r="2681" spans="1:2" x14ac:dyDescent="0.25">
      <c r="A2681" s="118"/>
      <c r="B2681" s="136"/>
    </row>
    <row r="2682" spans="1:2" x14ac:dyDescent="0.25">
      <c r="A2682" s="118"/>
      <c r="B2682" s="136"/>
    </row>
    <row r="2683" spans="1:2" x14ac:dyDescent="0.25">
      <c r="A2683" s="118"/>
      <c r="B2683" s="136"/>
    </row>
    <row r="2684" spans="1:2" x14ac:dyDescent="0.25">
      <c r="A2684" s="118"/>
      <c r="B2684" s="136"/>
    </row>
    <row r="2685" spans="1:2" x14ac:dyDescent="0.25">
      <c r="A2685" s="118"/>
      <c r="B2685" s="136"/>
    </row>
    <row r="2686" spans="1:2" x14ac:dyDescent="0.25">
      <c r="A2686" s="118"/>
      <c r="B2686" s="136"/>
    </row>
    <row r="2687" spans="1:2" x14ac:dyDescent="0.25">
      <c r="A2687" s="118"/>
      <c r="B2687" s="136"/>
    </row>
    <row r="2688" spans="1:2" x14ac:dyDescent="0.25">
      <c r="A2688" s="118"/>
      <c r="B2688" s="136"/>
    </row>
    <row r="2689" spans="1:2" x14ac:dyDescent="0.25">
      <c r="A2689" s="118"/>
      <c r="B2689" s="136"/>
    </row>
    <row r="2690" spans="1:2" x14ac:dyDescent="0.25">
      <c r="A2690" s="118"/>
      <c r="B2690" s="136"/>
    </row>
    <row r="2691" spans="1:2" x14ac:dyDescent="0.25">
      <c r="A2691" s="118"/>
      <c r="B2691" s="136"/>
    </row>
    <row r="2692" spans="1:2" x14ac:dyDescent="0.25">
      <c r="A2692" s="118"/>
      <c r="B2692" s="136"/>
    </row>
    <row r="2693" spans="1:2" x14ac:dyDescent="0.25">
      <c r="A2693" s="118"/>
      <c r="B2693" s="136"/>
    </row>
    <row r="2694" spans="1:2" x14ac:dyDescent="0.25">
      <c r="A2694" s="118"/>
      <c r="B2694" s="136"/>
    </row>
    <row r="2695" spans="1:2" x14ac:dyDescent="0.25">
      <c r="A2695" s="118"/>
      <c r="B2695" s="136"/>
    </row>
    <row r="2696" spans="1:2" x14ac:dyDescent="0.25">
      <c r="A2696" s="118"/>
      <c r="B2696" s="136"/>
    </row>
    <row r="2697" spans="1:2" x14ac:dyDescent="0.25">
      <c r="A2697" s="118"/>
      <c r="B2697" s="136"/>
    </row>
    <row r="2698" spans="1:2" x14ac:dyDescent="0.25">
      <c r="A2698" s="118"/>
      <c r="B2698" s="136"/>
    </row>
    <row r="2699" spans="1:2" x14ac:dyDescent="0.25">
      <c r="A2699" s="118"/>
      <c r="B2699" s="136"/>
    </row>
    <row r="2700" spans="1:2" x14ac:dyDescent="0.25">
      <c r="A2700" s="118"/>
      <c r="B2700" s="136"/>
    </row>
    <row r="2701" spans="1:2" x14ac:dyDescent="0.25">
      <c r="A2701" s="118"/>
      <c r="B2701" s="136"/>
    </row>
    <row r="2702" spans="1:2" x14ac:dyDescent="0.25">
      <c r="A2702" s="118"/>
      <c r="B2702" s="136"/>
    </row>
    <row r="2703" spans="1:2" x14ac:dyDescent="0.25">
      <c r="A2703" s="118"/>
      <c r="B2703" s="136"/>
    </row>
    <row r="2704" spans="1:2" x14ac:dyDescent="0.25">
      <c r="A2704" s="118"/>
      <c r="B2704" s="136"/>
    </row>
    <row r="2705" spans="1:2" x14ac:dyDescent="0.25">
      <c r="A2705" s="118"/>
      <c r="B2705" s="136"/>
    </row>
    <row r="2706" spans="1:2" x14ac:dyDescent="0.25">
      <c r="A2706" s="118"/>
      <c r="B2706" s="136"/>
    </row>
    <row r="2707" spans="1:2" x14ac:dyDescent="0.25">
      <c r="A2707" s="118"/>
      <c r="B2707" s="136"/>
    </row>
    <row r="2708" spans="1:2" x14ac:dyDescent="0.25">
      <c r="A2708" s="118"/>
      <c r="B2708" s="136"/>
    </row>
    <row r="2709" spans="1:2" x14ac:dyDescent="0.25">
      <c r="A2709" s="118"/>
      <c r="B2709" s="136"/>
    </row>
    <row r="2710" spans="1:2" x14ac:dyDescent="0.25">
      <c r="A2710" s="118"/>
      <c r="B2710" s="136"/>
    </row>
    <row r="2711" spans="1:2" x14ac:dyDescent="0.25">
      <c r="A2711" s="118"/>
      <c r="B2711" s="136"/>
    </row>
    <row r="2712" spans="1:2" x14ac:dyDescent="0.25">
      <c r="A2712" s="118"/>
      <c r="B2712" s="136"/>
    </row>
    <row r="2713" spans="1:2" x14ac:dyDescent="0.25">
      <c r="A2713" s="118"/>
      <c r="B2713" s="136"/>
    </row>
    <row r="2714" spans="1:2" x14ac:dyDescent="0.25">
      <c r="A2714" s="118"/>
      <c r="B2714" s="136"/>
    </row>
    <row r="2715" spans="1:2" x14ac:dyDescent="0.25">
      <c r="A2715" s="118"/>
      <c r="B2715" s="136"/>
    </row>
    <row r="2716" spans="1:2" x14ac:dyDescent="0.25">
      <c r="A2716" s="118"/>
      <c r="B2716" s="136"/>
    </row>
    <row r="2717" spans="1:2" x14ac:dyDescent="0.25">
      <c r="A2717" s="118"/>
      <c r="B2717" s="136"/>
    </row>
    <row r="2718" spans="1:2" x14ac:dyDescent="0.25">
      <c r="A2718" s="118"/>
      <c r="B2718" s="136"/>
    </row>
    <row r="2719" spans="1:2" x14ac:dyDescent="0.25">
      <c r="A2719" s="118"/>
      <c r="B2719" s="136"/>
    </row>
    <row r="2720" spans="1:2" x14ac:dyDescent="0.25">
      <c r="A2720" s="118"/>
      <c r="B2720" s="136"/>
    </row>
    <row r="2721" spans="1:2" x14ac:dyDescent="0.25">
      <c r="A2721" s="118"/>
      <c r="B2721" s="136"/>
    </row>
    <row r="2722" spans="1:2" x14ac:dyDescent="0.25">
      <c r="A2722" s="118"/>
      <c r="B2722" s="136"/>
    </row>
    <row r="2723" spans="1:2" x14ac:dyDescent="0.25">
      <c r="A2723" s="118"/>
      <c r="B2723" s="136"/>
    </row>
    <row r="2724" spans="1:2" x14ac:dyDescent="0.25">
      <c r="A2724" s="118"/>
      <c r="B2724" s="136"/>
    </row>
    <row r="2725" spans="1:2" x14ac:dyDescent="0.25">
      <c r="A2725" s="118"/>
      <c r="B2725" s="136"/>
    </row>
    <row r="2726" spans="1:2" x14ac:dyDescent="0.25">
      <c r="A2726" s="118"/>
      <c r="B2726" s="136"/>
    </row>
    <row r="2727" spans="1:2" x14ac:dyDescent="0.25">
      <c r="A2727" s="118"/>
      <c r="B2727" s="136"/>
    </row>
    <row r="2728" spans="1:2" x14ac:dyDescent="0.25">
      <c r="A2728" s="118"/>
      <c r="B2728" s="136"/>
    </row>
    <row r="2729" spans="1:2" x14ac:dyDescent="0.25">
      <c r="A2729" s="118"/>
      <c r="B2729" s="136"/>
    </row>
    <row r="2730" spans="1:2" x14ac:dyDescent="0.25">
      <c r="A2730" s="118"/>
      <c r="B2730" s="136"/>
    </row>
    <row r="2731" spans="1:2" x14ac:dyDescent="0.25">
      <c r="A2731" s="118"/>
      <c r="B2731" s="136"/>
    </row>
    <row r="2732" spans="1:2" x14ac:dyDescent="0.25">
      <c r="A2732" s="118"/>
      <c r="B2732" s="136"/>
    </row>
    <row r="2733" spans="1:2" x14ac:dyDescent="0.25">
      <c r="A2733" s="118"/>
      <c r="B2733" s="136"/>
    </row>
    <row r="2734" spans="1:2" x14ac:dyDescent="0.25">
      <c r="A2734" s="118"/>
      <c r="B2734" s="136"/>
    </row>
    <row r="2735" spans="1:2" x14ac:dyDescent="0.25">
      <c r="A2735" s="118"/>
      <c r="B2735" s="136"/>
    </row>
    <row r="2736" spans="1:2" x14ac:dyDescent="0.25">
      <c r="A2736" s="118"/>
      <c r="B2736" s="136"/>
    </row>
    <row r="2737" spans="1:2" x14ac:dyDescent="0.25">
      <c r="A2737" s="118"/>
      <c r="B2737" s="136"/>
    </row>
    <row r="2738" spans="1:2" x14ac:dyDescent="0.25">
      <c r="A2738" s="118"/>
      <c r="B2738" s="136"/>
    </row>
    <row r="2739" spans="1:2" x14ac:dyDescent="0.25">
      <c r="A2739" s="118"/>
      <c r="B2739" s="136"/>
    </row>
    <row r="2740" spans="1:2" x14ac:dyDescent="0.25">
      <c r="A2740" s="118"/>
      <c r="B2740" s="136"/>
    </row>
    <row r="2741" spans="1:2" x14ac:dyDescent="0.25">
      <c r="A2741" s="118"/>
      <c r="B2741" s="136"/>
    </row>
    <row r="2742" spans="1:2" x14ac:dyDescent="0.25">
      <c r="A2742" s="118"/>
      <c r="B2742" s="136"/>
    </row>
    <row r="2743" spans="1:2" x14ac:dyDescent="0.25">
      <c r="A2743" s="118"/>
      <c r="B2743" s="136"/>
    </row>
    <row r="2744" spans="1:2" x14ac:dyDescent="0.25">
      <c r="A2744" s="118"/>
      <c r="B2744" s="136"/>
    </row>
    <row r="2745" spans="1:2" x14ac:dyDescent="0.25">
      <c r="A2745" s="118"/>
      <c r="B2745" s="136"/>
    </row>
    <row r="2746" spans="1:2" x14ac:dyDescent="0.25">
      <c r="A2746" s="118"/>
      <c r="B2746" s="136"/>
    </row>
    <row r="2747" spans="1:2" x14ac:dyDescent="0.25">
      <c r="A2747" s="118"/>
      <c r="B2747" s="136"/>
    </row>
    <row r="2748" spans="1:2" x14ac:dyDescent="0.25">
      <c r="A2748" s="118"/>
      <c r="B2748" s="136"/>
    </row>
    <row r="2749" spans="1:2" x14ac:dyDescent="0.25">
      <c r="A2749" s="118"/>
      <c r="B2749" s="136"/>
    </row>
    <row r="2750" spans="1:2" x14ac:dyDescent="0.25">
      <c r="A2750" s="118"/>
      <c r="B2750" s="136"/>
    </row>
    <row r="2751" spans="1:2" x14ac:dyDescent="0.25">
      <c r="A2751" s="118"/>
      <c r="B2751" s="136"/>
    </row>
    <row r="2752" spans="1:2" x14ac:dyDescent="0.25">
      <c r="A2752" s="118"/>
      <c r="B2752" s="136"/>
    </row>
    <row r="2753" spans="1:2" x14ac:dyDescent="0.25">
      <c r="A2753" s="118"/>
      <c r="B2753" s="136"/>
    </row>
    <row r="2754" spans="1:2" x14ac:dyDescent="0.25">
      <c r="A2754" s="118"/>
      <c r="B2754" s="136"/>
    </row>
    <row r="2755" spans="1:2" x14ac:dyDescent="0.25">
      <c r="A2755" s="118"/>
      <c r="B2755" s="136"/>
    </row>
    <row r="2756" spans="1:2" x14ac:dyDescent="0.25">
      <c r="A2756" s="118"/>
      <c r="B2756" s="136"/>
    </row>
    <row r="2757" spans="1:2" x14ac:dyDescent="0.25">
      <c r="A2757" s="118"/>
      <c r="B2757" s="136"/>
    </row>
    <row r="2758" spans="1:2" x14ac:dyDescent="0.25">
      <c r="A2758" s="118"/>
      <c r="B2758" s="136"/>
    </row>
    <row r="2759" spans="1:2" x14ac:dyDescent="0.25">
      <c r="A2759" s="118"/>
      <c r="B2759" s="136"/>
    </row>
    <row r="2760" spans="1:2" x14ac:dyDescent="0.25">
      <c r="A2760" s="118"/>
      <c r="B2760" s="136"/>
    </row>
    <row r="2761" spans="1:2" x14ac:dyDescent="0.25">
      <c r="A2761" s="118"/>
      <c r="B2761" s="136"/>
    </row>
    <row r="2762" spans="1:2" x14ac:dyDescent="0.25">
      <c r="A2762" s="118"/>
      <c r="B2762" s="136"/>
    </row>
    <row r="2763" spans="1:2" x14ac:dyDescent="0.25">
      <c r="A2763" s="118"/>
      <c r="B2763" s="136"/>
    </row>
    <row r="2764" spans="1:2" x14ac:dyDescent="0.25">
      <c r="A2764" s="118"/>
      <c r="B2764" s="136"/>
    </row>
    <row r="2765" spans="1:2" x14ac:dyDescent="0.25">
      <c r="A2765" s="118"/>
      <c r="B2765" s="136"/>
    </row>
    <row r="2766" spans="1:2" x14ac:dyDescent="0.25">
      <c r="A2766" s="118"/>
      <c r="B2766" s="136"/>
    </row>
    <row r="2767" spans="1:2" x14ac:dyDescent="0.25">
      <c r="A2767" s="118"/>
      <c r="B2767" s="136"/>
    </row>
    <row r="2768" spans="1:2" x14ac:dyDescent="0.25">
      <c r="A2768" s="118"/>
      <c r="B2768" s="136"/>
    </row>
    <row r="2769" spans="1:2" x14ac:dyDescent="0.25">
      <c r="A2769" s="118"/>
      <c r="B2769" s="136"/>
    </row>
    <row r="2770" spans="1:2" x14ac:dyDescent="0.25">
      <c r="A2770" s="118"/>
      <c r="B2770" s="136"/>
    </row>
    <row r="2771" spans="1:2" x14ac:dyDescent="0.25">
      <c r="A2771" s="118"/>
      <c r="B2771" s="136"/>
    </row>
    <row r="2772" spans="1:2" x14ac:dyDescent="0.25">
      <c r="A2772" s="118"/>
      <c r="B2772" s="136"/>
    </row>
    <row r="2773" spans="1:2" x14ac:dyDescent="0.25">
      <c r="A2773" s="118"/>
      <c r="B2773" s="136"/>
    </row>
    <row r="2774" spans="1:2" x14ac:dyDescent="0.25">
      <c r="A2774" s="118"/>
      <c r="B2774" s="136"/>
    </row>
    <row r="2775" spans="1:2" x14ac:dyDescent="0.25">
      <c r="A2775" s="118"/>
      <c r="B2775" s="136"/>
    </row>
    <row r="2776" spans="1:2" x14ac:dyDescent="0.25">
      <c r="A2776" s="118"/>
      <c r="B2776" s="136"/>
    </row>
    <row r="2777" spans="1:2" x14ac:dyDescent="0.25">
      <c r="A2777" s="118"/>
      <c r="B2777" s="136"/>
    </row>
    <row r="2778" spans="1:2" x14ac:dyDescent="0.25">
      <c r="A2778" s="118"/>
      <c r="B2778" s="136"/>
    </row>
    <row r="2779" spans="1:2" x14ac:dyDescent="0.25">
      <c r="A2779" s="118"/>
      <c r="B2779" s="136"/>
    </row>
    <row r="2780" spans="1:2" x14ac:dyDescent="0.25">
      <c r="A2780" s="118"/>
      <c r="B2780" s="136"/>
    </row>
    <row r="2781" spans="1:2" x14ac:dyDescent="0.25">
      <c r="A2781" s="118"/>
      <c r="B2781" s="136"/>
    </row>
    <row r="2782" spans="1:2" x14ac:dyDescent="0.25">
      <c r="A2782" s="118"/>
      <c r="B2782" s="136"/>
    </row>
    <row r="2783" spans="1:2" x14ac:dyDescent="0.25">
      <c r="A2783" s="118"/>
      <c r="B2783" s="136"/>
    </row>
    <row r="2784" spans="1:2" x14ac:dyDescent="0.25">
      <c r="A2784" s="118"/>
      <c r="B2784" s="136"/>
    </row>
    <row r="2785" spans="1:2" x14ac:dyDescent="0.25">
      <c r="A2785" s="118"/>
      <c r="B2785" s="136"/>
    </row>
    <row r="2786" spans="1:2" x14ac:dyDescent="0.25">
      <c r="A2786" s="118"/>
      <c r="B2786" s="136"/>
    </row>
    <row r="2787" spans="1:2" x14ac:dyDescent="0.25">
      <c r="A2787" s="118"/>
      <c r="B2787" s="136"/>
    </row>
    <row r="2788" spans="1:2" x14ac:dyDescent="0.25">
      <c r="A2788" s="118"/>
      <c r="B2788" s="136"/>
    </row>
    <row r="2789" spans="1:2" x14ac:dyDescent="0.25">
      <c r="A2789" s="118"/>
      <c r="B2789" s="136"/>
    </row>
    <row r="2790" spans="1:2" x14ac:dyDescent="0.25">
      <c r="A2790" s="118"/>
      <c r="B2790" s="136"/>
    </row>
    <row r="2791" spans="1:2" x14ac:dyDescent="0.25">
      <c r="A2791" s="118"/>
      <c r="B2791" s="136"/>
    </row>
    <row r="2792" spans="1:2" x14ac:dyDescent="0.25">
      <c r="A2792" s="118"/>
      <c r="B2792" s="136"/>
    </row>
    <row r="2793" spans="1:2" x14ac:dyDescent="0.25">
      <c r="A2793" s="118"/>
      <c r="B2793" s="136"/>
    </row>
    <row r="2794" spans="1:2" x14ac:dyDescent="0.25">
      <c r="A2794" s="118"/>
      <c r="B2794" s="136"/>
    </row>
    <row r="2795" spans="1:2" x14ac:dyDescent="0.25">
      <c r="A2795" s="118"/>
      <c r="B2795" s="136"/>
    </row>
    <row r="2796" spans="1:2" x14ac:dyDescent="0.25">
      <c r="A2796" s="118"/>
      <c r="B2796" s="136"/>
    </row>
    <row r="2797" spans="1:2" x14ac:dyDescent="0.25">
      <c r="A2797" s="118"/>
      <c r="B2797" s="136"/>
    </row>
    <row r="2798" spans="1:2" x14ac:dyDescent="0.25">
      <c r="A2798" s="118"/>
      <c r="B2798" s="136"/>
    </row>
    <row r="2799" spans="1:2" x14ac:dyDescent="0.25">
      <c r="A2799" s="118"/>
      <c r="B2799" s="136"/>
    </row>
    <row r="2800" spans="1:2" x14ac:dyDescent="0.25">
      <c r="A2800" s="118"/>
      <c r="B2800" s="136"/>
    </row>
    <row r="2801" spans="1:2" x14ac:dyDescent="0.25">
      <c r="A2801" s="118"/>
      <c r="B2801" s="136"/>
    </row>
    <row r="2802" spans="1:2" x14ac:dyDescent="0.25">
      <c r="A2802" s="118"/>
      <c r="B2802" s="136"/>
    </row>
    <row r="2803" spans="1:2" x14ac:dyDescent="0.25">
      <c r="A2803" s="118"/>
      <c r="B2803" s="136"/>
    </row>
    <row r="2804" spans="1:2" x14ac:dyDescent="0.25">
      <c r="A2804" s="118"/>
      <c r="B2804" s="136"/>
    </row>
    <row r="2805" spans="1:2" x14ac:dyDescent="0.25">
      <c r="A2805" s="118"/>
      <c r="B2805" s="136"/>
    </row>
    <row r="2806" spans="1:2" x14ac:dyDescent="0.25">
      <c r="A2806" s="118"/>
      <c r="B2806" s="136"/>
    </row>
    <row r="2807" spans="1:2" x14ac:dyDescent="0.25">
      <c r="A2807" s="118"/>
      <c r="B2807" s="136"/>
    </row>
    <row r="2808" spans="1:2" x14ac:dyDescent="0.25">
      <c r="A2808" s="118"/>
      <c r="B2808" s="136"/>
    </row>
    <row r="2809" spans="1:2" x14ac:dyDescent="0.25">
      <c r="A2809" s="118"/>
      <c r="B2809" s="136"/>
    </row>
    <row r="2810" spans="1:2" x14ac:dyDescent="0.25">
      <c r="A2810" s="118"/>
      <c r="B2810" s="136"/>
    </row>
    <row r="2811" spans="1:2" x14ac:dyDescent="0.25">
      <c r="A2811" s="118"/>
      <c r="B2811" s="136"/>
    </row>
    <row r="2812" spans="1:2" x14ac:dyDescent="0.25">
      <c r="A2812" s="118"/>
      <c r="B2812" s="136"/>
    </row>
    <row r="2813" spans="1:2" x14ac:dyDescent="0.25">
      <c r="A2813" s="118"/>
      <c r="B2813" s="136"/>
    </row>
    <row r="2814" spans="1:2" x14ac:dyDescent="0.25">
      <c r="A2814" s="118"/>
      <c r="B2814" s="136"/>
    </row>
    <row r="2815" spans="1:2" x14ac:dyDescent="0.25">
      <c r="A2815" s="118"/>
      <c r="B2815" s="136"/>
    </row>
    <row r="2816" spans="1:2" x14ac:dyDescent="0.25">
      <c r="A2816" s="118"/>
      <c r="B2816" s="136"/>
    </row>
    <row r="2817" spans="1:2" x14ac:dyDescent="0.25">
      <c r="A2817" s="118"/>
      <c r="B2817" s="136"/>
    </row>
    <row r="2818" spans="1:2" x14ac:dyDescent="0.25">
      <c r="A2818" s="118"/>
      <c r="B2818" s="136"/>
    </row>
    <row r="2819" spans="1:2" x14ac:dyDescent="0.25">
      <c r="A2819" s="118"/>
      <c r="B2819" s="136"/>
    </row>
    <row r="2820" spans="1:2" x14ac:dyDescent="0.25">
      <c r="A2820" s="118"/>
      <c r="B2820" s="136"/>
    </row>
    <row r="2821" spans="1:2" x14ac:dyDescent="0.25">
      <c r="A2821" s="118"/>
      <c r="B2821" s="136"/>
    </row>
    <row r="2822" spans="1:2" x14ac:dyDescent="0.25">
      <c r="A2822" s="118"/>
      <c r="B2822" s="136"/>
    </row>
    <row r="2823" spans="1:2" x14ac:dyDescent="0.25">
      <c r="A2823" s="118"/>
      <c r="B2823" s="136"/>
    </row>
    <row r="2824" spans="1:2" x14ac:dyDescent="0.25">
      <c r="A2824" s="118"/>
      <c r="B2824" s="136"/>
    </row>
    <row r="2825" spans="1:2" x14ac:dyDescent="0.25">
      <c r="A2825" s="118"/>
      <c r="B2825" s="136"/>
    </row>
    <row r="2826" spans="1:2" x14ac:dyDescent="0.25">
      <c r="A2826" s="118"/>
      <c r="B2826" s="136"/>
    </row>
    <row r="2827" spans="1:2" x14ac:dyDescent="0.25">
      <c r="A2827" s="118"/>
      <c r="B2827" s="136"/>
    </row>
    <row r="2828" spans="1:2" x14ac:dyDescent="0.25">
      <c r="A2828" s="118"/>
      <c r="B2828" s="136"/>
    </row>
    <row r="2829" spans="1:2" x14ac:dyDescent="0.25">
      <c r="A2829" s="118"/>
      <c r="B2829" s="136"/>
    </row>
    <row r="2830" spans="1:2" x14ac:dyDescent="0.25">
      <c r="A2830" s="118"/>
      <c r="B2830" s="136"/>
    </row>
    <row r="2831" spans="1:2" x14ac:dyDescent="0.25">
      <c r="A2831" s="118"/>
      <c r="B2831" s="136"/>
    </row>
    <row r="2832" spans="1:2" x14ac:dyDescent="0.25">
      <c r="A2832" s="118"/>
      <c r="B2832" s="136"/>
    </row>
    <row r="2833" spans="1:2" x14ac:dyDescent="0.25">
      <c r="A2833" s="118"/>
      <c r="B2833" s="136"/>
    </row>
    <row r="2834" spans="1:2" x14ac:dyDescent="0.25">
      <c r="A2834" s="118"/>
      <c r="B2834" s="136"/>
    </row>
    <row r="2835" spans="1:2" x14ac:dyDescent="0.25">
      <c r="A2835" s="118"/>
      <c r="B2835" s="136"/>
    </row>
    <row r="2836" spans="1:2" x14ac:dyDescent="0.25">
      <c r="A2836" s="118"/>
      <c r="B2836" s="136"/>
    </row>
    <row r="2837" spans="1:2" x14ac:dyDescent="0.25">
      <c r="A2837" s="118"/>
      <c r="B2837" s="136"/>
    </row>
    <row r="2838" spans="1:2" x14ac:dyDescent="0.25">
      <c r="A2838" s="118"/>
      <c r="B2838" s="136"/>
    </row>
    <row r="2839" spans="1:2" x14ac:dyDescent="0.25">
      <c r="A2839" s="118"/>
      <c r="B2839" s="136"/>
    </row>
    <row r="2840" spans="1:2" x14ac:dyDescent="0.25">
      <c r="A2840" s="118"/>
      <c r="B2840" s="136"/>
    </row>
    <row r="2841" spans="1:2" x14ac:dyDescent="0.25">
      <c r="A2841" s="118"/>
      <c r="B2841" s="136"/>
    </row>
    <row r="2842" spans="1:2" x14ac:dyDescent="0.25">
      <c r="A2842" s="118"/>
      <c r="B2842" s="136"/>
    </row>
    <row r="2843" spans="1:2" x14ac:dyDescent="0.25">
      <c r="A2843" s="118"/>
      <c r="B2843" s="136"/>
    </row>
    <row r="2844" spans="1:2" x14ac:dyDescent="0.25">
      <c r="A2844" s="118"/>
      <c r="B2844" s="136"/>
    </row>
    <row r="2845" spans="1:2" x14ac:dyDescent="0.25">
      <c r="A2845" s="118"/>
      <c r="B2845" s="136"/>
    </row>
    <row r="2846" spans="1:2" x14ac:dyDescent="0.25">
      <c r="A2846" s="118"/>
      <c r="B2846" s="136"/>
    </row>
    <row r="2847" spans="1:2" x14ac:dyDescent="0.25">
      <c r="A2847" s="118"/>
      <c r="B2847" s="136"/>
    </row>
    <row r="2848" spans="1:2" x14ac:dyDescent="0.25">
      <c r="A2848" s="118"/>
      <c r="B2848" s="136"/>
    </row>
    <row r="2849" spans="1:2" x14ac:dyDescent="0.25">
      <c r="A2849" s="118"/>
      <c r="B2849" s="136"/>
    </row>
    <row r="2850" spans="1:2" x14ac:dyDescent="0.25">
      <c r="A2850" s="118"/>
      <c r="B2850" s="136"/>
    </row>
    <row r="2851" spans="1:2" x14ac:dyDescent="0.25">
      <c r="A2851" s="118"/>
      <c r="B2851" s="136"/>
    </row>
    <row r="2852" spans="1:2" x14ac:dyDescent="0.25">
      <c r="A2852" s="118"/>
      <c r="B2852" s="136"/>
    </row>
    <row r="2853" spans="1:2" x14ac:dyDescent="0.25">
      <c r="A2853" s="118"/>
      <c r="B2853" s="136"/>
    </row>
    <row r="2854" spans="1:2" x14ac:dyDescent="0.25">
      <c r="A2854" s="118"/>
      <c r="B2854" s="136"/>
    </row>
    <row r="2855" spans="1:2" x14ac:dyDescent="0.25">
      <c r="A2855" s="118"/>
      <c r="B2855" s="136"/>
    </row>
    <row r="2856" spans="1:2" x14ac:dyDescent="0.25">
      <c r="A2856" s="118"/>
      <c r="B2856" s="136"/>
    </row>
    <row r="2857" spans="1:2" x14ac:dyDescent="0.25">
      <c r="A2857" s="118"/>
      <c r="B2857" s="136"/>
    </row>
    <row r="2858" spans="1:2" x14ac:dyDescent="0.25">
      <c r="A2858" s="118"/>
      <c r="B2858" s="136"/>
    </row>
    <row r="2859" spans="1:2" x14ac:dyDescent="0.25">
      <c r="A2859" s="118"/>
      <c r="B2859" s="136"/>
    </row>
    <row r="2860" spans="1:2" x14ac:dyDescent="0.25">
      <c r="A2860" s="118"/>
      <c r="B2860" s="136"/>
    </row>
    <row r="2861" spans="1:2" x14ac:dyDescent="0.25">
      <c r="A2861" s="118"/>
      <c r="B2861" s="136"/>
    </row>
    <row r="2862" spans="1:2" x14ac:dyDescent="0.25">
      <c r="A2862" s="118"/>
      <c r="B2862" s="136"/>
    </row>
    <row r="2863" spans="1:2" x14ac:dyDescent="0.25">
      <c r="A2863" s="118"/>
      <c r="B2863" s="136"/>
    </row>
    <row r="2864" spans="1:2" x14ac:dyDescent="0.25">
      <c r="A2864" s="118"/>
      <c r="B2864" s="136"/>
    </row>
    <row r="2865" spans="1:2" x14ac:dyDescent="0.25">
      <c r="A2865" s="118"/>
      <c r="B2865" s="136"/>
    </row>
    <row r="2866" spans="1:2" x14ac:dyDescent="0.25">
      <c r="A2866" s="118"/>
      <c r="B2866" s="136"/>
    </row>
    <row r="2867" spans="1:2" x14ac:dyDescent="0.25">
      <c r="A2867" s="118"/>
      <c r="B2867" s="136"/>
    </row>
    <row r="2868" spans="1:2" x14ac:dyDescent="0.25">
      <c r="A2868" s="118"/>
      <c r="B2868" s="136"/>
    </row>
    <row r="2869" spans="1:2" x14ac:dyDescent="0.25">
      <c r="A2869" s="118"/>
      <c r="B2869" s="136"/>
    </row>
    <row r="2870" spans="1:2" x14ac:dyDescent="0.25">
      <c r="A2870" s="118"/>
      <c r="B2870" s="136"/>
    </row>
    <row r="2871" spans="1:2" x14ac:dyDescent="0.25">
      <c r="A2871" s="118"/>
      <c r="B2871" s="136"/>
    </row>
    <row r="2872" spans="1:2" x14ac:dyDescent="0.25">
      <c r="A2872" s="118"/>
      <c r="B2872" s="136"/>
    </row>
    <row r="2873" spans="1:2" x14ac:dyDescent="0.25">
      <c r="A2873" s="118"/>
      <c r="B2873" s="136"/>
    </row>
    <row r="2874" spans="1:2" x14ac:dyDescent="0.25">
      <c r="A2874" s="118"/>
      <c r="B2874" s="136"/>
    </row>
    <row r="2875" spans="1:2" x14ac:dyDescent="0.25">
      <c r="A2875" s="118"/>
      <c r="B2875" s="136"/>
    </row>
    <row r="2876" spans="1:2" x14ac:dyDescent="0.25">
      <c r="A2876" s="118"/>
      <c r="B2876" s="136"/>
    </row>
    <row r="2877" spans="1:2" x14ac:dyDescent="0.25">
      <c r="A2877" s="118"/>
      <c r="B2877" s="136"/>
    </row>
    <row r="2878" spans="1:2" x14ac:dyDescent="0.25">
      <c r="A2878" s="118"/>
      <c r="B2878" s="136"/>
    </row>
    <row r="2879" spans="1:2" x14ac:dyDescent="0.25">
      <c r="A2879" s="118"/>
      <c r="B2879" s="136"/>
    </row>
    <row r="2880" spans="1:2" x14ac:dyDescent="0.25">
      <c r="A2880" s="118"/>
      <c r="B2880" s="136"/>
    </row>
    <row r="2881" spans="1:2" x14ac:dyDescent="0.25">
      <c r="A2881" s="118"/>
      <c r="B2881" s="136"/>
    </row>
    <row r="2882" spans="1:2" x14ac:dyDescent="0.25">
      <c r="A2882" s="118"/>
      <c r="B2882" s="136"/>
    </row>
    <row r="2883" spans="1:2" x14ac:dyDescent="0.25">
      <c r="A2883" s="118"/>
      <c r="B2883" s="136"/>
    </row>
    <row r="2884" spans="1:2" x14ac:dyDescent="0.25">
      <c r="A2884" s="118"/>
      <c r="B2884" s="136"/>
    </row>
    <row r="2885" spans="1:2" x14ac:dyDescent="0.25">
      <c r="A2885" s="118"/>
      <c r="B2885" s="136"/>
    </row>
    <row r="2886" spans="1:2" x14ac:dyDescent="0.25">
      <c r="A2886" s="118"/>
      <c r="B2886" s="136"/>
    </row>
    <row r="2887" spans="1:2" x14ac:dyDescent="0.25">
      <c r="A2887" s="118"/>
      <c r="B2887" s="136"/>
    </row>
    <row r="2888" spans="1:2" x14ac:dyDescent="0.25">
      <c r="A2888" s="118"/>
      <c r="B2888" s="136"/>
    </row>
    <row r="2889" spans="1:2" x14ac:dyDescent="0.25">
      <c r="A2889" s="118"/>
      <c r="B2889" s="136"/>
    </row>
    <row r="2890" spans="1:2" x14ac:dyDescent="0.25">
      <c r="A2890" s="118"/>
      <c r="B2890" s="136"/>
    </row>
    <row r="2891" spans="1:2" x14ac:dyDescent="0.25">
      <c r="A2891" s="118"/>
      <c r="B2891" s="136"/>
    </row>
    <row r="2892" spans="1:2" x14ac:dyDescent="0.25">
      <c r="A2892" s="118"/>
      <c r="B2892" s="136"/>
    </row>
    <row r="2893" spans="1:2" x14ac:dyDescent="0.25">
      <c r="A2893" s="118"/>
      <c r="B2893" s="136"/>
    </row>
    <row r="2894" spans="1:2" x14ac:dyDescent="0.25">
      <c r="A2894" s="118"/>
      <c r="B2894" s="136"/>
    </row>
    <row r="2895" spans="1:2" x14ac:dyDescent="0.25">
      <c r="A2895" s="118"/>
      <c r="B2895" s="136"/>
    </row>
    <row r="2896" spans="1:2" x14ac:dyDescent="0.25">
      <c r="A2896" s="118"/>
      <c r="B2896" s="136"/>
    </row>
    <row r="2897" spans="1:2" x14ac:dyDescent="0.25">
      <c r="A2897" s="118"/>
      <c r="B2897" s="136"/>
    </row>
    <row r="2898" spans="1:2" x14ac:dyDescent="0.25">
      <c r="A2898" s="118"/>
      <c r="B2898" s="136"/>
    </row>
    <row r="2899" spans="1:2" x14ac:dyDescent="0.25">
      <c r="A2899" s="118"/>
      <c r="B2899" s="136"/>
    </row>
    <row r="2900" spans="1:2" x14ac:dyDescent="0.25">
      <c r="A2900" s="118"/>
      <c r="B2900" s="136"/>
    </row>
    <row r="2901" spans="1:2" x14ac:dyDescent="0.25">
      <c r="A2901" s="118"/>
      <c r="B2901" s="136"/>
    </row>
    <row r="2902" spans="1:2" x14ac:dyDescent="0.25">
      <c r="A2902" s="118"/>
      <c r="B2902" s="136"/>
    </row>
    <row r="2903" spans="1:2" x14ac:dyDescent="0.25">
      <c r="A2903" s="118"/>
      <c r="B2903" s="136"/>
    </row>
    <row r="2904" spans="1:2" x14ac:dyDescent="0.25">
      <c r="A2904" s="118"/>
      <c r="B2904" s="136"/>
    </row>
    <row r="2905" spans="1:2" x14ac:dyDescent="0.25">
      <c r="A2905" s="118"/>
      <c r="B2905" s="136"/>
    </row>
    <row r="2906" spans="1:2" x14ac:dyDescent="0.25">
      <c r="A2906" s="118"/>
      <c r="B2906" s="136"/>
    </row>
    <row r="2907" spans="1:2" x14ac:dyDescent="0.25">
      <c r="A2907" s="118"/>
      <c r="B2907" s="136"/>
    </row>
    <row r="2908" spans="1:2" x14ac:dyDescent="0.25">
      <c r="A2908" s="118"/>
      <c r="B2908" s="136"/>
    </row>
    <row r="2909" spans="1:2" x14ac:dyDescent="0.25">
      <c r="A2909" s="118"/>
      <c r="B2909" s="136"/>
    </row>
    <row r="2910" spans="1:2" x14ac:dyDescent="0.25">
      <c r="A2910" s="118"/>
      <c r="B2910" s="136"/>
    </row>
    <row r="2911" spans="1:2" x14ac:dyDescent="0.25">
      <c r="A2911" s="118"/>
      <c r="B2911" s="136"/>
    </row>
    <row r="2912" spans="1:2" x14ac:dyDescent="0.25">
      <c r="A2912" s="118"/>
      <c r="B2912" s="136"/>
    </row>
    <row r="2913" spans="1:2" x14ac:dyDescent="0.25">
      <c r="A2913" s="118"/>
      <c r="B2913" s="136"/>
    </row>
    <row r="2914" spans="1:2" x14ac:dyDescent="0.25">
      <c r="A2914" s="118"/>
      <c r="B2914" s="136"/>
    </row>
    <row r="2915" spans="1:2" x14ac:dyDescent="0.25">
      <c r="A2915" s="118"/>
      <c r="B2915" s="136"/>
    </row>
    <row r="2916" spans="1:2" x14ac:dyDescent="0.25">
      <c r="A2916" s="118"/>
      <c r="B2916" s="136"/>
    </row>
    <row r="2917" spans="1:2" x14ac:dyDescent="0.25">
      <c r="A2917" s="118"/>
      <c r="B2917" s="136"/>
    </row>
    <row r="2918" spans="1:2" x14ac:dyDescent="0.25">
      <c r="A2918" s="118"/>
      <c r="B2918" s="136"/>
    </row>
    <row r="2919" spans="1:2" x14ac:dyDescent="0.25">
      <c r="A2919" s="118"/>
      <c r="B2919" s="136"/>
    </row>
    <row r="2920" spans="1:2" x14ac:dyDescent="0.25">
      <c r="A2920" s="118"/>
      <c r="B2920" s="136"/>
    </row>
    <row r="2921" spans="1:2" x14ac:dyDescent="0.25">
      <c r="A2921" s="118"/>
      <c r="B2921" s="136"/>
    </row>
    <row r="2922" spans="1:2" x14ac:dyDescent="0.25">
      <c r="A2922" s="118"/>
      <c r="B2922" s="136"/>
    </row>
    <row r="2923" spans="1:2" x14ac:dyDescent="0.25">
      <c r="A2923" s="118"/>
      <c r="B2923" s="136"/>
    </row>
    <row r="2924" spans="1:2" x14ac:dyDescent="0.25">
      <c r="A2924" s="118"/>
      <c r="B2924" s="136"/>
    </row>
    <row r="2925" spans="1:2" x14ac:dyDescent="0.25">
      <c r="A2925" s="118"/>
      <c r="B2925" s="136"/>
    </row>
    <row r="2926" spans="1:2" x14ac:dyDescent="0.25">
      <c r="A2926" s="118"/>
      <c r="B2926" s="136"/>
    </row>
    <row r="2927" spans="1:2" x14ac:dyDescent="0.25">
      <c r="A2927" s="118"/>
      <c r="B2927" s="136"/>
    </row>
    <row r="2928" spans="1:2" x14ac:dyDescent="0.25">
      <c r="A2928" s="118"/>
      <c r="B2928" s="136"/>
    </row>
    <row r="2929" spans="1:2" x14ac:dyDescent="0.25">
      <c r="A2929" s="118"/>
      <c r="B2929" s="136"/>
    </row>
    <row r="2930" spans="1:2" x14ac:dyDescent="0.25">
      <c r="A2930" s="118"/>
      <c r="B2930" s="136"/>
    </row>
    <row r="2931" spans="1:2" x14ac:dyDescent="0.25">
      <c r="A2931" s="118"/>
      <c r="B2931" s="136"/>
    </row>
    <row r="2932" spans="1:2" x14ac:dyDescent="0.25">
      <c r="A2932" s="118"/>
      <c r="B2932" s="136"/>
    </row>
    <row r="2933" spans="1:2" x14ac:dyDescent="0.25">
      <c r="A2933" s="118"/>
      <c r="B2933" s="136"/>
    </row>
    <row r="2934" spans="1:2" x14ac:dyDescent="0.25">
      <c r="A2934" s="118"/>
      <c r="B2934" s="136"/>
    </row>
    <row r="2935" spans="1:2" x14ac:dyDescent="0.25">
      <c r="A2935" s="118"/>
      <c r="B2935" s="136"/>
    </row>
    <row r="2936" spans="1:2" x14ac:dyDescent="0.25">
      <c r="A2936" s="118"/>
      <c r="B2936" s="136"/>
    </row>
    <row r="2937" spans="1:2" x14ac:dyDescent="0.25">
      <c r="A2937" s="118"/>
      <c r="B2937" s="136"/>
    </row>
    <row r="2938" spans="1:2" x14ac:dyDescent="0.25">
      <c r="A2938" s="118"/>
      <c r="B2938" s="136"/>
    </row>
    <row r="2939" spans="1:2" x14ac:dyDescent="0.25">
      <c r="A2939" s="118"/>
      <c r="B2939" s="136"/>
    </row>
    <row r="2940" spans="1:2" x14ac:dyDescent="0.25">
      <c r="A2940" s="118"/>
      <c r="B2940" s="136"/>
    </row>
    <row r="2941" spans="1:2" x14ac:dyDescent="0.25">
      <c r="A2941" s="118"/>
      <c r="B2941" s="136"/>
    </row>
    <row r="2942" spans="1:2" x14ac:dyDescent="0.25">
      <c r="A2942" s="118"/>
      <c r="B2942" s="136"/>
    </row>
    <row r="2943" spans="1:2" x14ac:dyDescent="0.25">
      <c r="A2943" s="118"/>
      <c r="B2943" s="136"/>
    </row>
    <row r="2944" spans="1:2" x14ac:dyDescent="0.25">
      <c r="A2944" s="118"/>
      <c r="B2944" s="136"/>
    </row>
    <row r="2945" spans="1:2" x14ac:dyDescent="0.25">
      <c r="A2945" s="118"/>
      <c r="B2945" s="136"/>
    </row>
    <row r="2946" spans="1:2" x14ac:dyDescent="0.25">
      <c r="A2946" s="118"/>
      <c r="B2946" s="136"/>
    </row>
    <row r="2947" spans="1:2" x14ac:dyDescent="0.25">
      <c r="A2947" s="118"/>
      <c r="B2947" s="136"/>
    </row>
    <row r="2948" spans="1:2" x14ac:dyDescent="0.25">
      <c r="A2948" s="118"/>
      <c r="B2948" s="136"/>
    </row>
    <row r="2949" spans="1:2" x14ac:dyDescent="0.25">
      <c r="A2949" s="118"/>
      <c r="B2949" s="136"/>
    </row>
    <row r="2950" spans="1:2" x14ac:dyDescent="0.25">
      <c r="A2950" s="118"/>
      <c r="B2950" s="136"/>
    </row>
    <row r="2951" spans="1:2" x14ac:dyDescent="0.25">
      <c r="A2951" s="118"/>
      <c r="B2951" s="136"/>
    </row>
    <row r="2952" spans="1:2" x14ac:dyDescent="0.25">
      <c r="A2952" s="118"/>
      <c r="B2952" s="136"/>
    </row>
    <row r="2953" spans="1:2" x14ac:dyDescent="0.25">
      <c r="A2953" s="118"/>
      <c r="B2953" s="136"/>
    </row>
    <row r="2954" spans="1:2" x14ac:dyDescent="0.25">
      <c r="A2954" s="118"/>
      <c r="B2954" s="136"/>
    </row>
    <row r="2955" spans="1:2" x14ac:dyDescent="0.25">
      <c r="A2955" s="118"/>
      <c r="B2955" s="136"/>
    </row>
    <row r="2956" spans="1:2" x14ac:dyDescent="0.25">
      <c r="A2956" s="118"/>
      <c r="B2956" s="136"/>
    </row>
    <row r="2957" spans="1:2" x14ac:dyDescent="0.25">
      <c r="A2957" s="118"/>
      <c r="B2957" s="136"/>
    </row>
    <row r="2958" spans="1:2" x14ac:dyDescent="0.25">
      <c r="A2958" s="118"/>
      <c r="B2958" s="136"/>
    </row>
    <row r="2959" spans="1:2" x14ac:dyDescent="0.25">
      <c r="A2959" s="118"/>
      <c r="B2959" s="136"/>
    </row>
    <row r="2960" spans="1:2" x14ac:dyDescent="0.25">
      <c r="A2960" s="118"/>
      <c r="B2960" s="136"/>
    </row>
    <row r="2961" spans="1:2" x14ac:dyDescent="0.25">
      <c r="A2961" s="118"/>
      <c r="B2961" s="136"/>
    </row>
    <row r="2962" spans="1:2" x14ac:dyDescent="0.25">
      <c r="A2962" s="118"/>
      <c r="B2962" s="136"/>
    </row>
    <row r="2963" spans="1:2" x14ac:dyDescent="0.25">
      <c r="A2963" s="118"/>
      <c r="B2963" s="136"/>
    </row>
    <row r="2964" spans="1:2" x14ac:dyDescent="0.25">
      <c r="A2964" s="118"/>
      <c r="B2964" s="136"/>
    </row>
    <row r="2965" spans="1:2" x14ac:dyDescent="0.25">
      <c r="A2965" s="118"/>
      <c r="B2965" s="136"/>
    </row>
    <row r="2966" spans="1:2" x14ac:dyDescent="0.25">
      <c r="A2966" s="118"/>
      <c r="B2966" s="136"/>
    </row>
    <row r="2967" spans="1:2" x14ac:dyDescent="0.25">
      <c r="A2967" s="118"/>
      <c r="B2967" s="136"/>
    </row>
    <row r="2968" spans="1:2" x14ac:dyDescent="0.25">
      <c r="A2968" s="118"/>
      <c r="B2968" s="136"/>
    </row>
    <row r="2969" spans="1:2" x14ac:dyDescent="0.25">
      <c r="A2969" s="118"/>
      <c r="B2969" s="136"/>
    </row>
    <row r="2970" spans="1:2" x14ac:dyDescent="0.25">
      <c r="A2970" s="118"/>
      <c r="B2970" s="136"/>
    </row>
    <row r="2971" spans="1:2" x14ac:dyDescent="0.25">
      <c r="A2971" s="118"/>
      <c r="B2971" s="136"/>
    </row>
    <row r="2972" spans="1:2" x14ac:dyDescent="0.25">
      <c r="A2972" s="118"/>
      <c r="B2972" s="136"/>
    </row>
    <row r="2973" spans="1:2" x14ac:dyDescent="0.25">
      <c r="A2973" s="118"/>
      <c r="B2973" s="136"/>
    </row>
    <row r="2974" spans="1:2" x14ac:dyDescent="0.25">
      <c r="A2974" s="118"/>
      <c r="B2974" s="136"/>
    </row>
    <row r="2975" spans="1:2" x14ac:dyDescent="0.25">
      <c r="A2975" s="118"/>
      <c r="B2975" s="136"/>
    </row>
    <row r="2976" spans="1:2" x14ac:dyDescent="0.25">
      <c r="A2976" s="118"/>
      <c r="B2976" s="136"/>
    </row>
    <row r="2977" spans="1:2" x14ac:dyDescent="0.25">
      <c r="A2977" s="118"/>
      <c r="B2977" s="136"/>
    </row>
    <row r="2978" spans="1:2" x14ac:dyDescent="0.25">
      <c r="A2978" s="118"/>
      <c r="B2978" s="136"/>
    </row>
    <row r="2979" spans="1:2" x14ac:dyDescent="0.25">
      <c r="A2979" s="118"/>
      <c r="B2979" s="136"/>
    </row>
    <row r="2980" spans="1:2" x14ac:dyDescent="0.25">
      <c r="A2980" s="118"/>
      <c r="B2980" s="136"/>
    </row>
    <row r="2981" spans="1:2" x14ac:dyDescent="0.25">
      <c r="A2981" s="118"/>
      <c r="B2981" s="136"/>
    </row>
    <row r="2982" spans="1:2" x14ac:dyDescent="0.25">
      <c r="A2982" s="118"/>
      <c r="B2982" s="136"/>
    </row>
    <row r="2983" spans="1:2" x14ac:dyDescent="0.25">
      <c r="A2983" s="118"/>
      <c r="B2983" s="136"/>
    </row>
    <row r="2984" spans="1:2" x14ac:dyDescent="0.25">
      <c r="A2984" s="118"/>
      <c r="B2984" s="136"/>
    </row>
    <row r="2985" spans="1:2" x14ac:dyDescent="0.25">
      <c r="A2985" s="118"/>
      <c r="B2985" s="136"/>
    </row>
    <row r="2986" spans="1:2" x14ac:dyDescent="0.25">
      <c r="A2986" s="118"/>
      <c r="B2986" s="136"/>
    </row>
    <row r="2987" spans="1:2" x14ac:dyDescent="0.25">
      <c r="A2987" s="118"/>
      <c r="B2987" s="136"/>
    </row>
    <row r="2988" spans="1:2" x14ac:dyDescent="0.25">
      <c r="A2988" s="118"/>
      <c r="B2988" s="136"/>
    </row>
    <row r="2989" spans="1:2" x14ac:dyDescent="0.25">
      <c r="A2989" s="118"/>
      <c r="B2989" s="136"/>
    </row>
    <row r="2990" spans="1:2" x14ac:dyDescent="0.25">
      <c r="A2990" s="118"/>
      <c r="B2990" s="136"/>
    </row>
    <row r="2991" spans="1:2" x14ac:dyDescent="0.25">
      <c r="A2991" s="118"/>
      <c r="B2991" s="136"/>
    </row>
    <row r="2992" spans="1:2" x14ac:dyDescent="0.25">
      <c r="A2992" s="118"/>
      <c r="B2992" s="136"/>
    </row>
    <row r="2993" spans="1:2" x14ac:dyDescent="0.25">
      <c r="A2993" s="118"/>
      <c r="B2993" s="136"/>
    </row>
    <row r="2994" spans="1:2" x14ac:dyDescent="0.25">
      <c r="A2994" s="118"/>
      <c r="B2994" s="136"/>
    </row>
    <row r="2995" spans="1:2" x14ac:dyDescent="0.25">
      <c r="A2995" s="118"/>
      <c r="B2995" s="136"/>
    </row>
    <row r="2996" spans="1:2" x14ac:dyDescent="0.25">
      <c r="A2996" s="118"/>
      <c r="B2996" s="136"/>
    </row>
    <row r="2997" spans="1:2" x14ac:dyDescent="0.25">
      <c r="A2997" s="118"/>
      <c r="B2997" s="136"/>
    </row>
    <row r="2998" spans="1:2" x14ac:dyDescent="0.25">
      <c r="A2998" s="118"/>
      <c r="B2998" s="136"/>
    </row>
    <row r="2999" spans="1:2" x14ac:dyDescent="0.25">
      <c r="A2999" s="118"/>
      <c r="B2999" s="136"/>
    </row>
    <row r="3000" spans="1:2" x14ac:dyDescent="0.25">
      <c r="A3000" s="118"/>
      <c r="B3000" s="136"/>
    </row>
    <row r="3001" spans="1:2" x14ac:dyDescent="0.25">
      <c r="A3001" s="118"/>
      <c r="B3001" s="136"/>
    </row>
    <row r="3002" spans="1:2" x14ac:dyDescent="0.25">
      <c r="A3002" s="118"/>
      <c r="B3002" s="136"/>
    </row>
    <row r="3003" spans="1:2" x14ac:dyDescent="0.25">
      <c r="A3003" s="118"/>
      <c r="B3003" s="136"/>
    </row>
    <row r="3004" spans="1:2" x14ac:dyDescent="0.25">
      <c r="A3004" s="118"/>
      <c r="B3004" s="136"/>
    </row>
    <row r="3005" spans="1:2" x14ac:dyDescent="0.25">
      <c r="A3005" s="118"/>
      <c r="B3005" s="136"/>
    </row>
    <row r="3006" spans="1:2" x14ac:dyDescent="0.25">
      <c r="A3006" s="118"/>
      <c r="B3006" s="136"/>
    </row>
    <row r="3007" spans="1:2" x14ac:dyDescent="0.25">
      <c r="A3007" s="118"/>
      <c r="B3007" s="136"/>
    </row>
    <row r="3008" spans="1:2" x14ac:dyDescent="0.25">
      <c r="A3008" s="118"/>
      <c r="B3008" s="136"/>
    </row>
    <row r="3009" spans="1:2" x14ac:dyDescent="0.25">
      <c r="A3009" s="118"/>
      <c r="B3009" s="136"/>
    </row>
    <row r="3010" spans="1:2" x14ac:dyDescent="0.25">
      <c r="A3010" s="118"/>
      <c r="B3010" s="136"/>
    </row>
    <row r="3011" spans="1:2" x14ac:dyDescent="0.25">
      <c r="A3011" s="118"/>
      <c r="B3011" s="136"/>
    </row>
    <row r="3012" spans="1:2" x14ac:dyDescent="0.25">
      <c r="A3012" s="118"/>
      <c r="B3012" s="136"/>
    </row>
    <row r="3013" spans="1:2" x14ac:dyDescent="0.25">
      <c r="A3013" s="118"/>
      <c r="B3013" s="136"/>
    </row>
    <row r="3014" spans="1:2" x14ac:dyDescent="0.25">
      <c r="A3014" s="118"/>
      <c r="B3014" s="136"/>
    </row>
    <row r="3015" spans="1:2" x14ac:dyDescent="0.25">
      <c r="A3015" s="118"/>
      <c r="B3015" s="136"/>
    </row>
    <row r="3016" spans="1:2" x14ac:dyDescent="0.25">
      <c r="A3016" s="118"/>
      <c r="B3016" s="136"/>
    </row>
    <row r="3017" spans="1:2" x14ac:dyDescent="0.25">
      <c r="A3017" s="118"/>
      <c r="B3017" s="136"/>
    </row>
    <row r="3018" spans="1:2" x14ac:dyDescent="0.25">
      <c r="A3018" s="118"/>
      <c r="B3018" s="136"/>
    </row>
    <row r="3019" spans="1:2" x14ac:dyDescent="0.25">
      <c r="A3019" s="118"/>
      <c r="B3019" s="136"/>
    </row>
    <row r="3020" spans="1:2" x14ac:dyDescent="0.25">
      <c r="A3020" s="118"/>
      <c r="B3020" s="136"/>
    </row>
    <row r="3021" spans="1:2" x14ac:dyDescent="0.25">
      <c r="A3021" s="118"/>
      <c r="B3021" s="136"/>
    </row>
    <row r="3022" spans="1:2" x14ac:dyDescent="0.25">
      <c r="A3022" s="118"/>
      <c r="B3022" s="136"/>
    </row>
    <row r="3023" spans="1:2" x14ac:dyDescent="0.25">
      <c r="A3023" s="118"/>
      <c r="B3023" s="136"/>
    </row>
    <row r="3024" spans="1:2" x14ac:dyDescent="0.25">
      <c r="A3024" s="118"/>
      <c r="B3024" s="136"/>
    </row>
    <row r="3025" spans="1:2" x14ac:dyDescent="0.25">
      <c r="A3025" s="118"/>
      <c r="B3025" s="136"/>
    </row>
    <row r="3026" spans="1:2" x14ac:dyDescent="0.25">
      <c r="A3026" s="118"/>
      <c r="B3026" s="136"/>
    </row>
    <row r="3027" spans="1:2" x14ac:dyDescent="0.25">
      <c r="A3027" s="118"/>
      <c r="B3027" s="136"/>
    </row>
    <row r="3028" spans="1:2" x14ac:dyDescent="0.25">
      <c r="A3028" s="118"/>
      <c r="B3028" s="136"/>
    </row>
    <row r="3029" spans="1:2" x14ac:dyDescent="0.25">
      <c r="A3029" s="118"/>
      <c r="B3029" s="136"/>
    </row>
    <row r="3030" spans="1:2" x14ac:dyDescent="0.25">
      <c r="A3030" s="118"/>
      <c r="B3030" s="136"/>
    </row>
    <row r="3031" spans="1:2" x14ac:dyDescent="0.25">
      <c r="A3031" s="118"/>
      <c r="B3031" s="136"/>
    </row>
    <row r="3032" spans="1:2" x14ac:dyDescent="0.25">
      <c r="A3032" s="118"/>
      <c r="B3032" s="136"/>
    </row>
    <row r="3033" spans="1:2" x14ac:dyDescent="0.25">
      <c r="A3033" s="118"/>
      <c r="B3033" s="136"/>
    </row>
    <row r="3034" spans="1:2" x14ac:dyDescent="0.25">
      <c r="A3034" s="118"/>
      <c r="B3034" s="136"/>
    </row>
    <row r="3035" spans="1:2" x14ac:dyDescent="0.25">
      <c r="A3035" s="118"/>
      <c r="B3035" s="136"/>
    </row>
    <row r="3036" spans="1:2" x14ac:dyDescent="0.25">
      <c r="A3036" s="118"/>
      <c r="B3036" s="136"/>
    </row>
    <row r="3037" spans="1:2" x14ac:dyDescent="0.25">
      <c r="A3037" s="118"/>
      <c r="B3037" s="136"/>
    </row>
    <row r="3038" spans="1:2" x14ac:dyDescent="0.25">
      <c r="A3038" s="118"/>
      <c r="B3038" s="136"/>
    </row>
    <row r="3039" spans="1:2" x14ac:dyDescent="0.25">
      <c r="A3039" s="118"/>
      <c r="B3039" s="136"/>
    </row>
    <row r="3040" spans="1:2" x14ac:dyDescent="0.25">
      <c r="A3040" s="118"/>
      <c r="B3040" s="136"/>
    </row>
    <row r="3041" spans="1:2" x14ac:dyDescent="0.25">
      <c r="A3041" s="118"/>
      <c r="B3041" s="136"/>
    </row>
    <row r="3042" spans="1:2" x14ac:dyDescent="0.25">
      <c r="A3042" s="118"/>
      <c r="B3042" s="136"/>
    </row>
    <row r="3043" spans="1:2" x14ac:dyDescent="0.25">
      <c r="A3043" s="118"/>
      <c r="B3043" s="136"/>
    </row>
    <row r="3044" spans="1:2" x14ac:dyDescent="0.25">
      <c r="A3044" s="118"/>
      <c r="B3044" s="136"/>
    </row>
    <row r="3045" spans="1:2" x14ac:dyDescent="0.25">
      <c r="A3045" s="118"/>
      <c r="B3045" s="136"/>
    </row>
    <row r="3046" spans="1:2" x14ac:dyDescent="0.25">
      <c r="A3046" s="118"/>
      <c r="B3046" s="136"/>
    </row>
    <row r="3047" spans="1:2" x14ac:dyDescent="0.25">
      <c r="A3047" s="118"/>
      <c r="B3047" s="136"/>
    </row>
    <row r="3048" spans="1:2" x14ac:dyDescent="0.25">
      <c r="A3048" s="118"/>
      <c r="B3048" s="136"/>
    </row>
    <row r="3049" spans="1:2" x14ac:dyDescent="0.25">
      <c r="A3049" s="118"/>
      <c r="B3049" s="136"/>
    </row>
    <row r="3050" spans="1:2" x14ac:dyDescent="0.25">
      <c r="A3050" s="118"/>
      <c r="B3050" s="136"/>
    </row>
    <row r="3051" spans="1:2" x14ac:dyDescent="0.25">
      <c r="A3051" s="118"/>
      <c r="B3051" s="136"/>
    </row>
    <row r="3052" spans="1:2" x14ac:dyDescent="0.25">
      <c r="A3052" s="118"/>
      <c r="B3052" s="136"/>
    </row>
    <row r="3053" spans="1:2" x14ac:dyDescent="0.25">
      <c r="A3053" s="118"/>
      <c r="B3053" s="136"/>
    </row>
    <row r="3054" spans="1:2" x14ac:dyDescent="0.25">
      <c r="A3054" s="118"/>
      <c r="B3054" s="136"/>
    </row>
    <row r="3055" spans="1:2" x14ac:dyDescent="0.25">
      <c r="A3055" s="118"/>
      <c r="B3055" s="136"/>
    </row>
    <row r="3056" spans="1:2" x14ac:dyDescent="0.25">
      <c r="A3056" s="118"/>
      <c r="B3056" s="136"/>
    </row>
    <row r="3057" spans="1:2" x14ac:dyDescent="0.25">
      <c r="A3057" s="118"/>
      <c r="B3057" s="136"/>
    </row>
    <row r="3058" spans="1:2" x14ac:dyDescent="0.25">
      <c r="A3058" s="118"/>
      <c r="B3058" s="136"/>
    </row>
    <row r="3059" spans="1:2" x14ac:dyDescent="0.25">
      <c r="A3059" s="118"/>
      <c r="B3059" s="136"/>
    </row>
    <row r="3060" spans="1:2" x14ac:dyDescent="0.25">
      <c r="A3060" s="118"/>
      <c r="B3060" s="136"/>
    </row>
    <row r="3061" spans="1:2" x14ac:dyDescent="0.25">
      <c r="A3061" s="118"/>
      <c r="B3061" s="136"/>
    </row>
    <row r="3062" spans="1:2" x14ac:dyDescent="0.25">
      <c r="A3062" s="118"/>
      <c r="B3062" s="136"/>
    </row>
    <row r="3063" spans="1:2" x14ac:dyDescent="0.25">
      <c r="A3063" s="118"/>
      <c r="B3063" s="136"/>
    </row>
    <row r="3064" spans="1:2" x14ac:dyDescent="0.25">
      <c r="A3064" s="118"/>
      <c r="B3064" s="136"/>
    </row>
    <row r="3065" spans="1:2" x14ac:dyDescent="0.25">
      <c r="A3065" s="118"/>
      <c r="B3065" s="136"/>
    </row>
    <row r="3066" spans="1:2" x14ac:dyDescent="0.25">
      <c r="A3066" s="118"/>
      <c r="B3066" s="136"/>
    </row>
    <row r="3067" spans="1:2" x14ac:dyDescent="0.25">
      <c r="A3067" s="118"/>
      <c r="B3067" s="136"/>
    </row>
    <row r="3068" spans="1:2" x14ac:dyDescent="0.25">
      <c r="A3068" s="118"/>
      <c r="B3068" s="136"/>
    </row>
    <row r="3069" spans="1:2" x14ac:dyDescent="0.25">
      <c r="A3069" s="118"/>
      <c r="B3069" s="136"/>
    </row>
    <row r="3070" spans="1:2" x14ac:dyDescent="0.25">
      <c r="A3070" s="118"/>
      <c r="B3070" s="136"/>
    </row>
    <row r="3071" spans="1:2" x14ac:dyDescent="0.25">
      <c r="A3071" s="118"/>
      <c r="B3071" s="136"/>
    </row>
    <row r="3072" spans="1:2" x14ac:dyDescent="0.25">
      <c r="A3072" s="118"/>
      <c r="B3072" s="136"/>
    </row>
    <row r="3073" spans="1:2" x14ac:dyDescent="0.25">
      <c r="A3073" s="118"/>
      <c r="B3073" s="136"/>
    </row>
    <row r="3074" spans="1:2" x14ac:dyDescent="0.25">
      <c r="A3074" s="118"/>
      <c r="B3074" s="136"/>
    </row>
    <row r="3075" spans="1:2" x14ac:dyDescent="0.25">
      <c r="A3075" s="118"/>
      <c r="B3075" s="136"/>
    </row>
    <row r="3076" spans="1:2" x14ac:dyDescent="0.25">
      <c r="A3076" s="118"/>
      <c r="B3076" s="136"/>
    </row>
    <row r="3077" spans="1:2" x14ac:dyDescent="0.25">
      <c r="A3077" s="118"/>
      <c r="B3077" s="136"/>
    </row>
    <row r="3078" spans="1:2" x14ac:dyDescent="0.25">
      <c r="A3078" s="118"/>
      <c r="B3078" s="136"/>
    </row>
    <row r="3079" spans="1:2" x14ac:dyDescent="0.25">
      <c r="A3079" s="118"/>
      <c r="B3079" s="136"/>
    </row>
    <row r="3080" spans="1:2" x14ac:dyDescent="0.25">
      <c r="A3080" s="118"/>
      <c r="B3080" s="136"/>
    </row>
    <row r="3081" spans="1:2" x14ac:dyDescent="0.25">
      <c r="A3081" s="118"/>
      <c r="B3081" s="136"/>
    </row>
    <row r="3082" spans="1:2" x14ac:dyDescent="0.25">
      <c r="A3082" s="118"/>
      <c r="B3082" s="136"/>
    </row>
    <row r="3083" spans="1:2" x14ac:dyDescent="0.25">
      <c r="A3083" s="118"/>
      <c r="B3083" s="136"/>
    </row>
    <row r="3084" spans="1:2" x14ac:dyDescent="0.25">
      <c r="A3084" s="118"/>
      <c r="B3084" s="136"/>
    </row>
    <row r="3085" spans="1:2" x14ac:dyDescent="0.25">
      <c r="A3085" s="118"/>
      <c r="B3085" s="136"/>
    </row>
    <row r="3086" spans="1:2" x14ac:dyDescent="0.25">
      <c r="A3086" s="118"/>
      <c r="B3086" s="136"/>
    </row>
    <row r="3087" spans="1:2" x14ac:dyDescent="0.25">
      <c r="A3087" s="118"/>
      <c r="B3087" s="136"/>
    </row>
    <row r="3088" spans="1:2" x14ac:dyDescent="0.25">
      <c r="A3088" s="118"/>
      <c r="B3088" s="136"/>
    </row>
    <row r="3089" spans="1:2" x14ac:dyDescent="0.25">
      <c r="A3089" s="118"/>
      <c r="B3089" s="136"/>
    </row>
    <row r="3090" spans="1:2" x14ac:dyDescent="0.25">
      <c r="A3090" s="118"/>
      <c r="B3090" s="136"/>
    </row>
    <row r="3091" spans="1:2" x14ac:dyDescent="0.25">
      <c r="A3091" s="118"/>
      <c r="B3091" s="136"/>
    </row>
    <row r="3092" spans="1:2" x14ac:dyDescent="0.25">
      <c r="A3092" s="118"/>
      <c r="B3092" s="136"/>
    </row>
    <row r="3093" spans="1:2" x14ac:dyDescent="0.25">
      <c r="A3093" s="118"/>
      <c r="B3093" s="136"/>
    </row>
    <row r="3094" spans="1:2" x14ac:dyDescent="0.25">
      <c r="A3094" s="118"/>
      <c r="B3094" s="136"/>
    </row>
    <row r="3095" spans="1:2" x14ac:dyDescent="0.25">
      <c r="A3095" s="118"/>
      <c r="B3095" s="136"/>
    </row>
    <row r="3096" spans="1:2" x14ac:dyDescent="0.25">
      <c r="A3096" s="118"/>
      <c r="B3096" s="136"/>
    </row>
    <row r="3097" spans="1:2" x14ac:dyDescent="0.25">
      <c r="A3097" s="118"/>
      <c r="B3097" s="136"/>
    </row>
    <row r="3098" spans="1:2" x14ac:dyDescent="0.25">
      <c r="A3098" s="118"/>
      <c r="B3098" s="136"/>
    </row>
    <row r="3099" spans="1:2" x14ac:dyDescent="0.25">
      <c r="A3099" s="118"/>
      <c r="B3099" s="136"/>
    </row>
    <row r="3100" spans="1:2" x14ac:dyDescent="0.25">
      <c r="A3100" s="118"/>
      <c r="B3100" s="136"/>
    </row>
    <row r="3101" spans="1:2" x14ac:dyDescent="0.25">
      <c r="A3101" s="118"/>
      <c r="B3101" s="136"/>
    </row>
    <row r="3102" spans="1:2" x14ac:dyDescent="0.25">
      <c r="A3102" s="118"/>
      <c r="B3102" s="136"/>
    </row>
    <row r="3103" spans="1:2" x14ac:dyDescent="0.25">
      <c r="A3103" s="118"/>
      <c r="B3103" s="136"/>
    </row>
    <row r="3104" spans="1:2" x14ac:dyDescent="0.25">
      <c r="A3104" s="118"/>
      <c r="B3104" s="136"/>
    </row>
    <row r="3105" spans="1:2" x14ac:dyDescent="0.25">
      <c r="A3105" s="118"/>
      <c r="B3105" s="136"/>
    </row>
    <row r="3106" spans="1:2" x14ac:dyDescent="0.25">
      <c r="A3106" s="118"/>
      <c r="B3106" s="136"/>
    </row>
    <row r="3107" spans="1:2" x14ac:dyDescent="0.25">
      <c r="A3107" s="118"/>
      <c r="B3107" s="136"/>
    </row>
    <row r="3108" spans="1:2" x14ac:dyDescent="0.25">
      <c r="A3108" s="118"/>
      <c r="B3108" s="136"/>
    </row>
    <row r="3109" spans="1:2" x14ac:dyDescent="0.25">
      <c r="A3109" s="118"/>
      <c r="B3109" s="136"/>
    </row>
    <row r="3110" spans="1:2" x14ac:dyDescent="0.25">
      <c r="A3110" s="118"/>
      <c r="B3110" s="136"/>
    </row>
    <row r="3111" spans="1:2" x14ac:dyDescent="0.25">
      <c r="A3111" s="118"/>
      <c r="B3111" s="136"/>
    </row>
    <row r="3112" spans="1:2" x14ac:dyDescent="0.25">
      <c r="A3112" s="118"/>
      <c r="B3112" s="136"/>
    </row>
    <row r="3113" spans="1:2" x14ac:dyDescent="0.25">
      <c r="A3113" s="118"/>
      <c r="B3113" s="136"/>
    </row>
    <row r="3114" spans="1:2" x14ac:dyDescent="0.25">
      <c r="A3114" s="118"/>
      <c r="B3114" s="136"/>
    </row>
    <row r="3115" spans="1:2" x14ac:dyDescent="0.25">
      <c r="A3115" s="118"/>
      <c r="B3115" s="136"/>
    </row>
    <row r="3116" spans="1:2" x14ac:dyDescent="0.25">
      <c r="A3116" s="118"/>
      <c r="B3116" s="136"/>
    </row>
    <row r="3117" spans="1:2" x14ac:dyDescent="0.25">
      <c r="A3117" s="118"/>
      <c r="B3117" s="136"/>
    </row>
    <row r="3118" spans="1:2" x14ac:dyDescent="0.25">
      <c r="A3118" s="118"/>
      <c r="B3118" s="136"/>
    </row>
    <row r="3119" spans="1:2" x14ac:dyDescent="0.25">
      <c r="A3119" s="118"/>
      <c r="B3119" s="136"/>
    </row>
    <row r="3120" spans="1:2" x14ac:dyDescent="0.25">
      <c r="A3120" s="118"/>
      <c r="B3120" s="136"/>
    </row>
    <row r="3121" spans="1:2" x14ac:dyDescent="0.25">
      <c r="A3121" s="118"/>
      <c r="B3121" s="136"/>
    </row>
    <row r="3122" spans="1:2" x14ac:dyDescent="0.25">
      <c r="A3122" s="118"/>
      <c r="B3122" s="136"/>
    </row>
    <row r="3123" spans="1:2" x14ac:dyDescent="0.25">
      <c r="A3123" s="118"/>
      <c r="B3123" s="136"/>
    </row>
    <row r="3124" spans="1:2" x14ac:dyDescent="0.25">
      <c r="A3124" s="118"/>
      <c r="B3124" s="136"/>
    </row>
    <row r="3125" spans="1:2" x14ac:dyDescent="0.25">
      <c r="A3125" s="118"/>
      <c r="B3125" s="136"/>
    </row>
    <row r="3126" spans="1:2" x14ac:dyDescent="0.25">
      <c r="A3126" s="118"/>
      <c r="B3126" s="136"/>
    </row>
    <row r="3127" spans="1:2" x14ac:dyDescent="0.25">
      <c r="A3127" s="118"/>
      <c r="B3127" s="136"/>
    </row>
    <row r="3128" spans="1:2" x14ac:dyDescent="0.25">
      <c r="A3128" s="118"/>
      <c r="B3128" s="136"/>
    </row>
    <row r="3129" spans="1:2" x14ac:dyDescent="0.25">
      <c r="A3129" s="118"/>
      <c r="B3129" s="136"/>
    </row>
    <row r="3130" spans="1:2" x14ac:dyDescent="0.25">
      <c r="A3130" s="118"/>
      <c r="B3130" s="136"/>
    </row>
    <row r="3131" spans="1:2" x14ac:dyDescent="0.25">
      <c r="A3131" s="118"/>
      <c r="B3131" s="136"/>
    </row>
    <row r="3132" spans="1:2" x14ac:dyDescent="0.25">
      <c r="A3132" s="118"/>
      <c r="B3132" s="136"/>
    </row>
    <row r="3133" spans="1:2" x14ac:dyDescent="0.25">
      <c r="A3133" s="118"/>
      <c r="B3133" s="136"/>
    </row>
    <row r="3134" spans="1:2" x14ac:dyDescent="0.25">
      <c r="A3134" s="118"/>
      <c r="B3134" s="136"/>
    </row>
    <row r="3135" spans="1:2" x14ac:dyDescent="0.25">
      <c r="A3135" s="118"/>
      <c r="B3135" s="136"/>
    </row>
    <row r="3136" spans="1:2" x14ac:dyDescent="0.25">
      <c r="A3136" s="118"/>
      <c r="B3136" s="136"/>
    </row>
    <row r="3137" spans="1:2" x14ac:dyDescent="0.25">
      <c r="A3137" s="118"/>
      <c r="B3137" s="136"/>
    </row>
    <row r="3138" spans="1:2" x14ac:dyDescent="0.25">
      <c r="A3138" s="118"/>
      <c r="B3138" s="136"/>
    </row>
    <row r="3139" spans="1:2" x14ac:dyDescent="0.25">
      <c r="A3139" s="118"/>
      <c r="B3139" s="136"/>
    </row>
    <row r="3140" spans="1:2" x14ac:dyDescent="0.25">
      <c r="A3140" s="118"/>
      <c r="B3140" s="136"/>
    </row>
    <row r="3141" spans="1:2" x14ac:dyDescent="0.25">
      <c r="A3141" s="118"/>
      <c r="B3141" s="136"/>
    </row>
    <row r="3142" spans="1:2" x14ac:dyDescent="0.25">
      <c r="A3142" s="118"/>
      <c r="B3142" s="136"/>
    </row>
    <row r="3143" spans="1:2" x14ac:dyDescent="0.25">
      <c r="A3143" s="118"/>
      <c r="B3143" s="136"/>
    </row>
    <row r="3144" spans="1:2" x14ac:dyDescent="0.25">
      <c r="A3144" s="118"/>
      <c r="B3144" s="136"/>
    </row>
    <row r="3145" spans="1:2" x14ac:dyDescent="0.25">
      <c r="A3145" s="118"/>
      <c r="B3145" s="136"/>
    </row>
    <row r="3146" spans="1:2" x14ac:dyDescent="0.25">
      <c r="A3146" s="118"/>
      <c r="B3146" s="136"/>
    </row>
    <row r="3147" spans="1:2" x14ac:dyDescent="0.25">
      <c r="A3147" s="118"/>
      <c r="B3147" s="136"/>
    </row>
    <row r="3148" spans="1:2" x14ac:dyDescent="0.25">
      <c r="A3148" s="118"/>
      <c r="B3148" s="136"/>
    </row>
    <row r="3149" spans="1:2" x14ac:dyDescent="0.25">
      <c r="A3149" s="118"/>
      <c r="B3149" s="136"/>
    </row>
    <row r="3150" spans="1:2" x14ac:dyDescent="0.25">
      <c r="A3150" s="118"/>
      <c r="B3150" s="136"/>
    </row>
    <row r="3151" spans="1:2" x14ac:dyDescent="0.25">
      <c r="A3151" s="118"/>
      <c r="B3151" s="136"/>
    </row>
    <row r="3152" spans="1:2" x14ac:dyDescent="0.25">
      <c r="A3152" s="118"/>
      <c r="B3152" s="136"/>
    </row>
    <row r="3153" spans="1:2" x14ac:dyDescent="0.25">
      <c r="A3153" s="118"/>
      <c r="B3153" s="136"/>
    </row>
    <row r="3154" spans="1:2" x14ac:dyDescent="0.25">
      <c r="A3154" s="118"/>
      <c r="B3154" s="136"/>
    </row>
    <row r="3155" spans="1:2" x14ac:dyDescent="0.25">
      <c r="A3155" s="118"/>
      <c r="B3155" s="136"/>
    </row>
    <row r="3156" spans="1:2" x14ac:dyDescent="0.25">
      <c r="A3156" s="118"/>
      <c r="B3156" s="136"/>
    </row>
    <row r="3157" spans="1:2" x14ac:dyDescent="0.25">
      <c r="A3157" s="118"/>
      <c r="B3157" s="136"/>
    </row>
    <row r="3158" spans="1:2" x14ac:dyDescent="0.25">
      <c r="A3158" s="118"/>
      <c r="B3158" s="136"/>
    </row>
    <row r="3159" spans="1:2" x14ac:dyDescent="0.25">
      <c r="A3159" s="118"/>
      <c r="B3159" s="136"/>
    </row>
    <row r="3160" spans="1:2" x14ac:dyDescent="0.25">
      <c r="A3160" s="118"/>
      <c r="B3160" s="136"/>
    </row>
    <row r="3161" spans="1:2" x14ac:dyDescent="0.25">
      <c r="A3161" s="118"/>
      <c r="B3161" s="136"/>
    </row>
    <row r="3162" spans="1:2" x14ac:dyDescent="0.25">
      <c r="A3162" s="118"/>
      <c r="B3162" s="136"/>
    </row>
    <row r="3163" spans="1:2" x14ac:dyDescent="0.25">
      <c r="A3163" s="118"/>
      <c r="B3163" s="136"/>
    </row>
    <row r="3164" spans="1:2" x14ac:dyDescent="0.25">
      <c r="A3164" s="118"/>
      <c r="B3164" s="136"/>
    </row>
    <row r="3165" spans="1:2" x14ac:dyDescent="0.25">
      <c r="A3165" s="118"/>
      <c r="B3165" s="136"/>
    </row>
    <row r="3166" spans="1:2" x14ac:dyDescent="0.25">
      <c r="A3166" s="118"/>
      <c r="B3166" s="136"/>
    </row>
    <row r="3167" spans="1:2" x14ac:dyDescent="0.25">
      <c r="A3167" s="118"/>
      <c r="B3167" s="136"/>
    </row>
    <row r="3168" spans="1:2" x14ac:dyDescent="0.25">
      <c r="A3168" s="118"/>
      <c r="B3168" s="136"/>
    </row>
    <row r="3169" spans="1:2" x14ac:dyDescent="0.25">
      <c r="A3169" s="118"/>
      <c r="B3169" s="136"/>
    </row>
    <row r="3170" spans="1:2" x14ac:dyDescent="0.25">
      <c r="A3170" s="118"/>
      <c r="B3170" s="136"/>
    </row>
    <row r="3171" spans="1:2" x14ac:dyDescent="0.25">
      <c r="A3171" s="118"/>
      <c r="B3171" s="136"/>
    </row>
    <row r="3172" spans="1:2" x14ac:dyDescent="0.25">
      <c r="A3172" s="118"/>
      <c r="B3172" s="136"/>
    </row>
    <row r="3173" spans="1:2" x14ac:dyDescent="0.25">
      <c r="A3173" s="118"/>
      <c r="B3173" s="136"/>
    </row>
    <row r="3174" spans="1:2" x14ac:dyDescent="0.25">
      <c r="A3174" s="118"/>
      <c r="B3174" s="136"/>
    </row>
    <row r="3175" spans="1:2" x14ac:dyDescent="0.25">
      <c r="A3175" s="118"/>
      <c r="B3175" s="136"/>
    </row>
    <row r="3176" spans="1:2" x14ac:dyDescent="0.25">
      <c r="A3176" s="118"/>
      <c r="B3176" s="136"/>
    </row>
    <row r="3177" spans="1:2" x14ac:dyDescent="0.25">
      <c r="A3177" s="118"/>
      <c r="B3177" s="136"/>
    </row>
    <row r="3178" spans="1:2" x14ac:dyDescent="0.25">
      <c r="A3178" s="118"/>
      <c r="B3178" s="136"/>
    </row>
    <row r="3179" spans="1:2" x14ac:dyDescent="0.25">
      <c r="A3179" s="118"/>
      <c r="B3179" s="136"/>
    </row>
    <row r="3180" spans="1:2" x14ac:dyDescent="0.25">
      <c r="A3180" s="118"/>
      <c r="B3180" s="136"/>
    </row>
    <row r="3181" spans="1:2" x14ac:dyDescent="0.25">
      <c r="A3181" s="118"/>
      <c r="B3181" s="136"/>
    </row>
    <row r="3182" spans="1:2" x14ac:dyDescent="0.25">
      <c r="A3182" s="118"/>
      <c r="B3182" s="136"/>
    </row>
    <row r="3183" spans="1:2" x14ac:dyDescent="0.25">
      <c r="A3183" s="118"/>
      <c r="B3183" s="136"/>
    </row>
    <row r="3184" spans="1:2" x14ac:dyDescent="0.25">
      <c r="A3184" s="118"/>
      <c r="B3184" s="136"/>
    </row>
    <row r="3185" spans="1:2" x14ac:dyDescent="0.25">
      <c r="A3185" s="118"/>
      <c r="B3185" s="136"/>
    </row>
    <row r="3186" spans="1:2" x14ac:dyDescent="0.25">
      <c r="A3186" s="118"/>
      <c r="B3186" s="136"/>
    </row>
    <row r="3187" spans="1:2" x14ac:dyDescent="0.25">
      <c r="A3187" s="118"/>
      <c r="B3187" s="136"/>
    </row>
    <row r="3188" spans="1:2" x14ac:dyDescent="0.25">
      <c r="A3188" s="118"/>
      <c r="B3188" s="136"/>
    </row>
    <row r="3189" spans="1:2" x14ac:dyDescent="0.25">
      <c r="A3189" s="118"/>
      <c r="B3189" s="136"/>
    </row>
    <row r="3190" spans="1:2" x14ac:dyDescent="0.25">
      <c r="A3190" s="118"/>
      <c r="B3190" s="136"/>
    </row>
    <row r="3191" spans="1:2" x14ac:dyDescent="0.25">
      <c r="A3191" s="118"/>
      <c r="B3191" s="136"/>
    </row>
    <row r="3192" spans="1:2" x14ac:dyDescent="0.25">
      <c r="A3192" s="118"/>
      <c r="B3192" s="136"/>
    </row>
    <row r="3193" spans="1:2" x14ac:dyDescent="0.25">
      <c r="A3193" s="118"/>
      <c r="B3193" s="136"/>
    </row>
    <row r="3194" spans="1:2" x14ac:dyDescent="0.25">
      <c r="A3194" s="118"/>
      <c r="B3194" s="136"/>
    </row>
    <row r="3195" spans="1:2" x14ac:dyDescent="0.25">
      <c r="A3195" s="118"/>
      <c r="B3195" s="136"/>
    </row>
    <row r="3196" spans="1:2" x14ac:dyDescent="0.25">
      <c r="A3196" s="118"/>
      <c r="B3196" s="136"/>
    </row>
    <row r="3197" spans="1:2" x14ac:dyDescent="0.25">
      <c r="A3197" s="118"/>
      <c r="B3197" s="136"/>
    </row>
    <row r="3198" spans="1:2" x14ac:dyDescent="0.25">
      <c r="A3198" s="118"/>
      <c r="B3198" s="136"/>
    </row>
    <row r="3199" spans="1:2" x14ac:dyDescent="0.25">
      <c r="A3199" s="118"/>
      <c r="B3199" s="136"/>
    </row>
    <row r="3200" spans="1:2" x14ac:dyDescent="0.25">
      <c r="A3200" s="118"/>
      <c r="B3200" s="136"/>
    </row>
    <row r="3201" spans="1:2" x14ac:dyDescent="0.25">
      <c r="A3201" s="118"/>
      <c r="B3201" s="136"/>
    </row>
    <row r="3202" spans="1:2" x14ac:dyDescent="0.25">
      <c r="A3202" s="118"/>
      <c r="B3202" s="136"/>
    </row>
    <row r="3203" spans="1:2" x14ac:dyDescent="0.25">
      <c r="A3203" s="118"/>
      <c r="B3203" s="136"/>
    </row>
    <row r="3204" spans="1:2" x14ac:dyDescent="0.25">
      <c r="A3204" s="118"/>
      <c r="B3204" s="136"/>
    </row>
    <row r="3205" spans="1:2" x14ac:dyDescent="0.25">
      <c r="A3205" s="118"/>
      <c r="B3205" s="136"/>
    </row>
    <row r="3206" spans="1:2" x14ac:dyDescent="0.25">
      <c r="A3206" s="118"/>
      <c r="B3206" s="136"/>
    </row>
    <row r="3207" spans="1:2" x14ac:dyDescent="0.25">
      <c r="A3207" s="118"/>
      <c r="B3207" s="136"/>
    </row>
    <row r="3208" spans="1:2" x14ac:dyDescent="0.25">
      <c r="A3208" s="118"/>
      <c r="B3208" s="136"/>
    </row>
    <row r="3209" spans="1:2" x14ac:dyDescent="0.25">
      <c r="A3209" s="118"/>
      <c r="B3209" s="136"/>
    </row>
    <row r="3210" spans="1:2" x14ac:dyDescent="0.25">
      <c r="A3210" s="118"/>
      <c r="B3210" s="136"/>
    </row>
    <row r="3211" spans="1:2" x14ac:dyDescent="0.25">
      <c r="A3211" s="118"/>
      <c r="B3211" s="136"/>
    </row>
    <row r="3212" spans="1:2" x14ac:dyDescent="0.25">
      <c r="A3212" s="118"/>
      <c r="B3212" s="136"/>
    </row>
    <row r="3213" spans="1:2" x14ac:dyDescent="0.25">
      <c r="A3213" s="118"/>
      <c r="B3213" s="136"/>
    </row>
    <row r="3214" spans="1:2" x14ac:dyDescent="0.25">
      <c r="A3214" s="118"/>
      <c r="B3214" s="136"/>
    </row>
    <row r="3215" spans="1:2" x14ac:dyDescent="0.25">
      <c r="A3215" s="118"/>
      <c r="B3215" s="136"/>
    </row>
    <row r="3216" spans="1:2" x14ac:dyDescent="0.25">
      <c r="A3216" s="118"/>
      <c r="B3216" s="136"/>
    </row>
    <row r="3217" spans="1:2" x14ac:dyDescent="0.25">
      <c r="A3217" s="118"/>
      <c r="B3217" s="136"/>
    </row>
    <row r="3218" spans="1:2" x14ac:dyDescent="0.25">
      <c r="A3218" s="118"/>
      <c r="B3218" s="136"/>
    </row>
    <row r="3219" spans="1:2" x14ac:dyDescent="0.25">
      <c r="A3219" s="118"/>
      <c r="B3219" s="136"/>
    </row>
    <row r="3220" spans="1:2" x14ac:dyDescent="0.25">
      <c r="A3220" s="118"/>
      <c r="B3220" s="136"/>
    </row>
    <row r="3221" spans="1:2" x14ac:dyDescent="0.25">
      <c r="A3221" s="118"/>
      <c r="B3221" s="136"/>
    </row>
    <row r="3222" spans="1:2" x14ac:dyDescent="0.25">
      <c r="A3222" s="118"/>
      <c r="B3222" s="136"/>
    </row>
    <row r="3223" spans="1:2" x14ac:dyDescent="0.25">
      <c r="A3223" s="118"/>
      <c r="B3223" s="136"/>
    </row>
    <row r="3224" spans="1:2" x14ac:dyDescent="0.25">
      <c r="A3224" s="118"/>
      <c r="B3224" s="136"/>
    </row>
    <row r="3225" spans="1:2" x14ac:dyDescent="0.25">
      <c r="A3225" s="118"/>
      <c r="B3225" s="136"/>
    </row>
    <row r="3226" spans="1:2" x14ac:dyDescent="0.25">
      <c r="A3226" s="118"/>
      <c r="B3226" s="136"/>
    </row>
    <row r="3227" spans="1:2" x14ac:dyDescent="0.25">
      <c r="A3227" s="118"/>
      <c r="B3227" s="136"/>
    </row>
    <row r="3228" spans="1:2" x14ac:dyDescent="0.25">
      <c r="A3228" s="118"/>
      <c r="B3228" s="136"/>
    </row>
    <row r="3229" spans="1:2" x14ac:dyDescent="0.25">
      <c r="A3229" s="118"/>
      <c r="B3229" s="136"/>
    </row>
    <row r="3230" spans="1:2" x14ac:dyDescent="0.25">
      <c r="A3230" s="118"/>
      <c r="B3230" s="136"/>
    </row>
    <row r="3231" spans="1:2" x14ac:dyDescent="0.25">
      <c r="A3231" s="118"/>
      <c r="B3231" s="136"/>
    </row>
    <row r="3232" spans="1:2" x14ac:dyDescent="0.25">
      <c r="A3232" s="118"/>
      <c r="B3232" s="136"/>
    </row>
    <row r="3233" spans="1:2" x14ac:dyDescent="0.25">
      <c r="A3233" s="118"/>
      <c r="B3233" s="136"/>
    </row>
    <row r="3234" spans="1:2" x14ac:dyDescent="0.25">
      <c r="A3234" s="118"/>
      <c r="B3234" s="136"/>
    </row>
    <row r="3235" spans="1:2" x14ac:dyDescent="0.25">
      <c r="A3235" s="118"/>
      <c r="B3235" s="136"/>
    </row>
    <row r="3236" spans="1:2" x14ac:dyDescent="0.25">
      <c r="A3236" s="118"/>
      <c r="B3236" s="136"/>
    </row>
    <row r="3237" spans="1:2" x14ac:dyDescent="0.25">
      <c r="A3237" s="118"/>
      <c r="B3237" s="136"/>
    </row>
    <row r="3238" spans="1:2" x14ac:dyDescent="0.25">
      <c r="A3238" s="118"/>
      <c r="B3238" s="136"/>
    </row>
    <row r="3239" spans="1:2" x14ac:dyDescent="0.25">
      <c r="A3239" s="118"/>
      <c r="B3239" s="136"/>
    </row>
    <row r="3240" spans="1:2" x14ac:dyDescent="0.25">
      <c r="A3240" s="118"/>
      <c r="B3240" s="136"/>
    </row>
    <row r="3241" spans="1:2" x14ac:dyDescent="0.25">
      <c r="A3241" s="118"/>
      <c r="B3241" s="136"/>
    </row>
    <row r="3242" spans="1:2" x14ac:dyDescent="0.25">
      <c r="A3242" s="118"/>
      <c r="B3242" s="136"/>
    </row>
    <row r="3243" spans="1:2" x14ac:dyDescent="0.25">
      <c r="A3243" s="118"/>
      <c r="B3243" s="136"/>
    </row>
    <row r="3244" spans="1:2" x14ac:dyDescent="0.25">
      <c r="A3244" s="118"/>
      <c r="B3244" s="136"/>
    </row>
    <row r="3245" spans="1:2" x14ac:dyDescent="0.25">
      <c r="A3245" s="118"/>
      <c r="B3245" s="136"/>
    </row>
    <row r="3246" spans="1:2" x14ac:dyDescent="0.25">
      <c r="A3246" s="118"/>
      <c r="B3246" s="136"/>
    </row>
    <row r="3247" spans="1:2" x14ac:dyDescent="0.25">
      <c r="A3247" s="118"/>
      <c r="B3247" s="136"/>
    </row>
    <row r="3248" spans="1:2" x14ac:dyDescent="0.25">
      <c r="A3248" s="118"/>
      <c r="B3248" s="136"/>
    </row>
    <row r="3249" spans="1:2" x14ac:dyDescent="0.25">
      <c r="A3249" s="118"/>
      <c r="B3249" s="136"/>
    </row>
    <row r="3250" spans="1:2" x14ac:dyDescent="0.25">
      <c r="A3250" s="118"/>
      <c r="B3250" s="136"/>
    </row>
    <row r="3251" spans="1:2" x14ac:dyDescent="0.25">
      <c r="A3251" s="118"/>
      <c r="B3251" s="136"/>
    </row>
    <row r="3252" spans="1:2" x14ac:dyDescent="0.25">
      <c r="A3252" s="118"/>
      <c r="B3252" s="136"/>
    </row>
    <row r="3253" spans="1:2" x14ac:dyDescent="0.25">
      <c r="A3253" s="118"/>
      <c r="B3253" s="136"/>
    </row>
    <row r="3254" spans="1:2" x14ac:dyDescent="0.25">
      <c r="A3254" s="118"/>
      <c r="B3254" s="136"/>
    </row>
    <row r="3255" spans="1:2" x14ac:dyDescent="0.25">
      <c r="A3255" s="118"/>
      <c r="B3255" s="136"/>
    </row>
    <row r="3256" spans="1:2" x14ac:dyDescent="0.25">
      <c r="A3256" s="118"/>
      <c r="B3256" s="136"/>
    </row>
    <row r="3257" spans="1:2" x14ac:dyDescent="0.25">
      <c r="A3257" s="118"/>
      <c r="B3257" s="136"/>
    </row>
    <row r="3258" spans="1:2" x14ac:dyDescent="0.25">
      <c r="A3258" s="118"/>
      <c r="B3258" s="136"/>
    </row>
    <row r="3259" spans="1:2" x14ac:dyDescent="0.25">
      <c r="A3259" s="118"/>
      <c r="B3259" s="136"/>
    </row>
    <row r="3260" spans="1:2" x14ac:dyDescent="0.25">
      <c r="A3260" s="118"/>
      <c r="B3260" s="136"/>
    </row>
    <row r="3261" spans="1:2" x14ac:dyDescent="0.25">
      <c r="A3261" s="118"/>
      <c r="B3261" s="136"/>
    </row>
    <row r="3262" spans="1:2" x14ac:dyDescent="0.25">
      <c r="A3262" s="118"/>
      <c r="B3262" s="136"/>
    </row>
    <row r="3263" spans="1:2" x14ac:dyDescent="0.25">
      <c r="A3263" s="118"/>
      <c r="B3263" s="136"/>
    </row>
    <row r="3264" spans="1:2" x14ac:dyDescent="0.25">
      <c r="A3264" s="118"/>
      <c r="B3264" s="136"/>
    </row>
    <row r="3265" spans="1:2" x14ac:dyDescent="0.25">
      <c r="A3265" s="118"/>
      <c r="B3265" s="136"/>
    </row>
    <row r="3266" spans="1:2" x14ac:dyDescent="0.25">
      <c r="A3266" s="118"/>
      <c r="B3266" s="136"/>
    </row>
    <row r="3267" spans="1:2" x14ac:dyDescent="0.25">
      <c r="A3267" s="118"/>
      <c r="B3267" s="136"/>
    </row>
    <row r="3268" spans="1:2" x14ac:dyDescent="0.25">
      <c r="A3268" s="118"/>
      <c r="B3268" s="136"/>
    </row>
    <row r="3269" spans="1:2" x14ac:dyDescent="0.25">
      <c r="A3269" s="118"/>
      <c r="B3269" s="136"/>
    </row>
    <row r="3270" spans="1:2" x14ac:dyDescent="0.25">
      <c r="A3270" s="118"/>
      <c r="B3270" s="136"/>
    </row>
    <row r="3271" spans="1:2" x14ac:dyDescent="0.25">
      <c r="A3271" s="118"/>
      <c r="B3271" s="136"/>
    </row>
    <row r="3272" spans="1:2" x14ac:dyDescent="0.25">
      <c r="A3272" s="118"/>
      <c r="B3272" s="136"/>
    </row>
    <row r="3273" spans="1:2" x14ac:dyDescent="0.25">
      <c r="A3273" s="118"/>
      <c r="B3273" s="136"/>
    </row>
    <row r="3274" spans="1:2" x14ac:dyDescent="0.25">
      <c r="A3274" s="118"/>
      <c r="B3274" s="136"/>
    </row>
    <row r="3275" spans="1:2" x14ac:dyDescent="0.25">
      <c r="A3275" s="118"/>
      <c r="B3275" s="136"/>
    </row>
    <row r="3276" spans="1:2" x14ac:dyDescent="0.25">
      <c r="A3276" s="118"/>
      <c r="B3276" s="136"/>
    </row>
    <row r="3277" spans="1:2" x14ac:dyDescent="0.25">
      <c r="A3277" s="118"/>
      <c r="B3277" s="136"/>
    </row>
    <row r="3278" spans="1:2" x14ac:dyDescent="0.25">
      <c r="A3278" s="118"/>
      <c r="B3278" s="136"/>
    </row>
    <row r="3279" spans="1:2" x14ac:dyDescent="0.25">
      <c r="A3279" s="118"/>
      <c r="B3279" s="136"/>
    </row>
    <row r="3280" spans="1:2" x14ac:dyDescent="0.25">
      <c r="A3280" s="118"/>
      <c r="B3280" s="136"/>
    </row>
    <row r="3281" spans="1:2" x14ac:dyDescent="0.25">
      <c r="A3281" s="118"/>
      <c r="B3281" s="136"/>
    </row>
    <row r="3282" spans="1:2" x14ac:dyDescent="0.25">
      <c r="A3282" s="118"/>
      <c r="B3282" s="136"/>
    </row>
    <row r="3283" spans="1:2" x14ac:dyDescent="0.25">
      <c r="A3283" s="118"/>
      <c r="B3283" s="136"/>
    </row>
    <row r="3284" spans="1:2" x14ac:dyDescent="0.25">
      <c r="A3284" s="118"/>
      <c r="B3284" s="136"/>
    </row>
    <row r="3285" spans="1:2" x14ac:dyDescent="0.25">
      <c r="A3285" s="118"/>
      <c r="B3285" s="136"/>
    </row>
    <row r="3286" spans="1:2" x14ac:dyDescent="0.25">
      <c r="A3286" s="118"/>
      <c r="B3286" s="136"/>
    </row>
    <row r="3287" spans="1:2" x14ac:dyDescent="0.25">
      <c r="A3287" s="118"/>
      <c r="B3287" s="136"/>
    </row>
    <row r="3288" spans="1:2" x14ac:dyDescent="0.25">
      <c r="A3288" s="118"/>
      <c r="B3288" s="136"/>
    </row>
    <row r="3289" spans="1:2" x14ac:dyDescent="0.25">
      <c r="A3289" s="118"/>
      <c r="B3289" s="136"/>
    </row>
    <row r="3290" spans="1:2" x14ac:dyDescent="0.25">
      <c r="A3290" s="118"/>
      <c r="B3290" s="136"/>
    </row>
    <row r="3291" spans="1:2" x14ac:dyDescent="0.25">
      <c r="A3291" s="118"/>
      <c r="B3291" s="136"/>
    </row>
    <row r="3292" spans="1:2" x14ac:dyDescent="0.25">
      <c r="A3292" s="118"/>
      <c r="B3292" s="136"/>
    </row>
    <row r="3293" spans="1:2" x14ac:dyDescent="0.25">
      <c r="A3293" s="118"/>
      <c r="B3293" s="136"/>
    </row>
    <row r="3294" spans="1:2" x14ac:dyDescent="0.25">
      <c r="A3294" s="118"/>
      <c r="B3294" s="136"/>
    </row>
    <row r="3295" spans="1:2" x14ac:dyDescent="0.25">
      <c r="A3295" s="118"/>
      <c r="B3295" s="136"/>
    </row>
    <row r="3296" spans="1:2" x14ac:dyDescent="0.25">
      <c r="A3296" s="118"/>
      <c r="B3296" s="136"/>
    </row>
    <row r="3297" spans="1:2" x14ac:dyDescent="0.25">
      <c r="A3297" s="118"/>
      <c r="B3297" s="136"/>
    </row>
    <row r="3298" spans="1:2" x14ac:dyDescent="0.25">
      <c r="A3298" s="118"/>
      <c r="B3298" s="136"/>
    </row>
    <row r="3299" spans="1:2" x14ac:dyDescent="0.25">
      <c r="A3299" s="118"/>
      <c r="B3299" s="136"/>
    </row>
    <row r="3300" spans="1:2" x14ac:dyDescent="0.25">
      <c r="A3300" s="118"/>
      <c r="B3300" s="136"/>
    </row>
    <row r="3301" spans="1:2" x14ac:dyDescent="0.25">
      <c r="A3301" s="118"/>
      <c r="B3301" s="136"/>
    </row>
    <row r="3302" spans="1:2" x14ac:dyDescent="0.25">
      <c r="A3302" s="118"/>
      <c r="B3302" s="136"/>
    </row>
    <row r="3303" spans="1:2" x14ac:dyDescent="0.25">
      <c r="A3303" s="118"/>
      <c r="B3303" s="136"/>
    </row>
    <row r="3304" spans="1:2" x14ac:dyDescent="0.25">
      <c r="A3304" s="118"/>
      <c r="B3304" s="136"/>
    </row>
    <row r="3305" spans="1:2" x14ac:dyDescent="0.25">
      <c r="A3305" s="118"/>
      <c r="B3305" s="136"/>
    </row>
    <row r="3306" spans="1:2" x14ac:dyDescent="0.25">
      <c r="A3306" s="118"/>
      <c r="B3306" s="136"/>
    </row>
    <row r="3307" spans="1:2" x14ac:dyDescent="0.25">
      <c r="A3307" s="118"/>
      <c r="B3307" s="136"/>
    </row>
    <row r="3308" spans="1:2" x14ac:dyDescent="0.25">
      <c r="A3308" s="118"/>
      <c r="B3308" s="136"/>
    </row>
    <row r="3309" spans="1:2" x14ac:dyDescent="0.25">
      <c r="A3309" s="118"/>
      <c r="B3309" s="136"/>
    </row>
    <row r="3310" spans="1:2" x14ac:dyDescent="0.25">
      <c r="A3310" s="118"/>
      <c r="B3310" s="136"/>
    </row>
    <row r="3311" spans="1:2" x14ac:dyDescent="0.25">
      <c r="A3311" s="118"/>
      <c r="B3311" s="136"/>
    </row>
    <row r="3312" spans="1:2" x14ac:dyDescent="0.25">
      <c r="A3312" s="118"/>
      <c r="B3312" s="136"/>
    </row>
    <row r="3313" spans="1:2" x14ac:dyDescent="0.25">
      <c r="A3313" s="118"/>
      <c r="B3313" s="136"/>
    </row>
    <row r="3314" spans="1:2" x14ac:dyDescent="0.25">
      <c r="A3314" s="118"/>
      <c r="B3314" s="136"/>
    </row>
    <row r="3315" spans="1:2" x14ac:dyDescent="0.25">
      <c r="A3315" s="118"/>
      <c r="B3315" s="136"/>
    </row>
    <row r="3316" spans="1:2" x14ac:dyDescent="0.25">
      <c r="A3316" s="118"/>
      <c r="B3316" s="136"/>
    </row>
    <row r="3317" spans="1:2" x14ac:dyDescent="0.25">
      <c r="A3317" s="118"/>
      <c r="B3317" s="136"/>
    </row>
    <row r="3318" spans="1:2" x14ac:dyDescent="0.25">
      <c r="A3318" s="118"/>
      <c r="B3318" s="136"/>
    </row>
    <row r="3319" spans="1:2" x14ac:dyDescent="0.25">
      <c r="A3319" s="118"/>
      <c r="B3319" s="136"/>
    </row>
    <row r="3320" spans="1:2" x14ac:dyDescent="0.25">
      <c r="A3320" s="118"/>
      <c r="B3320" s="136"/>
    </row>
    <row r="3321" spans="1:2" x14ac:dyDescent="0.25">
      <c r="A3321" s="118"/>
      <c r="B3321" s="136"/>
    </row>
    <row r="3322" spans="1:2" x14ac:dyDescent="0.25">
      <c r="A3322" s="118"/>
      <c r="B3322" s="136"/>
    </row>
    <row r="3323" spans="1:2" x14ac:dyDescent="0.25">
      <c r="A3323" s="118"/>
      <c r="B3323" s="136"/>
    </row>
    <row r="3324" spans="1:2" x14ac:dyDescent="0.25">
      <c r="A3324" s="118"/>
      <c r="B3324" s="136"/>
    </row>
    <row r="3325" spans="1:2" x14ac:dyDescent="0.25">
      <c r="A3325" s="118"/>
      <c r="B3325" s="136"/>
    </row>
    <row r="3326" spans="1:2" x14ac:dyDescent="0.25">
      <c r="A3326" s="118"/>
      <c r="B3326" s="136"/>
    </row>
    <row r="3327" spans="1:2" x14ac:dyDescent="0.25">
      <c r="A3327" s="118"/>
      <c r="B3327" s="136"/>
    </row>
    <row r="3328" spans="1:2" x14ac:dyDescent="0.25">
      <c r="A3328" s="118"/>
      <c r="B3328" s="136"/>
    </row>
    <row r="3329" spans="1:2" x14ac:dyDescent="0.25">
      <c r="A3329" s="118"/>
      <c r="B3329" s="136"/>
    </row>
    <row r="3330" spans="1:2" x14ac:dyDescent="0.25">
      <c r="A3330" s="118"/>
      <c r="B3330" s="136"/>
    </row>
    <row r="3331" spans="1:2" x14ac:dyDescent="0.25">
      <c r="A3331" s="118"/>
      <c r="B3331" s="136"/>
    </row>
    <row r="3332" spans="1:2" x14ac:dyDescent="0.25">
      <c r="A3332" s="118"/>
      <c r="B3332" s="136"/>
    </row>
    <row r="3333" spans="1:2" x14ac:dyDescent="0.25">
      <c r="A3333" s="118"/>
      <c r="B3333" s="136"/>
    </row>
    <row r="3334" spans="1:2" x14ac:dyDescent="0.25">
      <c r="A3334" s="118"/>
      <c r="B3334" s="136"/>
    </row>
    <row r="3335" spans="1:2" x14ac:dyDescent="0.25">
      <c r="A3335" s="118"/>
      <c r="B3335" s="136"/>
    </row>
    <row r="3336" spans="1:2" x14ac:dyDescent="0.25">
      <c r="A3336" s="118"/>
      <c r="B3336" s="136"/>
    </row>
    <row r="3337" spans="1:2" x14ac:dyDescent="0.25">
      <c r="A3337" s="118"/>
      <c r="B3337" s="136"/>
    </row>
    <row r="3338" spans="1:2" x14ac:dyDescent="0.25">
      <c r="A3338" s="118"/>
      <c r="B3338" s="136"/>
    </row>
    <row r="3339" spans="1:2" x14ac:dyDescent="0.25">
      <c r="A3339" s="118"/>
      <c r="B3339" s="136"/>
    </row>
    <row r="3340" spans="1:2" x14ac:dyDescent="0.25">
      <c r="A3340" s="118"/>
      <c r="B3340" s="136"/>
    </row>
    <row r="3341" spans="1:2" x14ac:dyDescent="0.25">
      <c r="A3341" s="118"/>
      <c r="B3341" s="136"/>
    </row>
    <row r="3342" spans="1:2" x14ac:dyDescent="0.25">
      <c r="A3342" s="118"/>
      <c r="B3342" s="136"/>
    </row>
    <row r="3343" spans="1:2" x14ac:dyDescent="0.25">
      <c r="A3343" s="118"/>
      <c r="B3343" s="136"/>
    </row>
    <row r="3344" spans="1:2" x14ac:dyDescent="0.25">
      <c r="A3344" s="118"/>
      <c r="B3344" s="136"/>
    </row>
    <row r="3345" spans="1:2" x14ac:dyDescent="0.25">
      <c r="A3345" s="118"/>
      <c r="B3345" s="136"/>
    </row>
    <row r="3346" spans="1:2" x14ac:dyDescent="0.25">
      <c r="A3346" s="118"/>
      <c r="B3346" s="136"/>
    </row>
    <row r="3347" spans="1:2" x14ac:dyDescent="0.25">
      <c r="A3347" s="118"/>
      <c r="B3347" s="136"/>
    </row>
    <row r="3348" spans="1:2" x14ac:dyDescent="0.25">
      <c r="A3348" s="118"/>
      <c r="B3348" s="136"/>
    </row>
    <row r="3349" spans="1:2" x14ac:dyDescent="0.25">
      <c r="A3349" s="118"/>
      <c r="B3349" s="136"/>
    </row>
    <row r="3350" spans="1:2" x14ac:dyDescent="0.25">
      <c r="A3350" s="118"/>
      <c r="B3350" s="136"/>
    </row>
    <row r="3351" spans="1:2" x14ac:dyDescent="0.25">
      <c r="A3351" s="118"/>
      <c r="B3351" s="136"/>
    </row>
    <row r="3352" spans="1:2" x14ac:dyDescent="0.25">
      <c r="A3352" s="118"/>
      <c r="B3352" s="136"/>
    </row>
    <row r="3353" spans="1:2" x14ac:dyDescent="0.25">
      <c r="A3353" s="118"/>
      <c r="B3353" s="136"/>
    </row>
    <row r="3354" spans="1:2" x14ac:dyDescent="0.25">
      <c r="A3354" s="118"/>
      <c r="B3354" s="136"/>
    </row>
    <row r="3355" spans="1:2" x14ac:dyDescent="0.25">
      <c r="A3355" s="118"/>
      <c r="B3355" s="136"/>
    </row>
    <row r="3356" spans="1:2" x14ac:dyDescent="0.25">
      <c r="A3356" s="118"/>
      <c r="B3356" s="136"/>
    </row>
    <row r="3357" spans="1:2" x14ac:dyDescent="0.25">
      <c r="A3357" s="118"/>
      <c r="B3357" s="136"/>
    </row>
    <row r="3358" spans="1:2" x14ac:dyDescent="0.25">
      <c r="A3358" s="118"/>
      <c r="B3358" s="136"/>
    </row>
    <row r="3359" spans="1:2" x14ac:dyDescent="0.25">
      <c r="A3359" s="118"/>
      <c r="B3359" s="136"/>
    </row>
    <row r="3360" spans="1:2" x14ac:dyDescent="0.25">
      <c r="A3360" s="118"/>
      <c r="B3360" s="136"/>
    </row>
    <row r="3361" spans="1:2" x14ac:dyDescent="0.25">
      <c r="A3361" s="118"/>
      <c r="B3361" s="136"/>
    </row>
    <row r="3362" spans="1:2" x14ac:dyDescent="0.25">
      <c r="A3362" s="118"/>
      <c r="B3362" s="136"/>
    </row>
    <row r="3363" spans="1:2" x14ac:dyDescent="0.25">
      <c r="A3363" s="118"/>
      <c r="B3363" s="136"/>
    </row>
    <row r="3364" spans="1:2" x14ac:dyDescent="0.25">
      <c r="A3364" s="118"/>
      <c r="B3364" s="136"/>
    </row>
    <row r="3365" spans="1:2" x14ac:dyDescent="0.25">
      <c r="A3365" s="118"/>
      <c r="B3365" s="136"/>
    </row>
    <row r="3366" spans="1:2" x14ac:dyDescent="0.25">
      <c r="A3366" s="118"/>
      <c r="B3366" s="136"/>
    </row>
    <row r="3367" spans="1:2" x14ac:dyDescent="0.25">
      <c r="A3367" s="118"/>
      <c r="B3367" s="136"/>
    </row>
    <row r="3368" spans="1:2" x14ac:dyDescent="0.25">
      <c r="A3368" s="118"/>
      <c r="B3368" s="136"/>
    </row>
    <row r="3369" spans="1:2" x14ac:dyDescent="0.25">
      <c r="A3369" s="118"/>
      <c r="B3369" s="136"/>
    </row>
    <row r="3370" spans="1:2" x14ac:dyDescent="0.25">
      <c r="A3370" s="118"/>
      <c r="B3370" s="136"/>
    </row>
    <row r="3371" spans="1:2" x14ac:dyDescent="0.25">
      <c r="A3371" s="118"/>
      <c r="B3371" s="136"/>
    </row>
    <row r="3372" spans="1:2" x14ac:dyDescent="0.25">
      <c r="A3372" s="118"/>
      <c r="B3372" s="136"/>
    </row>
    <row r="3373" spans="1:2" x14ac:dyDescent="0.25">
      <c r="A3373" s="118"/>
      <c r="B3373" s="136"/>
    </row>
    <row r="3374" spans="1:2" x14ac:dyDescent="0.25">
      <c r="A3374" s="118"/>
      <c r="B3374" s="136"/>
    </row>
    <row r="3375" spans="1:2" x14ac:dyDescent="0.25">
      <c r="A3375" s="118"/>
      <c r="B3375" s="136"/>
    </row>
    <row r="3376" spans="1:2" x14ac:dyDescent="0.25">
      <c r="A3376" s="118"/>
      <c r="B3376" s="136"/>
    </row>
    <row r="3377" spans="1:2" x14ac:dyDescent="0.25">
      <c r="A3377" s="118"/>
      <c r="B3377" s="136"/>
    </row>
    <row r="3378" spans="1:2" x14ac:dyDescent="0.25">
      <c r="A3378" s="118"/>
      <c r="B3378" s="136"/>
    </row>
    <row r="3379" spans="1:2" x14ac:dyDescent="0.25">
      <c r="A3379" s="118"/>
      <c r="B3379" s="136"/>
    </row>
    <row r="3380" spans="1:2" x14ac:dyDescent="0.25">
      <c r="A3380" s="118"/>
      <c r="B3380" s="136"/>
    </row>
    <row r="3381" spans="1:2" x14ac:dyDescent="0.25">
      <c r="A3381" s="118"/>
      <c r="B3381" s="136"/>
    </row>
    <row r="3382" spans="1:2" x14ac:dyDescent="0.25">
      <c r="A3382" s="118"/>
      <c r="B3382" s="136"/>
    </row>
    <row r="3383" spans="1:2" x14ac:dyDescent="0.25">
      <c r="A3383" s="118"/>
      <c r="B3383" s="136"/>
    </row>
    <row r="3384" spans="1:2" x14ac:dyDescent="0.25">
      <c r="A3384" s="118"/>
      <c r="B3384" s="136"/>
    </row>
    <row r="3385" spans="1:2" x14ac:dyDescent="0.25">
      <c r="A3385" s="118"/>
      <c r="B3385" s="136"/>
    </row>
    <row r="3386" spans="1:2" x14ac:dyDescent="0.25">
      <c r="A3386" s="118"/>
      <c r="B3386" s="136"/>
    </row>
    <row r="3387" spans="1:2" x14ac:dyDescent="0.25">
      <c r="A3387" s="118"/>
      <c r="B3387" s="136"/>
    </row>
    <row r="3388" spans="1:2" x14ac:dyDescent="0.25">
      <c r="A3388" s="118"/>
      <c r="B3388" s="136"/>
    </row>
    <row r="3389" spans="1:2" x14ac:dyDescent="0.25">
      <c r="A3389" s="118"/>
      <c r="B3389" s="136"/>
    </row>
    <row r="3390" spans="1:2" x14ac:dyDescent="0.25">
      <c r="A3390" s="118"/>
      <c r="B3390" s="136"/>
    </row>
    <row r="3391" spans="1:2" x14ac:dyDescent="0.25">
      <c r="A3391" s="118"/>
      <c r="B3391" s="136"/>
    </row>
    <row r="3392" spans="1:2" x14ac:dyDescent="0.25">
      <c r="A3392" s="118"/>
      <c r="B3392" s="136"/>
    </row>
    <row r="3393" spans="1:2" x14ac:dyDescent="0.25">
      <c r="A3393" s="118"/>
      <c r="B3393" s="136"/>
    </row>
    <row r="3394" spans="1:2" x14ac:dyDescent="0.25">
      <c r="A3394" s="118"/>
      <c r="B3394" s="136"/>
    </row>
    <row r="3395" spans="1:2" x14ac:dyDescent="0.25">
      <c r="A3395" s="118"/>
      <c r="B3395" s="136"/>
    </row>
    <row r="3396" spans="1:2" x14ac:dyDescent="0.25">
      <c r="A3396" s="118"/>
      <c r="B3396" s="136"/>
    </row>
    <row r="3397" spans="1:2" x14ac:dyDescent="0.25">
      <c r="A3397" s="118"/>
      <c r="B3397" s="136"/>
    </row>
    <row r="3398" spans="1:2" x14ac:dyDescent="0.25">
      <c r="A3398" s="118"/>
      <c r="B3398" s="136"/>
    </row>
    <row r="3399" spans="1:2" x14ac:dyDescent="0.25">
      <c r="A3399" s="118"/>
      <c r="B3399" s="136"/>
    </row>
    <row r="3400" spans="1:2" x14ac:dyDescent="0.25">
      <c r="A3400" s="118"/>
      <c r="B3400" s="136"/>
    </row>
    <row r="3401" spans="1:2" x14ac:dyDescent="0.25">
      <c r="A3401" s="118"/>
      <c r="B3401" s="136"/>
    </row>
    <row r="3402" spans="1:2" x14ac:dyDescent="0.25">
      <c r="A3402" s="118"/>
      <c r="B3402" s="136"/>
    </row>
    <row r="3403" spans="1:2" x14ac:dyDescent="0.25">
      <c r="A3403" s="118"/>
      <c r="B3403" s="136"/>
    </row>
    <row r="3404" spans="1:2" x14ac:dyDescent="0.25">
      <c r="A3404" s="118"/>
      <c r="B3404" s="136"/>
    </row>
    <row r="3405" spans="1:2" x14ac:dyDescent="0.25">
      <c r="A3405" s="118"/>
      <c r="B3405" s="136"/>
    </row>
    <row r="3406" spans="1:2" x14ac:dyDescent="0.25">
      <c r="A3406" s="118"/>
      <c r="B3406" s="136"/>
    </row>
    <row r="3407" spans="1:2" x14ac:dyDescent="0.25">
      <c r="A3407" s="118"/>
      <c r="B3407" s="136"/>
    </row>
    <row r="3408" spans="1:2" x14ac:dyDescent="0.25">
      <c r="A3408" s="118"/>
      <c r="B3408" s="136"/>
    </row>
    <row r="3409" spans="1:2" x14ac:dyDescent="0.25">
      <c r="A3409" s="118"/>
      <c r="B3409" s="136"/>
    </row>
    <row r="3410" spans="1:2" x14ac:dyDescent="0.25">
      <c r="A3410" s="118"/>
      <c r="B3410" s="136"/>
    </row>
    <row r="3411" spans="1:2" x14ac:dyDescent="0.25">
      <c r="A3411" s="118"/>
      <c r="B3411" s="136"/>
    </row>
    <row r="3412" spans="1:2" x14ac:dyDescent="0.25">
      <c r="A3412" s="118"/>
      <c r="B3412" s="136"/>
    </row>
    <row r="3413" spans="1:2" x14ac:dyDescent="0.25">
      <c r="A3413" s="118"/>
      <c r="B3413" s="136"/>
    </row>
    <row r="3414" spans="1:2" x14ac:dyDescent="0.25">
      <c r="A3414" s="118"/>
      <c r="B3414" s="136"/>
    </row>
    <row r="3415" spans="1:2" x14ac:dyDescent="0.25">
      <c r="A3415" s="118"/>
      <c r="B3415" s="136"/>
    </row>
    <row r="3416" spans="1:2" x14ac:dyDescent="0.25">
      <c r="A3416" s="118"/>
      <c r="B3416" s="136"/>
    </row>
    <row r="3417" spans="1:2" x14ac:dyDescent="0.25">
      <c r="A3417" s="118"/>
      <c r="B3417" s="136"/>
    </row>
    <row r="3418" spans="1:2" x14ac:dyDescent="0.25">
      <c r="A3418" s="118"/>
      <c r="B3418" s="136"/>
    </row>
    <row r="3419" spans="1:2" x14ac:dyDescent="0.25">
      <c r="A3419" s="118"/>
      <c r="B3419" s="136"/>
    </row>
    <row r="3420" spans="1:2" x14ac:dyDescent="0.25">
      <c r="A3420" s="118"/>
      <c r="B3420" s="136"/>
    </row>
    <row r="3421" spans="1:2" x14ac:dyDescent="0.25">
      <c r="A3421" s="118"/>
      <c r="B3421" s="136"/>
    </row>
    <row r="3422" spans="1:2" x14ac:dyDescent="0.25">
      <c r="A3422" s="118"/>
      <c r="B3422" s="136"/>
    </row>
    <row r="3423" spans="1:2" x14ac:dyDescent="0.25">
      <c r="A3423" s="118"/>
      <c r="B3423" s="136"/>
    </row>
    <row r="3424" spans="1:2" x14ac:dyDescent="0.25">
      <c r="A3424" s="118"/>
      <c r="B3424" s="136"/>
    </row>
    <row r="3425" spans="1:2" x14ac:dyDescent="0.25">
      <c r="A3425" s="118"/>
      <c r="B3425" s="136"/>
    </row>
    <row r="3426" spans="1:2" x14ac:dyDescent="0.25">
      <c r="A3426" s="118"/>
      <c r="B3426" s="136"/>
    </row>
    <row r="3427" spans="1:2" x14ac:dyDescent="0.25">
      <c r="A3427" s="118"/>
      <c r="B3427" s="136"/>
    </row>
    <row r="3428" spans="1:2" x14ac:dyDescent="0.25">
      <c r="A3428" s="118"/>
      <c r="B3428" s="136"/>
    </row>
    <row r="3429" spans="1:2" x14ac:dyDescent="0.25">
      <c r="A3429" s="118"/>
      <c r="B3429" s="136"/>
    </row>
    <row r="3430" spans="1:2" x14ac:dyDescent="0.25">
      <c r="A3430" s="118"/>
      <c r="B3430" s="136"/>
    </row>
    <row r="3431" spans="1:2" x14ac:dyDescent="0.25">
      <c r="A3431" s="118"/>
      <c r="B3431" s="136"/>
    </row>
    <row r="3432" spans="1:2" x14ac:dyDescent="0.25">
      <c r="A3432" s="118"/>
      <c r="B3432" s="136"/>
    </row>
    <row r="3433" spans="1:2" x14ac:dyDescent="0.25">
      <c r="A3433" s="118"/>
      <c r="B3433" s="136"/>
    </row>
    <row r="3434" spans="1:2" x14ac:dyDescent="0.25">
      <c r="A3434" s="118"/>
      <c r="B3434" s="136"/>
    </row>
    <row r="3435" spans="1:2" x14ac:dyDescent="0.25">
      <c r="A3435" s="118"/>
      <c r="B3435" s="136"/>
    </row>
    <row r="3436" spans="1:2" x14ac:dyDescent="0.25">
      <c r="A3436" s="118"/>
      <c r="B3436" s="136"/>
    </row>
    <row r="3437" spans="1:2" x14ac:dyDescent="0.25">
      <c r="A3437" s="118"/>
      <c r="B3437" s="136"/>
    </row>
    <row r="3438" spans="1:2" x14ac:dyDescent="0.25">
      <c r="A3438" s="118"/>
      <c r="B3438" s="136"/>
    </row>
    <row r="3439" spans="1:2" x14ac:dyDescent="0.25">
      <c r="A3439" s="118"/>
      <c r="B3439" s="136"/>
    </row>
    <row r="3440" spans="1:2" x14ac:dyDescent="0.25">
      <c r="A3440" s="118"/>
      <c r="B3440" s="136"/>
    </row>
    <row r="3441" spans="1:2" x14ac:dyDescent="0.25">
      <c r="A3441" s="118"/>
      <c r="B3441" s="136"/>
    </row>
    <row r="3442" spans="1:2" x14ac:dyDescent="0.25">
      <c r="A3442" s="118"/>
      <c r="B3442" s="136"/>
    </row>
    <row r="3443" spans="1:2" x14ac:dyDescent="0.25">
      <c r="A3443" s="118"/>
      <c r="B3443" s="136"/>
    </row>
    <row r="3444" spans="1:2" x14ac:dyDescent="0.25">
      <c r="A3444" s="118"/>
      <c r="B3444" s="136"/>
    </row>
    <row r="3445" spans="1:2" x14ac:dyDescent="0.25">
      <c r="A3445" s="118"/>
      <c r="B3445" s="136"/>
    </row>
    <row r="3446" spans="1:2" x14ac:dyDescent="0.25">
      <c r="A3446" s="118"/>
      <c r="B3446" s="136"/>
    </row>
    <row r="3447" spans="1:2" x14ac:dyDescent="0.25">
      <c r="A3447" s="118"/>
      <c r="B3447" s="136"/>
    </row>
    <row r="3448" spans="1:2" x14ac:dyDescent="0.25">
      <c r="A3448" s="118"/>
      <c r="B3448" s="136"/>
    </row>
    <row r="3449" spans="1:2" x14ac:dyDescent="0.25">
      <c r="A3449" s="118"/>
      <c r="B3449" s="136"/>
    </row>
    <row r="3450" spans="1:2" x14ac:dyDescent="0.25">
      <c r="A3450" s="118"/>
      <c r="B3450" s="136"/>
    </row>
    <row r="3451" spans="1:2" x14ac:dyDescent="0.25">
      <c r="A3451" s="118"/>
      <c r="B3451" s="136"/>
    </row>
    <row r="3452" spans="1:2" x14ac:dyDescent="0.25">
      <c r="A3452" s="118"/>
      <c r="B3452" s="136"/>
    </row>
    <row r="3453" spans="1:2" x14ac:dyDescent="0.25">
      <c r="A3453" s="118"/>
      <c r="B3453" s="136"/>
    </row>
    <row r="3454" spans="1:2" x14ac:dyDescent="0.25">
      <c r="A3454" s="118"/>
      <c r="B3454" s="136"/>
    </row>
    <row r="3455" spans="1:2" x14ac:dyDescent="0.25">
      <c r="A3455" s="118"/>
      <c r="B3455" s="136"/>
    </row>
    <row r="3456" spans="1:2" x14ac:dyDescent="0.25">
      <c r="A3456" s="118"/>
      <c r="B3456" s="136"/>
    </row>
    <row r="3457" spans="1:2" x14ac:dyDescent="0.25">
      <c r="A3457" s="118"/>
      <c r="B3457" s="136"/>
    </row>
    <row r="3458" spans="1:2" x14ac:dyDescent="0.25">
      <c r="A3458" s="118"/>
      <c r="B3458" s="136"/>
    </row>
    <row r="3459" spans="1:2" x14ac:dyDescent="0.25">
      <c r="A3459" s="118"/>
      <c r="B3459" s="136"/>
    </row>
    <row r="3460" spans="1:2" x14ac:dyDescent="0.25">
      <c r="A3460" s="118"/>
      <c r="B3460" s="136"/>
    </row>
    <row r="3461" spans="1:2" x14ac:dyDescent="0.25">
      <c r="A3461" s="118"/>
      <c r="B3461" s="136"/>
    </row>
    <row r="3462" spans="1:2" x14ac:dyDescent="0.25">
      <c r="A3462" s="118"/>
      <c r="B3462" s="136"/>
    </row>
    <row r="3463" spans="1:2" x14ac:dyDescent="0.25">
      <c r="A3463" s="118"/>
      <c r="B3463" s="136"/>
    </row>
    <row r="3464" spans="1:2" x14ac:dyDescent="0.25">
      <c r="A3464" s="118"/>
      <c r="B3464" s="136"/>
    </row>
    <row r="3465" spans="1:2" x14ac:dyDescent="0.25">
      <c r="A3465" s="118"/>
      <c r="B3465" s="136"/>
    </row>
    <row r="3466" spans="1:2" x14ac:dyDescent="0.25">
      <c r="A3466" s="118"/>
      <c r="B3466" s="136"/>
    </row>
    <row r="3467" spans="1:2" x14ac:dyDescent="0.25">
      <c r="A3467" s="118"/>
      <c r="B3467" s="136"/>
    </row>
    <row r="3468" spans="1:2" x14ac:dyDescent="0.25">
      <c r="A3468" s="118"/>
      <c r="B3468" s="136"/>
    </row>
    <row r="3469" spans="1:2" x14ac:dyDescent="0.25">
      <c r="A3469" s="118"/>
      <c r="B3469" s="136"/>
    </row>
    <row r="3470" spans="1:2" x14ac:dyDescent="0.25">
      <c r="A3470" s="118"/>
      <c r="B3470" s="136"/>
    </row>
    <row r="3471" spans="1:2" x14ac:dyDescent="0.25">
      <c r="A3471" s="118"/>
      <c r="B3471" s="136"/>
    </row>
    <row r="3472" spans="1:2" x14ac:dyDescent="0.25">
      <c r="A3472" s="118"/>
      <c r="B3472" s="136"/>
    </row>
    <row r="3473" spans="1:2" x14ac:dyDescent="0.25">
      <c r="A3473" s="118"/>
      <c r="B3473" s="136"/>
    </row>
    <row r="3474" spans="1:2" x14ac:dyDescent="0.25">
      <c r="A3474" s="118"/>
      <c r="B3474" s="136"/>
    </row>
    <row r="3475" spans="1:2" x14ac:dyDescent="0.25">
      <c r="A3475" s="118"/>
      <c r="B3475" s="136"/>
    </row>
    <row r="3476" spans="1:2" x14ac:dyDescent="0.25">
      <c r="A3476" s="118"/>
      <c r="B3476" s="136"/>
    </row>
    <row r="3477" spans="1:2" x14ac:dyDescent="0.25">
      <c r="A3477" s="118"/>
      <c r="B3477" s="136"/>
    </row>
    <row r="3478" spans="1:2" x14ac:dyDescent="0.25">
      <c r="A3478" s="118"/>
      <c r="B3478" s="136"/>
    </row>
    <row r="3479" spans="1:2" x14ac:dyDescent="0.25">
      <c r="A3479" s="118"/>
      <c r="B3479" s="136"/>
    </row>
    <row r="3480" spans="1:2" x14ac:dyDescent="0.25">
      <c r="A3480" s="118"/>
      <c r="B3480" s="136"/>
    </row>
    <row r="3481" spans="1:2" x14ac:dyDescent="0.25">
      <c r="A3481" s="118"/>
      <c r="B3481" s="136"/>
    </row>
    <row r="3482" spans="1:2" x14ac:dyDescent="0.25">
      <c r="A3482" s="118"/>
      <c r="B3482" s="136"/>
    </row>
    <row r="3483" spans="1:2" x14ac:dyDescent="0.25">
      <c r="A3483" s="118"/>
      <c r="B3483" s="136"/>
    </row>
    <row r="3484" spans="1:2" x14ac:dyDescent="0.25">
      <c r="A3484" s="118"/>
      <c r="B3484" s="136"/>
    </row>
    <row r="3485" spans="1:2" x14ac:dyDescent="0.25">
      <c r="A3485" s="118"/>
      <c r="B3485" s="136"/>
    </row>
    <row r="3486" spans="1:2" x14ac:dyDescent="0.25">
      <c r="A3486" s="118"/>
      <c r="B3486" s="136"/>
    </row>
    <row r="3487" spans="1:2" x14ac:dyDescent="0.25">
      <c r="A3487" s="118"/>
      <c r="B3487" s="136"/>
    </row>
    <row r="3488" spans="1:2" x14ac:dyDescent="0.25">
      <c r="A3488" s="118"/>
      <c r="B3488" s="136"/>
    </row>
    <row r="3489" spans="1:2" x14ac:dyDescent="0.25">
      <c r="A3489" s="118"/>
      <c r="B3489" s="136"/>
    </row>
    <row r="3490" spans="1:2" x14ac:dyDescent="0.25">
      <c r="A3490" s="118"/>
      <c r="B3490" s="136"/>
    </row>
    <row r="3491" spans="1:2" x14ac:dyDescent="0.25">
      <c r="A3491" s="118"/>
      <c r="B3491" s="136"/>
    </row>
    <row r="3492" spans="1:2" x14ac:dyDescent="0.25">
      <c r="A3492" s="118"/>
      <c r="B3492" s="136"/>
    </row>
    <row r="3493" spans="1:2" x14ac:dyDescent="0.25">
      <c r="A3493" s="118"/>
      <c r="B3493" s="136"/>
    </row>
    <row r="3494" spans="1:2" x14ac:dyDescent="0.25">
      <c r="A3494" s="118"/>
      <c r="B3494" s="136"/>
    </row>
    <row r="3495" spans="1:2" x14ac:dyDescent="0.25">
      <c r="A3495" s="118"/>
      <c r="B3495" s="136"/>
    </row>
    <row r="3496" spans="1:2" x14ac:dyDescent="0.25">
      <c r="A3496" s="118"/>
      <c r="B3496" s="136"/>
    </row>
    <row r="3497" spans="1:2" x14ac:dyDescent="0.25">
      <c r="A3497" s="118"/>
      <c r="B3497" s="136"/>
    </row>
    <row r="3498" spans="1:2" x14ac:dyDescent="0.25">
      <c r="A3498" s="118"/>
      <c r="B3498" s="136"/>
    </row>
    <row r="3499" spans="1:2" x14ac:dyDescent="0.25">
      <c r="A3499" s="118"/>
      <c r="B3499" s="136"/>
    </row>
    <row r="3500" spans="1:2" x14ac:dyDescent="0.25">
      <c r="A3500" s="118"/>
      <c r="B3500" s="136"/>
    </row>
    <row r="3501" spans="1:2" x14ac:dyDescent="0.25">
      <c r="A3501" s="118"/>
      <c r="B3501" s="136"/>
    </row>
    <row r="3502" spans="1:2" x14ac:dyDescent="0.25">
      <c r="A3502" s="118"/>
      <c r="B3502" s="136"/>
    </row>
    <row r="3503" spans="1:2" x14ac:dyDescent="0.25">
      <c r="A3503" s="118"/>
      <c r="B3503" s="136"/>
    </row>
    <row r="3504" spans="1:2" x14ac:dyDescent="0.25">
      <c r="A3504" s="118"/>
      <c r="B3504" s="136"/>
    </row>
    <row r="3505" spans="1:2" x14ac:dyDescent="0.25">
      <c r="A3505" s="118"/>
      <c r="B3505" s="136"/>
    </row>
    <row r="3506" spans="1:2" x14ac:dyDescent="0.25">
      <c r="A3506" s="118"/>
      <c r="B3506" s="136"/>
    </row>
    <row r="3507" spans="1:2" x14ac:dyDescent="0.25">
      <c r="A3507" s="118"/>
      <c r="B3507" s="136"/>
    </row>
    <row r="3508" spans="1:2" x14ac:dyDescent="0.25">
      <c r="A3508" s="118"/>
      <c r="B3508" s="136"/>
    </row>
    <row r="3509" spans="1:2" x14ac:dyDescent="0.25">
      <c r="A3509" s="118"/>
      <c r="B3509" s="136"/>
    </row>
    <row r="3510" spans="1:2" x14ac:dyDescent="0.25">
      <c r="A3510" s="118"/>
      <c r="B3510" s="136"/>
    </row>
    <row r="3511" spans="1:2" x14ac:dyDescent="0.25">
      <c r="A3511" s="118"/>
      <c r="B3511" s="136"/>
    </row>
    <row r="3512" spans="1:2" x14ac:dyDescent="0.25">
      <c r="A3512" s="118"/>
      <c r="B3512" s="136"/>
    </row>
    <row r="3513" spans="1:2" x14ac:dyDescent="0.25">
      <c r="A3513" s="118"/>
      <c r="B3513" s="136"/>
    </row>
    <row r="3514" spans="1:2" x14ac:dyDescent="0.25">
      <c r="A3514" s="118"/>
      <c r="B3514" s="136"/>
    </row>
    <row r="3515" spans="1:2" x14ac:dyDescent="0.25">
      <c r="A3515" s="118"/>
      <c r="B3515" s="136"/>
    </row>
    <row r="3516" spans="1:2" x14ac:dyDescent="0.25">
      <c r="A3516" s="118"/>
      <c r="B3516" s="136"/>
    </row>
    <row r="3517" spans="1:2" x14ac:dyDescent="0.25">
      <c r="A3517" s="118"/>
      <c r="B3517" s="136"/>
    </row>
    <row r="3518" spans="1:2" x14ac:dyDescent="0.25">
      <c r="A3518" s="118"/>
      <c r="B3518" s="136"/>
    </row>
    <row r="3519" spans="1:2" x14ac:dyDescent="0.25">
      <c r="A3519" s="118"/>
      <c r="B3519" s="136"/>
    </row>
    <row r="3520" spans="1:2" x14ac:dyDescent="0.25">
      <c r="A3520" s="118"/>
      <c r="B3520" s="136"/>
    </row>
    <row r="3521" spans="1:2" x14ac:dyDescent="0.25">
      <c r="A3521" s="118"/>
      <c r="B3521" s="136"/>
    </row>
    <row r="3522" spans="1:2" x14ac:dyDescent="0.25">
      <c r="A3522" s="118"/>
      <c r="B3522" s="136"/>
    </row>
    <row r="3523" spans="1:2" x14ac:dyDescent="0.25">
      <c r="A3523" s="118"/>
      <c r="B3523" s="136"/>
    </row>
    <row r="3524" spans="1:2" x14ac:dyDescent="0.25">
      <c r="A3524" s="118"/>
      <c r="B3524" s="136"/>
    </row>
    <row r="3525" spans="1:2" x14ac:dyDescent="0.25">
      <c r="A3525" s="118"/>
      <c r="B3525" s="136"/>
    </row>
    <row r="3526" spans="1:2" x14ac:dyDescent="0.25">
      <c r="A3526" s="118"/>
      <c r="B3526" s="136"/>
    </row>
    <row r="3527" spans="1:2" x14ac:dyDescent="0.25">
      <c r="A3527" s="118"/>
      <c r="B3527" s="136"/>
    </row>
    <row r="3528" spans="1:2" x14ac:dyDescent="0.25">
      <c r="A3528" s="118"/>
      <c r="B3528" s="136"/>
    </row>
    <row r="3529" spans="1:2" x14ac:dyDescent="0.25">
      <c r="A3529" s="118"/>
      <c r="B3529" s="136"/>
    </row>
    <row r="3530" spans="1:2" x14ac:dyDescent="0.25">
      <c r="A3530" s="118"/>
      <c r="B3530" s="136"/>
    </row>
    <row r="3531" spans="1:2" x14ac:dyDescent="0.25">
      <c r="A3531" s="118"/>
      <c r="B3531" s="136"/>
    </row>
    <row r="3532" spans="1:2" x14ac:dyDescent="0.25">
      <c r="A3532" s="118"/>
      <c r="B3532" s="136"/>
    </row>
    <row r="3533" spans="1:2" x14ac:dyDescent="0.25">
      <c r="A3533" s="118"/>
      <c r="B3533" s="136"/>
    </row>
    <row r="3534" spans="1:2" x14ac:dyDescent="0.25">
      <c r="A3534" s="118"/>
      <c r="B3534" s="136"/>
    </row>
    <row r="3535" spans="1:2" x14ac:dyDescent="0.25">
      <c r="A3535" s="118"/>
      <c r="B3535" s="136"/>
    </row>
    <row r="3536" spans="1:2" x14ac:dyDescent="0.25">
      <c r="A3536" s="118"/>
      <c r="B3536" s="136"/>
    </row>
    <row r="3537" spans="1:2" x14ac:dyDescent="0.25">
      <c r="A3537" s="118"/>
      <c r="B3537" s="136"/>
    </row>
    <row r="3538" spans="1:2" x14ac:dyDescent="0.25">
      <c r="A3538" s="118"/>
      <c r="B3538" s="136"/>
    </row>
    <row r="3539" spans="1:2" x14ac:dyDescent="0.25">
      <c r="A3539" s="118"/>
      <c r="B3539" s="136"/>
    </row>
    <row r="3540" spans="1:2" x14ac:dyDescent="0.25">
      <c r="A3540" s="118"/>
      <c r="B3540" s="136"/>
    </row>
    <row r="3541" spans="1:2" x14ac:dyDescent="0.25">
      <c r="A3541" s="118"/>
      <c r="B3541" s="136"/>
    </row>
    <row r="3542" spans="1:2" x14ac:dyDescent="0.25">
      <c r="A3542" s="118"/>
      <c r="B3542" s="136"/>
    </row>
    <row r="3543" spans="1:2" x14ac:dyDescent="0.25">
      <c r="A3543" s="118"/>
      <c r="B3543" s="136"/>
    </row>
    <row r="3544" spans="1:2" x14ac:dyDescent="0.25">
      <c r="A3544" s="118"/>
      <c r="B3544" s="136"/>
    </row>
    <row r="3545" spans="1:2" x14ac:dyDescent="0.25">
      <c r="A3545" s="118"/>
      <c r="B3545" s="136"/>
    </row>
    <row r="3546" spans="1:2" x14ac:dyDescent="0.25">
      <c r="A3546" s="118"/>
      <c r="B3546" s="136"/>
    </row>
    <row r="3547" spans="1:2" x14ac:dyDescent="0.25">
      <c r="A3547" s="118"/>
      <c r="B3547" s="136"/>
    </row>
    <row r="3548" spans="1:2" x14ac:dyDescent="0.25">
      <c r="A3548" s="118"/>
      <c r="B3548" s="136"/>
    </row>
    <row r="3549" spans="1:2" x14ac:dyDescent="0.25">
      <c r="A3549" s="118"/>
      <c r="B3549" s="136"/>
    </row>
    <row r="3550" spans="1:2" x14ac:dyDescent="0.25">
      <c r="A3550" s="118"/>
      <c r="B3550" s="136"/>
    </row>
    <row r="3551" spans="1:2" x14ac:dyDescent="0.25">
      <c r="A3551" s="118"/>
      <c r="B3551" s="136"/>
    </row>
    <row r="3552" spans="1:2" x14ac:dyDescent="0.25">
      <c r="A3552" s="118"/>
      <c r="B3552" s="136"/>
    </row>
    <row r="3553" spans="1:2" x14ac:dyDescent="0.25">
      <c r="A3553" s="118"/>
      <c r="B3553" s="136"/>
    </row>
    <row r="3554" spans="1:2" x14ac:dyDescent="0.25">
      <c r="A3554" s="118"/>
      <c r="B3554" s="136"/>
    </row>
    <row r="3555" spans="1:2" x14ac:dyDescent="0.25">
      <c r="A3555" s="118"/>
      <c r="B3555" s="136"/>
    </row>
    <row r="3556" spans="1:2" x14ac:dyDescent="0.25">
      <c r="A3556" s="118"/>
      <c r="B3556" s="136"/>
    </row>
    <row r="3557" spans="1:2" x14ac:dyDescent="0.25">
      <c r="A3557" s="118"/>
      <c r="B3557" s="136"/>
    </row>
    <row r="3558" spans="1:2" x14ac:dyDescent="0.25">
      <c r="A3558" s="118"/>
      <c r="B3558" s="136"/>
    </row>
    <row r="3559" spans="1:2" x14ac:dyDescent="0.25">
      <c r="A3559" s="118"/>
      <c r="B3559" s="136"/>
    </row>
    <row r="3560" spans="1:2" x14ac:dyDescent="0.25">
      <c r="A3560" s="118"/>
      <c r="B3560" s="136"/>
    </row>
    <row r="3561" spans="1:2" x14ac:dyDescent="0.25">
      <c r="A3561" s="118"/>
      <c r="B3561" s="136"/>
    </row>
    <row r="3562" spans="1:2" x14ac:dyDescent="0.25">
      <c r="A3562" s="118"/>
      <c r="B3562" s="136"/>
    </row>
    <row r="3563" spans="1:2" x14ac:dyDescent="0.25">
      <c r="A3563" s="118"/>
      <c r="B3563" s="136"/>
    </row>
    <row r="3564" spans="1:2" x14ac:dyDescent="0.25">
      <c r="A3564" s="118"/>
      <c r="B3564" s="136"/>
    </row>
    <row r="3565" spans="1:2" x14ac:dyDescent="0.25">
      <c r="A3565" s="118"/>
      <c r="B3565" s="136"/>
    </row>
    <row r="3566" spans="1:2" x14ac:dyDescent="0.25">
      <c r="A3566" s="118"/>
      <c r="B3566" s="136"/>
    </row>
    <row r="3567" spans="1:2" x14ac:dyDescent="0.25">
      <c r="A3567" s="118"/>
      <c r="B3567" s="136"/>
    </row>
    <row r="3568" spans="1:2" x14ac:dyDescent="0.25">
      <c r="A3568" s="118"/>
      <c r="B3568" s="136"/>
    </row>
    <row r="3569" spans="1:2" x14ac:dyDescent="0.25">
      <c r="A3569" s="118"/>
      <c r="B3569" s="136"/>
    </row>
    <row r="3570" spans="1:2" x14ac:dyDescent="0.25">
      <c r="A3570" s="118"/>
      <c r="B3570" s="136"/>
    </row>
    <row r="3571" spans="1:2" x14ac:dyDescent="0.25">
      <c r="A3571" s="118"/>
      <c r="B3571" s="136"/>
    </row>
    <row r="3572" spans="1:2" x14ac:dyDescent="0.25">
      <c r="A3572" s="118"/>
      <c r="B3572" s="136"/>
    </row>
    <row r="3573" spans="1:2" x14ac:dyDescent="0.25">
      <c r="A3573" s="118"/>
      <c r="B3573" s="136"/>
    </row>
    <row r="3574" spans="1:2" x14ac:dyDescent="0.25">
      <c r="A3574" s="118"/>
      <c r="B3574" s="136"/>
    </row>
    <row r="3575" spans="1:2" x14ac:dyDescent="0.25">
      <c r="A3575" s="118"/>
      <c r="B3575" s="136"/>
    </row>
    <row r="3576" spans="1:2" x14ac:dyDescent="0.25">
      <c r="A3576" s="118"/>
      <c r="B3576" s="136"/>
    </row>
    <row r="3577" spans="1:2" x14ac:dyDescent="0.25">
      <c r="A3577" s="118"/>
      <c r="B3577" s="136"/>
    </row>
    <row r="3578" spans="1:2" x14ac:dyDescent="0.25">
      <c r="A3578" s="118"/>
      <c r="B3578" s="136"/>
    </row>
    <row r="3579" spans="1:2" x14ac:dyDescent="0.25">
      <c r="A3579" s="118"/>
      <c r="B3579" s="136"/>
    </row>
    <row r="3580" spans="1:2" x14ac:dyDescent="0.25">
      <c r="A3580" s="118"/>
      <c r="B3580" s="136"/>
    </row>
    <row r="3581" spans="1:2" x14ac:dyDescent="0.25">
      <c r="A3581" s="118"/>
      <c r="B3581" s="136"/>
    </row>
    <row r="3582" spans="1:2" x14ac:dyDescent="0.25">
      <c r="A3582" s="118"/>
      <c r="B3582" s="136"/>
    </row>
    <row r="3583" spans="1:2" x14ac:dyDescent="0.25">
      <c r="A3583" s="118"/>
      <c r="B3583" s="136"/>
    </row>
    <row r="3584" spans="1:2" x14ac:dyDescent="0.25">
      <c r="A3584" s="118"/>
      <c r="B3584" s="136"/>
    </row>
    <row r="3585" spans="1:2" x14ac:dyDescent="0.25">
      <c r="A3585" s="118"/>
      <c r="B3585" s="136"/>
    </row>
    <row r="3586" spans="1:2" x14ac:dyDescent="0.25">
      <c r="A3586" s="118"/>
      <c r="B3586" s="136"/>
    </row>
    <row r="3587" spans="1:2" x14ac:dyDescent="0.25">
      <c r="A3587" s="118"/>
      <c r="B3587" s="136"/>
    </row>
    <row r="3588" spans="1:2" x14ac:dyDescent="0.25">
      <c r="A3588" s="118"/>
      <c r="B3588" s="136"/>
    </row>
    <row r="3589" spans="1:2" x14ac:dyDescent="0.25">
      <c r="A3589" s="118"/>
      <c r="B3589" s="136"/>
    </row>
    <row r="3590" spans="1:2" x14ac:dyDescent="0.25">
      <c r="A3590" s="118"/>
      <c r="B3590" s="136"/>
    </row>
    <row r="3591" spans="1:2" x14ac:dyDescent="0.25">
      <c r="A3591" s="118"/>
      <c r="B3591" s="136"/>
    </row>
    <row r="3592" spans="1:2" x14ac:dyDescent="0.25">
      <c r="A3592" s="118"/>
      <c r="B3592" s="136"/>
    </row>
    <row r="3593" spans="1:2" x14ac:dyDescent="0.25">
      <c r="A3593" s="118"/>
      <c r="B3593" s="136"/>
    </row>
    <row r="3594" spans="1:2" x14ac:dyDescent="0.25">
      <c r="A3594" s="118"/>
      <c r="B3594" s="136"/>
    </row>
    <row r="3595" spans="1:2" x14ac:dyDescent="0.25">
      <c r="A3595" s="118"/>
      <c r="B3595" s="136"/>
    </row>
    <row r="3596" spans="1:2" x14ac:dyDescent="0.25">
      <c r="A3596" s="118"/>
      <c r="B3596" s="136"/>
    </row>
    <row r="3597" spans="1:2" x14ac:dyDescent="0.25">
      <c r="A3597" s="118"/>
      <c r="B3597" s="136"/>
    </row>
    <row r="3598" spans="1:2" x14ac:dyDescent="0.25">
      <c r="A3598" s="118"/>
      <c r="B3598" s="136"/>
    </row>
    <row r="3599" spans="1:2" x14ac:dyDescent="0.25">
      <c r="A3599" s="118"/>
      <c r="B3599" s="136"/>
    </row>
    <row r="3600" spans="1:2" x14ac:dyDescent="0.25">
      <c r="A3600" s="118"/>
      <c r="B3600" s="136"/>
    </row>
    <row r="3601" spans="1:2" x14ac:dyDescent="0.25">
      <c r="A3601" s="118"/>
      <c r="B3601" s="136"/>
    </row>
    <row r="3602" spans="1:2" x14ac:dyDescent="0.25">
      <c r="A3602" s="118"/>
      <c r="B3602" s="136"/>
    </row>
    <row r="3603" spans="1:2" x14ac:dyDescent="0.25">
      <c r="A3603" s="118"/>
      <c r="B3603" s="136"/>
    </row>
    <row r="3604" spans="1:2" x14ac:dyDescent="0.25">
      <c r="A3604" s="118"/>
      <c r="B3604" s="136"/>
    </row>
    <row r="3605" spans="1:2" x14ac:dyDescent="0.25">
      <c r="A3605" s="118"/>
      <c r="B3605" s="136"/>
    </row>
    <row r="3606" spans="1:2" x14ac:dyDescent="0.25">
      <c r="A3606" s="118"/>
      <c r="B3606" s="136"/>
    </row>
    <row r="3607" spans="1:2" x14ac:dyDescent="0.25">
      <c r="A3607" s="118"/>
      <c r="B3607" s="136"/>
    </row>
    <row r="3608" spans="1:2" x14ac:dyDescent="0.25">
      <c r="A3608" s="118"/>
      <c r="B3608" s="136"/>
    </row>
    <row r="3609" spans="1:2" x14ac:dyDescent="0.25">
      <c r="A3609" s="118"/>
      <c r="B3609" s="136"/>
    </row>
    <row r="3610" spans="1:2" x14ac:dyDescent="0.25">
      <c r="A3610" s="118"/>
      <c r="B3610" s="136"/>
    </row>
    <row r="3611" spans="1:2" x14ac:dyDescent="0.25">
      <c r="A3611" s="118"/>
      <c r="B3611" s="136"/>
    </row>
    <row r="3612" spans="1:2" x14ac:dyDescent="0.25">
      <c r="A3612" s="118"/>
      <c r="B3612" s="136"/>
    </row>
    <row r="3613" spans="1:2" x14ac:dyDescent="0.25">
      <c r="A3613" s="118"/>
      <c r="B3613" s="136"/>
    </row>
    <row r="3614" spans="1:2" x14ac:dyDescent="0.25">
      <c r="A3614" s="118"/>
      <c r="B3614" s="136"/>
    </row>
    <row r="3615" spans="1:2" x14ac:dyDescent="0.25">
      <c r="A3615" s="118"/>
      <c r="B3615" s="136"/>
    </row>
    <row r="3616" spans="1:2" x14ac:dyDescent="0.25">
      <c r="A3616" s="118"/>
      <c r="B3616" s="136"/>
    </row>
    <row r="3617" spans="1:2" x14ac:dyDescent="0.25">
      <c r="A3617" s="118"/>
      <c r="B3617" s="136"/>
    </row>
    <row r="3618" spans="1:2" x14ac:dyDescent="0.25">
      <c r="A3618" s="118"/>
      <c r="B3618" s="136"/>
    </row>
    <row r="3619" spans="1:2" x14ac:dyDescent="0.25">
      <c r="A3619" s="118"/>
      <c r="B3619" s="136"/>
    </row>
    <row r="3620" spans="1:2" x14ac:dyDescent="0.25">
      <c r="A3620" s="118"/>
      <c r="B3620" s="136"/>
    </row>
    <row r="3621" spans="1:2" x14ac:dyDescent="0.25">
      <c r="A3621" s="118"/>
      <c r="B3621" s="136"/>
    </row>
    <row r="3622" spans="1:2" x14ac:dyDescent="0.25">
      <c r="A3622" s="118"/>
      <c r="B3622" s="136"/>
    </row>
    <row r="3623" spans="1:2" x14ac:dyDescent="0.25">
      <c r="A3623" s="118"/>
      <c r="B3623" s="136"/>
    </row>
    <row r="3624" spans="1:2" x14ac:dyDescent="0.25">
      <c r="A3624" s="118"/>
      <c r="B3624" s="136"/>
    </row>
    <row r="3625" spans="1:2" x14ac:dyDescent="0.25">
      <c r="A3625" s="118"/>
      <c r="B3625" s="136"/>
    </row>
    <row r="3626" spans="1:2" x14ac:dyDescent="0.25">
      <c r="A3626" s="118"/>
      <c r="B3626" s="136"/>
    </row>
    <row r="3627" spans="1:2" x14ac:dyDescent="0.25">
      <c r="A3627" s="118"/>
      <c r="B3627" s="136"/>
    </row>
    <row r="3628" spans="1:2" x14ac:dyDescent="0.25">
      <c r="A3628" s="118"/>
      <c r="B3628" s="136"/>
    </row>
    <row r="3629" spans="1:2" x14ac:dyDescent="0.25">
      <c r="A3629" s="118"/>
      <c r="B3629" s="136"/>
    </row>
    <row r="3630" spans="1:2" x14ac:dyDescent="0.25">
      <c r="A3630" s="118"/>
      <c r="B3630" s="136"/>
    </row>
    <row r="3631" spans="1:2" x14ac:dyDescent="0.25">
      <c r="A3631" s="118"/>
      <c r="B3631" s="136"/>
    </row>
    <row r="3632" spans="1:2" x14ac:dyDescent="0.25">
      <c r="A3632" s="118"/>
      <c r="B3632" s="136"/>
    </row>
    <row r="3633" spans="1:2" x14ac:dyDescent="0.25">
      <c r="A3633" s="118"/>
      <c r="B3633" s="136"/>
    </row>
    <row r="3634" spans="1:2" x14ac:dyDescent="0.25">
      <c r="A3634" s="118"/>
      <c r="B3634" s="136"/>
    </row>
    <row r="3635" spans="1:2" x14ac:dyDescent="0.25">
      <c r="A3635" s="118"/>
      <c r="B3635" s="136"/>
    </row>
    <row r="3636" spans="1:2" x14ac:dyDescent="0.25">
      <c r="A3636" s="118"/>
      <c r="B3636" s="136"/>
    </row>
    <row r="3637" spans="1:2" x14ac:dyDescent="0.25">
      <c r="A3637" s="118"/>
      <c r="B3637" s="136"/>
    </row>
    <row r="3638" spans="1:2" x14ac:dyDescent="0.25">
      <c r="A3638" s="118"/>
      <c r="B3638" s="136"/>
    </row>
    <row r="3639" spans="1:2" x14ac:dyDescent="0.25">
      <c r="A3639" s="118"/>
      <c r="B3639" s="136"/>
    </row>
    <row r="3640" spans="1:2" x14ac:dyDescent="0.25">
      <c r="A3640" s="118"/>
      <c r="B3640" s="136"/>
    </row>
    <row r="3641" spans="1:2" x14ac:dyDescent="0.25">
      <c r="A3641" s="118"/>
      <c r="B3641" s="136"/>
    </row>
    <row r="3642" spans="1:2" x14ac:dyDescent="0.25">
      <c r="A3642" s="118"/>
      <c r="B3642" s="136"/>
    </row>
    <row r="3643" spans="1:2" x14ac:dyDescent="0.25">
      <c r="A3643" s="118"/>
      <c r="B3643" s="136"/>
    </row>
    <row r="3644" spans="1:2" x14ac:dyDescent="0.25">
      <c r="A3644" s="118"/>
      <c r="B3644" s="136"/>
    </row>
    <row r="3645" spans="1:2" x14ac:dyDescent="0.25">
      <c r="A3645" s="118"/>
      <c r="B3645" s="136"/>
    </row>
    <row r="3646" spans="1:2" x14ac:dyDescent="0.25">
      <c r="A3646" s="118"/>
      <c r="B3646" s="136"/>
    </row>
    <row r="3647" spans="1:2" x14ac:dyDescent="0.25">
      <c r="A3647" s="118"/>
      <c r="B3647" s="136"/>
    </row>
    <row r="3648" spans="1:2" x14ac:dyDescent="0.25">
      <c r="A3648" s="118"/>
      <c r="B3648" s="136"/>
    </row>
    <row r="3649" spans="1:2" x14ac:dyDescent="0.25">
      <c r="A3649" s="118"/>
      <c r="B3649" s="136"/>
    </row>
    <row r="3650" spans="1:2" x14ac:dyDescent="0.25">
      <c r="A3650" s="118"/>
      <c r="B3650" s="136"/>
    </row>
    <row r="3651" spans="1:2" x14ac:dyDescent="0.25">
      <c r="A3651" s="118"/>
      <c r="B3651" s="136"/>
    </row>
    <row r="3652" spans="1:2" x14ac:dyDescent="0.25">
      <c r="A3652" s="118"/>
      <c r="B3652" s="136"/>
    </row>
    <row r="3653" spans="1:2" x14ac:dyDescent="0.25">
      <c r="A3653" s="118"/>
      <c r="B3653" s="136"/>
    </row>
    <row r="3654" spans="1:2" x14ac:dyDescent="0.25">
      <c r="A3654" s="118"/>
      <c r="B3654" s="136"/>
    </row>
    <row r="3655" spans="1:2" x14ac:dyDescent="0.25">
      <c r="A3655" s="118"/>
      <c r="B3655" s="136"/>
    </row>
    <row r="3656" spans="1:2" x14ac:dyDescent="0.25">
      <c r="A3656" s="118"/>
      <c r="B3656" s="136"/>
    </row>
    <row r="3657" spans="1:2" x14ac:dyDescent="0.25">
      <c r="A3657" s="118"/>
      <c r="B3657" s="136"/>
    </row>
    <row r="3658" spans="1:2" x14ac:dyDescent="0.25">
      <c r="A3658" s="118"/>
      <c r="B3658" s="136"/>
    </row>
    <row r="3659" spans="1:2" x14ac:dyDescent="0.25">
      <c r="A3659" s="118"/>
      <c r="B3659" s="136"/>
    </row>
    <row r="3660" spans="1:2" x14ac:dyDescent="0.25">
      <c r="A3660" s="118"/>
      <c r="B3660" s="136"/>
    </row>
    <row r="3661" spans="1:2" x14ac:dyDescent="0.25">
      <c r="A3661" s="118"/>
      <c r="B3661" s="136"/>
    </row>
    <row r="3662" spans="1:2" x14ac:dyDescent="0.25">
      <c r="A3662" s="118"/>
      <c r="B3662" s="136"/>
    </row>
    <row r="3663" spans="1:2" x14ac:dyDescent="0.25">
      <c r="A3663" s="118"/>
      <c r="B3663" s="136"/>
    </row>
    <row r="3664" spans="1:2" x14ac:dyDescent="0.25">
      <c r="A3664" s="118"/>
      <c r="B3664" s="136"/>
    </row>
    <row r="3665" spans="1:2" x14ac:dyDescent="0.25">
      <c r="A3665" s="118"/>
      <c r="B3665" s="136"/>
    </row>
    <row r="3666" spans="1:2" x14ac:dyDescent="0.25">
      <c r="A3666" s="118"/>
      <c r="B3666" s="136"/>
    </row>
    <row r="3667" spans="1:2" x14ac:dyDescent="0.25">
      <c r="A3667" s="118"/>
      <c r="B3667" s="136"/>
    </row>
    <row r="3668" spans="1:2" x14ac:dyDescent="0.25">
      <c r="A3668" s="118"/>
      <c r="B3668" s="136"/>
    </row>
    <row r="3669" spans="1:2" x14ac:dyDescent="0.25">
      <c r="A3669" s="118"/>
      <c r="B3669" s="136"/>
    </row>
    <row r="3670" spans="1:2" x14ac:dyDescent="0.25">
      <c r="A3670" s="118"/>
      <c r="B3670" s="136"/>
    </row>
    <row r="3671" spans="1:2" x14ac:dyDescent="0.25">
      <c r="A3671" s="118"/>
      <c r="B3671" s="136"/>
    </row>
    <row r="3672" spans="1:2" x14ac:dyDescent="0.25">
      <c r="A3672" s="118"/>
      <c r="B3672" s="136"/>
    </row>
    <row r="3673" spans="1:2" x14ac:dyDescent="0.25">
      <c r="A3673" s="118"/>
      <c r="B3673" s="136"/>
    </row>
    <row r="3674" spans="1:2" x14ac:dyDescent="0.25">
      <c r="A3674" s="118"/>
      <c r="B3674" s="136"/>
    </row>
    <row r="3675" spans="1:2" x14ac:dyDescent="0.25">
      <c r="A3675" s="118"/>
      <c r="B3675" s="136"/>
    </row>
    <row r="3676" spans="1:2" x14ac:dyDescent="0.25">
      <c r="A3676" s="118"/>
      <c r="B3676" s="136"/>
    </row>
    <row r="3677" spans="1:2" x14ac:dyDescent="0.25">
      <c r="A3677" s="118"/>
      <c r="B3677" s="136"/>
    </row>
    <row r="3678" spans="1:2" x14ac:dyDescent="0.25">
      <c r="A3678" s="118"/>
      <c r="B3678" s="136"/>
    </row>
    <row r="3679" spans="1:2" x14ac:dyDescent="0.25">
      <c r="A3679" s="118"/>
      <c r="B3679" s="136"/>
    </row>
    <row r="3680" spans="1:2" x14ac:dyDescent="0.25">
      <c r="A3680" s="118"/>
      <c r="B3680" s="136"/>
    </row>
    <row r="3681" spans="1:2" x14ac:dyDescent="0.25">
      <c r="A3681" s="118"/>
      <c r="B3681" s="136"/>
    </row>
    <row r="3682" spans="1:2" x14ac:dyDescent="0.25">
      <c r="A3682" s="118"/>
      <c r="B3682" s="136"/>
    </row>
    <row r="3683" spans="1:2" x14ac:dyDescent="0.25">
      <c r="A3683" s="118"/>
      <c r="B3683" s="136"/>
    </row>
    <row r="3684" spans="1:2" x14ac:dyDescent="0.25">
      <c r="A3684" s="118"/>
      <c r="B3684" s="136"/>
    </row>
    <row r="3685" spans="1:2" x14ac:dyDescent="0.25">
      <c r="A3685" s="118"/>
      <c r="B3685" s="136"/>
    </row>
    <row r="3686" spans="1:2" x14ac:dyDescent="0.25">
      <c r="A3686" s="118"/>
      <c r="B3686" s="136"/>
    </row>
    <row r="3687" spans="1:2" x14ac:dyDescent="0.25">
      <c r="A3687" s="118"/>
      <c r="B3687" s="136"/>
    </row>
    <row r="3688" spans="1:2" x14ac:dyDescent="0.25">
      <c r="A3688" s="118"/>
      <c r="B3688" s="136"/>
    </row>
    <row r="3689" spans="1:2" x14ac:dyDescent="0.25">
      <c r="A3689" s="118"/>
      <c r="B3689" s="136"/>
    </row>
    <row r="3690" spans="1:2" x14ac:dyDescent="0.25">
      <c r="A3690" s="118"/>
      <c r="B3690" s="136"/>
    </row>
    <row r="3691" spans="1:2" x14ac:dyDescent="0.25">
      <c r="A3691" s="118"/>
      <c r="B3691" s="136"/>
    </row>
    <row r="3692" spans="1:2" x14ac:dyDescent="0.25">
      <c r="A3692" s="118"/>
      <c r="B3692" s="136"/>
    </row>
    <row r="3693" spans="1:2" x14ac:dyDescent="0.25">
      <c r="A3693" s="118"/>
      <c r="B3693" s="136"/>
    </row>
    <row r="3694" spans="1:2" x14ac:dyDescent="0.25">
      <c r="A3694" s="118"/>
      <c r="B3694" s="136"/>
    </row>
    <row r="3695" spans="1:2" x14ac:dyDescent="0.25">
      <c r="A3695" s="118"/>
      <c r="B3695" s="136"/>
    </row>
    <row r="3696" spans="1:2" x14ac:dyDescent="0.25">
      <c r="A3696" s="118"/>
      <c r="B3696" s="136"/>
    </row>
    <row r="3697" spans="1:2" x14ac:dyDescent="0.25">
      <c r="A3697" s="118"/>
      <c r="B3697" s="136"/>
    </row>
    <row r="3698" spans="1:2" x14ac:dyDescent="0.25">
      <c r="A3698" s="118"/>
      <c r="B3698" s="136"/>
    </row>
    <row r="3699" spans="1:2" x14ac:dyDescent="0.25">
      <c r="A3699" s="118"/>
      <c r="B3699" s="136"/>
    </row>
    <row r="3700" spans="1:2" x14ac:dyDescent="0.25">
      <c r="A3700" s="118"/>
      <c r="B3700" s="136"/>
    </row>
    <row r="3701" spans="1:2" x14ac:dyDescent="0.25">
      <c r="A3701" s="118"/>
      <c r="B3701" s="136"/>
    </row>
    <row r="3702" spans="1:2" x14ac:dyDescent="0.25">
      <c r="A3702" s="118"/>
      <c r="B3702" s="136"/>
    </row>
    <row r="3703" spans="1:2" x14ac:dyDescent="0.25">
      <c r="A3703" s="118"/>
      <c r="B3703" s="136"/>
    </row>
    <row r="3704" spans="1:2" x14ac:dyDescent="0.25">
      <c r="A3704" s="118"/>
      <c r="B3704" s="136"/>
    </row>
    <row r="3705" spans="1:2" x14ac:dyDescent="0.25">
      <c r="A3705" s="118"/>
      <c r="B3705" s="136"/>
    </row>
    <row r="3706" spans="1:2" x14ac:dyDescent="0.25">
      <c r="A3706" s="118"/>
      <c r="B3706" s="136"/>
    </row>
    <row r="3707" spans="1:2" x14ac:dyDescent="0.25">
      <c r="A3707" s="118"/>
      <c r="B3707" s="136"/>
    </row>
    <row r="3708" spans="1:2" x14ac:dyDescent="0.25">
      <c r="A3708" s="118"/>
      <c r="B3708" s="136"/>
    </row>
    <row r="3709" spans="1:2" x14ac:dyDescent="0.25">
      <c r="A3709" s="118"/>
      <c r="B3709" s="136"/>
    </row>
    <row r="3710" spans="1:2" x14ac:dyDescent="0.25">
      <c r="A3710" s="118"/>
      <c r="B3710" s="136"/>
    </row>
    <row r="3711" spans="1:2" x14ac:dyDescent="0.25">
      <c r="A3711" s="118"/>
      <c r="B3711" s="136"/>
    </row>
    <row r="3712" spans="1:2" x14ac:dyDescent="0.25">
      <c r="A3712" s="118"/>
      <c r="B3712" s="136"/>
    </row>
    <row r="3713" spans="1:2" x14ac:dyDescent="0.25">
      <c r="A3713" s="118"/>
      <c r="B3713" s="136"/>
    </row>
    <row r="3714" spans="1:2" x14ac:dyDescent="0.25">
      <c r="A3714" s="118"/>
      <c r="B3714" s="136"/>
    </row>
    <row r="3715" spans="1:2" x14ac:dyDescent="0.25">
      <c r="A3715" s="118"/>
      <c r="B3715" s="136"/>
    </row>
    <row r="3716" spans="1:2" x14ac:dyDescent="0.25">
      <c r="A3716" s="118"/>
      <c r="B3716" s="136"/>
    </row>
    <row r="3717" spans="1:2" x14ac:dyDescent="0.25">
      <c r="A3717" s="118"/>
      <c r="B3717" s="136"/>
    </row>
    <row r="3718" spans="1:2" x14ac:dyDescent="0.25">
      <c r="A3718" s="118"/>
      <c r="B3718" s="136"/>
    </row>
    <row r="3719" spans="1:2" x14ac:dyDescent="0.25">
      <c r="A3719" s="118"/>
      <c r="B3719" s="136"/>
    </row>
    <row r="3720" spans="1:2" x14ac:dyDescent="0.25">
      <c r="A3720" s="118"/>
      <c r="B3720" s="136"/>
    </row>
    <row r="3721" spans="1:2" x14ac:dyDescent="0.25">
      <c r="A3721" s="118"/>
      <c r="B3721" s="136"/>
    </row>
    <row r="3722" spans="1:2" x14ac:dyDescent="0.25">
      <c r="A3722" s="118"/>
      <c r="B3722" s="136"/>
    </row>
    <row r="3723" spans="1:2" x14ac:dyDescent="0.25">
      <c r="A3723" s="118"/>
      <c r="B3723" s="136"/>
    </row>
    <row r="3724" spans="1:2" x14ac:dyDescent="0.25">
      <c r="A3724" s="118"/>
      <c r="B3724" s="136"/>
    </row>
    <row r="3725" spans="1:2" x14ac:dyDescent="0.25">
      <c r="A3725" s="118"/>
      <c r="B3725" s="136"/>
    </row>
    <row r="3726" spans="1:2" x14ac:dyDescent="0.25">
      <c r="A3726" s="118"/>
      <c r="B3726" s="136"/>
    </row>
    <row r="3727" spans="1:2" x14ac:dyDescent="0.25">
      <c r="A3727" s="118"/>
      <c r="B3727" s="136"/>
    </row>
    <row r="3728" spans="1:2" x14ac:dyDescent="0.25">
      <c r="A3728" s="118"/>
      <c r="B3728" s="136"/>
    </row>
    <row r="3729" spans="1:2" x14ac:dyDescent="0.25">
      <c r="A3729" s="118"/>
      <c r="B3729" s="136"/>
    </row>
    <row r="3730" spans="1:2" x14ac:dyDescent="0.25">
      <c r="A3730" s="118"/>
      <c r="B3730" s="136"/>
    </row>
    <row r="3731" spans="1:2" x14ac:dyDescent="0.25">
      <c r="A3731" s="118"/>
      <c r="B3731" s="136"/>
    </row>
    <row r="3732" spans="1:2" x14ac:dyDescent="0.25">
      <c r="A3732" s="118"/>
      <c r="B3732" s="136"/>
    </row>
    <row r="3733" spans="1:2" x14ac:dyDescent="0.25">
      <c r="A3733" s="118"/>
      <c r="B3733" s="136"/>
    </row>
    <row r="3734" spans="1:2" x14ac:dyDescent="0.25">
      <c r="A3734" s="118"/>
      <c r="B3734" s="136"/>
    </row>
    <row r="3735" spans="1:2" x14ac:dyDescent="0.25">
      <c r="A3735" s="118"/>
      <c r="B3735" s="136"/>
    </row>
    <row r="3736" spans="1:2" x14ac:dyDescent="0.25">
      <c r="A3736" s="118"/>
      <c r="B3736" s="136"/>
    </row>
    <row r="3737" spans="1:2" x14ac:dyDescent="0.25">
      <c r="A3737" s="118"/>
      <c r="B3737" s="136"/>
    </row>
    <row r="3738" spans="1:2" x14ac:dyDescent="0.25">
      <c r="A3738" s="118"/>
      <c r="B3738" s="136"/>
    </row>
    <row r="3739" spans="1:2" x14ac:dyDescent="0.25">
      <c r="A3739" s="118"/>
      <c r="B3739" s="136"/>
    </row>
    <row r="3740" spans="1:2" x14ac:dyDescent="0.25">
      <c r="A3740" s="118"/>
      <c r="B3740" s="136"/>
    </row>
    <row r="3741" spans="1:2" x14ac:dyDescent="0.25">
      <c r="A3741" s="118"/>
      <c r="B3741" s="136"/>
    </row>
    <row r="3742" spans="1:2" x14ac:dyDescent="0.25">
      <c r="A3742" s="118"/>
      <c r="B3742" s="136"/>
    </row>
    <row r="3743" spans="1:2" x14ac:dyDescent="0.25">
      <c r="A3743" s="118"/>
      <c r="B3743" s="136"/>
    </row>
    <row r="3744" spans="1:2" x14ac:dyDescent="0.25">
      <c r="A3744" s="118"/>
      <c r="B3744" s="136"/>
    </row>
    <row r="3745" spans="1:2" x14ac:dyDescent="0.25">
      <c r="A3745" s="118"/>
      <c r="B3745" s="136"/>
    </row>
    <row r="3746" spans="1:2" x14ac:dyDescent="0.25">
      <c r="A3746" s="118"/>
      <c r="B3746" s="136"/>
    </row>
    <row r="3747" spans="1:2" x14ac:dyDescent="0.25">
      <c r="A3747" s="118"/>
      <c r="B3747" s="136"/>
    </row>
    <row r="3748" spans="1:2" x14ac:dyDescent="0.25">
      <c r="A3748" s="118"/>
      <c r="B3748" s="136"/>
    </row>
    <row r="3749" spans="1:2" x14ac:dyDescent="0.25">
      <c r="A3749" s="118"/>
      <c r="B3749" s="136"/>
    </row>
    <row r="3750" spans="1:2" x14ac:dyDescent="0.25">
      <c r="A3750" s="118"/>
      <c r="B3750" s="136"/>
    </row>
    <row r="3751" spans="1:2" x14ac:dyDescent="0.25">
      <c r="A3751" s="118"/>
      <c r="B3751" s="136"/>
    </row>
    <row r="3752" spans="1:2" x14ac:dyDescent="0.25">
      <c r="A3752" s="118"/>
      <c r="B3752" s="136"/>
    </row>
    <row r="3753" spans="1:2" x14ac:dyDescent="0.25">
      <c r="A3753" s="118"/>
      <c r="B3753" s="136"/>
    </row>
    <row r="3754" spans="1:2" x14ac:dyDescent="0.25">
      <c r="A3754" s="118"/>
      <c r="B3754" s="136"/>
    </row>
    <row r="3755" spans="1:2" x14ac:dyDescent="0.25">
      <c r="A3755" s="118"/>
      <c r="B3755" s="136"/>
    </row>
    <row r="3756" spans="1:2" x14ac:dyDescent="0.25">
      <c r="A3756" s="118"/>
      <c r="B3756" s="136"/>
    </row>
    <row r="3757" spans="1:2" x14ac:dyDescent="0.25">
      <c r="A3757" s="118"/>
      <c r="B3757" s="136"/>
    </row>
    <row r="3758" spans="1:2" x14ac:dyDescent="0.25">
      <c r="A3758" s="118"/>
      <c r="B3758" s="136"/>
    </row>
    <row r="3759" spans="1:2" x14ac:dyDescent="0.25">
      <c r="A3759" s="118"/>
      <c r="B3759" s="136"/>
    </row>
    <row r="3760" spans="1:2" x14ac:dyDescent="0.25">
      <c r="A3760" s="118"/>
      <c r="B3760" s="136"/>
    </row>
    <row r="3761" spans="1:2" x14ac:dyDescent="0.25">
      <c r="A3761" s="118"/>
      <c r="B3761" s="136"/>
    </row>
    <row r="3762" spans="1:2" x14ac:dyDescent="0.25">
      <c r="A3762" s="118"/>
      <c r="B3762" s="136"/>
    </row>
    <row r="3763" spans="1:2" x14ac:dyDescent="0.25">
      <c r="A3763" s="118"/>
      <c r="B3763" s="136"/>
    </row>
    <row r="3764" spans="1:2" x14ac:dyDescent="0.25">
      <c r="A3764" s="118"/>
      <c r="B3764" s="136"/>
    </row>
    <row r="3765" spans="1:2" x14ac:dyDescent="0.25">
      <c r="A3765" s="118"/>
      <c r="B3765" s="136"/>
    </row>
    <row r="3766" spans="1:2" x14ac:dyDescent="0.25">
      <c r="A3766" s="118"/>
      <c r="B3766" s="136"/>
    </row>
    <row r="3767" spans="1:2" x14ac:dyDescent="0.25">
      <c r="A3767" s="118"/>
      <c r="B3767" s="136"/>
    </row>
    <row r="3768" spans="1:2" x14ac:dyDescent="0.25">
      <c r="A3768" s="118"/>
      <c r="B3768" s="136"/>
    </row>
    <row r="3769" spans="1:2" x14ac:dyDescent="0.25">
      <c r="A3769" s="118"/>
      <c r="B3769" s="136"/>
    </row>
    <row r="3770" spans="1:2" x14ac:dyDescent="0.25">
      <c r="A3770" s="118"/>
      <c r="B3770" s="136"/>
    </row>
    <row r="3771" spans="1:2" x14ac:dyDescent="0.25">
      <c r="A3771" s="118"/>
      <c r="B3771" s="136"/>
    </row>
    <row r="3772" spans="1:2" x14ac:dyDescent="0.25">
      <c r="A3772" s="118"/>
      <c r="B3772" s="136"/>
    </row>
    <row r="3773" spans="1:2" x14ac:dyDescent="0.25">
      <c r="A3773" s="118"/>
      <c r="B3773" s="136"/>
    </row>
    <row r="3774" spans="1:2" x14ac:dyDescent="0.25">
      <c r="A3774" s="118"/>
      <c r="B3774" s="136"/>
    </row>
    <row r="3775" spans="1:2" x14ac:dyDescent="0.25">
      <c r="A3775" s="118"/>
      <c r="B3775" s="136"/>
    </row>
    <row r="3776" spans="1:2" x14ac:dyDescent="0.25">
      <c r="A3776" s="118"/>
      <c r="B3776" s="136"/>
    </row>
    <row r="3777" spans="1:2" x14ac:dyDescent="0.25">
      <c r="A3777" s="118"/>
      <c r="B3777" s="136"/>
    </row>
    <row r="3778" spans="1:2" x14ac:dyDescent="0.25">
      <c r="A3778" s="118"/>
      <c r="B3778" s="136"/>
    </row>
    <row r="3779" spans="1:2" x14ac:dyDescent="0.25">
      <c r="A3779" s="118"/>
      <c r="B3779" s="136"/>
    </row>
    <row r="3780" spans="1:2" x14ac:dyDescent="0.25">
      <c r="A3780" s="118"/>
      <c r="B3780" s="136"/>
    </row>
    <row r="3781" spans="1:2" x14ac:dyDescent="0.25">
      <c r="A3781" s="118"/>
      <c r="B3781" s="136"/>
    </row>
    <row r="3782" spans="1:2" x14ac:dyDescent="0.25">
      <c r="A3782" s="118"/>
      <c r="B3782" s="136"/>
    </row>
    <row r="3783" spans="1:2" x14ac:dyDescent="0.25">
      <c r="A3783" s="118"/>
      <c r="B3783" s="136"/>
    </row>
    <row r="3784" spans="1:2" x14ac:dyDescent="0.25">
      <c r="A3784" s="118"/>
      <c r="B3784" s="136"/>
    </row>
    <row r="3785" spans="1:2" x14ac:dyDescent="0.25">
      <c r="A3785" s="118"/>
      <c r="B3785" s="136"/>
    </row>
    <row r="3786" spans="1:2" x14ac:dyDescent="0.25">
      <c r="A3786" s="118"/>
      <c r="B3786" s="136"/>
    </row>
    <row r="3787" spans="1:2" x14ac:dyDescent="0.25">
      <c r="A3787" s="118"/>
      <c r="B3787" s="136"/>
    </row>
    <row r="3788" spans="1:2" x14ac:dyDescent="0.25">
      <c r="A3788" s="118"/>
      <c r="B3788" s="136"/>
    </row>
    <row r="3789" spans="1:2" x14ac:dyDescent="0.25">
      <c r="A3789" s="118"/>
      <c r="B3789" s="136"/>
    </row>
    <row r="3790" spans="1:2" x14ac:dyDescent="0.25">
      <c r="A3790" s="118"/>
      <c r="B3790" s="136"/>
    </row>
    <row r="3791" spans="1:2" x14ac:dyDescent="0.25">
      <c r="A3791" s="118"/>
      <c r="B3791" s="136"/>
    </row>
    <row r="3792" spans="1:2" x14ac:dyDescent="0.25">
      <c r="A3792" s="118"/>
      <c r="B3792" s="136"/>
    </row>
    <row r="3793" spans="1:2" x14ac:dyDescent="0.25">
      <c r="A3793" s="118"/>
      <c r="B3793" s="136"/>
    </row>
    <row r="3794" spans="1:2" x14ac:dyDescent="0.25">
      <c r="A3794" s="118"/>
      <c r="B3794" s="136"/>
    </row>
    <row r="3795" spans="1:2" x14ac:dyDescent="0.25">
      <c r="A3795" s="118"/>
      <c r="B3795" s="136"/>
    </row>
    <row r="3796" spans="1:2" x14ac:dyDescent="0.25">
      <c r="A3796" s="118"/>
      <c r="B3796" s="136"/>
    </row>
    <row r="3797" spans="1:2" x14ac:dyDescent="0.25">
      <c r="A3797" s="118"/>
      <c r="B3797" s="136"/>
    </row>
    <row r="3798" spans="1:2" x14ac:dyDescent="0.25">
      <c r="A3798" s="118"/>
      <c r="B3798" s="136"/>
    </row>
    <row r="3799" spans="1:2" x14ac:dyDescent="0.25">
      <c r="A3799" s="118"/>
      <c r="B3799" s="136"/>
    </row>
    <row r="3800" spans="1:2" x14ac:dyDescent="0.25">
      <c r="A3800" s="118"/>
      <c r="B3800" s="136"/>
    </row>
    <row r="3801" spans="1:2" x14ac:dyDescent="0.25">
      <c r="A3801" s="118"/>
      <c r="B3801" s="136"/>
    </row>
    <row r="3802" spans="1:2" x14ac:dyDescent="0.25">
      <c r="A3802" s="118"/>
      <c r="B3802" s="136"/>
    </row>
    <row r="3803" spans="1:2" x14ac:dyDescent="0.25">
      <c r="A3803" s="118"/>
      <c r="B3803" s="136"/>
    </row>
    <row r="3804" spans="1:2" x14ac:dyDescent="0.25">
      <c r="A3804" s="118"/>
      <c r="B3804" s="136"/>
    </row>
    <row r="3805" spans="1:2" x14ac:dyDescent="0.25">
      <c r="A3805" s="118"/>
      <c r="B3805" s="136"/>
    </row>
    <row r="3806" spans="1:2" x14ac:dyDescent="0.25">
      <c r="A3806" s="118"/>
      <c r="B3806" s="136"/>
    </row>
    <row r="3807" spans="1:2" x14ac:dyDescent="0.25">
      <c r="A3807" s="118"/>
      <c r="B3807" s="136"/>
    </row>
    <row r="3808" spans="1:2" x14ac:dyDescent="0.25">
      <c r="A3808" s="118"/>
      <c r="B3808" s="136"/>
    </row>
    <row r="3809" spans="1:2" x14ac:dyDescent="0.25">
      <c r="A3809" s="118"/>
      <c r="B3809" s="136"/>
    </row>
    <row r="3810" spans="1:2" x14ac:dyDescent="0.25">
      <c r="A3810" s="118"/>
      <c r="B3810" s="136"/>
    </row>
    <row r="3811" spans="1:2" x14ac:dyDescent="0.25">
      <c r="A3811" s="118"/>
      <c r="B3811" s="136"/>
    </row>
    <row r="3812" spans="1:2" x14ac:dyDescent="0.25">
      <c r="A3812" s="118"/>
      <c r="B3812" s="136"/>
    </row>
    <row r="3813" spans="1:2" x14ac:dyDescent="0.25">
      <c r="A3813" s="118"/>
      <c r="B3813" s="136"/>
    </row>
    <row r="3814" spans="1:2" x14ac:dyDescent="0.25">
      <c r="A3814" s="118"/>
      <c r="B3814" s="136"/>
    </row>
    <row r="3815" spans="1:2" x14ac:dyDescent="0.25">
      <c r="A3815" s="118"/>
      <c r="B3815" s="136"/>
    </row>
    <row r="3816" spans="1:2" x14ac:dyDescent="0.25">
      <c r="A3816" s="118"/>
      <c r="B3816" s="136"/>
    </row>
    <row r="3817" spans="1:2" x14ac:dyDescent="0.25">
      <c r="A3817" s="118"/>
      <c r="B3817" s="136"/>
    </row>
    <row r="3818" spans="1:2" x14ac:dyDescent="0.25">
      <c r="A3818" s="118"/>
      <c r="B3818" s="136"/>
    </row>
    <row r="3819" spans="1:2" x14ac:dyDescent="0.25">
      <c r="A3819" s="118"/>
      <c r="B3819" s="136"/>
    </row>
    <row r="3820" spans="1:2" x14ac:dyDescent="0.25">
      <c r="A3820" s="118"/>
      <c r="B3820" s="136"/>
    </row>
    <row r="3821" spans="1:2" x14ac:dyDescent="0.25">
      <c r="A3821" s="118"/>
      <c r="B3821" s="136"/>
    </row>
    <row r="3822" spans="1:2" x14ac:dyDescent="0.25">
      <c r="A3822" s="118"/>
      <c r="B3822" s="136"/>
    </row>
    <row r="3823" spans="1:2" x14ac:dyDescent="0.25">
      <c r="A3823" s="118"/>
      <c r="B3823" s="136"/>
    </row>
    <row r="3824" spans="1:2" x14ac:dyDescent="0.25">
      <c r="A3824" s="118"/>
      <c r="B3824" s="136"/>
    </row>
    <row r="3825" spans="1:2" x14ac:dyDescent="0.25">
      <c r="A3825" s="118"/>
      <c r="B3825" s="136"/>
    </row>
    <row r="3826" spans="1:2" x14ac:dyDescent="0.25">
      <c r="A3826" s="118"/>
      <c r="B3826" s="136"/>
    </row>
    <row r="3827" spans="1:2" x14ac:dyDescent="0.25">
      <c r="A3827" s="118"/>
      <c r="B3827" s="136"/>
    </row>
    <row r="3828" spans="1:2" x14ac:dyDescent="0.25">
      <c r="A3828" s="118"/>
      <c r="B3828" s="136"/>
    </row>
    <row r="3829" spans="1:2" x14ac:dyDescent="0.25">
      <c r="A3829" s="118"/>
      <c r="B3829" s="136"/>
    </row>
    <row r="3830" spans="1:2" x14ac:dyDescent="0.25">
      <c r="A3830" s="118"/>
      <c r="B3830" s="136"/>
    </row>
    <row r="3831" spans="1:2" x14ac:dyDescent="0.25">
      <c r="A3831" s="118"/>
      <c r="B3831" s="136"/>
    </row>
    <row r="3832" spans="1:2" x14ac:dyDescent="0.25">
      <c r="A3832" s="118"/>
      <c r="B3832" s="136"/>
    </row>
    <row r="3833" spans="1:2" x14ac:dyDescent="0.25">
      <c r="A3833" s="118"/>
      <c r="B3833" s="136"/>
    </row>
    <row r="3834" spans="1:2" x14ac:dyDescent="0.25">
      <c r="A3834" s="118"/>
      <c r="B3834" s="136"/>
    </row>
    <row r="3835" spans="1:2" x14ac:dyDescent="0.25">
      <c r="A3835" s="118"/>
      <c r="B3835" s="136"/>
    </row>
    <row r="3836" spans="1:2" x14ac:dyDescent="0.25">
      <c r="A3836" s="118"/>
      <c r="B3836" s="136"/>
    </row>
    <row r="3837" spans="1:2" x14ac:dyDescent="0.25">
      <c r="A3837" s="118"/>
      <c r="B3837" s="136"/>
    </row>
    <row r="3838" spans="1:2" x14ac:dyDescent="0.25">
      <c r="A3838" s="118"/>
      <c r="B3838" s="136"/>
    </row>
    <row r="3839" spans="1:2" x14ac:dyDescent="0.25">
      <c r="A3839" s="118"/>
      <c r="B3839" s="136"/>
    </row>
    <row r="3840" spans="1:2" x14ac:dyDescent="0.25">
      <c r="A3840" s="118"/>
      <c r="B3840" s="136"/>
    </row>
    <row r="3841" spans="1:2" x14ac:dyDescent="0.25">
      <c r="A3841" s="118"/>
      <c r="B3841" s="136"/>
    </row>
    <row r="3842" spans="1:2" x14ac:dyDescent="0.25">
      <c r="A3842" s="118"/>
      <c r="B3842" s="136"/>
    </row>
    <row r="3843" spans="1:2" x14ac:dyDescent="0.25">
      <c r="A3843" s="118"/>
      <c r="B3843" s="136"/>
    </row>
    <row r="3844" spans="1:2" x14ac:dyDescent="0.25">
      <c r="A3844" s="118"/>
      <c r="B3844" s="136"/>
    </row>
    <row r="3845" spans="1:2" x14ac:dyDescent="0.25">
      <c r="A3845" s="118"/>
      <c r="B3845" s="136"/>
    </row>
    <row r="3846" spans="1:2" x14ac:dyDescent="0.25">
      <c r="A3846" s="118"/>
      <c r="B3846" s="136"/>
    </row>
    <row r="3847" spans="1:2" x14ac:dyDescent="0.25">
      <c r="A3847" s="118"/>
      <c r="B3847" s="136"/>
    </row>
    <row r="3848" spans="1:2" x14ac:dyDescent="0.25">
      <c r="A3848" s="118"/>
      <c r="B3848" s="136"/>
    </row>
    <row r="3849" spans="1:2" x14ac:dyDescent="0.25">
      <c r="A3849" s="118"/>
      <c r="B3849" s="136"/>
    </row>
    <row r="3850" spans="1:2" x14ac:dyDescent="0.25">
      <c r="A3850" s="118"/>
      <c r="B3850" s="136"/>
    </row>
    <row r="3851" spans="1:2" x14ac:dyDescent="0.25">
      <c r="A3851" s="118"/>
      <c r="B3851" s="136"/>
    </row>
    <row r="3852" spans="1:2" x14ac:dyDescent="0.25">
      <c r="A3852" s="118"/>
      <c r="B3852" s="136"/>
    </row>
    <row r="3853" spans="1:2" x14ac:dyDescent="0.25">
      <c r="A3853" s="118"/>
      <c r="B3853" s="136"/>
    </row>
    <row r="3854" spans="1:2" x14ac:dyDescent="0.25">
      <c r="A3854" s="118"/>
      <c r="B3854" s="136"/>
    </row>
    <row r="3855" spans="1:2" x14ac:dyDescent="0.25">
      <c r="A3855" s="118"/>
      <c r="B3855" s="136"/>
    </row>
    <row r="3856" spans="1:2" x14ac:dyDescent="0.25">
      <c r="A3856" s="118"/>
      <c r="B3856" s="136"/>
    </row>
    <row r="3857" spans="1:2" x14ac:dyDescent="0.25">
      <c r="A3857" s="118"/>
      <c r="B3857" s="136"/>
    </row>
    <row r="3858" spans="1:2" x14ac:dyDescent="0.25">
      <c r="A3858" s="118"/>
      <c r="B3858" s="136"/>
    </row>
    <row r="3859" spans="1:2" x14ac:dyDescent="0.25">
      <c r="A3859" s="118"/>
      <c r="B3859" s="136"/>
    </row>
    <row r="3860" spans="1:2" x14ac:dyDescent="0.25">
      <c r="A3860" s="118"/>
      <c r="B3860" s="136"/>
    </row>
    <row r="3861" spans="1:2" x14ac:dyDescent="0.25">
      <c r="A3861" s="118"/>
      <c r="B3861" s="136"/>
    </row>
    <row r="3862" spans="1:2" x14ac:dyDescent="0.25">
      <c r="A3862" s="118"/>
      <c r="B3862" s="136"/>
    </row>
    <row r="3863" spans="1:2" x14ac:dyDescent="0.25">
      <c r="A3863" s="118"/>
      <c r="B3863" s="136"/>
    </row>
    <row r="3864" spans="1:2" x14ac:dyDescent="0.25">
      <c r="A3864" s="118"/>
      <c r="B3864" s="136"/>
    </row>
    <row r="3865" spans="1:2" x14ac:dyDescent="0.25">
      <c r="A3865" s="118"/>
      <c r="B3865" s="136"/>
    </row>
    <row r="3866" spans="1:2" x14ac:dyDescent="0.25">
      <c r="A3866" s="118"/>
      <c r="B3866" s="136"/>
    </row>
    <row r="3867" spans="1:2" x14ac:dyDescent="0.25">
      <c r="A3867" s="118"/>
      <c r="B3867" s="136"/>
    </row>
    <row r="3868" spans="1:2" x14ac:dyDescent="0.25">
      <c r="A3868" s="118"/>
      <c r="B3868" s="136"/>
    </row>
    <row r="3869" spans="1:2" x14ac:dyDescent="0.25">
      <c r="A3869" s="118"/>
      <c r="B3869" s="136"/>
    </row>
    <row r="3870" spans="1:2" x14ac:dyDescent="0.25">
      <c r="A3870" s="118"/>
      <c r="B3870" s="136"/>
    </row>
    <row r="3871" spans="1:2" x14ac:dyDescent="0.25">
      <c r="A3871" s="118"/>
      <c r="B3871" s="136"/>
    </row>
    <row r="3872" spans="1:2" x14ac:dyDescent="0.25">
      <c r="A3872" s="118"/>
      <c r="B3872" s="136"/>
    </row>
    <row r="3873" spans="1:2" x14ac:dyDescent="0.25">
      <c r="A3873" s="118"/>
      <c r="B3873" s="136"/>
    </row>
    <row r="3874" spans="1:2" x14ac:dyDescent="0.25">
      <c r="A3874" s="118"/>
      <c r="B3874" s="136"/>
    </row>
    <row r="3875" spans="1:2" x14ac:dyDescent="0.25">
      <c r="A3875" s="118"/>
      <c r="B3875" s="136"/>
    </row>
    <row r="3876" spans="1:2" x14ac:dyDescent="0.25">
      <c r="A3876" s="118"/>
      <c r="B3876" s="136"/>
    </row>
    <row r="3877" spans="1:2" x14ac:dyDescent="0.25">
      <c r="A3877" s="118"/>
      <c r="B3877" s="136"/>
    </row>
    <row r="3878" spans="1:2" x14ac:dyDescent="0.25">
      <c r="A3878" s="118"/>
      <c r="B3878" s="136"/>
    </row>
    <row r="3879" spans="1:2" x14ac:dyDescent="0.25">
      <c r="A3879" s="118"/>
      <c r="B3879" s="136"/>
    </row>
    <row r="3880" spans="1:2" x14ac:dyDescent="0.25">
      <c r="A3880" s="118"/>
      <c r="B3880" s="136"/>
    </row>
    <row r="3881" spans="1:2" x14ac:dyDescent="0.25">
      <c r="A3881" s="118"/>
      <c r="B3881" s="136"/>
    </row>
    <row r="3882" spans="1:2" x14ac:dyDescent="0.25">
      <c r="A3882" s="118"/>
      <c r="B3882" s="136"/>
    </row>
    <row r="3883" spans="1:2" x14ac:dyDescent="0.25">
      <c r="A3883" s="118"/>
      <c r="B3883" s="136"/>
    </row>
    <row r="3884" spans="1:2" x14ac:dyDescent="0.25">
      <c r="A3884" s="118"/>
      <c r="B3884" s="136"/>
    </row>
    <row r="3885" spans="1:2" x14ac:dyDescent="0.25">
      <c r="A3885" s="118"/>
      <c r="B3885" s="136"/>
    </row>
    <row r="3886" spans="1:2" x14ac:dyDescent="0.25">
      <c r="A3886" s="118"/>
      <c r="B3886" s="136"/>
    </row>
    <row r="3887" spans="1:2" x14ac:dyDescent="0.25">
      <c r="A3887" s="118"/>
      <c r="B3887" s="136"/>
    </row>
    <row r="3888" spans="1:2" x14ac:dyDescent="0.25">
      <c r="A3888" s="118"/>
      <c r="B3888" s="136"/>
    </row>
    <row r="3889" spans="1:2" x14ac:dyDescent="0.25">
      <c r="A3889" s="118"/>
      <c r="B3889" s="136"/>
    </row>
    <row r="3890" spans="1:2" x14ac:dyDescent="0.25">
      <c r="A3890" s="118"/>
      <c r="B3890" s="136"/>
    </row>
    <row r="3891" spans="1:2" x14ac:dyDescent="0.25">
      <c r="A3891" s="118"/>
      <c r="B3891" s="136"/>
    </row>
    <row r="3892" spans="1:2" x14ac:dyDescent="0.25">
      <c r="A3892" s="118"/>
      <c r="B3892" s="136"/>
    </row>
    <row r="3893" spans="1:2" x14ac:dyDescent="0.25">
      <c r="A3893" s="118"/>
      <c r="B3893" s="136"/>
    </row>
    <row r="3894" spans="1:2" x14ac:dyDescent="0.25">
      <c r="A3894" s="118"/>
      <c r="B3894" s="136"/>
    </row>
    <row r="3895" spans="1:2" x14ac:dyDescent="0.25">
      <c r="A3895" s="118"/>
      <c r="B3895" s="136"/>
    </row>
    <row r="3896" spans="1:2" x14ac:dyDescent="0.25">
      <c r="A3896" s="118"/>
      <c r="B3896" s="136"/>
    </row>
    <row r="3897" spans="1:2" x14ac:dyDescent="0.25">
      <c r="A3897" s="118"/>
      <c r="B3897" s="136"/>
    </row>
    <row r="3898" spans="1:2" x14ac:dyDescent="0.25">
      <c r="A3898" s="118"/>
      <c r="B3898" s="136"/>
    </row>
    <row r="3899" spans="1:2" x14ac:dyDescent="0.25">
      <c r="A3899" s="118"/>
      <c r="B3899" s="136"/>
    </row>
    <row r="3900" spans="1:2" x14ac:dyDescent="0.25">
      <c r="A3900" s="118"/>
      <c r="B3900" s="136"/>
    </row>
    <row r="3901" spans="1:2" x14ac:dyDescent="0.25">
      <c r="A3901" s="118"/>
      <c r="B3901" s="136"/>
    </row>
    <row r="3902" spans="1:2" x14ac:dyDescent="0.25">
      <c r="A3902" s="118"/>
      <c r="B3902" s="136"/>
    </row>
    <row r="3903" spans="1:2" x14ac:dyDescent="0.25">
      <c r="A3903" s="118"/>
      <c r="B3903" s="136"/>
    </row>
    <row r="3904" spans="1:2" x14ac:dyDescent="0.25">
      <c r="A3904" s="118"/>
      <c r="B3904" s="136"/>
    </row>
    <row r="3905" spans="1:2" x14ac:dyDescent="0.25">
      <c r="A3905" s="118"/>
      <c r="B3905" s="136"/>
    </row>
    <row r="3906" spans="1:2" x14ac:dyDescent="0.25">
      <c r="A3906" s="118"/>
      <c r="B3906" s="136"/>
    </row>
    <row r="3907" spans="1:2" x14ac:dyDescent="0.25">
      <c r="A3907" s="118"/>
      <c r="B3907" s="136"/>
    </row>
    <row r="3908" spans="1:2" x14ac:dyDescent="0.25">
      <c r="A3908" s="118"/>
      <c r="B3908" s="136"/>
    </row>
    <row r="3909" spans="1:2" x14ac:dyDescent="0.25">
      <c r="A3909" s="118"/>
      <c r="B3909" s="136"/>
    </row>
    <row r="3910" spans="1:2" x14ac:dyDescent="0.25">
      <c r="A3910" s="118"/>
      <c r="B3910" s="136"/>
    </row>
    <row r="3911" spans="1:2" x14ac:dyDescent="0.25">
      <c r="A3911" s="118"/>
      <c r="B3911" s="136"/>
    </row>
    <row r="3912" spans="1:2" x14ac:dyDescent="0.25">
      <c r="A3912" s="118"/>
      <c r="B3912" s="136"/>
    </row>
    <row r="3913" spans="1:2" x14ac:dyDescent="0.25">
      <c r="A3913" s="118"/>
      <c r="B3913" s="136"/>
    </row>
    <row r="3914" spans="1:2" x14ac:dyDescent="0.25">
      <c r="A3914" s="118"/>
      <c r="B3914" s="136"/>
    </row>
    <row r="3915" spans="1:2" x14ac:dyDescent="0.25">
      <c r="A3915" s="118"/>
      <c r="B3915" s="136"/>
    </row>
    <row r="3916" spans="1:2" x14ac:dyDescent="0.25">
      <c r="A3916" s="118"/>
      <c r="B3916" s="136"/>
    </row>
    <row r="3917" spans="1:2" x14ac:dyDescent="0.25">
      <c r="A3917" s="118"/>
      <c r="B3917" s="136"/>
    </row>
    <row r="3918" spans="1:2" x14ac:dyDescent="0.25">
      <c r="A3918" s="118"/>
      <c r="B3918" s="136"/>
    </row>
    <row r="3919" spans="1:2" x14ac:dyDescent="0.25">
      <c r="A3919" s="118"/>
      <c r="B3919" s="136"/>
    </row>
    <row r="3920" spans="1:2" x14ac:dyDescent="0.25">
      <c r="A3920" s="118"/>
      <c r="B3920" s="136"/>
    </row>
    <row r="3921" spans="1:2" x14ac:dyDescent="0.25">
      <c r="A3921" s="118"/>
      <c r="B3921" s="136"/>
    </row>
    <row r="3922" spans="1:2" x14ac:dyDescent="0.25">
      <c r="A3922" s="118"/>
      <c r="B3922" s="136"/>
    </row>
    <row r="3923" spans="1:2" x14ac:dyDescent="0.25">
      <c r="A3923" s="118"/>
      <c r="B3923" s="136"/>
    </row>
    <row r="3924" spans="1:2" x14ac:dyDescent="0.25">
      <c r="A3924" s="118"/>
      <c r="B3924" s="136"/>
    </row>
    <row r="3925" spans="1:2" x14ac:dyDescent="0.25">
      <c r="A3925" s="118"/>
      <c r="B3925" s="136"/>
    </row>
    <row r="3926" spans="1:2" x14ac:dyDescent="0.25">
      <c r="A3926" s="118"/>
      <c r="B3926" s="136"/>
    </row>
    <row r="3927" spans="1:2" x14ac:dyDescent="0.25">
      <c r="A3927" s="118"/>
      <c r="B3927" s="136"/>
    </row>
    <row r="3928" spans="1:2" x14ac:dyDescent="0.25">
      <c r="A3928" s="118"/>
      <c r="B3928" s="136"/>
    </row>
    <row r="3929" spans="1:2" x14ac:dyDescent="0.25">
      <c r="A3929" s="118"/>
      <c r="B3929" s="136"/>
    </row>
    <row r="3930" spans="1:2" x14ac:dyDescent="0.25">
      <c r="A3930" s="118"/>
      <c r="B3930" s="136"/>
    </row>
    <row r="3931" spans="1:2" x14ac:dyDescent="0.25">
      <c r="A3931" s="118"/>
      <c r="B3931" s="136"/>
    </row>
    <row r="3932" spans="1:2" x14ac:dyDescent="0.25">
      <c r="A3932" s="118"/>
      <c r="B3932" s="136"/>
    </row>
    <row r="3933" spans="1:2" x14ac:dyDescent="0.25">
      <c r="A3933" s="118"/>
      <c r="B3933" s="136"/>
    </row>
    <row r="3934" spans="1:2" x14ac:dyDescent="0.25">
      <c r="A3934" s="118"/>
      <c r="B3934" s="136"/>
    </row>
    <row r="3935" spans="1:2" x14ac:dyDescent="0.25">
      <c r="A3935" s="118"/>
      <c r="B3935" s="136"/>
    </row>
    <row r="3936" spans="1:2" x14ac:dyDescent="0.25">
      <c r="A3936" s="118"/>
      <c r="B3936" s="136"/>
    </row>
    <row r="3937" spans="1:2" x14ac:dyDescent="0.25">
      <c r="A3937" s="118"/>
      <c r="B3937" s="136"/>
    </row>
    <row r="3938" spans="1:2" x14ac:dyDescent="0.25">
      <c r="A3938" s="118"/>
      <c r="B3938" s="136"/>
    </row>
    <row r="3939" spans="1:2" x14ac:dyDescent="0.25">
      <c r="A3939" s="118"/>
      <c r="B3939" s="136"/>
    </row>
    <row r="3940" spans="1:2" x14ac:dyDescent="0.25">
      <c r="A3940" s="118"/>
      <c r="B3940" s="136"/>
    </row>
    <row r="3941" spans="1:2" x14ac:dyDescent="0.25">
      <c r="A3941" s="118"/>
      <c r="B3941" s="136"/>
    </row>
    <row r="3942" spans="1:2" x14ac:dyDescent="0.25">
      <c r="A3942" s="118"/>
      <c r="B3942" s="136"/>
    </row>
    <row r="3943" spans="1:2" x14ac:dyDescent="0.25">
      <c r="A3943" s="118"/>
      <c r="B3943" s="136"/>
    </row>
    <row r="3944" spans="1:2" x14ac:dyDescent="0.25">
      <c r="A3944" s="118"/>
      <c r="B3944" s="136"/>
    </row>
    <row r="3945" spans="1:2" x14ac:dyDescent="0.25">
      <c r="A3945" s="118"/>
      <c r="B3945" s="136"/>
    </row>
    <row r="3946" spans="1:2" x14ac:dyDescent="0.25">
      <c r="A3946" s="118"/>
      <c r="B3946" s="136"/>
    </row>
    <row r="3947" spans="1:2" x14ac:dyDescent="0.25">
      <c r="A3947" s="118"/>
      <c r="B3947" s="136"/>
    </row>
    <row r="3948" spans="1:2" x14ac:dyDescent="0.25">
      <c r="A3948" s="118"/>
      <c r="B3948" s="136"/>
    </row>
    <row r="3949" spans="1:2" x14ac:dyDescent="0.25">
      <c r="A3949" s="118"/>
      <c r="B3949" s="136"/>
    </row>
    <row r="3950" spans="1:2" x14ac:dyDescent="0.25">
      <c r="A3950" s="118"/>
      <c r="B3950" s="136"/>
    </row>
    <row r="3951" spans="1:2" x14ac:dyDescent="0.25">
      <c r="A3951" s="118"/>
      <c r="B3951" s="136"/>
    </row>
    <row r="3952" spans="1:2" x14ac:dyDescent="0.25">
      <c r="A3952" s="118"/>
      <c r="B3952" s="136"/>
    </row>
    <row r="3953" spans="1:2" x14ac:dyDescent="0.25">
      <c r="A3953" s="118"/>
      <c r="B3953" s="136"/>
    </row>
    <row r="3954" spans="1:2" x14ac:dyDescent="0.25">
      <c r="A3954" s="118"/>
      <c r="B3954" s="136"/>
    </row>
    <row r="3955" spans="1:2" x14ac:dyDescent="0.25">
      <c r="A3955" s="118"/>
      <c r="B3955" s="136"/>
    </row>
    <row r="3956" spans="1:2" x14ac:dyDescent="0.25">
      <c r="A3956" s="118"/>
      <c r="B3956" s="136"/>
    </row>
    <row r="3957" spans="1:2" x14ac:dyDescent="0.25">
      <c r="A3957" s="118"/>
      <c r="B3957" s="136"/>
    </row>
    <row r="3958" spans="1:2" x14ac:dyDescent="0.25">
      <c r="A3958" s="118"/>
      <c r="B3958" s="136"/>
    </row>
    <row r="3959" spans="1:2" x14ac:dyDescent="0.25">
      <c r="A3959" s="118"/>
      <c r="B3959" s="136"/>
    </row>
    <row r="3960" spans="1:2" x14ac:dyDescent="0.25">
      <c r="A3960" s="118"/>
      <c r="B3960" s="136"/>
    </row>
    <row r="3961" spans="1:2" x14ac:dyDescent="0.25">
      <c r="A3961" s="118"/>
      <c r="B3961" s="136"/>
    </row>
    <row r="3962" spans="1:2" x14ac:dyDescent="0.25">
      <c r="A3962" s="118"/>
      <c r="B3962" s="136"/>
    </row>
    <row r="3963" spans="1:2" x14ac:dyDescent="0.25">
      <c r="A3963" s="118"/>
      <c r="B3963" s="136"/>
    </row>
    <row r="3964" spans="1:2" x14ac:dyDescent="0.25">
      <c r="A3964" s="118"/>
      <c r="B3964" s="136"/>
    </row>
    <row r="3965" spans="1:2" x14ac:dyDescent="0.25">
      <c r="A3965" s="118"/>
      <c r="B3965" s="136"/>
    </row>
    <row r="3966" spans="1:2" x14ac:dyDescent="0.25">
      <c r="A3966" s="118"/>
      <c r="B3966" s="136"/>
    </row>
    <row r="3967" spans="1:2" x14ac:dyDescent="0.25">
      <c r="A3967" s="118"/>
      <c r="B3967" s="136"/>
    </row>
    <row r="3968" spans="1:2" x14ac:dyDescent="0.25">
      <c r="A3968" s="118"/>
      <c r="B3968" s="136"/>
    </row>
    <row r="3969" spans="1:2" x14ac:dyDescent="0.25">
      <c r="A3969" s="118"/>
      <c r="B3969" s="136"/>
    </row>
    <row r="3970" spans="1:2" x14ac:dyDescent="0.25">
      <c r="A3970" s="118"/>
      <c r="B3970" s="136"/>
    </row>
    <row r="3971" spans="1:2" x14ac:dyDescent="0.25">
      <c r="A3971" s="118"/>
      <c r="B3971" s="136"/>
    </row>
    <row r="3972" spans="1:2" x14ac:dyDescent="0.25">
      <c r="A3972" s="118"/>
      <c r="B3972" s="136"/>
    </row>
    <row r="3973" spans="1:2" x14ac:dyDescent="0.25">
      <c r="A3973" s="118"/>
      <c r="B3973" s="136"/>
    </row>
    <row r="3974" spans="1:2" x14ac:dyDescent="0.25">
      <c r="A3974" s="118"/>
      <c r="B3974" s="136"/>
    </row>
    <row r="3975" spans="1:2" x14ac:dyDescent="0.25">
      <c r="A3975" s="118"/>
      <c r="B3975" s="136"/>
    </row>
    <row r="3976" spans="1:2" x14ac:dyDescent="0.25">
      <c r="A3976" s="118"/>
      <c r="B3976" s="136"/>
    </row>
    <row r="3977" spans="1:2" x14ac:dyDescent="0.25">
      <c r="A3977" s="118"/>
      <c r="B3977" s="136"/>
    </row>
    <row r="3978" spans="1:2" x14ac:dyDescent="0.25">
      <c r="A3978" s="118"/>
      <c r="B3978" s="136"/>
    </row>
    <row r="3979" spans="1:2" x14ac:dyDescent="0.25">
      <c r="A3979" s="118"/>
      <c r="B3979" s="136"/>
    </row>
    <row r="3980" spans="1:2" x14ac:dyDescent="0.25">
      <c r="A3980" s="118"/>
      <c r="B3980" s="136"/>
    </row>
    <row r="3981" spans="1:2" x14ac:dyDescent="0.25">
      <c r="A3981" s="118"/>
      <c r="B3981" s="136"/>
    </row>
    <row r="3982" spans="1:2" x14ac:dyDescent="0.25">
      <c r="A3982" s="118"/>
      <c r="B3982" s="136"/>
    </row>
    <row r="3983" spans="1:2" x14ac:dyDescent="0.25">
      <c r="A3983" s="118"/>
      <c r="B3983" s="136"/>
    </row>
    <row r="3984" spans="1:2" x14ac:dyDescent="0.25">
      <c r="A3984" s="118"/>
      <c r="B3984" s="136"/>
    </row>
    <row r="3985" spans="1:2" x14ac:dyDescent="0.25">
      <c r="A3985" s="118"/>
      <c r="B3985" s="136"/>
    </row>
    <row r="3986" spans="1:2" x14ac:dyDescent="0.25">
      <c r="A3986" s="118"/>
      <c r="B3986" s="136"/>
    </row>
    <row r="3987" spans="1:2" x14ac:dyDescent="0.25">
      <c r="A3987" s="118"/>
      <c r="B3987" s="136"/>
    </row>
    <row r="3988" spans="1:2" x14ac:dyDescent="0.25">
      <c r="A3988" s="118"/>
      <c r="B3988" s="136"/>
    </row>
    <row r="3989" spans="1:2" x14ac:dyDescent="0.25">
      <c r="A3989" s="118"/>
      <c r="B3989" s="136"/>
    </row>
    <row r="3990" spans="1:2" x14ac:dyDescent="0.25">
      <c r="A3990" s="118"/>
      <c r="B3990" s="136"/>
    </row>
    <row r="3991" spans="1:2" x14ac:dyDescent="0.25">
      <c r="A3991" s="118"/>
      <c r="B3991" s="136"/>
    </row>
    <row r="3992" spans="1:2" x14ac:dyDescent="0.25">
      <c r="A3992" s="118"/>
      <c r="B3992" s="136"/>
    </row>
    <row r="3993" spans="1:2" x14ac:dyDescent="0.25">
      <c r="A3993" s="118"/>
      <c r="B3993" s="136"/>
    </row>
    <row r="3994" spans="1:2" x14ac:dyDescent="0.25">
      <c r="A3994" s="118"/>
      <c r="B3994" s="136"/>
    </row>
    <row r="3995" spans="1:2" x14ac:dyDescent="0.25">
      <c r="A3995" s="118"/>
      <c r="B3995" s="136"/>
    </row>
    <row r="3996" spans="1:2" x14ac:dyDescent="0.25">
      <c r="A3996" s="118"/>
      <c r="B3996" s="136"/>
    </row>
    <row r="3997" spans="1:2" x14ac:dyDescent="0.25">
      <c r="A3997" s="118"/>
      <c r="B3997" s="136"/>
    </row>
    <row r="3998" spans="1:2" x14ac:dyDescent="0.25">
      <c r="A3998" s="118"/>
      <c r="B3998" s="136"/>
    </row>
    <row r="3999" spans="1:2" x14ac:dyDescent="0.25">
      <c r="A3999" s="118"/>
      <c r="B3999" s="136"/>
    </row>
    <row r="4000" spans="1:2" x14ac:dyDescent="0.25">
      <c r="A4000" s="118"/>
      <c r="B4000" s="136"/>
    </row>
    <row r="4001" spans="1:2" x14ac:dyDescent="0.25">
      <c r="A4001" s="118"/>
      <c r="B4001" s="136"/>
    </row>
    <row r="4002" spans="1:2" x14ac:dyDescent="0.25">
      <c r="A4002" s="118"/>
      <c r="B4002" s="136"/>
    </row>
    <row r="4003" spans="1:2" x14ac:dyDescent="0.25">
      <c r="A4003" s="118"/>
      <c r="B4003" s="136"/>
    </row>
    <row r="4004" spans="1:2" x14ac:dyDescent="0.25">
      <c r="A4004" s="118"/>
      <c r="B4004" s="136"/>
    </row>
    <row r="4005" spans="1:2" x14ac:dyDescent="0.25">
      <c r="A4005" s="118"/>
      <c r="B4005" s="136"/>
    </row>
    <row r="4006" spans="1:2" x14ac:dyDescent="0.25">
      <c r="A4006" s="118"/>
      <c r="B4006" s="136"/>
    </row>
    <row r="4007" spans="1:2" x14ac:dyDescent="0.25">
      <c r="A4007" s="118"/>
      <c r="B4007" s="136"/>
    </row>
    <row r="4008" spans="1:2" x14ac:dyDescent="0.25">
      <c r="A4008" s="118"/>
      <c r="B4008" s="136"/>
    </row>
    <row r="4009" spans="1:2" x14ac:dyDescent="0.25">
      <c r="A4009" s="118"/>
      <c r="B4009" s="136"/>
    </row>
    <row r="4010" spans="1:2" x14ac:dyDescent="0.25">
      <c r="A4010" s="118"/>
      <c r="B4010" s="136"/>
    </row>
    <row r="4011" spans="1:2" x14ac:dyDescent="0.25">
      <c r="A4011" s="118"/>
      <c r="B4011" s="136"/>
    </row>
    <row r="4012" spans="1:2" x14ac:dyDescent="0.25">
      <c r="A4012" s="118"/>
      <c r="B4012" s="136"/>
    </row>
    <row r="4013" spans="1:2" x14ac:dyDescent="0.25">
      <c r="A4013" s="118"/>
      <c r="B4013" s="136"/>
    </row>
    <row r="4014" spans="1:2" x14ac:dyDescent="0.25">
      <c r="A4014" s="118"/>
      <c r="B4014" s="136"/>
    </row>
    <row r="4015" spans="1:2" x14ac:dyDescent="0.25">
      <c r="A4015" s="118"/>
      <c r="B4015" s="136"/>
    </row>
    <row r="4016" spans="1:2" x14ac:dyDescent="0.25">
      <c r="A4016" s="118"/>
      <c r="B4016" s="136"/>
    </row>
    <row r="4017" spans="1:2" x14ac:dyDescent="0.25">
      <c r="A4017" s="118"/>
      <c r="B4017" s="136"/>
    </row>
    <row r="4018" spans="1:2" x14ac:dyDescent="0.25">
      <c r="A4018" s="118"/>
      <c r="B4018" s="136"/>
    </row>
    <row r="4019" spans="1:2" x14ac:dyDescent="0.25">
      <c r="A4019" s="118"/>
      <c r="B4019" s="136"/>
    </row>
    <row r="4020" spans="1:2" x14ac:dyDescent="0.25">
      <c r="A4020" s="118"/>
      <c r="B4020" s="136"/>
    </row>
    <row r="4021" spans="1:2" x14ac:dyDescent="0.25">
      <c r="A4021" s="118"/>
      <c r="B4021" s="136"/>
    </row>
    <row r="4022" spans="1:2" x14ac:dyDescent="0.25">
      <c r="A4022" s="118"/>
      <c r="B4022" s="136"/>
    </row>
    <row r="4023" spans="1:2" x14ac:dyDescent="0.25">
      <c r="A4023" s="118"/>
      <c r="B4023" s="136"/>
    </row>
    <row r="4024" spans="1:2" x14ac:dyDescent="0.25">
      <c r="A4024" s="118"/>
      <c r="B4024" s="136"/>
    </row>
    <row r="4025" spans="1:2" x14ac:dyDescent="0.25">
      <c r="A4025" s="118"/>
      <c r="B4025" s="136"/>
    </row>
    <row r="4026" spans="1:2" x14ac:dyDescent="0.25">
      <c r="A4026" s="118"/>
      <c r="B4026" s="136"/>
    </row>
    <row r="4027" spans="1:2" x14ac:dyDescent="0.25">
      <c r="A4027" s="118"/>
      <c r="B4027" s="136"/>
    </row>
    <row r="4028" spans="1:2" x14ac:dyDescent="0.25">
      <c r="A4028" s="118"/>
      <c r="B4028" s="136"/>
    </row>
    <row r="4029" spans="1:2" x14ac:dyDescent="0.25">
      <c r="A4029" s="118"/>
      <c r="B4029" s="136"/>
    </row>
    <row r="4030" spans="1:2" x14ac:dyDescent="0.25">
      <c r="A4030" s="118"/>
      <c r="B4030" s="136"/>
    </row>
    <row r="4031" spans="1:2" x14ac:dyDescent="0.25">
      <c r="A4031" s="118"/>
      <c r="B4031" s="136"/>
    </row>
    <row r="4032" spans="1:2" x14ac:dyDescent="0.25">
      <c r="A4032" s="118"/>
      <c r="B4032" s="136"/>
    </row>
    <row r="4033" spans="1:2" x14ac:dyDescent="0.25">
      <c r="A4033" s="118"/>
      <c r="B4033" s="136"/>
    </row>
    <row r="4034" spans="1:2" x14ac:dyDescent="0.25">
      <c r="A4034" s="118"/>
      <c r="B4034" s="136"/>
    </row>
    <row r="4035" spans="1:2" x14ac:dyDescent="0.25">
      <c r="A4035" s="118"/>
      <c r="B4035" s="136"/>
    </row>
    <row r="4036" spans="1:2" x14ac:dyDescent="0.25">
      <c r="A4036" s="118"/>
      <c r="B4036" s="136"/>
    </row>
    <row r="4037" spans="1:2" x14ac:dyDescent="0.25">
      <c r="A4037" s="118"/>
      <c r="B4037" s="136"/>
    </row>
    <row r="4038" spans="1:2" x14ac:dyDescent="0.25">
      <c r="A4038" s="118"/>
      <c r="B4038" s="136"/>
    </row>
    <row r="4039" spans="1:2" x14ac:dyDescent="0.25">
      <c r="A4039" s="118"/>
      <c r="B4039" s="136"/>
    </row>
    <row r="4040" spans="1:2" x14ac:dyDescent="0.25">
      <c r="A4040" s="118"/>
      <c r="B4040" s="136"/>
    </row>
    <row r="4041" spans="1:2" x14ac:dyDescent="0.25">
      <c r="A4041" s="118"/>
      <c r="B4041" s="136"/>
    </row>
    <row r="4042" spans="1:2" x14ac:dyDescent="0.25">
      <c r="A4042" s="118"/>
      <c r="B4042" s="136"/>
    </row>
    <row r="4043" spans="1:2" x14ac:dyDescent="0.25">
      <c r="A4043" s="118"/>
      <c r="B4043" s="136"/>
    </row>
    <row r="4044" spans="1:2" x14ac:dyDescent="0.25">
      <c r="A4044" s="118"/>
      <c r="B4044" s="136"/>
    </row>
    <row r="4045" spans="1:2" x14ac:dyDescent="0.25">
      <c r="A4045" s="118"/>
      <c r="B4045" s="136"/>
    </row>
    <row r="4046" spans="1:2" x14ac:dyDescent="0.25">
      <c r="A4046" s="118"/>
      <c r="B4046" s="136"/>
    </row>
    <row r="4047" spans="1:2" x14ac:dyDescent="0.25">
      <c r="A4047" s="118"/>
      <c r="B4047" s="136"/>
    </row>
    <row r="4048" spans="1:2" x14ac:dyDescent="0.25">
      <c r="A4048" s="118"/>
      <c r="B4048" s="136"/>
    </row>
    <row r="4049" spans="1:2" x14ac:dyDescent="0.25">
      <c r="A4049" s="118"/>
      <c r="B4049" s="136"/>
    </row>
    <row r="4050" spans="1:2" x14ac:dyDescent="0.25">
      <c r="A4050" s="118"/>
      <c r="B4050" s="136"/>
    </row>
    <row r="4051" spans="1:2" x14ac:dyDescent="0.25">
      <c r="A4051" s="118"/>
      <c r="B4051" s="136"/>
    </row>
    <row r="4052" spans="1:2" x14ac:dyDescent="0.25">
      <c r="A4052" s="118"/>
      <c r="B4052" s="136"/>
    </row>
    <row r="4053" spans="1:2" x14ac:dyDescent="0.25">
      <c r="A4053" s="118"/>
      <c r="B4053" s="136"/>
    </row>
    <row r="4054" spans="1:2" x14ac:dyDescent="0.25">
      <c r="A4054" s="118"/>
      <c r="B4054" s="136"/>
    </row>
    <row r="4055" spans="1:2" x14ac:dyDescent="0.25">
      <c r="A4055" s="118"/>
      <c r="B4055" s="136"/>
    </row>
    <row r="4056" spans="1:2" x14ac:dyDescent="0.25">
      <c r="A4056" s="118"/>
      <c r="B4056" s="136"/>
    </row>
    <row r="4057" spans="1:2" x14ac:dyDescent="0.25">
      <c r="A4057" s="118"/>
      <c r="B4057" s="136"/>
    </row>
    <row r="4058" spans="1:2" x14ac:dyDescent="0.25">
      <c r="A4058" s="118"/>
      <c r="B4058" s="136"/>
    </row>
    <row r="4059" spans="1:2" x14ac:dyDescent="0.25">
      <c r="A4059" s="118"/>
      <c r="B4059" s="136"/>
    </row>
    <row r="4060" spans="1:2" x14ac:dyDescent="0.25">
      <c r="A4060" s="118"/>
      <c r="B4060" s="136"/>
    </row>
    <row r="4061" spans="1:2" x14ac:dyDescent="0.25">
      <c r="A4061" s="118"/>
      <c r="B4061" s="136"/>
    </row>
    <row r="4062" spans="1:2" x14ac:dyDescent="0.25">
      <c r="A4062" s="118"/>
      <c r="B4062" s="136"/>
    </row>
    <row r="4063" spans="1:2" x14ac:dyDescent="0.25">
      <c r="A4063" s="118"/>
      <c r="B4063" s="136"/>
    </row>
    <row r="4064" spans="1:2" x14ac:dyDescent="0.25">
      <c r="A4064" s="118"/>
      <c r="B4064" s="136"/>
    </row>
    <row r="4065" spans="1:2" x14ac:dyDescent="0.25">
      <c r="A4065" s="118"/>
      <c r="B4065" s="136"/>
    </row>
    <row r="4066" spans="1:2" x14ac:dyDescent="0.25">
      <c r="A4066" s="118"/>
      <c r="B4066" s="136"/>
    </row>
    <row r="4067" spans="1:2" x14ac:dyDescent="0.25">
      <c r="A4067" s="118"/>
      <c r="B4067" s="136"/>
    </row>
    <row r="4068" spans="1:2" x14ac:dyDescent="0.25">
      <c r="A4068" s="118"/>
      <c r="B4068" s="136"/>
    </row>
    <row r="4069" spans="1:2" x14ac:dyDescent="0.25">
      <c r="A4069" s="118"/>
      <c r="B4069" s="136"/>
    </row>
    <row r="4070" spans="1:2" x14ac:dyDescent="0.25">
      <c r="A4070" s="118"/>
      <c r="B4070" s="136"/>
    </row>
    <row r="4071" spans="1:2" x14ac:dyDescent="0.25">
      <c r="A4071" s="118"/>
      <c r="B4071" s="136"/>
    </row>
    <row r="4072" spans="1:2" x14ac:dyDescent="0.25">
      <c r="A4072" s="118"/>
      <c r="B4072" s="136"/>
    </row>
    <row r="4073" spans="1:2" x14ac:dyDescent="0.25">
      <c r="A4073" s="118"/>
      <c r="B4073" s="136"/>
    </row>
    <row r="4074" spans="1:2" x14ac:dyDescent="0.25">
      <c r="A4074" s="118"/>
      <c r="B4074" s="136"/>
    </row>
    <row r="4075" spans="1:2" x14ac:dyDescent="0.25">
      <c r="A4075" s="118"/>
      <c r="B4075" s="136"/>
    </row>
    <row r="4076" spans="1:2" x14ac:dyDescent="0.25">
      <c r="A4076" s="118"/>
      <c r="B4076" s="136"/>
    </row>
    <row r="4077" spans="1:2" x14ac:dyDescent="0.25">
      <c r="A4077" s="118"/>
      <c r="B4077" s="136"/>
    </row>
    <row r="4078" spans="1:2" x14ac:dyDescent="0.25">
      <c r="A4078" s="118"/>
      <c r="B4078" s="136"/>
    </row>
    <row r="4079" spans="1:2" x14ac:dyDescent="0.25">
      <c r="A4079" s="118"/>
      <c r="B4079" s="136"/>
    </row>
    <row r="4080" spans="1:2" x14ac:dyDescent="0.25">
      <c r="A4080" s="118"/>
      <c r="B4080" s="136"/>
    </row>
    <row r="4081" spans="1:2" x14ac:dyDescent="0.25">
      <c r="A4081" s="118"/>
      <c r="B4081" s="136"/>
    </row>
    <row r="4082" spans="1:2" x14ac:dyDescent="0.25">
      <c r="A4082" s="118"/>
      <c r="B4082" s="136"/>
    </row>
    <row r="4083" spans="1:2" x14ac:dyDescent="0.25">
      <c r="A4083" s="118"/>
      <c r="B4083" s="136"/>
    </row>
    <row r="4084" spans="1:2" x14ac:dyDescent="0.25">
      <c r="A4084" s="118"/>
      <c r="B4084" s="136"/>
    </row>
    <row r="4085" spans="1:2" x14ac:dyDescent="0.25">
      <c r="A4085" s="118"/>
      <c r="B4085" s="136"/>
    </row>
    <row r="4086" spans="1:2" x14ac:dyDescent="0.25">
      <c r="A4086" s="118"/>
      <c r="B4086" s="136"/>
    </row>
    <row r="4087" spans="1:2" x14ac:dyDescent="0.25">
      <c r="A4087" s="118"/>
      <c r="B4087" s="136"/>
    </row>
    <row r="4088" spans="1:2" x14ac:dyDescent="0.25">
      <c r="A4088" s="118"/>
      <c r="B4088" s="136"/>
    </row>
    <row r="4089" spans="1:2" x14ac:dyDescent="0.25">
      <c r="A4089" s="118"/>
      <c r="B4089" s="136"/>
    </row>
    <row r="4090" spans="1:2" x14ac:dyDescent="0.25">
      <c r="A4090" s="118"/>
      <c r="B4090" s="136"/>
    </row>
    <row r="4091" spans="1:2" x14ac:dyDescent="0.25">
      <c r="A4091" s="118"/>
      <c r="B4091" s="136"/>
    </row>
    <row r="4092" spans="1:2" x14ac:dyDescent="0.25">
      <c r="A4092" s="118"/>
      <c r="B4092" s="136"/>
    </row>
    <row r="4093" spans="1:2" x14ac:dyDescent="0.25">
      <c r="A4093" s="118"/>
      <c r="B4093" s="136"/>
    </row>
    <row r="4094" spans="1:2" x14ac:dyDescent="0.25">
      <c r="A4094" s="118"/>
      <c r="B4094" s="136"/>
    </row>
    <row r="4095" spans="1:2" x14ac:dyDescent="0.25">
      <c r="A4095" s="118"/>
      <c r="B4095" s="136"/>
    </row>
    <row r="4096" spans="1:2" x14ac:dyDescent="0.25">
      <c r="A4096" s="118"/>
      <c r="B4096" s="136"/>
    </row>
    <row r="4097" spans="1:2" x14ac:dyDescent="0.25">
      <c r="A4097" s="118"/>
      <c r="B4097" s="136"/>
    </row>
    <row r="4098" spans="1:2" x14ac:dyDescent="0.25">
      <c r="A4098" s="118"/>
      <c r="B4098" s="136"/>
    </row>
    <row r="4099" spans="1:2" x14ac:dyDescent="0.25">
      <c r="A4099" s="118"/>
      <c r="B4099" s="136"/>
    </row>
    <row r="4100" spans="1:2" x14ac:dyDescent="0.25">
      <c r="A4100" s="118"/>
      <c r="B4100" s="136"/>
    </row>
    <row r="4101" spans="1:2" x14ac:dyDescent="0.25">
      <c r="A4101" s="118"/>
      <c r="B4101" s="136"/>
    </row>
    <row r="4102" spans="1:2" x14ac:dyDescent="0.25">
      <c r="A4102" s="118"/>
      <c r="B4102" s="136"/>
    </row>
    <row r="4103" spans="1:2" x14ac:dyDescent="0.25">
      <c r="A4103" s="118"/>
      <c r="B4103" s="136"/>
    </row>
    <row r="4104" spans="1:2" x14ac:dyDescent="0.25">
      <c r="A4104" s="118"/>
      <c r="B4104" s="136"/>
    </row>
    <row r="4105" spans="1:2" x14ac:dyDescent="0.25">
      <c r="A4105" s="118"/>
      <c r="B4105" s="136"/>
    </row>
    <row r="4106" spans="1:2" x14ac:dyDescent="0.25">
      <c r="A4106" s="118"/>
      <c r="B4106" s="136"/>
    </row>
    <row r="4107" spans="1:2" x14ac:dyDescent="0.25">
      <c r="A4107" s="118"/>
      <c r="B4107" s="136"/>
    </row>
    <row r="4108" spans="1:2" x14ac:dyDescent="0.25">
      <c r="A4108" s="118"/>
      <c r="B4108" s="136"/>
    </row>
    <row r="4109" spans="1:2" x14ac:dyDescent="0.25">
      <c r="A4109" s="118"/>
      <c r="B4109" s="136"/>
    </row>
    <row r="4110" spans="1:2" x14ac:dyDescent="0.25">
      <c r="A4110" s="118"/>
      <c r="B4110" s="136"/>
    </row>
    <row r="4111" spans="1:2" x14ac:dyDescent="0.25">
      <c r="A4111" s="118"/>
      <c r="B4111" s="136"/>
    </row>
    <row r="4112" spans="1:2" x14ac:dyDescent="0.25">
      <c r="A4112" s="118"/>
      <c r="B4112" s="136"/>
    </row>
    <row r="4113" spans="1:2" x14ac:dyDescent="0.25">
      <c r="A4113" s="118"/>
      <c r="B4113" s="136"/>
    </row>
    <row r="4114" spans="1:2" x14ac:dyDescent="0.25">
      <c r="A4114" s="118"/>
      <c r="B4114" s="136"/>
    </row>
    <row r="4115" spans="1:2" x14ac:dyDescent="0.25">
      <c r="A4115" s="118"/>
      <c r="B4115" s="136"/>
    </row>
    <row r="4116" spans="1:2" x14ac:dyDescent="0.25">
      <c r="A4116" s="118"/>
      <c r="B4116" s="136"/>
    </row>
    <row r="4117" spans="1:2" x14ac:dyDescent="0.25">
      <c r="A4117" s="118"/>
      <c r="B4117" s="136"/>
    </row>
    <row r="4118" spans="1:2" x14ac:dyDescent="0.25">
      <c r="A4118" s="118"/>
      <c r="B4118" s="136"/>
    </row>
    <row r="4119" spans="1:2" x14ac:dyDescent="0.25">
      <c r="A4119" s="118"/>
      <c r="B4119" s="136"/>
    </row>
    <row r="4120" spans="1:2" x14ac:dyDescent="0.25">
      <c r="A4120" s="118"/>
      <c r="B4120" s="136"/>
    </row>
    <row r="4121" spans="1:2" x14ac:dyDescent="0.25">
      <c r="A4121" s="118"/>
      <c r="B4121" s="136"/>
    </row>
    <row r="4122" spans="1:2" x14ac:dyDescent="0.25">
      <c r="A4122" s="118"/>
      <c r="B4122" s="136"/>
    </row>
    <row r="4123" spans="1:2" x14ac:dyDescent="0.25">
      <c r="A4123" s="118"/>
      <c r="B4123" s="136"/>
    </row>
    <row r="4124" spans="1:2" x14ac:dyDescent="0.25">
      <c r="A4124" s="118"/>
      <c r="B4124" s="136"/>
    </row>
    <row r="4125" spans="1:2" x14ac:dyDescent="0.25">
      <c r="A4125" s="118"/>
      <c r="B4125" s="136"/>
    </row>
    <row r="4126" spans="1:2" x14ac:dyDescent="0.25">
      <c r="A4126" s="118"/>
      <c r="B4126" s="136"/>
    </row>
    <row r="4127" spans="1:2" x14ac:dyDescent="0.25">
      <c r="A4127" s="118"/>
      <c r="B4127" s="136"/>
    </row>
    <row r="4128" spans="1:2" x14ac:dyDescent="0.25">
      <c r="A4128" s="118"/>
      <c r="B4128" s="136"/>
    </row>
    <row r="4129" spans="1:2" x14ac:dyDescent="0.25">
      <c r="A4129" s="118"/>
      <c r="B4129" s="136"/>
    </row>
    <row r="4130" spans="1:2" x14ac:dyDescent="0.25">
      <c r="A4130" s="118"/>
      <c r="B4130" s="136"/>
    </row>
    <row r="4131" spans="1:2" x14ac:dyDescent="0.25">
      <c r="A4131" s="118"/>
      <c r="B4131" s="136"/>
    </row>
    <row r="4132" spans="1:2" x14ac:dyDescent="0.25">
      <c r="A4132" s="118"/>
      <c r="B4132" s="136"/>
    </row>
    <row r="4133" spans="1:2" x14ac:dyDescent="0.25">
      <c r="A4133" s="118"/>
      <c r="B4133" s="136"/>
    </row>
    <row r="4134" spans="1:2" x14ac:dyDescent="0.25">
      <c r="A4134" s="118"/>
      <c r="B4134" s="136"/>
    </row>
    <row r="4135" spans="1:2" x14ac:dyDescent="0.25">
      <c r="A4135" s="118"/>
      <c r="B4135" s="136"/>
    </row>
    <row r="4136" spans="1:2" x14ac:dyDescent="0.25">
      <c r="A4136" s="118"/>
      <c r="B4136" s="136"/>
    </row>
    <row r="4137" spans="1:2" x14ac:dyDescent="0.25">
      <c r="A4137" s="118"/>
      <c r="B4137" s="136"/>
    </row>
    <row r="4138" spans="1:2" x14ac:dyDescent="0.25">
      <c r="A4138" s="118"/>
      <c r="B4138" s="136"/>
    </row>
    <row r="4139" spans="1:2" x14ac:dyDescent="0.25">
      <c r="A4139" s="118"/>
      <c r="B4139" s="136"/>
    </row>
    <row r="4140" spans="1:2" x14ac:dyDescent="0.25">
      <c r="A4140" s="118"/>
      <c r="B4140" s="136"/>
    </row>
    <row r="4141" spans="1:2" x14ac:dyDescent="0.25">
      <c r="A4141" s="118"/>
      <c r="B4141" s="136"/>
    </row>
    <row r="4142" spans="1:2" x14ac:dyDescent="0.25">
      <c r="A4142" s="118"/>
      <c r="B4142" s="136"/>
    </row>
    <row r="4143" spans="1:2" x14ac:dyDescent="0.25">
      <c r="A4143" s="118"/>
      <c r="B4143" s="136"/>
    </row>
    <row r="4144" spans="1:2" x14ac:dyDescent="0.25">
      <c r="A4144" s="118"/>
      <c r="B4144" s="136"/>
    </row>
    <row r="4145" spans="1:2" x14ac:dyDescent="0.25">
      <c r="A4145" s="118"/>
      <c r="B4145" s="136"/>
    </row>
    <row r="4146" spans="1:2" x14ac:dyDescent="0.25">
      <c r="A4146" s="118"/>
      <c r="B4146" s="136"/>
    </row>
    <row r="4147" spans="1:2" x14ac:dyDescent="0.25">
      <c r="A4147" s="118"/>
      <c r="B4147" s="136"/>
    </row>
    <row r="4148" spans="1:2" x14ac:dyDescent="0.25">
      <c r="A4148" s="118"/>
      <c r="B4148" s="136"/>
    </row>
    <row r="4149" spans="1:2" x14ac:dyDescent="0.25">
      <c r="A4149" s="118"/>
      <c r="B4149" s="136"/>
    </row>
    <row r="4150" spans="1:2" x14ac:dyDescent="0.25">
      <c r="A4150" s="118"/>
      <c r="B4150" s="136"/>
    </row>
    <row r="4151" spans="1:2" x14ac:dyDescent="0.25">
      <c r="A4151" s="118"/>
      <c r="B4151" s="136"/>
    </row>
    <row r="4152" spans="1:2" x14ac:dyDescent="0.25">
      <c r="A4152" s="118"/>
      <c r="B4152" s="136"/>
    </row>
    <row r="4153" spans="1:2" x14ac:dyDescent="0.25">
      <c r="A4153" s="118"/>
      <c r="B4153" s="136"/>
    </row>
    <row r="4154" spans="1:2" x14ac:dyDescent="0.25">
      <c r="A4154" s="118"/>
      <c r="B4154" s="136"/>
    </row>
    <row r="4155" spans="1:2" x14ac:dyDescent="0.25">
      <c r="A4155" s="118"/>
      <c r="B4155" s="136"/>
    </row>
    <row r="4156" spans="1:2" x14ac:dyDescent="0.25">
      <c r="A4156" s="118"/>
      <c r="B4156" s="136"/>
    </row>
    <row r="4157" spans="1:2" x14ac:dyDescent="0.25">
      <c r="A4157" s="118"/>
      <c r="B4157" s="136"/>
    </row>
    <row r="4158" spans="1:2" x14ac:dyDescent="0.25">
      <c r="A4158" s="118"/>
      <c r="B4158" s="136"/>
    </row>
    <row r="4159" spans="1:2" x14ac:dyDescent="0.25">
      <c r="A4159" s="118"/>
      <c r="B4159" s="136"/>
    </row>
    <row r="4160" spans="1:2" x14ac:dyDescent="0.25">
      <c r="A4160" s="118"/>
      <c r="B4160" s="136"/>
    </row>
    <row r="4161" spans="1:2" x14ac:dyDescent="0.25">
      <c r="A4161" s="118"/>
      <c r="B4161" s="136"/>
    </row>
    <row r="4162" spans="1:2" x14ac:dyDescent="0.25">
      <c r="A4162" s="118"/>
      <c r="B4162" s="136"/>
    </row>
    <row r="4163" spans="1:2" x14ac:dyDescent="0.25">
      <c r="A4163" s="118"/>
      <c r="B4163" s="136"/>
    </row>
    <row r="4164" spans="1:2" x14ac:dyDescent="0.25">
      <c r="A4164" s="118"/>
      <c r="B4164" s="136"/>
    </row>
    <row r="4165" spans="1:2" x14ac:dyDescent="0.25">
      <c r="A4165" s="118"/>
      <c r="B4165" s="136"/>
    </row>
    <row r="4166" spans="1:2" x14ac:dyDescent="0.25">
      <c r="A4166" s="118"/>
      <c r="B4166" s="136"/>
    </row>
    <row r="4167" spans="1:2" x14ac:dyDescent="0.25">
      <c r="A4167" s="118"/>
      <c r="B4167" s="136"/>
    </row>
    <row r="4168" spans="1:2" x14ac:dyDescent="0.25">
      <c r="A4168" s="118"/>
      <c r="B4168" s="136"/>
    </row>
    <row r="4169" spans="1:2" x14ac:dyDescent="0.25">
      <c r="A4169" s="118"/>
      <c r="B4169" s="136"/>
    </row>
    <row r="4170" spans="1:2" x14ac:dyDescent="0.25">
      <c r="A4170" s="118"/>
      <c r="B4170" s="136"/>
    </row>
    <row r="4171" spans="1:2" x14ac:dyDescent="0.25">
      <c r="A4171" s="118"/>
      <c r="B4171" s="136"/>
    </row>
    <row r="4172" spans="1:2" x14ac:dyDescent="0.25">
      <c r="A4172" s="118"/>
      <c r="B4172" s="136"/>
    </row>
    <row r="4173" spans="1:2" x14ac:dyDescent="0.25">
      <c r="A4173" s="118"/>
      <c r="B4173" s="136"/>
    </row>
    <row r="4174" spans="1:2" x14ac:dyDescent="0.25">
      <c r="A4174" s="118"/>
      <c r="B4174" s="136"/>
    </row>
    <row r="4175" spans="1:2" x14ac:dyDescent="0.25">
      <c r="A4175" s="118"/>
      <c r="B4175" s="136"/>
    </row>
    <row r="4176" spans="1:2" x14ac:dyDescent="0.25">
      <c r="A4176" s="118"/>
      <c r="B4176" s="136"/>
    </row>
    <row r="4177" spans="1:2" x14ac:dyDescent="0.25">
      <c r="A4177" s="118"/>
      <c r="B4177" s="136"/>
    </row>
    <row r="4178" spans="1:2" x14ac:dyDescent="0.25">
      <c r="A4178" s="118"/>
      <c r="B4178" s="136"/>
    </row>
    <row r="4179" spans="1:2" x14ac:dyDescent="0.25">
      <c r="A4179" s="118"/>
      <c r="B4179" s="136"/>
    </row>
    <row r="4180" spans="1:2" x14ac:dyDescent="0.25">
      <c r="A4180" s="118"/>
      <c r="B4180" s="136"/>
    </row>
    <row r="4181" spans="1:2" x14ac:dyDescent="0.25">
      <c r="A4181" s="118"/>
      <c r="B4181" s="136"/>
    </row>
    <row r="4182" spans="1:2" x14ac:dyDescent="0.25">
      <c r="A4182" s="118"/>
      <c r="B4182" s="136"/>
    </row>
    <row r="4183" spans="1:2" x14ac:dyDescent="0.25">
      <c r="A4183" s="118"/>
      <c r="B4183" s="136"/>
    </row>
    <row r="4184" spans="1:2" x14ac:dyDescent="0.25">
      <c r="A4184" s="118"/>
      <c r="B4184" s="136"/>
    </row>
    <row r="4185" spans="1:2" x14ac:dyDescent="0.25">
      <c r="A4185" s="118"/>
      <c r="B4185" s="136"/>
    </row>
    <row r="4186" spans="1:2" x14ac:dyDescent="0.25">
      <c r="A4186" s="118"/>
      <c r="B4186" s="136"/>
    </row>
    <row r="4187" spans="1:2" x14ac:dyDescent="0.25">
      <c r="A4187" s="118"/>
      <c r="B4187" s="136"/>
    </row>
    <row r="4188" spans="1:2" x14ac:dyDescent="0.25">
      <c r="A4188" s="118"/>
      <c r="B4188" s="136"/>
    </row>
    <row r="4189" spans="1:2" x14ac:dyDescent="0.25">
      <c r="A4189" s="118"/>
      <c r="B4189" s="136"/>
    </row>
    <row r="4190" spans="1:2" x14ac:dyDescent="0.25">
      <c r="A4190" s="118"/>
      <c r="B4190" s="136"/>
    </row>
    <row r="4191" spans="1:2" x14ac:dyDescent="0.25">
      <c r="A4191" s="118"/>
      <c r="B4191" s="136"/>
    </row>
    <row r="4192" spans="1:2" x14ac:dyDescent="0.25">
      <c r="A4192" s="118"/>
      <c r="B4192" s="136"/>
    </row>
    <row r="4193" spans="1:2" x14ac:dyDescent="0.25">
      <c r="A4193" s="118"/>
      <c r="B4193" s="136"/>
    </row>
    <row r="4194" spans="1:2" x14ac:dyDescent="0.25">
      <c r="A4194" s="118"/>
      <c r="B4194" s="136"/>
    </row>
    <row r="4195" spans="1:2" x14ac:dyDescent="0.25">
      <c r="A4195" s="118"/>
      <c r="B4195" s="136"/>
    </row>
    <row r="4196" spans="1:2" x14ac:dyDescent="0.25">
      <c r="A4196" s="118"/>
      <c r="B4196" s="136"/>
    </row>
    <row r="4197" spans="1:2" x14ac:dyDescent="0.25">
      <c r="A4197" s="118"/>
      <c r="B4197" s="136"/>
    </row>
    <row r="4198" spans="1:2" x14ac:dyDescent="0.25">
      <c r="A4198" s="118"/>
      <c r="B4198" s="136"/>
    </row>
    <row r="4199" spans="1:2" x14ac:dyDescent="0.25">
      <c r="A4199" s="118"/>
      <c r="B4199" s="136"/>
    </row>
    <row r="4200" spans="1:2" x14ac:dyDescent="0.25">
      <c r="A4200" s="118"/>
      <c r="B4200" s="136"/>
    </row>
    <row r="4201" spans="1:2" x14ac:dyDescent="0.25">
      <c r="A4201" s="118"/>
      <c r="B4201" s="136"/>
    </row>
    <row r="4202" spans="1:2" x14ac:dyDescent="0.25">
      <c r="A4202" s="118"/>
      <c r="B4202" s="136"/>
    </row>
    <row r="4203" spans="1:2" x14ac:dyDescent="0.25">
      <c r="A4203" s="118"/>
      <c r="B4203" s="136"/>
    </row>
    <row r="4204" spans="1:2" x14ac:dyDescent="0.25">
      <c r="A4204" s="118"/>
      <c r="B4204" s="136"/>
    </row>
    <row r="4205" spans="1:2" x14ac:dyDescent="0.25">
      <c r="A4205" s="118"/>
      <c r="B4205" s="136"/>
    </row>
    <row r="4206" spans="1:2" x14ac:dyDescent="0.25">
      <c r="A4206" s="118"/>
      <c r="B4206" s="136"/>
    </row>
    <row r="4207" spans="1:2" x14ac:dyDescent="0.25">
      <c r="A4207" s="118"/>
      <c r="B4207" s="136"/>
    </row>
    <row r="4208" spans="1:2" x14ac:dyDescent="0.25">
      <c r="A4208" s="118"/>
      <c r="B4208" s="136"/>
    </row>
    <row r="4209" spans="1:2" x14ac:dyDescent="0.25">
      <c r="A4209" s="118"/>
      <c r="B4209" s="136"/>
    </row>
    <row r="4210" spans="1:2" x14ac:dyDescent="0.25">
      <c r="A4210" s="118"/>
      <c r="B4210" s="136"/>
    </row>
    <row r="4211" spans="1:2" x14ac:dyDescent="0.25">
      <c r="A4211" s="118"/>
      <c r="B4211" s="136"/>
    </row>
    <row r="4212" spans="1:2" x14ac:dyDescent="0.25">
      <c r="A4212" s="118"/>
      <c r="B4212" s="136"/>
    </row>
    <row r="4213" spans="1:2" x14ac:dyDescent="0.25">
      <c r="A4213" s="118"/>
      <c r="B4213" s="136"/>
    </row>
    <row r="4214" spans="1:2" x14ac:dyDescent="0.25">
      <c r="A4214" s="118"/>
      <c r="B4214" s="136"/>
    </row>
    <row r="4215" spans="1:2" x14ac:dyDescent="0.25">
      <c r="A4215" s="118"/>
      <c r="B4215" s="136"/>
    </row>
    <row r="4216" spans="1:2" x14ac:dyDescent="0.25">
      <c r="A4216" s="118"/>
      <c r="B4216" s="136"/>
    </row>
    <row r="4217" spans="1:2" x14ac:dyDescent="0.25">
      <c r="A4217" s="118"/>
      <c r="B4217" s="136"/>
    </row>
    <row r="4218" spans="1:2" x14ac:dyDescent="0.25">
      <c r="A4218" s="118"/>
      <c r="B4218" s="136"/>
    </row>
    <row r="4219" spans="1:2" x14ac:dyDescent="0.25">
      <c r="A4219" s="118"/>
      <c r="B4219" s="136"/>
    </row>
    <row r="4220" spans="1:2" x14ac:dyDescent="0.25">
      <c r="A4220" s="118"/>
      <c r="B4220" s="136"/>
    </row>
    <row r="4221" spans="1:2" x14ac:dyDescent="0.25">
      <c r="A4221" s="118"/>
      <c r="B4221" s="136"/>
    </row>
    <row r="4222" spans="1:2" x14ac:dyDescent="0.25">
      <c r="A4222" s="118"/>
      <c r="B4222" s="136"/>
    </row>
    <row r="4223" spans="1:2" x14ac:dyDescent="0.25">
      <c r="A4223" s="118"/>
      <c r="B4223" s="136"/>
    </row>
    <row r="4224" spans="1:2" x14ac:dyDescent="0.25">
      <c r="A4224" s="118"/>
      <c r="B4224" s="136"/>
    </row>
    <row r="4225" spans="1:2" x14ac:dyDescent="0.25">
      <c r="A4225" s="118"/>
      <c r="B4225" s="136"/>
    </row>
    <row r="4226" spans="1:2" x14ac:dyDescent="0.25">
      <c r="A4226" s="118"/>
      <c r="B4226" s="136"/>
    </row>
    <row r="4227" spans="1:2" x14ac:dyDescent="0.25">
      <c r="A4227" s="118"/>
      <c r="B4227" s="136"/>
    </row>
    <row r="4228" spans="1:2" x14ac:dyDescent="0.25">
      <c r="A4228" s="118"/>
      <c r="B4228" s="136"/>
    </row>
    <row r="4229" spans="1:2" x14ac:dyDescent="0.25">
      <c r="A4229" s="118"/>
      <c r="B4229" s="136"/>
    </row>
    <row r="4230" spans="1:2" x14ac:dyDescent="0.25">
      <c r="A4230" s="118"/>
      <c r="B4230" s="136"/>
    </row>
    <row r="4231" spans="1:2" x14ac:dyDescent="0.25">
      <c r="A4231" s="118"/>
      <c r="B4231" s="136"/>
    </row>
    <row r="4232" spans="1:2" x14ac:dyDescent="0.25">
      <c r="A4232" s="118"/>
      <c r="B4232" s="136"/>
    </row>
    <row r="4233" spans="1:2" x14ac:dyDescent="0.25">
      <c r="A4233" s="118"/>
      <c r="B4233" s="136"/>
    </row>
    <row r="4234" spans="1:2" x14ac:dyDescent="0.25">
      <c r="A4234" s="118"/>
      <c r="B4234" s="136"/>
    </row>
    <row r="4235" spans="1:2" x14ac:dyDescent="0.25">
      <c r="A4235" s="118"/>
      <c r="B4235" s="136"/>
    </row>
    <row r="4236" spans="1:2" x14ac:dyDescent="0.25">
      <c r="A4236" s="118"/>
      <c r="B4236" s="136"/>
    </row>
    <row r="4237" spans="1:2" x14ac:dyDescent="0.25">
      <c r="A4237" s="118"/>
      <c r="B4237" s="136"/>
    </row>
    <row r="4238" spans="1:2" x14ac:dyDescent="0.25">
      <c r="A4238" s="118"/>
      <c r="B4238" s="136"/>
    </row>
    <row r="4239" spans="1:2" x14ac:dyDescent="0.25">
      <c r="A4239" s="118"/>
      <c r="B4239" s="136"/>
    </row>
    <row r="4240" spans="1:2" x14ac:dyDescent="0.25">
      <c r="A4240" s="118"/>
      <c r="B4240" s="136"/>
    </row>
    <row r="4241" spans="1:2" x14ac:dyDescent="0.25">
      <c r="A4241" s="118"/>
      <c r="B4241" s="136"/>
    </row>
    <row r="4242" spans="1:2" x14ac:dyDescent="0.25">
      <c r="A4242" s="118"/>
      <c r="B4242" s="136"/>
    </row>
    <row r="4243" spans="1:2" x14ac:dyDescent="0.25">
      <c r="A4243" s="118"/>
      <c r="B4243" s="136"/>
    </row>
    <row r="4244" spans="1:2" x14ac:dyDescent="0.25">
      <c r="A4244" s="118"/>
      <c r="B4244" s="136"/>
    </row>
    <row r="4245" spans="1:2" x14ac:dyDescent="0.25">
      <c r="A4245" s="118"/>
      <c r="B4245" s="136"/>
    </row>
    <row r="4246" spans="1:2" x14ac:dyDescent="0.25">
      <c r="A4246" s="118"/>
      <c r="B4246" s="136"/>
    </row>
    <row r="4247" spans="1:2" x14ac:dyDescent="0.25">
      <c r="A4247" s="118"/>
      <c r="B4247" s="136"/>
    </row>
    <row r="4248" spans="1:2" x14ac:dyDescent="0.25">
      <c r="A4248" s="118"/>
      <c r="B4248" s="136"/>
    </row>
    <row r="4249" spans="1:2" x14ac:dyDescent="0.25">
      <c r="A4249" s="118"/>
      <c r="B4249" s="136"/>
    </row>
    <row r="4250" spans="1:2" x14ac:dyDescent="0.25">
      <c r="A4250" s="118"/>
      <c r="B4250" s="136"/>
    </row>
    <row r="4251" spans="1:2" x14ac:dyDescent="0.25">
      <c r="A4251" s="118"/>
      <c r="B4251" s="136"/>
    </row>
    <row r="4252" spans="1:2" x14ac:dyDescent="0.25">
      <c r="A4252" s="118"/>
      <c r="B4252" s="136"/>
    </row>
    <row r="4253" spans="1:2" x14ac:dyDescent="0.25">
      <c r="A4253" s="118"/>
      <c r="B4253" s="136"/>
    </row>
    <row r="4254" spans="1:2" x14ac:dyDescent="0.25">
      <c r="A4254" s="118"/>
      <c r="B4254" s="136"/>
    </row>
    <row r="4255" spans="1:2" x14ac:dyDescent="0.25">
      <c r="A4255" s="118"/>
      <c r="B4255" s="136"/>
    </row>
    <row r="4256" spans="1:2" x14ac:dyDescent="0.25">
      <c r="A4256" s="118"/>
      <c r="B4256" s="136"/>
    </row>
    <row r="4257" spans="1:2" x14ac:dyDescent="0.25">
      <c r="A4257" s="118"/>
      <c r="B4257" s="136"/>
    </row>
    <row r="4258" spans="1:2" x14ac:dyDescent="0.25">
      <c r="A4258" s="118"/>
      <c r="B4258" s="136"/>
    </row>
    <row r="4259" spans="1:2" x14ac:dyDescent="0.25">
      <c r="A4259" s="118"/>
      <c r="B4259" s="136"/>
    </row>
    <row r="4260" spans="1:2" x14ac:dyDescent="0.25">
      <c r="A4260" s="118"/>
      <c r="B4260" s="136"/>
    </row>
    <row r="4261" spans="1:2" x14ac:dyDescent="0.25">
      <c r="A4261" s="118"/>
      <c r="B4261" s="136"/>
    </row>
    <row r="4262" spans="1:2" x14ac:dyDescent="0.25">
      <c r="A4262" s="118"/>
      <c r="B4262" s="136"/>
    </row>
    <row r="4263" spans="1:2" x14ac:dyDescent="0.25">
      <c r="A4263" s="118"/>
      <c r="B4263" s="136"/>
    </row>
    <row r="4264" spans="1:2" x14ac:dyDescent="0.25">
      <c r="A4264" s="118"/>
      <c r="B4264" s="136"/>
    </row>
    <row r="4265" spans="1:2" x14ac:dyDescent="0.25">
      <c r="A4265" s="118"/>
      <c r="B4265" s="136"/>
    </row>
    <row r="4266" spans="1:2" x14ac:dyDescent="0.25">
      <c r="A4266" s="118"/>
      <c r="B4266" s="136"/>
    </row>
    <row r="4267" spans="1:2" x14ac:dyDescent="0.25">
      <c r="A4267" s="118"/>
      <c r="B4267" s="136"/>
    </row>
    <row r="4268" spans="1:2" x14ac:dyDescent="0.25">
      <c r="A4268" s="118"/>
      <c r="B4268" s="136"/>
    </row>
    <row r="4269" spans="1:2" x14ac:dyDescent="0.25">
      <c r="A4269" s="118"/>
      <c r="B4269" s="136"/>
    </row>
    <row r="4270" spans="1:2" x14ac:dyDescent="0.25">
      <c r="A4270" s="118"/>
      <c r="B4270" s="136"/>
    </row>
    <row r="4271" spans="1:2" x14ac:dyDescent="0.25">
      <c r="A4271" s="118"/>
      <c r="B4271" s="136"/>
    </row>
    <row r="4272" spans="1:2" x14ac:dyDescent="0.25">
      <c r="A4272" s="118"/>
      <c r="B4272" s="136"/>
    </row>
    <row r="4273" spans="1:2" x14ac:dyDescent="0.25">
      <c r="A4273" s="118"/>
      <c r="B4273" s="136"/>
    </row>
    <row r="4274" spans="1:2" x14ac:dyDescent="0.25">
      <c r="A4274" s="118"/>
      <c r="B4274" s="136"/>
    </row>
    <row r="4275" spans="1:2" x14ac:dyDescent="0.25">
      <c r="A4275" s="118"/>
      <c r="B4275" s="136"/>
    </row>
    <row r="4276" spans="1:2" x14ac:dyDescent="0.25">
      <c r="A4276" s="118"/>
      <c r="B4276" s="136"/>
    </row>
    <row r="4277" spans="1:2" x14ac:dyDescent="0.25">
      <c r="A4277" s="118"/>
      <c r="B4277" s="136"/>
    </row>
    <row r="4278" spans="1:2" x14ac:dyDescent="0.25">
      <c r="A4278" s="118"/>
      <c r="B4278" s="136"/>
    </row>
    <row r="4279" spans="1:2" x14ac:dyDescent="0.25">
      <c r="A4279" s="118"/>
      <c r="B4279" s="136"/>
    </row>
    <row r="4280" spans="1:2" x14ac:dyDescent="0.25">
      <c r="A4280" s="118"/>
      <c r="B4280" s="136"/>
    </row>
    <row r="4281" spans="1:2" x14ac:dyDescent="0.25">
      <c r="A4281" s="118"/>
      <c r="B4281" s="136"/>
    </row>
    <row r="4282" spans="1:2" x14ac:dyDescent="0.25">
      <c r="A4282" s="118"/>
      <c r="B4282" s="136"/>
    </row>
    <row r="4283" spans="1:2" x14ac:dyDescent="0.25">
      <c r="A4283" s="118"/>
      <c r="B4283" s="136"/>
    </row>
    <row r="4284" spans="1:2" x14ac:dyDescent="0.25">
      <c r="A4284" s="118"/>
      <c r="B4284" s="136"/>
    </row>
    <row r="4285" spans="1:2" x14ac:dyDescent="0.25">
      <c r="A4285" s="118"/>
      <c r="B4285" s="136"/>
    </row>
    <row r="4286" spans="1:2" x14ac:dyDescent="0.25">
      <c r="A4286" s="118"/>
      <c r="B4286" s="136"/>
    </row>
    <row r="4287" spans="1:2" x14ac:dyDescent="0.25">
      <c r="A4287" s="118"/>
      <c r="B4287" s="136"/>
    </row>
    <row r="4288" spans="1:2" x14ac:dyDescent="0.25">
      <c r="A4288" s="118"/>
      <c r="B4288" s="136"/>
    </row>
    <row r="4289" spans="1:2" x14ac:dyDescent="0.25">
      <c r="A4289" s="118"/>
      <c r="B4289" s="136"/>
    </row>
    <row r="4290" spans="1:2" x14ac:dyDescent="0.25">
      <c r="A4290" s="118"/>
      <c r="B4290" s="136"/>
    </row>
    <row r="4291" spans="1:2" x14ac:dyDescent="0.25">
      <c r="A4291" s="118"/>
      <c r="B4291" s="136"/>
    </row>
    <row r="4292" spans="1:2" x14ac:dyDescent="0.25">
      <c r="A4292" s="118"/>
      <c r="B4292" s="136"/>
    </row>
    <row r="4293" spans="1:2" x14ac:dyDescent="0.25">
      <c r="A4293" s="118"/>
      <c r="B4293" s="136"/>
    </row>
    <row r="4294" spans="1:2" x14ac:dyDescent="0.25">
      <c r="A4294" s="118"/>
      <c r="B4294" s="136"/>
    </row>
    <row r="4295" spans="1:2" x14ac:dyDescent="0.25">
      <c r="A4295" s="118"/>
      <c r="B4295" s="136"/>
    </row>
    <row r="4296" spans="1:2" x14ac:dyDescent="0.25">
      <c r="A4296" s="118"/>
      <c r="B4296" s="136"/>
    </row>
    <row r="4297" spans="1:2" x14ac:dyDescent="0.25">
      <c r="A4297" s="118"/>
      <c r="B4297" s="136"/>
    </row>
    <row r="4298" spans="1:2" x14ac:dyDescent="0.25">
      <c r="A4298" s="118"/>
      <c r="B4298" s="136"/>
    </row>
    <row r="4299" spans="1:2" x14ac:dyDescent="0.25">
      <c r="A4299" s="118"/>
      <c r="B4299" s="136"/>
    </row>
    <row r="4300" spans="1:2" x14ac:dyDescent="0.25">
      <c r="A4300" s="118"/>
      <c r="B4300" s="136"/>
    </row>
    <row r="4301" spans="1:2" x14ac:dyDescent="0.25">
      <c r="A4301" s="118"/>
      <c r="B4301" s="136"/>
    </row>
    <row r="4302" spans="1:2" x14ac:dyDescent="0.25">
      <c r="A4302" s="118"/>
      <c r="B4302" s="136"/>
    </row>
    <row r="4303" spans="1:2" x14ac:dyDescent="0.25">
      <c r="A4303" s="118"/>
      <c r="B4303" s="136"/>
    </row>
    <row r="4304" spans="1:2" x14ac:dyDescent="0.25">
      <c r="A4304" s="118"/>
      <c r="B4304" s="136"/>
    </row>
    <row r="4305" spans="1:2" x14ac:dyDescent="0.25">
      <c r="A4305" s="118"/>
      <c r="B4305" s="136"/>
    </row>
    <row r="4306" spans="1:2" x14ac:dyDescent="0.25">
      <c r="A4306" s="118"/>
      <c r="B4306" s="136"/>
    </row>
    <row r="4307" spans="1:2" x14ac:dyDescent="0.25">
      <c r="A4307" s="118"/>
      <c r="B4307" s="136"/>
    </row>
    <row r="4308" spans="1:2" x14ac:dyDescent="0.25">
      <c r="A4308" s="118"/>
      <c r="B4308" s="136"/>
    </row>
    <row r="4309" spans="1:2" x14ac:dyDescent="0.25">
      <c r="A4309" s="118"/>
      <c r="B4309" s="136"/>
    </row>
    <row r="4310" spans="1:2" x14ac:dyDescent="0.25">
      <c r="A4310" s="118"/>
      <c r="B4310" s="136"/>
    </row>
    <row r="4311" spans="1:2" x14ac:dyDescent="0.25">
      <c r="A4311" s="118"/>
      <c r="B4311" s="136"/>
    </row>
    <row r="4312" spans="1:2" x14ac:dyDescent="0.25">
      <c r="A4312" s="118"/>
      <c r="B4312" s="136"/>
    </row>
    <row r="4313" spans="1:2" x14ac:dyDescent="0.25">
      <c r="A4313" s="118"/>
      <c r="B4313" s="136"/>
    </row>
    <row r="4314" spans="1:2" x14ac:dyDescent="0.25">
      <c r="A4314" s="118"/>
      <c r="B4314" s="136"/>
    </row>
    <row r="4315" spans="1:2" x14ac:dyDescent="0.25">
      <c r="A4315" s="118"/>
      <c r="B4315" s="136"/>
    </row>
    <row r="4316" spans="1:2" x14ac:dyDescent="0.25">
      <c r="A4316" s="118"/>
      <c r="B4316" s="136"/>
    </row>
    <row r="4317" spans="1:2" x14ac:dyDescent="0.25">
      <c r="A4317" s="118"/>
      <c r="B4317" s="136"/>
    </row>
    <row r="4318" spans="1:2" x14ac:dyDescent="0.25">
      <c r="A4318" s="118"/>
      <c r="B4318" s="136"/>
    </row>
    <row r="4319" spans="1:2" x14ac:dyDescent="0.25">
      <c r="A4319" s="118"/>
      <c r="B4319" s="136"/>
    </row>
    <row r="4320" spans="1:2" x14ac:dyDescent="0.25">
      <c r="A4320" s="118"/>
      <c r="B4320" s="136"/>
    </row>
    <row r="4321" spans="1:2" x14ac:dyDescent="0.25">
      <c r="A4321" s="118"/>
      <c r="B4321" s="136"/>
    </row>
    <row r="4322" spans="1:2" x14ac:dyDescent="0.25">
      <c r="A4322" s="118"/>
      <c r="B4322" s="136"/>
    </row>
    <row r="4323" spans="1:2" x14ac:dyDescent="0.25">
      <c r="A4323" s="118"/>
      <c r="B4323" s="136"/>
    </row>
    <row r="4324" spans="1:2" x14ac:dyDescent="0.25">
      <c r="A4324" s="118"/>
      <c r="B4324" s="136"/>
    </row>
    <row r="4325" spans="1:2" x14ac:dyDescent="0.25">
      <c r="A4325" s="118"/>
      <c r="B4325" s="136"/>
    </row>
    <row r="4326" spans="1:2" x14ac:dyDescent="0.25">
      <c r="A4326" s="118"/>
      <c r="B4326" s="136"/>
    </row>
    <row r="4327" spans="1:2" x14ac:dyDescent="0.25">
      <c r="A4327" s="118"/>
      <c r="B4327" s="136"/>
    </row>
    <row r="4328" spans="1:2" x14ac:dyDescent="0.25">
      <c r="A4328" s="118"/>
      <c r="B4328" s="136"/>
    </row>
    <row r="4329" spans="1:2" x14ac:dyDescent="0.25">
      <c r="A4329" s="118"/>
      <c r="B4329" s="136"/>
    </row>
    <row r="4330" spans="1:2" x14ac:dyDescent="0.25">
      <c r="A4330" s="118"/>
      <c r="B4330" s="136"/>
    </row>
    <row r="4331" spans="1:2" x14ac:dyDescent="0.25">
      <c r="A4331" s="118"/>
      <c r="B4331" s="136"/>
    </row>
    <row r="4332" spans="1:2" x14ac:dyDescent="0.25">
      <c r="A4332" s="118"/>
      <c r="B4332" s="136"/>
    </row>
    <row r="4333" spans="1:2" x14ac:dyDescent="0.25">
      <c r="A4333" s="118"/>
      <c r="B4333" s="136"/>
    </row>
    <row r="4334" spans="1:2" x14ac:dyDescent="0.25">
      <c r="A4334" s="118"/>
      <c r="B4334" s="136"/>
    </row>
    <row r="4335" spans="1:2" x14ac:dyDescent="0.25">
      <c r="A4335" s="118"/>
      <c r="B4335" s="136"/>
    </row>
    <row r="4336" spans="1:2" x14ac:dyDescent="0.25">
      <c r="A4336" s="118"/>
      <c r="B4336" s="136"/>
    </row>
    <row r="4337" spans="1:2" x14ac:dyDescent="0.25">
      <c r="A4337" s="118"/>
      <c r="B4337" s="136"/>
    </row>
    <row r="4338" spans="1:2" x14ac:dyDescent="0.25">
      <c r="A4338" s="118"/>
      <c r="B4338" s="136"/>
    </row>
    <row r="4339" spans="1:2" x14ac:dyDescent="0.25">
      <c r="A4339" s="118"/>
      <c r="B4339" s="136"/>
    </row>
    <row r="4340" spans="1:2" x14ac:dyDescent="0.25">
      <c r="A4340" s="118"/>
      <c r="B4340" s="136"/>
    </row>
    <row r="4341" spans="1:2" x14ac:dyDescent="0.25">
      <c r="A4341" s="118"/>
      <c r="B4341" s="136"/>
    </row>
    <row r="4342" spans="1:2" x14ac:dyDescent="0.25">
      <c r="A4342" s="118"/>
      <c r="B4342" s="136"/>
    </row>
    <row r="4343" spans="1:2" x14ac:dyDescent="0.25">
      <c r="A4343" s="118"/>
      <c r="B4343" s="136"/>
    </row>
    <row r="4344" spans="1:2" x14ac:dyDescent="0.25">
      <c r="A4344" s="118"/>
      <c r="B4344" s="136"/>
    </row>
    <row r="4345" spans="1:2" x14ac:dyDescent="0.25">
      <c r="A4345" s="118"/>
      <c r="B4345" s="136"/>
    </row>
    <row r="4346" spans="1:2" x14ac:dyDescent="0.25">
      <c r="A4346" s="118"/>
      <c r="B4346" s="136"/>
    </row>
    <row r="4347" spans="1:2" x14ac:dyDescent="0.25">
      <c r="A4347" s="118"/>
      <c r="B4347" s="136"/>
    </row>
    <row r="4348" spans="1:2" x14ac:dyDescent="0.25">
      <c r="A4348" s="118"/>
      <c r="B4348" s="136"/>
    </row>
    <row r="4349" spans="1:2" x14ac:dyDescent="0.25">
      <c r="A4349" s="118"/>
      <c r="B4349" s="136"/>
    </row>
    <row r="4350" spans="1:2" x14ac:dyDescent="0.25">
      <c r="A4350" s="118"/>
      <c r="B4350" s="136"/>
    </row>
    <row r="4351" spans="1:2" x14ac:dyDescent="0.25">
      <c r="A4351" s="118"/>
      <c r="B4351" s="136"/>
    </row>
    <row r="4352" spans="1:2" x14ac:dyDescent="0.25">
      <c r="A4352" s="118"/>
      <c r="B4352" s="136"/>
    </row>
    <row r="4353" spans="1:2" x14ac:dyDescent="0.25">
      <c r="A4353" s="118"/>
      <c r="B4353" s="136"/>
    </row>
    <row r="4354" spans="1:2" x14ac:dyDescent="0.25">
      <c r="A4354" s="118"/>
      <c r="B4354" s="136"/>
    </row>
    <row r="4355" spans="1:2" x14ac:dyDescent="0.25">
      <c r="A4355" s="118"/>
      <c r="B4355" s="136"/>
    </row>
    <row r="4356" spans="1:2" x14ac:dyDescent="0.25">
      <c r="A4356" s="118"/>
      <c r="B4356" s="136"/>
    </row>
    <row r="4357" spans="1:2" x14ac:dyDescent="0.25">
      <c r="A4357" s="118"/>
      <c r="B4357" s="136"/>
    </row>
    <row r="4358" spans="1:2" x14ac:dyDescent="0.25">
      <c r="A4358" s="118"/>
      <c r="B4358" s="136"/>
    </row>
    <row r="4359" spans="1:2" x14ac:dyDescent="0.25">
      <c r="A4359" s="118"/>
      <c r="B4359" s="136"/>
    </row>
    <row r="4360" spans="1:2" x14ac:dyDescent="0.25">
      <c r="A4360" s="118"/>
      <c r="B4360" s="136"/>
    </row>
    <row r="4361" spans="1:2" x14ac:dyDescent="0.25">
      <c r="A4361" s="118"/>
      <c r="B4361" s="136"/>
    </row>
    <row r="4362" spans="1:2" x14ac:dyDescent="0.25">
      <c r="A4362" s="118"/>
      <c r="B4362" s="136"/>
    </row>
    <row r="4363" spans="1:2" x14ac:dyDescent="0.25">
      <c r="A4363" s="118"/>
      <c r="B4363" s="136"/>
    </row>
    <row r="4364" spans="1:2" x14ac:dyDescent="0.25">
      <c r="A4364" s="118"/>
      <c r="B4364" s="136"/>
    </row>
    <row r="4365" spans="1:2" x14ac:dyDescent="0.25">
      <c r="A4365" s="118"/>
      <c r="B4365" s="136"/>
    </row>
    <row r="4366" spans="1:2" x14ac:dyDescent="0.25">
      <c r="A4366" s="118"/>
      <c r="B4366" s="136"/>
    </row>
    <row r="4367" spans="1:2" x14ac:dyDescent="0.25">
      <c r="A4367" s="118"/>
      <c r="B4367" s="136"/>
    </row>
    <row r="4368" spans="1:2" x14ac:dyDescent="0.25">
      <c r="A4368" s="118"/>
      <c r="B4368" s="136"/>
    </row>
    <row r="4369" spans="1:2" x14ac:dyDescent="0.25">
      <c r="A4369" s="118"/>
      <c r="B4369" s="136"/>
    </row>
    <row r="4370" spans="1:2" x14ac:dyDescent="0.25">
      <c r="A4370" s="118"/>
      <c r="B4370" s="136"/>
    </row>
    <row r="4371" spans="1:2" x14ac:dyDescent="0.25">
      <c r="A4371" s="118"/>
      <c r="B4371" s="136"/>
    </row>
    <row r="4372" spans="1:2" x14ac:dyDescent="0.25">
      <c r="A4372" s="118"/>
      <c r="B4372" s="136"/>
    </row>
    <row r="4373" spans="1:2" x14ac:dyDescent="0.25">
      <c r="A4373" s="118"/>
      <c r="B4373" s="136"/>
    </row>
    <row r="4374" spans="1:2" x14ac:dyDescent="0.25">
      <c r="A4374" s="118"/>
      <c r="B4374" s="136"/>
    </row>
    <row r="4375" spans="1:2" x14ac:dyDescent="0.25">
      <c r="A4375" s="118"/>
      <c r="B4375" s="136"/>
    </row>
    <row r="4376" spans="1:2" x14ac:dyDescent="0.25">
      <c r="A4376" s="118"/>
      <c r="B4376" s="136"/>
    </row>
    <row r="4377" spans="1:2" x14ac:dyDescent="0.25">
      <c r="A4377" s="118"/>
      <c r="B4377" s="136"/>
    </row>
    <row r="4378" spans="1:2" x14ac:dyDescent="0.25">
      <c r="A4378" s="118"/>
      <c r="B4378" s="136"/>
    </row>
    <row r="4379" spans="1:2" x14ac:dyDescent="0.25">
      <c r="A4379" s="118"/>
      <c r="B4379" s="136"/>
    </row>
    <row r="4380" spans="1:2" x14ac:dyDescent="0.25">
      <c r="A4380" s="118"/>
      <c r="B4380" s="136"/>
    </row>
    <row r="4381" spans="1:2" x14ac:dyDescent="0.25">
      <c r="A4381" s="118"/>
      <c r="B4381" s="136"/>
    </row>
    <row r="4382" spans="1:2" x14ac:dyDescent="0.25">
      <c r="A4382" s="118"/>
      <c r="B4382" s="136"/>
    </row>
    <row r="4383" spans="1:2" x14ac:dyDescent="0.25">
      <c r="A4383" s="118"/>
      <c r="B4383" s="136"/>
    </row>
    <row r="4384" spans="1:2" x14ac:dyDescent="0.25">
      <c r="A4384" s="118"/>
      <c r="B4384" s="136"/>
    </row>
    <row r="4385" spans="1:2" x14ac:dyDescent="0.25">
      <c r="A4385" s="118"/>
      <c r="B4385" s="136"/>
    </row>
    <row r="4386" spans="1:2" x14ac:dyDescent="0.25">
      <c r="A4386" s="118"/>
      <c r="B4386" s="136"/>
    </row>
    <row r="4387" spans="1:2" x14ac:dyDescent="0.25">
      <c r="A4387" s="118"/>
      <c r="B4387" s="136"/>
    </row>
    <row r="4388" spans="1:2" x14ac:dyDescent="0.25">
      <c r="A4388" s="118"/>
      <c r="B4388" s="136"/>
    </row>
    <row r="4389" spans="1:2" x14ac:dyDescent="0.25">
      <c r="A4389" s="118"/>
      <c r="B4389" s="136"/>
    </row>
    <row r="4390" spans="1:2" x14ac:dyDescent="0.25">
      <c r="A4390" s="118"/>
      <c r="B4390" s="136"/>
    </row>
    <row r="4391" spans="1:2" x14ac:dyDescent="0.25">
      <c r="A4391" s="118"/>
      <c r="B4391" s="136"/>
    </row>
    <row r="4392" spans="1:2" x14ac:dyDescent="0.25">
      <c r="A4392" s="118"/>
      <c r="B4392" s="136"/>
    </row>
    <row r="4393" spans="1:2" x14ac:dyDescent="0.25">
      <c r="A4393" s="118"/>
      <c r="B4393" s="136"/>
    </row>
    <row r="4394" spans="1:2" x14ac:dyDescent="0.25">
      <c r="A4394" s="118"/>
      <c r="B4394" s="136"/>
    </row>
    <row r="4395" spans="1:2" x14ac:dyDescent="0.25">
      <c r="A4395" s="118"/>
      <c r="B4395" s="136"/>
    </row>
    <row r="4396" spans="1:2" x14ac:dyDescent="0.25">
      <c r="A4396" s="118"/>
      <c r="B4396" s="136"/>
    </row>
    <row r="4397" spans="1:2" x14ac:dyDescent="0.25">
      <c r="A4397" s="118"/>
      <c r="B4397" s="136"/>
    </row>
    <row r="4398" spans="1:2" x14ac:dyDescent="0.25">
      <c r="A4398" s="118"/>
      <c r="B4398" s="136"/>
    </row>
    <row r="4399" spans="1:2" x14ac:dyDescent="0.25">
      <c r="A4399" s="118"/>
      <c r="B4399" s="136"/>
    </row>
    <row r="4400" spans="1:2" x14ac:dyDescent="0.25">
      <c r="A4400" s="118"/>
      <c r="B4400" s="136"/>
    </row>
    <row r="4401" spans="1:2" x14ac:dyDescent="0.25">
      <c r="A4401" s="118"/>
      <c r="B4401" s="136"/>
    </row>
    <row r="4402" spans="1:2" x14ac:dyDescent="0.25">
      <c r="A4402" s="118"/>
      <c r="B4402" s="136"/>
    </row>
    <row r="4403" spans="1:2" x14ac:dyDescent="0.25">
      <c r="A4403" s="118"/>
      <c r="B4403" s="136"/>
    </row>
    <row r="4404" spans="1:2" x14ac:dyDescent="0.25">
      <c r="A4404" s="118"/>
      <c r="B4404" s="136"/>
    </row>
    <row r="4405" spans="1:2" x14ac:dyDescent="0.25">
      <c r="A4405" s="118"/>
      <c r="B4405" s="136"/>
    </row>
    <row r="4406" spans="1:2" x14ac:dyDescent="0.25">
      <c r="A4406" s="118"/>
      <c r="B4406" s="136"/>
    </row>
    <row r="4407" spans="1:2" x14ac:dyDescent="0.25">
      <c r="A4407" s="118"/>
      <c r="B4407" s="136"/>
    </row>
    <row r="4408" spans="1:2" x14ac:dyDescent="0.25">
      <c r="A4408" s="118"/>
      <c r="B4408" s="136"/>
    </row>
    <row r="4409" spans="1:2" x14ac:dyDescent="0.25">
      <c r="A4409" s="118"/>
      <c r="B4409" s="136"/>
    </row>
    <row r="4410" spans="1:2" x14ac:dyDescent="0.25">
      <c r="A4410" s="118"/>
      <c r="B4410" s="136"/>
    </row>
    <row r="4411" spans="1:2" x14ac:dyDescent="0.25">
      <c r="A4411" s="118"/>
      <c r="B4411" s="136"/>
    </row>
    <row r="4412" spans="1:2" x14ac:dyDescent="0.25">
      <c r="A4412" s="118"/>
      <c r="B4412" s="136"/>
    </row>
    <row r="4413" spans="1:2" x14ac:dyDescent="0.25">
      <c r="A4413" s="118"/>
      <c r="B4413" s="136"/>
    </row>
    <row r="4414" spans="1:2" x14ac:dyDescent="0.25">
      <c r="A4414" s="118"/>
      <c r="B4414" s="136"/>
    </row>
    <row r="4415" spans="1:2" x14ac:dyDescent="0.25">
      <c r="A4415" s="118"/>
      <c r="B4415" s="136"/>
    </row>
    <row r="4416" spans="1:2" x14ac:dyDescent="0.25">
      <c r="A4416" s="118"/>
      <c r="B4416" s="136"/>
    </row>
    <row r="4417" spans="1:2" x14ac:dyDescent="0.25">
      <c r="A4417" s="118"/>
      <c r="B4417" s="136"/>
    </row>
    <row r="4418" spans="1:2" x14ac:dyDescent="0.25">
      <c r="A4418" s="118"/>
      <c r="B4418" s="136"/>
    </row>
    <row r="4419" spans="1:2" x14ac:dyDescent="0.25">
      <c r="A4419" s="118"/>
      <c r="B4419" s="136"/>
    </row>
    <row r="4420" spans="1:2" x14ac:dyDescent="0.25">
      <c r="A4420" s="118"/>
      <c r="B4420" s="136"/>
    </row>
    <row r="4421" spans="1:2" x14ac:dyDescent="0.25">
      <c r="A4421" s="118"/>
      <c r="B4421" s="136"/>
    </row>
    <row r="4422" spans="1:2" x14ac:dyDescent="0.25">
      <c r="A4422" s="118"/>
      <c r="B4422" s="136"/>
    </row>
    <row r="4423" spans="1:2" x14ac:dyDescent="0.25">
      <c r="A4423" s="118"/>
      <c r="B4423" s="136"/>
    </row>
    <row r="4424" spans="1:2" x14ac:dyDescent="0.25">
      <c r="A4424" s="118"/>
      <c r="B4424" s="136"/>
    </row>
    <row r="4425" spans="1:2" x14ac:dyDescent="0.25">
      <c r="A4425" s="118"/>
      <c r="B4425" s="136"/>
    </row>
    <row r="4426" spans="1:2" x14ac:dyDescent="0.25">
      <c r="A4426" s="118"/>
      <c r="B4426" s="136"/>
    </row>
    <row r="4427" spans="1:2" x14ac:dyDescent="0.25">
      <c r="A4427" s="118"/>
      <c r="B4427" s="136"/>
    </row>
    <row r="4428" spans="1:2" x14ac:dyDescent="0.25">
      <c r="A4428" s="118"/>
      <c r="B4428" s="136"/>
    </row>
    <row r="4429" spans="1:2" x14ac:dyDescent="0.25">
      <c r="A4429" s="118"/>
      <c r="B4429" s="136"/>
    </row>
    <row r="4430" spans="1:2" x14ac:dyDescent="0.25">
      <c r="A4430" s="118"/>
      <c r="B4430" s="136"/>
    </row>
    <row r="4431" spans="1:2" x14ac:dyDescent="0.25">
      <c r="A4431" s="118"/>
      <c r="B4431" s="136"/>
    </row>
    <row r="4432" spans="1:2" x14ac:dyDescent="0.25">
      <c r="A4432" s="118"/>
      <c r="B4432" s="136"/>
    </row>
    <row r="4433" spans="1:2" x14ac:dyDescent="0.25">
      <c r="A4433" s="118"/>
      <c r="B4433" s="136"/>
    </row>
    <row r="4434" spans="1:2" x14ac:dyDescent="0.25">
      <c r="A4434" s="118"/>
      <c r="B4434" s="136"/>
    </row>
    <row r="4435" spans="1:2" x14ac:dyDescent="0.25">
      <c r="A4435" s="118"/>
      <c r="B4435" s="136"/>
    </row>
    <row r="4436" spans="1:2" x14ac:dyDescent="0.25">
      <c r="A4436" s="118"/>
      <c r="B4436" s="136"/>
    </row>
    <row r="4437" spans="1:2" x14ac:dyDescent="0.25">
      <c r="A4437" s="118"/>
      <c r="B4437" s="136"/>
    </row>
    <row r="4438" spans="1:2" x14ac:dyDescent="0.25">
      <c r="A4438" s="118"/>
      <c r="B4438" s="136"/>
    </row>
    <row r="4439" spans="1:2" x14ac:dyDescent="0.25">
      <c r="A4439" s="118"/>
      <c r="B4439" s="136"/>
    </row>
    <row r="4440" spans="1:2" x14ac:dyDescent="0.25">
      <c r="A4440" s="118"/>
      <c r="B4440" s="136"/>
    </row>
    <row r="4441" spans="1:2" x14ac:dyDescent="0.25">
      <c r="A4441" s="118"/>
      <c r="B4441" s="136"/>
    </row>
    <row r="4442" spans="1:2" x14ac:dyDescent="0.25">
      <c r="A4442" s="118"/>
      <c r="B4442" s="136"/>
    </row>
    <row r="4443" spans="1:2" x14ac:dyDescent="0.25">
      <c r="A4443" s="118"/>
      <c r="B4443" s="136"/>
    </row>
    <row r="4444" spans="1:2" x14ac:dyDescent="0.25">
      <c r="A4444" s="118"/>
      <c r="B4444" s="136"/>
    </row>
    <row r="4445" spans="1:2" x14ac:dyDescent="0.25">
      <c r="A4445" s="118"/>
      <c r="B4445" s="136"/>
    </row>
    <row r="4446" spans="1:2" x14ac:dyDescent="0.25">
      <c r="A4446" s="118"/>
      <c r="B4446" s="136"/>
    </row>
    <row r="4447" spans="1:2" x14ac:dyDescent="0.25">
      <c r="A4447" s="118"/>
      <c r="B4447" s="136"/>
    </row>
    <row r="4448" spans="1:2" x14ac:dyDescent="0.25">
      <c r="A4448" s="118"/>
      <c r="B4448" s="136"/>
    </row>
    <row r="4449" spans="1:2" x14ac:dyDescent="0.25">
      <c r="A4449" s="118"/>
      <c r="B4449" s="136"/>
    </row>
    <row r="4450" spans="1:2" x14ac:dyDescent="0.25">
      <c r="A4450" s="118"/>
      <c r="B4450" s="136"/>
    </row>
    <row r="4451" spans="1:2" x14ac:dyDescent="0.25">
      <c r="A4451" s="118"/>
      <c r="B4451" s="136"/>
    </row>
    <row r="4452" spans="1:2" x14ac:dyDescent="0.25">
      <c r="A4452" s="118"/>
      <c r="B4452" s="136"/>
    </row>
    <row r="4453" spans="1:2" x14ac:dyDescent="0.25">
      <c r="A4453" s="118"/>
      <c r="B4453" s="136"/>
    </row>
    <row r="4454" spans="1:2" x14ac:dyDescent="0.25">
      <c r="A4454" s="118"/>
      <c r="B4454" s="136"/>
    </row>
    <row r="4455" spans="1:2" x14ac:dyDescent="0.25">
      <c r="A4455" s="118"/>
      <c r="B4455" s="136"/>
    </row>
    <row r="4456" spans="1:2" x14ac:dyDescent="0.25">
      <c r="A4456" s="118"/>
      <c r="B4456" s="136"/>
    </row>
    <row r="4457" spans="1:2" x14ac:dyDescent="0.25">
      <c r="A4457" s="118"/>
      <c r="B4457" s="136"/>
    </row>
    <row r="4458" spans="1:2" x14ac:dyDescent="0.25">
      <c r="A4458" s="118"/>
      <c r="B4458" s="136"/>
    </row>
    <row r="4459" spans="1:2" x14ac:dyDescent="0.25">
      <c r="A4459" s="118"/>
      <c r="B4459" s="136"/>
    </row>
    <row r="4460" spans="1:2" x14ac:dyDescent="0.25">
      <c r="A4460" s="118"/>
      <c r="B4460" s="136"/>
    </row>
    <row r="4461" spans="1:2" x14ac:dyDescent="0.25">
      <c r="A4461" s="118"/>
      <c r="B4461" s="136"/>
    </row>
    <row r="4462" spans="1:2" x14ac:dyDescent="0.25">
      <c r="A4462" s="118"/>
      <c r="B4462" s="136"/>
    </row>
    <row r="4463" spans="1:2" x14ac:dyDescent="0.25">
      <c r="A4463" s="118"/>
      <c r="B4463" s="136"/>
    </row>
    <row r="4464" spans="1:2" x14ac:dyDescent="0.25">
      <c r="A4464" s="118"/>
      <c r="B4464" s="136"/>
    </row>
    <row r="4465" spans="1:2" x14ac:dyDescent="0.25">
      <c r="A4465" s="118"/>
      <c r="B4465" s="136"/>
    </row>
    <row r="4466" spans="1:2" x14ac:dyDescent="0.25">
      <c r="A4466" s="118"/>
      <c r="B4466" s="136"/>
    </row>
    <row r="4467" spans="1:2" x14ac:dyDescent="0.25">
      <c r="A4467" s="118"/>
      <c r="B4467" s="136"/>
    </row>
    <row r="4468" spans="1:2" x14ac:dyDescent="0.25">
      <c r="A4468" s="118"/>
      <c r="B4468" s="136"/>
    </row>
    <row r="4469" spans="1:2" x14ac:dyDescent="0.25">
      <c r="A4469" s="118"/>
      <c r="B4469" s="136"/>
    </row>
    <row r="4470" spans="1:2" x14ac:dyDescent="0.25">
      <c r="A4470" s="118"/>
      <c r="B4470" s="136"/>
    </row>
    <row r="4471" spans="1:2" x14ac:dyDescent="0.25">
      <c r="A4471" s="118"/>
      <c r="B4471" s="136"/>
    </row>
    <row r="4472" spans="1:2" x14ac:dyDescent="0.25">
      <c r="A4472" s="118"/>
      <c r="B4472" s="136"/>
    </row>
    <row r="4473" spans="1:2" x14ac:dyDescent="0.25">
      <c r="A4473" s="118"/>
      <c r="B4473" s="136"/>
    </row>
    <row r="4474" spans="1:2" x14ac:dyDescent="0.25">
      <c r="A4474" s="118"/>
      <c r="B4474" s="136"/>
    </row>
    <row r="4475" spans="1:2" x14ac:dyDescent="0.25">
      <c r="A4475" s="118"/>
      <c r="B4475" s="136"/>
    </row>
    <row r="4476" spans="1:2" x14ac:dyDescent="0.25">
      <c r="A4476" s="118"/>
      <c r="B4476" s="136"/>
    </row>
    <row r="4477" spans="1:2" x14ac:dyDescent="0.25">
      <c r="A4477" s="118"/>
      <c r="B4477" s="136"/>
    </row>
    <row r="4478" spans="1:2" x14ac:dyDescent="0.25">
      <c r="A4478" s="118"/>
      <c r="B4478" s="136"/>
    </row>
    <row r="4479" spans="1:2" x14ac:dyDescent="0.25">
      <c r="A4479" s="118"/>
      <c r="B4479" s="136"/>
    </row>
    <row r="4480" spans="1:2" x14ac:dyDescent="0.25">
      <c r="A4480" s="118"/>
      <c r="B4480" s="136"/>
    </row>
    <row r="4481" spans="1:2" x14ac:dyDescent="0.25">
      <c r="A4481" s="118"/>
      <c r="B4481" s="136"/>
    </row>
    <row r="4482" spans="1:2" x14ac:dyDescent="0.25">
      <c r="A4482" s="118"/>
      <c r="B4482" s="136"/>
    </row>
    <row r="4483" spans="1:2" x14ac:dyDescent="0.25">
      <c r="A4483" s="118"/>
      <c r="B4483" s="136"/>
    </row>
    <row r="4484" spans="1:2" x14ac:dyDescent="0.25">
      <c r="A4484" s="118"/>
      <c r="B4484" s="136"/>
    </row>
    <row r="4485" spans="1:2" x14ac:dyDescent="0.25">
      <c r="A4485" s="118"/>
      <c r="B4485" s="136"/>
    </row>
    <row r="4486" spans="1:2" x14ac:dyDescent="0.25">
      <c r="A4486" s="118"/>
      <c r="B4486" s="136"/>
    </row>
    <row r="4487" spans="1:2" x14ac:dyDescent="0.25">
      <c r="A4487" s="118"/>
      <c r="B4487" s="136"/>
    </row>
    <row r="4488" spans="1:2" x14ac:dyDescent="0.25">
      <c r="A4488" s="118"/>
      <c r="B4488" s="136"/>
    </row>
    <row r="4489" spans="1:2" x14ac:dyDescent="0.25">
      <c r="A4489" s="118"/>
      <c r="B4489" s="136"/>
    </row>
    <row r="4490" spans="1:2" x14ac:dyDescent="0.25">
      <c r="A4490" s="118"/>
      <c r="B4490" s="136"/>
    </row>
    <row r="4491" spans="1:2" x14ac:dyDescent="0.25">
      <c r="A4491" s="118"/>
      <c r="B4491" s="136"/>
    </row>
    <row r="4492" spans="1:2" x14ac:dyDescent="0.25">
      <c r="A4492" s="118"/>
      <c r="B4492" s="136"/>
    </row>
    <row r="4493" spans="1:2" x14ac:dyDescent="0.25">
      <c r="A4493" s="118"/>
      <c r="B4493" s="136"/>
    </row>
    <row r="4494" spans="1:2" x14ac:dyDescent="0.25">
      <c r="A4494" s="118"/>
      <c r="B4494" s="136"/>
    </row>
    <row r="4495" spans="1:2" x14ac:dyDescent="0.25">
      <c r="A4495" s="118"/>
      <c r="B4495" s="136"/>
    </row>
    <row r="4496" spans="1:2" x14ac:dyDescent="0.25">
      <c r="A4496" s="118"/>
      <c r="B4496" s="136"/>
    </row>
    <row r="4497" spans="1:2" x14ac:dyDescent="0.25">
      <c r="A4497" s="118"/>
      <c r="B4497" s="136"/>
    </row>
    <row r="4498" spans="1:2" x14ac:dyDescent="0.25">
      <c r="A4498" s="118"/>
      <c r="B4498" s="136"/>
    </row>
    <row r="4499" spans="1:2" x14ac:dyDescent="0.25">
      <c r="A4499" s="118"/>
      <c r="B4499" s="136"/>
    </row>
    <row r="4500" spans="1:2" x14ac:dyDescent="0.25">
      <c r="A4500" s="118"/>
      <c r="B4500" s="136"/>
    </row>
    <row r="4501" spans="1:2" x14ac:dyDescent="0.25">
      <c r="A4501" s="118"/>
      <c r="B4501" s="136"/>
    </row>
    <row r="4502" spans="1:2" x14ac:dyDescent="0.25">
      <c r="A4502" s="118"/>
      <c r="B4502" s="136"/>
    </row>
    <row r="4503" spans="1:2" x14ac:dyDescent="0.25">
      <c r="A4503" s="118"/>
      <c r="B4503" s="136"/>
    </row>
    <row r="4504" spans="1:2" x14ac:dyDescent="0.25">
      <c r="A4504" s="118"/>
      <c r="B4504" s="136"/>
    </row>
    <row r="4505" spans="1:2" x14ac:dyDescent="0.25">
      <c r="A4505" s="118"/>
      <c r="B4505" s="136"/>
    </row>
    <row r="4506" spans="1:2" x14ac:dyDescent="0.25">
      <c r="A4506" s="118"/>
      <c r="B4506" s="136"/>
    </row>
    <row r="4507" spans="1:2" x14ac:dyDescent="0.25">
      <c r="A4507" s="118"/>
      <c r="B4507" s="136"/>
    </row>
    <row r="4508" spans="1:2" x14ac:dyDescent="0.25">
      <c r="A4508" s="118"/>
      <c r="B4508" s="136"/>
    </row>
    <row r="4509" spans="1:2" x14ac:dyDescent="0.25">
      <c r="A4509" s="118"/>
      <c r="B4509" s="136"/>
    </row>
    <row r="4510" spans="1:2" x14ac:dyDescent="0.25">
      <c r="A4510" s="118"/>
      <c r="B4510" s="136"/>
    </row>
    <row r="4511" spans="1:2" x14ac:dyDescent="0.25">
      <c r="A4511" s="118"/>
      <c r="B4511" s="136"/>
    </row>
    <row r="4512" spans="1:2" x14ac:dyDescent="0.25">
      <c r="A4512" s="118"/>
      <c r="B4512" s="136"/>
    </row>
    <row r="4513" spans="1:2" x14ac:dyDescent="0.25">
      <c r="A4513" s="118"/>
      <c r="B4513" s="136"/>
    </row>
    <row r="4514" spans="1:2" x14ac:dyDescent="0.25">
      <c r="A4514" s="118"/>
      <c r="B4514" s="136"/>
    </row>
    <row r="4515" spans="1:2" x14ac:dyDescent="0.25">
      <c r="A4515" s="118"/>
      <c r="B4515" s="136"/>
    </row>
    <row r="4516" spans="1:2" x14ac:dyDescent="0.25">
      <c r="A4516" s="118"/>
      <c r="B4516" s="136"/>
    </row>
    <row r="4517" spans="1:2" x14ac:dyDescent="0.25">
      <c r="A4517" s="118"/>
      <c r="B4517" s="136"/>
    </row>
    <row r="4518" spans="1:2" x14ac:dyDescent="0.25">
      <c r="A4518" s="118"/>
      <c r="B4518" s="136"/>
    </row>
    <row r="4519" spans="1:2" x14ac:dyDescent="0.25">
      <c r="A4519" s="118"/>
      <c r="B4519" s="136"/>
    </row>
    <row r="4520" spans="1:2" x14ac:dyDescent="0.25">
      <c r="A4520" s="118"/>
      <c r="B4520" s="136"/>
    </row>
    <row r="4521" spans="1:2" x14ac:dyDescent="0.25">
      <c r="A4521" s="118"/>
      <c r="B4521" s="136"/>
    </row>
    <row r="4522" spans="1:2" x14ac:dyDescent="0.25">
      <c r="A4522" s="118"/>
      <c r="B4522" s="136"/>
    </row>
    <row r="4523" spans="1:2" x14ac:dyDescent="0.25">
      <c r="A4523" s="118"/>
      <c r="B4523" s="136"/>
    </row>
    <row r="4524" spans="1:2" x14ac:dyDescent="0.25">
      <c r="A4524" s="118"/>
      <c r="B4524" s="136"/>
    </row>
    <row r="4525" spans="1:2" x14ac:dyDescent="0.25">
      <c r="A4525" s="118"/>
      <c r="B4525" s="136"/>
    </row>
    <row r="4526" spans="1:2" x14ac:dyDescent="0.25">
      <c r="A4526" s="118"/>
      <c r="B4526" s="136"/>
    </row>
    <row r="4527" spans="1:2" x14ac:dyDescent="0.25">
      <c r="A4527" s="118"/>
      <c r="B4527" s="136"/>
    </row>
    <row r="4528" spans="1:2" x14ac:dyDescent="0.25">
      <c r="A4528" s="118"/>
      <c r="B4528" s="136"/>
    </row>
    <row r="4529" spans="1:2" x14ac:dyDescent="0.25">
      <c r="A4529" s="118"/>
      <c r="B4529" s="136"/>
    </row>
    <row r="4530" spans="1:2" x14ac:dyDescent="0.25">
      <c r="A4530" s="118"/>
      <c r="B4530" s="136"/>
    </row>
    <row r="4531" spans="1:2" x14ac:dyDescent="0.25">
      <c r="A4531" s="118"/>
      <c r="B4531" s="136"/>
    </row>
    <row r="4532" spans="1:2" x14ac:dyDescent="0.25">
      <c r="A4532" s="118"/>
      <c r="B4532" s="136"/>
    </row>
    <row r="4533" spans="1:2" x14ac:dyDescent="0.25">
      <c r="A4533" s="118"/>
      <c r="B4533" s="136"/>
    </row>
    <row r="4534" spans="1:2" x14ac:dyDescent="0.25">
      <c r="A4534" s="118"/>
      <c r="B4534" s="136"/>
    </row>
    <row r="4535" spans="1:2" x14ac:dyDescent="0.25">
      <c r="A4535" s="118"/>
      <c r="B4535" s="136"/>
    </row>
    <row r="4536" spans="1:2" x14ac:dyDescent="0.25">
      <c r="A4536" s="118"/>
      <c r="B4536" s="136"/>
    </row>
    <row r="4537" spans="1:2" x14ac:dyDescent="0.25">
      <c r="A4537" s="118"/>
      <c r="B4537" s="136"/>
    </row>
    <row r="4538" spans="1:2" x14ac:dyDescent="0.25">
      <c r="A4538" s="118"/>
      <c r="B4538" s="136"/>
    </row>
    <row r="4539" spans="1:2" x14ac:dyDescent="0.25">
      <c r="A4539" s="118"/>
      <c r="B4539" s="136"/>
    </row>
    <row r="4540" spans="1:2" x14ac:dyDescent="0.25">
      <c r="A4540" s="118"/>
      <c r="B4540" s="136"/>
    </row>
    <row r="4541" spans="1:2" x14ac:dyDescent="0.25">
      <c r="A4541" s="118"/>
      <c r="B4541" s="136"/>
    </row>
    <row r="4542" spans="1:2" x14ac:dyDescent="0.25">
      <c r="A4542" s="118"/>
      <c r="B4542" s="136"/>
    </row>
    <row r="4543" spans="1:2" x14ac:dyDescent="0.25">
      <c r="A4543" s="118"/>
      <c r="B4543" s="136"/>
    </row>
    <row r="4544" spans="1:2" x14ac:dyDescent="0.25">
      <c r="A4544" s="118"/>
      <c r="B4544" s="136"/>
    </row>
    <row r="4545" spans="1:2" x14ac:dyDescent="0.25">
      <c r="A4545" s="118"/>
      <c r="B4545" s="136"/>
    </row>
    <row r="4546" spans="1:2" x14ac:dyDescent="0.25">
      <c r="A4546" s="118"/>
      <c r="B4546" s="136"/>
    </row>
    <row r="4547" spans="1:2" x14ac:dyDescent="0.25">
      <c r="A4547" s="118"/>
      <c r="B4547" s="136"/>
    </row>
    <row r="4548" spans="1:2" x14ac:dyDescent="0.25">
      <c r="A4548" s="118"/>
      <c r="B4548" s="136"/>
    </row>
    <row r="4549" spans="1:2" x14ac:dyDescent="0.25">
      <c r="A4549" s="118"/>
      <c r="B4549" s="136"/>
    </row>
    <row r="4550" spans="1:2" x14ac:dyDescent="0.25">
      <c r="A4550" s="118"/>
      <c r="B4550" s="136"/>
    </row>
    <row r="4551" spans="1:2" x14ac:dyDescent="0.25">
      <c r="A4551" s="118"/>
      <c r="B4551" s="136"/>
    </row>
    <row r="4552" spans="1:2" x14ac:dyDescent="0.25">
      <c r="A4552" s="118"/>
      <c r="B4552" s="136"/>
    </row>
    <row r="4553" spans="1:2" x14ac:dyDescent="0.25">
      <c r="A4553" s="118"/>
      <c r="B4553" s="136"/>
    </row>
    <row r="4554" spans="1:2" x14ac:dyDescent="0.25">
      <c r="A4554" s="118"/>
      <c r="B4554" s="136"/>
    </row>
    <row r="4555" spans="1:2" x14ac:dyDescent="0.25">
      <c r="A4555" s="118"/>
      <c r="B4555" s="136"/>
    </row>
    <row r="4556" spans="1:2" x14ac:dyDescent="0.25">
      <c r="A4556" s="118"/>
      <c r="B4556" s="136"/>
    </row>
    <row r="4557" spans="1:2" x14ac:dyDescent="0.25">
      <c r="A4557" s="118"/>
      <c r="B4557" s="136"/>
    </row>
    <row r="4558" spans="1:2" x14ac:dyDescent="0.25">
      <c r="A4558" s="118"/>
      <c r="B4558" s="136"/>
    </row>
    <row r="4559" spans="1:2" x14ac:dyDescent="0.25">
      <c r="A4559" s="118"/>
      <c r="B4559" s="136"/>
    </row>
    <row r="4560" spans="1:2" x14ac:dyDescent="0.25">
      <c r="A4560" s="118"/>
      <c r="B4560" s="136"/>
    </row>
    <row r="4561" spans="1:2" x14ac:dyDescent="0.25">
      <c r="A4561" s="118"/>
      <c r="B4561" s="136"/>
    </row>
    <row r="4562" spans="1:2" x14ac:dyDescent="0.25">
      <c r="A4562" s="118"/>
      <c r="B4562" s="136"/>
    </row>
    <row r="4563" spans="1:2" x14ac:dyDescent="0.25">
      <c r="A4563" s="118"/>
      <c r="B4563" s="136"/>
    </row>
    <row r="4564" spans="1:2" x14ac:dyDescent="0.25">
      <c r="A4564" s="118"/>
      <c r="B4564" s="136"/>
    </row>
    <row r="4565" spans="1:2" x14ac:dyDescent="0.25">
      <c r="A4565" s="118"/>
      <c r="B4565" s="136"/>
    </row>
    <row r="4566" spans="1:2" x14ac:dyDescent="0.25">
      <c r="A4566" s="118"/>
      <c r="B4566" s="136"/>
    </row>
    <row r="4567" spans="1:2" x14ac:dyDescent="0.25">
      <c r="A4567" s="118"/>
      <c r="B4567" s="136"/>
    </row>
    <row r="4568" spans="1:2" x14ac:dyDescent="0.25">
      <c r="A4568" s="118"/>
      <c r="B4568" s="136"/>
    </row>
    <row r="4569" spans="1:2" x14ac:dyDescent="0.25">
      <c r="A4569" s="118"/>
      <c r="B4569" s="136"/>
    </row>
    <row r="4570" spans="1:2" x14ac:dyDescent="0.25">
      <c r="A4570" s="118"/>
      <c r="B4570" s="136"/>
    </row>
    <row r="4571" spans="1:2" x14ac:dyDescent="0.25">
      <c r="A4571" s="118"/>
      <c r="B4571" s="136"/>
    </row>
    <row r="4572" spans="1:2" x14ac:dyDescent="0.25">
      <c r="A4572" s="118"/>
      <c r="B4572" s="136"/>
    </row>
    <row r="4573" spans="1:2" x14ac:dyDescent="0.25">
      <c r="A4573" s="118"/>
      <c r="B4573" s="136"/>
    </row>
    <row r="4574" spans="1:2" x14ac:dyDescent="0.25">
      <c r="A4574" s="118"/>
      <c r="B4574" s="136"/>
    </row>
    <row r="4575" spans="1:2" x14ac:dyDescent="0.25">
      <c r="A4575" s="118"/>
      <c r="B4575" s="136"/>
    </row>
    <row r="4576" spans="1:2" x14ac:dyDescent="0.25">
      <c r="A4576" s="118"/>
      <c r="B4576" s="136"/>
    </row>
    <row r="4577" spans="1:2" x14ac:dyDescent="0.25">
      <c r="A4577" s="118"/>
      <c r="B4577" s="136"/>
    </row>
    <row r="4578" spans="1:2" x14ac:dyDescent="0.25">
      <c r="A4578" s="118"/>
      <c r="B4578" s="136"/>
    </row>
    <row r="4579" spans="1:2" x14ac:dyDescent="0.25">
      <c r="A4579" s="118"/>
      <c r="B4579" s="136"/>
    </row>
    <row r="4580" spans="1:2" x14ac:dyDescent="0.25">
      <c r="A4580" s="118"/>
      <c r="B4580" s="136"/>
    </row>
    <row r="4581" spans="1:2" x14ac:dyDescent="0.25">
      <c r="A4581" s="118"/>
      <c r="B4581" s="136"/>
    </row>
    <row r="4582" spans="1:2" x14ac:dyDescent="0.25">
      <c r="A4582" s="118"/>
      <c r="B4582" s="136"/>
    </row>
    <row r="4583" spans="1:2" x14ac:dyDescent="0.25">
      <c r="A4583" s="118"/>
      <c r="B4583" s="136"/>
    </row>
    <row r="4584" spans="1:2" x14ac:dyDescent="0.25">
      <c r="A4584" s="118"/>
      <c r="B4584" s="136"/>
    </row>
    <row r="4585" spans="1:2" x14ac:dyDescent="0.25">
      <c r="A4585" s="118"/>
      <c r="B4585" s="136"/>
    </row>
    <row r="4586" spans="1:2" x14ac:dyDescent="0.25">
      <c r="A4586" s="118"/>
      <c r="B4586" s="136"/>
    </row>
    <row r="4587" spans="1:2" x14ac:dyDescent="0.25">
      <c r="A4587" s="118"/>
      <c r="B4587" s="136"/>
    </row>
    <row r="4588" spans="1:2" x14ac:dyDescent="0.25">
      <c r="A4588" s="118"/>
      <c r="B4588" s="136"/>
    </row>
    <row r="4589" spans="1:2" x14ac:dyDescent="0.25">
      <c r="A4589" s="118"/>
      <c r="B4589" s="136"/>
    </row>
    <row r="4590" spans="1:2" x14ac:dyDescent="0.25">
      <c r="A4590" s="118"/>
      <c r="B4590" s="136"/>
    </row>
    <row r="4591" spans="1:2" x14ac:dyDescent="0.25">
      <c r="A4591" s="118"/>
      <c r="B4591" s="136"/>
    </row>
    <row r="4592" spans="1:2" x14ac:dyDescent="0.25">
      <c r="A4592" s="118"/>
      <c r="B4592" s="136"/>
    </row>
    <row r="4593" spans="1:2" x14ac:dyDescent="0.25">
      <c r="A4593" s="118"/>
      <c r="B4593" s="136"/>
    </row>
    <row r="4594" spans="1:2" x14ac:dyDescent="0.25">
      <c r="A4594" s="118"/>
      <c r="B4594" s="136"/>
    </row>
    <row r="4595" spans="1:2" x14ac:dyDescent="0.25">
      <c r="A4595" s="118"/>
      <c r="B4595" s="136"/>
    </row>
    <row r="4596" spans="1:2" x14ac:dyDescent="0.25">
      <c r="A4596" s="118"/>
      <c r="B4596" s="136"/>
    </row>
    <row r="4597" spans="1:2" x14ac:dyDescent="0.25">
      <c r="A4597" s="118"/>
      <c r="B4597" s="136"/>
    </row>
    <row r="4598" spans="1:2" x14ac:dyDescent="0.25">
      <c r="A4598" s="118"/>
      <c r="B4598" s="136"/>
    </row>
    <row r="4599" spans="1:2" x14ac:dyDescent="0.25">
      <c r="A4599" s="118"/>
      <c r="B4599" s="136"/>
    </row>
    <row r="4600" spans="1:2" x14ac:dyDescent="0.25">
      <c r="A4600" s="118"/>
      <c r="B4600" s="136"/>
    </row>
    <row r="4601" spans="1:2" x14ac:dyDescent="0.25">
      <c r="A4601" s="118"/>
      <c r="B4601" s="136"/>
    </row>
    <row r="4602" spans="1:2" x14ac:dyDescent="0.25">
      <c r="A4602" s="118"/>
      <c r="B4602" s="136"/>
    </row>
    <row r="4603" spans="1:2" x14ac:dyDescent="0.25">
      <c r="A4603" s="118"/>
      <c r="B4603" s="136"/>
    </row>
    <row r="4604" spans="1:2" x14ac:dyDescent="0.25">
      <c r="A4604" s="118"/>
      <c r="B4604" s="136"/>
    </row>
    <row r="4605" spans="1:2" x14ac:dyDescent="0.25">
      <c r="A4605" s="118"/>
      <c r="B4605" s="136"/>
    </row>
    <row r="4606" spans="1:2" x14ac:dyDescent="0.25">
      <c r="A4606" s="118"/>
      <c r="B4606" s="136"/>
    </row>
    <row r="4607" spans="1:2" x14ac:dyDescent="0.25">
      <c r="A4607" s="118"/>
      <c r="B4607" s="136"/>
    </row>
    <row r="4608" spans="1:2" x14ac:dyDescent="0.25">
      <c r="A4608" s="118"/>
      <c r="B4608" s="136"/>
    </row>
    <row r="4609" spans="1:2" x14ac:dyDescent="0.25">
      <c r="A4609" s="118"/>
      <c r="B4609" s="136"/>
    </row>
    <row r="4610" spans="1:2" x14ac:dyDescent="0.25">
      <c r="A4610" s="118"/>
      <c r="B4610" s="136"/>
    </row>
    <row r="4611" spans="1:2" x14ac:dyDescent="0.25">
      <c r="A4611" s="118"/>
      <c r="B4611" s="136"/>
    </row>
    <row r="4612" spans="1:2" x14ac:dyDescent="0.25">
      <c r="A4612" s="118"/>
      <c r="B4612" s="136"/>
    </row>
    <row r="4613" spans="1:2" x14ac:dyDescent="0.25">
      <c r="A4613" s="118"/>
      <c r="B4613" s="136"/>
    </row>
    <row r="4614" spans="1:2" x14ac:dyDescent="0.25">
      <c r="A4614" s="118"/>
      <c r="B4614" s="136"/>
    </row>
    <row r="4615" spans="1:2" x14ac:dyDescent="0.25">
      <c r="A4615" s="118"/>
      <c r="B4615" s="136"/>
    </row>
    <row r="4616" spans="1:2" x14ac:dyDescent="0.25">
      <c r="A4616" s="118"/>
      <c r="B4616" s="136"/>
    </row>
    <row r="4617" spans="1:2" x14ac:dyDescent="0.25">
      <c r="A4617" s="118"/>
      <c r="B4617" s="136"/>
    </row>
    <row r="4618" spans="1:2" x14ac:dyDescent="0.25">
      <c r="A4618" s="118"/>
      <c r="B4618" s="136"/>
    </row>
    <row r="4619" spans="1:2" x14ac:dyDescent="0.25">
      <c r="A4619" s="118"/>
      <c r="B4619" s="136"/>
    </row>
    <row r="4620" spans="1:2" x14ac:dyDescent="0.25">
      <c r="A4620" s="118"/>
      <c r="B4620" s="136"/>
    </row>
    <row r="4621" spans="1:2" x14ac:dyDescent="0.25">
      <c r="A4621" s="118"/>
      <c r="B4621" s="136"/>
    </row>
    <row r="4622" spans="1:2" x14ac:dyDescent="0.25">
      <c r="A4622" s="118"/>
      <c r="B4622" s="136"/>
    </row>
    <row r="4623" spans="1:2" x14ac:dyDescent="0.25">
      <c r="A4623" s="118"/>
      <c r="B4623" s="136"/>
    </row>
    <row r="4624" spans="1:2" x14ac:dyDescent="0.25">
      <c r="A4624" s="118"/>
      <c r="B4624" s="136"/>
    </row>
    <row r="4625" spans="1:2" x14ac:dyDescent="0.25">
      <c r="A4625" s="118"/>
      <c r="B4625" s="136"/>
    </row>
    <row r="4626" spans="1:2" x14ac:dyDescent="0.25">
      <c r="A4626" s="118"/>
      <c r="B4626" s="136"/>
    </row>
    <row r="4627" spans="1:2" x14ac:dyDescent="0.25">
      <c r="A4627" s="118"/>
      <c r="B4627" s="136"/>
    </row>
    <row r="4628" spans="1:2" x14ac:dyDescent="0.25">
      <c r="A4628" s="118"/>
      <c r="B4628" s="136"/>
    </row>
    <row r="4629" spans="1:2" x14ac:dyDescent="0.25">
      <c r="A4629" s="118"/>
      <c r="B4629" s="136"/>
    </row>
    <row r="4630" spans="1:2" x14ac:dyDescent="0.25">
      <c r="A4630" s="118"/>
      <c r="B4630" s="136"/>
    </row>
    <row r="4631" spans="1:2" x14ac:dyDescent="0.25">
      <c r="A4631" s="118"/>
      <c r="B4631" s="136"/>
    </row>
    <row r="4632" spans="1:2" x14ac:dyDescent="0.25">
      <c r="A4632" s="118"/>
      <c r="B4632" s="136"/>
    </row>
    <row r="4633" spans="1:2" x14ac:dyDescent="0.25">
      <c r="A4633" s="118"/>
      <c r="B4633" s="136"/>
    </row>
    <row r="4634" spans="1:2" x14ac:dyDescent="0.25">
      <c r="A4634" s="118"/>
      <c r="B4634" s="136"/>
    </row>
    <row r="4635" spans="1:2" x14ac:dyDescent="0.25">
      <c r="A4635" s="118"/>
      <c r="B4635" s="136"/>
    </row>
    <row r="4636" spans="1:2" x14ac:dyDescent="0.25">
      <c r="A4636" s="118"/>
      <c r="B4636" s="136"/>
    </row>
    <row r="4637" spans="1:2" x14ac:dyDescent="0.25">
      <c r="A4637" s="118"/>
      <c r="B4637" s="136"/>
    </row>
    <row r="4638" spans="1:2" x14ac:dyDescent="0.25">
      <c r="A4638" s="118"/>
      <c r="B4638" s="136"/>
    </row>
    <row r="4639" spans="1:2" x14ac:dyDescent="0.25">
      <c r="A4639" s="118"/>
      <c r="B4639" s="136"/>
    </row>
    <row r="4640" spans="1:2" x14ac:dyDescent="0.25">
      <c r="A4640" s="118"/>
      <c r="B4640" s="136"/>
    </row>
    <row r="4641" spans="1:2" x14ac:dyDescent="0.25">
      <c r="A4641" s="118"/>
      <c r="B4641" s="136"/>
    </row>
    <row r="4642" spans="1:2" x14ac:dyDescent="0.25">
      <c r="A4642" s="118"/>
      <c r="B4642" s="136"/>
    </row>
    <row r="4643" spans="1:2" x14ac:dyDescent="0.25">
      <c r="A4643" s="118"/>
      <c r="B4643" s="136"/>
    </row>
    <row r="4644" spans="1:2" x14ac:dyDescent="0.25">
      <c r="A4644" s="118"/>
      <c r="B4644" s="136"/>
    </row>
    <row r="4645" spans="1:2" x14ac:dyDescent="0.25">
      <c r="A4645" s="118"/>
      <c r="B4645" s="136"/>
    </row>
    <row r="4646" spans="1:2" x14ac:dyDescent="0.25">
      <c r="A4646" s="118"/>
      <c r="B4646" s="136"/>
    </row>
    <row r="4647" spans="1:2" x14ac:dyDescent="0.25">
      <c r="A4647" s="118"/>
      <c r="B4647" s="136"/>
    </row>
    <row r="4648" spans="1:2" x14ac:dyDescent="0.25">
      <c r="A4648" s="118"/>
      <c r="B4648" s="136"/>
    </row>
    <row r="4649" spans="1:2" x14ac:dyDescent="0.25">
      <c r="A4649" s="118"/>
      <c r="B4649" s="136"/>
    </row>
    <row r="4650" spans="1:2" x14ac:dyDescent="0.25">
      <c r="A4650" s="118"/>
      <c r="B4650" s="136"/>
    </row>
    <row r="4651" spans="1:2" x14ac:dyDescent="0.25">
      <c r="A4651" s="118"/>
      <c r="B4651" s="136"/>
    </row>
    <row r="4652" spans="1:2" x14ac:dyDescent="0.25">
      <c r="A4652" s="118"/>
      <c r="B4652" s="136"/>
    </row>
    <row r="4653" spans="1:2" x14ac:dyDescent="0.25">
      <c r="A4653" s="118"/>
      <c r="B4653" s="136"/>
    </row>
    <row r="4654" spans="1:2" x14ac:dyDescent="0.25">
      <c r="A4654" s="118"/>
      <c r="B4654" s="136"/>
    </row>
    <row r="4655" spans="1:2" x14ac:dyDescent="0.25">
      <c r="A4655" s="118"/>
      <c r="B4655" s="136"/>
    </row>
    <row r="4656" spans="1:2" x14ac:dyDescent="0.25">
      <c r="A4656" s="118"/>
      <c r="B4656" s="136"/>
    </row>
    <row r="4657" spans="1:2" x14ac:dyDescent="0.25">
      <c r="A4657" s="118"/>
      <c r="B4657" s="136"/>
    </row>
    <row r="4658" spans="1:2" x14ac:dyDescent="0.25">
      <c r="A4658" s="118"/>
      <c r="B4658" s="136"/>
    </row>
    <row r="4659" spans="1:2" x14ac:dyDescent="0.25">
      <c r="A4659" s="118"/>
      <c r="B4659" s="136"/>
    </row>
    <row r="4660" spans="1:2" x14ac:dyDescent="0.25">
      <c r="A4660" s="118"/>
      <c r="B4660" s="136"/>
    </row>
    <row r="4661" spans="1:2" x14ac:dyDescent="0.25">
      <c r="A4661" s="118"/>
      <c r="B4661" s="136"/>
    </row>
    <row r="4662" spans="1:2" x14ac:dyDescent="0.25">
      <c r="A4662" s="118"/>
      <c r="B4662" s="136"/>
    </row>
    <row r="4663" spans="1:2" x14ac:dyDescent="0.25">
      <c r="A4663" s="118"/>
      <c r="B4663" s="136"/>
    </row>
    <row r="4664" spans="1:2" x14ac:dyDescent="0.25">
      <c r="A4664" s="118"/>
      <c r="B4664" s="136"/>
    </row>
    <row r="4665" spans="1:2" x14ac:dyDescent="0.25">
      <c r="A4665" s="118"/>
      <c r="B4665" s="136"/>
    </row>
    <row r="4666" spans="1:2" x14ac:dyDescent="0.25">
      <c r="A4666" s="118"/>
      <c r="B4666" s="136"/>
    </row>
    <row r="4667" spans="1:2" x14ac:dyDescent="0.25">
      <c r="A4667" s="118"/>
      <c r="B4667" s="136"/>
    </row>
    <row r="4668" spans="1:2" x14ac:dyDescent="0.25">
      <c r="A4668" s="118"/>
      <c r="B4668" s="136"/>
    </row>
    <row r="4669" spans="1:2" x14ac:dyDescent="0.25">
      <c r="A4669" s="118"/>
      <c r="B4669" s="136"/>
    </row>
    <row r="4670" spans="1:2" x14ac:dyDescent="0.25">
      <c r="A4670" s="118"/>
      <c r="B4670" s="136"/>
    </row>
    <row r="4671" spans="1:2" x14ac:dyDescent="0.25">
      <c r="A4671" s="118"/>
      <c r="B4671" s="136"/>
    </row>
    <row r="4672" spans="1:2" x14ac:dyDescent="0.25">
      <c r="A4672" s="118"/>
      <c r="B4672" s="136"/>
    </row>
    <row r="4673" spans="1:2" x14ac:dyDescent="0.25">
      <c r="A4673" s="118"/>
      <c r="B4673" s="136"/>
    </row>
    <row r="4674" spans="1:2" x14ac:dyDescent="0.25">
      <c r="A4674" s="118"/>
      <c r="B4674" s="136"/>
    </row>
    <row r="4675" spans="1:2" x14ac:dyDescent="0.25">
      <c r="A4675" s="118"/>
      <c r="B4675" s="136"/>
    </row>
    <row r="4676" spans="1:2" x14ac:dyDescent="0.25">
      <c r="A4676" s="118"/>
      <c r="B4676" s="136"/>
    </row>
    <row r="4677" spans="1:2" x14ac:dyDescent="0.25">
      <c r="A4677" s="118"/>
      <c r="B4677" s="136"/>
    </row>
    <row r="4678" spans="1:2" x14ac:dyDescent="0.25">
      <c r="A4678" s="118"/>
      <c r="B4678" s="136"/>
    </row>
    <row r="4679" spans="1:2" x14ac:dyDescent="0.25">
      <c r="A4679" s="118"/>
      <c r="B4679" s="136"/>
    </row>
    <row r="4680" spans="1:2" x14ac:dyDescent="0.25">
      <c r="A4680" s="118"/>
      <c r="B4680" s="136"/>
    </row>
    <row r="4681" spans="1:2" x14ac:dyDescent="0.25">
      <c r="A4681" s="118"/>
      <c r="B4681" s="136"/>
    </row>
    <row r="4682" spans="1:2" x14ac:dyDescent="0.25">
      <c r="A4682" s="118"/>
      <c r="B4682" s="136"/>
    </row>
    <row r="4683" spans="1:2" x14ac:dyDescent="0.25">
      <c r="A4683" s="118"/>
      <c r="B4683" s="136"/>
    </row>
    <row r="4684" spans="1:2" x14ac:dyDescent="0.25">
      <c r="A4684" s="118"/>
      <c r="B4684" s="136"/>
    </row>
    <row r="4685" spans="1:2" x14ac:dyDescent="0.25">
      <c r="A4685" s="118"/>
      <c r="B4685" s="136"/>
    </row>
    <row r="4686" spans="1:2" x14ac:dyDescent="0.25">
      <c r="A4686" s="118"/>
      <c r="B4686" s="136"/>
    </row>
    <row r="4687" spans="1:2" x14ac:dyDescent="0.25">
      <c r="A4687" s="118"/>
      <c r="B4687" s="136"/>
    </row>
    <row r="4688" spans="1:2" x14ac:dyDescent="0.25">
      <c r="A4688" s="118"/>
      <c r="B4688" s="136"/>
    </row>
    <row r="4689" spans="1:2" x14ac:dyDescent="0.25">
      <c r="A4689" s="118"/>
      <c r="B4689" s="136"/>
    </row>
    <row r="4690" spans="1:2" x14ac:dyDescent="0.25">
      <c r="A4690" s="118"/>
      <c r="B4690" s="136"/>
    </row>
    <row r="4691" spans="1:2" x14ac:dyDescent="0.25">
      <c r="A4691" s="118"/>
      <c r="B4691" s="136"/>
    </row>
    <row r="4692" spans="1:2" x14ac:dyDescent="0.25">
      <c r="A4692" s="118"/>
      <c r="B4692" s="136"/>
    </row>
    <row r="4693" spans="1:2" x14ac:dyDescent="0.25">
      <c r="A4693" s="118"/>
      <c r="B4693" s="136"/>
    </row>
    <row r="4694" spans="1:2" x14ac:dyDescent="0.25">
      <c r="A4694" s="118"/>
      <c r="B4694" s="136"/>
    </row>
    <row r="4695" spans="1:2" x14ac:dyDescent="0.25">
      <c r="A4695" s="118"/>
      <c r="B4695" s="136"/>
    </row>
    <row r="4696" spans="1:2" x14ac:dyDescent="0.25">
      <c r="A4696" s="118"/>
      <c r="B4696" s="136"/>
    </row>
    <row r="4697" spans="1:2" x14ac:dyDescent="0.25">
      <c r="A4697" s="118"/>
      <c r="B4697" s="136"/>
    </row>
    <row r="4698" spans="1:2" x14ac:dyDescent="0.25">
      <c r="A4698" s="118"/>
      <c r="B4698" s="136"/>
    </row>
    <row r="4699" spans="1:2" x14ac:dyDescent="0.25">
      <c r="A4699" s="118"/>
      <c r="B4699" s="136"/>
    </row>
    <row r="4700" spans="1:2" x14ac:dyDescent="0.25">
      <c r="A4700" s="118"/>
      <c r="B4700" s="136"/>
    </row>
    <row r="4701" spans="1:2" x14ac:dyDescent="0.25">
      <c r="A4701" s="118"/>
      <c r="B4701" s="136"/>
    </row>
    <row r="4702" spans="1:2" x14ac:dyDescent="0.25">
      <c r="A4702" s="118"/>
      <c r="B4702" s="136"/>
    </row>
    <row r="4703" spans="1:2" x14ac:dyDescent="0.25">
      <c r="A4703" s="118"/>
      <c r="B4703" s="136"/>
    </row>
    <row r="4704" spans="1:2" x14ac:dyDescent="0.25">
      <c r="A4704" s="118"/>
      <c r="B4704" s="136"/>
    </row>
    <row r="4705" spans="1:2" x14ac:dyDescent="0.25">
      <c r="A4705" s="118"/>
      <c r="B4705" s="136"/>
    </row>
    <row r="4706" spans="1:2" x14ac:dyDescent="0.25">
      <c r="A4706" s="118"/>
      <c r="B4706" s="136"/>
    </row>
    <row r="4707" spans="1:2" x14ac:dyDescent="0.25">
      <c r="A4707" s="118"/>
      <c r="B4707" s="136"/>
    </row>
    <row r="4708" spans="1:2" x14ac:dyDescent="0.25">
      <c r="A4708" s="118"/>
      <c r="B4708" s="136"/>
    </row>
    <row r="4709" spans="1:2" x14ac:dyDescent="0.25">
      <c r="A4709" s="118"/>
      <c r="B4709" s="136"/>
    </row>
    <row r="4710" spans="1:2" x14ac:dyDescent="0.25">
      <c r="A4710" s="118"/>
      <c r="B4710" s="136"/>
    </row>
    <row r="4711" spans="1:2" x14ac:dyDescent="0.25">
      <c r="A4711" s="118"/>
      <c r="B4711" s="136"/>
    </row>
    <row r="4712" spans="1:2" x14ac:dyDescent="0.25">
      <c r="A4712" s="118"/>
      <c r="B4712" s="136"/>
    </row>
    <row r="4713" spans="1:2" x14ac:dyDescent="0.25">
      <c r="A4713" s="118"/>
      <c r="B4713" s="136"/>
    </row>
    <row r="4714" spans="1:2" x14ac:dyDescent="0.25">
      <c r="A4714" s="118"/>
      <c r="B4714" s="136"/>
    </row>
    <row r="4715" spans="1:2" x14ac:dyDescent="0.25">
      <c r="A4715" s="118"/>
      <c r="B4715" s="136"/>
    </row>
    <row r="4716" spans="1:2" x14ac:dyDescent="0.25">
      <c r="A4716" s="118"/>
      <c r="B4716" s="136"/>
    </row>
    <row r="4717" spans="1:2" x14ac:dyDescent="0.25">
      <c r="A4717" s="118"/>
      <c r="B4717" s="136"/>
    </row>
    <row r="4718" spans="1:2" x14ac:dyDescent="0.25">
      <c r="A4718" s="118"/>
      <c r="B4718" s="136"/>
    </row>
    <row r="4719" spans="1:2" x14ac:dyDescent="0.25">
      <c r="A4719" s="118"/>
      <c r="B4719" s="136"/>
    </row>
    <row r="4720" spans="1:2" x14ac:dyDescent="0.25">
      <c r="A4720" s="118"/>
      <c r="B4720" s="136"/>
    </row>
    <row r="4721" spans="1:2" x14ac:dyDescent="0.25">
      <c r="A4721" s="118"/>
      <c r="B4721" s="136"/>
    </row>
    <row r="4722" spans="1:2" x14ac:dyDescent="0.25">
      <c r="A4722" s="118"/>
      <c r="B4722" s="136"/>
    </row>
    <row r="4723" spans="1:2" x14ac:dyDescent="0.25">
      <c r="A4723" s="118"/>
      <c r="B4723" s="136"/>
    </row>
    <row r="4724" spans="1:2" x14ac:dyDescent="0.25">
      <c r="A4724" s="118"/>
      <c r="B4724" s="136"/>
    </row>
    <row r="4725" spans="1:2" x14ac:dyDescent="0.25">
      <c r="A4725" s="118"/>
      <c r="B4725" s="136"/>
    </row>
    <row r="4726" spans="1:2" x14ac:dyDescent="0.25">
      <c r="A4726" s="118"/>
      <c r="B4726" s="136"/>
    </row>
    <row r="4727" spans="1:2" x14ac:dyDescent="0.25">
      <c r="A4727" s="118"/>
      <c r="B4727" s="136"/>
    </row>
    <row r="4728" spans="1:2" x14ac:dyDescent="0.25">
      <c r="A4728" s="118"/>
      <c r="B4728" s="136"/>
    </row>
    <row r="4729" spans="1:2" x14ac:dyDescent="0.25">
      <c r="A4729" s="118"/>
      <c r="B4729" s="136"/>
    </row>
    <row r="4730" spans="1:2" x14ac:dyDescent="0.25">
      <c r="A4730" s="118"/>
      <c r="B4730" s="136"/>
    </row>
    <row r="4731" spans="1:2" x14ac:dyDescent="0.25">
      <c r="A4731" s="118"/>
      <c r="B4731" s="136"/>
    </row>
    <row r="4732" spans="1:2" x14ac:dyDescent="0.25">
      <c r="A4732" s="118"/>
      <c r="B4732" s="136"/>
    </row>
    <row r="4733" spans="1:2" x14ac:dyDescent="0.25">
      <c r="A4733" s="118"/>
      <c r="B4733" s="136"/>
    </row>
    <row r="4734" spans="1:2" x14ac:dyDescent="0.25">
      <c r="A4734" s="118"/>
      <c r="B4734" s="136"/>
    </row>
    <row r="4735" spans="1:2" x14ac:dyDescent="0.25">
      <c r="A4735" s="118"/>
      <c r="B4735" s="136"/>
    </row>
    <row r="4736" spans="1:2" x14ac:dyDescent="0.25">
      <c r="A4736" s="118"/>
      <c r="B4736" s="136"/>
    </row>
    <row r="4737" spans="1:2" x14ac:dyDescent="0.25">
      <c r="A4737" s="118"/>
      <c r="B4737" s="136"/>
    </row>
    <row r="4738" spans="1:2" x14ac:dyDescent="0.25">
      <c r="A4738" s="118"/>
      <c r="B4738" s="136"/>
    </row>
    <row r="4739" spans="1:2" x14ac:dyDescent="0.25">
      <c r="A4739" s="118"/>
      <c r="B4739" s="136"/>
    </row>
    <row r="4740" spans="1:2" x14ac:dyDescent="0.25">
      <c r="A4740" s="118"/>
      <c r="B4740" s="136"/>
    </row>
    <row r="4741" spans="1:2" x14ac:dyDescent="0.25">
      <c r="A4741" s="118"/>
      <c r="B4741" s="136"/>
    </row>
    <row r="4742" spans="1:2" x14ac:dyDescent="0.25">
      <c r="A4742" s="118"/>
      <c r="B4742" s="136"/>
    </row>
    <row r="4743" spans="1:2" x14ac:dyDescent="0.25">
      <c r="A4743" s="118"/>
      <c r="B4743" s="136"/>
    </row>
    <row r="4744" spans="1:2" x14ac:dyDescent="0.25">
      <c r="A4744" s="118"/>
      <c r="B4744" s="136"/>
    </row>
    <row r="4745" spans="1:2" x14ac:dyDescent="0.25">
      <c r="A4745" s="118"/>
      <c r="B4745" s="136"/>
    </row>
    <row r="4746" spans="1:2" x14ac:dyDescent="0.25">
      <c r="A4746" s="118"/>
      <c r="B4746" s="136"/>
    </row>
    <row r="4747" spans="1:2" x14ac:dyDescent="0.25">
      <c r="A4747" s="118"/>
      <c r="B4747" s="136"/>
    </row>
    <row r="4748" spans="1:2" x14ac:dyDescent="0.25">
      <c r="A4748" s="118"/>
      <c r="B4748" s="136"/>
    </row>
    <row r="4749" spans="1:2" x14ac:dyDescent="0.25">
      <c r="A4749" s="118"/>
      <c r="B4749" s="136"/>
    </row>
    <row r="4750" spans="1:2" x14ac:dyDescent="0.25">
      <c r="A4750" s="118"/>
      <c r="B4750" s="136"/>
    </row>
    <row r="4751" spans="1:2" x14ac:dyDescent="0.25">
      <c r="A4751" s="118"/>
      <c r="B4751" s="136"/>
    </row>
    <row r="4752" spans="1:2" x14ac:dyDescent="0.25">
      <c r="A4752" s="118"/>
      <c r="B4752" s="136"/>
    </row>
    <row r="4753" spans="1:2" x14ac:dyDescent="0.25">
      <c r="A4753" s="118"/>
      <c r="B4753" s="136"/>
    </row>
    <row r="4754" spans="1:2" x14ac:dyDescent="0.25">
      <c r="A4754" s="118"/>
      <c r="B4754" s="136"/>
    </row>
    <row r="4755" spans="1:2" x14ac:dyDescent="0.25">
      <c r="A4755" s="118"/>
      <c r="B4755" s="136"/>
    </row>
    <row r="4756" spans="1:2" x14ac:dyDescent="0.25">
      <c r="A4756" s="118"/>
      <c r="B4756" s="136"/>
    </row>
    <row r="4757" spans="1:2" x14ac:dyDescent="0.25">
      <c r="A4757" s="118"/>
      <c r="B4757" s="136"/>
    </row>
    <row r="4758" spans="1:2" x14ac:dyDescent="0.25">
      <c r="A4758" s="118"/>
      <c r="B4758" s="136"/>
    </row>
    <row r="4759" spans="1:2" x14ac:dyDescent="0.25">
      <c r="A4759" s="118"/>
      <c r="B4759" s="136"/>
    </row>
    <row r="4760" spans="1:2" x14ac:dyDescent="0.25">
      <c r="A4760" s="118"/>
      <c r="B4760" s="136"/>
    </row>
    <row r="4761" spans="1:2" x14ac:dyDescent="0.25">
      <c r="A4761" s="118"/>
      <c r="B4761" s="136"/>
    </row>
    <row r="4762" spans="1:2" x14ac:dyDescent="0.25">
      <c r="A4762" s="118"/>
      <c r="B4762" s="136"/>
    </row>
    <row r="4763" spans="1:2" x14ac:dyDescent="0.25">
      <c r="A4763" s="118"/>
      <c r="B4763" s="136"/>
    </row>
    <row r="4764" spans="1:2" x14ac:dyDescent="0.25">
      <c r="A4764" s="118"/>
      <c r="B4764" s="136"/>
    </row>
    <row r="4765" spans="1:2" x14ac:dyDescent="0.25">
      <c r="A4765" s="118"/>
      <c r="B4765" s="136"/>
    </row>
    <row r="4766" spans="1:2" x14ac:dyDescent="0.25">
      <c r="A4766" s="118"/>
      <c r="B4766" s="136"/>
    </row>
    <row r="4767" spans="1:2" x14ac:dyDescent="0.25">
      <c r="A4767" s="118"/>
      <c r="B4767" s="136"/>
    </row>
    <row r="4768" spans="1:2" x14ac:dyDescent="0.25">
      <c r="A4768" s="118"/>
      <c r="B4768" s="136"/>
    </row>
    <row r="4769" spans="1:2" x14ac:dyDescent="0.25">
      <c r="A4769" s="118"/>
      <c r="B4769" s="136"/>
    </row>
    <row r="4770" spans="1:2" x14ac:dyDescent="0.25">
      <c r="A4770" s="118"/>
      <c r="B4770" s="136"/>
    </row>
    <row r="4771" spans="1:2" x14ac:dyDescent="0.25">
      <c r="A4771" s="118"/>
      <c r="B4771" s="136"/>
    </row>
    <row r="4772" spans="1:2" x14ac:dyDescent="0.25">
      <c r="A4772" s="118"/>
      <c r="B4772" s="136"/>
    </row>
    <row r="4773" spans="1:2" x14ac:dyDescent="0.25">
      <c r="A4773" s="118"/>
      <c r="B4773" s="136"/>
    </row>
    <row r="4774" spans="1:2" x14ac:dyDescent="0.25">
      <c r="A4774" s="118"/>
      <c r="B4774" s="136"/>
    </row>
    <row r="4775" spans="1:2" x14ac:dyDescent="0.25">
      <c r="A4775" s="118"/>
      <c r="B4775" s="136"/>
    </row>
    <row r="4776" spans="1:2" x14ac:dyDescent="0.25">
      <c r="A4776" s="118"/>
      <c r="B4776" s="136"/>
    </row>
    <row r="4777" spans="1:2" x14ac:dyDescent="0.25">
      <c r="A4777" s="118"/>
      <c r="B4777" s="136"/>
    </row>
    <row r="4778" spans="1:2" x14ac:dyDescent="0.25">
      <c r="A4778" s="118"/>
      <c r="B4778" s="136"/>
    </row>
    <row r="4779" spans="1:2" x14ac:dyDescent="0.25">
      <c r="A4779" s="118"/>
      <c r="B4779" s="136"/>
    </row>
    <row r="4780" spans="1:2" x14ac:dyDescent="0.25">
      <c r="A4780" s="118"/>
      <c r="B4780" s="136"/>
    </row>
    <row r="4781" spans="1:2" x14ac:dyDescent="0.25">
      <c r="A4781" s="118"/>
      <c r="B4781" s="136"/>
    </row>
    <row r="4782" spans="1:2" x14ac:dyDescent="0.25">
      <c r="A4782" s="118"/>
      <c r="B4782" s="136"/>
    </row>
    <row r="4783" spans="1:2" x14ac:dyDescent="0.25">
      <c r="A4783" s="118"/>
      <c r="B4783" s="136"/>
    </row>
    <row r="4784" spans="1:2" x14ac:dyDescent="0.25">
      <c r="A4784" s="118"/>
      <c r="B4784" s="136"/>
    </row>
    <row r="4785" spans="1:2" x14ac:dyDescent="0.25">
      <c r="A4785" s="118"/>
      <c r="B4785" s="136"/>
    </row>
    <row r="4786" spans="1:2" x14ac:dyDescent="0.25">
      <c r="A4786" s="118"/>
      <c r="B4786" s="136"/>
    </row>
    <row r="4787" spans="1:2" x14ac:dyDescent="0.25">
      <c r="A4787" s="118"/>
      <c r="B4787" s="136"/>
    </row>
    <row r="4788" spans="1:2" x14ac:dyDescent="0.25">
      <c r="A4788" s="118"/>
      <c r="B4788" s="136"/>
    </row>
    <row r="4789" spans="1:2" x14ac:dyDescent="0.25">
      <c r="A4789" s="118"/>
      <c r="B4789" s="136"/>
    </row>
    <row r="4790" spans="1:2" x14ac:dyDescent="0.25">
      <c r="A4790" s="118"/>
      <c r="B4790" s="136"/>
    </row>
    <row r="4791" spans="1:2" x14ac:dyDescent="0.25">
      <c r="A4791" s="118"/>
      <c r="B4791" s="136"/>
    </row>
    <row r="4792" spans="1:2" x14ac:dyDescent="0.25">
      <c r="A4792" s="118"/>
      <c r="B4792" s="136"/>
    </row>
    <row r="4793" spans="1:2" x14ac:dyDescent="0.25">
      <c r="A4793" s="118"/>
      <c r="B4793" s="136"/>
    </row>
    <row r="4794" spans="1:2" x14ac:dyDescent="0.25">
      <c r="A4794" s="118"/>
      <c r="B4794" s="136"/>
    </row>
    <row r="4795" spans="1:2" x14ac:dyDescent="0.25">
      <c r="A4795" s="118"/>
      <c r="B4795" s="136"/>
    </row>
    <row r="4796" spans="1:2" x14ac:dyDescent="0.25">
      <c r="A4796" s="118"/>
      <c r="B4796" s="136"/>
    </row>
    <row r="4797" spans="1:2" x14ac:dyDescent="0.25">
      <c r="A4797" s="118"/>
      <c r="B4797" s="136"/>
    </row>
    <row r="4798" spans="1:2" x14ac:dyDescent="0.25">
      <c r="A4798" s="118"/>
      <c r="B4798" s="136"/>
    </row>
    <row r="4799" spans="1:2" x14ac:dyDescent="0.25">
      <c r="A4799" s="118"/>
      <c r="B4799" s="136"/>
    </row>
    <row r="4800" spans="1:2" x14ac:dyDescent="0.25">
      <c r="A4800" s="118"/>
      <c r="B4800" s="136"/>
    </row>
    <row r="4801" spans="1:2" x14ac:dyDescent="0.25">
      <c r="A4801" s="118"/>
      <c r="B4801" s="136"/>
    </row>
    <row r="4802" spans="1:2" x14ac:dyDescent="0.25">
      <c r="A4802" s="118"/>
      <c r="B4802" s="136"/>
    </row>
    <row r="4803" spans="1:2" x14ac:dyDescent="0.25">
      <c r="A4803" s="118"/>
      <c r="B4803" s="136"/>
    </row>
    <row r="4804" spans="1:2" x14ac:dyDescent="0.25">
      <c r="A4804" s="118"/>
      <c r="B4804" s="136"/>
    </row>
    <row r="4805" spans="1:2" x14ac:dyDescent="0.25">
      <c r="A4805" s="118"/>
      <c r="B4805" s="136"/>
    </row>
    <row r="4806" spans="1:2" x14ac:dyDescent="0.25">
      <c r="A4806" s="118"/>
      <c r="B4806" s="136"/>
    </row>
    <row r="4807" spans="1:2" x14ac:dyDescent="0.25">
      <c r="A4807" s="118"/>
      <c r="B4807" s="136"/>
    </row>
    <row r="4808" spans="1:2" x14ac:dyDescent="0.25">
      <c r="A4808" s="118"/>
      <c r="B4808" s="136"/>
    </row>
    <row r="4809" spans="1:2" x14ac:dyDescent="0.25">
      <c r="A4809" s="118"/>
      <c r="B4809" s="136"/>
    </row>
    <row r="4810" spans="1:2" x14ac:dyDescent="0.25">
      <c r="A4810" s="118"/>
      <c r="B4810" s="136"/>
    </row>
    <row r="4811" spans="1:2" x14ac:dyDescent="0.25">
      <c r="A4811" s="118"/>
      <c r="B4811" s="136"/>
    </row>
    <row r="4812" spans="1:2" x14ac:dyDescent="0.25">
      <c r="A4812" s="118"/>
      <c r="B4812" s="136"/>
    </row>
    <row r="4813" spans="1:2" x14ac:dyDescent="0.25">
      <c r="A4813" s="118"/>
      <c r="B4813" s="136"/>
    </row>
    <row r="4814" spans="1:2" x14ac:dyDescent="0.25">
      <c r="A4814" s="118"/>
      <c r="B4814" s="136"/>
    </row>
    <row r="4815" spans="1:2" x14ac:dyDescent="0.25">
      <c r="A4815" s="118"/>
      <c r="B4815" s="136"/>
    </row>
    <row r="4816" spans="1:2" x14ac:dyDescent="0.25">
      <c r="A4816" s="118"/>
      <c r="B4816" s="136"/>
    </row>
    <row r="4817" spans="1:2" x14ac:dyDescent="0.25">
      <c r="A4817" s="118"/>
      <c r="B4817" s="136"/>
    </row>
    <row r="4818" spans="1:2" x14ac:dyDescent="0.25">
      <c r="A4818" s="118"/>
      <c r="B4818" s="136"/>
    </row>
    <row r="4819" spans="1:2" x14ac:dyDescent="0.25">
      <c r="A4819" s="118"/>
      <c r="B4819" s="136"/>
    </row>
    <row r="4820" spans="1:2" x14ac:dyDescent="0.25">
      <c r="A4820" s="118"/>
      <c r="B4820" s="136"/>
    </row>
    <row r="4821" spans="1:2" x14ac:dyDescent="0.25">
      <c r="A4821" s="118"/>
      <c r="B4821" s="136"/>
    </row>
    <row r="4822" spans="1:2" x14ac:dyDescent="0.25">
      <c r="A4822" s="118"/>
      <c r="B4822" s="136"/>
    </row>
    <row r="4823" spans="1:2" x14ac:dyDescent="0.25">
      <c r="A4823" s="118"/>
      <c r="B4823" s="136"/>
    </row>
    <row r="4824" spans="1:2" x14ac:dyDescent="0.25">
      <c r="A4824" s="118"/>
      <c r="B4824" s="136"/>
    </row>
    <row r="4825" spans="1:2" x14ac:dyDescent="0.25">
      <c r="A4825" s="118"/>
      <c r="B4825" s="136"/>
    </row>
    <row r="4826" spans="1:2" x14ac:dyDescent="0.25">
      <c r="A4826" s="118"/>
      <c r="B4826" s="136"/>
    </row>
    <row r="4827" spans="1:2" x14ac:dyDescent="0.25">
      <c r="A4827" s="118"/>
      <c r="B4827" s="136"/>
    </row>
    <row r="4828" spans="1:2" x14ac:dyDescent="0.25">
      <c r="A4828" s="118"/>
      <c r="B4828" s="136"/>
    </row>
    <row r="4829" spans="1:2" x14ac:dyDescent="0.25">
      <c r="A4829" s="118"/>
      <c r="B4829" s="136"/>
    </row>
    <row r="4830" spans="1:2" x14ac:dyDescent="0.25">
      <c r="A4830" s="118"/>
      <c r="B4830" s="136"/>
    </row>
    <row r="4831" spans="1:2" x14ac:dyDescent="0.25">
      <c r="A4831" s="118"/>
      <c r="B4831" s="136"/>
    </row>
    <row r="4832" spans="1:2" x14ac:dyDescent="0.25">
      <c r="A4832" s="118"/>
      <c r="B4832" s="136"/>
    </row>
    <row r="4833" spans="1:2" x14ac:dyDescent="0.25">
      <c r="A4833" s="118"/>
      <c r="B4833" s="136"/>
    </row>
    <row r="4834" spans="1:2" x14ac:dyDescent="0.25">
      <c r="A4834" s="118"/>
      <c r="B4834" s="136"/>
    </row>
    <row r="4835" spans="1:2" x14ac:dyDescent="0.25">
      <c r="A4835" s="118"/>
      <c r="B4835" s="136"/>
    </row>
    <row r="4836" spans="1:2" x14ac:dyDescent="0.25">
      <c r="A4836" s="118"/>
      <c r="B4836" s="136"/>
    </row>
    <row r="4837" spans="1:2" x14ac:dyDescent="0.25">
      <c r="A4837" s="118"/>
      <c r="B4837" s="136"/>
    </row>
    <row r="4838" spans="1:2" x14ac:dyDescent="0.25">
      <c r="A4838" s="118"/>
      <c r="B4838" s="136"/>
    </row>
    <row r="4839" spans="1:2" x14ac:dyDescent="0.25">
      <c r="A4839" s="118"/>
      <c r="B4839" s="136"/>
    </row>
    <row r="4840" spans="1:2" x14ac:dyDescent="0.25">
      <c r="A4840" s="118"/>
      <c r="B4840" s="136"/>
    </row>
    <row r="4841" spans="1:2" x14ac:dyDescent="0.25">
      <c r="A4841" s="118"/>
      <c r="B4841" s="136"/>
    </row>
    <row r="4842" spans="1:2" x14ac:dyDescent="0.25">
      <c r="A4842" s="118"/>
      <c r="B4842" s="136"/>
    </row>
    <row r="4843" spans="1:2" x14ac:dyDescent="0.25">
      <c r="A4843" s="118"/>
      <c r="B4843" s="136"/>
    </row>
    <row r="4844" spans="1:2" x14ac:dyDescent="0.25">
      <c r="A4844" s="118"/>
      <c r="B4844" s="136"/>
    </row>
    <row r="4845" spans="1:2" x14ac:dyDescent="0.25">
      <c r="A4845" s="118"/>
      <c r="B4845" s="136"/>
    </row>
    <row r="4846" spans="1:2" x14ac:dyDescent="0.25">
      <c r="A4846" s="118"/>
      <c r="B4846" s="136"/>
    </row>
    <row r="4847" spans="1:2" x14ac:dyDescent="0.25">
      <c r="A4847" s="118"/>
      <c r="B4847" s="136"/>
    </row>
    <row r="4848" spans="1:2" x14ac:dyDescent="0.25">
      <c r="A4848" s="118"/>
      <c r="B4848" s="136"/>
    </row>
    <row r="4849" spans="1:2" x14ac:dyDescent="0.25">
      <c r="A4849" s="118"/>
      <c r="B4849" s="136"/>
    </row>
    <row r="4850" spans="1:2" x14ac:dyDescent="0.25">
      <c r="A4850" s="118"/>
      <c r="B4850" s="136"/>
    </row>
    <row r="4851" spans="1:2" x14ac:dyDescent="0.25">
      <c r="A4851" s="118"/>
      <c r="B4851" s="136"/>
    </row>
    <row r="4852" spans="1:2" x14ac:dyDescent="0.25">
      <c r="A4852" s="118"/>
      <c r="B4852" s="136"/>
    </row>
    <row r="4853" spans="1:2" x14ac:dyDescent="0.25">
      <c r="A4853" s="118"/>
      <c r="B4853" s="136"/>
    </row>
    <row r="4854" spans="1:2" x14ac:dyDescent="0.25">
      <c r="A4854" s="118"/>
      <c r="B4854" s="136"/>
    </row>
    <row r="4855" spans="1:2" x14ac:dyDescent="0.25">
      <c r="A4855" s="118"/>
      <c r="B4855" s="136"/>
    </row>
    <row r="4856" spans="1:2" x14ac:dyDescent="0.25">
      <c r="A4856" s="118"/>
      <c r="B4856" s="136"/>
    </row>
    <row r="4857" spans="1:2" x14ac:dyDescent="0.25">
      <c r="A4857" s="118"/>
      <c r="B4857" s="136"/>
    </row>
    <row r="4858" spans="1:2" x14ac:dyDescent="0.25">
      <c r="A4858" s="118"/>
      <c r="B4858" s="136"/>
    </row>
    <row r="4859" spans="1:2" x14ac:dyDescent="0.25">
      <c r="A4859" s="118"/>
      <c r="B4859" s="136"/>
    </row>
    <row r="4860" spans="1:2" x14ac:dyDescent="0.25">
      <c r="A4860" s="118"/>
      <c r="B4860" s="136"/>
    </row>
    <row r="4861" spans="1:2" x14ac:dyDescent="0.25">
      <c r="A4861" s="118"/>
      <c r="B4861" s="136"/>
    </row>
    <row r="4862" spans="1:2" x14ac:dyDescent="0.25">
      <c r="A4862" s="118"/>
      <c r="B4862" s="136"/>
    </row>
    <row r="4863" spans="1:2" x14ac:dyDescent="0.25">
      <c r="A4863" s="118"/>
      <c r="B4863" s="136"/>
    </row>
    <row r="4864" spans="1:2" x14ac:dyDescent="0.25">
      <c r="A4864" s="118"/>
      <c r="B4864" s="136"/>
    </row>
    <row r="4865" spans="1:2" x14ac:dyDescent="0.25">
      <c r="A4865" s="118"/>
      <c r="B4865" s="136"/>
    </row>
    <row r="4866" spans="1:2" x14ac:dyDescent="0.25">
      <c r="A4866" s="118"/>
      <c r="B4866" s="136"/>
    </row>
    <row r="4867" spans="1:2" x14ac:dyDescent="0.25">
      <c r="A4867" s="118"/>
      <c r="B4867" s="136"/>
    </row>
    <row r="4868" spans="1:2" x14ac:dyDescent="0.25">
      <c r="A4868" s="118"/>
      <c r="B4868" s="136"/>
    </row>
    <row r="4869" spans="1:2" x14ac:dyDescent="0.25">
      <c r="A4869" s="118"/>
      <c r="B4869" s="136"/>
    </row>
    <row r="4870" spans="1:2" x14ac:dyDescent="0.25">
      <c r="A4870" s="118"/>
      <c r="B4870" s="136"/>
    </row>
    <row r="4871" spans="1:2" x14ac:dyDescent="0.25">
      <c r="A4871" s="118"/>
      <c r="B4871" s="136"/>
    </row>
    <row r="4872" spans="1:2" x14ac:dyDescent="0.25">
      <c r="A4872" s="118"/>
      <c r="B4872" s="136"/>
    </row>
    <row r="4873" spans="1:2" x14ac:dyDescent="0.25">
      <c r="A4873" s="118"/>
      <c r="B4873" s="136"/>
    </row>
    <row r="4874" spans="1:2" x14ac:dyDescent="0.25">
      <c r="A4874" s="118"/>
      <c r="B4874" s="136"/>
    </row>
    <row r="4875" spans="1:2" x14ac:dyDescent="0.25">
      <c r="A4875" s="118"/>
      <c r="B4875" s="136"/>
    </row>
    <row r="4876" spans="1:2" x14ac:dyDescent="0.25">
      <c r="A4876" s="118"/>
      <c r="B4876" s="136"/>
    </row>
    <row r="4877" spans="1:2" x14ac:dyDescent="0.25">
      <c r="A4877" s="118"/>
      <c r="B4877" s="136"/>
    </row>
    <row r="4878" spans="1:2" x14ac:dyDescent="0.25">
      <c r="A4878" s="118"/>
      <c r="B4878" s="136"/>
    </row>
    <row r="4879" spans="1:2" x14ac:dyDescent="0.25">
      <c r="A4879" s="118"/>
      <c r="B4879" s="136"/>
    </row>
    <row r="4880" spans="1:2" x14ac:dyDescent="0.25">
      <c r="A4880" s="118"/>
      <c r="B4880" s="136"/>
    </row>
    <row r="4881" spans="1:2" x14ac:dyDescent="0.25">
      <c r="A4881" s="118"/>
      <c r="B4881" s="136"/>
    </row>
    <row r="4882" spans="1:2" x14ac:dyDescent="0.25">
      <c r="A4882" s="118"/>
      <c r="B4882" s="136"/>
    </row>
    <row r="4883" spans="1:2" x14ac:dyDescent="0.25">
      <c r="A4883" s="118"/>
      <c r="B4883" s="136"/>
    </row>
    <row r="4884" spans="1:2" x14ac:dyDescent="0.25">
      <c r="A4884" s="118"/>
      <c r="B4884" s="136"/>
    </row>
    <row r="4885" spans="1:2" x14ac:dyDescent="0.25">
      <c r="A4885" s="118"/>
      <c r="B4885" s="136"/>
    </row>
    <row r="4886" spans="1:2" x14ac:dyDescent="0.25">
      <c r="A4886" s="118"/>
      <c r="B4886" s="136"/>
    </row>
    <row r="4887" spans="1:2" x14ac:dyDescent="0.25">
      <c r="A4887" s="118"/>
      <c r="B4887" s="136"/>
    </row>
    <row r="4888" spans="1:2" x14ac:dyDescent="0.25">
      <c r="A4888" s="118"/>
      <c r="B4888" s="136"/>
    </row>
    <row r="4889" spans="1:2" x14ac:dyDescent="0.25">
      <c r="A4889" s="118"/>
      <c r="B4889" s="136"/>
    </row>
    <row r="4890" spans="1:2" x14ac:dyDescent="0.25">
      <c r="A4890" s="118"/>
      <c r="B4890" s="136"/>
    </row>
    <row r="4891" spans="1:2" x14ac:dyDescent="0.25">
      <c r="A4891" s="118"/>
      <c r="B4891" s="136"/>
    </row>
    <row r="4892" spans="1:2" x14ac:dyDescent="0.25">
      <c r="A4892" s="118"/>
      <c r="B4892" s="136"/>
    </row>
    <row r="4893" spans="1:2" x14ac:dyDescent="0.25">
      <c r="A4893" s="118"/>
      <c r="B4893" s="136"/>
    </row>
    <row r="4894" spans="1:2" x14ac:dyDescent="0.25">
      <c r="A4894" s="118"/>
      <c r="B4894" s="136"/>
    </row>
    <row r="4895" spans="1:2" x14ac:dyDescent="0.25">
      <c r="A4895" s="118"/>
      <c r="B4895" s="136"/>
    </row>
    <row r="4896" spans="1:2" x14ac:dyDescent="0.25">
      <c r="A4896" s="118"/>
      <c r="B4896" s="136"/>
    </row>
    <row r="4897" spans="1:2" x14ac:dyDescent="0.25">
      <c r="A4897" s="118"/>
      <c r="B4897" s="136"/>
    </row>
    <row r="4898" spans="1:2" x14ac:dyDescent="0.25">
      <c r="A4898" s="118"/>
      <c r="B4898" s="136"/>
    </row>
    <row r="4899" spans="1:2" x14ac:dyDescent="0.25">
      <c r="A4899" s="118"/>
      <c r="B4899" s="136"/>
    </row>
    <row r="4900" spans="1:2" x14ac:dyDescent="0.25">
      <c r="A4900" s="118"/>
      <c r="B4900" s="136"/>
    </row>
    <row r="4901" spans="1:2" x14ac:dyDescent="0.25">
      <c r="A4901" s="118"/>
      <c r="B4901" s="136"/>
    </row>
    <row r="4902" spans="1:2" x14ac:dyDescent="0.25">
      <c r="A4902" s="118"/>
      <c r="B4902" s="136"/>
    </row>
    <row r="4903" spans="1:2" x14ac:dyDescent="0.25">
      <c r="A4903" s="118"/>
      <c r="B4903" s="136"/>
    </row>
    <row r="4904" spans="1:2" x14ac:dyDescent="0.25">
      <c r="A4904" s="118"/>
      <c r="B4904" s="136"/>
    </row>
    <row r="4905" spans="1:2" x14ac:dyDescent="0.25">
      <c r="A4905" s="118"/>
      <c r="B4905" s="136"/>
    </row>
    <row r="4906" spans="1:2" x14ac:dyDescent="0.25">
      <c r="A4906" s="118"/>
      <c r="B4906" s="136"/>
    </row>
    <row r="4907" spans="1:2" x14ac:dyDescent="0.25">
      <c r="A4907" s="118"/>
      <c r="B4907" s="136"/>
    </row>
    <row r="4908" spans="1:2" x14ac:dyDescent="0.25">
      <c r="A4908" s="118"/>
      <c r="B4908" s="136"/>
    </row>
    <row r="4909" spans="1:2" x14ac:dyDescent="0.25">
      <c r="A4909" s="118"/>
      <c r="B4909" s="136"/>
    </row>
    <row r="4910" spans="1:2" x14ac:dyDescent="0.25">
      <c r="A4910" s="118"/>
      <c r="B4910" s="136"/>
    </row>
    <row r="4911" spans="1:2" x14ac:dyDescent="0.25">
      <c r="A4911" s="118"/>
      <c r="B4911" s="136"/>
    </row>
    <row r="4912" spans="1:2" x14ac:dyDescent="0.25">
      <c r="A4912" s="118"/>
      <c r="B4912" s="136"/>
    </row>
    <row r="4913" spans="1:2" x14ac:dyDescent="0.25">
      <c r="A4913" s="118"/>
      <c r="B4913" s="136"/>
    </row>
    <row r="4914" spans="1:2" x14ac:dyDescent="0.25">
      <c r="A4914" s="118"/>
      <c r="B4914" s="136"/>
    </row>
    <row r="4915" spans="1:2" x14ac:dyDescent="0.25">
      <c r="A4915" s="118"/>
      <c r="B4915" s="136"/>
    </row>
    <row r="4916" spans="1:2" x14ac:dyDescent="0.25">
      <c r="A4916" s="118"/>
      <c r="B4916" s="136"/>
    </row>
    <row r="4917" spans="1:2" x14ac:dyDescent="0.25">
      <c r="A4917" s="118"/>
      <c r="B4917" s="136"/>
    </row>
    <row r="4918" spans="1:2" x14ac:dyDescent="0.25">
      <c r="A4918" s="118"/>
      <c r="B4918" s="136"/>
    </row>
    <row r="4919" spans="1:2" x14ac:dyDescent="0.25">
      <c r="A4919" s="118"/>
      <c r="B4919" s="136"/>
    </row>
    <row r="4920" spans="1:2" x14ac:dyDescent="0.25">
      <c r="A4920" s="118"/>
      <c r="B4920" s="136"/>
    </row>
    <row r="4921" spans="1:2" x14ac:dyDescent="0.25">
      <c r="A4921" s="118"/>
      <c r="B4921" s="136"/>
    </row>
    <row r="4922" spans="1:2" x14ac:dyDescent="0.25">
      <c r="A4922" s="118"/>
      <c r="B4922" s="136"/>
    </row>
    <row r="4923" spans="1:2" x14ac:dyDescent="0.25">
      <c r="A4923" s="118"/>
      <c r="B4923" s="136"/>
    </row>
    <row r="4924" spans="1:2" x14ac:dyDescent="0.25">
      <c r="A4924" s="118"/>
      <c r="B4924" s="136"/>
    </row>
    <row r="4925" spans="1:2" x14ac:dyDescent="0.25">
      <c r="A4925" s="118"/>
      <c r="B4925" s="136"/>
    </row>
    <row r="4926" spans="1:2" x14ac:dyDescent="0.25">
      <c r="A4926" s="118"/>
      <c r="B4926" s="136"/>
    </row>
    <row r="4927" spans="1:2" x14ac:dyDescent="0.25">
      <c r="A4927" s="118"/>
      <c r="B4927" s="136"/>
    </row>
    <row r="4928" spans="1:2" x14ac:dyDescent="0.25">
      <c r="A4928" s="118"/>
      <c r="B4928" s="136"/>
    </row>
    <row r="4929" spans="1:2" x14ac:dyDescent="0.25">
      <c r="A4929" s="118"/>
      <c r="B4929" s="136"/>
    </row>
    <row r="4930" spans="1:2" x14ac:dyDescent="0.25">
      <c r="A4930" s="118"/>
      <c r="B4930" s="136"/>
    </row>
    <row r="4931" spans="1:2" x14ac:dyDescent="0.25">
      <c r="A4931" s="118"/>
      <c r="B4931" s="136"/>
    </row>
    <row r="4932" spans="1:2" x14ac:dyDescent="0.25">
      <c r="A4932" s="118"/>
      <c r="B4932" s="136"/>
    </row>
    <row r="4933" spans="1:2" x14ac:dyDescent="0.25">
      <c r="A4933" s="118"/>
      <c r="B4933" s="136"/>
    </row>
    <row r="4934" spans="1:2" x14ac:dyDescent="0.25">
      <c r="A4934" s="118"/>
      <c r="B4934" s="136"/>
    </row>
    <row r="4935" spans="1:2" x14ac:dyDescent="0.25">
      <c r="A4935" s="118"/>
      <c r="B4935" s="136"/>
    </row>
    <row r="4936" spans="1:2" x14ac:dyDescent="0.25">
      <c r="A4936" s="118"/>
      <c r="B4936" s="136"/>
    </row>
    <row r="4937" spans="1:2" x14ac:dyDescent="0.25">
      <c r="A4937" s="118"/>
      <c r="B4937" s="136"/>
    </row>
    <row r="4938" spans="1:2" x14ac:dyDescent="0.25">
      <c r="A4938" s="118"/>
      <c r="B4938" s="136"/>
    </row>
    <row r="4939" spans="1:2" x14ac:dyDescent="0.25">
      <c r="A4939" s="118"/>
      <c r="B4939" s="136"/>
    </row>
    <row r="4940" spans="1:2" x14ac:dyDescent="0.25">
      <c r="A4940" s="118"/>
      <c r="B4940" s="136"/>
    </row>
    <row r="4941" spans="1:2" x14ac:dyDescent="0.25">
      <c r="A4941" s="118"/>
      <c r="B4941" s="136"/>
    </row>
    <row r="4942" spans="1:2" x14ac:dyDescent="0.25">
      <c r="A4942" s="118"/>
      <c r="B4942" s="136"/>
    </row>
    <row r="4943" spans="1:2" x14ac:dyDescent="0.25">
      <c r="A4943" s="118"/>
      <c r="B4943" s="136"/>
    </row>
    <row r="4944" spans="1:2" x14ac:dyDescent="0.25">
      <c r="A4944" s="118"/>
      <c r="B4944" s="136"/>
    </row>
    <row r="4945" spans="1:2" x14ac:dyDescent="0.25">
      <c r="A4945" s="118"/>
      <c r="B4945" s="136"/>
    </row>
    <row r="4946" spans="1:2" x14ac:dyDescent="0.25">
      <c r="A4946" s="118"/>
      <c r="B4946" s="136"/>
    </row>
    <row r="4947" spans="1:2" x14ac:dyDescent="0.25">
      <c r="A4947" s="118"/>
      <c r="B4947" s="136"/>
    </row>
    <row r="4948" spans="1:2" x14ac:dyDescent="0.25">
      <c r="A4948" s="118"/>
      <c r="B4948" s="136"/>
    </row>
    <row r="4949" spans="1:2" x14ac:dyDescent="0.25">
      <c r="A4949" s="118"/>
      <c r="B4949" s="136"/>
    </row>
    <row r="4950" spans="1:2" x14ac:dyDescent="0.25">
      <c r="A4950" s="118"/>
      <c r="B4950" s="136"/>
    </row>
    <row r="4951" spans="1:2" x14ac:dyDescent="0.25">
      <c r="A4951" s="118"/>
      <c r="B4951" s="136"/>
    </row>
    <row r="4952" spans="1:2" x14ac:dyDescent="0.25">
      <c r="A4952" s="118"/>
      <c r="B4952" s="136"/>
    </row>
    <row r="4953" spans="1:2" x14ac:dyDescent="0.25">
      <c r="A4953" s="118"/>
      <c r="B4953" s="136"/>
    </row>
    <row r="4954" spans="1:2" x14ac:dyDescent="0.25">
      <c r="A4954" s="118"/>
      <c r="B4954" s="136"/>
    </row>
    <row r="4955" spans="1:2" x14ac:dyDescent="0.25">
      <c r="A4955" s="118"/>
      <c r="B4955" s="136"/>
    </row>
    <row r="4956" spans="1:2" x14ac:dyDescent="0.25">
      <c r="A4956" s="118"/>
      <c r="B4956" s="136"/>
    </row>
    <row r="4957" spans="1:2" x14ac:dyDescent="0.25">
      <c r="A4957" s="118"/>
      <c r="B4957" s="136"/>
    </row>
    <row r="4958" spans="1:2" x14ac:dyDescent="0.25">
      <c r="A4958" s="118"/>
      <c r="B4958" s="136"/>
    </row>
    <row r="4959" spans="1:2" x14ac:dyDescent="0.25">
      <c r="A4959" s="118"/>
      <c r="B4959" s="136"/>
    </row>
    <row r="4960" spans="1:2" x14ac:dyDescent="0.25">
      <c r="A4960" s="118"/>
      <c r="B4960" s="136"/>
    </row>
    <row r="4961" spans="1:2" x14ac:dyDescent="0.25">
      <c r="A4961" s="118"/>
      <c r="B4961" s="136"/>
    </row>
    <row r="4962" spans="1:2" x14ac:dyDescent="0.25">
      <c r="A4962" s="118"/>
      <c r="B4962" s="136"/>
    </row>
    <row r="4963" spans="1:2" x14ac:dyDescent="0.25">
      <c r="A4963" s="118"/>
      <c r="B4963" s="136"/>
    </row>
    <row r="4964" spans="1:2" x14ac:dyDescent="0.25">
      <c r="A4964" s="118"/>
      <c r="B4964" s="136"/>
    </row>
    <row r="4965" spans="1:2" x14ac:dyDescent="0.25">
      <c r="A4965" s="118"/>
      <c r="B4965" s="136"/>
    </row>
    <row r="4966" spans="1:2" x14ac:dyDescent="0.25">
      <c r="A4966" s="118"/>
      <c r="B4966" s="136"/>
    </row>
    <row r="4967" spans="1:2" x14ac:dyDescent="0.25">
      <c r="A4967" s="118"/>
      <c r="B4967" s="136"/>
    </row>
    <row r="4968" spans="1:2" x14ac:dyDescent="0.25">
      <c r="A4968" s="118"/>
      <c r="B4968" s="136"/>
    </row>
    <row r="4969" spans="1:2" x14ac:dyDescent="0.25">
      <c r="A4969" s="118"/>
      <c r="B4969" s="136"/>
    </row>
    <row r="4970" spans="1:2" x14ac:dyDescent="0.25">
      <c r="A4970" s="118"/>
      <c r="B4970" s="136"/>
    </row>
    <row r="4971" spans="1:2" x14ac:dyDescent="0.25">
      <c r="A4971" s="118"/>
      <c r="B4971" s="136"/>
    </row>
    <row r="4972" spans="1:2" x14ac:dyDescent="0.25">
      <c r="A4972" s="118"/>
      <c r="B4972" s="136"/>
    </row>
    <row r="4973" spans="1:2" x14ac:dyDescent="0.25">
      <c r="A4973" s="118"/>
      <c r="B4973" s="136"/>
    </row>
    <row r="4974" spans="1:2" x14ac:dyDescent="0.25">
      <c r="A4974" s="118"/>
      <c r="B4974" s="136"/>
    </row>
    <row r="4975" spans="1:2" x14ac:dyDescent="0.25">
      <c r="A4975" s="118"/>
      <c r="B4975" s="136"/>
    </row>
    <row r="4976" spans="1:2" x14ac:dyDescent="0.25">
      <c r="A4976" s="118"/>
      <c r="B4976" s="136"/>
    </row>
    <row r="4977" spans="1:2" x14ac:dyDescent="0.25">
      <c r="A4977" s="118"/>
      <c r="B4977" s="136"/>
    </row>
    <row r="4978" spans="1:2" x14ac:dyDescent="0.25">
      <c r="A4978" s="118"/>
      <c r="B4978" s="136"/>
    </row>
    <row r="4979" spans="1:2" x14ac:dyDescent="0.25">
      <c r="A4979" s="118"/>
      <c r="B4979" s="136"/>
    </row>
    <row r="4980" spans="1:2" x14ac:dyDescent="0.25">
      <c r="A4980" s="118"/>
      <c r="B4980" s="136"/>
    </row>
    <row r="4981" spans="1:2" x14ac:dyDescent="0.25">
      <c r="A4981" s="118"/>
      <c r="B4981" s="136"/>
    </row>
    <row r="4982" spans="1:2" x14ac:dyDescent="0.25">
      <c r="A4982" s="118"/>
      <c r="B4982" s="136"/>
    </row>
    <row r="4983" spans="1:2" x14ac:dyDescent="0.25">
      <c r="A4983" s="118"/>
      <c r="B4983" s="136"/>
    </row>
    <row r="4984" spans="1:2" x14ac:dyDescent="0.25">
      <c r="A4984" s="118"/>
      <c r="B4984" s="136"/>
    </row>
    <row r="4985" spans="1:2" x14ac:dyDescent="0.25">
      <c r="A4985" s="118"/>
      <c r="B4985" s="136"/>
    </row>
    <row r="4986" spans="1:2" x14ac:dyDescent="0.25">
      <c r="A4986" s="118"/>
      <c r="B4986" s="136"/>
    </row>
    <row r="4987" spans="1:2" x14ac:dyDescent="0.25">
      <c r="A4987" s="118"/>
      <c r="B4987" s="136"/>
    </row>
    <row r="4988" spans="1:2" x14ac:dyDescent="0.25">
      <c r="A4988" s="118"/>
      <c r="B4988" s="136"/>
    </row>
    <row r="4989" spans="1:2" x14ac:dyDescent="0.25">
      <c r="A4989" s="118"/>
      <c r="B4989" s="136"/>
    </row>
    <row r="4990" spans="1:2" x14ac:dyDescent="0.25">
      <c r="A4990" s="118"/>
      <c r="B4990" s="136"/>
    </row>
    <row r="4991" spans="1:2" x14ac:dyDescent="0.25">
      <c r="A4991" s="118"/>
      <c r="B4991" s="136"/>
    </row>
    <row r="4992" spans="1:2" x14ac:dyDescent="0.25">
      <c r="A4992" s="118"/>
      <c r="B4992" s="136"/>
    </row>
    <row r="4993" spans="1:2" x14ac:dyDescent="0.25">
      <c r="A4993" s="118"/>
      <c r="B4993" s="136"/>
    </row>
    <row r="4994" spans="1:2" x14ac:dyDescent="0.25">
      <c r="A4994" s="118"/>
      <c r="B4994" s="136"/>
    </row>
    <row r="4995" spans="1:2" x14ac:dyDescent="0.25">
      <c r="A4995" s="118"/>
      <c r="B4995" s="136"/>
    </row>
    <row r="4996" spans="1:2" x14ac:dyDescent="0.25">
      <c r="A4996" s="118"/>
      <c r="B4996" s="136"/>
    </row>
    <row r="4997" spans="1:2" x14ac:dyDescent="0.25">
      <c r="A4997" s="118"/>
      <c r="B4997" s="136"/>
    </row>
    <row r="4998" spans="1:2" x14ac:dyDescent="0.25">
      <c r="A4998" s="118"/>
      <c r="B4998" s="136"/>
    </row>
    <row r="4999" spans="1:2" x14ac:dyDescent="0.25">
      <c r="A4999" s="118"/>
      <c r="B4999" s="136"/>
    </row>
    <row r="5000" spans="1:2" x14ac:dyDescent="0.25">
      <c r="A5000" s="118"/>
      <c r="B5000" s="136"/>
    </row>
    <row r="5001" spans="1:2" x14ac:dyDescent="0.25">
      <c r="A5001" s="118"/>
      <c r="B5001" s="136"/>
    </row>
    <row r="5002" spans="1:2" x14ac:dyDescent="0.25">
      <c r="A5002" s="118"/>
      <c r="B5002" s="136"/>
    </row>
    <row r="5003" spans="1:2" x14ac:dyDescent="0.25">
      <c r="A5003" s="118"/>
      <c r="B5003" s="136"/>
    </row>
    <row r="5004" spans="1:2" x14ac:dyDescent="0.25">
      <c r="A5004" s="118"/>
      <c r="B5004" s="136"/>
    </row>
    <row r="5005" spans="1:2" x14ac:dyDescent="0.25">
      <c r="A5005" s="118"/>
      <c r="B5005" s="136"/>
    </row>
    <row r="5006" spans="1:2" x14ac:dyDescent="0.25">
      <c r="A5006" s="118"/>
      <c r="B5006" s="136"/>
    </row>
    <row r="5007" spans="1:2" x14ac:dyDescent="0.25">
      <c r="A5007" s="118"/>
      <c r="B5007" s="136"/>
    </row>
    <row r="5008" spans="1:2" x14ac:dyDescent="0.25">
      <c r="A5008" s="118"/>
      <c r="B5008" s="136"/>
    </row>
    <row r="5009" spans="1:2" x14ac:dyDescent="0.25">
      <c r="A5009" s="118"/>
      <c r="B5009" s="136"/>
    </row>
    <row r="5010" spans="1:2" x14ac:dyDescent="0.25">
      <c r="A5010" s="118"/>
      <c r="B5010" s="136"/>
    </row>
    <row r="5011" spans="1:2" x14ac:dyDescent="0.25">
      <c r="A5011" s="118"/>
      <c r="B5011" s="136"/>
    </row>
    <row r="5012" spans="1:2" x14ac:dyDescent="0.25">
      <c r="A5012" s="118"/>
      <c r="B5012" s="136"/>
    </row>
    <row r="5013" spans="1:2" x14ac:dyDescent="0.25">
      <c r="A5013" s="118"/>
      <c r="B5013" s="136"/>
    </row>
    <row r="5014" spans="1:2" x14ac:dyDescent="0.25">
      <c r="A5014" s="118"/>
      <c r="B5014" s="136"/>
    </row>
    <row r="5015" spans="1:2" x14ac:dyDescent="0.25">
      <c r="A5015" s="118"/>
      <c r="B5015" s="136"/>
    </row>
    <row r="5016" spans="1:2" x14ac:dyDescent="0.25">
      <c r="A5016" s="118"/>
      <c r="B5016" s="136"/>
    </row>
    <row r="5017" spans="1:2" x14ac:dyDescent="0.25">
      <c r="A5017" s="118"/>
      <c r="B5017" s="136"/>
    </row>
    <row r="5018" spans="1:2" x14ac:dyDescent="0.25">
      <c r="A5018" s="118"/>
      <c r="B5018" s="136"/>
    </row>
    <row r="5019" spans="1:2" x14ac:dyDescent="0.25">
      <c r="A5019" s="118"/>
      <c r="B5019" s="136"/>
    </row>
    <row r="5020" spans="1:2" x14ac:dyDescent="0.25">
      <c r="A5020" s="118"/>
      <c r="B5020" s="136"/>
    </row>
    <row r="5021" spans="1:2" x14ac:dyDescent="0.25">
      <c r="A5021" s="118"/>
      <c r="B5021" s="136"/>
    </row>
    <row r="5022" spans="1:2" x14ac:dyDescent="0.25">
      <c r="A5022" s="118"/>
      <c r="B5022" s="136"/>
    </row>
    <row r="5023" spans="1:2" x14ac:dyDescent="0.25">
      <c r="A5023" s="118"/>
      <c r="B5023" s="136"/>
    </row>
    <row r="5024" spans="1:2" x14ac:dyDescent="0.25">
      <c r="A5024" s="118"/>
      <c r="B5024" s="136"/>
    </row>
    <row r="5025" spans="1:2" x14ac:dyDescent="0.25">
      <c r="A5025" s="118"/>
      <c r="B5025" s="136"/>
    </row>
    <row r="5026" spans="1:2" x14ac:dyDescent="0.25">
      <c r="A5026" s="118"/>
      <c r="B5026" s="136"/>
    </row>
    <row r="5027" spans="1:2" x14ac:dyDescent="0.25">
      <c r="A5027" s="118"/>
      <c r="B5027" s="136"/>
    </row>
    <row r="5028" spans="1:2" x14ac:dyDescent="0.25">
      <c r="A5028" s="118"/>
      <c r="B5028" s="136"/>
    </row>
    <row r="5029" spans="1:2" x14ac:dyDescent="0.25">
      <c r="A5029" s="118"/>
      <c r="B5029" s="136"/>
    </row>
    <row r="5030" spans="1:2" x14ac:dyDescent="0.25">
      <c r="A5030" s="118"/>
      <c r="B5030" s="136"/>
    </row>
    <row r="5031" spans="1:2" x14ac:dyDescent="0.25">
      <c r="A5031" s="118"/>
      <c r="B5031" s="136"/>
    </row>
    <row r="5032" spans="1:2" x14ac:dyDescent="0.25">
      <c r="A5032" s="118"/>
      <c r="B5032" s="136"/>
    </row>
    <row r="5033" spans="1:2" x14ac:dyDescent="0.25">
      <c r="A5033" s="118"/>
      <c r="B5033" s="136"/>
    </row>
    <row r="5034" spans="1:2" x14ac:dyDescent="0.25">
      <c r="A5034" s="118"/>
      <c r="B5034" s="136"/>
    </row>
    <row r="5035" spans="1:2" x14ac:dyDescent="0.25">
      <c r="A5035" s="118"/>
      <c r="B5035" s="136"/>
    </row>
    <row r="5036" spans="1:2" x14ac:dyDescent="0.25">
      <c r="A5036" s="118"/>
      <c r="B5036" s="136"/>
    </row>
    <row r="5037" spans="1:2" x14ac:dyDescent="0.25">
      <c r="A5037" s="118"/>
      <c r="B5037" s="136"/>
    </row>
    <row r="5038" spans="1:2" x14ac:dyDescent="0.25">
      <c r="A5038" s="118"/>
      <c r="B5038" s="136"/>
    </row>
    <row r="5039" spans="1:2" x14ac:dyDescent="0.25">
      <c r="A5039" s="118"/>
      <c r="B5039" s="136"/>
    </row>
    <row r="5040" spans="1:2" x14ac:dyDescent="0.25">
      <c r="A5040" s="118"/>
      <c r="B5040" s="136"/>
    </row>
    <row r="5041" spans="1:2" x14ac:dyDescent="0.25">
      <c r="A5041" s="118"/>
      <c r="B5041" s="136"/>
    </row>
    <row r="5042" spans="1:2" x14ac:dyDescent="0.25">
      <c r="A5042" s="118"/>
      <c r="B5042" s="136"/>
    </row>
    <row r="5043" spans="1:2" x14ac:dyDescent="0.25">
      <c r="A5043" s="118"/>
      <c r="B5043" s="136"/>
    </row>
    <row r="5044" spans="1:2" x14ac:dyDescent="0.25">
      <c r="A5044" s="118"/>
      <c r="B5044" s="136"/>
    </row>
    <row r="5045" spans="1:2" x14ac:dyDescent="0.25">
      <c r="A5045" s="118"/>
      <c r="B5045" s="136"/>
    </row>
    <row r="5046" spans="1:2" x14ac:dyDescent="0.25">
      <c r="A5046" s="118"/>
      <c r="B5046" s="136"/>
    </row>
    <row r="5047" spans="1:2" x14ac:dyDescent="0.25">
      <c r="A5047" s="118"/>
      <c r="B5047" s="136"/>
    </row>
    <row r="5048" spans="1:2" x14ac:dyDescent="0.25">
      <c r="A5048" s="118"/>
      <c r="B5048" s="136"/>
    </row>
    <row r="5049" spans="1:2" x14ac:dyDescent="0.25">
      <c r="A5049" s="118"/>
      <c r="B5049" s="136"/>
    </row>
    <row r="5050" spans="1:2" x14ac:dyDescent="0.25">
      <c r="A5050" s="118"/>
      <c r="B5050" s="136"/>
    </row>
    <row r="5051" spans="1:2" x14ac:dyDescent="0.25">
      <c r="A5051" s="118"/>
      <c r="B5051" s="136"/>
    </row>
    <row r="5052" spans="1:2" x14ac:dyDescent="0.25">
      <c r="A5052" s="118"/>
      <c r="B5052" s="136"/>
    </row>
    <row r="5053" spans="1:2" x14ac:dyDescent="0.25">
      <c r="A5053" s="118"/>
      <c r="B5053" s="136"/>
    </row>
    <row r="5054" spans="1:2" x14ac:dyDescent="0.25">
      <c r="A5054" s="118"/>
      <c r="B5054" s="136"/>
    </row>
    <row r="5055" spans="1:2" x14ac:dyDescent="0.25">
      <c r="A5055" s="118"/>
      <c r="B5055" s="136"/>
    </row>
    <row r="5056" spans="1:2" x14ac:dyDescent="0.25">
      <c r="A5056" s="118"/>
      <c r="B5056" s="136"/>
    </row>
    <row r="5057" spans="1:2" x14ac:dyDescent="0.25">
      <c r="A5057" s="118"/>
      <c r="B5057" s="136"/>
    </row>
    <row r="5058" spans="1:2" x14ac:dyDescent="0.25">
      <c r="A5058" s="118"/>
      <c r="B5058" s="136"/>
    </row>
    <row r="5059" spans="1:2" x14ac:dyDescent="0.25">
      <c r="A5059" s="118"/>
      <c r="B5059" s="136"/>
    </row>
    <row r="5060" spans="1:2" x14ac:dyDescent="0.25">
      <c r="A5060" s="118"/>
      <c r="B5060" s="136"/>
    </row>
    <row r="5061" spans="1:2" x14ac:dyDescent="0.25">
      <c r="A5061" s="118"/>
      <c r="B5061" s="136"/>
    </row>
    <row r="5062" spans="1:2" x14ac:dyDescent="0.25">
      <c r="A5062" s="118"/>
      <c r="B5062" s="136"/>
    </row>
    <row r="5063" spans="1:2" x14ac:dyDescent="0.25">
      <c r="A5063" s="118"/>
      <c r="B5063" s="136"/>
    </row>
    <row r="5064" spans="1:2" x14ac:dyDescent="0.25">
      <c r="A5064" s="118"/>
      <c r="B5064" s="136"/>
    </row>
    <row r="5065" spans="1:2" x14ac:dyDescent="0.25">
      <c r="A5065" s="118"/>
      <c r="B5065" s="136"/>
    </row>
    <row r="5066" spans="1:2" x14ac:dyDescent="0.25">
      <c r="A5066" s="118"/>
      <c r="B5066" s="136"/>
    </row>
    <row r="5067" spans="1:2" x14ac:dyDescent="0.25">
      <c r="A5067" s="118"/>
      <c r="B5067" s="136"/>
    </row>
    <row r="5068" spans="1:2" x14ac:dyDescent="0.25">
      <c r="A5068" s="118"/>
      <c r="B5068" s="136"/>
    </row>
    <row r="5069" spans="1:2" x14ac:dyDescent="0.25">
      <c r="A5069" s="118"/>
      <c r="B5069" s="136"/>
    </row>
    <row r="5070" spans="1:2" x14ac:dyDescent="0.25">
      <c r="A5070" s="118"/>
      <c r="B5070" s="136"/>
    </row>
    <row r="5071" spans="1:2" x14ac:dyDescent="0.25">
      <c r="A5071" s="118"/>
      <c r="B5071" s="136"/>
    </row>
    <row r="5072" spans="1:2" x14ac:dyDescent="0.25">
      <c r="A5072" s="118"/>
      <c r="B5072" s="136"/>
    </row>
    <row r="5073" spans="1:2" x14ac:dyDescent="0.25">
      <c r="A5073" s="118"/>
      <c r="B5073" s="136"/>
    </row>
    <row r="5074" spans="1:2" x14ac:dyDescent="0.25">
      <c r="A5074" s="118"/>
      <c r="B5074" s="136"/>
    </row>
    <row r="5075" spans="1:2" x14ac:dyDescent="0.25">
      <c r="A5075" s="118"/>
      <c r="B5075" s="136"/>
    </row>
    <row r="5076" spans="1:2" x14ac:dyDescent="0.25">
      <c r="A5076" s="118"/>
      <c r="B5076" s="136"/>
    </row>
    <row r="5077" spans="1:2" x14ac:dyDescent="0.25">
      <c r="A5077" s="118"/>
      <c r="B5077" s="136"/>
    </row>
    <row r="5078" spans="1:2" x14ac:dyDescent="0.25">
      <c r="A5078" s="118"/>
      <c r="B5078" s="136"/>
    </row>
    <row r="5079" spans="1:2" x14ac:dyDescent="0.25">
      <c r="A5079" s="118"/>
      <c r="B5079" s="136"/>
    </row>
    <row r="5080" spans="1:2" x14ac:dyDescent="0.25">
      <c r="A5080" s="118"/>
      <c r="B5080" s="136"/>
    </row>
    <row r="5081" spans="1:2" x14ac:dyDescent="0.25">
      <c r="A5081" s="118"/>
      <c r="B5081" s="136"/>
    </row>
    <row r="5082" spans="1:2" x14ac:dyDescent="0.25">
      <c r="A5082" s="118"/>
      <c r="B5082" s="136"/>
    </row>
    <row r="5083" spans="1:2" x14ac:dyDescent="0.25">
      <c r="A5083" s="118"/>
      <c r="B5083" s="136"/>
    </row>
    <row r="5084" spans="1:2" x14ac:dyDescent="0.25">
      <c r="A5084" s="118"/>
      <c r="B5084" s="136"/>
    </row>
    <row r="5085" spans="1:2" x14ac:dyDescent="0.25">
      <c r="A5085" s="118"/>
      <c r="B5085" s="136"/>
    </row>
    <row r="5086" spans="1:2" x14ac:dyDescent="0.25">
      <c r="A5086" s="118"/>
      <c r="B5086" s="136"/>
    </row>
    <row r="5087" spans="1:2" x14ac:dyDescent="0.25">
      <c r="A5087" s="118"/>
      <c r="B5087" s="136"/>
    </row>
    <row r="5088" spans="1:2" x14ac:dyDescent="0.25">
      <c r="A5088" s="118"/>
      <c r="B5088" s="136"/>
    </row>
    <row r="5089" spans="1:2" x14ac:dyDescent="0.25">
      <c r="A5089" s="118"/>
      <c r="B5089" s="136"/>
    </row>
    <row r="5090" spans="1:2" x14ac:dyDescent="0.25">
      <c r="A5090" s="118"/>
      <c r="B5090" s="136"/>
    </row>
    <row r="5091" spans="1:2" x14ac:dyDescent="0.25">
      <c r="A5091" s="118"/>
      <c r="B5091" s="136"/>
    </row>
    <row r="5092" spans="1:2" x14ac:dyDescent="0.25">
      <c r="A5092" s="118"/>
      <c r="B5092" s="136"/>
    </row>
    <row r="5093" spans="1:2" x14ac:dyDescent="0.25">
      <c r="A5093" s="118"/>
      <c r="B5093" s="136"/>
    </row>
    <row r="5094" spans="1:2" x14ac:dyDescent="0.25">
      <c r="A5094" s="118"/>
      <c r="B5094" s="136"/>
    </row>
    <row r="5095" spans="1:2" x14ac:dyDescent="0.25">
      <c r="A5095" s="118"/>
      <c r="B5095" s="136"/>
    </row>
    <row r="5096" spans="1:2" x14ac:dyDescent="0.25">
      <c r="A5096" s="118"/>
      <c r="B5096" s="136"/>
    </row>
    <row r="5097" spans="1:2" x14ac:dyDescent="0.25">
      <c r="A5097" s="118"/>
      <c r="B5097" s="136"/>
    </row>
    <row r="5098" spans="1:2" x14ac:dyDescent="0.25">
      <c r="A5098" s="118"/>
      <c r="B5098" s="136"/>
    </row>
    <row r="5099" spans="1:2" x14ac:dyDescent="0.25">
      <c r="A5099" s="118"/>
      <c r="B5099" s="136"/>
    </row>
    <row r="5100" spans="1:2" x14ac:dyDescent="0.25">
      <c r="A5100" s="118"/>
      <c r="B5100" s="136"/>
    </row>
    <row r="5101" spans="1:2" x14ac:dyDescent="0.25">
      <c r="A5101" s="118"/>
      <c r="B5101" s="136"/>
    </row>
    <row r="5102" spans="1:2" x14ac:dyDescent="0.25">
      <c r="A5102" s="118"/>
      <c r="B5102" s="136"/>
    </row>
    <row r="5103" spans="1:2" x14ac:dyDescent="0.25">
      <c r="A5103" s="118"/>
      <c r="B5103" s="136"/>
    </row>
    <row r="5104" spans="1:2" x14ac:dyDescent="0.25">
      <c r="A5104" s="118"/>
      <c r="B5104" s="136"/>
    </row>
    <row r="5105" spans="1:2" x14ac:dyDescent="0.25">
      <c r="A5105" s="118"/>
      <c r="B5105" s="136"/>
    </row>
    <row r="5106" spans="1:2" x14ac:dyDescent="0.25">
      <c r="A5106" s="118"/>
      <c r="B5106" s="136"/>
    </row>
    <row r="5107" spans="1:2" x14ac:dyDescent="0.25">
      <c r="A5107" s="118"/>
      <c r="B5107" s="136"/>
    </row>
    <row r="5108" spans="1:2" x14ac:dyDescent="0.25">
      <c r="A5108" s="118"/>
      <c r="B5108" s="136"/>
    </row>
    <row r="5109" spans="1:2" x14ac:dyDescent="0.25">
      <c r="A5109" s="118"/>
      <c r="B5109" s="136"/>
    </row>
    <row r="5110" spans="1:2" x14ac:dyDescent="0.25">
      <c r="A5110" s="118"/>
      <c r="B5110" s="136"/>
    </row>
    <row r="5111" spans="1:2" x14ac:dyDescent="0.25">
      <c r="A5111" s="118"/>
      <c r="B5111" s="136"/>
    </row>
    <row r="5112" spans="1:2" x14ac:dyDescent="0.25">
      <c r="A5112" s="118"/>
      <c r="B5112" s="136"/>
    </row>
    <row r="5113" spans="1:2" x14ac:dyDescent="0.25">
      <c r="A5113" s="118"/>
      <c r="B5113" s="136"/>
    </row>
    <row r="5114" spans="1:2" x14ac:dyDescent="0.25">
      <c r="A5114" s="118"/>
      <c r="B5114" s="136"/>
    </row>
    <row r="5115" spans="1:2" x14ac:dyDescent="0.25">
      <c r="A5115" s="118"/>
      <c r="B5115" s="136"/>
    </row>
    <row r="5116" spans="1:2" x14ac:dyDescent="0.25">
      <c r="A5116" s="118"/>
      <c r="B5116" s="136"/>
    </row>
    <row r="5117" spans="1:2" x14ac:dyDescent="0.25">
      <c r="A5117" s="118"/>
      <c r="B5117" s="136"/>
    </row>
    <row r="5118" spans="1:2" x14ac:dyDescent="0.25">
      <c r="A5118" s="118"/>
      <c r="B5118" s="136"/>
    </row>
    <row r="5119" spans="1:2" x14ac:dyDescent="0.25">
      <c r="A5119" s="118"/>
      <c r="B5119" s="136"/>
    </row>
    <row r="5120" spans="1:2" x14ac:dyDescent="0.25">
      <c r="A5120" s="118"/>
      <c r="B5120" s="136"/>
    </row>
    <row r="5121" spans="1:2" x14ac:dyDescent="0.25">
      <c r="A5121" s="118"/>
      <c r="B5121" s="136"/>
    </row>
    <row r="5122" spans="1:2" x14ac:dyDescent="0.25">
      <c r="A5122" s="118"/>
      <c r="B5122" s="136"/>
    </row>
    <row r="5123" spans="1:2" x14ac:dyDescent="0.25">
      <c r="A5123" s="118"/>
      <c r="B5123" s="136"/>
    </row>
    <row r="5124" spans="1:2" x14ac:dyDescent="0.25">
      <c r="A5124" s="118"/>
      <c r="B5124" s="136"/>
    </row>
    <row r="5125" spans="1:2" x14ac:dyDescent="0.25">
      <c r="A5125" s="118"/>
      <c r="B5125" s="136"/>
    </row>
    <row r="5126" spans="1:2" x14ac:dyDescent="0.25">
      <c r="A5126" s="118"/>
      <c r="B5126" s="136"/>
    </row>
    <row r="5127" spans="1:2" x14ac:dyDescent="0.25">
      <c r="A5127" s="118"/>
      <c r="B5127" s="136"/>
    </row>
    <row r="5128" spans="1:2" x14ac:dyDescent="0.25">
      <c r="A5128" s="118"/>
      <c r="B5128" s="136"/>
    </row>
    <row r="5129" spans="1:2" x14ac:dyDescent="0.25">
      <c r="A5129" s="118"/>
      <c r="B5129" s="136"/>
    </row>
    <row r="5130" spans="1:2" x14ac:dyDescent="0.25">
      <c r="A5130" s="118"/>
      <c r="B5130" s="136"/>
    </row>
    <row r="5131" spans="1:2" x14ac:dyDescent="0.25">
      <c r="A5131" s="118"/>
      <c r="B5131" s="136"/>
    </row>
    <row r="5132" spans="1:2" x14ac:dyDescent="0.25">
      <c r="A5132" s="118"/>
      <c r="B5132" s="136"/>
    </row>
    <row r="5133" spans="1:2" x14ac:dyDescent="0.25">
      <c r="A5133" s="118"/>
      <c r="B5133" s="136"/>
    </row>
    <row r="5134" spans="1:2" x14ac:dyDescent="0.25">
      <c r="A5134" s="118"/>
      <c r="B5134" s="136"/>
    </row>
    <row r="5135" spans="1:2" x14ac:dyDescent="0.25">
      <c r="A5135" s="118"/>
      <c r="B5135" s="136"/>
    </row>
    <row r="5136" spans="1:2" x14ac:dyDescent="0.25">
      <c r="A5136" s="118"/>
      <c r="B5136" s="136"/>
    </row>
    <row r="5137" spans="1:2" x14ac:dyDescent="0.25">
      <c r="A5137" s="118"/>
      <c r="B5137" s="136"/>
    </row>
    <row r="5138" spans="1:2" x14ac:dyDescent="0.25">
      <c r="A5138" s="118"/>
      <c r="B5138" s="136"/>
    </row>
    <row r="5139" spans="1:2" x14ac:dyDescent="0.25">
      <c r="A5139" s="118"/>
      <c r="B5139" s="136"/>
    </row>
    <row r="5140" spans="1:2" x14ac:dyDescent="0.25">
      <c r="A5140" s="118"/>
      <c r="B5140" s="136"/>
    </row>
    <row r="5141" spans="1:2" x14ac:dyDescent="0.25">
      <c r="A5141" s="118"/>
      <c r="B5141" s="136"/>
    </row>
    <row r="5142" spans="1:2" x14ac:dyDescent="0.25">
      <c r="A5142" s="118"/>
      <c r="B5142" s="136"/>
    </row>
    <row r="5143" spans="1:2" x14ac:dyDescent="0.25">
      <c r="A5143" s="118"/>
      <c r="B5143" s="136"/>
    </row>
    <row r="5144" spans="1:2" x14ac:dyDescent="0.25">
      <c r="A5144" s="118"/>
      <c r="B5144" s="136"/>
    </row>
    <row r="5145" spans="1:2" x14ac:dyDescent="0.25">
      <c r="A5145" s="118"/>
      <c r="B5145" s="136"/>
    </row>
    <row r="5146" spans="1:2" x14ac:dyDescent="0.25">
      <c r="A5146" s="118"/>
      <c r="B5146" s="136"/>
    </row>
    <row r="5147" spans="1:2" x14ac:dyDescent="0.25">
      <c r="A5147" s="118"/>
      <c r="B5147" s="136"/>
    </row>
    <row r="5148" spans="1:2" x14ac:dyDescent="0.25">
      <c r="A5148" s="118"/>
      <c r="B5148" s="136"/>
    </row>
    <row r="5149" spans="1:2" x14ac:dyDescent="0.25">
      <c r="A5149" s="118"/>
      <c r="B5149" s="136"/>
    </row>
    <row r="5150" spans="1:2" x14ac:dyDescent="0.25">
      <c r="A5150" s="118"/>
      <c r="B5150" s="136"/>
    </row>
    <row r="5151" spans="1:2" x14ac:dyDescent="0.25">
      <c r="A5151" s="118"/>
      <c r="B5151" s="136"/>
    </row>
    <row r="5152" spans="1:2" x14ac:dyDescent="0.25">
      <c r="A5152" s="118"/>
      <c r="B5152" s="136"/>
    </row>
    <row r="5153" spans="1:2" x14ac:dyDescent="0.25">
      <c r="A5153" s="118"/>
      <c r="B5153" s="136"/>
    </row>
    <row r="5154" spans="1:2" x14ac:dyDescent="0.25">
      <c r="A5154" s="118"/>
      <c r="B5154" s="136"/>
    </row>
    <row r="5155" spans="1:2" x14ac:dyDescent="0.25">
      <c r="A5155" s="118"/>
      <c r="B5155" s="136"/>
    </row>
    <row r="5156" spans="1:2" x14ac:dyDescent="0.25">
      <c r="A5156" s="118"/>
      <c r="B5156" s="136"/>
    </row>
    <row r="5157" spans="1:2" x14ac:dyDescent="0.25">
      <c r="A5157" s="118"/>
      <c r="B5157" s="136"/>
    </row>
    <row r="5158" spans="1:2" x14ac:dyDescent="0.25">
      <c r="A5158" s="118"/>
      <c r="B5158" s="136"/>
    </row>
    <row r="5159" spans="1:2" x14ac:dyDescent="0.25">
      <c r="A5159" s="118"/>
      <c r="B5159" s="136"/>
    </row>
    <row r="5160" spans="1:2" x14ac:dyDescent="0.25">
      <c r="A5160" s="118"/>
      <c r="B5160" s="136"/>
    </row>
    <row r="5161" spans="1:2" x14ac:dyDescent="0.25">
      <c r="A5161" s="118"/>
      <c r="B5161" s="136"/>
    </row>
    <row r="5162" spans="1:2" x14ac:dyDescent="0.25">
      <c r="A5162" s="118"/>
      <c r="B5162" s="136"/>
    </row>
    <row r="5163" spans="1:2" x14ac:dyDescent="0.25">
      <c r="A5163" s="118"/>
      <c r="B5163" s="136"/>
    </row>
    <row r="5164" spans="1:2" x14ac:dyDescent="0.25">
      <c r="A5164" s="118"/>
      <c r="B5164" s="136"/>
    </row>
    <row r="5165" spans="1:2" x14ac:dyDescent="0.25">
      <c r="A5165" s="118"/>
      <c r="B5165" s="136"/>
    </row>
    <row r="5166" spans="1:2" x14ac:dyDescent="0.25">
      <c r="A5166" s="118"/>
      <c r="B5166" s="136"/>
    </row>
    <row r="5167" spans="1:2" x14ac:dyDescent="0.25">
      <c r="A5167" s="118"/>
      <c r="B5167" s="136"/>
    </row>
    <row r="5168" spans="1:2" x14ac:dyDescent="0.25">
      <c r="A5168" s="118"/>
      <c r="B5168" s="136"/>
    </row>
    <row r="5169" spans="1:2" x14ac:dyDescent="0.25">
      <c r="A5169" s="118"/>
      <c r="B5169" s="136"/>
    </row>
    <row r="5170" spans="1:2" x14ac:dyDescent="0.25">
      <c r="A5170" s="118"/>
      <c r="B5170" s="136"/>
    </row>
    <row r="5171" spans="1:2" x14ac:dyDescent="0.25">
      <c r="A5171" s="118"/>
      <c r="B5171" s="136"/>
    </row>
    <row r="5172" spans="1:2" x14ac:dyDescent="0.25">
      <c r="A5172" s="118"/>
      <c r="B5172" s="136"/>
    </row>
    <row r="5173" spans="1:2" x14ac:dyDescent="0.25">
      <c r="A5173" s="118"/>
      <c r="B5173" s="136"/>
    </row>
    <row r="5174" spans="1:2" x14ac:dyDescent="0.25">
      <c r="A5174" s="118"/>
      <c r="B5174" s="136"/>
    </row>
    <row r="5175" spans="1:2" x14ac:dyDescent="0.25">
      <c r="A5175" s="118"/>
      <c r="B5175" s="136"/>
    </row>
    <row r="5176" spans="1:2" x14ac:dyDescent="0.25">
      <c r="A5176" s="118"/>
      <c r="B5176" s="136"/>
    </row>
    <row r="5177" spans="1:2" x14ac:dyDescent="0.25">
      <c r="A5177" s="118"/>
      <c r="B5177" s="136"/>
    </row>
    <row r="5178" spans="1:2" x14ac:dyDescent="0.25">
      <c r="A5178" s="118"/>
      <c r="B5178" s="136"/>
    </row>
    <row r="5179" spans="1:2" x14ac:dyDescent="0.25">
      <c r="A5179" s="118"/>
      <c r="B5179" s="136"/>
    </row>
    <row r="5180" spans="1:2" x14ac:dyDescent="0.25">
      <c r="A5180" s="118"/>
      <c r="B5180" s="136"/>
    </row>
    <row r="5181" spans="1:2" x14ac:dyDescent="0.25">
      <c r="A5181" s="118"/>
      <c r="B5181" s="136"/>
    </row>
    <row r="5182" spans="1:2" x14ac:dyDescent="0.25">
      <c r="A5182" s="118"/>
      <c r="B5182" s="136"/>
    </row>
    <row r="5183" spans="1:2" x14ac:dyDescent="0.25">
      <c r="A5183" s="118"/>
      <c r="B5183" s="136"/>
    </row>
    <row r="5184" spans="1:2" x14ac:dyDescent="0.25">
      <c r="A5184" s="118"/>
      <c r="B5184" s="136"/>
    </row>
    <row r="5185" spans="1:2" x14ac:dyDescent="0.25">
      <c r="A5185" s="118"/>
      <c r="B5185" s="136"/>
    </row>
    <row r="5186" spans="1:2" x14ac:dyDescent="0.25">
      <c r="A5186" s="118"/>
      <c r="B5186" s="136"/>
    </row>
    <row r="5187" spans="1:2" x14ac:dyDescent="0.25">
      <c r="A5187" s="118"/>
      <c r="B5187" s="136"/>
    </row>
    <row r="5188" spans="1:2" x14ac:dyDescent="0.25">
      <c r="A5188" s="118"/>
      <c r="B5188" s="136"/>
    </row>
    <row r="5189" spans="1:2" x14ac:dyDescent="0.25">
      <c r="A5189" s="118"/>
      <c r="B5189" s="136"/>
    </row>
    <row r="5190" spans="1:2" x14ac:dyDescent="0.25">
      <c r="A5190" s="118"/>
      <c r="B5190" s="136"/>
    </row>
    <row r="5191" spans="1:2" x14ac:dyDescent="0.25">
      <c r="A5191" s="118"/>
      <c r="B5191" s="136"/>
    </row>
    <row r="5192" spans="1:2" x14ac:dyDescent="0.25">
      <c r="A5192" s="118"/>
      <c r="B5192" s="136"/>
    </row>
    <row r="5193" spans="1:2" x14ac:dyDescent="0.25">
      <c r="A5193" s="118"/>
      <c r="B5193" s="136"/>
    </row>
    <row r="5194" spans="1:2" x14ac:dyDescent="0.25">
      <c r="A5194" s="118"/>
      <c r="B5194" s="136"/>
    </row>
    <row r="5195" spans="1:2" x14ac:dyDescent="0.25">
      <c r="A5195" s="118"/>
      <c r="B5195" s="136"/>
    </row>
    <row r="5196" spans="1:2" x14ac:dyDescent="0.25">
      <c r="A5196" s="118"/>
      <c r="B5196" s="136"/>
    </row>
    <row r="5197" spans="1:2" x14ac:dyDescent="0.25">
      <c r="A5197" s="118"/>
      <c r="B5197" s="136"/>
    </row>
    <row r="5198" spans="1:2" x14ac:dyDescent="0.25">
      <c r="A5198" s="118"/>
      <c r="B5198" s="136"/>
    </row>
    <row r="5199" spans="1:2" x14ac:dyDescent="0.25">
      <c r="A5199" s="118"/>
      <c r="B5199" s="136"/>
    </row>
    <row r="5200" spans="1:2" x14ac:dyDescent="0.25">
      <c r="A5200" s="118"/>
      <c r="B5200" s="136"/>
    </row>
    <row r="5201" spans="1:2" x14ac:dyDescent="0.25">
      <c r="A5201" s="118"/>
      <c r="B5201" s="136"/>
    </row>
    <row r="5202" spans="1:2" x14ac:dyDescent="0.25">
      <c r="A5202" s="118"/>
      <c r="B5202" s="136"/>
    </row>
    <row r="5203" spans="1:2" x14ac:dyDescent="0.25">
      <c r="A5203" s="118"/>
      <c r="B5203" s="136"/>
    </row>
    <row r="5204" spans="1:2" x14ac:dyDescent="0.25">
      <c r="A5204" s="118"/>
      <c r="B5204" s="136"/>
    </row>
    <row r="5205" spans="1:2" x14ac:dyDescent="0.25">
      <c r="A5205" s="118"/>
      <c r="B5205" s="136"/>
    </row>
    <row r="5206" spans="1:2" x14ac:dyDescent="0.25">
      <c r="A5206" s="118"/>
      <c r="B5206" s="136"/>
    </row>
    <row r="5207" spans="1:2" x14ac:dyDescent="0.25">
      <c r="A5207" s="118"/>
      <c r="B5207" s="136"/>
    </row>
    <row r="5208" spans="1:2" x14ac:dyDescent="0.25">
      <c r="A5208" s="118"/>
      <c r="B5208" s="136"/>
    </row>
    <row r="5209" spans="1:2" x14ac:dyDescent="0.25">
      <c r="A5209" s="118"/>
      <c r="B5209" s="136"/>
    </row>
    <row r="5210" spans="1:2" x14ac:dyDescent="0.25">
      <c r="A5210" s="118"/>
      <c r="B5210" s="136"/>
    </row>
    <row r="5211" spans="1:2" x14ac:dyDescent="0.25">
      <c r="A5211" s="118"/>
      <c r="B5211" s="136"/>
    </row>
    <row r="5212" spans="1:2" x14ac:dyDescent="0.25">
      <c r="A5212" s="118"/>
      <c r="B5212" s="136"/>
    </row>
    <row r="5213" spans="1:2" x14ac:dyDescent="0.25">
      <c r="A5213" s="118"/>
      <c r="B5213" s="136"/>
    </row>
    <row r="5214" spans="1:2" x14ac:dyDescent="0.25">
      <c r="A5214" s="118"/>
      <c r="B5214" s="136"/>
    </row>
    <row r="5215" spans="1:2" x14ac:dyDescent="0.25">
      <c r="A5215" s="118"/>
      <c r="B5215" s="136"/>
    </row>
    <row r="5216" spans="1:2" x14ac:dyDescent="0.25">
      <c r="A5216" s="118"/>
      <c r="B5216" s="136"/>
    </row>
    <row r="5217" spans="1:2" x14ac:dyDescent="0.25">
      <c r="A5217" s="118"/>
      <c r="B5217" s="136"/>
    </row>
    <row r="5218" spans="1:2" x14ac:dyDescent="0.25">
      <c r="A5218" s="118"/>
      <c r="B5218" s="136"/>
    </row>
    <row r="5219" spans="1:2" x14ac:dyDescent="0.25">
      <c r="A5219" s="118"/>
      <c r="B5219" s="136"/>
    </row>
    <row r="5220" spans="1:2" x14ac:dyDescent="0.25">
      <c r="A5220" s="118"/>
      <c r="B5220" s="136"/>
    </row>
    <row r="5221" spans="1:2" x14ac:dyDescent="0.25">
      <c r="A5221" s="118"/>
      <c r="B5221" s="136"/>
    </row>
    <row r="5222" spans="1:2" x14ac:dyDescent="0.25">
      <c r="A5222" s="118"/>
      <c r="B5222" s="136"/>
    </row>
    <row r="5223" spans="1:2" x14ac:dyDescent="0.25">
      <c r="A5223" s="118"/>
      <c r="B5223" s="136"/>
    </row>
    <row r="5224" spans="1:2" x14ac:dyDescent="0.25">
      <c r="A5224" s="118"/>
      <c r="B5224" s="136"/>
    </row>
    <row r="5225" spans="1:2" x14ac:dyDescent="0.25">
      <c r="A5225" s="118"/>
      <c r="B5225" s="136"/>
    </row>
    <row r="5226" spans="1:2" x14ac:dyDescent="0.25">
      <c r="A5226" s="118"/>
      <c r="B5226" s="136"/>
    </row>
    <row r="5227" spans="1:2" x14ac:dyDescent="0.25">
      <c r="A5227" s="118"/>
      <c r="B5227" s="136"/>
    </row>
    <row r="5228" spans="1:2" x14ac:dyDescent="0.25">
      <c r="A5228" s="118"/>
      <c r="B5228" s="136"/>
    </row>
    <row r="5229" spans="1:2" x14ac:dyDescent="0.25">
      <c r="A5229" s="118"/>
      <c r="B5229" s="136"/>
    </row>
    <row r="5230" spans="1:2" x14ac:dyDescent="0.25">
      <c r="A5230" s="118"/>
      <c r="B5230" s="136"/>
    </row>
    <row r="5231" spans="1:2" x14ac:dyDescent="0.25">
      <c r="A5231" s="118"/>
      <c r="B5231" s="136"/>
    </row>
    <row r="5232" spans="1:2" x14ac:dyDescent="0.25">
      <c r="A5232" s="118"/>
      <c r="B5232" s="136"/>
    </row>
    <row r="5233" spans="1:2" x14ac:dyDescent="0.25">
      <c r="A5233" s="118"/>
      <c r="B5233" s="136"/>
    </row>
    <row r="5234" spans="1:2" x14ac:dyDescent="0.25">
      <c r="A5234" s="118"/>
      <c r="B5234" s="136"/>
    </row>
    <row r="5235" spans="1:2" x14ac:dyDescent="0.25">
      <c r="A5235" s="118"/>
      <c r="B5235" s="136"/>
    </row>
    <row r="5236" spans="1:2" x14ac:dyDescent="0.25">
      <c r="A5236" s="118"/>
      <c r="B5236" s="136"/>
    </row>
    <row r="5237" spans="1:2" x14ac:dyDescent="0.25">
      <c r="A5237" s="118"/>
      <c r="B5237" s="136"/>
    </row>
    <row r="5238" spans="1:2" x14ac:dyDescent="0.25">
      <c r="A5238" s="118"/>
      <c r="B5238" s="136"/>
    </row>
    <row r="5239" spans="1:2" x14ac:dyDescent="0.25">
      <c r="A5239" s="118"/>
      <c r="B5239" s="136"/>
    </row>
    <row r="5240" spans="1:2" x14ac:dyDescent="0.25">
      <c r="A5240" s="118"/>
      <c r="B5240" s="136"/>
    </row>
    <row r="5241" spans="1:2" x14ac:dyDescent="0.25">
      <c r="A5241" s="118"/>
      <c r="B5241" s="136"/>
    </row>
    <row r="5242" spans="1:2" x14ac:dyDescent="0.25">
      <c r="A5242" s="118"/>
      <c r="B5242" s="136"/>
    </row>
    <row r="5243" spans="1:2" x14ac:dyDescent="0.25">
      <c r="A5243" s="118"/>
      <c r="B5243" s="136"/>
    </row>
    <row r="5244" spans="1:2" x14ac:dyDescent="0.25">
      <c r="A5244" s="118"/>
      <c r="B5244" s="136"/>
    </row>
    <row r="5245" spans="1:2" x14ac:dyDescent="0.25">
      <c r="A5245" s="118"/>
      <c r="B5245" s="136"/>
    </row>
    <row r="5246" spans="1:2" x14ac:dyDescent="0.25">
      <c r="A5246" s="118"/>
      <c r="B5246" s="136"/>
    </row>
    <row r="5247" spans="1:2" x14ac:dyDescent="0.25">
      <c r="A5247" s="118"/>
      <c r="B5247" s="136"/>
    </row>
    <row r="5248" spans="1:2" x14ac:dyDescent="0.25">
      <c r="A5248" s="118"/>
      <c r="B5248" s="136"/>
    </row>
    <row r="5249" spans="1:2" x14ac:dyDescent="0.25">
      <c r="A5249" s="118"/>
      <c r="B5249" s="136"/>
    </row>
    <row r="5250" spans="1:2" x14ac:dyDescent="0.25">
      <c r="A5250" s="118"/>
      <c r="B5250" s="136"/>
    </row>
    <row r="5251" spans="1:2" x14ac:dyDescent="0.25">
      <c r="A5251" s="118"/>
      <c r="B5251" s="136"/>
    </row>
    <row r="5252" spans="1:2" x14ac:dyDescent="0.25">
      <c r="A5252" s="118"/>
      <c r="B5252" s="136"/>
    </row>
    <row r="5253" spans="1:2" x14ac:dyDescent="0.25">
      <c r="A5253" s="118"/>
      <c r="B5253" s="136"/>
    </row>
    <row r="5254" spans="1:2" x14ac:dyDescent="0.25">
      <c r="A5254" s="118"/>
      <c r="B5254" s="136"/>
    </row>
    <row r="5255" spans="1:2" x14ac:dyDescent="0.25">
      <c r="A5255" s="118"/>
      <c r="B5255" s="136"/>
    </row>
    <row r="5256" spans="1:2" x14ac:dyDescent="0.25">
      <c r="A5256" s="118"/>
      <c r="B5256" s="136"/>
    </row>
    <row r="5257" spans="1:2" x14ac:dyDescent="0.25">
      <c r="A5257" s="118"/>
      <c r="B5257" s="136"/>
    </row>
    <row r="5258" spans="1:2" x14ac:dyDescent="0.25">
      <c r="A5258" s="118"/>
      <c r="B5258" s="136"/>
    </row>
    <row r="5259" spans="1:2" x14ac:dyDescent="0.25">
      <c r="A5259" s="118"/>
      <c r="B5259" s="136"/>
    </row>
    <row r="5260" spans="1:2" x14ac:dyDescent="0.25">
      <c r="A5260" s="118"/>
      <c r="B5260" s="136"/>
    </row>
    <row r="5261" spans="1:2" x14ac:dyDescent="0.25">
      <c r="A5261" s="118"/>
      <c r="B5261" s="136"/>
    </row>
    <row r="5262" spans="1:2" x14ac:dyDescent="0.25">
      <c r="A5262" s="118"/>
      <c r="B5262" s="136"/>
    </row>
    <row r="5263" spans="1:2" x14ac:dyDescent="0.25">
      <c r="A5263" s="118"/>
      <c r="B5263" s="136"/>
    </row>
    <row r="5264" spans="1:2" x14ac:dyDescent="0.25">
      <c r="A5264" s="118"/>
      <c r="B5264" s="136"/>
    </row>
    <row r="5265" spans="1:2" x14ac:dyDescent="0.25">
      <c r="A5265" s="118"/>
      <c r="B5265" s="136"/>
    </row>
    <row r="5266" spans="1:2" x14ac:dyDescent="0.25">
      <c r="A5266" s="118"/>
      <c r="B5266" s="136"/>
    </row>
    <row r="5267" spans="1:2" x14ac:dyDescent="0.25">
      <c r="A5267" s="118"/>
      <c r="B5267" s="136"/>
    </row>
    <row r="5268" spans="1:2" x14ac:dyDescent="0.25">
      <c r="A5268" s="118"/>
      <c r="B5268" s="136"/>
    </row>
    <row r="5269" spans="1:2" x14ac:dyDescent="0.25">
      <c r="A5269" s="118"/>
      <c r="B5269" s="136"/>
    </row>
    <row r="5270" spans="1:2" x14ac:dyDescent="0.25">
      <c r="A5270" s="118"/>
      <c r="B5270" s="136"/>
    </row>
    <row r="5271" spans="1:2" x14ac:dyDescent="0.25">
      <c r="A5271" s="118"/>
      <c r="B5271" s="136"/>
    </row>
    <row r="5272" spans="1:2" x14ac:dyDescent="0.25">
      <c r="A5272" s="118"/>
      <c r="B5272" s="136"/>
    </row>
    <row r="5273" spans="1:2" x14ac:dyDescent="0.25">
      <c r="A5273" s="118"/>
      <c r="B5273" s="136"/>
    </row>
    <row r="5274" spans="1:2" x14ac:dyDescent="0.25">
      <c r="A5274" s="118"/>
      <c r="B5274" s="136"/>
    </row>
    <row r="5275" spans="1:2" x14ac:dyDescent="0.25">
      <c r="A5275" s="118"/>
      <c r="B5275" s="136"/>
    </row>
    <row r="5276" spans="1:2" x14ac:dyDescent="0.25">
      <c r="A5276" s="118"/>
      <c r="B5276" s="136"/>
    </row>
    <row r="5277" spans="1:2" x14ac:dyDescent="0.25">
      <c r="A5277" s="118"/>
      <c r="B5277" s="136"/>
    </row>
    <row r="5278" spans="1:2" x14ac:dyDescent="0.25">
      <c r="A5278" s="118"/>
      <c r="B5278" s="136"/>
    </row>
    <row r="5279" spans="1:2" x14ac:dyDescent="0.25">
      <c r="A5279" s="118"/>
      <c r="B5279" s="136"/>
    </row>
    <row r="5280" spans="1:2" x14ac:dyDescent="0.25">
      <c r="A5280" s="118"/>
      <c r="B5280" s="136"/>
    </row>
    <row r="5281" spans="1:2" x14ac:dyDescent="0.25">
      <c r="A5281" s="118"/>
      <c r="B5281" s="136"/>
    </row>
    <row r="5282" spans="1:2" x14ac:dyDescent="0.25">
      <c r="A5282" s="118"/>
      <c r="B5282" s="136"/>
    </row>
    <row r="5283" spans="1:2" x14ac:dyDescent="0.25">
      <c r="A5283" s="118"/>
      <c r="B5283" s="136"/>
    </row>
    <row r="5284" spans="1:2" x14ac:dyDescent="0.25">
      <c r="A5284" s="118"/>
      <c r="B5284" s="136"/>
    </row>
    <row r="5285" spans="1:2" x14ac:dyDescent="0.25">
      <c r="A5285" s="118"/>
      <c r="B5285" s="136"/>
    </row>
    <row r="5286" spans="1:2" x14ac:dyDescent="0.25">
      <c r="A5286" s="118"/>
      <c r="B5286" s="136"/>
    </row>
    <row r="5287" spans="1:2" x14ac:dyDescent="0.25">
      <c r="A5287" s="118"/>
      <c r="B5287" s="136"/>
    </row>
    <row r="5288" spans="1:2" x14ac:dyDescent="0.25">
      <c r="A5288" s="118"/>
      <c r="B5288" s="136"/>
    </row>
    <row r="5289" spans="1:2" x14ac:dyDescent="0.25">
      <c r="A5289" s="118"/>
      <c r="B5289" s="136"/>
    </row>
    <row r="5290" spans="1:2" x14ac:dyDescent="0.25">
      <c r="A5290" s="118"/>
      <c r="B5290" s="136"/>
    </row>
    <row r="5291" spans="1:2" x14ac:dyDescent="0.25">
      <c r="A5291" s="118"/>
      <c r="B5291" s="136"/>
    </row>
    <row r="5292" spans="1:2" x14ac:dyDescent="0.25">
      <c r="A5292" s="118"/>
      <c r="B5292" s="136"/>
    </row>
    <row r="5293" spans="1:2" x14ac:dyDescent="0.25">
      <c r="A5293" s="118"/>
      <c r="B5293" s="136"/>
    </row>
    <row r="5294" spans="1:2" x14ac:dyDescent="0.25">
      <c r="A5294" s="118"/>
      <c r="B5294" s="136"/>
    </row>
    <row r="5295" spans="1:2" x14ac:dyDescent="0.25">
      <c r="A5295" s="118"/>
      <c r="B5295" s="136"/>
    </row>
    <row r="5296" spans="1:2" x14ac:dyDescent="0.25">
      <c r="A5296" s="118"/>
      <c r="B5296" s="136"/>
    </row>
    <row r="5297" spans="1:2" x14ac:dyDescent="0.25">
      <c r="A5297" s="118"/>
      <c r="B5297" s="136"/>
    </row>
    <row r="5298" spans="1:2" x14ac:dyDescent="0.25">
      <c r="A5298" s="118"/>
      <c r="B5298" s="136"/>
    </row>
    <row r="5299" spans="1:2" x14ac:dyDescent="0.25">
      <c r="A5299" s="118"/>
      <c r="B5299" s="136"/>
    </row>
    <row r="5300" spans="1:2" x14ac:dyDescent="0.25">
      <c r="A5300" s="118"/>
      <c r="B5300" s="136"/>
    </row>
    <row r="5301" spans="1:2" x14ac:dyDescent="0.25">
      <c r="A5301" s="118"/>
      <c r="B5301" s="136"/>
    </row>
    <row r="5302" spans="1:2" x14ac:dyDescent="0.25">
      <c r="A5302" s="118"/>
      <c r="B5302" s="136"/>
    </row>
    <row r="5303" spans="1:2" x14ac:dyDescent="0.25">
      <c r="A5303" s="118"/>
      <c r="B5303" s="136"/>
    </row>
    <row r="5304" spans="1:2" x14ac:dyDescent="0.25">
      <c r="A5304" s="118"/>
      <c r="B5304" s="136"/>
    </row>
    <row r="5305" spans="1:2" x14ac:dyDescent="0.25">
      <c r="A5305" s="118"/>
      <c r="B5305" s="136"/>
    </row>
    <row r="5306" spans="1:2" x14ac:dyDescent="0.25">
      <c r="A5306" s="118"/>
      <c r="B5306" s="136"/>
    </row>
    <row r="5307" spans="1:2" x14ac:dyDescent="0.25">
      <c r="A5307" s="118"/>
      <c r="B5307" s="136"/>
    </row>
    <row r="5308" spans="1:2" x14ac:dyDescent="0.25">
      <c r="A5308" s="118"/>
      <c r="B5308" s="136"/>
    </row>
    <row r="5309" spans="1:2" x14ac:dyDescent="0.25">
      <c r="A5309" s="118"/>
      <c r="B5309" s="136"/>
    </row>
    <row r="5310" spans="1:2" x14ac:dyDescent="0.25">
      <c r="A5310" s="118"/>
      <c r="B5310" s="136"/>
    </row>
    <row r="5311" spans="1:2" x14ac:dyDescent="0.25">
      <c r="A5311" s="118"/>
      <c r="B5311" s="136"/>
    </row>
    <row r="5312" spans="1:2" x14ac:dyDescent="0.25">
      <c r="A5312" s="118"/>
      <c r="B5312" s="136"/>
    </row>
    <row r="5313" spans="1:2" x14ac:dyDescent="0.25">
      <c r="A5313" s="118"/>
      <c r="B5313" s="136"/>
    </row>
    <row r="5314" spans="1:2" x14ac:dyDescent="0.25">
      <c r="A5314" s="118"/>
      <c r="B5314" s="136"/>
    </row>
    <row r="5315" spans="1:2" x14ac:dyDescent="0.25">
      <c r="A5315" s="118"/>
      <c r="B5315" s="136"/>
    </row>
    <row r="5316" spans="1:2" x14ac:dyDescent="0.25">
      <c r="A5316" s="118"/>
      <c r="B5316" s="136"/>
    </row>
    <row r="5317" spans="1:2" x14ac:dyDescent="0.25">
      <c r="A5317" s="118"/>
      <c r="B5317" s="136"/>
    </row>
    <row r="5318" spans="1:2" x14ac:dyDescent="0.25">
      <c r="A5318" s="118"/>
      <c r="B5318" s="136"/>
    </row>
    <row r="5319" spans="1:2" x14ac:dyDescent="0.25">
      <c r="A5319" s="118"/>
      <c r="B5319" s="136"/>
    </row>
    <row r="5320" spans="1:2" x14ac:dyDescent="0.25">
      <c r="A5320" s="118"/>
      <c r="B5320" s="136"/>
    </row>
    <row r="5321" spans="1:2" x14ac:dyDescent="0.25">
      <c r="A5321" s="118"/>
      <c r="B5321" s="136"/>
    </row>
    <row r="5322" spans="1:2" x14ac:dyDescent="0.25">
      <c r="A5322" s="118"/>
      <c r="B5322" s="136"/>
    </row>
    <row r="5323" spans="1:2" x14ac:dyDescent="0.25">
      <c r="A5323" s="118"/>
      <c r="B5323" s="136"/>
    </row>
    <row r="5324" spans="1:2" x14ac:dyDescent="0.25">
      <c r="A5324" s="118"/>
      <c r="B5324" s="136"/>
    </row>
    <row r="5325" spans="1:2" x14ac:dyDescent="0.25">
      <c r="A5325" s="118"/>
      <c r="B5325" s="136"/>
    </row>
    <row r="5326" spans="1:2" x14ac:dyDescent="0.25">
      <c r="A5326" s="118"/>
      <c r="B5326" s="136"/>
    </row>
    <row r="5327" spans="1:2" x14ac:dyDescent="0.25">
      <c r="A5327" s="118"/>
      <c r="B5327" s="136"/>
    </row>
    <row r="5328" spans="1:2" x14ac:dyDescent="0.25">
      <c r="A5328" s="118"/>
      <c r="B5328" s="136"/>
    </row>
    <row r="5329" spans="1:2" x14ac:dyDescent="0.25">
      <c r="A5329" s="118"/>
      <c r="B5329" s="136"/>
    </row>
    <row r="5330" spans="1:2" x14ac:dyDescent="0.25">
      <c r="A5330" s="118"/>
      <c r="B5330" s="136"/>
    </row>
    <row r="5331" spans="1:2" x14ac:dyDescent="0.25">
      <c r="A5331" s="118"/>
      <c r="B5331" s="136"/>
    </row>
    <row r="5332" spans="1:2" x14ac:dyDescent="0.25">
      <c r="A5332" s="118"/>
      <c r="B5332" s="136"/>
    </row>
    <row r="5333" spans="1:2" x14ac:dyDescent="0.25">
      <c r="A5333" s="118"/>
      <c r="B5333" s="136"/>
    </row>
    <row r="5334" spans="1:2" x14ac:dyDescent="0.25">
      <c r="A5334" s="118"/>
      <c r="B5334" s="136"/>
    </row>
    <row r="5335" spans="1:2" x14ac:dyDescent="0.25">
      <c r="A5335" s="118"/>
      <c r="B5335" s="136"/>
    </row>
    <row r="5336" spans="1:2" x14ac:dyDescent="0.25">
      <c r="A5336" s="118"/>
      <c r="B5336" s="136"/>
    </row>
    <row r="5337" spans="1:2" x14ac:dyDescent="0.25">
      <c r="A5337" s="118"/>
      <c r="B5337" s="136"/>
    </row>
    <row r="5338" spans="1:2" x14ac:dyDescent="0.25">
      <c r="A5338" s="118"/>
      <c r="B5338" s="136"/>
    </row>
    <row r="5339" spans="1:2" x14ac:dyDescent="0.25">
      <c r="A5339" s="118"/>
      <c r="B5339" s="136"/>
    </row>
    <row r="5340" spans="1:2" x14ac:dyDescent="0.25">
      <c r="A5340" s="118"/>
      <c r="B5340" s="136"/>
    </row>
    <row r="5341" spans="1:2" x14ac:dyDescent="0.25">
      <c r="A5341" s="118"/>
      <c r="B5341" s="136"/>
    </row>
    <row r="5342" spans="1:2" x14ac:dyDescent="0.25">
      <c r="A5342" s="118"/>
      <c r="B5342" s="136"/>
    </row>
    <row r="5343" spans="1:2" x14ac:dyDescent="0.25">
      <c r="A5343" s="118"/>
      <c r="B5343" s="136"/>
    </row>
    <row r="5344" spans="1:2" x14ac:dyDescent="0.25">
      <c r="A5344" s="118"/>
      <c r="B5344" s="136"/>
    </row>
    <row r="5345" spans="1:2" x14ac:dyDescent="0.25">
      <c r="A5345" s="118"/>
      <c r="B5345" s="136"/>
    </row>
    <row r="5346" spans="1:2" x14ac:dyDescent="0.25">
      <c r="A5346" s="118"/>
      <c r="B5346" s="136"/>
    </row>
    <row r="5347" spans="1:2" x14ac:dyDescent="0.25">
      <c r="A5347" s="118"/>
      <c r="B5347" s="136"/>
    </row>
    <row r="5348" spans="1:2" x14ac:dyDescent="0.25">
      <c r="A5348" s="118"/>
      <c r="B5348" s="136"/>
    </row>
    <row r="5349" spans="1:2" x14ac:dyDescent="0.25">
      <c r="A5349" s="118"/>
      <c r="B5349" s="136"/>
    </row>
    <row r="5350" spans="1:2" x14ac:dyDescent="0.25">
      <c r="A5350" s="118"/>
      <c r="B5350" s="136"/>
    </row>
    <row r="5351" spans="1:2" x14ac:dyDescent="0.25">
      <c r="A5351" s="118"/>
      <c r="B5351" s="136"/>
    </row>
    <row r="5352" spans="1:2" x14ac:dyDescent="0.25">
      <c r="A5352" s="118"/>
      <c r="B5352" s="136"/>
    </row>
    <row r="5353" spans="1:2" x14ac:dyDescent="0.25">
      <c r="A5353" s="118"/>
      <c r="B5353" s="136"/>
    </row>
    <row r="5354" spans="1:2" x14ac:dyDescent="0.25">
      <c r="A5354" s="118"/>
      <c r="B5354" s="136"/>
    </row>
    <row r="5355" spans="1:2" x14ac:dyDescent="0.25">
      <c r="A5355" s="118"/>
      <c r="B5355" s="136"/>
    </row>
    <row r="5356" spans="1:2" x14ac:dyDescent="0.25">
      <c r="A5356" s="118"/>
      <c r="B5356" s="136"/>
    </row>
    <row r="5357" spans="1:2" x14ac:dyDescent="0.25">
      <c r="A5357" s="118"/>
      <c r="B5357" s="136"/>
    </row>
    <row r="5358" spans="1:2" x14ac:dyDescent="0.25">
      <c r="A5358" s="118"/>
      <c r="B5358" s="136"/>
    </row>
    <row r="5359" spans="1:2" x14ac:dyDescent="0.25">
      <c r="A5359" s="118"/>
      <c r="B5359" s="136"/>
    </row>
    <row r="5360" spans="1:2" x14ac:dyDescent="0.25">
      <c r="A5360" s="118"/>
      <c r="B5360" s="136"/>
    </row>
    <row r="5361" spans="1:2" x14ac:dyDescent="0.25">
      <c r="A5361" s="118"/>
      <c r="B5361" s="136"/>
    </row>
    <row r="5362" spans="1:2" x14ac:dyDescent="0.25">
      <c r="A5362" s="118"/>
      <c r="B5362" s="136"/>
    </row>
    <row r="5363" spans="1:2" x14ac:dyDescent="0.25">
      <c r="A5363" s="118"/>
      <c r="B5363" s="136"/>
    </row>
    <row r="5364" spans="1:2" x14ac:dyDescent="0.25">
      <c r="A5364" s="118"/>
      <c r="B5364" s="136"/>
    </row>
    <row r="5365" spans="1:2" x14ac:dyDescent="0.25">
      <c r="A5365" s="118"/>
      <c r="B5365" s="136"/>
    </row>
    <row r="5366" spans="1:2" x14ac:dyDescent="0.25">
      <c r="A5366" s="118"/>
      <c r="B5366" s="136"/>
    </row>
    <row r="5367" spans="1:2" x14ac:dyDescent="0.25">
      <c r="A5367" s="118"/>
      <c r="B5367" s="136"/>
    </row>
    <row r="5368" spans="1:2" x14ac:dyDescent="0.25">
      <c r="A5368" s="118"/>
      <c r="B5368" s="136"/>
    </row>
    <row r="5369" spans="1:2" x14ac:dyDescent="0.25">
      <c r="A5369" s="118"/>
      <c r="B5369" s="136"/>
    </row>
    <row r="5370" spans="1:2" x14ac:dyDescent="0.25">
      <c r="A5370" s="118"/>
      <c r="B5370" s="136"/>
    </row>
    <row r="5371" spans="1:2" x14ac:dyDescent="0.25">
      <c r="A5371" s="118"/>
      <c r="B5371" s="136"/>
    </row>
    <row r="5372" spans="1:2" x14ac:dyDescent="0.25">
      <c r="A5372" s="118"/>
      <c r="B5372" s="136"/>
    </row>
    <row r="5373" spans="1:2" x14ac:dyDescent="0.25">
      <c r="A5373" s="118"/>
      <c r="B5373" s="136"/>
    </row>
    <row r="5374" spans="1:2" x14ac:dyDescent="0.25">
      <c r="A5374" s="118"/>
      <c r="B5374" s="136"/>
    </row>
    <row r="5375" spans="1:2" x14ac:dyDescent="0.25">
      <c r="A5375" s="118"/>
      <c r="B5375" s="136"/>
    </row>
    <row r="5376" spans="1:2" x14ac:dyDescent="0.25">
      <c r="A5376" s="118"/>
      <c r="B5376" s="136"/>
    </row>
    <row r="5377" spans="1:2" x14ac:dyDescent="0.25">
      <c r="A5377" s="118"/>
      <c r="B5377" s="136"/>
    </row>
    <row r="5378" spans="1:2" x14ac:dyDescent="0.25">
      <c r="A5378" s="118"/>
      <c r="B5378" s="136"/>
    </row>
    <row r="5379" spans="1:2" x14ac:dyDescent="0.25">
      <c r="A5379" s="118"/>
      <c r="B5379" s="136"/>
    </row>
    <row r="5380" spans="1:2" x14ac:dyDescent="0.25">
      <c r="A5380" s="118"/>
      <c r="B5380" s="136"/>
    </row>
    <row r="5381" spans="1:2" x14ac:dyDescent="0.25">
      <c r="A5381" s="118"/>
      <c r="B5381" s="136"/>
    </row>
    <row r="5382" spans="1:2" x14ac:dyDescent="0.25">
      <c r="A5382" s="118"/>
      <c r="B5382" s="136"/>
    </row>
    <row r="5383" spans="1:2" x14ac:dyDescent="0.25">
      <c r="A5383" s="118"/>
      <c r="B5383" s="136"/>
    </row>
    <row r="5384" spans="1:2" x14ac:dyDescent="0.25">
      <c r="A5384" s="118"/>
      <c r="B5384" s="136"/>
    </row>
    <row r="5385" spans="1:2" x14ac:dyDescent="0.25">
      <c r="A5385" s="118"/>
      <c r="B5385" s="136"/>
    </row>
    <row r="5386" spans="1:2" x14ac:dyDescent="0.25">
      <c r="A5386" s="118"/>
      <c r="B5386" s="136"/>
    </row>
    <row r="5387" spans="1:2" x14ac:dyDescent="0.25">
      <c r="A5387" s="118"/>
      <c r="B5387" s="136"/>
    </row>
    <row r="5388" spans="1:2" x14ac:dyDescent="0.25">
      <c r="A5388" s="118"/>
      <c r="B5388" s="136"/>
    </row>
    <row r="5389" spans="1:2" x14ac:dyDescent="0.25">
      <c r="A5389" s="118"/>
      <c r="B5389" s="136"/>
    </row>
    <row r="5390" spans="1:2" x14ac:dyDescent="0.25">
      <c r="A5390" s="118"/>
      <c r="B5390" s="136"/>
    </row>
    <row r="5391" spans="1:2" x14ac:dyDescent="0.25">
      <c r="A5391" s="118"/>
      <c r="B5391" s="136"/>
    </row>
    <row r="5392" spans="1:2" x14ac:dyDescent="0.25">
      <c r="A5392" s="118"/>
      <c r="B5392" s="136"/>
    </row>
    <row r="5393" spans="1:2" x14ac:dyDescent="0.25">
      <c r="A5393" s="118"/>
      <c r="B5393" s="136"/>
    </row>
    <row r="5394" spans="1:2" x14ac:dyDescent="0.25">
      <c r="A5394" s="118"/>
      <c r="B5394" s="136"/>
    </row>
    <row r="5395" spans="1:2" x14ac:dyDescent="0.25">
      <c r="A5395" s="118"/>
      <c r="B5395" s="136"/>
    </row>
    <row r="5396" spans="1:2" x14ac:dyDescent="0.25">
      <c r="A5396" s="118"/>
      <c r="B5396" s="136"/>
    </row>
    <row r="5397" spans="1:2" x14ac:dyDescent="0.25">
      <c r="A5397" s="118"/>
      <c r="B5397" s="136"/>
    </row>
    <row r="5398" spans="1:2" x14ac:dyDescent="0.25">
      <c r="A5398" s="118"/>
      <c r="B5398" s="136"/>
    </row>
    <row r="5399" spans="1:2" x14ac:dyDescent="0.25">
      <c r="A5399" s="118"/>
      <c r="B5399" s="136"/>
    </row>
    <row r="5400" spans="1:2" x14ac:dyDescent="0.25">
      <c r="A5400" s="118"/>
      <c r="B5400" s="136"/>
    </row>
    <row r="5401" spans="1:2" x14ac:dyDescent="0.25">
      <c r="A5401" s="118"/>
      <c r="B5401" s="136"/>
    </row>
    <row r="5402" spans="1:2" x14ac:dyDescent="0.25">
      <c r="A5402" s="118"/>
      <c r="B5402" s="136"/>
    </row>
    <row r="5403" spans="1:2" x14ac:dyDescent="0.25">
      <c r="A5403" s="118"/>
      <c r="B5403" s="136"/>
    </row>
    <row r="5404" spans="1:2" x14ac:dyDescent="0.25">
      <c r="A5404" s="118"/>
      <c r="B5404" s="136"/>
    </row>
    <row r="5405" spans="1:2" x14ac:dyDescent="0.25">
      <c r="A5405" s="118"/>
      <c r="B5405" s="136"/>
    </row>
    <row r="5406" spans="1:2" x14ac:dyDescent="0.25">
      <c r="A5406" s="118"/>
      <c r="B5406" s="136"/>
    </row>
    <row r="5407" spans="1:2" x14ac:dyDescent="0.25">
      <c r="A5407" s="118"/>
      <c r="B5407" s="136"/>
    </row>
    <row r="5408" spans="1:2" x14ac:dyDescent="0.25">
      <c r="A5408" s="118"/>
      <c r="B5408" s="136"/>
    </row>
    <row r="5409" spans="1:2" x14ac:dyDescent="0.25">
      <c r="A5409" s="118"/>
      <c r="B5409" s="136"/>
    </row>
    <row r="5410" spans="1:2" x14ac:dyDescent="0.25">
      <c r="A5410" s="118"/>
      <c r="B5410" s="136"/>
    </row>
    <row r="5411" spans="1:2" x14ac:dyDescent="0.25">
      <c r="A5411" s="118"/>
      <c r="B5411" s="136"/>
    </row>
    <row r="5412" spans="1:2" x14ac:dyDescent="0.25">
      <c r="A5412" s="118"/>
      <c r="B5412" s="136"/>
    </row>
    <row r="5413" spans="1:2" x14ac:dyDescent="0.25">
      <c r="A5413" s="118"/>
      <c r="B5413" s="136"/>
    </row>
    <row r="5414" spans="1:2" x14ac:dyDescent="0.25">
      <c r="A5414" s="118"/>
      <c r="B5414" s="136"/>
    </row>
    <row r="5415" spans="1:2" x14ac:dyDescent="0.25">
      <c r="A5415" s="118"/>
      <c r="B5415" s="136"/>
    </row>
    <row r="5416" spans="1:2" x14ac:dyDescent="0.25">
      <c r="A5416" s="118"/>
      <c r="B5416" s="136"/>
    </row>
    <row r="5417" spans="1:2" x14ac:dyDescent="0.25">
      <c r="A5417" s="118"/>
      <c r="B5417" s="136"/>
    </row>
    <row r="5418" spans="1:2" x14ac:dyDescent="0.25">
      <c r="A5418" s="118"/>
      <c r="B5418" s="136"/>
    </row>
    <row r="5419" spans="1:2" x14ac:dyDescent="0.25">
      <c r="A5419" s="118"/>
      <c r="B5419" s="136"/>
    </row>
    <row r="5420" spans="1:2" x14ac:dyDescent="0.25">
      <c r="A5420" s="118"/>
      <c r="B5420" s="136"/>
    </row>
    <row r="5421" spans="1:2" x14ac:dyDescent="0.25">
      <c r="A5421" s="118"/>
      <c r="B5421" s="136"/>
    </row>
    <row r="5422" spans="1:2" x14ac:dyDescent="0.25">
      <c r="A5422" s="118"/>
      <c r="B5422" s="136"/>
    </row>
    <row r="5423" spans="1:2" x14ac:dyDescent="0.25">
      <c r="A5423" s="118"/>
      <c r="B5423" s="136"/>
    </row>
    <row r="5424" spans="1:2" x14ac:dyDescent="0.25">
      <c r="A5424" s="118"/>
      <c r="B5424" s="136"/>
    </row>
    <row r="5425" spans="1:2" x14ac:dyDescent="0.25">
      <c r="A5425" s="118"/>
      <c r="B5425" s="136"/>
    </row>
    <row r="5426" spans="1:2" x14ac:dyDescent="0.25">
      <c r="A5426" s="118"/>
      <c r="B5426" s="136"/>
    </row>
    <row r="5427" spans="1:2" x14ac:dyDescent="0.25">
      <c r="A5427" s="118"/>
      <c r="B5427" s="136"/>
    </row>
    <row r="5428" spans="1:2" x14ac:dyDescent="0.25">
      <c r="A5428" s="118"/>
      <c r="B5428" s="136"/>
    </row>
    <row r="5429" spans="1:2" x14ac:dyDescent="0.25">
      <c r="A5429" s="118"/>
      <c r="B5429" s="136"/>
    </row>
    <row r="5430" spans="1:2" x14ac:dyDescent="0.25">
      <c r="A5430" s="118"/>
      <c r="B5430" s="136"/>
    </row>
    <row r="5431" spans="1:2" x14ac:dyDescent="0.25">
      <c r="A5431" s="118"/>
      <c r="B5431" s="136"/>
    </row>
    <row r="5432" spans="1:2" x14ac:dyDescent="0.25">
      <c r="A5432" s="118"/>
      <c r="B5432" s="136"/>
    </row>
    <row r="5433" spans="1:2" x14ac:dyDescent="0.25">
      <c r="A5433" s="118"/>
      <c r="B5433" s="136"/>
    </row>
    <row r="5434" spans="1:2" x14ac:dyDescent="0.25">
      <c r="A5434" s="118"/>
      <c r="B5434" s="136"/>
    </row>
    <row r="5435" spans="1:2" x14ac:dyDescent="0.25">
      <c r="A5435" s="118"/>
      <c r="B5435" s="136"/>
    </row>
    <row r="5436" spans="1:2" x14ac:dyDescent="0.25">
      <c r="A5436" s="118"/>
      <c r="B5436" s="136"/>
    </row>
    <row r="5437" spans="1:2" x14ac:dyDescent="0.25">
      <c r="A5437" s="118"/>
      <c r="B5437" s="136"/>
    </row>
    <row r="5438" spans="1:2" x14ac:dyDescent="0.25">
      <c r="A5438" s="118"/>
      <c r="B5438" s="136"/>
    </row>
    <row r="5439" spans="1:2" x14ac:dyDescent="0.25">
      <c r="A5439" s="118"/>
      <c r="B5439" s="136"/>
    </row>
    <row r="5440" spans="1:2" x14ac:dyDescent="0.25">
      <c r="A5440" s="118"/>
      <c r="B5440" s="136"/>
    </row>
    <row r="5441" spans="1:2" x14ac:dyDescent="0.25">
      <c r="A5441" s="118"/>
      <c r="B5441" s="136"/>
    </row>
    <row r="5442" spans="1:2" x14ac:dyDescent="0.25">
      <c r="A5442" s="118"/>
      <c r="B5442" s="136"/>
    </row>
    <row r="5443" spans="1:2" x14ac:dyDescent="0.25">
      <c r="A5443" s="118"/>
      <c r="B5443" s="136"/>
    </row>
    <row r="5444" spans="1:2" x14ac:dyDescent="0.25">
      <c r="A5444" s="118"/>
      <c r="B5444" s="136"/>
    </row>
    <row r="5445" spans="1:2" x14ac:dyDescent="0.25">
      <c r="A5445" s="118"/>
      <c r="B5445" s="136"/>
    </row>
    <row r="5446" spans="1:2" x14ac:dyDescent="0.25">
      <c r="A5446" s="118"/>
      <c r="B5446" s="136"/>
    </row>
    <row r="5447" spans="1:2" x14ac:dyDescent="0.25">
      <c r="A5447" s="118"/>
      <c r="B5447" s="136"/>
    </row>
    <row r="5448" spans="1:2" x14ac:dyDescent="0.25">
      <c r="A5448" s="118"/>
      <c r="B5448" s="136"/>
    </row>
    <row r="5449" spans="1:2" x14ac:dyDescent="0.25">
      <c r="A5449" s="118"/>
      <c r="B5449" s="136"/>
    </row>
    <row r="5450" spans="1:2" x14ac:dyDescent="0.25">
      <c r="A5450" s="118"/>
      <c r="B5450" s="136"/>
    </row>
    <row r="5451" spans="1:2" x14ac:dyDescent="0.25">
      <c r="A5451" s="118"/>
      <c r="B5451" s="136"/>
    </row>
    <row r="5452" spans="1:2" x14ac:dyDescent="0.25">
      <c r="A5452" s="118"/>
      <c r="B5452" s="136"/>
    </row>
    <row r="5453" spans="1:2" x14ac:dyDescent="0.25">
      <c r="A5453" s="118"/>
      <c r="B5453" s="136"/>
    </row>
    <row r="5454" spans="1:2" x14ac:dyDescent="0.25">
      <c r="A5454" s="118"/>
      <c r="B5454" s="136"/>
    </row>
    <row r="5455" spans="1:2" x14ac:dyDescent="0.25">
      <c r="A5455" s="118"/>
      <c r="B5455" s="136"/>
    </row>
    <row r="5456" spans="1:2" x14ac:dyDescent="0.25">
      <c r="A5456" s="118"/>
      <c r="B5456" s="136"/>
    </row>
    <row r="5457" spans="1:2" x14ac:dyDescent="0.25">
      <c r="A5457" s="118"/>
      <c r="B5457" s="136"/>
    </row>
    <row r="5458" spans="1:2" x14ac:dyDescent="0.25">
      <c r="A5458" s="118"/>
      <c r="B5458" s="136"/>
    </row>
    <row r="5459" spans="1:2" x14ac:dyDescent="0.25">
      <c r="A5459" s="118"/>
      <c r="B5459" s="136"/>
    </row>
    <row r="5460" spans="1:2" x14ac:dyDescent="0.25">
      <c r="A5460" s="118"/>
      <c r="B5460" s="136"/>
    </row>
    <row r="5461" spans="1:2" x14ac:dyDescent="0.25">
      <c r="A5461" s="118"/>
      <c r="B5461" s="136"/>
    </row>
    <row r="5462" spans="1:2" x14ac:dyDescent="0.25">
      <c r="A5462" s="118"/>
      <c r="B5462" s="136"/>
    </row>
    <row r="5463" spans="1:2" x14ac:dyDescent="0.25">
      <c r="A5463" s="118"/>
      <c r="B5463" s="136"/>
    </row>
    <row r="5464" spans="1:2" x14ac:dyDescent="0.25">
      <c r="A5464" s="118"/>
      <c r="B5464" s="136"/>
    </row>
    <row r="5465" spans="1:2" x14ac:dyDescent="0.25">
      <c r="A5465" s="118"/>
      <c r="B5465" s="136"/>
    </row>
    <row r="5466" spans="1:2" x14ac:dyDescent="0.25">
      <c r="A5466" s="118"/>
      <c r="B5466" s="136"/>
    </row>
    <row r="5467" spans="1:2" x14ac:dyDescent="0.25">
      <c r="A5467" s="118"/>
      <c r="B5467" s="136"/>
    </row>
    <row r="5468" spans="1:2" x14ac:dyDescent="0.25">
      <c r="A5468" s="118"/>
      <c r="B5468" s="136"/>
    </row>
    <row r="5469" spans="1:2" x14ac:dyDescent="0.25">
      <c r="A5469" s="118"/>
      <c r="B5469" s="136"/>
    </row>
    <row r="5470" spans="1:2" x14ac:dyDescent="0.25">
      <c r="A5470" s="118"/>
      <c r="B5470" s="136"/>
    </row>
    <row r="5471" spans="1:2" x14ac:dyDescent="0.25">
      <c r="A5471" s="118"/>
      <c r="B5471" s="136"/>
    </row>
    <row r="5472" spans="1:2" x14ac:dyDescent="0.25">
      <c r="A5472" s="118"/>
      <c r="B5472" s="136"/>
    </row>
    <row r="5473" spans="1:2" x14ac:dyDescent="0.25">
      <c r="A5473" s="118"/>
      <c r="B5473" s="136"/>
    </row>
    <row r="5474" spans="1:2" x14ac:dyDescent="0.25">
      <c r="A5474" s="118"/>
      <c r="B5474" s="136"/>
    </row>
    <row r="5475" spans="1:2" x14ac:dyDescent="0.25">
      <c r="A5475" s="118"/>
      <c r="B5475" s="136"/>
    </row>
    <row r="5476" spans="1:2" x14ac:dyDescent="0.25">
      <c r="A5476" s="118"/>
      <c r="B5476" s="136"/>
    </row>
    <row r="5477" spans="1:2" x14ac:dyDescent="0.25">
      <c r="A5477" s="118"/>
      <c r="B5477" s="136"/>
    </row>
    <row r="5478" spans="1:2" x14ac:dyDescent="0.25">
      <c r="A5478" s="118"/>
      <c r="B5478" s="136"/>
    </row>
    <row r="5479" spans="1:2" x14ac:dyDescent="0.25">
      <c r="A5479" s="118"/>
      <c r="B5479" s="136"/>
    </row>
    <row r="5480" spans="1:2" x14ac:dyDescent="0.25">
      <c r="A5480" s="118"/>
      <c r="B5480" s="136"/>
    </row>
    <row r="5481" spans="1:2" x14ac:dyDescent="0.25">
      <c r="A5481" s="118"/>
      <c r="B5481" s="136"/>
    </row>
    <row r="5482" spans="1:2" x14ac:dyDescent="0.25">
      <c r="A5482" s="118"/>
      <c r="B5482" s="136"/>
    </row>
    <row r="5483" spans="1:2" x14ac:dyDescent="0.25">
      <c r="A5483" s="118"/>
      <c r="B5483" s="136"/>
    </row>
    <row r="5484" spans="1:2" x14ac:dyDescent="0.25">
      <c r="A5484" s="118"/>
      <c r="B5484" s="136"/>
    </row>
    <row r="5485" spans="1:2" x14ac:dyDescent="0.25">
      <c r="A5485" s="118"/>
      <c r="B5485" s="136"/>
    </row>
    <row r="5486" spans="1:2" x14ac:dyDescent="0.25">
      <c r="A5486" s="118"/>
      <c r="B5486" s="136"/>
    </row>
    <row r="5487" spans="1:2" x14ac:dyDescent="0.25">
      <c r="A5487" s="118"/>
      <c r="B5487" s="136"/>
    </row>
    <row r="5488" spans="1:2" x14ac:dyDescent="0.25">
      <c r="A5488" s="118"/>
      <c r="B5488" s="136"/>
    </row>
    <row r="5489" spans="1:2" x14ac:dyDescent="0.25">
      <c r="A5489" s="118"/>
      <c r="B5489" s="136"/>
    </row>
    <row r="5490" spans="1:2" x14ac:dyDescent="0.25">
      <c r="A5490" s="118"/>
      <c r="B5490" s="136"/>
    </row>
    <row r="5491" spans="1:2" x14ac:dyDescent="0.25">
      <c r="A5491" s="118"/>
      <c r="B5491" s="136"/>
    </row>
    <row r="5492" spans="1:2" x14ac:dyDescent="0.25">
      <c r="A5492" s="118"/>
      <c r="B5492" s="136"/>
    </row>
    <row r="5493" spans="1:2" x14ac:dyDescent="0.25">
      <c r="A5493" s="118"/>
      <c r="B5493" s="136"/>
    </row>
    <row r="5494" spans="1:2" x14ac:dyDescent="0.25">
      <c r="A5494" s="118"/>
      <c r="B5494" s="136"/>
    </row>
    <row r="5495" spans="1:2" x14ac:dyDescent="0.25">
      <c r="A5495" s="118"/>
      <c r="B5495" s="136"/>
    </row>
    <row r="5496" spans="1:2" x14ac:dyDescent="0.25">
      <c r="A5496" s="118"/>
      <c r="B5496" s="136"/>
    </row>
    <row r="5497" spans="1:2" x14ac:dyDescent="0.25">
      <c r="A5497" s="118"/>
      <c r="B5497" s="136"/>
    </row>
    <row r="5498" spans="1:2" x14ac:dyDescent="0.25">
      <c r="A5498" s="118"/>
      <c r="B5498" s="136"/>
    </row>
    <row r="5499" spans="1:2" x14ac:dyDescent="0.25">
      <c r="A5499" s="118"/>
      <c r="B5499" s="136"/>
    </row>
    <row r="5500" spans="1:2" x14ac:dyDescent="0.25">
      <c r="A5500" s="118"/>
      <c r="B5500" s="136"/>
    </row>
    <row r="5501" spans="1:2" x14ac:dyDescent="0.25">
      <c r="A5501" s="118"/>
      <c r="B5501" s="136"/>
    </row>
    <row r="5502" spans="1:2" x14ac:dyDescent="0.25">
      <c r="A5502" s="118"/>
      <c r="B5502" s="136"/>
    </row>
    <row r="5503" spans="1:2" x14ac:dyDescent="0.25">
      <c r="A5503" s="118"/>
      <c r="B5503" s="136"/>
    </row>
    <row r="5504" spans="1:2" x14ac:dyDescent="0.25">
      <c r="A5504" s="118"/>
      <c r="B5504" s="136"/>
    </row>
    <row r="5505" spans="1:2" x14ac:dyDescent="0.25">
      <c r="A5505" s="118"/>
      <c r="B5505" s="136"/>
    </row>
    <row r="5506" spans="1:2" x14ac:dyDescent="0.25">
      <c r="A5506" s="118"/>
      <c r="B5506" s="136"/>
    </row>
    <row r="5507" spans="1:2" x14ac:dyDescent="0.25">
      <c r="A5507" s="118"/>
      <c r="B5507" s="136"/>
    </row>
    <row r="5508" spans="1:2" x14ac:dyDescent="0.25">
      <c r="A5508" s="118"/>
      <c r="B5508" s="136"/>
    </row>
    <row r="5509" spans="1:2" x14ac:dyDescent="0.25">
      <c r="A5509" s="118"/>
      <c r="B5509" s="136"/>
    </row>
    <row r="5510" spans="1:2" x14ac:dyDescent="0.25">
      <c r="A5510" s="118"/>
      <c r="B5510" s="136"/>
    </row>
    <row r="5511" spans="1:2" x14ac:dyDescent="0.25">
      <c r="A5511" s="118"/>
      <c r="B5511" s="136"/>
    </row>
    <row r="5512" spans="1:2" x14ac:dyDescent="0.25">
      <c r="A5512" s="118"/>
      <c r="B5512" s="136"/>
    </row>
    <row r="5513" spans="1:2" x14ac:dyDescent="0.25">
      <c r="A5513" s="118"/>
      <c r="B5513" s="136"/>
    </row>
    <row r="5514" spans="1:2" x14ac:dyDescent="0.25">
      <c r="A5514" s="118"/>
      <c r="B5514" s="136"/>
    </row>
    <row r="5515" spans="1:2" x14ac:dyDescent="0.25">
      <c r="A5515" s="118"/>
      <c r="B5515" s="136"/>
    </row>
    <row r="5516" spans="1:2" x14ac:dyDescent="0.25">
      <c r="A5516" s="118"/>
      <c r="B5516" s="136"/>
    </row>
    <row r="5517" spans="1:2" x14ac:dyDescent="0.25">
      <c r="A5517" s="118"/>
      <c r="B5517" s="136"/>
    </row>
    <row r="5518" spans="1:2" x14ac:dyDescent="0.25">
      <c r="A5518" s="118"/>
      <c r="B5518" s="136"/>
    </row>
    <row r="5519" spans="1:2" x14ac:dyDescent="0.25">
      <c r="A5519" s="118"/>
      <c r="B5519" s="136"/>
    </row>
    <row r="5520" spans="1:2" x14ac:dyDescent="0.25">
      <c r="A5520" s="118"/>
      <c r="B5520" s="136"/>
    </row>
    <row r="5521" spans="1:2" x14ac:dyDescent="0.25">
      <c r="A5521" s="118"/>
      <c r="B5521" s="136"/>
    </row>
    <row r="5522" spans="1:2" x14ac:dyDescent="0.25">
      <c r="A5522" s="118"/>
      <c r="B5522" s="136"/>
    </row>
    <row r="5523" spans="1:2" x14ac:dyDescent="0.25">
      <c r="A5523" s="118"/>
      <c r="B5523" s="136"/>
    </row>
    <row r="5524" spans="1:2" x14ac:dyDescent="0.25">
      <c r="A5524" s="118"/>
      <c r="B5524" s="136"/>
    </row>
    <row r="5525" spans="1:2" x14ac:dyDescent="0.25">
      <c r="A5525" s="118"/>
      <c r="B5525" s="136"/>
    </row>
    <row r="5526" spans="1:2" x14ac:dyDescent="0.25">
      <c r="A5526" s="118"/>
      <c r="B5526" s="136"/>
    </row>
    <row r="5527" spans="1:2" x14ac:dyDescent="0.25">
      <c r="A5527" s="118"/>
      <c r="B5527" s="136"/>
    </row>
    <row r="5528" spans="1:2" x14ac:dyDescent="0.25">
      <c r="A5528" s="118"/>
      <c r="B5528" s="136"/>
    </row>
    <row r="5529" spans="1:2" x14ac:dyDescent="0.25">
      <c r="A5529" s="118"/>
      <c r="B5529" s="136"/>
    </row>
    <row r="5530" spans="1:2" x14ac:dyDescent="0.25">
      <c r="A5530" s="118"/>
      <c r="B5530" s="136"/>
    </row>
    <row r="5531" spans="1:2" x14ac:dyDescent="0.25">
      <c r="A5531" s="118"/>
      <c r="B5531" s="136"/>
    </row>
    <row r="5532" spans="1:2" x14ac:dyDescent="0.25">
      <c r="A5532" s="118"/>
      <c r="B5532" s="136"/>
    </row>
    <row r="5533" spans="1:2" x14ac:dyDescent="0.25">
      <c r="A5533" s="118"/>
      <c r="B5533" s="136"/>
    </row>
    <row r="5534" spans="1:2" x14ac:dyDescent="0.25">
      <c r="A5534" s="118"/>
      <c r="B5534" s="136"/>
    </row>
    <row r="5535" spans="1:2" x14ac:dyDescent="0.25">
      <c r="A5535" s="118"/>
      <c r="B5535" s="136"/>
    </row>
    <row r="5536" spans="1:2" x14ac:dyDescent="0.25">
      <c r="A5536" s="118"/>
      <c r="B5536" s="136"/>
    </row>
    <row r="5537" spans="1:2" x14ac:dyDescent="0.25">
      <c r="A5537" s="118"/>
      <c r="B5537" s="136"/>
    </row>
    <row r="5538" spans="1:2" x14ac:dyDescent="0.25">
      <c r="A5538" s="118"/>
      <c r="B5538" s="136"/>
    </row>
    <row r="5539" spans="1:2" x14ac:dyDescent="0.25">
      <c r="A5539" s="118"/>
      <c r="B5539" s="136"/>
    </row>
    <row r="5540" spans="1:2" x14ac:dyDescent="0.25">
      <c r="A5540" s="118"/>
      <c r="B5540" s="136"/>
    </row>
    <row r="5541" spans="1:2" x14ac:dyDescent="0.25">
      <c r="A5541" s="118"/>
      <c r="B5541" s="136"/>
    </row>
    <row r="5542" spans="1:2" x14ac:dyDescent="0.25">
      <c r="A5542" s="118"/>
      <c r="B5542" s="136"/>
    </row>
    <row r="5543" spans="1:2" x14ac:dyDescent="0.25">
      <c r="A5543" s="118"/>
      <c r="B5543" s="136"/>
    </row>
    <row r="5544" spans="1:2" x14ac:dyDescent="0.25">
      <c r="A5544" s="118"/>
      <c r="B5544" s="136"/>
    </row>
    <row r="5545" spans="1:2" x14ac:dyDescent="0.25">
      <c r="A5545" s="118"/>
      <c r="B5545" s="136"/>
    </row>
    <row r="5546" spans="1:2" x14ac:dyDescent="0.25">
      <c r="A5546" s="118"/>
      <c r="B5546" s="136"/>
    </row>
    <row r="5547" spans="1:2" x14ac:dyDescent="0.25">
      <c r="A5547" s="118"/>
      <c r="B5547" s="136"/>
    </row>
    <row r="5548" spans="1:2" x14ac:dyDescent="0.25">
      <c r="A5548" s="118"/>
      <c r="B5548" s="136"/>
    </row>
    <row r="5549" spans="1:2" x14ac:dyDescent="0.25">
      <c r="A5549" s="118"/>
      <c r="B5549" s="136"/>
    </row>
    <row r="5550" spans="1:2" x14ac:dyDescent="0.25">
      <c r="A5550" s="118"/>
      <c r="B5550" s="136"/>
    </row>
    <row r="5551" spans="1:2" x14ac:dyDescent="0.25">
      <c r="A5551" s="118"/>
      <c r="B5551" s="136"/>
    </row>
    <row r="5552" spans="1:2" x14ac:dyDescent="0.25">
      <c r="A5552" s="118"/>
      <c r="B5552" s="136"/>
    </row>
    <row r="5553" spans="1:2" x14ac:dyDescent="0.25">
      <c r="A5553" s="118"/>
      <c r="B5553" s="136"/>
    </row>
    <row r="5554" spans="1:2" x14ac:dyDescent="0.25">
      <c r="A5554" s="118"/>
      <c r="B5554" s="136"/>
    </row>
    <row r="5555" spans="1:2" x14ac:dyDescent="0.25">
      <c r="A5555" s="118"/>
      <c r="B5555" s="136"/>
    </row>
    <row r="5556" spans="1:2" x14ac:dyDescent="0.25">
      <c r="A5556" s="118"/>
      <c r="B5556" s="136"/>
    </row>
    <row r="5557" spans="1:2" x14ac:dyDescent="0.25">
      <c r="A5557" s="118"/>
      <c r="B5557" s="136"/>
    </row>
    <row r="5558" spans="1:2" x14ac:dyDescent="0.25">
      <c r="A5558" s="118"/>
      <c r="B5558" s="136"/>
    </row>
    <row r="5559" spans="1:2" x14ac:dyDescent="0.25">
      <c r="A5559" s="118"/>
      <c r="B5559" s="136"/>
    </row>
    <row r="5560" spans="1:2" x14ac:dyDescent="0.25">
      <c r="A5560" s="118"/>
      <c r="B5560" s="136"/>
    </row>
    <row r="5561" spans="1:2" x14ac:dyDescent="0.25">
      <c r="A5561" s="118"/>
      <c r="B5561" s="136"/>
    </row>
    <row r="5562" spans="1:2" x14ac:dyDescent="0.25">
      <c r="A5562" s="118"/>
      <c r="B5562" s="136"/>
    </row>
    <row r="5563" spans="1:2" x14ac:dyDescent="0.25">
      <c r="A5563" s="118"/>
      <c r="B5563" s="136"/>
    </row>
    <row r="5564" spans="1:2" x14ac:dyDescent="0.25">
      <c r="A5564" s="118"/>
      <c r="B5564" s="136"/>
    </row>
    <row r="5565" spans="1:2" x14ac:dyDescent="0.25">
      <c r="A5565" s="118"/>
      <c r="B5565" s="136"/>
    </row>
    <row r="5566" spans="1:2" x14ac:dyDescent="0.25">
      <c r="A5566" s="118"/>
      <c r="B5566" s="136"/>
    </row>
    <row r="5567" spans="1:2" x14ac:dyDescent="0.25">
      <c r="A5567" s="118"/>
      <c r="B5567" s="136"/>
    </row>
    <row r="5568" spans="1:2" x14ac:dyDescent="0.25">
      <c r="A5568" s="118"/>
      <c r="B5568" s="136"/>
    </row>
    <row r="5569" spans="1:2" x14ac:dyDescent="0.25">
      <c r="A5569" s="118"/>
      <c r="B5569" s="136"/>
    </row>
    <row r="5570" spans="1:2" x14ac:dyDescent="0.25">
      <c r="A5570" s="118"/>
      <c r="B5570" s="136"/>
    </row>
    <row r="5571" spans="1:2" x14ac:dyDescent="0.25">
      <c r="A5571" s="118"/>
      <c r="B5571" s="136"/>
    </row>
    <row r="5572" spans="1:2" x14ac:dyDescent="0.25">
      <c r="A5572" s="118"/>
      <c r="B5572" s="136"/>
    </row>
    <row r="5573" spans="1:2" x14ac:dyDescent="0.25">
      <c r="A5573" s="118"/>
      <c r="B5573" s="136"/>
    </row>
    <row r="5574" spans="1:2" x14ac:dyDescent="0.25">
      <c r="A5574" s="118"/>
      <c r="B5574" s="136"/>
    </row>
    <row r="5575" spans="1:2" x14ac:dyDescent="0.25">
      <c r="A5575" s="118"/>
      <c r="B5575" s="136"/>
    </row>
    <row r="5576" spans="1:2" x14ac:dyDescent="0.25">
      <c r="A5576" s="118"/>
      <c r="B5576" s="136"/>
    </row>
    <row r="5577" spans="1:2" x14ac:dyDescent="0.25">
      <c r="A5577" s="118"/>
      <c r="B5577" s="136"/>
    </row>
    <row r="5578" spans="1:2" x14ac:dyDescent="0.25">
      <c r="A5578" s="118"/>
      <c r="B5578" s="136"/>
    </row>
    <row r="5579" spans="1:2" x14ac:dyDescent="0.25">
      <c r="A5579" s="118"/>
      <c r="B5579" s="136"/>
    </row>
    <row r="5580" spans="1:2" x14ac:dyDescent="0.25">
      <c r="A5580" s="118"/>
      <c r="B5580" s="136"/>
    </row>
    <row r="5581" spans="1:2" x14ac:dyDescent="0.25">
      <c r="A5581" s="118"/>
      <c r="B5581" s="136"/>
    </row>
    <row r="5582" spans="1:2" x14ac:dyDescent="0.25">
      <c r="A5582" s="118"/>
      <c r="B5582" s="136"/>
    </row>
    <row r="5583" spans="1:2" x14ac:dyDescent="0.25">
      <c r="A5583" s="118"/>
      <c r="B5583" s="136"/>
    </row>
    <row r="5584" spans="1:2" x14ac:dyDescent="0.25">
      <c r="A5584" s="118"/>
      <c r="B5584" s="136"/>
    </row>
    <row r="5585" spans="1:2" x14ac:dyDescent="0.25">
      <c r="A5585" s="118"/>
      <c r="B5585" s="136"/>
    </row>
    <row r="5586" spans="1:2" x14ac:dyDescent="0.25">
      <c r="A5586" s="118"/>
      <c r="B5586" s="136"/>
    </row>
    <row r="5587" spans="1:2" x14ac:dyDescent="0.25">
      <c r="A5587" s="118"/>
      <c r="B5587" s="136"/>
    </row>
    <row r="5588" spans="1:2" x14ac:dyDescent="0.25">
      <c r="A5588" s="118"/>
      <c r="B5588" s="136"/>
    </row>
    <row r="5589" spans="1:2" x14ac:dyDescent="0.25">
      <c r="A5589" s="118"/>
      <c r="B5589" s="136"/>
    </row>
    <row r="5590" spans="1:2" x14ac:dyDescent="0.25">
      <c r="A5590" s="118"/>
      <c r="B5590" s="136"/>
    </row>
    <row r="5591" spans="1:2" x14ac:dyDescent="0.25">
      <c r="A5591" s="118"/>
      <c r="B5591" s="136"/>
    </row>
    <row r="5592" spans="1:2" x14ac:dyDescent="0.25">
      <c r="A5592" s="118"/>
      <c r="B5592" s="136"/>
    </row>
    <row r="5593" spans="1:2" x14ac:dyDescent="0.25">
      <c r="A5593" s="118"/>
      <c r="B5593" s="136"/>
    </row>
    <row r="5594" spans="1:2" x14ac:dyDescent="0.25">
      <c r="A5594" s="118"/>
      <c r="B5594" s="136"/>
    </row>
    <row r="5595" spans="1:2" x14ac:dyDescent="0.25">
      <c r="A5595" s="118"/>
      <c r="B5595" s="136"/>
    </row>
    <row r="5596" spans="1:2" x14ac:dyDescent="0.25">
      <c r="A5596" s="118"/>
      <c r="B5596" s="136"/>
    </row>
    <row r="5597" spans="1:2" x14ac:dyDescent="0.25">
      <c r="A5597" s="118"/>
      <c r="B5597" s="136"/>
    </row>
    <row r="5598" spans="1:2" x14ac:dyDescent="0.25">
      <c r="A5598" s="118"/>
      <c r="B5598" s="136"/>
    </row>
    <row r="5599" spans="1:2" x14ac:dyDescent="0.25">
      <c r="A5599" s="118"/>
      <c r="B5599" s="136"/>
    </row>
    <row r="5600" spans="1:2" x14ac:dyDescent="0.25">
      <c r="A5600" s="118"/>
      <c r="B5600" s="136"/>
    </row>
    <row r="5601" spans="1:2" x14ac:dyDescent="0.25">
      <c r="A5601" s="118"/>
      <c r="B5601" s="136"/>
    </row>
    <row r="5602" spans="1:2" x14ac:dyDescent="0.25">
      <c r="A5602" s="118"/>
      <c r="B5602" s="136"/>
    </row>
    <row r="5603" spans="1:2" x14ac:dyDescent="0.25">
      <c r="A5603" s="118"/>
      <c r="B5603" s="136"/>
    </row>
    <row r="5604" spans="1:2" x14ac:dyDescent="0.25">
      <c r="A5604" s="118"/>
      <c r="B5604" s="136"/>
    </row>
    <row r="5605" spans="1:2" x14ac:dyDescent="0.25">
      <c r="A5605" s="118"/>
      <c r="B5605" s="136"/>
    </row>
    <row r="5606" spans="1:2" x14ac:dyDescent="0.25">
      <c r="A5606" s="118"/>
      <c r="B5606" s="136"/>
    </row>
    <row r="5607" spans="1:2" x14ac:dyDescent="0.25">
      <c r="A5607" s="118"/>
      <c r="B5607" s="136"/>
    </row>
    <row r="5608" spans="1:2" x14ac:dyDescent="0.25">
      <c r="A5608" s="118"/>
      <c r="B5608" s="136"/>
    </row>
    <row r="5609" spans="1:2" x14ac:dyDescent="0.25">
      <c r="A5609" s="118"/>
      <c r="B5609" s="136"/>
    </row>
    <row r="5610" spans="1:2" x14ac:dyDescent="0.25">
      <c r="A5610" s="118"/>
      <c r="B5610" s="136"/>
    </row>
    <row r="5611" spans="1:2" x14ac:dyDescent="0.25">
      <c r="A5611" s="118"/>
      <c r="B5611" s="136"/>
    </row>
    <row r="5612" spans="1:2" x14ac:dyDescent="0.25">
      <c r="A5612" s="118"/>
      <c r="B5612" s="136"/>
    </row>
    <row r="5613" spans="1:2" x14ac:dyDescent="0.25">
      <c r="A5613" s="118"/>
      <c r="B5613" s="136"/>
    </row>
    <row r="5614" spans="1:2" x14ac:dyDescent="0.25">
      <c r="A5614" s="118"/>
      <c r="B5614" s="136"/>
    </row>
    <row r="5615" spans="1:2" x14ac:dyDescent="0.25">
      <c r="A5615" s="118"/>
      <c r="B5615" s="136"/>
    </row>
    <row r="5616" spans="1:2" x14ac:dyDescent="0.25">
      <c r="A5616" s="118"/>
      <c r="B5616" s="136"/>
    </row>
    <row r="5617" spans="1:2" x14ac:dyDescent="0.25">
      <c r="A5617" s="118"/>
      <c r="B5617" s="136"/>
    </row>
    <row r="5618" spans="1:2" x14ac:dyDescent="0.25">
      <c r="A5618" s="118"/>
      <c r="B5618" s="136"/>
    </row>
    <row r="5619" spans="1:2" x14ac:dyDescent="0.25">
      <c r="A5619" s="118"/>
      <c r="B5619" s="136"/>
    </row>
    <row r="5620" spans="1:2" x14ac:dyDescent="0.25">
      <c r="A5620" s="118"/>
      <c r="B5620" s="136"/>
    </row>
    <row r="5621" spans="1:2" x14ac:dyDescent="0.25">
      <c r="A5621" s="118"/>
      <c r="B5621" s="136"/>
    </row>
    <row r="5622" spans="1:2" x14ac:dyDescent="0.25">
      <c r="A5622" s="118"/>
      <c r="B5622" s="136"/>
    </row>
    <row r="5623" spans="1:2" x14ac:dyDescent="0.25">
      <c r="A5623" s="118"/>
      <c r="B5623" s="136"/>
    </row>
    <row r="5624" spans="1:2" x14ac:dyDescent="0.25">
      <c r="A5624" s="118"/>
      <c r="B5624" s="136"/>
    </row>
    <row r="5625" spans="1:2" x14ac:dyDescent="0.25">
      <c r="A5625" s="118"/>
      <c r="B5625" s="136"/>
    </row>
    <row r="5626" spans="1:2" x14ac:dyDescent="0.25">
      <c r="A5626" s="118"/>
      <c r="B5626" s="136"/>
    </row>
    <row r="5627" spans="1:2" x14ac:dyDescent="0.25">
      <c r="A5627" s="118"/>
      <c r="B5627" s="136"/>
    </row>
    <row r="5628" spans="1:2" x14ac:dyDescent="0.25">
      <c r="A5628" s="118"/>
      <c r="B5628" s="136"/>
    </row>
    <row r="5629" spans="1:2" x14ac:dyDescent="0.25">
      <c r="A5629" s="118"/>
      <c r="B5629" s="136"/>
    </row>
    <row r="5630" spans="1:2" x14ac:dyDescent="0.25">
      <c r="A5630" s="118"/>
      <c r="B5630" s="136"/>
    </row>
    <row r="5631" spans="1:2" x14ac:dyDescent="0.25">
      <c r="A5631" s="118"/>
      <c r="B5631" s="136"/>
    </row>
    <row r="5632" spans="1:2" x14ac:dyDescent="0.25">
      <c r="A5632" s="118"/>
      <c r="B5632" s="136"/>
    </row>
    <row r="5633" spans="1:2" x14ac:dyDescent="0.25">
      <c r="A5633" s="118"/>
      <c r="B5633" s="136"/>
    </row>
    <row r="5634" spans="1:2" x14ac:dyDescent="0.25">
      <c r="A5634" s="118"/>
      <c r="B5634" s="136"/>
    </row>
    <row r="5635" spans="1:2" x14ac:dyDescent="0.25">
      <c r="A5635" s="118"/>
      <c r="B5635" s="136"/>
    </row>
    <row r="5636" spans="1:2" x14ac:dyDescent="0.25">
      <c r="A5636" s="118"/>
      <c r="B5636" s="136"/>
    </row>
    <row r="5637" spans="1:2" x14ac:dyDescent="0.25">
      <c r="A5637" s="118"/>
      <c r="B5637" s="136"/>
    </row>
    <row r="5638" spans="1:2" x14ac:dyDescent="0.25">
      <c r="A5638" s="118"/>
      <c r="B5638" s="136"/>
    </row>
    <row r="5639" spans="1:2" x14ac:dyDescent="0.25">
      <c r="A5639" s="118"/>
      <c r="B5639" s="136"/>
    </row>
    <row r="5640" spans="1:2" x14ac:dyDescent="0.25">
      <c r="A5640" s="118"/>
      <c r="B5640" s="136"/>
    </row>
    <row r="5641" spans="1:2" x14ac:dyDescent="0.25">
      <c r="A5641" s="118"/>
      <c r="B5641" s="136"/>
    </row>
    <row r="5642" spans="1:2" x14ac:dyDescent="0.25">
      <c r="A5642" s="118"/>
      <c r="B5642" s="136"/>
    </row>
    <row r="5643" spans="1:2" x14ac:dyDescent="0.25">
      <c r="A5643" s="118"/>
      <c r="B5643" s="136"/>
    </row>
    <row r="5644" spans="1:2" x14ac:dyDescent="0.25">
      <c r="A5644" s="118"/>
      <c r="B5644" s="136"/>
    </row>
    <row r="5645" spans="1:2" x14ac:dyDescent="0.25">
      <c r="A5645" s="118"/>
      <c r="B5645" s="136"/>
    </row>
    <row r="5646" spans="1:2" x14ac:dyDescent="0.25">
      <c r="A5646" s="118"/>
      <c r="B5646" s="136"/>
    </row>
    <row r="5647" spans="1:2" x14ac:dyDescent="0.25">
      <c r="A5647" s="118"/>
      <c r="B5647" s="136"/>
    </row>
    <row r="5648" spans="1:2" x14ac:dyDescent="0.25">
      <c r="A5648" s="118"/>
      <c r="B5648" s="136"/>
    </row>
    <row r="5649" spans="1:2" x14ac:dyDescent="0.25">
      <c r="A5649" s="118"/>
      <c r="B5649" s="136"/>
    </row>
    <row r="5650" spans="1:2" x14ac:dyDescent="0.25">
      <c r="A5650" s="118"/>
      <c r="B5650" s="136"/>
    </row>
    <row r="5651" spans="1:2" x14ac:dyDescent="0.25">
      <c r="A5651" s="118"/>
      <c r="B5651" s="136"/>
    </row>
    <row r="5652" spans="1:2" x14ac:dyDescent="0.25">
      <c r="A5652" s="118"/>
      <c r="B5652" s="136"/>
    </row>
    <row r="5653" spans="1:2" x14ac:dyDescent="0.25">
      <c r="A5653" s="118"/>
      <c r="B5653" s="136"/>
    </row>
    <row r="5654" spans="1:2" x14ac:dyDescent="0.25">
      <c r="A5654" s="118"/>
      <c r="B5654" s="136"/>
    </row>
    <row r="5655" spans="1:2" x14ac:dyDescent="0.25">
      <c r="A5655" s="118"/>
      <c r="B5655" s="136"/>
    </row>
    <row r="5656" spans="1:2" x14ac:dyDescent="0.25">
      <c r="A5656" s="118"/>
      <c r="B5656" s="136"/>
    </row>
    <row r="5657" spans="1:2" x14ac:dyDescent="0.25">
      <c r="A5657" s="118"/>
      <c r="B5657" s="136"/>
    </row>
    <row r="5658" spans="1:2" x14ac:dyDescent="0.25">
      <c r="A5658" s="118"/>
      <c r="B5658" s="136"/>
    </row>
    <row r="5659" spans="1:2" x14ac:dyDescent="0.25">
      <c r="A5659" s="118"/>
      <c r="B5659" s="136"/>
    </row>
    <row r="5660" spans="1:2" x14ac:dyDescent="0.25">
      <c r="A5660" s="118"/>
      <c r="B5660" s="136"/>
    </row>
    <row r="5661" spans="1:2" x14ac:dyDescent="0.25">
      <c r="A5661" s="118"/>
      <c r="B5661" s="136"/>
    </row>
    <row r="5662" spans="1:2" x14ac:dyDescent="0.25">
      <c r="A5662" s="118"/>
      <c r="B5662" s="136"/>
    </row>
    <row r="5663" spans="1:2" x14ac:dyDescent="0.25">
      <c r="A5663" s="118"/>
      <c r="B5663" s="136"/>
    </row>
    <row r="5664" spans="1:2" x14ac:dyDescent="0.25">
      <c r="A5664" s="118"/>
      <c r="B5664" s="136"/>
    </row>
    <row r="5665" spans="1:2" x14ac:dyDescent="0.25">
      <c r="A5665" s="118"/>
      <c r="B5665" s="136"/>
    </row>
    <row r="5666" spans="1:2" x14ac:dyDescent="0.25">
      <c r="A5666" s="118"/>
      <c r="B5666" s="136"/>
    </row>
    <row r="5667" spans="1:2" x14ac:dyDescent="0.25">
      <c r="A5667" s="118"/>
      <c r="B5667" s="136"/>
    </row>
    <row r="5668" spans="1:2" x14ac:dyDescent="0.25">
      <c r="A5668" s="118"/>
      <c r="B5668" s="136"/>
    </row>
    <row r="5669" spans="1:2" x14ac:dyDescent="0.25">
      <c r="A5669" s="118"/>
      <c r="B5669" s="136"/>
    </row>
    <row r="5670" spans="1:2" x14ac:dyDescent="0.25">
      <c r="A5670" s="118"/>
      <c r="B5670" s="136"/>
    </row>
    <row r="5671" spans="1:2" x14ac:dyDescent="0.25">
      <c r="A5671" s="118"/>
      <c r="B5671" s="136"/>
    </row>
    <row r="5672" spans="1:2" x14ac:dyDescent="0.25">
      <c r="A5672" s="118"/>
      <c r="B5672" s="136"/>
    </row>
    <row r="5673" spans="1:2" x14ac:dyDescent="0.25">
      <c r="A5673" s="118"/>
      <c r="B5673" s="136"/>
    </row>
    <row r="5674" spans="1:2" x14ac:dyDescent="0.25">
      <c r="A5674" s="118"/>
      <c r="B5674" s="136"/>
    </row>
    <row r="5675" spans="1:2" x14ac:dyDescent="0.25">
      <c r="A5675" s="118"/>
      <c r="B5675" s="136"/>
    </row>
    <row r="5676" spans="1:2" x14ac:dyDescent="0.25">
      <c r="A5676" s="118"/>
      <c r="B5676" s="136"/>
    </row>
    <row r="5677" spans="1:2" x14ac:dyDescent="0.25">
      <c r="A5677" s="118"/>
      <c r="B5677" s="136"/>
    </row>
    <row r="5678" spans="1:2" x14ac:dyDescent="0.25">
      <c r="A5678" s="118"/>
      <c r="B5678" s="136"/>
    </row>
    <row r="5679" spans="1:2" x14ac:dyDescent="0.25">
      <c r="A5679" s="118"/>
      <c r="B5679" s="136"/>
    </row>
    <row r="5680" spans="1:2" x14ac:dyDescent="0.25">
      <c r="A5680" s="118"/>
      <c r="B5680" s="136"/>
    </row>
    <row r="5681" spans="1:2" x14ac:dyDescent="0.25">
      <c r="A5681" s="118"/>
      <c r="B5681" s="136"/>
    </row>
    <row r="5682" spans="1:2" x14ac:dyDescent="0.25">
      <c r="A5682" s="118"/>
      <c r="B5682" s="136"/>
    </row>
    <row r="5683" spans="1:2" x14ac:dyDescent="0.25">
      <c r="A5683" s="118"/>
      <c r="B5683" s="136"/>
    </row>
    <row r="5684" spans="1:2" x14ac:dyDescent="0.25">
      <c r="A5684" s="118"/>
      <c r="B5684" s="136"/>
    </row>
    <row r="5685" spans="1:2" x14ac:dyDescent="0.25">
      <c r="A5685" s="118"/>
      <c r="B5685" s="136"/>
    </row>
    <row r="5686" spans="1:2" x14ac:dyDescent="0.25">
      <c r="A5686" s="118"/>
      <c r="B5686" s="136"/>
    </row>
    <row r="5687" spans="1:2" x14ac:dyDescent="0.25">
      <c r="A5687" s="118"/>
      <c r="B5687" s="136"/>
    </row>
    <row r="5688" spans="1:2" x14ac:dyDescent="0.25">
      <c r="A5688" s="118"/>
      <c r="B5688" s="136"/>
    </row>
    <row r="5689" spans="1:2" x14ac:dyDescent="0.25">
      <c r="A5689" s="118"/>
      <c r="B5689" s="136"/>
    </row>
    <row r="5690" spans="1:2" x14ac:dyDescent="0.25">
      <c r="A5690" s="118"/>
      <c r="B5690" s="136"/>
    </row>
    <row r="5691" spans="1:2" x14ac:dyDescent="0.25">
      <c r="A5691" s="118"/>
      <c r="B5691" s="136"/>
    </row>
    <row r="5692" spans="1:2" x14ac:dyDescent="0.25">
      <c r="A5692" s="118"/>
      <c r="B5692" s="136"/>
    </row>
    <row r="5693" spans="1:2" x14ac:dyDescent="0.25">
      <c r="A5693" s="118"/>
      <c r="B5693" s="136"/>
    </row>
    <row r="5694" spans="1:2" x14ac:dyDescent="0.25">
      <c r="A5694" s="118"/>
      <c r="B5694" s="136"/>
    </row>
    <row r="5695" spans="1:2" x14ac:dyDescent="0.25">
      <c r="A5695" s="118"/>
      <c r="B5695" s="136"/>
    </row>
    <row r="5696" spans="1:2" x14ac:dyDescent="0.25">
      <c r="A5696" s="118"/>
      <c r="B5696" s="136"/>
    </row>
    <row r="5697" spans="1:2" x14ac:dyDescent="0.25">
      <c r="A5697" s="118"/>
      <c r="B5697" s="136"/>
    </row>
    <row r="5698" spans="1:2" x14ac:dyDescent="0.25">
      <c r="A5698" s="118"/>
      <c r="B5698" s="136"/>
    </row>
    <row r="5699" spans="1:2" x14ac:dyDescent="0.25">
      <c r="A5699" s="118"/>
      <c r="B5699" s="136"/>
    </row>
    <row r="5700" spans="1:2" x14ac:dyDescent="0.25">
      <c r="A5700" s="118"/>
      <c r="B5700" s="136"/>
    </row>
    <row r="5701" spans="1:2" x14ac:dyDescent="0.25">
      <c r="A5701" s="118"/>
      <c r="B5701" s="136"/>
    </row>
    <row r="5702" spans="1:2" x14ac:dyDescent="0.25">
      <c r="A5702" s="118"/>
      <c r="B5702" s="136"/>
    </row>
    <row r="5703" spans="1:2" x14ac:dyDescent="0.25">
      <c r="A5703" s="118"/>
      <c r="B5703" s="136"/>
    </row>
    <row r="5704" spans="1:2" x14ac:dyDescent="0.25">
      <c r="A5704" s="118"/>
      <c r="B5704" s="136"/>
    </row>
    <row r="5705" spans="1:2" x14ac:dyDescent="0.25">
      <c r="A5705" s="118"/>
      <c r="B5705" s="136"/>
    </row>
    <row r="5706" spans="1:2" x14ac:dyDescent="0.25">
      <c r="A5706" s="118"/>
      <c r="B5706" s="136"/>
    </row>
    <row r="5707" spans="1:2" x14ac:dyDescent="0.25">
      <c r="A5707" s="118"/>
      <c r="B5707" s="136"/>
    </row>
    <row r="5708" spans="1:2" x14ac:dyDescent="0.25">
      <c r="A5708" s="118"/>
      <c r="B5708" s="136"/>
    </row>
    <row r="5709" spans="1:2" x14ac:dyDescent="0.25">
      <c r="A5709" s="118"/>
      <c r="B5709" s="136"/>
    </row>
    <row r="5710" spans="1:2" x14ac:dyDescent="0.25">
      <c r="A5710" s="118"/>
      <c r="B5710" s="136"/>
    </row>
    <row r="5711" spans="1:2" x14ac:dyDescent="0.25">
      <c r="A5711" s="118"/>
      <c r="B5711" s="136"/>
    </row>
    <row r="5712" spans="1:2" x14ac:dyDescent="0.25">
      <c r="A5712" s="118"/>
      <c r="B5712" s="136"/>
    </row>
    <row r="5713" spans="1:2" x14ac:dyDescent="0.25">
      <c r="A5713" s="118"/>
      <c r="B5713" s="136"/>
    </row>
    <row r="5714" spans="1:2" x14ac:dyDescent="0.25">
      <c r="A5714" s="118"/>
      <c r="B5714" s="136"/>
    </row>
    <row r="5715" spans="1:2" x14ac:dyDescent="0.25">
      <c r="A5715" s="118"/>
      <c r="B5715" s="136"/>
    </row>
    <row r="5716" spans="1:2" x14ac:dyDescent="0.25">
      <c r="A5716" s="118"/>
      <c r="B5716" s="136"/>
    </row>
    <row r="5717" spans="1:2" x14ac:dyDescent="0.25">
      <c r="A5717" s="118"/>
      <c r="B5717" s="136"/>
    </row>
    <row r="5718" spans="1:2" x14ac:dyDescent="0.25">
      <c r="A5718" s="118"/>
      <c r="B5718" s="136"/>
    </row>
    <row r="5719" spans="1:2" x14ac:dyDescent="0.25">
      <c r="A5719" s="118"/>
      <c r="B5719" s="136"/>
    </row>
    <row r="5720" spans="1:2" x14ac:dyDescent="0.25">
      <c r="A5720" s="118"/>
      <c r="B5720" s="136"/>
    </row>
    <row r="5721" spans="1:2" x14ac:dyDescent="0.25">
      <c r="A5721" s="118"/>
      <c r="B5721" s="136"/>
    </row>
    <row r="5722" spans="1:2" x14ac:dyDescent="0.25">
      <c r="A5722" s="118"/>
      <c r="B5722" s="136"/>
    </row>
    <row r="5723" spans="1:2" x14ac:dyDescent="0.25">
      <c r="A5723" s="118"/>
      <c r="B5723" s="136"/>
    </row>
    <row r="5724" spans="1:2" x14ac:dyDescent="0.25">
      <c r="A5724" s="118"/>
      <c r="B5724" s="136"/>
    </row>
    <row r="5725" spans="1:2" x14ac:dyDescent="0.25">
      <c r="A5725" s="118"/>
      <c r="B5725" s="136"/>
    </row>
    <row r="5726" spans="1:2" x14ac:dyDescent="0.25">
      <c r="A5726" s="118"/>
      <c r="B5726" s="136"/>
    </row>
    <row r="5727" spans="1:2" x14ac:dyDescent="0.25">
      <c r="A5727" s="118"/>
      <c r="B5727" s="136"/>
    </row>
    <row r="5728" spans="1:2" x14ac:dyDescent="0.25">
      <c r="A5728" s="118"/>
      <c r="B5728" s="136"/>
    </row>
    <row r="5729" spans="1:2" x14ac:dyDescent="0.25">
      <c r="A5729" s="118"/>
      <c r="B5729" s="136"/>
    </row>
    <row r="5730" spans="1:2" x14ac:dyDescent="0.25">
      <c r="A5730" s="118"/>
      <c r="B5730" s="136"/>
    </row>
    <row r="5731" spans="1:2" x14ac:dyDescent="0.25">
      <c r="A5731" s="118"/>
      <c r="B5731" s="136"/>
    </row>
    <row r="5732" spans="1:2" x14ac:dyDescent="0.25">
      <c r="A5732" s="118"/>
      <c r="B5732" s="136"/>
    </row>
    <row r="5733" spans="1:2" x14ac:dyDescent="0.25">
      <c r="A5733" s="118"/>
      <c r="B5733" s="136"/>
    </row>
    <row r="5734" spans="1:2" x14ac:dyDescent="0.25">
      <c r="A5734" s="118"/>
      <c r="B5734" s="136"/>
    </row>
    <row r="5735" spans="1:2" x14ac:dyDescent="0.25">
      <c r="A5735" s="118"/>
      <c r="B5735" s="136"/>
    </row>
    <row r="5736" spans="1:2" x14ac:dyDescent="0.25">
      <c r="A5736" s="118"/>
      <c r="B5736" s="136"/>
    </row>
    <row r="5737" spans="1:2" x14ac:dyDescent="0.25">
      <c r="A5737" s="118"/>
      <c r="B5737" s="136"/>
    </row>
    <row r="5738" spans="1:2" x14ac:dyDescent="0.25">
      <c r="A5738" s="118"/>
      <c r="B5738" s="136"/>
    </row>
    <row r="5739" spans="1:2" x14ac:dyDescent="0.25">
      <c r="A5739" s="118"/>
      <c r="B5739" s="136"/>
    </row>
    <row r="5740" spans="1:2" x14ac:dyDescent="0.25">
      <c r="A5740" s="118"/>
      <c r="B5740" s="136"/>
    </row>
    <row r="5741" spans="1:2" x14ac:dyDescent="0.25">
      <c r="A5741" s="118"/>
      <c r="B5741" s="136"/>
    </row>
    <row r="5742" spans="1:2" x14ac:dyDescent="0.25">
      <c r="A5742" s="118"/>
      <c r="B5742" s="136"/>
    </row>
    <row r="5743" spans="1:2" x14ac:dyDescent="0.25">
      <c r="A5743" s="118"/>
      <c r="B5743" s="136"/>
    </row>
    <row r="5744" spans="1:2" x14ac:dyDescent="0.25">
      <c r="A5744" s="118"/>
      <c r="B5744" s="136"/>
    </row>
    <row r="5745" spans="1:2" x14ac:dyDescent="0.25">
      <c r="A5745" s="118"/>
      <c r="B5745" s="136"/>
    </row>
    <row r="5746" spans="1:2" x14ac:dyDescent="0.25">
      <c r="A5746" s="118"/>
      <c r="B5746" s="136"/>
    </row>
    <row r="5747" spans="1:2" x14ac:dyDescent="0.25">
      <c r="A5747" s="118"/>
      <c r="B5747" s="136"/>
    </row>
    <row r="5748" spans="1:2" x14ac:dyDescent="0.25">
      <c r="A5748" s="118"/>
      <c r="B5748" s="136"/>
    </row>
    <row r="5749" spans="1:2" x14ac:dyDescent="0.25">
      <c r="A5749" s="118"/>
      <c r="B5749" s="136"/>
    </row>
    <row r="5750" spans="1:2" x14ac:dyDescent="0.25">
      <c r="A5750" s="118"/>
      <c r="B5750" s="136"/>
    </row>
    <row r="5751" spans="1:2" x14ac:dyDescent="0.25">
      <c r="A5751" s="118"/>
      <c r="B5751" s="136"/>
    </row>
    <row r="5752" spans="1:2" x14ac:dyDescent="0.25">
      <c r="A5752" s="118"/>
      <c r="B5752" s="136"/>
    </row>
    <row r="5753" spans="1:2" x14ac:dyDescent="0.25">
      <c r="A5753" s="118"/>
      <c r="B5753" s="136"/>
    </row>
    <row r="5754" spans="1:2" x14ac:dyDescent="0.25">
      <c r="A5754" s="118"/>
      <c r="B5754" s="136"/>
    </row>
    <row r="5755" spans="1:2" x14ac:dyDescent="0.25">
      <c r="A5755" s="118"/>
      <c r="B5755" s="136"/>
    </row>
    <row r="5756" spans="1:2" x14ac:dyDescent="0.25">
      <c r="A5756" s="118"/>
      <c r="B5756" s="136"/>
    </row>
    <row r="5757" spans="1:2" x14ac:dyDescent="0.25">
      <c r="A5757" s="118"/>
      <c r="B5757" s="136"/>
    </row>
    <row r="5758" spans="1:2" x14ac:dyDescent="0.25">
      <c r="A5758" s="118"/>
      <c r="B5758" s="136"/>
    </row>
    <row r="5759" spans="1:2" x14ac:dyDescent="0.25">
      <c r="A5759" s="118"/>
      <c r="B5759" s="136"/>
    </row>
    <row r="5760" spans="1:2" x14ac:dyDescent="0.25">
      <c r="A5760" s="118"/>
      <c r="B5760" s="136"/>
    </row>
    <row r="5761" spans="1:2" x14ac:dyDescent="0.25">
      <c r="A5761" s="118"/>
      <c r="B5761" s="136"/>
    </row>
    <row r="5762" spans="1:2" x14ac:dyDescent="0.25">
      <c r="A5762" s="118"/>
      <c r="B5762" s="136"/>
    </row>
    <row r="5763" spans="1:2" x14ac:dyDescent="0.25">
      <c r="A5763" s="118"/>
      <c r="B5763" s="136"/>
    </row>
    <row r="5764" spans="1:2" x14ac:dyDescent="0.25">
      <c r="A5764" s="118"/>
      <c r="B5764" s="136"/>
    </row>
    <row r="5765" spans="1:2" x14ac:dyDescent="0.25">
      <c r="A5765" s="118"/>
      <c r="B5765" s="136"/>
    </row>
    <row r="5766" spans="1:2" x14ac:dyDescent="0.25">
      <c r="A5766" s="118"/>
      <c r="B5766" s="136"/>
    </row>
    <row r="5767" spans="1:2" x14ac:dyDescent="0.25">
      <c r="A5767" s="118"/>
      <c r="B5767" s="136"/>
    </row>
    <row r="5768" spans="1:2" x14ac:dyDescent="0.25">
      <c r="A5768" s="118"/>
      <c r="B5768" s="136"/>
    </row>
    <row r="5769" spans="1:2" x14ac:dyDescent="0.25">
      <c r="A5769" s="118"/>
      <c r="B5769" s="136"/>
    </row>
    <row r="5770" spans="1:2" x14ac:dyDescent="0.25">
      <c r="A5770" s="118"/>
      <c r="B5770" s="136"/>
    </row>
    <row r="5771" spans="1:2" x14ac:dyDescent="0.25">
      <c r="A5771" s="118"/>
      <c r="B5771" s="136"/>
    </row>
    <row r="5772" spans="1:2" x14ac:dyDescent="0.25">
      <c r="A5772" s="118"/>
      <c r="B5772" s="136"/>
    </row>
    <row r="5773" spans="1:2" x14ac:dyDescent="0.25">
      <c r="A5773" s="118"/>
      <c r="B5773" s="136"/>
    </row>
    <row r="5774" spans="1:2" x14ac:dyDescent="0.25">
      <c r="A5774" s="118"/>
      <c r="B5774" s="136"/>
    </row>
    <row r="5775" spans="1:2" x14ac:dyDescent="0.25">
      <c r="A5775" s="118"/>
      <c r="B5775" s="136"/>
    </row>
    <row r="5776" spans="1:2" x14ac:dyDescent="0.25">
      <c r="A5776" s="118"/>
      <c r="B5776" s="136"/>
    </row>
    <row r="5777" spans="1:2" x14ac:dyDescent="0.25">
      <c r="A5777" s="118"/>
      <c r="B5777" s="136"/>
    </row>
    <row r="5778" spans="1:2" x14ac:dyDescent="0.25">
      <c r="A5778" s="118"/>
      <c r="B5778" s="136"/>
    </row>
    <row r="5779" spans="1:2" x14ac:dyDescent="0.25">
      <c r="A5779" s="118"/>
      <c r="B5779" s="136"/>
    </row>
    <row r="5780" spans="1:2" x14ac:dyDescent="0.25">
      <c r="A5780" s="118"/>
      <c r="B5780" s="136"/>
    </row>
    <row r="5781" spans="1:2" x14ac:dyDescent="0.25">
      <c r="A5781" s="118"/>
      <c r="B5781" s="136"/>
    </row>
    <row r="5782" spans="1:2" x14ac:dyDescent="0.25">
      <c r="A5782" s="118"/>
      <c r="B5782" s="136"/>
    </row>
    <row r="5783" spans="1:2" x14ac:dyDescent="0.25">
      <c r="A5783" s="118"/>
      <c r="B5783" s="136"/>
    </row>
    <row r="5784" spans="1:2" x14ac:dyDescent="0.25">
      <c r="A5784" s="118"/>
      <c r="B5784" s="136"/>
    </row>
    <row r="5785" spans="1:2" x14ac:dyDescent="0.25">
      <c r="A5785" s="118"/>
      <c r="B5785" s="136"/>
    </row>
    <row r="5786" spans="1:2" x14ac:dyDescent="0.25">
      <c r="A5786" s="118"/>
      <c r="B5786" s="136"/>
    </row>
    <row r="5787" spans="1:2" x14ac:dyDescent="0.25">
      <c r="A5787" s="118"/>
      <c r="B5787" s="136"/>
    </row>
    <row r="5788" spans="1:2" x14ac:dyDescent="0.25">
      <c r="A5788" s="118"/>
      <c r="B5788" s="136"/>
    </row>
    <row r="5789" spans="1:2" x14ac:dyDescent="0.25">
      <c r="A5789" s="118"/>
      <c r="B5789" s="136"/>
    </row>
    <row r="5790" spans="1:2" x14ac:dyDescent="0.25">
      <c r="A5790" s="118"/>
      <c r="B5790" s="136"/>
    </row>
    <row r="5791" spans="1:2" x14ac:dyDescent="0.25">
      <c r="A5791" s="118"/>
      <c r="B5791" s="136"/>
    </row>
    <row r="5792" spans="1:2" x14ac:dyDescent="0.25">
      <c r="A5792" s="118"/>
      <c r="B5792" s="136"/>
    </row>
    <row r="5793" spans="1:2" x14ac:dyDescent="0.25">
      <c r="A5793" s="118"/>
      <c r="B5793" s="136"/>
    </row>
    <row r="5794" spans="1:2" x14ac:dyDescent="0.25">
      <c r="A5794" s="118"/>
      <c r="B5794" s="136"/>
    </row>
    <row r="5795" spans="1:2" x14ac:dyDescent="0.25">
      <c r="A5795" s="118"/>
      <c r="B5795" s="136"/>
    </row>
    <row r="5796" spans="1:2" x14ac:dyDescent="0.25">
      <c r="A5796" s="118"/>
      <c r="B5796" s="136"/>
    </row>
    <row r="5797" spans="1:2" x14ac:dyDescent="0.25">
      <c r="A5797" s="118"/>
      <c r="B5797" s="136"/>
    </row>
    <row r="5798" spans="1:2" x14ac:dyDescent="0.25">
      <c r="A5798" s="118"/>
      <c r="B5798" s="136"/>
    </row>
    <row r="5799" spans="1:2" x14ac:dyDescent="0.25">
      <c r="A5799" s="118"/>
      <c r="B5799" s="136"/>
    </row>
    <row r="5800" spans="1:2" x14ac:dyDescent="0.25">
      <c r="A5800" s="118"/>
      <c r="B5800" s="136"/>
    </row>
    <row r="5801" spans="1:2" x14ac:dyDescent="0.25">
      <c r="A5801" s="118"/>
      <c r="B5801" s="136"/>
    </row>
    <row r="5802" spans="1:2" x14ac:dyDescent="0.25">
      <c r="A5802" s="118"/>
      <c r="B5802" s="136"/>
    </row>
    <row r="5803" spans="1:2" x14ac:dyDescent="0.25">
      <c r="A5803" s="118"/>
      <c r="B5803" s="136"/>
    </row>
    <row r="5804" spans="1:2" x14ac:dyDescent="0.25">
      <c r="A5804" s="118"/>
      <c r="B5804" s="136"/>
    </row>
    <row r="5805" spans="1:2" x14ac:dyDescent="0.25">
      <c r="A5805" s="118"/>
      <c r="B5805" s="136"/>
    </row>
    <row r="5806" spans="1:2" x14ac:dyDescent="0.25">
      <c r="A5806" s="118"/>
      <c r="B5806" s="136"/>
    </row>
    <row r="5807" spans="1:2" x14ac:dyDescent="0.25">
      <c r="A5807" s="118"/>
      <c r="B5807" s="136"/>
    </row>
    <row r="5808" spans="1:2" x14ac:dyDescent="0.25">
      <c r="A5808" s="118"/>
      <c r="B5808" s="136"/>
    </row>
    <row r="5809" spans="1:2" x14ac:dyDescent="0.25">
      <c r="A5809" s="118"/>
      <c r="B5809" s="136"/>
    </row>
    <row r="5810" spans="1:2" x14ac:dyDescent="0.25">
      <c r="A5810" s="118"/>
      <c r="B5810" s="136"/>
    </row>
    <row r="5811" spans="1:2" x14ac:dyDescent="0.25">
      <c r="A5811" s="118"/>
      <c r="B5811" s="136"/>
    </row>
    <row r="5812" spans="1:2" x14ac:dyDescent="0.25">
      <c r="A5812" s="118"/>
      <c r="B5812" s="136"/>
    </row>
    <row r="5813" spans="1:2" x14ac:dyDescent="0.25">
      <c r="A5813" s="118"/>
      <c r="B5813" s="136"/>
    </row>
    <row r="5814" spans="1:2" x14ac:dyDescent="0.25">
      <c r="A5814" s="118"/>
      <c r="B5814" s="136"/>
    </row>
    <row r="5815" spans="1:2" x14ac:dyDescent="0.25">
      <c r="A5815" s="118"/>
      <c r="B5815" s="136"/>
    </row>
    <row r="5816" spans="1:2" x14ac:dyDescent="0.25">
      <c r="A5816" s="118"/>
      <c r="B5816" s="136"/>
    </row>
    <row r="5817" spans="1:2" x14ac:dyDescent="0.25">
      <c r="A5817" s="118"/>
      <c r="B5817" s="136"/>
    </row>
    <row r="5818" spans="1:2" x14ac:dyDescent="0.25">
      <c r="A5818" s="118"/>
      <c r="B5818" s="136"/>
    </row>
    <row r="5819" spans="1:2" x14ac:dyDescent="0.25">
      <c r="A5819" s="118"/>
      <c r="B5819" s="136"/>
    </row>
    <row r="5820" spans="1:2" x14ac:dyDescent="0.25">
      <c r="A5820" s="118"/>
      <c r="B5820" s="136"/>
    </row>
    <row r="5821" spans="1:2" x14ac:dyDescent="0.25">
      <c r="A5821" s="118"/>
      <c r="B5821" s="136"/>
    </row>
    <row r="5822" spans="1:2" x14ac:dyDescent="0.25">
      <c r="A5822" s="118"/>
      <c r="B5822" s="136"/>
    </row>
    <row r="5823" spans="1:2" x14ac:dyDescent="0.25">
      <c r="A5823" s="118"/>
      <c r="B5823" s="136"/>
    </row>
    <row r="5824" spans="1:2" x14ac:dyDescent="0.25">
      <c r="A5824" s="118"/>
      <c r="B5824" s="136"/>
    </row>
    <row r="5825" spans="1:2" x14ac:dyDescent="0.25">
      <c r="A5825" s="118"/>
      <c r="B5825" s="136"/>
    </row>
    <row r="5826" spans="1:2" x14ac:dyDescent="0.25">
      <c r="A5826" s="118"/>
      <c r="B5826" s="136"/>
    </row>
    <row r="5827" spans="1:2" x14ac:dyDescent="0.25">
      <c r="A5827" s="118"/>
      <c r="B5827" s="136"/>
    </row>
    <row r="5828" spans="1:2" x14ac:dyDescent="0.25">
      <c r="A5828" s="118"/>
      <c r="B5828" s="136"/>
    </row>
    <row r="5829" spans="1:2" x14ac:dyDescent="0.25">
      <c r="A5829" s="118"/>
      <c r="B5829" s="136"/>
    </row>
    <row r="5830" spans="1:2" x14ac:dyDescent="0.25">
      <c r="A5830" s="118"/>
      <c r="B5830" s="136"/>
    </row>
    <row r="5831" spans="1:2" x14ac:dyDescent="0.25">
      <c r="A5831" s="118"/>
      <c r="B5831" s="136"/>
    </row>
    <row r="5832" spans="1:2" x14ac:dyDescent="0.25">
      <c r="A5832" s="118"/>
      <c r="B5832" s="136"/>
    </row>
    <row r="5833" spans="1:2" x14ac:dyDescent="0.25">
      <c r="A5833" s="118"/>
      <c r="B5833" s="136"/>
    </row>
    <row r="5834" spans="1:2" x14ac:dyDescent="0.25">
      <c r="A5834" s="118"/>
      <c r="B5834" s="136"/>
    </row>
    <row r="5835" spans="1:2" x14ac:dyDescent="0.25">
      <c r="A5835" s="118"/>
      <c r="B5835" s="136"/>
    </row>
    <row r="5836" spans="1:2" x14ac:dyDescent="0.25">
      <c r="A5836" s="118"/>
      <c r="B5836" s="136"/>
    </row>
    <row r="5837" spans="1:2" x14ac:dyDescent="0.25">
      <c r="A5837" s="118"/>
      <c r="B5837" s="136"/>
    </row>
    <row r="5838" spans="1:2" x14ac:dyDescent="0.25">
      <c r="A5838" s="118"/>
      <c r="B5838" s="136"/>
    </row>
    <row r="5839" spans="1:2" x14ac:dyDescent="0.25">
      <c r="A5839" s="118"/>
      <c r="B5839" s="136"/>
    </row>
    <row r="5840" spans="1:2" x14ac:dyDescent="0.25">
      <c r="A5840" s="118"/>
      <c r="B5840" s="136"/>
    </row>
    <row r="5841" spans="1:2" x14ac:dyDescent="0.25">
      <c r="A5841" s="118"/>
      <c r="B5841" s="136"/>
    </row>
    <row r="5842" spans="1:2" x14ac:dyDescent="0.25">
      <c r="A5842" s="118"/>
      <c r="B5842" s="136"/>
    </row>
    <row r="5843" spans="1:2" x14ac:dyDescent="0.25">
      <c r="A5843" s="118"/>
      <c r="B5843" s="136"/>
    </row>
    <row r="5844" spans="1:2" x14ac:dyDescent="0.25">
      <c r="A5844" s="118"/>
      <c r="B5844" s="136"/>
    </row>
    <row r="5845" spans="1:2" x14ac:dyDescent="0.25">
      <c r="A5845" s="118"/>
      <c r="B5845" s="136"/>
    </row>
    <row r="5846" spans="1:2" x14ac:dyDescent="0.25">
      <c r="A5846" s="118"/>
      <c r="B5846" s="136"/>
    </row>
    <row r="5847" spans="1:2" x14ac:dyDescent="0.25">
      <c r="A5847" s="118"/>
      <c r="B5847" s="136"/>
    </row>
    <row r="5848" spans="1:2" x14ac:dyDescent="0.25">
      <c r="A5848" s="118"/>
      <c r="B5848" s="136"/>
    </row>
    <row r="5849" spans="1:2" x14ac:dyDescent="0.25">
      <c r="A5849" s="118"/>
      <c r="B5849" s="136"/>
    </row>
    <row r="5850" spans="1:2" x14ac:dyDescent="0.25">
      <c r="A5850" s="118"/>
      <c r="B5850" s="136"/>
    </row>
    <row r="5851" spans="1:2" x14ac:dyDescent="0.25">
      <c r="A5851" s="118"/>
      <c r="B5851" s="136"/>
    </row>
    <row r="5852" spans="1:2" x14ac:dyDescent="0.25">
      <c r="A5852" s="118"/>
      <c r="B5852" s="136"/>
    </row>
    <row r="5853" spans="1:2" x14ac:dyDescent="0.25">
      <c r="A5853" s="118"/>
      <c r="B5853" s="136"/>
    </row>
    <row r="5854" spans="1:2" x14ac:dyDescent="0.25">
      <c r="A5854" s="118"/>
      <c r="B5854" s="136"/>
    </row>
    <row r="5855" spans="1:2" x14ac:dyDescent="0.25">
      <c r="A5855" s="118"/>
      <c r="B5855" s="136"/>
    </row>
    <row r="5856" spans="1:2" x14ac:dyDescent="0.25">
      <c r="A5856" s="118"/>
      <c r="B5856" s="136"/>
    </row>
    <row r="5857" spans="1:2" x14ac:dyDescent="0.25">
      <c r="A5857" s="118"/>
      <c r="B5857" s="136"/>
    </row>
    <row r="5858" spans="1:2" x14ac:dyDescent="0.25">
      <c r="A5858" s="118"/>
      <c r="B5858" s="136"/>
    </row>
    <row r="5859" spans="1:2" x14ac:dyDescent="0.25">
      <c r="A5859" s="118"/>
      <c r="B5859" s="136"/>
    </row>
    <row r="5860" spans="1:2" x14ac:dyDescent="0.25">
      <c r="A5860" s="118"/>
      <c r="B5860" s="136"/>
    </row>
    <row r="5861" spans="1:2" x14ac:dyDescent="0.25">
      <c r="A5861" s="118"/>
      <c r="B5861" s="136"/>
    </row>
    <row r="5862" spans="1:2" x14ac:dyDescent="0.25">
      <c r="A5862" s="118"/>
      <c r="B5862" s="136"/>
    </row>
    <row r="5863" spans="1:2" x14ac:dyDescent="0.25">
      <c r="A5863" s="118"/>
      <c r="B5863" s="136"/>
    </row>
    <row r="5864" spans="1:2" x14ac:dyDescent="0.25">
      <c r="A5864" s="118"/>
      <c r="B5864" s="136"/>
    </row>
    <row r="5865" spans="1:2" x14ac:dyDescent="0.25">
      <c r="A5865" s="118"/>
      <c r="B5865" s="136"/>
    </row>
    <row r="5866" spans="1:2" x14ac:dyDescent="0.25">
      <c r="A5866" s="118"/>
      <c r="B5866" s="136"/>
    </row>
    <row r="5867" spans="1:2" x14ac:dyDescent="0.25">
      <c r="A5867" s="118"/>
      <c r="B5867" s="136"/>
    </row>
    <row r="5868" spans="1:2" x14ac:dyDescent="0.25">
      <c r="A5868" s="118"/>
      <c r="B5868" s="136"/>
    </row>
    <row r="5869" spans="1:2" x14ac:dyDescent="0.25">
      <c r="A5869" s="118"/>
      <c r="B5869" s="136"/>
    </row>
    <row r="5870" spans="1:2" x14ac:dyDescent="0.25">
      <c r="A5870" s="118"/>
      <c r="B5870" s="136"/>
    </row>
    <row r="5871" spans="1:2" x14ac:dyDescent="0.25">
      <c r="A5871" s="118"/>
      <c r="B5871" s="136"/>
    </row>
    <row r="5872" spans="1:2" x14ac:dyDescent="0.25">
      <c r="A5872" s="118"/>
      <c r="B5872" s="136"/>
    </row>
    <row r="5873" spans="1:2" x14ac:dyDescent="0.25">
      <c r="A5873" s="118"/>
      <c r="B5873" s="136"/>
    </row>
    <row r="5874" spans="1:2" x14ac:dyDescent="0.25">
      <c r="A5874" s="118"/>
      <c r="B5874" s="136"/>
    </row>
    <row r="5875" spans="1:2" x14ac:dyDescent="0.25">
      <c r="A5875" s="118"/>
      <c r="B5875" s="136"/>
    </row>
    <row r="5876" spans="1:2" x14ac:dyDescent="0.25">
      <c r="A5876" s="118"/>
      <c r="B5876" s="136"/>
    </row>
    <row r="5877" spans="1:2" x14ac:dyDescent="0.25">
      <c r="A5877" s="118"/>
      <c r="B5877" s="136"/>
    </row>
    <row r="5878" spans="1:2" x14ac:dyDescent="0.25">
      <c r="A5878" s="118"/>
      <c r="B5878" s="136"/>
    </row>
    <row r="5879" spans="1:2" x14ac:dyDescent="0.25">
      <c r="A5879" s="118"/>
      <c r="B5879" s="136"/>
    </row>
    <row r="5880" spans="1:2" x14ac:dyDescent="0.25">
      <c r="A5880" s="118"/>
      <c r="B5880" s="136"/>
    </row>
    <row r="5881" spans="1:2" x14ac:dyDescent="0.25">
      <c r="A5881" s="118"/>
      <c r="B5881" s="136"/>
    </row>
    <row r="5882" spans="1:2" x14ac:dyDescent="0.25">
      <c r="A5882" s="118"/>
      <c r="B5882" s="136"/>
    </row>
    <row r="5883" spans="1:2" x14ac:dyDescent="0.25">
      <c r="A5883" s="118"/>
      <c r="B5883" s="136"/>
    </row>
    <row r="5884" spans="1:2" x14ac:dyDescent="0.25">
      <c r="A5884" s="118"/>
      <c r="B5884" s="136"/>
    </row>
    <row r="5885" spans="1:2" x14ac:dyDescent="0.25">
      <c r="A5885" s="118"/>
      <c r="B5885" s="136"/>
    </row>
    <row r="5886" spans="1:2" x14ac:dyDescent="0.25">
      <c r="A5886" s="118"/>
      <c r="B5886" s="136"/>
    </row>
    <row r="5887" spans="1:2" x14ac:dyDescent="0.25">
      <c r="A5887" s="118"/>
      <c r="B5887" s="136"/>
    </row>
    <row r="5888" spans="1:2" x14ac:dyDescent="0.25">
      <c r="A5888" s="118"/>
      <c r="B5888" s="136"/>
    </row>
    <row r="5889" spans="1:2" x14ac:dyDescent="0.25">
      <c r="A5889" s="118"/>
      <c r="B5889" s="136"/>
    </row>
    <row r="5890" spans="1:2" x14ac:dyDescent="0.25">
      <c r="A5890" s="118"/>
      <c r="B5890" s="136"/>
    </row>
    <row r="5891" spans="1:2" x14ac:dyDescent="0.25">
      <c r="A5891" s="118"/>
      <c r="B5891" s="136"/>
    </row>
    <row r="5892" spans="1:2" x14ac:dyDescent="0.25">
      <c r="A5892" s="118"/>
      <c r="B5892" s="136"/>
    </row>
    <row r="5893" spans="1:2" x14ac:dyDescent="0.25">
      <c r="A5893" s="118"/>
      <c r="B5893" s="136"/>
    </row>
    <row r="5894" spans="1:2" x14ac:dyDescent="0.25">
      <c r="A5894" s="118"/>
      <c r="B5894" s="136"/>
    </row>
    <row r="5895" spans="1:2" x14ac:dyDescent="0.25">
      <c r="A5895" s="118"/>
      <c r="B5895" s="136"/>
    </row>
    <row r="5896" spans="1:2" x14ac:dyDescent="0.25">
      <c r="A5896" s="118"/>
      <c r="B5896" s="136"/>
    </row>
    <row r="5897" spans="1:2" x14ac:dyDescent="0.25">
      <c r="A5897" s="118"/>
      <c r="B5897" s="136"/>
    </row>
    <row r="5898" spans="1:2" x14ac:dyDescent="0.25">
      <c r="A5898" s="118"/>
      <c r="B5898" s="136"/>
    </row>
    <row r="5899" spans="1:2" x14ac:dyDescent="0.25">
      <c r="A5899" s="118"/>
      <c r="B5899" s="136"/>
    </row>
    <row r="5900" spans="1:2" x14ac:dyDescent="0.25">
      <c r="A5900" s="118"/>
      <c r="B5900" s="136"/>
    </row>
    <row r="5901" spans="1:2" x14ac:dyDescent="0.25">
      <c r="A5901" s="118"/>
      <c r="B5901" s="136"/>
    </row>
    <row r="5902" spans="1:2" x14ac:dyDescent="0.25">
      <c r="A5902" s="118"/>
      <c r="B5902" s="136"/>
    </row>
    <row r="5903" spans="1:2" x14ac:dyDescent="0.25">
      <c r="A5903" s="118"/>
      <c r="B5903" s="136"/>
    </row>
    <row r="5904" spans="1:2" x14ac:dyDescent="0.25">
      <c r="A5904" s="118"/>
      <c r="B5904" s="136"/>
    </row>
    <row r="5905" spans="1:2" x14ac:dyDescent="0.25">
      <c r="A5905" s="118"/>
      <c r="B5905" s="136"/>
    </row>
    <row r="5906" spans="1:2" x14ac:dyDescent="0.25">
      <c r="A5906" s="118"/>
      <c r="B5906" s="136"/>
    </row>
    <row r="5907" spans="1:2" x14ac:dyDescent="0.25">
      <c r="A5907" s="118"/>
      <c r="B5907" s="136"/>
    </row>
    <row r="5908" spans="1:2" x14ac:dyDescent="0.25">
      <c r="A5908" s="118"/>
      <c r="B5908" s="136"/>
    </row>
    <row r="5909" spans="1:2" x14ac:dyDescent="0.25">
      <c r="A5909" s="118"/>
      <c r="B5909" s="136"/>
    </row>
    <row r="5910" spans="1:2" x14ac:dyDescent="0.25">
      <c r="A5910" s="118"/>
      <c r="B5910" s="136"/>
    </row>
    <row r="5911" spans="1:2" x14ac:dyDescent="0.25">
      <c r="A5911" s="118"/>
      <c r="B5911" s="136"/>
    </row>
    <row r="5912" spans="1:2" x14ac:dyDescent="0.25">
      <c r="A5912" s="118"/>
      <c r="B5912" s="136"/>
    </row>
    <row r="5913" spans="1:2" x14ac:dyDescent="0.25">
      <c r="A5913" s="118"/>
      <c r="B5913" s="136"/>
    </row>
    <row r="5914" spans="1:2" x14ac:dyDescent="0.25">
      <c r="A5914" s="118"/>
      <c r="B5914" s="136"/>
    </row>
    <row r="5915" spans="1:2" x14ac:dyDescent="0.25">
      <c r="A5915" s="118"/>
      <c r="B5915" s="136"/>
    </row>
    <row r="5916" spans="1:2" x14ac:dyDescent="0.25">
      <c r="A5916" s="118"/>
      <c r="B5916" s="136"/>
    </row>
    <row r="5917" spans="1:2" x14ac:dyDescent="0.25">
      <c r="A5917" s="118"/>
      <c r="B5917" s="136"/>
    </row>
    <row r="5918" spans="1:2" x14ac:dyDescent="0.25">
      <c r="A5918" s="118"/>
      <c r="B5918" s="136"/>
    </row>
    <row r="5919" spans="1:2" x14ac:dyDescent="0.25">
      <c r="A5919" s="118"/>
      <c r="B5919" s="136"/>
    </row>
    <row r="5920" spans="1:2" x14ac:dyDescent="0.25">
      <c r="A5920" s="118"/>
      <c r="B5920" s="136"/>
    </row>
    <row r="5921" spans="1:2" x14ac:dyDescent="0.25">
      <c r="A5921" s="118"/>
      <c r="B5921" s="136"/>
    </row>
    <row r="5922" spans="1:2" x14ac:dyDescent="0.25">
      <c r="A5922" s="118"/>
      <c r="B5922" s="136"/>
    </row>
    <row r="5923" spans="1:2" x14ac:dyDescent="0.25">
      <c r="A5923" s="118"/>
      <c r="B5923" s="136"/>
    </row>
    <row r="5924" spans="1:2" x14ac:dyDescent="0.25">
      <c r="A5924" s="118"/>
      <c r="B5924" s="136"/>
    </row>
    <row r="5925" spans="1:2" x14ac:dyDescent="0.25">
      <c r="A5925" s="118"/>
      <c r="B5925" s="136"/>
    </row>
    <row r="5926" spans="1:2" x14ac:dyDescent="0.25">
      <c r="A5926" s="118"/>
      <c r="B5926" s="136"/>
    </row>
    <row r="5927" spans="1:2" x14ac:dyDescent="0.25">
      <c r="A5927" s="118"/>
      <c r="B5927" s="136"/>
    </row>
    <row r="5928" spans="1:2" x14ac:dyDescent="0.25">
      <c r="A5928" s="118"/>
      <c r="B5928" s="136"/>
    </row>
    <row r="5929" spans="1:2" x14ac:dyDescent="0.25">
      <c r="A5929" s="118"/>
      <c r="B5929" s="136"/>
    </row>
    <row r="5930" spans="1:2" x14ac:dyDescent="0.25">
      <c r="A5930" s="118"/>
      <c r="B5930" s="136"/>
    </row>
    <row r="5931" spans="1:2" x14ac:dyDescent="0.25">
      <c r="A5931" s="118"/>
      <c r="B5931" s="136"/>
    </row>
    <row r="5932" spans="1:2" x14ac:dyDescent="0.25">
      <c r="A5932" s="118"/>
      <c r="B5932" s="136"/>
    </row>
    <row r="5933" spans="1:2" x14ac:dyDescent="0.25">
      <c r="A5933" s="118"/>
      <c r="B5933" s="136"/>
    </row>
    <row r="5934" spans="1:2" x14ac:dyDescent="0.25">
      <c r="A5934" s="118"/>
      <c r="B5934" s="136"/>
    </row>
    <row r="5935" spans="1:2" x14ac:dyDescent="0.25">
      <c r="A5935" s="118"/>
      <c r="B5935" s="136"/>
    </row>
    <row r="5936" spans="1:2" x14ac:dyDescent="0.25">
      <c r="A5936" s="118"/>
      <c r="B5936" s="136"/>
    </row>
    <row r="5937" spans="1:2" x14ac:dyDescent="0.25">
      <c r="A5937" s="118"/>
      <c r="B5937" s="136"/>
    </row>
    <row r="5938" spans="1:2" x14ac:dyDescent="0.25">
      <c r="A5938" s="118"/>
      <c r="B5938" s="136"/>
    </row>
    <row r="5939" spans="1:2" x14ac:dyDescent="0.25">
      <c r="A5939" s="118"/>
      <c r="B5939" s="136"/>
    </row>
    <row r="5940" spans="1:2" x14ac:dyDescent="0.25">
      <c r="A5940" s="118"/>
      <c r="B5940" s="136"/>
    </row>
    <row r="5941" spans="1:2" x14ac:dyDescent="0.25">
      <c r="A5941" s="118"/>
      <c r="B5941" s="136"/>
    </row>
    <row r="5942" spans="1:2" x14ac:dyDescent="0.25">
      <c r="A5942" s="118"/>
      <c r="B5942" s="136"/>
    </row>
    <row r="5943" spans="1:2" x14ac:dyDescent="0.25">
      <c r="A5943" s="118"/>
      <c r="B5943" s="136"/>
    </row>
    <row r="5944" spans="1:2" x14ac:dyDescent="0.25">
      <c r="A5944" s="118"/>
      <c r="B5944" s="136"/>
    </row>
    <row r="5945" spans="1:2" x14ac:dyDescent="0.25">
      <c r="A5945" s="118"/>
      <c r="B5945" s="136"/>
    </row>
    <row r="5946" spans="1:2" x14ac:dyDescent="0.25">
      <c r="A5946" s="118"/>
      <c r="B5946" s="136"/>
    </row>
    <row r="5947" spans="1:2" x14ac:dyDescent="0.25">
      <c r="A5947" s="118"/>
      <c r="B5947" s="136"/>
    </row>
    <row r="5948" spans="1:2" x14ac:dyDescent="0.25">
      <c r="A5948" s="118"/>
      <c r="B5948" s="136"/>
    </row>
    <row r="5949" spans="1:2" x14ac:dyDescent="0.25">
      <c r="A5949" s="118"/>
      <c r="B5949" s="136"/>
    </row>
    <row r="5950" spans="1:2" x14ac:dyDescent="0.25">
      <c r="A5950" s="118"/>
      <c r="B5950" s="136"/>
    </row>
    <row r="5951" spans="1:2" x14ac:dyDescent="0.25">
      <c r="A5951" s="118"/>
      <c r="B5951" s="136"/>
    </row>
    <row r="5952" spans="1:2" x14ac:dyDescent="0.25">
      <c r="A5952" s="118"/>
      <c r="B5952" s="136"/>
    </row>
    <row r="5953" spans="1:2" x14ac:dyDescent="0.25">
      <c r="A5953" s="118"/>
      <c r="B5953" s="136"/>
    </row>
    <row r="5954" spans="1:2" x14ac:dyDescent="0.25">
      <c r="A5954" s="118"/>
      <c r="B5954" s="136"/>
    </row>
    <row r="5955" spans="1:2" x14ac:dyDescent="0.25">
      <c r="A5955" s="118"/>
      <c r="B5955" s="136"/>
    </row>
    <row r="5956" spans="1:2" x14ac:dyDescent="0.25">
      <c r="A5956" s="118"/>
      <c r="B5956" s="136"/>
    </row>
    <row r="5957" spans="1:2" x14ac:dyDescent="0.25">
      <c r="A5957" s="118"/>
      <c r="B5957" s="136"/>
    </row>
    <row r="5958" spans="1:2" x14ac:dyDescent="0.25">
      <c r="A5958" s="118"/>
      <c r="B5958" s="136"/>
    </row>
    <row r="5959" spans="1:2" x14ac:dyDescent="0.25">
      <c r="A5959" s="118"/>
      <c r="B5959" s="136"/>
    </row>
    <row r="5960" spans="1:2" x14ac:dyDescent="0.25">
      <c r="A5960" s="118"/>
      <c r="B5960" s="136"/>
    </row>
    <row r="5961" spans="1:2" x14ac:dyDescent="0.25">
      <c r="A5961" s="118"/>
      <c r="B5961" s="136"/>
    </row>
    <row r="5962" spans="1:2" x14ac:dyDescent="0.25">
      <c r="A5962" s="118"/>
      <c r="B5962" s="136"/>
    </row>
    <row r="5963" spans="1:2" x14ac:dyDescent="0.25">
      <c r="A5963" s="118"/>
      <c r="B5963" s="136"/>
    </row>
    <row r="5964" spans="1:2" x14ac:dyDescent="0.25">
      <c r="A5964" s="118"/>
      <c r="B5964" s="136"/>
    </row>
    <row r="5965" spans="1:2" x14ac:dyDescent="0.25">
      <c r="A5965" s="118"/>
      <c r="B5965" s="136"/>
    </row>
    <row r="5966" spans="1:2" x14ac:dyDescent="0.25">
      <c r="A5966" s="118"/>
      <c r="B5966" s="136"/>
    </row>
    <row r="5967" spans="1:2" x14ac:dyDescent="0.25">
      <c r="A5967" s="118"/>
      <c r="B5967" s="136"/>
    </row>
    <row r="5968" spans="1:2" x14ac:dyDescent="0.25">
      <c r="A5968" s="118"/>
      <c r="B5968" s="136"/>
    </row>
    <row r="5969" spans="1:2" x14ac:dyDescent="0.25">
      <c r="A5969" s="118"/>
      <c r="B5969" s="136"/>
    </row>
    <row r="5970" spans="1:2" x14ac:dyDescent="0.25">
      <c r="A5970" s="118"/>
      <c r="B5970" s="136"/>
    </row>
    <row r="5971" spans="1:2" x14ac:dyDescent="0.25">
      <c r="A5971" s="118"/>
      <c r="B5971" s="136"/>
    </row>
    <row r="5972" spans="1:2" x14ac:dyDescent="0.25">
      <c r="A5972" s="118"/>
      <c r="B5972" s="136"/>
    </row>
    <row r="5973" spans="1:2" x14ac:dyDescent="0.25">
      <c r="A5973" s="118"/>
      <c r="B5973" s="136"/>
    </row>
    <row r="5974" spans="1:2" x14ac:dyDescent="0.25">
      <c r="A5974" s="118"/>
      <c r="B5974" s="136"/>
    </row>
    <row r="5975" spans="1:2" x14ac:dyDescent="0.25">
      <c r="A5975" s="118"/>
      <c r="B5975" s="136"/>
    </row>
    <row r="5976" spans="1:2" x14ac:dyDescent="0.25">
      <c r="A5976" s="118"/>
      <c r="B5976" s="136"/>
    </row>
    <row r="5977" spans="1:2" x14ac:dyDescent="0.25">
      <c r="A5977" s="118"/>
      <c r="B5977" s="136"/>
    </row>
    <row r="5978" spans="1:2" x14ac:dyDescent="0.25">
      <c r="A5978" s="118"/>
      <c r="B5978" s="136"/>
    </row>
    <row r="5979" spans="1:2" x14ac:dyDescent="0.25">
      <c r="A5979" s="118"/>
      <c r="B5979" s="136"/>
    </row>
    <row r="5980" spans="1:2" x14ac:dyDescent="0.25">
      <c r="A5980" s="118"/>
      <c r="B5980" s="136"/>
    </row>
    <row r="5981" spans="1:2" x14ac:dyDescent="0.25">
      <c r="A5981" s="118"/>
      <c r="B5981" s="136"/>
    </row>
    <row r="5982" spans="1:2" x14ac:dyDescent="0.25">
      <c r="A5982" s="118"/>
      <c r="B5982" s="136"/>
    </row>
    <row r="5983" spans="1:2" x14ac:dyDescent="0.25">
      <c r="A5983" s="118"/>
      <c r="B5983" s="136"/>
    </row>
    <row r="5984" spans="1:2" x14ac:dyDescent="0.25">
      <c r="A5984" s="118"/>
      <c r="B5984" s="136"/>
    </row>
    <row r="5985" spans="1:2" x14ac:dyDescent="0.25">
      <c r="A5985" s="118"/>
      <c r="B5985" s="136"/>
    </row>
    <row r="5986" spans="1:2" x14ac:dyDescent="0.25">
      <c r="A5986" s="118"/>
      <c r="B5986" s="136"/>
    </row>
    <row r="5987" spans="1:2" x14ac:dyDescent="0.25">
      <c r="A5987" s="118"/>
      <c r="B5987" s="136"/>
    </row>
    <row r="5988" spans="1:2" x14ac:dyDescent="0.25">
      <c r="A5988" s="118"/>
      <c r="B5988" s="136"/>
    </row>
    <row r="5989" spans="1:2" x14ac:dyDescent="0.25">
      <c r="A5989" s="118"/>
      <c r="B5989" s="136"/>
    </row>
    <row r="5990" spans="1:2" x14ac:dyDescent="0.25">
      <c r="A5990" s="118"/>
      <c r="B5990" s="136"/>
    </row>
    <row r="5991" spans="1:2" x14ac:dyDescent="0.25">
      <c r="A5991" s="118"/>
      <c r="B5991" s="136"/>
    </row>
    <row r="5992" spans="1:2" x14ac:dyDescent="0.25">
      <c r="A5992" s="118"/>
      <c r="B5992" s="136"/>
    </row>
    <row r="5993" spans="1:2" x14ac:dyDescent="0.25">
      <c r="A5993" s="118"/>
      <c r="B5993" s="136"/>
    </row>
    <row r="5994" spans="1:2" x14ac:dyDescent="0.25">
      <c r="A5994" s="118"/>
      <c r="B5994" s="136"/>
    </row>
    <row r="5995" spans="1:2" x14ac:dyDescent="0.25">
      <c r="A5995" s="118"/>
      <c r="B5995" s="136"/>
    </row>
    <row r="5996" spans="1:2" x14ac:dyDescent="0.25">
      <c r="A5996" s="118"/>
      <c r="B5996" s="136"/>
    </row>
    <row r="5997" spans="1:2" x14ac:dyDescent="0.25">
      <c r="A5997" s="118"/>
      <c r="B5997" s="136"/>
    </row>
    <row r="5998" spans="1:2" x14ac:dyDescent="0.25">
      <c r="A5998" s="118"/>
      <c r="B5998" s="136"/>
    </row>
    <row r="5999" spans="1:2" x14ac:dyDescent="0.25">
      <c r="A5999" s="118"/>
      <c r="B5999" s="136"/>
    </row>
    <row r="6000" spans="1:2" x14ac:dyDescent="0.25">
      <c r="A6000" s="118"/>
      <c r="B6000" s="136"/>
    </row>
    <row r="6001" spans="1:2" x14ac:dyDescent="0.25">
      <c r="A6001" s="118"/>
      <c r="B6001" s="136"/>
    </row>
    <row r="6002" spans="1:2" x14ac:dyDescent="0.25">
      <c r="A6002" s="118"/>
      <c r="B6002" s="136"/>
    </row>
    <row r="6003" spans="1:2" x14ac:dyDescent="0.25">
      <c r="A6003" s="118"/>
      <c r="B6003" s="136"/>
    </row>
    <row r="6004" spans="1:2" x14ac:dyDescent="0.25">
      <c r="A6004" s="118"/>
      <c r="B6004" s="136"/>
    </row>
    <row r="6005" spans="1:2" x14ac:dyDescent="0.25">
      <c r="A6005" s="118"/>
      <c r="B6005" s="136"/>
    </row>
    <row r="6006" spans="1:2" x14ac:dyDescent="0.25">
      <c r="A6006" s="118"/>
      <c r="B6006" s="136"/>
    </row>
    <row r="6007" spans="1:2" x14ac:dyDescent="0.25">
      <c r="A6007" s="118"/>
      <c r="B6007" s="136"/>
    </row>
    <row r="6008" spans="1:2" x14ac:dyDescent="0.25">
      <c r="A6008" s="118"/>
      <c r="B6008" s="136"/>
    </row>
    <row r="6009" spans="1:2" x14ac:dyDescent="0.25">
      <c r="A6009" s="118"/>
      <c r="B6009" s="136"/>
    </row>
    <row r="6010" spans="1:2" x14ac:dyDescent="0.25">
      <c r="A6010" s="118"/>
      <c r="B6010" s="136"/>
    </row>
    <row r="6011" spans="1:2" x14ac:dyDescent="0.25">
      <c r="A6011" s="118"/>
      <c r="B6011" s="136"/>
    </row>
    <row r="6012" spans="1:2" x14ac:dyDescent="0.25">
      <c r="A6012" s="118"/>
      <c r="B6012" s="136"/>
    </row>
    <row r="6013" spans="1:2" x14ac:dyDescent="0.25">
      <c r="A6013" s="118"/>
      <c r="B6013" s="136"/>
    </row>
    <row r="6014" spans="1:2" x14ac:dyDescent="0.25">
      <c r="A6014" s="118"/>
      <c r="B6014" s="136"/>
    </row>
    <row r="6015" spans="1:2" x14ac:dyDescent="0.25">
      <c r="A6015" s="118"/>
      <c r="B6015" s="136"/>
    </row>
    <row r="6016" spans="1:2" x14ac:dyDescent="0.25">
      <c r="A6016" s="118"/>
      <c r="B6016" s="136"/>
    </row>
    <row r="6017" spans="1:2" x14ac:dyDescent="0.25">
      <c r="A6017" s="118"/>
      <c r="B6017" s="136"/>
    </row>
    <row r="6018" spans="1:2" x14ac:dyDescent="0.25">
      <c r="A6018" s="118"/>
      <c r="B6018" s="136"/>
    </row>
    <row r="6019" spans="1:2" x14ac:dyDescent="0.25">
      <c r="A6019" s="118"/>
      <c r="B6019" s="136"/>
    </row>
    <row r="6020" spans="1:2" x14ac:dyDescent="0.25">
      <c r="A6020" s="118"/>
      <c r="B6020" s="136"/>
    </row>
    <row r="6021" spans="1:2" x14ac:dyDescent="0.25">
      <c r="A6021" s="118"/>
      <c r="B6021" s="136"/>
    </row>
    <row r="6022" spans="1:2" x14ac:dyDescent="0.25">
      <c r="A6022" s="118"/>
      <c r="B6022" s="136"/>
    </row>
    <row r="6023" spans="1:2" x14ac:dyDescent="0.25">
      <c r="A6023" s="118"/>
      <c r="B6023" s="136"/>
    </row>
    <row r="6024" spans="1:2" x14ac:dyDescent="0.25">
      <c r="A6024" s="118"/>
      <c r="B6024" s="136"/>
    </row>
    <row r="6025" spans="1:2" x14ac:dyDescent="0.25">
      <c r="A6025" s="118"/>
      <c r="B6025" s="136"/>
    </row>
    <row r="6026" spans="1:2" x14ac:dyDescent="0.25">
      <c r="A6026" s="118"/>
      <c r="B6026" s="136"/>
    </row>
    <row r="6027" spans="1:2" x14ac:dyDescent="0.25">
      <c r="A6027" s="118"/>
      <c r="B6027" s="136"/>
    </row>
    <row r="6028" spans="1:2" x14ac:dyDescent="0.25">
      <c r="A6028" s="118"/>
      <c r="B6028" s="136"/>
    </row>
    <row r="6029" spans="1:2" x14ac:dyDescent="0.25">
      <c r="A6029" s="118"/>
      <c r="B6029" s="136"/>
    </row>
    <row r="6030" spans="1:2" x14ac:dyDescent="0.25">
      <c r="A6030" s="118"/>
      <c r="B6030" s="136"/>
    </row>
    <row r="6031" spans="1:2" x14ac:dyDescent="0.25">
      <c r="A6031" s="118"/>
      <c r="B6031" s="136"/>
    </row>
    <row r="6032" spans="1:2" x14ac:dyDescent="0.25">
      <c r="A6032" s="118"/>
      <c r="B6032" s="136"/>
    </row>
    <row r="6033" spans="1:2" x14ac:dyDescent="0.25">
      <c r="A6033" s="118"/>
      <c r="B6033" s="136"/>
    </row>
    <row r="6034" spans="1:2" x14ac:dyDescent="0.25">
      <c r="A6034" s="118"/>
      <c r="B6034" s="136"/>
    </row>
    <row r="6035" spans="1:2" x14ac:dyDescent="0.25">
      <c r="A6035" s="118"/>
      <c r="B6035" s="136"/>
    </row>
    <row r="6036" spans="1:2" x14ac:dyDescent="0.25">
      <c r="A6036" s="118"/>
      <c r="B6036" s="136"/>
    </row>
    <row r="6037" spans="1:2" x14ac:dyDescent="0.25">
      <c r="A6037" s="118"/>
      <c r="B6037" s="136"/>
    </row>
    <row r="6038" spans="1:2" x14ac:dyDescent="0.25">
      <c r="A6038" s="118"/>
      <c r="B6038" s="136"/>
    </row>
    <row r="6039" spans="1:2" x14ac:dyDescent="0.25">
      <c r="A6039" s="118"/>
      <c r="B6039" s="136"/>
    </row>
    <row r="6040" spans="1:2" x14ac:dyDescent="0.25">
      <c r="A6040" s="118"/>
      <c r="B6040" s="136"/>
    </row>
    <row r="6041" spans="1:2" x14ac:dyDescent="0.25">
      <c r="A6041" s="118"/>
      <c r="B6041" s="136"/>
    </row>
    <row r="6042" spans="1:2" x14ac:dyDescent="0.25">
      <c r="A6042" s="118"/>
      <c r="B6042" s="136"/>
    </row>
    <row r="6043" spans="1:2" x14ac:dyDescent="0.25">
      <c r="A6043" s="118"/>
      <c r="B6043" s="136"/>
    </row>
    <row r="6044" spans="1:2" x14ac:dyDescent="0.25">
      <c r="A6044" s="118"/>
      <c r="B6044" s="136"/>
    </row>
    <row r="6045" spans="1:2" x14ac:dyDescent="0.25">
      <c r="A6045" s="118"/>
      <c r="B6045" s="136"/>
    </row>
    <row r="6046" spans="1:2" x14ac:dyDescent="0.25">
      <c r="A6046" s="118"/>
      <c r="B6046" s="136"/>
    </row>
    <row r="6047" spans="1:2" x14ac:dyDescent="0.25">
      <c r="A6047" s="118"/>
      <c r="B6047" s="136"/>
    </row>
    <row r="6048" spans="1:2" x14ac:dyDescent="0.25">
      <c r="A6048" s="118"/>
      <c r="B6048" s="136"/>
    </row>
    <row r="6049" spans="1:2" x14ac:dyDescent="0.25">
      <c r="A6049" s="118"/>
      <c r="B6049" s="136"/>
    </row>
    <row r="6050" spans="1:2" x14ac:dyDescent="0.25">
      <c r="A6050" s="118"/>
      <c r="B6050" s="136"/>
    </row>
    <row r="6051" spans="1:2" x14ac:dyDescent="0.25">
      <c r="A6051" s="118"/>
      <c r="B6051" s="136"/>
    </row>
    <row r="6052" spans="1:2" x14ac:dyDescent="0.25">
      <c r="A6052" s="118"/>
      <c r="B6052" s="136"/>
    </row>
    <row r="6053" spans="1:2" x14ac:dyDescent="0.25">
      <c r="A6053" s="118"/>
      <c r="B6053" s="136"/>
    </row>
    <row r="6054" spans="1:2" x14ac:dyDescent="0.25">
      <c r="A6054" s="118"/>
      <c r="B6054" s="136"/>
    </row>
    <row r="6055" spans="1:2" x14ac:dyDescent="0.25">
      <c r="A6055" s="118"/>
      <c r="B6055" s="136"/>
    </row>
    <row r="6056" spans="1:2" x14ac:dyDescent="0.25">
      <c r="A6056" s="118"/>
      <c r="B6056" s="136"/>
    </row>
    <row r="6057" spans="1:2" x14ac:dyDescent="0.25">
      <c r="A6057" s="118"/>
      <c r="B6057" s="136"/>
    </row>
    <row r="6058" spans="1:2" x14ac:dyDescent="0.25">
      <c r="A6058" s="118"/>
      <c r="B6058" s="136"/>
    </row>
    <row r="6059" spans="1:2" x14ac:dyDescent="0.25">
      <c r="A6059" s="118"/>
      <c r="B6059" s="136"/>
    </row>
    <row r="6060" spans="1:2" x14ac:dyDescent="0.25">
      <c r="A6060" s="118"/>
      <c r="B6060" s="136"/>
    </row>
    <row r="6061" spans="1:2" x14ac:dyDescent="0.25">
      <c r="A6061" s="118"/>
      <c r="B6061" s="136"/>
    </row>
    <row r="6062" spans="1:2" x14ac:dyDescent="0.25">
      <c r="A6062" s="118"/>
      <c r="B6062" s="136"/>
    </row>
    <row r="6063" spans="1:2" x14ac:dyDescent="0.25">
      <c r="A6063" s="118"/>
      <c r="B6063" s="136"/>
    </row>
    <row r="6064" spans="1:2" x14ac:dyDescent="0.25">
      <c r="A6064" s="118"/>
      <c r="B6064" s="136"/>
    </row>
    <row r="6065" spans="1:2" x14ac:dyDescent="0.25">
      <c r="A6065" s="118"/>
      <c r="B6065" s="136"/>
    </row>
    <row r="6066" spans="1:2" x14ac:dyDescent="0.25">
      <c r="A6066" s="118"/>
      <c r="B6066" s="136"/>
    </row>
    <row r="6067" spans="1:2" x14ac:dyDescent="0.25">
      <c r="A6067" s="118"/>
      <c r="B6067" s="136"/>
    </row>
    <row r="6068" spans="1:2" x14ac:dyDescent="0.25">
      <c r="A6068" s="118"/>
      <c r="B6068" s="136"/>
    </row>
    <row r="6069" spans="1:2" x14ac:dyDescent="0.25">
      <c r="A6069" s="118"/>
      <c r="B6069" s="136"/>
    </row>
    <row r="6070" spans="1:2" x14ac:dyDescent="0.25">
      <c r="A6070" s="118"/>
      <c r="B6070" s="136"/>
    </row>
    <row r="6071" spans="1:2" x14ac:dyDescent="0.25">
      <c r="A6071" s="118"/>
      <c r="B6071" s="136"/>
    </row>
    <row r="6072" spans="1:2" x14ac:dyDescent="0.25">
      <c r="A6072" s="118"/>
      <c r="B6072" s="136"/>
    </row>
    <row r="6073" spans="1:2" x14ac:dyDescent="0.25">
      <c r="A6073" s="118"/>
      <c r="B6073" s="136"/>
    </row>
    <row r="6074" spans="1:2" x14ac:dyDescent="0.25">
      <c r="A6074" s="118"/>
      <c r="B6074" s="136"/>
    </row>
    <row r="6075" spans="1:2" x14ac:dyDescent="0.25">
      <c r="A6075" s="118"/>
      <c r="B6075" s="136"/>
    </row>
    <row r="6076" spans="1:2" x14ac:dyDescent="0.25">
      <c r="A6076" s="118"/>
      <c r="B6076" s="136"/>
    </row>
    <row r="6077" spans="1:2" x14ac:dyDescent="0.25">
      <c r="A6077" s="118"/>
      <c r="B6077" s="136"/>
    </row>
    <row r="6078" spans="1:2" x14ac:dyDescent="0.25">
      <c r="A6078" s="118"/>
      <c r="B6078" s="136"/>
    </row>
    <row r="6079" spans="1:2" x14ac:dyDescent="0.25">
      <c r="A6079" s="118"/>
      <c r="B6079" s="136"/>
    </row>
    <row r="6080" spans="1:2" x14ac:dyDescent="0.25">
      <c r="A6080" s="118"/>
      <c r="B6080" s="136"/>
    </row>
    <row r="6081" spans="1:2" x14ac:dyDescent="0.25">
      <c r="A6081" s="118"/>
      <c r="B6081" s="136"/>
    </row>
    <row r="6082" spans="1:2" x14ac:dyDescent="0.25">
      <c r="A6082" s="118"/>
      <c r="B6082" s="136"/>
    </row>
    <row r="6083" spans="1:2" x14ac:dyDescent="0.25">
      <c r="A6083" s="118"/>
      <c r="B6083" s="136"/>
    </row>
    <row r="6084" spans="1:2" x14ac:dyDescent="0.25">
      <c r="A6084" s="118"/>
      <c r="B6084" s="136"/>
    </row>
    <row r="6085" spans="1:2" x14ac:dyDescent="0.25">
      <c r="A6085" s="118"/>
      <c r="B6085" s="136"/>
    </row>
    <row r="6086" spans="1:2" x14ac:dyDescent="0.25">
      <c r="A6086" s="118"/>
      <c r="B6086" s="136"/>
    </row>
    <row r="6087" spans="1:2" x14ac:dyDescent="0.25">
      <c r="A6087" s="118"/>
      <c r="B6087" s="136"/>
    </row>
    <row r="6088" spans="1:2" x14ac:dyDescent="0.25">
      <c r="A6088" s="118"/>
      <c r="B6088" s="136"/>
    </row>
    <row r="6089" spans="1:2" x14ac:dyDescent="0.25">
      <c r="A6089" s="118"/>
      <c r="B6089" s="136"/>
    </row>
    <row r="6090" spans="1:2" x14ac:dyDescent="0.25">
      <c r="A6090" s="118"/>
      <c r="B6090" s="136"/>
    </row>
    <row r="6091" spans="1:2" x14ac:dyDescent="0.25">
      <c r="A6091" s="118"/>
      <c r="B6091" s="136"/>
    </row>
    <row r="6092" spans="1:2" x14ac:dyDescent="0.25">
      <c r="A6092" s="118"/>
      <c r="B6092" s="136"/>
    </row>
    <row r="6093" spans="1:2" x14ac:dyDescent="0.25">
      <c r="A6093" s="118"/>
      <c r="B6093" s="136"/>
    </row>
    <row r="6094" spans="1:2" x14ac:dyDescent="0.25">
      <c r="A6094" s="118"/>
      <c r="B6094" s="136"/>
    </row>
    <row r="6095" spans="1:2" x14ac:dyDescent="0.25">
      <c r="A6095" s="118"/>
      <c r="B6095" s="136"/>
    </row>
    <row r="6096" spans="1:2" x14ac:dyDescent="0.25">
      <c r="A6096" s="118"/>
      <c r="B6096" s="136"/>
    </row>
    <row r="6097" spans="1:2" x14ac:dyDescent="0.25">
      <c r="A6097" s="118"/>
      <c r="B6097" s="136"/>
    </row>
    <row r="6098" spans="1:2" x14ac:dyDescent="0.25">
      <c r="A6098" s="118"/>
      <c r="B6098" s="136"/>
    </row>
    <row r="6099" spans="1:2" x14ac:dyDescent="0.25">
      <c r="A6099" s="118"/>
      <c r="B6099" s="136"/>
    </row>
    <row r="6100" spans="1:2" x14ac:dyDescent="0.25">
      <c r="A6100" s="118"/>
      <c r="B6100" s="136"/>
    </row>
    <row r="6101" spans="1:2" x14ac:dyDescent="0.25">
      <c r="A6101" s="118"/>
      <c r="B6101" s="136"/>
    </row>
    <row r="6102" spans="1:2" x14ac:dyDescent="0.25">
      <c r="A6102" s="118"/>
      <c r="B6102" s="136"/>
    </row>
    <row r="6103" spans="1:2" x14ac:dyDescent="0.25">
      <c r="A6103" s="118"/>
      <c r="B6103" s="136"/>
    </row>
    <row r="6104" spans="1:2" x14ac:dyDescent="0.25">
      <c r="A6104" s="118"/>
      <c r="B6104" s="136"/>
    </row>
    <row r="6105" spans="1:2" x14ac:dyDescent="0.25">
      <c r="A6105" s="118"/>
      <c r="B6105" s="136"/>
    </row>
    <row r="6106" spans="1:2" x14ac:dyDescent="0.25">
      <c r="A6106" s="118"/>
      <c r="B6106" s="136"/>
    </row>
    <row r="6107" spans="1:2" x14ac:dyDescent="0.25">
      <c r="A6107" s="118"/>
      <c r="B6107" s="136"/>
    </row>
    <row r="6108" spans="1:2" x14ac:dyDescent="0.25">
      <c r="A6108" s="118"/>
      <c r="B6108" s="136"/>
    </row>
    <row r="6109" spans="1:2" x14ac:dyDescent="0.25">
      <c r="A6109" s="118"/>
      <c r="B6109" s="136"/>
    </row>
    <row r="6110" spans="1:2" x14ac:dyDescent="0.25">
      <c r="A6110" s="118"/>
      <c r="B6110" s="136"/>
    </row>
    <row r="6111" spans="1:2" x14ac:dyDescent="0.25">
      <c r="A6111" s="118"/>
      <c r="B6111" s="136"/>
    </row>
    <row r="6112" spans="1:2" x14ac:dyDescent="0.25">
      <c r="A6112" s="118"/>
      <c r="B6112" s="136"/>
    </row>
    <row r="6113" spans="1:2" x14ac:dyDescent="0.25">
      <c r="A6113" s="118"/>
      <c r="B6113" s="136"/>
    </row>
    <row r="6114" spans="1:2" x14ac:dyDescent="0.25">
      <c r="A6114" s="118"/>
      <c r="B6114" s="136"/>
    </row>
    <row r="6115" spans="1:2" x14ac:dyDescent="0.25">
      <c r="A6115" s="118"/>
      <c r="B6115" s="136"/>
    </row>
    <row r="6116" spans="1:2" x14ac:dyDescent="0.25">
      <c r="A6116" s="118"/>
      <c r="B6116" s="136"/>
    </row>
    <row r="6117" spans="1:2" x14ac:dyDescent="0.25">
      <c r="A6117" s="118"/>
      <c r="B6117" s="136"/>
    </row>
    <row r="6118" spans="1:2" x14ac:dyDescent="0.25">
      <c r="A6118" s="118"/>
      <c r="B6118" s="136"/>
    </row>
    <row r="6119" spans="1:2" x14ac:dyDescent="0.25">
      <c r="A6119" s="118"/>
      <c r="B6119" s="136"/>
    </row>
    <row r="6120" spans="1:2" x14ac:dyDescent="0.25">
      <c r="A6120" s="118"/>
      <c r="B6120" s="136"/>
    </row>
    <row r="6121" spans="1:2" x14ac:dyDescent="0.25">
      <c r="A6121" s="118"/>
      <c r="B6121" s="136"/>
    </row>
    <row r="6122" spans="1:2" x14ac:dyDescent="0.25">
      <c r="A6122" s="118"/>
      <c r="B6122" s="136"/>
    </row>
    <row r="6123" spans="1:2" x14ac:dyDescent="0.25">
      <c r="A6123" s="118"/>
      <c r="B6123" s="136"/>
    </row>
    <row r="6124" spans="1:2" x14ac:dyDescent="0.25">
      <c r="A6124" s="118"/>
      <c r="B6124" s="136"/>
    </row>
    <row r="6125" spans="1:2" x14ac:dyDescent="0.25">
      <c r="A6125" s="118"/>
      <c r="B6125" s="136"/>
    </row>
    <row r="6126" spans="1:2" x14ac:dyDescent="0.25">
      <c r="A6126" s="118"/>
      <c r="B6126" s="136"/>
    </row>
    <row r="6127" spans="1:2" x14ac:dyDescent="0.25">
      <c r="A6127" s="118"/>
      <c r="B6127" s="136"/>
    </row>
    <row r="6128" spans="1:2" x14ac:dyDescent="0.25">
      <c r="A6128" s="118"/>
      <c r="B6128" s="136"/>
    </row>
    <row r="6129" spans="1:2" x14ac:dyDescent="0.25">
      <c r="A6129" s="118"/>
      <c r="B6129" s="136"/>
    </row>
    <row r="6130" spans="1:2" x14ac:dyDescent="0.25">
      <c r="A6130" s="118"/>
      <c r="B6130" s="136"/>
    </row>
    <row r="6131" spans="1:2" x14ac:dyDescent="0.25">
      <c r="A6131" s="118"/>
      <c r="B6131" s="136"/>
    </row>
    <row r="6132" spans="1:2" x14ac:dyDescent="0.25">
      <c r="A6132" s="118"/>
      <c r="B6132" s="136"/>
    </row>
    <row r="6133" spans="1:2" x14ac:dyDescent="0.25">
      <c r="A6133" s="118"/>
      <c r="B6133" s="136"/>
    </row>
    <row r="6134" spans="1:2" x14ac:dyDescent="0.25">
      <c r="A6134" s="118"/>
      <c r="B6134" s="136"/>
    </row>
    <row r="6135" spans="1:2" x14ac:dyDescent="0.25">
      <c r="A6135" s="118"/>
      <c r="B6135" s="136"/>
    </row>
    <row r="6136" spans="1:2" x14ac:dyDescent="0.25">
      <c r="A6136" s="118"/>
      <c r="B6136" s="136"/>
    </row>
    <row r="6137" spans="1:2" x14ac:dyDescent="0.25">
      <c r="A6137" s="118"/>
      <c r="B6137" s="136"/>
    </row>
    <row r="6138" spans="1:2" x14ac:dyDescent="0.25">
      <c r="A6138" s="118"/>
      <c r="B6138" s="136"/>
    </row>
    <row r="6139" spans="1:2" x14ac:dyDescent="0.25">
      <c r="A6139" s="118"/>
      <c r="B6139" s="136"/>
    </row>
    <row r="6140" spans="1:2" x14ac:dyDescent="0.25">
      <c r="A6140" s="118"/>
      <c r="B6140" s="136"/>
    </row>
    <row r="6141" spans="1:2" x14ac:dyDescent="0.25">
      <c r="A6141" s="118"/>
      <c r="B6141" s="136"/>
    </row>
    <row r="6142" spans="1:2" x14ac:dyDescent="0.25">
      <c r="A6142" s="118"/>
      <c r="B6142" s="136"/>
    </row>
    <row r="6143" spans="1:2" x14ac:dyDescent="0.25">
      <c r="A6143" s="118"/>
      <c r="B6143" s="136"/>
    </row>
    <row r="6144" spans="1:2" x14ac:dyDescent="0.25">
      <c r="A6144" s="118"/>
      <c r="B6144" s="136"/>
    </row>
    <row r="6145" spans="1:2" x14ac:dyDescent="0.25">
      <c r="A6145" s="118"/>
      <c r="B6145" s="136"/>
    </row>
    <row r="6146" spans="1:2" x14ac:dyDescent="0.25">
      <c r="A6146" s="118"/>
      <c r="B6146" s="136"/>
    </row>
    <row r="6147" spans="1:2" x14ac:dyDescent="0.25">
      <c r="A6147" s="118"/>
      <c r="B6147" s="136"/>
    </row>
    <row r="6148" spans="1:2" x14ac:dyDescent="0.25">
      <c r="A6148" s="118"/>
      <c r="B6148" s="136"/>
    </row>
    <row r="6149" spans="1:2" x14ac:dyDescent="0.25">
      <c r="A6149" s="118"/>
      <c r="B6149" s="136"/>
    </row>
    <row r="6150" spans="1:2" x14ac:dyDescent="0.25">
      <c r="A6150" s="118"/>
      <c r="B6150" s="136"/>
    </row>
    <row r="6151" spans="1:2" x14ac:dyDescent="0.25">
      <c r="A6151" s="118"/>
      <c r="B6151" s="136"/>
    </row>
    <row r="6152" spans="1:2" x14ac:dyDescent="0.25">
      <c r="A6152" s="118"/>
      <c r="B6152" s="136"/>
    </row>
    <row r="6153" spans="1:2" x14ac:dyDescent="0.25">
      <c r="A6153" s="118"/>
      <c r="B6153" s="136"/>
    </row>
    <row r="6154" spans="1:2" x14ac:dyDescent="0.25">
      <c r="A6154" s="118"/>
      <c r="B6154" s="136"/>
    </row>
    <row r="6155" spans="1:2" x14ac:dyDescent="0.25">
      <c r="A6155" s="118"/>
      <c r="B6155" s="136"/>
    </row>
    <row r="6156" spans="1:2" x14ac:dyDescent="0.25">
      <c r="A6156" s="118"/>
      <c r="B6156" s="136"/>
    </row>
    <row r="6157" spans="1:2" x14ac:dyDescent="0.25">
      <c r="A6157" s="118"/>
      <c r="B6157" s="136"/>
    </row>
    <row r="6158" spans="1:2" x14ac:dyDescent="0.25">
      <c r="A6158" s="118"/>
      <c r="B6158" s="136"/>
    </row>
    <row r="6159" spans="1:2" x14ac:dyDescent="0.25">
      <c r="A6159" s="118"/>
      <c r="B6159" s="136"/>
    </row>
    <row r="6160" spans="1:2" x14ac:dyDescent="0.25">
      <c r="A6160" s="118"/>
      <c r="B6160" s="136"/>
    </row>
    <row r="6161" spans="1:2" x14ac:dyDescent="0.25">
      <c r="A6161" s="118"/>
      <c r="B6161" s="136"/>
    </row>
    <row r="6162" spans="1:2" x14ac:dyDescent="0.25">
      <c r="A6162" s="118"/>
      <c r="B6162" s="136"/>
    </row>
    <row r="6163" spans="1:2" x14ac:dyDescent="0.25">
      <c r="A6163" s="118"/>
      <c r="B6163" s="136"/>
    </row>
    <row r="6164" spans="1:2" x14ac:dyDescent="0.25">
      <c r="A6164" s="118"/>
      <c r="B6164" s="136"/>
    </row>
    <row r="6165" spans="1:2" x14ac:dyDescent="0.25">
      <c r="A6165" s="118"/>
      <c r="B6165" s="136"/>
    </row>
    <row r="6166" spans="1:2" x14ac:dyDescent="0.25">
      <c r="A6166" s="118"/>
      <c r="B6166" s="136"/>
    </row>
    <row r="6167" spans="1:2" x14ac:dyDescent="0.25">
      <c r="A6167" s="118"/>
      <c r="B6167" s="136"/>
    </row>
    <row r="6168" spans="1:2" x14ac:dyDescent="0.25">
      <c r="A6168" s="118"/>
      <c r="B6168" s="136"/>
    </row>
    <row r="6169" spans="1:2" x14ac:dyDescent="0.25">
      <c r="A6169" s="118"/>
      <c r="B6169" s="136"/>
    </row>
    <row r="6170" spans="1:2" x14ac:dyDescent="0.25">
      <c r="A6170" s="118"/>
      <c r="B6170" s="136"/>
    </row>
    <row r="6171" spans="1:2" x14ac:dyDescent="0.25">
      <c r="A6171" s="118"/>
      <c r="B6171" s="136"/>
    </row>
    <row r="6172" spans="1:2" x14ac:dyDescent="0.25">
      <c r="A6172" s="118"/>
      <c r="B6172" s="136"/>
    </row>
    <row r="6173" spans="1:2" x14ac:dyDescent="0.25">
      <c r="A6173" s="118"/>
      <c r="B6173" s="136"/>
    </row>
    <row r="6174" spans="1:2" x14ac:dyDescent="0.25">
      <c r="A6174" s="118"/>
      <c r="B6174" s="136"/>
    </row>
    <row r="6175" spans="1:2" x14ac:dyDescent="0.25">
      <c r="A6175" s="118"/>
      <c r="B6175" s="136"/>
    </row>
    <row r="6176" spans="1:2" x14ac:dyDescent="0.25">
      <c r="A6176" s="118"/>
      <c r="B6176" s="136"/>
    </row>
    <row r="6177" spans="1:2" x14ac:dyDescent="0.25">
      <c r="A6177" s="118"/>
      <c r="B6177" s="136"/>
    </row>
    <row r="6178" spans="1:2" x14ac:dyDescent="0.25">
      <c r="A6178" s="118"/>
      <c r="B6178" s="136"/>
    </row>
    <row r="6179" spans="1:2" x14ac:dyDescent="0.25">
      <c r="A6179" s="118"/>
      <c r="B6179" s="136"/>
    </row>
    <row r="6180" spans="1:2" x14ac:dyDescent="0.25">
      <c r="A6180" s="118"/>
      <c r="B6180" s="136"/>
    </row>
    <row r="6181" spans="1:2" x14ac:dyDescent="0.25">
      <c r="A6181" s="118"/>
      <c r="B6181" s="136"/>
    </row>
    <row r="6182" spans="1:2" x14ac:dyDescent="0.25">
      <c r="A6182" s="118"/>
      <c r="B6182" s="136"/>
    </row>
    <row r="6183" spans="1:2" x14ac:dyDescent="0.25">
      <c r="A6183" s="118"/>
      <c r="B6183" s="136"/>
    </row>
    <row r="6184" spans="1:2" x14ac:dyDescent="0.25">
      <c r="A6184" s="118"/>
      <c r="B6184" s="136"/>
    </row>
    <row r="6185" spans="1:2" x14ac:dyDescent="0.25">
      <c r="A6185" s="118"/>
      <c r="B6185" s="136"/>
    </row>
    <row r="6186" spans="1:2" x14ac:dyDescent="0.25">
      <c r="A6186" s="118"/>
      <c r="B6186" s="136"/>
    </row>
    <row r="6187" spans="1:2" x14ac:dyDescent="0.25">
      <c r="A6187" s="118"/>
      <c r="B6187" s="136"/>
    </row>
    <row r="6188" spans="1:2" x14ac:dyDescent="0.25">
      <c r="A6188" s="118"/>
      <c r="B6188" s="136"/>
    </row>
    <row r="6189" spans="1:2" x14ac:dyDescent="0.25">
      <c r="A6189" s="118"/>
      <c r="B6189" s="136"/>
    </row>
    <row r="6190" spans="1:2" x14ac:dyDescent="0.25">
      <c r="A6190" s="118"/>
      <c r="B6190" s="136"/>
    </row>
    <row r="6191" spans="1:2" x14ac:dyDescent="0.25">
      <c r="A6191" s="118"/>
      <c r="B6191" s="136"/>
    </row>
    <row r="6192" spans="1:2" x14ac:dyDescent="0.25">
      <c r="A6192" s="118"/>
      <c r="B6192" s="136"/>
    </row>
    <row r="6193" spans="1:2" x14ac:dyDescent="0.25">
      <c r="A6193" s="118"/>
      <c r="B6193" s="136"/>
    </row>
    <row r="6194" spans="1:2" x14ac:dyDescent="0.25">
      <c r="A6194" s="118"/>
      <c r="B6194" s="136"/>
    </row>
    <row r="6195" spans="1:2" x14ac:dyDescent="0.25">
      <c r="A6195" s="118"/>
      <c r="B6195" s="136"/>
    </row>
    <row r="6196" spans="1:2" x14ac:dyDescent="0.25">
      <c r="A6196" s="118"/>
      <c r="B6196" s="136"/>
    </row>
    <row r="6197" spans="1:2" x14ac:dyDescent="0.25">
      <c r="A6197" s="118"/>
      <c r="B6197" s="136"/>
    </row>
    <row r="6198" spans="1:2" x14ac:dyDescent="0.25">
      <c r="A6198" s="118"/>
      <c r="B6198" s="136"/>
    </row>
    <row r="6199" spans="1:2" x14ac:dyDescent="0.25">
      <c r="A6199" s="118"/>
      <c r="B6199" s="136"/>
    </row>
    <row r="6200" spans="1:2" x14ac:dyDescent="0.25">
      <c r="A6200" s="118"/>
      <c r="B6200" s="136"/>
    </row>
    <row r="6201" spans="1:2" x14ac:dyDescent="0.25">
      <c r="A6201" s="118"/>
      <c r="B6201" s="136"/>
    </row>
    <row r="6202" spans="1:2" x14ac:dyDescent="0.25">
      <c r="A6202" s="118"/>
      <c r="B6202" s="136"/>
    </row>
    <row r="6203" spans="1:2" x14ac:dyDescent="0.25">
      <c r="A6203" s="118"/>
      <c r="B6203" s="136"/>
    </row>
    <row r="6204" spans="1:2" x14ac:dyDescent="0.25">
      <c r="A6204" s="118"/>
      <c r="B6204" s="136"/>
    </row>
    <row r="6205" spans="1:2" x14ac:dyDescent="0.25">
      <c r="A6205" s="118"/>
      <c r="B6205" s="136"/>
    </row>
    <row r="6206" spans="1:2" x14ac:dyDescent="0.25">
      <c r="A6206" s="118"/>
      <c r="B6206" s="136"/>
    </row>
    <row r="6207" spans="1:2" x14ac:dyDescent="0.25">
      <c r="A6207" s="118"/>
      <c r="B6207" s="136"/>
    </row>
    <row r="6208" spans="1:2" x14ac:dyDescent="0.25">
      <c r="A6208" s="118"/>
      <c r="B6208" s="136"/>
    </row>
    <row r="6209" spans="1:2" x14ac:dyDescent="0.25">
      <c r="A6209" s="118"/>
      <c r="B6209" s="136"/>
    </row>
    <row r="6210" spans="1:2" x14ac:dyDescent="0.25">
      <c r="A6210" s="118"/>
      <c r="B6210" s="136"/>
    </row>
    <row r="6211" spans="1:2" x14ac:dyDescent="0.25">
      <c r="A6211" s="118"/>
      <c r="B6211" s="136"/>
    </row>
    <row r="6212" spans="1:2" x14ac:dyDescent="0.25">
      <c r="A6212" s="118"/>
      <c r="B6212" s="136"/>
    </row>
    <row r="6213" spans="1:2" x14ac:dyDescent="0.25">
      <c r="A6213" s="118"/>
      <c r="B6213" s="136"/>
    </row>
    <row r="6214" spans="1:2" x14ac:dyDescent="0.25">
      <c r="A6214" s="118"/>
      <c r="B6214" s="136"/>
    </row>
    <row r="6215" spans="1:2" x14ac:dyDescent="0.25">
      <c r="A6215" s="118"/>
      <c r="B6215" s="136"/>
    </row>
    <row r="6216" spans="1:2" x14ac:dyDescent="0.25">
      <c r="A6216" s="118"/>
      <c r="B6216" s="136"/>
    </row>
    <row r="6217" spans="1:2" x14ac:dyDescent="0.25">
      <c r="A6217" s="118"/>
      <c r="B6217" s="136"/>
    </row>
    <row r="6218" spans="1:2" x14ac:dyDescent="0.25">
      <c r="A6218" s="118"/>
      <c r="B6218" s="136"/>
    </row>
    <row r="6219" spans="1:2" x14ac:dyDescent="0.25">
      <c r="A6219" s="118"/>
      <c r="B6219" s="136"/>
    </row>
    <row r="6220" spans="1:2" x14ac:dyDescent="0.25">
      <c r="A6220" s="118"/>
      <c r="B6220" s="136"/>
    </row>
    <row r="6221" spans="1:2" x14ac:dyDescent="0.25">
      <c r="A6221" s="118"/>
      <c r="B6221" s="136"/>
    </row>
    <row r="6222" spans="1:2" x14ac:dyDescent="0.25">
      <c r="A6222" s="118"/>
      <c r="B6222" s="136"/>
    </row>
    <row r="6223" spans="1:2" x14ac:dyDescent="0.25">
      <c r="A6223" s="118"/>
      <c r="B6223" s="136"/>
    </row>
    <row r="6224" spans="1:2" x14ac:dyDescent="0.25">
      <c r="A6224" s="118"/>
      <c r="B6224" s="136"/>
    </row>
    <row r="6225" spans="1:2" x14ac:dyDescent="0.25">
      <c r="A6225" s="118"/>
      <c r="B6225" s="136"/>
    </row>
    <row r="6226" spans="1:2" x14ac:dyDescent="0.25">
      <c r="A6226" s="118"/>
      <c r="B6226" s="136"/>
    </row>
    <row r="6227" spans="1:2" x14ac:dyDescent="0.25">
      <c r="A6227" s="118"/>
      <c r="B6227" s="136"/>
    </row>
    <row r="6228" spans="1:2" x14ac:dyDescent="0.25">
      <c r="A6228" s="118"/>
      <c r="B6228" s="136"/>
    </row>
    <row r="6229" spans="1:2" x14ac:dyDescent="0.25">
      <c r="A6229" s="118"/>
      <c r="B6229" s="136"/>
    </row>
    <row r="6230" spans="1:2" x14ac:dyDescent="0.25">
      <c r="A6230" s="118"/>
      <c r="B6230" s="136"/>
    </row>
    <row r="6231" spans="1:2" x14ac:dyDescent="0.25">
      <c r="A6231" s="118"/>
      <c r="B6231" s="136"/>
    </row>
    <row r="6232" spans="1:2" x14ac:dyDescent="0.25">
      <c r="A6232" s="118"/>
      <c r="B6232" s="136"/>
    </row>
    <row r="6233" spans="1:2" x14ac:dyDescent="0.25">
      <c r="A6233" s="118"/>
      <c r="B6233" s="136"/>
    </row>
    <row r="6234" spans="1:2" x14ac:dyDescent="0.25">
      <c r="A6234" s="118"/>
      <c r="B6234" s="136"/>
    </row>
    <row r="6235" spans="1:2" x14ac:dyDescent="0.25">
      <c r="A6235" s="118"/>
      <c r="B6235" s="136"/>
    </row>
    <row r="6236" spans="1:2" x14ac:dyDescent="0.25">
      <c r="A6236" s="118"/>
      <c r="B6236" s="136"/>
    </row>
    <row r="6237" spans="1:2" x14ac:dyDescent="0.25">
      <c r="A6237" s="118"/>
      <c r="B6237" s="136"/>
    </row>
    <row r="6238" spans="1:2" x14ac:dyDescent="0.25">
      <c r="A6238" s="118"/>
      <c r="B6238" s="136"/>
    </row>
    <row r="6239" spans="1:2" x14ac:dyDescent="0.25">
      <c r="A6239" s="118"/>
      <c r="B6239" s="136"/>
    </row>
    <row r="6240" spans="1:2" x14ac:dyDescent="0.25">
      <c r="A6240" s="118"/>
      <c r="B6240" s="136"/>
    </row>
    <row r="6241" spans="1:2" x14ac:dyDescent="0.25">
      <c r="A6241" s="118"/>
      <c r="B6241" s="136"/>
    </row>
    <row r="6242" spans="1:2" x14ac:dyDescent="0.25">
      <c r="A6242" s="118"/>
      <c r="B6242" s="136"/>
    </row>
    <row r="6243" spans="1:2" x14ac:dyDescent="0.25">
      <c r="A6243" s="118"/>
      <c r="B6243" s="136"/>
    </row>
    <row r="6244" spans="1:2" x14ac:dyDescent="0.25">
      <c r="A6244" s="118"/>
      <c r="B6244" s="136"/>
    </row>
    <row r="6245" spans="1:2" x14ac:dyDescent="0.25">
      <c r="A6245" s="118"/>
      <c r="B6245" s="136"/>
    </row>
    <row r="6246" spans="1:2" x14ac:dyDescent="0.25">
      <c r="A6246" s="118"/>
      <c r="B6246" s="136"/>
    </row>
    <row r="6247" spans="1:2" x14ac:dyDescent="0.25">
      <c r="A6247" s="118"/>
      <c r="B6247" s="136"/>
    </row>
    <row r="6248" spans="1:2" x14ac:dyDescent="0.25">
      <c r="A6248" s="118"/>
      <c r="B6248" s="136"/>
    </row>
    <row r="6249" spans="1:2" x14ac:dyDescent="0.25">
      <c r="A6249" s="118"/>
      <c r="B6249" s="136"/>
    </row>
    <row r="6250" spans="1:2" x14ac:dyDescent="0.25">
      <c r="A6250" s="118"/>
      <c r="B6250" s="136"/>
    </row>
    <row r="6251" spans="1:2" x14ac:dyDescent="0.25">
      <c r="A6251" s="118"/>
      <c r="B6251" s="136"/>
    </row>
    <row r="6252" spans="1:2" x14ac:dyDescent="0.25">
      <c r="A6252" s="118"/>
      <c r="B6252" s="136"/>
    </row>
    <row r="6253" spans="1:2" x14ac:dyDescent="0.25">
      <c r="A6253" s="118"/>
      <c r="B6253" s="136"/>
    </row>
    <row r="6254" spans="1:2" x14ac:dyDescent="0.25">
      <c r="A6254" s="118"/>
      <c r="B6254" s="136"/>
    </row>
    <row r="6255" spans="1:2" x14ac:dyDescent="0.25">
      <c r="A6255" s="118"/>
      <c r="B6255" s="136"/>
    </row>
    <row r="6256" spans="1:2" x14ac:dyDescent="0.25">
      <c r="A6256" s="118"/>
      <c r="B6256" s="136"/>
    </row>
    <row r="6257" spans="1:2" x14ac:dyDescent="0.25">
      <c r="A6257" s="118"/>
      <c r="B6257" s="136"/>
    </row>
    <row r="6258" spans="1:2" x14ac:dyDescent="0.25">
      <c r="A6258" s="118"/>
      <c r="B6258" s="136"/>
    </row>
    <row r="6259" spans="1:2" x14ac:dyDescent="0.25">
      <c r="A6259" s="118"/>
      <c r="B6259" s="136"/>
    </row>
    <row r="6260" spans="1:2" x14ac:dyDescent="0.25">
      <c r="A6260" s="118"/>
      <c r="B6260" s="136"/>
    </row>
    <row r="6261" spans="1:2" x14ac:dyDescent="0.25">
      <c r="A6261" s="118"/>
      <c r="B6261" s="136"/>
    </row>
    <row r="6262" spans="1:2" x14ac:dyDescent="0.25">
      <c r="A6262" s="118"/>
      <c r="B6262" s="136"/>
    </row>
    <row r="6263" spans="1:2" x14ac:dyDescent="0.25">
      <c r="A6263" s="118"/>
      <c r="B6263" s="136"/>
    </row>
    <row r="6264" spans="1:2" x14ac:dyDescent="0.25">
      <c r="A6264" s="118"/>
      <c r="B6264" s="136"/>
    </row>
    <row r="6265" spans="1:2" x14ac:dyDescent="0.25">
      <c r="A6265" s="118"/>
      <c r="B6265" s="136"/>
    </row>
    <row r="6266" spans="1:2" x14ac:dyDescent="0.25">
      <c r="A6266" s="118"/>
      <c r="B6266" s="136"/>
    </row>
    <row r="6267" spans="1:2" x14ac:dyDescent="0.25">
      <c r="A6267" s="118"/>
      <c r="B6267" s="136"/>
    </row>
    <row r="6268" spans="1:2" x14ac:dyDescent="0.25">
      <c r="A6268" s="118"/>
      <c r="B6268" s="136"/>
    </row>
    <row r="6269" spans="1:2" x14ac:dyDescent="0.25">
      <c r="A6269" s="118"/>
      <c r="B6269" s="136"/>
    </row>
    <row r="6270" spans="1:2" x14ac:dyDescent="0.25">
      <c r="A6270" s="118"/>
      <c r="B6270" s="136"/>
    </row>
    <row r="6271" spans="1:2" x14ac:dyDescent="0.25">
      <c r="A6271" s="118"/>
      <c r="B6271" s="136"/>
    </row>
    <row r="6272" spans="1:2" x14ac:dyDescent="0.25">
      <c r="A6272" s="118"/>
      <c r="B6272" s="136"/>
    </row>
    <row r="6273" spans="1:2" x14ac:dyDescent="0.25">
      <c r="A6273" s="118"/>
      <c r="B6273" s="136"/>
    </row>
    <row r="6274" spans="1:2" x14ac:dyDescent="0.25">
      <c r="A6274" s="118"/>
      <c r="B6274" s="136"/>
    </row>
    <row r="6275" spans="1:2" x14ac:dyDescent="0.25">
      <c r="A6275" s="118"/>
      <c r="B6275" s="136"/>
    </row>
    <row r="6276" spans="1:2" x14ac:dyDescent="0.25">
      <c r="A6276" s="118"/>
      <c r="B6276" s="136"/>
    </row>
    <row r="6277" spans="1:2" x14ac:dyDescent="0.25">
      <c r="A6277" s="118"/>
      <c r="B6277" s="136"/>
    </row>
    <row r="6278" spans="1:2" x14ac:dyDescent="0.25">
      <c r="A6278" s="118"/>
      <c r="B6278" s="136"/>
    </row>
    <row r="6279" spans="1:2" x14ac:dyDescent="0.25">
      <c r="A6279" s="118"/>
      <c r="B6279" s="136"/>
    </row>
    <row r="6280" spans="1:2" x14ac:dyDescent="0.25">
      <c r="A6280" s="118"/>
      <c r="B6280" s="136"/>
    </row>
    <row r="6281" spans="1:2" x14ac:dyDescent="0.25">
      <c r="A6281" s="118"/>
      <c r="B6281" s="136"/>
    </row>
    <row r="6282" spans="1:2" x14ac:dyDescent="0.25">
      <c r="A6282" s="118"/>
      <c r="B6282" s="136"/>
    </row>
    <row r="6283" spans="1:2" x14ac:dyDescent="0.25">
      <c r="A6283" s="118"/>
      <c r="B6283" s="136"/>
    </row>
    <row r="6284" spans="1:2" x14ac:dyDescent="0.25">
      <c r="A6284" s="118"/>
      <c r="B6284" s="136"/>
    </row>
    <row r="6285" spans="1:2" x14ac:dyDescent="0.25">
      <c r="A6285" s="118"/>
      <c r="B6285" s="136"/>
    </row>
    <row r="6286" spans="1:2" x14ac:dyDescent="0.25">
      <c r="A6286" s="118"/>
      <c r="B6286" s="136"/>
    </row>
    <row r="6287" spans="1:2" x14ac:dyDescent="0.25">
      <c r="A6287" s="118"/>
      <c r="B6287" s="136"/>
    </row>
    <row r="6288" spans="1:2" x14ac:dyDescent="0.25">
      <c r="A6288" s="118"/>
      <c r="B6288" s="136"/>
    </row>
    <row r="6289" spans="1:2" x14ac:dyDescent="0.25">
      <c r="A6289" s="118"/>
      <c r="B6289" s="136"/>
    </row>
    <row r="6290" spans="1:2" x14ac:dyDescent="0.25">
      <c r="A6290" s="118"/>
      <c r="B6290" s="136"/>
    </row>
    <row r="6291" spans="1:2" x14ac:dyDescent="0.25">
      <c r="A6291" s="118"/>
      <c r="B6291" s="136"/>
    </row>
    <row r="6292" spans="1:2" x14ac:dyDescent="0.25">
      <c r="A6292" s="118"/>
      <c r="B6292" s="136"/>
    </row>
    <row r="6293" spans="1:2" x14ac:dyDescent="0.25">
      <c r="A6293" s="118"/>
      <c r="B6293" s="136"/>
    </row>
    <row r="6294" spans="1:2" x14ac:dyDescent="0.25">
      <c r="A6294" s="118"/>
      <c r="B6294" s="136"/>
    </row>
    <row r="6295" spans="1:2" x14ac:dyDescent="0.25">
      <c r="A6295" s="118"/>
      <c r="B6295" s="136"/>
    </row>
    <row r="6296" spans="1:2" x14ac:dyDescent="0.25">
      <c r="A6296" s="118"/>
      <c r="B6296" s="136"/>
    </row>
    <row r="6297" spans="1:2" x14ac:dyDescent="0.25">
      <c r="A6297" s="118"/>
      <c r="B6297" s="136"/>
    </row>
    <row r="6298" spans="1:2" x14ac:dyDescent="0.25">
      <c r="A6298" s="118"/>
      <c r="B6298" s="136"/>
    </row>
    <row r="6299" spans="1:2" x14ac:dyDescent="0.25">
      <c r="A6299" s="118"/>
      <c r="B6299" s="136"/>
    </row>
    <row r="6300" spans="1:2" x14ac:dyDescent="0.25">
      <c r="A6300" s="118"/>
      <c r="B6300" s="136"/>
    </row>
    <row r="6301" spans="1:2" x14ac:dyDescent="0.25">
      <c r="A6301" s="118"/>
      <c r="B6301" s="136"/>
    </row>
    <row r="6302" spans="1:2" x14ac:dyDescent="0.25">
      <c r="A6302" s="118"/>
      <c r="B6302" s="136"/>
    </row>
    <row r="6303" spans="1:2" x14ac:dyDescent="0.25">
      <c r="A6303" s="118"/>
      <c r="B6303" s="136"/>
    </row>
    <row r="6304" spans="1:2" x14ac:dyDescent="0.25">
      <c r="A6304" s="118"/>
      <c r="B6304" s="136"/>
    </row>
    <row r="6305" spans="1:2" x14ac:dyDescent="0.25">
      <c r="A6305" s="118"/>
      <c r="B6305" s="136"/>
    </row>
    <row r="6306" spans="1:2" x14ac:dyDescent="0.25">
      <c r="A6306" s="118"/>
      <c r="B6306" s="136"/>
    </row>
    <row r="6307" spans="1:2" x14ac:dyDescent="0.25">
      <c r="A6307" s="118"/>
      <c r="B6307" s="136"/>
    </row>
    <row r="6308" spans="1:2" x14ac:dyDescent="0.25">
      <c r="A6308" s="118"/>
      <c r="B6308" s="136"/>
    </row>
    <row r="6309" spans="1:2" x14ac:dyDescent="0.25">
      <c r="A6309" s="118"/>
      <c r="B6309" s="136"/>
    </row>
    <row r="6310" spans="1:2" x14ac:dyDescent="0.25">
      <c r="A6310" s="118"/>
      <c r="B6310" s="136"/>
    </row>
    <row r="6311" spans="1:2" x14ac:dyDescent="0.25">
      <c r="A6311" s="118"/>
      <c r="B6311" s="136"/>
    </row>
    <row r="6312" spans="1:2" x14ac:dyDescent="0.25">
      <c r="A6312" s="118"/>
      <c r="B6312" s="136"/>
    </row>
    <row r="6313" spans="1:2" x14ac:dyDescent="0.25">
      <c r="A6313" s="118"/>
      <c r="B6313" s="136"/>
    </row>
    <row r="6314" spans="1:2" x14ac:dyDescent="0.25">
      <c r="A6314" s="118"/>
      <c r="B6314" s="136"/>
    </row>
    <row r="6315" spans="1:2" x14ac:dyDescent="0.25">
      <c r="A6315" s="118"/>
      <c r="B6315" s="136"/>
    </row>
    <row r="6316" spans="1:2" x14ac:dyDescent="0.25">
      <c r="A6316" s="118"/>
      <c r="B6316" s="136"/>
    </row>
    <row r="6317" spans="1:2" x14ac:dyDescent="0.25">
      <c r="A6317" s="118"/>
      <c r="B6317" s="136"/>
    </row>
    <row r="6318" spans="1:2" x14ac:dyDescent="0.25">
      <c r="A6318" s="118"/>
      <c r="B6318" s="136"/>
    </row>
    <row r="6319" spans="1:2" x14ac:dyDescent="0.25">
      <c r="A6319" s="118"/>
      <c r="B6319" s="136"/>
    </row>
    <row r="6320" spans="1:2" x14ac:dyDescent="0.25">
      <c r="A6320" s="118"/>
      <c r="B6320" s="136"/>
    </row>
    <row r="6321" spans="1:2" x14ac:dyDescent="0.25">
      <c r="A6321" s="118"/>
      <c r="B6321" s="136"/>
    </row>
    <row r="6322" spans="1:2" x14ac:dyDescent="0.25">
      <c r="A6322" s="118"/>
      <c r="B6322" s="136"/>
    </row>
    <row r="6323" spans="1:2" x14ac:dyDescent="0.25">
      <c r="A6323" s="118"/>
      <c r="B6323" s="136"/>
    </row>
    <row r="6324" spans="1:2" x14ac:dyDescent="0.25">
      <c r="A6324" s="118"/>
      <c r="B6324" s="136"/>
    </row>
    <row r="6325" spans="1:2" x14ac:dyDescent="0.25">
      <c r="A6325" s="118"/>
      <c r="B6325" s="136"/>
    </row>
    <row r="6326" spans="1:2" x14ac:dyDescent="0.25">
      <c r="A6326" s="118"/>
      <c r="B6326" s="136"/>
    </row>
    <row r="6327" spans="1:2" x14ac:dyDescent="0.25">
      <c r="A6327" s="118"/>
      <c r="B6327" s="136"/>
    </row>
    <row r="6328" spans="1:2" x14ac:dyDescent="0.25">
      <c r="A6328" s="118"/>
      <c r="B6328" s="136"/>
    </row>
    <row r="6329" spans="1:2" x14ac:dyDescent="0.25">
      <c r="A6329" s="118"/>
      <c r="B6329" s="136"/>
    </row>
    <row r="6330" spans="1:2" x14ac:dyDescent="0.25">
      <c r="A6330" s="118"/>
      <c r="B6330" s="136"/>
    </row>
    <row r="6331" spans="1:2" x14ac:dyDescent="0.25">
      <c r="A6331" s="118"/>
      <c r="B6331" s="136"/>
    </row>
    <row r="6332" spans="1:2" x14ac:dyDescent="0.25">
      <c r="A6332" s="118"/>
      <c r="B6332" s="136"/>
    </row>
    <row r="6333" spans="1:2" x14ac:dyDescent="0.25">
      <c r="A6333" s="118"/>
      <c r="B6333" s="136"/>
    </row>
    <row r="6334" spans="1:2" x14ac:dyDescent="0.25">
      <c r="A6334" s="118"/>
      <c r="B6334" s="136"/>
    </row>
    <row r="6335" spans="1:2" x14ac:dyDescent="0.25">
      <c r="A6335" s="118"/>
      <c r="B6335" s="136"/>
    </row>
    <row r="6336" spans="1:2" x14ac:dyDescent="0.25">
      <c r="A6336" s="118"/>
      <c r="B6336" s="136"/>
    </row>
    <row r="6337" spans="1:2" x14ac:dyDescent="0.25">
      <c r="A6337" s="118"/>
      <c r="B6337" s="136"/>
    </row>
    <row r="6338" spans="1:2" x14ac:dyDescent="0.25">
      <c r="A6338" s="118"/>
      <c r="B6338" s="136"/>
    </row>
    <row r="6339" spans="1:2" x14ac:dyDescent="0.25">
      <c r="A6339" s="118"/>
      <c r="B6339" s="136"/>
    </row>
    <row r="6340" spans="1:2" x14ac:dyDescent="0.25">
      <c r="A6340" s="118"/>
      <c r="B6340" s="136"/>
    </row>
    <row r="6341" spans="1:2" x14ac:dyDescent="0.25">
      <c r="A6341" s="118"/>
      <c r="B6341" s="136"/>
    </row>
    <row r="6342" spans="1:2" x14ac:dyDescent="0.25">
      <c r="A6342" s="118"/>
      <c r="B6342" s="136"/>
    </row>
    <row r="6343" spans="1:2" x14ac:dyDescent="0.25">
      <c r="A6343" s="118"/>
      <c r="B6343" s="136"/>
    </row>
    <row r="6344" spans="1:2" x14ac:dyDescent="0.25">
      <c r="A6344" s="118"/>
      <c r="B6344" s="136"/>
    </row>
    <row r="6345" spans="1:2" x14ac:dyDescent="0.25">
      <c r="A6345" s="118"/>
      <c r="B6345" s="136"/>
    </row>
    <row r="6346" spans="1:2" x14ac:dyDescent="0.25">
      <c r="A6346" s="118"/>
      <c r="B6346" s="136"/>
    </row>
    <row r="6347" spans="1:2" x14ac:dyDescent="0.25">
      <c r="A6347" s="118"/>
      <c r="B6347" s="136"/>
    </row>
    <row r="6348" spans="1:2" x14ac:dyDescent="0.25">
      <c r="A6348" s="118"/>
      <c r="B6348" s="136"/>
    </row>
    <row r="6349" spans="1:2" x14ac:dyDescent="0.25">
      <c r="A6349" s="118"/>
      <c r="B6349" s="136"/>
    </row>
    <row r="6350" spans="1:2" x14ac:dyDescent="0.25">
      <c r="A6350" s="118"/>
      <c r="B6350" s="136"/>
    </row>
    <row r="6351" spans="1:2" x14ac:dyDescent="0.25">
      <c r="A6351" s="118"/>
      <c r="B6351" s="136"/>
    </row>
    <row r="6352" spans="1:2" x14ac:dyDescent="0.25">
      <c r="A6352" s="118"/>
      <c r="B6352" s="136"/>
    </row>
    <row r="6353" spans="1:2" x14ac:dyDescent="0.25">
      <c r="A6353" s="118"/>
      <c r="B6353" s="136"/>
    </row>
    <row r="6354" spans="1:2" x14ac:dyDescent="0.25">
      <c r="A6354" s="118"/>
      <c r="B6354" s="136"/>
    </row>
    <row r="6355" spans="1:2" x14ac:dyDescent="0.25">
      <c r="A6355" s="118"/>
      <c r="B6355" s="136"/>
    </row>
    <row r="6356" spans="1:2" x14ac:dyDescent="0.25">
      <c r="A6356" s="118"/>
      <c r="B6356" s="136"/>
    </row>
    <row r="6357" spans="1:2" x14ac:dyDescent="0.25">
      <c r="A6357" s="118"/>
      <c r="B6357" s="136"/>
    </row>
    <row r="6358" spans="1:2" x14ac:dyDescent="0.25">
      <c r="A6358" s="118"/>
      <c r="B6358" s="136"/>
    </row>
    <row r="6359" spans="1:2" x14ac:dyDescent="0.25">
      <c r="A6359" s="118"/>
      <c r="B6359" s="136"/>
    </row>
    <row r="6360" spans="1:2" x14ac:dyDescent="0.25">
      <c r="A6360" s="118"/>
      <c r="B6360" s="136"/>
    </row>
    <row r="6361" spans="1:2" x14ac:dyDescent="0.25">
      <c r="A6361" s="118"/>
      <c r="B6361" s="136"/>
    </row>
    <row r="6362" spans="1:2" x14ac:dyDescent="0.25">
      <c r="A6362" s="118"/>
      <c r="B6362" s="136"/>
    </row>
    <row r="6363" spans="1:2" x14ac:dyDescent="0.25">
      <c r="A6363" s="118"/>
      <c r="B6363" s="136"/>
    </row>
    <row r="6364" spans="1:2" x14ac:dyDescent="0.25">
      <c r="A6364" s="118"/>
      <c r="B6364" s="136"/>
    </row>
    <row r="6365" spans="1:2" x14ac:dyDescent="0.25">
      <c r="A6365" s="118"/>
      <c r="B6365" s="136"/>
    </row>
    <row r="6366" spans="1:2" x14ac:dyDescent="0.25">
      <c r="A6366" s="118"/>
      <c r="B6366" s="136"/>
    </row>
    <row r="6367" spans="1:2" x14ac:dyDescent="0.25">
      <c r="A6367" s="118"/>
      <c r="B6367" s="136"/>
    </row>
    <row r="6368" spans="1:2" x14ac:dyDescent="0.25">
      <c r="A6368" s="118"/>
      <c r="B6368" s="136"/>
    </row>
    <row r="6369" spans="1:2" x14ac:dyDescent="0.25">
      <c r="A6369" s="118"/>
      <c r="B6369" s="136"/>
    </row>
    <row r="6370" spans="1:2" x14ac:dyDescent="0.25">
      <c r="A6370" s="118"/>
      <c r="B6370" s="136"/>
    </row>
    <row r="6371" spans="1:2" x14ac:dyDescent="0.25">
      <c r="A6371" s="118"/>
      <c r="B6371" s="136"/>
    </row>
    <row r="6372" spans="1:2" x14ac:dyDescent="0.25">
      <c r="A6372" s="118"/>
      <c r="B6372" s="136"/>
    </row>
    <row r="6373" spans="1:2" x14ac:dyDescent="0.25">
      <c r="A6373" s="118"/>
      <c r="B6373" s="136"/>
    </row>
    <row r="6374" spans="1:2" x14ac:dyDescent="0.25">
      <c r="A6374" s="118"/>
      <c r="B6374" s="136"/>
    </row>
    <row r="6375" spans="1:2" x14ac:dyDescent="0.25">
      <c r="A6375" s="118"/>
      <c r="B6375" s="136"/>
    </row>
    <row r="6376" spans="1:2" x14ac:dyDescent="0.25">
      <c r="A6376" s="118"/>
      <c r="B6376" s="136"/>
    </row>
    <row r="6377" spans="1:2" x14ac:dyDescent="0.25">
      <c r="A6377" s="118"/>
      <c r="B6377" s="136"/>
    </row>
    <row r="6378" spans="1:2" x14ac:dyDescent="0.25">
      <c r="A6378" s="118"/>
      <c r="B6378" s="136"/>
    </row>
    <row r="6379" spans="1:2" x14ac:dyDescent="0.25">
      <c r="A6379" s="118"/>
      <c r="B6379" s="136"/>
    </row>
    <row r="6380" spans="1:2" x14ac:dyDescent="0.25">
      <c r="A6380" s="118"/>
      <c r="B6380" s="136"/>
    </row>
    <row r="6381" spans="1:2" x14ac:dyDescent="0.25">
      <c r="A6381" s="118"/>
      <c r="B6381" s="136"/>
    </row>
    <row r="6382" spans="1:2" x14ac:dyDescent="0.25">
      <c r="A6382" s="118"/>
      <c r="B6382" s="136"/>
    </row>
    <row r="6383" spans="1:2" x14ac:dyDescent="0.25">
      <c r="A6383" s="118"/>
      <c r="B6383" s="136"/>
    </row>
    <row r="6384" spans="1:2" x14ac:dyDescent="0.25">
      <c r="A6384" s="118"/>
      <c r="B6384" s="136"/>
    </row>
    <row r="6385" spans="1:2" x14ac:dyDescent="0.25">
      <c r="A6385" s="118"/>
      <c r="B6385" s="136"/>
    </row>
    <row r="6386" spans="1:2" x14ac:dyDescent="0.25">
      <c r="A6386" s="118"/>
      <c r="B6386" s="136"/>
    </row>
    <row r="6387" spans="1:2" x14ac:dyDescent="0.25">
      <c r="A6387" s="118"/>
      <c r="B6387" s="136"/>
    </row>
    <row r="6388" spans="1:2" x14ac:dyDescent="0.25">
      <c r="A6388" s="118"/>
      <c r="B6388" s="136"/>
    </row>
    <row r="6389" spans="1:2" x14ac:dyDescent="0.25">
      <c r="A6389" s="118"/>
      <c r="B6389" s="136"/>
    </row>
    <row r="6390" spans="1:2" x14ac:dyDescent="0.25">
      <c r="A6390" s="118"/>
      <c r="B6390" s="136"/>
    </row>
    <row r="6391" spans="1:2" x14ac:dyDescent="0.25">
      <c r="A6391" s="118"/>
      <c r="B6391" s="136"/>
    </row>
    <row r="6392" spans="1:2" x14ac:dyDescent="0.25">
      <c r="A6392" s="118"/>
      <c r="B6392" s="136"/>
    </row>
    <row r="6393" spans="1:2" x14ac:dyDescent="0.25">
      <c r="A6393" s="118"/>
      <c r="B6393" s="136"/>
    </row>
    <row r="6394" spans="1:2" x14ac:dyDescent="0.25">
      <c r="A6394" s="118"/>
      <c r="B6394" s="136"/>
    </row>
    <row r="6395" spans="1:2" x14ac:dyDescent="0.25">
      <c r="A6395" s="118"/>
      <c r="B6395" s="136"/>
    </row>
    <row r="6396" spans="1:2" x14ac:dyDescent="0.25">
      <c r="A6396" s="118"/>
      <c r="B6396" s="136"/>
    </row>
    <row r="6397" spans="1:2" x14ac:dyDescent="0.25">
      <c r="A6397" s="118"/>
      <c r="B6397" s="136"/>
    </row>
    <row r="6398" spans="1:2" x14ac:dyDescent="0.25">
      <c r="A6398" s="118"/>
      <c r="B6398" s="136"/>
    </row>
    <row r="6399" spans="1:2" x14ac:dyDescent="0.25">
      <c r="A6399" s="118"/>
      <c r="B6399" s="136"/>
    </row>
    <row r="6400" spans="1:2" x14ac:dyDescent="0.25">
      <c r="A6400" s="118"/>
      <c r="B6400" s="136"/>
    </row>
    <row r="6401" spans="1:2" x14ac:dyDescent="0.25">
      <c r="A6401" s="118"/>
      <c r="B6401" s="136"/>
    </row>
    <row r="6402" spans="1:2" x14ac:dyDescent="0.25">
      <c r="A6402" s="118"/>
      <c r="B6402" s="136"/>
    </row>
    <row r="6403" spans="1:2" x14ac:dyDescent="0.25">
      <c r="A6403" s="118"/>
      <c r="B6403" s="136"/>
    </row>
    <row r="6404" spans="1:2" x14ac:dyDescent="0.25">
      <c r="A6404" s="118"/>
      <c r="B6404" s="136"/>
    </row>
    <row r="6405" spans="1:2" x14ac:dyDescent="0.25">
      <c r="A6405" s="118"/>
      <c r="B6405" s="136"/>
    </row>
    <row r="6406" spans="1:2" x14ac:dyDescent="0.25">
      <c r="A6406" s="118"/>
      <c r="B6406" s="136"/>
    </row>
    <row r="6407" spans="1:2" x14ac:dyDescent="0.25">
      <c r="A6407" s="118"/>
      <c r="B6407" s="136"/>
    </row>
    <row r="6408" spans="1:2" x14ac:dyDescent="0.25">
      <c r="A6408" s="118"/>
      <c r="B6408" s="136"/>
    </row>
    <row r="6409" spans="1:2" x14ac:dyDescent="0.25">
      <c r="A6409" s="118"/>
      <c r="B6409" s="136"/>
    </row>
    <row r="6410" spans="1:2" x14ac:dyDescent="0.25">
      <c r="A6410" s="118"/>
      <c r="B6410" s="136"/>
    </row>
    <row r="6411" spans="1:2" x14ac:dyDescent="0.25">
      <c r="A6411" s="118"/>
      <c r="B6411" s="136"/>
    </row>
    <row r="6412" spans="1:2" x14ac:dyDescent="0.25">
      <c r="A6412" s="118"/>
      <c r="B6412" s="136"/>
    </row>
    <row r="6413" spans="1:2" x14ac:dyDescent="0.25">
      <c r="A6413" s="118"/>
      <c r="B6413" s="136"/>
    </row>
    <row r="6414" spans="1:2" x14ac:dyDescent="0.25">
      <c r="A6414" s="118"/>
      <c r="B6414" s="136"/>
    </row>
    <row r="6415" spans="1:2" x14ac:dyDescent="0.25">
      <c r="A6415" s="118"/>
      <c r="B6415" s="136"/>
    </row>
    <row r="6416" spans="1:2" x14ac:dyDescent="0.25">
      <c r="A6416" s="118"/>
      <c r="B6416" s="136"/>
    </row>
    <row r="6417" spans="1:2" x14ac:dyDescent="0.25">
      <c r="A6417" s="118"/>
      <c r="B6417" s="136"/>
    </row>
    <row r="6418" spans="1:2" x14ac:dyDescent="0.25">
      <c r="A6418" s="118"/>
      <c r="B6418" s="136"/>
    </row>
    <row r="6419" spans="1:2" x14ac:dyDescent="0.25">
      <c r="A6419" s="118"/>
      <c r="B6419" s="136"/>
    </row>
    <row r="6420" spans="1:2" x14ac:dyDescent="0.25">
      <c r="A6420" s="118"/>
      <c r="B6420" s="136"/>
    </row>
    <row r="6421" spans="1:2" x14ac:dyDescent="0.25">
      <c r="A6421" s="118"/>
      <c r="B6421" s="136"/>
    </row>
    <row r="6422" spans="1:2" x14ac:dyDescent="0.25">
      <c r="A6422" s="118"/>
      <c r="B6422" s="136"/>
    </row>
    <row r="6423" spans="1:2" x14ac:dyDescent="0.25">
      <c r="A6423" s="118"/>
      <c r="B6423" s="136"/>
    </row>
    <row r="6424" spans="1:2" x14ac:dyDescent="0.25">
      <c r="A6424" s="118"/>
      <c r="B6424" s="136"/>
    </row>
    <row r="6425" spans="1:2" x14ac:dyDescent="0.25">
      <c r="A6425" s="118"/>
      <c r="B6425" s="136"/>
    </row>
    <row r="6426" spans="1:2" x14ac:dyDescent="0.25">
      <c r="A6426" s="118"/>
      <c r="B6426" s="136"/>
    </row>
    <row r="6427" spans="1:2" x14ac:dyDescent="0.25">
      <c r="A6427" s="118"/>
      <c r="B6427" s="136"/>
    </row>
    <row r="6428" spans="1:2" x14ac:dyDescent="0.25">
      <c r="A6428" s="118"/>
      <c r="B6428" s="136"/>
    </row>
    <row r="6429" spans="1:2" x14ac:dyDescent="0.25">
      <c r="A6429" s="118"/>
      <c r="B6429" s="136"/>
    </row>
    <row r="6430" spans="1:2" x14ac:dyDescent="0.25">
      <c r="A6430" s="118"/>
      <c r="B6430" s="136"/>
    </row>
    <row r="6431" spans="1:2" x14ac:dyDescent="0.25">
      <c r="A6431" s="118"/>
      <c r="B6431" s="136"/>
    </row>
    <row r="6432" spans="1:2" x14ac:dyDescent="0.25">
      <c r="A6432" s="118"/>
      <c r="B6432" s="136"/>
    </row>
    <row r="6433" spans="1:2" x14ac:dyDescent="0.25">
      <c r="A6433" s="118"/>
      <c r="B6433" s="136"/>
    </row>
    <row r="6434" spans="1:2" x14ac:dyDescent="0.25">
      <c r="A6434" s="118"/>
      <c r="B6434" s="136"/>
    </row>
    <row r="6435" spans="1:2" x14ac:dyDescent="0.25">
      <c r="A6435" s="118"/>
      <c r="B6435" s="136"/>
    </row>
    <row r="6436" spans="1:2" x14ac:dyDescent="0.25">
      <c r="A6436" s="118"/>
      <c r="B6436" s="136"/>
    </row>
    <row r="6437" spans="1:2" x14ac:dyDescent="0.25">
      <c r="A6437" s="118"/>
      <c r="B6437" s="136"/>
    </row>
    <row r="6438" spans="1:2" x14ac:dyDescent="0.25">
      <c r="A6438" s="118"/>
      <c r="B6438" s="136"/>
    </row>
    <row r="6439" spans="1:2" x14ac:dyDescent="0.25">
      <c r="A6439" s="118"/>
      <c r="B6439" s="136"/>
    </row>
    <row r="6440" spans="1:2" x14ac:dyDescent="0.25">
      <c r="A6440" s="118"/>
      <c r="B6440" s="136"/>
    </row>
    <row r="6441" spans="1:2" x14ac:dyDescent="0.25">
      <c r="A6441" s="118"/>
      <c r="B6441" s="136"/>
    </row>
    <row r="6442" spans="1:2" x14ac:dyDescent="0.25">
      <c r="A6442" s="118"/>
      <c r="B6442" s="136"/>
    </row>
    <row r="6443" spans="1:2" x14ac:dyDescent="0.25">
      <c r="A6443" s="118"/>
      <c r="B6443" s="136"/>
    </row>
    <row r="6444" spans="1:2" x14ac:dyDescent="0.25">
      <c r="A6444" s="118"/>
      <c r="B6444" s="136"/>
    </row>
    <row r="6445" spans="1:2" x14ac:dyDescent="0.25">
      <c r="A6445" s="118"/>
      <c r="B6445" s="136"/>
    </row>
    <row r="6446" spans="1:2" x14ac:dyDescent="0.25">
      <c r="A6446" s="118"/>
      <c r="B6446" s="136"/>
    </row>
    <row r="6447" spans="1:2" x14ac:dyDescent="0.25">
      <c r="A6447" s="118"/>
      <c r="B6447" s="136"/>
    </row>
    <row r="6448" spans="1:2" x14ac:dyDescent="0.25">
      <c r="A6448" s="118"/>
      <c r="B6448" s="136"/>
    </row>
    <row r="6449" spans="1:2" x14ac:dyDescent="0.25">
      <c r="A6449" s="118"/>
      <c r="B6449" s="136"/>
    </row>
    <row r="6450" spans="1:2" x14ac:dyDescent="0.25">
      <c r="A6450" s="118"/>
      <c r="B6450" s="136"/>
    </row>
    <row r="6451" spans="1:2" x14ac:dyDescent="0.25">
      <c r="A6451" s="118"/>
      <c r="B6451" s="136"/>
    </row>
    <row r="6452" spans="1:2" x14ac:dyDescent="0.25">
      <c r="A6452" s="118"/>
      <c r="B6452" s="136"/>
    </row>
    <row r="6453" spans="1:2" x14ac:dyDescent="0.25">
      <c r="A6453" s="118"/>
      <c r="B6453" s="136"/>
    </row>
    <row r="6454" spans="1:2" x14ac:dyDescent="0.25">
      <c r="A6454" s="118"/>
      <c r="B6454" s="136"/>
    </row>
    <row r="6455" spans="1:2" x14ac:dyDescent="0.25">
      <c r="A6455" s="118"/>
      <c r="B6455" s="136"/>
    </row>
    <row r="6456" spans="1:2" x14ac:dyDescent="0.25">
      <c r="A6456" s="118"/>
      <c r="B6456" s="136"/>
    </row>
    <row r="6457" spans="1:2" x14ac:dyDescent="0.25">
      <c r="A6457" s="118"/>
      <c r="B6457" s="136"/>
    </row>
    <row r="6458" spans="1:2" x14ac:dyDescent="0.25">
      <c r="A6458" s="118"/>
      <c r="B6458" s="136"/>
    </row>
    <row r="6459" spans="1:2" x14ac:dyDescent="0.25">
      <c r="A6459" s="118"/>
      <c r="B6459" s="136"/>
    </row>
    <row r="6460" spans="1:2" x14ac:dyDescent="0.25">
      <c r="A6460" s="118"/>
      <c r="B6460" s="136"/>
    </row>
    <row r="6461" spans="1:2" x14ac:dyDescent="0.25">
      <c r="A6461" s="118"/>
      <c r="B6461" s="136"/>
    </row>
    <row r="6462" spans="1:2" x14ac:dyDescent="0.25">
      <c r="A6462" s="118"/>
      <c r="B6462" s="136"/>
    </row>
    <row r="6463" spans="1:2" x14ac:dyDescent="0.25">
      <c r="A6463" s="118"/>
      <c r="B6463" s="136"/>
    </row>
    <row r="6464" spans="1:2" x14ac:dyDescent="0.25">
      <c r="A6464" s="118"/>
      <c r="B6464" s="136"/>
    </row>
    <row r="6465" spans="1:2" x14ac:dyDescent="0.25">
      <c r="A6465" s="118"/>
      <c r="B6465" s="136"/>
    </row>
    <row r="6466" spans="1:2" x14ac:dyDescent="0.25">
      <c r="A6466" s="118"/>
      <c r="B6466" s="136"/>
    </row>
    <row r="6467" spans="1:2" x14ac:dyDescent="0.25">
      <c r="A6467" s="118"/>
      <c r="B6467" s="136"/>
    </row>
    <row r="6468" spans="1:2" x14ac:dyDescent="0.25">
      <c r="A6468" s="118"/>
      <c r="B6468" s="136"/>
    </row>
    <row r="6469" spans="1:2" x14ac:dyDescent="0.25">
      <c r="A6469" s="118"/>
      <c r="B6469" s="136"/>
    </row>
    <row r="6470" spans="1:2" x14ac:dyDescent="0.25">
      <c r="A6470" s="118"/>
      <c r="B6470" s="136"/>
    </row>
    <row r="6471" spans="1:2" x14ac:dyDescent="0.25">
      <c r="A6471" s="118"/>
      <c r="B6471" s="136"/>
    </row>
    <row r="6472" spans="1:2" x14ac:dyDescent="0.25">
      <c r="A6472" s="118"/>
      <c r="B6472" s="136"/>
    </row>
    <row r="6473" spans="1:2" x14ac:dyDescent="0.25">
      <c r="A6473" s="118"/>
      <c r="B6473" s="136"/>
    </row>
    <row r="6474" spans="1:2" x14ac:dyDescent="0.25">
      <c r="A6474" s="118"/>
      <c r="B6474" s="136"/>
    </row>
    <row r="6475" spans="1:2" x14ac:dyDescent="0.25">
      <c r="A6475" s="118"/>
      <c r="B6475" s="136"/>
    </row>
    <row r="6476" spans="1:2" x14ac:dyDescent="0.25">
      <c r="A6476" s="118"/>
      <c r="B6476" s="136"/>
    </row>
    <row r="6477" spans="1:2" x14ac:dyDescent="0.25">
      <c r="A6477" s="118"/>
      <c r="B6477" s="136"/>
    </row>
    <row r="6478" spans="1:2" x14ac:dyDescent="0.25">
      <c r="A6478" s="118"/>
      <c r="B6478" s="136"/>
    </row>
    <row r="6479" spans="1:2" x14ac:dyDescent="0.25">
      <c r="A6479" s="118"/>
      <c r="B6479" s="136"/>
    </row>
    <row r="6480" spans="1:2" x14ac:dyDescent="0.25">
      <c r="A6480" s="118"/>
      <c r="B6480" s="136"/>
    </row>
    <row r="6481" spans="1:2" x14ac:dyDescent="0.25">
      <c r="A6481" s="118"/>
      <c r="B6481" s="136"/>
    </row>
    <row r="6482" spans="1:2" x14ac:dyDescent="0.25">
      <c r="A6482" s="118"/>
      <c r="B6482" s="136"/>
    </row>
    <row r="6483" spans="1:2" x14ac:dyDescent="0.25">
      <c r="A6483" s="118"/>
      <c r="B6483" s="136"/>
    </row>
    <row r="6484" spans="1:2" x14ac:dyDescent="0.25">
      <c r="A6484" s="118"/>
      <c r="B6484" s="136"/>
    </row>
    <row r="6485" spans="1:2" x14ac:dyDescent="0.25">
      <c r="A6485" s="118"/>
      <c r="B6485" s="136"/>
    </row>
    <row r="6486" spans="1:2" x14ac:dyDescent="0.25">
      <c r="A6486" s="118"/>
      <c r="B6486" s="136"/>
    </row>
    <row r="6487" spans="1:2" x14ac:dyDescent="0.25">
      <c r="A6487" s="118"/>
      <c r="B6487" s="136"/>
    </row>
    <row r="6488" spans="1:2" x14ac:dyDescent="0.25">
      <c r="A6488" s="118"/>
      <c r="B6488" s="136"/>
    </row>
    <row r="6489" spans="1:2" x14ac:dyDescent="0.25">
      <c r="A6489" s="118"/>
      <c r="B6489" s="136"/>
    </row>
    <row r="6490" spans="1:2" x14ac:dyDescent="0.25">
      <c r="A6490" s="118"/>
      <c r="B6490" s="136"/>
    </row>
    <row r="6491" spans="1:2" x14ac:dyDescent="0.25">
      <c r="A6491" s="118"/>
      <c r="B6491" s="136"/>
    </row>
    <row r="6492" spans="1:2" x14ac:dyDescent="0.25">
      <c r="A6492" s="118"/>
      <c r="B6492" s="136"/>
    </row>
    <row r="6493" spans="1:2" x14ac:dyDescent="0.25">
      <c r="A6493" s="118"/>
      <c r="B6493" s="136"/>
    </row>
    <row r="6494" spans="1:2" x14ac:dyDescent="0.25">
      <c r="A6494" s="118"/>
      <c r="B6494" s="136"/>
    </row>
    <row r="6495" spans="1:2" x14ac:dyDescent="0.25">
      <c r="A6495" s="118"/>
      <c r="B6495" s="136"/>
    </row>
    <row r="6496" spans="1:2" x14ac:dyDescent="0.25">
      <c r="A6496" s="118"/>
      <c r="B6496" s="136"/>
    </row>
    <row r="6497" spans="1:2" x14ac:dyDescent="0.25">
      <c r="A6497" s="118"/>
      <c r="B6497" s="136"/>
    </row>
    <row r="6498" spans="1:2" x14ac:dyDescent="0.25">
      <c r="A6498" s="118"/>
      <c r="B6498" s="136"/>
    </row>
    <row r="6499" spans="1:2" x14ac:dyDescent="0.25">
      <c r="A6499" s="118"/>
      <c r="B6499" s="136"/>
    </row>
    <row r="6500" spans="1:2" x14ac:dyDescent="0.25">
      <c r="A6500" s="118"/>
      <c r="B6500" s="136"/>
    </row>
    <row r="6501" spans="1:2" x14ac:dyDescent="0.25">
      <c r="A6501" s="118"/>
      <c r="B6501" s="136"/>
    </row>
    <row r="6502" spans="1:2" x14ac:dyDescent="0.25">
      <c r="A6502" s="118"/>
      <c r="B6502" s="136"/>
    </row>
    <row r="6503" spans="1:2" x14ac:dyDescent="0.25">
      <c r="A6503" s="118"/>
      <c r="B6503" s="136"/>
    </row>
    <row r="6504" spans="1:2" x14ac:dyDescent="0.25">
      <c r="A6504" s="118"/>
      <c r="B6504" s="136"/>
    </row>
    <row r="6505" spans="1:2" x14ac:dyDescent="0.25">
      <c r="A6505" s="118"/>
      <c r="B6505" s="136"/>
    </row>
    <row r="6506" spans="1:2" x14ac:dyDescent="0.25">
      <c r="A6506" s="118"/>
      <c r="B6506" s="136"/>
    </row>
    <row r="6507" spans="1:2" x14ac:dyDescent="0.25">
      <c r="A6507" s="118"/>
      <c r="B6507" s="136"/>
    </row>
    <row r="6508" spans="1:2" x14ac:dyDescent="0.25">
      <c r="A6508" s="118"/>
      <c r="B6508" s="136"/>
    </row>
    <row r="6509" spans="1:2" x14ac:dyDescent="0.25">
      <c r="A6509" s="118"/>
      <c r="B6509" s="136"/>
    </row>
    <row r="6510" spans="1:2" x14ac:dyDescent="0.25">
      <c r="A6510" s="118"/>
      <c r="B6510" s="136"/>
    </row>
    <row r="6511" spans="1:2" x14ac:dyDescent="0.25">
      <c r="A6511" s="118"/>
      <c r="B6511" s="136"/>
    </row>
    <row r="6512" spans="1:2" x14ac:dyDescent="0.25">
      <c r="A6512" s="118"/>
      <c r="B6512" s="136"/>
    </row>
    <row r="6513" spans="1:2" x14ac:dyDescent="0.25">
      <c r="A6513" s="118"/>
      <c r="B6513" s="136"/>
    </row>
    <row r="6514" spans="1:2" x14ac:dyDescent="0.25">
      <c r="A6514" s="118"/>
      <c r="B6514" s="136"/>
    </row>
    <row r="6515" spans="1:2" x14ac:dyDescent="0.25">
      <c r="A6515" s="118"/>
      <c r="B6515" s="136"/>
    </row>
    <row r="6516" spans="1:2" x14ac:dyDescent="0.25">
      <c r="A6516" s="118"/>
      <c r="B6516" s="136"/>
    </row>
    <row r="6517" spans="1:2" x14ac:dyDescent="0.25">
      <c r="A6517" s="118"/>
      <c r="B6517" s="136"/>
    </row>
    <row r="6518" spans="1:2" x14ac:dyDescent="0.25">
      <c r="A6518" s="118"/>
      <c r="B6518" s="136"/>
    </row>
    <row r="6519" spans="1:2" x14ac:dyDescent="0.25">
      <c r="A6519" s="118"/>
      <c r="B6519" s="136"/>
    </row>
    <row r="6520" spans="1:2" x14ac:dyDescent="0.25">
      <c r="A6520" s="118"/>
      <c r="B6520" s="136"/>
    </row>
    <row r="6521" spans="1:2" x14ac:dyDescent="0.25">
      <c r="A6521" s="118"/>
      <c r="B6521" s="136"/>
    </row>
    <row r="6522" spans="1:2" x14ac:dyDescent="0.25">
      <c r="A6522" s="118"/>
      <c r="B6522" s="136"/>
    </row>
    <row r="6523" spans="1:2" x14ac:dyDescent="0.25">
      <c r="A6523" s="118"/>
      <c r="B6523" s="136"/>
    </row>
    <row r="6524" spans="1:2" x14ac:dyDescent="0.25">
      <c r="A6524" s="118"/>
      <c r="B6524" s="136"/>
    </row>
    <row r="6525" spans="1:2" x14ac:dyDescent="0.25">
      <c r="A6525" s="118"/>
      <c r="B6525" s="136"/>
    </row>
    <row r="6526" spans="1:2" x14ac:dyDescent="0.25">
      <c r="A6526" s="118"/>
      <c r="B6526" s="136"/>
    </row>
    <row r="6527" spans="1:2" x14ac:dyDescent="0.25">
      <c r="A6527" s="118"/>
      <c r="B6527" s="136"/>
    </row>
    <row r="6528" spans="1:2" x14ac:dyDescent="0.25">
      <c r="A6528" s="118"/>
      <c r="B6528" s="136"/>
    </row>
    <row r="6529" spans="1:2" x14ac:dyDescent="0.25">
      <c r="A6529" s="118"/>
      <c r="B6529" s="136"/>
    </row>
    <row r="6530" spans="1:2" x14ac:dyDescent="0.25">
      <c r="A6530" s="118"/>
      <c r="B6530" s="136"/>
    </row>
    <row r="6531" spans="1:2" x14ac:dyDescent="0.25">
      <c r="A6531" s="118"/>
      <c r="B6531" s="136"/>
    </row>
    <row r="6532" spans="1:2" x14ac:dyDescent="0.25">
      <c r="A6532" s="118"/>
      <c r="B6532" s="136"/>
    </row>
    <row r="6533" spans="1:2" x14ac:dyDescent="0.25">
      <c r="A6533" s="118"/>
      <c r="B6533" s="136"/>
    </row>
    <row r="6534" spans="1:2" x14ac:dyDescent="0.25">
      <c r="A6534" s="118"/>
      <c r="B6534" s="136"/>
    </row>
    <row r="6535" spans="1:2" x14ac:dyDescent="0.25">
      <c r="A6535" s="118"/>
      <c r="B6535" s="136"/>
    </row>
    <row r="6536" spans="1:2" x14ac:dyDescent="0.25">
      <c r="A6536" s="118"/>
      <c r="B6536" s="136"/>
    </row>
    <row r="6537" spans="1:2" x14ac:dyDescent="0.25">
      <c r="A6537" s="118"/>
      <c r="B6537" s="136"/>
    </row>
    <row r="6538" spans="1:2" x14ac:dyDescent="0.25">
      <c r="A6538" s="118"/>
      <c r="B6538" s="136"/>
    </row>
    <row r="6539" spans="1:2" x14ac:dyDescent="0.25">
      <c r="A6539" s="118"/>
      <c r="B6539" s="136"/>
    </row>
    <row r="6540" spans="1:2" x14ac:dyDescent="0.25">
      <c r="A6540" s="118"/>
      <c r="B6540" s="136"/>
    </row>
    <row r="6541" spans="1:2" x14ac:dyDescent="0.25">
      <c r="A6541" s="118"/>
      <c r="B6541" s="136"/>
    </row>
    <row r="6542" spans="1:2" x14ac:dyDescent="0.25">
      <c r="A6542" s="118"/>
      <c r="B6542" s="136"/>
    </row>
    <row r="6543" spans="1:2" x14ac:dyDescent="0.25">
      <c r="A6543" s="118"/>
      <c r="B6543" s="136"/>
    </row>
    <row r="6544" spans="1:2" x14ac:dyDescent="0.25">
      <c r="A6544" s="118"/>
      <c r="B6544" s="136"/>
    </row>
    <row r="6545" spans="1:2" x14ac:dyDescent="0.25">
      <c r="A6545" s="118"/>
      <c r="B6545" s="136"/>
    </row>
    <row r="6546" spans="1:2" x14ac:dyDescent="0.25">
      <c r="A6546" s="118"/>
      <c r="B6546" s="136"/>
    </row>
    <row r="6547" spans="1:2" x14ac:dyDescent="0.25">
      <c r="A6547" s="118"/>
      <c r="B6547" s="136"/>
    </row>
    <row r="6548" spans="1:2" x14ac:dyDescent="0.25">
      <c r="A6548" s="118"/>
      <c r="B6548" s="136"/>
    </row>
    <row r="6549" spans="1:2" x14ac:dyDescent="0.25">
      <c r="A6549" s="118"/>
      <c r="B6549" s="136"/>
    </row>
    <row r="6550" spans="1:2" x14ac:dyDescent="0.25">
      <c r="A6550" s="118"/>
      <c r="B6550" s="136"/>
    </row>
    <row r="6551" spans="1:2" x14ac:dyDescent="0.25">
      <c r="A6551" s="118"/>
      <c r="B6551" s="136"/>
    </row>
    <row r="6552" spans="1:2" x14ac:dyDescent="0.25">
      <c r="A6552" s="118"/>
      <c r="B6552" s="136"/>
    </row>
    <row r="6553" spans="1:2" x14ac:dyDescent="0.25">
      <c r="A6553" s="118"/>
      <c r="B6553" s="136"/>
    </row>
    <row r="6554" spans="1:2" x14ac:dyDescent="0.25">
      <c r="A6554" s="118"/>
      <c r="B6554" s="136"/>
    </row>
    <row r="6555" spans="1:2" x14ac:dyDescent="0.25">
      <c r="A6555" s="118"/>
      <c r="B6555" s="136"/>
    </row>
    <row r="6556" spans="1:2" x14ac:dyDescent="0.25">
      <c r="A6556" s="118"/>
      <c r="B6556" s="136"/>
    </row>
    <row r="6557" spans="1:2" x14ac:dyDescent="0.25">
      <c r="A6557" s="118"/>
      <c r="B6557" s="136"/>
    </row>
    <row r="6558" spans="1:2" x14ac:dyDescent="0.25">
      <c r="A6558" s="118"/>
      <c r="B6558" s="136"/>
    </row>
    <row r="6559" spans="1:2" x14ac:dyDescent="0.25">
      <c r="A6559" s="118"/>
      <c r="B6559" s="136"/>
    </row>
    <row r="6560" spans="1:2" x14ac:dyDescent="0.25">
      <c r="A6560" s="118"/>
      <c r="B6560" s="136"/>
    </row>
    <row r="6561" spans="1:2" x14ac:dyDescent="0.25">
      <c r="A6561" s="118"/>
      <c r="B6561" s="136"/>
    </row>
    <row r="6562" spans="1:2" x14ac:dyDescent="0.25">
      <c r="A6562" s="118"/>
      <c r="B6562" s="136"/>
    </row>
    <row r="6563" spans="1:2" x14ac:dyDescent="0.25">
      <c r="A6563" s="118"/>
      <c r="B6563" s="136"/>
    </row>
    <row r="6564" spans="1:2" x14ac:dyDescent="0.25">
      <c r="A6564" s="118"/>
      <c r="B6564" s="136"/>
    </row>
    <row r="6565" spans="1:2" x14ac:dyDescent="0.25">
      <c r="A6565" s="118"/>
      <c r="B6565" s="136"/>
    </row>
    <row r="6566" spans="1:2" x14ac:dyDescent="0.25">
      <c r="A6566" s="118"/>
      <c r="B6566" s="136"/>
    </row>
    <row r="6567" spans="1:2" x14ac:dyDescent="0.25">
      <c r="A6567" s="118"/>
      <c r="B6567" s="136"/>
    </row>
    <row r="6568" spans="1:2" x14ac:dyDescent="0.25">
      <c r="A6568" s="118"/>
      <c r="B6568" s="136"/>
    </row>
    <row r="6569" spans="1:2" x14ac:dyDescent="0.25">
      <c r="A6569" s="118"/>
      <c r="B6569" s="136"/>
    </row>
    <row r="6570" spans="1:2" x14ac:dyDescent="0.25">
      <c r="A6570" s="118"/>
      <c r="B6570" s="136"/>
    </row>
    <row r="6571" spans="1:2" x14ac:dyDescent="0.25">
      <c r="A6571" s="118"/>
      <c r="B6571" s="136"/>
    </row>
    <row r="6572" spans="1:2" x14ac:dyDescent="0.25">
      <c r="A6572" s="118"/>
      <c r="B6572" s="136"/>
    </row>
    <row r="6573" spans="1:2" x14ac:dyDescent="0.25">
      <c r="A6573" s="118"/>
      <c r="B6573" s="136"/>
    </row>
    <row r="6574" spans="1:2" x14ac:dyDescent="0.25">
      <c r="A6574" s="118"/>
      <c r="B6574" s="136"/>
    </row>
    <row r="6575" spans="1:2" x14ac:dyDescent="0.25">
      <c r="A6575" s="118"/>
      <c r="B6575" s="136"/>
    </row>
    <row r="6576" spans="1:2" x14ac:dyDescent="0.25">
      <c r="A6576" s="118"/>
      <c r="B6576" s="136"/>
    </row>
    <row r="6577" spans="1:2" x14ac:dyDescent="0.25">
      <c r="A6577" s="118"/>
      <c r="B6577" s="136"/>
    </row>
    <row r="6578" spans="1:2" x14ac:dyDescent="0.25">
      <c r="A6578" s="118"/>
      <c r="B6578" s="136"/>
    </row>
    <row r="6579" spans="1:2" x14ac:dyDescent="0.25">
      <c r="A6579" s="118"/>
      <c r="B6579" s="136"/>
    </row>
    <row r="6580" spans="1:2" x14ac:dyDescent="0.25">
      <c r="A6580" s="118"/>
      <c r="B6580" s="136"/>
    </row>
    <row r="6581" spans="1:2" x14ac:dyDescent="0.25">
      <c r="A6581" s="118"/>
      <c r="B6581" s="136"/>
    </row>
    <row r="6582" spans="1:2" x14ac:dyDescent="0.25">
      <c r="A6582" s="118"/>
      <c r="B6582" s="136"/>
    </row>
    <row r="6583" spans="1:2" x14ac:dyDescent="0.25">
      <c r="A6583" s="118"/>
      <c r="B6583" s="136"/>
    </row>
    <row r="6584" spans="1:2" x14ac:dyDescent="0.25">
      <c r="A6584" s="118"/>
      <c r="B6584" s="136"/>
    </row>
    <row r="6585" spans="1:2" x14ac:dyDescent="0.25">
      <c r="A6585" s="118"/>
      <c r="B6585" s="136"/>
    </row>
    <row r="6586" spans="1:2" x14ac:dyDescent="0.25">
      <c r="A6586" s="118"/>
      <c r="B6586" s="136"/>
    </row>
    <row r="6587" spans="1:2" x14ac:dyDescent="0.25">
      <c r="A6587" s="118"/>
      <c r="B6587" s="136"/>
    </row>
    <row r="6588" spans="1:2" x14ac:dyDescent="0.25">
      <c r="A6588" s="118"/>
      <c r="B6588" s="136"/>
    </row>
    <row r="6589" spans="1:2" x14ac:dyDescent="0.25">
      <c r="A6589" s="118"/>
      <c r="B6589" s="136"/>
    </row>
    <row r="6590" spans="1:2" x14ac:dyDescent="0.25">
      <c r="A6590" s="118"/>
      <c r="B6590" s="136"/>
    </row>
    <row r="6591" spans="1:2" x14ac:dyDescent="0.25">
      <c r="A6591" s="118"/>
      <c r="B6591" s="136"/>
    </row>
    <row r="6592" spans="1:2" x14ac:dyDescent="0.25">
      <c r="A6592" s="118"/>
      <c r="B6592" s="136"/>
    </row>
    <row r="6593" spans="1:2" x14ac:dyDescent="0.25">
      <c r="A6593" s="118"/>
      <c r="B6593" s="136"/>
    </row>
    <row r="6594" spans="1:2" x14ac:dyDescent="0.25">
      <c r="A6594" s="118"/>
      <c r="B6594" s="136"/>
    </row>
    <row r="6595" spans="1:2" x14ac:dyDescent="0.25">
      <c r="A6595" s="118"/>
      <c r="B6595" s="136"/>
    </row>
    <row r="6596" spans="1:2" x14ac:dyDescent="0.25">
      <c r="A6596" s="118"/>
      <c r="B6596" s="136"/>
    </row>
    <row r="6597" spans="1:2" x14ac:dyDescent="0.25">
      <c r="A6597" s="118"/>
      <c r="B6597" s="136"/>
    </row>
    <row r="6598" spans="1:2" x14ac:dyDescent="0.25">
      <c r="A6598" s="118"/>
      <c r="B6598" s="136"/>
    </row>
    <row r="6599" spans="1:2" x14ac:dyDescent="0.25">
      <c r="A6599" s="118"/>
      <c r="B6599" s="136"/>
    </row>
    <row r="6600" spans="1:2" x14ac:dyDescent="0.25">
      <c r="A6600" s="118"/>
      <c r="B6600" s="136"/>
    </row>
    <row r="6601" spans="1:2" x14ac:dyDescent="0.25">
      <c r="A6601" s="118"/>
      <c r="B6601" s="136"/>
    </row>
    <row r="6602" spans="1:2" x14ac:dyDescent="0.25">
      <c r="A6602" s="118"/>
      <c r="B6602" s="136"/>
    </row>
    <row r="6603" spans="1:2" x14ac:dyDescent="0.25">
      <c r="A6603" s="118"/>
      <c r="B6603" s="136"/>
    </row>
    <row r="6604" spans="1:2" x14ac:dyDescent="0.25">
      <c r="A6604" s="118"/>
      <c r="B6604" s="136"/>
    </row>
    <row r="6605" spans="1:2" x14ac:dyDescent="0.25">
      <c r="A6605" s="118"/>
      <c r="B6605" s="136"/>
    </row>
    <row r="6606" spans="1:2" x14ac:dyDescent="0.25">
      <c r="A6606" s="118"/>
      <c r="B6606" s="136"/>
    </row>
    <row r="6607" spans="1:2" x14ac:dyDescent="0.25">
      <c r="A6607" s="118"/>
      <c r="B6607" s="136"/>
    </row>
    <row r="6608" spans="1:2" x14ac:dyDescent="0.25">
      <c r="A6608" s="118"/>
      <c r="B6608" s="136"/>
    </row>
    <row r="6609" spans="1:2" x14ac:dyDescent="0.25">
      <c r="A6609" s="118"/>
      <c r="B6609" s="136"/>
    </row>
    <row r="6610" spans="1:2" x14ac:dyDescent="0.25">
      <c r="A6610" s="118"/>
      <c r="B6610" s="136"/>
    </row>
    <row r="6611" spans="1:2" x14ac:dyDescent="0.25">
      <c r="A6611" s="118"/>
      <c r="B6611" s="136"/>
    </row>
    <row r="6612" spans="1:2" x14ac:dyDescent="0.25">
      <c r="A6612" s="118"/>
      <c r="B6612" s="136"/>
    </row>
    <row r="6613" spans="1:2" x14ac:dyDescent="0.25">
      <c r="A6613" s="118"/>
      <c r="B6613" s="136"/>
    </row>
    <row r="6614" spans="1:2" x14ac:dyDescent="0.25">
      <c r="A6614" s="118"/>
      <c r="B6614" s="136"/>
    </row>
    <row r="6615" spans="1:2" x14ac:dyDescent="0.25">
      <c r="A6615" s="118"/>
      <c r="B6615" s="136"/>
    </row>
    <row r="6616" spans="1:2" x14ac:dyDescent="0.25">
      <c r="A6616" s="118"/>
      <c r="B6616" s="136"/>
    </row>
    <row r="6617" spans="1:2" x14ac:dyDescent="0.25">
      <c r="A6617" s="118"/>
      <c r="B6617" s="136"/>
    </row>
    <row r="6618" spans="1:2" x14ac:dyDescent="0.25">
      <c r="A6618" s="118"/>
      <c r="B6618" s="136"/>
    </row>
    <row r="6619" spans="1:2" x14ac:dyDescent="0.25">
      <c r="A6619" s="118"/>
      <c r="B6619" s="136"/>
    </row>
    <row r="6620" spans="1:2" x14ac:dyDescent="0.25">
      <c r="A6620" s="118"/>
      <c r="B6620" s="136"/>
    </row>
    <row r="6621" spans="1:2" x14ac:dyDescent="0.25">
      <c r="A6621" s="118"/>
      <c r="B6621" s="136"/>
    </row>
    <row r="6622" spans="1:2" x14ac:dyDescent="0.25">
      <c r="A6622" s="118"/>
      <c r="B6622" s="136"/>
    </row>
    <row r="6623" spans="1:2" x14ac:dyDescent="0.25">
      <c r="A6623" s="118"/>
      <c r="B6623" s="136"/>
    </row>
    <row r="6624" spans="1:2" x14ac:dyDescent="0.25">
      <c r="A6624" s="118"/>
      <c r="B6624" s="136"/>
    </row>
    <row r="6625" spans="1:2" x14ac:dyDescent="0.25">
      <c r="A6625" s="118"/>
      <c r="B6625" s="136"/>
    </row>
    <row r="6626" spans="1:2" x14ac:dyDescent="0.25">
      <c r="A6626" s="118"/>
      <c r="B6626" s="136"/>
    </row>
    <row r="6627" spans="1:2" x14ac:dyDescent="0.25">
      <c r="A6627" s="118"/>
      <c r="B6627" s="136"/>
    </row>
    <row r="6628" spans="1:2" x14ac:dyDescent="0.25">
      <c r="A6628" s="118"/>
      <c r="B6628" s="136"/>
    </row>
    <row r="6629" spans="1:2" x14ac:dyDescent="0.25">
      <c r="A6629" s="118"/>
      <c r="B6629" s="136"/>
    </row>
    <row r="6630" spans="1:2" x14ac:dyDescent="0.25">
      <c r="A6630" s="118"/>
      <c r="B6630" s="136"/>
    </row>
    <row r="6631" spans="1:2" x14ac:dyDescent="0.25">
      <c r="A6631" s="118"/>
      <c r="B6631" s="136"/>
    </row>
    <row r="6632" spans="1:2" x14ac:dyDescent="0.25">
      <c r="A6632" s="118"/>
      <c r="B6632" s="136"/>
    </row>
    <row r="6633" spans="1:2" x14ac:dyDescent="0.25">
      <c r="A6633" s="118"/>
      <c r="B6633" s="136"/>
    </row>
    <row r="6634" spans="1:2" x14ac:dyDescent="0.25">
      <c r="A6634" s="118"/>
      <c r="B6634" s="136"/>
    </row>
    <row r="6635" spans="1:2" x14ac:dyDescent="0.25">
      <c r="A6635" s="118"/>
      <c r="B6635" s="136"/>
    </row>
    <row r="6636" spans="1:2" x14ac:dyDescent="0.25">
      <c r="A6636" s="118"/>
      <c r="B6636" s="136"/>
    </row>
    <row r="6637" spans="1:2" x14ac:dyDescent="0.25">
      <c r="A6637" s="118"/>
      <c r="B6637" s="136"/>
    </row>
    <row r="6638" spans="1:2" x14ac:dyDescent="0.25">
      <c r="A6638" s="118"/>
      <c r="B6638" s="136"/>
    </row>
    <row r="6639" spans="1:2" x14ac:dyDescent="0.25">
      <c r="A6639" s="118"/>
      <c r="B6639" s="136"/>
    </row>
    <row r="6640" spans="1:2" x14ac:dyDescent="0.25">
      <c r="A6640" s="118"/>
      <c r="B6640" s="136"/>
    </row>
    <row r="6641" spans="1:2" x14ac:dyDescent="0.25">
      <c r="A6641" s="118"/>
      <c r="B6641" s="136"/>
    </row>
    <row r="6642" spans="1:2" x14ac:dyDescent="0.25">
      <c r="A6642" s="118"/>
      <c r="B6642" s="136"/>
    </row>
    <row r="6643" spans="1:2" x14ac:dyDescent="0.25">
      <c r="A6643" s="118"/>
      <c r="B6643" s="136"/>
    </row>
    <row r="6644" spans="1:2" x14ac:dyDescent="0.25">
      <c r="A6644" s="118"/>
      <c r="B6644" s="136"/>
    </row>
    <row r="6645" spans="1:2" x14ac:dyDescent="0.25">
      <c r="A6645" s="118"/>
      <c r="B6645" s="136"/>
    </row>
    <row r="6646" spans="1:2" x14ac:dyDescent="0.25">
      <c r="A6646" s="118"/>
      <c r="B6646" s="136"/>
    </row>
    <row r="6647" spans="1:2" x14ac:dyDescent="0.25">
      <c r="A6647" s="118"/>
      <c r="B6647" s="136"/>
    </row>
    <row r="6648" spans="1:2" x14ac:dyDescent="0.25">
      <c r="A6648" s="118"/>
      <c r="B6648" s="136"/>
    </row>
    <row r="6649" spans="1:2" x14ac:dyDescent="0.25">
      <c r="A6649" s="118"/>
      <c r="B6649" s="136"/>
    </row>
    <row r="6650" spans="1:2" x14ac:dyDescent="0.25">
      <c r="A6650" s="118"/>
      <c r="B6650" s="136"/>
    </row>
    <row r="6651" spans="1:2" x14ac:dyDescent="0.25">
      <c r="A6651" s="118"/>
      <c r="B6651" s="136"/>
    </row>
    <row r="6652" spans="1:2" x14ac:dyDescent="0.25">
      <c r="A6652" s="118"/>
      <c r="B6652" s="136"/>
    </row>
    <row r="6653" spans="1:2" x14ac:dyDescent="0.25">
      <c r="A6653" s="118"/>
      <c r="B6653" s="136"/>
    </row>
    <row r="6654" spans="1:2" x14ac:dyDescent="0.25">
      <c r="A6654" s="118"/>
      <c r="B6654" s="136"/>
    </row>
    <row r="6655" spans="1:2" x14ac:dyDescent="0.25">
      <c r="A6655" s="118"/>
      <c r="B6655" s="136"/>
    </row>
    <row r="6656" spans="1:2" x14ac:dyDescent="0.25">
      <c r="A6656" s="118"/>
      <c r="B6656" s="136"/>
    </row>
    <row r="6657" spans="1:2" x14ac:dyDescent="0.25">
      <c r="A6657" s="118"/>
      <c r="B6657" s="136"/>
    </row>
    <row r="6658" spans="1:2" x14ac:dyDescent="0.25">
      <c r="A6658" s="118"/>
      <c r="B6658" s="136"/>
    </row>
    <row r="6659" spans="1:2" x14ac:dyDescent="0.25">
      <c r="A6659" s="118"/>
      <c r="B6659" s="136"/>
    </row>
    <row r="6660" spans="1:2" x14ac:dyDescent="0.25">
      <c r="A6660" s="118"/>
      <c r="B6660" s="136"/>
    </row>
    <row r="6661" spans="1:2" x14ac:dyDescent="0.25">
      <c r="A6661" s="118"/>
      <c r="B6661" s="136"/>
    </row>
    <row r="6662" spans="1:2" x14ac:dyDescent="0.25">
      <c r="A6662" s="118"/>
      <c r="B6662" s="136"/>
    </row>
    <row r="6663" spans="1:2" x14ac:dyDescent="0.25">
      <c r="A6663" s="118"/>
      <c r="B6663" s="136"/>
    </row>
    <row r="6664" spans="1:2" x14ac:dyDescent="0.25">
      <c r="A6664" s="118"/>
      <c r="B6664" s="136"/>
    </row>
    <row r="6665" spans="1:2" x14ac:dyDescent="0.25">
      <c r="A6665" s="118"/>
      <c r="B6665" s="136"/>
    </row>
    <row r="6666" spans="1:2" x14ac:dyDescent="0.25">
      <c r="A6666" s="118"/>
      <c r="B6666" s="136"/>
    </row>
    <row r="6667" spans="1:2" x14ac:dyDescent="0.25">
      <c r="A6667" s="118"/>
      <c r="B6667" s="136"/>
    </row>
    <row r="6668" spans="1:2" x14ac:dyDescent="0.25">
      <c r="A6668" s="118"/>
      <c r="B6668" s="136"/>
    </row>
    <row r="6669" spans="1:2" x14ac:dyDescent="0.25">
      <c r="A6669" s="118"/>
      <c r="B6669" s="136"/>
    </row>
    <row r="6670" spans="1:2" x14ac:dyDescent="0.25">
      <c r="A6670" s="118"/>
      <c r="B6670" s="136"/>
    </row>
    <row r="6671" spans="1:2" x14ac:dyDescent="0.25">
      <c r="A6671" s="118"/>
      <c r="B6671" s="136"/>
    </row>
    <row r="6672" spans="1:2" x14ac:dyDescent="0.25">
      <c r="A6672" s="118"/>
      <c r="B6672" s="136"/>
    </row>
    <row r="6673" spans="1:2" x14ac:dyDescent="0.25">
      <c r="A6673" s="118"/>
      <c r="B6673" s="136"/>
    </row>
    <row r="6674" spans="1:2" x14ac:dyDescent="0.25">
      <c r="A6674" s="118"/>
      <c r="B6674" s="136"/>
    </row>
    <row r="6675" spans="1:2" x14ac:dyDescent="0.25">
      <c r="A6675" s="118"/>
      <c r="B6675" s="136"/>
    </row>
    <row r="6676" spans="1:2" x14ac:dyDescent="0.25">
      <c r="A6676" s="118"/>
      <c r="B6676" s="136"/>
    </row>
    <row r="6677" spans="1:2" x14ac:dyDescent="0.25">
      <c r="A6677" s="118"/>
      <c r="B6677" s="136"/>
    </row>
    <row r="6678" spans="1:2" x14ac:dyDescent="0.25">
      <c r="A6678" s="118"/>
      <c r="B6678" s="136"/>
    </row>
    <row r="6679" spans="1:2" x14ac:dyDescent="0.25">
      <c r="A6679" s="118"/>
      <c r="B6679" s="136"/>
    </row>
    <row r="6680" spans="1:2" x14ac:dyDescent="0.25">
      <c r="A6680" s="118"/>
      <c r="B6680" s="136"/>
    </row>
    <row r="6681" spans="1:2" x14ac:dyDescent="0.25">
      <c r="A6681" s="118"/>
      <c r="B6681" s="136"/>
    </row>
    <row r="6682" spans="1:2" x14ac:dyDescent="0.25">
      <c r="A6682" s="118"/>
      <c r="B6682" s="136"/>
    </row>
    <row r="6683" spans="1:2" x14ac:dyDescent="0.25">
      <c r="A6683" s="118"/>
      <c r="B6683" s="136"/>
    </row>
    <row r="6684" spans="1:2" x14ac:dyDescent="0.25">
      <c r="A6684" s="118"/>
      <c r="B6684" s="136"/>
    </row>
    <row r="6685" spans="1:2" x14ac:dyDescent="0.25">
      <c r="A6685" s="118"/>
      <c r="B6685" s="136"/>
    </row>
    <row r="6686" spans="1:2" x14ac:dyDescent="0.25">
      <c r="A6686" s="118"/>
      <c r="B6686" s="136"/>
    </row>
    <row r="6687" spans="1:2" x14ac:dyDescent="0.25">
      <c r="A6687" s="118"/>
      <c r="B6687" s="136"/>
    </row>
    <row r="6688" spans="1:2" x14ac:dyDescent="0.25">
      <c r="A6688" s="118"/>
      <c r="B6688" s="136"/>
    </row>
    <row r="6689" spans="1:2" x14ac:dyDescent="0.25">
      <c r="A6689" s="118"/>
      <c r="B6689" s="136"/>
    </row>
    <row r="6690" spans="1:2" x14ac:dyDescent="0.25">
      <c r="A6690" s="118"/>
      <c r="B6690" s="136"/>
    </row>
    <row r="6691" spans="1:2" x14ac:dyDescent="0.25">
      <c r="A6691" s="118"/>
      <c r="B6691" s="136"/>
    </row>
    <row r="6692" spans="1:2" x14ac:dyDescent="0.25">
      <c r="A6692" s="118"/>
      <c r="B6692" s="136"/>
    </row>
    <row r="6693" spans="1:2" x14ac:dyDescent="0.25">
      <c r="A6693" s="118"/>
      <c r="B6693" s="136"/>
    </row>
    <row r="6694" spans="1:2" x14ac:dyDescent="0.25">
      <c r="A6694" s="118"/>
      <c r="B6694" s="136"/>
    </row>
    <row r="6695" spans="1:2" x14ac:dyDescent="0.25">
      <c r="A6695" s="118"/>
      <c r="B6695" s="136"/>
    </row>
    <row r="6696" spans="1:2" x14ac:dyDescent="0.25">
      <c r="A6696" s="118"/>
      <c r="B6696" s="136"/>
    </row>
    <row r="6697" spans="1:2" x14ac:dyDescent="0.25">
      <c r="A6697" s="118"/>
      <c r="B6697" s="136"/>
    </row>
    <row r="6698" spans="1:2" x14ac:dyDescent="0.25">
      <c r="A6698" s="118"/>
      <c r="B6698" s="136"/>
    </row>
    <row r="6699" spans="1:2" x14ac:dyDescent="0.25">
      <c r="A6699" s="118"/>
      <c r="B6699" s="136"/>
    </row>
    <row r="6700" spans="1:2" x14ac:dyDescent="0.25">
      <c r="A6700" s="118"/>
      <c r="B6700" s="136"/>
    </row>
    <row r="6701" spans="1:2" x14ac:dyDescent="0.25">
      <c r="A6701" s="118"/>
      <c r="B6701" s="136"/>
    </row>
    <row r="6702" spans="1:2" x14ac:dyDescent="0.25">
      <c r="A6702" s="118"/>
      <c r="B6702" s="136"/>
    </row>
    <row r="6703" spans="1:2" x14ac:dyDescent="0.25">
      <c r="A6703" s="118"/>
      <c r="B6703" s="136"/>
    </row>
    <row r="6704" spans="1:2" x14ac:dyDescent="0.25">
      <c r="A6704" s="118"/>
      <c r="B6704" s="136"/>
    </row>
    <row r="6705" spans="1:2" x14ac:dyDescent="0.25">
      <c r="A6705" s="118"/>
      <c r="B6705" s="136"/>
    </row>
    <row r="6706" spans="1:2" x14ac:dyDescent="0.25">
      <c r="A6706" s="118"/>
      <c r="B6706" s="136"/>
    </row>
    <row r="6707" spans="1:2" x14ac:dyDescent="0.25">
      <c r="A6707" s="118"/>
      <c r="B6707" s="136"/>
    </row>
    <row r="6708" spans="1:2" x14ac:dyDescent="0.25">
      <c r="A6708" s="118"/>
      <c r="B6708" s="136"/>
    </row>
    <row r="6709" spans="1:2" x14ac:dyDescent="0.25">
      <c r="A6709" s="118"/>
      <c r="B6709" s="136"/>
    </row>
    <row r="6710" spans="1:2" x14ac:dyDescent="0.25">
      <c r="A6710" s="118"/>
      <c r="B6710" s="136"/>
    </row>
    <row r="6711" spans="1:2" x14ac:dyDescent="0.25">
      <c r="A6711" s="118"/>
      <c r="B6711" s="136"/>
    </row>
    <row r="6712" spans="1:2" x14ac:dyDescent="0.25">
      <c r="A6712" s="118"/>
      <c r="B6712" s="136"/>
    </row>
    <row r="6713" spans="1:2" x14ac:dyDescent="0.25">
      <c r="A6713" s="118"/>
      <c r="B6713" s="136"/>
    </row>
    <row r="6714" spans="1:2" x14ac:dyDescent="0.25">
      <c r="A6714" s="118"/>
      <c r="B6714" s="136"/>
    </row>
    <row r="6715" spans="1:2" x14ac:dyDescent="0.25">
      <c r="A6715" s="118"/>
      <c r="B6715" s="136"/>
    </row>
    <row r="6716" spans="1:2" x14ac:dyDescent="0.25">
      <c r="A6716" s="118"/>
      <c r="B6716" s="136"/>
    </row>
    <row r="6717" spans="1:2" x14ac:dyDescent="0.25">
      <c r="A6717" s="118"/>
      <c r="B6717" s="136"/>
    </row>
    <row r="6718" spans="1:2" x14ac:dyDescent="0.25">
      <c r="A6718" s="118"/>
      <c r="B6718" s="136"/>
    </row>
    <row r="6719" spans="1:2" x14ac:dyDescent="0.25">
      <c r="A6719" s="118"/>
      <c r="B6719" s="136"/>
    </row>
    <row r="6720" spans="1:2" x14ac:dyDescent="0.25">
      <c r="A6720" s="118"/>
      <c r="B6720" s="136"/>
    </row>
    <row r="6721" spans="1:2" x14ac:dyDescent="0.25">
      <c r="A6721" s="118"/>
      <c r="B6721" s="136"/>
    </row>
    <row r="6722" spans="1:2" x14ac:dyDescent="0.25">
      <c r="A6722" s="118"/>
      <c r="B6722" s="136"/>
    </row>
    <row r="6723" spans="1:2" x14ac:dyDescent="0.25">
      <c r="A6723" s="118"/>
      <c r="B6723" s="136"/>
    </row>
    <row r="6724" spans="1:2" x14ac:dyDescent="0.25">
      <c r="A6724" s="118"/>
      <c r="B6724" s="136"/>
    </row>
    <row r="6725" spans="1:2" x14ac:dyDescent="0.25">
      <c r="A6725" s="118"/>
      <c r="B6725" s="136"/>
    </row>
    <row r="6726" spans="1:2" x14ac:dyDescent="0.25">
      <c r="A6726" s="118"/>
      <c r="B6726" s="136"/>
    </row>
    <row r="6727" spans="1:2" x14ac:dyDescent="0.25">
      <c r="A6727" s="118"/>
      <c r="B6727" s="136"/>
    </row>
    <row r="6728" spans="1:2" x14ac:dyDescent="0.25">
      <c r="A6728" s="118"/>
      <c r="B6728" s="136"/>
    </row>
    <row r="6729" spans="1:2" x14ac:dyDescent="0.25">
      <c r="A6729" s="118"/>
      <c r="B6729" s="136"/>
    </row>
    <row r="6730" spans="1:2" x14ac:dyDescent="0.25">
      <c r="A6730" s="118"/>
      <c r="B6730" s="136"/>
    </row>
    <row r="6731" spans="1:2" x14ac:dyDescent="0.25">
      <c r="A6731" s="118"/>
      <c r="B6731" s="136"/>
    </row>
    <row r="6732" spans="1:2" x14ac:dyDescent="0.25">
      <c r="A6732" s="118"/>
      <c r="B6732" s="136"/>
    </row>
    <row r="6733" spans="1:2" x14ac:dyDescent="0.25">
      <c r="A6733" s="118"/>
      <c r="B6733" s="136"/>
    </row>
    <row r="6734" spans="1:2" x14ac:dyDescent="0.25">
      <c r="A6734" s="118"/>
      <c r="B6734" s="136"/>
    </row>
    <row r="6735" spans="1:2" x14ac:dyDescent="0.25">
      <c r="A6735" s="118"/>
      <c r="B6735" s="136"/>
    </row>
    <row r="6736" spans="1:2" x14ac:dyDescent="0.25">
      <c r="A6736" s="118"/>
      <c r="B6736" s="136"/>
    </row>
    <row r="6737" spans="1:2" x14ac:dyDescent="0.25">
      <c r="A6737" s="118"/>
      <c r="B6737" s="136"/>
    </row>
    <row r="6738" spans="1:2" x14ac:dyDescent="0.25">
      <c r="A6738" s="118"/>
      <c r="B6738" s="136"/>
    </row>
    <row r="6739" spans="1:2" x14ac:dyDescent="0.25">
      <c r="A6739" s="118"/>
      <c r="B6739" s="136"/>
    </row>
    <row r="6740" spans="1:2" x14ac:dyDescent="0.25">
      <c r="A6740" s="118"/>
      <c r="B6740" s="136"/>
    </row>
    <row r="6741" spans="1:2" x14ac:dyDescent="0.25">
      <c r="A6741" s="118"/>
      <c r="B6741" s="136"/>
    </row>
    <row r="6742" spans="1:2" x14ac:dyDescent="0.25">
      <c r="A6742" s="118"/>
      <c r="B6742" s="136"/>
    </row>
    <row r="6743" spans="1:2" x14ac:dyDescent="0.25">
      <c r="A6743" s="118"/>
      <c r="B6743" s="136"/>
    </row>
    <row r="6744" spans="1:2" x14ac:dyDescent="0.25">
      <c r="A6744" s="118"/>
      <c r="B6744" s="136"/>
    </row>
    <row r="6745" spans="1:2" x14ac:dyDescent="0.25">
      <c r="A6745" s="118"/>
      <c r="B6745" s="136"/>
    </row>
    <row r="6746" spans="1:2" x14ac:dyDescent="0.25">
      <c r="A6746" s="118"/>
      <c r="B6746" s="136"/>
    </row>
    <row r="6747" spans="1:2" x14ac:dyDescent="0.25">
      <c r="A6747" s="118"/>
      <c r="B6747" s="136"/>
    </row>
    <row r="6748" spans="1:2" x14ac:dyDescent="0.25">
      <c r="A6748" s="118"/>
      <c r="B6748" s="136"/>
    </row>
    <row r="6749" spans="1:2" x14ac:dyDescent="0.25">
      <c r="A6749" s="118"/>
      <c r="B6749" s="136"/>
    </row>
    <row r="6750" spans="1:2" x14ac:dyDescent="0.25">
      <c r="A6750" s="118"/>
      <c r="B6750" s="136"/>
    </row>
    <row r="6751" spans="1:2" x14ac:dyDescent="0.25">
      <c r="A6751" s="118"/>
      <c r="B6751" s="136"/>
    </row>
    <row r="6752" spans="1:2" x14ac:dyDescent="0.25">
      <c r="A6752" s="118"/>
      <c r="B6752" s="136"/>
    </row>
    <row r="6753" spans="1:2" x14ac:dyDescent="0.25">
      <c r="A6753" s="118"/>
      <c r="B6753" s="136"/>
    </row>
    <row r="6754" spans="1:2" x14ac:dyDescent="0.25">
      <c r="A6754" s="118"/>
      <c r="B6754" s="136"/>
    </row>
    <row r="6755" spans="1:2" x14ac:dyDescent="0.25">
      <c r="A6755" s="118"/>
      <c r="B6755" s="136"/>
    </row>
    <row r="6756" spans="1:2" x14ac:dyDescent="0.25">
      <c r="A6756" s="118"/>
      <c r="B6756" s="136"/>
    </row>
    <row r="6757" spans="1:2" x14ac:dyDescent="0.25">
      <c r="A6757" s="118"/>
      <c r="B6757" s="136"/>
    </row>
    <row r="6758" spans="1:2" x14ac:dyDescent="0.25">
      <c r="A6758" s="118"/>
      <c r="B6758" s="136"/>
    </row>
    <row r="6759" spans="1:2" x14ac:dyDescent="0.25">
      <c r="A6759" s="118"/>
      <c r="B6759" s="136"/>
    </row>
    <row r="6760" spans="1:2" x14ac:dyDescent="0.25">
      <c r="A6760" s="118"/>
      <c r="B6760" s="136"/>
    </row>
    <row r="6761" spans="1:2" x14ac:dyDescent="0.25">
      <c r="A6761" s="118"/>
      <c r="B6761" s="136"/>
    </row>
    <row r="6762" spans="1:2" x14ac:dyDescent="0.25">
      <c r="A6762" s="118"/>
      <c r="B6762" s="136"/>
    </row>
    <row r="6763" spans="1:2" x14ac:dyDescent="0.25">
      <c r="A6763" s="118"/>
      <c r="B6763" s="136"/>
    </row>
    <row r="6764" spans="1:2" x14ac:dyDescent="0.25">
      <c r="A6764" s="118"/>
      <c r="B6764" s="136"/>
    </row>
    <row r="6765" spans="1:2" x14ac:dyDescent="0.25">
      <c r="A6765" s="118"/>
      <c r="B6765" s="136"/>
    </row>
    <row r="6766" spans="1:2" x14ac:dyDescent="0.25">
      <c r="A6766" s="118"/>
      <c r="B6766" s="136"/>
    </row>
    <row r="6767" spans="1:2" x14ac:dyDescent="0.25">
      <c r="A6767" s="118"/>
      <c r="B6767" s="136"/>
    </row>
    <row r="6768" spans="1:2" x14ac:dyDescent="0.25">
      <c r="A6768" s="118"/>
      <c r="B6768" s="136"/>
    </row>
    <row r="6769" spans="1:2" x14ac:dyDescent="0.25">
      <c r="A6769" s="118"/>
      <c r="B6769" s="136"/>
    </row>
    <row r="6770" spans="1:2" x14ac:dyDescent="0.25">
      <c r="A6770" s="118"/>
      <c r="B6770" s="136"/>
    </row>
    <row r="6771" spans="1:2" x14ac:dyDescent="0.25">
      <c r="A6771" s="118"/>
      <c r="B6771" s="136"/>
    </row>
    <row r="6772" spans="1:2" x14ac:dyDescent="0.25">
      <c r="A6772" s="118"/>
      <c r="B6772" s="136"/>
    </row>
    <row r="6773" spans="1:2" x14ac:dyDescent="0.25">
      <c r="A6773" s="118"/>
      <c r="B6773" s="136"/>
    </row>
    <row r="6774" spans="1:2" x14ac:dyDescent="0.25">
      <c r="A6774" s="118"/>
      <c r="B6774" s="136"/>
    </row>
    <row r="6775" spans="1:2" x14ac:dyDescent="0.25">
      <c r="A6775" s="118"/>
      <c r="B6775" s="136"/>
    </row>
    <row r="6776" spans="1:2" x14ac:dyDescent="0.25">
      <c r="A6776" s="118"/>
      <c r="B6776" s="136"/>
    </row>
    <row r="6777" spans="1:2" x14ac:dyDescent="0.25">
      <c r="A6777" s="118"/>
      <c r="B6777" s="136"/>
    </row>
    <row r="6778" spans="1:2" x14ac:dyDescent="0.25">
      <c r="A6778" s="118"/>
      <c r="B6778" s="136"/>
    </row>
    <row r="6779" spans="1:2" x14ac:dyDescent="0.25">
      <c r="A6779" s="118"/>
      <c r="B6779" s="136"/>
    </row>
    <row r="6780" spans="1:2" x14ac:dyDescent="0.25">
      <c r="A6780" s="118"/>
      <c r="B6780" s="136"/>
    </row>
    <row r="6781" spans="1:2" x14ac:dyDescent="0.25">
      <c r="A6781" s="118"/>
      <c r="B6781" s="136"/>
    </row>
    <row r="6782" spans="1:2" x14ac:dyDescent="0.25">
      <c r="A6782" s="118"/>
      <c r="B6782" s="136"/>
    </row>
    <row r="6783" spans="1:2" x14ac:dyDescent="0.25">
      <c r="A6783" s="118"/>
      <c r="B6783" s="136"/>
    </row>
    <row r="6784" spans="1:2" x14ac:dyDescent="0.25">
      <c r="A6784" s="118"/>
      <c r="B6784" s="136"/>
    </row>
    <row r="6785" spans="1:2" x14ac:dyDescent="0.25">
      <c r="A6785" s="118"/>
      <c r="B6785" s="136"/>
    </row>
    <row r="6786" spans="1:2" x14ac:dyDescent="0.25">
      <c r="A6786" s="118"/>
      <c r="B6786" s="136"/>
    </row>
    <row r="6787" spans="1:2" x14ac:dyDescent="0.25">
      <c r="A6787" s="118"/>
      <c r="B6787" s="136"/>
    </row>
    <row r="6788" spans="1:2" x14ac:dyDescent="0.25">
      <c r="A6788" s="118"/>
      <c r="B6788" s="136"/>
    </row>
    <row r="6789" spans="1:2" x14ac:dyDescent="0.25">
      <c r="A6789" s="118"/>
      <c r="B6789" s="136"/>
    </row>
    <row r="6790" spans="1:2" x14ac:dyDescent="0.25">
      <c r="A6790" s="118"/>
      <c r="B6790" s="136"/>
    </row>
    <row r="6791" spans="1:2" x14ac:dyDescent="0.25">
      <c r="A6791" s="118"/>
      <c r="B6791" s="136"/>
    </row>
    <row r="6792" spans="1:2" x14ac:dyDescent="0.25">
      <c r="A6792" s="118"/>
      <c r="B6792" s="136"/>
    </row>
    <row r="6793" spans="1:2" x14ac:dyDescent="0.25">
      <c r="A6793" s="118"/>
      <c r="B6793" s="136"/>
    </row>
    <row r="6794" spans="1:2" x14ac:dyDescent="0.25">
      <c r="A6794" s="118"/>
      <c r="B6794" s="136"/>
    </row>
    <row r="6795" spans="1:2" x14ac:dyDescent="0.25">
      <c r="A6795" s="118"/>
      <c r="B6795" s="136"/>
    </row>
    <row r="6796" spans="1:2" x14ac:dyDescent="0.25">
      <c r="A6796" s="118"/>
      <c r="B6796" s="136"/>
    </row>
    <row r="6797" spans="1:2" x14ac:dyDescent="0.25">
      <c r="A6797" s="118"/>
      <c r="B6797" s="136"/>
    </row>
    <row r="6798" spans="1:2" x14ac:dyDescent="0.25">
      <c r="A6798" s="118"/>
      <c r="B6798" s="136"/>
    </row>
    <row r="6799" spans="1:2" x14ac:dyDescent="0.25">
      <c r="A6799" s="118"/>
      <c r="B6799" s="136"/>
    </row>
    <row r="6800" spans="1:2" x14ac:dyDescent="0.25">
      <c r="A6800" s="118"/>
      <c r="B6800" s="136"/>
    </row>
    <row r="6801" spans="1:2" x14ac:dyDescent="0.25">
      <c r="A6801" s="118"/>
      <c r="B6801" s="136"/>
    </row>
    <row r="6802" spans="1:2" x14ac:dyDescent="0.25">
      <c r="A6802" s="118"/>
      <c r="B6802" s="136"/>
    </row>
    <row r="6803" spans="1:2" x14ac:dyDescent="0.25">
      <c r="A6803" s="118"/>
      <c r="B6803" s="136"/>
    </row>
    <row r="6804" spans="1:2" x14ac:dyDescent="0.25">
      <c r="A6804" s="118"/>
      <c r="B6804" s="136"/>
    </row>
    <row r="6805" spans="1:2" x14ac:dyDescent="0.25">
      <c r="A6805" s="118"/>
      <c r="B6805" s="136"/>
    </row>
    <row r="6806" spans="1:2" x14ac:dyDescent="0.25">
      <c r="A6806" s="118"/>
      <c r="B6806" s="136"/>
    </row>
    <row r="6807" spans="1:2" x14ac:dyDescent="0.25">
      <c r="A6807" s="118"/>
      <c r="B6807" s="136"/>
    </row>
    <row r="6808" spans="1:2" x14ac:dyDescent="0.25">
      <c r="A6808" s="118"/>
      <c r="B6808" s="136"/>
    </row>
    <row r="6809" spans="1:2" x14ac:dyDescent="0.25">
      <c r="A6809" s="118"/>
      <c r="B6809" s="136"/>
    </row>
    <row r="6810" spans="1:2" x14ac:dyDescent="0.25">
      <c r="A6810" s="118"/>
      <c r="B6810" s="136"/>
    </row>
    <row r="6811" spans="1:2" x14ac:dyDescent="0.25">
      <c r="A6811" s="118"/>
      <c r="B6811" s="136"/>
    </row>
    <row r="6812" spans="1:2" x14ac:dyDescent="0.25">
      <c r="A6812" s="118"/>
      <c r="B6812" s="136"/>
    </row>
    <row r="6813" spans="1:2" x14ac:dyDescent="0.25">
      <c r="A6813" s="118"/>
      <c r="B6813" s="136"/>
    </row>
    <row r="6814" spans="1:2" x14ac:dyDescent="0.25">
      <c r="A6814" s="118"/>
      <c r="B6814" s="136"/>
    </row>
    <row r="6815" spans="1:2" x14ac:dyDescent="0.25">
      <c r="A6815" s="118"/>
      <c r="B6815" s="136"/>
    </row>
    <row r="6816" spans="1:2" x14ac:dyDescent="0.25">
      <c r="A6816" s="118"/>
      <c r="B6816" s="136"/>
    </row>
    <row r="6817" spans="1:2" x14ac:dyDescent="0.25">
      <c r="A6817" s="118"/>
      <c r="B6817" s="136"/>
    </row>
    <row r="6818" spans="1:2" x14ac:dyDescent="0.25">
      <c r="A6818" s="118"/>
      <c r="B6818" s="136"/>
    </row>
    <row r="6819" spans="1:2" x14ac:dyDescent="0.25">
      <c r="A6819" s="118"/>
      <c r="B6819" s="136"/>
    </row>
    <row r="6820" spans="1:2" x14ac:dyDescent="0.25">
      <c r="A6820" s="118"/>
      <c r="B6820" s="136"/>
    </row>
    <row r="6821" spans="1:2" x14ac:dyDescent="0.25">
      <c r="A6821" s="118"/>
      <c r="B6821" s="136"/>
    </row>
    <row r="6822" spans="1:2" x14ac:dyDescent="0.25">
      <c r="A6822" s="118"/>
      <c r="B6822" s="136"/>
    </row>
    <row r="6823" spans="1:2" x14ac:dyDescent="0.25">
      <c r="A6823" s="118"/>
      <c r="B6823" s="136"/>
    </row>
    <row r="6824" spans="1:2" x14ac:dyDescent="0.25">
      <c r="A6824" s="118"/>
      <c r="B6824" s="136"/>
    </row>
    <row r="6825" spans="1:2" x14ac:dyDescent="0.25">
      <c r="A6825" s="118"/>
      <c r="B6825" s="136"/>
    </row>
    <row r="6826" spans="1:2" x14ac:dyDescent="0.25">
      <c r="A6826" s="118"/>
      <c r="B6826" s="136"/>
    </row>
    <row r="6827" spans="1:2" x14ac:dyDescent="0.25">
      <c r="A6827" s="118"/>
      <c r="B6827" s="136"/>
    </row>
    <row r="6828" spans="1:2" x14ac:dyDescent="0.25">
      <c r="A6828" s="118"/>
      <c r="B6828" s="136"/>
    </row>
    <row r="6829" spans="1:2" x14ac:dyDescent="0.25">
      <c r="A6829" s="118"/>
      <c r="B6829" s="136"/>
    </row>
    <row r="6830" spans="1:2" x14ac:dyDescent="0.25">
      <c r="A6830" s="118"/>
      <c r="B6830" s="136"/>
    </row>
    <row r="6831" spans="1:2" x14ac:dyDescent="0.25">
      <c r="A6831" s="118"/>
      <c r="B6831" s="136"/>
    </row>
    <row r="6832" spans="1:2" x14ac:dyDescent="0.25">
      <c r="A6832" s="118"/>
      <c r="B6832" s="136"/>
    </row>
    <row r="6833" spans="1:2" x14ac:dyDescent="0.25">
      <c r="A6833" s="118"/>
      <c r="B6833" s="136"/>
    </row>
    <row r="6834" spans="1:2" x14ac:dyDescent="0.25">
      <c r="A6834" s="118"/>
      <c r="B6834" s="136"/>
    </row>
    <row r="6835" spans="1:2" x14ac:dyDescent="0.25">
      <c r="A6835" s="118"/>
      <c r="B6835" s="136"/>
    </row>
    <row r="6836" spans="1:2" x14ac:dyDescent="0.25">
      <c r="A6836" s="118"/>
      <c r="B6836" s="136"/>
    </row>
    <row r="6837" spans="1:2" x14ac:dyDescent="0.25">
      <c r="A6837" s="118"/>
      <c r="B6837" s="136"/>
    </row>
    <row r="6838" spans="1:2" x14ac:dyDescent="0.25">
      <c r="A6838" s="118"/>
      <c r="B6838" s="136"/>
    </row>
    <row r="6839" spans="1:2" x14ac:dyDescent="0.25">
      <c r="A6839" s="118"/>
      <c r="B6839" s="136"/>
    </row>
    <row r="6840" spans="1:2" x14ac:dyDescent="0.25">
      <c r="A6840" s="118"/>
      <c r="B6840" s="136"/>
    </row>
    <row r="6841" spans="1:2" x14ac:dyDescent="0.25">
      <c r="A6841" s="118"/>
      <c r="B6841" s="136"/>
    </row>
    <row r="6842" spans="1:2" x14ac:dyDescent="0.25">
      <c r="A6842" s="118"/>
      <c r="B6842" s="136"/>
    </row>
    <row r="6843" spans="1:2" x14ac:dyDescent="0.25">
      <c r="A6843" s="118"/>
      <c r="B6843" s="136"/>
    </row>
    <row r="6844" spans="1:2" x14ac:dyDescent="0.25">
      <c r="A6844" s="118"/>
      <c r="B6844" s="136"/>
    </row>
    <row r="6845" spans="1:2" x14ac:dyDescent="0.25">
      <c r="A6845" s="118"/>
      <c r="B6845" s="136"/>
    </row>
    <row r="6846" spans="1:2" x14ac:dyDescent="0.25">
      <c r="A6846" s="118"/>
      <c r="B6846" s="136"/>
    </row>
    <row r="6847" spans="1:2" x14ac:dyDescent="0.25">
      <c r="A6847" s="118"/>
      <c r="B6847" s="136"/>
    </row>
    <row r="6848" spans="1:2" x14ac:dyDescent="0.25">
      <c r="A6848" s="118"/>
      <c r="B6848" s="136"/>
    </row>
    <row r="6849" spans="1:2" x14ac:dyDescent="0.25">
      <c r="A6849" s="118"/>
      <c r="B6849" s="136"/>
    </row>
    <row r="6850" spans="1:2" x14ac:dyDescent="0.25">
      <c r="A6850" s="118"/>
      <c r="B6850" s="136"/>
    </row>
    <row r="6851" spans="1:2" x14ac:dyDescent="0.25">
      <c r="A6851" s="118"/>
      <c r="B6851" s="136"/>
    </row>
    <row r="6852" spans="1:2" x14ac:dyDescent="0.25">
      <c r="A6852" s="118"/>
      <c r="B6852" s="136"/>
    </row>
    <row r="6853" spans="1:2" x14ac:dyDescent="0.25">
      <c r="A6853" s="118"/>
      <c r="B6853" s="136"/>
    </row>
    <row r="6854" spans="1:2" x14ac:dyDescent="0.25">
      <c r="A6854" s="118"/>
      <c r="B6854" s="136"/>
    </row>
    <row r="6855" spans="1:2" x14ac:dyDescent="0.25">
      <c r="A6855" s="118"/>
      <c r="B6855" s="136"/>
    </row>
    <row r="6856" spans="1:2" x14ac:dyDescent="0.25">
      <c r="A6856" s="118"/>
      <c r="B6856" s="136"/>
    </row>
    <row r="6857" spans="1:2" x14ac:dyDescent="0.25">
      <c r="A6857" s="118"/>
      <c r="B6857" s="136"/>
    </row>
    <row r="6858" spans="1:2" x14ac:dyDescent="0.25">
      <c r="A6858" s="118"/>
      <c r="B6858" s="136"/>
    </row>
    <row r="6859" spans="1:2" x14ac:dyDescent="0.25">
      <c r="A6859" s="118"/>
      <c r="B6859" s="136"/>
    </row>
    <row r="6860" spans="1:2" x14ac:dyDescent="0.25">
      <c r="A6860" s="118"/>
      <c r="B6860" s="136"/>
    </row>
    <row r="6861" spans="1:2" x14ac:dyDescent="0.25">
      <c r="A6861" s="118"/>
      <c r="B6861" s="136"/>
    </row>
    <row r="6862" spans="1:2" x14ac:dyDescent="0.25">
      <c r="A6862" s="118"/>
      <c r="B6862" s="136"/>
    </row>
    <row r="6863" spans="1:2" x14ac:dyDescent="0.25">
      <c r="A6863" s="118"/>
      <c r="B6863" s="136"/>
    </row>
    <row r="6864" spans="1:2" x14ac:dyDescent="0.25">
      <c r="A6864" s="118"/>
      <c r="B6864" s="136"/>
    </row>
    <row r="6865" spans="1:2" x14ac:dyDescent="0.25">
      <c r="A6865" s="118"/>
      <c r="B6865" s="136"/>
    </row>
    <row r="6866" spans="1:2" x14ac:dyDescent="0.25">
      <c r="A6866" s="118"/>
      <c r="B6866" s="136"/>
    </row>
    <row r="6867" spans="1:2" x14ac:dyDescent="0.25">
      <c r="A6867" s="118"/>
      <c r="B6867" s="136"/>
    </row>
    <row r="6868" spans="1:2" x14ac:dyDescent="0.25">
      <c r="A6868" s="118"/>
      <c r="B6868" s="136"/>
    </row>
    <row r="6869" spans="1:2" x14ac:dyDescent="0.25">
      <c r="A6869" s="118"/>
      <c r="B6869" s="136"/>
    </row>
    <row r="6870" spans="1:2" x14ac:dyDescent="0.25">
      <c r="A6870" s="118"/>
      <c r="B6870" s="136"/>
    </row>
    <row r="6871" spans="1:2" x14ac:dyDescent="0.25">
      <c r="A6871" s="118"/>
      <c r="B6871" s="136"/>
    </row>
    <row r="6872" spans="1:2" x14ac:dyDescent="0.25">
      <c r="A6872" s="118"/>
      <c r="B6872" s="136"/>
    </row>
    <row r="6873" spans="1:2" x14ac:dyDescent="0.25">
      <c r="A6873" s="118"/>
      <c r="B6873" s="136"/>
    </row>
    <row r="6874" spans="1:2" x14ac:dyDescent="0.25">
      <c r="A6874" s="118"/>
      <c r="B6874" s="136"/>
    </row>
    <row r="6875" spans="1:2" x14ac:dyDescent="0.25">
      <c r="A6875" s="118"/>
      <c r="B6875" s="136"/>
    </row>
    <row r="6876" spans="1:2" x14ac:dyDescent="0.25">
      <c r="A6876" s="118"/>
      <c r="B6876" s="136"/>
    </row>
    <row r="6877" spans="1:2" x14ac:dyDescent="0.25">
      <c r="A6877" s="118"/>
      <c r="B6877" s="136"/>
    </row>
    <row r="6878" spans="1:2" x14ac:dyDescent="0.25">
      <c r="A6878" s="118"/>
      <c r="B6878" s="136"/>
    </row>
    <row r="6879" spans="1:2" x14ac:dyDescent="0.25">
      <c r="A6879" s="118"/>
      <c r="B6879" s="136"/>
    </row>
    <row r="6880" spans="1:2" x14ac:dyDescent="0.25">
      <c r="A6880" s="118"/>
      <c r="B6880" s="136"/>
    </row>
    <row r="6881" spans="1:2" x14ac:dyDescent="0.25">
      <c r="A6881" s="118"/>
      <c r="B6881" s="136"/>
    </row>
    <row r="6882" spans="1:2" x14ac:dyDescent="0.25">
      <c r="A6882" s="118"/>
      <c r="B6882" s="136"/>
    </row>
    <row r="6883" spans="1:2" x14ac:dyDescent="0.25">
      <c r="A6883" s="118"/>
      <c r="B6883" s="136"/>
    </row>
    <row r="6884" spans="1:2" x14ac:dyDescent="0.25">
      <c r="A6884" s="118"/>
      <c r="B6884" s="136"/>
    </row>
    <row r="6885" spans="1:2" x14ac:dyDescent="0.25">
      <c r="A6885" s="118"/>
      <c r="B6885" s="136"/>
    </row>
    <row r="6886" spans="1:2" x14ac:dyDescent="0.25">
      <c r="A6886" s="118"/>
      <c r="B6886" s="136"/>
    </row>
    <row r="6887" spans="1:2" x14ac:dyDescent="0.25">
      <c r="A6887" s="118"/>
      <c r="B6887" s="136"/>
    </row>
    <row r="6888" spans="1:2" x14ac:dyDescent="0.25">
      <c r="A6888" s="118"/>
      <c r="B6888" s="136"/>
    </row>
    <row r="6889" spans="1:2" x14ac:dyDescent="0.25">
      <c r="A6889" s="118"/>
      <c r="B6889" s="136"/>
    </row>
    <row r="6890" spans="1:2" x14ac:dyDescent="0.25">
      <c r="A6890" s="118"/>
      <c r="B6890" s="136"/>
    </row>
    <row r="6891" spans="1:2" x14ac:dyDescent="0.25">
      <c r="A6891" s="118"/>
      <c r="B6891" s="136"/>
    </row>
    <row r="6892" spans="1:2" x14ac:dyDescent="0.25">
      <c r="A6892" s="118"/>
      <c r="B6892" s="136"/>
    </row>
    <row r="6893" spans="1:2" x14ac:dyDescent="0.25">
      <c r="A6893" s="118"/>
      <c r="B6893" s="136"/>
    </row>
    <row r="6894" spans="1:2" x14ac:dyDescent="0.25">
      <c r="A6894" s="118"/>
      <c r="B6894" s="136"/>
    </row>
    <row r="6895" spans="1:2" x14ac:dyDescent="0.25">
      <c r="A6895" s="118"/>
      <c r="B6895" s="136"/>
    </row>
    <row r="6896" spans="1:2" x14ac:dyDescent="0.25">
      <c r="A6896" s="118"/>
      <c r="B6896" s="136"/>
    </row>
    <row r="6897" spans="1:2" x14ac:dyDescent="0.25">
      <c r="A6897" s="118"/>
      <c r="B6897" s="136"/>
    </row>
    <row r="6898" spans="1:2" x14ac:dyDescent="0.25">
      <c r="A6898" s="118"/>
      <c r="B6898" s="136"/>
    </row>
    <row r="6899" spans="1:2" x14ac:dyDescent="0.25">
      <c r="A6899" s="118"/>
      <c r="B6899" s="136"/>
    </row>
    <row r="6900" spans="1:2" x14ac:dyDescent="0.25">
      <c r="A6900" s="118"/>
      <c r="B6900" s="136"/>
    </row>
    <row r="6901" spans="1:2" x14ac:dyDescent="0.25">
      <c r="A6901" s="118"/>
      <c r="B6901" s="136"/>
    </row>
    <row r="6902" spans="1:2" x14ac:dyDescent="0.25">
      <c r="A6902" s="118"/>
      <c r="B6902" s="136"/>
    </row>
    <row r="6903" spans="1:2" x14ac:dyDescent="0.25">
      <c r="A6903" s="118"/>
      <c r="B6903" s="136"/>
    </row>
    <row r="6904" spans="1:2" x14ac:dyDescent="0.25">
      <c r="A6904" s="118"/>
      <c r="B6904" s="136"/>
    </row>
    <row r="6905" spans="1:2" x14ac:dyDescent="0.25">
      <c r="A6905" s="118"/>
      <c r="B6905" s="136"/>
    </row>
    <row r="6906" spans="1:2" x14ac:dyDescent="0.25">
      <c r="A6906" s="118"/>
      <c r="B6906" s="136"/>
    </row>
    <row r="6907" spans="1:2" x14ac:dyDescent="0.25">
      <c r="A6907" s="118"/>
      <c r="B6907" s="136"/>
    </row>
    <row r="6908" spans="1:2" x14ac:dyDescent="0.25">
      <c r="A6908" s="118"/>
      <c r="B6908" s="136"/>
    </row>
    <row r="6909" spans="1:2" x14ac:dyDescent="0.25">
      <c r="A6909" s="118"/>
      <c r="B6909" s="136"/>
    </row>
    <row r="6910" spans="1:2" x14ac:dyDescent="0.25">
      <c r="A6910" s="118"/>
      <c r="B6910" s="136"/>
    </row>
    <row r="6911" spans="1:2" x14ac:dyDescent="0.25">
      <c r="A6911" s="118"/>
      <c r="B6911" s="136"/>
    </row>
    <row r="6912" spans="1:2" x14ac:dyDescent="0.25">
      <c r="A6912" s="118"/>
      <c r="B6912" s="136"/>
    </row>
    <row r="6913" spans="1:2" x14ac:dyDescent="0.25">
      <c r="A6913" s="118"/>
      <c r="B6913" s="136"/>
    </row>
    <row r="6914" spans="1:2" x14ac:dyDescent="0.25">
      <c r="A6914" s="118"/>
      <c r="B6914" s="136"/>
    </row>
    <row r="6915" spans="1:2" x14ac:dyDescent="0.25">
      <c r="A6915" s="118"/>
      <c r="B6915" s="136"/>
    </row>
    <row r="6916" spans="1:2" x14ac:dyDescent="0.25">
      <c r="A6916" s="118"/>
      <c r="B6916" s="136"/>
    </row>
    <row r="6917" spans="1:2" x14ac:dyDescent="0.25">
      <c r="A6917" s="118"/>
      <c r="B6917" s="136"/>
    </row>
    <row r="6918" spans="1:2" x14ac:dyDescent="0.25">
      <c r="A6918" s="118"/>
      <c r="B6918" s="136"/>
    </row>
    <row r="6919" spans="1:2" x14ac:dyDescent="0.25">
      <c r="A6919" s="118"/>
      <c r="B6919" s="136"/>
    </row>
    <row r="6920" spans="1:2" x14ac:dyDescent="0.25">
      <c r="A6920" s="118"/>
      <c r="B6920" s="136"/>
    </row>
    <row r="6921" spans="1:2" x14ac:dyDescent="0.25">
      <c r="A6921" s="118"/>
      <c r="B6921" s="136"/>
    </row>
    <row r="6922" spans="1:2" x14ac:dyDescent="0.25">
      <c r="A6922" s="118"/>
      <c r="B6922" s="136"/>
    </row>
    <row r="6923" spans="1:2" x14ac:dyDescent="0.25">
      <c r="A6923" s="118"/>
      <c r="B6923" s="136"/>
    </row>
    <row r="6924" spans="1:2" x14ac:dyDescent="0.25">
      <c r="A6924" s="118"/>
      <c r="B6924" s="136"/>
    </row>
    <row r="6925" spans="1:2" x14ac:dyDescent="0.25">
      <c r="A6925" s="118"/>
      <c r="B6925" s="136"/>
    </row>
    <row r="6926" spans="1:2" x14ac:dyDescent="0.25">
      <c r="A6926" s="118"/>
      <c r="B6926" s="136"/>
    </row>
    <row r="6927" spans="1:2" x14ac:dyDescent="0.25">
      <c r="A6927" s="118"/>
      <c r="B6927" s="136"/>
    </row>
    <row r="6928" spans="1:2" x14ac:dyDescent="0.25">
      <c r="A6928" s="118"/>
      <c r="B6928" s="136"/>
    </row>
    <row r="6929" spans="1:2" x14ac:dyDescent="0.25">
      <c r="A6929" s="118"/>
      <c r="B6929" s="136"/>
    </row>
    <row r="6930" spans="1:2" x14ac:dyDescent="0.25">
      <c r="A6930" s="118"/>
      <c r="B6930" s="136"/>
    </row>
    <row r="6931" spans="1:2" x14ac:dyDescent="0.25">
      <c r="A6931" s="118"/>
      <c r="B6931" s="136"/>
    </row>
    <row r="6932" spans="1:2" x14ac:dyDescent="0.25">
      <c r="A6932" s="118"/>
      <c r="B6932" s="136"/>
    </row>
    <row r="6933" spans="1:2" x14ac:dyDescent="0.25">
      <c r="A6933" s="118"/>
      <c r="B6933" s="136"/>
    </row>
    <row r="6934" spans="1:2" x14ac:dyDescent="0.25">
      <c r="A6934" s="118"/>
      <c r="B6934" s="136"/>
    </row>
    <row r="6935" spans="1:2" x14ac:dyDescent="0.25">
      <c r="A6935" s="118"/>
      <c r="B6935" s="136"/>
    </row>
    <row r="6936" spans="1:2" x14ac:dyDescent="0.25">
      <c r="A6936" s="118"/>
      <c r="B6936" s="136"/>
    </row>
    <row r="6937" spans="1:2" x14ac:dyDescent="0.25">
      <c r="A6937" s="118"/>
      <c r="B6937" s="136"/>
    </row>
    <row r="6938" spans="1:2" x14ac:dyDescent="0.25">
      <c r="A6938" s="118"/>
      <c r="B6938" s="136"/>
    </row>
    <row r="6939" spans="1:2" x14ac:dyDescent="0.25">
      <c r="A6939" s="118"/>
      <c r="B6939" s="136"/>
    </row>
    <row r="6940" spans="1:2" x14ac:dyDescent="0.25">
      <c r="A6940" s="118"/>
      <c r="B6940" s="136"/>
    </row>
    <row r="6941" spans="1:2" x14ac:dyDescent="0.25">
      <c r="A6941" s="118"/>
      <c r="B6941" s="136"/>
    </row>
    <row r="6942" spans="1:2" x14ac:dyDescent="0.25">
      <c r="A6942" s="118"/>
      <c r="B6942" s="136"/>
    </row>
    <row r="6943" spans="1:2" x14ac:dyDescent="0.25">
      <c r="A6943" s="118"/>
      <c r="B6943" s="136"/>
    </row>
    <row r="6944" spans="1:2" x14ac:dyDescent="0.25">
      <c r="A6944" s="118"/>
      <c r="B6944" s="136"/>
    </row>
    <row r="6945" spans="1:2" x14ac:dyDescent="0.25">
      <c r="A6945" s="118"/>
      <c r="B6945" s="136"/>
    </row>
    <row r="6946" spans="1:2" x14ac:dyDescent="0.25">
      <c r="A6946" s="118"/>
      <c r="B6946" s="136"/>
    </row>
    <row r="6947" spans="1:2" x14ac:dyDescent="0.25">
      <c r="A6947" s="118"/>
      <c r="B6947" s="136"/>
    </row>
    <row r="6948" spans="1:2" x14ac:dyDescent="0.25">
      <c r="A6948" s="118"/>
      <c r="B6948" s="136"/>
    </row>
    <row r="6949" spans="1:2" x14ac:dyDescent="0.25">
      <c r="A6949" s="118"/>
      <c r="B6949" s="136"/>
    </row>
    <row r="6950" spans="1:2" x14ac:dyDescent="0.25">
      <c r="A6950" s="118"/>
      <c r="B6950" s="136"/>
    </row>
    <row r="6951" spans="1:2" x14ac:dyDescent="0.25">
      <c r="A6951" s="118"/>
      <c r="B6951" s="136"/>
    </row>
    <row r="6952" spans="1:2" x14ac:dyDescent="0.25">
      <c r="A6952" s="118"/>
      <c r="B6952" s="136"/>
    </row>
    <row r="6953" spans="1:2" x14ac:dyDescent="0.25">
      <c r="A6953" s="118"/>
      <c r="B6953" s="136"/>
    </row>
    <row r="6954" spans="1:2" x14ac:dyDescent="0.25">
      <c r="A6954" s="118"/>
      <c r="B6954" s="136"/>
    </row>
    <row r="6955" spans="1:2" x14ac:dyDescent="0.25">
      <c r="A6955" s="118"/>
      <c r="B6955" s="136"/>
    </row>
    <row r="6956" spans="1:2" x14ac:dyDescent="0.25">
      <c r="A6956" s="118"/>
      <c r="B6956" s="136"/>
    </row>
    <row r="6957" spans="1:2" x14ac:dyDescent="0.25">
      <c r="A6957" s="118"/>
      <c r="B6957" s="136"/>
    </row>
    <row r="6958" spans="1:2" x14ac:dyDescent="0.25">
      <c r="A6958" s="118"/>
      <c r="B6958" s="136"/>
    </row>
    <row r="6959" spans="1:2" x14ac:dyDescent="0.25">
      <c r="A6959" s="118"/>
      <c r="B6959" s="136"/>
    </row>
    <row r="6960" spans="1:2" x14ac:dyDescent="0.25">
      <c r="A6960" s="118"/>
      <c r="B6960" s="136"/>
    </row>
    <row r="6961" spans="1:2" x14ac:dyDescent="0.25">
      <c r="A6961" s="118"/>
      <c r="B6961" s="136"/>
    </row>
    <row r="6962" spans="1:2" x14ac:dyDescent="0.25">
      <c r="A6962" s="118"/>
      <c r="B6962" s="136"/>
    </row>
    <row r="6963" spans="1:2" x14ac:dyDescent="0.25">
      <c r="A6963" s="118"/>
      <c r="B6963" s="136"/>
    </row>
    <row r="6964" spans="1:2" x14ac:dyDescent="0.25">
      <c r="A6964" s="118"/>
      <c r="B6964" s="136"/>
    </row>
    <row r="6965" spans="1:2" x14ac:dyDescent="0.25">
      <c r="A6965" s="118"/>
      <c r="B6965" s="136"/>
    </row>
    <row r="6966" spans="1:2" x14ac:dyDescent="0.25">
      <c r="A6966" s="118"/>
      <c r="B6966" s="136"/>
    </row>
    <row r="6967" spans="1:2" x14ac:dyDescent="0.25">
      <c r="A6967" s="118"/>
      <c r="B6967" s="136"/>
    </row>
    <row r="6968" spans="1:2" x14ac:dyDescent="0.25">
      <c r="A6968" s="118"/>
      <c r="B6968" s="136"/>
    </row>
    <row r="6969" spans="1:2" x14ac:dyDescent="0.25">
      <c r="A6969" s="118"/>
      <c r="B6969" s="136"/>
    </row>
    <row r="6970" spans="1:2" x14ac:dyDescent="0.25">
      <c r="A6970" s="118"/>
      <c r="B6970" s="136"/>
    </row>
    <row r="6971" spans="1:2" x14ac:dyDescent="0.25">
      <c r="A6971" s="118"/>
      <c r="B6971" s="136"/>
    </row>
    <row r="6972" spans="1:2" x14ac:dyDescent="0.25">
      <c r="A6972" s="118"/>
      <c r="B6972" s="136"/>
    </row>
    <row r="6973" spans="1:2" x14ac:dyDescent="0.25">
      <c r="A6973" s="118"/>
      <c r="B6973" s="136"/>
    </row>
    <row r="6974" spans="1:2" x14ac:dyDescent="0.25">
      <c r="A6974" s="118"/>
      <c r="B6974" s="136"/>
    </row>
    <row r="6975" spans="1:2" x14ac:dyDescent="0.25">
      <c r="A6975" s="118"/>
      <c r="B6975" s="136"/>
    </row>
    <row r="6976" spans="1:2" x14ac:dyDescent="0.25">
      <c r="A6976" s="118"/>
      <c r="B6976" s="136"/>
    </row>
    <row r="6977" spans="1:2" x14ac:dyDescent="0.25">
      <c r="A6977" s="118"/>
      <c r="B6977" s="136"/>
    </row>
    <row r="6978" spans="1:2" x14ac:dyDescent="0.25">
      <c r="A6978" s="118"/>
      <c r="B6978" s="136"/>
    </row>
    <row r="6979" spans="1:2" x14ac:dyDescent="0.25">
      <c r="A6979" s="118"/>
      <c r="B6979" s="136"/>
    </row>
    <row r="6980" spans="1:2" x14ac:dyDescent="0.25">
      <c r="A6980" s="118"/>
      <c r="B6980" s="136"/>
    </row>
    <row r="6981" spans="1:2" x14ac:dyDescent="0.25">
      <c r="A6981" s="118"/>
      <c r="B6981" s="136"/>
    </row>
    <row r="6982" spans="1:2" x14ac:dyDescent="0.25">
      <c r="A6982" s="118"/>
      <c r="B6982" s="136"/>
    </row>
    <row r="6983" spans="1:2" x14ac:dyDescent="0.25">
      <c r="A6983" s="118"/>
      <c r="B6983" s="136"/>
    </row>
    <row r="6984" spans="1:2" x14ac:dyDescent="0.25">
      <c r="A6984" s="118"/>
      <c r="B6984" s="136"/>
    </row>
    <row r="6985" spans="1:2" x14ac:dyDescent="0.25">
      <c r="A6985" s="118"/>
      <c r="B6985" s="136"/>
    </row>
    <row r="6986" spans="1:2" x14ac:dyDescent="0.25">
      <c r="A6986" s="118"/>
      <c r="B6986" s="136"/>
    </row>
    <row r="6987" spans="1:2" x14ac:dyDescent="0.25">
      <c r="A6987" s="118"/>
      <c r="B6987" s="136"/>
    </row>
    <row r="6988" spans="1:2" x14ac:dyDescent="0.25">
      <c r="A6988" s="118"/>
      <c r="B6988" s="136"/>
    </row>
    <row r="6989" spans="1:2" x14ac:dyDescent="0.25">
      <c r="A6989" s="118"/>
      <c r="B6989" s="136"/>
    </row>
    <row r="6990" spans="1:2" x14ac:dyDescent="0.25">
      <c r="A6990" s="118"/>
      <c r="B6990" s="136"/>
    </row>
    <row r="6991" spans="1:2" x14ac:dyDescent="0.25">
      <c r="A6991" s="118"/>
      <c r="B6991" s="136"/>
    </row>
    <row r="6992" spans="1:2" x14ac:dyDescent="0.25">
      <c r="A6992" s="118"/>
      <c r="B6992" s="136"/>
    </row>
    <row r="6993" spans="1:2" x14ac:dyDescent="0.25">
      <c r="A6993" s="118"/>
      <c r="B6993" s="136"/>
    </row>
    <row r="6994" spans="1:2" x14ac:dyDescent="0.25">
      <c r="A6994" s="118"/>
      <c r="B6994" s="136"/>
    </row>
    <row r="6995" spans="1:2" x14ac:dyDescent="0.25">
      <c r="A6995" s="118"/>
      <c r="B6995" s="136"/>
    </row>
    <row r="6996" spans="1:2" x14ac:dyDescent="0.25">
      <c r="A6996" s="118"/>
      <c r="B6996" s="136"/>
    </row>
    <row r="6997" spans="1:2" x14ac:dyDescent="0.25">
      <c r="A6997" s="118"/>
      <c r="B6997" s="136"/>
    </row>
    <row r="6998" spans="1:2" x14ac:dyDescent="0.25">
      <c r="A6998" s="118"/>
      <c r="B6998" s="136"/>
    </row>
    <row r="6999" spans="1:2" x14ac:dyDescent="0.25">
      <c r="A6999" s="118"/>
      <c r="B6999" s="136"/>
    </row>
    <row r="7000" spans="1:2" x14ac:dyDescent="0.25">
      <c r="A7000" s="118"/>
      <c r="B7000" s="136"/>
    </row>
    <row r="7001" spans="1:2" x14ac:dyDescent="0.25">
      <c r="A7001" s="118"/>
      <c r="B7001" s="136"/>
    </row>
    <row r="7002" spans="1:2" x14ac:dyDescent="0.25">
      <c r="A7002" s="118"/>
      <c r="B7002" s="136"/>
    </row>
    <row r="7003" spans="1:2" x14ac:dyDescent="0.25">
      <c r="A7003" s="118"/>
      <c r="B7003" s="136"/>
    </row>
    <row r="7004" spans="1:2" x14ac:dyDescent="0.25">
      <c r="A7004" s="118"/>
      <c r="B7004" s="136"/>
    </row>
    <row r="7005" spans="1:2" x14ac:dyDescent="0.25">
      <c r="A7005" s="118"/>
      <c r="B7005" s="136"/>
    </row>
    <row r="7006" spans="1:2" x14ac:dyDescent="0.25">
      <c r="A7006" s="118"/>
      <c r="B7006" s="136"/>
    </row>
    <row r="7007" spans="1:2" x14ac:dyDescent="0.25">
      <c r="A7007" s="118"/>
      <c r="B7007" s="136"/>
    </row>
    <row r="7008" spans="1:2" x14ac:dyDescent="0.25">
      <c r="A7008" s="118"/>
      <c r="B7008" s="136"/>
    </row>
    <row r="7009" spans="1:2" x14ac:dyDescent="0.25">
      <c r="A7009" s="118"/>
      <c r="B7009" s="136"/>
    </row>
    <row r="7010" spans="1:2" x14ac:dyDescent="0.25">
      <c r="A7010" s="118"/>
      <c r="B7010" s="136"/>
    </row>
    <row r="7011" spans="1:2" x14ac:dyDescent="0.25">
      <c r="A7011" s="118"/>
      <c r="B7011" s="136"/>
    </row>
    <row r="7012" spans="1:2" x14ac:dyDescent="0.25">
      <c r="A7012" s="118"/>
      <c r="B7012" s="136"/>
    </row>
    <row r="7013" spans="1:2" x14ac:dyDescent="0.25">
      <c r="A7013" s="118"/>
      <c r="B7013" s="136"/>
    </row>
    <row r="7014" spans="1:2" x14ac:dyDescent="0.25">
      <c r="A7014" s="118"/>
      <c r="B7014" s="136"/>
    </row>
    <row r="7015" spans="1:2" x14ac:dyDescent="0.25">
      <c r="A7015" s="118"/>
      <c r="B7015" s="136"/>
    </row>
    <row r="7016" spans="1:2" x14ac:dyDescent="0.25">
      <c r="A7016" s="118"/>
      <c r="B7016" s="136"/>
    </row>
    <row r="7017" spans="1:2" x14ac:dyDescent="0.25">
      <c r="A7017" s="118"/>
      <c r="B7017" s="136"/>
    </row>
    <row r="7018" spans="1:2" x14ac:dyDescent="0.25">
      <c r="A7018" s="118"/>
      <c r="B7018" s="136"/>
    </row>
    <row r="7019" spans="1:2" x14ac:dyDescent="0.25">
      <c r="A7019" s="118"/>
      <c r="B7019" s="136"/>
    </row>
    <row r="7020" spans="1:2" x14ac:dyDescent="0.25">
      <c r="A7020" s="118"/>
      <c r="B7020" s="136"/>
    </row>
    <row r="7021" spans="1:2" x14ac:dyDescent="0.25">
      <c r="A7021" s="118"/>
      <c r="B7021" s="136"/>
    </row>
    <row r="7022" spans="1:2" x14ac:dyDescent="0.25">
      <c r="A7022" s="118"/>
      <c r="B7022" s="136"/>
    </row>
    <row r="7023" spans="1:2" x14ac:dyDescent="0.25">
      <c r="A7023" s="118"/>
      <c r="B7023" s="136"/>
    </row>
    <row r="7024" spans="1:2" x14ac:dyDescent="0.25">
      <c r="A7024" s="118"/>
      <c r="B7024" s="136"/>
    </row>
    <row r="7025" spans="1:2" x14ac:dyDescent="0.25">
      <c r="A7025" s="118"/>
      <c r="B7025" s="136"/>
    </row>
    <row r="7026" spans="1:2" x14ac:dyDescent="0.25">
      <c r="A7026" s="118"/>
      <c r="B7026" s="136"/>
    </row>
    <row r="7027" spans="1:2" x14ac:dyDescent="0.25">
      <c r="A7027" s="118"/>
      <c r="B7027" s="136"/>
    </row>
    <row r="7028" spans="1:2" x14ac:dyDescent="0.25">
      <c r="A7028" s="118"/>
      <c r="B7028" s="136"/>
    </row>
    <row r="7029" spans="1:2" x14ac:dyDescent="0.25">
      <c r="A7029" s="118"/>
      <c r="B7029" s="136"/>
    </row>
    <row r="7030" spans="1:2" x14ac:dyDescent="0.25">
      <c r="A7030" s="118"/>
      <c r="B7030" s="136"/>
    </row>
    <row r="7031" spans="1:2" x14ac:dyDescent="0.25">
      <c r="A7031" s="118"/>
      <c r="B7031" s="136"/>
    </row>
    <row r="7032" spans="1:2" x14ac:dyDescent="0.25">
      <c r="A7032" s="118"/>
      <c r="B7032" s="136"/>
    </row>
    <row r="7033" spans="1:2" x14ac:dyDescent="0.25">
      <c r="A7033" s="118"/>
      <c r="B7033" s="136"/>
    </row>
    <row r="7034" spans="1:2" x14ac:dyDescent="0.25">
      <c r="A7034" s="118"/>
      <c r="B7034" s="136"/>
    </row>
    <row r="7035" spans="1:2" x14ac:dyDescent="0.25">
      <c r="A7035" s="118"/>
      <c r="B7035" s="136"/>
    </row>
    <row r="7036" spans="1:2" x14ac:dyDescent="0.25">
      <c r="A7036" s="118"/>
      <c r="B7036" s="136"/>
    </row>
    <row r="7037" spans="1:2" x14ac:dyDescent="0.25">
      <c r="A7037" s="118"/>
      <c r="B7037" s="136"/>
    </row>
    <row r="7038" spans="1:2" x14ac:dyDescent="0.25">
      <c r="A7038" s="118"/>
      <c r="B7038" s="136"/>
    </row>
    <row r="7039" spans="1:2" x14ac:dyDescent="0.25">
      <c r="A7039" s="118"/>
      <c r="B7039" s="136"/>
    </row>
    <row r="7040" spans="1:2" x14ac:dyDescent="0.25">
      <c r="A7040" s="118"/>
      <c r="B7040" s="136"/>
    </row>
    <row r="7041" spans="1:2" x14ac:dyDescent="0.25">
      <c r="A7041" s="118"/>
      <c r="B7041" s="136"/>
    </row>
    <row r="7042" spans="1:2" x14ac:dyDescent="0.25">
      <c r="A7042" s="118"/>
      <c r="B7042" s="136"/>
    </row>
    <row r="7043" spans="1:2" x14ac:dyDescent="0.25">
      <c r="A7043" s="118"/>
      <c r="B7043" s="136"/>
    </row>
    <row r="7044" spans="1:2" x14ac:dyDescent="0.25">
      <c r="A7044" s="118"/>
      <c r="B7044" s="136"/>
    </row>
    <row r="7045" spans="1:2" x14ac:dyDescent="0.25">
      <c r="A7045" s="118"/>
      <c r="B7045" s="136"/>
    </row>
    <row r="7046" spans="1:2" x14ac:dyDescent="0.25">
      <c r="A7046" s="118"/>
      <c r="B7046" s="136"/>
    </row>
    <row r="7047" spans="1:2" x14ac:dyDescent="0.25">
      <c r="A7047" s="118"/>
      <c r="B7047" s="136"/>
    </row>
    <row r="7048" spans="1:2" x14ac:dyDescent="0.25">
      <c r="A7048" s="118"/>
      <c r="B7048" s="136"/>
    </row>
    <row r="7049" spans="1:2" x14ac:dyDescent="0.25">
      <c r="A7049" s="118"/>
      <c r="B7049" s="136"/>
    </row>
    <row r="7050" spans="1:2" x14ac:dyDescent="0.25">
      <c r="A7050" s="118"/>
      <c r="B7050" s="136"/>
    </row>
    <row r="7051" spans="1:2" x14ac:dyDescent="0.25">
      <c r="A7051" s="118"/>
      <c r="B7051" s="136"/>
    </row>
    <row r="7052" spans="1:2" x14ac:dyDescent="0.25">
      <c r="A7052" s="118"/>
      <c r="B7052" s="136"/>
    </row>
    <row r="7053" spans="1:2" x14ac:dyDescent="0.25">
      <c r="A7053" s="118"/>
      <c r="B7053" s="136"/>
    </row>
    <row r="7054" spans="1:2" x14ac:dyDescent="0.25">
      <c r="A7054" s="118"/>
      <c r="B7054" s="136"/>
    </row>
    <row r="7055" spans="1:2" x14ac:dyDescent="0.25">
      <c r="A7055" s="118"/>
      <c r="B7055" s="136"/>
    </row>
    <row r="7056" spans="1:2" x14ac:dyDescent="0.25">
      <c r="A7056" s="118"/>
      <c r="B7056" s="136"/>
    </row>
    <row r="7057" spans="1:2" x14ac:dyDescent="0.25">
      <c r="A7057" s="118"/>
      <c r="B7057" s="136"/>
    </row>
    <row r="7058" spans="1:2" x14ac:dyDescent="0.25">
      <c r="A7058" s="118"/>
      <c r="B7058" s="136"/>
    </row>
    <row r="7059" spans="1:2" x14ac:dyDescent="0.25">
      <c r="A7059" s="118"/>
      <c r="B7059" s="136"/>
    </row>
    <row r="7060" spans="1:2" x14ac:dyDescent="0.25">
      <c r="A7060" s="118"/>
      <c r="B7060" s="136"/>
    </row>
    <row r="7061" spans="1:2" x14ac:dyDescent="0.25">
      <c r="A7061" s="118"/>
      <c r="B7061" s="136"/>
    </row>
    <row r="7062" spans="1:2" x14ac:dyDescent="0.25">
      <c r="A7062" s="118"/>
      <c r="B7062" s="136"/>
    </row>
    <row r="7063" spans="1:2" x14ac:dyDescent="0.25">
      <c r="A7063" s="118"/>
      <c r="B7063" s="136"/>
    </row>
    <row r="7064" spans="1:2" x14ac:dyDescent="0.25">
      <c r="A7064" s="118"/>
      <c r="B7064" s="136"/>
    </row>
    <row r="7065" spans="1:2" x14ac:dyDescent="0.25">
      <c r="A7065" s="118"/>
      <c r="B7065" s="136"/>
    </row>
    <row r="7066" spans="1:2" x14ac:dyDescent="0.25">
      <c r="A7066" s="118"/>
      <c r="B7066" s="136"/>
    </row>
    <row r="7067" spans="1:2" x14ac:dyDescent="0.25">
      <c r="A7067" s="118"/>
      <c r="B7067" s="136"/>
    </row>
    <row r="7068" spans="1:2" x14ac:dyDescent="0.25">
      <c r="A7068" s="118"/>
      <c r="B7068" s="136"/>
    </row>
    <row r="7069" spans="1:2" x14ac:dyDescent="0.25">
      <c r="A7069" s="118"/>
      <c r="B7069" s="136"/>
    </row>
    <row r="7070" spans="1:2" x14ac:dyDescent="0.25">
      <c r="A7070" s="118"/>
      <c r="B7070" s="136"/>
    </row>
    <row r="7071" spans="1:2" x14ac:dyDescent="0.25">
      <c r="A7071" s="118"/>
      <c r="B7071" s="136"/>
    </row>
    <row r="7072" spans="1:2" x14ac:dyDescent="0.25">
      <c r="A7072" s="118"/>
      <c r="B7072" s="136"/>
    </row>
    <row r="7073" spans="1:2" x14ac:dyDescent="0.25">
      <c r="A7073" s="118"/>
      <c r="B7073" s="136"/>
    </row>
    <row r="7074" spans="1:2" x14ac:dyDescent="0.25">
      <c r="A7074" s="118"/>
      <c r="B7074" s="136"/>
    </row>
    <row r="7075" spans="1:2" x14ac:dyDescent="0.25">
      <c r="A7075" s="118"/>
      <c r="B7075" s="136"/>
    </row>
    <row r="7076" spans="1:2" x14ac:dyDescent="0.25">
      <c r="A7076" s="118"/>
      <c r="B7076" s="136"/>
    </row>
    <row r="7077" spans="1:2" x14ac:dyDescent="0.25">
      <c r="A7077" s="118"/>
      <c r="B7077" s="136"/>
    </row>
    <row r="7078" spans="1:2" x14ac:dyDescent="0.25">
      <c r="A7078" s="118"/>
      <c r="B7078" s="136"/>
    </row>
    <row r="7079" spans="1:2" x14ac:dyDescent="0.25">
      <c r="A7079" s="118"/>
      <c r="B7079" s="136"/>
    </row>
    <row r="7080" spans="1:2" x14ac:dyDescent="0.25">
      <c r="A7080" s="118"/>
      <c r="B7080" s="136"/>
    </row>
    <row r="7081" spans="1:2" x14ac:dyDescent="0.25">
      <c r="A7081" s="118"/>
      <c r="B7081" s="136"/>
    </row>
    <row r="7082" spans="1:2" x14ac:dyDescent="0.25">
      <c r="A7082" s="118"/>
      <c r="B7082" s="136"/>
    </row>
    <row r="7083" spans="1:2" x14ac:dyDescent="0.25">
      <c r="A7083" s="118"/>
      <c r="B7083" s="136"/>
    </row>
    <row r="7084" spans="1:2" x14ac:dyDescent="0.25">
      <c r="A7084" s="118"/>
      <c r="B7084" s="136"/>
    </row>
    <row r="7085" spans="1:2" x14ac:dyDescent="0.25">
      <c r="A7085" s="118"/>
      <c r="B7085" s="136"/>
    </row>
    <row r="7086" spans="1:2" x14ac:dyDescent="0.25">
      <c r="A7086" s="118"/>
      <c r="B7086" s="136"/>
    </row>
    <row r="7087" spans="1:2" x14ac:dyDescent="0.25">
      <c r="A7087" s="118"/>
      <c r="B7087" s="136"/>
    </row>
    <row r="7088" spans="1:2" x14ac:dyDescent="0.25">
      <c r="A7088" s="118"/>
      <c r="B7088" s="136"/>
    </row>
    <row r="7089" spans="1:2" x14ac:dyDescent="0.25">
      <c r="A7089" s="118"/>
      <c r="B7089" s="136"/>
    </row>
    <row r="7090" spans="1:2" x14ac:dyDescent="0.25">
      <c r="A7090" s="118"/>
      <c r="B7090" s="136"/>
    </row>
    <row r="7091" spans="1:2" x14ac:dyDescent="0.25">
      <c r="A7091" s="118"/>
      <c r="B7091" s="136"/>
    </row>
    <row r="7092" spans="1:2" x14ac:dyDescent="0.25">
      <c r="A7092" s="118"/>
      <c r="B7092" s="136"/>
    </row>
    <row r="7093" spans="1:2" x14ac:dyDescent="0.25">
      <c r="A7093" s="118"/>
      <c r="B7093" s="136"/>
    </row>
    <row r="7094" spans="1:2" x14ac:dyDescent="0.25">
      <c r="A7094" s="118"/>
      <c r="B7094" s="136"/>
    </row>
    <row r="7095" spans="1:2" x14ac:dyDescent="0.25">
      <c r="A7095" s="118"/>
      <c r="B7095" s="136"/>
    </row>
    <row r="7096" spans="1:2" x14ac:dyDescent="0.25">
      <c r="A7096" s="118"/>
      <c r="B7096" s="136"/>
    </row>
    <row r="7097" spans="1:2" x14ac:dyDescent="0.25">
      <c r="A7097" s="118"/>
      <c r="B7097" s="136"/>
    </row>
    <row r="7098" spans="1:2" x14ac:dyDescent="0.25">
      <c r="A7098" s="118"/>
      <c r="B7098" s="136"/>
    </row>
    <row r="7099" spans="1:2" x14ac:dyDescent="0.25">
      <c r="A7099" s="118"/>
      <c r="B7099" s="136"/>
    </row>
    <row r="7100" spans="1:2" x14ac:dyDescent="0.25">
      <c r="A7100" s="118"/>
      <c r="B7100" s="136"/>
    </row>
    <row r="7101" spans="1:2" x14ac:dyDescent="0.25">
      <c r="A7101" s="118"/>
      <c r="B7101" s="136"/>
    </row>
    <row r="7102" spans="1:2" x14ac:dyDescent="0.25">
      <c r="A7102" s="118"/>
      <c r="B7102" s="136"/>
    </row>
    <row r="7103" spans="1:2" x14ac:dyDescent="0.25">
      <c r="A7103" s="118"/>
      <c r="B7103" s="136"/>
    </row>
    <row r="7104" spans="1:2" x14ac:dyDescent="0.25">
      <c r="A7104" s="118"/>
      <c r="B7104" s="136"/>
    </row>
    <row r="7105" spans="1:2" x14ac:dyDescent="0.25">
      <c r="A7105" s="118"/>
      <c r="B7105" s="136"/>
    </row>
    <row r="7106" spans="1:2" x14ac:dyDescent="0.25">
      <c r="A7106" s="118"/>
      <c r="B7106" s="136"/>
    </row>
    <row r="7107" spans="1:2" x14ac:dyDescent="0.25">
      <c r="A7107" s="118"/>
      <c r="B7107" s="136"/>
    </row>
    <row r="7108" spans="1:2" x14ac:dyDescent="0.25">
      <c r="A7108" s="118"/>
      <c r="B7108" s="136"/>
    </row>
    <row r="7109" spans="1:2" x14ac:dyDescent="0.25">
      <c r="A7109" s="118"/>
      <c r="B7109" s="136"/>
    </row>
    <row r="7110" spans="1:2" x14ac:dyDescent="0.25">
      <c r="A7110" s="118"/>
      <c r="B7110" s="136"/>
    </row>
    <row r="7111" spans="1:2" x14ac:dyDescent="0.25">
      <c r="A7111" s="118"/>
      <c r="B7111" s="136"/>
    </row>
    <row r="7112" spans="1:2" x14ac:dyDescent="0.25">
      <c r="A7112" s="118"/>
      <c r="B7112" s="136"/>
    </row>
    <row r="7113" spans="1:2" x14ac:dyDescent="0.25">
      <c r="A7113" s="118"/>
      <c r="B7113" s="136"/>
    </row>
    <row r="7114" spans="1:2" x14ac:dyDescent="0.25">
      <c r="A7114" s="118"/>
      <c r="B7114" s="136"/>
    </row>
    <row r="7115" spans="1:2" x14ac:dyDescent="0.25">
      <c r="A7115" s="118"/>
      <c r="B7115" s="136"/>
    </row>
    <row r="7116" spans="1:2" x14ac:dyDescent="0.25">
      <c r="A7116" s="118"/>
      <c r="B7116" s="136"/>
    </row>
    <row r="7117" spans="1:2" x14ac:dyDescent="0.25">
      <c r="A7117" s="118"/>
      <c r="B7117" s="136"/>
    </row>
    <row r="7118" spans="1:2" x14ac:dyDescent="0.25">
      <c r="A7118" s="118"/>
      <c r="B7118" s="136"/>
    </row>
    <row r="7119" spans="1:2" x14ac:dyDescent="0.25">
      <c r="A7119" s="118"/>
      <c r="B7119" s="136"/>
    </row>
    <row r="7120" spans="1:2" x14ac:dyDescent="0.25">
      <c r="A7120" s="118"/>
      <c r="B7120" s="136"/>
    </row>
    <row r="7121" spans="1:2" x14ac:dyDescent="0.25">
      <c r="A7121" s="118"/>
      <c r="B7121" s="136"/>
    </row>
    <row r="7122" spans="1:2" x14ac:dyDescent="0.25">
      <c r="A7122" s="118"/>
      <c r="B7122" s="136"/>
    </row>
    <row r="7123" spans="1:2" x14ac:dyDescent="0.25">
      <c r="A7123" s="118"/>
      <c r="B7123" s="136"/>
    </row>
    <row r="7124" spans="1:2" x14ac:dyDescent="0.25">
      <c r="A7124" s="118"/>
      <c r="B7124" s="136"/>
    </row>
    <row r="7125" spans="1:2" x14ac:dyDescent="0.25">
      <c r="A7125" s="118"/>
      <c r="B7125" s="136"/>
    </row>
    <row r="7126" spans="1:2" x14ac:dyDescent="0.25">
      <c r="A7126" s="118"/>
      <c r="B7126" s="136"/>
    </row>
    <row r="7127" spans="1:2" x14ac:dyDescent="0.25">
      <c r="A7127" s="118"/>
      <c r="B7127" s="136"/>
    </row>
    <row r="7128" spans="1:2" x14ac:dyDescent="0.25">
      <c r="A7128" s="118"/>
      <c r="B7128" s="136"/>
    </row>
    <row r="7129" spans="1:2" x14ac:dyDescent="0.25">
      <c r="A7129" s="118"/>
      <c r="B7129" s="136"/>
    </row>
    <row r="7130" spans="1:2" x14ac:dyDescent="0.25">
      <c r="A7130" s="118"/>
      <c r="B7130" s="136"/>
    </row>
    <row r="7131" spans="1:2" x14ac:dyDescent="0.25">
      <c r="A7131" s="118"/>
      <c r="B7131" s="136"/>
    </row>
    <row r="7132" spans="1:2" x14ac:dyDescent="0.25">
      <c r="A7132" s="118"/>
      <c r="B7132" s="136"/>
    </row>
    <row r="7133" spans="1:2" x14ac:dyDescent="0.25">
      <c r="A7133" s="118"/>
      <c r="B7133" s="136"/>
    </row>
    <row r="7134" spans="1:2" x14ac:dyDescent="0.25">
      <c r="A7134" s="118"/>
      <c r="B7134" s="136"/>
    </row>
    <row r="7135" spans="1:2" x14ac:dyDescent="0.25">
      <c r="A7135" s="118"/>
      <c r="B7135" s="136"/>
    </row>
    <row r="7136" spans="1:2" x14ac:dyDescent="0.25">
      <c r="A7136" s="118"/>
      <c r="B7136" s="136"/>
    </row>
    <row r="7137" spans="1:2" x14ac:dyDescent="0.25">
      <c r="A7137" s="118"/>
      <c r="B7137" s="136"/>
    </row>
    <row r="7138" spans="1:2" x14ac:dyDescent="0.25">
      <c r="A7138" s="118"/>
      <c r="B7138" s="136"/>
    </row>
    <row r="7139" spans="1:2" x14ac:dyDescent="0.25">
      <c r="A7139" s="118"/>
      <c r="B7139" s="136"/>
    </row>
    <row r="7140" spans="1:2" x14ac:dyDescent="0.25">
      <c r="A7140" s="118"/>
      <c r="B7140" s="136"/>
    </row>
    <row r="7141" spans="1:2" x14ac:dyDescent="0.25">
      <c r="A7141" s="118"/>
      <c r="B7141" s="136"/>
    </row>
    <row r="7142" spans="1:2" x14ac:dyDescent="0.25">
      <c r="A7142" s="118"/>
      <c r="B7142" s="136"/>
    </row>
    <row r="7143" spans="1:2" x14ac:dyDescent="0.25">
      <c r="A7143" s="118"/>
      <c r="B7143" s="136"/>
    </row>
    <row r="7144" spans="1:2" x14ac:dyDescent="0.25">
      <c r="A7144" s="118"/>
      <c r="B7144" s="136"/>
    </row>
    <row r="7145" spans="1:2" x14ac:dyDescent="0.25">
      <c r="A7145" s="118"/>
      <c r="B7145" s="136"/>
    </row>
    <row r="7146" spans="1:2" x14ac:dyDescent="0.25">
      <c r="A7146" s="118"/>
      <c r="B7146" s="136"/>
    </row>
    <row r="7147" spans="1:2" x14ac:dyDescent="0.25">
      <c r="A7147" s="118"/>
      <c r="B7147" s="136"/>
    </row>
    <row r="7148" spans="1:2" x14ac:dyDescent="0.25">
      <c r="A7148" s="118"/>
      <c r="B7148" s="136"/>
    </row>
    <row r="7149" spans="1:2" x14ac:dyDescent="0.25">
      <c r="A7149" s="118"/>
      <c r="B7149" s="136"/>
    </row>
    <row r="7150" spans="1:2" x14ac:dyDescent="0.25">
      <c r="A7150" s="118"/>
      <c r="B7150" s="136"/>
    </row>
    <row r="7151" spans="1:2" x14ac:dyDescent="0.25">
      <c r="A7151" s="118"/>
      <c r="B7151" s="136"/>
    </row>
    <row r="7152" spans="1:2" x14ac:dyDescent="0.25">
      <c r="A7152" s="118"/>
      <c r="B7152" s="136"/>
    </row>
    <row r="7153" spans="1:2" x14ac:dyDescent="0.25">
      <c r="A7153" s="118"/>
      <c r="B7153" s="136"/>
    </row>
    <row r="7154" spans="1:2" x14ac:dyDescent="0.25">
      <c r="A7154" s="118"/>
      <c r="B7154" s="136"/>
    </row>
    <row r="7155" spans="1:2" x14ac:dyDescent="0.25">
      <c r="A7155" s="118"/>
      <c r="B7155" s="136"/>
    </row>
    <row r="7156" spans="1:2" x14ac:dyDescent="0.25">
      <c r="A7156" s="118"/>
      <c r="B7156" s="136"/>
    </row>
    <row r="7157" spans="1:2" x14ac:dyDescent="0.25">
      <c r="A7157" s="118"/>
      <c r="B7157" s="136"/>
    </row>
    <row r="7158" spans="1:2" x14ac:dyDescent="0.25">
      <c r="A7158" s="118"/>
      <c r="B7158" s="136"/>
    </row>
    <row r="7159" spans="1:2" x14ac:dyDescent="0.25">
      <c r="A7159" s="118"/>
      <c r="B7159" s="136"/>
    </row>
    <row r="7160" spans="1:2" x14ac:dyDescent="0.25">
      <c r="A7160" s="118"/>
      <c r="B7160" s="136"/>
    </row>
    <row r="7161" spans="1:2" x14ac:dyDescent="0.25">
      <c r="A7161" s="118"/>
      <c r="B7161" s="136"/>
    </row>
    <row r="7162" spans="1:2" x14ac:dyDescent="0.25">
      <c r="A7162" s="118"/>
      <c r="B7162" s="136"/>
    </row>
    <row r="7163" spans="1:2" x14ac:dyDescent="0.25">
      <c r="A7163" s="118"/>
      <c r="B7163" s="136"/>
    </row>
    <row r="7164" spans="1:2" x14ac:dyDescent="0.25">
      <c r="A7164" s="118"/>
      <c r="B7164" s="136"/>
    </row>
    <row r="7165" spans="1:2" x14ac:dyDescent="0.25">
      <c r="A7165" s="118"/>
      <c r="B7165" s="136"/>
    </row>
    <row r="7166" spans="1:2" x14ac:dyDescent="0.25">
      <c r="A7166" s="118"/>
      <c r="B7166" s="136"/>
    </row>
    <row r="7167" spans="1:2" x14ac:dyDescent="0.25">
      <c r="A7167" s="118"/>
      <c r="B7167" s="136"/>
    </row>
    <row r="7168" spans="1:2" x14ac:dyDescent="0.25">
      <c r="A7168" s="118"/>
      <c r="B7168" s="136"/>
    </row>
    <row r="7169" spans="1:2" x14ac:dyDescent="0.25">
      <c r="A7169" s="118"/>
      <c r="B7169" s="136"/>
    </row>
    <row r="7170" spans="1:2" x14ac:dyDescent="0.25">
      <c r="A7170" s="118"/>
      <c r="B7170" s="136"/>
    </row>
    <row r="7171" spans="1:2" x14ac:dyDescent="0.25">
      <c r="A7171" s="118"/>
      <c r="B7171" s="136"/>
    </row>
    <row r="7172" spans="1:2" x14ac:dyDescent="0.25">
      <c r="A7172" s="118"/>
      <c r="B7172" s="136"/>
    </row>
    <row r="7173" spans="1:2" x14ac:dyDescent="0.25">
      <c r="A7173" s="118"/>
      <c r="B7173" s="136"/>
    </row>
    <row r="7174" spans="1:2" x14ac:dyDescent="0.25">
      <c r="A7174" s="118"/>
      <c r="B7174" s="136"/>
    </row>
    <row r="7175" spans="1:2" x14ac:dyDescent="0.25">
      <c r="A7175" s="118"/>
      <c r="B7175" s="136"/>
    </row>
    <row r="7176" spans="1:2" x14ac:dyDescent="0.25">
      <c r="A7176" s="118"/>
      <c r="B7176" s="136"/>
    </row>
    <row r="7177" spans="1:2" x14ac:dyDescent="0.25">
      <c r="A7177" s="118"/>
      <c r="B7177" s="136"/>
    </row>
    <row r="7178" spans="1:2" x14ac:dyDescent="0.25">
      <c r="A7178" s="118"/>
      <c r="B7178" s="136"/>
    </row>
    <row r="7179" spans="1:2" x14ac:dyDescent="0.25">
      <c r="A7179" s="118"/>
      <c r="B7179" s="136"/>
    </row>
    <row r="7180" spans="1:2" x14ac:dyDescent="0.25">
      <c r="A7180" s="118"/>
      <c r="B7180" s="136"/>
    </row>
    <row r="7181" spans="1:2" x14ac:dyDescent="0.25">
      <c r="A7181" s="118"/>
      <c r="B7181" s="136"/>
    </row>
    <row r="7182" spans="1:2" x14ac:dyDescent="0.25">
      <c r="A7182" s="118"/>
      <c r="B7182" s="136"/>
    </row>
    <row r="7183" spans="1:2" x14ac:dyDescent="0.25">
      <c r="A7183" s="118"/>
      <c r="B7183" s="136"/>
    </row>
    <row r="7184" spans="1:2" x14ac:dyDescent="0.25">
      <c r="A7184" s="118"/>
      <c r="B7184" s="136"/>
    </row>
    <row r="7185" spans="1:2" x14ac:dyDescent="0.25">
      <c r="A7185" s="118"/>
      <c r="B7185" s="136"/>
    </row>
    <row r="7186" spans="1:2" x14ac:dyDescent="0.25">
      <c r="A7186" s="118"/>
      <c r="B7186" s="136"/>
    </row>
    <row r="7187" spans="1:2" x14ac:dyDescent="0.25">
      <c r="A7187" s="118"/>
      <c r="B7187" s="136"/>
    </row>
    <row r="7188" spans="1:2" x14ac:dyDescent="0.25">
      <c r="A7188" s="118"/>
      <c r="B7188" s="136"/>
    </row>
    <row r="7189" spans="1:2" x14ac:dyDescent="0.25">
      <c r="A7189" s="118"/>
      <c r="B7189" s="136"/>
    </row>
    <row r="7190" spans="1:2" x14ac:dyDescent="0.25">
      <c r="A7190" s="118"/>
      <c r="B7190" s="136"/>
    </row>
    <row r="7191" spans="1:2" x14ac:dyDescent="0.25">
      <c r="A7191" s="118"/>
      <c r="B7191" s="136"/>
    </row>
    <row r="7192" spans="1:2" x14ac:dyDescent="0.25">
      <c r="A7192" s="118"/>
      <c r="B7192" s="136"/>
    </row>
    <row r="7193" spans="1:2" x14ac:dyDescent="0.25">
      <c r="A7193" s="118"/>
      <c r="B7193" s="136"/>
    </row>
    <row r="7194" spans="1:2" x14ac:dyDescent="0.25">
      <c r="A7194" s="118"/>
      <c r="B7194" s="136"/>
    </row>
    <row r="7195" spans="1:2" x14ac:dyDescent="0.25">
      <c r="A7195" s="118"/>
      <c r="B7195" s="136"/>
    </row>
    <row r="7196" spans="1:2" x14ac:dyDescent="0.25">
      <c r="A7196" s="118"/>
      <c r="B7196" s="136"/>
    </row>
    <row r="7197" spans="1:2" x14ac:dyDescent="0.25">
      <c r="A7197" s="118"/>
      <c r="B7197" s="136"/>
    </row>
    <row r="7198" spans="1:2" x14ac:dyDescent="0.25">
      <c r="A7198" s="118"/>
      <c r="B7198" s="136"/>
    </row>
    <row r="7199" spans="1:2" x14ac:dyDescent="0.25">
      <c r="A7199" s="118"/>
      <c r="B7199" s="136"/>
    </row>
    <row r="7200" spans="1:2" x14ac:dyDescent="0.25">
      <c r="A7200" s="118"/>
      <c r="B7200" s="136"/>
    </row>
    <row r="7201" spans="1:2" x14ac:dyDescent="0.25">
      <c r="A7201" s="118"/>
      <c r="B7201" s="136"/>
    </row>
    <row r="7202" spans="1:2" x14ac:dyDescent="0.25">
      <c r="A7202" s="118"/>
      <c r="B7202" s="136"/>
    </row>
    <row r="7203" spans="1:2" x14ac:dyDescent="0.25">
      <c r="A7203" s="118"/>
      <c r="B7203" s="136"/>
    </row>
    <row r="7204" spans="1:2" x14ac:dyDescent="0.25">
      <c r="A7204" s="118"/>
      <c r="B7204" s="136"/>
    </row>
    <row r="7205" spans="1:2" x14ac:dyDescent="0.25">
      <c r="A7205" s="118"/>
      <c r="B7205" s="136"/>
    </row>
    <row r="7206" spans="1:2" x14ac:dyDescent="0.25">
      <c r="A7206" s="118"/>
      <c r="B7206" s="136"/>
    </row>
    <row r="7207" spans="1:2" x14ac:dyDescent="0.25">
      <c r="A7207" s="118"/>
      <c r="B7207" s="136"/>
    </row>
    <row r="7208" spans="1:2" x14ac:dyDescent="0.25">
      <c r="A7208" s="118"/>
      <c r="B7208" s="136"/>
    </row>
    <row r="7209" spans="1:2" x14ac:dyDescent="0.25">
      <c r="A7209" s="118"/>
      <c r="B7209" s="136"/>
    </row>
    <row r="7210" spans="1:2" x14ac:dyDescent="0.25">
      <c r="A7210" s="118"/>
      <c r="B7210" s="136"/>
    </row>
    <row r="7211" spans="1:2" x14ac:dyDescent="0.25">
      <c r="A7211" s="118"/>
      <c r="B7211" s="136"/>
    </row>
    <row r="7212" spans="1:2" x14ac:dyDescent="0.25">
      <c r="A7212" s="118"/>
      <c r="B7212" s="136"/>
    </row>
    <row r="7213" spans="1:2" x14ac:dyDescent="0.25">
      <c r="A7213" s="118"/>
      <c r="B7213" s="136"/>
    </row>
    <row r="7214" spans="1:2" x14ac:dyDescent="0.25">
      <c r="A7214" s="118"/>
      <c r="B7214" s="136"/>
    </row>
    <row r="7215" spans="1:2" x14ac:dyDescent="0.25">
      <c r="A7215" s="118"/>
      <c r="B7215" s="136"/>
    </row>
    <row r="7216" spans="1:2" x14ac:dyDescent="0.25">
      <c r="A7216" s="118"/>
      <c r="B7216" s="136"/>
    </row>
    <row r="7217" spans="1:2" x14ac:dyDescent="0.25">
      <c r="A7217" s="118"/>
      <c r="B7217" s="136"/>
    </row>
    <row r="7218" spans="1:2" x14ac:dyDescent="0.25">
      <c r="A7218" s="118"/>
      <c r="B7218" s="136"/>
    </row>
    <row r="7219" spans="1:2" x14ac:dyDescent="0.25">
      <c r="A7219" s="118"/>
      <c r="B7219" s="136"/>
    </row>
    <row r="7220" spans="1:2" x14ac:dyDescent="0.25">
      <c r="A7220" s="118"/>
      <c r="B7220" s="136"/>
    </row>
    <row r="7221" spans="1:2" x14ac:dyDescent="0.25">
      <c r="A7221" s="118"/>
      <c r="B7221" s="136"/>
    </row>
    <row r="7222" spans="1:2" x14ac:dyDescent="0.25">
      <c r="A7222" s="118"/>
      <c r="B7222" s="136"/>
    </row>
    <row r="7223" spans="1:2" x14ac:dyDescent="0.25">
      <c r="A7223" s="118"/>
      <c r="B7223" s="136"/>
    </row>
    <row r="7224" spans="1:2" x14ac:dyDescent="0.25">
      <c r="A7224" s="118"/>
      <c r="B7224" s="136"/>
    </row>
    <row r="7225" spans="1:2" x14ac:dyDescent="0.25">
      <c r="A7225" s="118"/>
      <c r="B7225" s="136"/>
    </row>
    <row r="7226" spans="1:2" x14ac:dyDescent="0.25">
      <c r="A7226" s="118"/>
      <c r="B7226" s="136"/>
    </row>
    <row r="7227" spans="1:2" x14ac:dyDescent="0.25">
      <c r="A7227" s="118"/>
      <c r="B7227" s="136"/>
    </row>
    <row r="7228" spans="1:2" x14ac:dyDescent="0.25">
      <c r="A7228" s="118"/>
      <c r="B7228" s="136"/>
    </row>
    <row r="7229" spans="1:2" x14ac:dyDescent="0.25">
      <c r="A7229" s="118"/>
      <c r="B7229" s="136"/>
    </row>
    <row r="7230" spans="1:2" x14ac:dyDescent="0.25">
      <c r="A7230" s="118"/>
      <c r="B7230" s="136"/>
    </row>
    <row r="7231" spans="1:2" x14ac:dyDescent="0.25">
      <c r="A7231" s="118"/>
      <c r="B7231" s="136"/>
    </row>
    <row r="7232" spans="1:2" x14ac:dyDescent="0.25">
      <c r="A7232" s="118"/>
      <c r="B7232" s="136"/>
    </row>
    <row r="7233" spans="1:2" x14ac:dyDescent="0.25">
      <c r="A7233" s="118"/>
      <c r="B7233" s="136"/>
    </row>
    <row r="7234" spans="1:2" x14ac:dyDescent="0.25">
      <c r="A7234" s="118"/>
      <c r="B7234" s="136"/>
    </row>
    <row r="7235" spans="1:2" x14ac:dyDescent="0.25">
      <c r="A7235" s="118"/>
      <c r="B7235" s="136"/>
    </row>
    <row r="7236" spans="1:2" x14ac:dyDescent="0.25">
      <c r="A7236" s="118"/>
      <c r="B7236" s="136"/>
    </row>
    <row r="7237" spans="1:2" x14ac:dyDescent="0.25">
      <c r="A7237" s="118"/>
      <c r="B7237" s="136"/>
    </row>
    <row r="7238" spans="1:2" x14ac:dyDescent="0.25">
      <c r="A7238" s="118"/>
      <c r="B7238" s="136"/>
    </row>
    <row r="7239" spans="1:2" x14ac:dyDescent="0.25">
      <c r="A7239" s="118"/>
      <c r="B7239" s="136"/>
    </row>
    <row r="7240" spans="1:2" x14ac:dyDescent="0.25">
      <c r="A7240" s="118"/>
      <c r="B7240" s="136"/>
    </row>
    <row r="7241" spans="1:2" x14ac:dyDescent="0.25">
      <c r="A7241" s="118"/>
      <c r="B7241" s="136"/>
    </row>
    <row r="7242" spans="1:2" x14ac:dyDescent="0.25">
      <c r="A7242" s="118"/>
      <c r="B7242" s="136"/>
    </row>
    <row r="7243" spans="1:2" x14ac:dyDescent="0.25">
      <c r="A7243" s="118"/>
      <c r="B7243" s="136"/>
    </row>
    <row r="7244" spans="1:2" x14ac:dyDescent="0.25">
      <c r="A7244" s="118"/>
      <c r="B7244" s="136"/>
    </row>
    <row r="7245" spans="1:2" x14ac:dyDescent="0.25">
      <c r="A7245" s="118"/>
      <c r="B7245" s="136"/>
    </row>
    <row r="7246" spans="1:2" x14ac:dyDescent="0.25">
      <c r="A7246" s="118"/>
      <c r="B7246" s="136"/>
    </row>
    <row r="7247" spans="1:2" x14ac:dyDescent="0.25">
      <c r="A7247" s="118"/>
      <c r="B7247" s="136"/>
    </row>
    <row r="7248" spans="1:2" x14ac:dyDescent="0.25">
      <c r="A7248" s="118"/>
      <c r="B7248" s="136"/>
    </row>
    <row r="7249" spans="1:2" x14ac:dyDescent="0.25">
      <c r="A7249" s="118"/>
      <c r="B7249" s="136"/>
    </row>
    <row r="7250" spans="1:2" x14ac:dyDescent="0.25">
      <c r="A7250" s="118"/>
      <c r="B7250" s="136"/>
    </row>
    <row r="7251" spans="1:2" x14ac:dyDescent="0.25">
      <c r="A7251" s="118"/>
      <c r="B7251" s="136"/>
    </row>
    <row r="7252" spans="1:2" x14ac:dyDescent="0.25">
      <c r="A7252" s="118"/>
      <c r="B7252" s="136"/>
    </row>
    <row r="7253" spans="1:2" x14ac:dyDescent="0.25">
      <c r="A7253" s="118"/>
      <c r="B7253" s="136"/>
    </row>
    <row r="7254" spans="1:2" x14ac:dyDescent="0.25">
      <c r="A7254" s="118"/>
      <c r="B7254" s="136"/>
    </row>
    <row r="7255" spans="1:2" x14ac:dyDescent="0.25">
      <c r="A7255" s="118"/>
      <c r="B7255" s="136"/>
    </row>
    <row r="7256" spans="1:2" x14ac:dyDescent="0.25">
      <c r="A7256" s="118"/>
      <c r="B7256" s="136"/>
    </row>
    <row r="7257" spans="1:2" x14ac:dyDescent="0.25">
      <c r="A7257" s="118"/>
      <c r="B7257" s="136"/>
    </row>
    <row r="7258" spans="1:2" x14ac:dyDescent="0.25">
      <c r="A7258" s="118"/>
      <c r="B7258" s="136"/>
    </row>
    <row r="7259" spans="1:2" x14ac:dyDescent="0.25">
      <c r="A7259" s="118"/>
      <c r="B7259" s="136"/>
    </row>
    <row r="7260" spans="1:2" x14ac:dyDescent="0.25">
      <c r="A7260" s="118"/>
      <c r="B7260" s="136"/>
    </row>
    <row r="7261" spans="1:2" x14ac:dyDescent="0.25">
      <c r="A7261" s="118"/>
      <c r="B7261" s="136"/>
    </row>
    <row r="7262" spans="1:2" x14ac:dyDescent="0.25">
      <c r="A7262" s="118"/>
      <c r="B7262" s="136"/>
    </row>
    <row r="7263" spans="1:2" x14ac:dyDescent="0.25">
      <c r="A7263" s="118"/>
      <c r="B7263" s="136"/>
    </row>
    <row r="7264" spans="1:2" x14ac:dyDescent="0.25">
      <c r="A7264" s="118"/>
      <c r="B7264" s="136"/>
    </row>
    <row r="7265" spans="1:2" x14ac:dyDescent="0.25">
      <c r="A7265" s="118"/>
      <c r="B7265" s="136"/>
    </row>
    <row r="7266" spans="1:2" x14ac:dyDescent="0.25">
      <c r="A7266" s="118"/>
      <c r="B7266" s="136"/>
    </row>
    <row r="7267" spans="1:2" x14ac:dyDescent="0.25">
      <c r="A7267" s="118"/>
      <c r="B7267" s="136"/>
    </row>
    <row r="7268" spans="1:2" x14ac:dyDescent="0.25">
      <c r="A7268" s="118"/>
      <c r="B7268" s="136"/>
    </row>
    <row r="7269" spans="1:2" x14ac:dyDescent="0.25">
      <c r="A7269" s="118"/>
      <c r="B7269" s="136"/>
    </row>
    <row r="7270" spans="1:2" x14ac:dyDescent="0.25">
      <c r="A7270" s="118"/>
      <c r="B7270" s="136"/>
    </row>
    <row r="7271" spans="1:2" x14ac:dyDescent="0.25">
      <c r="A7271" s="118"/>
      <c r="B7271" s="136"/>
    </row>
    <row r="7272" spans="1:2" x14ac:dyDescent="0.25">
      <c r="A7272" s="118"/>
      <c r="B7272" s="136"/>
    </row>
    <row r="7273" spans="1:2" x14ac:dyDescent="0.25">
      <c r="A7273" s="118"/>
      <c r="B7273" s="136"/>
    </row>
    <row r="7274" spans="1:2" x14ac:dyDescent="0.25">
      <c r="A7274" s="118"/>
      <c r="B7274" s="136"/>
    </row>
    <row r="7275" spans="1:2" x14ac:dyDescent="0.25">
      <c r="A7275" s="118"/>
      <c r="B7275" s="136"/>
    </row>
    <row r="7276" spans="1:2" x14ac:dyDescent="0.25">
      <c r="A7276" s="118"/>
      <c r="B7276" s="136"/>
    </row>
    <row r="7277" spans="1:2" x14ac:dyDescent="0.25">
      <c r="A7277" s="118"/>
      <c r="B7277" s="136"/>
    </row>
    <row r="7278" spans="1:2" x14ac:dyDescent="0.25">
      <c r="A7278" s="118"/>
      <c r="B7278" s="136"/>
    </row>
    <row r="7279" spans="1:2" x14ac:dyDescent="0.25">
      <c r="A7279" s="118"/>
      <c r="B7279" s="136"/>
    </row>
    <row r="7280" spans="1:2" x14ac:dyDescent="0.25">
      <c r="A7280" s="118"/>
      <c r="B7280" s="136"/>
    </row>
    <row r="7281" spans="1:2" x14ac:dyDescent="0.25">
      <c r="A7281" s="118"/>
      <c r="B7281" s="136"/>
    </row>
    <row r="7282" spans="1:2" x14ac:dyDescent="0.25">
      <c r="A7282" s="118"/>
      <c r="B7282" s="136"/>
    </row>
    <row r="7283" spans="1:2" x14ac:dyDescent="0.25">
      <c r="A7283" s="118"/>
      <c r="B7283" s="136"/>
    </row>
    <row r="7284" spans="1:2" x14ac:dyDescent="0.25">
      <c r="A7284" s="118"/>
      <c r="B7284" s="136"/>
    </row>
    <row r="7285" spans="1:2" x14ac:dyDescent="0.25">
      <c r="A7285" s="118"/>
      <c r="B7285" s="136"/>
    </row>
    <row r="7286" spans="1:2" x14ac:dyDescent="0.25">
      <c r="A7286" s="118"/>
      <c r="B7286" s="136"/>
    </row>
    <row r="7287" spans="1:2" x14ac:dyDescent="0.25">
      <c r="A7287" s="118"/>
      <c r="B7287" s="136"/>
    </row>
    <row r="7288" spans="1:2" x14ac:dyDescent="0.25">
      <c r="A7288" s="118"/>
      <c r="B7288" s="136"/>
    </row>
    <row r="7289" spans="1:2" x14ac:dyDescent="0.25">
      <c r="A7289" s="118"/>
      <c r="B7289" s="136"/>
    </row>
    <row r="7290" spans="1:2" x14ac:dyDescent="0.25">
      <c r="A7290" s="118"/>
      <c r="B7290" s="136"/>
    </row>
    <row r="7291" spans="1:2" x14ac:dyDescent="0.25">
      <c r="A7291" s="118"/>
      <c r="B7291" s="136"/>
    </row>
    <row r="7292" spans="1:2" x14ac:dyDescent="0.25">
      <c r="A7292" s="118"/>
      <c r="B7292" s="136"/>
    </row>
    <row r="7293" spans="1:2" x14ac:dyDescent="0.25">
      <c r="A7293" s="118"/>
      <c r="B7293" s="136"/>
    </row>
    <row r="7294" spans="1:2" x14ac:dyDescent="0.25">
      <c r="A7294" s="118"/>
      <c r="B7294" s="136"/>
    </row>
    <row r="7295" spans="1:2" x14ac:dyDescent="0.25">
      <c r="A7295" s="118"/>
      <c r="B7295" s="136"/>
    </row>
    <row r="7296" spans="1:2" x14ac:dyDescent="0.25">
      <c r="A7296" s="118"/>
      <c r="B7296" s="136"/>
    </row>
    <row r="7297" spans="1:2" x14ac:dyDescent="0.25">
      <c r="A7297" s="118"/>
      <c r="B7297" s="136"/>
    </row>
    <row r="7298" spans="1:2" x14ac:dyDescent="0.25">
      <c r="A7298" s="118"/>
      <c r="B7298" s="136"/>
    </row>
    <row r="7299" spans="1:2" x14ac:dyDescent="0.25">
      <c r="A7299" s="118"/>
      <c r="B7299" s="136"/>
    </row>
    <row r="7300" spans="1:2" x14ac:dyDescent="0.25">
      <c r="A7300" s="118"/>
      <c r="B7300" s="136"/>
    </row>
    <row r="7301" spans="1:2" x14ac:dyDescent="0.25">
      <c r="A7301" s="118"/>
      <c r="B7301" s="136"/>
    </row>
    <row r="7302" spans="1:2" x14ac:dyDescent="0.25">
      <c r="A7302" s="118"/>
      <c r="B7302" s="136"/>
    </row>
    <row r="7303" spans="1:2" x14ac:dyDescent="0.25">
      <c r="A7303" s="118"/>
      <c r="B7303" s="136"/>
    </row>
    <row r="7304" spans="1:2" x14ac:dyDescent="0.25">
      <c r="A7304" s="118"/>
      <c r="B7304" s="136"/>
    </row>
    <row r="7305" spans="1:2" x14ac:dyDescent="0.25">
      <c r="A7305" s="118"/>
      <c r="B7305" s="136"/>
    </row>
    <row r="7306" spans="1:2" x14ac:dyDescent="0.25">
      <c r="A7306" s="118"/>
      <c r="B7306" s="136"/>
    </row>
    <row r="7307" spans="1:2" x14ac:dyDescent="0.25">
      <c r="A7307" s="118"/>
      <c r="B7307" s="136"/>
    </row>
    <row r="7308" spans="1:2" x14ac:dyDescent="0.25">
      <c r="A7308" s="118"/>
      <c r="B7308" s="136"/>
    </row>
    <row r="7309" spans="1:2" x14ac:dyDescent="0.25">
      <c r="A7309" s="118"/>
      <c r="B7309" s="136"/>
    </row>
    <row r="7310" spans="1:2" x14ac:dyDescent="0.25">
      <c r="A7310" s="118"/>
      <c r="B7310" s="136"/>
    </row>
    <row r="7311" spans="1:2" x14ac:dyDescent="0.25">
      <c r="A7311" s="118"/>
      <c r="B7311" s="136"/>
    </row>
    <row r="7312" spans="1:2" x14ac:dyDescent="0.25">
      <c r="A7312" s="118"/>
      <c r="B7312" s="136"/>
    </row>
    <row r="7313" spans="1:2" x14ac:dyDescent="0.25">
      <c r="A7313" s="118"/>
      <c r="B7313" s="136"/>
    </row>
    <row r="7314" spans="1:2" x14ac:dyDescent="0.25">
      <c r="A7314" s="118"/>
      <c r="B7314" s="136"/>
    </row>
    <row r="7315" spans="1:2" x14ac:dyDescent="0.25">
      <c r="A7315" s="118"/>
      <c r="B7315" s="136"/>
    </row>
    <row r="7316" spans="1:2" x14ac:dyDescent="0.25">
      <c r="A7316" s="118"/>
      <c r="B7316" s="136"/>
    </row>
    <row r="7317" spans="1:2" x14ac:dyDescent="0.25">
      <c r="A7317" s="118"/>
      <c r="B7317" s="136"/>
    </row>
    <row r="7318" spans="1:2" x14ac:dyDescent="0.25">
      <c r="A7318" s="118"/>
      <c r="B7318" s="136"/>
    </row>
    <row r="7319" spans="1:2" x14ac:dyDescent="0.25">
      <c r="A7319" s="118"/>
      <c r="B7319" s="136"/>
    </row>
    <row r="7320" spans="1:2" x14ac:dyDescent="0.25">
      <c r="A7320" s="118"/>
      <c r="B7320" s="136"/>
    </row>
    <row r="7321" spans="1:2" x14ac:dyDescent="0.25">
      <c r="A7321" s="118"/>
      <c r="B7321" s="136"/>
    </row>
    <row r="7322" spans="1:2" x14ac:dyDescent="0.25">
      <c r="A7322" s="118"/>
      <c r="B7322" s="136"/>
    </row>
    <row r="7323" spans="1:2" x14ac:dyDescent="0.25">
      <c r="A7323" s="118"/>
      <c r="B7323" s="136"/>
    </row>
    <row r="7324" spans="1:2" x14ac:dyDescent="0.25">
      <c r="A7324" s="118"/>
      <c r="B7324" s="136"/>
    </row>
    <row r="7325" spans="1:2" x14ac:dyDescent="0.25">
      <c r="A7325" s="118"/>
      <c r="B7325" s="136"/>
    </row>
    <row r="7326" spans="1:2" x14ac:dyDescent="0.25">
      <c r="A7326" s="118"/>
      <c r="B7326" s="136"/>
    </row>
    <row r="7327" spans="1:2" x14ac:dyDescent="0.25">
      <c r="A7327" s="118"/>
      <c r="B7327" s="136"/>
    </row>
    <row r="7328" spans="1:2" x14ac:dyDescent="0.25">
      <c r="A7328" s="118"/>
      <c r="B7328" s="136"/>
    </row>
    <row r="7329" spans="1:2" x14ac:dyDescent="0.25">
      <c r="A7329" s="118"/>
      <c r="B7329" s="136"/>
    </row>
    <row r="7330" spans="1:2" x14ac:dyDescent="0.25">
      <c r="A7330" s="118"/>
      <c r="B7330" s="136"/>
    </row>
    <row r="7331" spans="1:2" x14ac:dyDescent="0.25">
      <c r="A7331" s="118"/>
      <c r="B7331" s="136"/>
    </row>
    <row r="7332" spans="1:2" x14ac:dyDescent="0.25">
      <c r="A7332" s="118"/>
      <c r="B7332" s="136"/>
    </row>
    <row r="7333" spans="1:2" x14ac:dyDescent="0.25">
      <c r="A7333" s="118"/>
      <c r="B7333" s="136"/>
    </row>
    <row r="7334" spans="1:2" x14ac:dyDescent="0.25">
      <c r="A7334" s="118"/>
      <c r="B7334" s="136"/>
    </row>
    <row r="7335" spans="1:2" x14ac:dyDescent="0.25">
      <c r="A7335" s="118"/>
      <c r="B7335" s="136"/>
    </row>
    <row r="7336" spans="1:2" x14ac:dyDescent="0.25">
      <c r="A7336" s="118"/>
      <c r="B7336" s="136"/>
    </row>
    <row r="7337" spans="1:2" x14ac:dyDescent="0.25">
      <c r="A7337" s="118"/>
      <c r="B7337" s="136"/>
    </row>
    <row r="7338" spans="1:2" x14ac:dyDescent="0.25">
      <c r="A7338" s="118"/>
      <c r="B7338" s="136"/>
    </row>
    <row r="7339" spans="1:2" x14ac:dyDescent="0.25">
      <c r="A7339" s="118"/>
      <c r="B7339" s="136"/>
    </row>
    <row r="7340" spans="1:2" x14ac:dyDescent="0.25">
      <c r="A7340" s="118"/>
      <c r="B7340" s="136"/>
    </row>
    <row r="7341" spans="1:2" x14ac:dyDescent="0.25">
      <c r="A7341" s="118"/>
      <c r="B7341" s="136"/>
    </row>
    <row r="7342" spans="1:2" x14ac:dyDescent="0.25">
      <c r="A7342" s="118"/>
      <c r="B7342" s="136"/>
    </row>
    <row r="7343" spans="1:2" x14ac:dyDescent="0.25">
      <c r="A7343" s="118"/>
      <c r="B7343" s="136"/>
    </row>
    <row r="7344" spans="1:2" x14ac:dyDescent="0.25">
      <c r="A7344" s="118"/>
      <c r="B7344" s="136"/>
    </row>
    <row r="7345" spans="1:2" x14ac:dyDescent="0.25">
      <c r="A7345" s="118"/>
      <c r="B7345" s="136"/>
    </row>
    <row r="7346" spans="1:2" x14ac:dyDescent="0.25">
      <c r="A7346" s="118"/>
      <c r="B7346" s="136"/>
    </row>
    <row r="7347" spans="1:2" x14ac:dyDescent="0.25">
      <c r="A7347" s="118"/>
      <c r="B7347" s="136"/>
    </row>
    <row r="7348" spans="1:2" x14ac:dyDescent="0.25">
      <c r="A7348" s="118"/>
      <c r="B7348" s="136"/>
    </row>
    <row r="7349" spans="1:2" x14ac:dyDescent="0.25">
      <c r="A7349" s="118"/>
      <c r="B7349" s="136"/>
    </row>
    <row r="7350" spans="1:2" x14ac:dyDescent="0.25">
      <c r="A7350" s="118"/>
      <c r="B7350" s="136"/>
    </row>
    <row r="7351" spans="1:2" x14ac:dyDescent="0.25">
      <c r="A7351" s="118"/>
      <c r="B7351" s="136"/>
    </row>
    <row r="7352" spans="1:2" x14ac:dyDescent="0.25">
      <c r="A7352" s="118"/>
      <c r="B7352" s="136"/>
    </row>
    <row r="7353" spans="1:2" x14ac:dyDescent="0.25">
      <c r="A7353" s="118"/>
      <c r="B7353" s="136"/>
    </row>
    <row r="7354" spans="1:2" x14ac:dyDescent="0.25">
      <c r="A7354" s="118"/>
      <c r="B7354" s="136"/>
    </row>
    <row r="7355" spans="1:2" x14ac:dyDescent="0.25">
      <c r="A7355" s="118"/>
      <c r="B7355" s="136"/>
    </row>
    <row r="7356" spans="1:2" x14ac:dyDescent="0.25">
      <c r="A7356" s="118"/>
      <c r="B7356" s="136"/>
    </row>
    <row r="7357" spans="1:2" x14ac:dyDescent="0.25">
      <c r="A7357" s="118"/>
      <c r="B7357" s="136"/>
    </row>
    <row r="7358" spans="1:2" x14ac:dyDescent="0.25">
      <c r="A7358" s="118"/>
      <c r="B7358" s="136"/>
    </row>
    <row r="7359" spans="1:2" x14ac:dyDescent="0.25">
      <c r="A7359" s="118"/>
      <c r="B7359" s="136"/>
    </row>
    <row r="7360" spans="1:2" x14ac:dyDescent="0.25">
      <c r="A7360" s="118"/>
      <c r="B7360" s="136"/>
    </row>
    <row r="7361" spans="1:2" x14ac:dyDescent="0.25">
      <c r="A7361" s="118"/>
      <c r="B7361" s="136"/>
    </row>
    <row r="7362" spans="1:2" x14ac:dyDescent="0.25">
      <c r="A7362" s="118"/>
      <c r="B7362" s="136"/>
    </row>
    <row r="7363" spans="1:2" x14ac:dyDescent="0.25">
      <c r="A7363" s="118"/>
      <c r="B7363" s="136"/>
    </row>
    <row r="7364" spans="1:2" x14ac:dyDescent="0.25">
      <c r="A7364" s="118"/>
      <c r="B7364" s="136"/>
    </row>
    <row r="7365" spans="1:2" x14ac:dyDescent="0.25">
      <c r="A7365" s="118"/>
      <c r="B7365" s="136"/>
    </row>
    <row r="7366" spans="1:2" x14ac:dyDescent="0.25">
      <c r="A7366" s="118"/>
      <c r="B7366" s="136"/>
    </row>
    <row r="7367" spans="1:2" x14ac:dyDescent="0.25">
      <c r="A7367" s="118"/>
      <c r="B7367" s="136"/>
    </row>
    <row r="7368" spans="1:2" x14ac:dyDescent="0.25">
      <c r="A7368" s="118"/>
      <c r="B7368" s="136"/>
    </row>
    <row r="7369" spans="1:2" x14ac:dyDescent="0.25">
      <c r="A7369" s="118"/>
      <c r="B7369" s="136"/>
    </row>
    <row r="7370" spans="1:2" x14ac:dyDescent="0.25">
      <c r="A7370" s="118"/>
      <c r="B7370" s="136"/>
    </row>
    <row r="7371" spans="1:2" x14ac:dyDescent="0.25">
      <c r="A7371" s="118"/>
      <c r="B7371" s="136"/>
    </row>
    <row r="7372" spans="1:2" x14ac:dyDescent="0.25">
      <c r="A7372" s="118"/>
      <c r="B7372" s="136"/>
    </row>
    <row r="7373" spans="1:2" x14ac:dyDescent="0.25">
      <c r="A7373" s="118"/>
      <c r="B7373" s="136"/>
    </row>
    <row r="7374" spans="1:2" x14ac:dyDescent="0.25">
      <c r="A7374" s="118"/>
      <c r="B7374" s="136"/>
    </row>
    <row r="7375" spans="1:2" x14ac:dyDescent="0.25">
      <c r="A7375" s="118"/>
      <c r="B7375" s="136"/>
    </row>
    <row r="7376" spans="1:2" x14ac:dyDescent="0.25">
      <c r="A7376" s="118"/>
      <c r="B7376" s="136"/>
    </row>
    <row r="7377" spans="1:2" x14ac:dyDescent="0.25">
      <c r="A7377" s="118"/>
      <c r="B7377" s="136"/>
    </row>
    <row r="7378" spans="1:2" x14ac:dyDescent="0.25">
      <c r="A7378" s="118"/>
      <c r="B7378" s="136"/>
    </row>
    <row r="7379" spans="1:2" x14ac:dyDescent="0.25">
      <c r="A7379" s="118"/>
      <c r="B7379" s="136"/>
    </row>
    <row r="7380" spans="1:2" x14ac:dyDescent="0.25">
      <c r="A7380" s="118"/>
      <c r="B7380" s="136"/>
    </row>
    <row r="7381" spans="1:2" x14ac:dyDescent="0.25">
      <c r="A7381" s="118"/>
      <c r="B7381" s="136"/>
    </row>
    <row r="7382" spans="1:2" x14ac:dyDescent="0.25">
      <c r="A7382" s="118"/>
      <c r="B7382" s="136"/>
    </row>
    <row r="7383" spans="1:2" x14ac:dyDescent="0.25">
      <c r="A7383" s="118"/>
      <c r="B7383" s="136"/>
    </row>
    <row r="7384" spans="1:2" x14ac:dyDescent="0.25">
      <c r="A7384" s="118"/>
      <c r="B7384" s="136"/>
    </row>
    <row r="7385" spans="1:2" x14ac:dyDescent="0.25">
      <c r="A7385" s="118"/>
      <c r="B7385" s="136"/>
    </row>
    <row r="7386" spans="1:2" x14ac:dyDescent="0.25">
      <c r="A7386" s="118"/>
      <c r="B7386" s="136"/>
    </row>
    <row r="7387" spans="1:2" x14ac:dyDescent="0.25">
      <c r="A7387" s="118"/>
      <c r="B7387" s="136"/>
    </row>
    <row r="7388" spans="1:2" x14ac:dyDescent="0.25">
      <c r="A7388" s="118"/>
      <c r="B7388" s="136"/>
    </row>
    <row r="7389" spans="1:2" x14ac:dyDescent="0.25">
      <c r="A7389" s="118"/>
      <c r="B7389" s="136"/>
    </row>
    <row r="7390" spans="1:2" x14ac:dyDescent="0.25">
      <c r="A7390" s="118"/>
      <c r="B7390" s="136"/>
    </row>
    <row r="7391" spans="1:2" x14ac:dyDescent="0.25">
      <c r="A7391" s="118"/>
      <c r="B7391" s="136"/>
    </row>
    <row r="7392" spans="1:2" x14ac:dyDescent="0.25">
      <c r="A7392" s="118"/>
      <c r="B7392" s="136"/>
    </row>
    <row r="7393" spans="1:2" x14ac:dyDescent="0.25">
      <c r="A7393" s="118"/>
      <c r="B7393" s="136"/>
    </row>
    <row r="7394" spans="1:2" x14ac:dyDescent="0.25">
      <c r="A7394" s="118"/>
      <c r="B7394" s="136"/>
    </row>
    <row r="7395" spans="1:2" x14ac:dyDescent="0.25">
      <c r="A7395" s="118"/>
      <c r="B7395" s="136"/>
    </row>
    <row r="7396" spans="1:2" x14ac:dyDescent="0.25">
      <c r="A7396" s="118"/>
      <c r="B7396" s="136"/>
    </row>
    <row r="7397" spans="1:2" x14ac:dyDescent="0.25">
      <c r="A7397" s="118"/>
      <c r="B7397" s="136"/>
    </row>
    <row r="7398" spans="1:2" x14ac:dyDescent="0.25">
      <c r="A7398" s="118"/>
      <c r="B7398" s="136"/>
    </row>
    <row r="7399" spans="1:2" x14ac:dyDescent="0.25">
      <c r="A7399" s="118"/>
      <c r="B7399" s="136"/>
    </row>
    <row r="7400" spans="1:2" x14ac:dyDescent="0.25">
      <c r="A7400" s="118"/>
      <c r="B7400" s="136"/>
    </row>
    <row r="7401" spans="1:2" x14ac:dyDescent="0.25">
      <c r="A7401" s="118"/>
      <c r="B7401" s="136"/>
    </row>
    <row r="7402" spans="1:2" x14ac:dyDescent="0.25">
      <c r="A7402" s="118"/>
      <c r="B7402" s="136"/>
    </row>
    <row r="7403" spans="1:2" x14ac:dyDescent="0.25">
      <c r="A7403" s="118"/>
      <c r="B7403" s="136"/>
    </row>
    <row r="7404" spans="1:2" x14ac:dyDescent="0.25">
      <c r="A7404" s="118"/>
      <c r="B7404" s="136"/>
    </row>
    <row r="7405" spans="1:2" x14ac:dyDescent="0.25">
      <c r="A7405" s="118"/>
      <c r="B7405" s="136"/>
    </row>
    <row r="7406" spans="1:2" x14ac:dyDescent="0.25">
      <c r="A7406" s="118"/>
      <c r="B7406" s="136"/>
    </row>
    <row r="7407" spans="1:2" x14ac:dyDescent="0.25">
      <c r="A7407" s="118"/>
      <c r="B7407" s="136"/>
    </row>
    <row r="7408" spans="1:2" x14ac:dyDescent="0.25">
      <c r="A7408" s="118"/>
      <c r="B7408" s="136"/>
    </row>
    <row r="7409" spans="1:2" x14ac:dyDescent="0.25">
      <c r="A7409" s="118"/>
      <c r="B7409" s="136"/>
    </row>
    <row r="7410" spans="1:2" x14ac:dyDescent="0.25">
      <c r="A7410" s="118"/>
      <c r="B7410" s="136"/>
    </row>
    <row r="7411" spans="1:2" x14ac:dyDescent="0.25">
      <c r="A7411" s="118"/>
      <c r="B7411" s="136"/>
    </row>
    <row r="7412" spans="1:2" x14ac:dyDescent="0.25">
      <c r="A7412" s="118"/>
      <c r="B7412" s="136"/>
    </row>
    <row r="7413" spans="1:2" x14ac:dyDescent="0.25">
      <c r="A7413" s="118"/>
      <c r="B7413" s="136"/>
    </row>
    <row r="7414" spans="1:2" x14ac:dyDescent="0.25">
      <c r="A7414" s="118"/>
      <c r="B7414" s="136"/>
    </row>
    <row r="7415" spans="1:2" x14ac:dyDescent="0.25">
      <c r="A7415" s="118"/>
      <c r="B7415" s="136"/>
    </row>
    <row r="7416" spans="1:2" x14ac:dyDescent="0.25">
      <c r="A7416" s="118"/>
      <c r="B7416" s="136"/>
    </row>
    <row r="7417" spans="1:2" x14ac:dyDescent="0.25">
      <c r="A7417" s="118"/>
      <c r="B7417" s="136"/>
    </row>
    <row r="7418" spans="1:2" x14ac:dyDescent="0.25">
      <c r="A7418" s="118"/>
      <c r="B7418" s="136"/>
    </row>
    <row r="7419" spans="1:2" x14ac:dyDescent="0.25">
      <c r="A7419" s="118"/>
      <c r="B7419" s="136"/>
    </row>
    <row r="7420" spans="1:2" x14ac:dyDescent="0.25">
      <c r="A7420" s="118"/>
      <c r="B7420" s="136"/>
    </row>
    <row r="7421" spans="1:2" x14ac:dyDescent="0.25">
      <c r="A7421" s="118"/>
      <c r="B7421" s="136"/>
    </row>
    <row r="7422" spans="1:2" x14ac:dyDescent="0.25">
      <c r="A7422" s="118"/>
      <c r="B7422" s="136"/>
    </row>
    <row r="7423" spans="1:2" x14ac:dyDescent="0.25">
      <c r="A7423" s="118"/>
      <c r="B7423" s="136"/>
    </row>
    <row r="7424" spans="1:2" x14ac:dyDescent="0.25">
      <c r="A7424" s="118"/>
      <c r="B7424" s="136"/>
    </row>
    <row r="7425" spans="1:2" x14ac:dyDescent="0.25">
      <c r="A7425" s="118"/>
      <c r="B7425" s="136"/>
    </row>
    <row r="7426" spans="1:2" x14ac:dyDescent="0.25">
      <c r="A7426" s="118"/>
      <c r="B7426" s="136"/>
    </row>
    <row r="7427" spans="1:2" x14ac:dyDescent="0.25">
      <c r="A7427" s="118"/>
      <c r="B7427" s="136"/>
    </row>
    <row r="7428" spans="1:2" x14ac:dyDescent="0.25">
      <c r="A7428" s="118"/>
      <c r="B7428" s="136"/>
    </row>
    <row r="7429" spans="1:2" x14ac:dyDescent="0.25">
      <c r="A7429" s="118"/>
      <c r="B7429" s="136"/>
    </row>
    <row r="7430" spans="1:2" x14ac:dyDescent="0.25">
      <c r="A7430" s="118"/>
      <c r="B7430" s="136"/>
    </row>
    <row r="7431" spans="1:2" x14ac:dyDescent="0.25">
      <c r="A7431" s="118"/>
      <c r="B7431" s="136"/>
    </row>
    <row r="7432" spans="1:2" x14ac:dyDescent="0.25">
      <c r="A7432" s="118"/>
      <c r="B7432" s="136"/>
    </row>
    <row r="7433" spans="1:2" x14ac:dyDescent="0.25">
      <c r="A7433" s="118"/>
      <c r="B7433" s="136"/>
    </row>
    <row r="7434" spans="1:2" x14ac:dyDescent="0.25">
      <c r="A7434" s="118"/>
      <c r="B7434" s="136"/>
    </row>
    <row r="7435" spans="1:2" x14ac:dyDescent="0.25">
      <c r="A7435" s="118"/>
      <c r="B7435" s="136"/>
    </row>
    <row r="7436" spans="1:2" x14ac:dyDescent="0.25">
      <c r="A7436" s="118"/>
      <c r="B7436" s="136"/>
    </row>
    <row r="7437" spans="1:2" x14ac:dyDescent="0.25">
      <c r="A7437" s="118"/>
      <c r="B7437" s="136"/>
    </row>
    <row r="7438" spans="1:2" x14ac:dyDescent="0.25">
      <c r="A7438" s="118"/>
      <c r="B7438" s="136"/>
    </row>
    <row r="7439" spans="1:2" x14ac:dyDescent="0.25">
      <c r="A7439" s="118"/>
      <c r="B7439" s="136"/>
    </row>
    <row r="7440" spans="1:2" x14ac:dyDescent="0.25">
      <c r="A7440" s="118"/>
      <c r="B7440" s="136"/>
    </row>
    <row r="7441" spans="1:2" x14ac:dyDescent="0.25">
      <c r="A7441" s="118"/>
      <c r="B7441" s="136"/>
    </row>
    <row r="7442" spans="1:2" x14ac:dyDescent="0.25">
      <c r="A7442" s="118"/>
      <c r="B7442" s="136"/>
    </row>
    <row r="7443" spans="1:2" x14ac:dyDescent="0.25">
      <c r="A7443" s="118"/>
      <c r="B7443" s="136"/>
    </row>
    <row r="7444" spans="1:2" x14ac:dyDescent="0.25">
      <c r="A7444" s="118"/>
      <c r="B7444" s="136"/>
    </row>
    <row r="7445" spans="1:2" x14ac:dyDescent="0.25">
      <c r="A7445" s="118"/>
      <c r="B7445" s="136"/>
    </row>
    <row r="7446" spans="1:2" x14ac:dyDescent="0.25">
      <c r="A7446" s="118"/>
      <c r="B7446" s="136"/>
    </row>
    <row r="7447" spans="1:2" x14ac:dyDescent="0.25">
      <c r="A7447" s="118"/>
      <c r="B7447" s="136"/>
    </row>
    <row r="7448" spans="1:2" x14ac:dyDescent="0.25">
      <c r="A7448" s="118"/>
      <c r="B7448" s="136"/>
    </row>
    <row r="7449" spans="1:2" x14ac:dyDescent="0.25">
      <c r="A7449" s="118"/>
      <c r="B7449" s="136"/>
    </row>
    <row r="7450" spans="1:2" x14ac:dyDescent="0.25">
      <c r="A7450" s="118"/>
      <c r="B7450" s="136"/>
    </row>
    <row r="7451" spans="1:2" x14ac:dyDescent="0.25">
      <c r="A7451" s="118"/>
      <c r="B7451" s="136"/>
    </row>
    <row r="7452" spans="1:2" x14ac:dyDescent="0.25">
      <c r="A7452" s="118"/>
      <c r="B7452" s="136"/>
    </row>
    <row r="7453" spans="1:2" x14ac:dyDescent="0.25">
      <c r="A7453" s="118"/>
      <c r="B7453" s="136"/>
    </row>
    <row r="7454" spans="1:2" x14ac:dyDescent="0.25">
      <c r="A7454" s="118"/>
      <c r="B7454" s="136"/>
    </row>
    <row r="7455" spans="1:2" x14ac:dyDescent="0.25">
      <c r="A7455" s="118"/>
      <c r="B7455" s="136"/>
    </row>
    <row r="7456" spans="1:2" x14ac:dyDescent="0.25">
      <c r="A7456" s="118"/>
      <c r="B7456" s="136"/>
    </row>
    <row r="7457" spans="1:2" x14ac:dyDescent="0.25">
      <c r="A7457" s="118"/>
      <c r="B7457" s="136"/>
    </row>
    <row r="7458" spans="1:2" x14ac:dyDescent="0.25">
      <c r="A7458" s="118"/>
      <c r="B7458" s="136"/>
    </row>
    <row r="7459" spans="1:2" x14ac:dyDescent="0.25">
      <c r="A7459" s="118"/>
      <c r="B7459" s="136"/>
    </row>
    <row r="7460" spans="1:2" x14ac:dyDescent="0.25">
      <c r="A7460" s="118"/>
      <c r="B7460" s="136"/>
    </row>
    <row r="7461" spans="1:2" x14ac:dyDescent="0.25">
      <c r="A7461" s="118"/>
      <c r="B7461" s="136"/>
    </row>
    <row r="7462" spans="1:2" x14ac:dyDescent="0.25">
      <c r="A7462" s="118"/>
      <c r="B7462" s="136"/>
    </row>
    <row r="7463" spans="1:2" x14ac:dyDescent="0.25">
      <c r="A7463" s="118"/>
      <c r="B7463" s="136"/>
    </row>
    <row r="7464" spans="1:2" x14ac:dyDescent="0.25">
      <c r="A7464" s="118"/>
      <c r="B7464" s="136"/>
    </row>
    <row r="7465" spans="1:2" x14ac:dyDescent="0.25">
      <c r="A7465" s="118"/>
      <c r="B7465" s="136"/>
    </row>
    <row r="7466" spans="1:2" x14ac:dyDescent="0.25">
      <c r="A7466" s="118"/>
      <c r="B7466" s="136"/>
    </row>
    <row r="7467" spans="1:2" x14ac:dyDescent="0.25">
      <c r="A7467" s="118"/>
      <c r="B7467" s="136"/>
    </row>
    <row r="7468" spans="1:2" x14ac:dyDescent="0.25">
      <c r="A7468" s="118"/>
      <c r="B7468" s="136"/>
    </row>
    <row r="7469" spans="1:2" x14ac:dyDescent="0.25">
      <c r="A7469" s="118"/>
      <c r="B7469" s="136"/>
    </row>
    <row r="7470" spans="1:2" x14ac:dyDescent="0.25">
      <c r="A7470" s="118"/>
      <c r="B7470" s="136"/>
    </row>
    <row r="7471" spans="1:2" x14ac:dyDescent="0.25">
      <c r="A7471" s="118"/>
      <c r="B7471" s="136"/>
    </row>
    <row r="7472" spans="1:2" x14ac:dyDescent="0.25">
      <c r="A7472" s="118"/>
      <c r="B7472" s="136"/>
    </row>
    <row r="7473" spans="1:2" x14ac:dyDescent="0.25">
      <c r="A7473" s="118"/>
      <c r="B7473" s="136"/>
    </row>
    <row r="7474" spans="1:2" x14ac:dyDescent="0.25">
      <c r="A7474" s="118"/>
      <c r="B7474" s="136"/>
    </row>
    <row r="7475" spans="1:2" x14ac:dyDescent="0.25">
      <c r="A7475" s="118"/>
      <c r="B7475" s="136"/>
    </row>
    <row r="7476" spans="1:2" x14ac:dyDescent="0.25">
      <c r="A7476" s="118"/>
      <c r="B7476" s="136"/>
    </row>
    <row r="7477" spans="1:2" x14ac:dyDescent="0.25">
      <c r="A7477" s="118"/>
      <c r="B7477" s="136"/>
    </row>
    <row r="7478" spans="1:2" x14ac:dyDescent="0.25">
      <c r="A7478" s="118"/>
      <c r="B7478" s="136"/>
    </row>
    <row r="7479" spans="1:2" x14ac:dyDescent="0.25">
      <c r="A7479" s="118"/>
      <c r="B7479" s="136"/>
    </row>
    <row r="7480" spans="1:2" x14ac:dyDescent="0.25">
      <c r="A7480" s="118"/>
      <c r="B7480" s="136"/>
    </row>
    <row r="7481" spans="1:2" x14ac:dyDescent="0.25">
      <c r="A7481" s="118"/>
      <c r="B7481" s="136"/>
    </row>
    <row r="7482" spans="1:2" x14ac:dyDescent="0.25">
      <c r="A7482" s="118"/>
      <c r="B7482" s="136"/>
    </row>
    <row r="7483" spans="1:2" x14ac:dyDescent="0.25">
      <c r="A7483" s="118"/>
      <c r="B7483" s="136"/>
    </row>
    <row r="7484" spans="1:2" x14ac:dyDescent="0.25">
      <c r="A7484" s="118"/>
      <c r="B7484" s="136"/>
    </row>
    <row r="7485" spans="1:2" x14ac:dyDescent="0.25">
      <c r="A7485" s="118"/>
      <c r="B7485" s="136"/>
    </row>
    <row r="7486" spans="1:2" x14ac:dyDescent="0.25">
      <c r="A7486" s="118"/>
      <c r="B7486" s="136"/>
    </row>
    <row r="7487" spans="1:2" x14ac:dyDescent="0.25">
      <c r="A7487" s="118"/>
      <c r="B7487" s="136"/>
    </row>
    <row r="7488" spans="1:2" x14ac:dyDescent="0.25">
      <c r="A7488" s="118"/>
      <c r="B7488" s="136"/>
    </row>
    <row r="7489" spans="1:2" x14ac:dyDescent="0.25">
      <c r="A7489" s="118"/>
      <c r="B7489" s="136"/>
    </row>
    <row r="7490" spans="1:2" x14ac:dyDescent="0.25">
      <c r="A7490" s="118"/>
      <c r="B7490" s="136"/>
    </row>
    <row r="7491" spans="1:2" x14ac:dyDescent="0.25">
      <c r="A7491" s="118"/>
      <c r="B7491" s="136"/>
    </row>
    <row r="7492" spans="1:2" x14ac:dyDescent="0.25">
      <c r="A7492" s="118"/>
      <c r="B7492" s="136"/>
    </row>
    <row r="7493" spans="1:2" x14ac:dyDescent="0.25">
      <c r="A7493" s="118"/>
      <c r="B7493" s="136"/>
    </row>
    <row r="7494" spans="1:2" x14ac:dyDescent="0.25">
      <c r="A7494" s="118"/>
      <c r="B7494" s="136"/>
    </row>
    <row r="7495" spans="1:2" x14ac:dyDescent="0.25">
      <c r="A7495" s="118"/>
      <c r="B7495" s="136"/>
    </row>
    <row r="7496" spans="1:2" x14ac:dyDescent="0.25">
      <c r="A7496" s="118"/>
      <c r="B7496" s="136"/>
    </row>
    <row r="7497" spans="1:2" x14ac:dyDescent="0.25">
      <c r="A7497" s="118"/>
      <c r="B7497" s="136"/>
    </row>
    <row r="7498" spans="1:2" x14ac:dyDescent="0.25">
      <c r="A7498" s="118"/>
      <c r="B7498" s="136"/>
    </row>
    <row r="7499" spans="1:2" x14ac:dyDescent="0.25">
      <c r="A7499" s="118"/>
      <c r="B7499" s="136"/>
    </row>
    <row r="7500" spans="1:2" x14ac:dyDescent="0.25">
      <c r="A7500" s="118"/>
      <c r="B7500" s="136"/>
    </row>
    <row r="7501" spans="1:2" x14ac:dyDescent="0.25">
      <c r="A7501" s="118"/>
      <c r="B7501" s="136"/>
    </row>
    <row r="7502" spans="1:2" x14ac:dyDescent="0.25">
      <c r="A7502" s="118"/>
      <c r="B7502" s="136"/>
    </row>
    <row r="7503" spans="1:2" x14ac:dyDescent="0.25">
      <c r="A7503" s="118"/>
      <c r="B7503" s="136"/>
    </row>
    <row r="7504" spans="1:2" x14ac:dyDescent="0.25">
      <c r="A7504" s="118"/>
      <c r="B7504" s="136"/>
    </row>
    <row r="7505" spans="1:2" x14ac:dyDescent="0.25">
      <c r="A7505" s="118"/>
      <c r="B7505" s="136"/>
    </row>
    <row r="7506" spans="1:2" x14ac:dyDescent="0.25">
      <c r="A7506" s="118"/>
      <c r="B7506" s="136"/>
    </row>
    <row r="7507" spans="1:2" x14ac:dyDescent="0.25">
      <c r="A7507" s="118"/>
      <c r="B7507" s="136"/>
    </row>
    <row r="7508" spans="1:2" x14ac:dyDescent="0.25">
      <c r="A7508" s="118"/>
      <c r="B7508" s="136"/>
    </row>
    <row r="7509" spans="1:2" x14ac:dyDescent="0.25">
      <c r="A7509" s="118"/>
      <c r="B7509" s="136"/>
    </row>
    <row r="7510" spans="1:2" x14ac:dyDescent="0.25">
      <c r="A7510" s="118"/>
      <c r="B7510" s="136"/>
    </row>
    <row r="7511" spans="1:2" x14ac:dyDescent="0.25">
      <c r="A7511" s="118"/>
      <c r="B7511" s="136"/>
    </row>
    <row r="7512" spans="1:2" x14ac:dyDescent="0.25">
      <c r="A7512" s="118"/>
      <c r="B7512" s="136"/>
    </row>
    <row r="7513" spans="1:2" x14ac:dyDescent="0.25">
      <c r="A7513" s="118"/>
      <c r="B7513" s="136"/>
    </row>
    <row r="7514" spans="1:2" x14ac:dyDescent="0.25">
      <c r="A7514" s="118"/>
      <c r="B7514" s="136"/>
    </row>
    <row r="7515" spans="1:2" x14ac:dyDescent="0.25">
      <c r="A7515" s="118"/>
      <c r="B7515" s="136"/>
    </row>
    <row r="7516" spans="1:2" x14ac:dyDescent="0.25">
      <c r="A7516" s="118"/>
      <c r="B7516" s="136"/>
    </row>
    <row r="7517" spans="1:2" x14ac:dyDescent="0.25">
      <c r="A7517" s="118"/>
      <c r="B7517" s="136"/>
    </row>
    <row r="7518" spans="1:2" x14ac:dyDescent="0.25">
      <c r="A7518" s="118"/>
      <c r="B7518" s="136"/>
    </row>
    <row r="7519" spans="1:2" x14ac:dyDescent="0.25">
      <c r="A7519" s="118"/>
      <c r="B7519" s="136"/>
    </row>
    <row r="7520" spans="1:2" x14ac:dyDescent="0.25">
      <c r="A7520" s="118"/>
      <c r="B7520" s="136"/>
    </row>
    <row r="7521" spans="1:2" x14ac:dyDescent="0.25">
      <c r="A7521" s="118"/>
      <c r="B7521" s="136"/>
    </row>
    <row r="7522" spans="1:2" x14ac:dyDescent="0.25">
      <c r="A7522" s="118"/>
      <c r="B7522" s="136"/>
    </row>
    <row r="7523" spans="1:2" x14ac:dyDescent="0.25">
      <c r="A7523" s="118"/>
      <c r="B7523" s="136"/>
    </row>
    <row r="7524" spans="1:2" x14ac:dyDescent="0.25">
      <c r="A7524" s="118"/>
      <c r="B7524" s="136"/>
    </row>
    <row r="7525" spans="1:2" x14ac:dyDescent="0.25">
      <c r="A7525" s="118"/>
      <c r="B7525" s="136"/>
    </row>
    <row r="7526" spans="1:2" x14ac:dyDescent="0.25">
      <c r="A7526" s="118"/>
      <c r="B7526" s="136"/>
    </row>
    <row r="7527" spans="1:2" x14ac:dyDescent="0.25">
      <c r="A7527" s="118"/>
      <c r="B7527" s="136"/>
    </row>
    <row r="7528" spans="1:2" x14ac:dyDescent="0.25">
      <c r="A7528" s="118"/>
      <c r="B7528" s="136"/>
    </row>
    <row r="7529" spans="1:2" x14ac:dyDescent="0.25">
      <c r="A7529" s="118"/>
      <c r="B7529" s="136"/>
    </row>
    <row r="7530" spans="1:2" x14ac:dyDescent="0.25">
      <c r="A7530" s="118"/>
      <c r="B7530" s="136"/>
    </row>
    <row r="7531" spans="1:2" x14ac:dyDescent="0.25">
      <c r="A7531" s="118"/>
      <c r="B7531" s="136"/>
    </row>
    <row r="7532" spans="1:2" x14ac:dyDescent="0.25">
      <c r="A7532" s="118"/>
      <c r="B7532" s="136"/>
    </row>
    <row r="7533" spans="1:2" x14ac:dyDescent="0.25">
      <c r="A7533" s="118"/>
      <c r="B7533" s="136"/>
    </row>
    <row r="7534" spans="1:2" x14ac:dyDescent="0.25">
      <c r="A7534" s="118"/>
      <c r="B7534" s="136"/>
    </row>
    <row r="7535" spans="1:2" x14ac:dyDescent="0.25">
      <c r="A7535" s="118"/>
      <c r="B7535" s="136"/>
    </row>
    <row r="7536" spans="1:2" x14ac:dyDescent="0.25">
      <c r="A7536" s="118"/>
      <c r="B7536" s="136"/>
    </row>
    <row r="7537" spans="1:2" x14ac:dyDescent="0.25">
      <c r="A7537" s="118"/>
      <c r="B7537" s="136"/>
    </row>
    <row r="7538" spans="1:2" x14ac:dyDescent="0.25">
      <c r="A7538" s="118"/>
      <c r="B7538" s="136"/>
    </row>
    <row r="7539" spans="1:2" x14ac:dyDescent="0.25">
      <c r="A7539" s="118"/>
      <c r="B7539" s="136"/>
    </row>
    <row r="7540" spans="1:2" x14ac:dyDescent="0.25">
      <c r="A7540" s="118"/>
      <c r="B7540" s="136"/>
    </row>
    <row r="7541" spans="1:2" x14ac:dyDescent="0.25">
      <c r="A7541" s="118"/>
      <c r="B7541" s="136"/>
    </row>
    <row r="7542" spans="1:2" x14ac:dyDescent="0.25">
      <c r="A7542" s="118"/>
      <c r="B7542" s="136"/>
    </row>
    <row r="7543" spans="1:2" x14ac:dyDescent="0.25">
      <c r="A7543" s="118"/>
      <c r="B7543" s="136"/>
    </row>
    <row r="7544" spans="1:2" x14ac:dyDescent="0.25">
      <c r="A7544" s="118"/>
      <c r="B7544" s="136"/>
    </row>
    <row r="7545" spans="1:2" x14ac:dyDescent="0.25">
      <c r="A7545" s="118"/>
      <c r="B7545" s="136"/>
    </row>
    <row r="7546" spans="1:2" x14ac:dyDescent="0.25">
      <c r="A7546" s="118"/>
      <c r="B7546" s="136"/>
    </row>
    <row r="7547" spans="1:2" x14ac:dyDescent="0.25">
      <c r="A7547" s="118"/>
      <c r="B7547" s="136"/>
    </row>
    <row r="7548" spans="1:2" x14ac:dyDescent="0.25">
      <c r="A7548" s="118"/>
      <c r="B7548" s="136"/>
    </row>
    <row r="7549" spans="1:2" x14ac:dyDescent="0.25">
      <c r="A7549" s="118"/>
      <c r="B7549" s="136"/>
    </row>
    <row r="7550" spans="1:2" x14ac:dyDescent="0.25">
      <c r="A7550" s="118"/>
      <c r="B7550" s="136"/>
    </row>
    <row r="7551" spans="1:2" x14ac:dyDescent="0.25">
      <c r="A7551" s="118"/>
      <c r="B7551" s="136"/>
    </row>
    <row r="7552" spans="1:2" x14ac:dyDescent="0.25">
      <c r="A7552" s="118"/>
      <c r="B7552" s="136"/>
    </row>
    <row r="7553" spans="1:2" x14ac:dyDescent="0.25">
      <c r="A7553" s="118"/>
      <c r="B7553" s="136"/>
    </row>
    <row r="7554" spans="1:2" x14ac:dyDescent="0.25">
      <c r="A7554" s="118"/>
      <c r="B7554" s="136"/>
    </row>
    <row r="7555" spans="1:2" x14ac:dyDescent="0.25">
      <c r="A7555" s="118"/>
      <c r="B7555" s="136"/>
    </row>
    <row r="7556" spans="1:2" x14ac:dyDescent="0.25">
      <c r="A7556" s="118"/>
      <c r="B7556" s="136"/>
    </row>
    <row r="7557" spans="1:2" x14ac:dyDescent="0.25">
      <c r="A7557" s="118"/>
      <c r="B7557" s="136"/>
    </row>
    <row r="7558" spans="1:2" x14ac:dyDescent="0.25">
      <c r="A7558" s="118"/>
      <c r="B7558" s="136"/>
    </row>
    <row r="7559" spans="1:2" x14ac:dyDescent="0.25">
      <c r="A7559" s="118"/>
      <c r="B7559" s="136"/>
    </row>
    <row r="7560" spans="1:2" x14ac:dyDescent="0.25">
      <c r="A7560" s="118"/>
      <c r="B7560" s="136"/>
    </row>
    <row r="7561" spans="1:2" x14ac:dyDescent="0.25">
      <c r="A7561" s="118"/>
      <c r="B7561" s="136"/>
    </row>
    <row r="7562" spans="1:2" x14ac:dyDescent="0.25">
      <c r="A7562" s="118"/>
      <c r="B7562" s="136"/>
    </row>
    <row r="7563" spans="1:2" x14ac:dyDescent="0.25">
      <c r="A7563" s="118"/>
      <c r="B7563" s="136"/>
    </row>
    <row r="7564" spans="1:2" x14ac:dyDescent="0.25">
      <c r="A7564" s="118"/>
      <c r="B7564" s="136"/>
    </row>
    <row r="7565" spans="1:2" x14ac:dyDescent="0.25">
      <c r="A7565" s="118"/>
      <c r="B7565" s="136"/>
    </row>
    <row r="7566" spans="1:2" x14ac:dyDescent="0.25">
      <c r="A7566" s="118"/>
      <c r="B7566" s="136"/>
    </row>
    <row r="7567" spans="1:2" x14ac:dyDescent="0.25">
      <c r="A7567" s="118"/>
      <c r="B7567" s="136"/>
    </row>
    <row r="7568" spans="1:2" x14ac:dyDescent="0.25">
      <c r="A7568" s="118"/>
      <c r="B7568" s="136"/>
    </row>
    <row r="7569" spans="1:2" x14ac:dyDescent="0.25">
      <c r="A7569" s="118"/>
      <c r="B7569" s="136"/>
    </row>
    <row r="7570" spans="1:2" x14ac:dyDescent="0.25">
      <c r="A7570" s="118"/>
      <c r="B7570" s="136"/>
    </row>
    <row r="7571" spans="1:2" x14ac:dyDescent="0.25">
      <c r="A7571" s="118"/>
      <c r="B7571" s="136"/>
    </row>
    <row r="7572" spans="1:2" x14ac:dyDescent="0.25">
      <c r="A7572" s="118"/>
      <c r="B7572" s="136"/>
    </row>
    <row r="7573" spans="1:2" x14ac:dyDescent="0.25">
      <c r="A7573" s="118"/>
      <c r="B7573" s="136"/>
    </row>
    <row r="7574" spans="1:2" x14ac:dyDescent="0.25">
      <c r="A7574" s="118"/>
      <c r="B7574" s="136"/>
    </row>
    <row r="7575" spans="1:2" x14ac:dyDescent="0.25">
      <c r="A7575" s="118"/>
      <c r="B7575" s="136"/>
    </row>
    <row r="7576" spans="1:2" x14ac:dyDescent="0.25">
      <c r="A7576" s="118"/>
      <c r="B7576" s="136"/>
    </row>
    <row r="7577" spans="1:2" x14ac:dyDescent="0.25">
      <c r="A7577" s="118"/>
      <c r="B7577" s="136"/>
    </row>
    <row r="7578" spans="1:2" x14ac:dyDescent="0.25">
      <c r="A7578" s="118"/>
      <c r="B7578" s="136"/>
    </row>
    <row r="7579" spans="1:2" x14ac:dyDescent="0.25">
      <c r="A7579" s="118"/>
      <c r="B7579" s="136"/>
    </row>
    <row r="7580" spans="1:2" x14ac:dyDescent="0.25">
      <c r="A7580" s="118"/>
      <c r="B7580" s="136"/>
    </row>
    <row r="7581" spans="1:2" x14ac:dyDescent="0.25">
      <c r="A7581" s="118"/>
      <c r="B7581" s="136"/>
    </row>
    <row r="7582" spans="1:2" x14ac:dyDescent="0.25">
      <c r="A7582" s="118"/>
      <c r="B7582" s="136"/>
    </row>
    <row r="7583" spans="1:2" x14ac:dyDescent="0.25">
      <c r="A7583" s="118"/>
      <c r="B7583" s="136"/>
    </row>
    <row r="7584" spans="1:2" x14ac:dyDescent="0.25">
      <c r="A7584" s="118"/>
      <c r="B7584" s="136"/>
    </row>
    <row r="7585" spans="1:2" x14ac:dyDescent="0.25">
      <c r="A7585" s="118"/>
      <c r="B7585" s="136"/>
    </row>
    <row r="7586" spans="1:2" x14ac:dyDescent="0.25">
      <c r="A7586" s="118"/>
      <c r="B7586" s="136"/>
    </row>
    <row r="7587" spans="1:2" x14ac:dyDescent="0.25">
      <c r="A7587" s="118"/>
      <c r="B7587" s="136"/>
    </row>
    <row r="7588" spans="1:2" x14ac:dyDescent="0.25">
      <c r="A7588" s="118"/>
      <c r="B7588" s="136"/>
    </row>
    <row r="7589" spans="1:2" x14ac:dyDescent="0.25">
      <c r="A7589" s="118"/>
      <c r="B7589" s="136"/>
    </row>
    <row r="7590" spans="1:2" x14ac:dyDescent="0.25">
      <c r="A7590" s="118"/>
      <c r="B7590" s="136"/>
    </row>
    <row r="7591" spans="1:2" x14ac:dyDescent="0.25">
      <c r="A7591" s="118"/>
      <c r="B7591" s="136"/>
    </row>
    <row r="7592" spans="1:2" x14ac:dyDescent="0.25">
      <c r="A7592" s="118"/>
      <c r="B7592" s="136"/>
    </row>
    <row r="7593" spans="1:2" x14ac:dyDescent="0.25">
      <c r="A7593" s="118"/>
      <c r="B7593" s="136"/>
    </row>
    <row r="7594" spans="1:2" x14ac:dyDescent="0.25">
      <c r="A7594" s="118"/>
      <c r="B7594" s="136"/>
    </row>
    <row r="7595" spans="1:2" x14ac:dyDescent="0.25">
      <c r="A7595" s="118"/>
      <c r="B7595" s="136"/>
    </row>
    <row r="7596" spans="1:2" x14ac:dyDescent="0.25">
      <c r="A7596" s="118"/>
      <c r="B7596" s="136"/>
    </row>
    <row r="7597" spans="1:2" x14ac:dyDescent="0.25">
      <c r="A7597" s="118"/>
      <c r="B7597" s="136"/>
    </row>
    <row r="7598" spans="1:2" x14ac:dyDescent="0.25">
      <c r="A7598" s="118"/>
      <c r="B7598" s="136"/>
    </row>
    <row r="7599" spans="1:2" x14ac:dyDescent="0.25">
      <c r="A7599" s="118"/>
      <c r="B7599" s="136"/>
    </row>
    <row r="7600" spans="1:2" x14ac:dyDescent="0.25">
      <c r="A7600" s="118"/>
      <c r="B7600" s="136"/>
    </row>
    <row r="7601" spans="1:2" x14ac:dyDescent="0.25">
      <c r="A7601" s="118"/>
      <c r="B7601" s="136"/>
    </row>
    <row r="7602" spans="1:2" x14ac:dyDescent="0.25">
      <c r="A7602" s="118"/>
      <c r="B7602" s="136"/>
    </row>
    <row r="7603" spans="1:2" x14ac:dyDescent="0.25">
      <c r="A7603" s="118"/>
      <c r="B7603" s="136"/>
    </row>
    <row r="7604" spans="1:2" x14ac:dyDescent="0.25">
      <c r="A7604" s="118"/>
      <c r="B7604" s="136"/>
    </row>
    <row r="7605" spans="1:2" x14ac:dyDescent="0.25">
      <c r="A7605" s="118"/>
      <c r="B7605" s="136"/>
    </row>
    <row r="7606" spans="1:2" x14ac:dyDescent="0.25">
      <c r="A7606" s="118"/>
      <c r="B7606" s="136"/>
    </row>
    <row r="7607" spans="1:2" x14ac:dyDescent="0.25">
      <c r="A7607" s="118"/>
      <c r="B7607" s="136"/>
    </row>
    <row r="7608" spans="1:2" x14ac:dyDescent="0.25">
      <c r="A7608" s="118"/>
      <c r="B7608" s="136"/>
    </row>
    <row r="7609" spans="1:2" x14ac:dyDescent="0.25">
      <c r="A7609" s="118"/>
      <c r="B7609" s="136"/>
    </row>
    <row r="7610" spans="1:2" x14ac:dyDescent="0.25">
      <c r="A7610" s="118"/>
      <c r="B7610" s="136"/>
    </row>
    <row r="7611" spans="1:2" x14ac:dyDescent="0.25">
      <c r="A7611" s="118"/>
      <c r="B7611" s="136"/>
    </row>
    <row r="7612" spans="1:2" x14ac:dyDescent="0.25">
      <c r="A7612" s="118"/>
      <c r="B7612" s="136"/>
    </row>
    <row r="7613" spans="1:2" x14ac:dyDescent="0.25">
      <c r="A7613" s="118"/>
      <c r="B7613" s="136"/>
    </row>
    <row r="7614" spans="1:2" x14ac:dyDescent="0.25">
      <c r="A7614" s="118"/>
      <c r="B7614" s="136"/>
    </row>
    <row r="7615" spans="1:2" x14ac:dyDescent="0.25">
      <c r="A7615" s="118"/>
      <c r="B7615" s="136"/>
    </row>
    <row r="7616" spans="1:2" x14ac:dyDescent="0.25">
      <c r="A7616" s="118"/>
      <c r="B7616" s="136"/>
    </row>
    <row r="7617" spans="1:2" x14ac:dyDescent="0.25">
      <c r="A7617" s="118"/>
      <c r="B7617" s="136"/>
    </row>
    <row r="7618" spans="1:2" x14ac:dyDescent="0.25">
      <c r="A7618" s="118"/>
      <c r="B7618" s="136"/>
    </row>
    <row r="7619" spans="1:2" x14ac:dyDescent="0.25">
      <c r="A7619" s="118"/>
      <c r="B7619" s="136"/>
    </row>
    <row r="7620" spans="1:2" x14ac:dyDescent="0.25">
      <c r="A7620" s="118"/>
      <c r="B7620" s="136"/>
    </row>
    <row r="7621" spans="1:2" x14ac:dyDescent="0.25">
      <c r="A7621" s="118"/>
      <c r="B7621" s="136"/>
    </row>
    <row r="7622" spans="1:2" x14ac:dyDescent="0.25">
      <c r="A7622" s="118"/>
      <c r="B7622" s="136"/>
    </row>
    <row r="7623" spans="1:2" x14ac:dyDescent="0.25">
      <c r="A7623" s="118"/>
      <c r="B7623" s="136"/>
    </row>
    <row r="7624" spans="1:2" x14ac:dyDescent="0.25">
      <c r="A7624" s="118"/>
      <c r="B7624" s="136"/>
    </row>
    <row r="7625" spans="1:2" x14ac:dyDescent="0.25">
      <c r="A7625" s="118"/>
      <c r="B7625" s="136"/>
    </row>
    <row r="7626" spans="1:2" x14ac:dyDescent="0.25">
      <c r="A7626" s="118"/>
      <c r="B7626" s="136"/>
    </row>
    <row r="7627" spans="1:2" x14ac:dyDescent="0.25">
      <c r="A7627" s="118"/>
      <c r="B7627" s="136"/>
    </row>
    <row r="7628" spans="1:2" x14ac:dyDescent="0.25">
      <c r="A7628" s="118"/>
      <c r="B7628" s="136"/>
    </row>
    <row r="7629" spans="1:2" x14ac:dyDescent="0.25">
      <c r="A7629" s="118"/>
      <c r="B7629" s="136"/>
    </row>
    <row r="7630" spans="1:2" x14ac:dyDescent="0.25">
      <c r="A7630" s="118"/>
      <c r="B7630" s="136"/>
    </row>
    <row r="7631" spans="1:2" x14ac:dyDescent="0.25">
      <c r="A7631" s="118"/>
      <c r="B7631" s="136"/>
    </row>
    <row r="7632" spans="1:2" x14ac:dyDescent="0.25">
      <c r="A7632" s="118"/>
      <c r="B7632" s="136"/>
    </row>
    <row r="7633" spans="1:2" x14ac:dyDescent="0.25">
      <c r="A7633" s="118"/>
      <c r="B7633" s="136"/>
    </row>
    <row r="7634" spans="1:2" x14ac:dyDescent="0.25">
      <c r="A7634" s="118"/>
      <c r="B7634" s="136"/>
    </row>
    <row r="7635" spans="1:2" x14ac:dyDescent="0.25">
      <c r="A7635" s="118"/>
      <c r="B7635" s="136"/>
    </row>
    <row r="7636" spans="1:2" x14ac:dyDescent="0.25">
      <c r="A7636" s="118"/>
      <c r="B7636" s="136"/>
    </row>
    <row r="7637" spans="1:2" x14ac:dyDescent="0.25">
      <c r="A7637" s="118"/>
      <c r="B7637" s="136"/>
    </row>
    <row r="7638" spans="1:2" x14ac:dyDescent="0.25">
      <c r="A7638" s="118"/>
      <c r="B7638" s="136"/>
    </row>
    <row r="7639" spans="1:2" x14ac:dyDescent="0.25">
      <c r="A7639" s="118"/>
      <c r="B7639" s="136"/>
    </row>
    <row r="7640" spans="1:2" x14ac:dyDescent="0.25">
      <c r="A7640" s="118"/>
      <c r="B7640" s="136"/>
    </row>
    <row r="7641" spans="1:2" x14ac:dyDescent="0.25">
      <c r="A7641" s="118"/>
      <c r="B7641" s="136"/>
    </row>
    <row r="7642" spans="1:2" x14ac:dyDescent="0.25">
      <c r="A7642" s="118"/>
      <c r="B7642" s="136"/>
    </row>
    <row r="7643" spans="1:2" x14ac:dyDescent="0.25">
      <c r="A7643" s="118"/>
      <c r="B7643" s="136"/>
    </row>
    <row r="7644" spans="1:2" x14ac:dyDescent="0.25">
      <c r="A7644" s="118"/>
      <c r="B7644" s="136"/>
    </row>
    <row r="7645" spans="1:2" x14ac:dyDescent="0.25">
      <c r="A7645" s="118"/>
      <c r="B7645" s="136"/>
    </row>
    <row r="7646" spans="1:2" x14ac:dyDescent="0.25">
      <c r="A7646" s="118"/>
      <c r="B7646" s="136"/>
    </row>
    <row r="7647" spans="1:2" x14ac:dyDescent="0.25">
      <c r="A7647" s="118"/>
      <c r="B7647" s="136"/>
    </row>
    <row r="7648" spans="1:2" x14ac:dyDescent="0.25">
      <c r="A7648" s="118"/>
      <c r="B7648" s="136"/>
    </row>
    <row r="7649" spans="1:2" x14ac:dyDescent="0.25">
      <c r="A7649" s="118"/>
      <c r="B7649" s="136"/>
    </row>
    <row r="7650" spans="1:2" x14ac:dyDescent="0.25">
      <c r="A7650" s="118"/>
      <c r="B7650" s="136"/>
    </row>
    <row r="7651" spans="1:2" x14ac:dyDescent="0.25">
      <c r="A7651" s="118"/>
      <c r="B7651" s="136"/>
    </row>
    <row r="7652" spans="1:2" x14ac:dyDescent="0.25">
      <c r="A7652" s="118"/>
      <c r="B7652" s="136"/>
    </row>
    <row r="7653" spans="1:2" x14ac:dyDescent="0.25">
      <c r="A7653" s="118"/>
      <c r="B7653" s="136"/>
    </row>
    <row r="7654" spans="1:2" x14ac:dyDescent="0.25">
      <c r="A7654" s="118"/>
      <c r="B7654" s="136"/>
    </row>
    <row r="7655" spans="1:2" x14ac:dyDescent="0.25">
      <c r="A7655" s="118"/>
      <c r="B7655" s="136"/>
    </row>
    <row r="7656" spans="1:2" x14ac:dyDescent="0.25">
      <c r="A7656" s="118"/>
      <c r="B7656" s="136"/>
    </row>
    <row r="7657" spans="1:2" x14ac:dyDescent="0.25">
      <c r="A7657" s="118"/>
      <c r="B7657" s="136"/>
    </row>
    <row r="7658" spans="1:2" x14ac:dyDescent="0.25">
      <c r="A7658" s="118"/>
      <c r="B7658" s="136"/>
    </row>
    <row r="7659" spans="1:2" x14ac:dyDescent="0.25">
      <c r="A7659" s="118"/>
      <c r="B7659" s="136"/>
    </row>
    <row r="7660" spans="1:2" x14ac:dyDescent="0.25">
      <c r="A7660" s="118"/>
      <c r="B7660" s="136"/>
    </row>
    <row r="7661" spans="1:2" x14ac:dyDescent="0.25">
      <c r="A7661" s="118"/>
      <c r="B7661" s="136"/>
    </row>
    <row r="7662" spans="1:2" x14ac:dyDescent="0.25">
      <c r="A7662" s="118"/>
      <c r="B7662" s="136"/>
    </row>
    <row r="7663" spans="1:2" x14ac:dyDescent="0.25">
      <c r="A7663" s="118"/>
      <c r="B7663" s="136"/>
    </row>
    <row r="7664" spans="1:2" x14ac:dyDescent="0.25">
      <c r="A7664" s="118"/>
      <c r="B7664" s="136"/>
    </row>
    <row r="7665" spans="1:2" x14ac:dyDescent="0.25">
      <c r="A7665" s="118"/>
      <c r="B7665" s="136"/>
    </row>
    <row r="7666" spans="1:2" x14ac:dyDescent="0.25">
      <c r="A7666" s="118"/>
      <c r="B7666" s="136"/>
    </row>
    <row r="7667" spans="1:2" x14ac:dyDescent="0.25">
      <c r="A7667" s="118"/>
      <c r="B7667" s="136"/>
    </row>
    <row r="7668" spans="1:2" x14ac:dyDescent="0.25">
      <c r="A7668" s="118"/>
      <c r="B7668" s="136"/>
    </row>
    <row r="7669" spans="1:2" x14ac:dyDescent="0.25">
      <c r="A7669" s="118"/>
      <c r="B7669" s="136"/>
    </row>
    <row r="7670" spans="1:2" x14ac:dyDescent="0.25">
      <c r="A7670" s="118"/>
      <c r="B7670" s="136"/>
    </row>
    <row r="7671" spans="1:2" x14ac:dyDescent="0.25">
      <c r="A7671" s="118"/>
      <c r="B7671" s="136"/>
    </row>
    <row r="7672" spans="1:2" x14ac:dyDescent="0.25">
      <c r="A7672" s="118"/>
      <c r="B7672" s="136"/>
    </row>
    <row r="7673" spans="1:2" x14ac:dyDescent="0.25">
      <c r="A7673" s="118"/>
      <c r="B7673" s="136"/>
    </row>
    <row r="7674" spans="1:2" x14ac:dyDescent="0.25">
      <c r="A7674" s="118"/>
      <c r="B7674" s="136"/>
    </row>
    <row r="7675" spans="1:2" x14ac:dyDescent="0.25">
      <c r="A7675" s="118"/>
      <c r="B7675" s="136"/>
    </row>
    <row r="7676" spans="1:2" x14ac:dyDescent="0.25">
      <c r="A7676" s="118"/>
      <c r="B7676" s="136"/>
    </row>
    <row r="7677" spans="1:2" x14ac:dyDescent="0.25">
      <c r="A7677" s="118"/>
      <c r="B7677" s="136"/>
    </row>
    <row r="7678" spans="1:2" x14ac:dyDescent="0.25">
      <c r="A7678" s="118"/>
      <c r="B7678" s="136"/>
    </row>
    <row r="7679" spans="1:2" x14ac:dyDescent="0.25">
      <c r="A7679" s="118"/>
      <c r="B7679" s="136"/>
    </row>
    <row r="7680" spans="1:2" x14ac:dyDescent="0.25">
      <c r="A7680" s="118"/>
      <c r="B7680" s="136"/>
    </row>
    <row r="7681" spans="1:2" x14ac:dyDescent="0.25">
      <c r="A7681" s="118"/>
      <c r="B7681" s="136"/>
    </row>
    <row r="7682" spans="1:2" x14ac:dyDescent="0.25">
      <c r="A7682" s="118"/>
      <c r="B7682" s="136"/>
    </row>
    <row r="7683" spans="1:2" x14ac:dyDescent="0.25">
      <c r="A7683" s="118"/>
      <c r="B7683" s="136"/>
    </row>
    <row r="7684" spans="1:2" x14ac:dyDescent="0.25">
      <c r="A7684" s="118"/>
      <c r="B7684" s="136"/>
    </row>
    <row r="7685" spans="1:2" x14ac:dyDescent="0.25">
      <c r="A7685" s="118"/>
      <c r="B7685" s="136"/>
    </row>
    <row r="7686" spans="1:2" x14ac:dyDescent="0.25">
      <c r="A7686" s="118"/>
      <c r="B7686" s="136"/>
    </row>
    <row r="7687" spans="1:2" x14ac:dyDescent="0.25">
      <c r="A7687" s="118"/>
      <c r="B7687" s="136"/>
    </row>
    <row r="7688" spans="1:2" x14ac:dyDescent="0.25">
      <c r="A7688" s="118"/>
      <c r="B7688" s="136"/>
    </row>
    <row r="7689" spans="1:2" x14ac:dyDescent="0.25">
      <c r="A7689" s="118"/>
      <c r="B7689" s="136"/>
    </row>
    <row r="7690" spans="1:2" x14ac:dyDescent="0.25">
      <c r="A7690" s="118"/>
      <c r="B7690" s="136"/>
    </row>
    <row r="7691" spans="1:2" x14ac:dyDescent="0.25">
      <c r="A7691" s="118"/>
      <c r="B7691" s="136"/>
    </row>
    <row r="7692" spans="1:2" x14ac:dyDescent="0.25">
      <c r="A7692" s="118"/>
      <c r="B7692" s="136"/>
    </row>
    <row r="7693" spans="1:2" x14ac:dyDescent="0.25">
      <c r="A7693" s="118"/>
      <c r="B7693" s="136"/>
    </row>
    <row r="7694" spans="1:2" x14ac:dyDescent="0.25">
      <c r="A7694" s="118"/>
      <c r="B7694" s="136"/>
    </row>
    <row r="7695" spans="1:2" x14ac:dyDescent="0.25">
      <c r="A7695" s="118"/>
      <c r="B7695" s="136"/>
    </row>
    <row r="7696" spans="1:2" x14ac:dyDescent="0.25">
      <c r="A7696" s="118"/>
      <c r="B7696" s="136"/>
    </row>
    <row r="7697" spans="1:2" x14ac:dyDescent="0.25">
      <c r="A7697" s="118"/>
      <c r="B7697" s="136"/>
    </row>
    <row r="7698" spans="1:2" x14ac:dyDescent="0.25">
      <c r="A7698" s="118"/>
      <c r="B7698" s="136"/>
    </row>
    <row r="7699" spans="1:2" x14ac:dyDescent="0.25">
      <c r="A7699" s="118"/>
      <c r="B7699" s="136"/>
    </row>
    <row r="7700" spans="1:2" x14ac:dyDescent="0.25">
      <c r="A7700" s="118"/>
      <c r="B7700" s="136"/>
    </row>
    <row r="7701" spans="1:2" x14ac:dyDescent="0.25">
      <c r="A7701" s="118"/>
      <c r="B7701" s="136"/>
    </row>
    <row r="7702" spans="1:2" x14ac:dyDescent="0.25">
      <c r="A7702" s="118"/>
      <c r="B7702" s="136"/>
    </row>
    <row r="7703" spans="1:2" x14ac:dyDescent="0.25">
      <c r="A7703" s="118"/>
      <c r="B7703" s="136"/>
    </row>
    <row r="7704" spans="1:2" x14ac:dyDescent="0.25">
      <c r="A7704" s="118"/>
      <c r="B7704" s="136"/>
    </row>
    <row r="7705" spans="1:2" x14ac:dyDescent="0.25">
      <c r="A7705" s="118"/>
      <c r="B7705" s="136"/>
    </row>
    <row r="7706" spans="1:2" x14ac:dyDescent="0.25">
      <c r="A7706" s="118"/>
      <c r="B7706" s="136"/>
    </row>
    <row r="7707" spans="1:2" x14ac:dyDescent="0.25">
      <c r="A7707" s="118"/>
      <c r="B7707" s="136"/>
    </row>
    <row r="7708" spans="1:2" x14ac:dyDescent="0.25">
      <c r="A7708" s="118"/>
      <c r="B7708" s="136"/>
    </row>
    <row r="7709" spans="1:2" x14ac:dyDescent="0.25">
      <c r="A7709" s="118"/>
      <c r="B7709" s="136"/>
    </row>
    <row r="7710" spans="1:2" x14ac:dyDescent="0.25">
      <c r="A7710" s="118"/>
      <c r="B7710" s="136"/>
    </row>
    <row r="7711" spans="1:2" x14ac:dyDescent="0.25">
      <c r="A7711" s="118"/>
      <c r="B7711" s="136"/>
    </row>
    <row r="7712" spans="1:2" x14ac:dyDescent="0.25">
      <c r="A7712" s="118"/>
      <c r="B7712" s="136"/>
    </row>
    <row r="7713" spans="1:2" x14ac:dyDescent="0.25">
      <c r="A7713" s="118"/>
      <c r="B7713" s="136"/>
    </row>
    <row r="7714" spans="1:2" x14ac:dyDescent="0.25">
      <c r="A7714" s="118"/>
      <c r="B7714" s="136"/>
    </row>
    <row r="7715" spans="1:2" x14ac:dyDescent="0.25">
      <c r="A7715" s="118"/>
      <c r="B7715" s="136"/>
    </row>
    <row r="7716" spans="1:2" x14ac:dyDescent="0.25">
      <c r="A7716" s="118"/>
      <c r="B7716" s="136"/>
    </row>
    <row r="7717" spans="1:2" x14ac:dyDescent="0.25">
      <c r="A7717" s="118"/>
      <c r="B7717" s="136"/>
    </row>
    <row r="7718" spans="1:2" x14ac:dyDescent="0.25">
      <c r="A7718" s="118"/>
      <c r="B7718" s="136"/>
    </row>
    <row r="7719" spans="1:2" x14ac:dyDescent="0.25">
      <c r="A7719" s="118"/>
      <c r="B7719" s="136"/>
    </row>
    <row r="7720" spans="1:2" x14ac:dyDescent="0.25">
      <c r="A7720" s="118"/>
      <c r="B7720" s="136"/>
    </row>
    <row r="7721" spans="1:2" x14ac:dyDescent="0.25">
      <c r="A7721" s="118"/>
      <c r="B7721" s="136"/>
    </row>
    <row r="7722" spans="1:2" x14ac:dyDescent="0.25">
      <c r="A7722" s="118"/>
      <c r="B7722" s="136"/>
    </row>
    <row r="7723" spans="1:2" x14ac:dyDescent="0.25">
      <c r="A7723" s="118"/>
      <c r="B7723" s="136"/>
    </row>
    <row r="7724" spans="1:2" x14ac:dyDescent="0.25">
      <c r="A7724" s="118"/>
      <c r="B7724" s="136"/>
    </row>
    <row r="7725" spans="1:2" x14ac:dyDescent="0.25">
      <c r="A7725" s="118"/>
      <c r="B7725" s="136"/>
    </row>
    <row r="7726" spans="1:2" x14ac:dyDescent="0.25">
      <c r="A7726" s="118"/>
      <c r="B7726" s="136"/>
    </row>
    <row r="7727" spans="1:2" x14ac:dyDescent="0.25">
      <c r="A7727" s="118"/>
      <c r="B7727" s="136"/>
    </row>
    <row r="7728" spans="1:2" x14ac:dyDescent="0.25">
      <c r="A7728" s="118"/>
      <c r="B7728" s="136"/>
    </row>
    <row r="7729" spans="1:2" x14ac:dyDescent="0.25">
      <c r="A7729" s="118"/>
      <c r="B7729" s="136"/>
    </row>
    <row r="7730" spans="1:2" x14ac:dyDescent="0.25">
      <c r="A7730" s="118"/>
      <c r="B7730" s="136"/>
    </row>
    <row r="7731" spans="1:2" x14ac:dyDescent="0.25">
      <c r="A7731" s="118"/>
      <c r="B7731" s="136"/>
    </row>
    <row r="7732" spans="1:2" x14ac:dyDescent="0.25">
      <c r="A7732" s="118"/>
      <c r="B7732" s="136"/>
    </row>
    <row r="7733" spans="1:2" x14ac:dyDescent="0.25">
      <c r="A7733" s="118"/>
      <c r="B7733" s="136"/>
    </row>
    <row r="7734" spans="1:2" x14ac:dyDescent="0.25">
      <c r="A7734" s="118"/>
      <c r="B7734" s="136"/>
    </row>
    <row r="7735" spans="1:2" x14ac:dyDescent="0.25">
      <c r="A7735" s="118"/>
      <c r="B7735" s="136"/>
    </row>
    <row r="7736" spans="1:2" x14ac:dyDescent="0.25">
      <c r="A7736" s="118"/>
      <c r="B7736" s="136"/>
    </row>
    <row r="7737" spans="1:2" x14ac:dyDescent="0.25">
      <c r="A7737" s="118"/>
      <c r="B7737" s="136"/>
    </row>
    <row r="7738" spans="1:2" x14ac:dyDescent="0.25">
      <c r="A7738" s="118"/>
      <c r="B7738" s="136"/>
    </row>
    <row r="7739" spans="1:2" x14ac:dyDescent="0.25">
      <c r="A7739" s="118"/>
      <c r="B7739" s="136"/>
    </row>
    <row r="7740" spans="1:2" x14ac:dyDescent="0.25">
      <c r="A7740" s="118"/>
      <c r="B7740" s="136"/>
    </row>
    <row r="7741" spans="1:2" x14ac:dyDescent="0.25">
      <c r="A7741" s="118"/>
      <c r="B7741" s="136"/>
    </row>
    <row r="7742" spans="1:2" x14ac:dyDescent="0.25">
      <c r="A7742" s="118"/>
      <c r="B7742" s="136"/>
    </row>
    <row r="7743" spans="1:2" x14ac:dyDescent="0.25">
      <c r="A7743" s="118"/>
      <c r="B7743" s="136"/>
    </row>
    <row r="7744" spans="1:2" x14ac:dyDescent="0.25">
      <c r="A7744" s="118"/>
      <c r="B7744" s="136"/>
    </row>
    <row r="7745" spans="1:2" x14ac:dyDescent="0.25">
      <c r="A7745" s="118"/>
      <c r="B7745" s="136"/>
    </row>
    <row r="7746" spans="1:2" x14ac:dyDescent="0.25">
      <c r="A7746" s="118"/>
      <c r="B7746" s="136"/>
    </row>
    <row r="7747" spans="1:2" x14ac:dyDescent="0.25">
      <c r="A7747" s="118"/>
      <c r="B7747" s="136"/>
    </row>
    <row r="7748" spans="1:2" x14ac:dyDescent="0.25">
      <c r="A7748" s="118"/>
      <c r="B7748" s="136"/>
    </row>
    <row r="7749" spans="1:2" x14ac:dyDescent="0.25">
      <c r="A7749" s="118"/>
      <c r="B7749" s="136"/>
    </row>
    <row r="7750" spans="1:2" x14ac:dyDescent="0.25">
      <c r="A7750" s="118"/>
      <c r="B7750" s="136"/>
    </row>
    <row r="7751" spans="1:2" x14ac:dyDescent="0.25">
      <c r="A7751" s="118"/>
      <c r="B7751" s="136"/>
    </row>
    <row r="7752" spans="1:2" x14ac:dyDescent="0.25">
      <c r="A7752" s="118"/>
      <c r="B7752" s="136"/>
    </row>
    <row r="7753" spans="1:2" x14ac:dyDescent="0.25">
      <c r="A7753" s="118"/>
      <c r="B7753" s="136"/>
    </row>
    <row r="7754" spans="1:2" x14ac:dyDescent="0.25">
      <c r="A7754" s="118"/>
      <c r="B7754" s="136"/>
    </row>
    <row r="7755" spans="1:2" x14ac:dyDescent="0.25">
      <c r="A7755" s="118"/>
      <c r="B7755" s="136"/>
    </row>
    <row r="7756" spans="1:2" x14ac:dyDescent="0.25">
      <c r="A7756" s="118"/>
      <c r="B7756" s="136"/>
    </row>
    <row r="7757" spans="1:2" x14ac:dyDescent="0.25">
      <c r="A7757" s="118"/>
      <c r="B7757" s="136"/>
    </row>
    <row r="7758" spans="1:2" x14ac:dyDescent="0.25">
      <c r="A7758" s="118"/>
      <c r="B7758" s="136"/>
    </row>
    <row r="7759" spans="1:2" x14ac:dyDescent="0.25">
      <c r="A7759" s="118"/>
      <c r="B7759" s="136"/>
    </row>
    <row r="7760" spans="1:2" x14ac:dyDescent="0.25">
      <c r="A7760" s="118"/>
      <c r="B7760" s="136"/>
    </row>
    <row r="7761" spans="1:2" x14ac:dyDescent="0.25">
      <c r="A7761" s="118"/>
      <c r="B7761" s="136"/>
    </row>
    <row r="7762" spans="1:2" x14ac:dyDescent="0.25">
      <c r="A7762" s="118"/>
      <c r="B7762" s="136"/>
    </row>
    <row r="7763" spans="1:2" x14ac:dyDescent="0.25">
      <c r="A7763" s="118"/>
      <c r="B7763" s="136"/>
    </row>
    <row r="7764" spans="1:2" x14ac:dyDescent="0.25">
      <c r="A7764" s="118"/>
      <c r="B7764" s="136"/>
    </row>
    <row r="7765" spans="1:2" x14ac:dyDescent="0.25">
      <c r="A7765" s="118"/>
      <c r="B7765" s="136"/>
    </row>
    <row r="7766" spans="1:2" x14ac:dyDescent="0.25">
      <c r="A7766" s="118"/>
      <c r="B7766" s="136"/>
    </row>
    <row r="7767" spans="1:2" x14ac:dyDescent="0.25">
      <c r="A7767" s="118"/>
      <c r="B7767" s="136"/>
    </row>
    <row r="7768" spans="1:2" x14ac:dyDescent="0.25">
      <c r="A7768" s="118"/>
      <c r="B7768" s="136"/>
    </row>
    <row r="7769" spans="1:2" x14ac:dyDescent="0.25">
      <c r="A7769" s="118"/>
      <c r="B7769" s="136"/>
    </row>
    <row r="7770" spans="1:2" x14ac:dyDescent="0.25">
      <c r="A7770" s="118"/>
      <c r="B7770" s="136"/>
    </row>
    <row r="7771" spans="1:2" x14ac:dyDescent="0.25">
      <c r="A7771" s="118"/>
      <c r="B7771" s="136"/>
    </row>
    <row r="7772" spans="1:2" x14ac:dyDescent="0.25">
      <c r="A7772" s="118"/>
      <c r="B7772" s="136"/>
    </row>
    <row r="7773" spans="1:2" x14ac:dyDescent="0.25">
      <c r="A7773" s="118"/>
      <c r="B7773" s="136"/>
    </row>
    <row r="7774" spans="1:2" x14ac:dyDescent="0.25">
      <c r="A7774" s="118"/>
      <c r="B7774" s="136"/>
    </row>
    <row r="7775" spans="1:2" x14ac:dyDescent="0.25">
      <c r="A7775" s="118"/>
      <c r="B7775" s="136"/>
    </row>
    <row r="7776" spans="1:2" x14ac:dyDescent="0.25">
      <c r="A7776" s="118"/>
      <c r="B7776" s="136"/>
    </row>
    <row r="7777" spans="1:2" x14ac:dyDescent="0.25">
      <c r="A7777" s="118"/>
      <c r="B7777" s="136"/>
    </row>
    <row r="7778" spans="1:2" x14ac:dyDescent="0.25">
      <c r="A7778" s="118"/>
      <c r="B7778" s="136"/>
    </row>
    <row r="7779" spans="1:2" x14ac:dyDescent="0.25">
      <c r="A7779" s="118"/>
      <c r="B7779" s="136"/>
    </row>
    <row r="7780" spans="1:2" x14ac:dyDescent="0.25">
      <c r="A7780" s="118"/>
      <c r="B7780" s="136"/>
    </row>
    <row r="7781" spans="1:2" x14ac:dyDescent="0.25">
      <c r="A7781" s="118"/>
      <c r="B7781" s="136"/>
    </row>
    <row r="7782" spans="1:2" x14ac:dyDescent="0.25">
      <c r="A7782" s="118"/>
      <c r="B7782" s="136"/>
    </row>
    <row r="7783" spans="1:2" x14ac:dyDescent="0.25">
      <c r="A7783" s="118"/>
      <c r="B7783" s="136"/>
    </row>
    <row r="7784" spans="1:2" x14ac:dyDescent="0.25">
      <c r="A7784" s="118"/>
      <c r="B7784" s="136"/>
    </row>
    <row r="7785" spans="1:2" x14ac:dyDescent="0.25">
      <c r="A7785" s="118"/>
      <c r="B7785" s="136"/>
    </row>
    <row r="7786" spans="1:2" x14ac:dyDescent="0.25">
      <c r="A7786" s="118"/>
      <c r="B7786" s="136"/>
    </row>
    <row r="7787" spans="1:2" x14ac:dyDescent="0.25">
      <c r="A7787" s="118"/>
      <c r="B7787" s="136"/>
    </row>
    <row r="7788" spans="1:2" x14ac:dyDescent="0.25">
      <c r="A7788" s="118"/>
      <c r="B7788" s="136"/>
    </row>
    <row r="7789" spans="1:2" x14ac:dyDescent="0.25">
      <c r="A7789" s="118"/>
      <c r="B7789" s="136"/>
    </row>
    <row r="7790" spans="1:2" x14ac:dyDescent="0.25">
      <c r="A7790" s="118"/>
      <c r="B7790" s="136"/>
    </row>
    <row r="7791" spans="1:2" x14ac:dyDescent="0.25">
      <c r="A7791" s="118"/>
      <c r="B7791" s="136"/>
    </row>
    <row r="7792" spans="1:2" x14ac:dyDescent="0.25">
      <c r="A7792" s="118"/>
      <c r="B7792" s="136"/>
    </row>
    <row r="7793" spans="1:2" x14ac:dyDescent="0.25">
      <c r="A7793" s="118"/>
      <c r="B7793" s="136"/>
    </row>
    <row r="7794" spans="1:2" x14ac:dyDescent="0.25">
      <c r="A7794" s="118"/>
      <c r="B7794" s="136"/>
    </row>
    <row r="7795" spans="1:2" x14ac:dyDescent="0.25">
      <c r="A7795" s="118"/>
      <c r="B7795" s="136"/>
    </row>
    <row r="7796" spans="1:2" x14ac:dyDescent="0.25">
      <c r="A7796" s="118"/>
      <c r="B7796" s="136"/>
    </row>
    <row r="7797" spans="1:2" x14ac:dyDescent="0.25">
      <c r="A7797" s="118"/>
      <c r="B7797" s="136"/>
    </row>
    <row r="7798" spans="1:2" x14ac:dyDescent="0.25">
      <c r="A7798" s="118"/>
      <c r="B7798" s="136"/>
    </row>
    <row r="7799" spans="1:2" x14ac:dyDescent="0.25">
      <c r="A7799" s="118"/>
      <c r="B7799" s="136"/>
    </row>
    <row r="7800" spans="1:2" x14ac:dyDescent="0.25">
      <c r="A7800" s="118"/>
      <c r="B7800" s="136"/>
    </row>
    <row r="7801" spans="1:2" x14ac:dyDescent="0.25">
      <c r="A7801" s="118"/>
      <c r="B7801" s="136"/>
    </row>
    <row r="7802" spans="1:2" x14ac:dyDescent="0.25">
      <c r="A7802" s="118"/>
      <c r="B7802" s="136"/>
    </row>
    <row r="7803" spans="1:2" x14ac:dyDescent="0.25">
      <c r="A7803" s="118"/>
      <c r="B7803" s="136"/>
    </row>
    <row r="7804" spans="1:2" x14ac:dyDescent="0.25">
      <c r="A7804" s="118"/>
      <c r="B7804" s="136"/>
    </row>
    <row r="7805" spans="1:2" x14ac:dyDescent="0.25">
      <c r="A7805" s="118"/>
      <c r="B7805" s="136"/>
    </row>
    <row r="7806" spans="1:2" x14ac:dyDescent="0.25">
      <c r="A7806" s="118"/>
      <c r="B7806" s="136"/>
    </row>
    <row r="7807" spans="1:2" x14ac:dyDescent="0.25">
      <c r="A7807" s="118"/>
      <c r="B7807" s="136"/>
    </row>
    <row r="7808" spans="1:2" x14ac:dyDescent="0.25">
      <c r="A7808" s="118"/>
      <c r="B7808" s="136"/>
    </row>
    <row r="7809" spans="1:2" x14ac:dyDescent="0.25">
      <c r="A7809" s="118"/>
      <c r="B7809" s="136"/>
    </row>
    <row r="7810" spans="1:2" x14ac:dyDescent="0.25">
      <c r="A7810" s="118"/>
      <c r="B7810" s="136"/>
    </row>
    <row r="7811" spans="1:2" x14ac:dyDescent="0.25">
      <c r="A7811" s="118"/>
      <c r="B7811" s="136"/>
    </row>
    <row r="7812" spans="1:2" x14ac:dyDescent="0.25">
      <c r="A7812" s="118"/>
      <c r="B7812" s="136"/>
    </row>
    <row r="7813" spans="1:2" x14ac:dyDescent="0.25">
      <c r="A7813" s="118"/>
      <c r="B7813" s="136"/>
    </row>
    <row r="7814" spans="1:2" x14ac:dyDescent="0.25">
      <c r="A7814" s="118"/>
      <c r="B7814" s="136"/>
    </row>
    <row r="7815" spans="1:2" x14ac:dyDescent="0.25">
      <c r="A7815" s="118"/>
      <c r="B7815" s="136"/>
    </row>
    <row r="7816" spans="1:2" x14ac:dyDescent="0.25">
      <c r="A7816" s="118"/>
      <c r="B7816" s="136"/>
    </row>
    <row r="7817" spans="1:2" x14ac:dyDescent="0.25">
      <c r="A7817" s="118"/>
      <c r="B7817" s="136"/>
    </row>
    <row r="7818" spans="1:2" x14ac:dyDescent="0.25">
      <c r="A7818" s="118"/>
      <c r="B7818" s="136"/>
    </row>
    <row r="7819" spans="1:2" x14ac:dyDescent="0.25">
      <c r="A7819" s="118"/>
      <c r="B7819" s="136"/>
    </row>
    <row r="7820" spans="1:2" x14ac:dyDescent="0.25">
      <c r="A7820" s="118"/>
      <c r="B7820" s="136"/>
    </row>
    <row r="7821" spans="1:2" x14ac:dyDescent="0.25">
      <c r="A7821" s="118"/>
      <c r="B7821" s="136"/>
    </row>
    <row r="7822" spans="1:2" x14ac:dyDescent="0.25">
      <c r="A7822" s="118"/>
      <c r="B7822" s="136"/>
    </row>
    <row r="7823" spans="1:2" x14ac:dyDescent="0.25">
      <c r="A7823" s="118"/>
      <c r="B7823" s="136"/>
    </row>
    <row r="7824" spans="1:2" x14ac:dyDescent="0.25">
      <c r="A7824" s="118"/>
      <c r="B7824" s="136"/>
    </row>
    <row r="7825" spans="1:2" x14ac:dyDescent="0.25">
      <c r="A7825" s="118"/>
      <c r="B7825" s="136"/>
    </row>
    <row r="7826" spans="1:2" x14ac:dyDescent="0.25">
      <c r="A7826" s="118"/>
      <c r="B7826" s="136"/>
    </row>
    <row r="7827" spans="1:2" x14ac:dyDescent="0.25">
      <c r="A7827" s="118"/>
      <c r="B7827" s="136"/>
    </row>
    <row r="7828" spans="1:2" x14ac:dyDescent="0.25">
      <c r="A7828" s="118"/>
      <c r="B7828" s="136"/>
    </row>
    <row r="7829" spans="1:2" x14ac:dyDescent="0.25">
      <c r="A7829" s="118"/>
      <c r="B7829" s="136"/>
    </row>
    <row r="7830" spans="1:2" x14ac:dyDescent="0.25">
      <c r="A7830" s="118"/>
      <c r="B7830" s="136"/>
    </row>
    <row r="7831" spans="1:2" x14ac:dyDescent="0.25">
      <c r="A7831" s="118"/>
      <c r="B7831" s="136"/>
    </row>
    <row r="7832" spans="1:2" x14ac:dyDescent="0.25">
      <c r="A7832" s="118"/>
      <c r="B7832" s="136"/>
    </row>
    <row r="7833" spans="1:2" x14ac:dyDescent="0.25">
      <c r="A7833" s="118"/>
      <c r="B7833" s="136"/>
    </row>
    <row r="7834" spans="1:2" x14ac:dyDescent="0.25">
      <c r="A7834" s="118"/>
      <c r="B7834" s="136"/>
    </row>
    <row r="7835" spans="1:2" x14ac:dyDescent="0.25">
      <c r="A7835" s="118"/>
      <c r="B7835" s="136"/>
    </row>
    <row r="7836" spans="1:2" x14ac:dyDescent="0.25">
      <c r="A7836" s="118"/>
      <c r="B7836" s="136"/>
    </row>
    <row r="7837" spans="1:2" x14ac:dyDescent="0.25">
      <c r="A7837" s="118"/>
      <c r="B7837" s="136"/>
    </row>
    <row r="7838" spans="1:2" x14ac:dyDescent="0.25">
      <c r="A7838" s="118"/>
      <c r="B7838" s="136"/>
    </row>
    <row r="7839" spans="1:2" x14ac:dyDescent="0.25">
      <c r="A7839" s="118"/>
      <c r="B7839" s="136"/>
    </row>
    <row r="7840" spans="1:2" x14ac:dyDescent="0.25">
      <c r="A7840" s="118"/>
      <c r="B7840" s="136"/>
    </row>
    <row r="7841" spans="1:2" x14ac:dyDescent="0.25">
      <c r="A7841" s="118"/>
      <c r="B7841" s="136"/>
    </row>
    <row r="7842" spans="1:2" x14ac:dyDescent="0.25">
      <c r="A7842" s="118"/>
      <c r="B7842" s="136"/>
    </row>
    <row r="7843" spans="1:2" x14ac:dyDescent="0.25">
      <c r="A7843" s="118"/>
      <c r="B7843" s="136"/>
    </row>
    <row r="7844" spans="1:2" x14ac:dyDescent="0.25">
      <c r="A7844" s="118"/>
      <c r="B7844" s="136"/>
    </row>
    <row r="7845" spans="1:2" x14ac:dyDescent="0.25">
      <c r="A7845" s="118"/>
      <c r="B7845" s="136"/>
    </row>
    <row r="7846" spans="1:2" x14ac:dyDescent="0.25">
      <c r="A7846" s="118"/>
      <c r="B7846" s="136"/>
    </row>
    <row r="7847" spans="1:2" x14ac:dyDescent="0.25">
      <c r="A7847" s="118"/>
      <c r="B7847" s="136"/>
    </row>
    <row r="7848" spans="1:2" x14ac:dyDescent="0.25">
      <c r="A7848" s="118"/>
      <c r="B7848" s="136"/>
    </row>
    <row r="7849" spans="1:2" x14ac:dyDescent="0.25">
      <c r="A7849" s="118"/>
      <c r="B7849" s="136"/>
    </row>
    <row r="7850" spans="1:2" x14ac:dyDescent="0.25">
      <c r="A7850" s="118"/>
      <c r="B7850" s="136"/>
    </row>
    <row r="7851" spans="1:2" x14ac:dyDescent="0.25">
      <c r="A7851" s="118"/>
      <c r="B7851" s="136"/>
    </row>
    <row r="7852" spans="1:2" x14ac:dyDescent="0.25">
      <c r="A7852" s="118"/>
      <c r="B7852" s="136"/>
    </row>
    <row r="7853" spans="1:2" x14ac:dyDescent="0.25">
      <c r="A7853" s="118"/>
      <c r="B7853" s="136"/>
    </row>
    <row r="7854" spans="1:2" x14ac:dyDescent="0.25">
      <c r="A7854" s="118"/>
      <c r="B7854" s="136"/>
    </row>
    <row r="7855" spans="1:2" x14ac:dyDescent="0.25">
      <c r="A7855" s="118"/>
      <c r="B7855" s="136"/>
    </row>
    <row r="7856" spans="1:2" x14ac:dyDescent="0.25">
      <c r="A7856" s="118"/>
      <c r="B7856" s="136"/>
    </row>
    <row r="7857" spans="1:2" x14ac:dyDescent="0.25">
      <c r="A7857" s="118"/>
      <c r="B7857" s="136"/>
    </row>
    <row r="7858" spans="1:2" x14ac:dyDescent="0.25">
      <c r="A7858" s="118"/>
      <c r="B7858" s="136"/>
    </row>
    <row r="7859" spans="1:2" x14ac:dyDescent="0.25">
      <c r="A7859" s="118"/>
      <c r="B7859" s="136"/>
    </row>
    <row r="7860" spans="1:2" x14ac:dyDescent="0.25">
      <c r="A7860" s="118"/>
      <c r="B7860" s="136"/>
    </row>
    <row r="7861" spans="1:2" x14ac:dyDescent="0.25">
      <c r="A7861" s="118"/>
      <c r="B7861" s="136"/>
    </row>
    <row r="7862" spans="1:2" x14ac:dyDescent="0.25">
      <c r="A7862" s="118"/>
      <c r="B7862" s="136"/>
    </row>
    <row r="7863" spans="1:2" x14ac:dyDescent="0.25">
      <c r="A7863" s="118"/>
      <c r="B7863" s="136"/>
    </row>
    <row r="7864" spans="1:2" x14ac:dyDescent="0.25">
      <c r="A7864" s="118"/>
      <c r="B7864" s="136"/>
    </row>
    <row r="7865" spans="1:2" x14ac:dyDescent="0.25">
      <c r="A7865" s="118"/>
      <c r="B7865" s="136"/>
    </row>
    <row r="7866" spans="1:2" x14ac:dyDescent="0.25">
      <c r="A7866" s="118"/>
      <c r="B7866" s="136"/>
    </row>
    <row r="7867" spans="1:2" x14ac:dyDescent="0.25">
      <c r="A7867" s="118"/>
      <c r="B7867" s="136"/>
    </row>
    <row r="7868" spans="1:2" x14ac:dyDescent="0.25">
      <c r="A7868" s="118"/>
      <c r="B7868" s="136"/>
    </row>
    <row r="7869" spans="1:2" x14ac:dyDescent="0.25">
      <c r="A7869" s="118"/>
      <c r="B7869" s="136"/>
    </row>
    <row r="7870" spans="1:2" x14ac:dyDescent="0.25">
      <c r="A7870" s="118"/>
      <c r="B7870" s="136"/>
    </row>
    <row r="7871" spans="1:2" x14ac:dyDescent="0.25">
      <c r="A7871" s="118"/>
      <c r="B7871" s="136"/>
    </row>
    <row r="7872" spans="1:2" x14ac:dyDescent="0.25">
      <c r="A7872" s="118"/>
      <c r="B7872" s="136"/>
    </row>
    <row r="7873" spans="1:2" x14ac:dyDescent="0.25">
      <c r="A7873" s="118"/>
      <c r="B7873" s="136"/>
    </row>
    <row r="7874" spans="1:2" x14ac:dyDescent="0.25">
      <c r="A7874" s="118"/>
      <c r="B7874" s="136"/>
    </row>
    <row r="7875" spans="1:2" x14ac:dyDescent="0.25">
      <c r="A7875" s="118"/>
      <c r="B7875" s="136"/>
    </row>
    <row r="7876" spans="1:2" x14ac:dyDescent="0.25">
      <c r="A7876" s="118"/>
      <c r="B7876" s="136"/>
    </row>
    <row r="7877" spans="1:2" x14ac:dyDescent="0.25">
      <c r="A7877" s="118"/>
      <c r="B7877" s="136"/>
    </row>
    <row r="7878" spans="1:2" x14ac:dyDescent="0.25">
      <c r="A7878" s="118"/>
      <c r="B7878" s="136"/>
    </row>
    <row r="7879" spans="1:2" x14ac:dyDescent="0.25">
      <c r="A7879" s="118"/>
      <c r="B7879" s="136"/>
    </row>
    <row r="7880" spans="1:2" x14ac:dyDescent="0.25">
      <c r="A7880" s="118"/>
      <c r="B7880" s="136"/>
    </row>
    <row r="7881" spans="1:2" x14ac:dyDescent="0.25">
      <c r="A7881" s="118"/>
      <c r="B7881" s="136"/>
    </row>
    <row r="7882" spans="1:2" x14ac:dyDescent="0.25">
      <c r="A7882" s="118"/>
      <c r="B7882" s="136"/>
    </row>
    <row r="7883" spans="1:2" x14ac:dyDescent="0.25">
      <c r="A7883" s="118"/>
      <c r="B7883" s="136"/>
    </row>
    <row r="7884" spans="1:2" x14ac:dyDescent="0.25">
      <c r="A7884" s="118"/>
      <c r="B7884" s="136"/>
    </row>
    <row r="7885" spans="1:2" x14ac:dyDescent="0.25">
      <c r="A7885" s="118"/>
      <c r="B7885" s="136"/>
    </row>
    <row r="7886" spans="1:2" x14ac:dyDescent="0.25">
      <c r="A7886" s="118"/>
      <c r="B7886" s="136"/>
    </row>
    <row r="7887" spans="1:2" x14ac:dyDescent="0.25">
      <c r="A7887" s="118"/>
      <c r="B7887" s="136"/>
    </row>
    <row r="7888" spans="1:2" x14ac:dyDescent="0.25">
      <c r="A7888" s="118"/>
      <c r="B7888" s="136"/>
    </row>
    <row r="7889" spans="1:2" x14ac:dyDescent="0.25">
      <c r="A7889" s="118"/>
      <c r="B7889" s="136"/>
    </row>
    <row r="7890" spans="1:2" x14ac:dyDescent="0.25">
      <c r="A7890" s="118"/>
      <c r="B7890" s="136"/>
    </row>
    <row r="7891" spans="1:2" x14ac:dyDescent="0.25">
      <c r="A7891" s="118"/>
      <c r="B7891" s="136"/>
    </row>
    <row r="7892" spans="1:2" x14ac:dyDescent="0.25">
      <c r="A7892" s="118"/>
      <c r="B7892" s="136"/>
    </row>
    <row r="7893" spans="1:2" x14ac:dyDescent="0.25">
      <c r="A7893" s="118"/>
      <c r="B7893" s="136"/>
    </row>
    <row r="7894" spans="1:2" x14ac:dyDescent="0.25">
      <c r="A7894" s="118"/>
      <c r="B7894" s="136"/>
    </row>
    <row r="7895" spans="1:2" x14ac:dyDescent="0.25">
      <c r="A7895" s="118"/>
      <c r="B7895" s="136"/>
    </row>
    <row r="7896" spans="1:2" x14ac:dyDescent="0.25">
      <c r="A7896" s="118"/>
      <c r="B7896" s="136"/>
    </row>
    <row r="7897" spans="1:2" x14ac:dyDescent="0.25">
      <c r="A7897" s="118"/>
      <c r="B7897" s="136"/>
    </row>
    <row r="7898" spans="1:2" x14ac:dyDescent="0.25">
      <c r="A7898" s="118"/>
      <c r="B7898" s="136"/>
    </row>
    <row r="7899" spans="1:2" x14ac:dyDescent="0.25">
      <c r="A7899" s="118"/>
      <c r="B7899" s="136"/>
    </row>
    <row r="7900" spans="1:2" x14ac:dyDescent="0.25">
      <c r="A7900" s="118"/>
      <c r="B7900" s="136"/>
    </row>
    <row r="7901" spans="1:2" x14ac:dyDescent="0.25">
      <c r="A7901" s="118"/>
      <c r="B7901" s="136"/>
    </row>
    <row r="7902" spans="1:2" x14ac:dyDescent="0.25">
      <c r="A7902" s="118"/>
      <c r="B7902" s="136"/>
    </row>
    <row r="7903" spans="1:2" x14ac:dyDescent="0.25">
      <c r="A7903" s="118"/>
      <c r="B7903" s="136"/>
    </row>
    <row r="7904" spans="1:2" x14ac:dyDescent="0.25">
      <c r="A7904" s="118"/>
      <c r="B7904" s="136"/>
    </row>
    <row r="7905" spans="1:2" x14ac:dyDescent="0.25">
      <c r="A7905" s="118"/>
      <c r="B7905" s="136"/>
    </row>
    <row r="7906" spans="1:2" x14ac:dyDescent="0.25">
      <c r="A7906" s="118"/>
      <c r="B7906" s="136"/>
    </row>
    <row r="7907" spans="1:2" x14ac:dyDescent="0.25">
      <c r="A7907" s="118"/>
      <c r="B7907" s="136"/>
    </row>
    <row r="7908" spans="1:2" x14ac:dyDescent="0.25">
      <c r="A7908" s="118"/>
      <c r="B7908" s="136"/>
    </row>
    <row r="7909" spans="1:2" x14ac:dyDescent="0.25">
      <c r="A7909" s="118"/>
      <c r="B7909" s="136"/>
    </row>
    <row r="7910" spans="1:2" x14ac:dyDescent="0.25">
      <c r="A7910" s="118"/>
      <c r="B7910" s="136"/>
    </row>
    <row r="7911" spans="1:2" x14ac:dyDescent="0.25">
      <c r="A7911" s="118"/>
      <c r="B7911" s="136"/>
    </row>
    <row r="7912" spans="1:2" x14ac:dyDescent="0.25">
      <c r="A7912" s="118"/>
      <c r="B7912" s="136"/>
    </row>
    <row r="7913" spans="1:2" x14ac:dyDescent="0.25">
      <c r="A7913" s="118"/>
      <c r="B7913" s="136"/>
    </row>
    <row r="7914" spans="1:2" x14ac:dyDescent="0.25">
      <c r="A7914" s="118"/>
      <c r="B7914" s="136"/>
    </row>
    <row r="7915" spans="1:2" x14ac:dyDescent="0.25">
      <c r="A7915" s="118"/>
      <c r="B7915" s="136"/>
    </row>
    <row r="7916" spans="1:2" x14ac:dyDescent="0.25">
      <c r="A7916" s="118"/>
      <c r="B7916" s="136"/>
    </row>
    <row r="7917" spans="1:2" x14ac:dyDescent="0.25">
      <c r="A7917" s="118"/>
      <c r="B7917" s="136"/>
    </row>
    <row r="7918" spans="1:2" x14ac:dyDescent="0.25">
      <c r="A7918" s="118"/>
      <c r="B7918" s="136"/>
    </row>
    <row r="7919" spans="1:2" x14ac:dyDescent="0.25">
      <c r="A7919" s="118"/>
      <c r="B7919" s="136"/>
    </row>
    <row r="7920" spans="1:2" x14ac:dyDescent="0.25">
      <c r="A7920" s="118"/>
      <c r="B7920" s="136"/>
    </row>
    <row r="7921" spans="1:2" x14ac:dyDescent="0.25">
      <c r="A7921" s="118"/>
      <c r="B7921" s="136"/>
    </row>
    <row r="7922" spans="1:2" x14ac:dyDescent="0.25">
      <c r="A7922" s="118"/>
      <c r="B7922" s="136"/>
    </row>
    <row r="7923" spans="1:2" x14ac:dyDescent="0.25">
      <c r="A7923" s="118"/>
      <c r="B7923" s="136"/>
    </row>
    <row r="7924" spans="1:2" x14ac:dyDescent="0.25">
      <c r="A7924" s="118"/>
      <c r="B7924" s="136"/>
    </row>
    <row r="7925" spans="1:2" x14ac:dyDescent="0.25">
      <c r="A7925" s="118"/>
      <c r="B7925" s="136"/>
    </row>
    <row r="7926" spans="1:2" x14ac:dyDescent="0.25">
      <c r="A7926" s="118"/>
      <c r="B7926" s="136"/>
    </row>
    <row r="7927" spans="1:2" x14ac:dyDescent="0.25">
      <c r="A7927" s="118"/>
      <c r="B7927" s="136"/>
    </row>
    <row r="7928" spans="1:2" x14ac:dyDescent="0.25">
      <c r="A7928" s="118"/>
      <c r="B7928" s="136"/>
    </row>
    <row r="7929" spans="1:2" x14ac:dyDescent="0.25">
      <c r="A7929" s="118"/>
      <c r="B7929" s="136"/>
    </row>
    <row r="7930" spans="1:2" x14ac:dyDescent="0.25">
      <c r="A7930" s="118"/>
      <c r="B7930" s="136"/>
    </row>
    <row r="7931" spans="1:2" x14ac:dyDescent="0.25">
      <c r="A7931" s="118"/>
      <c r="B7931" s="136"/>
    </row>
    <row r="7932" spans="1:2" x14ac:dyDescent="0.25">
      <c r="A7932" s="118"/>
      <c r="B7932" s="136"/>
    </row>
    <row r="7933" spans="1:2" x14ac:dyDescent="0.25">
      <c r="A7933" s="118"/>
      <c r="B7933" s="136"/>
    </row>
    <row r="7934" spans="1:2" x14ac:dyDescent="0.25">
      <c r="A7934" s="118"/>
      <c r="B7934" s="136"/>
    </row>
    <row r="7935" spans="1:2" x14ac:dyDescent="0.25">
      <c r="A7935" s="118"/>
      <c r="B7935" s="136"/>
    </row>
    <row r="7936" spans="1:2" x14ac:dyDescent="0.25">
      <c r="A7936" s="118"/>
      <c r="B7936" s="136"/>
    </row>
    <row r="7937" spans="1:2" x14ac:dyDescent="0.25">
      <c r="A7937" s="118"/>
      <c r="B7937" s="136"/>
    </row>
    <row r="7938" spans="1:2" x14ac:dyDescent="0.25">
      <c r="A7938" s="118"/>
      <c r="B7938" s="136"/>
    </row>
    <row r="7939" spans="1:2" x14ac:dyDescent="0.25">
      <c r="A7939" s="118"/>
      <c r="B7939" s="136"/>
    </row>
    <row r="7940" spans="1:2" x14ac:dyDescent="0.25">
      <c r="A7940" s="118"/>
      <c r="B7940" s="136"/>
    </row>
    <row r="7941" spans="1:2" x14ac:dyDescent="0.25">
      <c r="A7941" s="118"/>
      <c r="B7941" s="136"/>
    </row>
    <row r="7942" spans="1:2" x14ac:dyDescent="0.25">
      <c r="A7942" s="118"/>
      <c r="B7942" s="136"/>
    </row>
    <row r="7943" spans="1:2" x14ac:dyDescent="0.25">
      <c r="A7943" s="118"/>
      <c r="B7943" s="136"/>
    </row>
    <row r="7944" spans="1:2" x14ac:dyDescent="0.25">
      <c r="A7944" s="118"/>
      <c r="B7944" s="136"/>
    </row>
    <row r="7945" spans="1:2" x14ac:dyDescent="0.25">
      <c r="A7945" s="118"/>
      <c r="B7945" s="136"/>
    </row>
    <row r="7946" spans="1:2" x14ac:dyDescent="0.25">
      <c r="A7946" s="118"/>
      <c r="B7946" s="136"/>
    </row>
    <row r="7947" spans="1:2" x14ac:dyDescent="0.25">
      <c r="A7947" s="118"/>
      <c r="B7947" s="136"/>
    </row>
    <row r="7948" spans="1:2" x14ac:dyDescent="0.25">
      <c r="A7948" s="118"/>
      <c r="B7948" s="136"/>
    </row>
    <row r="7949" spans="1:2" x14ac:dyDescent="0.25">
      <c r="A7949" s="118"/>
      <c r="B7949" s="136"/>
    </row>
    <row r="7950" spans="1:2" x14ac:dyDescent="0.25">
      <c r="A7950" s="118"/>
      <c r="B7950" s="136"/>
    </row>
    <row r="7951" spans="1:2" x14ac:dyDescent="0.25">
      <c r="A7951" s="118"/>
      <c r="B7951" s="136"/>
    </row>
    <row r="7952" spans="1:2" x14ac:dyDescent="0.25">
      <c r="A7952" s="118"/>
      <c r="B7952" s="136"/>
    </row>
    <row r="7953" spans="1:2" x14ac:dyDescent="0.25">
      <c r="A7953" s="118"/>
      <c r="B7953" s="136"/>
    </row>
    <row r="7954" spans="1:2" x14ac:dyDescent="0.25">
      <c r="A7954" s="118"/>
      <c r="B7954" s="136"/>
    </row>
    <row r="7955" spans="1:2" x14ac:dyDescent="0.25">
      <c r="A7955" s="118"/>
      <c r="B7955" s="136"/>
    </row>
    <row r="7956" spans="1:2" x14ac:dyDescent="0.25">
      <c r="A7956" s="118"/>
      <c r="B7956" s="136"/>
    </row>
    <row r="7957" spans="1:2" x14ac:dyDescent="0.25">
      <c r="A7957" s="118"/>
      <c r="B7957" s="136"/>
    </row>
    <row r="7958" spans="1:2" x14ac:dyDescent="0.25">
      <c r="A7958" s="118"/>
      <c r="B7958" s="136"/>
    </row>
    <row r="7959" spans="1:2" x14ac:dyDescent="0.25">
      <c r="A7959" s="118"/>
      <c r="B7959" s="136"/>
    </row>
    <row r="7960" spans="1:2" x14ac:dyDescent="0.25">
      <c r="A7960" s="118"/>
      <c r="B7960" s="136"/>
    </row>
    <row r="7961" spans="1:2" x14ac:dyDescent="0.25">
      <c r="A7961" s="118"/>
      <c r="B7961" s="136"/>
    </row>
    <row r="7962" spans="1:2" x14ac:dyDescent="0.25">
      <c r="A7962" s="118"/>
      <c r="B7962" s="136"/>
    </row>
    <row r="7963" spans="1:2" x14ac:dyDescent="0.25">
      <c r="A7963" s="118"/>
      <c r="B7963" s="136"/>
    </row>
    <row r="7964" spans="1:2" x14ac:dyDescent="0.25">
      <c r="A7964" s="118"/>
      <c r="B7964" s="136"/>
    </row>
    <row r="7965" spans="1:2" x14ac:dyDescent="0.25">
      <c r="A7965" s="118"/>
      <c r="B7965" s="136"/>
    </row>
    <row r="7966" spans="1:2" x14ac:dyDescent="0.25">
      <c r="A7966" s="118"/>
      <c r="B7966" s="136"/>
    </row>
    <row r="7967" spans="1:2" x14ac:dyDescent="0.25">
      <c r="A7967" s="118"/>
      <c r="B7967" s="136"/>
    </row>
    <row r="7968" spans="1:2" x14ac:dyDescent="0.25">
      <c r="A7968" s="118"/>
      <c r="B7968" s="136"/>
    </row>
    <row r="7969" spans="1:2" x14ac:dyDescent="0.25">
      <c r="A7969" s="118"/>
      <c r="B7969" s="136"/>
    </row>
    <row r="7970" spans="1:2" x14ac:dyDescent="0.25">
      <c r="A7970" s="118"/>
      <c r="B7970" s="136"/>
    </row>
    <row r="7971" spans="1:2" x14ac:dyDescent="0.25">
      <c r="A7971" s="118"/>
      <c r="B7971" s="136"/>
    </row>
    <row r="7972" spans="1:2" x14ac:dyDescent="0.25">
      <c r="A7972" s="118"/>
      <c r="B7972" s="136"/>
    </row>
    <row r="7973" spans="1:2" x14ac:dyDescent="0.25">
      <c r="A7973" s="118"/>
      <c r="B7973" s="136"/>
    </row>
    <row r="7974" spans="1:2" x14ac:dyDescent="0.25">
      <c r="A7974" s="118"/>
      <c r="B7974" s="136"/>
    </row>
    <row r="7975" spans="1:2" x14ac:dyDescent="0.25">
      <c r="A7975" s="118"/>
      <c r="B7975" s="136"/>
    </row>
    <row r="7976" spans="1:2" x14ac:dyDescent="0.25">
      <c r="A7976" s="118"/>
      <c r="B7976" s="136"/>
    </row>
    <row r="7977" spans="1:2" x14ac:dyDescent="0.25">
      <c r="A7977" s="118"/>
      <c r="B7977" s="136"/>
    </row>
    <row r="7978" spans="1:2" x14ac:dyDescent="0.25">
      <c r="A7978" s="118"/>
      <c r="B7978" s="136"/>
    </row>
    <row r="7979" spans="1:2" x14ac:dyDescent="0.25">
      <c r="A7979" s="118"/>
      <c r="B7979" s="136"/>
    </row>
    <row r="7980" spans="1:2" x14ac:dyDescent="0.25">
      <c r="A7980" s="118"/>
      <c r="B7980" s="136"/>
    </row>
    <row r="7981" spans="1:2" x14ac:dyDescent="0.25">
      <c r="A7981" s="118"/>
      <c r="B7981" s="136"/>
    </row>
    <row r="7982" spans="1:2" x14ac:dyDescent="0.25">
      <c r="A7982" s="118"/>
      <c r="B7982" s="136"/>
    </row>
    <row r="7983" spans="1:2" x14ac:dyDescent="0.25">
      <c r="A7983" s="118"/>
      <c r="B7983" s="136"/>
    </row>
    <row r="7984" spans="1:2" x14ac:dyDescent="0.25">
      <c r="A7984" s="118"/>
      <c r="B7984" s="136"/>
    </row>
    <row r="7985" spans="1:2" x14ac:dyDescent="0.25">
      <c r="A7985" s="118"/>
      <c r="B7985" s="136"/>
    </row>
    <row r="7986" spans="1:2" x14ac:dyDescent="0.25">
      <c r="A7986" s="118"/>
      <c r="B7986" s="136"/>
    </row>
    <row r="7987" spans="1:2" x14ac:dyDescent="0.25">
      <c r="A7987" s="118"/>
      <c r="B7987" s="136"/>
    </row>
    <row r="7988" spans="1:2" x14ac:dyDescent="0.25">
      <c r="A7988" s="118"/>
      <c r="B7988" s="136"/>
    </row>
    <row r="7989" spans="1:2" x14ac:dyDescent="0.25">
      <c r="A7989" s="118"/>
      <c r="B7989" s="136"/>
    </row>
    <row r="7990" spans="1:2" x14ac:dyDescent="0.25">
      <c r="A7990" s="118"/>
      <c r="B7990" s="136"/>
    </row>
    <row r="7991" spans="1:2" x14ac:dyDescent="0.25">
      <c r="A7991" s="118"/>
      <c r="B7991" s="136"/>
    </row>
    <row r="7992" spans="1:2" x14ac:dyDescent="0.25">
      <c r="A7992" s="118"/>
      <c r="B7992" s="136"/>
    </row>
    <row r="7993" spans="1:2" x14ac:dyDescent="0.25">
      <c r="A7993" s="118"/>
      <c r="B7993" s="136"/>
    </row>
    <row r="7994" spans="1:2" x14ac:dyDescent="0.25">
      <c r="A7994" s="118"/>
      <c r="B7994" s="136"/>
    </row>
    <row r="7995" spans="1:2" x14ac:dyDescent="0.25">
      <c r="A7995" s="118"/>
      <c r="B7995" s="136"/>
    </row>
    <row r="7996" spans="1:2" x14ac:dyDescent="0.25">
      <c r="A7996" s="118"/>
      <c r="B7996" s="136"/>
    </row>
    <row r="7997" spans="1:2" x14ac:dyDescent="0.25">
      <c r="A7997" s="118"/>
      <c r="B7997" s="136"/>
    </row>
    <row r="7998" spans="1:2" x14ac:dyDescent="0.25">
      <c r="A7998" s="118"/>
      <c r="B7998" s="136"/>
    </row>
    <row r="7999" spans="1:2" x14ac:dyDescent="0.25">
      <c r="A7999" s="118"/>
      <c r="B7999" s="136"/>
    </row>
    <row r="8000" spans="1:2" x14ac:dyDescent="0.25">
      <c r="A8000" s="118"/>
      <c r="B8000" s="136"/>
    </row>
    <row r="8001" spans="1:2" x14ac:dyDescent="0.25">
      <c r="A8001" s="118"/>
      <c r="B8001" s="136"/>
    </row>
    <row r="8002" spans="1:2" x14ac:dyDescent="0.25">
      <c r="A8002" s="118"/>
      <c r="B8002" s="136"/>
    </row>
    <row r="8003" spans="1:2" x14ac:dyDescent="0.25">
      <c r="A8003" s="118"/>
      <c r="B8003" s="136"/>
    </row>
    <row r="8004" spans="1:2" x14ac:dyDescent="0.25">
      <c r="A8004" s="118"/>
      <c r="B8004" s="136"/>
    </row>
    <row r="8005" spans="1:2" x14ac:dyDescent="0.25">
      <c r="A8005" s="118"/>
      <c r="B8005" s="136"/>
    </row>
    <row r="8006" spans="1:2" x14ac:dyDescent="0.25">
      <c r="A8006" s="118"/>
      <c r="B8006" s="136"/>
    </row>
    <row r="8007" spans="1:2" x14ac:dyDescent="0.25">
      <c r="A8007" s="118"/>
      <c r="B8007" s="136"/>
    </row>
    <row r="8008" spans="1:2" x14ac:dyDescent="0.25">
      <c r="A8008" s="118"/>
      <c r="B8008" s="136"/>
    </row>
    <row r="8009" spans="1:2" x14ac:dyDescent="0.25">
      <c r="A8009" s="118"/>
      <c r="B8009" s="136"/>
    </row>
    <row r="8010" spans="1:2" x14ac:dyDescent="0.25">
      <c r="A8010" s="118"/>
      <c r="B8010" s="136"/>
    </row>
    <row r="8011" spans="1:2" x14ac:dyDescent="0.25">
      <c r="A8011" s="118"/>
      <c r="B8011" s="136"/>
    </row>
    <row r="8012" spans="1:2" x14ac:dyDescent="0.25">
      <c r="A8012" s="118"/>
      <c r="B8012" s="136"/>
    </row>
    <row r="8013" spans="1:2" x14ac:dyDescent="0.25">
      <c r="A8013" s="118"/>
      <c r="B8013" s="136"/>
    </row>
    <row r="8014" spans="1:2" x14ac:dyDescent="0.25">
      <c r="A8014" s="118"/>
      <c r="B8014" s="136"/>
    </row>
    <row r="8015" spans="1:2" x14ac:dyDescent="0.25">
      <c r="A8015" s="118"/>
      <c r="B8015" s="136"/>
    </row>
    <row r="8016" spans="1:2" x14ac:dyDescent="0.25">
      <c r="A8016" s="118"/>
      <c r="B8016" s="136"/>
    </row>
    <row r="8017" spans="1:2" x14ac:dyDescent="0.25">
      <c r="A8017" s="118"/>
      <c r="B8017" s="136"/>
    </row>
    <row r="8018" spans="1:2" x14ac:dyDescent="0.25">
      <c r="A8018" s="118"/>
      <c r="B8018" s="136"/>
    </row>
    <row r="8019" spans="1:2" x14ac:dyDescent="0.25">
      <c r="A8019" s="118"/>
      <c r="B8019" s="136"/>
    </row>
    <row r="8020" spans="1:2" x14ac:dyDescent="0.25">
      <c r="A8020" s="118"/>
      <c r="B8020" s="136"/>
    </row>
    <row r="8021" spans="1:2" x14ac:dyDescent="0.25">
      <c r="A8021" s="118"/>
      <c r="B8021" s="136"/>
    </row>
    <row r="8022" spans="1:2" x14ac:dyDescent="0.25">
      <c r="A8022" s="118"/>
      <c r="B8022" s="136"/>
    </row>
    <row r="8023" spans="1:2" x14ac:dyDescent="0.25">
      <c r="A8023" s="118"/>
      <c r="B8023" s="136"/>
    </row>
    <row r="8024" spans="1:2" x14ac:dyDescent="0.25">
      <c r="A8024" s="118"/>
      <c r="B8024" s="136"/>
    </row>
    <row r="8025" spans="1:2" x14ac:dyDescent="0.25">
      <c r="A8025" s="118"/>
      <c r="B8025" s="136"/>
    </row>
    <row r="8026" spans="1:2" x14ac:dyDescent="0.25">
      <c r="A8026" s="118"/>
      <c r="B8026" s="136"/>
    </row>
    <row r="8027" spans="1:2" x14ac:dyDescent="0.25">
      <c r="A8027" s="118"/>
      <c r="B8027" s="136"/>
    </row>
    <row r="8028" spans="1:2" x14ac:dyDescent="0.25">
      <c r="A8028" s="118"/>
      <c r="B8028" s="136"/>
    </row>
    <row r="8029" spans="1:2" x14ac:dyDescent="0.25">
      <c r="A8029" s="118"/>
      <c r="B8029" s="136"/>
    </row>
    <row r="8030" spans="1:2" x14ac:dyDescent="0.25">
      <c r="A8030" s="118"/>
      <c r="B8030" s="136"/>
    </row>
    <row r="8031" spans="1:2" x14ac:dyDescent="0.25">
      <c r="A8031" s="118"/>
      <c r="B8031" s="136"/>
    </row>
    <row r="8032" spans="1:2" x14ac:dyDescent="0.25">
      <c r="A8032" s="118"/>
      <c r="B8032" s="136"/>
    </row>
    <row r="8033" spans="1:2" x14ac:dyDescent="0.25">
      <c r="A8033" s="118"/>
      <c r="B8033" s="136"/>
    </row>
    <row r="8034" spans="1:2" x14ac:dyDescent="0.25">
      <c r="A8034" s="118"/>
      <c r="B8034" s="136"/>
    </row>
    <row r="8035" spans="1:2" x14ac:dyDescent="0.25">
      <c r="A8035" s="118"/>
      <c r="B8035" s="136"/>
    </row>
    <row r="8036" spans="1:2" x14ac:dyDescent="0.25">
      <c r="A8036" s="118"/>
      <c r="B8036" s="136"/>
    </row>
    <row r="8037" spans="1:2" x14ac:dyDescent="0.25">
      <c r="A8037" s="118"/>
      <c r="B8037" s="136"/>
    </row>
    <row r="8038" spans="1:2" x14ac:dyDescent="0.25">
      <c r="A8038" s="118"/>
      <c r="B8038" s="136"/>
    </row>
    <row r="8039" spans="1:2" x14ac:dyDescent="0.25">
      <c r="A8039" s="118"/>
      <c r="B8039" s="136"/>
    </row>
    <row r="8040" spans="1:2" x14ac:dyDescent="0.25">
      <c r="A8040" s="118"/>
      <c r="B8040" s="136"/>
    </row>
    <row r="8041" spans="1:2" x14ac:dyDescent="0.25">
      <c r="A8041" s="118"/>
      <c r="B8041" s="136"/>
    </row>
    <row r="8042" spans="1:2" x14ac:dyDescent="0.25">
      <c r="A8042" s="118"/>
      <c r="B8042" s="136"/>
    </row>
    <row r="8043" spans="1:2" x14ac:dyDescent="0.25">
      <c r="A8043" s="118"/>
      <c r="B8043" s="136"/>
    </row>
    <row r="8044" spans="1:2" x14ac:dyDescent="0.25">
      <c r="A8044" s="118"/>
      <c r="B8044" s="136"/>
    </row>
    <row r="8045" spans="1:2" x14ac:dyDescent="0.25">
      <c r="A8045" s="118"/>
      <c r="B8045" s="136"/>
    </row>
    <row r="8046" spans="1:2" x14ac:dyDescent="0.25">
      <c r="A8046" s="118"/>
      <c r="B8046" s="136"/>
    </row>
    <row r="8047" spans="1:2" x14ac:dyDescent="0.25">
      <c r="A8047" s="118"/>
      <c r="B8047" s="136"/>
    </row>
    <row r="8048" spans="1:2" x14ac:dyDescent="0.25">
      <c r="A8048" s="118"/>
      <c r="B8048" s="136"/>
    </row>
    <row r="8049" spans="1:2" x14ac:dyDescent="0.25">
      <c r="A8049" s="118"/>
      <c r="B8049" s="136"/>
    </row>
    <row r="8050" spans="1:2" x14ac:dyDescent="0.25">
      <c r="A8050" s="118"/>
      <c r="B8050" s="136"/>
    </row>
    <row r="8051" spans="1:2" x14ac:dyDescent="0.25">
      <c r="A8051" s="118"/>
      <c r="B8051" s="136"/>
    </row>
    <row r="8052" spans="1:2" x14ac:dyDescent="0.25">
      <c r="A8052" s="118"/>
      <c r="B8052" s="136"/>
    </row>
    <row r="8053" spans="1:2" x14ac:dyDescent="0.25">
      <c r="A8053" s="118"/>
      <c r="B8053" s="136"/>
    </row>
    <row r="8054" spans="1:2" x14ac:dyDescent="0.25">
      <c r="A8054" s="118"/>
      <c r="B8054" s="136"/>
    </row>
    <row r="8055" spans="1:2" x14ac:dyDescent="0.25">
      <c r="A8055" s="118"/>
      <c r="B8055" s="136"/>
    </row>
    <row r="8056" spans="1:2" x14ac:dyDescent="0.25">
      <c r="A8056" s="118"/>
      <c r="B8056" s="136"/>
    </row>
    <row r="8057" spans="1:2" x14ac:dyDescent="0.25">
      <c r="A8057" s="118"/>
      <c r="B8057" s="136"/>
    </row>
    <row r="8058" spans="1:2" x14ac:dyDescent="0.25">
      <c r="A8058" s="118"/>
      <c r="B8058" s="136"/>
    </row>
    <row r="8059" spans="1:2" x14ac:dyDescent="0.25">
      <c r="A8059" s="118"/>
      <c r="B8059" s="136"/>
    </row>
    <row r="8060" spans="1:2" x14ac:dyDescent="0.25">
      <c r="A8060" s="118"/>
      <c r="B8060" s="136"/>
    </row>
    <row r="8061" spans="1:2" x14ac:dyDescent="0.25">
      <c r="A8061" s="118"/>
      <c r="B8061" s="136"/>
    </row>
    <row r="8062" spans="1:2" x14ac:dyDescent="0.25">
      <c r="A8062" s="118"/>
      <c r="B8062" s="136"/>
    </row>
    <row r="8063" spans="1:2" x14ac:dyDescent="0.25">
      <c r="A8063" s="118"/>
      <c r="B8063" s="136"/>
    </row>
    <row r="8064" spans="1:2" x14ac:dyDescent="0.25">
      <c r="A8064" s="118"/>
      <c r="B8064" s="136"/>
    </row>
    <row r="8065" spans="1:2" x14ac:dyDescent="0.25">
      <c r="A8065" s="118"/>
      <c r="B8065" s="136"/>
    </row>
    <row r="8066" spans="1:2" x14ac:dyDescent="0.25">
      <c r="A8066" s="118"/>
      <c r="B8066" s="136"/>
    </row>
    <row r="8067" spans="1:2" x14ac:dyDescent="0.25">
      <c r="A8067" s="118"/>
      <c r="B8067" s="136"/>
    </row>
    <row r="8068" spans="1:2" x14ac:dyDescent="0.25">
      <c r="A8068" s="118"/>
      <c r="B8068" s="136"/>
    </row>
    <row r="8069" spans="1:2" x14ac:dyDescent="0.25">
      <c r="A8069" s="118"/>
      <c r="B8069" s="136"/>
    </row>
    <row r="8070" spans="1:2" x14ac:dyDescent="0.25">
      <c r="A8070" s="118"/>
      <c r="B8070" s="136"/>
    </row>
    <row r="8071" spans="1:2" x14ac:dyDescent="0.25">
      <c r="A8071" s="118"/>
      <c r="B8071" s="136"/>
    </row>
    <row r="8072" spans="1:2" x14ac:dyDescent="0.25">
      <c r="A8072" s="118"/>
      <c r="B8072" s="136"/>
    </row>
    <row r="8073" spans="1:2" x14ac:dyDescent="0.25">
      <c r="A8073" s="118"/>
      <c r="B8073" s="136"/>
    </row>
    <row r="8074" spans="1:2" x14ac:dyDescent="0.25">
      <c r="A8074" s="118"/>
      <c r="B8074" s="136"/>
    </row>
    <row r="8075" spans="1:2" x14ac:dyDescent="0.25">
      <c r="A8075" s="118"/>
      <c r="B8075" s="136"/>
    </row>
    <row r="8076" spans="1:2" x14ac:dyDescent="0.25">
      <c r="A8076" s="118"/>
      <c r="B8076" s="136"/>
    </row>
    <row r="8077" spans="1:2" x14ac:dyDescent="0.25">
      <c r="A8077" s="118"/>
      <c r="B8077" s="136"/>
    </row>
    <row r="8078" spans="1:2" x14ac:dyDescent="0.25">
      <c r="A8078" s="118"/>
      <c r="B8078" s="136"/>
    </row>
    <row r="8079" spans="1:2" x14ac:dyDescent="0.25">
      <c r="A8079" s="118"/>
      <c r="B8079" s="136"/>
    </row>
    <row r="8080" spans="1:2" x14ac:dyDescent="0.25">
      <c r="A8080" s="118"/>
      <c r="B8080" s="136"/>
    </row>
    <row r="8081" spans="1:2" x14ac:dyDescent="0.25">
      <c r="A8081" s="118"/>
      <c r="B8081" s="136"/>
    </row>
    <row r="8082" spans="1:2" x14ac:dyDescent="0.25">
      <c r="A8082" s="118"/>
      <c r="B8082" s="136"/>
    </row>
    <row r="8083" spans="1:2" x14ac:dyDescent="0.25">
      <c r="A8083" s="118"/>
      <c r="B8083" s="136"/>
    </row>
    <row r="8084" spans="1:2" x14ac:dyDescent="0.25">
      <c r="A8084" s="118"/>
      <c r="B8084" s="136"/>
    </row>
    <row r="8085" spans="1:2" x14ac:dyDescent="0.25">
      <c r="A8085" s="118"/>
      <c r="B8085" s="136"/>
    </row>
    <row r="8086" spans="1:2" x14ac:dyDescent="0.25">
      <c r="A8086" s="118"/>
      <c r="B8086" s="136"/>
    </row>
    <row r="8087" spans="1:2" x14ac:dyDescent="0.25">
      <c r="A8087" s="118"/>
      <c r="B8087" s="136"/>
    </row>
    <row r="8088" spans="1:2" x14ac:dyDescent="0.25">
      <c r="A8088" s="118"/>
      <c r="B8088" s="136"/>
    </row>
    <row r="8089" spans="1:2" x14ac:dyDescent="0.25">
      <c r="A8089" s="118"/>
      <c r="B8089" s="136"/>
    </row>
    <row r="8090" spans="1:2" x14ac:dyDescent="0.25">
      <c r="A8090" s="118"/>
      <c r="B8090" s="136"/>
    </row>
    <row r="8091" spans="1:2" x14ac:dyDescent="0.25">
      <c r="A8091" s="118"/>
      <c r="B8091" s="136"/>
    </row>
    <row r="8092" spans="1:2" x14ac:dyDescent="0.25">
      <c r="A8092" s="118"/>
      <c r="B8092" s="136"/>
    </row>
    <row r="8093" spans="1:2" x14ac:dyDescent="0.25">
      <c r="A8093" s="118"/>
      <c r="B8093" s="136"/>
    </row>
    <row r="8094" spans="1:2" x14ac:dyDescent="0.25">
      <c r="A8094" s="118"/>
      <c r="B8094" s="136"/>
    </row>
    <row r="8095" spans="1:2" x14ac:dyDescent="0.25">
      <c r="A8095" s="118"/>
      <c r="B8095" s="136"/>
    </row>
    <row r="8096" spans="1:2" x14ac:dyDescent="0.25">
      <c r="A8096" s="118"/>
      <c r="B8096" s="136"/>
    </row>
    <row r="8097" spans="1:2" x14ac:dyDescent="0.25">
      <c r="A8097" s="118"/>
      <c r="B8097" s="136"/>
    </row>
    <row r="8098" spans="1:2" x14ac:dyDescent="0.25">
      <c r="A8098" s="118"/>
      <c r="B8098" s="136"/>
    </row>
    <row r="8099" spans="1:2" x14ac:dyDescent="0.25">
      <c r="A8099" s="118"/>
      <c r="B8099" s="136"/>
    </row>
    <row r="8100" spans="1:2" x14ac:dyDescent="0.25">
      <c r="A8100" s="118"/>
      <c r="B8100" s="136"/>
    </row>
    <row r="8101" spans="1:2" x14ac:dyDescent="0.25">
      <c r="A8101" s="118"/>
      <c r="B8101" s="136"/>
    </row>
    <row r="8102" spans="1:2" x14ac:dyDescent="0.25">
      <c r="A8102" s="118"/>
      <c r="B8102" s="136"/>
    </row>
    <row r="8103" spans="1:2" x14ac:dyDescent="0.25">
      <c r="A8103" s="118"/>
      <c r="B8103" s="136"/>
    </row>
    <row r="8104" spans="1:2" x14ac:dyDescent="0.25">
      <c r="A8104" s="118"/>
      <c r="B8104" s="136"/>
    </row>
    <row r="8105" spans="1:2" x14ac:dyDescent="0.25">
      <c r="A8105" s="118"/>
      <c r="B8105" s="136"/>
    </row>
    <row r="8106" spans="1:2" x14ac:dyDescent="0.25">
      <c r="A8106" s="118"/>
      <c r="B8106" s="136"/>
    </row>
    <row r="8107" spans="1:2" x14ac:dyDescent="0.25">
      <c r="A8107" s="118"/>
      <c r="B8107" s="136"/>
    </row>
    <row r="8108" spans="1:2" x14ac:dyDescent="0.25">
      <c r="A8108" s="118"/>
      <c r="B8108" s="136"/>
    </row>
    <row r="8109" spans="1:2" x14ac:dyDescent="0.25">
      <c r="A8109" s="118"/>
      <c r="B8109" s="136"/>
    </row>
    <row r="8110" spans="1:2" x14ac:dyDescent="0.25">
      <c r="A8110" s="118"/>
      <c r="B8110" s="136"/>
    </row>
    <row r="8111" spans="1:2" x14ac:dyDescent="0.25">
      <c r="A8111" s="118"/>
      <c r="B8111" s="136"/>
    </row>
    <row r="8112" spans="1:2" x14ac:dyDescent="0.25">
      <c r="A8112" s="118"/>
      <c r="B8112" s="136"/>
    </row>
    <row r="8113" spans="1:2" x14ac:dyDescent="0.25">
      <c r="A8113" s="118"/>
      <c r="B8113" s="136"/>
    </row>
    <row r="8114" spans="1:2" x14ac:dyDescent="0.25">
      <c r="A8114" s="118"/>
      <c r="B8114" s="136"/>
    </row>
    <row r="8115" spans="1:2" x14ac:dyDescent="0.25">
      <c r="A8115" s="118"/>
      <c r="B8115" s="136"/>
    </row>
    <row r="8116" spans="1:2" x14ac:dyDescent="0.25">
      <c r="A8116" s="118"/>
      <c r="B8116" s="136"/>
    </row>
    <row r="8117" spans="1:2" x14ac:dyDescent="0.25">
      <c r="A8117" s="118"/>
      <c r="B8117" s="136"/>
    </row>
    <row r="8118" spans="1:2" x14ac:dyDescent="0.25">
      <c r="A8118" s="118"/>
      <c r="B8118" s="136"/>
    </row>
    <row r="8119" spans="1:2" x14ac:dyDescent="0.25">
      <c r="A8119" s="118"/>
      <c r="B8119" s="136"/>
    </row>
    <row r="8120" spans="1:2" x14ac:dyDescent="0.25">
      <c r="A8120" s="118"/>
      <c r="B8120" s="136"/>
    </row>
    <row r="8121" spans="1:2" x14ac:dyDescent="0.25">
      <c r="A8121" s="118"/>
      <c r="B8121" s="136"/>
    </row>
    <row r="8122" spans="1:2" x14ac:dyDescent="0.25">
      <c r="A8122" s="118"/>
      <c r="B8122" s="136"/>
    </row>
    <row r="8123" spans="1:2" x14ac:dyDescent="0.25">
      <c r="A8123" s="118"/>
      <c r="B8123" s="136"/>
    </row>
    <row r="8124" spans="1:2" x14ac:dyDescent="0.25">
      <c r="A8124" s="118"/>
      <c r="B8124" s="136"/>
    </row>
    <row r="8125" spans="1:2" x14ac:dyDescent="0.25">
      <c r="A8125" s="118"/>
      <c r="B8125" s="136"/>
    </row>
    <row r="8126" spans="1:2" x14ac:dyDescent="0.25">
      <c r="A8126" s="118"/>
      <c r="B8126" s="136"/>
    </row>
    <row r="8127" spans="1:2" x14ac:dyDescent="0.25">
      <c r="A8127" s="118"/>
      <c r="B8127" s="136"/>
    </row>
    <row r="8128" spans="1:2" x14ac:dyDescent="0.25">
      <c r="A8128" s="118"/>
      <c r="B8128" s="136"/>
    </row>
    <row r="8129" spans="1:2" x14ac:dyDescent="0.25">
      <c r="A8129" s="118"/>
      <c r="B8129" s="136"/>
    </row>
    <row r="8130" spans="1:2" x14ac:dyDescent="0.25">
      <c r="A8130" s="118"/>
      <c r="B8130" s="136"/>
    </row>
    <row r="8131" spans="1:2" x14ac:dyDescent="0.25">
      <c r="A8131" s="118"/>
      <c r="B8131" s="136"/>
    </row>
    <row r="8132" spans="1:2" x14ac:dyDescent="0.25">
      <c r="A8132" s="118"/>
      <c r="B8132" s="136"/>
    </row>
    <row r="8133" spans="1:2" x14ac:dyDescent="0.25">
      <c r="A8133" s="118"/>
      <c r="B8133" s="136"/>
    </row>
    <row r="8134" spans="1:2" x14ac:dyDescent="0.25">
      <c r="A8134" s="118"/>
      <c r="B8134" s="136"/>
    </row>
    <row r="8135" spans="1:2" x14ac:dyDescent="0.25">
      <c r="A8135" s="118"/>
      <c r="B8135" s="136"/>
    </row>
    <row r="8136" spans="1:2" x14ac:dyDescent="0.25">
      <c r="A8136" s="118"/>
      <c r="B8136" s="136"/>
    </row>
    <row r="8137" spans="1:2" x14ac:dyDescent="0.25">
      <c r="A8137" s="118"/>
      <c r="B8137" s="136"/>
    </row>
    <row r="8138" spans="1:2" x14ac:dyDescent="0.25">
      <c r="A8138" s="118"/>
      <c r="B8138" s="136"/>
    </row>
    <row r="8139" spans="1:2" x14ac:dyDescent="0.25">
      <c r="A8139" s="118"/>
      <c r="B8139" s="136"/>
    </row>
    <row r="8140" spans="1:2" x14ac:dyDescent="0.25">
      <c r="A8140" s="118"/>
      <c r="B8140" s="136"/>
    </row>
    <row r="8141" spans="1:2" x14ac:dyDescent="0.25">
      <c r="A8141" s="118"/>
      <c r="B8141" s="136"/>
    </row>
    <row r="8142" spans="1:2" x14ac:dyDescent="0.25">
      <c r="A8142" s="118"/>
      <c r="B8142" s="136"/>
    </row>
    <row r="8143" spans="1:2" x14ac:dyDescent="0.25">
      <c r="A8143" s="118"/>
      <c r="B8143" s="136"/>
    </row>
    <row r="8144" spans="1:2" x14ac:dyDescent="0.25">
      <c r="A8144" s="118"/>
      <c r="B8144" s="136"/>
    </row>
    <row r="8145" spans="1:2" x14ac:dyDescent="0.25">
      <c r="A8145" s="118"/>
      <c r="B8145" s="136"/>
    </row>
    <row r="8146" spans="1:2" x14ac:dyDescent="0.25">
      <c r="A8146" s="118"/>
      <c r="B8146" s="136"/>
    </row>
    <row r="8147" spans="1:2" x14ac:dyDescent="0.25">
      <c r="A8147" s="118"/>
      <c r="B8147" s="136"/>
    </row>
    <row r="8148" spans="1:2" x14ac:dyDescent="0.25">
      <c r="A8148" s="118"/>
      <c r="B8148" s="136"/>
    </row>
    <row r="8149" spans="1:2" x14ac:dyDescent="0.25">
      <c r="A8149" s="118"/>
      <c r="B8149" s="136"/>
    </row>
    <row r="8150" spans="1:2" x14ac:dyDescent="0.25">
      <c r="A8150" s="118"/>
      <c r="B8150" s="136"/>
    </row>
    <row r="8151" spans="1:2" x14ac:dyDescent="0.25">
      <c r="A8151" s="118"/>
      <c r="B8151" s="136"/>
    </row>
    <row r="8152" spans="1:2" x14ac:dyDescent="0.25">
      <c r="A8152" s="118"/>
      <c r="B8152" s="136"/>
    </row>
    <row r="8153" spans="1:2" x14ac:dyDescent="0.25">
      <c r="A8153" s="118"/>
      <c r="B8153" s="136"/>
    </row>
    <row r="8154" spans="1:2" x14ac:dyDescent="0.25">
      <c r="A8154" s="118"/>
      <c r="B8154" s="136"/>
    </row>
    <row r="8155" spans="1:2" x14ac:dyDescent="0.25">
      <c r="A8155" s="118"/>
      <c r="B8155" s="136"/>
    </row>
    <row r="8156" spans="1:2" x14ac:dyDescent="0.25">
      <c r="A8156" s="118"/>
      <c r="B8156" s="136"/>
    </row>
    <row r="8157" spans="1:2" x14ac:dyDescent="0.25">
      <c r="A8157" s="118"/>
      <c r="B8157" s="136"/>
    </row>
    <row r="8158" spans="1:2" x14ac:dyDescent="0.25">
      <c r="A8158" s="118"/>
      <c r="B8158" s="136"/>
    </row>
    <row r="8159" spans="1:2" x14ac:dyDescent="0.25">
      <c r="A8159" s="118"/>
      <c r="B8159" s="136"/>
    </row>
    <row r="8160" spans="1:2" x14ac:dyDescent="0.25">
      <c r="A8160" s="118"/>
      <c r="B8160" s="136"/>
    </row>
    <row r="8161" spans="1:2" x14ac:dyDescent="0.25">
      <c r="A8161" s="118"/>
      <c r="B8161" s="136"/>
    </row>
    <row r="8162" spans="1:2" x14ac:dyDescent="0.25">
      <c r="A8162" s="118"/>
      <c r="B8162" s="136"/>
    </row>
    <row r="8163" spans="1:2" x14ac:dyDescent="0.25">
      <c r="A8163" s="118"/>
      <c r="B8163" s="136"/>
    </row>
    <row r="8164" spans="1:2" x14ac:dyDescent="0.25">
      <c r="A8164" s="118"/>
      <c r="B8164" s="136"/>
    </row>
    <row r="8165" spans="1:2" x14ac:dyDescent="0.25">
      <c r="A8165" s="118"/>
      <c r="B8165" s="136"/>
    </row>
    <row r="8166" spans="1:2" x14ac:dyDescent="0.25">
      <c r="A8166" s="118"/>
      <c r="B8166" s="136"/>
    </row>
    <row r="8167" spans="1:2" x14ac:dyDescent="0.25">
      <c r="A8167" s="118"/>
      <c r="B8167" s="136"/>
    </row>
    <row r="8168" spans="1:2" x14ac:dyDescent="0.25">
      <c r="A8168" s="118"/>
      <c r="B8168" s="136"/>
    </row>
    <row r="8169" spans="1:2" x14ac:dyDescent="0.25">
      <c r="A8169" s="118"/>
      <c r="B8169" s="136"/>
    </row>
    <row r="8170" spans="1:2" x14ac:dyDescent="0.25">
      <c r="A8170" s="118"/>
      <c r="B8170" s="136"/>
    </row>
    <row r="8171" spans="1:2" x14ac:dyDescent="0.25">
      <c r="A8171" s="118"/>
      <c r="B8171" s="136"/>
    </row>
    <row r="8172" spans="1:2" x14ac:dyDescent="0.25">
      <c r="A8172" s="118"/>
      <c r="B8172" s="136"/>
    </row>
    <row r="8173" spans="1:2" x14ac:dyDescent="0.25">
      <c r="A8173" s="118"/>
      <c r="B8173" s="136"/>
    </row>
    <row r="8174" spans="1:2" x14ac:dyDescent="0.25">
      <c r="A8174" s="118"/>
      <c r="B8174" s="136"/>
    </row>
    <row r="8175" spans="1:2" x14ac:dyDescent="0.25">
      <c r="A8175" s="118"/>
      <c r="B8175" s="136"/>
    </row>
    <row r="8176" spans="1:2" x14ac:dyDescent="0.25">
      <c r="A8176" s="118"/>
      <c r="B8176" s="136"/>
    </row>
    <row r="8177" spans="1:2" x14ac:dyDescent="0.25">
      <c r="A8177" s="118"/>
      <c r="B8177" s="136"/>
    </row>
    <row r="8178" spans="1:2" x14ac:dyDescent="0.25">
      <c r="A8178" s="118"/>
      <c r="B8178" s="136"/>
    </row>
    <row r="8179" spans="1:2" x14ac:dyDescent="0.25">
      <c r="A8179" s="118"/>
      <c r="B8179" s="136"/>
    </row>
    <row r="8180" spans="1:2" x14ac:dyDescent="0.25">
      <c r="A8180" s="118"/>
      <c r="B8180" s="136"/>
    </row>
    <row r="8181" spans="1:2" x14ac:dyDescent="0.25">
      <c r="A8181" s="118"/>
      <c r="B8181" s="136"/>
    </row>
    <row r="8182" spans="1:2" x14ac:dyDescent="0.25">
      <c r="A8182" s="118"/>
      <c r="B8182" s="136"/>
    </row>
    <row r="8183" spans="1:2" x14ac:dyDescent="0.25">
      <c r="A8183" s="118"/>
      <c r="B8183" s="136"/>
    </row>
    <row r="8184" spans="1:2" x14ac:dyDescent="0.25">
      <c r="A8184" s="118"/>
      <c r="B8184" s="136"/>
    </row>
    <row r="8185" spans="1:2" x14ac:dyDescent="0.25">
      <c r="A8185" s="118"/>
      <c r="B8185" s="136"/>
    </row>
    <row r="8186" spans="1:2" x14ac:dyDescent="0.25">
      <c r="A8186" s="118"/>
      <c r="B8186" s="136"/>
    </row>
    <row r="8187" spans="1:2" x14ac:dyDescent="0.25">
      <c r="A8187" s="118"/>
      <c r="B8187" s="136"/>
    </row>
    <row r="8188" spans="1:2" x14ac:dyDescent="0.25">
      <c r="A8188" s="118"/>
      <c r="B8188" s="136"/>
    </row>
    <row r="8189" spans="1:2" x14ac:dyDescent="0.25">
      <c r="A8189" s="118"/>
      <c r="B8189" s="136"/>
    </row>
    <row r="8190" spans="1:2" x14ac:dyDescent="0.25">
      <c r="A8190" s="118"/>
      <c r="B8190" s="136"/>
    </row>
    <row r="8191" spans="1:2" x14ac:dyDescent="0.25">
      <c r="A8191" s="118"/>
      <c r="B8191" s="136"/>
    </row>
    <row r="8192" spans="1:2" x14ac:dyDescent="0.25">
      <c r="A8192" s="118"/>
      <c r="B8192" s="136"/>
    </row>
    <row r="8193" spans="1:2" x14ac:dyDescent="0.25">
      <c r="A8193" s="118"/>
      <c r="B8193" s="136"/>
    </row>
    <row r="8194" spans="1:2" x14ac:dyDescent="0.25">
      <c r="A8194" s="118"/>
      <c r="B8194" s="136"/>
    </row>
    <row r="8195" spans="1:2" x14ac:dyDescent="0.25">
      <c r="A8195" s="118"/>
      <c r="B8195" s="136"/>
    </row>
    <row r="8196" spans="1:2" x14ac:dyDescent="0.25">
      <c r="A8196" s="118"/>
      <c r="B8196" s="136"/>
    </row>
    <row r="8197" spans="1:2" x14ac:dyDescent="0.25">
      <c r="A8197" s="118"/>
      <c r="B8197" s="136"/>
    </row>
    <row r="8198" spans="1:2" x14ac:dyDescent="0.25">
      <c r="A8198" s="118"/>
      <c r="B8198" s="136"/>
    </row>
    <row r="8199" spans="1:2" x14ac:dyDescent="0.25">
      <c r="A8199" s="118"/>
      <c r="B8199" s="136"/>
    </row>
    <row r="8200" spans="1:2" x14ac:dyDescent="0.25">
      <c r="A8200" s="118"/>
      <c r="B8200" s="136"/>
    </row>
    <row r="8201" spans="1:2" x14ac:dyDescent="0.25">
      <c r="A8201" s="118"/>
      <c r="B8201" s="136"/>
    </row>
    <row r="8202" spans="1:2" x14ac:dyDescent="0.25">
      <c r="A8202" s="118"/>
      <c r="B8202" s="136"/>
    </row>
    <row r="8203" spans="1:2" x14ac:dyDescent="0.25">
      <c r="A8203" s="118"/>
      <c r="B8203" s="136"/>
    </row>
    <row r="8204" spans="1:2" x14ac:dyDescent="0.25">
      <c r="A8204" s="118"/>
      <c r="B8204" s="136"/>
    </row>
    <row r="8205" spans="1:2" x14ac:dyDescent="0.25">
      <c r="A8205" s="118"/>
      <c r="B8205" s="136"/>
    </row>
    <row r="8206" spans="1:2" x14ac:dyDescent="0.25">
      <c r="A8206" s="118"/>
      <c r="B8206" s="136"/>
    </row>
    <row r="8207" spans="1:2" x14ac:dyDescent="0.25">
      <c r="A8207" s="118"/>
      <c r="B8207" s="136"/>
    </row>
    <row r="8208" spans="1:2" x14ac:dyDescent="0.25">
      <c r="A8208" s="118"/>
      <c r="B8208" s="136"/>
    </row>
    <row r="8209" spans="1:2" x14ac:dyDescent="0.25">
      <c r="A8209" s="118"/>
      <c r="B8209" s="136"/>
    </row>
    <row r="8210" spans="1:2" x14ac:dyDescent="0.25">
      <c r="A8210" s="118"/>
      <c r="B8210" s="136"/>
    </row>
    <row r="8211" spans="1:2" x14ac:dyDescent="0.25">
      <c r="A8211" s="118"/>
      <c r="B8211" s="136"/>
    </row>
    <row r="8212" spans="1:2" x14ac:dyDescent="0.25">
      <c r="A8212" s="118"/>
      <c r="B8212" s="136"/>
    </row>
    <row r="8213" spans="1:2" x14ac:dyDescent="0.25">
      <c r="A8213" s="118"/>
      <c r="B8213" s="136"/>
    </row>
    <row r="8214" spans="1:2" x14ac:dyDescent="0.25">
      <c r="A8214" s="118"/>
      <c r="B8214" s="136"/>
    </row>
    <row r="8215" spans="1:2" x14ac:dyDescent="0.25">
      <c r="A8215" s="118"/>
      <c r="B8215" s="136"/>
    </row>
    <row r="8216" spans="1:2" x14ac:dyDescent="0.25">
      <c r="A8216" s="118"/>
      <c r="B8216" s="136"/>
    </row>
    <row r="8217" spans="1:2" x14ac:dyDescent="0.25">
      <c r="A8217" s="118"/>
      <c r="B8217" s="136"/>
    </row>
    <row r="8218" spans="1:2" x14ac:dyDescent="0.25">
      <c r="A8218" s="118"/>
      <c r="B8218" s="136"/>
    </row>
    <row r="8219" spans="1:2" x14ac:dyDescent="0.25">
      <c r="A8219" s="118"/>
      <c r="B8219" s="136"/>
    </row>
    <row r="8220" spans="1:2" x14ac:dyDescent="0.25">
      <c r="A8220" s="118"/>
      <c r="B8220" s="136"/>
    </row>
    <row r="8221" spans="1:2" x14ac:dyDescent="0.25">
      <c r="A8221" s="118"/>
      <c r="B8221" s="136"/>
    </row>
    <row r="8222" spans="1:2" x14ac:dyDescent="0.25">
      <c r="A8222" s="118"/>
      <c r="B8222" s="136"/>
    </row>
    <row r="8223" spans="1:2" x14ac:dyDescent="0.25">
      <c r="A8223" s="118"/>
      <c r="B8223" s="136"/>
    </row>
    <row r="8224" spans="1:2" x14ac:dyDescent="0.25">
      <c r="A8224" s="118"/>
      <c r="B8224" s="136"/>
    </row>
    <row r="8225" spans="1:2" x14ac:dyDescent="0.25">
      <c r="A8225" s="118"/>
      <c r="B8225" s="136"/>
    </row>
    <row r="8226" spans="1:2" x14ac:dyDescent="0.25">
      <c r="A8226" s="118"/>
      <c r="B8226" s="136"/>
    </row>
    <row r="8227" spans="1:2" x14ac:dyDescent="0.25">
      <c r="A8227" s="118"/>
      <c r="B8227" s="136"/>
    </row>
    <row r="8228" spans="1:2" x14ac:dyDescent="0.25">
      <c r="A8228" s="118"/>
      <c r="B8228" s="136"/>
    </row>
    <row r="8229" spans="1:2" x14ac:dyDescent="0.25">
      <c r="A8229" s="118"/>
      <c r="B8229" s="136"/>
    </row>
    <row r="8230" spans="1:2" x14ac:dyDescent="0.25">
      <c r="A8230" s="118"/>
      <c r="B8230" s="136"/>
    </row>
    <row r="8231" spans="1:2" x14ac:dyDescent="0.25">
      <c r="A8231" s="118"/>
      <c r="B8231" s="136"/>
    </row>
    <row r="8232" spans="1:2" x14ac:dyDescent="0.25">
      <c r="A8232" s="118"/>
      <c r="B8232" s="136"/>
    </row>
    <row r="8233" spans="1:2" x14ac:dyDescent="0.25">
      <c r="A8233" s="118"/>
      <c r="B8233" s="136"/>
    </row>
    <row r="8234" spans="1:2" x14ac:dyDescent="0.25">
      <c r="A8234" s="118"/>
      <c r="B8234" s="136"/>
    </row>
    <row r="8235" spans="1:2" x14ac:dyDescent="0.25">
      <c r="A8235" s="118"/>
      <c r="B8235" s="136"/>
    </row>
    <row r="8236" spans="1:2" x14ac:dyDescent="0.25">
      <c r="A8236" s="118"/>
      <c r="B8236" s="136"/>
    </row>
    <row r="8237" spans="1:2" x14ac:dyDescent="0.25">
      <c r="A8237" s="118"/>
      <c r="B8237" s="136"/>
    </row>
    <row r="8238" spans="1:2" x14ac:dyDescent="0.25">
      <c r="A8238" s="118"/>
      <c r="B8238" s="136"/>
    </row>
    <row r="8239" spans="1:2" x14ac:dyDescent="0.25">
      <c r="A8239" s="118"/>
      <c r="B8239" s="136"/>
    </row>
    <row r="8240" spans="1:2" x14ac:dyDescent="0.25">
      <c r="A8240" s="118"/>
      <c r="B8240" s="136"/>
    </row>
    <row r="8241" spans="1:2" x14ac:dyDescent="0.25">
      <c r="A8241" s="118"/>
      <c r="B8241" s="136"/>
    </row>
    <row r="8242" spans="1:2" x14ac:dyDescent="0.25">
      <c r="A8242" s="118"/>
      <c r="B8242" s="136"/>
    </row>
    <row r="8243" spans="1:2" x14ac:dyDescent="0.25">
      <c r="A8243" s="118"/>
      <c r="B8243" s="136"/>
    </row>
    <row r="8244" spans="1:2" x14ac:dyDescent="0.25">
      <c r="A8244" s="118"/>
      <c r="B8244" s="136"/>
    </row>
    <row r="8245" spans="1:2" x14ac:dyDescent="0.25">
      <c r="A8245" s="118"/>
      <c r="B8245" s="136"/>
    </row>
    <row r="8246" spans="1:2" x14ac:dyDescent="0.25">
      <c r="A8246" s="118"/>
      <c r="B8246" s="136"/>
    </row>
    <row r="8247" spans="1:2" x14ac:dyDescent="0.25">
      <c r="A8247" s="118"/>
      <c r="B8247" s="136"/>
    </row>
    <row r="8248" spans="1:2" x14ac:dyDescent="0.25">
      <c r="A8248" s="118"/>
      <c r="B8248" s="136"/>
    </row>
    <row r="8249" spans="1:2" x14ac:dyDescent="0.25">
      <c r="A8249" s="118"/>
      <c r="B8249" s="136"/>
    </row>
    <row r="8250" spans="1:2" x14ac:dyDescent="0.25">
      <c r="A8250" s="118"/>
      <c r="B8250" s="136"/>
    </row>
    <row r="8251" spans="1:2" x14ac:dyDescent="0.25">
      <c r="A8251" s="118"/>
      <c r="B8251" s="136"/>
    </row>
    <row r="8252" spans="1:2" x14ac:dyDescent="0.25">
      <c r="A8252" s="118"/>
      <c r="B8252" s="136"/>
    </row>
    <row r="8253" spans="1:2" x14ac:dyDescent="0.25">
      <c r="A8253" s="118"/>
      <c r="B8253" s="136"/>
    </row>
    <row r="8254" spans="1:2" x14ac:dyDescent="0.25">
      <c r="A8254" s="118"/>
      <c r="B8254" s="136"/>
    </row>
    <row r="8255" spans="1:2" x14ac:dyDescent="0.25">
      <c r="A8255" s="118"/>
      <c r="B8255" s="136"/>
    </row>
    <row r="8256" spans="1:2" x14ac:dyDescent="0.25">
      <c r="A8256" s="118"/>
      <c r="B8256" s="136"/>
    </row>
    <row r="8257" spans="1:2" x14ac:dyDescent="0.25">
      <c r="A8257" s="118"/>
      <c r="B8257" s="136"/>
    </row>
    <row r="8258" spans="1:2" x14ac:dyDescent="0.25">
      <c r="A8258" s="118"/>
      <c r="B8258" s="136"/>
    </row>
    <row r="8259" spans="1:2" x14ac:dyDescent="0.25">
      <c r="A8259" s="118"/>
      <c r="B8259" s="136"/>
    </row>
    <row r="8260" spans="1:2" x14ac:dyDescent="0.25">
      <c r="A8260" s="118"/>
      <c r="B8260" s="136"/>
    </row>
    <row r="8261" spans="1:2" x14ac:dyDescent="0.25">
      <c r="A8261" s="118"/>
      <c r="B8261" s="136"/>
    </row>
    <row r="8262" spans="1:2" x14ac:dyDescent="0.25">
      <c r="A8262" s="118"/>
      <c r="B8262" s="136"/>
    </row>
    <row r="8263" spans="1:2" x14ac:dyDescent="0.25">
      <c r="A8263" s="118"/>
      <c r="B8263" s="136"/>
    </row>
    <row r="8264" spans="1:2" x14ac:dyDescent="0.25">
      <c r="A8264" s="118"/>
      <c r="B8264" s="136"/>
    </row>
    <row r="8265" spans="1:2" x14ac:dyDescent="0.25">
      <c r="A8265" s="118"/>
      <c r="B8265" s="136"/>
    </row>
    <row r="8266" spans="1:2" x14ac:dyDescent="0.25">
      <c r="A8266" s="118"/>
      <c r="B8266" s="136"/>
    </row>
    <row r="8267" spans="1:2" x14ac:dyDescent="0.25">
      <c r="A8267" s="118"/>
      <c r="B8267" s="136"/>
    </row>
    <row r="8268" spans="1:2" x14ac:dyDescent="0.25">
      <c r="A8268" s="118"/>
      <c r="B8268" s="136"/>
    </row>
    <row r="8269" spans="1:2" x14ac:dyDescent="0.25">
      <c r="A8269" s="118"/>
      <c r="B8269" s="136"/>
    </row>
    <row r="8270" spans="1:2" x14ac:dyDescent="0.25">
      <c r="A8270" s="118"/>
      <c r="B8270" s="136"/>
    </row>
    <row r="8271" spans="1:2" x14ac:dyDescent="0.25">
      <c r="A8271" s="118"/>
      <c r="B8271" s="136"/>
    </row>
    <row r="8272" spans="1:2" x14ac:dyDescent="0.25">
      <c r="A8272" s="118"/>
      <c r="B8272" s="136"/>
    </row>
    <row r="8273" spans="1:2" x14ac:dyDescent="0.25">
      <c r="A8273" s="118"/>
      <c r="B8273" s="136"/>
    </row>
    <row r="8274" spans="1:2" x14ac:dyDescent="0.25">
      <c r="A8274" s="118"/>
      <c r="B8274" s="136"/>
    </row>
    <row r="8275" spans="1:2" x14ac:dyDescent="0.25">
      <c r="A8275" s="118"/>
      <c r="B8275" s="136"/>
    </row>
    <row r="8276" spans="1:2" x14ac:dyDescent="0.25">
      <c r="A8276" s="118"/>
      <c r="B8276" s="136"/>
    </row>
    <row r="8277" spans="1:2" x14ac:dyDescent="0.25">
      <c r="A8277" s="118"/>
      <c r="B8277" s="136"/>
    </row>
    <row r="8278" spans="1:2" x14ac:dyDescent="0.25">
      <c r="A8278" s="118"/>
      <c r="B8278" s="136"/>
    </row>
    <row r="8279" spans="1:2" x14ac:dyDescent="0.25">
      <c r="A8279" s="118"/>
      <c r="B8279" s="136"/>
    </row>
    <row r="8280" spans="1:2" x14ac:dyDescent="0.25">
      <c r="A8280" s="118"/>
      <c r="B8280" s="136"/>
    </row>
    <row r="8281" spans="1:2" x14ac:dyDescent="0.25">
      <c r="A8281" s="118"/>
      <c r="B8281" s="136"/>
    </row>
    <row r="8282" spans="1:2" x14ac:dyDescent="0.25">
      <c r="A8282" s="118"/>
      <c r="B8282" s="136"/>
    </row>
    <row r="8283" spans="1:2" x14ac:dyDescent="0.25">
      <c r="A8283" s="118"/>
      <c r="B8283" s="136"/>
    </row>
    <row r="8284" spans="1:2" x14ac:dyDescent="0.25">
      <c r="A8284" s="118"/>
      <c r="B8284" s="136"/>
    </row>
    <row r="8285" spans="1:2" x14ac:dyDescent="0.25">
      <c r="A8285" s="118"/>
      <c r="B8285" s="136"/>
    </row>
    <row r="8286" spans="1:2" x14ac:dyDescent="0.25">
      <c r="A8286" s="118"/>
      <c r="B8286" s="136"/>
    </row>
    <row r="8287" spans="1:2" x14ac:dyDescent="0.25">
      <c r="A8287" s="118"/>
      <c r="B8287" s="136"/>
    </row>
    <row r="8288" spans="1:2" x14ac:dyDescent="0.25">
      <c r="A8288" s="118"/>
      <c r="B8288" s="136"/>
    </row>
    <row r="8289" spans="1:2" x14ac:dyDescent="0.25">
      <c r="A8289" s="118"/>
      <c r="B8289" s="136"/>
    </row>
    <row r="8290" spans="1:2" x14ac:dyDescent="0.25">
      <c r="A8290" s="118"/>
      <c r="B8290" s="136"/>
    </row>
    <row r="8291" spans="1:2" x14ac:dyDescent="0.25">
      <c r="A8291" s="118"/>
      <c r="B8291" s="136"/>
    </row>
    <row r="8292" spans="1:2" x14ac:dyDescent="0.25">
      <c r="A8292" s="118"/>
      <c r="B8292" s="136"/>
    </row>
    <row r="8293" spans="1:2" x14ac:dyDescent="0.25">
      <c r="A8293" s="118"/>
      <c r="B8293" s="136"/>
    </row>
    <row r="8294" spans="1:2" x14ac:dyDescent="0.25">
      <c r="A8294" s="118"/>
      <c r="B8294" s="136"/>
    </row>
    <row r="8295" spans="1:2" x14ac:dyDescent="0.25">
      <c r="A8295" s="118"/>
      <c r="B8295" s="136"/>
    </row>
    <row r="8296" spans="1:2" x14ac:dyDescent="0.25">
      <c r="A8296" s="118"/>
      <c r="B8296" s="136"/>
    </row>
    <row r="8297" spans="1:2" x14ac:dyDescent="0.25">
      <c r="A8297" s="118"/>
      <c r="B8297" s="136"/>
    </row>
    <row r="8298" spans="1:2" x14ac:dyDescent="0.25">
      <c r="A8298" s="118"/>
      <c r="B8298" s="136"/>
    </row>
    <row r="8299" spans="1:2" x14ac:dyDescent="0.25">
      <c r="A8299" s="118"/>
      <c r="B8299" s="136"/>
    </row>
    <row r="8300" spans="1:2" x14ac:dyDescent="0.25">
      <c r="A8300" s="118"/>
      <c r="B8300" s="136"/>
    </row>
    <row r="8301" spans="1:2" x14ac:dyDescent="0.25">
      <c r="A8301" s="118"/>
      <c r="B8301" s="136"/>
    </row>
    <row r="8302" spans="1:2" x14ac:dyDescent="0.25">
      <c r="A8302" s="118"/>
      <c r="B8302" s="136"/>
    </row>
    <row r="8303" spans="1:2" x14ac:dyDescent="0.25">
      <c r="A8303" s="118"/>
      <c r="B8303" s="136"/>
    </row>
    <row r="8304" spans="1:2" x14ac:dyDescent="0.25">
      <c r="A8304" s="118"/>
      <c r="B8304" s="136"/>
    </row>
    <row r="8305" spans="1:2" x14ac:dyDescent="0.25">
      <c r="A8305" s="118"/>
      <c r="B8305" s="136"/>
    </row>
    <row r="8306" spans="1:2" x14ac:dyDescent="0.25">
      <c r="A8306" s="118"/>
      <c r="B8306" s="136"/>
    </row>
    <row r="8307" spans="1:2" x14ac:dyDescent="0.25">
      <c r="A8307" s="118"/>
      <c r="B8307" s="136"/>
    </row>
    <row r="8308" spans="1:2" x14ac:dyDescent="0.25">
      <c r="A8308" s="118"/>
      <c r="B8308" s="136"/>
    </row>
    <row r="8309" spans="1:2" x14ac:dyDescent="0.25">
      <c r="A8309" s="118"/>
      <c r="B8309" s="136"/>
    </row>
    <row r="8310" spans="1:2" x14ac:dyDescent="0.25">
      <c r="A8310" s="118"/>
      <c r="B8310" s="136"/>
    </row>
    <row r="8311" spans="1:2" x14ac:dyDescent="0.25">
      <c r="A8311" s="118"/>
      <c r="B8311" s="136"/>
    </row>
    <row r="8312" spans="1:2" x14ac:dyDescent="0.25">
      <c r="A8312" s="118"/>
      <c r="B8312" s="136"/>
    </row>
    <row r="8313" spans="1:2" x14ac:dyDescent="0.25">
      <c r="A8313" s="118"/>
      <c r="B8313" s="136"/>
    </row>
    <row r="8314" spans="1:2" x14ac:dyDescent="0.25">
      <c r="A8314" s="118"/>
      <c r="B8314" s="136"/>
    </row>
    <row r="8315" spans="1:2" x14ac:dyDescent="0.25">
      <c r="A8315" s="118"/>
      <c r="B8315" s="136"/>
    </row>
    <row r="8316" spans="1:2" x14ac:dyDescent="0.25">
      <c r="A8316" s="118"/>
      <c r="B8316" s="136"/>
    </row>
    <row r="8317" spans="1:2" x14ac:dyDescent="0.25">
      <c r="A8317" s="118"/>
      <c r="B8317" s="136"/>
    </row>
    <row r="8318" spans="1:2" x14ac:dyDescent="0.25">
      <c r="A8318" s="118"/>
      <c r="B8318" s="136"/>
    </row>
    <row r="8319" spans="1:2" x14ac:dyDescent="0.25">
      <c r="A8319" s="118"/>
      <c r="B8319" s="136"/>
    </row>
    <row r="8320" spans="1:2" x14ac:dyDescent="0.25">
      <c r="A8320" s="118"/>
      <c r="B8320" s="136"/>
    </row>
    <row r="8321" spans="1:2" x14ac:dyDescent="0.25">
      <c r="A8321" s="118"/>
      <c r="B8321" s="136"/>
    </row>
    <row r="8322" spans="1:2" x14ac:dyDescent="0.25">
      <c r="A8322" s="118"/>
      <c r="B8322" s="136"/>
    </row>
    <row r="8323" spans="1:2" x14ac:dyDescent="0.25">
      <c r="A8323" s="118"/>
      <c r="B8323" s="136"/>
    </row>
    <row r="8324" spans="1:2" x14ac:dyDescent="0.25">
      <c r="A8324" s="118"/>
      <c r="B8324" s="136"/>
    </row>
    <row r="8325" spans="1:2" x14ac:dyDescent="0.25">
      <c r="A8325" s="118"/>
      <c r="B8325" s="136"/>
    </row>
    <row r="8326" spans="1:2" x14ac:dyDescent="0.25">
      <c r="A8326" s="118"/>
      <c r="B8326" s="136"/>
    </row>
    <row r="8327" spans="1:2" x14ac:dyDescent="0.25">
      <c r="A8327" s="118"/>
      <c r="B8327" s="136"/>
    </row>
    <row r="8328" spans="1:2" x14ac:dyDescent="0.25">
      <c r="A8328" s="118"/>
      <c r="B8328" s="136"/>
    </row>
    <row r="8329" spans="1:2" x14ac:dyDescent="0.25">
      <c r="A8329" s="118"/>
      <c r="B8329" s="136"/>
    </row>
    <row r="8330" spans="1:2" x14ac:dyDescent="0.25">
      <c r="A8330" s="118"/>
      <c r="B8330" s="136"/>
    </row>
    <row r="8331" spans="1:2" x14ac:dyDescent="0.25">
      <c r="A8331" s="118"/>
      <c r="B8331" s="136"/>
    </row>
    <row r="8332" spans="1:2" x14ac:dyDescent="0.25">
      <c r="A8332" s="118"/>
      <c r="B8332" s="136"/>
    </row>
    <row r="8333" spans="1:2" x14ac:dyDescent="0.25">
      <c r="A8333" s="118"/>
      <c r="B8333" s="136"/>
    </row>
    <row r="8334" spans="1:2" x14ac:dyDescent="0.25">
      <c r="A8334" s="118"/>
      <c r="B8334" s="136"/>
    </row>
    <row r="8335" spans="1:2" x14ac:dyDescent="0.25">
      <c r="A8335" s="118"/>
      <c r="B8335" s="136"/>
    </row>
    <row r="8336" spans="1:2" x14ac:dyDescent="0.25">
      <c r="A8336" s="118"/>
      <c r="B8336" s="136"/>
    </row>
    <row r="8337" spans="1:2" x14ac:dyDescent="0.25">
      <c r="A8337" s="118"/>
      <c r="B8337" s="136"/>
    </row>
    <row r="8338" spans="1:2" x14ac:dyDescent="0.25">
      <c r="A8338" s="118"/>
      <c r="B8338" s="136"/>
    </row>
    <row r="8339" spans="1:2" x14ac:dyDescent="0.25">
      <c r="A8339" s="118"/>
      <c r="B8339" s="136"/>
    </row>
    <row r="8340" spans="1:2" x14ac:dyDescent="0.25">
      <c r="A8340" s="118"/>
      <c r="B8340" s="136"/>
    </row>
    <row r="8341" spans="1:2" x14ac:dyDescent="0.25">
      <c r="A8341" s="118"/>
      <c r="B8341" s="136"/>
    </row>
    <row r="8342" spans="1:2" x14ac:dyDescent="0.25">
      <c r="A8342" s="118"/>
      <c r="B8342" s="136"/>
    </row>
    <row r="8343" spans="1:2" x14ac:dyDescent="0.25">
      <c r="A8343" s="118"/>
      <c r="B8343" s="136"/>
    </row>
    <row r="8344" spans="1:2" x14ac:dyDescent="0.25">
      <c r="A8344" s="118"/>
      <c r="B8344" s="136"/>
    </row>
    <row r="8345" spans="1:2" x14ac:dyDescent="0.25">
      <c r="A8345" s="118"/>
      <c r="B8345" s="136"/>
    </row>
    <row r="8346" spans="1:2" x14ac:dyDescent="0.25">
      <c r="A8346" s="118"/>
      <c r="B8346" s="136"/>
    </row>
    <row r="8347" spans="1:2" x14ac:dyDescent="0.25">
      <c r="A8347" s="118"/>
      <c r="B8347" s="136"/>
    </row>
    <row r="8348" spans="1:2" x14ac:dyDescent="0.25">
      <c r="A8348" s="118"/>
      <c r="B8348" s="136"/>
    </row>
    <row r="8349" spans="1:2" x14ac:dyDescent="0.25">
      <c r="A8349" s="118"/>
      <c r="B8349" s="136"/>
    </row>
    <row r="8350" spans="1:2" x14ac:dyDescent="0.25">
      <c r="A8350" s="118"/>
      <c r="B8350" s="136"/>
    </row>
    <row r="8351" spans="1:2" x14ac:dyDescent="0.25">
      <c r="A8351" s="118"/>
      <c r="B8351" s="136"/>
    </row>
    <row r="8352" spans="1:2" x14ac:dyDescent="0.25">
      <c r="A8352" s="118"/>
      <c r="B8352" s="136"/>
    </row>
    <row r="8353" spans="1:2" x14ac:dyDescent="0.25">
      <c r="A8353" s="118"/>
      <c r="B8353" s="136"/>
    </row>
    <row r="8354" spans="1:2" x14ac:dyDescent="0.25">
      <c r="A8354" s="118"/>
      <c r="B8354" s="136"/>
    </row>
    <row r="8355" spans="1:2" x14ac:dyDescent="0.25">
      <c r="A8355" s="118"/>
      <c r="B8355" s="136"/>
    </row>
    <row r="8356" spans="1:2" x14ac:dyDescent="0.25">
      <c r="A8356" s="118"/>
      <c r="B8356" s="136"/>
    </row>
    <row r="8357" spans="1:2" x14ac:dyDescent="0.25">
      <c r="A8357" s="118"/>
      <c r="B8357" s="136"/>
    </row>
    <row r="8358" spans="1:2" x14ac:dyDescent="0.25">
      <c r="A8358" s="118"/>
      <c r="B8358" s="136"/>
    </row>
    <row r="8359" spans="1:2" x14ac:dyDescent="0.25">
      <c r="A8359" s="118"/>
      <c r="B8359" s="136"/>
    </row>
    <row r="8360" spans="1:2" x14ac:dyDescent="0.25">
      <c r="A8360" s="118"/>
      <c r="B8360" s="136"/>
    </row>
    <row r="8361" spans="1:2" x14ac:dyDescent="0.25">
      <c r="A8361" s="118"/>
      <c r="B8361" s="136"/>
    </row>
    <row r="8362" spans="1:2" x14ac:dyDescent="0.25">
      <c r="A8362" s="118"/>
      <c r="B8362" s="136"/>
    </row>
    <row r="8363" spans="1:2" x14ac:dyDescent="0.25">
      <c r="A8363" s="118"/>
      <c r="B8363" s="136"/>
    </row>
    <row r="8364" spans="1:2" x14ac:dyDescent="0.25">
      <c r="A8364" s="118"/>
      <c r="B8364" s="136"/>
    </row>
    <row r="8365" spans="1:2" x14ac:dyDescent="0.25">
      <c r="A8365" s="118"/>
      <c r="B8365" s="136"/>
    </row>
    <row r="8366" spans="1:2" x14ac:dyDescent="0.25">
      <c r="A8366" s="118"/>
      <c r="B8366" s="136"/>
    </row>
    <row r="8367" spans="1:2" x14ac:dyDescent="0.25">
      <c r="A8367" s="118"/>
      <c r="B8367" s="136"/>
    </row>
    <row r="8368" spans="1:2" x14ac:dyDescent="0.25">
      <c r="A8368" s="118"/>
      <c r="B8368" s="136"/>
    </row>
    <row r="8369" spans="1:2" x14ac:dyDescent="0.25">
      <c r="A8369" s="118"/>
      <c r="B8369" s="136"/>
    </row>
    <row r="8370" spans="1:2" x14ac:dyDescent="0.25">
      <c r="A8370" s="118"/>
      <c r="B8370" s="136"/>
    </row>
    <row r="8371" spans="1:2" x14ac:dyDescent="0.25">
      <c r="A8371" s="118"/>
      <c r="B8371" s="136"/>
    </row>
    <row r="8372" spans="1:2" x14ac:dyDescent="0.25">
      <c r="A8372" s="118"/>
      <c r="B8372" s="136"/>
    </row>
    <row r="8373" spans="1:2" x14ac:dyDescent="0.25">
      <c r="A8373" s="118"/>
      <c r="B8373" s="136"/>
    </row>
    <row r="8374" spans="1:2" x14ac:dyDescent="0.25">
      <c r="A8374" s="118"/>
      <c r="B8374" s="136"/>
    </row>
    <row r="8375" spans="1:2" x14ac:dyDescent="0.25">
      <c r="A8375" s="118"/>
      <c r="B8375" s="136"/>
    </row>
    <row r="8376" spans="1:2" x14ac:dyDescent="0.25">
      <c r="A8376" s="118"/>
      <c r="B8376" s="136"/>
    </row>
    <row r="8377" spans="1:2" x14ac:dyDescent="0.25">
      <c r="A8377" s="118"/>
      <c r="B8377" s="136"/>
    </row>
    <row r="8378" spans="1:2" x14ac:dyDescent="0.25">
      <c r="A8378" s="118"/>
      <c r="B8378" s="136"/>
    </row>
    <row r="8379" spans="1:2" x14ac:dyDescent="0.25">
      <c r="A8379" s="118"/>
      <c r="B8379" s="136"/>
    </row>
    <row r="8380" spans="1:2" x14ac:dyDescent="0.25">
      <c r="A8380" s="118"/>
      <c r="B8380" s="136"/>
    </row>
    <row r="8381" spans="1:2" x14ac:dyDescent="0.25">
      <c r="A8381" s="118"/>
      <c r="B8381" s="136"/>
    </row>
    <row r="8382" spans="1:2" x14ac:dyDescent="0.25">
      <c r="A8382" s="118"/>
      <c r="B8382" s="136"/>
    </row>
    <row r="8383" spans="1:2" x14ac:dyDescent="0.25">
      <c r="A8383" s="118"/>
      <c r="B8383" s="136"/>
    </row>
    <row r="8384" spans="1:2" x14ac:dyDescent="0.25">
      <c r="A8384" s="118"/>
      <c r="B8384" s="136"/>
    </row>
    <row r="8385" spans="1:2" x14ac:dyDescent="0.25">
      <c r="A8385" s="118"/>
      <c r="B8385" s="136"/>
    </row>
    <row r="8386" spans="1:2" x14ac:dyDescent="0.25">
      <c r="A8386" s="118"/>
      <c r="B8386" s="136"/>
    </row>
    <row r="8387" spans="1:2" x14ac:dyDescent="0.25">
      <c r="A8387" s="118"/>
      <c r="B8387" s="136"/>
    </row>
    <row r="8388" spans="1:2" x14ac:dyDescent="0.25">
      <c r="A8388" s="118"/>
      <c r="B8388" s="136"/>
    </row>
    <row r="8389" spans="1:2" x14ac:dyDescent="0.25">
      <c r="A8389" s="118"/>
      <c r="B8389" s="136"/>
    </row>
    <row r="8390" spans="1:2" x14ac:dyDescent="0.25">
      <c r="A8390" s="118"/>
      <c r="B8390" s="136"/>
    </row>
    <row r="8391" spans="1:2" x14ac:dyDescent="0.25">
      <c r="A8391" s="118"/>
      <c r="B8391" s="136"/>
    </row>
    <row r="8392" spans="1:2" x14ac:dyDescent="0.25">
      <c r="A8392" s="118"/>
      <c r="B8392" s="136"/>
    </row>
    <row r="8393" spans="1:2" x14ac:dyDescent="0.25">
      <c r="A8393" s="118"/>
      <c r="B8393" s="136"/>
    </row>
    <row r="8394" spans="1:2" x14ac:dyDescent="0.25">
      <c r="A8394" s="118"/>
      <c r="B8394" s="136"/>
    </row>
    <row r="8395" spans="1:2" x14ac:dyDescent="0.25">
      <c r="A8395" s="118"/>
      <c r="B8395" s="136"/>
    </row>
    <row r="8396" spans="1:2" x14ac:dyDescent="0.25">
      <c r="A8396" s="118"/>
      <c r="B8396" s="136"/>
    </row>
    <row r="8397" spans="1:2" x14ac:dyDescent="0.25">
      <c r="A8397" s="118"/>
      <c r="B8397" s="136"/>
    </row>
    <row r="8398" spans="1:2" x14ac:dyDescent="0.25">
      <c r="A8398" s="118"/>
      <c r="B8398" s="136"/>
    </row>
    <row r="8399" spans="1:2" x14ac:dyDescent="0.25">
      <c r="A8399" s="118"/>
      <c r="B8399" s="136"/>
    </row>
    <row r="8400" spans="1:2" x14ac:dyDescent="0.25">
      <c r="A8400" s="118"/>
      <c r="B8400" s="136"/>
    </row>
    <row r="8401" spans="1:2" x14ac:dyDescent="0.25">
      <c r="A8401" s="118"/>
      <c r="B8401" s="136"/>
    </row>
    <row r="8402" spans="1:2" x14ac:dyDescent="0.25">
      <c r="A8402" s="118"/>
      <c r="B8402" s="136"/>
    </row>
    <row r="8403" spans="1:2" x14ac:dyDescent="0.25">
      <c r="A8403" s="118"/>
      <c r="B8403" s="136"/>
    </row>
    <row r="8404" spans="1:2" x14ac:dyDescent="0.25">
      <c r="A8404" s="118"/>
      <c r="B8404" s="136"/>
    </row>
    <row r="8405" spans="1:2" x14ac:dyDescent="0.25">
      <c r="A8405" s="118"/>
      <c r="B8405" s="136"/>
    </row>
    <row r="8406" spans="1:2" x14ac:dyDescent="0.25">
      <c r="A8406" s="118"/>
      <c r="B8406" s="136"/>
    </row>
    <row r="8407" spans="1:2" x14ac:dyDescent="0.25">
      <c r="A8407" s="118"/>
      <c r="B8407" s="136"/>
    </row>
    <row r="8408" spans="1:2" x14ac:dyDescent="0.25">
      <c r="A8408" s="118"/>
      <c r="B8408" s="136"/>
    </row>
    <row r="8409" spans="1:2" x14ac:dyDescent="0.25">
      <c r="A8409" s="118"/>
      <c r="B8409" s="136"/>
    </row>
    <row r="8410" spans="1:2" x14ac:dyDescent="0.25">
      <c r="A8410" s="118"/>
      <c r="B8410" s="136"/>
    </row>
    <row r="8411" spans="1:2" x14ac:dyDescent="0.25">
      <c r="A8411" s="118"/>
      <c r="B8411" s="136"/>
    </row>
    <row r="8412" spans="1:2" x14ac:dyDescent="0.25">
      <c r="A8412" s="118"/>
      <c r="B8412" s="136"/>
    </row>
    <row r="8413" spans="1:2" x14ac:dyDescent="0.25">
      <c r="A8413" s="118"/>
      <c r="B8413" s="136"/>
    </row>
    <row r="8414" spans="1:2" x14ac:dyDescent="0.25">
      <c r="A8414" s="118"/>
      <c r="B8414" s="136"/>
    </row>
    <row r="8415" spans="1:2" x14ac:dyDescent="0.25">
      <c r="A8415" s="118"/>
      <c r="B8415" s="136"/>
    </row>
    <row r="8416" spans="1:2" x14ac:dyDescent="0.25">
      <c r="A8416" s="118"/>
      <c r="B8416" s="136"/>
    </row>
    <row r="8417" spans="1:2" x14ac:dyDescent="0.25">
      <c r="A8417" s="118"/>
      <c r="B8417" s="136"/>
    </row>
    <row r="8418" spans="1:2" x14ac:dyDescent="0.25">
      <c r="A8418" s="118"/>
      <c r="B8418" s="136"/>
    </row>
    <row r="8419" spans="1:2" x14ac:dyDescent="0.25">
      <c r="A8419" s="118"/>
      <c r="B8419" s="136"/>
    </row>
    <row r="8420" spans="1:2" x14ac:dyDescent="0.25">
      <c r="A8420" s="118"/>
      <c r="B8420" s="136"/>
    </row>
    <row r="8421" spans="1:2" x14ac:dyDescent="0.25">
      <c r="A8421" s="118"/>
      <c r="B8421" s="136"/>
    </row>
    <row r="8422" spans="1:2" x14ac:dyDescent="0.25">
      <c r="A8422" s="118"/>
      <c r="B8422" s="136"/>
    </row>
    <row r="8423" spans="1:2" x14ac:dyDescent="0.25">
      <c r="A8423" s="118"/>
      <c r="B8423" s="136"/>
    </row>
    <row r="8424" spans="1:2" x14ac:dyDescent="0.25">
      <c r="A8424" s="118"/>
      <c r="B8424" s="136"/>
    </row>
    <row r="8425" spans="1:2" x14ac:dyDescent="0.25">
      <c r="A8425" s="118"/>
      <c r="B8425" s="136"/>
    </row>
    <row r="8426" spans="1:2" x14ac:dyDescent="0.25">
      <c r="A8426" s="118"/>
      <c r="B8426" s="136"/>
    </row>
    <row r="8427" spans="1:2" x14ac:dyDescent="0.25">
      <c r="A8427" s="118"/>
      <c r="B8427" s="136"/>
    </row>
    <row r="8428" spans="1:2" x14ac:dyDescent="0.25">
      <c r="A8428" s="118"/>
      <c r="B8428" s="136"/>
    </row>
    <row r="8429" spans="1:2" x14ac:dyDescent="0.25">
      <c r="A8429" s="118"/>
      <c r="B8429" s="136"/>
    </row>
    <row r="8430" spans="1:2" x14ac:dyDescent="0.25">
      <c r="A8430" s="118"/>
      <c r="B8430" s="136"/>
    </row>
    <row r="8431" spans="1:2" x14ac:dyDescent="0.25">
      <c r="A8431" s="118"/>
      <c r="B8431" s="136"/>
    </row>
    <row r="8432" spans="1:2" x14ac:dyDescent="0.25">
      <c r="A8432" s="118"/>
      <c r="B8432" s="136"/>
    </row>
    <row r="8433" spans="1:2" x14ac:dyDescent="0.25">
      <c r="A8433" s="118"/>
      <c r="B8433" s="136"/>
    </row>
    <row r="8434" spans="1:2" x14ac:dyDescent="0.25">
      <c r="A8434" s="118"/>
      <c r="B8434" s="136"/>
    </row>
    <row r="8435" spans="1:2" x14ac:dyDescent="0.25">
      <c r="A8435" s="118"/>
      <c r="B8435" s="136"/>
    </row>
    <row r="8436" spans="1:2" x14ac:dyDescent="0.25">
      <c r="A8436" s="118"/>
      <c r="B8436" s="136"/>
    </row>
    <row r="8437" spans="1:2" x14ac:dyDescent="0.25">
      <c r="A8437" s="118"/>
      <c r="B8437" s="136"/>
    </row>
    <row r="8438" spans="1:2" x14ac:dyDescent="0.25">
      <c r="A8438" s="118"/>
      <c r="B8438" s="136"/>
    </row>
    <row r="8439" spans="1:2" x14ac:dyDescent="0.25">
      <c r="A8439" s="118"/>
      <c r="B8439" s="136"/>
    </row>
    <row r="8440" spans="1:2" x14ac:dyDescent="0.25">
      <c r="A8440" s="118"/>
      <c r="B8440" s="136"/>
    </row>
    <row r="8441" spans="1:2" x14ac:dyDescent="0.25">
      <c r="A8441" s="118"/>
      <c r="B8441" s="136"/>
    </row>
    <row r="8442" spans="1:2" x14ac:dyDescent="0.25">
      <c r="A8442" s="118"/>
      <c r="B8442" s="136"/>
    </row>
    <row r="8443" spans="1:2" x14ac:dyDescent="0.25">
      <c r="A8443" s="118"/>
      <c r="B8443" s="136"/>
    </row>
    <row r="8444" spans="1:2" x14ac:dyDescent="0.25">
      <c r="A8444" s="118"/>
      <c r="B8444" s="136"/>
    </row>
    <row r="8445" spans="1:2" x14ac:dyDescent="0.25">
      <c r="A8445" s="118"/>
      <c r="B8445" s="136"/>
    </row>
    <row r="8446" spans="1:2" x14ac:dyDescent="0.25">
      <c r="A8446" s="118"/>
      <c r="B8446" s="136"/>
    </row>
    <row r="8447" spans="1:2" x14ac:dyDescent="0.25">
      <c r="A8447" s="118"/>
      <c r="B8447" s="136"/>
    </row>
    <row r="8448" spans="1:2" x14ac:dyDescent="0.25">
      <c r="A8448" s="118"/>
      <c r="B8448" s="136"/>
    </row>
    <row r="8449" spans="1:2" x14ac:dyDescent="0.25">
      <c r="A8449" s="118"/>
      <c r="B8449" s="136"/>
    </row>
    <row r="8450" spans="1:2" x14ac:dyDescent="0.25">
      <c r="A8450" s="118"/>
      <c r="B8450" s="136"/>
    </row>
    <row r="8451" spans="1:2" x14ac:dyDescent="0.25">
      <c r="A8451" s="118"/>
      <c r="B8451" s="136"/>
    </row>
    <row r="8452" spans="1:2" x14ac:dyDescent="0.25">
      <c r="A8452" s="118"/>
      <c r="B8452" s="136"/>
    </row>
    <row r="8453" spans="1:2" x14ac:dyDescent="0.25">
      <c r="A8453" s="118"/>
      <c r="B8453" s="136"/>
    </row>
    <row r="8454" spans="1:2" x14ac:dyDescent="0.25">
      <c r="A8454" s="118"/>
      <c r="B8454" s="136"/>
    </row>
    <row r="8455" spans="1:2" x14ac:dyDescent="0.25">
      <c r="A8455" s="118"/>
      <c r="B8455" s="136"/>
    </row>
    <row r="8456" spans="1:2" x14ac:dyDescent="0.25">
      <c r="A8456" s="118"/>
      <c r="B8456" s="136"/>
    </row>
    <row r="8457" spans="1:2" x14ac:dyDescent="0.25">
      <c r="A8457" s="118"/>
      <c r="B8457" s="136"/>
    </row>
    <row r="8458" spans="1:2" x14ac:dyDescent="0.25">
      <c r="A8458" s="118"/>
      <c r="B8458" s="136"/>
    </row>
    <row r="8459" spans="1:2" x14ac:dyDescent="0.25">
      <c r="A8459" s="118"/>
      <c r="B8459" s="136"/>
    </row>
    <row r="8460" spans="1:2" x14ac:dyDescent="0.25">
      <c r="A8460" s="118"/>
      <c r="B8460" s="136"/>
    </row>
    <row r="8461" spans="1:2" x14ac:dyDescent="0.25">
      <c r="A8461" s="118"/>
      <c r="B8461" s="136"/>
    </row>
    <row r="8462" spans="1:2" x14ac:dyDescent="0.25">
      <c r="A8462" s="118"/>
      <c r="B8462" s="136"/>
    </row>
    <row r="8463" spans="1:2" x14ac:dyDescent="0.25">
      <c r="A8463" s="118"/>
      <c r="B8463" s="136"/>
    </row>
    <row r="8464" spans="1:2" x14ac:dyDescent="0.25">
      <c r="A8464" s="118"/>
      <c r="B8464" s="136"/>
    </row>
    <row r="8465" spans="1:2" x14ac:dyDescent="0.25">
      <c r="A8465" s="118"/>
      <c r="B8465" s="136"/>
    </row>
    <row r="8466" spans="1:2" x14ac:dyDescent="0.25">
      <c r="A8466" s="118"/>
      <c r="B8466" s="136"/>
    </row>
    <row r="8467" spans="1:2" x14ac:dyDescent="0.25">
      <c r="A8467" s="118"/>
      <c r="B8467" s="136"/>
    </row>
    <row r="8468" spans="1:2" x14ac:dyDescent="0.25">
      <c r="A8468" s="118"/>
      <c r="B8468" s="136"/>
    </row>
    <row r="8469" spans="1:2" x14ac:dyDescent="0.25">
      <c r="A8469" s="118"/>
      <c r="B8469" s="136"/>
    </row>
    <row r="8470" spans="1:2" x14ac:dyDescent="0.25">
      <c r="A8470" s="118"/>
      <c r="B8470" s="136"/>
    </row>
    <row r="8471" spans="1:2" x14ac:dyDescent="0.25">
      <c r="A8471" s="118"/>
      <c r="B8471" s="136"/>
    </row>
    <row r="8472" spans="1:2" x14ac:dyDescent="0.25">
      <c r="A8472" s="118"/>
      <c r="B8472" s="136"/>
    </row>
    <row r="8473" spans="1:2" x14ac:dyDescent="0.25">
      <c r="A8473" s="118"/>
      <c r="B8473" s="136"/>
    </row>
    <row r="8474" spans="1:2" x14ac:dyDescent="0.25">
      <c r="A8474" s="118"/>
      <c r="B8474" s="136"/>
    </row>
    <row r="8475" spans="1:2" x14ac:dyDescent="0.25">
      <c r="A8475" s="118"/>
      <c r="B8475" s="136"/>
    </row>
    <row r="8476" spans="1:2" x14ac:dyDescent="0.25">
      <c r="A8476" s="118"/>
      <c r="B8476" s="136"/>
    </row>
    <row r="8477" spans="1:2" x14ac:dyDescent="0.25">
      <c r="A8477" s="118"/>
      <c r="B8477" s="136"/>
    </row>
    <row r="8478" spans="1:2" x14ac:dyDescent="0.25">
      <c r="A8478" s="118"/>
      <c r="B8478" s="136"/>
    </row>
    <row r="8479" spans="1:2" x14ac:dyDescent="0.25">
      <c r="A8479" s="118"/>
      <c r="B8479" s="136"/>
    </row>
    <row r="8480" spans="1:2" x14ac:dyDescent="0.25">
      <c r="A8480" s="118"/>
      <c r="B8480" s="136"/>
    </row>
    <row r="8481" spans="1:2" x14ac:dyDescent="0.25">
      <c r="A8481" s="118"/>
      <c r="B8481" s="136"/>
    </row>
    <row r="8482" spans="1:2" x14ac:dyDescent="0.25">
      <c r="A8482" s="118"/>
      <c r="B8482" s="136"/>
    </row>
    <row r="8483" spans="1:2" x14ac:dyDescent="0.25">
      <c r="A8483" s="118"/>
      <c r="B8483" s="136"/>
    </row>
    <row r="8484" spans="1:2" x14ac:dyDescent="0.25">
      <c r="A8484" s="118"/>
      <c r="B8484" s="136"/>
    </row>
    <row r="8485" spans="1:2" x14ac:dyDescent="0.25">
      <c r="A8485" s="118"/>
      <c r="B8485" s="136"/>
    </row>
    <row r="8486" spans="1:2" x14ac:dyDescent="0.25">
      <c r="A8486" s="118"/>
      <c r="B8486" s="136"/>
    </row>
    <row r="8487" spans="1:2" x14ac:dyDescent="0.25">
      <c r="A8487" s="118"/>
      <c r="B8487" s="136"/>
    </row>
    <row r="8488" spans="1:2" x14ac:dyDescent="0.25">
      <c r="A8488" s="118"/>
      <c r="B8488" s="136"/>
    </row>
    <row r="8489" spans="1:2" x14ac:dyDescent="0.25">
      <c r="A8489" s="118"/>
      <c r="B8489" s="136"/>
    </row>
    <row r="8490" spans="1:2" x14ac:dyDescent="0.25">
      <c r="A8490" s="118"/>
      <c r="B8490" s="136"/>
    </row>
    <row r="8491" spans="1:2" x14ac:dyDescent="0.25">
      <c r="A8491" s="118"/>
      <c r="B8491" s="136"/>
    </row>
    <row r="8492" spans="1:2" x14ac:dyDescent="0.25">
      <c r="A8492" s="118"/>
      <c r="B8492" s="136"/>
    </row>
    <row r="8493" spans="1:2" x14ac:dyDescent="0.25">
      <c r="A8493" s="118"/>
      <c r="B8493" s="136"/>
    </row>
    <row r="8494" spans="1:2" x14ac:dyDescent="0.25">
      <c r="A8494" s="118"/>
      <c r="B8494" s="136"/>
    </row>
    <row r="8495" spans="1:2" x14ac:dyDescent="0.25">
      <c r="A8495" s="118"/>
      <c r="B8495" s="136"/>
    </row>
    <row r="8496" spans="1:2" x14ac:dyDescent="0.25">
      <c r="A8496" s="118"/>
      <c r="B8496" s="136"/>
    </row>
    <row r="8497" spans="1:2" x14ac:dyDescent="0.25">
      <c r="A8497" s="118"/>
      <c r="B8497" s="136"/>
    </row>
    <row r="8498" spans="1:2" x14ac:dyDescent="0.25">
      <c r="A8498" s="118"/>
      <c r="B8498" s="136"/>
    </row>
    <row r="8499" spans="1:2" x14ac:dyDescent="0.25">
      <c r="A8499" s="118"/>
      <c r="B8499" s="136"/>
    </row>
    <row r="8500" spans="1:2" x14ac:dyDescent="0.25">
      <c r="A8500" s="118"/>
      <c r="B8500" s="136"/>
    </row>
    <row r="8501" spans="1:2" x14ac:dyDescent="0.25">
      <c r="A8501" s="118"/>
      <c r="B8501" s="136"/>
    </row>
    <row r="8502" spans="1:2" x14ac:dyDescent="0.25">
      <c r="A8502" s="118"/>
      <c r="B8502" s="136"/>
    </row>
    <row r="8503" spans="1:2" x14ac:dyDescent="0.25">
      <c r="A8503" s="118"/>
      <c r="B8503" s="136"/>
    </row>
    <row r="8504" spans="1:2" x14ac:dyDescent="0.25">
      <c r="A8504" s="118"/>
      <c r="B8504" s="136"/>
    </row>
    <row r="8505" spans="1:2" x14ac:dyDescent="0.25">
      <c r="A8505" s="118"/>
      <c r="B8505" s="136"/>
    </row>
    <row r="8506" spans="1:2" x14ac:dyDescent="0.25">
      <c r="A8506" s="118"/>
      <c r="B8506" s="136"/>
    </row>
    <row r="8507" spans="1:2" x14ac:dyDescent="0.25">
      <c r="A8507" s="118"/>
      <c r="B8507" s="136"/>
    </row>
    <row r="8508" spans="1:2" x14ac:dyDescent="0.25">
      <c r="A8508" s="118"/>
      <c r="B8508" s="136"/>
    </row>
    <row r="8509" spans="1:2" x14ac:dyDescent="0.25">
      <c r="A8509" s="118"/>
      <c r="B8509" s="136"/>
    </row>
    <row r="8510" spans="1:2" x14ac:dyDescent="0.25">
      <c r="A8510" s="118"/>
      <c r="B8510" s="136"/>
    </row>
    <row r="8511" spans="1:2" x14ac:dyDescent="0.25">
      <c r="A8511" s="118"/>
      <c r="B8511" s="136"/>
    </row>
    <row r="8512" spans="1:2" x14ac:dyDescent="0.25">
      <c r="A8512" s="118"/>
      <c r="B8512" s="136"/>
    </row>
    <row r="8513" spans="1:2" x14ac:dyDescent="0.25">
      <c r="A8513" s="118"/>
      <c r="B8513" s="136"/>
    </row>
    <row r="8514" spans="1:2" x14ac:dyDescent="0.25">
      <c r="A8514" s="118"/>
      <c r="B8514" s="136"/>
    </row>
    <row r="8515" spans="1:2" x14ac:dyDescent="0.25">
      <c r="A8515" s="118"/>
      <c r="B8515" s="136"/>
    </row>
    <row r="8516" spans="1:2" x14ac:dyDescent="0.25">
      <c r="A8516" s="118"/>
      <c r="B8516" s="136"/>
    </row>
    <row r="8517" spans="1:2" x14ac:dyDescent="0.25">
      <c r="A8517" s="118"/>
      <c r="B8517" s="136"/>
    </row>
    <row r="8518" spans="1:2" x14ac:dyDescent="0.25">
      <c r="A8518" s="118"/>
      <c r="B8518" s="136"/>
    </row>
    <row r="8519" spans="1:2" x14ac:dyDescent="0.25">
      <c r="A8519" s="118"/>
      <c r="B8519" s="136"/>
    </row>
    <row r="8520" spans="1:2" x14ac:dyDescent="0.25">
      <c r="A8520" s="118"/>
      <c r="B8520" s="136"/>
    </row>
    <row r="8521" spans="1:2" x14ac:dyDescent="0.25">
      <c r="A8521" s="118"/>
      <c r="B8521" s="136"/>
    </row>
    <row r="8522" spans="1:2" x14ac:dyDescent="0.25">
      <c r="A8522" s="118"/>
      <c r="B8522" s="136"/>
    </row>
    <row r="8523" spans="1:2" x14ac:dyDescent="0.25">
      <c r="A8523" s="118"/>
      <c r="B8523" s="136"/>
    </row>
    <row r="8524" spans="1:2" x14ac:dyDescent="0.25">
      <c r="A8524" s="118"/>
      <c r="B8524" s="136"/>
    </row>
    <row r="8525" spans="1:2" x14ac:dyDescent="0.25">
      <c r="A8525" s="118"/>
      <c r="B8525" s="136"/>
    </row>
    <row r="8526" spans="1:2" x14ac:dyDescent="0.25">
      <c r="A8526" s="118"/>
      <c r="B8526" s="136"/>
    </row>
    <row r="8527" spans="1:2" x14ac:dyDescent="0.25">
      <c r="A8527" s="118"/>
      <c r="B8527" s="136"/>
    </row>
    <row r="8528" spans="1:2" x14ac:dyDescent="0.25">
      <c r="A8528" s="118"/>
      <c r="B8528" s="136"/>
    </row>
    <row r="8529" spans="1:2" x14ac:dyDescent="0.25">
      <c r="A8529" s="118"/>
      <c r="B8529" s="136"/>
    </row>
    <row r="8530" spans="1:2" x14ac:dyDescent="0.25">
      <c r="A8530" s="118"/>
      <c r="B8530" s="136"/>
    </row>
    <row r="8531" spans="1:2" x14ac:dyDescent="0.25">
      <c r="A8531" s="118"/>
      <c r="B8531" s="136"/>
    </row>
    <row r="8532" spans="1:2" x14ac:dyDescent="0.25">
      <c r="A8532" s="118"/>
      <c r="B8532" s="136"/>
    </row>
    <row r="8533" spans="1:2" x14ac:dyDescent="0.25">
      <c r="A8533" s="118"/>
      <c r="B8533" s="136"/>
    </row>
    <row r="8534" spans="1:2" x14ac:dyDescent="0.25">
      <c r="A8534" s="118"/>
      <c r="B8534" s="136"/>
    </row>
    <row r="8535" spans="1:2" x14ac:dyDescent="0.25">
      <c r="A8535" s="118"/>
      <c r="B8535" s="136"/>
    </row>
    <row r="8536" spans="1:2" x14ac:dyDescent="0.25">
      <c r="A8536" s="118"/>
      <c r="B8536" s="136"/>
    </row>
    <row r="8537" spans="1:2" x14ac:dyDescent="0.25">
      <c r="A8537" s="118"/>
      <c r="B8537" s="136"/>
    </row>
    <row r="8538" spans="1:2" x14ac:dyDescent="0.25">
      <c r="A8538" s="118"/>
      <c r="B8538" s="136"/>
    </row>
    <row r="8539" spans="1:2" x14ac:dyDescent="0.25">
      <c r="A8539" s="118"/>
      <c r="B8539" s="136"/>
    </row>
    <row r="8540" spans="1:2" x14ac:dyDescent="0.25">
      <c r="A8540" s="118"/>
      <c r="B8540" s="136"/>
    </row>
    <row r="8541" spans="1:2" x14ac:dyDescent="0.25">
      <c r="A8541" s="118"/>
      <c r="B8541" s="136"/>
    </row>
    <row r="8542" spans="1:2" x14ac:dyDescent="0.25">
      <c r="A8542" s="118"/>
      <c r="B8542" s="136"/>
    </row>
    <row r="8543" spans="1:2" x14ac:dyDescent="0.25">
      <c r="A8543" s="118"/>
      <c r="B8543" s="136"/>
    </row>
    <row r="8544" spans="1:2" x14ac:dyDescent="0.25">
      <c r="A8544" s="118"/>
      <c r="B8544" s="136"/>
    </row>
    <row r="8545" spans="1:2" x14ac:dyDescent="0.25">
      <c r="A8545" s="118"/>
      <c r="B8545" s="136"/>
    </row>
    <row r="8546" spans="1:2" x14ac:dyDescent="0.25">
      <c r="A8546" s="118"/>
      <c r="B8546" s="136"/>
    </row>
    <row r="8547" spans="1:2" x14ac:dyDescent="0.25">
      <c r="A8547" s="118"/>
      <c r="B8547" s="136"/>
    </row>
    <row r="8548" spans="1:2" x14ac:dyDescent="0.25">
      <c r="A8548" s="118"/>
      <c r="B8548" s="136"/>
    </row>
    <row r="8549" spans="1:2" x14ac:dyDescent="0.25">
      <c r="A8549" s="118"/>
      <c r="B8549" s="136"/>
    </row>
    <row r="8550" spans="1:2" x14ac:dyDescent="0.25">
      <c r="A8550" s="118"/>
      <c r="B8550" s="136"/>
    </row>
    <row r="8551" spans="1:2" x14ac:dyDescent="0.25">
      <c r="A8551" s="118"/>
      <c r="B8551" s="136"/>
    </row>
    <row r="8552" spans="1:2" x14ac:dyDescent="0.25">
      <c r="A8552" s="118"/>
      <c r="B8552" s="136"/>
    </row>
    <row r="8553" spans="1:2" x14ac:dyDescent="0.25">
      <c r="A8553" s="118"/>
      <c r="B8553" s="136"/>
    </row>
    <row r="8554" spans="1:2" x14ac:dyDescent="0.25">
      <c r="A8554" s="118"/>
      <c r="B8554" s="136"/>
    </row>
    <row r="8555" spans="1:2" x14ac:dyDescent="0.25">
      <c r="A8555" s="118"/>
      <c r="B8555" s="136"/>
    </row>
    <row r="8556" spans="1:2" x14ac:dyDescent="0.25">
      <c r="A8556" s="118"/>
      <c r="B8556" s="136"/>
    </row>
    <row r="8557" spans="1:2" x14ac:dyDescent="0.25">
      <c r="A8557" s="118"/>
      <c r="B8557" s="136"/>
    </row>
    <row r="8558" spans="1:2" x14ac:dyDescent="0.25">
      <c r="A8558" s="118"/>
      <c r="B8558" s="136"/>
    </row>
    <row r="8559" spans="1:2" x14ac:dyDescent="0.25">
      <c r="A8559" s="118"/>
      <c r="B8559" s="136"/>
    </row>
    <row r="8560" spans="1:2" x14ac:dyDescent="0.25">
      <c r="A8560" s="118"/>
      <c r="B8560" s="136"/>
    </row>
    <row r="8561" spans="1:2" x14ac:dyDescent="0.25">
      <c r="A8561" s="118"/>
      <c r="B8561" s="136"/>
    </row>
    <row r="8562" spans="1:2" x14ac:dyDescent="0.25">
      <c r="A8562" s="118"/>
      <c r="B8562" s="136"/>
    </row>
    <row r="8563" spans="1:2" x14ac:dyDescent="0.25">
      <c r="A8563" s="118"/>
      <c r="B8563" s="136"/>
    </row>
    <row r="8564" spans="1:2" x14ac:dyDescent="0.25">
      <c r="A8564" s="118"/>
      <c r="B8564" s="136"/>
    </row>
    <row r="8565" spans="1:2" x14ac:dyDescent="0.25">
      <c r="A8565" s="118"/>
      <c r="B8565" s="136"/>
    </row>
    <row r="8566" spans="1:2" x14ac:dyDescent="0.25">
      <c r="A8566" s="118"/>
      <c r="B8566" s="136"/>
    </row>
    <row r="8567" spans="1:2" x14ac:dyDescent="0.25">
      <c r="A8567" s="118"/>
      <c r="B8567" s="136"/>
    </row>
    <row r="8568" spans="1:2" x14ac:dyDescent="0.25">
      <c r="A8568" s="118"/>
      <c r="B8568" s="136"/>
    </row>
    <row r="8569" spans="1:2" x14ac:dyDescent="0.25">
      <c r="A8569" s="118"/>
      <c r="B8569" s="136"/>
    </row>
    <row r="8570" spans="1:2" x14ac:dyDescent="0.25">
      <c r="A8570" s="118"/>
      <c r="B8570" s="136"/>
    </row>
    <row r="8571" spans="1:2" x14ac:dyDescent="0.25">
      <c r="A8571" s="118"/>
      <c r="B8571" s="136"/>
    </row>
    <row r="8572" spans="1:2" x14ac:dyDescent="0.25">
      <c r="A8572" s="118"/>
      <c r="B8572" s="136"/>
    </row>
    <row r="8573" spans="1:2" x14ac:dyDescent="0.25">
      <c r="A8573" s="118"/>
      <c r="B8573" s="136"/>
    </row>
    <row r="8574" spans="1:2" x14ac:dyDescent="0.25">
      <c r="A8574" s="118"/>
      <c r="B8574" s="136"/>
    </row>
    <row r="8575" spans="1:2" x14ac:dyDescent="0.25">
      <c r="A8575" s="118"/>
      <c r="B8575" s="136"/>
    </row>
    <row r="8576" spans="1:2" x14ac:dyDescent="0.25">
      <c r="A8576" s="118"/>
      <c r="B8576" s="136"/>
    </row>
    <row r="8577" spans="1:2" x14ac:dyDescent="0.25">
      <c r="A8577" s="118"/>
      <c r="B8577" s="136"/>
    </row>
    <row r="8578" spans="1:2" x14ac:dyDescent="0.25">
      <c r="A8578" s="118"/>
      <c r="B8578" s="136"/>
    </row>
    <row r="8579" spans="1:2" x14ac:dyDescent="0.25">
      <c r="A8579" s="118"/>
      <c r="B8579" s="136"/>
    </row>
    <row r="8580" spans="1:2" x14ac:dyDescent="0.25">
      <c r="A8580" s="118"/>
      <c r="B8580" s="136"/>
    </row>
    <row r="8581" spans="1:2" x14ac:dyDescent="0.25">
      <c r="A8581" s="118"/>
      <c r="B8581" s="136"/>
    </row>
    <row r="8582" spans="1:2" x14ac:dyDescent="0.25">
      <c r="A8582" s="118"/>
      <c r="B8582" s="136"/>
    </row>
    <row r="8583" spans="1:2" x14ac:dyDescent="0.25">
      <c r="A8583" s="118"/>
      <c r="B8583" s="136"/>
    </row>
    <row r="8584" spans="1:2" x14ac:dyDescent="0.25">
      <c r="A8584" s="118"/>
      <c r="B8584" s="136"/>
    </row>
    <row r="8585" spans="1:2" x14ac:dyDescent="0.25">
      <c r="A8585" s="118"/>
      <c r="B8585" s="136"/>
    </row>
    <row r="8586" spans="1:2" x14ac:dyDescent="0.25">
      <c r="A8586" s="118"/>
      <c r="B8586" s="136"/>
    </row>
    <row r="8587" spans="1:2" x14ac:dyDescent="0.25">
      <c r="A8587" s="118"/>
      <c r="B8587" s="136"/>
    </row>
    <row r="8588" spans="1:2" x14ac:dyDescent="0.25">
      <c r="A8588" s="118"/>
      <c r="B8588" s="136"/>
    </row>
    <row r="8589" spans="1:2" x14ac:dyDescent="0.25">
      <c r="A8589" s="118"/>
      <c r="B8589" s="136"/>
    </row>
    <row r="8590" spans="1:2" x14ac:dyDescent="0.25">
      <c r="A8590" s="118"/>
      <c r="B8590" s="136"/>
    </row>
    <row r="8591" spans="1:2" x14ac:dyDescent="0.25">
      <c r="A8591" s="118"/>
      <c r="B8591" s="136"/>
    </row>
    <row r="8592" spans="1:2" x14ac:dyDescent="0.25">
      <c r="A8592" s="118"/>
      <c r="B8592" s="136"/>
    </row>
    <row r="8593" spans="1:2" x14ac:dyDescent="0.25">
      <c r="A8593" s="118"/>
      <c r="B8593" s="136"/>
    </row>
    <row r="8594" spans="1:2" x14ac:dyDescent="0.25">
      <c r="A8594" s="118"/>
      <c r="B8594" s="136"/>
    </row>
    <row r="8595" spans="1:2" x14ac:dyDescent="0.25">
      <c r="A8595" s="118"/>
      <c r="B8595" s="136"/>
    </row>
    <row r="8596" spans="1:2" x14ac:dyDescent="0.25">
      <c r="A8596" s="118"/>
      <c r="B8596" s="136"/>
    </row>
    <row r="8597" spans="1:2" x14ac:dyDescent="0.25">
      <c r="A8597" s="118"/>
      <c r="B8597" s="136"/>
    </row>
    <row r="8598" spans="1:2" x14ac:dyDescent="0.25">
      <c r="A8598" s="118"/>
      <c r="B8598" s="136"/>
    </row>
    <row r="8599" spans="1:2" x14ac:dyDescent="0.25">
      <c r="A8599" s="118"/>
      <c r="B8599" s="136"/>
    </row>
    <row r="8600" spans="1:2" x14ac:dyDescent="0.25">
      <c r="A8600" s="118"/>
      <c r="B8600" s="136"/>
    </row>
    <row r="8601" spans="1:2" x14ac:dyDescent="0.25">
      <c r="A8601" s="118"/>
      <c r="B8601" s="136"/>
    </row>
    <row r="8602" spans="1:2" x14ac:dyDescent="0.25">
      <c r="A8602" s="118"/>
      <c r="B8602" s="136"/>
    </row>
    <row r="8603" spans="1:2" x14ac:dyDescent="0.25">
      <c r="A8603" s="118"/>
      <c r="B8603" s="136"/>
    </row>
    <row r="8604" spans="1:2" x14ac:dyDescent="0.25">
      <c r="A8604" s="118"/>
      <c r="B8604" s="136"/>
    </row>
    <row r="8605" spans="1:2" x14ac:dyDescent="0.25">
      <c r="A8605" s="118"/>
      <c r="B8605" s="136"/>
    </row>
    <row r="8606" spans="1:2" x14ac:dyDescent="0.25">
      <c r="A8606" s="118"/>
      <c r="B8606" s="136"/>
    </row>
    <row r="8607" spans="1:2" x14ac:dyDescent="0.25">
      <c r="A8607" s="118"/>
      <c r="B8607" s="136"/>
    </row>
    <row r="8608" spans="1:2" x14ac:dyDescent="0.25">
      <c r="A8608" s="118"/>
      <c r="B8608" s="136"/>
    </row>
    <row r="8609" spans="1:2" x14ac:dyDescent="0.25">
      <c r="A8609" s="118"/>
      <c r="B8609" s="136"/>
    </row>
    <row r="8610" spans="1:2" x14ac:dyDescent="0.25">
      <c r="A8610" s="118"/>
      <c r="B8610" s="136"/>
    </row>
    <row r="8611" spans="1:2" x14ac:dyDescent="0.25">
      <c r="A8611" s="118"/>
      <c r="B8611" s="136"/>
    </row>
    <row r="8612" spans="1:2" x14ac:dyDescent="0.25">
      <c r="A8612" s="118"/>
      <c r="B8612" s="136"/>
    </row>
    <row r="8613" spans="1:2" x14ac:dyDescent="0.25">
      <c r="A8613" s="118"/>
      <c r="B8613" s="136"/>
    </row>
    <row r="8614" spans="1:2" x14ac:dyDescent="0.25">
      <c r="A8614" s="118"/>
      <c r="B8614" s="136"/>
    </row>
    <row r="8615" spans="1:2" x14ac:dyDescent="0.25">
      <c r="A8615" s="118"/>
      <c r="B8615" s="136"/>
    </row>
    <row r="8616" spans="1:2" x14ac:dyDescent="0.25">
      <c r="A8616" s="118"/>
      <c r="B8616" s="136"/>
    </row>
    <row r="8617" spans="1:2" x14ac:dyDescent="0.25">
      <c r="A8617" s="118"/>
      <c r="B8617" s="136"/>
    </row>
    <row r="8618" spans="1:2" x14ac:dyDescent="0.25">
      <c r="A8618" s="118"/>
      <c r="B8618" s="136"/>
    </row>
    <row r="8619" spans="1:2" x14ac:dyDescent="0.25">
      <c r="A8619" s="118"/>
      <c r="B8619" s="136"/>
    </row>
    <row r="8620" spans="1:2" x14ac:dyDescent="0.25">
      <c r="A8620" s="118"/>
      <c r="B8620" s="136"/>
    </row>
    <row r="8621" spans="1:2" x14ac:dyDescent="0.25">
      <c r="A8621" s="118"/>
      <c r="B8621" s="136"/>
    </row>
    <row r="8622" spans="1:2" x14ac:dyDescent="0.25">
      <c r="A8622" s="118"/>
      <c r="B8622" s="136"/>
    </row>
    <row r="8623" spans="1:2" x14ac:dyDescent="0.25">
      <c r="A8623" s="118"/>
      <c r="B8623" s="136"/>
    </row>
    <row r="8624" spans="1:2" x14ac:dyDescent="0.25">
      <c r="A8624" s="118"/>
      <c r="B8624" s="136"/>
    </row>
    <row r="8625" spans="1:2" x14ac:dyDescent="0.25">
      <c r="A8625" s="118"/>
      <c r="B8625" s="136"/>
    </row>
    <row r="8626" spans="1:2" x14ac:dyDescent="0.25">
      <c r="A8626" s="118"/>
      <c r="B8626" s="136"/>
    </row>
    <row r="8627" spans="1:2" x14ac:dyDescent="0.25">
      <c r="A8627" s="118"/>
      <c r="B8627" s="136"/>
    </row>
    <row r="8628" spans="1:2" x14ac:dyDescent="0.25">
      <c r="A8628" s="118"/>
      <c r="B8628" s="136"/>
    </row>
    <row r="8629" spans="1:2" x14ac:dyDescent="0.25">
      <c r="A8629" s="118"/>
      <c r="B8629" s="136"/>
    </row>
    <row r="8630" spans="1:2" x14ac:dyDescent="0.25">
      <c r="A8630" s="118"/>
      <c r="B8630" s="136"/>
    </row>
    <row r="8631" spans="1:2" x14ac:dyDescent="0.25">
      <c r="A8631" s="118"/>
      <c r="B8631" s="136"/>
    </row>
    <row r="8632" spans="1:2" x14ac:dyDescent="0.25">
      <c r="A8632" s="118"/>
      <c r="B8632" s="136"/>
    </row>
    <row r="8633" spans="1:2" x14ac:dyDescent="0.25">
      <c r="A8633" s="118"/>
      <c r="B8633" s="136"/>
    </row>
    <row r="8634" spans="1:2" x14ac:dyDescent="0.25">
      <c r="A8634" s="118"/>
      <c r="B8634" s="136"/>
    </row>
    <row r="8635" spans="1:2" x14ac:dyDescent="0.25">
      <c r="A8635" s="118"/>
      <c r="B8635" s="136"/>
    </row>
    <row r="8636" spans="1:2" x14ac:dyDescent="0.25">
      <c r="A8636" s="118"/>
      <c r="B8636" s="136"/>
    </row>
    <row r="8637" spans="1:2" x14ac:dyDescent="0.25">
      <c r="A8637" s="118"/>
      <c r="B8637" s="136"/>
    </row>
    <row r="8638" spans="1:2" x14ac:dyDescent="0.25">
      <c r="A8638" s="118"/>
      <c r="B8638" s="136"/>
    </row>
    <row r="8639" spans="1:2" x14ac:dyDescent="0.25">
      <c r="A8639" s="118"/>
      <c r="B8639" s="136"/>
    </row>
    <row r="8640" spans="1:2" x14ac:dyDescent="0.25">
      <c r="A8640" s="118"/>
      <c r="B8640" s="136"/>
    </row>
    <row r="8641" spans="1:2" x14ac:dyDescent="0.25">
      <c r="A8641" s="118"/>
      <c r="B8641" s="136"/>
    </row>
    <row r="8642" spans="1:2" x14ac:dyDescent="0.25">
      <c r="A8642" s="118"/>
      <c r="B8642" s="136"/>
    </row>
    <row r="8643" spans="1:2" x14ac:dyDescent="0.25">
      <c r="A8643" s="118"/>
      <c r="B8643" s="136"/>
    </row>
    <row r="8644" spans="1:2" x14ac:dyDescent="0.25">
      <c r="A8644" s="118"/>
      <c r="B8644" s="136"/>
    </row>
    <row r="8645" spans="1:2" x14ac:dyDescent="0.25">
      <c r="A8645" s="118"/>
      <c r="B8645" s="136"/>
    </row>
    <row r="8646" spans="1:2" x14ac:dyDescent="0.25">
      <c r="A8646" s="118"/>
      <c r="B8646" s="136"/>
    </row>
    <row r="8647" spans="1:2" x14ac:dyDescent="0.25">
      <c r="A8647" s="118"/>
      <c r="B8647" s="136"/>
    </row>
    <row r="8648" spans="1:2" x14ac:dyDescent="0.25">
      <c r="A8648" s="118"/>
      <c r="B8648" s="136"/>
    </row>
    <row r="8649" spans="1:2" x14ac:dyDescent="0.25">
      <c r="A8649" s="118"/>
      <c r="B8649" s="136"/>
    </row>
    <row r="8650" spans="1:2" x14ac:dyDescent="0.25">
      <c r="A8650" s="118"/>
      <c r="B8650" s="136"/>
    </row>
    <row r="8651" spans="1:2" x14ac:dyDescent="0.25">
      <c r="A8651" s="118"/>
      <c r="B8651" s="136"/>
    </row>
    <row r="8652" spans="1:2" x14ac:dyDescent="0.25">
      <c r="A8652" s="118"/>
      <c r="B8652" s="136"/>
    </row>
    <row r="8653" spans="1:2" x14ac:dyDescent="0.25">
      <c r="A8653" s="118"/>
      <c r="B8653" s="136"/>
    </row>
    <row r="8654" spans="1:2" x14ac:dyDescent="0.25">
      <c r="A8654" s="118"/>
      <c r="B8654" s="136"/>
    </row>
    <row r="8655" spans="1:2" x14ac:dyDescent="0.25">
      <c r="A8655" s="118"/>
      <c r="B8655" s="136"/>
    </row>
    <row r="8656" spans="1:2" x14ac:dyDescent="0.25">
      <c r="A8656" s="118"/>
      <c r="B8656" s="136"/>
    </row>
    <row r="8657" spans="1:2" x14ac:dyDescent="0.25">
      <c r="A8657" s="118"/>
      <c r="B8657" s="136"/>
    </row>
    <row r="8658" spans="1:2" x14ac:dyDescent="0.25">
      <c r="A8658" s="118"/>
      <c r="B8658" s="136"/>
    </row>
    <row r="8659" spans="1:2" x14ac:dyDescent="0.25">
      <c r="A8659" s="118"/>
      <c r="B8659" s="136"/>
    </row>
    <row r="8660" spans="1:2" x14ac:dyDescent="0.25">
      <c r="A8660" s="118"/>
      <c r="B8660" s="136"/>
    </row>
    <row r="8661" spans="1:2" x14ac:dyDescent="0.25">
      <c r="A8661" s="118"/>
      <c r="B8661" s="136"/>
    </row>
    <row r="8662" spans="1:2" x14ac:dyDescent="0.25">
      <c r="A8662" s="118"/>
      <c r="B8662" s="136"/>
    </row>
    <row r="8663" spans="1:2" x14ac:dyDescent="0.25">
      <c r="A8663" s="118"/>
      <c r="B8663" s="136"/>
    </row>
    <row r="8664" spans="1:2" x14ac:dyDescent="0.25">
      <c r="A8664" s="118"/>
      <c r="B8664" s="136"/>
    </row>
    <row r="8665" spans="1:2" x14ac:dyDescent="0.25">
      <c r="A8665" s="118"/>
      <c r="B8665" s="136"/>
    </row>
    <row r="8666" spans="1:2" x14ac:dyDescent="0.25">
      <c r="A8666" s="118"/>
      <c r="B8666" s="136"/>
    </row>
    <row r="8667" spans="1:2" x14ac:dyDescent="0.25">
      <c r="A8667" s="118"/>
      <c r="B8667" s="136"/>
    </row>
    <row r="8668" spans="1:2" x14ac:dyDescent="0.25">
      <c r="A8668" s="118"/>
      <c r="B8668" s="136"/>
    </row>
    <row r="8669" spans="1:2" x14ac:dyDescent="0.25">
      <c r="A8669" s="118"/>
      <c r="B8669" s="136"/>
    </row>
    <row r="8670" spans="1:2" x14ac:dyDescent="0.25">
      <c r="A8670" s="118"/>
      <c r="B8670" s="136"/>
    </row>
    <row r="8671" spans="1:2" x14ac:dyDescent="0.25">
      <c r="A8671" s="118"/>
      <c r="B8671" s="136"/>
    </row>
    <row r="8672" spans="1:2" x14ac:dyDescent="0.25">
      <c r="A8672" s="118"/>
      <c r="B8672" s="136"/>
    </row>
    <row r="8673" spans="1:2" x14ac:dyDescent="0.25">
      <c r="A8673" s="118"/>
      <c r="B8673" s="136"/>
    </row>
    <row r="8674" spans="1:2" x14ac:dyDescent="0.25">
      <c r="A8674" s="118"/>
      <c r="B8674" s="136"/>
    </row>
    <row r="8675" spans="1:2" x14ac:dyDescent="0.25">
      <c r="A8675" s="118"/>
      <c r="B8675" s="136"/>
    </row>
    <row r="8676" spans="1:2" x14ac:dyDescent="0.25">
      <c r="A8676" s="118"/>
      <c r="B8676" s="136"/>
    </row>
    <row r="8677" spans="1:2" x14ac:dyDescent="0.25">
      <c r="A8677" s="118"/>
      <c r="B8677" s="136"/>
    </row>
    <row r="8678" spans="1:2" x14ac:dyDescent="0.25">
      <c r="A8678" s="118"/>
      <c r="B8678" s="136"/>
    </row>
    <row r="8679" spans="1:2" x14ac:dyDescent="0.25">
      <c r="A8679" s="118"/>
      <c r="B8679" s="136"/>
    </row>
    <row r="8680" spans="1:2" x14ac:dyDescent="0.25">
      <c r="A8680" s="118"/>
      <c r="B8680" s="136"/>
    </row>
    <row r="8681" spans="1:2" x14ac:dyDescent="0.25">
      <c r="A8681" s="118"/>
      <c r="B8681" s="136"/>
    </row>
    <row r="8682" spans="1:2" x14ac:dyDescent="0.25">
      <c r="A8682" s="118"/>
      <c r="B8682" s="136"/>
    </row>
    <row r="8683" spans="1:2" x14ac:dyDescent="0.25">
      <c r="A8683" s="118"/>
      <c r="B8683" s="136"/>
    </row>
    <row r="8684" spans="1:2" x14ac:dyDescent="0.25">
      <c r="A8684" s="118"/>
      <c r="B8684" s="136"/>
    </row>
    <row r="8685" spans="1:2" x14ac:dyDescent="0.25">
      <c r="A8685" s="118"/>
      <c r="B8685" s="136"/>
    </row>
    <row r="8686" spans="1:2" x14ac:dyDescent="0.25">
      <c r="A8686" s="118"/>
      <c r="B8686" s="136"/>
    </row>
    <row r="8687" spans="1:2" x14ac:dyDescent="0.25">
      <c r="A8687" s="118"/>
      <c r="B8687" s="136"/>
    </row>
    <row r="8688" spans="1:2" x14ac:dyDescent="0.25">
      <c r="A8688" s="118"/>
      <c r="B8688" s="136"/>
    </row>
    <row r="8689" spans="1:2" x14ac:dyDescent="0.25">
      <c r="A8689" s="118"/>
      <c r="B8689" s="136"/>
    </row>
    <row r="8690" spans="1:2" x14ac:dyDescent="0.25">
      <c r="A8690" s="118"/>
      <c r="B8690" s="136"/>
    </row>
    <row r="8691" spans="1:2" x14ac:dyDescent="0.25">
      <c r="A8691" s="118"/>
      <c r="B8691" s="136"/>
    </row>
    <row r="8692" spans="1:2" x14ac:dyDescent="0.25">
      <c r="A8692" s="118"/>
      <c r="B8692" s="136"/>
    </row>
    <row r="8693" spans="1:2" x14ac:dyDescent="0.25">
      <c r="A8693" s="118"/>
      <c r="B8693" s="136"/>
    </row>
    <row r="8694" spans="1:2" x14ac:dyDescent="0.25">
      <c r="A8694" s="118"/>
      <c r="B8694" s="136"/>
    </row>
    <row r="8695" spans="1:2" x14ac:dyDescent="0.25">
      <c r="A8695" s="118"/>
      <c r="B8695" s="136"/>
    </row>
    <row r="8696" spans="1:2" x14ac:dyDescent="0.25">
      <c r="A8696" s="118"/>
      <c r="B8696" s="136"/>
    </row>
    <row r="8697" spans="1:2" x14ac:dyDescent="0.25">
      <c r="A8697" s="118"/>
      <c r="B8697" s="136"/>
    </row>
    <row r="8698" spans="1:2" x14ac:dyDescent="0.25">
      <c r="A8698" s="118"/>
      <c r="B8698" s="136"/>
    </row>
    <row r="8699" spans="1:2" x14ac:dyDescent="0.25">
      <c r="A8699" s="118"/>
      <c r="B8699" s="136"/>
    </row>
    <row r="8700" spans="1:2" x14ac:dyDescent="0.25">
      <c r="A8700" s="118"/>
      <c r="B8700" s="136"/>
    </row>
    <row r="8701" spans="1:2" x14ac:dyDescent="0.25">
      <c r="A8701" s="118"/>
      <c r="B8701" s="136"/>
    </row>
    <row r="8702" spans="1:2" x14ac:dyDescent="0.25">
      <c r="A8702" s="118"/>
      <c r="B8702" s="136"/>
    </row>
    <row r="8703" spans="1:2" x14ac:dyDescent="0.25">
      <c r="A8703" s="118"/>
      <c r="B8703" s="136"/>
    </row>
    <row r="8704" spans="1:2" x14ac:dyDescent="0.25">
      <c r="A8704" s="118"/>
      <c r="B8704" s="136"/>
    </row>
    <row r="8705" spans="1:2" x14ac:dyDescent="0.25">
      <c r="A8705" s="118"/>
      <c r="B8705" s="136"/>
    </row>
    <row r="8706" spans="1:2" x14ac:dyDescent="0.25">
      <c r="A8706" s="118"/>
      <c r="B8706" s="136"/>
    </row>
    <row r="8707" spans="1:2" x14ac:dyDescent="0.25">
      <c r="A8707" s="118"/>
      <c r="B8707" s="136"/>
    </row>
    <row r="8708" spans="1:2" x14ac:dyDescent="0.25">
      <c r="A8708" s="118"/>
      <c r="B8708" s="136"/>
    </row>
    <row r="8709" spans="1:2" x14ac:dyDescent="0.25">
      <c r="A8709" s="118"/>
      <c r="B8709" s="136"/>
    </row>
    <row r="8710" spans="1:2" x14ac:dyDescent="0.25">
      <c r="A8710" s="118"/>
      <c r="B8710" s="136"/>
    </row>
    <row r="8711" spans="1:2" x14ac:dyDescent="0.25">
      <c r="A8711" s="118"/>
      <c r="B8711" s="136"/>
    </row>
    <row r="8712" spans="1:2" x14ac:dyDescent="0.25">
      <c r="A8712" s="118"/>
      <c r="B8712" s="136"/>
    </row>
    <row r="8713" spans="1:2" x14ac:dyDescent="0.25">
      <c r="A8713" s="118"/>
      <c r="B8713" s="136"/>
    </row>
    <row r="8714" spans="1:2" x14ac:dyDescent="0.25">
      <c r="A8714" s="118"/>
      <c r="B8714" s="136"/>
    </row>
    <row r="8715" spans="1:2" x14ac:dyDescent="0.25">
      <c r="A8715" s="118"/>
      <c r="B8715" s="136"/>
    </row>
    <row r="8716" spans="1:2" x14ac:dyDescent="0.25">
      <c r="A8716" s="118"/>
      <c r="B8716" s="136"/>
    </row>
    <row r="8717" spans="1:2" x14ac:dyDescent="0.25">
      <c r="A8717" s="118"/>
      <c r="B8717" s="136"/>
    </row>
    <row r="8718" spans="1:2" x14ac:dyDescent="0.25">
      <c r="A8718" s="118"/>
      <c r="B8718" s="136"/>
    </row>
    <row r="8719" spans="1:2" x14ac:dyDescent="0.25">
      <c r="A8719" s="118"/>
      <c r="B8719" s="136"/>
    </row>
    <row r="8720" spans="1:2" x14ac:dyDescent="0.25">
      <c r="A8720" s="118"/>
      <c r="B8720" s="136"/>
    </row>
    <row r="8721" spans="1:2" x14ac:dyDescent="0.25">
      <c r="A8721" s="118"/>
      <c r="B8721" s="136"/>
    </row>
    <row r="8722" spans="1:2" x14ac:dyDescent="0.25">
      <c r="A8722" s="118"/>
      <c r="B8722" s="136"/>
    </row>
    <row r="8723" spans="1:2" x14ac:dyDescent="0.25">
      <c r="A8723" s="118"/>
      <c r="B8723" s="136"/>
    </row>
    <row r="8724" spans="1:2" x14ac:dyDescent="0.25">
      <c r="A8724" s="118"/>
      <c r="B8724" s="136"/>
    </row>
    <row r="8725" spans="1:2" x14ac:dyDescent="0.25">
      <c r="A8725" s="118"/>
      <c r="B8725" s="136"/>
    </row>
    <row r="8726" spans="1:2" x14ac:dyDescent="0.25">
      <c r="A8726" s="118"/>
      <c r="B8726" s="136"/>
    </row>
    <row r="8727" spans="1:2" x14ac:dyDescent="0.25">
      <c r="A8727" s="118"/>
      <c r="B8727" s="136"/>
    </row>
    <row r="8728" spans="1:2" x14ac:dyDescent="0.25">
      <c r="A8728" s="118"/>
      <c r="B8728" s="136"/>
    </row>
    <row r="8729" spans="1:2" x14ac:dyDescent="0.25">
      <c r="A8729" s="118"/>
      <c r="B8729" s="136"/>
    </row>
    <row r="8730" spans="1:2" x14ac:dyDescent="0.25">
      <c r="A8730" s="118"/>
      <c r="B8730" s="136"/>
    </row>
    <row r="8731" spans="1:2" x14ac:dyDescent="0.25">
      <c r="A8731" s="118"/>
      <c r="B8731" s="136"/>
    </row>
    <row r="8732" spans="1:2" x14ac:dyDescent="0.25">
      <c r="A8732" s="118"/>
      <c r="B8732" s="136"/>
    </row>
    <row r="8733" spans="1:2" x14ac:dyDescent="0.25">
      <c r="A8733" s="118"/>
      <c r="B8733" s="136"/>
    </row>
    <row r="8734" spans="1:2" x14ac:dyDescent="0.25">
      <c r="A8734" s="118"/>
      <c r="B8734" s="136"/>
    </row>
    <row r="8735" spans="1:2" x14ac:dyDescent="0.25">
      <c r="A8735" s="118"/>
      <c r="B8735" s="136"/>
    </row>
    <row r="8736" spans="1:2" x14ac:dyDescent="0.25">
      <c r="A8736" s="118"/>
      <c r="B8736" s="136"/>
    </row>
    <row r="8737" spans="1:2" x14ac:dyDescent="0.25">
      <c r="A8737" s="118"/>
      <c r="B8737" s="136"/>
    </row>
    <row r="8738" spans="1:2" x14ac:dyDescent="0.25">
      <c r="A8738" s="118"/>
      <c r="B8738" s="136"/>
    </row>
    <row r="8739" spans="1:2" x14ac:dyDescent="0.25">
      <c r="A8739" s="118"/>
      <c r="B8739" s="136"/>
    </row>
    <row r="8740" spans="1:2" x14ac:dyDescent="0.25">
      <c r="A8740" s="118"/>
      <c r="B8740" s="136"/>
    </row>
    <row r="8741" spans="1:2" x14ac:dyDescent="0.25">
      <c r="A8741" s="118"/>
      <c r="B8741" s="136"/>
    </row>
    <row r="8742" spans="1:2" x14ac:dyDescent="0.25">
      <c r="A8742" s="118"/>
      <c r="B8742" s="136"/>
    </row>
    <row r="8743" spans="1:2" x14ac:dyDescent="0.25">
      <c r="A8743" s="118"/>
      <c r="B8743" s="136"/>
    </row>
    <row r="8744" spans="1:2" x14ac:dyDescent="0.25">
      <c r="A8744" s="118"/>
      <c r="B8744" s="136"/>
    </row>
    <row r="8745" spans="1:2" x14ac:dyDescent="0.25">
      <c r="A8745" s="118"/>
      <c r="B8745" s="136"/>
    </row>
    <row r="8746" spans="1:2" x14ac:dyDescent="0.25">
      <c r="A8746" s="118"/>
      <c r="B8746" s="136"/>
    </row>
    <row r="8747" spans="1:2" x14ac:dyDescent="0.25">
      <c r="A8747" s="118"/>
      <c r="B8747" s="136"/>
    </row>
    <row r="8748" spans="1:2" x14ac:dyDescent="0.25">
      <c r="A8748" s="118"/>
      <c r="B8748" s="136"/>
    </row>
    <row r="8749" spans="1:2" x14ac:dyDescent="0.25">
      <c r="A8749" s="118"/>
      <c r="B8749" s="136"/>
    </row>
    <row r="8750" spans="1:2" x14ac:dyDescent="0.25">
      <c r="A8750" s="118"/>
      <c r="B8750" s="136"/>
    </row>
    <row r="8751" spans="1:2" x14ac:dyDescent="0.25">
      <c r="A8751" s="118"/>
      <c r="B8751" s="136"/>
    </row>
    <row r="8752" spans="1:2" x14ac:dyDescent="0.25">
      <c r="A8752" s="118"/>
      <c r="B8752" s="136"/>
    </row>
    <row r="8753" spans="1:2" x14ac:dyDescent="0.25">
      <c r="A8753" s="118"/>
      <c r="B8753" s="136"/>
    </row>
    <row r="8754" spans="1:2" x14ac:dyDescent="0.25">
      <c r="A8754" s="118"/>
      <c r="B8754" s="136"/>
    </row>
    <row r="8755" spans="1:2" x14ac:dyDescent="0.25">
      <c r="A8755" s="118"/>
      <c r="B8755" s="136"/>
    </row>
    <row r="8756" spans="1:2" x14ac:dyDescent="0.25">
      <c r="A8756" s="118"/>
      <c r="B8756" s="136"/>
    </row>
    <row r="8757" spans="1:2" x14ac:dyDescent="0.25">
      <c r="A8757" s="118"/>
      <c r="B8757" s="136"/>
    </row>
    <row r="8758" spans="1:2" x14ac:dyDescent="0.25">
      <c r="A8758" s="118"/>
      <c r="B8758" s="136"/>
    </row>
    <row r="8759" spans="1:2" x14ac:dyDescent="0.25">
      <c r="A8759" s="118"/>
      <c r="B8759" s="136"/>
    </row>
    <row r="8760" spans="1:2" x14ac:dyDescent="0.25">
      <c r="A8760" s="118"/>
      <c r="B8760" s="136"/>
    </row>
    <row r="8761" spans="1:2" x14ac:dyDescent="0.25">
      <c r="A8761" s="118"/>
      <c r="B8761" s="136"/>
    </row>
    <row r="8762" spans="1:2" x14ac:dyDescent="0.25">
      <c r="A8762" s="118"/>
      <c r="B8762" s="136"/>
    </row>
    <row r="8763" spans="1:2" x14ac:dyDescent="0.25">
      <c r="A8763" s="118"/>
      <c r="B8763" s="136"/>
    </row>
    <row r="8764" spans="1:2" x14ac:dyDescent="0.25">
      <c r="A8764" s="118"/>
      <c r="B8764" s="136"/>
    </row>
    <row r="8765" spans="1:2" x14ac:dyDescent="0.25">
      <c r="A8765" s="118"/>
      <c r="B8765" s="136"/>
    </row>
    <row r="8766" spans="1:2" x14ac:dyDescent="0.25">
      <c r="A8766" s="118"/>
      <c r="B8766" s="136"/>
    </row>
    <row r="8767" spans="1:2" x14ac:dyDescent="0.25">
      <c r="A8767" s="118"/>
      <c r="B8767" s="136"/>
    </row>
    <row r="8768" spans="1:2" x14ac:dyDescent="0.25">
      <c r="A8768" s="118"/>
      <c r="B8768" s="136"/>
    </row>
    <row r="8769" spans="1:2" x14ac:dyDescent="0.25">
      <c r="A8769" s="118"/>
      <c r="B8769" s="136"/>
    </row>
    <row r="8770" spans="1:2" x14ac:dyDescent="0.25">
      <c r="A8770" s="118"/>
      <c r="B8770" s="136"/>
    </row>
    <row r="8771" spans="1:2" x14ac:dyDescent="0.25">
      <c r="A8771" s="118"/>
      <c r="B8771" s="136"/>
    </row>
    <row r="8772" spans="1:2" x14ac:dyDescent="0.25">
      <c r="A8772" s="118"/>
      <c r="B8772" s="136"/>
    </row>
    <row r="8773" spans="1:2" x14ac:dyDescent="0.25">
      <c r="A8773" s="118"/>
      <c r="B8773" s="136"/>
    </row>
    <row r="8774" spans="1:2" x14ac:dyDescent="0.25">
      <c r="A8774" s="118"/>
      <c r="B8774" s="136"/>
    </row>
    <row r="8775" spans="1:2" x14ac:dyDescent="0.25">
      <c r="A8775" s="118"/>
      <c r="B8775" s="136"/>
    </row>
    <row r="8776" spans="1:2" x14ac:dyDescent="0.25">
      <c r="A8776" s="118"/>
      <c r="B8776" s="136"/>
    </row>
    <row r="8777" spans="1:2" x14ac:dyDescent="0.25">
      <c r="A8777" s="118"/>
      <c r="B8777" s="136"/>
    </row>
    <row r="8778" spans="1:2" x14ac:dyDescent="0.25">
      <c r="A8778" s="118"/>
      <c r="B8778" s="136"/>
    </row>
    <row r="8779" spans="1:2" x14ac:dyDescent="0.25">
      <c r="A8779" s="118"/>
      <c r="B8779" s="136"/>
    </row>
    <row r="8780" spans="1:2" x14ac:dyDescent="0.25">
      <c r="A8780" s="118"/>
      <c r="B8780" s="136"/>
    </row>
    <row r="8781" spans="1:2" x14ac:dyDescent="0.25">
      <c r="A8781" s="118"/>
      <c r="B8781" s="136"/>
    </row>
    <row r="8782" spans="1:2" x14ac:dyDescent="0.25">
      <c r="A8782" s="118"/>
      <c r="B8782" s="136"/>
    </row>
    <row r="8783" spans="1:2" x14ac:dyDescent="0.25">
      <c r="A8783" s="118"/>
      <c r="B8783" s="136"/>
    </row>
    <row r="8784" spans="1:2" x14ac:dyDescent="0.25">
      <c r="A8784" s="118"/>
      <c r="B8784" s="136"/>
    </row>
    <row r="8785" spans="1:2" x14ac:dyDescent="0.25">
      <c r="A8785" s="118"/>
      <c r="B8785" s="136"/>
    </row>
    <row r="8786" spans="1:2" x14ac:dyDescent="0.25">
      <c r="A8786" s="118"/>
      <c r="B8786" s="136"/>
    </row>
    <row r="8787" spans="1:2" x14ac:dyDescent="0.25">
      <c r="A8787" s="118"/>
      <c r="B8787" s="136"/>
    </row>
    <row r="8788" spans="1:2" x14ac:dyDescent="0.25">
      <c r="A8788" s="118"/>
      <c r="B8788" s="136"/>
    </row>
    <row r="8789" spans="1:2" x14ac:dyDescent="0.25">
      <c r="A8789" s="118"/>
      <c r="B8789" s="136"/>
    </row>
    <row r="8790" spans="1:2" x14ac:dyDescent="0.25">
      <c r="A8790" s="118"/>
      <c r="B8790" s="136"/>
    </row>
    <row r="8791" spans="1:2" x14ac:dyDescent="0.25">
      <c r="A8791" s="118"/>
      <c r="B8791" s="136"/>
    </row>
    <row r="8792" spans="1:2" x14ac:dyDescent="0.25">
      <c r="A8792" s="118"/>
      <c r="B8792" s="136"/>
    </row>
    <row r="8793" spans="1:2" x14ac:dyDescent="0.25">
      <c r="A8793" s="118"/>
      <c r="B8793" s="136"/>
    </row>
    <row r="8794" spans="1:2" x14ac:dyDescent="0.25">
      <c r="A8794" s="118"/>
      <c r="B8794" s="136"/>
    </row>
    <row r="8795" spans="1:2" x14ac:dyDescent="0.25">
      <c r="A8795" s="118"/>
      <c r="B8795" s="136"/>
    </row>
    <row r="8796" spans="1:2" x14ac:dyDescent="0.25">
      <c r="A8796" s="118"/>
      <c r="B8796" s="136"/>
    </row>
    <row r="8797" spans="1:2" x14ac:dyDescent="0.25">
      <c r="A8797" s="118"/>
      <c r="B8797" s="136"/>
    </row>
    <row r="8798" spans="1:2" x14ac:dyDescent="0.25">
      <c r="A8798" s="118"/>
      <c r="B8798" s="136"/>
    </row>
    <row r="8799" spans="1:2" x14ac:dyDescent="0.25">
      <c r="A8799" s="118"/>
      <c r="B8799" s="136"/>
    </row>
    <row r="8800" spans="1:2" x14ac:dyDescent="0.25">
      <c r="A8800" s="118"/>
      <c r="B8800" s="136"/>
    </row>
    <row r="8801" spans="1:2" x14ac:dyDescent="0.25">
      <c r="A8801" s="118"/>
      <c r="B8801" s="136"/>
    </row>
    <row r="8802" spans="1:2" x14ac:dyDescent="0.25">
      <c r="A8802" s="118"/>
      <c r="B8802" s="136"/>
    </row>
    <row r="8803" spans="1:2" x14ac:dyDescent="0.25">
      <c r="A8803" s="118"/>
      <c r="B8803" s="136"/>
    </row>
    <row r="8804" spans="1:2" x14ac:dyDescent="0.25">
      <c r="A8804" s="118"/>
      <c r="B8804" s="136"/>
    </row>
    <row r="8805" spans="1:2" x14ac:dyDescent="0.25">
      <c r="A8805" s="118"/>
      <c r="B8805" s="136"/>
    </row>
    <row r="8806" spans="1:2" x14ac:dyDescent="0.25">
      <c r="A8806" s="118"/>
      <c r="B8806" s="136"/>
    </row>
    <row r="8807" spans="1:2" x14ac:dyDescent="0.25">
      <c r="A8807" s="118"/>
      <c r="B8807" s="136"/>
    </row>
    <row r="8808" spans="1:2" x14ac:dyDescent="0.25">
      <c r="A8808" s="118"/>
      <c r="B8808" s="136"/>
    </row>
    <row r="8809" spans="1:2" x14ac:dyDescent="0.25">
      <c r="A8809" s="118"/>
      <c r="B8809" s="136"/>
    </row>
    <row r="8810" spans="1:2" x14ac:dyDescent="0.25">
      <c r="A8810" s="118"/>
      <c r="B8810" s="136"/>
    </row>
    <row r="8811" spans="1:2" x14ac:dyDescent="0.25">
      <c r="A8811" s="118"/>
      <c r="B8811" s="136"/>
    </row>
    <row r="8812" spans="1:2" x14ac:dyDescent="0.25">
      <c r="A8812" s="118"/>
      <c r="B8812" s="136"/>
    </row>
    <row r="8813" spans="1:2" x14ac:dyDescent="0.25">
      <c r="A8813" s="118"/>
      <c r="B8813" s="136"/>
    </row>
    <row r="8814" spans="1:2" x14ac:dyDescent="0.25">
      <c r="A8814" s="118"/>
      <c r="B8814" s="136"/>
    </row>
    <row r="8815" spans="1:2" x14ac:dyDescent="0.25">
      <c r="A8815" s="118"/>
      <c r="B8815" s="136"/>
    </row>
    <row r="8816" spans="1:2" x14ac:dyDescent="0.25">
      <c r="A8816" s="118"/>
      <c r="B8816" s="136"/>
    </row>
    <row r="8817" spans="1:2" x14ac:dyDescent="0.25">
      <c r="A8817" s="118"/>
      <c r="B8817" s="136"/>
    </row>
    <row r="8818" spans="1:2" x14ac:dyDescent="0.25">
      <c r="A8818" s="118"/>
      <c r="B8818" s="136"/>
    </row>
    <row r="8819" spans="1:2" x14ac:dyDescent="0.25">
      <c r="A8819" s="118"/>
      <c r="B8819" s="136"/>
    </row>
    <row r="8820" spans="1:2" x14ac:dyDescent="0.25">
      <c r="A8820" s="118"/>
      <c r="B8820" s="136"/>
    </row>
    <row r="8821" spans="1:2" x14ac:dyDescent="0.25">
      <c r="A8821" s="118"/>
      <c r="B8821" s="136"/>
    </row>
    <row r="8822" spans="1:2" x14ac:dyDescent="0.25">
      <c r="A8822" s="118"/>
      <c r="B8822" s="136"/>
    </row>
    <row r="8823" spans="1:2" x14ac:dyDescent="0.25">
      <c r="A8823" s="118"/>
      <c r="B8823" s="136"/>
    </row>
    <row r="8824" spans="1:2" x14ac:dyDescent="0.25">
      <c r="A8824" s="118"/>
      <c r="B8824" s="136"/>
    </row>
    <row r="8825" spans="1:2" x14ac:dyDescent="0.25">
      <c r="A8825" s="118"/>
      <c r="B8825" s="136"/>
    </row>
    <row r="8826" spans="1:2" x14ac:dyDescent="0.25">
      <c r="A8826" s="118"/>
      <c r="B8826" s="136"/>
    </row>
    <row r="8827" spans="1:2" x14ac:dyDescent="0.25">
      <c r="A8827" s="118"/>
      <c r="B8827" s="136"/>
    </row>
    <row r="8828" spans="1:2" x14ac:dyDescent="0.25">
      <c r="A8828" s="118"/>
      <c r="B8828" s="136"/>
    </row>
    <row r="8829" spans="1:2" x14ac:dyDescent="0.25">
      <c r="A8829" s="118"/>
      <c r="B8829" s="136"/>
    </row>
    <row r="8830" spans="1:2" x14ac:dyDescent="0.25">
      <c r="A8830" s="118"/>
      <c r="B8830" s="136"/>
    </row>
    <row r="8831" spans="1:2" x14ac:dyDescent="0.25">
      <c r="A8831" s="118"/>
      <c r="B8831" s="136"/>
    </row>
    <row r="8832" spans="1:2" x14ac:dyDescent="0.25">
      <c r="A8832" s="118"/>
      <c r="B8832" s="136"/>
    </row>
    <row r="8833" spans="1:2" x14ac:dyDescent="0.25">
      <c r="A8833" s="118"/>
      <c r="B8833" s="136"/>
    </row>
    <row r="8834" spans="1:2" x14ac:dyDescent="0.25">
      <c r="A8834" s="118"/>
      <c r="B8834" s="136"/>
    </row>
    <row r="8835" spans="1:2" x14ac:dyDescent="0.25">
      <c r="A8835" s="118"/>
      <c r="B8835" s="136"/>
    </row>
    <row r="8836" spans="1:2" x14ac:dyDescent="0.25">
      <c r="A8836" s="118"/>
      <c r="B8836" s="136"/>
    </row>
    <row r="8837" spans="1:2" x14ac:dyDescent="0.25">
      <c r="A8837" s="118"/>
      <c r="B8837" s="136"/>
    </row>
    <row r="8838" spans="1:2" x14ac:dyDescent="0.25">
      <c r="A8838" s="118"/>
      <c r="B8838" s="136"/>
    </row>
    <row r="8839" spans="1:2" x14ac:dyDescent="0.25">
      <c r="A8839" s="118"/>
      <c r="B8839" s="136"/>
    </row>
    <row r="8840" spans="1:2" x14ac:dyDescent="0.25">
      <c r="A8840" s="118"/>
      <c r="B8840" s="136"/>
    </row>
    <row r="8841" spans="1:2" x14ac:dyDescent="0.25">
      <c r="A8841" s="118"/>
      <c r="B8841" s="136"/>
    </row>
    <row r="8842" spans="1:2" x14ac:dyDescent="0.25">
      <c r="A8842" s="118"/>
      <c r="B8842" s="136"/>
    </row>
    <row r="8843" spans="1:2" x14ac:dyDescent="0.25">
      <c r="A8843" s="118"/>
      <c r="B8843" s="136"/>
    </row>
    <row r="8844" spans="1:2" x14ac:dyDescent="0.25">
      <c r="A8844" s="118"/>
      <c r="B8844" s="136"/>
    </row>
    <row r="8845" spans="1:2" x14ac:dyDescent="0.25">
      <c r="A8845" s="118"/>
      <c r="B8845" s="136"/>
    </row>
    <row r="8846" spans="1:2" x14ac:dyDescent="0.25">
      <c r="A8846" s="118"/>
      <c r="B8846" s="136"/>
    </row>
    <row r="8847" spans="1:2" x14ac:dyDescent="0.25">
      <c r="A8847" s="118"/>
      <c r="B8847" s="136"/>
    </row>
    <row r="8848" spans="1:2" x14ac:dyDescent="0.25">
      <c r="A8848" s="118"/>
      <c r="B8848" s="136"/>
    </row>
    <row r="8849" spans="1:2" x14ac:dyDescent="0.25">
      <c r="A8849" s="118"/>
      <c r="B8849" s="136"/>
    </row>
    <row r="8850" spans="1:2" x14ac:dyDescent="0.25">
      <c r="A8850" s="118"/>
      <c r="B8850" s="136"/>
    </row>
    <row r="8851" spans="1:2" x14ac:dyDescent="0.25">
      <c r="A8851" s="118"/>
      <c r="B8851" s="136"/>
    </row>
    <row r="8852" spans="1:2" x14ac:dyDescent="0.25">
      <c r="A8852" s="118"/>
      <c r="B8852" s="136"/>
    </row>
    <row r="8853" spans="1:2" x14ac:dyDescent="0.25">
      <c r="A8853" s="118"/>
      <c r="B8853" s="136"/>
    </row>
    <row r="8854" spans="1:2" x14ac:dyDescent="0.25">
      <c r="A8854" s="118"/>
      <c r="B8854" s="136"/>
    </row>
    <row r="8855" spans="1:2" x14ac:dyDescent="0.25">
      <c r="A8855" s="118"/>
      <c r="B8855" s="136"/>
    </row>
    <row r="8856" spans="1:2" x14ac:dyDescent="0.25">
      <c r="A8856" s="118"/>
      <c r="B8856" s="136"/>
    </row>
    <row r="8857" spans="1:2" x14ac:dyDescent="0.25">
      <c r="A8857" s="118"/>
      <c r="B8857" s="136"/>
    </row>
    <row r="8858" spans="1:2" x14ac:dyDescent="0.25">
      <c r="A8858" s="118"/>
      <c r="B8858" s="136"/>
    </row>
    <row r="8859" spans="1:2" x14ac:dyDescent="0.25">
      <c r="A8859" s="118"/>
      <c r="B8859" s="136"/>
    </row>
    <row r="8860" spans="1:2" x14ac:dyDescent="0.25">
      <c r="A8860" s="118"/>
      <c r="B8860" s="136"/>
    </row>
    <row r="8861" spans="1:2" x14ac:dyDescent="0.25">
      <c r="A8861" s="118"/>
      <c r="B8861" s="136"/>
    </row>
    <row r="8862" spans="1:2" x14ac:dyDescent="0.25">
      <c r="A8862" s="118"/>
      <c r="B8862" s="136"/>
    </row>
    <row r="8863" spans="1:2" x14ac:dyDescent="0.25">
      <c r="A8863" s="118"/>
      <c r="B8863" s="136"/>
    </row>
    <row r="8864" spans="1:2" x14ac:dyDescent="0.25">
      <c r="A8864" s="118"/>
      <c r="B8864" s="136"/>
    </row>
    <row r="8865" spans="1:2" x14ac:dyDescent="0.25">
      <c r="A8865" s="118"/>
      <c r="B8865" s="136"/>
    </row>
    <row r="8866" spans="1:2" x14ac:dyDescent="0.25">
      <c r="A8866" s="118"/>
      <c r="B8866" s="136"/>
    </row>
    <row r="8867" spans="1:2" x14ac:dyDescent="0.25">
      <c r="A8867" s="118"/>
      <c r="B8867" s="136"/>
    </row>
    <row r="8868" spans="1:2" x14ac:dyDescent="0.25">
      <c r="A8868" s="118"/>
      <c r="B8868" s="136"/>
    </row>
    <row r="8869" spans="1:2" x14ac:dyDescent="0.25">
      <c r="A8869" s="118"/>
      <c r="B8869" s="136"/>
    </row>
    <row r="8870" spans="1:2" x14ac:dyDescent="0.25">
      <c r="A8870" s="118"/>
      <c r="B8870" s="136"/>
    </row>
    <row r="8871" spans="1:2" x14ac:dyDescent="0.25">
      <c r="A8871" s="118"/>
      <c r="B8871" s="136"/>
    </row>
    <row r="8872" spans="1:2" x14ac:dyDescent="0.25">
      <c r="A8872" s="118"/>
      <c r="B8872" s="136"/>
    </row>
    <row r="8873" spans="1:2" x14ac:dyDescent="0.25">
      <c r="A8873" s="118"/>
      <c r="B8873" s="136"/>
    </row>
    <row r="8874" spans="1:2" x14ac:dyDescent="0.25">
      <c r="A8874" s="118"/>
      <c r="B8874" s="136"/>
    </row>
    <row r="8875" spans="1:2" x14ac:dyDescent="0.25">
      <c r="A8875" s="118"/>
      <c r="B8875" s="136"/>
    </row>
    <row r="8876" spans="1:2" x14ac:dyDescent="0.25">
      <c r="A8876" s="118"/>
      <c r="B8876" s="136"/>
    </row>
    <row r="8877" spans="1:2" x14ac:dyDescent="0.25">
      <c r="A8877" s="118"/>
      <c r="B8877" s="136"/>
    </row>
    <row r="8878" spans="1:2" x14ac:dyDescent="0.25">
      <c r="A8878" s="118"/>
      <c r="B8878" s="136"/>
    </row>
    <row r="8879" spans="1:2" x14ac:dyDescent="0.25">
      <c r="A8879" s="118"/>
      <c r="B8879" s="136"/>
    </row>
    <row r="8880" spans="1:2" x14ac:dyDescent="0.25">
      <c r="A8880" s="118"/>
      <c r="B8880" s="136"/>
    </row>
    <row r="8881" spans="1:2" x14ac:dyDescent="0.25">
      <c r="A8881" s="118"/>
      <c r="B8881" s="136"/>
    </row>
    <row r="8882" spans="1:2" x14ac:dyDescent="0.25">
      <c r="A8882" s="118"/>
      <c r="B8882" s="136"/>
    </row>
    <row r="8883" spans="1:2" x14ac:dyDescent="0.25">
      <c r="A8883" s="118"/>
      <c r="B8883" s="136"/>
    </row>
    <row r="8884" spans="1:2" x14ac:dyDescent="0.25">
      <c r="A8884" s="118"/>
      <c r="B8884" s="136"/>
    </row>
    <row r="8885" spans="1:2" x14ac:dyDescent="0.25">
      <c r="A8885" s="118"/>
      <c r="B8885" s="136"/>
    </row>
    <row r="8886" spans="1:2" x14ac:dyDescent="0.25">
      <c r="A8886" s="118"/>
      <c r="B8886" s="136"/>
    </row>
    <row r="8887" spans="1:2" x14ac:dyDescent="0.25">
      <c r="A8887" s="118"/>
      <c r="B8887" s="136"/>
    </row>
    <row r="8888" spans="1:2" x14ac:dyDescent="0.25">
      <c r="A8888" s="118"/>
      <c r="B8888" s="136"/>
    </row>
    <row r="8889" spans="1:2" x14ac:dyDescent="0.25">
      <c r="A8889" s="118"/>
      <c r="B8889" s="136"/>
    </row>
    <row r="8890" spans="1:2" x14ac:dyDescent="0.25">
      <c r="A8890" s="118"/>
      <c r="B8890" s="136"/>
    </row>
    <row r="8891" spans="1:2" x14ac:dyDescent="0.25">
      <c r="A8891" s="118"/>
      <c r="B8891" s="136"/>
    </row>
    <row r="8892" spans="1:2" x14ac:dyDescent="0.25">
      <c r="A8892" s="118"/>
      <c r="B8892" s="136"/>
    </row>
    <row r="8893" spans="1:2" x14ac:dyDescent="0.25">
      <c r="A8893" s="118"/>
      <c r="B8893" s="136"/>
    </row>
    <row r="8894" spans="1:2" x14ac:dyDescent="0.25">
      <c r="A8894" s="118"/>
      <c r="B8894" s="136"/>
    </row>
    <row r="8895" spans="1:2" x14ac:dyDescent="0.25">
      <c r="A8895" s="118"/>
      <c r="B8895" s="136"/>
    </row>
    <row r="8896" spans="1:2" x14ac:dyDescent="0.25">
      <c r="A8896" s="118"/>
      <c r="B8896" s="136"/>
    </row>
    <row r="8897" spans="1:2" x14ac:dyDescent="0.25">
      <c r="A8897" s="118"/>
      <c r="B8897" s="136"/>
    </row>
    <row r="8898" spans="1:2" x14ac:dyDescent="0.25">
      <c r="A8898" s="118"/>
      <c r="B8898" s="136"/>
    </row>
    <row r="8899" spans="1:2" x14ac:dyDescent="0.25">
      <c r="A8899" s="118"/>
      <c r="B8899" s="136"/>
    </row>
    <row r="8900" spans="1:2" x14ac:dyDescent="0.25">
      <c r="A8900" s="118"/>
      <c r="B8900" s="136"/>
    </row>
    <row r="8901" spans="1:2" x14ac:dyDescent="0.25">
      <c r="A8901" s="118"/>
      <c r="B8901" s="136"/>
    </row>
    <row r="8902" spans="1:2" x14ac:dyDescent="0.25">
      <c r="A8902" s="118"/>
      <c r="B8902" s="136"/>
    </row>
    <row r="8903" spans="1:2" x14ac:dyDescent="0.25">
      <c r="A8903" s="118"/>
      <c r="B8903" s="136"/>
    </row>
    <row r="8904" spans="1:2" x14ac:dyDescent="0.25">
      <c r="A8904" s="118"/>
      <c r="B8904" s="136"/>
    </row>
    <row r="8905" spans="1:2" x14ac:dyDescent="0.25">
      <c r="A8905" s="118"/>
      <c r="B8905" s="136"/>
    </row>
    <row r="8906" spans="1:2" x14ac:dyDescent="0.25">
      <c r="A8906" s="118"/>
      <c r="B8906" s="136"/>
    </row>
    <row r="8907" spans="1:2" x14ac:dyDescent="0.25">
      <c r="A8907" s="118"/>
      <c r="B8907" s="136"/>
    </row>
    <row r="8908" spans="1:2" x14ac:dyDescent="0.25">
      <c r="A8908" s="118"/>
      <c r="B8908" s="136"/>
    </row>
    <row r="8909" spans="1:2" x14ac:dyDescent="0.25">
      <c r="A8909" s="118"/>
      <c r="B8909" s="136"/>
    </row>
    <row r="8910" spans="1:2" x14ac:dyDescent="0.25">
      <c r="A8910" s="118"/>
      <c r="B8910" s="136"/>
    </row>
    <row r="8911" spans="1:2" x14ac:dyDescent="0.25">
      <c r="A8911" s="118"/>
      <c r="B8911" s="136"/>
    </row>
    <row r="8912" spans="1:2" x14ac:dyDescent="0.25">
      <c r="A8912" s="118"/>
      <c r="B8912" s="136"/>
    </row>
    <row r="8913" spans="1:2" x14ac:dyDescent="0.25">
      <c r="A8913" s="118"/>
      <c r="B8913" s="136"/>
    </row>
    <row r="8914" spans="1:2" x14ac:dyDescent="0.25">
      <c r="A8914" s="118"/>
      <c r="B8914" s="136"/>
    </row>
    <row r="8915" spans="1:2" x14ac:dyDescent="0.25">
      <c r="A8915" s="118"/>
      <c r="B8915" s="136"/>
    </row>
    <row r="8916" spans="1:2" x14ac:dyDescent="0.25">
      <c r="A8916" s="118"/>
      <c r="B8916" s="136"/>
    </row>
    <row r="8917" spans="1:2" x14ac:dyDescent="0.25">
      <c r="A8917" s="118"/>
      <c r="B8917" s="136"/>
    </row>
    <row r="8918" spans="1:2" x14ac:dyDescent="0.25">
      <c r="A8918" s="118"/>
      <c r="B8918" s="136"/>
    </row>
    <row r="8919" spans="1:2" x14ac:dyDescent="0.25">
      <c r="A8919" s="118"/>
      <c r="B8919" s="136"/>
    </row>
    <row r="8920" spans="1:2" x14ac:dyDescent="0.25">
      <c r="A8920" s="118"/>
      <c r="B8920" s="136"/>
    </row>
    <row r="8921" spans="1:2" x14ac:dyDescent="0.25">
      <c r="A8921" s="118"/>
      <c r="B8921" s="136"/>
    </row>
    <row r="8922" spans="1:2" x14ac:dyDescent="0.25">
      <c r="A8922" s="118"/>
      <c r="B8922" s="136"/>
    </row>
    <row r="8923" spans="1:2" x14ac:dyDescent="0.25">
      <c r="A8923" s="118"/>
      <c r="B8923" s="136"/>
    </row>
    <row r="8924" spans="1:2" x14ac:dyDescent="0.25">
      <c r="A8924" s="118"/>
      <c r="B8924" s="136"/>
    </row>
    <row r="8925" spans="1:2" x14ac:dyDescent="0.25">
      <c r="A8925" s="118"/>
      <c r="B8925" s="136"/>
    </row>
    <row r="8926" spans="1:2" x14ac:dyDescent="0.25">
      <c r="A8926" s="118"/>
      <c r="B8926" s="136"/>
    </row>
    <row r="8927" spans="1:2" x14ac:dyDescent="0.25">
      <c r="A8927" s="118"/>
      <c r="B8927" s="136"/>
    </row>
    <row r="8928" spans="1:2" x14ac:dyDescent="0.25">
      <c r="A8928" s="118"/>
      <c r="B8928" s="136"/>
    </row>
    <row r="8929" spans="1:2" x14ac:dyDescent="0.25">
      <c r="A8929" s="118"/>
      <c r="B8929" s="136"/>
    </row>
    <row r="8930" spans="1:2" x14ac:dyDescent="0.25">
      <c r="A8930" s="118"/>
      <c r="B8930" s="136"/>
    </row>
    <row r="8931" spans="1:2" x14ac:dyDescent="0.25">
      <c r="A8931" s="118"/>
      <c r="B8931" s="136"/>
    </row>
    <row r="8932" spans="1:2" x14ac:dyDescent="0.25">
      <c r="A8932" s="118"/>
      <c r="B8932" s="136"/>
    </row>
    <row r="8933" spans="1:2" x14ac:dyDescent="0.25">
      <c r="A8933" s="118"/>
      <c r="B8933" s="136"/>
    </row>
    <row r="8934" spans="1:2" x14ac:dyDescent="0.25">
      <c r="A8934" s="118"/>
      <c r="B8934" s="136"/>
    </row>
    <row r="8935" spans="1:2" x14ac:dyDescent="0.25">
      <c r="A8935" s="118"/>
      <c r="B8935" s="136"/>
    </row>
    <row r="8936" spans="1:2" x14ac:dyDescent="0.25">
      <c r="A8936" s="118"/>
      <c r="B8936" s="136"/>
    </row>
    <row r="8937" spans="1:2" x14ac:dyDescent="0.25">
      <c r="A8937" s="118"/>
      <c r="B8937" s="136"/>
    </row>
    <row r="8938" spans="1:2" x14ac:dyDescent="0.25">
      <c r="A8938" s="118"/>
      <c r="B8938" s="136"/>
    </row>
    <row r="8939" spans="1:2" x14ac:dyDescent="0.25">
      <c r="A8939" s="118"/>
      <c r="B8939" s="136"/>
    </row>
    <row r="8940" spans="1:2" x14ac:dyDescent="0.25">
      <c r="A8940" s="118"/>
      <c r="B8940" s="136"/>
    </row>
    <row r="8941" spans="1:2" x14ac:dyDescent="0.25">
      <c r="A8941" s="118"/>
      <c r="B8941" s="136"/>
    </row>
    <row r="8942" spans="1:2" x14ac:dyDescent="0.25">
      <c r="A8942" s="118"/>
      <c r="B8942" s="136"/>
    </row>
    <row r="8943" spans="1:2" x14ac:dyDescent="0.25">
      <c r="A8943" s="118"/>
      <c r="B8943" s="136"/>
    </row>
    <row r="8944" spans="1:2" x14ac:dyDescent="0.25">
      <c r="A8944" s="118"/>
      <c r="B8944" s="136"/>
    </row>
    <row r="8945" spans="1:2" x14ac:dyDescent="0.25">
      <c r="A8945" s="118"/>
      <c r="B8945" s="136"/>
    </row>
    <row r="8946" spans="1:2" x14ac:dyDescent="0.25">
      <c r="A8946" s="118"/>
      <c r="B8946" s="136"/>
    </row>
    <row r="8947" spans="1:2" x14ac:dyDescent="0.25">
      <c r="A8947" s="118"/>
      <c r="B8947" s="136"/>
    </row>
    <row r="8948" spans="1:2" x14ac:dyDescent="0.25">
      <c r="A8948" s="118"/>
      <c r="B8948" s="136"/>
    </row>
    <row r="8949" spans="1:2" x14ac:dyDescent="0.25">
      <c r="A8949" s="118"/>
      <c r="B8949" s="136"/>
    </row>
    <row r="8950" spans="1:2" x14ac:dyDescent="0.25">
      <c r="A8950" s="118"/>
      <c r="B8950" s="136"/>
    </row>
    <row r="8951" spans="1:2" x14ac:dyDescent="0.25">
      <c r="A8951" s="118"/>
      <c r="B8951" s="136"/>
    </row>
    <row r="8952" spans="1:2" x14ac:dyDescent="0.25">
      <c r="A8952" s="118"/>
      <c r="B8952" s="136"/>
    </row>
    <row r="8953" spans="1:2" x14ac:dyDescent="0.25">
      <c r="A8953" s="118"/>
      <c r="B8953" s="136"/>
    </row>
    <row r="8954" spans="1:2" x14ac:dyDescent="0.25">
      <c r="A8954" s="118"/>
      <c r="B8954" s="136"/>
    </row>
    <row r="8955" spans="1:2" x14ac:dyDescent="0.25">
      <c r="A8955" s="118"/>
      <c r="B8955" s="136"/>
    </row>
    <row r="8956" spans="1:2" x14ac:dyDescent="0.25">
      <c r="A8956" s="118"/>
      <c r="B8956" s="136"/>
    </row>
    <row r="8957" spans="1:2" x14ac:dyDescent="0.25">
      <c r="A8957" s="118"/>
      <c r="B8957" s="136"/>
    </row>
    <row r="8958" spans="1:2" x14ac:dyDescent="0.25">
      <c r="A8958" s="118"/>
      <c r="B8958" s="136"/>
    </row>
    <row r="8959" spans="1:2" x14ac:dyDescent="0.25">
      <c r="A8959" s="118"/>
      <c r="B8959" s="136"/>
    </row>
    <row r="8960" spans="1:2" x14ac:dyDescent="0.25">
      <c r="A8960" s="118"/>
      <c r="B8960" s="136"/>
    </row>
    <row r="8961" spans="1:2" x14ac:dyDescent="0.25">
      <c r="A8961" s="118"/>
      <c r="B8961" s="136"/>
    </row>
    <row r="8962" spans="1:2" x14ac:dyDescent="0.25">
      <c r="A8962" s="118"/>
      <c r="B8962" s="136"/>
    </row>
    <row r="8963" spans="1:2" x14ac:dyDescent="0.25">
      <c r="A8963" s="118"/>
      <c r="B8963" s="136"/>
    </row>
    <row r="8964" spans="1:2" x14ac:dyDescent="0.25">
      <c r="A8964" s="118"/>
      <c r="B8964" s="136"/>
    </row>
    <row r="8965" spans="1:2" x14ac:dyDescent="0.25">
      <c r="A8965" s="118"/>
      <c r="B8965" s="136"/>
    </row>
    <row r="8966" spans="1:2" x14ac:dyDescent="0.25">
      <c r="A8966" s="118"/>
      <c r="B8966" s="136"/>
    </row>
    <row r="8967" spans="1:2" x14ac:dyDescent="0.25">
      <c r="A8967" s="118"/>
      <c r="B8967" s="136"/>
    </row>
    <row r="8968" spans="1:2" x14ac:dyDescent="0.25">
      <c r="A8968" s="118"/>
      <c r="B8968" s="136"/>
    </row>
    <row r="8969" spans="1:2" x14ac:dyDescent="0.25">
      <c r="A8969" s="118"/>
      <c r="B8969" s="136"/>
    </row>
    <row r="8970" spans="1:2" x14ac:dyDescent="0.25">
      <c r="A8970" s="118"/>
      <c r="B8970" s="136"/>
    </row>
    <row r="8971" spans="1:2" x14ac:dyDescent="0.25">
      <c r="A8971" s="118"/>
      <c r="B8971" s="136"/>
    </row>
    <row r="8972" spans="1:2" x14ac:dyDescent="0.25">
      <c r="A8972" s="118"/>
      <c r="B8972" s="136"/>
    </row>
    <row r="8973" spans="1:2" x14ac:dyDescent="0.25">
      <c r="A8973" s="118"/>
      <c r="B8973" s="136"/>
    </row>
    <row r="8974" spans="1:2" x14ac:dyDescent="0.25">
      <c r="A8974" s="118"/>
      <c r="B8974" s="136"/>
    </row>
    <row r="8975" spans="1:2" x14ac:dyDescent="0.25">
      <c r="A8975" s="118"/>
      <c r="B8975" s="136"/>
    </row>
    <row r="8976" spans="1:2" x14ac:dyDescent="0.25">
      <c r="A8976" s="118"/>
      <c r="B8976" s="136"/>
    </row>
    <row r="8977" spans="1:2" x14ac:dyDescent="0.25">
      <c r="A8977" s="118"/>
      <c r="B8977" s="136"/>
    </row>
    <row r="8978" spans="1:2" x14ac:dyDescent="0.25">
      <c r="A8978" s="118"/>
      <c r="B8978" s="136"/>
    </row>
    <row r="8979" spans="1:2" x14ac:dyDescent="0.25">
      <c r="A8979" s="118"/>
      <c r="B8979" s="136"/>
    </row>
    <row r="8980" spans="1:2" x14ac:dyDescent="0.25">
      <c r="A8980" s="118"/>
      <c r="B8980" s="136"/>
    </row>
    <row r="8981" spans="1:2" x14ac:dyDescent="0.25">
      <c r="A8981" s="118"/>
      <c r="B8981" s="136"/>
    </row>
    <row r="8982" spans="1:2" x14ac:dyDescent="0.25">
      <c r="A8982" s="118"/>
      <c r="B8982" s="136"/>
    </row>
    <row r="8983" spans="1:2" x14ac:dyDescent="0.25">
      <c r="A8983" s="118"/>
      <c r="B8983" s="136"/>
    </row>
    <row r="8984" spans="1:2" x14ac:dyDescent="0.25">
      <c r="A8984" s="118"/>
      <c r="B8984" s="136"/>
    </row>
    <row r="8985" spans="1:2" x14ac:dyDescent="0.25">
      <c r="A8985" s="118"/>
      <c r="B8985" s="136"/>
    </row>
    <row r="8986" spans="1:2" x14ac:dyDescent="0.25">
      <c r="A8986" s="118"/>
      <c r="B8986" s="136"/>
    </row>
    <row r="8987" spans="1:2" x14ac:dyDescent="0.25">
      <c r="A8987" s="118"/>
      <c r="B8987" s="136"/>
    </row>
    <row r="8988" spans="1:2" x14ac:dyDescent="0.25">
      <c r="A8988" s="118"/>
      <c r="B8988" s="136"/>
    </row>
    <row r="8989" spans="1:2" x14ac:dyDescent="0.25">
      <c r="A8989" s="118"/>
      <c r="B8989" s="136"/>
    </row>
    <row r="8990" spans="1:2" x14ac:dyDescent="0.25">
      <c r="A8990" s="118"/>
      <c r="B8990" s="136"/>
    </row>
    <row r="8991" spans="1:2" x14ac:dyDescent="0.25">
      <c r="A8991" s="118"/>
      <c r="B8991" s="136"/>
    </row>
    <row r="8992" spans="1:2" x14ac:dyDescent="0.25">
      <c r="A8992" s="118"/>
      <c r="B8992" s="136"/>
    </row>
    <row r="8993" spans="1:2" x14ac:dyDescent="0.25">
      <c r="A8993" s="118"/>
      <c r="B8993" s="136"/>
    </row>
    <row r="8994" spans="1:2" x14ac:dyDescent="0.25">
      <c r="A8994" s="118"/>
      <c r="B8994" s="136"/>
    </row>
    <row r="8995" spans="1:2" x14ac:dyDescent="0.25">
      <c r="A8995" s="118"/>
      <c r="B8995" s="136"/>
    </row>
    <row r="8996" spans="1:2" x14ac:dyDescent="0.25">
      <c r="A8996" s="118"/>
      <c r="B8996" s="136"/>
    </row>
    <row r="8997" spans="1:2" x14ac:dyDescent="0.25">
      <c r="A8997" s="118"/>
      <c r="B8997" s="136"/>
    </row>
    <row r="8998" spans="1:2" x14ac:dyDescent="0.25">
      <c r="A8998" s="118"/>
      <c r="B8998" s="136"/>
    </row>
    <row r="8999" spans="1:2" x14ac:dyDescent="0.25">
      <c r="A8999" s="118"/>
      <c r="B8999" s="136"/>
    </row>
    <row r="9000" spans="1:2" x14ac:dyDescent="0.25">
      <c r="A9000" s="118"/>
      <c r="B9000" s="136"/>
    </row>
    <row r="9001" spans="1:2" x14ac:dyDescent="0.25">
      <c r="A9001" s="118"/>
      <c r="B9001" s="136"/>
    </row>
    <row r="9002" spans="1:2" x14ac:dyDescent="0.25">
      <c r="A9002" s="118"/>
      <c r="B9002" s="136"/>
    </row>
    <row r="9003" spans="1:2" x14ac:dyDescent="0.25">
      <c r="A9003" s="118"/>
      <c r="B9003" s="136"/>
    </row>
    <row r="9004" spans="1:2" x14ac:dyDescent="0.25">
      <c r="A9004" s="118"/>
      <c r="B9004" s="136"/>
    </row>
    <row r="9005" spans="1:2" x14ac:dyDescent="0.25">
      <c r="A9005" s="118"/>
      <c r="B9005" s="136"/>
    </row>
    <row r="9006" spans="1:2" x14ac:dyDescent="0.25">
      <c r="A9006" s="118"/>
      <c r="B9006" s="136"/>
    </row>
    <row r="9007" spans="1:2" x14ac:dyDescent="0.25">
      <c r="A9007" s="118"/>
      <c r="B9007" s="136"/>
    </row>
    <row r="9008" spans="1:2" x14ac:dyDescent="0.25">
      <c r="A9008" s="118"/>
      <c r="B9008" s="136"/>
    </row>
    <row r="9009" spans="1:2" x14ac:dyDescent="0.25">
      <c r="A9009" s="118"/>
      <c r="B9009" s="136"/>
    </row>
    <row r="9010" spans="1:2" x14ac:dyDescent="0.25">
      <c r="A9010" s="118"/>
      <c r="B9010" s="136"/>
    </row>
    <row r="9011" spans="1:2" x14ac:dyDescent="0.25">
      <c r="A9011" s="118"/>
      <c r="B9011" s="136"/>
    </row>
    <row r="9012" spans="1:2" x14ac:dyDescent="0.25">
      <c r="A9012" s="118"/>
      <c r="B9012" s="136"/>
    </row>
    <row r="9013" spans="1:2" x14ac:dyDescent="0.25">
      <c r="A9013" s="118"/>
      <c r="B9013" s="136"/>
    </row>
    <row r="9014" spans="1:2" x14ac:dyDescent="0.25">
      <c r="A9014" s="118"/>
      <c r="B9014" s="136"/>
    </row>
    <row r="9015" spans="1:2" x14ac:dyDescent="0.25">
      <c r="A9015" s="118"/>
      <c r="B9015" s="136"/>
    </row>
    <row r="9016" spans="1:2" x14ac:dyDescent="0.25">
      <c r="A9016" s="118"/>
      <c r="B9016" s="136"/>
    </row>
    <row r="9017" spans="1:2" x14ac:dyDescent="0.25">
      <c r="A9017" s="118"/>
      <c r="B9017" s="136"/>
    </row>
    <row r="9018" spans="1:2" x14ac:dyDescent="0.25">
      <c r="A9018" s="118"/>
      <c r="B9018" s="136"/>
    </row>
    <row r="9019" spans="1:2" x14ac:dyDescent="0.25">
      <c r="A9019" s="118"/>
      <c r="B9019" s="136"/>
    </row>
    <row r="9020" spans="1:2" x14ac:dyDescent="0.25">
      <c r="A9020" s="118"/>
      <c r="B9020" s="136"/>
    </row>
    <row r="9021" spans="1:2" x14ac:dyDescent="0.25">
      <c r="A9021" s="118"/>
      <c r="B9021" s="136"/>
    </row>
    <row r="9022" spans="1:2" x14ac:dyDescent="0.25">
      <c r="A9022" s="118"/>
      <c r="B9022" s="136"/>
    </row>
    <row r="9023" spans="1:2" x14ac:dyDescent="0.25">
      <c r="A9023" s="118"/>
      <c r="B9023" s="136"/>
    </row>
    <row r="9024" spans="1:2" x14ac:dyDescent="0.25">
      <c r="A9024" s="118"/>
      <c r="B9024" s="136"/>
    </row>
    <row r="9025" spans="1:2" x14ac:dyDescent="0.25">
      <c r="A9025" s="118"/>
      <c r="B9025" s="136"/>
    </row>
    <row r="9026" spans="1:2" x14ac:dyDescent="0.25">
      <c r="A9026" s="118"/>
      <c r="B9026" s="136"/>
    </row>
    <row r="9027" spans="1:2" x14ac:dyDescent="0.25">
      <c r="A9027" s="118"/>
      <c r="B9027" s="136"/>
    </row>
    <row r="9028" spans="1:2" x14ac:dyDescent="0.25">
      <c r="A9028" s="118"/>
      <c r="B9028" s="136"/>
    </row>
    <row r="9029" spans="1:2" x14ac:dyDescent="0.25">
      <c r="A9029" s="118"/>
      <c r="B9029" s="136"/>
    </row>
    <row r="9030" spans="1:2" x14ac:dyDescent="0.25">
      <c r="A9030" s="118"/>
      <c r="B9030" s="136"/>
    </row>
    <row r="9031" spans="1:2" x14ac:dyDescent="0.25">
      <c r="A9031" s="118"/>
      <c r="B9031" s="136"/>
    </row>
    <row r="9032" spans="1:2" x14ac:dyDescent="0.25">
      <c r="A9032" s="118"/>
      <c r="B9032" s="136"/>
    </row>
    <row r="9033" spans="1:2" x14ac:dyDescent="0.25">
      <c r="A9033" s="118"/>
      <c r="B9033" s="136"/>
    </row>
    <row r="9034" spans="1:2" x14ac:dyDescent="0.25">
      <c r="A9034" s="118"/>
      <c r="B9034" s="136"/>
    </row>
    <row r="9035" spans="1:2" x14ac:dyDescent="0.25">
      <c r="A9035" s="118"/>
      <c r="B9035" s="136"/>
    </row>
    <row r="9036" spans="1:2" x14ac:dyDescent="0.25">
      <c r="A9036" s="118"/>
      <c r="B9036" s="136"/>
    </row>
    <row r="9037" spans="1:2" x14ac:dyDescent="0.25">
      <c r="A9037" s="118"/>
      <c r="B9037" s="136"/>
    </row>
    <row r="9038" spans="1:2" x14ac:dyDescent="0.25">
      <c r="A9038" s="118"/>
      <c r="B9038" s="136"/>
    </row>
    <row r="9039" spans="1:2" x14ac:dyDescent="0.25">
      <c r="A9039" s="118"/>
      <c r="B9039" s="136"/>
    </row>
    <row r="9040" spans="1:2" x14ac:dyDescent="0.25">
      <c r="A9040" s="118"/>
      <c r="B9040" s="136"/>
    </row>
    <row r="9041" spans="1:2" x14ac:dyDescent="0.25">
      <c r="A9041" s="118"/>
      <c r="B9041" s="136"/>
    </row>
    <row r="9042" spans="1:2" x14ac:dyDescent="0.25">
      <c r="A9042" s="118"/>
      <c r="B9042" s="136"/>
    </row>
    <row r="9043" spans="1:2" x14ac:dyDescent="0.25">
      <c r="A9043" s="118"/>
      <c r="B9043" s="136"/>
    </row>
    <row r="9044" spans="1:2" x14ac:dyDescent="0.25">
      <c r="A9044" s="118"/>
      <c r="B9044" s="136"/>
    </row>
    <row r="9045" spans="1:2" x14ac:dyDescent="0.25">
      <c r="A9045" s="118"/>
      <c r="B9045" s="136"/>
    </row>
    <row r="9046" spans="1:2" x14ac:dyDescent="0.25">
      <c r="A9046" s="118"/>
      <c r="B9046" s="136"/>
    </row>
    <row r="9047" spans="1:2" x14ac:dyDescent="0.25">
      <c r="A9047" s="118"/>
      <c r="B9047" s="136"/>
    </row>
    <row r="9048" spans="1:2" x14ac:dyDescent="0.25">
      <c r="A9048" s="118"/>
      <c r="B9048" s="136"/>
    </row>
    <row r="9049" spans="1:2" x14ac:dyDescent="0.25">
      <c r="A9049" s="118"/>
      <c r="B9049" s="136"/>
    </row>
    <row r="9050" spans="1:2" x14ac:dyDescent="0.25">
      <c r="A9050" s="118"/>
      <c r="B9050" s="136"/>
    </row>
    <row r="9051" spans="1:2" x14ac:dyDescent="0.25">
      <c r="A9051" s="118"/>
      <c r="B9051" s="136"/>
    </row>
    <row r="9052" spans="1:2" x14ac:dyDescent="0.25">
      <c r="A9052" s="118"/>
      <c r="B9052" s="136"/>
    </row>
    <row r="9053" spans="1:2" x14ac:dyDescent="0.25">
      <c r="A9053" s="118"/>
      <c r="B9053" s="136"/>
    </row>
    <row r="9054" spans="1:2" x14ac:dyDescent="0.25">
      <c r="A9054" s="118"/>
      <c r="B9054" s="136"/>
    </row>
    <row r="9055" spans="1:2" x14ac:dyDescent="0.25">
      <c r="A9055" s="118"/>
      <c r="B9055" s="136"/>
    </row>
    <row r="9056" spans="1:2" x14ac:dyDescent="0.25">
      <c r="A9056" s="118"/>
      <c r="B9056" s="136"/>
    </row>
    <row r="9057" spans="1:2" x14ac:dyDescent="0.25">
      <c r="A9057" s="118"/>
      <c r="B9057" s="136"/>
    </row>
    <row r="9058" spans="1:2" x14ac:dyDescent="0.25">
      <c r="A9058" s="118"/>
      <c r="B9058" s="136"/>
    </row>
    <row r="9059" spans="1:2" x14ac:dyDescent="0.25">
      <c r="A9059" s="118"/>
      <c r="B9059" s="136"/>
    </row>
    <row r="9060" spans="1:2" x14ac:dyDescent="0.25">
      <c r="A9060" s="118"/>
      <c r="B9060" s="136"/>
    </row>
    <row r="9061" spans="1:2" x14ac:dyDescent="0.25">
      <c r="A9061" s="118"/>
      <c r="B9061" s="136"/>
    </row>
    <row r="9062" spans="1:2" x14ac:dyDescent="0.25">
      <c r="A9062" s="118"/>
      <c r="B9062" s="136"/>
    </row>
    <row r="9063" spans="1:2" x14ac:dyDescent="0.25">
      <c r="A9063" s="118"/>
      <c r="B9063" s="136"/>
    </row>
    <row r="9064" spans="1:2" x14ac:dyDescent="0.25">
      <c r="A9064" s="118"/>
      <c r="B9064" s="136"/>
    </row>
    <row r="9065" spans="1:2" x14ac:dyDescent="0.25">
      <c r="A9065" s="118"/>
      <c r="B9065" s="136"/>
    </row>
    <row r="9066" spans="1:2" x14ac:dyDescent="0.25">
      <c r="A9066" s="118"/>
      <c r="B9066" s="136"/>
    </row>
    <row r="9067" spans="1:2" x14ac:dyDescent="0.25">
      <c r="A9067" s="118"/>
      <c r="B9067" s="136"/>
    </row>
    <row r="9068" spans="1:2" x14ac:dyDescent="0.25">
      <c r="A9068" s="118"/>
      <c r="B9068" s="136"/>
    </row>
    <row r="9069" spans="1:2" x14ac:dyDescent="0.25">
      <c r="A9069" s="118"/>
      <c r="B9069" s="136"/>
    </row>
    <row r="9070" spans="1:2" x14ac:dyDescent="0.25">
      <c r="A9070" s="118"/>
      <c r="B9070" s="136"/>
    </row>
    <row r="9071" spans="1:2" x14ac:dyDescent="0.25">
      <c r="A9071" s="118"/>
      <c r="B9071" s="136"/>
    </row>
    <row r="9072" spans="1:2" x14ac:dyDescent="0.25">
      <c r="A9072" s="118"/>
      <c r="B9072" s="136"/>
    </row>
    <row r="9073" spans="1:2" x14ac:dyDescent="0.25">
      <c r="A9073" s="118"/>
      <c r="B9073" s="136"/>
    </row>
    <row r="9074" spans="1:2" x14ac:dyDescent="0.25">
      <c r="A9074" s="118"/>
      <c r="B9074" s="136"/>
    </row>
    <row r="9075" spans="1:2" x14ac:dyDescent="0.25">
      <c r="A9075" s="118"/>
      <c r="B9075" s="136"/>
    </row>
    <row r="9076" spans="1:2" x14ac:dyDescent="0.25">
      <c r="A9076" s="118"/>
      <c r="B9076" s="136"/>
    </row>
    <row r="9077" spans="1:2" x14ac:dyDescent="0.25">
      <c r="A9077" s="118"/>
      <c r="B9077" s="136"/>
    </row>
    <row r="9078" spans="1:2" x14ac:dyDescent="0.25">
      <c r="A9078" s="118"/>
      <c r="B9078" s="136"/>
    </row>
    <row r="9079" spans="1:2" x14ac:dyDescent="0.25">
      <c r="A9079" s="118"/>
      <c r="B9079" s="136"/>
    </row>
    <row r="9080" spans="1:2" x14ac:dyDescent="0.25">
      <c r="A9080" s="118"/>
      <c r="B9080" s="136"/>
    </row>
    <row r="9081" spans="1:2" x14ac:dyDescent="0.25">
      <c r="A9081" s="118"/>
      <c r="B9081" s="136"/>
    </row>
    <row r="9082" spans="1:2" x14ac:dyDescent="0.25">
      <c r="A9082" s="118"/>
      <c r="B9082" s="136"/>
    </row>
    <row r="9083" spans="1:2" x14ac:dyDescent="0.25">
      <c r="A9083" s="118"/>
      <c r="B9083" s="136"/>
    </row>
    <row r="9084" spans="1:2" x14ac:dyDescent="0.25">
      <c r="A9084" s="118"/>
      <c r="B9084" s="136"/>
    </row>
    <row r="9085" spans="1:2" x14ac:dyDescent="0.25">
      <c r="A9085" s="118"/>
      <c r="B9085" s="136"/>
    </row>
    <row r="9086" spans="1:2" x14ac:dyDescent="0.25">
      <c r="A9086" s="118"/>
      <c r="B9086" s="136"/>
    </row>
    <row r="9087" spans="1:2" x14ac:dyDescent="0.25">
      <c r="A9087" s="118"/>
      <c r="B9087" s="136"/>
    </row>
    <row r="9088" spans="1:2" x14ac:dyDescent="0.25">
      <c r="A9088" s="118"/>
      <c r="B9088" s="136"/>
    </row>
    <row r="9089" spans="1:2" x14ac:dyDescent="0.25">
      <c r="A9089" s="118"/>
      <c r="B9089" s="136"/>
    </row>
    <row r="9090" spans="1:2" x14ac:dyDescent="0.25">
      <c r="A9090" s="118"/>
      <c r="B9090" s="136"/>
    </row>
    <row r="9091" spans="1:2" x14ac:dyDescent="0.25">
      <c r="A9091" s="118"/>
      <c r="B9091" s="136"/>
    </row>
    <row r="9092" spans="1:2" x14ac:dyDescent="0.25">
      <c r="A9092" s="118"/>
      <c r="B9092" s="136"/>
    </row>
    <row r="9093" spans="1:2" x14ac:dyDescent="0.25">
      <c r="A9093" s="118"/>
      <c r="B9093" s="136"/>
    </row>
    <row r="9094" spans="1:2" x14ac:dyDescent="0.25">
      <c r="A9094" s="118"/>
      <c r="B9094" s="136"/>
    </row>
    <row r="9095" spans="1:2" x14ac:dyDescent="0.25">
      <c r="A9095" s="118"/>
      <c r="B9095" s="136"/>
    </row>
    <row r="9096" spans="1:2" x14ac:dyDescent="0.25">
      <c r="A9096" s="118"/>
      <c r="B9096" s="136"/>
    </row>
    <row r="9097" spans="1:2" x14ac:dyDescent="0.25">
      <c r="A9097" s="118"/>
      <c r="B9097" s="136"/>
    </row>
    <row r="9098" spans="1:2" x14ac:dyDescent="0.25">
      <c r="A9098" s="118"/>
      <c r="B9098" s="136"/>
    </row>
    <row r="9099" spans="1:2" x14ac:dyDescent="0.25">
      <c r="A9099" s="118"/>
      <c r="B9099" s="136"/>
    </row>
    <row r="9100" spans="1:2" x14ac:dyDescent="0.25">
      <c r="A9100" s="118"/>
      <c r="B9100" s="136"/>
    </row>
    <row r="9101" spans="1:2" x14ac:dyDescent="0.25">
      <c r="A9101" s="118"/>
      <c r="B9101" s="136"/>
    </row>
    <row r="9102" spans="1:2" x14ac:dyDescent="0.25">
      <c r="A9102" s="118"/>
      <c r="B9102" s="136"/>
    </row>
    <row r="9103" spans="1:2" x14ac:dyDescent="0.25">
      <c r="A9103" s="118"/>
      <c r="B9103" s="136"/>
    </row>
    <row r="9104" spans="1:2" x14ac:dyDescent="0.25">
      <c r="A9104" s="118"/>
      <c r="B9104" s="136"/>
    </row>
    <row r="9105" spans="1:2" x14ac:dyDescent="0.25">
      <c r="A9105" s="118"/>
      <c r="B9105" s="136"/>
    </row>
    <row r="9106" spans="1:2" x14ac:dyDescent="0.25">
      <c r="A9106" s="118"/>
      <c r="B9106" s="136"/>
    </row>
    <row r="9107" spans="1:2" x14ac:dyDescent="0.25">
      <c r="A9107" s="118"/>
      <c r="B9107" s="136"/>
    </row>
    <row r="9108" spans="1:2" x14ac:dyDescent="0.25">
      <c r="A9108" s="118"/>
      <c r="B9108" s="136"/>
    </row>
    <row r="9109" spans="1:2" x14ac:dyDescent="0.25">
      <c r="A9109" s="118"/>
      <c r="B9109" s="136"/>
    </row>
    <row r="9110" spans="1:2" x14ac:dyDescent="0.25">
      <c r="A9110" s="118"/>
      <c r="B9110" s="136"/>
    </row>
    <row r="9111" spans="1:2" x14ac:dyDescent="0.25">
      <c r="A9111" s="118"/>
      <c r="B9111" s="136"/>
    </row>
    <row r="9112" spans="1:2" x14ac:dyDescent="0.25">
      <c r="A9112" s="118"/>
      <c r="B9112" s="136"/>
    </row>
    <row r="9113" spans="1:2" x14ac:dyDescent="0.25">
      <c r="A9113" s="118"/>
      <c r="B9113" s="136"/>
    </row>
    <row r="9114" spans="1:2" x14ac:dyDescent="0.25">
      <c r="A9114" s="118"/>
      <c r="B9114" s="136"/>
    </row>
    <row r="9115" spans="1:2" x14ac:dyDescent="0.25">
      <c r="A9115" s="118"/>
      <c r="B9115" s="136"/>
    </row>
    <row r="9116" spans="1:2" x14ac:dyDescent="0.25">
      <c r="A9116" s="118"/>
      <c r="B9116" s="136"/>
    </row>
    <row r="9117" spans="1:2" x14ac:dyDescent="0.25">
      <c r="A9117" s="118"/>
      <c r="B9117" s="136"/>
    </row>
    <row r="9118" spans="1:2" x14ac:dyDescent="0.25">
      <c r="A9118" s="118"/>
      <c r="B9118" s="136"/>
    </row>
    <row r="9119" spans="1:2" x14ac:dyDescent="0.25">
      <c r="A9119" s="118"/>
      <c r="B9119" s="136"/>
    </row>
    <row r="9120" spans="1:2" x14ac:dyDescent="0.25">
      <c r="A9120" s="118"/>
      <c r="B9120" s="136"/>
    </row>
    <row r="9121" spans="1:2" x14ac:dyDescent="0.25">
      <c r="A9121" s="118"/>
      <c r="B9121" s="136"/>
    </row>
    <row r="9122" spans="1:2" x14ac:dyDescent="0.25">
      <c r="A9122" s="118"/>
      <c r="B9122" s="136"/>
    </row>
    <row r="9123" spans="1:2" x14ac:dyDescent="0.25">
      <c r="A9123" s="118"/>
      <c r="B9123" s="136"/>
    </row>
    <row r="9124" spans="1:2" x14ac:dyDescent="0.25">
      <c r="A9124" s="118"/>
      <c r="B9124" s="136"/>
    </row>
    <row r="9125" spans="1:2" x14ac:dyDescent="0.25">
      <c r="A9125" s="118"/>
      <c r="B9125" s="136"/>
    </row>
    <row r="9126" spans="1:2" x14ac:dyDescent="0.25">
      <c r="A9126" s="118"/>
      <c r="B9126" s="136"/>
    </row>
    <row r="9127" spans="1:2" x14ac:dyDescent="0.25">
      <c r="A9127" s="118"/>
      <c r="B9127" s="136"/>
    </row>
    <row r="9128" spans="1:2" x14ac:dyDescent="0.25">
      <c r="A9128" s="118"/>
      <c r="B9128" s="136"/>
    </row>
    <row r="9129" spans="1:2" x14ac:dyDescent="0.25">
      <c r="A9129" s="118"/>
      <c r="B9129" s="136"/>
    </row>
    <row r="9130" spans="1:2" x14ac:dyDescent="0.25">
      <c r="A9130" s="118"/>
      <c r="B9130" s="136"/>
    </row>
    <row r="9131" spans="1:2" x14ac:dyDescent="0.25">
      <c r="A9131" s="118"/>
      <c r="B9131" s="136"/>
    </row>
    <row r="9132" spans="1:2" x14ac:dyDescent="0.25">
      <c r="A9132" s="118"/>
      <c r="B9132" s="136"/>
    </row>
    <row r="9133" spans="1:2" x14ac:dyDescent="0.25">
      <c r="A9133" s="118"/>
      <c r="B9133" s="136"/>
    </row>
    <row r="9134" spans="1:2" x14ac:dyDescent="0.25">
      <c r="A9134" s="118"/>
      <c r="B9134" s="136"/>
    </row>
    <row r="9135" spans="1:2" x14ac:dyDescent="0.25">
      <c r="A9135" s="118"/>
      <c r="B9135" s="136"/>
    </row>
    <row r="9136" spans="1:2" x14ac:dyDescent="0.25">
      <c r="A9136" s="118"/>
      <c r="B9136" s="136"/>
    </row>
    <row r="9137" spans="1:2" x14ac:dyDescent="0.25">
      <c r="A9137" s="118"/>
      <c r="B9137" s="136"/>
    </row>
    <row r="9138" spans="1:2" x14ac:dyDescent="0.25">
      <c r="A9138" s="118"/>
      <c r="B9138" s="136"/>
    </row>
    <row r="9139" spans="1:2" x14ac:dyDescent="0.25">
      <c r="A9139" s="118"/>
      <c r="B9139" s="136"/>
    </row>
    <row r="9140" spans="1:2" x14ac:dyDescent="0.25">
      <c r="A9140" s="118"/>
      <c r="B9140" s="136"/>
    </row>
    <row r="9141" spans="1:2" x14ac:dyDescent="0.25">
      <c r="A9141" s="118"/>
      <c r="B9141" s="136"/>
    </row>
    <row r="9142" spans="1:2" x14ac:dyDescent="0.25">
      <c r="A9142" s="118"/>
      <c r="B9142" s="136"/>
    </row>
    <row r="9143" spans="1:2" x14ac:dyDescent="0.25">
      <c r="A9143" s="118"/>
      <c r="B9143" s="136"/>
    </row>
    <row r="9144" spans="1:2" x14ac:dyDescent="0.25">
      <c r="A9144" s="118"/>
      <c r="B9144" s="136"/>
    </row>
    <row r="9145" spans="1:2" x14ac:dyDescent="0.25">
      <c r="A9145" s="118"/>
      <c r="B9145" s="136"/>
    </row>
    <row r="9146" spans="1:2" x14ac:dyDescent="0.25">
      <c r="A9146" s="118"/>
      <c r="B9146" s="136"/>
    </row>
    <row r="9147" spans="1:2" x14ac:dyDescent="0.25">
      <c r="A9147" s="118"/>
      <c r="B9147" s="136"/>
    </row>
    <row r="9148" spans="1:2" x14ac:dyDescent="0.25">
      <c r="A9148" s="118"/>
      <c r="B9148" s="136"/>
    </row>
    <row r="9149" spans="1:2" x14ac:dyDescent="0.25">
      <c r="A9149" s="118"/>
      <c r="B9149" s="136"/>
    </row>
    <row r="9150" spans="1:2" x14ac:dyDescent="0.25">
      <c r="A9150" s="118"/>
      <c r="B9150" s="136"/>
    </row>
    <row r="9151" spans="1:2" x14ac:dyDescent="0.25">
      <c r="A9151" s="118"/>
      <c r="B9151" s="136"/>
    </row>
    <row r="9152" spans="1:2" x14ac:dyDescent="0.25">
      <c r="A9152" s="118"/>
      <c r="B9152" s="136"/>
    </row>
    <row r="9153" spans="1:2" x14ac:dyDescent="0.25">
      <c r="A9153" s="118"/>
      <c r="B9153" s="136"/>
    </row>
    <row r="9154" spans="1:2" x14ac:dyDescent="0.25">
      <c r="A9154" s="118"/>
      <c r="B9154" s="136"/>
    </row>
    <row r="9155" spans="1:2" x14ac:dyDescent="0.25">
      <c r="A9155" s="118"/>
      <c r="B9155" s="136"/>
    </row>
    <row r="9156" spans="1:2" x14ac:dyDescent="0.25">
      <c r="A9156" s="118"/>
      <c r="B9156" s="136"/>
    </row>
    <row r="9157" spans="1:2" x14ac:dyDescent="0.25">
      <c r="A9157" s="118"/>
      <c r="B9157" s="136"/>
    </row>
    <row r="9158" spans="1:2" x14ac:dyDescent="0.25">
      <c r="A9158" s="118"/>
      <c r="B9158" s="136"/>
    </row>
    <row r="9159" spans="1:2" x14ac:dyDescent="0.25">
      <c r="A9159" s="118"/>
      <c r="B9159" s="136"/>
    </row>
    <row r="9160" spans="1:2" x14ac:dyDescent="0.25">
      <c r="A9160" s="118"/>
      <c r="B9160" s="136"/>
    </row>
    <row r="9161" spans="1:2" x14ac:dyDescent="0.25">
      <c r="A9161" s="118"/>
      <c r="B9161" s="136"/>
    </row>
    <row r="9162" spans="1:2" x14ac:dyDescent="0.25">
      <c r="A9162" s="118"/>
      <c r="B9162" s="136"/>
    </row>
    <row r="9163" spans="1:2" x14ac:dyDescent="0.25">
      <c r="A9163" s="118"/>
      <c r="B9163" s="136"/>
    </row>
    <row r="9164" spans="1:2" x14ac:dyDescent="0.25">
      <c r="A9164" s="118"/>
      <c r="B9164" s="136"/>
    </row>
    <row r="9165" spans="1:2" x14ac:dyDescent="0.25">
      <c r="A9165" s="118"/>
      <c r="B9165" s="136"/>
    </row>
    <row r="9166" spans="1:2" x14ac:dyDescent="0.25">
      <c r="A9166" s="118"/>
      <c r="B9166" s="136"/>
    </row>
    <row r="9167" spans="1:2" x14ac:dyDescent="0.25">
      <c r="A9167" s="118"/>
      <c r="B9167" s="136"/>
    </row>
    <row r="9168" spans="1:2" x14ac:dyDescent="0.25">
      <c r="A9168" s="118"/>
      <c r="B9168" s="136"/>
    </row>
    <row r="9169" spans="1:2" x14ac:dyDescent="0.25">
      <c r="A9169" s="118"/>
      <c r="B9169" s="136"/>
    </row>
    <row r="9170" spans="1:2" x14ac:dyDescent="0.25">
      <c r="A9170" s="118"/>
      <c r="B9170" s="136"/>
    </row>
    <row r="9171" spans="1:2" x14ac:dyDescent="0.25">
      <c r="A9171" s="118"/>
      <c r="B9171" s="136"/>
    </row>
    <row r="9172" spans="1:2" x14ac:dyDescent="0.25">
      <c r="A9172" s="118"/>
      <c r="B9172" s="136"/>
    </row>
    <row r="9173" spans="1:2" x14ac:dyDescent="0.25">
      <c r="A9173" s="118"/>
      <c r="B9173" s="136"/>
    </row>
    <row r="9174" spans="1:2" x14ac:dyDescent="0.25">
      <c r="A9174" s="118"/>
      <c r="B9174" s="136"/>
    </row>
    <row r="9175" spans="1:2" x14ac:dyDescent="0.25">
      <c r="A9175" s="118"/>
      <c r="B9175" s="136"/>
    </row>
    <row r="9176" spans="1:2" x14ac:dyDescent="0.25">
      <c r="A9176" s="118"/>
      <c r="B9176" s="136"/>
    </row>
    <row r="9177" spans="1:2" x14ac:dyDescent="0.25">
      <c r="A9177" s="118"/>
      <c r="B9177" s="136"/>
    </row>
    <row r="9178" spans="1:2" x14ac:dyDescent="0.25">
      <c r="A9178" s="118"/>
      <c r="B9178" s="136"/>
    </row>
    <row r="9179" spans="1:2" x14ac:dyDescent="0.25">
      <c r="A9179" s="118"/>
      <c r="B9179" s="136"/>
    </row>
    <row r="9180" spans="1:2" x14ac:dyDescent="0.25">
      <c r="A9180" s="118"/>
      <c r="B9180" s="136"/>
    </row>
    <row r="9181" spans="1:2" x14ac:dyDescent="0.25">
      <c r="A9181" s="118"/>
      <c r="B9181" s="136"/>
    </row>
    <row r="9182" spans="1:2" x14ac:dyDescent="0.25">
      <c r="A9182" s="118"/>
      <c r="B9182" s="136"/>
    </row>
    <row r="9183" spans="1:2" x14ac:dyDescent="0.25">
      <c r="A9183" s="118"/>
      <c r="B9183" s="136"/>
    </row>
    <row r="9184" spans="1:2" x14ac:dyDescent="0.25">
      <c r="A9184" s="118"/>
      <c r="B9184" s="136"/>
    </row>
    <row r="9185" spans="1:2" x14ac:dyDescent="0.25">
      <c r="A9185" s="118"/>
      <c r="B9185" s="136"/>
    </row>
    <row r="9186" spans="1:2" x14ac:dyDescent="0.25">
      <c r="A9186" s="118"/>
      <c r="B9186" s="136"/>
    </row>
    <row r="9187" spans="1:2" x14ac:dyDescent="0.25">
      <c r="A9187" s="118"/>
      <c r="B9187" s="136"/>
    </row>
    <row r="9188" spans="1:2" x14ac:dyDescent="0.25">
      <c r="A9188" s="118"/>
      <c r="B9188" s="136"/>
    </row>
    <row r="9189" spans="1:2" x14ac:dyDescent="0.25">
      <c r="A9189" s="118"/>
      <c r="B9189" s="136"/>
    </row>
    <row r="9190" spans="1:2" x14ac:dyDescent="0.25">
      <c r="A9190" s="118"/>
      <c r="B9190" s="136"/>
    </row>
    <row r="9191" spans="1:2" x14ac:dyDescent="0.25">
      <c r="A9191" s="118"/>
      <c r="B9191" s="136"/>
    </row>
    <row r="9192" spans="1:2" x14ac:dyDescent="0.25">
      <c r="A9192" s="118"/>
      <c r="B9192" s="136"/>
    </row>
    <row r="9193" spans="1:2" x14ac:dyDescent="0.25">
      <c r="A9193" s="118"/>
      <c r="B9193" s="136"/>
    </row>
    <row r="9194" spans="1:2" x14ac:dyDescent="0.25">
      <c r="A9194" s="118"/>
      <c r="B9194" s="136"/>
    </row>
    <row r="9195" spans="1:2" x14ac:dyDescent="0.25">
      <c r="A9195" s="118"/>
      <c r="B9195" s="136"/>
    </row>
    <row r="9196" spans="1:2" x14ac:dyDescent="0.25">
      <c r="A9196" s="118"/>
      <c r="B9196" s="136"/>
    </row>
    <row r="9197" spans="1:2" x14ac:dyDescent="0.25">
      <c r="A9197" s="118"/>
      <c r="B9197" s="136"/>
    </row>
    <row r="9198" spans="1:2" x14ac:dyDescent="0.25">
      <c r="A9198" s="118"/>
      <c r="B9198" s="136"/>
    </row>
    <row r="9199" spans="1:2" x14ac:dyDescent="0.25">
      <c r="A9199" s="118"/>
      <c r="B9199" s="136"/>
    </row>
    <row r="9200" spans="1:2" x14ac:dyDescent="0.25">
      <c r="A9200" s="118"/>
      <c r="B9200" s="136"/>
    </row>
    <row r="9201" spans="1:2" x14ac:dyDescent="0.25">
      <c r="A9201" s="118"/>
      <c r="B9201" s="136"/>
    </row>
    <row r="9202" spans="1:2" x14ac:dyDescent="0.25">
      <c r="A9202" s="118"/>
      <c r="B9202" s="136"/>
    </row>
    <row r="9203" spans="1:2" x14ac:dyDescent="0.25">
      <c r="A9203" s="118"/>
      <c r="B9203" s="136"/>
    </row>
    <row r="9204" spans="1:2" x14ac:dyDescent="0.25">
      <c r="A9204" s="118"/>
      <c r="B9204" s="136"/>
    </row>
    <row r="9205" spans="1:2" x14ac:dyDescent="0.25">
      <c r="A9205" s="118"/>
      <c r="B9205" s="136"/>
    </row>
    <row r="9206" spans="1:2" x14ac:dyDescent="0.25">
      <c r="A9206" s="118"/>
      <c r="B9206" s="136"/>
    </row>
    <row r="9207" spans="1:2" x14ac:dyDescent="0.25">
      <c r="A9207" s="118"/>
      <c r="B9207" s="136"/>
    </row>
    <row r="9208" spans="1:2" x14ac:dyDescent="0.25">
      <c r="A9208" s="118"/>
      <c r="B9208" s="136"/>
    </row>
    <row r="9209" spans="1:2" x14ac:dyDescent="0.25">
      <c r="A9209" s="118"/>
      <c r="B9209" s="136"/>
    </row>
    <row r="9210" spans="1:2" x14ac:dyDescent="0.25">
      <c r="A9210" s="118"/>
      <c r="B9210" s="136"/>
    </row>
    <row r="9211" spans="1:2" x14ac:dyDescent="0.25">
      <c r="A9211" s="118"/>
      <c r="B9211" s="136"/>
    </row>
    <row r="9212" spans="1:2" x14ac:dyDescent="0.25">
      <c r="A9212" s="118"/>
      <c r="B9212" s="136"/>
    </row>
    <row r="9213" spans="1:2" x14ac:dyDescent="0.25">
      <c r="A9213" s="118"/>
      <c r="B9213" s="136"/>
    </row>
    <row r="9214" spans="1:2" x14ac:dyDescent="0.25">
      <c r="A9214" s="118"/>
      <c r="B9214" s="136"/>
    </row>
    <row r="9215" spans="1:2" x14ac:dyDescent="0.25">
      <c r="A9215" s="118"/>
      <c r="B9215" s="136"/>
    </row>
    <row r="9216" spans="1:2" x14ac:dyDescent="0.25">
      <c r="A9216" s="118"/>
      <c r="B9216" s="136"/>
    </row>
    <row r="9217" spans="1:2" x14ac:dyDescent="0.25">
      <c r="A9217" s="118"/>
      <c r="B9217" s="136"/>
    </row>
    <row r="9218" spans="1:2" x14ac:dyDescent="0.25">
      <c r="A9218" s="118"/>
      <c r="B9218" s="136"/>
    </row>
    <row r="9219" spans="1:2" x14ac:dyDescent="0.25">
      <c r="A9219" s="118"/>
      <c r="B9219" s="136"/>
    </row>
    <row r="9220" spans="1:2" x14ac:dyDescent="0.25">
      <c r="A9220" s="118"/>
      <c r="B9220" s="136"/>
    </row>
    <row r="9221" spans="1:2" x14ac:dyDescent="0.25">
      <c r="A9221" s="118"/>
      <c r="B9221" s="136"/>
    </row>
    <row r="9222" spans="1:2" x14ac:dyDescent="0.25">
      <c r="A9222" s="118"/>
      <c r="B9222" s="136"/>
    </row>
    <row r="9223" spans="1:2" x14ac:dyDescent="0.25">
      <c r="A9223" s="118"/>
      <c r="B9223" s="136"/>
    </row>
    <row r="9224" spans="1:2" x14ac:dyDescent="0.25">
      <c r="A9224" s="118"/>
      <c r="B9224" s="136"/>
    </row>
    <row r="9225" spans="1:2" x14ac:dyDescent="0.25">
      <c r="A9225" s="118"/>
      <c r="B9225" s="136"/>
    </row>
    <row r="9226" spans="1:2" x14ac:dyDescent="0.25">
      <c r="A9226" s="118"/>
      <c r="B9226" s="136"/>
    </row>
    <row r="9227" spans="1:2" x14ac:dyDescent="0.25">
      <c r="A9227" s="118"/>
      <c r="B9227" s="136"/>
    </row>
    <row r="9228" spans="1:2" x14ac:dyDescent="0.25">
      <c r="A9228" s="118"/>
      <c r="B9228" s="136"/>
    </row>
    <row r="9229" spans="1:2" x14ac:dyDescent="0.25">
      <c r="A9229" s="118"/>
      <c r="B9229" s="136"/>
    </row>
    <row r="9230" spans="1:2" x14ac:dyDescent="0.25">
      <c r="A9230" s="118"/>
      <c r="B9230" s="136"/>
    </row>
    <row r="9231" spans="1:2" x14ac:dyDescent="0.25">
      <c r="A9231" s="118"/>
      <c r="B9231" s="136"/>
    </row>
    <row r="9232" spans="1:2" x14ac:dyDescent="0.25">
      <c r="A9232" s="118"/>
      <c r="B9232" s="136"/>
    </row>
    <row r="9233" spans="1:2" x14ac:dyDescent="0.25">
      <c r="A9233" s="118"/>
      <c r="B9233" s="136"/>
    </row>
    <row r="9234" spans="1:2" x14ac:dyDescent="0.25">
      <c r="A9234" s="118"/>
      <c r="B9234" s="136"/>
    </row>
    <row r="9235" spans="1:2" x14ac:dyDescent="0.25">
      <c r="A9235" s="118"/>
      <c r="B9235" s="136"/>
    </row>
    <row r="9236" spans="1:2" x14ac:dyDescent="0.25">
      <c r="A9236" s="118"/>
      <c r="B9236" s="136"/>
    </row>
    <row r="9237" spans="1:2" x14ac:dyDescent="0.25">
      <c r="A9237" s="118"/>
      <c r="B9237" s="136"/>
    </row>
    <row r="9238" spans="1:2" x14ac:dyDescent="0.25">
      <c r="A9238" s="118"/>
      <c r="B9238" s="136"/>
    </row>
    <row r="9239" spans="1:2" x14ac:dyDescent="0.25">
      <c r="A9239" s="118"/>
      <c r="B9239" s="136"/>
    </row>
    <row r="9240" spans="1:2" x14ac:dyDescent="0.25">
      <c r="A9240" s="118"/>
      <c r="B9240" s="136"/>
    </row>
    <row r="9241" spans="1:2" x14ac:dyDescent="0.25">
      <c r="A9241" s="118"/>
      <c r="B9241" s="136"/>
    </row>
    <row r="9242" spans="1:2" x14ac:dyDescent="0.25">
      <c r="A9242" s="118"/>
      <c r="B9242" s="136"/>
    </row>
    <row r="9243" spans="1:2" x14ac:dyDescent="0.25">
      <c r="A9243" s="118"/>
      <c r="B9243" s="136"/>
    </row>
    <row r="9244" spans="1:2" x14ac:dyDescent="0.25">
      <c r="A9244" s="118"/>
      <c r="B9244" s="136"/>
    </row>
    <row r="9245" spans="1:2" x14ac:dyDescent="0.25">
      <c r="A9245" s="118"/>
      <c r="B9245" s="136"/>
    </row>
    <row r="9246" spans="1:2" x14ac:dyDescent="0.25">
      <c r="A9246" s="118"/>
      <c r="B9246" s="136"/>
    </row>
    <row r="9247" spans="1:2" x14ac:dyDescent="0.25">
      <c r="A9247" s="118"/>
      <c r="B9247" s="136"/>
    </row>
    <row r="9248" spans="1:2" x14ac:dyDescent="0.25">
      <c r="A9248" s="118"/>
      <c r="B9248" s="136"/>
    </row>
    <row r="9249" spans="1:2" x14ac:dyDescent="0.25">
      <c r="A9249" s="118"/>
      <c r="B9249" s="136"/>
    </row>
    <row r="9250" spans="1:2" x14ac:dyDescent="0.25">
      <c r="A9250" s="118"/>
      <c r="B9250" s="136"/>
    </row>
    <row r="9251" spans="1:2" x14ac:dyDescent="0.25">
      <c r="A9251" s="118"/>
      <c r="B9251" s="136"/>
    </row>
    <row r="9252" spans="1:2" x14ac:dyDescent="0.25">
      <c r="A9252" s="118"/>
      <c r="B9252" s="136"/>
    </row>
    <row r="9253" spans="1:2" x14ac:dyDescent="0.25">
      <c r="A9253" s="118"/>
      <c r="B9253" s="136"/>
    </row>
    <row r="9254" spans="1:2" x14ac:dyDescent="0.25">
      <c r="A9254" s="118"/>
      <c r="B9254" s="136"/>
    </row>
    <row r="9255" spans="1:2" x14ac:dyDescent="0.25">
      <c r="A9255" s="118"/>
      <c r="B9255" s="136"/>
    </row>
    <row r="9256" spans="1:2" x14ac:dyDescent="0.25">
      <c r="A9256" s="118"/>
      <c r="B9256" s="136"/>
    </row>
    <row r="9257" spans="1:2" x14ac:dyDescent="0.25">
      <c r="A9257" s="118"/>
      <c r="B9257" s="136"/>
    </row>
    <row r="9258" spans="1:2" x14ac:dyDescent="0.25">
      <c r="A9258" s="118"/>
      <c r="B9258" s="136"/>
    </row>
    <row r="9259" spans="1:2" x14ac:dyDescent="0.25">
      <c r="A9259" s="118"/>
      <c r="B9259" s="136"/>
    </row>
    <row r="9260" spans="1:2" x14ac:dyDescent="0.25">
      <c r="A9260" s="118"/>
      <c r="B9260" s="136"/>
    </row>
    <row r="9261" spans="1:2" x14ac:dyDescent="0.25">
      <c r="A9261" s="118"/>
      <c r="B9261" s="136"/>
    </row>
    <row r="9262" spans="1:2" x14ac:dyDescent="0.25">
      <c r="A9262" s="118"/>
      <c r="B9262" s="136"/>
    </row>
    <row r="9263" spans="1:2" x14ac:dyDescent="0.25">
      <c r="A9263" s="118"/>
      <c r="B9263" s="136"/>
    </row>
    <row r="9264" spans="1:2" x14ac:dyDescent="0.25">
      <c r="A9264" s="118"/>
      <c r="B9264" s="136"/>
    </row>
    <row r="9265" spans="1:2" x14ac:dyDescent="0.25">
      <c r="A9265" s="118"/>
      <c r="B9265" s="136"/>
    </row>
    <row r="9266" spans="1:2" x14ac:dyDescent="0.25">
      <c r="A9266" s="118"/>
      <c r="B9266" s="136"/>
    </row>
    <row r="9267" spans="1:2" x14ac:dyDescent="0.25">
      <c r="A9267" s="118"/>
      <c r="B9267" s="136"/>
    </row>
    <row r="9268" spans="1:2" x14ac:dyDescent="0.25">
      <c r="A9268" s="118"/>
      <c r="B9268" s="136"/>
    </row>
    <row r="9269" spans="1:2" x14ac:dyDescent="0.25">
      <c r="A9269" s="118"/>
      <c r="B9269" s="136"/>
    </row>
    <row r="9270" spans="1:2" x14ac:dyDescent="0.25">
      <c r="A9270" s="118"/>
      <c r="B9270" s="136"/>
    </row>
    <row r="9271" spans="1:2" x14ac:dyDescent="0.25">
      <c r="A9271" s="118"/>
      <c r="B9271" s="136"/>
    </row>
    <row r="9272" spans="1:2" x14ac:dyDescent="0.25">
      <c r="A9272" s="118"/>
      <c r="B9272" s="136"/>
    </row>
    <row r="9273" spans="1:2" x14ac:dyDescent="0.25">
      <c r="A9273" s="118"/>
      <c r="B9273" s="136"/>
    </row>
    <row r="9274" spans="1:2" x14ac:dyDescent="0.25">
      <c r="A9274" s="118"/>
      <c r="B9274" s="136"/>
    </row>
    <row r="9275" spans="1:2" x14ac:dyDescent="0.25">
      <c r="A9275" s="118"/>
      <c r="B9275" s="136"/>
    </row>
    <row r="9276" spans="1:2" x14ac:dyDescent="0.25">
      <c r="A9276" s="118"/>
      <c r="B9276" s="136"/>
    </row>
    <row r="9277" spans="1:2" x14ac:dyDescent="0.25">
      <c r="A9277" s="118"/>
      <c r="B9277" s="136"/>
    </row>
    <row r="9278" spans="1:2" x14ac:dyDescent="0.25">
      <c r="A9278" s="118"/>
      <c r="B9278" s="136"/>
    </row>
    <row r="9279" spans="1:2" x14ac:dyDescent="0.25">
      <c r="A9279" s="118"/>
      <c r="B9279" s="136"/>
    </row>
    <row r="9280" spans="1:2" x14ac:dyDescent="0.25">
      <c r="A9280" s="118"/>
      <c r="B9280" s="136"/>
    </row>
    <row r="9281" spans="1:2" x14ac:dyDescent="0.25">
      <c r="A9281" s="118"/>
      <c r="B9281" s="136"/>
    </row>
    <row r="9282" spans="1:2" x14ac:dyDescent="0.25">
      <c r="A9282" s="118"/>
      <c r="B9282" s="136"/>
    </row>
    <row r="9283" spans="1:2" x14ac:dyDescent="0.25">
      <c r="A9283" s="118"/>
      <c r="B9283" s="136"/>
    </row>
    <row r="9284" spans="1:2" x14ac:dyDescent="0.25">
      <c r="A9284" s="118"/>
      <c r="B9284" s="136"/>
    </row>
    <row r="9285" spans="1:2" x14ac:dyDescent="0.25">
      <c r="A9285" s="118"/>
      <c r="B9285" s="136"/>
    </row>
    <row r="9286" spans="1:2" x14ac:dyDescent="0.25">
      <c r="A9286" s="118"/>
      <c r="B9286" s="136"/>
    </row>
    <row r="9287" spans="1:2" x14ac:dyDescent="0.25">
      <c r="A9287" s="118"/>
      <c r="B9287" s="136"/>
    </row>
    <row r="9288" spans="1:2" x14ac:dyDescent="0.25">
      <c r="A9288" s="118"/>
      <c r="B9288" s="136"/>
    </row>
    <row r="9289" spans="1:2" x14ac:dyDescent="0.25">
      <c r="A9289" s="118"/>
      <c r="B9289" s="136"/>
    </row>
    <row r="9290" spans="1:2" x14ac:dyDescent="0.25">
      <c r="A9290" s="118"/>
      <c r="B9290" s="136"/>
    </row>
    <row r="9291" spans="1:2" x14ac:dyDescent="0.25">
      <c r="A9291" s="118"/>
      <c r="B9291" s="136"/>
    </row>
    <row r="9292" spans="1:2" x14ac:dyDescent="0.25">
      <c r="A9292" s="118"/>
      <c r="B9292" s="136"/>
    </row>
    <row r="9293" spans="1:2" x14ac:dyDescent="0.25">
      <c r="A9293" s="118"/>
      <c r="B9293" s="136"/>
    </row>
    <row r="9294" spans="1:2" x14ac:dyDescent="0.25">
      <c r="A9294" s="118"/>
      <c r="B9294" s="136"/>
    </row>
    <row r="9295" spans="1:2" x14ac:dyDescent="0.25">
      <c r="A9295" s="118"/>
      <c r="B9295" s="136"/>
    </row>
    <row r="9296" spans="1:2" x14ac:dyDescent="0.25">
      <c r="A9296" s="118"/>
      <c r="B9296" s="136"/>
    </row>
    <row r="9297" spans="1:2" x14ac:dyDescent="0.25">
      <c r="A9297" s="118"/>
      <c r="B9297" s="136"/>
    </row>
    <row r="9298" spans="1:2" x14ac:dyDescent="0.25">
      <c r="A9298" s="118"/>
      <c r="B9298" s="136"/>
    </row>
    <row r="9299" spans="1:2" x14ac:dyDescent="0.25">
      <c r="A9299" s="118"/>
      <c r="B9299" s="136"/>
    </row>
    <row r="9300" spans="1:2" x14ac:dyDescent="0.25">
      <c r="A9300" s="118"/>
      <c r="B9300" s="136"/>
    </row>
    <row r="9301" spans="1:2" x14ac:dyDescent="0.25">
      <c r="A9301" s="118"/>
      <c r="B9301" s="136"/>
    </row>
    <row r="9302" spans="1:2" x14ac:dyDescent="0.25">
      <c r="A9302" s="118"/>
      <c r="B9302" s="136"/>
    </row>
    <row r="9303" spans="1:2" x14ac:dyDescent="0.25">
      <c r="A9303" s="118"/>
      <c r="B9303" s="136"/>
    </row>
    <row r="9304" spans="1:2" x14ac:dyDescent="0.25">
      <c r="A9304" s="118"/>
      <c r="B9304" s="136"/>
    </row>
    <row r="9305" spans="1:2" x14ac:dyDescent="0.25">
      <c r="A9305" s="118"/>
      <c r="B9305" s="136"/>
    </row>
    <row r="9306" spans="1:2" x14ac:dyDescent="0.25">
      <c r="A9306" s="118"/>
      <c r="B9306" s="136"/>
    </row>
    <row r="9307" spans="1:2" x14ac:dyDescent="0.25">
      <c r="A9307" s="118"/>
      <c r="B9307" s="136"/>
    </row>
    <row r="9308" spans="1:2" x14ac:dyDescent="0.25">
      <c r="A9308" s="118"/>
      <c r="B9308" s="136"/>
    </row>
    <row r="9309" spans="1:2" x14ac:dyDescent="0.25">
      <c r="A9309" s="118"/>
      <c r="B9309" s="136"/>
    </row>
    <row r="9310" spans="1:2" x14ac:dyDescent="0.25">
      <c r="A9310" s="118"/>
      <c r="B9310" s="136"/>
    </row>
    <row r="9311" spans="1:2" x14ac:dyDescent="0.25">
      <c r="A9311" s="118"/>
      <c r="B9311" s="136"/>
    </row>
    <row r="9312" spans="1:2" x14ac:dyDescent="0.25">
      <c r="A9312" s="118"/>
      <c r="B9312" s="136"/>
    </row>
    <row r="9313" spans="1:2" x14ac:dyDescent="0.25">
      <c r="A9313" s="118"/>
      <c r="B9313" s="136"/>
    </row>
    <row r="9314" spans="1:2" x14ac:dyDescent="0.25">
      <c r="A9314" s="118"/>
      <c r="B9314" s="136"/>
    </row>
    <row r="9315" spans="1:2" x14ac:dyDescent="0.25">
      <c r="A9315" s="118"/>
      <c r="B9315" s="136"/>
    </row>
    <row r="9316" spans="1:2" x14ac:dyDescent="0.25">
      <c r="A9316" s="118"/>
      <c r="B9316" s="136"/>
    </row>
    <row r="9317" spans="1:2" x14ac:dyDescent="0.25">
      <c r="A9317" s="118"/>
      <c r="B9317" s="136"/>
    </row>
    <row r="9318" spans="1:2" x14ac:dyDescent="0.25">
      <c r="A9318" s="118"/>
      <c r="B9318" s="136"/>
    </row>
    <row r="9319" spans="1:2" x14ac:dyDescent="0.25">
      <c r="A9319" s="118"/>
      <c r="B9319" s="136"/>
    </row>
    <row r="9320" spans="1:2" x14ac:dyDescent="0.25">
      <c r="A9320" s="118"/>
      <c r="B9320" s="136"/>
    </row>
    <row r="9321" spans="1:2" x14ac:dyDescent="0.25">
      <c r="A9321" s="118"/>
      <c r="B9321" s="136"/>
    </row>
    <row r="9322" spans="1:2" x14ac:dyDescent="0.25">
      <c r="A9322" s="118"/>
      <c r="B9322" s="136"/>
    </row>
    <row r="9323" spans="1:2" x14ac:dyDescent="0.25">
      <c r="A9323" s="118"/>
      <c r="B9323" s="136"/>
    </row>
    <row r="9324" spans="1:2" x14ac:dyDescent="0.25">
      <c r="A9324" s="118"/>
      <c r="B9324" s="136"/>
    </row>
    <row r="9325" spans="1:2" x14ac:dyDescent="0.25">
      <c r="A9325" s="118"/>
      <c r="B9325" s="136"/>
    </row>
    <row r="9326" spans="1:2" x14ac:dyDescent="0.25">
      <c r="A9326" s="118"/>
      <c r="B9326" s="136"/>
    </row>
    <row r="9327" spans="1:2" x14ac:dyDescent="0.25">
      <c r="A9327" s="118"/>
      <c r="B9327" s="136"/>
    </row>
    <row r="9328" spans="1:2" x14ac:dyDescent="0.25">
      <c r="A9328" s="118"/>
      <c r="B9328" s="136"/>
    </row>
    <row r="9329" spans="1:2" x14ac:dyDescent="0.25">
      <c r="A9329" s="118"/>
      <c r="B9329" s="136"/>
    </row>
    <row r="9330" spans="1:2" x14ac:dyDescent="0.25">
      <c r="A9330" s="118"/>
      <c r="B9330" s="136"/>
    </row>
    <row r="9331" spans="1:2" x14ac:dyDescent="0.25">
      <c r="A9331" s="118"/>
      <c r="B9331" s="136"/>
    </row>
    <row r="9332" spans="1:2" x14ac:dyDescent="0.25">
      <c r="A9332" s="118"/>
      <c r="B9332" s="136"/>
    </row>
    <row r="9333" spans="1:2" x14ac:dyDescent="0.25">
      <c r="A9333" s="118"/>
      <c r="B9333" s="136"/>
    </row>
    <row r="9334" spans="1:2" x14ac:dyDescent="0.25">
      <c r="A9334" s="118"/>
      <c r="B9334" s="136"/>
    </row>
    <row r="9335" spans="1:2" x14ac:dyDescent="0.25">
      <c r="A9335" s="118"/>
      <c r="B9335" s="136"/>
    </row>
    <row r="9336" spans="1:2" x14ac:dyDescent="0.25">
      <c r="A9336" s="118"/>
      <c r="B9336" s="136"/>
    </row>
    <row r="9337" spans="1:2" x14ac:dyDescent="0.25">
      <c r="A9337" s="118"/>
      <c r="B9337" s="136"/>
    </row>
    <row r="9338" spans="1:2" x14ac:dyDescent="0.25">
      <c r="A9338" s="118"/>
      <c r="B9338" s="136"/>
    </row>
    <row r="9339" spans="1:2" x14ac:dyDescent="0.25">
      <c r="A9339" s="118"/>
      <c r="B9339" s="136"/>
    </row>
    <row r="9340" spans="1:2" x14ac:dyDescent="0.25">
      <c r="A9340" s="118"/>
      <c r="B9340" s="136"/>
    </row>
    <row r="9341" spans="1:2" x14ac:dyDescent="0.25">
      <c r="A9341" s="118"/>
      <c r="B9341" s="136"/>
    </row>
    <row r="9342" spans="1:2" x14ac:dyDescent="0.25">
      <c r="A9342" s="118"/>
      <c r="B9342" s="136"/>
    </row>
    <row r="9343" spans="1:2" x14ac:dyDescent="0.25">
      <c r="A9343" s="118"/>
      <c r="B9343" s="136"/>
    </row>
    <row r="9344" spans="1:2" x14ac:dyDescent="0.25">
      <c r="A9344" s="118"/>
      <c r="B9344" s="136"/>
    </row>
    <row r="9345" spans="1:2" x14ac:dyDescent="0.25">
      <c r="A9345" s="118"/>
      <c r="B9345" s="136"/>
    </row>
    <row r="9346" spans="1:2" x14ac:dyDescent="0.25">
      <c r="A9346" s="118"/>
      <c r="B9346" s="136"/>
    </row>
    <row r="9347" spans="1:2" x14ac:dyDescent="0.25">
      <c r="A9347" s="118"/>
      <c r="B9347" s="136"/>
    </row>
    <row r="9348" spans="1:2" x14ac:dyDescent="0.25">
      <c r="A9348" s="118"/>
      <c r="B9348" s="136"/>
    </row>
    <row r="9349" spans="1:2" x14ac:dyDescent="0.25">
      <c r="A9349" s="118"/>
      <c r="B9349" s="136"/>
    </row>
    <row r="9350" spans="1:2" x14ac:dyDescent="0.25">
      <c r="A9350" s="118"/>
      <c r="B9350" s="136"/>
    </row>
    <row r="9351" spans="1:2" x14ac:dyDescent="0.25">
      <c r="A9351" s="118"/>
      <c r="B9351" s="136"/>
    </row>
    <row r="9352" spans="1:2" x14ac:dyDescent="0.25">
      <c r="A9352" s="118"/>
      <c r="B9352" s="136"/>
    </row>
    <row r="9353" spans="1:2" x14ac:dyDescent="0.25">
      <c r="A9353" s="118"/>
      <c r="B9353" s="136"/>
    </row>
    <row r="9354" spans="1:2" x14ac:dyDescent="0.25">
      <c r="A9354" s="118"/>
      <c r="B9354" s="136"/>
    </row>
    <row r="9355" spans="1:2" x14ac:dyDescent="0.25">
      <c r="A9355" s="118"/>
      <c r="B9355" s="136"/>
    </row>
    <row r="9356" spans="1:2" x14ac:dyDescent="0.25">
      <c r="A9356" s="118"/>
      <c r="B9356" s="136"/>
    </row>
    <row r="9357" spans="1:2" x14ac:dyDescent="0.25">
      <c r="A9357" s="118"/>
      <c r="B9357" s="136"/>
    </row>
    <row r="9358" spans="1:2" x14ac:dyDescent="0.25">
      <c r="A9358" s="118"/>
      <c r="B9358" s="136"/>
    </row>
    <row r="9359" spans="1:2" x14ac:dyDescent="0.25">
      <c r="A9359" s="118"/>
      <c r="B9359" s="136"/>
    </row>
    <row r="9360" spans="1:2" x14ac:dyDescent="0.25">
      <c r="A9360" s="118"/>
      <c r="B9360" s="136"/>
    </row>
    <row r="9361" spans="1:2" x14ac:dyDescent="0.25">
      <c r="A9361" s="118"/>
      <c r="B9361" s="136"/>
    </row>
    <row r="9362" spans="1:2" x14ac:dyDescent="0.25">
      <c r="A9362" s="118"/>
      <c r="B9362" s="136"/>
    </row>
    <row r="9363" spans="1:2" x14ac:dyDescent="0.25">
      <c r="A9363" s="118"/>
      <c r="B9363" s="136"/>
    </row>
    <row r="9364" spans="1:2" x14ac:dyDescent="0.25">
      <c r="A9364" s="118"/>
      <c r="B9364" s="136"/>
    </row>
    <row r="9365" spans="1:2" x14ac:dyDescent="0.25">
      <c r="A9365" s="118"/>
      <c r="B9365" s="136"/>
    </row>
    <row r="9366" spans="1:2" x14ac:dyDescent="0.25">
      <c r="A9366" s="118"/>
      <c r="B9366" s="136"/>
    </row>
    <row r="9367" spans="1:2" x14ac:dyDescent="0.25">
      <c r="A9367" s="118"/>
      <c r="B9367" s="136"/>
    </row>
    <row r="9368" spans="1:2" x14ac:dyDescent="0.25">
      <c r="A9368" s="118"/>
      <c r="B9368" s="136"/>
    </row>
    <row r="9369" spans="1:2" x14ac:dyDescent="0.25">
      <c r="A9369" s="118"/>
      <c r="B9369" s="136"/>
    </row>
    <row r="9370" spans="1:2" x14ac:dyDescent="0.25">
      <c r="A9370" s="118"/>
      <c r="B9370" s="136"/>
    </row>
    <row r="9371" spans="1:2" x14ac:dyDescent="0.25">
      <c r="A9371" s="118"/>
      <c r="B9371" s="136"/>
    </row>
    <row r="9372" spans="1:2" x14ac:dyDescent="0.25">
      <c r="A9372" s="118"/>
      <c r="B9372" s="136"/>
    </row>
    <row r="9373" spans="1:2" x14ac:dyDescent="0.25">
      <c r="A9373" s="118"/>
      <c r="B9373" s="136"/>
    </row>
    <row r="9374" spans="1:2" x14ac:dyDescent="0.25">
      <c r="A9374" s="118"/>
      <c r="B9374" s="136"/>
    </row>
    <row r="9375" spans="1:2" x14ac:dyDescent="0.25">
      <c r="A9375" s="118"/>
      <c r="B9375" s="136"/>
    </row>
    <row r="9376" spans="1:2" x14ac:dyDescent="0.25">
      <c r="A9376" s="118"/>
      <c r="B9376" s="136"/>
    </row>
    <row r="9377" spans="1:2" x14ac:dyDescent="0.25">
      <c r="A9377" s="118"/>
      <c r="B9377" s="136"/>
    </row>
    <row r="9378" spans="1:2" x14ac:dyDescent="0.25">
      <c r="A9378" s="118"/>
      <c r="B9378" s="136"/>
    </row>
    <row r="9379" spans="1:2" x14ac:dyDescent="0.25">
      <c r="A9379" s="118"/>
      <c r="B9379" s="136"/>
    </row>
    <row r="9380" spans="1:2" x14ac:dyDescent="0.25">
      <c r="A9380" s="118"/>
      <c r="B9380" s="136"/>
    </row>
    <row r="9381" spans="1:2" x14ac:dyDescent="0.25">
      <c r="A9381" s="118"/>
      <c r="B9381" s="136"/>
    </row>
    <row r="9382" spans="1:2" x14ac:dyDescent="0.25">
      <c r="A9382" s="118"/>
      <c r="B9382" s="136"/>
    </row>
    <row r="9383" spans="1:2" x14ac:dyDescent="0.25">
      <c r="A9383" s="118"/>
      <c r="B9383" s="136"/>
    </row>
    <row r="9384" spans="1:2" x14ac:dyDescent="0.25">
      <c r="A9384" s="118"/>
      <c r="B9384" s="136"/>
    </row>
    <row r="9385" spans="1:2" x14ac:dyDescent="0.25">
      <c r="A9385" s="118"/>
      <c r="B9385" s="136"/>
    </row>
    <row r="9386" spans="1:2" x14ac:dyDescent="0.25">
      <c r="A9386" s="118"/>
      <c r="B9386" s="136"/>
    </row>
    <row r="9387" spans="1:2" x14ac:dyDescent="0.25">
      <c r="A9387" s="118"/>
      <c r="B9387" s="136"/>
    </row>
    <row r="9388" spans="1:2" x14ac:dyDescent="0.25">
      <c r="A9388" s="118"/>
      <c r="B9388" s="136"/>
    </row>
    <row r="9389" spans="1:2" x14ac:dyDescent="0.25">
      <c r="A9389" s="118"/>
      <c r="B9389" s="136"/>
    </row>
    <row r="9390" spans="1:2" x14ac:dyDescent="0.25">
      <c r="A9390" s="118"/>
      <c r="B9390" s="136"/>
    </row>
    <row r="9391" spans="1:2" x14ac:dyDescent="0.25">
      <c r="A9391" s="118"/>
      <c r="B9391" s="136"/>
    </row>
    <row r="9392" spans="1:2" x14ac:dyDescent="0.25">
      <c r="A9392" s="118"/>
      <c r="B9392" s="136"/>
    </row>
    <row r="9393" spans="1:2" x14ac:dyDescent="0.25">
      <c r="A9393" s="118"/>
      <c r="B9393" s="136"/>
    </row>
    <row r="9394" spans="1:2" x14ac:dyDescent="0.25">
      <c r="A9394" s="118"/>
      <c r="B9394" s="136"/>
    </row>
    <row r="9395" spans="1:2" x14ac:dyDescent="0.25">
      <c r="A9395" s="118"/>
      <c r="B9395" s="136"/>
    </row>
    <row r="9396" spans="1:2" x14ac:dyDescent="0.25">
      <c r="A9396" s="118"/>
      <c r="B9396" s="136"/>
    </row>
    <row r="9397" spans="1:2" x14ac:dyDescent="0.25">
      <c r="A9397" s="118"/>
      <c r="B9397" s="136"/>
    </row>
    <row r="9398" spans="1:2" x14ac:dyDescent="0.25">
      <c r="A9398" s="118"/>
      <c r="B9398" s="136"/>
    </row>
    <row r="9399" spans="1:2" x14ac:dyDescent="0.25">
      <c r="A9399" s="118"/>
      <c r="B9399" s="136"/>
    </row>
    <row r="9400" spans="1:2" x14ac:dyDescent="0.25">
      <c r="A9400" s="118"/>
      <c r="B9400" s="136"/>
    </row>
    <row r="9401" spans="1:2" x14ac:dyDescent="0.25">
      <c r="A9401" s="118"/>
      <c r="B9401" s="136"/>
    </row>
    <row r="9402" spans="1:2" x14ac:dyDescent="0.25">
      <c r="A9402" s="118"/>
      <c r="B9402" s="136"/>
    </row>
    <row r="9403" spans="1:2" x14ac:dyDescent="0.25">
      <c r="A9403" s="118"/>
      <c r="B9403" s="136"/>
    </row>
    <row r="9404" spans="1:2" x14ac:dyDescent="0.25">
      <c r="A9404" s="118"/>
      <c r="B9404" s="136"/>
    </row>
    <row r="9405" spans="1:2" x14ac:dyDescent="0.25">
      <c r="A9405" s="118"/>
      <c r="B9405" s="136"/>
    </row>
    <row r="9406" spans="1:2" x14ac:dyDescent="0.25">
      <c r="A9406" s="118"/>
      <c r="B9406" s="136"/>
    </row>
    <row r="9407" spans="1:2" x14ac:dyDescent="0.25">
      <c r="A9407" s="118"/>
      <c r="B9407" s="136"/>
    </row>
    <row r="9408" spans="1:2" x14ac:dyDescent="0.25">
      <c r="A9408" s="118"/>
      <c r="B9408" s="136"/>
    </row>
    <row r="9409" spans="1:2" x14ac:dyDescent="0.25">
      <c r="A9409" s="118"/>
      <c r="B9409" s="136"/>
    </row>
    <row r="9410" spans="1:2" x14ac:dyDescent="0.25">
      <c r="A9410" s="118"/>
      <c r="B9410" s="136"/>
    </row>
    <row r="9411" spans="1:2" x14ac:dyDescent="0.25">
      <c r="A9411" s="118"/>
      <c r="B9411" s="136"/>
    </row>
    <row r="9412" spans="1:2" x14ac:dyDescent="0.25">
      <c r="A9412" s="118"/>
      <c r="B9412" s="136"/>
    </row>
    <row r="9413" spans="1:2" x14ac:dyDescent="0.25">
      <c r="A9413" s="118"/>
      <c r="B9413" s="136"/>
    </row>
    <row r="9414" spans="1:2" x14ac:dyDescent="0.25">
      <c r="A9414" s="118"/>
      <c r="B9414" s="136"/>
    </row>
    <row r="9415" spans="1:2" x14ac:dyDescent="0.25">
      <c r="A9415" s="118"/>
      <c r="B9415" s="136"/>
    </row>
    <row r="9416" spans="1:2" x14ac:dyDescent="0.25">
      <c r="A9416" s="118"/>
      <c r="B9416" s="136"/>
    </row>
    <row r="9417" spans="1:2" x14ac:dyDescent="0.25">
      <c r="A9417" s="118"/>
      <c r="B9417" s="136"/>
    </row>
    <row r="9418" spans="1:2" x14ac:dyDescent="0.25">
      <c r="A9418" s="118"/>
      <c r="B9418" s="136"/>
    </row>
    <row r="9419" spans="1:2" x14ac:dyDescent="0.25">
      <c r="A9419" s="118"/>
      <c r="B9419" s="136"/>
    </row>
    <row r="9420" spans="1:2" x14ac:dyDescent="0.25">
      <c r="A9420" s="118"/>
      <c r="B9420" s="136"/>
    </row>
    <row r="9421" spans="1:2" x14ac:dyDescent="0.25">
      <c r="A9421" s="118"/>
      <c r="B9421" s="136"/>
    </row>
    <row r="9422" spans="1:2" x14ac:dyDescent="0.25">
      <c r="A9422" s="118"/>
      <c r="B9422" s="136"/>
    </row>
    <row r="9423" spans="1:2" x14ac:dyDescent="0.25">
      <c r="A9423" s="118"/>
      <c r="B9423" s="136"/>
    </row>
    <row r="9424" spans="1:2" x14ac:dyDescent="0.25">
      <c r="A9424" s="118"/>
      <c r="B9424" s="136"/>
    </row>
    <row r="9425" spans="1:2" x14ac:dyDescent="0.25">
      <c r="A9425" s="118"/>
      <c r="B9425" s="136"/>
    </row>
    <row r="9426" spans="1:2" x14ac:dyDescent="0.25">
      <c r="A9426" s="118"/>
      <c r="B9426" s="136"/>
    </row>
    <row r="9427" spans="1:2" x14ac:dyDescent="0.25">
      <c r="A9427" s="118"/>
      <c r="B9427" s="136"/>
    </row>
    <row r="9428" spans="1:2" x14ac:dyDescent="0.25">
      <c r="A9428" s="118"/>
      <c r="B9428" s="136"/>
    </row>
    <row r="9429" spans="1:2" x14ac:dyDescent="0.25">
      <c r="A9429" s="118"/>
      <c r="B9429" s="136"/>
    </row>
    <row r="9430" spans="1:2" x14ac:dyDescent="0.25">
      <c r="A9430" s="118"/>
      <c r="B9430" s="136"/>
    </row>
    <row r="9431" spans="1:2" x14ac:dyDescent="0.25">
      <c r="A9431" s="118"/>
      <c r="B9431" s="136"/>
    </row>
    <row r="9432" spans="1:2" x14ac:dyDescent="0.25">
      <c r="A9432" s="118"/>
      <c r="B9432" s="136"/>
    </row>
    <row r="9433" spans="1:2" x14ac:dyDescent="0.25">
      <c r="A9433" s="118"/>
      <c r="B9433" s="136"/>
    </row>
    <row r="9434" spans="1:2" x14ac:dyDescent="0.25">
      <c r="A9434" s="118"/>
      <c r="B9434" s="136"/>
    </row>
    <row r="9435" spans="1:2" x14ac:dyDescent="0.25">
      <c r="A9435" s="118"/>
      <c r="B9435" s="136"/>
    </row>
    <row r="9436" spans="1:2" x14ac:dyDescent="0.25">
      <c r="A9436" s="118"/>
      <c r="B9436" s="136"/>
    </row>
    <row r="9437" spans="1:2" x14ac:dyDescent="0.25">
      <c r="A9437" s="118"/>
      <c r="B9437" s="136"/>
    </row>
    <row r="9438" spans="1:2" x14ac:dyDescent="0.25">
      <c r="A9438" s="118"/>
      <c r="B9438" s="136"/>
    </row>
    <row r="9439" spans="1:2" x14ac:dyDescent="0.25">
      <c r="A9439" s="118"/>
      <c r="B9439" s="136"/>
    </row>
    <row r="9440" spans="1:2" x14ac:dyDescent="0.25">
      <c r="A9440" s="118"/>
      <c r="B9440" s="136"/>
    </row>
    <row r="9441" spans="1:2" x14ac:dyDescent="0.25">
      <c r="A9441" s="118"/>
      <c r="B9441" s="136"/>
    </row>
    <row r="9442" spans="1:2" x14ac:dyDescent="0.25">
      <c r="A9442" s="118"/>
      <c r="B9442" s="136"/>
    </row>
    <row r="9443" spans="1:2" x14ac:dyDescent="0.25">
      <c r="A9443" s="118"/>
      <c r="B9443" s="136"/>
    </row>
    <row r="9444" spans="1:2" x14ac:dyDescent="0.25">
      <c r="A9444" s="118"/>
      <c r="B9444" s="136"/>
    </row>
    <row r="9445" spans="1:2" x14ac:dyDescent="0.25">
      <c r="A9445" s="118"/>
      <c r="B9445" s="136"/>
    </row>
    <row r="9446" spans="1:2" x14ac:dyDescent="0.25">
      <c r="A9446" s="118"/>
      <c r="B9446" s="136"/>
    </row>
    <row r="9447" spans="1:2" x14ac:dyDescent="0.25">
      <c r="A9447" s="118"/>
      <c r="B9447" s="136"/>
    </row>
    <row r="9448" spans="1:2" x14ac:dyDescent="0.25">
      <c r="A9448" s="118"/>
      <c r="B9448" s="136"/>
    </row>
    <row r="9449" spans="1:2" x14ac:dyDescent="0.25">
      <c r="A9449" s="118"/>
      <c r="B9449" s="136"/>
    </row>
    <row r="9450" spans="1:2" x14ac:dyDescent="0.25">
      <c r="A9450" s="118"/>
      <c r="B9450" s="136"/>
    </row>
    <row r="9451" spans="1:2" x14ac:dyDescent="0.25">
      <c r="A9451" s="118"/>
      <c r="B9451" s="136"/>
    </row>
    <row r="9452" spans="1:2" x14ac:dyDescent="0.25">
      <c r="A9452" s="118"/>
      <c r="B9452" s="136"/>
    </row>
    <row r="9453" spans="1:2" x14ac:dyDescent="0.25">
      <c r="A9453" s="118"/>
      <c r="B9453" s="136"/>
    </row>
    <row r="9454" spans="1:2" x14ac:dyDescent="0.25">
      <c r="A9454" s="118"/>
      <c r="B9454" s="136"/>
    </row>
    <row r="9455" spans="1:2" x14ac:dyDescent="0.25">
      <c r="A9455" s="118"/>
      <c r="B9455" s="136"/>
    </row>
    <row r="9456" spans="1:2" x14ac:dyDescent="0.25">
      <c r="A9456" s="118"/>
      <c r="B9456" s="136"/>
    </row>
    <row r="9457" spans="1:2" x14ac:dyDescent="0.25">
      <c r="A9457" s="118"/>
      <c r="B9457" s="136"/>
    </row>
    <row r="9458" spans="1:2" x14ac:dyDescent="0.25">
      <c r="A9458" s="118"/>
      <c r="B9458" s="136"/>
    </row>
    <row r="9459" spans="1:2" x14ac:dyDescent="0.25">
      <c r="A9459" s="118"/>
      <c r="B9459" s="136"/>
    </row>
    <row r="9460" spans="1:2" x14ac:dyDescent="0.25">
      <c r="A9460" s="118"/>
      <c r="B9460" s="136"/>
    </row>
    <row r="9461" spans="1:2" x14ac:dyDescent="0.25">
      <c r="A9461" s="118"/>
      <c r="B9461" s="136"/>
    </row>
    <row r="9462" spans="1:2" x14ac:dyDescent="0.25">
      <c r="A9462" s="118"/>
      <c r="B9462" s="136"/>
    </row>
    <row r="9463" spans="1:2" x14ac:dyDescent="0.25">
      <c r="A9463" s="118"/>
      <c r="B9463" s="136"/>
    </row>
    <row r="9464" spans="1:2" x14ac:dyDescent="0.25">
      <c r="A9464" s="118"/>
      <c r="B9464" s="136"/>
    </row>
    <row r="9465" spans="1:2" x14ac:dyDescent="0.25">
      <c r="A9465" s="118"/>
      <c r="B9465" s="136"/>
    </row>
    <row r="9466" spans="1:2" x14ac:dyDescent="0.25">
      <c r="A9466" s="118"/>
      <c r="B9466" s="136"/>
    </row>
    <row r="9467" spans="1:2" x14ac:dyDescent="0.25">
      <c r="A9467" s="118"/>
      <c r="B9467" s="136"/>
    </row>
    <row r="9468" spans="1:2" x14ac:dyDescent="0.25">
      <c r="A9468" s="118"/>
      <c r="B9468" s="136"/>
    </row>
    <row r="9469" spans="1:2" x14ac:dyDescent="0.25">
      <c r="A9469" s="118"/>
      <c r="B9469" s="136"/>
    </row>
    <row r="9470" spans="1:2" x14ac:dyDescent="0.25">
      <c r="A9470" s="118"/>
      <c r="B9470" s="136"/>
    </row>
    <row r="9471" spans="1:2" x14ac:dyDescent="0.25">
      <c r="A9471" s="118"/>
      <c r="B9471" s="136"/>
    </row>
    <row r="9472" spans="1:2" x14ac:dyDescent="0.25">
      <c r="A9472" s="118"/>
      <c r="B9472" s="136"/>
    </row>
    <row r="9473" spans="1:2" x14ac:dyDescent="0.25">
      <c r="A9473" s="118"/>
      <c r="B9473" s="136"/>
    </row>
    <row r="9474" spans="1:2" x14ac:dyDescent="0.25">
      <c r="A9474" s="118"/>
      <c r="B9474" s="136"/>
    </row>
    <row r="9475" spans="1:2" x14ac:dyDescent="0.25">
      <c r="A9475" s="118"/>
      <c r="B9475" s="136"/>
    </row>
    <row r="9476" spans="1:2" x14ac:dyDescent="0.25">
      <c r="A9476" s="118"/>
      <c r="B9476" s="136"/>
    </row>
    <row r="9477" spans="1:2" x14ac:dyDescent="0.25">
      <c r="A9477" s="118"/>
      <c r="B9477" s="136"/>
    </row>
    <row r="9478" spans="1:2" x14ac:dyDescent="0.25">
      <c r="A9478" s="118"/>
      <c r="B9478" s="136"/>
    </row>
    <row r="9479" spans="1:2" x14ac:dyDescent="0.25">
      <c r="A9479" s="118"/>
      <c r="B9479" s="136"/>
    </row>
    <row r="9480" spans="1:2" x14ac:dyDescent="0.25">
      <c r="A9480" s="118"/>
      <c r="B9480" s="136"/>
    </row>
    <row r="9481" spans="1:2" x14ac:dyDescent="0.25">
      <c r="A9481" s="118"/>
      <c r="B9481" s="136"/>
    </row>
    <row r="9482" spans="1:2" x14ac:dyDescent="0.25">
      <c r="A9482" s="118"/>
      <c r="B9482" s="136"/>
    </row>
    <row r="9483" spans="1:2" x14ac:dyDescent="0.25">
      <c r="A9483" s="118"/>
      <c r="B9483" s="136"/>
    </row>
    <row r="9484" spans="1:2" x14ac:dyDescent="0.25">
      <c r="A9484" s="118"/>
      <c r="B9484" s="136"/>
    </row>
    <row r="9485" spans="1:2" x14ac:dyDescent="0.25">
      <c r="A9485" s="118"/>
      <c r="B9485" s="136"/>
    </row>
    <row r="9486" spans="1:2" x14ac:dyDescent="0.25">
      <c r="A9486" s="118"/>
      <c r="B9486" s="136"/>
    </row>
    <row r="9487" spans="1:2" x14ac:dyDescent="0.25">
      <c r="A9487" s="118"/>
      <c r="B9487" s="136"/>
    </row>
    <row r="9488" spans="1:2" x14ac:dyDescent="0.25">
      <c r="A9488" s="118"/>
      <c r="B9488" s="136"/>
    </row>
    <row r="9489" spans="1:2" x14ac:dyDescent="0.25">
      <c r="A9489" s="118"/>
      <c r="B9489" s="136"/>
    </row>
    <row r="9490" spans="1:2" x14ac:dyDescent="0.25">
      <c r="A9490" s="118"/>
      <c r="B9490" s="136"/>
    </row>
    <row r="9491" spans="1:2" x14ac:dyDescent="0.25">
      <c r="A9491" s="118"/>
      <c r="B9491" s="136"/>
    </row>
    <row r="9492" spans="1:2" x14ac:dyDescent="0.25">
      <c r="A9492" s="118"/>
      <c r="B9492" s="136"/>
    </row>
    <row r="9493" spans="1:2" x14ac:dyDescent="0.25">
      <c r="A9493" s="118"/>
      <c r="B9493" s="136"/>
    </row>
    <row r="9494" spans="1:2" x14ac:dyDescent="0.25">
      <c r="A9494" s="118"/>
      <c r="B9494" s="136"/>
    </row>
    <row r="9495" spans="1:2" x14ac:dyDescent="0.25">
      <c r="A9495" s="118"/>
      <c r="B9495" s="136"/>
    </row>
    <row r="9496" spans="1:2" x14ac:dyDescent="0.25">
      <c r="A9496" s="118"/>
      <c r="B9496" s="136"/>
    </row>
    <row r="9497" spans="1:2" x14ac:dyDescent="0.25">
      <c r="A9497" s="118"/>
      <c r="B9497" s="136"/>
    </row>
    <row r="9498" spans="1:2" x14ac:dyDescent="0.25">
      <c r="A9498" s="118"/>
      <c r="B9498" s="136"/>
    </row>
    <row r="9499" spans="1:2" x14ac:dyDescent="0.25">
      <c r="A9499" s="118"/>
      <c r="B9499" s="136"/>
    </row>
    <row r="9500" spans="1:2" x14ac:dyDescent="0.25">
      <c r="A9500" s="118"/>
      <c r="B9500" s="136"/>
    </row>
    <row r="9501" spans="1:2" x14ac:dyDescent="0.25">
      <c r="A9501" s="118"/>
      <c r="B9501" s="136"/>
    </row>
    <row r="9502" spans="1:2" x14ac:dyDescent="0.25">
      <c r="A9502" s="118"/>
      <c r="B9502" s="136"/>
    </row>
    <row r="9503" spans="1:2" x14ac:dyDescent="0.25">
      <c r="A9503" s="118"/>
      <c r="B9503" s="136"/>
    </row>
    <row r="9504" spans="1:2" x14ac:dyDescent="0.25">
      <c r="A9504" s="118"/>
      <c r="B9504" s="136"/>
    </row>
    <row r="9505" spans="1:2" x14ac:dyDescent="0.25">
      <c r="A9505" s="118"/>
      <c r="B9505" s="136"/>
    </row>
    <row r="9506" spans="1:2" x14ac:dyDescent="0.25">
      <c r="A9506" s="118"/>
      <c r="B9506" s="136"/>
    </row>
    <row r="9507" spans="1:2" x14ac:dyDescent="0.25">
      <c r="A9507" s="118"/>
      <c r="B9507" s="136"/>
    </row>
    <row r="9508" spans="1:2" x14ac:dyDescent="0.25">
      <c r="A9508" s="118"/>
      <c r="B9508" s="136"/>
    </row>
    <row r="9509" spans="1:2" x14ac:dyDescent="0.25">
      <c r="A9509" s="118"/>
      <c r="B9509" s="136"/>
    </row>
    <row r="9510" spans="1:2" x14ac:dyDescent="0.25">
      <c r="A9510" s="118"/>
      <c r="B9510" s="136"/>
    </row>
    <row r="9511" spans="1:2" x14ac:dyDescent="0.25">
      <c r="A9511" s="118"/>
      <c r="B9511" s="136"/>
    </row>
    <row r="9512" spans="1:2" x14ac:dyDescent="0.25">
      <c r="A9512" s="118"/>
      <c r="B9512" s="136"/>
    </row>
    <row r="9513" spans="1:2" x14ac:dyDescent="0.25">
      <c r="A9513" s="118"/>
      <c r="B9513" s="136"/>
    </row>
    <row r="9514" spans="1:2" x14ac:dyDescent="0.25">
      <c r="A9514" s="118"/>
      <c r="B9514" s="136"/>
    </row>
    <row r="9515" spans="1:2" x14ac:dyDescent="0.25">
      <c r="A9515" s="118"/>
      <c r="B9515" s="136"/>
    </row>
    <row r="9516" spans="1:2" x14ac:dyDescent="0.25">
      <c r="A9516" s="118"/>
      <c r="B9516" s="136"/>
    </row>
    <row r="9517" spans="1:2" x14ac:dyDescent="0.25">
      <c r="A9517" s="118"/>
      <c r="B9517" s="136"/>
    </row>
    <row r="9518" spans="1:2" x14ac:dyDescent="0.25">
      <c r="A9518" s="118"/>
      <c r="B9518" s="136"/>
    </row>
    <row r="9519" spans="1:2" x14ac:dyDescent="0.25">
      <c r="A9519" s="118"/>
      <c r="B9519" s="136"/>
    </row>
    <row r="9520" spans="1:2" x14ac:dyDescent="0.25">
      <c r="A9520" s="118"/>
      <c r="B9520" s="136"/>
    </row>
    <row r="9521" spans="1:2" x14ac:dyDescent="0.25">
      <c r="A9521" s="118"/>
      <c r="B9521" s="136"/>
    </row>
    <row r="9522" spans="1:2" x14ac:dyDescent="0.25">
      <c r="A9522" s="118"/>
      <c r="B9522" s="136"/>
    </row>
    <row r="9523" spans="1:2" x14ac:dyDescent="0.25">
      <c r="A9523" s="118"/>
      <c r="B9523" s="136"/>
    </row>
    <row r="9524" spans="1:2" x14ac:dyDescent="0.25">
      <c r="A9524" s="118"/>
      <c r="B9524" s="136"/>
    </row>
    <row r="9525" spans="1:2" x14ac:dyDescent="0.25">
      <c r="A9525" s="118"/>
      <c r="B9525" s="136"/>
    </row>
    <row r="9526" spans="1:2" x14ac:dyDescent="0.25">
      <c r="A9526" s="118"/>
      <c r="B9526" s="136"/>
    </row>
    <row r="9527" spans="1:2" x14ac:dyDescent="0.25">
      <c r="A9527" s="118"/>
      <c r="B9527" s="136"/>
    </row>
    <row r="9528" spans="1:2" x14ac:dyDescent="0.25">
      <c r="A9528" s="118"/>
      <c r="B9528" s="136"/>
    </row>
    <row r="9529" spans="1:2" x14ac:dyDescent="0.25">
      <c r="A9529" s="118"/>
      <c r="B9529" s="136"/>
    </row>
    <row r="9530" spans="1:2" x14ac:dyDescent="0.25">
      <c r="A9530" s="118"/>
      <c r="B9530" s="136"/>
    </row>
    <row r="9531" spans="1:2" x14ac:dyDescent="0.25">
      <c r="A9531" s="118"/>
      <c r="B9531" s="136"/>
    </row>
    <row r="9532" spans="1:2" x14ac:dyDescent="0.25">
      <c r="A9532" s="118"/>
      <c r="B9532" s="136"/>
    </row>
    <row r="9533" spans="1:2" x14ac:dyDescent="0.25">
      <c r="A9533" s="118"/>
      <c r="B9533" s="136"/>
    </row>
    <row r="9534" spans="1:2" x14ac:dyDescent="0.25">
      <c r="A9534" s="118"/>
      <c r="B9534" s="136"/>
    </row>
    <row r="9535" spans="1:2" x14ac:dyDescent="0.25">
      <c r="A9535" s="118"/>
      <c r="B9535" s="136"/>
    </row>
    <row r="9536" spans="1:2" x14ac:dyDescent="0.25">
      <c r="A9536" s="118"/>
      <c r="B9536" s="136"/>
    </row>
    <row r="9537" spans="1:2" x14ac:dyDescent="0.25">
      <c r="A9537" s="118"/>
      <c r="B9537" s="136"/>
    </row>
    <row r="9538" spans="1:2" x14ac:dyDescent="0.25">
      <c r="A9538" s="118"/>
      <c r="B9538" s="136"/>
    </row>
    <row r="9539" spans="1:2" x14ac:dyDescent="0.25">
      <c r="A9539" s="118"/>
      <c r="B9539" s="136"/>
    </row>
    <row r="9540" spans="1:2" x14ac:dyDescent="0.25">
      <c r="A9540" s="118"/>
      <c r="B9540" s="136"/>
    </row>
    <row r="9541" spans="1:2" x14ac:dyDescent="0.25">
      <c r="A9541" s="118"/>
      <c r="B9541" s="136"/>
    </row>
    <row r="9542" spans="1:2" x14ac:dyDescent="0.25">
      <c r="A9542" s="118"/>
      <c r="B9542" s="136"/>
    </row>
    <row r="9543" spans="1:2" x14ac:dyDescent="0.25">
      <c r="A9543" s="118"/>
      <c r="B9543" s="136"/>
    </row>
    <row r="9544" spans="1:2" x14ac:dyDescent="0.25">
      <c r="A9544" s="118"/>
      <c r="B9544" s="136"/>
    </row>
    <row r="9545" spans="1:2" x14ac:dyDescent="0.25">
      <c r="A9545" s="118"/>
      <c r="B9545" s="136"/>
    </row>
    <row r="9546" spans="1:2" x14ac:dyDescent="0.25">
      <c r="A9546" s="118"/>
      <c r="B9546" s="136"/>
    </row>
    <row r="9547" spans="1:2" x14ac:dyDescent="0.25">
      <c r="A9547" s="118"/>
      <c r="B9547" s="136"/>
    </row>
    <row r="9548" spans="1:2" x14ac:dyDescent="0.25">
      <c r="A9548" s="118"/>
      <c r="B9548" s="136"/>
    </row>
    <row r="9549" spans="1:2" x14ac:dyDescent="0.25">
      <c r="A9549" s="118"/>
      <c r="B9549" s="136"/>
    </row>
    <row r="9550" spans="1:2" x14ac:dyDescent="0.25">
      <c r="A9550" s="118"/>
      <c r="B9550" s="136"/>
    </row>
    <row r="9551" spans="1:2" x14ac:dyDescent="0.25">
      <c r="A9551" s="118"/>
      <c r="B9551" s="136"/>
    </row>
    <row r="9552" spans="1:2" x14ac:dyDescent="0.25">
      <c r="A9552" s="118"/>
      <c r="B9552" s="136"/>
    </row>
    <row r="9553" spans="1:2" x14ac:dyDescent="0.25">
      <c r="A9553" s="118"/>
      <c r="B9553" s="136"/>
    </row>
    <row r="9554" spans="1:2" x14ac:dyDescent="0.25">
      <c r="A9554" s="118"/>
      <c r="B9554" s="136"/>
    </row>
    <row r="9555" spans="1:2" x14ac:dyDescent="0.25">
      <c r="A9555" s="118"/>
      <c r="B9555" s="136"/>
    </row>
    <row r="9556" spans="1:2" x14ac:dyDescent="0.25">
      <c r="A9556" s="118"/>
      <c r="B9556" s="136"/>
    </row>
    <row r="9557" spans="1:2" x14ac:dyDescent="0.25">
      <c r="A9557" s="118"/>
      <c r="B9557" s="136"/>
    </row>
    <row r="9558" spans="1:2" x14ac:dyDescent="0.25">
      <c r="A9558" s="118"/>
      <c r="B9558" s="136"/>
    </row>
    <row r="9559" spans="1:2" x14ac:dyDescent="0.25">
      <c r="A9559" s="118"/>
      <c r="B9559" s="136"/>
    </row>
    <row r="9560" spans="1:2" x14ac:dyDescent="0.25">
      <c r="A9560" s="118"/>
      <c r="B9560" s="136"/>
    </row>
    <row r="9561" spans="1:2" x14ac:dyDescent="0.25">
      <c r="A9561" s="118"/>
      <c r="B9561" s="136"/>
    </row>
    <row r="9562" spans="1:2" x14ac:dyDescent="0.25">
      <c r="A9562" s="118"/>
      <c r="B9562" s="136"/>
    </row>
    <row r="9563" spans="1:2" x14ac:dyDescent="0.25">
      <c r="A9563" s="118"/>
      <c r="B9563" s="136"/>
    </row>
    <row r="9564" spans="1:2" x14ac:dyDescent="0.25">
      <c r="A9564" s="118"/>
      <c r="B9564" s="136"/>
    </row>
    <row r="9565" spans="1:2" x14ac:dyDescent="0.25">
      <c r="A9565" s="118"/>
      <c r="B9565" s="136"/>
    </row>
    <row r="9566" spans="1:2" x14ac:dyDescent="0.25">
      <c r="A9566" s="118"/>
      <c r="B9566" s="136"/>
    </row>
    <row r="9567" spans="1:2" x14ac:dyDescent="0.25">
      <c r="A9567" s="118"/>
      <c r="B9567" s="136"/>
    </row>
    <row r="9568" spans="1:2" x14ac:dyDescent="0.25">
      <c r="A9568" s="118"/>
      <c r="B9568" s="136"/>
    </row>
    <row r="9569" spans="1:2" x14ac:dyDescent="0.25">
      <c r="A9569" s="118"/>
      <c r="B9569" s="136"/>
    </row>
    <row r="9570" spans="1:2" x14ac:dyDescent="0.25">
      <c r="A9570" s="118"/>
      <c r="B9570" s="136"/>
    </row>
    <row r="9571" spans="1:2" x14ac:dyDescent="0.25">
      <c r="A9571" s="118"/>
      <c r="B9571" s="136"/>
    </row>
    <row r="9572" spans="1:2" x14ac:dyDescent="0.25">
      <c r="A9572" s="118"/>
      <c r="B9572" s="136"/>
    </row>
    <row r="9573" spans="1:2" x14ac:dyDescent="0.25">
      <c r="A9573" s="118"/>
      <c r="B9573" s="136"/>
    </row>
    <row r="9574" spans="1:2" x14ac:dyDescent="0.25">
      <c r="A9574" s="118"/>
      <c r="B9574" s="136"/>
    </row>
    <row r="9575" spans="1:2" x14ac:dyDescent="0.25">
      <c r="A9575" s="118"/>
      <c r="B9575" s="136"/>
    </row>
    <row r="9576" spans="1:2" x14ac:dyDescent="0.25">
      <c r="A9576" s="118"/>
      <c r="B9576" s="136"/>
    </row>
    <row r="9577" spans="1:2" x14ac:dyDescent="0.25">
      <c r="A9577" s="118"/>
      <c r="B9577" s="136"/>
    </row>
    <row r="9578" spans="1:2" x14ac:dyDescent="0.25">
      <c r="A9578" s="118"/>
      <c r="B9578" s="136"/>
    </row>
    <row r="9579" spans="1:2" x14ac:dyDescent="0.25">
      <c r="A9579" s="118"/>
      <c r="B9579" s="136"/>
    </row>
    <row r="9580" spans="1:2" x14ac:dyDescent="0.25">
      <c r="A9580" s="118"/>
      <c r="B9580" s="136"/>
    </row>
    <row r="9581" spans="1:2" x14ac:dyDescent="0.25">
      <c r="A9581" s="118"/>
      <c r="B9581" s="136"/>
    </row>
    <row r="9582" spans="1:2" x14ac:dyDescent="0.25">
      <c r="A9582" s="118"/>
      <c r="B9582" s="136"/>
    </row>
    <row r="9583" spans="1:2" x14ac:dyDescent="0.25">
      <c r="A9583" s="118"/>
      <c r="B9583" s="136"/>
    </row>
    <row r="9584" spans="1:2" x14ac:dyDescent="0.25">
      <c r="A9584" s="118"/>
      <c r="B9584" s="136"/>
    </row>
    <row r="9585" spans="1:2" x14ac:dyDescent="0.25">
      <c r="A9585" s="118"/>
      <c r="B9585" s="136"/>
    </row>
    <row r="9586" spans="1:2" x14ac:dyDescent="0.25">
      <c r="A9586" s="118"/>
      <c r="B9586" s="136"/>
    </row>
    <row r="9587" spans="1:2" x14ac:dyDescent="0.25">
      <c r="A9587" s="118"/>
      <c r="B9587" s="136"/>
    </row>
    <row r="9588" spans="1:2" x14ac:dyDescent="0.25">
      <c r="A9588" s="118"/>
      <c r="B9588" s="136"/>
    </row>
    <row r="9589" spans="1:2" x14ac:dyDescent="0.25">
      <c r="A9589" s="118"/>
      <c r="B9589" s="136"/>
    </row>
    <row r="9590" spans="1:2" x14ac:dyDescent="0.25">
      <c r="A9590" s="118"/>
      <c r="B9590" s="136"/>
    </row>
    <row r="9591" spans="1:2" x14ac:dyDescent="0.25">
      <c r="A9591" s="118"/>
      <c r="B9591" s="136"/>
    </row>
    <row r="9592" spans="1:2" x14ac:dyDescent="0.25">
      <c r="A9592" s="118"/>
      <c r="B9592" s="136"/>
    </row>
    <row r="9593" spans="1:2" x14ac:dyDescent="0.25">
      <c r="A9593" s="118"/>
      <c r="B9593" s="136"/>
    </row>
    <row r="9594" spans="1:2" x14ac:dyDescent="0.25">
      <c r="A9594" s="118"/>
      <c r="B9594" s="136"/>
    </row>
    <row r="9595" spans="1:2" x14ac:dyDescent="0.25">
      <c r="A9595" s="118"/>
      <c r="B9595" s="136"/>
    </row>
    <row r="9596" spans="1:2" x14ac:dyDescent="0.25">
      <c r="A9596" s="118"/>
      <c r="B9596" s="136"/>
    </row>
    <row r="9597" spans="1:2" x14ac:dyDescent="0.25">
      <c r="A9597" s="118"/>
      <c r="B9597" s="136"/>
    </row>
    <row r="9598" spans="1:2" x14ac:dyDescent="0.25">
      <c r="A9598" s="118"/>
      <c r="B9598" s="136"/>
    </row>
    <row r="9599" spans="1:2" x14ac:dyDescent="0.25">
      <c r="A9599" s="118"/>
      <c r="B9599" s="136"/>
    </row>
    <row r="9600" spans="1:2" x14ac:dyDescent="0.25">
      <c r="A9600" s="118"/>
      <c r="B9600" s="136"/>
    </row>
    <row r="9601" spans="1:2" x14ac:dyDescent="0.25">
      <c r="A9601" s="118"/>
      <c r="B9601" s="136"/>
    </row>
    <row r="9602" spans="1:2" x14ac:dyDescent="0.25">
      <c r="A9602" s="118"/>
      <c r="B9602" s="136"/>
    </row>
    <row r="9603" spans="1:2" x14ac:dyDescent="0.25">
      <c r="A9603" s="118"/>
      <c r="B9603" s="136"/>
    </row>
    <row r="9604" spans="1:2" x14ac:dyDescent="0.25">
      <c r="A9604" s="118"/>
      <c r="B9604" s="136"/>
    </row>
    <row r="9605" spans="1:2" x14ac:dyDescent="0.25">
      <c r="A9605" s="118"/>
      <c r="B9605" s="136"/>
    </row>
    <row r="9606" spans="1:2" x14ac:dyDescent="0.25">
      <c r="A9606" s="118"/>
      <c r="B9606" s="136"/>
    </row>
    <row r="9607" spans="1:2" x14ac:dyDescent="0.25">
      <c r="A9607" s="118"/>
      <c r="B9607" s="136"/>
    </row>
    <row r="9608" spans="1:2" x14ac:dyDescent="0.25">
      <c r="A9608" s="118"/>
      <c r="B9608" s="136"/>
    </row>
    <row r="9609" spans="1:2" x14ac:dyDescent="0.25">
      <c r="A9609" s="118"/>
      <c r="B9609" s="136"/>
    </row>
    <row r="9610" spans="1:2" x14ac:dyDescent="0.25">
      <c r="A9610" s="118"/>
      <c r="B9610" s="136"/>
    </row>
    <row r="9611" spans="1:2" x14ac:dyDescent="0.25">
      <c r="A9611" s="118"/>
      <c r="B9611" s="136"/>
    </row>
    <row r="9612" spans="1:2" x14ac:dyDescent="0.25">
      <c r="A9612" s="118"/>
      <c r="B9612" s="136"/>
    </row>
    <row r="9613" spans="1:2" x14ac:dyDescent="0.25">
      <c r="A9613" s="118"/>
      <c r="B9613" s="136"/>
    </row>
    <row r="9614" spans="1:2" x14ac:dyDescent="0.25">
      <c r="A9614" s="118"/>
      <c r="B9614" s="136"/>
    </row>
    <row r="9615" spans="1:2" x14ac:dyDescent="0.25">
      <c r="A9615" s="118"/>
      <c r="B9615" s="136"/>
    </row>
    <row r="9616" spans="1:2" x14ac:dyDescent="0.25">
      <c r="A9616" s="118"/>
      <c r="B9616" s="136"/>
    </row>
    <row r="9617" spans="1:2" x14ac:dyDescent="0.25">
      <c r="A9617" s="118"/>
      <c r="B9617" s="136"/>
    </row>
    <row r="9618" spans="1:2" x14ac:dyDescent="0.25">
      <c r="A9618" s="118"/>
      <c r="B9618" s="136"/>
    </row>
    <row r="9619" spans="1:2" x14ac:dyDescent="0.25">
      <c r="A9619" s="118"/>
      <c r="B9619" s="136"/>
    </row>
    <row r="9620" spans="1:2" x14ac:dyDescent="0.25">
      <c r="A9620" s="118"/>
      <c r="B9620" s="136"/>
    </row>
    <row r="9621" spans="1:2" x14ac:dyDescent="0.25">
      <c r="A9621" s="118"/>
      <c r="B9621" s="136"/>
    </row>
    <row r="9622" spans="1:2" x14ac:dyDescent="0.25">
      <c r="A9622" s="118"/>
      <c r="B9622" s="136"/>
    </row>
    <row r="9623" spans="1:2" x14ac:dyDescent="0.25">
      <c r="A9623" s="118"/>
      <c r="B9623" s="136"/>
    </row>
    <row r="9624" spans="1:2" x14ac:dyDescent="0.25">
      <c r="A9624" s="118"/>
      <c r="B9624" s="136"/>
    </row>
    <row r="9625" spans="1:2" x14ac:dyDescent="0.25">
      <c r="A9625" s="118"/>
      <c r="B9625" s="136"/>
    </row>
    <row r="9626" spans="1:2" x14ac:dyDescent="0.25">
      <c r="A9626" s="118"/>
      <c r="B9626" s="136"/>
    </row>
    <row r="9627" spans="1:2" x14ac:dyDescent="0.25">
      <c r="A9627" s="118"/>
      <c r="B9627" s="136"/>
    </row>
    <row r="9628" spans="1:2" x14ac:dyDescent="0.25">
      <c r="A9628" s="118"/>
      <c r="B9628" s="136"/>
    </row>
    <row r="9629" spans="1:2" x14ac:dyDescent="0.25">
      <c r="A9629" s="118"/>
      <c r="B9629" s="136"/>
    </row>
    <row r="9630" spans="1:2" x14ac:dyDescent="0.25">
      <c r="A9630" s="118"/>
      <c r="B9630" s="136"/>
    </row>
    <row r="9631" spans="1:2" x14ac:dyDescent="0.25">
      <c r="A9631" s="118"/>
      <c r="B9631" s="136"/>
    </row>
    <row r="9632" spans="1:2" x14ac:dyDescent="0.25">
      <c r="A9632" s="118"/>
      <c r="B9632" s="136"/>
    </row>
    <row r="9633" spans="1:2" x14ac:dyDescent="0.25">
      <c r="A9633" s="118"/>
      <c r="B9633" s="136"/>
    </row>
    <row r="9634" spans="1:2" x14ac:dyDescent="0.25">
      <c r="A9634" s="118"/>
      <c r="B9634" s="136"/>
    </row>
    <row r="9635" spans="1:2" x14ac:dyDescent="0.25">
      <c r="A9635" s="118"/>
      <c r="B9635" s="136"/>
    </row>
    <row r="9636" spans="1:2" x14ac:dyDescent="0.25">
      <c r="A9636" s="118"/>
      <c r="B9636" s="136"/>
    </row>
    <row r="9637" spans="1:2" x14ac:dyDescent="0.25">
      <c r="A9637" s="118"/>
      <c r="B9637" s="136"/>
    </row>
    <row r="9638" spans="1:2" x14ac:dyDescent="0.25">
      <c r="A9638" s="118"/>
      <c r="B9638" s="136"/>
    </row>
    <row r="9639" spans="1:2" x14ac:dyDescent="0.25">
      <c r="A9639" s="118"/>
      <c r="B9639" s="136"/>
    </row>
    <row r="9640" spans="1:2" x14ac:dyDescent="0.25">
      <c r="A9640" s="118"/>
      <c r="B9640" s="136"/>
    </row>
    <row r="9641" spans="1:2" x14ac:dyDescent="0.25">
      <c r="A9641" s="118"/>
      <c r="B9641" s="136"/>
    </row>
    <row r="9642" spans="1:2" x14ac:dyDescent="0.25">
      <c r="A9642" s="118"/>
      <c r="B9642" s="136"/>
    </row>
    <row r="9643" spans="1:2" x14ac:dyDescent="0.25">
      <c r="A9643" s="118"/>
      <c r="B9643" s="136"/>
    </row>
    <row r="9644" spans="1:2" x14ac:dyDescent="0.25">
      <c r="A9644" s="118"/>
      <c r="B9644" s="136"/>
    </row>
    <row r="9645" spans="1:2" x14ac:dyDescent="0.25">
      <c r="A9645" s="118"/>
      <c r="B9645" s="136"/>
    </row>
    <row r="9646" spans="1:2" x14ac:dyDescent="0.25">
      <c r="A9646" s="118"/>
      <c r="B9646" s="136"/>
    </row>
    <row r="9647" spans="1:2" x14ac:dyDescent="0.25">
      <c r="A9647" s="118"/>
      <c r="B9647" s="136"/>
    </row>
    <row r="9648" spans="1:2" x14ac:dyDescent="0.25">
      <c r="A9648" s="118"/>
      <c r="B9648" s="136"/>
    </row>
    <row r="9649" spans="1:2" x14ac:dyDescent="0.25">
      <c r="A9649" s="118"/>
      <c r="B9649" s="136"/>
    </row>
    <row r="9650" spans="1:2" x14ac:dyDescent="0.25">
      <c r="A9650" s="118"/>
      <c r="B9650" s="136"/>
    </row>
    <row r="9651" spans="1:2" x14ac:dyDescent="0.25">
      <c r="A9651" s="118"/>
      <c r="B9651" s="136"/>
    </row>
    <row r="9652" spans="1:2" x14ac:dyDescent="0.25">
      <c r="A9652" s="118"/>
      <c r="B9652" s="136"/>
    </row>
    <row r="9653" spans="1:2" x14ac:dyDescent="0.25">
      <c r="A9653" s="118"/>
      <c r="B9653" s="136"/>
    </row>
    <row r="9654" spans="1:2" x14ac:dyDescent="0.25">
      <c r="A9654" s="118"/>
      <c r="B9654" s="136"/>
    </row>
    <row r="9655" spans="1:2" x14ac:dyDescent="0.25">
      <c r="A9655" s="118"/>
      <c r="B9655" s="136"/>
    </row>
    <row r="9656" spans="1:2" x14ac:dyDescent="0.25">
      <c r="A9656" s="118"/>
      <c r="B9656" s="136"/>
    </row>
    <row r="9657" spans="1:2" x14ac:dyDescent="0.25">
      <c r="A9657" s="118"/>
      <c r="B9657" s="136"/>
    </row>
    <row r="9658" spans="1:2" x14ac:dyDescent="0.25">
      <c r="A9658" s="118"/>
      <c r="B9658" s="136"/>
    </row>
    <row r="9659" spans="1:2" x14ac:dyDescent="0.25">
      <c r="A9659" s="118"/>
      <c r="B9659" s="136"/>
    </row>
    <row r="9660" spans="1:2" x14ac:dyDescent="0.25">
      <c r="A9660" s="118"/>
      <c r="B9660" s="136"/>
    </row>
    <row r="9661" spans="1:2" x14ac:dyDescent="0.25">
      <c r="A9661" s="118"/>
      <c r="B9661" s="136"/>
    </row>
    <row r="9662" spans="1:2" x14ac:dyDescent="0.25">
      <c r="A9662" s="118"/>
      <c r="B9662" s="136"/>
    </row>
    <row r="9663" spans="1:2" x14ac:dyDescent="0.25">
      <c r="A9663" s="118"/>
      <c r="B9663" s="136"/>
    </row>
    <row r="9664" spans="1:2" x14ac:dyDescent="0.25">
      <c r="A9664" s="118"/>
      <c r="B9664" s="136"/>
    </row>
    <row r="9665" spans="1:2" x14ac:dyDescent="0.25">
      <c r="A9665" s="118"/>
      <c r="B9665" s="136"/>
    </row>
    <row r="9666" spans="1:2" x14ac:dyDescent="0.25">
      <c r="A9666" s="118"/>
      <c r="B9666" s="136"/>
    </row>
    <row r="9667" spans="1:2" x14ac:dyDescent="0.25">
      <c r="A9667" s="118"/>
      <c r="B9667" s="136"/>
    </row>
    <row r="9668" spans="1:2" x14ac:dyDescent="0.25">
      <c r="A9668" s="118"/>
      <c r="B9668" s="136"/>
    </row>
    <row r="9669" spans="1:2" x14ac:dyDescent="0.25">
      <c r="A9669" s="118"/>
      <c r="B9669" s="136"/>
    </row>
    <row r="9670" spans="1:2" x14ac:dyDescent="0.25">
      <c r="A9670" s="118"/>
      <c r="B9670" s="136"/>
    </row>
    <row r="9671" spans="1:2" x14ac:dyDescent="0.25">
      <c r="A9671" s="118"/>
      <c r="B9671" s="136"/>
    </row>
    <row r="9672" spans="1:2" x14ac:dyDescent="0.25">
      <c r="A9672" s="118"/>
      <c r="B9672" s="136"/>
    </row>
    <row r="9673" spans="1:2" x14ac:dyDescent="0.25">
      <c r="A9673" s="118"/>
      <c r="B9673" s="136"/>
    </row>
    <row r="9674" spans="1:2" x14ac:dyDescent="0.25">
      <c r="A9674" s="118"/>
      <c r="B9674" s="136"/>
    </row>
    <row r="9675" spans="1:2" x14ac:dyDescent="0.25">
      <c r="A9675" s="118"/>
      <c r="B9675" s="136"/>
    </row>
    <row r="9676" spans="1:2" x14ac:dyDescent="0.25">
      <c r="A9676" s="118"/>
      <c r="B9676" s="136"/>
    </row>
    <row r="9677" spans="1:2" x14ac:dyDescent="0.25">
      <c r="A9677" s="118"/>
      <c r="B9677" s="136"/>
    </row>
    <row r="9678" spans="1:2" x14ac:dyDescent="0.25">
      <c r="A9678" s="118"/>
      <c r="B9678" s="136"/>
    </row>
    <row r="9679" spans="1:2" x14ac:dyDescent="0.25">
      <c r="A9679" s="118"/>
      <c r="B9679" s="136"/>
    </row>
    <row r="9680" spans="1:2" x14ac:dyDescent="0.25">
      <c r="A9680" s="118"/>
      <c r="B9680" s="136"/>
    </row>
    <row r="9681" spans="1:2" x14ac:dyDescent="0.25">
      <c r="A9681" s="118"/>
      <c r="B9681" s="136"/>
    </row>
    <row r="9682" spans="1:2" x14ac:dyDescent="0.25">
      <c r="A9682" s="118"/>
      <c r="B9682" s="136"/>
    </row>
    <row r="9683" spans="1:2" x14ac:dyDescent="0.25">
      <c r="A9683" s="118"/>
      <c r="B9683" s="136"/>
    </row>
    <row r="9684" spans="1:2" x14ac:dyDescent="0.25">
      <c r="A9684" s="118"/>
      <c r="B9684" s="136"/>
    </row>
    <row r="9685" spans="1:2" x14ac:dyDescent="0.25">
      <c r="A9685" s="118"/>
      <c r="B9685" s="136"/>
    </row>
    <row r="9686" spans="1:2" x14ac:dyDescent="0.25">
      <c r="A9686" s="118"/>
      <c r="B9686" s="136"/>
    </row>
    <row r="9687" spans="1:2" x14ac:dyDescent="0.25">
      <c r="A9687" s="118"/>
      <c r="B9687" s="136"/>
    </row>
    <row r="9688" spans="1:2" x14ac:dyDescent="0.25">
      <c r="A9688" s="118"/>
      <c r="B9688" s="136"/>
    </row>
    <row r="9689" spans="1:2" x14ac:dyDescent="0.25">
      <c r="A9689" s="118"/>
      <c r="B9689" s="136"/>
    </row>
    <row r="9690" spans="1:2" x14ac:dyDescent="0.25">
      <c r="A9690" s="118"/>
      <c r="B9690" s="136"/>
    </row>
    <row r="9691" spans="1:2" x14ac:dyDescent="0.25">
      <c r="A9691" s="118"/>
      <c r="B9691" s="136"/>
    </row>
    <row r="9692" spans="1:2" x14ac:dyDescent="0.25">
      <c r="A9692" s="118"/>
      <c r="B9692" s="136"/>
    </row>
    <row r="9693" spans="1:2" x14ac:dyDescent="0.25">
      <c r="A9693" s="118"/>
      <c r="B9693" s="136"/>
    </row>
    <row r="9694" spans="1:2" x14ac:dyDescent="0.25">
      <c r="A9694" s="118"/>
      <c r="B9694" s="136"/>
    </row>
    <row r="9695" spans="1:2" x14ac:dyDescent="0.25">
      <c r="A9695" s="118"/>
      <c r="B9695" s="136"/>
    </row>
    <row r="9696" spans="1:2" x14ac:dyDescent="0.25">
      <c r="A9696" s="118"/>
      <c r="B9696" s="136"/>
    </row>
    <row r="9697" spans="1:2" x14ac:dyDescent="0.25">
      <c r="A9697" s="118"/>
      <c r="B9697" s="136"/>
    </row>
    <row r="9698" spans="1:2" x14ac:dyDescent="0.25">
      <c r="A9698" s="118"/>
      <c r="B9698" s="136"/>
    </row>
    <row r="9699" spans="1:2" x14ac:dyDescent="0.25">
      <c r="A9699" s="118"/>
      <c r="B9699" s="136"/>
    </row>
    <row r="9700" spans="1:2" x14ac:dyDescent="0.25">
      <c r="A9700" s="118"/>
      <c r="B9700" s="136"/>
    </row>
    <row r="9701" spans="1:2" x14ac:dyDescent="0.25">
      <c r="A9701" s="118"/>
      <c r="B9701" s="136"/>
    </row>
    <row r="9702" spans="1:2" x14ac:dyDescent="0.25">
      <c r="A9702" s="118"/>
      <c r="B9702" s="136"/>
    </row>
    <row r="9703" spans="1:2" x14ac:dyDescent="0.25">
      <c r="A9703" s="118"/>
      <c r="B9703" s="136"/>
    </row>
    <row r="9704" spans="1:2" x14ac:dyDescent="0.25">
      <c r="A9704" s="118"/>
      <c r="B9704" s="136"/>
    </row>
    <row r="9705" spans="1:2" x14ac:dyDescent="0.25">
      <c r="A9705" s="118"/>
      <c r="B9705" s="136"/>
    </row>
    <row r="9706" spans="1:2" x14ac:dyDescent="0.25">
      <c r="A9706" s="118"/>
      <c r="B9706" s="136"/>
    </row>
    <row r="9707" spans="1:2" x14ac:dyDescent="0.25">
      <c r="A9707" s="118"/>
      <c r="B9707" s="136"/>
    </row>
    <row r="9708" spans="1:2" x14ac:dyDescent="0.25">
      <c r="A9708" s="118"/>
      <c r="B9708" s="136"/>
    </row>
    <row r="9709" spans="1:2" x14ac:dyDescent="0.25">
      <c r="A9709" s="118"/>
      <c r="B9709" s="136"/>
    </row>
    <row r="9710" spans="1:2" x14ac:dyDescent="0.25">
      <c r="A9710" s="118"/>
      <c r="B9710" s="136"/>
    </row>
    <row r="9711" spans="1:2" x14ac:dyDescent="0.25">
      <c r="A9711" s="118"/>
      <c r="B9711" s="136"/>
    </row>
    <row r="9712" spans="1:2" x14ac:dyDescent="0.25">
      <c r="A9712" s="118"/>
      <c r="B9712" s="136"/>
    </row>
    <row r="9713" spans="1:2" x14ac:dyDescent="0.25">
      <c r="A9713" s="118"/>
      <c r="B9713" s="136"/>
    </row>
    <row r="9714" spans="1:2" x14ac:dyDescent="0.25">
      <c r="A9714" s="118"/>
      <c r="B9714" s="136"/>
    </row>
    <row r="9715" spans="1:2" x14ac:dyDescent="0.25">
      <c r="A9715" s="118"/>
      <c r="B9715" s="136"/>
    </row>
    <row r="9716" spans="1:2" x14ac:dyDescent="0.25">
      <c r="A9716" s="118"/>
      <c r="B9716" s="136"/>
    </row>
    <row r="9717" spans="1:2" x14ac:dyDescent="0.25">
      <c r="A9717" s="118"/>
      <c r="B9717" s="136"/>
    </row>
    <row r="9718" spans="1:2" x14ac:dyDescent="0.25">
      <c r="A9718" s="118"/>
      <c r="B9718" s="136"/>
    </row>
    <row r="9719" spans="1:2" x14ac:dyDescent="0.25">
      <c r="A9719" s="118"/>
      <c r="B9719" s="136"/>
    </row>
    <row r="9720" spans="1:2" x14ac:dyDescent="0.25">
      <c r="A9720" s="118"/>
      <c r="B9720" s="136"/>
    </row>
    <row r="9721" spans="1:2" x14ac:dyDescent="0.25">
      <c r="A9721" s="118"/>
      <c r="B9721" s="136"/>
    </row>
    <row r="9722" spans="1:2" x14ac:dyDescent="0.25">
      <c r="A9722" s="118"/>
      <c r="B9722" s="136"/>
    </row>
    <row r="9723" spans="1:2" x14ac:dyDescent="0.25">
      <c r="A9723" s="118"/>
      <c r="B9723" s="136"/>
    </row>
    <row r="9724" spans="1:2" x14ac:dyDescent="0.25">
      <c r="A9724" s="118"/>
      <c r="B9724" s="136"/>
    </row>
    <row r="9725" spans="1:2" x14ac:dyDescent="0.25">
      <c r="A9725" s="118"/>
      <c r="B9725" s="136"/>
    </row>
    <row r="9726" spans="1:2" x14ac:dyDescent="0.25">
      <c r="A9726" s="118"/>
      <c r="B9726" s="136"/>
    </row>
    <row r="9727" spans="1:2" x14ac:dyDescent="0.25">
      <c r="A9727" s="118"/>
      <c r="B9727" s="136"/>
    </row>
    <row r="9728" spans="1:2" x14ac:dyDescent="0.25">
      <c r="A9728" s="118"/>
      <c r="B9728" s="136"/>
    </row>
    <row r="9729" spans="1:2" x14ac:dyDescent="0.25">
      <c r="A9729" s="118"/>
      <c r="B9729" s="136"/>
    </row>
    <row r="9730" spans="1:2" x14ac:dyDescent="0.25">
      <c r="A9730" s="118"/>
      <c r="B9730" s="136"/>
    </row>
    <row r="9731" spans="1:2" x14ac:dyDescent="0.25">
      <c r="A9731" s="118"/>
      <c r="B9731" s="136"/>
    </row>
    <row r="9732" spans="1:2" x14ac:dyDescent="0.25">
      <c r="A9732" s="118"/>
      <c r="B9732" s="136"/>
    </row>
    <row r="9733" spans="1:2" x14ac:dyDescent="0.25">
      <c r="A9733" s="118"/>
      <c r="B9733" s="136"/>
    </row>
    <row r="9734" spans="1:2" x14ac:dyDescent="0.25">
      <c r="A9734" s="118"/>
      <c r="B9734" s="136"/>
    </row>
    <row r="9735" spans="1:2" x14ac:dyDescent="0.25">
      <c r="A9735" s="118"/>
      <c r="B9735" s="136"/>
    </row>
    <row r="9736" spans="1:2" x14ac:dyDescent="0.25">
      <c r="A9736" s="118"/>
      <c r="B9736" s="136"/>
    </row>
    <row r="9737" spans="1:2" x14ac:dyDescent="0.25">
      <c r="A9737" s="118"/>
      <c r="B9737" s="136"/>
    </row>
    <row r="9738" spans="1:2" x14ac:dyDescent="0.25">
      <c r="A9738" s="118"/>
      <c r="B9738" s="136"/>
    </row>
    <row r="9739" spans="1:2" x14ac:dyDescent="0.25">
      <c r="A9739" s="118"/>
      <c r="B9739" s="136"/>
    </row>
    <row r="9740" spans="1:2" x14ac:dyDescent="0.25">
      <c r="A9740" s="118"/>
      <c r="B9740" s="136"/>
    </row>
    <row r="9741" spans="1:2" x14ac:dyDescent="0.25">
      <c r="A9741" s="118"/>
      <c r="B9741" s="136"/>
    </row>
    <row r="9742" spans="1:2" x14ac:dyDescent="0.25">
      <c r="A9742" s="118"/>
      <c r="B9742" s="136"/>
    </row>
    <row r="9743" spans="1:2" x14ac:dyDescent="0.25">
      <c r="A9743" s="118"/>
      <c r="B9743" s="136"/>
    </row>
    <row r="9744" spans="1:2" x14ac:dyDescent="0.25">
      <c r="A9744" s="118"/>
      <c r="B9744" s="136"/>
    </row>
    <row r="9745" spans="1:2" x14ac:dyDescent="0.25">
      <c r="A9745" s="118"/>
      <c r="B9745" s="136"/>
    </row>
    <row r="9746" spans="1:2" x14ac:dyDescent="0.25">
      <c r="A9746" s="118"/>
      <c r="B9746" s="136"/>
    </row>
    <row r="9747" spans="1:2" x14ac:dyDescent="0.25">
      <c r="A9747" s="118"/>
      <c r="B9747" s="136"/>
    </row>
    <row r="9748" spans="1:2" x14ac:dyDescent="0.25">
      <c r="A9748" s="118"/>
      <c r="B9748" s="136"/>
    </row>
    <row r="9749" spans="1:2" x14ac:dyDescent="0.25">
      <c r="A9749" s="118"/>
      <c r="B9749" s="136"/>
    </row>
    <row r="9750" spans="1:2" x14ac:dyDescent="0.25">
      <c r="A9750" s="118"/>
      <c r="B9750" s="136"/>
    </row>
    <row r="9751" spans="1:2" x14ac:dyDescent="0.25">
      <c r="A9751" s="118"/>
      <c r="B9751" s="136"/>
    </row>
    <row r="9752" spans="1:2" x14ac:dyDescent="0.25">
      <c r="A9752" s="118"/>
      <c r="B9752" s="136"/>
    </row>
    <row r="9753" spans="1:2" x14ac:dyDescent="0.25">
      <c r="A9753" s="118"/>
      <c r="B9753" s="136"/>
    </row>
    <row r="9754" spans="1:2" x14ac:dyDescent="0.25">
      <c r="A9754" s="118"/>
      <c r="B9754" s="136"/>
    </row>
    <row r="9755" spans="1:2" x14ac:dyDescent="0.25">
      <c r="A9755" s="118"/>
      <c r="B9755" s="136"/>
    </row>
    <row r="9756" spans="1:2" x14ac:dyDescent="0.25">
      <c r="A9756" s="118"/>
      <c r="B9756" s="136"/>
    </row>
    <row r="9757" spans="1:2" x14ac:dyDescent="0.25">
      <c r="A9757" s="118"/>
      <c r="B9757" s="136"/>
    </row>
    <row r="9758" spans="1:2" x14ac:dyDescent="0.25">
      <c r="A9758" s="118"/>
      <c r="B9758" s="136"/>
    </row>
    <row r="9759" spans="1:2" x14ac:dyDescent="0.25">
      <c r="A9759" s="118"/>
      <c r="B9759" s="136"/>
    </row>
    <row r="9760" spans="1:2" x14ac:dyDescent="0.25">
      <c r="A9760" s="118"/>
      <c r="B9760" s="136"/>
    </row>
    <row r="9761" spans="1:2" x14ac:dyDescent="0.25">
      <c r="A9761" s="118"/>
      <c r="B9761" s="136"/>
    </row>
    <row r="9762" spans="1:2" x14ac:dyDescent="0.25">
      <c r="A9762" s="118"/>
      <c r="B9762" s="136"/>
    </row>
    <row r="9763" spans="1:2" x14ac:dyDescent="0.25">
      <c r="A9763" s="118"/>
      <c r="B9763" s="136"/>
    </row>
    <row r="9764" spans="1:2" x14ac:dyDescent="0.25">
      <c r="A9764" s="118"/>
      <c r="B9764" s="136"/>
    </row>
    <row r="9765" spans="1:2" x14ac:dyDescent="0.25">
      <c r="A9765" s="118"/>
      <c r="B9765" s="136"/>
    </row>
    <row r="9766" spans="1:2" x14ac:dyDescent="0.25">
      <c r="A9766" s="118"/>
      <c r="B9766" s="136"/>
    </row>
    <row r="9767" spans="1:2" x14ac:dyDescent="0.25">
      <c r="A9767" s="118"/>
      <c r="B9767" s="136"/>
    </row>
    <row r="9768" spans="1:2" x14ac:dyDescent="0.25">
      <c r="A9768" s="118"/>
      <c r="B9768" s="136"/>
    </row>
    <row r="9769" spans="1:2" x14ac:dyDescent="0.25">
      <c r="A9769" s="118"/>
      <c r="B9769" s="136"/>
    </row>
    <row r="9770" spans="1:2" x14ac:dyDescent="0.25">
      <c r="A9770" s="118"/>
      <c r="B9770" s="136"/>
    </row>
    <row r="9771" spans="1:2" x14ac:dyDescent="0.25">
      <c r="A9771" s="118"/>
      <c r="B9771" s="136"/>
    </row>
    <row r="9772" spans="1:2" x14ac:dyDescent="0.25">
      <c r="A9772" s="118"/>
      <c r="B9772" s="136"/>
    </row>
    <row r="9773" spans="1:2" x14ac:dyDescent="0.25">
      <c r="A9773" s="118"/>
      <c r="B9773" s="136"/>
    </row>
    <row r="9774" spans="1:2" x14ac:dyDescent="0.25">
      <c r="A9774" s="118"/>
      <c r="B9774" s="136"/>
    </row>
    <row r="9775" spans="1:2" x14ac:dyDescent="0.25">
      <c r="A9775" s="118"/>
      <c r="B9775" s="136"/>
    </row>
    <row r="9776" spans="1:2" x14ac:dyDescent="0.25">
      <c r="A9776" s="118"/>
      <c r="B9776" s="136"/>
    </row>
    <row r="9777" spans="1:2" x14ac:dyDescent="0.25">
      <c r="A9777" s="118"/>
      <c r="B9777" s="136"/>
    </row>
    <row r="9778" spans="1:2" x14ac:dyDescent="0.25">
      <c r="A9778" s="118"/>
      <c r="B9778" s="136"/>
    </row>
    <row r="9779" spans="1:2" x14ac:dyDescent="0.25">
      <c r="A9779" s="118"/>
      <c r="B9779" s="136"/>
    </row>
    <row r="9780" spans="1:2" x14ac:dyDescent="0.25">
      <c r="A9780" s="118"/>
      <c r="B9780" s="136"/>
    </row>
    <row r="9781" spans="1:2" x14ac:dyDescent="0.25">
      <c r="A9781" s="118"/>
      <c r="B9781" s="136"/>
    </row>
    <row r="9782" spans="1:2" x14ac:dyDescent="0.25">
      <c r="A9782" s="118"/>
      <c r="B9782" s="136"/>
    </row>
    <row r="9783" spans="1:2" x14ac:dyDescent="0.25">
      <c r="A9783" s="118"/>
      <c r="B9783" s="136"/>
    </row>
    <row r="9784" spans="1:2" x14ac:dyDescent="0.25">
      <c r="A9784" s="118"/>
      <c r="B9784" s="136"/>
    </row>
    <row r="9785" spans="1:2" x14ac:dyDescent="0.25">
      <c r="A9785" s="118"/>
      <c r="B9785" s="136"/>
    </row>
    <row r="9786" spans="1:2" x14ac:dyDescent="0.25">
      <c r="A9786" s="118"/>
      <c r="B9786" s="136"/>
    </row>
    <row r="9787" spans="1:2" x14ac:dyDescent="0.25">
      <c r="A9787" s="118"/>
      <c r="B9787" s="136"/>
    </row>
    <row r="9788" spans="1:2" x14ac:dyDescent="0.25">
      <c r="A9788" s="118"/>
      <c r="B9788" s="136"/>
    </row>
    <row r="9789" spans="1:2" x14ac:dyDescent="0.25">
      <c r="A9789" s="118"/>
      <c r="B9789" s="136"/>
    </row>
    <row r="9790" spans="1:2" x14ac:dyDescent="0.25">
      <c r="A9790" s="118"/>
      <c r="B9790" s="136"/>
    </row>
    <row r="9791" spans="1:2" x14ac:dyDescent="0.25">
      <c r="A9791" s="118"/>
      <c r="B9791" s="136"/>
    </row>
    <row r="9792" spans="1:2" x14ac:dyDescent="0.25">
      <c r="A9792" s="118"/>
      <c r="B9792" s="136"/>
    </row>
    <row r="9793" spans="1:2" x14ac:dyDescent="0.25">
      <c r="A9793" s="118"/>
      <c r="B9793" s="136"/>
    </row>
    <row r="9794" spans="1:2" x14ac:dyDescent="0.25">
      <c r="A9794" s="118"/>
      <c r="B9794" s="136"/>
    </row>
    <row r="9795" spans="1:2" x14ac:dyDescent="0.25">
      <c r="A9795" s="118"/>
      <c r="B9795" s="136"/>
    </row>
    <row r="9796" spans="1:2" x14ac:dyDescent="0.25">
      <c r="A9796" s="118"/>
      <c r="B9796" s="136"/>
    </row>
    <row r="9797" spans="1:2" x14ac:dyDescent="0.25">
      <c r="A9797" s="118"/>
      <c r="B9797" s="136"/>
    </row>
    <row r="9798" spans="1:2" x14ac:dyDescent="0.25">
      <c r="A9798" s="118"/>
      <c r="B9798" s="136"/>
    </row>
    <row r="9799" spans="1:2" x14ac:dyDescent="0.25">
      <c r="A9799" s="118"/>
      <c r="B9799" s="136"/>
    </row>
    <row r="9800" spans="1:2" x14ac:dyDescent="0.25">
      <c r="A9800" s="118"/>
      <c r="B9800" s="136"/>
    </row>
    <row r="9801" spans="1:2" x14ac:dyDescent="0.25">
      <c r="A9801" s="118"/>
      <c r="B9801" s="136"/>
    </row>
    <row r="9802" spans="1:2" x14ac:dyDescent="0.25">
      <c r="A9802" s="118"/>
      <c r="B9802" s="136"/>
    </row>
    <row r="9803" spans="1:2" x14ac:dyDescent="0.25">
      <c r="A9803" s="118"/>
      <c r="B9803" s="136"/>
    </row>
    <row r="9804" spans="1:2" x14ac:dyDescent="0.25">
      <c r="A9804" s="118"/>
      <c r="B9804" s="136"/>
    </row>
    <row r="9805" spans="1:2" x14ac:dyDescent="0.25">
      <c r="A9805" s="118"/>
      <c r="B9805" s="136"/>
    </row>
    <row r="9806" spans="1:2" x14ac:dyDescent="0.25">
      <c r="A9806" s="118"/>
      <c r="B9806" s="136"/>
    </row>
    <row r="9807" spans="1:2" x14ac:dyDescent="0.25">
      <c r="A9807" s="118"/>
      <c r="B9807" s="136"/>
    </row>
    <row r="9808" spans="1:2" x14ac:dyDescent="0.25">
      <c r="A9808" s="118"/>
      <c r="B9808" s="136"/>
    </row>
    <row r="9809" spans="1:2" x14ac:dyDescent="0.25">
      <c r="A9809" s="118"/>
      <c r="B9809" s="136"/>
    </row>
    <row r="9810" spans="1:2" x14ac:dyDescent="0.25">
      <c r="A9810" s="118"/>
      <c r="B9810" s="136"/>
    </row>
    <row r="9811" spans="1:2" x14ac:dyDescent="0.25">
      <c r="A9811" s="118"/>
      <c r="B9811" s="136"/>
    </row>
    <row r="9812" spans="1:2" x14ac:dyDescent="0.25">
      <c r="A9812" s="118"/>
      <c r="B9812" s="136"/>
    </row>
    <row r="9813" spans="1:2" x14ac:dyDescent="0.25">
      <c r="A9813" s="118"/>
      <c r="B9813" s="136"/>
    </row>
    <row r="9814" spans="1:2" x14ac:dyDescent="0.25">
      <c r="A9814" s="118"/>
      <c r="B9814" s="136"/>
    </row>
    <row r="9815" spans="1:2" x14ac:dyDescent="0.25">
      <c r="A9815" s="118"/>
      <c r="B9815" s="136"/>
    </row>
    <row r="9816" spans="1:2" x14ac:dyDescent="0.25">
      <c r="A9816" s="118"/>
      <c r="B9816" s="136"/>
    </row>
    <row r="9817" spans="1:2" x14ac:dyDescent="0.25">
      <c r="A9817" s="118"/>
      <c r="B9817" s="136"/>
    </row>
    <row r="9818" spans="1:2" x14ac:dyDescent="0.25">
      <c r="A9818" s="118"/>
      <c r="B9818" s="136"/>
    </row>
    <row r="9819" spans="1:2" x14ac:dyDescent="0.25">
      <c r="A9819" s="118"/>
      <c r="B9819" s="136"/>
    </row>
    <row r="9820" spans="1:2" x14ac:dyDescent="0.25">
      <c r="A9820" s="118"/>
      <c r="B9820" s="136"/>
    </row>
    <row r="9821" spans="1:2" x14ac:dyDescent="0.25">
      <c r="A9821" s="118"/>
      <c r="B9821" s="136"/>
    </row>
    <row r="9822" spans="1:2" x14ac:dyDescent="0.25">
      <c r="A9822" s="118"/>
      <c r="B9822" s="136"/>
    </row>
    <row r="9823" spans="1:2" x14ac:dyDescent="0.25">
      <c r="A9823" s="118"/>
      <c r="B9823" s="136"/>
    </row>
    <row r="9824" spans="1:2" x14ac:dyDescent="0.25">
      <c r="A9824" s="118"/>
      <c r="B9824" s="136"/>
    </row>
    <row r="9825" spans="1:2" x14ac:dyDescent="0.25">
      <c r="A9825" s="118"/>
      <c r="B9825" s="136"/>
    </row>
    <row r="9826" spans="1:2" x14ac:dyDescent="0.25">
      <c r="A9826" s="118"/>
      <c r="B9826" s="136"/>
    </row>
    <row r="9827" spans="1:2" x14ac:dyDescent="0.25">
      <c r="A9827" s="118"/>
      <c r="B9827" s="136"/>
    </row>
    <row r="9828" spans="1:2" x14ac:dyDescent="0.25">
      <c r="A9828" s="118"/>
      <c r="B9828" s="136"/>
    </row>
    <row r="9829" spans="1:2" x14ac:dyDescent="0.25">
      <c r="A9829" s="118"/>
      <c r="B9829" s="136"/>
    </row>
    <row r="9830" spans="1:2" x14ac:dyDescent="0.25">
      <c r="A9830" s="118"/>
      <c r="B9830" s="136"/>
    </row>
    <row r="9831" spans="1:2" x14ac:dyDescent="0.25">
      <c r="A9831" s="118"/>
      <c r="B9831" s="136"/>
    </row>
    <row r="9832" spans="1:2" x14ac:dyDescent="0.25">
      <c r="A9832" s="118"/>
      <c r="B9832" s="136"/>
    </row>
    <row r="9833" spans="1:2" x14ac:dyDescent="0.25">
      <c r="A9833" s="118"/>
      <c r="B9833" s="136"/>
    </row>
    <row r="9834" spans="1:2" x14ac:dyDescent="0.25">
      <c r="A9834" s="118"/>
      <c r="B9834" s="136"/>
    </row>
    <row r="9835" spans="1:2" x14ac:dyDescent="0.25">
      <c r="A9835" s="118"/>
      <c r="B9835" s="136"/>
    </row>
    <row r="9836" spans="1:2" x14ac:dyDescent="0.25">
      <c r="A9836" s="118"/>
      <c r="B9836" s="136"/>
    </row>
    <row r="9837" spans="1:2" x14ac:dyDescent="0.25">
      <c r="A9837" s="118"/>
      <c r="B9837" s="136"/>
    </row>
    <row r="9838" spans="1:2" x14ac:dyDescent="0.25">
      <c r="A9838" s="118"/>
      <c r="B9838" s="136"/>
    </row>
    <row r="9839" spans="1:2" x14ac:dyDescent="0.25">
      <c r="A9839" s="118"/>
      <c r="B9839" s="136"/>
    </row>
    <row r="9840" spans="1:2" x14ac:dyDescent="0.25">
      <c r="A9840" s="118"/>
      <c r="B9840" s="136"/>
    </row>
    <row r="9841" spans="1:2" x14ac:dyDescent="0.25">
      <c r="A9841" s="118"/>
      <c r="B9841" s="136"/>
    </row>
    <row r="9842" spans="1:2" x14ac:dyDescent="0.25">
      <c r="A9842" s="118"/>
      <c r="B9842" s="136"/>
    </row>
    <row r="9843" spans="1:2" x14ac:dyDescent="0.25">
      <c r="A9843" s="118"/>
      <c r="B9843" s="136"/>
    </row>
    <row r="9844" spans="1:2" x14ac:dyDescent="0.25">
      <c r="A9844" s="118"/>
      <c r="B9844" s="136"/>
    </row>
    <row r="9845" spans="1:2" x14ac:dyDescent="0.25">
      <c r="A9845" s="118"/>
      <c r="B9845" s="136"/>
    </row>
    <row r="9846" spans="1:2" x14ac:dyDescent="0.25">
      <c r="A9846" s="118"/>
      <c r="B9846" s="136"/>
    </row>
    <row r="9847" spans="1:2" x14ac:dyDescent="0.25">
      <c r="A9847" s="118"/>
      <c r="B9847" s="136"/>
    </row>
    <row r="9848" spans="1:2" x14ac:dyDescent="0.25">
      <c r="A9848" s="118"/>
      <c r="B9848" s="136"/>
    </row>
    <row r="9849" spans="1:2" x14ac:dyDescent="0.25">
      <c r="A9849" s="118"/>
      <c r="B9849" s="136"/>
    </row>
    <row r="9850" spans="1:2" x14ac:dyDescent="0.25">
      <c r="A9850" s="118"/>
      <c r="B9850" s="136"/>
    </row>
    <row r="9851" spans="1:2" x14ac:dyDescent="0.25">
      <c r="A9851" s="118"/>
      <c r="B9851" s="136"/>
    </row>
    <row r="9852" spans="1:2" x14ac:dyDescent="0.25">
      <c r="A9852" s="118"/>
      <c r="B9852" s="136"/>
    </row>
    <row r="9853" spans="1:2" x14ac:dyDescent="0.25">
      <c r="A9853" s="118"/>
      <c r="B9853" s="136"/>
    </row>
    <row r="9854" spans="1:2" x14ac:dyDescent="0.25">
      <c r="A9854" s="118"/>
      <c r="B9854" s="136"/>
    </row>
    <row r="9855" spans="1:2" x14ac:dyDescent="0.25">
      <c r="A9855" s="118"/>
      <c r="B9855" s="136"/>
    </row>
    <row r="9856" spans="1:2" x14ac:dyDescent="0.25">
      <c r="A9856" s="118"/>
      <c r="B9856" s="136"/>
    </row>
    <row r="9857" spans="1:2" x14ac:dyDescent="0.25">
      <c r="A9857" s="118"/>
      <c r="B9857" s="136"/>
    </row>
    <row r="9858" spans="1:2" x14ac:dyDescent="0.25">
      <c r="A9858" s="118"/>
      <c r="B9858" s="136"/>
    </row>
    <row r="9859" spans="1:2" x14ac:dyDescent="0.25">
      <c r="A9859" s="118"/>
      <c r="B9859" s="136"/>
    </row>
    <row r="9860" spans="1:2" x14ac:dyDescent="0.25">
      <c r="A9860" s="118"/>
      <c r="B9860" s="136"/>
    </row>
    <row r="9861" spans="1:2" x14ac:dyDescent="0.25">
      <c r="A9861" s="118"/>
      <c r="B9861" s="136"/>
    </row>
    <row r="9862" spans="1:2" x14ac:dyDescent="0.25">
      <c r="A9862" s="118"/>
      <c r="B9862" s="136"/>
    </row>
    <row r="9863" spans="1:2" x14ac:dyDescent="0.25">
      <c r="A9863" s="118"/>
      <c r="B9863" s="136"/>
    </row>
    <row r="9864" spans="1:2" x14ac:dyDescent="0.25">
      <c r="A9864" s="118"/>
      <c r="B9864" s="136"/>
    </row>
    <row r="9865" spans="1:2" x14ac:dyDescent="0.25">
      <c r="A9865" s="118"/>
      <c r="B9865" s="136"/>
    </row>
    <row r="9866" spans="1:2" x14ac:dyDescent="0.25">
      <c r="A9866" s="118"/>
      <c r="B9866" s="136"/>
    </row>
    <row r="9867" spans="1:2" x14ac:dyDescent="0.25">
      <c r="A9867" s="118"/>
      <c r="B9867" s="136"/>
    </row>
    <row r="9868" spans="1:2" x14ac:dyDescent="0.25">
      <c r="A9868" s="118"/>
      <c r="B9868" s="136"/>
    </row>
    <row r="9869" spans="1:2" x14ac:dyDescent="0.25">
      <c r="A9869" s="118"/>
      <c r="B9869" s="136"/>
    </row>
    <row r="9870" spans="1:2" x14ac:dyDescent="0.25">
      <c r="A9870" s="118"/>
      <c r="B9870" s="136"/>
    </row>
    <row r="9871" spans="1:2" x14ac:dyDescent="0.25">
      <c r="A9871" s="118"/>
      <c r="B9871" s="136"/>
    </row>
    <row r="9872" spans="1:2" x14ac:dyDescent="0.25">
      <c r="A9872" s="118"/>
      <c r="B9872" s="136"/>
    </row>
    <row r="9873" spans="1:2" x14ac:dyDescent="0.25">
      <c r="A9873" s="118"/>
      <c r="B9873" s="136"/>
    </row>
    <row r="9874" spans="1:2" x14ac:dyDescent="0.25">
      <c r="A9874" s="118"/>
      <c r="B9874" s="136"/>
    </row>
    <row r="9875" spans="1:2" x14ac:dyDescent="0.25">
      <c r="A9875" s="118"/>
      <c r="B9875" s="136"/>
    </row>
    <row r="9876" spans="1:2" x14ac:dyDescent="0.25">
      <c r="A9876" s="118"/>
      <c r="B9876" s="136"/>
    </row>
    <row r="9877" spans="1:2" x14ac:dyDescent="0.25">
      <c r="A9877" s="118"/>
      <c r="B9877" s="136"/>
    </row>
    <row r="9878" spans="1:2" x14ac:dyDescent="0.25">
      <c r="A9878" s="118"/>
      <c r="B9878" s="136"/>
    </row>
    <row r="9879" spans="1:2" x14ac:dyDescent="0.25">
      <c r="A9879" s="118"/>
      <c r="B9879" s="136"/>
    </row>
    <row r="9880" spans="1:2" x14ac:dyDescent="0.25">
      <c r="A9880" s="118"/>
      <c r="B9880" s="136"/>
    </row>
    <row r="9881" spans="1:2" x14ac:dyDescent="0.25">
      <c r="A9881" s="118"/>
      <c r="B9881" s="136"/>
    </row>
    <row r="9882" spans="1:2" x14ac:dyDescent="0.25">
      <c r="A9882" s="118"/>
      <c r="B9882" s="136"/>
    </row>
    <row r="9883" spans="1:2" x14ac:dyDescent="0.25">
      <c r="A9883" s="118"/>
      <c r="B9883" s="136"/>
    </row>
    <row r="9884" spans="1:2" x14ac:dyDescent="0.25">
      <c r="A9884" s="118"/>
      <c r="B9884" s="136"/>
    </row>
    <row r="9885" spans="1:2" x14ac:dyDescent="0.25">
      <c r="A9885" s="118"/>
      <c r="B9885" s="136"/>
    </row>
    <row r="9886" spans="1:2" x14ac:dyDescent="0.25">
      <c r="A9886" s="118"/>
      <c r="B9886" s="136"/>
    </row>
    <row r="9887" spans="1:2" x14ac:dyDescent="0.25">
      <c r="A9887" s="118"/>
      <c r="B9887" s="136"/>
    </row>
    <row r="9888" spans="1:2" x14ac:dyDescent="0.25">
      <c r="A9888" s="118"/>
      <c r="B9888" s="136"/>
    </row>
    <row r="9889" spans="1:2" x14ac:dyDescent="0.25">
      <c r="A9889" s="118"/>
      <c r="B9889" s="136"/>
    </row>
    <row r="9890" spans="1:2" x14ac:dyDescent="0.25">
      <c r="A9890" s="118"/>
      <c r="B9890" s="136"/>
    </row>
    <row r="9891" spans="1:2" x14ac:dyDescent="0.25">
      <c r="A9891" s="118"/>
      <c r="B9891" s="136"/>
    </row>
    <row r="9892" spans="1:2" x14ac:dyDescent="0.25">
      <c r="A9892" s="118"/>
      <c r="B9892" s="136"/>
    </row>
    <row r="9893" spans="1:2" x14ac:dyDescent="0.25">
      <c r="A9893" s="118"/>
      <c r="B9893" s="136"/>
    </row>
    <row r="9894" spans="1:2" x14ac:dyDescent="0.25">
      <c r="A9894" s="118"/>
      <c r="B9894" s="136"/>
    </row>
    <row r="9895" spans="1:2" x14ac:dyDescent="0.25">
      <c r="A9895" s="118"/>
      <c r="B9895" s="136"/>
    </row>
    <row r="9896" spans="1:2" x14ac:dyDescent="0.25">
      <c r="A9896" s="118"/>
      <c r="B9896" s="136"/>
    </row>
    <row r="9897" spans="1:2" x14ac:dyDescent="0.25">
      <c r="A9897" s="118"/>
      <c r="B9897" s="136"/>
    </row>
    <row r="9898" spans="1:2" x14ac:dyDescent="0.25">
      <c r="A9898" s="118"/>
      <c r="B9898" s="136"/>
    </row>
    <row r="9899" spans="1:2" x14ac:dyDescent="0.25">
      <c r="A9899" s="118"/>
      <c r="B9899" s="136"/>
    </row>
    <row r="9900" spans="1:2" x14ac:dyDescent="0.25">
      <c r="A9900" s="118"/>
      <c r="B9900" s="136"/>
    </row>
    <row r="9901" spans="1:2" x14ac:dyDescent="0.25">
      <c r="A9901" s="118"/>
      <c r="B9901" s="136"/>
    </row>
    <row r="9902" spans="1:2" x14ac:dyDescent="0.25">
      <c r="A9902" s="118"/>
      <c r="B9902" s="136"/>
    </row>
    <row r="9903" spans="1:2" x14ac:dyDescent="0.25">
      <c r="A9903" s="118"/>
      <c r="B9903" s="136"/>
    </row>
    <row r="9904" spans="1:2" x14ac:dyDescent="0.25">
      <c r="A9904" s="118"/>
      <c r="B9904" s="136"/>
    </row>
    <row r="9905" spans="1:2" x14ac:dyDescent="0.25">
      <c r="A9905" s="118"/>
      <c r="B9905" s="136"/>
    </row>
    <row r="9906" spans="1:2" x14ac:dyDescent="0.25">
      <c r="A9906" s="118"/>
      <c r="B9906" s="136"/>
    </row>
    <row r="9907" spans="1:2" x14ac:dyDescent="0.25">
      <c r="A9907" s="118"/>
      <c r="B9907" s="136"/>
    </row>
    <row r="9908" spans="1:2" x14ac:dyDescent="0.25">
      <c r="A9908" s="118"/>
      <c r="B9908" s="136"/>
    </row>
    <row r="9909" spans="1:2" x14ac:dyDescent="0.25">
      <c r="A9909" s="118"/>
      <c r="B9909" s="136"/>
    </row>
    <row r="9910" spans="1:2" x14ac:dyDescent="0.25">
      <c r="A9910" s="118"/>
      <c r="B9910" s="136"/>
    </row>
    <row r="9911" spans="1:2" x14ac:dyDescent="0.25">
      <c r="A9911" s="118"/>
      <c r="B9911" s="136"/>
    </row>
    <row r="9912" spans="1:2" x14ac:dyDescent="0.25">
      <c r="A9912" s="118"/>
      <c r="B9912" s="136"/>
    </row>
    <row r="9913" spans="1:2" x14ac:dyDescent="0.25">
      <c r="A9913" s="118"/>
      <c r="B9913" s="136"/>
    </row>
    <row r="9914" spans="1:2" x14ac:dyDescent="0.25">
      <c r="A9914" s="118"/>
      <c r="B9914" s="136"/>
    </row>
    <row r="9915" spans="1:2" x14ac:dyDescent="0.25">
      <c r="A9915" s="118"/>
      <c r="B9915" s="136"/>
    </row>
    <row r="9916" spans="1:2" x14ac:dyDescent="0.25">
      <c r="A9916" s="118"/>
      <c r="B9916" s="136"/>
    </row>
    <row r="9917" spans="1:2" x14ac:dyDescent="0.25">
      <c r="A9917" s="118"/>
      <c r="B9917" s="136"/>
    </row>
    <row r="9918" spans="1:2" x14ac:dyDescent="0.25">
      <c r="A9918" s="118"/>
      <c r="B9918" s="136"/>
    </row>
    <row r="9919" spans="1:2" x14ac:dyDescent="0.25">
      <c r="A9919" s="118"/>
      <c r="B9919" s="136"/>
    </row>
    <row r="9920" spans="1:2" x14ac:dyDescent="0.25">
      <c r="A9920" s="118"/>
      <c r="B9920" s="136"/>
    </row>
    <row r="9921" spans="1:2" x14ac:dyDescent="0.25">
      <c r="A9921" s="118"/>
      <c r="B9921" s="136"/>
    </row>
    <row r="9922" spans="1:2" x14ac:dyDescent="0.25">
      <c r="A9922" s="118"/>
      <c r="B9922" s="136"/>
    </row>
    <row r="9923" spans="1:2" x14ac:dyDescent="0.25">
      <c r="A9923" s="118"/>
      <c r="B9923" s="136"/>
    </row>
    <row r="9924" spans="1:2" x14ac:dyDescent="0.25">
      <c r="A9924" s="118"/>
      <c r="B9924" s="136"/>
    </row>
    <row r="9925" spans="1:2" x14ac:dyDescent="0.25">
      <c r="A9925" s="118"/>
      <c r="B9925" s="136"/>
    </row>
    <row r="9926" spans="1:2" x14ac:dyDescent="0.25">
      <c r="A9926" s="118"/>
      <c r="B9926" s="136"/>
    </row>
    <row r="9927" spans="1:2" x14ac:dyDescent="0.25">
      <c r="A9927" s="118"/>
      <c r="B9927" s="136"/>
    </row>
    <row r="9928" spans="1:2" x14ac:dyDescent="0.25">
      <c r="A9928" s="118"/>
      <c r="B9928" s="136"/>
    </row>
    <row r="9929" spans="1:2" x14ac:dyDescent="0.25">
      <c r="A9929" s="118"/>
      <c r="B9929" s="136"/>
    </row>
    <row r="9930" spans="1:2" x14ac:dyDescent="0.25">
      <c r="A9930" s="118"/>
      <c r="B9930" s="136"/>
    </row>
    <row r="9931" spans="1:2" x14ac:dyDescent="0.25">
      <c r="A9931" s="118"/>
      <c r="B9931" s="136"/>
    </row>
    <row r="9932" spans="1:2" x14ac:dyDescent="0.25">
      <c r="A9932" s="118"/>
      <c r="B9932" s="136"/>
    </row>
    <row r="9933" spans="1:2" x14ac:dyDescent="0.25">
      <c r="A9933" s="118"/>
      <c r="B9933" s="136"/>
    </row>
    <row r="9934" spans="1:2" x14ac:dyDescent="0.25">
      <c r="A9934" s="118"/>
      <c r="B9934" s="136"/>
    </row>
    <row r="9935" spans="1:2" x14ac:dyDescent="0.25">
      <c r="A9935" s="118"/>
      <c r="B9935" s="136"/>
    </row>
    <row r="9936" spans="1:2" x14ac:dyDescent="0.25">
      <c r="A9936" s="118"/>
      <c r="B9936" s="136"/>
    </row>
    <row r="9937" spans="1:2" x14ac:dyDescent="0.25">
      <c r="A9937" s="118"/>
      <c r="B9937" s="136"/>
    </row>
    <row r="9938" spans="1:2" x14ac:dyDescent="0.25">
      <c r="A9938" s="118"/>
      <c r="B9938" s="136"/>
    </row>
    <row r="9939" spans="1:2" x14ac:dyDescent="0.25">
      <c r="A9939" s="118"/>
      <c r="B9939" s="136"/>
    </row>
    <row r="9940" spans="1:2" x14ac:dyDescent="0.25">
      <c r="A9940" s="118"/>
      <c r="B9940" s="136"/>
    </row>
    <row r="9941" spans="1:2" x14ac:dyDescent="0.25">
      <c r="A9941" s="118"/>
      <c r="B9941" s="136"/>
    </row>
    <row r="9942" spans="1:2" x14ac:dyDescent="0.25">
      <c r="A9942" s="118"/>
      <c r="B9942" s="136"/>
    </row>
    <row r="9943" spans="1:2" x14ac:dyDescent="0.25">
      <c r="A9943" s="118"/>
      <c r="B9943" s="136"/>
    </row>
    <row r="9944" spans="1:2" x14ac:dyDescent="0.25">
      <c r="A9944" s="118"/>
      <c r="B9944" s="136"/>
    </row>
    <row r="9945" spans="1:2" x14ac:dyDescent="0.25">
      <c r="A9945" s="118"/>
      <c r="B9945" s="136"/>
    </row>
    <row r="9946" spans="1:2" x14ac:dyDescent="0.25">
      <c r="A9946" s="118"/>
      <c r="B9946" s="136"/>
    </row>
    <row r="9947" spans="1:2" x14ac:dyDescent="0.25">
      <c r="A9947" s="118"/>
      <c r="B9947" s="136"/>
    </row>
    <row r="9948" spans="1:2" x14ac:dyDescent="0.25">
      <c r="A9948" s="118"/>
      <c r="B9948" s="136"/>
    </row>
    <row r="9949" spans="1:2" x14ac:dyDescent="0.25">
      <c r="A9949" s="118"/>
      <c r="B9949" s="136"/>
    </row>
    <row r="9950" spans="1:2" x14ac:dyDescent="0.25">
      <c r="A9950" s="118"/>
      <c r="B9950" s="136"/>
    </row>
    <row r="9951" spans="1:2" x14ac:dyDescent="0.25">
      <c r="A9951" s="118"/>
      <c r="B9951" s="136"/>
    </row>
    <row r="9952" spans="1:2" x14ac:dyDescent="0.25">
      <c r="A9952" s="118"/>
      <c r="B9952" s="136"/>
    </row>
    <row r="9953" spans="1:2" x14ac:dyDescent="0.25">
      <c r="A9953" s="118"/>
      <c r="B9953" s="136"/>
    </row>
    <row r="9954" spans="1:2" x14ac:dyDescent="0.25">
      <c r="A9954" s="118"/>
      <c r="B9954" s="136"/>
    </row>
    <row r="9955" spans="1:2" x14ac:dyDescent="0.25">
      <c r="A9955" s="118"/>
      <c r="B9955" s="136"/>
    </row>
    <row r="9956" spans="1:2" x14ac:dyDescent="0.25">
      <c r="A9956" s="118"/>
      <c r="B9956" s="136"/>
    </row>
    <row r="9957" spans="1:2" x14ac:dyDescent="0.25">
      <c r="A9957" s="118"/>
      <c r="B9957" s="136"/>
    </row>
    <row r="9958" spans="1:2" x14ac:dyDescent="0.25">
      <c r="A9958" s="118"/>
      <c r="B9958" s="136"/>
    </row>
    <row r="9959" spans="1:2" x14ac:dyDescent="0.25">
      <c r="A9959" s="118"/>
      <c r="B9959" s="136"/>
    </row>
    <row r="9960" spans="1:2" x14ac:dyDescent="0.25">
      <c r="A9960" s="118"/>
      <c r="B9960" s="136"/>
    </row>
    <row r="9961" spans="1:2" x14ac:dyDescent="0.25">
      <c r="A9961" s="118"/>
      <c r="B9961" s="136"/>
    </row>
    <row r="9962" spans="1:2" x14ac:dyDescent="0.25">
      <c r="A9962" s="118"/>
      <c r="B9962" s="136"/>
    </row>
    <row r="9963" spans="1:2" x14ac:dyDescent="0.25">
      <c r="A9963" s="118"/>
      <c r="B9963" s="136"/>
    </row>
    <row r="9964" spans="1:2" x14ac:dyDescent="0.25">
      <c r="A9964" s="118"/>
      <c r="B9964" s="136"/>
    </row>
    <row r="9965" spans="1:2" x14ac:dyDescent="0.25">
      <c r="A9965" s="118"/>
      <c r="B9965" s="136"/>
    </row>
    <row r="9966" spans="1:2" x14ac:dyDescent="0.25">
      <c r="A9966" s="118"/>
      <c r="B9966" s="136"/>
    </row>
    <row r="9967" spans="1:2" x14ac:dyDescent="0.25">
      <c r="A9967" s="118"/>
      <c r="B9967" s="136"/>
    </row>
    <row r="9968" spans="1:2" x14ac:dyDescent="0.25">
      <c r="A9968" s="118"/>
      <c r="B9968" s="136"/>
    </row>
    <row r="9969" spans="1:2" x14ac:dyDescent="0.25">
      <c r="A9969" s="118"/>
      <c r="B9969" s="136"/>
    </row>
    <row r="9970" spans="1:2" x14ac:dyDescent="0.25">
      <c r="A9970" s="118"/>
      <c r="B9970" s="136"/>
    </row>
    <row r="9971" spans="1:2" x14ac:dyDescent="0.25">
      <c r="A9971" s="118"/>
      <c r="B9971" s="136"/>
    </row>
    <row r="9972" spans="1:2" x14ac:dyDescent="0.25">
      <c r="A9972" s="118"/>
      <c r="B9972" s="136"/>
    </row>
    <row r="9973" spans="1:2" x14ac:dyDescent="0.25">
      <c r="A9973" s="118"/>
      <c r="B9973" s="136"/>
    </row>
    <row r="9974" spans="1:2" x14ac:dyDescent="0.25">
      <c r="A9974" s="118"/>
      <c r="B9974" s="136"/>
    </row>
    <row r="9975" spans="1:2" x14ac:dyDescent="0.25">
      <c r="A9975" s="118"/>
      <c r="B9975" s="136"/>
    </row>
    <row r="9976" spans="1:2" x14ac:dyDescent="0.25">
      <c r="A9976" s="118"/>
      <c r="B9976" s="136"/>
    </row>
    <row r="9977" spans="1:2" x14ac:dyDescent="0.25">
      <c r="A9977" s="118"/>
      <c r="B9977" s="136"/>
    </row>
    <row r="9978" spans="1:2" x14ac:dyDescent="0.25">
      <c r="A9978" s="118"/>
      <c r="B9978" s="136"/>
    </row>
    <row r="9979" spans="1:2" x14ac:dyDescent="0.25">
      <c r="A9979" s="118"/>
      <c r="B9979" s="136"/>
    </row>
    <row r="9980" spans="1:2" x14ac:dyDescent="0.25">
      <c r="A9980" s="118"/>
      <c r="B9980" s="136"/>
    </row>
    <row r="9981" spans="1:2" x14ac:dyDescent="0.25">
      <c r="A9981" s="118"/>
      <c r="B9981" s="136"/>
    </row>
    <row r="9982" spans="1:2" x14ac:dyDescent="0.25">
      <c r="A9982" s="118"/>
      <c r="B9982" s="136"/>
    </row>
    <row r="9983" spans="1:2" x14ac:dyDescent="0.25">
      <c r="A9983" s="118"/>
      <c r="B9983" s="136"/>
    </row>
    <row r="9984" spans="1:2" x14ac:dyDescent="0.25">
      <c r="A9984" s="118"/>
      <c r="B9984" s="136"/>
    </row>
    <row r="9985" spans="1:2" x14ac:dyDescent="0.25">
      <c r="A9985" s="118"/>
      <c r="B9985" s="136"/>
    </row>
    <row r="9986" spans="1:2" x14ac:dyDescent="0.25">
      <c r="A9986" s="118"/>
      <c r="B9986" s="136"/>
    </row>
    <row r="9987" spans="1:2" x14ac:dyDescent="0.25">
      <c r="A9987" s="118"/>
      <c r="B9987" s="136"/>
    </row>
    <row r="9988" spans="1:2" x14ac:dyDescent="0.25">
      <c r="A9988" s="118"/>
      <c r="B9988" s="136"/>
    </row>
    <row r="9989" spans="1:2" x14ac:dyDescent="0.25">
      <c r="A9989" s="118"/>
      <c r="B9989" s="136"/>
    </row>
    <row r="9990" spans="1:2" x14ac:dyDescent="0.25">
      <c r="A9990" s="118"/>
      <c r="B9990" s="136"/>
    </row>
    <row r="9991" spans="1:2" x14ac:dyDescent="0.25">
      <c r="A9991" s="118"/>
      <c r="B9991" s="136"/>
    </row>
    <row r="9992" spans="1:2" x14ac:dyDescent="0.25">
      <c r="A9992" s="118"/>
      <c r="B9992" s="136"/>
    </row>
    <row r="9993" spans="1:2" x14ac:dyDescent="0.25">
      <c r="A9993" s="118"/>
      <c r="B9993" s="136"/>
    </row>
    <row r="9994" spans="1:2" x14ac:dyDescent="0.25">
      <c r="A9994" s="118"/>
      <c r="B9994" s="136"/>
    </row>
    <row r="9995" spans="1:2" x14ac:dyDescent="0.25">
      <c r="A9995" s="118"/>
      <c r="B9995" s="136"/>
    </row>
    <row r="9996" spans="1:2" x14ac:dyDescent="0.25">
      <c r="A9996" s="118"/>
      <c r="B9996" s="136"/>
    </row>
    <row r="9997" spans="1:2" x14ac:dyDescent="0.25">
      <c r="A9997" s="118"/>
      <c r="B9997" s="136"/>
    </row>
    <row r="9998" spans="1:2" x14ac:dyDescent="0.25">
      <c r="A9998" s="118"/>
      <c r="B9998" s="136"/>
    </row>
    <row r="9999" spans="1:2" x14ac:dyDescent="0.25">
      <c r="A9999" s="118"/>
      <c r="B9999" s="136"/>
    </row>
    <row r="10000" spans="1:2" x14ac:dyDescent="0.25">
      <c r="A10000" s="118"/>
      <c r="B10000" s="136"/>
    </row>
    <row r="10001" spans="1:2" x14ac:dyDescent="0.25">
      <c r="A10001" s="118"/>
      <c r="B10001" s="136"/>
    </row>
    <row r="10002" spans="1:2" x14ac:dyDescent="0.25">
      <c r="A10002" s="118"/>
      <c r="B10002" s="136"/>
    </row>
    <row r="10003" spans="1:2" x14ac:dyDescent="0.25">
      <c r="A10003" s="118"/>
      <c r="B10003" s="136"/>
    </row>
    <row r="10004" spans="1:2" x14ac:dyDescent="0.25">
      <c r="A10004" s="118"/>
      <c r="B10004" s="136"/>
    </row>
    <row r="10005" spans="1:2" x14ac:dyDescent="0.25">
      <c r="A10005" s="118"/>
      <c r="B10005" s="136"/>
    </row>
    <row r="10006" spans="1:2" x14ac:dyDescent="0.25">
      <c r="A10006" s="118"/>
      <c r="B10006" s="136"/>
    </row>
    <row r="10007" spans="1:2" x14ac:dyDescent="0.25">
      <c r="A10007" s="118"/>
      <c r="B10007" s="136"/>
    </row>
    <row r="10008" spans="1:2" x14ac:dyDescent="0.25">
      <c r="A10008" s="118"/>
      <c r="B10008" s="136"/>
    </row>
    <row r="10009" spans="1:2" x14ac:dyDescent="0.25">
      <c r="A10009" s="118"/>
      <c r="B10009" s="136"/>
    </row>
    <row r="10010" spans="1:2" x14ac:dyDescent="0.25">
      <c r="A10010" s="118"/>
      <c r="B10010" s="136"/>
    </row>
    <row r="10011" spans="1:2" x14ac:dyDescent="0.25">
      <c r="A10011" s="118"/>
      <c r="B10011" s="136"/>
    </row>
    <row r="10012" spans="1:2" x14ac:dyDescent="0.25">
      <c r="A10012" s="118"/>
      <c r="B10012" s="136"/>
    </row>
    <row r="10013" spans="1:2" x14ac:dyDescent="0.25">
      <c r="A10013" s="118"/>
      <c r="B10013" s="136"/>
    </row>
    <row r="10014" spans="1:2" x14ac:dyDescent="0.25">
      <c r="A10014" s="118"/>
      <c r="B10014" s="136"/>
    </row>
    <row r="10015" spans="1:2" x14ac:dyDescent="0.25">
      <c r="A10015" s="118"/>
      <c r="B10015" s="136"/>
    </row>
    <row r="10016" spans="1:2" x14ac:dyDescent="0.25">
      <c r="A10016" s="118"/>
      <c r="B10016" s="136"/>
    </row>
    <row r="10017" spans="1:2" x14ac:dyDescent="0.25">
      <c r="A10017" s="118"/>
      <c r="B10017" s="136"/>
    </row>
    <row r="10018" spans="1:2" x14ac:dyDescent="0.25">
      <c r="A10018" s="118"/>
      <c r="B10018" s="136"/>
    </row>
    <row r="10019" spans="1:2" x14ac:dyDescent="0.25">
      <c r="A10019" s="118"/>
      <c r="B10019" s="136"/>
    </row>
    <row r="10020" spans="1:2" x14ac:dyDescent="0.25">
      <c r="A10020" s="118"/>
      <c r="B10020" s="136"/>
    </row>
    <row r="10021" spans="1:2" x14ac:dyDescent="0.25">
      <c r="A10021" s="118"/>
      <c r="B10021" s="136"/>
    </row>
    <row r="10022" spans="1:2" x14ac:dyDescent="0.25">
      <c r="A10022" s="118"/>
      <c r="B10022" s="136"/>
    </row>
    <row r="10023" spans="1:2" x14ac:dyDescent="0.25">
      <c r="A10023" s="118"/>
      <c r="B10023" s="136"/>
    </row>
    <row r="10024" spans="1:2" x14ac:dyDescent="0.25">
      <c r="A10024" s="118"/>
      <c r="B10024" s="136"/>
    </row>
    <row r="10025" spans="1:2" x14ac:dyDescent="0.25">
      <c r="A10025" s="118"/>
      <c r="B10025" s="136"/>
    </row>
    <row r="10026" spans="1:2" x14ac:dyDescent="0.25">
      <c r="A10026" s="118"/>
      <c r="B10026" s="136"/>
    </row>
    <row r="10027" spans="1:2" x14ac:dyDescent="0.25">
      <c r="A10027" s="118"/>
      <c r="B10027" s="136"/>
    </row>
    <row r="10028" spans="1:2" x14ac:dyDescent="0.25">
      <c r="A10028" s="118"/>
      <c r="B10028" s="136"/>
    </row>
    <row r="10029" spans="1:2" x14ac:dyDescent="0.25">
      <c r="A10029" s="118"/>
      <c r="B10029" s="136"/>
    </row>
    <row r="10030" spans="1:2" x14ac:dyDescent="0.25">
      <c r="A10030" s="118"/>
      <c r="B10030" s="136"/>
    </row>
    <row r="10031" spans="1:2" x14ac:dyDescent="0.25">
      <c r="A10031" s="118"/>
      <c r="B10031" s="136"/>
    </row>
    <row r="10032" spans="1:2" x14ac:dyDescent="0.25">
      <c r="A10032" s="118"/>
      <c r="B10032" s="136"/>
    </row>
    <row r="10033" spans="1:2" x14ac:dyDescent="0.25">
      <c r="A10033" s="118"/>
      <c r="B10033" s="136"/>
    </row>
    <row r="10034" spans="1:2" x14ac:dyDescent="0.25">
      <c r="A10034" s="118"/>
      <c r="B10034" s="136"/>
    </row>
    <row r="10035" spans="1:2" x14ac:dyDescent="0.25">
      <c r="A10035" s="118"/>
      <c r="B10035" s="136"/>
    </row>
    <row r="10036" spans="1:2" x14ac:dyDescent="0.25">
      <c r="A10036" s="118"/>
      <c r="B10036" s="136"/>
    </row>
    <row r="10037" spans="1:2" x14ac:dyDescent="0.25">
      <c r="A10037" s="118"/>
      <c r="B10037" s="136"/>
    </row>
    <row r="10038" spans="1:2" x14ac:dyDescent="0.25">
      <c r="A10038" s="118"/>
      <c r="B10038" s="136"/>
    </row>
    <row r="10039" spans="1:2" x14ac:dyDescent="0.25">
      <c r="A10039" s="118"/>
      <c r="B10039" s="136"/>
    </row>
    <row r="10040" spans="1:2" x14ac:dyDescent="0.25">
      <c r="A10040" s="118"/>
      <c r="B10040" s="136"/>
    </row>
    <row r="10041" spans="1:2" x14ac:dyDescent="0.25">
      <c r="A10041" s="118"/>
      <c r="B10041" s="136"/>
    </row>
    <row r="10042" spans="1:2" x14ac:dyDescent="0.25">
      <c r="A10042" s="118"/>
      <c r="B10042" s="136"/>
    </row>
    <row r="10043" spans="1:2" x14ac:dyDescent="0.25">
      <c r="A10043" s="118"/>
      <c r="B10043" s="136"/>
    </row>
    <row r="10044" spans="1:2" x14ac:dyDescent="0.25">
      <c r="A10044" s="118"/>
      <c r="B10044" s="136"/>
    </row>
    <row r="10045" spans="1:2" x14ac:dyDescent="0.25">
      <c r="A10045" s="118"/>
      <c r="B10045" s="136"/>
    </row>
    <row r="10046" spans="1:2" x14ac:dyDescent="0.25">
      <c r="A10046" s="118"/>
      <c r="B10046" s="136"/>
    </row>
    <row r="10047" spans="1:2" x14ac:dyDescent="0.25">
      <c r="A10047" s="118"/>
      <c r="B10047" s="136"/>
    </row>
    <row r="10048" spans="1:2" x14ac:dyDescent="0.25">
      <c r="A10048" s="118"/>
      <c r="B10048" s="136"/>
    </row>
    <row r="10049" spans="1:2" x14ac:dyDescent="0.25">
      <c r="A10049" s="118"/>
      <c r="B10049" s="136"/>
    </row>
    <row r="10050" spans="1:2" x14ac:dyDescent="0.25">
      <c r="A10050" s="118"/>
      <c r="B10050" s="136"/>
    </row>
    <row r="10051" spans="1:2" x14ac:dyDescent="0.25">
      <c r="A10051" s="118"/>
      <c r="B10051" s="136"/>
    </row>
    <row r="10052" spans="1:2" x14ac:dyDescent="0.25">
      <c r="A10052" s="118"/>
      <c r="B10052" s="136"/>
    </row>
    <row r="10053" spans="1:2" x14ac:dyDescent="0.25">
      <c r="A10053" s="118"/>
      <c r="B10053" s="136"/>
    </row>
    <row r="10054" spans="1:2" x14ac:dyDescent="0.25">
      <c r="A10054" s="118"/>
      <c r="B10054" s="136"/>
    </row>
    <row r="10055" spans="1:2" x14ac:dyDescent="0.25">
      <c r="A10055" s="118"/>
      <c r="B10055" s="136"/>
    </row>
    <row r="10056" spans="1:2" x14ac:dyDescent="0.25">
      <c r="A10056" s="118"/>
      <c r="B10056" s="136"/>
    </row>
    <row r="10057" spans="1:2" x14ac:dyDescent="0.25">
      <c r="A10057" s="118"/>
      <c r="B10057" s="136"/>
    </row>
    <row r="10058" spans="1:2" x14ac:dyDescent="0.25">
      <c r="A10058" s="118"/>
      <c r="B10058" s="136"/>
    </row>
    <row r="10059" spans="1:2" x14ac:dyDescent="0.25">
      <c r="A10059" s="118"/>
      <c r="B10059" s="136"/>
    </row>
    <row r="10060" spans="1:2" x14ac:dyDescent="0.25">
      <c r="A10060" s="118"/>
      <c r="B10060" s="136"/>
    </row>
    <row r="10061" spans="1:2" x14ac:dyDescent="0.25">
      <c r="A10061" s="118"/>
      <c r="B10061" s="136"/>
    </row>
    <row r="10062" spans="1:2" x14ac:dyDescent="0.25">
      <c r="A10062" s="118"/>
      <c r="B10062" s="136"/>
    </row>
    <row r="10063" spans="1:2" x14ac:dyDescent="0.25">
      <c r="A10063" s="118"/>
      <c r="B10063" s="136"/>
    </row>
    <row r="10064" spans="1:2" x14ac:dyDescent="0.25">
      <c r="A10064" s="118"/>
      <c r="B10064" s="136"/>
    </row>
    <row r="10065" spans="1:2" x14ac:dyDescent="0.25">
      <c r="A10065" s="118"/>
      <c r="B10065" s="136"/>
    </row>
    <row r="10066" spans="1:2" x14ac:dyDescent="0.25">
      <c r="A10066" s="118"/>
      <c r="B10066" s="136"/>
    </row>
    <row r="10067" spans="1:2" x14ac:dyDescent="0.25">
      <c r="A10067" s="118"/>
      <c r="B10067" s="136"/>
    </row>
    <row r="10068" spans="1:2" x14ac:dyDescent="0.25">
      <c r="A10068" s="118"/>
      <c r="B10068" s="136"/>
    </row>
    <row r="10069" spans="1:2" x14ac:dyDescent="0.25">
      <c r="A10069" s="118"/>
      <c r="B10069" s="136"/>
    </row>
    <row r="10070" spans="1:2" x14ac:dyDescent="0.25">
      <c r="A10070" s="118"/>
      <c r="B10070" s="136"/>
    </row>
    <row r="10071" spans="1:2" x14ac:dyDescent="0.25">
      <c r="A10071" s="118"/>
      <c r="B10071" s="136"/>
    </row>
    <row r="10072" spans="1:2" x14ac:dyDescent="0.25">
      <c r="A10072" s="118"/>
      <c r="B10072" s="136"/>
    </row>
    <row r="10073" spans="1:2" x14ac:dyDescent="0.25">
      <c r="A10073" s="118"/>
      <c r="B10073" s="136"/>
    </row>
    <row r="10074" spans="1:2" x14ac:dyDescent="0.25">
      <c r="A10074" s="118"/>
      <c r="B10074" s="136"/>
    </row>
    <row r="10075" spans="1:2" x14ac:dyDescent="0.25">
      <c r="A10075" s="118"/>
      <c r="B10075" s="136"/>
    </row>
    <row r="10076" spans="1:2" x14ac:dyDescent="0.25">
      <c r="A10076" s="118"/>
      <c r="B10076" s="136"/>
    </row>
    <row r="10077" spans="1:2" x14ac:dyDescent="0.25">
      <c r="A10077" s="118"/>
      <c r="B10077" s="136"/>
    </row>
    <row r="10078" spans="1:2" x14ac:dyDescent="0.25">
      <c r="A10078" s="118"/>
      <c r="B10078" s="136"/>
    </row>
    <row r="10079" spans="1:2" x14ac:dyDescent="0.25">
      <c r="A10079" s="118"/>
      <c r="B10079" s="136"/>
    </row>
    <row r="10080" spans="1:2" x14ac:dyDescent="0.25">
      <c r="A10080" s="118"/>
      <c r="B10080" s="136"/>
    </row>
    <row r="10081" spans="1:2" x14ac:dyDescent="0.25">
      <c r="A10081" s="118"/>
      <c r="B10081" s="136"/>
    </row>
    <row r="10082" spans="1:2" x14ac:dyDescent="0.25">
      <c r="A10082" s="118"/>
      <c r="B10082" s="136"/>
    </row>
    <row r="10083" spans="1:2" x14ac:dyDescent="0.25">
      <c r="A10083" s="118"/>
      <c r="B10083" s="136"/>
    </row>
    <row r="10084" spans="1:2" x14ac:dyDescent="0.25">
      <c r="A10084" s="118"/>
      <c r="B10084" s="136"/>
    </row>
    <row r="10085" spans="1:2" x14ac:dyDescent="0.25">
      <c r="A10085" s="118"/>
      <c r="B10085" s="136"/>
    </row>
    <row r="10086" spans="1:2" x14ac:dyDescent="0.25">
      <c r="A10086" s="118"/>
      <c r="B10086" s="136"/>
    </row>
    <row r="10087" spans="1:2" x14ac:dyDescent="0.25">
      <c r="A10087" s="118"/>
      <c r="B10087" s="136"/>
    </row>
    <row r="10088" spans="1:2" x14ac:dyDescent="0.25">
      <c r="A10088" s="118"/>
      <c r="B10088" s="136"/>
    </row>
    <row r="10089" spans="1:2" x14ac:dyDescent="0.25">
      <c r="A10089" s="118"/>
      <c r="B10089" s="136"/>
    </row>
    <row r="10090" spans="1:2" x14ac:dyDescent="0.25">
      <c r="A10090" s="118"/>
      <c r="B10090" s="136"/>
    </row>
    <row r="10091" spans="1:2" x14ac:dyDescent="0.25">
      <c r="A10091" s="118"/>
      <c r="B10091" s="136"/>
    </row>
    <row r="10092" spans="1:2" x14ac:dyDescent="0.25">
      <c r="A10092" s="118"/>
      <c r="B10092" s="136"/>
    </row>
    <row r="10093" spans="1:2" x14ac:dyDescent="0.25">
      <c r="A10093" s="118"/>
      <c r="B10093" s="136"/>
    </row>
    <row r="10094" spans="1:2" x14ac:dyDescent="0.25">
      <c r="A10094" s="118"/>
      <c r="B10094" s="136"/>
    </row>
    <row r="10095" spans="1:2" x14ac:dyDescent="0.25">
      <c r="A10095" s="118"/>
      <c r="B10095" s="136"/>
    </row>
    <row r="10096" spans="1:2" x14ac:dyDescent="0.25">
      <c r="A10096" s="118"/>
      <c r="B10096" s="136"/>
    </row>
    <row r="10097" spans="1:2" x14ac:dyDescent="0.25">
      <c r="A10097" s="118"/>
      <c r="B10097" s="136"/>
    </row>
    <row r="10098" spans="1:2" x14ac:dyDescent="0.25">
      <c r="A10098" s="118"/>
      <c r="B10098" s="136"/>
    </row>
    <row r="10099" spans="1:2" x14ac:dyDescent="0.25">
      <c r="A10099" s="118"/>
      <c r="B10099" s="136"/>
    </row>
    <row r="10100" spans="1:2" x14ac:dyDescent="0.25">
      <c r="A10100" s="118"/>
      <c r="B10100" s="136"/>
    </row>
    <row r="10101" spans="1:2" x14ac:dyDescent="0.25">
      <c r="A10101" s="118"/>
      <c r="B10101" s="136"/>
    </row>
    <row r="10102" spans="1:2" x14ac:dyDescent="0.25">
      <c r="A10102" s="118"/>
      <c r="B10102" s="136"/>
    </row>
    <row r="10103" spans="1:2" x14ac:dyDescent="0.25">
      <c r="A10103" s="118"/>
      <c r="B10103" s="136"/>
    </row>
    <row r="10104" spans="1:2" x14ac:dyDescent="0.25">
      <c r="A10104" s="118"/>
      <c r="B10104" s="136"/>
    </row>
    <row r="10105" spans="1:2" x14ac:dyDescent="0.25">
      <c r="A10105" s="118"/>
      <c r="B10105" s="136"/>
    </row>
    <row r="10106" spans="1:2" x14ac:dyDescent="0.25">
      <c r="A10106" s="118"/>
      <c r="B10106" s="136"/>
    </row>
    <row r="10107" spans="1:2" x14ac:dyDescent="0.25">
      <c r="A10107" s="118"/>
      <c r="B10107" s="136"/>
    </row>
    <row r="10108" spans="1:2" x14ac:dyDescent="0.25">
      <c r="A10108" s="118"/>
      <c r="B10108" s="136"/>
    </row>
    <row r="10109" spans="1:2" x14ac:dyDescent="0.25">
      <c r="A10109" s="118"/>
      <c r="B10109" s="136"/>
    </row>
    <row r="10110" spans="1:2" x14ac:dyDescent="0.25">
      <c r="A10110" s="118"/>
      <c r="B10110" s="136"/>
    </row>
    <row r="10111" spans="1:2" x14ac:dyDescent="0.25">
      <c r="A10111" s="118"/>
      <c r="B10111" s="136"/>
    </row>
    <row r="10112" spans="1:2" x14ac:dyDescent="0.25">
      <c r="A10112" s="118"/>
      <c r="B10112" s="136"/>
    </row>
    <row r="10113" spans="1:2" x14ac:dyDescent="0.25">
      <c r="A10113" s="118"/>
      <c r="B10113" s="136"/>
    </row>
    <row r="10114" spans="1:2" x14ac:dyDescent="0.25">
      <c r="A10114" s="118"/>
      <c r="B10114" s="136"/>
    </row>
    <row r="10115" spans="1:2" x14ac:dyDescent="0.25">
      <c r="A10115" s="118"/>
      <c r="B10115" s="136"/>
    </row>
    <row r="10116" spans="1:2" x14ac:dyDescent="0.25">
      <c r="A10116" s="118"/>
      <c r="B10116" s="136"/>
    </row>
    <row r="10117" spans="1:2" x14ac:dyDescent="0.25">
      <c r="A10117" s="118"/>
      <c r="B10117" s="136"/>
    </row>
    <row r="10118" spans="1:2" x14ac:dyDescent="0.25">
      <c r="A10118" s="118"/>
      <c r="B10118" s="136"/>
    </row>
    <row r="10119" spans="1:2" x14ac:dyDescent="0.25">
      <c r="A10119" s="118"/>
      <c r="B10119" s="136"/>
    </row>
    <row r="10120" spans="1:2" x14ac:dyDescent="0.25">
      <c r="A10120" s="118"/>
      <c r="B10120" s="136"/>
    </row>
    <row r="10121" spans="1:2" x14ac:dyDescent="0.25">
      <c r="A10121" s="118"/>
      <c r="B10121" s="136"/>
    </row>
    <row r="10122" spans="1:2" x14ac:dyDescent="0.25">
      <c r="A10122" s="118"/>
      <c r="B10122" s="136"/>
    </row>
    <row r="10123" spans="1:2" x14ac:dyDescent="0.25">
      <c r="A10123" s="118"/>
      <c r="B10123" s="136"/>
    </row>
    <row r="10124" spans="1:2" x14ac:dyDescent="0.25">
      <c r="A10124" s="118"/>
      <c r="B10124" s="136"/>
    </row>
    <row r="10125" spans="1:2" x14ac:dyDescent="0.25">
      <c r="A10125" s="118"/>
      <c r="B10125" s="136"/>
    </row>
    <row r="10126" spans="1:2" x14ac:dyDescent="0.25">
      <c r="A10126" s="118"/>
      <c r="B10126" s="136"/>
    </row>
    <row r="10127" spans="1:2" x14ac:dyDescent="0.25">
      <c r="A10127" s="118"/>
      <c r="B10127" s="136"/>
    </row>
    <row r="10128" spans="1:2" x14ac:dyDescent="0.25">
      <c r="A10128" s="118"/>
      <c r="B10128" s="136"/>
    </row>
    <row r="10129" spans="1:2" x14ac:dyDescent="0.25">
      <c r="A10129" s="118"/>
      <c r="B10129" s="136"/>
    </row>
    <row r="10130" spans="1:2" x14ac:dyDescent="0.25">
      <c r="A10130" s="118"/>
      <c r="B10130" s="136"/>
    </row>
    <row r="10131" spans="1:2" x14ac:dyDescent="0.25">
      <c r="A10131" s="118"/>
      <c r="B10131" s="136"/>
    </row>
    <row r="10132" spans="1:2" x14ac:dyDescent="0.25">
      <c r="A10132" s="118"/>
      <c r="B10132" s="136"/>
    </row>
    <row r="10133" spans="1:2" x14ac:dyDescent="0.25">
      <c r="A10133" s="118"/>
      <c r="B10133" s="136"/>
    </row>
    <row r="10134" spans="1:2" x14ac:dyDescent="0.25">
      <c r="A10134" s="118"/>
      <c r="B10134" s="136"/>
    </row>
    <row r="10135" spans="1:2" x14ac:dyDescent="0.25">
      <c r="A10135" s="118"/>
      <c r="B10135" s="136"/>
    </row>
    <row r="10136" spans="1:2" x14ac:dyDescent="0.25">
      <c r="A10136" s="118"/>
      <c r="B10136" s="136"/>
    </row>
    <row r="10137" spans="1:2" x14ac:dyDescent="0.25">
      <c r="A10137" s="118"/>
      <c r="B10137" s="136"/>
    </row>
    <row r="10138" spans="1:2" x14ac:dyDescent="0.25">
      <c r="A10138" s="118"/>
      <c r="B10138" s="136"/>
    </row>
    <row r="10139" spans="1:2" x14ac:dyDescent="0.25">
      <c r="A10139" s="118"/>
      <c r="B10139" s="136"/>
    </row>
    <row r="10140" spans="1:2" x14ac:dyDescent="0.25">
      <c r="A10140" s="118"/>
      <c r="B10140" s="136"/>
    </row>
    <row r="10141" spans="1:2" x14ac:dyDescent="0.25">
      <c r="A10141" s="118"/>
      <c r="B10141" s="136"/>
    </row>
    <row r="10142" spans="1:2" x14ac:dyDescent="0.25">
      <c r="A10142" s="118"/>
      <c r="B10142" s="136"/>
    </row>
    <row r="10143" spans="1:2" x14ac:dyDescent="0.25">
      <c r="A10143" s="118"/>
      <c r="B10143" s="136"/>
    </row>
    <row r="10144" spans="1:2" x14ac:dyDescent="0.25">
      <c r="A10144" s="118"/>
      <c r="B10144" s="136"/>
    </row>
    <row r="10145" spans="1:2" x14ac:dyDescent="0.25">
      <c r="A10145" s="118"/>
      <c r="B10145" s="136"/>
    </row>
    <row r="10146" spans="1:2" x14ac:dyDescent="0.25">
      <c r="A10146" s="118"/>
      <c r="B10146" s="136"/>
    </row>
    <row r="10147" spans="1:2" x14ac:dyDescent="0.25">
      <c r="A10147" s="118"/>
      <c r="B10147" s="136"/>
    </row>
    <row r="10148" spans="1:2" x14ac:dyDescent="0.25">
      <c r="A10148" s="118"/>
      <c r="B10148" s="136"/>
    </row>
    <row r="10149" spans="1:2" x14ac:dyDescent="0.25">
      <c r="A10149" s="118"/>
      <c r="B10149" s="136"/>
    </row>
    <row r="10150" spans="1:2" x14ac:dyDescent="0.25">
      <c r="A10150" s="118"/>
      <c r="B10150" s="136"/>
    </row>
    <row r="10151" spans="1:2" x14ac:dyDescent="0.25">
      <c r="A10151" s="118"/>
      <c r="B10151" s="136"/>
    </row>
    <row r="10152" spans="1:2" x14ac:dyDescent="0.25">
      <c r="A10152" s="118"/>
      <c r="B10152" s="136"/>
    </row>
    <row r="10153" spans="1:2" x14ac:dyDescent="0.25">
      <c r="A10153" s="118"/>
      <c r="B10153" s="136"/>
    </row>
    <row r="10154" spans="1:2" x14ac:dyDescent="0.25">
      <c r="A10154" s="118"/>
      <c r="B10154" s="136"/>
    </row>
    <row r="10155" spans="1:2" x14ac:dyDescent="0.25">
      <c r="A10155" s="118"/>
      <c r="B10155" s="136"/>
    </row>
    <row r="10156" spans="1:2" x14ac:dyDescent="0.25">
      <c r="A10156" s="118"/>
      <c r="B10156" s="136"/>
    </row>
    <row r="10157" spans="1:2" x14ac:dyDescent="0.25">
      <c r="A10157" s="118"/>
      <c r="B10157" s="136"/>
    </row>
    <row r="10158" spans="1:2" x14ac:dyDescent="0.25">
      <c r="A10158" s="118"/>
      <c r="B10158" s="136"/>
    </row>
    <row r="10159" spans="1:2" x14ac:dyDescent="0.25">
      <c r="A10159" s="118"/>
      <c r="B10159" s="136"/>
    </row>
    <row r="10160" spans="1:2" x14ac:dyDescent="0.25">
      <c r="A10160" s="118"/>
      <c r="B10160" s="136"/>
    </row>
    <row r="10161" spans="1:2" x14ac:dyDescent="0.25">
      <c r="A10161" s="118"/>
      <c r="B10161" s="136"/>
    </row>
    <row r="10162" spans="1:2" x14ac:dyDescent="0.25">
      <c r="A10162" s="118"/>
      <c r="B10162" s="136"/>
    </row>
    <row r="10163" spans="1:2" x14ac:dyDescent="0.25">
      <c r="A10163" s="118"/>
      <c r="B10163" s="136"/>
    </row>
    <row r="10164" spans="1:2" x14ac:dyDescent="0.25">
      <c r="A10164" s="118"/>
      <c r="B10164" s="136"/>
    </row>
    <row r="10165" spans="1:2" x14ac:dyDescent="0.25">
      <c r="A10165" s="118"/>
      <c r="B10165" s="136"/>
    </row>
    <row r="10166" spans="1:2" x14ac:dyDescent="0.25">
      <c r="A10166" s="118"/>
      <c r="B10166" s="136"/>
    </row>
    <row r="10167" spans="1:2" x14ac:dyDescent="0.25">
      <c r="A10167" s="118"/>
      <c r="B10167" s="136"/>
    </row>
    <row r="10168" spans="1:2" x14ac:dyDescent="0.25">
      <c r="A10168" s="118"/>
      <c r="B10168" s="136"/>
    </row>
    <row r="10169" spans="1:2" x14ac:dyDescent="0.25">
      <c r="A10169" s="118"/>
      <c r="B10169" s="136"/>
    </row>
    <row r="10170" spans="1:2" x14ac:dyDescent="0.25">
      <c r="A10170" s="118"/>
      <c r="B10170" s="136"/>
    </row>
    <row r="10171" spans="1:2" x14ac:dyDescent="0.25">
      <c r="A10171" s="118"/>
      <c r="B10171" s="136"/>
    </row>
    <row r="10172" spans="1:2" x14ac:dyDescent="0.25">
      <c r="A10172" s="118"/>
      <c r="B10172" s="136"/>
    </row>
    <row r="10173" spans="1:2" x14ac:dyDescent="0.25">
      <c r="A10173" s="118"/>
      <c r="B10173" s="136"/>
    </row>
    <row r="10174" spans="1:2" x14ac:dyDescent="0.25">
      <c r="A10174" s="118"/>
      <c r="B10174" s="136"/>
    </row>
    <row r="10175" spans="1:2" x14ac:dyDescent="0.25">
      <c r="A10175" s="118"/>
      <c r="B10175" s="136"/>
    </row>
    <row r="10176" spans="1:2" x14ac:dyDescent="0.25">
      <c r="A10176" s="118"/>
      <c r="B10176" s="136"/>
    </row>
    <row r="10177" spans="1:2" x14ac:dyDescent="0.25">
      <c r="A10177" s="118"/>
      <c r="B10177" s="136"/>
    </row>
    <row r="10178" spans="1:2" x14ac:dyDescent="0.25">
      <c r="A10178" s="118"/>
      <c r="B10178" s="136"/>
    </row>
    <row r="10179" spans="1:2" x14ac:dyDescent="0.25">
      <c r="A10179" s="118"/>
      <c r="B10179" s="136"/>
    </row>
    <row r="10180" spans="1:2" x14ac:dyDescent="0.25">
      <c r="A10180" s="118"/>
      <c r="B10180" s="136"/>
    </row>
    <row r="10181" spans="1:2" x14ac:dyDescent="0.25">
      <c r="A10181" s="118"/>
      <c r="B10181" s="136"/>
    </row>
    <row r="10182" spans="1:2" x14ac:dyDescent="0.25">
      <c r="A10182" s="118"/>
      <c r="B10182" s="136"/>
    </row>
    <row r="10183" spans="1:2" x14ac:dyDescent="0.25">
      <c r="A10183" s="118"/>
      <c r="B10183" s="136"/>
    </row>
    <row r="10184" spans="1:2" x14ac:dyDescent="0.25">
      <c r="A10184" s="118"/>
      <c r="B10184" s="136"/>
    </row>
    <row r="10185" spans="1:2" x14ac:dyDescent="0.25">
      <c r="A10185" s="118"/>
      <c r="B10185" s="136"/>
    </row>
    <row r="10186" spans="1:2" x14ac:dyDescent="0.25">
      <c r="A10186" s="118"/>
      <c r="B10186" s="136"/>
    </row>
    <row r="10187" spans="1:2" x14ac:dyDescent="0.25">
      <c r="A10187" s="118"/>
      <c r="B10187" s="136"/>
    </row>
    <row r="10188" spans="1:2" x14ac:dyDescent="0.25">
      <c r="A10188" s="118"/>
      <c r="B10188" s="136"/>
    </row>
    <row r="10189" spans="1:2" x14ac:dyDescent="0.25">
      <c r="A10189" s="118"/>
      <c r="B10189" s="136"/>
    </row>
    <row r="10190" spans="1:2" x14ac:dyDescent="0.25">
      <c r="A10190" s="118"/>
      <c r="B10190" s="136"/>
    </row>
    <row r="10191" spans="1:2" x14ac:dyDescent="0.25">
      <c r="A10191" s="118"/>
      <c r="B10191" s="136"/>
    </row>
    <row r="10192" spans="1:2" x14ac:dyDescent="0.25">
      <c r="A10192" s="118"/>
      <c r="B10192" s="136"/>
    </row>
    <row r="10193" spans="1:2" x14ac:dyDescent="0.25">
      <c r="A10193" s="118"/>
      <c r="B10193" s="136"/>
    </row>
    <row r="10194" spans="1:2" x14ac:dyDescent="0.25">
      <c r="A10194" s="118"/>
      <c r="B10194" s="136"/>
    </row>
    <row r="10195" spans="1:2" x14ac:dyDescent="0.25">
      <c r="A10195" s="118"/>
      <c r="B10195" s="136"/>
    </row>
    <row r="10196" spans="1:2" x14ac:dyDescent="0.25">
      <c r="A10196" s="118"/>
      <c r="B10196" s="136"/>
    </row>
    <row r="10197" spans="1:2" x14ac:dyDescent="0.25">
      <c r="A10197" s="118"/>
      <c r="B10197" s="136"/>
    </row>
    <row r="10198" spans="1:2" x14ac:dyDescent="0.25">
      <c r="A10198" s="118"/>
      <c r="B10198" s="136"/>
    </row>
    <row r="10199" spans="1:2" x14ac:dyDescent="0.25">
      <c r="A10199" s="118"/>
      <c r="B10199" s="136"/>
    </row>
    <row r="10200" spans="1:2" x14ac:dyDescent="0.25">
      <c r="A10200" s="118"/>
      <c r="B10200" s="136"/>
    </row>
    <row r="10201" spans="1:2" x14ac:dyDescent="0.25">
      <c r="A10201" s="118"/>
      <c r="B10201" s="136"/>
    </row>
    <row r="10202" spans="1:2" x14ac:dyDescent="0.25">
      <c r="A10202" s="118"/>
      <c r="B10202" s="136"/>
    </row>
    <row r="10203" spans="1:2" x14ac:dyDescent="0.25">
      <c r="A10203" s="118"/>
      <c r="B10203" s="136"/>
    </row>
    <row r="10204" spans="1:2" x14ac:dyDescent="0.25">
      <c r="A10204" s="118"/>
      <c r="B10204" s="136"/>
    </row>
    <row r="10205" spans="1:2" x14ac:dyDescent="0.25">
      <c r="A10205" s="118"/>
      <c r="B10205" s="136"/>
    </row>
    <row r="10206" spans="1:2" x14ac:dyDescent="0.25">
      <c r="A10206" s="118"/>
      <c r="B10206" s="136"/>
    </row>
    <row r="10207" spans="1:2" x14ac:dyDescent="0.25">
      <c r="A10207" s="118"/>
      <c r="B10207" s="136"/>
    </row>
    <row r="10208" spans="1:2" x14ac:dyDescent="0.25">
      <c r="A10208" s="118"/>
      <c r="B10208" s="136"/>
    </row>
    <row r="10209" spans="1:2" x14ac:dyDescent="0.25">
      <c r="A10209" s="118"/>
      <c r="B10209" s="136"/>
    </row>
    <row r="10210" spans="1:2" x14ac:dyDescent="0.25">
      <c r="A10210" s="118"/>
      <c r="B10210" s="136"/>
    </row>
    <row r="10211" spans="1:2" x14ac:dyDescent="0.25">
      <c r="A10211" s="118"/>
      <c r="B10211" s="136"/>
    </row>
    <row r="10212" spans="1:2" x14ac:dyDescent="0.25">
      <c r="A10212" s="118"/>
      <c r="B10212" s="136"/>
    </row>
    <row r="10213" spans="1:2" x14ac:dyDescent="0.25">
      <c r="A10213" s="118"/>
      <c r="B10213" s="136"/>
    </row>
    <row r="10214" spans="1:2" x14ac:dyDescent="0.25">
      <c r="A10214" s="118"/>
      <c r="B10214" s="136"/>
    </row>
    <row r="10215" spans="1:2" x14ac:dyDescent="0.25">
      <c r="A10215" s="118"/>
      <c r="B10215" s="136"/>
    </row>
    <row r="10216" spans="1:2" x14ac:dyDescent="0.25">
      <c r="A10216" s="118"/>
      <c r="B10216" s="136"/>
    </row>
    <row r="10217" spans="1:2" x14ac:dyDescent="0.25">
      <c r="A10217" s="118"/>
      <c r="B10217" s="136"/>
    </row>
    <row r="10218" spans="1:2" x14ac:dyDescent="0.25">
      <c r="A10218" s="118"/>
      <c r="B10218" s="136"/>
    </row>
    <row r="10219" spans="1:2" x14ac:dyDescent="0.25">
      <c r="A10219" s="118"/>
      <c r="B10219" s="136"/>
    </row>
    <row r="10220" spans="1:2" x14ac:dyDescent="0.25">
      <c r="A10220" s="118"/>
      <c r="B10220" s="136"/>
    </row>
    <row r="10221" spans="1:2" x14ac:dyDescent="0.25">
      <c r="A10221" s="118"/>
      <c r="B10221" s="136"/>
    </row>
    <row r="10222" spans="1:2" x14ac:dyDescent="0.25">
      <c r="A10222" s="118"/>
      <c r="B10222" s="136"/>
    </row>
    <row r="10223" spans="1:2" x14ac:dyDescent="0.25">
      <c r="A10223" s="118"/>
      <c r="B10223" s="136"/>
    </row>
    <row r="10224" spans="1:2" x14ac:dyDescent="0.25">
      <c r="A10224" s="118"/>
      <c r="B10224" s="136"/>
    </row>
    <row r="10225" spans="1:2" x14ac:dyDescent="0.25">
      <c r="A10225" s="118"/>
      <c r="B10225" s="136"/>
    </row>
    <row r="10226" spans="1:2" x14ac:dyDescent="0.25">
      <c r="A10226" s="118"/>
      <c r="B10226" s="136"/>
    </row>
    <row r="10227" spans="1:2" x14ac:dyDescent="0.25">
      <c r="A10227" s="118"/>
      <c r="B10227" s="136"/>
    </row>
    <row r="10228" spans="1:2" x14ac:dyDescent="0.25">
      <c r="A10228" s="118"/>
      <c r="B10228" s="136"/>
    </row>
    <row r="10229" spans="1:2" x14ac:dyDescent="0.25">
      <c r="A10229" s="118"/>
      <c r="B10229" s="136"/>
    </row>
    <row r="10230" spans="1:2" x14ac:dyDescent="0.25">
      <c r="A10230" s="118"/>
      <c r="B10230" s="136"/>
    </row>
    <row r="10231" spans="1:2" x14ac:dyDescent="0.25">
      <c r="A10231" s="118"/>
      <c r="B10231" s="136"/>
    </row>
    <row r="10232" spans="1:2" x14ac:dyDescent="0.25">
      <c r="A10232" s="118"/>
      <c r="B10232" s="136"/>
    </row>
    <row r="10233" spans="1:2" x14ac:dyDescent="0.25">
      <c r="A10233" s="118"/>
      <c r="B10233" s="136"/>
    </row>
    <row r="10234" spans="1:2" x14ac:dyDescent="0.25">
      <c r="A10234" s="118"/>
      <c r="B10234" s="136"/>
    </row>
    <row r="10235" spans="1:2" x14ac:dyDescent="0.25">
      <c r="A10235" s="118"/>
      <c r="B10235" s="136"/>
    </row>
    <row r="10236" spans="1:2" x14ac:dyDescent="0.25">
      <c r="A10236" s="118"/>
      <c r="B10236" s="136"/>
    </row>
    <row r="10237" spans="1:2" x14ac:dyDescent="0.25">
      <c r="A10237" s="118"/>
      <c r="B10237" s="136"/>
    </row>
    <row r="10238" spans="1:2" x14ac:dyDescent="0.25">
      <c r="A10238" s="118"/>
      <c r="B10238" s="136"/>
    </row>
    <row r="10239" spans="1:2" x14ac:dyDescent="0.25">
      <c r="A10239" s="118"/>
      <c r="B10239" s="136"/>
    </row>
    <row r="10240" spans="1:2" x14ac:dyDescent="0.25">
      <c r="A10240" s="118"/>
      <c r="B10240" s="136"/>
    </row>
    <row r="10241" spans="1:2" x14ac:dyDescent="0.25">
      <c r="A10241" s="118"/>
      <c r="B10241" s="136"/>
    </row>
    <row r="10242" spans="1:2" x14ac:dyDescent="0.25">
      <c r="A10242" s="118"/>
      <c r="B10242" s="136"/>
    </row>
    <row r="10243" spans="1:2" x14ac:dyDescent="0.25">
      <c r="A10243" s="118"/>
      <c r="B10243" s="136"/>
    </row>
    <row r="10244" spans="1:2" x14ac:dyDescent="0.25">
      <c r="A10244" s="118"/>
      <c r="B10244" s="136"/>
    </row>
    <row r="10245" spans="1:2" x14ac:dyDescent="0.25">
      <c r="A10245" s="118"/>
      <c r="B10245" s="136"/>
    </row>
    <row r="10246" spans="1:2" x14ac:dyDescent="0.25">
      <c r="A10246" s="118"/>
      <c r="B10246" s="136"/>
    </row>
    <row r="10247" spans="1:2" x14ac:dyDescent="0.25">
      <c r="A10247" s="118"/>
      <c r="B10247" s="136"/>
    </row>
    <row r="10248" spans="1:2" x14ac:dyDescent="0.25">
      <c r="A10248" s="118"/>
      <c r="B10248" s="136"/>
    </row>
    <row r="10249" spans="1:2" x14ac:dyDescent="0.25">
      <c r="A10249" s="118"/>
      <c r="B10249" s="136"/>
    </row>
    <row r="10250" spans="1:2" x14ac:dyDescent="0.25">
      <c r="A10250" s="118"/>
      <c r="B10250" s="136"/>
    </row>
    <row r="10251" spans="1:2" x14ac:dyDescent="0.25">
      <c r="A10251" s="118"/>
      <c r="B10251" s="136"/>
    </row>
    <row r="10252" spans="1:2" x14ac:dyDescent="0.25">
      <c r="A10252" s="118"/>
      <c r="B10252" s="136"/>
    </row>
    <row r="10253" spans="1:2" x14ac:dyDescent="0.25">
      <c r="A10253" s="118"/>
      <c r="B10253" s="136"/>
    </row>
    <row r="10254" spans="1:2" x14ac:dyDescent="0.25">
      <c r="A10254" s="118"/>
      <c r="B10254" s="136"/>
    </row>
    <row r="10255" spans="1:2" x14ac:dyDescent="0.25">
      <c r="A10255" s="118"/>
      <c r="B10255" s="136"/>
    </row>
    <row r="10256" spans="1:2" x14ac:dyDescent="0.25">
      <c r="A10256" s="118"/>
      <c r="B10256" s="136"/>
    </row>
    <row r="10257" spans="1:2" x14ac:dyDescent="0.25">
      <c r="A10257" s="118"/>
      <c r="B10257" s="136"/>
    </row>
    <row r="10258" spans="1:2" x14ac:dyDescent="0.25">
      <c r="A10258" s="118"/>
      <c r="B10258" s="136"/>
    </row>
    <row r="10259" spans="1:2" x14ac:dyDescent="0.25">
      <c r="A10259" s="118"/>
      <c r="B10259" s="136"/>
    </row>
    <row r="10260" spans="1:2" x14ac:dyDescent="0.25">
      <c r="A10260" s="118"/>
      <c r="B10260" s="136"/>
    </row>
    <row r="10261" spans="1:2" x14ac:dyDescent="0.25">
      <c r="A10261" s="118"/>
      <c r="B10261" s="136"/>
    </row>
    <row r="10262" spans="1:2" x14ac:dyDescent="0.25">
      <c r="A10262" s="118"/>
      <c r="B10262" s="136"/>
    </row>
    <row r="10263" spans="1:2" x14ac:dyDescent="0.25">
      <c r="A10263" s="118"/>
      <c r="B10263" s="136"/>
    </row>
    <row r="10264" spans="1:2" x14ac:dyDescent="0.25">
      <c r="A10264" s="118"/>
      <c r="B10264" s="136"/>
    </row>
    <row r="10265" spans="1:2" x14ac:dyDescent="0.25">
      <c r="A10265" s="118"/>
      <c r="B10265" s="136"/>
    </row>
    <row r="10266" spans="1:2" x14ac:dyDescent="0.25">
      <c r="A10266" s="118"/>
      <c r="B10266" s="136"/>
    </row>
    <row r="10267" spans="1:2" x14ac:dyDescent="0.25">
      <c r="A10267" s="118"/>
      <c r="B10267" s="136"/>
    </row>
    <row r="10268" spans="1:2" x14ac:dyDescent="0.25">
      <c r="A10268" s="118"/>
      <c r="B10268" s="136"/>
    </row>
    <row r="10269" spans="1:2" x14ac:dyDescent="0.25">
      <c r="A10269" s="118"/>
      <c r="B10269" s="136"/>
    </row>
    <row r="10270" spans="1:2" x14ac:dyDescent="0.25">
      <c r="A10270" s="118"/>
      <c r="B10270" s="136"/>
    </row>
    <row r="10271" spans="1:2" x14ac:dyDescent="0.25">
      <c r="A10271" s="118"/>
      <c r="B10271" s="136"/>
    </row>
    <row r="10272" spans="1:2" x14ac:dyDescent="0.25">
      <c r="A10272" s="118"/>
      <c r="B10272" s="136"/>
    </row>
    <row r="10273" spans="1:2" x14ac:dyDescent="0.25">
      <c r="A10273" s="118"/>
      <c r="B10273" s="136"/>
    </row>
    <row r="10274" spans="1:2" x14ac:dyDescent="0.25">
      <c r="A10274" s="118"/>
      <c r="B10274" s="136"/>
    </row>
    <row r="10275" spans="1:2" x14ac:dyDescent="0.25">
      <c r="A10275" s="118"/>
      <c r="B10275" s="136"/>
    </row>
    <row r="10276" spans="1:2" x14ac:dyDescent="0.25">
      <c r="A10276" s="118"/>
      <c r="B10276" s="136"/>
    </row>
    <row r="10277" spans="1:2" x14ac:dyDescent="0.25">
      <c r="A10277" s="118"/>
      <c r="B10277" s="136"/>
    </row>
    <row r="10278" spans="1:2" x14ac:dyDescent="0.25">
      <c r="A10278" s="118"/>
      <c r="B10278" s="136"/>
    </row>
    <row r="10279" spans="1:2" x14ac:dyDescent="0.25">
      <c r="A10279" s="118"/>
      <c r="B10279" s="136"/>
    </row>
    <row r="10280" spans="1:2" x14ac:dyDescent="0.25">
      <c r="A10280" s="118"/>
      <c r="B10280" s="136"/>
    </row>
    <row r="10281" spans="1:2" x14ac:dyDescent="0.25">
      <c r="A10281" s="118"/>
      <c r="B10281" s="136"/>
    </row>
    <row r="10282" spans="1:2" x14ac:dyDescent="0.25">
      <c r="A10282" s="118"/>
      <c r="B10282" s="136"/>
    </row>
    <row r="10283" spans="1:2" x14ac:dyDescent="0.25">
      <c r="A10283" s="118"/>
      <c r="B10283" s="136"/>
    </row>
    <row r="10284" spans="1:2" x14ac:dyDescent="0.25">
      <c r="A10284" s="118"/>
      <c r="B10284" s="136"/>
    </row>
    <row r="10285" spans="1:2" x14ac:dyDescent="0.25">
      <c r="A10285" s="118"/>
      <c r="B10285" s="136"/>
    </row>
    <row r="10286" spans="1:2" x14ac:dyDescent="0.25">
      <c r="A10286" s="118"/>
      <c r="B10286" s="136"/>
    </row>
    <row r="10287" spans="1:2" x14ac:dyDescent="0.25">
      <c r="A10287" s="118"/>
      <c r="B10287" s="136"/>
    </row>
    <row r="10288" spans="1:2" x14ac:dyDescent="0.25">
      <c r="A10288" s="118"/>
      <c r="B10288" s="136"/>
    </row>
    <row r="10289" spans="1:2" x14ac:dyDescent="0.25">
      <c r="A10289" s="118"/>
      <c r="B10289" s="136"/>
    </row>
    <row r="10290" spans="1:2" x14ac:dyDescent="0.25">
      <c r="A10290" s="118"/>
      <c r="B10290" s="136"/>
    </row>
    <row r="10291" spans="1:2" x14ac:dyDescent="0.25">
      <c r="A10291" s="118"/>
      <c r="B10291" s="136"/>
    </row>
    <row r="10292" spans="1:2" x14ac:dyDescent="0.25">
      <c r="A10292" s="118"/>
      <c r="B10292" s="136"/>
    </row>
    <row r="10293" spans="1:2" x14ac:dyDescent="0.25">
      <c r="A10293" s="118"/>
      <c r="B10293" s="136"/>
    </row>
    <row r="10294" spans="1:2" x14ac:dyDescent="0.25">
      <c r="A10294" s="118"/>
      <c r="B10294" s="136"/>
    </row>
    <row r="10295" spans="1:2" x14ac:dyDescent="0.25">
      <c r="A10295" s="118"/>
      <c r="B10295" s="136"/>
    </row>
    <row r="10296" spans="1:2" x14ac:dyDescent="0.25">
      <c r="A10296" s="118"/>
      <c r="B10296" s="136"/>
    </row>
    <row r="10297" spans="1:2" x14ac:dyDescent="0.25">
      <c r="A10297" s="118"/>
      <c r="B10297" s="136"/>
    </row>
    <row r="10298" spans="1:2" x14ac:dyDescent="0.25">
      <c r="A10298" s="118"/>
      <c r="B10298" s="136"/>
    </row>
    <row r="10299" spans="1:2" x14ac:dyDescent="0.25">
      <c r="A10299" s="118"/>
      <c r="B10299" s="136"/>
    </row>
    <row r="10300" spans="1:2" x14ac:dyDescent="0.25">
      <c r="A10300" s="118"/>
      <c r="B10300" s="136"/>
    </row>
    <row r="10301" spans="1:2" x14ac:dyDescent="0.25">
      <c r="A10301" s="118"/>
      <c r="B10301" s="136"/>
    </row>
    <row r="10302" spans="1:2" x14ac:dyDescent="0.25">
      <c r="A10302" s="118"/>
      <c r="B10302" s="136"/>
    </row>
    <row r="10303" spans="1:2" x14ac:dyDescent="0.25">
      <c r="A10303" s="118"/>
      <c r="B10303" s="136"/>
    </row>
    <row r="10304" spans="1:2" x14ac:dyDescent="0.25">
      <c r="A10304" s="118"/>
      <c r="B10304" s="136"/>
    </row>
    <row r="10305" spans="1:2" x14ac:dyDescent="0.25">
      <c r="A10305" s="118"/>
      <c r="B10305" s="136"/>
    </row>
    <row r="10306" spans="1:2" x14ac:dyDescent="0.25">
      <c r="A10306" s="118"/>
      <c r="B10306" s="136"/>
    </row>
    <row r="10307" spans="1:2" x14ac:dyDescent="0.25">
      <c r="A10307" s="118"/>
      <c r="B10307" s="136"/>
    </row>
    <row r="10308" spans="1:2" x14ac:dyDescent="0.25">
      <c r="A10308" s="118"/>
      <c r="B10308" s="136"/>
    </row>
    <row r="10309" spans="1:2" x14ac:dyDescent="0.25">
      <c r="A10309" s="118"/>
      <c r="B10309" s="136"/>
    </row>
    <row r="10310" spans="1:2" x14ac:dyDescent="0.25">
      <c r="A10310" s="118"/>
      <c r="B10310" s="136"/>
    </row>
    <row r="10311" spans="1:2" x14ac:dyDescent="0.25">
      <c r="A10311" s="118"/>
      <c r="B10311" s="136"/>
    </row>
    <row r="10312" spans="1:2" x14ac:dyDescent="0.25">
      <c r="A10312" s="118"/>
      <c r="B10312" s="136"/>
    </row>
    <row r="10313" spans="1:2" x14ac:dyDescent="0.25">
      <c r="A10313" s="118"/>
      <c r="B10313" s="136"/>
    </row>
    <row r="10314" spans="1:2" x14ac:dyDescent="0.25">
      <c r="A10314" s="118"/>
      <c r="B10314" s="136"/>
    </row>
    <row r="10315" spans="1:2" x14ac:dyDescent="0.25">
      <c r="A10315" s="118"/>
      <c r="B10315" s="136"/>
    </row>
    <row r="10316" spans="1:2" x14ac:dyDescent="0.25">
      <c r="A10316" s="118"/>
      <c r="B10316" s="136"/>
    </row>
    <row r="10317" spans="1:2" x14ac:dyDescent="0.25">
      <c r="A10317" s="118"/>
      <c r="B10317" s="136"/>
    </row>
    <row r="10318" spans="1:2" x14ac:dyDescent="0.25">
      <c r="A10318" s="118"/>
      <c r="B10318" s="136"/>
    </row>
    <row r="10319" spans="1:2" x14ac:dyDescent="0.25">
      <c r="A10319" s="118"/>
      <c r="B10319" s="136"/>
    </row>
    <row r="10320" spans="1:2" x14ac:dyDescent="0.25">
      <c r="A10320" s="118"/>
      <c r="B10320" s="136"/>
    </row>
    <row r="10321" spans="1:2" x14ac:dyDescent="0.25">
      <c r="A10321" s="118"/>
      <c r="B10321" s="136"/>
    </row>
    <row r="10322" spans="1:2" x14ac:dyDescent="0.25">
      <c r="A10322" s="118"/>
      <c r="B10322" s="136"/>
    </row>
    <row r="10323" spans="1:2" x14ac:dyDescent="0.25">
      <c r="A10323" s="118"/>
      <c r="B10323" s="136"/>
    </row>
    <row r="10324" spans="1:2" x14ac:dyDescent="0.25">
      <c r="A10324" s="118"/>
      <c r="B10324" s="136"/>
    </row>
    <row r="10325" spans="1:2" x14ac:dyDescent="0.25">
      <c r="A10325" s="118"/>
      <c r="B10325" s="136"/>
    </row>
    <row r="10326" spans="1:2" x14ac:dyDescent="0.25">
      <c r="A10326" s="118"/>
      <c r="B10326" s="136"/>
    </row>
    <row r="10327" spans="1:2" x14ac:dyDescent="0.25">
      <c r="A10327" s="118"/>
      <c r="B10327" s="136"/>
    </row>
    <row r="10328" spans="1:2" x14ac:dyDescent="0.25">
      <c r="A10328" s="118"/>
      <c r="B10328" s="136"/>
    </row>
    <row r="10329" spans="1:2" x14ac:dyDescent="0.25">
      <c r="A10329" s="118"/>
      <c r="B10329" s="136"/>
    </row>
    <row r="10330" spans="1:2" x14ac:dyDescent="0.25">
      <c r="A10330" s="118"/>
      <c r="B10330" s="136"/>
    </row>
    <row r="10331" spans="1:2" x14ac:dyDescent="0.25">
      <c r="A10331" s="118"/>
      <c r="B10331" s="136"/>
    </row>
    <row r="10332" spans="1:2" x14ac:dyDescent="0.25">
      <c r="A10332" s="118"/>
      <c r="B10332" s="136"/>
    </row>
    <row r="10333" spans="1:2" x14ac:dyDescent="0.25">
      <c r="A10333" s="118"/>
      <c r="B10333" s="136"/>
    </row>
    <row r="10334" spans="1:2" x14ac:dyDescent="0.25">
      <c r="A10334" s="118"/>
      <c r="B10334" s="136"/>
    </row>
    <row r="10335" spans="1:2" x14ac:dyDescent="0.25">
      <c r="A10335" s="118"/>
      <c r="B10335" s="136"/>
    </row>
    <row r="10336" spans="1:2" x14ac:dyDescent="0.25">
      <c r="A10336" s="118"/>
      <c r="B10336" s="136"/>
    </row>
    <row r="10337" spans="1:2" x14ac:dyDescent="0.25">
      <c r="A10337" s="118"/>
      <c r="B10337" s="136"/>
    </row>
    <row r="10338" spans="1:2" x14ac:dyDescent="0.25">
      <c r="A10338" s="118"/>
      <c r="B10338" s="136"/>
    </row>
    <row r="10339" spans="1:2" x14ac:dyDescent="0.25">
      <c r="A10339" s="118"/>
      <c r="B10339" s="136"/>
    </row>
    <row r="10340" spans="1:2" x14ac:dyDescent="0.25">
      <c r="A10340" s="118"/>
      <c r="B10340" s="136"/>
    </row>
    <row r="10341" spans="1:2" x14ac:dyDescent="0.25">
      <c r="A10341" s="118"/>
      <c r="B10341" s="136"/>
    </row>
    <row r="10342" spans="1:2" x14ac:dyDescent="0.25">
      <c r="A10342" s="118"/>
      <c r="B10342" s="136"/>
    </row>
    <row r="10343" spans="1:2" x14ac:dyDescent="0.25">
      <c r="A10343" s="118"/>
      <c r="B10343" s="136"/>
    </row>
    <row r="10344" spans="1:2" x14ac:dyDescent="0.25">
      <c r="A10344" s="118"/>
      <c r="B10344" s="136"/>
    </row>
    <row r="10345" spans="1:2" x14ac:dyDescent="0.25">
      <c r="A10345" s="118"/>
      <c r="B10345" s="136"/>
    </row>
    <row r="10346" spans="1:2" x14ac:dyDescent="0.25">
      <c r="A10346" s="118"/>
      <c r="B10346" s="136"/>
    </row>
    <row r="10347" spans="1:2" x14ac:dyDescent="0.25">
      <c r="A10347" s="118"/>
      <c r="B10347" s="136"/>
    </row>
    <row r="10348" spans="1:2" x14ac:dyDescent="0.25">
      <c r="A10348" s="118"/>
      <c r="B10348" s="136"/>
    </row>
    <row r="10349" spans="1:2" x14ac:dyDescent="0.25">
      <c r="A10349" s="118"/>
      <c r="B10349" s="136"/>
    </row>
    <row r="10350" spans="1:2" x14ac:dyDescent="0.25">
      <c r="A10350" s="118"/>
      <c r="B10350" s="136"/>
    </row>
    <row r="10351" spans="1:2" x14ac:dyDescent="0.25">
      <c r="A10351" s="118"/>
      <c r="B10351" s="136"/>
    </row>
    <row r="10352" spans="1:2" x14ac:dyDescent="0.25">
      <c r="A10352" s="118"/>
      <c r="B10352" s="136"/>
    </row>
    <row r="10353" spans="1:2" x14ac:dyDescent="0.25">
      <c r="A10353" s="118"/>
      <c r="B10353" s="136"/>
    </row>
    <row r="10354" spans="1:2" x14ac:dyDescent="0.25">
      <c r="A10354" s="118"/>
      <c r="B10354" s="136"/>
    </row>
    <row r="10355" spans="1:2" x14ac:dyDescent="0.25">
      <c r="A10355" s="118"/>
      <c r="B10355" s="136"/>
    </row>
    <row r="10356" spans="1:2" x14ac:dyDescent="0.25">
      <c r="A10356" s="118"/>
      <c r="B10356" s="136"/>
    </row>
    <row r="10357" spans="1:2" x14ac:dyDescent="0.25">
      <c r="A10357" s="118"/>
      <c r="B10357" s="136"/>
    </row>
    <row r="10358" spans="1:2" x14ac:dyDescent="0.25">
      <c r="A10358" s="118"/>
      <c r="B10358" s="136"/>
    </row>
    <row r="10359" spans="1:2" x14ac:dyDescent="0.25">
      <c r="A10359" s="118"/>
      <c r="B10359" s="136"/>
    </row>
    <row r="10360" spans="1:2" x14ac:dyDescent="0.25">
      <c r="A10360" s="118"/>
      <c r="B10360" s="136"/>
    </row>
    <row r="10361" spans="1:2" x14ac:dyDescent="0.25">
      <c r="A10361" s="118"/>
      <c r="B10361" s="136"/>
    </row>
    <row r="10362" spans="1:2" x14ac:dyDescent="0.25">
      <c r="A10362" s="118"/>
      <c r="B10362" s="136"/>
    </row>
    <row r="10363" spans="1:2" x14ac:dyDescent="0.25">
      <c r="A10363" s="118"/>
      <c r="B10363" s="136"/>
    </row>
    <row r="10364" spans="1:2" x14ac:dyDescent="0.25">
      <c r="A10364" s="118"/>
      <c r="B10364" s="136"/>
    </row>
    <row r="10365" spans="1:2" x14ac:dyDescent="0.25">
      <c r="A10365" s="118"/>
      <c r="B10365" s="136"/>
    </row>
    <row r="10366" spans="1:2" x14ac:dyDescent="0.25">
      <c r="A10366" s="118"/>
      <c r="B10366" s="136"/>
    </row>
    <row r="10367" spans="1:2" x14ac:dyDescent="0.25">
      <c r="A10367" s="118"/>
      <c r="B10367" s="136"/>
    </row>
    <row r="10368" spans="1:2" x14ac:dyDescent="0.25">
      <c r="A10368" s="118"/>
      <c r="B10368" s="136"/>
    </row>
    <row r="10369" spans="1:2" x14ac:dyDescent="0.25">
      <c r="A10369" s="118"/>
      <c r="B10369" s="136"/>
    </row>
    <row r="10370" spans="1:2" x14ac:dyDescent="0.25">
      <c r="A10370" s="118"/>
      <c r="B10370" s="136"/>
    </row>
    <row r="10371" spans="1:2" x14ac:dyDescent="0.25">
      <c r="A10371" s="118"/>
      <c r="B10371" s="136"/>
    </row>
    <row r="10372" spans="1:2" x14ac:dyDescent="0.25">
      <c r="A10372" s="118"/>
      <c r="B10372" s="136"/>
    </row>
    <row r="10373" spans="1:2" x14ac:dyDescent="0.25">
      <c r="A10373" s="118"/>
      <c r="B10373" s="136"/>
    </row>
    <row r="10374" spans="1:2" x14ac:dyDescent="0.25">
      <c r="A10374" s="118"/>
      <c r="B10374" s="136"/>
    </row>
    <row r="10375" spans="1:2" x14ac:dyDescent="0.25">
      <c r="A10375" s="118"/>
      <c r="B10375" s="136"/>
    </row>
    <row r="10376" spans="1:2" x14ac:dyDescent="0.25">
      <c r="A10376" s="118"/>
      <c r="B10376" s="136"/>
    </row>
    <row r="10377" spans="1:2" x14ac:dyDescent="0.25">
      <c r="A10377" s="118"/>
      <c r="B10377" s="136"/>
    </row>
    <row r="10378" spans="1:2" x14ac:dyDescent="0.25">
      <c r="A10378" s="118"/>
      <c r="B10378" s="136"/>
    </row>
    <row r="10379" spans="1:2" x14ac:dyDescent="0.25">
      <c r="A10379" s="118"/>
      <c r="B10379" s="136"/>
    </row>
    <row r="10380" spans="1:2" x14ac:dyDescent="0.25">
      <c r="A10380" s="118"/>
      <c r="B10380" s="136"/>
    </row>
    <row r="10381" spans="1:2" x14ac:dyDescent="0.25">
      <c r="A10381" s="118"/>
      <c r="B10381" s="136"/>
    </row>
    <row r="10382" spans="1:2" x14ac:dyDescent="0.25">
      <c r="A10382" s="118"/>
      <c r="B10382" s="136"/>
    </row>
    <row r="10383" spans="1:2" x14ac:dyDescent="0.25">
      <c r="A10383" s="118"/>
      <c r="B10383" s="136"/>
    </row>
    <row r="10384" spans="1:2" x14ac:dyDescent="0.25">
      <c r="A10384" s="118"/>
      <c r="B10384" s="136"/>
    </row>
    <row r="10385" spans="1:2" x14ac:dyDescent="0.25">
      <c r="A10385" s="118"/>
      <c r="B10385" s="136"/>
    </row>
    <row r="10386" spans="1:2" x14ac:dyDescent="0.25">
      <c r="A10386" s="118"/>
      <c r="B10386" s="136"/>
    </row>
    <row r="10387" spans="1:2" x14ac:dyDescent="0.25">
      <c r="A10387" s="118"/>
      <c r="B10387" s="136"/>
    </row>
    <row r="10388" spans="1:2" x14ac:dyDescent="0.25">
      <c r="A10388" s="118"/>
      <c r="B10388" s="136"/>
    </row>
    <row r="10389" spans="1:2" x14ac:dyDescent="0.25">
      <c r="A10389" s="118"/>
      <c r="B10389" s="136"/>
    </row>
    <row r="10390" spans="1:2" x14ac:dyDescent="0.25">
      <c r="A10390" s="118"/>
      <c r="B10390" s="136"/>
    </row>
    <row r="10391" spans="1:2" x14ac:dyDescent="0.25">
      <c r="A10391" s="118"/>
      <c r="B10391" s="136"/>
    </row>
    <row r="10392" spans="1:2" x14ac:dyDescent="0.25">
      <c r="A10392" s="118"/>
      <c r="B10392" s="136"/>
    </row>
    <row r="10393" spans="1:2" x14ac:dyDescent="0.25">
      <c r="A10393" s="118"/>
      <c r="B10393" s="136"/>
    </row>
    <row r="10394" spans="1:2" x14ac:dyDescent="0.25">
      <c r="A10394" s="118"/>
      <c r="B10394" s="136"/>
    </row>
    <row r="10395" spans="1:2" x14ac:dyDescent="0.25">
      <c r="A10395" s="118"/>
      <c r="B10395" s="136"/>
    </row>
    <row r="10396" spans="1:2" x14ac:dyDescent="0.25">
      <c r="A10396" s="118"/>
      <c r="B10396" s="136"/>
    </row>
    <row r="10397" spans="1:2" x14ac:dyDescent="0.25">
      <c r="A10397" s="118"/>
      <c r="B10397" s="136"/>
    </row>
    <row r="10398" spans="1:2" x14ac:dyDescent="0.25">
      <c r="A10398" s="118"/>
      <c r="B10398" s="136"/>
    </row>
    <row r="10399" spans="1:2" x14ac:dyDescent="0.25">
      <c r="A10399" s="118"/>
      <c r="B10399" s="136"/>
    </row>
    <row r="10400" spans="1:2" x14ac:dyDescent="0.25">
      <c r="A10400" s="118"/>
      <c r="B10400" s="136"/>
    </row>
    <row r="10401" spans="1:2" x14ac:dyDescent="0.25">
      <c r="A10401" s="118"/>
      <c r="B10401" s="136"/>
    </row>
    <row r="10402" spans="1:2" x14ac:dyDescent="0.25">
      <c r="A10402" s="118"/>
      <c r="B10402" s="136"/>
    </row>
    <row r="10403" spans="1:2" x14ac:dyDescent="0.25">
      <c r="A10403" s="118"/>
      <c r="B10403" s="136"/>
    </row>
    <row r="10404" spans="1:2" x14ac:dyDescent="0.25">
      <c r="A10404" s="118"/>
      <c r="B10404" s="136"/>
    </row>
    <row r="10405" spans="1:2" x14ac:dyDescent="0.25">
      <c r="A10405" s="118"/>
      <c r="B10405" s="136"/>
    </row>
    <row r="10406" spans="1:2" x14ac:dyDescent="0.25">
      <c r="A10406" s="118"/>
      <c r="B10406" s="136"/>
    </row>
    <row r="10407" spans="1:2" x14ac:dyDescent="0.25">
      <c r="A10407" s="118"/>
      <c r="B10407" s="136"/>
    </row>
    <row r="10408" spans="1:2" x14ac:dyDescent="0.25">
      <c r="A10408" s="118"/>
      <c r="B10408" s="136"/>
    </row>
    <row r="10409" spans="1:2" x14ac:dyDescent="0.25">
      <c r="A10409" s="118"/>
      <c r="B10409" s="136"/>
    </row>
    <row r="10410" spans="1:2" x14ac:dyDescent="0.25">
      <c r="A10410" s="118"/>
      <c r="B10410" s="136"/>
    </row>
    <row r="10411" spans="1:2" x14ac:dyDescent="0.25">
      <c r="A10411" s="118"/>
      <c r="B10411" s="136"/>
    </row>
    <row r="10412" spans="1:2" x14ac:dyDescent="0.25">
      <c r="A10412" s="118"/>
      <c r="B10412" s="136"/>
    </row>
    <row r="10413" spans="1:2" x14ac:dyDescent="0.25">
      <c r="A10413" s="118"/>
      <c r="B10413" s="136"/>
    </row>
    <row r="10414" spans="1:2" x14ac:dyDescent="0.25">
      <c r="A10414" s="118"/>
      <c r="B10414" s="136"/>
    </row>
    <row r="10415" spans="1:2" x14ac:dyDescent="0.25">
      <c r="A10415" s="118"/>
      <c r="B10415" s="136"/>
    </row>
    <row r="10416" spans="1:2" x14ac:dyDescent="0.25">
      <c r="A10416" s="118"/>
      <c r="B10416" s="136"/>
    </row>
    <row r="10417" spans="1:2" x14ac:dyDescent="0.25">
      <c r="A10417" s="118"/>
      <c r="B10417" s="136"/>
    </row>
    <row r="10418" spans="1:2" x14ac:dyDescent="0.25">
      <c r="A10418" s="118"/>
      <c r="B10418" s="136"/>
    </row>
    <row r="10419" spans="1:2" x14ac:dyDescent="0.25">
      <c r="A10419" s="118"/>
      <c r="B10419" s="136"/>
    </row>
    <row r="10420" spans="1:2" x14ac:dyDescent="0.25">
      <c r="A10420" s="118"/>
      <c r="B10420" s="136"/>
    </row>
    <row r="10421" spans="1:2" x14ac:dyDescent="0.25">
      <c r="A10421" s="118"/>
      <c r="B10421" s="136"/>
    </row>
    <row r="10422" spans="1:2" x14ac:dyDescent="0.25">
      <c r="A10422" s="118"/>
      <c r="B10422" s="136"/>
    </row>
    <row r="10423" spans="1:2" x14ac:dyDescent="0.25">
      <c r="A10423" s="118"/>
      <c r="B10423" s="136"/>
    </row>
    <row r="10424" spans="1:2" x14ac:dyDescent="0.25">
      <c r="A10424" s="118"/>
      <c r="B10424" s="136"/>
    </row>
    <row r="10425" spans="1:2" x14ac:dyDescent="0.25">
      <c r="A10425" s="118"/>
      <c r="B10425" s="136"/>
    </row>
    <row r="10426" spans="1:2" x14ac:dyDescent="0.25">
      <c r="A10426" s="118"/>
      <c r="B10426" s="136"/>
    </row>
    <row r="10427" spans="1:2" x14ac:dyDescent="0.25">
      <c r="A10427" s="118"/>
      <c r="B10427" s="136"/>
    </row>
    <row r="10428" spans="1:2" x14ac:dyDescent="0.25">
      <c r="A10428" s="118"/>
      <c r="B10428" s="136"/>
    </row>
    <row r="10429" spans="1:2" x14ac:dyDescent="0.25">
      <c r="A10429" s="118"/>
      <c r="B10429" s="136"/>
    </row>
    <row r="10430" spans="1:2" x14ac:dyDescent="0.25">
      <c r="A10430" s="118"/>
      <c r="B10430" s="136"/>
    </row>
    <row r="10431" spans="1:2" x14ac:dyDescent="0.25">
      <c r="A10431" s="118"/>
      <c r="B10431" s="136"/>
    </row>
    <row r="10432" spans="1:2" x14ac:dyDescent="0.25">
      <c r="A10432" s="118"/>
      <c r="B10432" s="136"/>
    </row>
    <row r="10433" spans="1:2" x14ac:dyDescent="0.25">
      <c r="A10433" s="118"/>
      <c r="B10433" s="136"/>
    </row>
    <row r="10434" spans="1:2" x14ac:dyDescent="0.25">
      <c r="A10434" s="118"/>
      <c r="B10434" s="136"/>
    </row>
    <row r="10435" spans="1:2" x14ac:dyDescent="0.25">
      <c r="A10435" s="118"/>
      <c r="B10435" s="136"/>
    </row>
    <row r="10436" spans="1:2" x14ac:dyDescent="0.25">
      <c r="A10436" s="118"/>
      <c r="B10436" s="136"/>
    </row>
    <row r="10437" spans="1:2" x14ac:dyDescent="0.25">
      <c r="A10437" s="118"/>
      <c r="B10437" s="136"/>
    </row>
    <row r="10438" spans="1:2" x14ac:dyDescent="0.25">
      <c r="A10438" s="118"/>
      <c r="B10438" s="136"/>
    </row>
    <row r="10439" spans="1:2" x14ac:dyDescent="0.25">
      <c r="A10439" s="118"/>
      <c r="B10439" s="136"/>
    </row>
    <row r="10440" spans="1:2" x14ac:dyDescent="0.25">
      <c r="A10440" s="118"/>
      <c r="B10440" s="136"/>
    </row>
    <row r="10441" spans="1:2" x14ac:dyDescent="0.25">
      <c r="A10441" s="118"/>
      <c r="B10441" s="136"/>
    </row>
    <row r="10442" spans="1:2" x14ac:dyDescent="0.25">
      <c r="A10442" s="118"/>
      <c r="B10442" s="136"/>
    </row>
    <row r="10443" spans="1:2" x14ac:dyDescent="0.25">
      <c r="A10443" s="118"/>
      <c r="B10443" s="136"/>
    </row>
    <row r="10444" spans="1:2" x14ac:dyDescent="0.25">
      <c r="A10444" s="118"/>
      <c r="B10444" s="136"/>
    </row>
    <row r="10445" spans="1:2" x14ac:dyDescent="0.25">
      <c r="A10445" s="118"/>
      <c r="B10445" s="136"/>
    </row>
    <row r="10446" spans="1:2" x14ac:dyDescent="0.25">
      <c r="A10446" s="118"/>
      <c r="B10446" s="136"/>
    </row>
    <row r="10447" spans="1:2" x14ac:dyDescent="0.25">
      <c r="A10447" s="118"/>
      <c r="B10447" s="136"/>
    </row>
    <row r="10448" spans="1:2" x14ac:dyDescent="0.25">
      <c r="A10448" s="118"/>
      <c r="B10448" s="136"/>
    </row>
    <row r="10449" spans="1:2" x14ac:dyDescent="0.25">
      <c r="A10449" s="118"/>
      <c r="B10449" s="136"/>
    </row>
    <row r="10450" spans="1:2" x14ac:dyDescent="0.25">
      <c r="A10450" s="118"/>
      <c r="B10450" s="136"/>
    </row>
    <row r="10451" spans="1:2" x14ac:dyDescent="0.25">
      <c r="A10451" s="118"/>
      <c r="B10451" s="136"/>
    </row>
    <row r="10452" spans="1:2" x14ac:dyDescent="0.25">
      <c r="A10452" s="118"/>
      <c r="B10452" s="136"/>
    </row>
    <row r="10453" spans="1:2" x14ac:dyDescent="0.25">
      <c r="A10453" s="118"/>
      <c r="B10453" s="136"/>
    </row>
    <row r="10454" spans="1:2" x14ac:dyDescent="0.25">
      <c r="A10454" s="118"/>
      <c r="B10454" s="136"/>
    </row>
    <row r="10455" spans="1:2" x14ac:dyDescent="0.25">
      <c r="A10455" s="118"/>
      <c r="B10455" s="136"/>
    </row>
    <row r="10456" spans="1:2" x14ac:dyDescent="0.25">
      <c r="A10456" s="118"/>
      <c r="B10456" s="136"/>
    </row>
    <row r="10457" spans="1:2" x14ac:dyDescent="0.25">
      <c r="A10457" s="118"/>
      <c r="B10457" s="136"/>
    </row>
    <row r="10458" spans="1:2" x14ac:dyDescent="0.25">
      <c r="A10458" s="118"/>
      <c r="B10458" s="136"/>
    </row>
    <row r="10459" spans="1:2" x14ac:dyDescent="0.25">
      <c r="A10459" s="118"/>
      <c r="B10459" s="136"/>
    </row>
    <row r="10460" spans="1:2" x14ac:dyDescent="0.25">
      <c r="A10460" s="118"/>
      <c r="B10460" s="136"/>
    </row>
    <row r="10461" spans="1:2" x14ac:dyDescent="0.25">
      <c r="A10461" s="118"/>
      <c r="B10461" s="136"/>
    </row>
    <row r="10462" spans="1:2" x14ac:dyDescent="0.25">
      <c r="A10462" s="118"/>
      <c r="B10462" s="136"/>
    </row>
    <row r="10463" spans="1:2" x14ac:dyDescent="0.25">
      <c r="A10463" s="118"/>
      <c r="B10463" s="136"/>
    </row>
    <row r="10464" spans="1:2" x14ac:dyDescent="0.25">
      <c r="A10464" s="118"/>
      <c r="B10464" s="136"/>
    </row>
    <row r="10465" spans="1:2" x14ac:dyDescent="0.25">
      <c r="A10465" s="118"/>
      <c r="B10465" s="136"/>
    </row>
    <row r="10466" spans="1:2" x14ac:dyDescent="0.25">
      <c r="A10466" s="118"/>
      <c r="B10466" s="136"/>
    </row>
    <row r="10467" spans="1:2" x14ac:dyDescent="0.25">
      <c r="A10467" s="118"/>
      <c r="B10467" s="136"/>
    </row>
    <row r="10468" spans="1:2" x14ac:dyDescent="0.25">
      <c r="A10468" s="118"/>
      <c r="B10468" s="136"/>
    </row>
    <row r="10469" spans="1:2" x14ac:dyDescent="0.25">
      <c r="A10469" s="118"/>
      <c r="B10469" s="136"/>
    </row>
    <row r="10470" spans="1:2" x14ac:dyDescent="0.25">
      <c r="A10470" s="118"/>
      <c r="B10470" s="136"/>
    </row>
    <row r="10471" spans="1:2" x14ac:dyDescent="0.25">
      <c r="A10471" s="118"/>
      <c r="B10471" s="136"/>
    </row>
    <row r="10472" spans="1:2" x14ac:dyDescent="0.25">
      <c r="A10472" s="118"/>
      <c r="B10472" s="136"/>
    </row>
    <row r="10473" spans="1:2" x14ac:dyDescent="0.25">
      <c r="A10473" s="118"/>
      <c r="B10473" s="136"/>
    </row>
    <row r="10474" spans="1:2" x14ac:dyDescent="0.25">
      <c r="A10474" s="118"/>
      <c r="B10474" s="136"/>
    </row>
    <row r="10475" spans="1:2" x14ac:dyDescent="0.25">
      <c r="A10475" s="118"/>
      <c r="B10475" s="136"/>
    </row>
    <row r="10476" spans="1:2" x14ac:dyDescent="0.25">
      <c r="A10476" s="118"/>
      <c r="B10476" s="136"/>
    </row>
    <row r="10477" spans="1:2" x14ac:dyDescent="0.25">
      <c r="A10477" s="118"/>
      <c r="B10477" s="136"/>
    </row>
    <row r="10478" spans="1:2" x14ac:dyDescent="0.25">
      <c r="A10478" s="118"/>
      <c r="B10478" s="136"/>
    </row>
    <row r="10479" spans="1:2" x14ac:dyDescent="0.25">
      <c r="A10479" s="118"/>
      <c r="B10479" s="136"/>
    </row>
    <row r="10480" spans="1:2" x14ac:dyDescent="0.25">
      <c r="A10480" s="118"/>
      <c r="B10480" s="136"/>
    </row>
    <row r="10481" spans="1:2" x14ac:dyDescent="0.25">
      <c r="A10481" s="118"/>
      <c r="B10481" s="136"/>
    </row>
    <row r="10482" spans="1:2" x14ac:dyDescent="0.25">
      <c r="A10482" s="118"/>
      <c r="B10482" s="136"/>
    </row>
    <row r="10483" spans="1:2" x14ac:dyDescent="0.25">
      <c r="A10483" s="118"/>
      <c r="B10483" s="136"/>
    </row>
    <row r="10484" spans="1:2" x14ac:dyDescent="0.25">
      <c r="A10484" s="118"/>
      <c r="B10484" s="136"/>
    </row>
    <row r="10485" spans="1:2" x14ac:dyDescent="0.25">
      <c r="A10485" s="118"/>
      <c r="B10485" s="136"/>
    </row>
    <row r="10486" spans="1:2" x14ac:dyDescent="0.25">
      <c r="A10486" s="118"/>
      <c r="B10486" s="136"/>
    </row>
    <row r="10487" spans="1:2" x14ac:dyDescent="0.25">
      <c r="A10487" s="118"/>
      <c r="B10487" s="136"/>
    </row>
    <row r="10488" spans="1:2" x14ac:dyDescent="0.25">
      <c r="A10488" s="118"/>
      <c r="B10488" s="136"/>
    </row>
    <row r="10489" spans="1:2" x14ac:dyDescent="0.25">
      <c r="A10489" s="118"/>
      <c r="B10489" s="136"/>
    </row>
    <row r="10490" spans="1:2" x14ac:dyDescent="0.25">
      <c r="A10490" s="118"/>
      <c r="B10490" s="136"/>
    </row>
    <row r="10491" spans="1:2" x14ac:dyDescent="0.25">
      <c r="A10491" s="118"/>
      <c r="B10491" s="136"/>
    </row>
    <row r="10492" spans="1:2" x14ac:dyDescent="0.25">
      <c r="A10492" s="118"/>
      <c r="B10492" s="136"/>
    </row>
    <row r="10493" spans="1:2" x14ac:dyDescent="0.25">
      <c r="A10493" s="118"/>
      <c r="B10493" s="136"/>
    </row>
    <row r="10494" spans="1:2" x14ac:dyDescent="0.25">
      <c r="A10494" s="118"/>
      <c r="B10494" s="136"/>
    </row>
    <row r="10495" spans="1:2" x14ac:dyDescent="0.25">
      <c r="A10495" s="118"/>
      <c r="B10495" s="136"/>
    </row>
    <row r="10496" spans="1:2" x14ac:dyDescent="0.25">
      <c r="A10496" s="118"/>
      <c r="B10496" s="136"/>
    </row>
    <row r="10497" spans="1:2" x14ac:dyDescent="0.25">
      <c r="A10497" s="118"/>
      <c r="B10497" s="136"/>
    </row>
    <row r="10498" spans="1:2" x14ac:dyDescent="0.25">
      <c r="A10498" s="118"/>
      <c r="B10498" s="136"/>
    </row>
    <row r="10499" spans="1:2" x14ac:dyDescent="0.25">
      <c r="A10499" s="118"/>
      <c r="B10499" s="136"/>
    </row>
    <row r="10500" spans="1:2" x14ac:dyDescent="0.25">
      <c r="A10500" s="118"/>
      <c r="B10500" s="136"/>
    </row>
    <row r="10501" spans="1:2" x14ac:dyDescent="0.25">
      <c r="A10501" s="118"/>
      <c r="B10501" s="136"/>
    </row>
    <row r="10502" spans="1:2" x14ac:dyDescent="0.25">
      <c r="A10502" s="118"/>
      <c r="B10502" s="136"/>
    </row>
    <row r="10503" spans="1:2" x14ac:dyDescent="0.25">
      <c r="A10503" s="118"/>
      <c r="B10503" s="136"/>
    </row>
    <row r="10504" spans="1:2" x14ac:dyDescent="0.25">
      <c r="A10504" s="118"/>
      <c r="B10504" s="136"/>
    </row>
    <row r="10505" spans="1:2" x14ac:dyDescent="0.25">
      <c r="A10505" s="118"/>
      <c r="B10505" s="136"/>
    </row>
    <row r="10506" spans="1:2" x14ac:dyDescent="0.25">
      <c r="A10506" s="118"/>
      <c r="B10506" s="136"/>
    </row>
    <row r="10507" spans="1:2" x14ac:dyDescent="0.25">
      <c r="A10507" s="118"/>
      <c r="B10507" s="136"/>
    </row>
    <row r="10508" spans="1:2" x14ac:dyDescent="0.25">
      <c r="A10508" s="118"/>
      <c r="B10508" s="136"/>
    </row>
    <row r="10509" spans="1:2" x14ac:dyDescent="0.25">
      <c r="A10509" s="118"/>
      <c r="B10509" s="136"/>
    </row>
    <row r="10510" spans="1:2" x14ac:dyDescent="0.25">
      <c r="A10510" s="118"/>
      <c r="B10510" s="136"/>
    </row>
    <row r="10511" spans="1:2" x14ac:dyDescent="0.25">
      <c r="A10511" s="118"/>
      <c r="B10511" s="136"/>
    </row>
    <row r="10512" spans="1:2" x14ac:dyDescent="0.25">
      <c r="A10512" s="118"/>
      <c r="B10512" s="136"/>
    </row>
    <row r="10513" spans="1:2" x14ac:dyDescent="0.25">
      <c r="A10513" s="118"/>
      <c r="B10513" s="136"/>
    </row>
    <row r="10514" spans="1:2" x14ac:dyDescent="0.25">
      <c r="A10514" s="118"/>
      <c r="B10514" s="136"/>
    </row>
    <row r="10515" spans="1:2" x14ac:dyDescent="0.25">
      <c r="A10515" s="118"/>
      <c r="B10515" s="136"/>
    </row>
    <row r="10516" spans="1:2" x14ac:dyDescent="0.25">
      <c r="A10516" s="118"/>
      <c r="B10516" s="136"/>
    </row>
    <row r="10517" spans="1:2" x14ac:dyDescent="0.25">
      <c r="A10517" s="118"/>
      <c r="B10517" s="136"/>
    </row>
    <row r="10518" spans="1:2" x14ac:dyDescent="0.25">
      <c r="A10518" s="118"/>
      <c r="B10518" s="136"/>
    </row>
    <row r="10519" spans="1:2" x14ac:dyDescent="0.25">
      <c r="A10519" s="118"/>
      <c r="B10519" s="136"/>
    </row>
    <row r="10520" spans="1:2" x14ac:dyDescent="0.25">
      <c r="A10520" s="118"/>
      <c r="B10520" s="136"/>
    </row>
    <row r="10521" spans="1:2" x14ac:dyDescent="0.25">
      <c r="A10521" s="118"/>
      <c r="B10521" s="136"/>
    </row>
    <row r="10522" spans="1:2" x14ac:dyDescent="0.25">
      <c r="A10522" s="118"/>
      <c r="B10522" s="136"/>
    </row>
    <row r="10523" spans="1:2" x14ac:dyDescent="0.25">
      <c r="A10523" s="118"/>
      <c r="B10523" s="136"/>
    </row>
    <row r="10524" spans="1:2" x14ac:dyDescent="0.25">
      <c r="A10524" s="118"/>
      <c r="B10524" s="136"/>
    </row>
    <row r="10525" spans="1:2" x14ac:dyDescent="0.25">
      <c r="A10525" s="118"/>
      <c r="B10525" s="136"/>
    </row>
    <row r="10526" spans="1:2" x14ac:dyDescent="0.25">
      <c r="A10526" s="118"/>
      <c r="B10526" s="136"/>
    </row>
    <row r="10527" spans="1:2" x14ac:dyDescent="0.25">
      <c r="A10527" s="118"/>
      <c r="B10527" s="136"/>
    </row>
    <row r="10528" spans="1:2" x14ac:dyDescent="0.25">
      <c r="A10528" s="118"/>
      <c r="B10528" s="136"/>
    </row>
    <row r="10529" spans="1:2" x14ac:dyDescent="0.25">
      <c r="A10529" s="118"/>
      <c r="B10529" s="136"/>
    </row>
    <row r="10530" spans="1:2" x14ac:dyDescent="0.25">
      <c r="A10530" s="118"/>
      <c r="B10530" s="136"/>
    </row>
    <row r="10531" spans="1:2" x14ac:dyDescent="0.25">
      <c r="A10531" s="118"/>
      <c r="B10531" s="136"/>
    </row>
    <row r="10532" spans="1:2" x14ac:dyDescent="0.25">
      <c r="A10532" s="118"/>
      <c r="B10532" s="136"/>
    </row>
    <row r="10533" spans="1:2" x14ac:dyDescent="0.25">
      <c r="A10533" s="118"/>
      <c r="B10533" s="136"/>
    </row>
    <row r="10534" spans="1:2" x14ac:dyDescent="0.25">
      <c r="A10534" s="118"/>
      <c r="B10534" s="136"/>
    </row>
    <row r="10535" spans="1:2" x14ac:dyDescent="0.25">
      <c r="A10535" s="118"/>
      <c r="B10535" s="136"/>
    </row>
    <row r="10536" spans="1:2" x14ac:dyDescent="0.25">
      <c r="A10536" s="118"/>
      <c r="B10536" s="136"/>
    </row>
    <row r="10537" spans="1:2" x14ac:dyDescent="0.25">
      <c r="A10537" s="118"/>
      <c r="B10537" s="136"/>
    </row>
    <row r="10538" spans="1:2" x14ac:dyDescent="0.25">
      <c r="A10538" s="118"/>
      <c r="B10538" s="136"/>
    </row>
    <row r="10539" spans="1:2" x14ac:dyDescent="0.25">
      <c r="A10539" s="118"/>
      <c r="B10539" s="136"/>
    </row>
    <row r="10540" spans="1:2" x14ac:dyDescent="0.25">
      <c r="A10540" s="118"/>
      <c r="B10540" s="136"/>
    </row>
    <row r="10541" spans="1:2" x14ac:dyDescent="0.25">
      <c r="A10541" s="118"/>
      <c r="B10541" s="136"/>
    </row>
    <row r="10542" spans="1:2" x14ac:dyDescent="0.25">
      <c r="A10542" s="118"/>
      <c r="B10542" s="136"/>
    </row>
    <row r="10543" spans="1:2" x14ac:dyDescent="0.25">
      <c r="A10543" s="118"/>
      <c r="B10543" s="136"/>
    </row>
    <row r="10544" spans="1:2" x14ac:dyDescent="0.25">
      <c r="A10544" s="118"/>
      <c r="B10544" s="136"/>
    </row>
    <row r="10545" spans="1:2" x14ac:dyDescent="0.25">
      <c r="A10545" s="118"/>
      <c r="B10545" s="136"/>
    </row>
    <row r="10546" spans="1:2" x14ac:dyDescent="0.25">
      <c r="A10546" s="118"/>
      <c r="B10546" s="136"/>
    </row>
    <row r="10547" spans="1:2" x14ac:dyDescent="0.25">
      <c r="A10547" s="118"/>
      <c r="B10547" s="136"/>
    </row>
    <row r="10548" spans="1:2" x14ac:dyDescent="0.25">
      <c r="A10548" s="118"/>
      <c r="B10548" s="136"/>
    </row>
    <row r="10549" spans="1:2" x14ac:dyDescent="0.25">
      <c r="A10549" s="118"/>
      <c r="B10549" s="136"/>
    </row>
    <row r="10550" spans="1:2" x14ac:dyDescent="0.25">
      <c r="A10550" s="118"/>
      <c r="B10550" s="136"/>
    </row>
    <row r="10551" spans="1:2" x14ac:dyDescent="0.25">
      <c r="A10551" s="118"/>
      <c r="B10551" s="136"/>
    </row>
    <row r="10552" spans="1:2" x14ac:dyDescent="0.25">
      <c r="A10552" s="118"/>
      <c r="B10552" s="136"/>
    </row>
    <row r="10553" spans="1:2" x14ac:dyDescent="0.25">
      <c r="A10553" s="118"/>
      <c r="B10553" s="136"/>
    </row>
    <row r="10554" spans="1:2" x14ac:dyDescent="0.25">
      <c r="A10554" s="118"/>
      <c r="B10554" s="136"/>
    </row>
    <row r="10555" spans="1:2" x14ac:dyDescent="0.25">
      <c r="A10555" s="118"/>
      <c r="B10555" s="136"/>
    </row>
    <row r="10556" spans="1:2" x14ac:dyDescent="0.25">
      <c r="A10556" s="118"/>
      <c r="B10556" s="136"/>
    </row>
    <row r="10557" spans="1:2" x14ac:dyDescent="0.25">
      <c r="A10557" s="118"/>
      <c r="B10557" s="136"/>
    </row>
    <row r="10558" spans="1:2" x14ac:dyDescent="0.25">
      <c r="A10558" s="118"/>
      <c r="B10558" s="136"/>
    </row>
    <row r="10559" spans="1:2" x14ac:dyDescent="0.25">
      <c r="A10559" s="118"/>
      <c r="B10559" s="136"/>
    </row>
    <row r="10560" spans="1:2" x14ac:dyDescent="0.25">
      <c r="A10560" s="118"/>
      <c r="B10560" s="136"/>
    </row>
    <row r="10561" spans="1:2" x14ac:dyDescent="0.25">
      <c r="A10561" s="118"/>
      <c r="B10561" s="136"/>
    </row>
    <row r="10562" spans="1:2" x14ac:dyDescent="0.25">
      <c r="A10562" s="118"/>
      <c r="B10562" s="136"/>
    </row>
    <row r="10563" spans="1:2" x14ac:dyDescent="0.25">
      <c r="A10563" s="118"/>
      <c r="B10563" s="136"/>
    </row>
    <row r="10564" spans="1:2" x14ac:dyDescent="0.25">
      <c r="A10564" s="118"/>
      <c r="B10564" s="136"/>
    </row>
    <row r="10565" spans="1:2" x14ac:dyDescent="0.25">
      <c r="A10565" s="118"/>
      <c r="B10565" s="136"/>
    </row>
    <row r="10566" spans="1:2" x14ac:dyDescent="0.25">
      <c r="A10566" s="118"/>
      <c r="B10566" s="136"/>
    </row>
    <row r="10567" spans="1:2" x14ac:dyDescent="0.25">
      <c r="A10567" s="118"/>
      <c r="B10567" s="136"/>
    </row>
    <row r="10568" spans="1:2" x14ac:dyDescent="0.25">
      <c r="A10568" s="118"/>
      <c r="B10568" s="136"/>
    </row>
    <row r="10569" spans="1:2" x14ac:dyDescent="0.25">
      <c r="A10569" s="118"/>
      <c r="B10569" s="136"/>
    </row>
    <row r="10570" spans="1:2" x14ac:dyDescent="0.25">
      <c r="A10570" s="118"/>
      <c r="B10570" s="136"/>
    </row>
    <row r="10571" spans="1:2" x14ac:dyDescent="0.25">
      <c r="A10571" s="118"/>
      <c r="B10571" s="136"/>
    </row>
    <row r="10572" spans="1:2" x14ac:dyDescent="0.25">
      <c r="A10572" s="118"/>
      <c r="B10572" s="136"/>
    </row>
    <row r="10573" spans="1:2" x14ac:dyDescent="0.25">
      <c r="A10573" s="118"/>
      <c r="B10573" s="136"/>
    </row>
    <row r="10574" spans="1:2" x14ac:dyDescent="0.25">
      <c r="A10574" s="118"/>
      <c r="B10574" s="136"/>
    </row>
    <row r="10575" spans="1:2" x14ac:dyDescent="0.25">
      <c r="A10575" s="118"/>
      <c r="B10575" s="136"/>
    </row>
    <row r="10576" spans="1:2" x14ac:dyDescent="0.25">
      <c r="A10576" s="118"/>
      <c r="B10576" s="136"/>
    </row>
    <row r="10577" spans="1:2" x14ac:dyDescent="0.25">
      <c r="A10577" s="118"/>
      <c r="B10577" s="136"/>
    </row>
    <row r="10578" spans="1:2" x14ac:dyDescent="0.25">
      <c r="A10578" s="118"/>
      <c r="B10578" s="136"/>
    </row>
    <row r="10579" spans="1:2" x14ac:dyDescent="0.25">
      <c r="A10579" s="118"/>
      <c r="B10579" s="136"/>
    </row>
    <row r="10580" spans="1:2" x14ac:dyDescent="0.25">
      <c r="A10580" s="118"/>
      <c r="B10580" s="136"/>
    </row>
    <row r="10581" spans="1:2" x14ac:dyDescent="0.25">
      <c r="A10581" s="118"/>
      <c r="B10581" s="136"/>
    </row>
    <row r="10582" spans="1:2" x14ac:dyDescent="0.25">
      <c r="A10582" s="118"/>
      <c r="B10582" s="136"/>
    </row>
    <row r="10583" spans="1:2" x14ac:dyDescent="0.25">
      <c r="A10583" s="118"/>
      <c r="B10583" s="136"/>
    </row>
    <row r="10584" spans="1:2" x14ac:dyDescent="0.25">
      <c r="A10584" s="118"/>
      <c r="B10584" s="136"/>
    </row>
    <row r="10585" spans="1:2" x14ac:dyDescent="0.25">
      <c r="A10585" s="118"/>
      <c r="B10585" s="136"/>
    </row>
    <row r="10586" spans="1:2" x14ac:dyDescent="0.25">
      <c r="A10586" s="118"/>
      <c r="B10586" s="136"/>
    </row>
    <row r="10587" spans="1:2" x14ac:dyDescent="0.25">
      <c r="A10587" s="118"/>
      <c r="B10587" s="136"/>
    </row>
    <row r="10588" spans="1:2" x14ac:dyDescent="0.25">
      <c r="A10588" s="118"/>
      <c r="B10588" s="136"/>
    </row>
    <row r="10589" spans="1:2" x14ac:dyDescent="0.25">
      <c r="A10589" s="118"/>
      <c r="B10589" s="136"/>
    </row>
    <row r="10590" spans="1:2" x14ac:dyDescent="0.25">
      <c r="A10590" s="118"/>
      <c r="B10590" s="136"/>
    </row>
    <row r="10591" spans="1:2" x14ac:dyDescent="0.25">
      <c r="A10591" s="118"/>
      <c r="B10591" s="136"/>
    </row>
    <row r="10592" spans="1:2" x14ac:dyDescent="0.25">
      <c r="A10592" s="118"/>
      <c r="B10592" s="136"/>
    </row>
    <row r="10593" spans="1:2" x14ac:dyDescent="0.25">
      <c r="A10593" s="118"/>
      <c r="B10593" s="136"/>
    </row>
    <row r="10594" spans="1:2" x14ac:dyDescent="0.25">
      <c r="A10594" s="118"/>
      <c r="B10594" s="136"/>
    </row>
    <row r="10595" spans="1:2" x14ac:dyDescent="0.25">
      <c r="A10595" s="118"/>
      <c r="B10595" s="136"/>
    </row>
    <row r="10596" spans="1:2" x14ac:dyDescent="0.25">
      <c r="A10596" s="118"/>
      <c r="B10596" s="136"/>
    </row>
    <row r="10597" spans="1:2" x14ac:dyDescent="0.25">
      <c r="A10597" s="118"/>
      <c r="B10597" s="136"/>
    </row>
    <row r="10598" spans="1:2" x14ac:dyDescent="0.25">
      <c r="A10598" s="118"/>
      <c r="B10598" s="136"/>
    </row>
    <row r="10599" spans="1:2" x14ac:dyDescent="0.25">
      <c r="A10599" s="118"/>
      <c r="B10599" s="136"/>
    </row>
    <row r="10600" spans="1:2" x14ac:dyDescent="0.25">
      <c r="A10600" s="118"/>
      <c r="B10600" s="136"/>
    </row>
    <row r="10601" spans="1:2" x14ac:dyDescent="0.25">
      <c r="A10601" s="118"/>
      <c r="B10601" s="136"/>
    </row>
    <row r="10602" spans="1:2" x14ac:dyDescent="0.25">
      <c r="A10602" s="118"/>
      <c r="B10602" s="136"/>
    </row>
    <row r="10603" spans="1:2" x14ac:dyDescent="0.25">
      <c r="A10603" s="118"/>
      <c r="B10603" s="136"/>
    </row>
    <row r="10604" spans="1:2" x14ac:dyDescent="0.25">
      <c r="A10604" s="118"/>
      <c r="B10604" s="136"/>
    </row>
    <row r="10605" spans="1:2" x14ac:dyDescent="0.25">
      <c r="A10605" s="118"/>
      <c r="B10605" s="136"/>
    </row>
    <row r="10606" spans="1:2" x14ac:dyDescent="0.25">
      <c r="A10606" s="118"/>
      <c r="B10606" s="136"/>
    </row>
    <row r="10607" spans="1:2" x14ac:dyDescent="0.25">
      <c r="A10607" s="118"/>
      <c r="B10607" s="136"/>
    </row>
    <row r="10608" spans="1:2" x14ac:dyDescent="0.25">
      <c r="A10608" s="118"/>
      <c r="B10608" s="136"/>
    </row>
    <row r="10609" spans="1:2" x14ac:dyDescent="0.25">
      <c r="A10609" s="118"/>
      <c r="B10609" s="136"/>
    </row>
    <row r="10610" spans="1:2" x14ac:dyDescent="0.25">
      <c r="A10610" s="118"/>
      <c r="B10610" s="136"/>
    </row>
    <row r="10611" spans="1:2" x14ac:dyDescent="0.25">
      <c r="A10611" s="118"/>
      <c r="B10611" s="136"/>
    </row>
    <row r="10612" spans="1:2" x14ac:dyDescent="0.25">
      <c r="A10612" s="118"/>
      <c r="B10612" s="136"/>
    </row>
    <row r="10613" spans="1:2" x14ac:dyDescent="0.25">
      <c r="A10613" s="118"/>
      <c r="B10613" s="136"/>
    </row>
    <row r="10614" spans="1:2" x14ac:dyDescent="0.25">
      <c r="A10614" s="118"/>
      <c r="B10614" s="136"/>
    </row>
    <row r="10615" spans="1:2" x14ac:dyDescent="0.25">
      <c r="A10615" s="118"/>
      <c r="B10615" s="136"/>
    </row>
    <row r="10616" spans="1:2" x14ac:dyDescent="0.25">
      <c r="A10616" s="118"/>
      <c r="B10616" s="136"/>
    </row>
    <row r="10617" spans="1:2" x14ac:dyDescent="0.25">
      <c r="A10617" s="118"/>
      <c r="B10617" s="136"/>
    </row>
    <row r="10618" spans="1:2" x14ac:dyDescent="0.25">
      <c r="A10618" s="118"/>
      <c r="B10618" s="136"/>
    </row>
    <row r="10619" spans="1:2" x14ac:dyDescent="0.25">
      <c r="A10619" s="118"/>
      <c r="B10619" s="136"/>
    </row>
    <row r="10620" spans="1:2" x14ac:dyDescent="0.25">
      <c r="A10620" s="118"/>
      <c r="B10620" s="136"/>
    </row>
    <row r="10621" spans="1:2" x14ac:dyDescent="0.25">
      <c r="A10621" s="118"/>
      <c r="B10621" s="136"/>
    </row>
    <row r="10622" spans="1:2" x14ac:dyDescent="0.25">
      <c r="A10622" s="118"/>
      <c r="B10622" s="136"/>
    </row>
    <row r="10623" spans="1:2" x14ac:dyDescent="0.25">
      <c r="A10623" s="118"/>
      <c r="B10623" s="136"/>
    </row>
    <row r="10624" spans="1:2" x14ac:dyDescent="0.25">
      <c r="A10624" s="118"/>
      <c r="B10624" s="136"/>
    </row>
    <row r="10625" spans="1:2" x14ac:dyDescent="0.25">
      <c r="A10625" s="118"/>
      <c r="B10625" s="136"/>
    </row>
    <row r="10626" spans="1:2" x14ac:dyDescent="0.25">
      <c r="A10626" s="118"/>
      <c r="B10626" s="136"/>
    </row>
    <row r="10627" spans="1:2" x14ac:dyDescent="0.25">
      <c r="A10627" s="118"/>
      <c r="B10627" s="136"/>
    </row>
    <row r="10628" spans="1:2" x14ac:dyDescent="0.25">
      <c r="A10628" s="118"/>
      <c r="B10628" s="136"/>
    </row>
    <row r="10629" spans="1:2" x14ac:dyDescent="0.25">
      <c r="A10629" s="118"/>
      <c r="B10629" s="136"/>
    </row>
    <row r="10630" spans="1:2" x14ac:dyDescent="0.25">
      <c r="A10630" s="118"/>
      <c r="B10630" s="136"/>
    </row>
    <row r="10631" spans="1:2" x14ac:dyDescent="0.25">
      <c r="A10631" s="118"/>
      <c r="B10631" s="136"/>
    </row>
    <row r="10632" spans="1:2" x14ac:dyDescent="0.25">
      <c r="A10632" s="118"/>
      <c r="B10632" s="136"/>
    </row>
    <row r="10633" spans="1:2" x14ac:dyDescent="0.25">
      <c r="A10633" s="118"/>
      <c r="B10633" s="136"/>
    </row>
    <row r="10634" spans="1:2" x14ac:dyDescent="0.25">
      <c r="A10634" s="118"/>
      <c r="B10634" s="136"/>
    </row>
    <row r="10635" spans="1:2" x14ac:dyDescent="0.25">
      <c r="A10635" s="118"/>
      <c r="B10635" s="136"/>
    </row>
    <row r="10636" spans="1:2" x14ac:dyDescent="0.25">
      <c r="A10636" s="118"/>
      <c r="B10636" s="136"/>
    </row>
    <row r="10637" spans="1:2" x14ac:dyDescent="0.25">
      <c r="A10637" s="118"/>
      <c r="B10637" s="136"/>
    </row>
    <row r="10638" spans="1:2" x14ac:dyDescent="0.25">
      <c r="A10638" s="118"/>
      <c r="B10638" s="136"/>
    </row>
    <row r="10639" spans="1:2" x14ac:dyDescent="0.25">
      <c r="A10639" s="118"/>
      <c r="B10639" s="136"/>
    </row>
    <row r="10640" spans="1:2" x14ac:dyDescent="0.25">
      <c r="A10640" s="118"/>
      <c r="B10640" s="136"/>
    </row>
    <row r="10641" spans="1:2" x14ac:dyDescent="0.25">
      <c r="A10641" s="118"/>
      <c r="B10641" s="136"/>
    </row>
    <row r="10642" spans="1:2" x14ac:dyDescent="0.25">
      <c r="A10642" s="118"/>
      <c r="B10642" s="136"/>
    </row>
    <row r="10643" spans="1:2" x14ac:dyDescent="0.25">
      <c r="A10643" s="118"/>
      <c r="B10643" s="136"/>
    </row>
    <row r="10644" spans="1:2" x14ac:dyDescent="0.25">
      <c r="A10644" s="118"/>
      <c r="B10644" s="136"/>
    </row>
    <row r="10645" spans="1:2" x14ac:dyDescent="0.25">
      <c r="A10645" s="118"/>
      <c r="B10645" s="136"/>
    </row>
    <row r="10646" spans="1:2" x14ac:dyDescent="0.25">
      <c r="A10646" s="118"/>
      <c r="B10646" s="136"/>
    </row>
    <row r="10647" spans="1:2" x14ac:dyDescent="0.25">
      <c r="A10647" s="118"/>
      <c r="B10647" s="136"/>
    </row>
    <row r="10648" spans="1:2" x14ac:dyDescent="0.25">
      <c r="A10648" s="118"/>
      <c r="B10648" s="136"/>
    </row>
    <row r="10649" spans="1:2" x14ac:dyDescent="0.25">
      <c r="A10649" s="118"/>
      <c r="B10649" s="136"/>
    </row>
    <row r="10650" spans="1:2" x14ac:dyDescent="0.25">
      <c r="A10650" s="118"/>
      <c r="B10650" s="136"/>
    </row>
    <row r="10651" spans="1:2" x14ac:dyDescent="0.25">
      <c r="A10651" s="118"/>
      <c r="B10651" s="136"/>
    </row>
    <row r="10652" spans="1:2" x14ac:dyDescent="0.25">
      <c r="A10652" s="118"/>
      <c r="B10652" s="136"/>
    </row>
    <row r="10653" spans="1:2" x14ac:dyDescent="0.25">
      <c r="A10653" s="118"/>
      <c r="B10653" s="136"/>
    </row>
    <row r="10654" spans="1:2" x14ac:dyDescent="0.25">
      <c r="A10654" s="118"/>
      <c r="B10654" s="136"/>
    </row>
    <row r="10655" spans="1:2" x14ac:dyDescent="0.25">
      <c r="A10655" s="118"/>
      <c r="B10655" s="136"/>
    </row>
    <row r="10656" spans="1:2" x14ac:dyDescent="0.25">
      <c r="A10656" s="118"/>
      <c r="B10656" s="136"/>
    </row>
    <row r="10657" spans="1:2" x14ac:dyDescent="0.25">
      <c r="A10657" s="118"/>
      <c r="B10657" s="136"/>
    </row>
    <row r="10658" spans="1:2" x14ac:dyDescent="0.25">
      <c r="A10658" s="118"/>
      <c r="B10658" s="136"/>
    </row>
    <row r="10659" spans="1:2" x14ac:dyDescent="0.25">
      <c r="A10659" s="118"/>
      <c r="B10659" s="136"/>
    </row>
    <row r="10660" spans="1:2" x14ac:dyDescent="0.25">
      <c r="A10660" s="118"/>
      <c r="B10660" s="136"/>
    </row>
    <row r="10661" spans="1:2" x14ac:dyDescent="0.25">
      <c r="A10661" s="118"/>
      <c r="B10661" s="136"/>
    </row>
    <row r="10662" spans="1:2" x14ac:dyDescent="0.25">
      <c r="A10662" s="118"/>
      <c r="B10662" s="136"/>
    </row>
    <row r="10663" spans="1:2" x14ac:dyDescent="0.25">
      <c r="A10663" s="118"/>
      <c r="B10663" s="136"/>
    </row>
    <row r="10664" spans="1:2" x14ac:dyDescent="0.25">
      <c r="A10664" s="118"/>
      <c r="B10664" s="136"/>
    </row>
    <row r="10665" spans="1:2" x14ac:dyDescent="0.25">
      <c r="A10665" s="118"/>
      <c r="B10665" s="136"/>
    </row>
    <row r="10666" spans="1:2" x14ac:dyDescent="0.25">
      <c r="A10666" s="118"/>
      <c r="B10666" s="136"/>
    </row>
    <row r="10667" spans="1:2" x14ac:dyDescent="0.25">
      <c r="A10667" s="118"/>
      <c r="B10667" s="136"/>
    </row>
    <row r="10668" spans="1:2" x14ac:dyDescent="0.25">
      <c r="A10668" s="118"/>
      <c r="B10668" s="136"/>
    </row>
    <row r="10669" spans="1:2" x14ac:dyDescent="0.25">
      <c r="A10669" s="118"/>
      <c r="B10669" s="136"/>
    </row>
    <row r="10670" spans="1:2" x14ac:dyDescent="0.25">
      <c r="A10670" s="118"/>
      <c r="B10670" s="136"/>
    </row>
    <row r="10671" spans="1:2" x14ac:dyDescent="0.25">
      <c r="A10671" s="118"/>
      <c r="B10671" s="136"/>
    </row>
    <row r="10672" spans="1:2" x14ac:dyDescent="0.25">
      <c r="A10672" s="118"/>
      <c r="B10672" s="136"/>
    </row>
    <row r="10673" spans="1:2" x14ac:dyDescent="0.25">
      <c r="A10673" s="118"/>
      <c r="B10673" s="136"/>
    </row>
    <row r="10674" spans="1:2" x14ac:dyDescent="0.25">
      <c r="A10674" s="118"/>
      <c r="B10674" s="136"/>
    </row>
    <row r="10675" spans="1:2" x14ac:dyDescent="0.25">
      <c r="A10675" s="118"/>
      <c r="B10675" s="136"/>
    </row>
    <row r="10676" spans="1:2" x14ac:dyDescent="0.25">
      <c r="A10676" s="118"/>
      <c r="B10676" s="136"/>
    </row>
    <row r="10677" spans="1:2" x14ac:dyDescent="0.25">
      <c r="A10677" s="118"/>
      <c r="B10677" s="136"/>
    </row>
    <row r="10678" spans="1:2" x14ac:dyDescent="0.25">
      <c r="A10678" s="118"/>
      <c r="B10678" s="136"/>
    </row>
    <row r="10679" spans="1:2" x14ac:dyDescent="0.25">
      <c r="A10679" s="118"/>
      <c r="B10679" s="136"/>
    </row>
    <row r="10680" spans="1:2" x14ac:dyDescent="0.25">
      <c r="A10680" s="118"/>
      <c r="B10680" s="136"/>
    </row>
    <row r="10681" spans="1:2" x14ac:dyDescent="0.25">
      <c r="A10681" s="118"/>
      <c r="B10681" s="136"/>
    </row>
    <row r="10682" spans="1:2" x14ac:dyDescent="0.25">
      <c r="A10682" s="118"/>
      <c r="B10682" s="136"/>
    </row>
    <row r="10683" spans="1:2" x14ac:dyDescent="0.25">
      <c r="A10683" s="118"/>
      <c r="B10683" s="136"/>
    </row>
    <row r="10684" spans="1:2" x14ac:dyDescent="0.25">
      <c r="A10684" s="118"/>
      <c r="B10684" s="136"/>
    </row>
    <row r="10685" spans="1:2" x14ac:dyDescent="0.25">
      <c r="A10685" s="118"/>
      <c r="B10685" s="136"/>
    </row>
    <row r="10686" spans="1:2" x14ac:dyDescent="0.25">
      <c r="A10686" s="118"/>
      <c r="B10686" s="136"/>
    </row>
    <row r="10687" spans="1:2" x14ac:dyDescent="0.25">
      <c r="A10687" s="118"/>
      <c r="B10687" s="136"/>
    </row>
    <row r="10688" spans="1:2" x14ac:dyDescent="0.25">
      <c r="A10688" s="118"/>
      <c r="B10688" s="136"/>
    </row>
    <row r="10689" spans="1:2" x14ac:dyDescent="0.25">
      <c r="A10689" s="118"/>
      <c r="B10689" s="136"/>
    </row>
    <row r="10690" spans="1:2" x14ac:dyDescent="0.25">
      <c r="A10690" s="118"/>
      <c r="B10690" s="136"/>
    </row>
    <row r="10691" spans="1:2" x14ac:dyDescent="0.25">
      <c r="A10691" s="118"/>
      <c r="B10691" s="136"/>
    </row>
    <row r="10692" spans="1:2" x14ac:dyDescent="0.25">
      <c r="A10692" s="118"/>
      <c r="B10692" s="136"/>
    </row>
    <row r="10693" spans="1:2" x14ac:dyDescent="0.25">
      <c r="A10693" s="118"/>
      <c r="B10693" s="136"/>
    </row>
    <row r="10694" spans="1:2" x14ac:dyDescent="0.25">
      <c r="A10694" s="118"/>
      <c r="B10694" s="136"/>
    </row>
    <row r="10695" spans="1:2" x14ac:dyDescent="0.25">
      <c r="A10695" s="118"/>
      <c r="B10695" s="136"/>
    </row>
    <row r="10696" spans="1:2" x14ac:dyDescent="0.25">
      <c r="A10696" s="118"/>
      <c r="B10696" s="136"/>
    </row>
    <row r="10697" spans="1:2" x14ac:dyDescent="0.25">
      <c r="A10697" s="118"/>
      <c r="B10697" s="136"/>
    </row>
    <row r="10698" spans="1:2" x14ac:dyDescent="0.25">
      <c r="A10698" s="118"/>
      <c r="B10698" s="136"/>
    </row>
    <row r="10699" spans="1:2" x14ac:dyDescent="0.25">
      <c r="A10699" s="118"/>
      <c r="B10699" s="136"/>
    </row>
    <row r="10700" spans="1:2" x14ac:dyDescent="0.25">
      <c r="A10700" s="118"/>
      <c r="B10700" s="136"/>
    </row>
    <row r="10701" spans="1:2" x14ac:dyDescent="0.25">
      <c r="A10701" s="118"/>
      <c r="B10701" s="136"/>
    </row>
    <row r="10702" spans="1:2" x14ac:dyDescent="0.25">
      <c r="A10702" s="118"/>
      <c r="B10702" s="136"/>
    </row>
    <row r="10703" spans="1:2" x14ac:dyDescent="0.25">
      <c r="A10703" s="118"/>
      <c r="B10703" s="136"/>
    </row>
    <row r="10704" spans="1:2" x14ac:dyDescent="0.25">
      <c r="A10704" s="118"/>
      <c r="B10704" s="136"/>
    </row>
    <row r="10705" spans="1:2" x14ac:dyDescent="0.25">
      <c r="A10705" s="118"/>
      <c r="B10705" s="136"/>
    </row>
    <row r="10706" spans="1:2" x14ac:dyDescent="0.25">
      <c r="A10706" s="118"/>
      <c r="B10706" s="136"/>
    </row>
    <row r="10707" spans="1:2" x14ac:dyDescent="0.25">
      <c r="A10707" s="118"/>
      <c r="B10707" s="136"/>
    </row>
    <row r="10708" spans="1:2" x14ac:dyDescent="0.25">
      <c r="A10708" s="118"/>
      <c r="B10708" s="136"/>
    </row>
    <row r="10709" spans="1:2" x14ac:dyDescent="0.25">
      <c r="A10709" s="118"/>
      <c r="B10709" s="136"/>
    </row>
    <row r="10710" spans="1:2" x14ac:dyDescent="0.25">
      <c r="A10710" s="118"/>
      <c r="B10710" s="136"/>
    </row>
    <row r="10711" spans="1:2" x14ac:dyDescent="0.25">
      <c r="A10711" s="118"/>
      <c r="B10711" s="136"/>
    </row>
    <row r="10712" spans="1:2" x14ac:dyDescent="0.25">
      <c r="A10712" s="118"/>
      <c r="B10712" s="136"/>
    </row>
    <row r="10713" spans="1:2" x14ac:dyDescent="0.25">
      <c r="A10713" s="118"/>
      <c r="B10713" s="136"/>
    </row>
    <row r="10714" spans="1:2" x14ac:dyDescent="0.25">
      <c r="A10714" s="118"/>
      <c r="B10714" s="136"/>
    </row>
    <row r="10715" spans="1:2" x14ac:dyDescent="0.25">
      <c r="A10715" s="118"/>
      <c r="B10715" s="136"/>
    </row>
    <row r="10716" spans="1:2" x14ac:dyDescent="0.25">
      <c r="A10716" s="118"/>
      <c r="B10716" s="136"/>
    </row>
    <row r="10717" spans="1:2" x14ac:dyDescent="0.25">
      <c r="A10717" s="118"/>
      <c r="B10717" s="136"/>
    </row>
    <row r="10718" spans="1:2" x14ac:dyDescent="0.25">
      <c r="A10718" s="118"/>
      <c r="B10718" s="136"/>
    </row>
    <row r="10719" spans="1:2" x14ac:dyDescent="0.25">
      <c r="A10719" s="118"/>
      <c r="B10719" s="136"/>
    </row>
    <row r="10720" spans="1:2" x14ac:dyDescent="0.25">
      <c r="A10720" s="118"/>
      <c r="B10720" s="136"/>
    </row>
    <row r="10721" spans="1:2" x14ac:dyDescent="0.25">
      <c r="A10721" s="118"/>
      <c r="B10721" s="136"/>
    </row>
    <row r="10722" spans="1:2" x14ac:dyDescent="0.25">
      <c r="A10722" s="118"/>
      <c r="B10722" s="136"/>
    </row>
    <row r="10723" spans="1:2" x14ac:dyDescent="0.25">
      <c r="A10723" s="118"/>
      <c r="B10723" s="136"/>
    </row>
    <row r="10724" spans="1:2" x14ac:dyDescent="0.25">
      <c r="A10724" s="118"/>
      <c r="B10724" s="136"/>
    </row>
    <row r="10725" spans="1:2" x14ac:dyDescent="0.25">
      <c r="A10725" s="118"/>
      <c r="B10725" s="136"/>
    </row>
    <row r="10726" spans="1:2" x14ac:dyDescent="0.25">
      <c r="A10726" s="118"/>
      <c r="B10726" s="136"/>
    </row>
    <row r="10727" spans="1:2" x14ac:dyDescent="0.25">
      <c r="A10727" s="118"/>
      <c r="B10727" s="136"/>
    </row>
    <row r="10728" spans="1:2" x14ac:dyDescent="0.25">
      <c r="A10728" s="118"/>
      <c r="B10728" s="136"/>
    </row>
    <row r="10729" spans="1:2" x14ac:dyDescent="0.25">
      <c r="A10729" s="118"/>
      <c r="B10729" s="136"/>
    </row>
    <row r="10730" spans="1:2" x14ac:dyDescent="0.25">
      <c r="A10730" s="118"/>
      <c r="B10730" s="136"/>
    </row>
    <row r="10731" spans="1:2" x14ac:dyDescent="0.25">
      <c r="A10731" s="118"/>
      <c r="B10731" s="136"/>
    </row>
    <row r="10732" spans="1:2" x14ac:dyDescent="0.25">
      <c r="A10732" s="118"/>
      <c r="B10732" s="136"/>
    </row>
    <row r="10733" spans="1:2" x14ac:dyDescent="0.25">
      <c r="A10733" s="118"/>
      <c r="B10733" s="136"/>
    </row>
    <row r="10734" spans="1:2" x14ac:dyDescent="0.25">
      <c r="A10734" s="118"/>
      <c r="B10734" s="136"/>
    </row>
    <row r="10735" spans="1:2" x14ac:dyDescent="0.25">
      <c r="A10735" s="118"/>
      <c r="B10735" s="136"/>
    </row>
    <row r="10736" spans="1:2" x14ac:dyDescent="0.25">
      <c r="A10736" s="118"/>
      <c r="B10736" s="136"/>
    </row>
    <row r="10737" spans="1:2" x14ac:dyDescent="0.25">
      <c r="A10737" s="118"/>
      <c r="B10737" s="136"/>
    </row>
    <row r="10738" spans="1:2" x14ac:dyDescent="0.25">
      <c r="A10738" s="118"/>
      <c r="B10738" s="136"/>
    </row>
    <row r="10739" spans="1:2" x14ac:dyDescent="0.25">
      <c r="A10739" s="118"/>
      <c r="B10739" s="136"/>
    </row>
    <row r="10740" spans="1:2" x14ac:dyDescent="0.25">
      <c r="A10740" s="118"/>
      <c r="B10740" s="136"/>
    </row>
    <row r="10741" spans="1:2" x14ac:dyDescent="0.25">
      <c r="A10741" s="118"/>
      <c r="B10741" s="136"/>
    </row>
    <row r="10742" spans="1:2" x14ac:dyDescent="0.25">
      <c r="A10742" s="118"/>
      <c r="B10742" s="136"/>
    </row>
    <row r="10743" spans="1:2" x14ac:dyDescent="0.25">
      <c r="A10743" s="118"/>
      <c r="B10743" s="136"/>
    </row>
    <row r="10744" spans="1:2" x14ac:dyDescent="0.25">
      <c r="A10744" s="118"/>
      <c r="B10744" s="136"/>
    </row>
    <row r="10745" spans="1:2" x14ac:dyDescent="0.25">
      <c r="A10745" s="118"/>
      <c r="B10745" s="136"/>
    </row>
    <row r="10746" spans="1:2" x14ac:dyDescent="0.25">
      <c r="A10746" s="118"/>
      <c r="B10746" s="136"/>
    </row>
    <row r="10747" spans="1:2" x14ac:dyDescent="0.25">
      <c r="A10747" s="118"/>
      <c r="B10747" s="136"/>
    </row>
    <row r="10748" spans="1:2" x14ac:dyDescent="0.25">
      <c r="A10748" s="118"/>
      <c r="B10748" s="136"/>
    </row>
    <row r="10749" spans="1:2" x14ac:dyDescent="0.25">
      <c r="A10749" s="118"/>
      <c r="B10749" s="136"/>
    </row>
    <row r="10750" spans="1:2" x14ac:dyDescent="0.25">
      <c r="A10750" s="118"/>
      <c r="B10750" s="136"/>
    </row>
    <row r="10751" spans="1:2" x14ac:dyDescent="0.25">
      <c r="A10751" s="118"/>
      <c r="B10751" s="136"/>
    </row>
    <row r="10752" spans="1:2" x14ac:dyDescent="0.25">
      <c r="A10752" s="118"/>
      <c r="B10752" s="136"/>
    </row>
    <row r="10753" spans="1:2" x14ac:dyDescent="0.25">
      <c r="A10753" s="118"/>
      <c r="B10753" s="136"/>
    </row>
    <row r="10754" spans="1:2" x14ac:dyDescent="0.25">
      <c r="A10754" s="118"/>
      <c r="B10754" s="136"/>
    </row>
    <row r="10755" spans="1:2" x14ac:dyDescent="0.25">
      <c r="A10755" s="118"/>
      <c r="B10755" s="136"/>
    </row>
    <row r="10756" spans="1:2" x14ac:dyDescent="0.25">
      <c r="A10756" s="118"/>
      <c r="B10756" s="136"/>
    </row>
    <row r="10757" spans="1:2" x14ac:dyDescent="0.25">
      <c r="A10757" s="118"/>
      <c r="B10757" s="136"/>
    </row>
    <row r="10758" spans="1:2" x14ac:dyDescent="0.25">
      <c r="A10758" s="118"/>
      <c r="B10758" s="136"/>
    </row>
    <row r="10759" spans="1:2" x14ac:dyDescent="0.25">
      <c r="A10759" s="118"/>
      <c r="B10759" s="136"/>
    </row>
    <row r="10760" spans="1:2" x14ac:dyDescent="0.25">
      <c r="A10760" s="118"/>
      <c r="B10760" s="136"/>
    </row>
    <row r="10761" spans="1:2" x14ac:dyDescent="0.25">
      <c r="A10761" s="118"/>
      <c r="B10761" s="136"/>
    </row>
    <row r="10762" spans="1:2" x14ac:dyDescent="0.25">
      <c r="A10762" s="118"/>
      <c r="B10762" s="136"/>
    </row>
    <row r="10763" spans="1:2" x14ac:dyDescent="0.25">
      <c r="A10763" s="118"/>
      <c r="B10763" s="136"/>
    </row>
    <row r="10764" spans="1:2" x14ac:dyDescent="0.25">
      <c r="A10764" s="118"/>
      <c r="B10764" s="136"/>
    </row>
    <row r="10765" spans="1:2" x14ac:dyDescent="0.25">
      <c r="A10765" s="118"/>
      <c r="B10765" s="136"/>
    </row>
    <row r="10766" spans="1:2" x14ac:dyDescent="0.25">
      <c r="A10766" s="118"/>
      <c r="B10766" s="136"/>
    </row>
    <row r="10767" spans="1:2" x14ac:dyDescent="0.25">
      <c r="A10767" s="118"/>
      <c r="B10767" s="136"/>
    </row>
    <row r="10768" spans="1:2" x14ac:dyDescent="0.25">
      <c r="A10768" s="118"/>
      <c r="B10768" s="136"/>
    </row>
    <row r="10769" spans="1:2" x14ac:dyDescent="0.25">
      <c r="A10769" s="118"/>
      <c r="B10769" s="136"/>
    </row>
    <row r="10770" spans="1:2" x14ac:dyDescent="0.25">
      <c r="A10770" s="118"/>
      <c r="B10770" s="136"/>
    </row>
    <row r="10771" spans="1:2" x14ac:dyDescent="0.25">
      <c r="A10771" s="118"/>
      <c r="B10771" s="136"/>
    </row>
    <row r="10772" spans="1:2" x14ac:dyDescent="0.25">
      <c r="A10772" s="118"/>
      <c r="B10772" s="136"/>
    </row>
    <row r="10773" spans="1:2" x14ac:dyDescent="0.25">
      <c r="A10773" s="118"/>
      <c r="B10773" s="136"/>
    </row>
    <row r="10774" spans="1:2" x14ac:dyDescent="0.25">
      <c r="A10774" s="118"/>
      <c r="B10774" s="136"/>
    </row>
    <row r="10775" spans="1:2" x14ac:dyDescent="0.25">
      <c r="A10775" s="118"/>
      <c r="B10775" s="136"/>
    </row>
    <row r="10776" spans="1:2" x14ac:dyDescent="0.25">
      <c r="A10776" s="118"/>
      <c r="B10776" s="136"/>
    </row>
    <row r="10777" spans="1:2" x14ac:dyDescent="0.25">
      <c r="A10777" s="118"/>
      <c r="B10777" s="136"/>
    </row>
    <row r="10778" spans="1:2" x14ac:dyDescent="0.25">
      <c r="A10778" s="118"/>
      <c r="B10778" s="136"/>
    </row>
    <row r="10779" spans="1:2" x14ac:dyDescent="0.25">
      <c r="A10779" s="118"/>
      <c r="B10779" s="136"/>
    </row>
    <row r="10780" spans="1:2" x14ac:dyDescent="0.25">
      <c r="A10780" s="118"/>
      <c r="B10780" s="136"/>
    </row>
    <row r="10781" spans="1:2" x14ac:dyDescent="0.25">
      <c r="A10781" s="118"/>
      <c r="B10781" s="136"/>
    </row>
    <row r="10782" spans="1:2" x14ac:dyDescent="0.25">
      <c r="A10782" s="118"/>
      <c r="B10782" s="136"/>
    </row>
    <row r="10783" spans="1:2" x14ac:dyDescent="0.25">
      <c r="A10783" s="118"/>
      <c r="B10783" s="136"/>
    </row>
    <row r="10784" spans="1:2" x14ac:dyDescent="0.25">
      <c r="A10784" s="118"/>
      <c r="B10784" s="136"/>
    </row>
    <row r="10785" spans="1:2" x14ac:dyDescent="0.25">
      <c r="A10785" s="118"/>
      <c r="B10785" s="136"/>
    </row>
    <row r="10786" spans="1:2" x14ac:dyDescent="0.25">
      <c r="A10786" s="118"/>
      <c r="B10786" s="136"/>
    </row>
    <row r="10787" spans="1:2" x14ac:dyDescent="0.25">
      <c r="A10787" s="118"/>
      <c r="B10787" s="136"/>
    </row>
    <row r="10788" spans="1:2" x14ac:dyDescent="0.25">
      <c r="A10788" s="118"/>
      <c r="B10788" s="136"/>
    </row>
    <row r="10789" spans="1:2" x14ac:dyDescent="0.25">
      <c r="A10789" s="118"/>
      <c r="B10789" s="136"/>
    </row>
    <row r="10790" spans="1:2" x14ac:dyDescent="0.25">
      <c r="A10790" s="118"/>
      <c r="B10790" s="136"/>
    </row>
    <row r="10791" spans="1:2" x14ac:dyDescent="0.25">
      <c r="A10791" s="118"/>
      <c r="B10791" s="136"/>
    </row>
    <row r="10792" spans="1:2" x14ac:dyDescent="0.25">
      <c r="A10792" s="118"/>
      <c r="B10792" s="136"/>
    </row>
    <row r="10793" spans="1:2" x14ac:dyDescent="0.25">
      <c r="A10793" s="118"/>
      <c r="B10793" s="136"/>
    </row>
    <row r="10794" spans="1:2" x14ac:dyDescent="0.25">
      <c r="A10794" s="118"/>
      <c r="B10794" s="136"/>
    </row>
    <row r="10795" spans="1:2" x14ac:dyDescent="0.25">
      <c r="A10795" s="118"/>
      <c r="B10795" s="136"/>
    </row>
    <row r="10796" spans="1:2" x14ac:dyDescent="0.25">
      <c r="A10796" s="118"/>
      <c r="B10796" s="136"/>
    </row>
    <row r="10797" spans="1:2" x14ac:dyDescent="0.25">
      <c r="A10797" s="118"/>
      <c r="B10797" s="136"/>
    </row>
    <row r="10798" spans="1:2" x14ac:dyDescent="0.25">
      <c r="A10798" s="118"/>
      <c r="B10798" s="136"/>
    </row>
    <row r="10799" spans="1:2" x14ac:dyDescent="0.25">
      <c r="A10799" s="118"/>
      <c r="B10799" s="136"/>
    </row>
    <row r="10800" spans="1:2" x14ac:dyDescent="0.25">
      <c r="A10800" s="118"/>
      <c r="B10800" s="136"/>
    </row>
    <row r="10801" spans="1:2" x14ac:dyDescent="0.25">
      <c r="A10801" s="118"/>
      <c r="B10801" s="136"/>
    </row>
    <row r="10802" spans="1:2" x14ac:dyDescent="0.25">
      <c r="A10802" s="118"/>
      <c r="B10802" s="136"/>
    </row>
    <row r="10803" spans="1:2" x14ac:dyDescent="0.25">
      <c r="A10803" s="118"/>
      <c r="B10803" s="136"/>
    </row>
    <row r="10804" spans="1:2" x14ac:dyDescent="0.25">
      <c r="A10804" s="118"/>
      <c r="B10804" s="136"/>
    </row>
    <row r="10805" spans="1:2" x14ac:dyDescent="0.25">
      <c r="A10805" s="118"/>
      <c r="B10805" s="136"/>
    </row>
    <row r="10806" spans="1:2" x14ac:dyDescent="0.25">
      <c r="A10806" s="118"/>
      <c r="B10806" s="136"/>
    </row>
    <row r="10807" spans="1:2" x14ac:dyDescent="0.25">
      <c r="A10807" s="118"/>
      <c r="B10807" s="136"/>
    </row>
    <row r="10808" spans="1:2" x14ac:dyDescent="0.25">
      <c r="A10808" s="118"/>
      <c r="B10808" s="136"/>
    </row>
    <row r="10809" spans="1:2" x14ac:dyDescent="0.25">
      <c r="A10809" s="118"/>
      <c r="B10809" s="136"/>
    </row>
    <row r="10810" spans="1:2" x14ac:dyDescent="0.25">
      <c r="A10810" s="118"/>
      <c r="B10810" s="136"/>
    </row>
    <row r="10811" spans="1:2" x14ac:dyDescent="0.25">
      <c r="A10811" s="118"/>
      <c r="B10811" s="136"/>
    </row>
    <row r="10812" spans="1:2" x14ac:dyDescent="0.25">
      <c r="A10812" s="118"/>
      <c r="B10812" s="136"/>
    </row>
    <row r="10813" spans="1:2" x14ac:dyDescent="0.25">
      <c r="A10813" s="118"/>
      <c r="B10813" s="136"/>
    </row>
    <row r="10814" spans="1:2" x14ac:dyDescent="0.25">
      <c r="A10814" s="118"/>
      <c r="B10814" s="136"/>
    </row>
    <row r="10815" spans="1:2" x14ac:dyDescent="0.25">
      <c r="A10815" s="118"/>
      <c r="B10815" s="136"/>
    </row>
    <row r="10816" spans="1:2" x14ac:dyDescent="0.25">
      <c r="A10816" s="118"/>
      <c r="B10816" s="136"/>
    </row>
    <row r="10817" spans="1:2" x14ac:dyDescent="0.25">
      <c r="A10817" s="118"/>
      <c r="B10817" s="136"/>
    </row>
    <row r="10818" spans="1:2" x14ac:dyDescent="0.25">
      <c r="A10818" s="118"/>
      <c r="B10818" s="136"/>
    </row>
    <row r="10819" spans="1:2" x14ac:dyDescent="0.25">
      <c r="A10819" s="118"/>
      <c r="B10819" s="136"/>
    </row>
    <row r="10820" spans="1:2" x14ac:dyDescent="0.25">
      <c r="A10820" s="118"/>
      <c r="B10820" s="136"/>
    </row>
    <row r="10821" spans="1:2" x14ac:dyDescent="0.25">
      <c r="A10821" s="118"/>
      <c r="B10821" s="136"/>
    </row>
    <row r="10822" spans="1:2" x14ac:dyDescent="0.25">
      <c r="A10822" s="118"/>
      <c r="B10822" s="136"/>
    </row>
    <row r="10823" spans="1:2" x14ac:dyDescent="0.25">
      <c r="A10823" s="118"/>
      <c r="B10823" s="136"/>
    </row>
    <row r="10824" spans="1:2" x14ac:dyDescent="0.25">
      <c r="A10824" s="118"/>
      <c r="B10824" s="136"/>
    </row>
    <row r="10825" spans="1:2" x14ac:dyDescent="0.25">
      <c r="A10825" s="118"/>
      <c r="B10825" s="136"/>
    </row>
    <row r="10826" spans="1:2" x14ac:dyDescent="0.25">
      <c r="A10826" s="118"/>
      <c r="B10826" s="136"/>
    </row>
    <row r="10827" spans="1:2" x14ac:dyDescent="0.25">
      <c r="A10827" s="118"/>
      <c r="B10827" s="136"/>
    </row>
    <row r="10828" spans="1:2" x14ac:dyDescent="0.25">
      <c r="A10828" s="118"/>
      <c r="B10828" s="136"/>
    </row>
    <row r="10829" spans="1:2" x14ac:dyDescent="0.25">
      <c r="A10829" s="118"/>
      <c r="B10829" s="136"/>
    </row>
    <row r="10830" spans="1:2" x14ac:dyDescent="0.25">
      <c r="A10830" s="118"/>
      <c r="B10830" s="136"/>
    </row>
    <row r="10831" spans="1:2" x14ac:dyDescent="0.25">
      <c r="A10831" s="118"/>
      <c r="B10831" s="136"/>
    </row>
    <row r="10832" spans="1:2" x14ac:dyDescent="0.25">
      <c r="A10832" s="118"/>
      <c r="B10832" s="136"/>
    </row>
    <row r="10833" spans="1:2" x14ac:dyDescent="0.25">
      <c r="A10833" s="118"/>
      <c r="B10833" s="136"/>
    </row>
    <row r="10834" spans="1:2" x14ac:dyDescent="0.25">
      <c r="A10834" s="118"/>
      <c r="B10834" s="136"/>
    </row>
    <row r="10835" spans="1:2" x14ac:dyDescent="0.25">
      <c r="A10835" s="118"/>
      <c r="B10835" s="136"/>
    </row>
    <row r="10836" spans="1:2" x14ac:dyDescent="0.25">
      <c r="A10836" s="118"/>
      <c r="B10836" s="136"/>
    </row>
    <row r="10837" spans="1:2" x14ac:dyDescent="0.25">
      <c r="A10837" s="118"/>
      <c r="B10837" s="136"/>
    </row>
    <row r="10838" spans="1:2" x14ac:dyDescent="0.25">
      <c r="A10838" s="118"/>
      <c r="B10838" s="136"/>
    </row>
    <row r="10839" spans="1:2" x14ac:dyDescent="0.25">
      <c r="A10839" s="118"/>
      <c r="B10839" s="136"/>
    </row>
    <row r="10840" spans="1:2" x14ac:dyDescent="0.25">
      <c r="A10840" s="118"/>
      <c r="B10840" s="136"/>
    </row>
    <row r="10841" spans="1:2" x14ac:dyDescent="0.25">
      <c r="A10841" s="118"/>
      <c r="B10841" s="136"/>
    </row>
    <row r="10842" spans="1:2" x14ac:dyDescent="0.25">
      <c r="A10842" s="118"/>
      <c r="B10842" s="136"/>
    </row>
    <row r="10843" spans="1:2" x14ac:dyDescent="0.25">
      <c r="A10843" s="118"/>
      <c r="B10843" s="136"/>
    </row>
    <row r="10844" spans="1:2" x14ac:dyDescent="0.25">
      <c r="A10844" s="118"/>
      <c r="B10844" s="136"/>
    </row>
    <row r="10845" spans="1:2" x14ac:dyDescent="0.25">
      <c r="A10845" s="118"/>
      <c r="B10845" s="136"/>
    </row>
    <row r="10846" spans="1:2" x14ac:dyDescent="0.25">
      <c r="A10846" s="118"/>
      <c r="B10846" s="136"/>
    </row>
    <row r="10847" spans="1:2" x14ac:dyDescent="0.25">
      <c r="A10847" s="118"/>
      <c r="B10847" s="136"/>
    </row>
    <row r="10848" spans="1:2" x14ac:dyDescent="0.25">
      <c r="A10848" s="118"/>
      <c r="B10848" s="136"/>
    </row>
    <row r="10849" spans="1:2" x14ac:dyDescent="0.25">
      <c r="A10849" s="118"/>
      <c r="B10849" s="136"/>
    </row>
    <row r="10850" spans="1:2" x14ac:dyDescent="0.25">
      <c r="A10850" s="118"/>
      <c r="B10850" s="136"/>
    </row>
    <row r="10851" spans="1:2" x14ac:dyDescent="0.25">
      <c r="A10851" s="118"/>
      <c r="B10851" s="136"/>
    </row>
    <row r="10852" spans="1:2" x14ac:dyDescent="0.25">
      <c r="A10852" s="118"/>
      <c r="B10852" s="136"/>
    </row>
    <row r="10853" spans="1:2" x14ac:dyDescent="0.25">
      <c r="A10853" s="118"/>
      <c r="B10853" s="136"/>
    </row>
    <row r="10854" spans="1:2" x14ac:dyDescent="0.25">
      <c r="A10854" s="118"/>
      <c r="B10854" s="136"/>
    </row>
    <row r="10855" spans="1:2" x14ac:dyDescent="0.25">
      <c r="A10855" s="118"/>
      <c r="B10855" s="136"/>
    </row>
    <row r="10856" spans="1:2" x14ac:dyDescent="0.25">
      <c r="A10856" s="118"/>
      <c r="B10856" s="136"/>
    </row>
    <row r="10857" spans="1:2" x14ac:dyDescent="0.25">
      <c r="A10857" s="118"/>
      <c r="B10857" s="136"/>
    </row>
    <row r="10858" spans="1:2" x14ac:dyDescent="0.25">
      <c r="A10858" s="118"/>
      <c r="B10858" s="136"/>
    </row>
    <row r="10859" spans="1:2" x14ac:dyDescent="0.25">
      <c r="A10859" s="118"/>
      <c r="B10859" s="136"/>
    </row>
    <row r="10860" spans="1:2" x14ac:dyDescent="0.25">
      <c r="A10860" s="118"/>
      <c r="B10860" s="136"/>
    </row>
    <row r="10861" spans="1:2" x14ac:dyDescent="0.25">
      <c r="A10861" s="118"/>
      <c r="B10861" s="136"/>
    </row>
    <row r="10862" spans="1:2" x14ac:dyDescent="0.25">
      <c r="A10862" s="118"/>
      <c r="B10862" s="136"/>
    </row>
    <row r="10863" spans="1:2" x14ac:dyDescent="0.25">
      <c r="A10863" s="118"/>
      <c r="B10863" s="136"/>
    </row>
    <row r="10864" spans="1:2" x14ac:dyDescent="0.25">
      <c r="A10864" s="118"/>
      <c r="B10864" s="136"/>
    </row>
    <row r="10865" spans="1:2" x14ac:dyDescent="0.25">
      <c r="A10865" s="118"/>
      <c r="B10865" s="136"/>
    </row>
    <row r="10866" spans="1:2" x14ac:dyDescent="0.25">
      <c r="A10866" s="118"/>
      <c r="B10866" s="136"/>
    </row>
    <row r="10867" spans="1:2" x14ac:dyDescent="0.25">
      <c r="A10867" s="118"/>
      <c r="B10867" s="136"/>
    </row>
    <row r="10868" spans="1:2" x14ac:dyDescent="0.25">
      <c r="A10868" s="118"/>
      <c r="B10868" s="136"/>
    </row>
    <row r="10869" spans="1:2" x14ac:dyDescent="0.25">
      <c r="A10869" s="118"/>
      <c r="B10869" s="136"/>
    </row>
    <row r="10870" spans="1:2" x14ac:dyDescent="0.25">
      <c r="A10870" s="118"/>
      <c r="B10870" s="136"/>
    </row>
    <row r="10871" spans="1:2" x14ac:dyDescent="0.25">
      <c r="A10871" s="118"/>
      <c r="B10871" s="136"/>
    </row>
    <row r="10872" spans="1:2" x14ac:dyDescent="0.25">
      <c r="A10872" s="118"/>
      <c r="B10872" s="136"/>
    </row>
    <row r="10873" spans="1:2" x14ac:dyDescent="0.25">
      <c r="A10873" s="118"/>
      <c r="B10873" s="136"/>
    </row>
    <row r="10874" spans="1:2" x14ac:dyDescent="0.25">
      <c r="A10874" s="118"/>
      <c r="B10874" s="136"/>
    </row>
    <row r="10875" spans="1:2" x14ac:dyDescent="0.25">
      <c r="A10875" s="118"/>
      <c r="B10875" s="136"/>
    </row>
    <row r="10876" spans="1:2" x14ac:dyDescent="0.25">
      <c r="A10876" s="118"/>
      <c r="B10876" s="136"/>
    </row>
    <row r="10877" spans="1:2" x14ac:dyDescent="0.25">
      <c r="A10877" s="118"/>
      <c r="B10877" s="136"/>
    </row>
    <row r="10878" spans="1:2" x14ac:dyDescent="0.25">
      <c r="A10878" s="118"/>
      <c r="B10878" s="136"/>
    </row>
    <row r="10879" spans="1:2" x14ac:dyDescent="0.25">
      <c r="A10879" s="118"/>
      <c r="B10879" s="136"/>
    </row>
    <row r="10880" spans="1:2" x14ac:dyDescent="0.25">
      <c r="A10880" s="118"/>
      <c r="B10880" s="136"/>
    </row>
    <row r="10881" spans="1:2" x14ac:dyDescent="0.25">
      <c r="A10881" s="118"/>
      <c r="B10881" s="136"/>
    </row>
    <row r="10882" spans="1:2" x14ac:dyDescent="0.25">
      <c r="A10882" s="118"/>
      <c r="B10882" s="136"/>
    </row>
    <row r="10883" spans="1:2" x14ac:dyDescent="0.25">
      <c r="A10883" s="118"/>
      <c r="B10883" s="136"/>
    </row>
    <row r="10884" spans="1:2" x14ac:dyDescent="0.25">
      <c r="A10884" s="118"/>
      <c r="B10884" s="136"/>
    </row>
    <row r="10885" spans="1:2" x14ac:dyDescent="0.25">
      <c r="A10885" s="118"/>
      <c r="B10885" s="136"/>
    </row>
    <row r="10886" spans="1:2" x14ac:dyDescent="0.25">
      <c r="A10886" s="118"/>
      <c r="B10886" s="136"/>
    </row>
    <row r="10887" spans="1:2" x14ac:dyDescent="0.25">
      <c r="A10887" s="118"/>
      <c r="B10887" s="136"/>
    </row>
    <row r="10888" spans="1:2" x14ac:dyDescent="0.25">
      <c r="A10888" s="118"/>
      <c r="B10888" s="136"/>
    </row>
    <row r="10889" spans="1:2" x14ac:dyDescent="0.25">
      <c r="A10889" s="118"/>
      <c r="B10889" s="136"/>
    </row>
    <row r="10890" spans="1:2" x14ac:dyDescent="0.25">
      <c r="A10890" s="118"/>
      <c r="B10890" s="136"/>
    </row>
    <row r="10891" spans="1:2" x14ac:dyDescent="0.25">
      <c r="A10891" s="118"/>
      <c r="B10891" s="136"/>
    </row>
    <row r="10892" spans="1:2" x14ac:dyDescent="0.25">
      <c r="A10892" s="118"/>
      <c r="B10892" s="136"/>
    </row>
    <row r="10893" spans="1:2" x14ac:dyDescent="0.25">
      <c r="A10893" s="118"/>
      <c r="B10893" s="136"/>
    </row>
    <row r="10894" spans="1:2" x14ac:dyDescent="0.25">
      <c r="A10894" s="118"/>
      <c r="B10894" s="136"/>
    </row>
    <row r="10895" spans="1:2" x14ac:dyDescent="0.25">
      <c r="A10895" s="118"/>
      <c r="B10895" s="136"/>
    </row>
    <row r="10896" spans="1:2" x14ac:dyDescent="0.25">
      <c r="A10896" s="118"/>
      <c r="B10896" s="136"/>
    </row>
    <row r="10897" spans="1:2" x14ac:dyDescent="0.25">
      <c r="A10897" s="118"/>
      <c r="B10897" s="136"/>
    </row>
    <row r="10898" spans="1:2" x14ac:dyDescent="0.25">
      <c r="A10898" s="118"/>
      <c r="B10898" s="136"/>
    </row>
    <row r="10899" spans="1:2" x14ac:dyDescent="0.25">
      <c r="A10899" s="118"/>
      <c r="B10899" s="136"/>
    </row>
    <row r="10900" spans="1:2" x14ac:dyDescent="0.25">
      <c r="A10900" s="118"/>
      <c r="B10900" s="136"/>
    </row>
    <row r="10901" spans="1:2" x14ac:dyDescent="0.25">
      <c r="A10901" s="118"/>
      <c r="B10901" s="136"/>
    </row>
    <row r="10902" spans="1:2" x14ac:dyDescent="0.25">
      <c r="A10902" s="118"/>
      <c r="B10902" s="136"/>
    </row>
    <row r="10903" spans="1:2" x14ac:dyDescent="0.25">
      <c r="A10903" s="118"/>
      <c r="B10903" s="136"/>
    </row>
    <row r="10904" spans="1:2" x14ac:dyDescent="0.25">
      <c r="A10904" s="118"/>
      <c r="B10904" s="136"/>
    </row>
    <row r="10905" spans="1:2" x14ac:dyDescent="0.25">
      <c r="A10905" s="118"/>
      <c r="B10905" s="136"/>
    </row>
    <row r="10906" spans="1:2" x14ac:dyDescent="0.25">
      <c r="A10906" s="118"/>
      <c r="B10906" s="136"/>
    </row>
    <row r="10907" spans="1:2" x14ac:dyDescent="0.25">
      <c r="A10907" s="118"/>
      <c r="B10907" s="136"/>
    </row>
    <row r="10908" spans="1:2" x14ac:dyDescent="0.25">
      <c r="A10908" s="118"/>
      <c r="B10908" s="136"/>
    </row>
    <row r="10909" spans="1:2" x14ac:dyDescent="0.25">
      <c r="A10909" s="118"/>
      <c r="B10909" s="136"/>
    </row>
    <row r="10910" spans="1:2" x14ac:dyDescent="0.25">
      <c r="A10910" s="118"/>
      <c r="B10910" s="136"/>
    </row>
    <row r="10911" spans="1:2" x14ac:dyDescent="0.25">
      <c r="A10911" s="118"/>
      <c r="B10911" s="136"/>
    </row>
    <row r="10912" spans="1:2" x14ac:dyDescent="0.25">
      <c r="A10912" s="118"/>
      <c r="B10912" s="136"/>
    </row>
    <row r="10913" spans="1:2" x14ac:dyDescent="0.25">
      <c r="A10913" s="118"/>
      <c r="B10913" s="136"/>
    </row>
    <row r="10914" spans="1:2" x14ac:dyDescent="0.25">
      <c r="A10914" s="118"/>
      <c r="B10914" s="136"/>
    </row>
    <row r="10915" spans="1:2" x14ac:dyDescent="0.25">
      <c r="A10915" s="118"/>
      <c r="B10915" s="136"/>
    </row>
    <row r="10916" spans="1:2" x14ac:dyDescent="0.25">
      <c r="A10916" s="118"/>
      <c r="B10916" s="136"/>
    </row>
    <row r="10917" spans="1:2" x14ac:dyDescent="0.25">
      <c r="A10917" s="118"/>
      <c r="B10917" s="136"/>
    </row>
    <row r="10918" spans="1:2" x14ac:dyDescent="0.25">
      <c r="A10918" s="118"/>
      <c r="B10918" s="136"/>
    </row>
    <row r="10919" spans="1:2" x14ac:dyDescent="0.25">
      <c r="A10919" s="118"/>
      <c r="B10919" s="136"/>
    </row>
    <row r="10920" spans="1:2" x14ac:dyDescent="0.25">
      <c r="A10920" s="118"/>
      <c r="B10920" s="136"/>
    </row>
    <row r="10921" spans="1:2" x14ac:dyDescent="0.25">
      <c r="A10921" s="118"/>
      <c r="B10921" s="136"/>
    </row>
    <row r="10922" spans="1:2" x14ac:dyDescent="0.25">
      <c r="A10922" s="118"/>
      <c r="B10922" s="136"/>
    </row>
    <row r="10923" spans="1:2" x14ac:dyDescent="0.25">
      <c r="A10923" s="118"/>
      <c r="B10923" s="136"/>
    </row>
    <row r="10924" spans="1:2" x14ac:dyDescent="0.25">
      <c r="A10924" s="118"/>
      <c r="B10924" s="136"/>
    </row>
    <row r="10925" spans="1:2" x14ac:dyDescent="0.25">
      <c r="A10925" s="118"/>
      <c r="B10925" s="136"/>
    </row>
    <row r="10926" spans="1:2" x14ac:dyDescent="0.25">
      <c r="A10926" s="118"/>
      <c r="B10926" s="136"/>
    </row>
    <row r="10927" spans="1:2" x14ac:dyDescent="0.25">
      <c r="A10927" s="118"/>
      <c r="B10927" s="136"/>
    </row>
    <row r="10928" spans="1:2" x14ac:dyDescent="0.25">
      <c r="A10928" s="118"/>
      <c r="B10928" s="136"/>
    </row>
    <row r="10929" spans="1:2" x14ac:dyDescent="0.25">
      <c r="A10929" s="118"/>
      <c r="B10929" s="136"/>
    </row>
    <row r="10930" spans="1:2" x14ac:dyDescent="0.25">
      <c r="A10930" s="118"/>
      <c r="B10930" s="136"/>
    </row>
    <row r="10931" spans="1:2" x14ac:dyDescent="0.25">
      <c r="A10931" s="118"/>
      <c r="B10931" s="136"/>
    </row>
    <row r="10932" spans="1:2" x14ac:dyDescent="0.25">
      <c r="A10932" s="118"/>
      <c r="B10932" s="136"/>
    </row>
    <row r="10933" spans="1:2" x14ac:dyDescent="0.25">
      <c r="A10933" s="118"/>
      <c r="B10933" s="136"/>
    </row>
    <row r="10934" spans="1:2" x14ac:dyDescent="0.25">
      <c r="A10934" s="118"/>
      <c r="B10934" s="136"/>
    </row>
    <row r="10935" spans="1:2" x14ac:dyDescent="0.25">
      <c r="A10935" s="118"/>
      <c r="B10935" s="136"/>
    </row>
    <row r="10936" spans="1:2" x14ac:dyDescent="0.25">
      <c r="A10936" s="118"/>
      <c r="B10936" s="136"/>
    </row>
    <row r="10937" spans="1:2" x14ac:dyDescent="0.25">
      <c r="A10937" s="118"/>
      <c r="B10937" s="136"/>
    </row>
    <row r="10938" spans="1:2" x14ac:dyDescent="0.25">
      <c r="A10938" s="118"/>
      <c r="B10938" s="136"/>
    </row>
    <row r="10939" spans="1:2" x14ac:dyDescent="0.25">
      <c r="A10939" s="118"/>
      <c r="B10939" s="136"/>
    </row>
    <row r="10940" spans="1:2" x14ac:dyDescent="0.25">
      <c r="A10940" s="118"/>
      <c r="B10940" s="136"/>
    </row>
    <row r="10941" spans="1:2" x14ac:dyDescent="0.25">
      <c r="A10941" s="118"/>
      <c r="B10941" s="136"/>
    </row>
    <row r="10942" spans="1:2" x14ac:dyDescent="0.25">
      <c r="A10942" s="118"/>
      <c r="B10942" s="136"/>
    </row>
    <row r="10943" spans="1:2" x14ac:dyDescent="0.25">
      <c r="A10943" s="118"/>
      <c r="B10943" s="136"/>
    </row>
    <row r="10944" spans="1:2" x14ac:dyDescent="0.25">
      <c r="A10944" s="118"/>
      <c r="B10944" s="136"/>
    </row>
    <row r="10945" spans="1:2" x14ac:dyDescent="0.25">
      <c r="A10945" s="118"/>
      <c r="B10945" s="136"/>
    </row>
    <row r="10946" spans="1:2" x14ac:dyDescent="0.25">
      <c r="A10946" s="118"/>
      <c r="B10946" s="136"/>
    </row>
    <row r="10947" spans="1:2" x14ac:dyDescent="0.25">
      <c r="A10947" s="118"/>
      <c r="B10947" s="136"/>
    </row>
    <row r="10948" spans="1:2" x14ac:dyDescent="0.25">
      <c r="A10948" s="118"/>
      <c r="B10948" s="136"/>
    </row>
    <row r="10949" spans="1:2" x14ac:dyDescent="0.25">
      <c r="A10949" s="118"/>
      <c r="B10949" s="136"/>
    </row>
    <row r="10950" spans="1:2" x14ac:dyDescent="0.25">
      <c r="A10950" s="118"/>
      <c r="B10950" s="136"/>
    </row>
    <row r="10951" spans="1:2" x14ac:dyDescent="0.25">
      <c r="A10951" s="118"/>
      <c r="B10951" s="136"/>
    </row>
    <row r="10952" spans="1:2" x14ac:dyDescent="0.25">
      <c r="A10952" s="118"/>
      <c r="B10952" s="136"/>
    </row>
    <row r="10953" spans="1:2" x14ac:dyDescent="0.25">
      <c r="A10953" s="118"/>
      <c r="B10953" s="136"/>
    </row>
    <row r="10954" spans="1:2" x14ac:dyDescent="0.25">
      <c r="A10954" s="118"/>
      <c r="B10954" s="136"/>
    </row>
    <row r="10955" spans="1:2" x14ac:dyDescent="0.25">
      <c r="A10955" s="118"/>
      <c r="B10955" s="136"/>
    </row>
    <row r="10956" spans="1:2" x14ac:dyDescent="0.25">
      <c r="A10956" s="118"/>
      <c r="B10956" s="136"/>
    </row>
    <row r="10957" spans="1:2" x14ac:dyDescent="0.25">
      <c r="A10957" s="118"/>
      <c r="B10957" s="136"/>
    </row>
    <row r="10958" spans="1:2" x14ac:dyDescent="0.25">
      <c r="A10958" s="118"/>
      <c r="B10958" s="136"/>
    </row>
    <row r="10959" spans="1:2" x14ac:dyDescent="0.25">
      <c r="A10959" s="118"/>
      <c r="B10959" s="136"/>
    </row>
    <row r="10960" spans="1:2" x14ac:dyDescent="0.25">
      <c r="A10960" s="118"/>
      <c r="B10960" s="136"/>
    </row>
    <row r="10961" spans="1:2" x14ac:dyDescent="0.25">
      <c r="A10961" s="118"/>
      <c r="B10961" s="136"/>
    </row>
    <row r="10962" spans="1:2" x14ac:dyDescent="0.25">
      <c r="A10962" s="118"/>
      <c r="B10962" s="136"/>
    </row>
    <row r="10963" spans="1:2" x14ac:dyDescent="0.25">
      <c r="A10963" s="118"/>
      <c r="B10963" s="136"/>
    </row>
    <row r="10964" spans="1:2" x14ac:dyDescent="0.25">
      <c r="A10964" s="118"/>
      <c r="B10964" s="136"/>
    </row>
    <row r="10965" spans="1:2" x14ac:dyDescent="0.25">
      <c r="A10965" s="118"/>
      <c r="B10965" s="136"/>
    </row>
    <row r="10966" spans="1:2" x14ac:dyDescent="0.25">
      <c r="A10966" s="118"/>
      <c r="B10966" s="136"/>
    </row>
    <row r="10967" spans="1:2" x14ac:dyDescent="0.25">
      <c r="A10967" s="118"/>
      <c r="B10967" s="136"/>
    </row>
    <row r="10968" spans="1:2" x14ac:dyDescent="0.25">
      <c r="A10968" s="118"/>
      <c r="B10968" s="136"/>
    </row>
    <row r="10969" spans="1:2" x14ac:dyDescent="0.25">
      <c r="A10969" s="118"/>
      <c r="B10969" s="136"/>
    </row>
    <row r="10970" spans="1:2" x14ac:dyDescent="0.25">
      <c r="A10970" s="118"/>
      <c r="B10970" s="136"/>
    </row>
    <row r="10971" spans="1:2" x14ac:dyDescent="0.25">
      <c r="A10971" s="118"/>
      <c r="B10971" s="136"/>
    </row>
    <row r="10972" spans="1:2" x14ac:dyDescent="0.25">
      <c r="A10972" s="118"/>
      <c r="B10972" s="136"/>
    </row>
    <row r="10973" spans="1:2" x14ac:dyDescent="0.25">
      <c r="A10973" s="118"/>
      <c r="B10973" s="136"/>
    </row>
    <row r="10974" spans="1:2" x14ac:dyDescent="0.25">
      <c r="A10974" s="118"/>
      <c r="B10974" s="136"/>
    </row>
    <row r="10975" spans="1:2" x14ac:dyDescent="0.25">
      <c r="A10975" s="118"/>
      <c r="B10975" s="136"/>
    </row>
    <row r="10976" spans="1:2" x14ac:dyDescent="0.25">
      <c r="A10976" s="118"/>
      <c r="B10976" s="136"/>
    </row>
    <row r="10977" spans="1:2" x14ac:dyDescent="0.25">
      <c r="A10977" s="118"/>
      <c r="B10977" s="136"/>
    </row>
    <row r="10978" spans="1:2" x14ac:dyDescent="0.25">
      <c r="A10978" s="118"/>
      <c r="B10978" s="136"/>
    </row>
    <row r="10979" spans="1:2" x14ac:dyDescent="0.25">
      <c r="A10979" s="118"/>
      <c r="B10979" s="136"/>
    </row>
    <row r="10980" spans="1:2" x14ac:dyDescent="0.25">
      <c r="A10980" s="118"/>
      <c r="B10980" s="136"/>
    </row>
    <row r="10981" spans="1:2" x14ac:dyDescent="0.25">
      <c r="A10981" s="118"/>
      <c r="B10981" s="136"/>
    </row>
    <row r="10982" spans="1:2" x14ac:dyDescent="0.25">
      <c r="A10982" s="118"/>
      <c r="B10982" s="136"/>
    </row>
    <row r="10983" spans="1:2" x14ac:dyDescent="0.25">
      <c r="A10983" s="118"/>
      <c r="B10983" s="136"/>
    </row>
    <row r="10984" spans="1:2" x14ac:dyDescent="0.25">
      <c r="A10984" s="118"/>
      <c r="B10984" s="136"/>
    </row>
    <row r="10985" spans="1:2" x14ac:dyDescent="0.25">
      <c r="A10985" s="118"/>
      <c r="B10985" s="136"/>
    </row>
    <row r="10986" spans="1:2" x14ac:dyDescent="0.25">
      <c r="A10986" s="118"/>
      <c r="B10986" s="136"/>
    </row>
    <row r="10987" spans="1:2" x14ac:dyDescent="0.25">
      <c r="A10987" s="118"/>
      <c r="B10987" s="136"/>
    </row>
    <row r="10988" spans="1:2" x14ac:dyDescent="0.25">
      <c r="A10988" s="118"/>
      <c r="B10988" s="136"/>
    </row>
    <row r="10989" spans="1:2" x14ac:dyDescent="0.25">
      <c r="A10989" s="118"/>
      <c r="B10989" s="136"/>
    </row>
    <row r="10990" spans="1:2" x14ac:dyDescent="0.25">
      <c r="A10990" s="118"/>
      <c r="B10990" s="136"/>
    </row>
    <row r="10991" spans="1:2" x14ac:dyDescent="0.25">
      <c r="A10991" s="118"/>
      <c r="B10991" s="136"/>
    </row>
    <row r="10992" spans="1:2" x14ac:dyDescent="0.25">
      <c r="A10992" s="118"/>
      <c r="B10992" s="136"/>
    </row>
    <row r="10993" spans="1:2" x14ac:dyDescent="0.25">
      <c r="A10993" s="118"/>
      <c r="B10993" s="136"/>
    </row>
    <row r="10994" spans="1:2" x14ac:dyDescent="0.25">
      <c r="A10994" s="118"/>
      <c r="B10994" s="136"/>
    </row>
    <row r="10995" spans="1:2" x14ac:dyDescent="0.25">
      <c r="A10995" s="118"/>
      <c r="B10995" s="136"/>
    </row>
    <row r="10996" spans="1:2" x14ac:dyDescent="0.25">
      <c r="A10996" s="118"/>
      <c r="B10996" s="136"/>
    </row>
    <row r="10997" spans="1:2" x14ac:dyDescent="0.25">
      <c r="A10997" s="118"/>
      <c r="B10997" s="136"/>
    </row>
    <row r="10998" spans="1:2" x14ac:dyDescent="0.25">
      <c r="A10998" s="118"/>
      <c r="B10998" s="136"/>
    </row>
    <row r="10999" spans="1:2" x14ac:dyDescent="0.25">
      <c r="A10999" s="118"/>
      <c r="B10999" s="136"/>
    </row>
    <row r="11000" spans="1:2" x14ac:dyDescent="0.25">
      <c r="A11000" s="118"/>
      <c r="B11000" s="136"/>
    </row>
    <row r="11001" spans="1:2" x14ac:dyDescent="0.25">
      <c r="A11001" s="118"/>
      <c r="B11001" s="136"/>
    </row>
    <row r="11002" spans="1:2" x14ac:dyDescent="0.25">
      <c r="A11002" s="118"/>
      <c r="B11002" s="136"/>
    </row>
    <row r="11003" spans="1:2" x14ac:dyDescent="0.25">
      <c r="A11003" s="118"/>
      <c r="B11003" s="136"/>
    </row>
    <row r="11004" spans="1:2" x14ac:dyDescent="0.25">
      <c r="A11004" s="118"/>
      <c r="B11004" s="136"/>
    </row>
    <row r="11005" spans="1:2" x14ac:dyDescent="0.25">
      <c r="A11005" s="118"/>
      <c r="B11005" s="136"/>
    </row>
    <row r="11006" spans="1:2" x14ac:dyDescent="0.25">
      <c r="A11006" s="118"/>
      <c r="B11006" s="136"/>
    </row>
    <row r="11007" spans="1:2" x14ac:dyDescent="0.25">
      <c r="A11007" s="118"/>
      <c r="B11007" s="136"/>
    </row>
    <row r="11008" spans="1:2" x14ac:dyDescent="0.25">
      <c r="A11008" s="118"/>
      <c r="B11008" s="136"/>
    </row>
    <row r="11009" spans="1:2" x14ac:dyDescent="0.25">
      <c r="A11009" s="118"/>
      <c r="B11009" s="136"/>
    </row>
    <row r="11010" spans="1:2" x14ac:dyDescent="0.25">
      <c r="A11010" s="118"/>
      <c r="B11010" s="136"/>
    </row>
    <row r="11011" spans="1:2" x14ac:dyDescent="0.25">
      <c r="A11011" s="118"/>
      <c r="B11011" s="136"/>
    </row>
    <row r="11012" spans="1:2" x14ac:dyDescent="0.25">
      <c r="A11012" s="118"/>
      <c r="B11012" s="136"/>
    </row>
    <row r="11013" spans="1:2" x14ac:dyDescent="0.25">
      <c r="A11013" s="118"/>
      <c r="B11013" s="136"/>
    </row>
    <row r="11014" spans="1:2" x14ac:dyDescent="0.25">
      <c r="A11014" s="118"/>
      <c r="B11014" s="136"/>
    </row>
    <row r="11015" spans="1:2" x14ac:dyDescent="0.25">
      <c r="A11015" s="118"/>
      <c r="B11015" s="136"/>
    </row>
    <row r="11016" spans="1:2" x14ac:dyDescent="0.25">
      <c r="A11016" s="118"/>
      <c r="B11016" s="136"/>
    </row>
    <row r="11017" spans="1:2" x14ac:dyDescent="0.25">
      <c r="A11017" s="118"/>
      <c r="B11017" s="136"/>
    </row>
    <row r="11018" spans="1:2" x14ac:dyDescent="0.25">
      <c r="A11018" s="118"/>
      <c r="B11018" s="136"/>
    </row>
    <row r="11019" spans="1:2" x14ac:dyDescent="0.25">
      <c r="A11019" s="118"/>
      <c r="B11019" s="136"/>
    </row>
    <row r="11020" spans="1:2" x14ac:dyDescent="0.25">
      <c r="A11020" s="118"/>
      <c r="B11020" s="136"/>
    </row>
    <row r="11021" spans="1:2" x14ac:dyDescent="0.25">
      <c r="A11021" s="118"/>
      <c r="B11021" s="136"/>
    </row>
    <row r="11022" spans="1:2" x14ac:dyDescent="0.25">
      <c r="A11022" s="118"/>
      <c r="B11022" s="136"/>
    </row>
    <row r="11023" spans="1:2" x14ac:dyDescent="0.25">
      <c r="A11023" s="118"/>
      <c r="B11023" s="136"/>
    </row>
    <row r="11024" spans="1:2" x14ac:dyDescent="0.25">
      <c r="A11024" s="118"/>
      <c r="B11024" s="136"/>
    </row>
    <row r="11025" spans="1:2" x14ac:dyDescent="0.25">
      <c r="A11025" s="118"/>
      <c r="B11025" s="136"/>
    </row>
    <row r="11026" spans="1:2" x14ac:dyDescent="0.25">
      <c r="A11026" s="118"/>
      <c r="B11026" s="136"/>
    </row>
    <row r="11027" spans="1:2" x14ac:dyDescent="0.25">
      <c r="A11027" s="118"/>
      <c r="B11027" s="136"/>
    </row>
    <row r="11028" spans="1:2" x14ac:dyDescent="0.25">
      <c r="A11028" s="118"/>
      <c r="B11028" s="136"/>
    </row>
    <row r="11029" spans="1:2" x14ac:dyDescent="0.25">
      <c r="A11029" s="118"/>
      <c r="B11029" s="136"/>
    </row>
    <row r="11030" spans="1:2" x14ac:dyDescent="0.25">
      <c r="A11030" s="118"/>
      <c r="B11030" s="136"/>
    </row>
    <row r="11031" spans="1:2" x14ac:dyDescent="0.25">
      <c r="A11031" s="118"/>
      <c r="B11031" s="136"/>
    </row>
    <row r="11032" spans="1:2" x14ac:dyDescent="0.25">
      <c r="A11032" s="118"/>
      <c r="B11032" s="136"/>
    </row>
    <row r="11033" spans="1:2" x14ac:dyDescent="0.25">
      <c r="A11033" s="118"/>
      <c r="B11033" s="136"/>
    </row>
    <row r="11034" spans="1:2" x14ac:dyDescent="0.25">
      <c r="A11034" s="118"/>
      <c r="B11034" s="136"/>
    </row>
    <row r="11035" spans="1:2" x14ac:dyDescent="0.25">
      <c r="A11035" s="118"/>
      <c r="B11035" s="136"/>
    </row>
    <row r="11036" spans="1:2" x14ac:dyDescent="0.25">
      <c r="A11036" s="118"/>
      <c r="B11036" s="136"/>
    </row>
    <row r="11037" spans="1:2" x14ac:dyDescent="0.25">
      <c r="A11037" s="118"/>
      <c r="B11037" s="136"/>
    </row>
    <row r="11038" spans="1:2" x14ac:dyDescent="0.25">
      <c r="A11038" s="118"/>
      <c r="B11038" s="136"/>
    </row>
    <row r="11039" spans="1:2" x14ac:dyDescent="0.25">
      <c r="A11039" s="118"/>
      <c r="B11039" s="136"/>
    </row>
    <row r="11040" spans="1:2" x14ac:dyDescent="0.25">
      <c r="A11040" s="118"/>
      <c r="B11040" s="136"/>
    </row>
    <row r="11041" spans="1:2" x14ac:dyDescent="0.25">
      <c r="A11041" s="118"/>
      <c r="B11041" s="136"/>
    </row>
    <row r="11042" spans="1:2" x14ac:dyDescent="0.25">
      <c r="A11042" s="118"/>
      <c r="B11042" s="136"/>
    </row>
    <row r="11043" spans="1:2" x14ac:dyDescent="0.25">
      <c r="A11043" s="118"/>
      <c r="B11043" s="136"/>
    </row>
    <row r="11044" spans="1:2" x14ac:dyDescent="0.25">
      <c r="A11044" s="118"/>
      <c r="B11044" s="136"/>
    </row>
    <row r="11045" spans="1:2" x14ac:dyDescent="0.25">
      <c r="A11045" s="118"/>
      <c r="B11045" s="136"/>
    </row>
    <row r="11046" spans="1:2" x14ac:dyDescent="0.25">
      <c r="A11046" s="118"/>
      <c r="B11046" s="136"/>
    </row>
    <row r="11047" spans="1:2" x14ac:dyDescent="0.25">
      <c r="A11047" s="118"/>
      <c r="B11047" s="136"/>
    </row>
    <row r="11048" spans="1:2" x14ac:dyDescent="0.25">
      <c r="A11048" s="118"/>
      <c r="B11048" s="136"/>
    </row>
    <row r="11049" spans="1:2" x14ac:dyDescent="0.25">
      <c r="A11049" s="118"/>
      <c r="B11049" s="136"/>
    </row>
    <row r="11050" spans="1:2" x14ac:dyDescent="0.25">
      <c r="A11050" s="118"/>
      <c r="B11050" s="136"/>
    </row>
    <row r="11051" spans="1:2" x14ac:dyDescent="0.25">
      <c r="A11051" s="118"/>
      <c r="B11051" s="136"/>
    </row>
    <row r="11052" spans="1:2" x14ac:dyDescent="0.25">
      <c r="A11052" s="118"/>
      <c r="B11052" s="136"/>
    </row>
    <row r="11053" spans="1:2" x14ac:dyDescent="0.25">
      <c r="A11053" s="118"/>
      <c r="B11053" s="136"/>
    </row>
    <row r="11054" spans="1:2" x14ac:dyDescent="0.25">
      <c r="A11054" s="118"/>
      <c r="B11054" s="136"/>
    </row>
    <row r="11055" spans="1:2" x14ac:dyDescent="0.25">
      <c r="A11055" s="118"/>
      <c r="B11055" s="136"/>
    </row>
    <row r="11056" spans="1:2" x14ac:dyDescent="0.25">
      <c r="A11056" s="118"/>
      <c r="B11056" s="136"/>
    </row>
    <row r="11057" spans="1:2" x14ac:dyDescent="0.25">
      <c r="A11057" s="118"/>
      <c r="B11057" s="136"/>
    </row>
    <row r="11058" spans="1:2" x14ac:dyDescent="0.25">
      <c r="A11058" s="118"/>
      <c r="B11058" s="136"/>
    </row>
    <row r="11059" spans="1:2" x14ac:dyDescent="0.25">
      <c r="A11059" s="118"/>
      <c r="B11059" s="136"/>
    </row>
    <row r="11060" spans="1:2" x14ac:dyDescent="0.25">
      <c r="A11060" s="118"/>
      <c r="B11060" s="136"/>
    </row>
    <row r="11061" spans="1:2" x14ac:dyDescent="0.25">
      <c r="A11061" s="118"/>
      <c r="B11061" s="136"/>
    </row>
    <row r="11062" spans="1:2" x14ac:dyDescent="0.25">
      <c r="A11062" s="118"/>
      <c r="B11062" s="136"/>
    </row>
    <row r="11063" spans="1:2" x14ac:dyDescent="0.25">
      <c r="A11063" s="118"/>
      <c r="B11063" s="136"/>
    </row>
    <row r="11064" spans="1:2" x14ac:dyDescent="0.25">
      <c r="A11064" s="118"/>
      <c r="B11064" s="136"/>
    </row>
    <row r="11065" spans="1:2" x14ac:dyDescent="0.25">
      <c r="A11065" s="118"/>
      <c r="B11065" s="136"/>
    </row>
    <row r="11066" spans="1:2" x14ac:dyDescent="0.25">
      <c r="A11066" s="118"/>
      <c r="B11066" s="136"/>
    </row>
    <row r="11067" spans="1:2" x14ac:dyDescent="0.25">
      <c r="A11067" s="118"/>
      <c r="B11067" s="136"/>
    </row>
    <row r="11068" spans="1:2" x14ac:dyDescent="0.25">
      <c r="A11068" s="118"/>
      <c r="B11068" s="136"/>
    </row>
    <row r="11069" spans="1:2" x14ac:dyDescent="0.25">
      <c r="A11069" s="118"/>
      <c r="B11069" s="136"/>
    </row>
    <row r="11070" spans="1:2" x14ac:dyDescent="0.25">
      <c r="A11070" s="118"/>
      <c r="B11070" s="136"/>
    </row>
    <row r="11071" spans="1:2" x14ac:dyDescent="0.25">
      <c r="A11071" s="118"/>
      <c r="B11071" s="136"/>
    </row>
    <row r="11072" spans="1:2" x14ac:dyDescent="0.25">
      <c r="A11072" s="118"/>
      <c r="B11072" s="136"/>
    </row>
    <row r="11073" spans="1:2" x14ac:dyDescent="0.25">
      <c r="A11073" s="118"/>
      <c r="B11073" s="136"/>
    </row>
    <row r="11074" spans="1:2" x14ac:dyDescent="0.25">
      <c r="A11074" s="118"/>
      <c r="B11074" s="136"/>
    </row>
    <row r="11075" spans="1:2" x14ac:dyDescent="0.25">
      <c r="A11075" s="118"/>
      <c r="B11075" s="136"/>
    </row>
    <row r="11076" spans="1:2" x14ac:dyDescent="0.25">
      <c r="A11076" s="118"/>
      <c r="B11076" s="136"/>
    </row>
    <row r="11077" spans="1:2" x14ac:dyDescent="0.25">
      <c r="A11077" s="118"/>
      <c r="B11077" s="136"/>
    </row>
    <row r="11078" spans="1:2" x14ac:dyDescent="0.25">
      <c r="A11078" s="118"/>
      <c r="B11078" s="136"/>
    </row>
    <row r="11079" spans="1:2" x14ac:dyDescent="0.25">
      <c r="A11079" s="118"/>
      <c r="B11079" s="136"/>
    </row>
    <row r="11080" spans="1:2" x14ac:dyDescent="0.25">
      <c r="A11080" s="118"/>
      <c r="B11080" s="136"/>
    </row>
    <row r="11081" spans="1:2" x14ac:dyDescent="0.25">
      <c r="A11081" s="118"/>
      <c r="B11081" s="136"/>
    </row>
    <row r="11082" spans="1:2" x14ac:dyDescent="0.25">
      <c r="A11082" s="118"/>
      <c r="B11082" s="136"/>
    </row>
    <row r="11083" spans="1:2" x14ac:dyDescent="0.25">
      <c r="A11083" s="118"/>
      <c r="B11083" s="136"/>
    </row>
    <row r="11084" spans="1:2" x14ac:dyDescent="0.25">
      <c r="A11084" s="118"/>
      <c r="B11084" s="136"/>
    </row>
    <row r="11085" spans="1:2" x14ac:dyDescent="0.25">
      <c r="A11085" s="118"/>
      <c r="B11085" s="136"/>
    </row>
    <row r="11086" spans="1:2" x14ac:dyDescent="0.25">
      <c r="A11086" s="118"/>
      <c r="B11086" s="136"/>
    </row>
    <row r="11087" spans="1:2" x14ac:dyDescent="0.25">
      <c r="A11087" s="118"/>
      <c r="B11087" s="136"/>
    </row>
    <row r="11088" spans="1:2" x14ac:dyDescent="0.25">
      <c r="A11088" s="118"/>
      <c r="B11088" s="136"/>
    </row>
    <row r="11089" spans="1:2" x14ac:dyDescent="0.25">
      <c r="A11089" s="118"/>
      <c r="B11089" s="136"/>
    </row>
    <row r="11090" spans="1:2" x14ac:dyDescent="0.25">
      <c r="A11090" s="118"/>
      <c r="B11090" s="136"/>
    </row>
    <row r="11091" spans="1:2" x14ac:dyDescent="0.25">
      <c r="A11091" s="118"/>
      <c r="B11091" s="136"/>
    </row>
    <row r="11092" spans="1:2" x14ac:dyDescent="0.25">
      <c r="A11092" s="118"/>
      <c r="B11092" s="136"/>
    </row>
    <row r="11093" spans="1:2" x14ac:dyDescent="0.25">
      <c r="A11093" s="118"/>
      <c r="B11093" s="136"/>
    </row>
    <row r="11094" spans="1:2" x14ac:dyDescent="0.25">
      <c r="A11094" s="118"/>
      <c r="B11094" s="136"/>
    </row>
    <row r="11095" spans="1:2" x14ac:dyDescent="0.25">
      <c r="A11095" s="118"/>
      <c r="B11095" s="136"/>
    </row>
    <row r="11096" spans="1:2" x14ac:dyDescent="0.25">
      <c r="A11096" s="118"/>
      <c r="B11096" s="136"/>
    </row>
    <row r="11097" spans="1:2" x14ac:dyDescent="0.25">
      <c r="A11097" s="118"/>
      <c r="B11097" s="136"/>
    </row>
    <row r="11098" spans="1:2" x14ac:dyDescent="0.25">
      <c r="A11098" s="118"/>
      <c r="B11098" s="136"/>
    </row>
    <row r="11099" spans="1:2" x14ac:dyDescent="0.25">
      <c r="A11099" s="118"/>
      <c r="B11099" s="136"/>
    </row>
    <row r="11100" spans="1:2" x14ac:dyDescent="0.25">
      <c r="A11100" s="118"/>
      <c r="B11100" s="136"/>
    </row>
    <row r="11101" spans="1:2" x14ac:dyDescent="0.25">
      <c r="A11101" s="118"/>
      <c r="B11101" s="136"/>
    </row>
    <row r="11102" spans="1:2" x14ac:dyDescent="0.25">
      <c r="A11102" s="118"/>
      <c r="B11102" s="136"/>
    </row>
    <row r="11103" spans="1:2" x14ac:dyDescent="0.25">
      <c r="A11103" s="118"/>
      <c r="B11103" s="136"/>
    </row>
    <row r="11104" spans="1:2" x14ac:dyDescent="0.25">
      <c r="A11104" s="118"/>
      <c r="B11104" s="136"/>
    </row>
    <row r="11105" spans="1:2" x14ac:dyDescent="0.25">
      <c r="A11105" s="118"/>
      <c r="B11105" s="136"/>
    </row>
    <row r="11106" spans="1:2" x14ac:dyDescent="0.25">
      <c r="A11106" s="118"/>
      <c r="B11106" s="136"/>
    </row>
    <row r="11107" spans="1:2" x14ac:dyDescent="0.25">
      <c r="A11107" s="118"/>
      <c r="B11107" s="136"/>
    </row>
    <row r="11108" spans="1:2" x14ac:dyDescent="0.25">
      <c r="A11108" s="118"/>
      <c r="B11108" s="136"/>
    </row>
    <row r="11109" spans="1:2" x14ac:dyDescent="0.25">
      <c r="A11109" s="118"/>
      <c r="B11109" s="136"/>
    </row>
    <row r="11110" spans="1:2" x14ac:dyDescent="0.25">
      <c r="A11110" s="118"/>
      <c r="B11110" s="136"/>
    </row>
    <row r="11111" spans="1:2" x14ac:dyDescent="0.25">
      <c r="A11111" s="118"/>
      <c r="B11111" s="136"/>
    </row>
    <row r="11112" spans="1:2" x14ac:dyDescent="0.25">
      <c r="A11112" s="118"/>
      <c r="B11112" s="136"/>
    </row>
    <row r="11113" spans="1:2" x14ac:dyDescent="0.25">
      <c r="A11113" s="118"/>
      <c r="B11113" s="136"/>
    </row>
    <row r="11114" spans="1:2" x14ac:dyDescent="0.25">
      <c r="A11114" s="118"/>
      <c r="B11114" s="136"/>
    </row>
    <row r="11115" spans="1:2" x14ac:dyDescent="0.25">
      <c r="A11115" s="118"/>
      <c r="B11115" s="136"/>
    </row>
    <row r="11116" spans="1:2" x14ac:dyDescent="0.25">
      <c r="A11116" s="118"/>
      <c r="B11116" s="136"/>
    </row>
    <row r="11117" spans="1:2" x14ac:dyDescent="0.25">
      <c r="A11117" s="118"/>
      <c r="B11117" s="136"/>
    </row>
    <row r="11118" spans="1:2" x14ac:dyDescent="0.25">
      <c r="A11118" s="118"/>
      <c r="B11118" s="136"/>
    </row>
    <row r="11119" spans="1:2" x14ac:dyDescent="0.25">
      <c r="A11119" s="118"/>
      <c r="B11119" s="136"/>
    </row>
    <row r="11120" spans="1:2" x14ac:dyDescent="0.25">
      <c r="A11120" s="118"/>
      <c r="B11120" s="136"/>
    </row>
    <row r="11121" spans="1:2" x14ac:dyDescent="0.25">
      <c r="A11121" s="118"/>
      <c r="B11121" s="136"/>
    </row>
    <row r="11122" spans="1:2" x14ac:dyDescent="0.25">
      <c r="A11122" s="118"/>
      <c r="B11122" s="136"/>
    </row>
    <row r="11123" spans="1:2" x14ac:dyDescent="0.25">
      <c r="A11123" s="118"/>
      <c r="B11123" s="136"/>
    </row>
    <row r="11124" spans="1:2" x14ac:dyDescent="0.25">
      <c r="A11124" s="118"/>
      <c r="B11124" s="136"/>
    </row>
    <row r="11125" spans="1:2" x14ac:dyDescent="0.25">
      <c r="A11125" s="118"/>
      <c r="B11125" s="136"/>
    </row>
    <row r="11126" spans="1:2" x14ac:dyDescent="0.25">
      <c r="A11126" s="118"/>
      <c r="B11126" s="136"/>
    </row>
    <row r="11127" spans="1:2" x14ac:dyDescent="0.25">
      <c r="A11127" s="118"/>
      <c r="B11127" s="136"/>
    </row>
    <row r="11128" spans="1:2" x14ac:dyDescent="0.25">
      <c r="A11128" s="118"/>
      <c r="B11128" s="136"/>
    </row>
    <row r="11129" spans="1:2" x14ac:dyDescent="0.25">
      <c r="A11129" s="118"/>
      <c r="B11129" s="136"/>
    </row>
    <row r="11130" spans="1:2" x14ac:dyDescent="0.25">
      <c r="A11130" s="118"/>
      <c r="B11130" s="136"/>
    </row>
    <row r="11131" spans="1:2" x14ac:dyDescent="0.25">
      <c r="A11131" s="118"/>
      <c r="B11131" s="136"/>
    </row>
    <row r="11132" spans="1:2" x14ac:dyDescent="0.25">
      <c r="A11132" s="118"/>
      <c r="B11132" s="136"/>
    </row>
    <row r="11133" spans="1:2" x14ac:dyDescent="0.25">
      <c r="A11133" s="118"/>
      <c r="B11133" s="136"/>
    </row>
    <row r="11134" spans="1:2" x14ac:dyDescent="0.25">
      <c r="A11134" s="118"/>
      <c r="B11134" s="136"/>
    </row>
    <row r="11135" spans="1:2" x14ac:dyDescent="0.25">
      <c r="A11135" s="118"/>
      <c r="B11135" s="136"/>
    </row>
    <row r="11136" spans="1:2" x14ac:dyDescent="0.25">
      <c r="A11136" s="118"/>
      <c r="B11136" s="136"/>
    </row>
    <row r="11137" spans="1:2" x14ac:dyDescent="0.25">
      <c r="A11137" s="118"/>
      <c r="B11137" s="136"/>
    </row>
    <row r="11138" spans="1:2" x14ac:dyDescent="0.25">
      <c r="A11138" s="118"/>
      <c r="B11138" s="136"/>
    </row>
    <row r="11139" spans="1:2" x14ac:dyDescent="0.25">
      <c r="A11139" s="118"/>
      <c r="B11139" s="136"/>
    </row>
    <row r="11140" spans="1:2" x14ac:dyDescent="0.25">
      <c r="A11140" s="118"/>
      <c r="B11140" s="136"/>
    </row>
    <row r="11141" spans="1:2" x14ac:dyDescent="0.25">
      <c r="A11141" s="118"/>
      <c r="B11141" s="136"/>
    </row>
    <row r="11142" spans="1:2" x14ac:dyDescent="0.25">
      <c r="A11142" s="118"/>
      <c r="B11142" s="136"/>
    </row>
    <row r="11143" spans="1:2" x14ac:dyDescent="0.25">
      <c r="A11143" s="118"/>
      <c r="B11143" s="136"/>
    </row>
    <row r="11144" spans="1:2" x14ac:dyDescent="0.25">
      <c r="A11144" s="118"/>
      <c r="B11144" s="136"/>
    </row>
    <row r="11145" spans="1:2" x14ac:dyDescent="0.25">
      <c r="A11145" s="118"/>
      <c r="B11145" s="136"/>
    </row>
    <row r="11146" spans="1:2" x14ac:dyDescent="0.25">
      <c r="A11146" s="118"/>
      <c r="B11146" s="136"/>
    </row>
    <row r="11147" spans="1:2" x14ac:dyDescent="0.25">
      <c r="A11147" s="118"/>
      <c r="B11147" s="136"/>
    </row>
    <row r="11148" spans="1:2" x14ac:dyDescent="0.25">
      <c r="A11148" s="118"/>
      <c r="B11148" s="136"/>
    </row>
    <row r="11149" spans="1:2" x14ac:dyDescent="0.25">
      <c r="A11149" s="118"/>
      <c r="B11149" s="136"/>
    </row>
    <row r="11150" spans="1:2" x14ac:dyDescent="0.25">
      <c r="A11150" s="118"/>
      <c r="B11150" s="136"/>
    </row>
    <row r="11151" spans="1:2" x14ac:dyDescent="0.25">
      <c r="A11151" s="118"/>
      <c r="B11151" s="136"/>
    </row>
    <row r="11152" spans="1:2" x14ac:dyDescent="0.25">
      <c r="A11152" s="118"/>
      <c r="B11152" s="136"/>
    </row>
    <row r="11153" spans="1:2" x14ac:dyDescent="0.25">
      <c r="A11153" s="118"/>
      <c r="B11153" s="136"/>
    </row>
    <row r="11154" spans="1:2" x14ac:dyDescent="0.25">
      <c r="A11154" s="118"/>
      <c r="B11154" s="136"/>
    </row>
    <row r="11155" spans="1:2" x14ac:dyDescent="0.25">
      <c r="A11155" s="118"/>
      <c r="B11155" s="136"/>
    </row>
    <row r="11156" spans="1:2" x14ac:dyDescent="0.25">
      <c r="A11156" s="118"/>
      <c r="B11156" s="136"/>
    </row>
    <row r="11157" spans="1:2" x14ac:dyDescent="0.25">
      <c r="A11157" s="118"/>
      <c r="B11157" s="136"/>
    </row>
    <row r="11158" spans="1:2" x14ac:dyDescent="0.25">
      <c r="A11158" s="118"/>
      <c r="B11158" s="136"/>
    </row>
    <row r="11159" spans="1:2" x14ac:dyDescent="0.25">
      <c r="A11159" s="118"/>
      <c r="B11159" s="136"/>
    </row>
    <row r="11160" spans="1:2" x14ac:dyDescent="0.25">
      <c r="A11160" s="118"/>
      <c r="B11160" s="136"/>
    </row>
    <row r="11161" spans="1:2" x14ac:dyDescent="0.25">
      <c r="A11161" s="118"/>
      <c r="B11161" s="136"/>
    </row>
    <row r="11162" spans="1:2" x14ac:dyDescent="0.25">
      <c r="A11162" s="118"/>
      <c r="B11162" s="136"/>
    </row>
    <row r="11163" spans="1:2" x14ac:dyDescent="0.25">
      <c r="A11163" s="118"/>
      <c r="B11163" s="136"/>
    </row>
    <row r="11164" spans="1:2" x14ac:dyDescent="0.25">
      <c r="A11164" s="118"/>
      <c r="B11164" s="136"/>
    </row>
    <row r="11165" spans="1:2" x14ac:dyDescent="0.25">
      <c r="A11165" s="118"/>
      <c r="B11165" s="136"/>
    </row>
    <row r="11166" spans="1:2" x14ac:dyDescent="0.25">
      <c r="A11166" s="118"/>
      <c r="B11166" s="136"/>
    </row>
    <row r="11167" spans="1:2" x14ac:dyDescent="0.25">
      <c r="A11167" s="118"/>
      <c r="B11167" s="136"/>
    </row>
    <row r="11168" spans="1:2" x14ac:dyDescent="0.25">
      <c r="A11168" s="118"/>
      <c r="B11168" s="136"/>
    </row>
    <row r="11169" spans="1:2" x14ac:dyDescent="0.25">
      <c r="A11169" s="118"/>
      <c r="B11169" s="136"/>
    </row>
    <row r="11170" spans="1:2" x14ac:dyDescent="0.25">
      <c r="A11170" s="118"/>
      <c r="B11170" s="136"/>
    </row>
    <row r="11171" spans="1:2" x14ac:dyDescent="0.25">
      <c r="A11171" s="118"/>
      <c r="B11171" s="136"/>
    </row>
    <row r="11172" spans="1:2" x14ac:dyDescent="0.25">
      <c r="A11172" s="118"/>
      <c r="B11172" s="136"/>
    </row>
    <row r="11173" spans="1:2" x14ac:dyDescent="0.25">
      <c r="A11173" s="118"/>
      <c r="B11173" s="136"/>
    </row>
    <row r="11174" spans="1:2" x14ac:dyDescent="0.25">
      <c r="A11174" s="118"/>
      <c r="B11174" s="136"/>
    </row>
    <row r="11175" spans="1:2" x14ac:dyDescent="0.25">
      <c r="A11175" s="118"/>
      <c r="B11175" s="136"/>
    </row>
    <row r="11176" spans="1:2" x14ac:dyDescent="0.25">
      <c r="A11176" s="118"/>
      <c r="B11176" s="136"/>
    </row>
    <row r="11177" spans="1:2" x14ac:dyDescent="0.25">
      <c r="A11177" s="118"/>
      <c r="B11177" s="136"/>
    </row>
    <row r="11178" spans="1:2" x14ac:dyDescent="0.25">
      <c r="A11178" s="118"/>
      <c r="B11178" s="136"/>
    </row>
    <row r="11179" spans="1:2" x14ac:dyDescent="0.25">
      <c r="A11179" s="118"/>
      <c r="B11179" s="136"/>
    </row>
    <row r="11180" spans="1:2" x14ac:dyDescent="0.25">
      <c r="A11180" s="118"/>
      <c r="B11180" s="136"/>
    </row>
    <row r="11181" spans="1:2" x14ac:dyDescent="0.25">
      <c r="A11181" s="118"/>
      <c r="B11181" s="136"/>
    </row>
    <row r="11182" spans="1:2" x14ac:dyDescent="0.25">
      <c r="A11182" s="118"/>
      <c r="B11182" s="136"/>
    </row>
    <row r="11183" spans="1:2" x14ac:dyDescent="0.25">
      <c r="A11183" s="118"/>
      <c r="B11183" s="136"/>
    </row>
    <row r="11184" spans="1:2" x14ac:dyDescent="0.25">
      <c r="A11184" s="118"/>
      <c r="B11184" s="136"/>
    </row>
    <row r="11185" spans="1:2" x14ac:dyDescent="0.25">
      <c r="A11185" s="118"/>
      <c r="B11185" s="136"/>
    </row>
    <row r="11186" spans="1:2" x14ac:dyDescent="0.25">
      <c r="A11186" s="118"/>
      <c r="B11186" s="136"/>
    </row>
    <row r="11187" spans="1:2" x14ac:dyDescent="0.25">
      <c r="A11187" s="118"/>
      <c r="B11187" s="136"/>
    </row>
    <row r="11188" spans="1:2" x14ac:dyDescent="0.25">
      <c r="A11188" s="118"/>
      <c r="B11188" s="136"/>
    </row>
    <row r="11189" spans="1:2" x14ac:dyDescent="0.25">
      <c r="A11189" s="118"/>
      <c r="B11189" s="136"/>
    </row>
    <row r="11190" spans="1:2" x14ac:dyDescent="0.25">
      <c r="A11190" s="118"/>
      <c r="B11190" s="136"/>
    </row>
    <row r="11191" spans="1:2" x14ac:dyDescent="0.25">
      <c r="A11191" s="118"/>
      <c r="B11191" s="136"/>
    </row>
    <row r="11192" spans="1:2" x14ac:dyDescent="0.25">
      <c r="A11192" s="118"/>
      <c r="B11192" s="136"/>
    </row>
    <row r="11193" spans="1:2" x14ac:dyDescent="0.25">
      <c r="A11193" s="118"/>
      <c r="B11193" s="136"/>
    </row>
    <row r="11194" spans="1:2" x14ac:dyDescent="0.25">
      <c r="A11194" s="118"/>
      <c r="B11194" s="136"/>
    </row>
    <row r="11195" spans="1:2" x14ac:dyDescent="0.25">
      <c r="A11195" s="118"/>
      <c r="B11195" s="136"/>
    </row>
    <row r="11196" spans="1:2" x14ac:dyDescent="0.25">
      <c r="A11196" s="118"/>
      <c r="B11196" s="136"/>
    </row>
    <row r="11197" spans="1:2" x14ac:dyDescent="0.25">
      <c r="A11197" s="118"/>
      <c r="B11197" s="136"/>
    </row>
    <row r="11198" spans="1:2" x14ac:dyDescent="0.25">
      <c r="A11198" s="118"/>
      <c r="B11198" s="136"/>
    </row>
    <row r="11199" spans="1:2" x14ac:dyDescent="0.25">
      <c r="A11199" s="118"/>
      <c r="B11199" s="136"/>
    </row>
    <row r="11200" spans="1:2" x14ac:dyDescent="0.25">
      <c r="A11200" s="118"/>
      <c r="B11200" s="136"/>
    </row>
    <row r="11201" spans="1:2" x14ac:dyDescent="0.25">
      <c r="A11201" s="118"/>
      <c r="B11201" s="136"/>
    </row>
    <row r="11202" spans="1:2" x14ac:dyDescent="0.25">
      <c r="A11202" s="118"/>
      <c r="B11202" s="136"/>
    </row>
    <row r="11203" spans="1:2" x14ac:dyDescent="0.25">
      <c r="A11203" s="118"/>
      <c r="B11203" s="136"/>
    </row>
    <row r="11204" spans="1:2" x14ac:dyDescent="0.25">
      <c r="A11204" s="118"/>
      <c r="B11204" s="136"/>
    </row>
    <row r="11205" spans="1:2" x14ac:dyDescent="0.25">
      <c r="A11205" s="118"/>
      <c r="B11205" s="136"/>
    </row>
    <row r="11206" spans="1:2" x14ac:dyDescent="0.25">
      <c r="A11206" s="118"/>
      <c r="B11206" s="136"/>
    </row>
    <row r="11207" spans="1:2" x14ac:dyDescent="0.25">
      <c r="A11207" s="118"/>
      <c r="B11207" s="136"/>
    </row>
    <row r="11208" spans="1:2" x14ac:dyDescent="0.25">
      <c r="A11208" s="118"/>
      <c r="B11208" s="136"/>
    </row>
    <row r="11209" spans="1:2" x14ac:dyDescent="0.25">
      <c r="A11209" s="118"/>
      <c r="B11209" s="136"/>
    </row>
    <row r="11210" spans="1:2" x14ac:dyDescent="0.25">
      <c r="A11210" s="118"/>
      <c r="B11210" s="136"/>
    </row>
    <row r="11211" spans="1:2" x14ac:dyDescent="0.25">
      <c r="A11211" s="118"/>
      <c r="B11211" s="136"/>
    </row>
    <row r="11212" spans="1:2" x14ac:dyDescent="0.25">
      <c r="A11212" s="118"/>
      <c r="B11212" s="136"/>
    </row>
    <row r="11213" spans="1:2" x14ac:dyDescent="0.25">
      <c r="A11213" s="118"/>
      <c r="B11213" s="136"/>
    </row>
    <row r="11214" spans="1:2" x14ac:dyDescent="0.25">
      <c r="A11214" s="118"/>
      <c r="B11214" s="136"/>
    </row>
    <row r="11215" spans="1:2" x14ac:dyDescent="0.25">
      <c r="A11215" s="118"/>
      <c r="B11215" s="136"/>
    </row>
    <row r="11216" spans="1:2" x14ac:dyDescent="0.25">
      <c r="A11216" s="118"/>
      <c r="B11216" s="136"/>
    </row>
    <row r="11217" spans="1:2" x14ac:dyDescent="0.25">
      <c r="A11217" s="118"/>
      <c r="B11217" s="136"/>
    </row>
    <row r="11218" spans="1:2" x14ac:dyDescent="0.25">
      <c r="A11218" s="118"/>
      <c r="B11218" s="136"/>
    </row>
    <row r="11219" spans="1:2" x14ac:dyDescent="0.25">
      <c r="A11219" s="118"/>
      <c r="B11219" s="136"/>
    </row>
    <row r="11220" spans="1:2" x14ac:dyDescent="0.25">
      <c r="A11220" s="118"/>
      <c r="B11220" s="136"/>
    </row>
    <row r="11221" spans="1:2" x14ac:dyDescent="0.25">
      <c r="A11221" s="118"/>
      <c r="B11221" s="136"/>
    </row>
    <row r="11222" spans="1:2" x14ac:dyDescent="0.25">
      <c r="A11222" s="118"/>
      <c r="B11222" s="136"/>
    </row>
    <row r="11223" spans="1:2" x14ac:dyDescent="0.25">
      <c r="A11223" s="118"/>
      <c r="B11223" s="136"/>
    </row>
    <row r="11224" spans="1:2" x14ac:dyDescent="0.25">
      <c r="A11224" s="118"/>
      <c r="B11224" s="136"/>
    </row>
    <row r="11225" spans="1:2" x14ac:dyDescent="0.25">
      <c r="A11225" s="118"/>
      <c r="B11225" s="136"/>
    </row>
    <row r="11226" spans="1:2" x14ac:dyDescent="0.25">
      <c r="A11226" s="118"/>
      <c r="B11226" s="136"/>
    </row>
    <row r="11227" spans="1:2" x14ac:dyDescent="0.25">
      <c r="A11227" s="118"/>
      <c r="B11227" s="136"/>
    </row>
    <row r="11228" spans="1:2" x14ac:dyDescent="0.25">
      <c r="A11228" s="118"/>
      <c r="B11228" s="136"/>
    </row>
    <row r="11229" spans="1:2" x14ac:dyDescent="0.25">
      <c r="A11229" s="118"/>
      <c r="B11229" s="136"/>
    </row>
    <row r="11230" spans="1:2" x14ac:dyDescent="0.25">
      <c r="A11230" s="118"/>
      <c r="B11230" s="136"/>
    </row>
    <row r="11231" spans="1:2" x14ac:dyDescent="0.25">
      <c r="A11231" s="118"/>
      <c r="B11231" s="136"/>
    </row>
    <row r="11232" spans="1:2" x14ac:dyDescent="0.25">
      <c r="A11232" s="118"/>
      <c r="B11232" s="136"/>
    </row>
    <row r="11233" spans="1:2" x14ac:dyDescent="0.25">
      <c r="A11233" s="118"/>
      <c r="B11233" s="136"/>
    </row>
    <row r="11234" spans="1:2" x14ac:dyDescent="0.25">
      <c r="A11234" s="118"/>
      <c r="B11234" s="136"/>
    </row>
    <row r="11235" spans="1:2" x14ac:dyDescent="0.25">
      <c r="A11235" s="118"/>
      <c r="B11235" s="136"/>
    </row>
    <row r="11236" spans="1:2" x14ac:dyDescent="0.25">
      <c r="A11236" s="118"/>
      <c r="B11236" s="136"/>
    </row>
    <row r="11237" spans="1:2" x14ac:dyDescent="0.25">
      <c r="A11237" s="118"/>
      <c r="B11237" s="136"/>
    </row>
    <row r="11238" spans="1:2" x14ac:dyDescent="0.25">
      <c r="A11238" s="118"/>
      <c r="B11238" s="136"/>
    </row>
    <row r="11239" spans="1:2" x14ac:dyDescent="0.25">
      <c r="A11239" s="118"/>
      <c r="B11239" s="136"/>
    </row>
    <row r="11240" spans="1:2" x14ac:dyDescent="0.25">
      <c r="A11240" s="118"/>
      <c r="B11240" s="136"/>
    </row>
    <row r="11241" spans="1:2" x14ac:dyDescent="0.25">
      <c r="A11241" s="118"/>
      <c r="B11241" s="136"/>
    </row>
    <row r="11242" spans="1:2" x14ac:dyDescent="0.25">
      <c r="A11242" s="118"/>
      <c r="B11242" s="136"/>
    </row>
    <row r="11243" spans="1:2" x14ac:dyDescent="0.25">
      <c r="A11243" s="118"/>
      <c r="B11243" s="136"/>
    </row>
    <row r="11244" spans="1:2" x14ac:dyDescent="0.25">
      <c r="A11244" s="118"/>
      <c r="B11244" s="136"/>
    </row>
    <row r="11245" spans="1:2" x14ac:dyDescent="0.25">
      <c r="A11245" s="118"/>
      <c r="B11245" s="136"/>
    </row>
    <row r="11246" spans="1:2" x14ac:dyDescent="0.25">
      <c r="A11246" s="118"/>
      <c r="B11246" s="136"/>
    </row>
    <row r="11247" spans="1:2" x14ac:dyDescent="0.25">
      <c r="A11247" s="118"/>
      <c r="B11247" s="136"/>
    </row>
    <row r="11248" spans="1:2" x14ac:dyDescent="0.25">
      <c r="A11248" s="118"/>
      <c r="B11248" s="136"/>
    </row>
    <row r="11249" spans="1:2" x14ac:dyDescent="0.25">
      <c r="A11249" s="118"/>
      <c r="B11249" s="136"/>
    </row>
    <row r="11250" spans="1:2" x14ac:dyDescent="0.25">
      <c r="A11250" s="118"/>
      <c r="B11250" s="136"/>
    </row>
    <row r="11251" spans="1:2" x14ac:dyDescent="0.25">
      <c r="A11251" s="118"/>
      <c r="B11251" s="136"/>
    </row>
    <row r="11252" spans="1:2" x14ac:dyDescent="0.25">
      <c r="A11252" s="118"/>
      <c r="B11252" s="136"/>
    </row>
    <row r="11253" spans="1:2" x14ac:dyDescent="0.25">
      <c r="A11253" s="118"/>
      <c r="B11253" s="136"/>
    </row>
    <row r="11254" spans="1:2" x14ac:dyDescent="0.25">
      <c r="A11254" s="118"/>
      <c r="B11254" s="136"/>
    </row>
    <row r="11255" spans="1:2" x14ac:dyDescent="0.25">
      <c r="A11255" s="118"/>
      <c r="B11255" s="136"/>
    </row>
    <row r="11256" spans="1:2" x14ac:dyDescent="0.25">
      <c r="A11256" s="118"/>
      <c r="B11256" s="136"/>
    </row>
    <row r="11257" spans="1:2" x14ac:dyDescent="0.25">
      <c r="A11257" s="118"/>
      <c r="B11257" s="136"/>
    </row>
    <row r="11258" spans="1:2" x14ac:dyDescent="0.25">
      <c r="A11258" s="118"/>
      <c r="B11258" s="136"/>
    </row>
    <row r="11259" spans="1:2" x14ac:dyDescent="0.25">
      <c r="A11259" s="118"/>
      <c r="B11259" s="136"/>
    </row>
    <row r="11260" spans="1:2" x14ac:dyDescent="0.25">
      <c r="A11260" s="118"/>
      <c r="B11260" s="136"/>
    </row>
    <row r="11261" spans="1:2" x14ac:dyDescent="0.25">
      <c r="A11261" s="118"/>
      <c r="B11261" s="136"/>
    </row>
    <row r="11262" spans="1:2" x14ac:dyDescent="0.25">
      <c r="A11262" s="118"/>
      <c r="B11262" s="136"/>
    </row>
    <row r="11263" spans="1:2" x14ac:dyDescent="0.25">
      <c r="A11263" s="118"/>
      <c r="B11263" s="136"/>
    </row>
    <row r="11264" spans="1:2" x14ac:dyDescent="0.25">
      <c r="A11264" s="118"/>
      <c r="B11264" s="136"/>
    </row>
    <row r="11265" spans="1:2" x14ac:dyDescent="0.25">
      <c r="A11265" s="118"/>
      <c r="B11265" s="136"/>
    </row>
    <row r="11266" spans="1:2" x14ac:dyDescent="0.25">
      <c r="A11266" s="118"/>
      <c r="B11266" s="136"/>
    </row>
    <row r="11267" spans="1:2" x14ac:dyDescent="0.25">
      <c r="A11267" s="118"/>
      <c r="B11267" s="136"/>
    </row>
    <row r="11268" spans="1:2" x14ac:dyDescent="0.25">
      <c r="A11268" s="118"/>
      <c r="B11268" s="136"/>
    </row>
    <row r="11269" spans="1:2" x14ac:dyDescent="0.25">
      <c r="A11269" s="118"/>
      <c r="B11269" s="136"/>
    </row>
    <row r="11270" spans="1:2" x14ac:dyDescent="0.25">
      <c r="A11270" s="118"/>
      <c r="B11270" s="136"/>
    </row>
    <row r="11271" spans="1:2" x14ac:dyDescent="0.25">
      <c r="A11271" s="118"/>
      <c r="B11271" s="136"/>
    </row>
    <row r="11272" spans="1:2" x14ac:dyDescent="0.25">
      <c r="A11272" s="118"/>
      <c r="B11272" s="136"/>
    </row>
    <row r="11273" spans="1:2" x14ac:dyDescent="0.25">
      <c r="A11273" s="118"/>
      <c r="B11273" s="136"/>
    </row>
    <row r="11274" spans="1:2" x14ac:dyDescent="0.25">
      <c r="A11274" s="118"/>
      <c r="B11274" s="136"/>
    </row>
    <row r="11275" spans="1:2" x14ac:dyDescent="0.25">
      <c r="A11275" s="118"/>
      <c r="B11275" s="136"/>
    </row>
    <row r="11276" spans="1:2" x14ac:dyDescent="0.25">
      <c r="A11276" s="118"/>
      <c r="B11276" s="136"/>
    </row>
    <row r="11277" spans="1:2" x14ac:dyDescent="0.25">
      <c r="A11277" s="118"/>
      <c r="B11277" s="136"/>
    </row>
    <row r="11278" spans="1:2" x14ac:dyDescent="0.25">
      <c r="A11278" s="118"/>
      <c r="B11278" s="136"/>
    </row>
    <row r="11279" spans="1:2" x14ac:dyDescent="0.25">
      <c r="A11279" s="118"/>
      <c r="B11279" s="136"/>
    </row>
    <row r="11280" spans="1:2" x14ac:dyDescent="0.25">
      <c r="A11280" s="118"/>
      <c r="B11280" s="136"/>
    </row>
    <row r="11281" spans="1:2" x14ac:dyDescent="0.25">
      <c r="A11281" s="118"/>
      <c r="B11281" s="136"/>
    </row>
    <row r="11282" spans="1:2" x14ac:dyDescent="0.25">
      <c r="A11282" s="118"/>
      <c r="B11282" s="136"/>
    </row>
    <row r="11283" spans="1:2" x14ac:dyDescent="0.25">
      <c r="A11283" s="118"/>
      <c r="B11283" s="136"/>
    </row>
    <row r="11284" spans="1:2" x14ac:dyDescent="0.25">
      <c r="A11284" s="118"/>
      <c r="B11284" s="136"/>
    </row>
    <row r="11285" spans="1:2" x14ac:dyDescent="0.25">
      <c r="A11285" s="118"/>
      <c r="B11285" s="136"/>
    </row>
    <row r="11286" spans="1:2" x14ac:dyDescent="0.25">
      <c r="A11286" s="118"/>
      <c r="B11286" s="136"/>
    </row>
    <row r="11287" spans="1:2" x14ac:dyDescent="0.25">
      <c r="A11287" s="118"/>
      <c r="B11287" s="136"/>
    </row>
    <row r="11288" spans="1:2" x14ac:dyDescent="0.25">
      <c r="A11288" s="118"/>
      <c r="B11288" s="136"/>
    </row>
    <row r="11289" spans="1:2" x14ac:dyDescent="0.25">
      <c r="A11289" s="118"/>
      <c r="B11289" s="136"/>
    </row>
    <row r="11290" spans="1:2" x14ac:dyDescent="0.25">
      <c r="A11290" s="118"/>
      <c r="B11290" s="136"/>
    </row>
    <row r="11291" spans="1:2" x14ac:dyDescent="0.25">
      <c r="A11291" s="118"/>
      <c r="B11291" s="136"/>
    </row>
    <row r="11292" spans="1:2" x14ac:dyDescent="0.25">
      <c r="A11292" s="118"/>
      <c r="B11292" s="136"/>
    </row>
    <row r="11293" spans="1:2" x14ac:dyDescent="0.25">
      <c r="A11293" s="118"/>
      <c r="B11293" s="136"/>
    </row>
    <row r="11294" spans="1:2" x14ac:dyDescent="0.25">
      <c r="A11294" s="118"/>
      <c r="B11294" s="136"/>
    </row>
    <row r="11295" spans="1:2" x14ac:dyDescent="0.25">
      <c r="A11295" s="118"/>
      <c r="B11295" s="136"/>
    </row>
    <row r="11296" spans="1:2" x14ac:dyDescent="0.25">
      <c r="A11296" s="118"/>
      <c r="B11296" s="136"/>
    </row>
    <row r="11297" spans="1:2" x14ac:dyDescent="0.25">
      <c r="A11297" s="118"/>
      <c r="B11297" s="136"/>
    </row>
    <row r="11298" spans="1:2" x14ac:dyDescent="0.25">
      <c r="A11298" s="118"/>
      <c r="B11298" s="136"/>
    </row>
    <row r="11299" spans="1:2" x14ac:dyDescent="0.25">
      <c r="A11299" s="118"/>
      <c r="B11299" s="136"/>
    </row>
    <row r="11300" spans="1:2" x14ac:dyDescent="0.25">
      <c r="A11300" s="118"/>
      <c r="B11300" s="136"/>
    </row>
    <row r="11301" spans="1:2" x14ac:dyDescent="0.25">
      <c r="A11301" s="118"/>
      <c r="B11301" s="136"/>
    </row>
    <row r="11302" spans="1:2" x14ac:dyDescent="0.25">
      <c r="A11302" s="118"/>
      <c r="B11302" s="136"/>
    </row>
    <row r="11303" spans="1:2" x14ac:dyDescent="0.25">
      <c r="A11303" s="118"/>
      <c r="B11303" s="136"/>
    </row>
    <row r="11304" spans="1:2" x14ac:dyDescent="0.25">
      <c r="A11304" s="118"/>
      <c r="B11304" s="136"/>
    </row>
    <row r="11305" spans="1:2" x14ac:dyDescent="0.25">
      <c r="A11305" s="118"/>
      <c r="B11305" s="136"/>
    </row>
    <row r="11306" spans="1:2" x14ac:dyDescent="0.25">
      <c r="A11306" s="118"/>
      <c r="B11306" s="136"/>
    </row>
    <row r="11307" spans="1:2" x14ac:dyDescent="0.25">
      <c r="A11307" s="118"/>
      <c r="B11307" s="136"/>
    </row>
    <row r="11308" spans="1:2" x14ac:dyDescent="0.25">
      <c r="A11308" s="118"/>
      <c r="B11308" s="136"/>
    </row>
    <row r="11309" spans="1:2" x14ac:dyDescent="0.25">
      <c r="A11309" s="118"/>
      <c r="B11309" s="136"/>
    </row>
    <row r="11310" spans="1:2" x14ac:dyDescent="0.25">
      <c r="A11310" s="118"/>
      <c r="B11310" s="136"/>
    </row>
    <row r="11311" spans="1:2" x14ac:dyDescent="0.25">
      <c r="A11311" s="118"/>
      <c r="B11311" s="136"/>
    </row>
    <row r="11312" spans="1:2" x14ac:dyDescent="0.25">
      <c r="A11312" s="118"/>
      <c r="B11312" s="136"/>
    </row>
    <row r="11313" spans="1:2" x14ac:dyDescent="0.25">
      <c r="A11313" s="118"/>
      <c r="B11313" s="136"/>
    </row>
    <row r="11314" spans="1:2" x14ac:dyDescent="0.25">
      <c r="A11314" s="118"/>
      <c r="B11314" s="136"/>
    </row>
    <row r="11315" spans="1:2" x14ac:dyDescent="0.25">
      <c r="A11315" s="118"/>
      <c r="B11315" s="136"/>
    </row>
    <row r="11316" spans="1:2" x14ac:dyDescent="0.25">
      <c r="A11316" s="118"/>
      <c r="B11316" s="136"/>
    </row>
    <row r="11317" spans="1:2" x14ac:dyDescent="0.25">
      <c r="A11317" s="118"/>
      <c r="B11317" s="136"/>
    </row>
    <row r="11318" spans="1:2" x14ac:dyDescent="0.25">
      <c r="A11318" s="118"/>
      <c r="B11318" s="136"/>
    </row>
    <row r="11319" spans="1:2" x14ac:dyDescent="0.25">
      <c r="A11319" s="118"/>
      <c r="B11319" s="136"/>
    </row>
    <row r="11320" spans="1:2" x14ac:dyDescent="0.25">
      <c r="A11320" s="118"/>
      <c r="B11320" s="136"/>
    </row>
    <row r="11321" spans="1:2" x14ac:dyDescent="0.25">
      <c r="A11321" s="118"/>
      <c r="B11321" s="136"/>
    </row>
    <row r="11322" spans="1:2" x14ac:dyDescent="0.25">
      <c r="A11322" s="118"/>
      <c r="B11322" s="136"/>
    </row>
    <row r="11323" spans="1:2" x14ac:dyDescent="0.25">
      <c r="A11323" s="118"/>
      <c r="B11323" s="136"/>
    </row>
    <row r="11324" spans="1:2" x14ac:dyDescent="0.25">
      <c r="A11324" s="118"/>
      <c r="B11324" s="136"/>
    </row>
    <row r="11325" spans="1:2" x14ac:dyDescent="0.25">
      <c r="A11325" s="118"/>
      <c r="B11325" s="136"/>
    </row>
    <row r="11326" spans="1:2" x14ac:dyDescent="0.25">
      <c r="A11326" s="118"/>
      <c r="B11326" s="136"/>
    </row>
    <row r="11327" spans="1:2" x14ac:dyDescent="0.25">
      <c r="A11327" s="118"/>
      <c r="B11327" s="136"/>
    </row>
    <row r="11328" spans="1:2" x14ac:dyDescent="0.25">
      <c r="A11328" s="118"/>
      <c r="B11328" s="136"/>
    </row>
    <row r="11329" spans="1:2" x14ac:dyDescent="0.25">
      <c r="A11329" s="118"/>
      <c r="B11329" s="136"/>
    </row>
    <row r="11330" spans="1:2" x14ac:dyDescent="0.25">
      <c r="A11330" s="118"/>
      <c r="B11330" s="136"/>
    </row>
    <row r="11331" spans="1:2" x14ac:dyDescent="0.25">
      <c r="A11331" s="118"/>
      <c r="B11331" s="136"/>
    </row>
    <row r="11332" spans="1:2" x14ac:dyDescent="0.25">
      <c r="A11332" s="118"/>
      <c r="B11332" s="136"/>
    </row>
    <row r="11333" spans="1:2" x14ac:dyDescent="0.25">
      <c r="A11333" s="118"/>
      <c r="B11333" s="136"/>
    </row>
    <row r="11334" spans="1:2" x14ac:dyDescent="0.25">
      <c r="A11334" s="118"/>
      <c r="B11334" s="136"/>
    </row>
    <row r="11335" spans="1:2" x14ac:dyDescent="0.25">
      <c r="A11335" s="118"/>
      <c r="B11335" s="136"/>
    </row>
    <row r="11336" spans="1:2" x14ac:dyDescent="0.25">
      <c r="A11336" s="118"/>
      <c r="B11336" s="136"/>
    </row>
    <row r="11337" spans="1:2" x14ac:dyDescent="0.25">
      <c r="A11337" s="118"/>
      <c r="B11337" s="136"/>
    </row>
    <row r="11338" spans="1:2" x14ac:dyDescent="0.25">
      <c r="A11338" s="118"/>
      <c r="B11338" s="136"/>
    </row>
    <row r="11339" spans="1:2" x14ac:dyDescent="0.25">
      <c r="A11339" s="118"/>
      <c r="B11339" s="136"/>
    </row>
    <row r="11340" spans="1:2" x14ac:dyDescent="0.25">
      <c r="A11340" s="118"/>
      <c r="B11340" s="136"/>
    </row>
    <row r="11341" spans="1:2" x14ac:dyDescent="0.25">
      <c r="A11341" s="118"/>
      <c r="B11341" s="136"/>
    </row>
    <row r="11342" spans="1:2" x14ac:dyDescent="0.25">
      <c r="A11342" s="118"/>
      <c r="B11342" s="136"/>
    </row>
    <row r="11343" spans="1:2" x14ac:dyDescent="0.25">
      <c r="A11343" s="118"/>
      <c r="B11343" s="136"/>
    </row>
    <row r="11344" spans="1:2" x14ac:dyDescent="0.25">
      <c r="A11344" s="118"/>
      <c r="B11344" s="136"/>
    </row>
    <row r="11345" spans="1:2" x14ac:dyDescent="0.25">
      <c r="A11345" s="118"/>
      <c r="B11345" s="136"/>
    </row>
    <row r="11346" spans="1:2" x14ac:dyDescent="0.25">
      <c r="A11346" s="118"/>
      <c r="B11346" s="136"/>
    </row>
    <row r="11347" spans="1:2" x14ac:dyDescent="0.25">
      <c r="A11347" s="118"/>
      <c r="B11347" s="136"/>
    </row>
    <row r="11348" spans="1:2" x14ac:dyDescent="0.25">
      <c r="A11348" s="118"/>
      <c r="B11348" s="136"/>
    </row>
    <row r="11349" spans="1:2" x14ac:dyDescent="0.25">
      <c r="A11349" s="118"/>
      <c r="B11349" s="136"/>
    </row>
    <row r="11350" spans="1:2" x14ac:dyDescent="0.25">
      <c r="A11350" s="118"/>
      <c r="B11350" s="136"/>
    </row>
    <row r="11351" spans="1:2" x14ac:dyDescent="0.25">
      <c r="A11351" s="118"/>
      <c r="B11351" s="136"/>
    </row>
    <row r="11352" spans="1:2" x14ac:dyDescent="0.25">
      <c r="A11352" s="118"/>
      <c r="B11352" s="136"/>
    </row>
    <row r="11353" spans="1:2" x14ac:dyDescent="0.25">
      <c r="A11353" s="118"/>
      <c r="B11353" s="136"/>
    </row>
    <row r="11354" spans="1:2" x14ac:dyDescent="0.25">
      <c r="A11354" s="118"/>
      <c r="B11354" s="136"/>
    </row>
    <row r="11355" spans="1:2" x14ac:dyDescent="0.25">
      <c r="A11355" s="118"/>
      <c r="B11355" s="136"/>
    </row>
    <row r="11356" spans="1:2" x14ac:dyDescent="0.25">
      <c r="A11356" s="118"/>
      <c r="B11356" s="136"/>
    </row>
    <row r="11357" spans="1:2" x14ac:dyDescent="0.25">
      <c r="A11357" s="118"/>
      <c r="B11357" s="136"/>
    </row>
    <row r="11358" spans="1:2" x14ac:dyDescent="0.25">
      <c r="A11358" s="118"/>
      <c r="B11358" s="136"/>
    </row>
    <row r="11359" spans="1:2" x14ac:dyDescent="0.25">
      <c r="A11359" s="118"/>
      <c r="B11359" s="136"/>
    </row>
    <row r="11360" spans="1:2" x14ac:dyDescent="0.25">
      <c r="A11360" s="118"/>
      <c r="B11360" s="136"/>
    </row>
    <row r="11361" spans="1:2" x14ac:dyDescent="0.25">
      <c r="A11361" s="118"/>
      <c r="B11361" s="136"/>
    </row>
    <row r="11362" spans="1:2" x14ac:dyDescent="0.25">
      <c r="A11362" s="118"/>
      <c r="B11362" s="136"/>
    </row>
    <row r="11363" spans="1:2" x14ac:dyDescent="0.25">
      <c r="A11363" s="118"/>
      <c r="B11363" s="136"/>
    </row>
    <row r="11364" spans="1:2" x14ac:dyDescent="0.25">
      <c r="A11364" s="118"/>
      <c r="B11364" s="136"/>
    </row>
    <row r="11365" spans="1:2" x14ac:dyDescent="0.25">
      <c r="A11365" s="118"/>
      <c r="B11365" s="136"/>
    </row>
    <row r="11366" spans="1:2" x14ac:dyDescent="0.25">
      <c r="A11366" s="118"/>
      <c r="B11366" s="136"/>
    </row>
    <row r="11367" spans="1:2" x14ac:dyDescent="0.25">
      <c r="A11367" s="118"/>
      <c r="B11367" s="136"/>
    </row>
    <row r="11368" spans="1:2" x14ac:dyDescent="0.25">
      <c r="A11368" s="118"/>
      <c r="B11368" s="136"/>
    </row>
    <row r="11369" spans="1:2" x14ac:dyDescent="0.25">
      <c r="A11369" s="118"/>
      <c r="B11369" s="136"/>
    </row>
    <row r="11370" spans="1:2" x14ac:dyDescent="0.25">
      <c r="A11370" s="118"/>
      <c r="B11370" s="136"/>
    </row>
    <row r="11371" spans="1:2" x14ac:dyDescent="0.25">
      <c r="A11371" s="118"/>
      <c r="B11371" s="136"/>
    </row>
    <row r="11372" spans="1:2" x14ac:dyDescent="0.25">
      <c r="A11372" s="118"/>
      <c r="B11372" s="136"/>
    </row>
    <row r="11373" spans="1:2" x14ac:dyDescent="0.25">
      <c r="A11373" s="118"/>
      <c r="B11373" s="136"/>
    </row>
    <row r="11374" spans="1:2" x14ac:dyDescent="0.25">
      <c r="A11374" s="118"/>
      <c r="B11374" s="136"/>
    </row>
    <row r="11375" spans="1:2" x14ac:dyDescent="0.25">
      <c r="A11375" s="118"/>
      <c r="B11375" s="136"/>
    </row>
    <row r="11376" spans="1:2" x14ac:dyDescent="0.25">
      <c r="A11376" s="118"/>
      <c r="B11376" s="136"/>
    </row>
    <row r="11377" spans="1:2" x14ac:dyDescent="0.25">
      <c r="A11377" s="118"/>
      <c r="B11377" s="136"/>
    </row>
    <row r="11378" spans="1:2" x14ac:dyDescent="0.25">
      <c r="A11378" s="118"/>
      <c r="B11378" s="136"/>
    </row>
    <row r="11379" spans="1:2" x14ac:dyDescent="0.25">
      <c r="A11379" s="118"/>
      <c r="B11379" s="136"/>
    </row>
    <row r="11380" spans="1:2" x14ac:dyDescent="0.25">
      <c r="A11380" s="118"/>
      <c r="B11380" s="136"/>
    </row>
    <row r="11381" spans="1:2" x14ac:dyDescent="0.25">
      <c r="A11381" s="118"/>
      <c r="B11381" s="136"/>
    </row>
    <row r="11382" spans="1:2" x14ac:dyDescent="0.25">
      <c r="A11382" s="118"/>
      <c r="B11382" s="136"/>
    </row>
    <row r="11383" spans="1:2" x14ac:dyDescent="0.25">
      <c r="A11383" s="118"/>
      <c r="B11383" s="136"/>
    </row>
    <row r="11384" spans="1:2" x14ac:dyDescent="0.25">
      <c r="A11384" s="118"/>
      <c r="B11384" s="136"/>
    </row>
    <row r="11385" spans="1:2" x14ac:dyDescent="0.25">
      <c r="A11385" s="118"/>
      <c r="B11385" s="136"/>
    </row>
    <row r="11386" spans="1:2" x14ac:dyDescent="0.25">
      <c r="A11386" s="118"/>
      <c r="B11386" s="136"/>
    </row>
    <row r="11387" spans="1:2" x14ac:dyDescent="0.25">
      <c r="A11387" s="118"/>
      <c r="B11387" s="136"/>
    </row>
    <row r="11388" spans="1:2" x14ac:dyDescent="0.25">
      <c r="A11388" s="118"/>
      <c r="B11388" s="136"/>
    </row>
    <row r="11389" spans="1:2" x14ac:dyDescent="0.25">
      <c r="A11389" s="118"/>
      <c r="B11389" s="136"/>
    </row>
    <row r="11390" spans="1:2" x14ac:dyDescent="0.25">
      <c r="A11390" s="118"/>
      <c r="B11390" s="136"/>
    </row>
    <row r="11391" spans="1:2" x14ac:dyDescent="0.25">
      <c r="A11391" s="118"/>
      <c r="B11391" s="136"/>
    </row>
    <row r="11392" spans="1:2" x14ac:dyDescent="0.25">
      <c r="A11392" s="118"/>
      <c r="B11392" s="136"/>
    </row>
    <row r="11393" spans="1:2" x14ac:dyDescent="0.25">
      <c r="A11393" s="118"/>
      <c r="B11393" s="136"/>
    </row>
    <row r="11394" spans="1:2" x14ac:dyDescent="0.25">
      <c r="A11394" s="118"/>
      <c r="B11394" s="136"/>
    </row>
    <row r="11395" spans="1:2" x14ac:dyDescent="0.25">
      <c r="A11395" s="118"/>
      <c r="B11395" s="136"/>
    </row>
    <row r="11396" spans="1:2" x14ac:dyDescent="0.25">
      <c r="A11396" s="118"/>
      <c r="B11396" s="136"/>
    </row>
    <row r="11397" spans="1:2" x14ac:dyDescent="0.25">
      <c r="A11397" s="118"/>
      <c r="B11397" s="136"/>
    </row>
    <row r="11398" spans="1:2" x14ac:dyDescent="0.25">
      <c r="A11398" s="118"/>
      <c r="B11398" s="136"/>
    </row>
    <row r="11399" spans="1:2" x14ac:dyDescent="0.25">
      <c r="A11399" s="118"/>
      <c r="B11399" s="136"/>
    </row>
    <row r="11400" spans="1:2" x14ac:dyDescent="0.25">
      <c r="A11400" s="118"/>
      <c r="B11400" s="136"/>
    </row>
    <row r="11401" spans="1:2" x14ac:dyDescent="0.25">
      <c r="A11401" s="118"/>
      <c r="B11401" s="136"/>
    </row>
    <row r="11402" spans="1:2" x14ac:dyDescent="0.25">
      <c r="A11402" s="118"/>
      <c r="B11402" s="136"/>
    </row>
    <row r="11403" spans="1:2" x14ac:dyDescent="0.25">
      <c r="A11403" s="118"/>
      <c r="B11403" s="136"/>
    </row>
    <row r="11404" spans="1:2" x14ac:dyDescent="0.25">
      <c r="A11404" s="118"/>
      <c r="B11404" s="136"/>
    </row>
    <row r="11405" spans="1:2" x14ac:dyDescent="0.25">
      <c r="A11405" s="118"/>
      <c r="B11405" s="136"/>
    </row>
    <row r="11406" spans="1:2" x14ac:dyDescent="0.25">
      <c r="A11406" s="118"/>
      <c r="B11406" s="136"/>
    </row>
    <row r="11407" spans="1:2" x14ac:dyDescent="0.25">
      <c r="A11407" s="118"/>
      <c r="B11407" s="136"/>
    </row>
    <row r="11408" spans="1:2" x14ac:dyDescent="0.25">
      <c r="A11408" s="118"/>
      <c r="B11408" s="136"/>
    </row>
    <row r="11409" spans="1:2" x14ac:dyDescent="0.25">
      <c r="A11409" s="118"/>
      <c r="B11409" s="136"/>
    </row>
    <row r="11410" spans="1:2" x14ac:dyDescent="0.25">
      <c r="A11410" s="118"/>
      <c r="B11410" s="136"/>
    </row>
    <row r="11411" spans="1:2" x14ac:dyDescent="0.25">
      <c r="A11411" s="118"/>
      <c r="B11411" s="136"/>
    </row>
    <row r="11412" spans="1:2" x14ac:dyDescent="0.25">
      <c r="A11412" s="118"/>
      <c r="B11412" s="136"/>
    </row>
    <row r="11413" spans="1:2" x14ac:dyDescent="0.25">
      <c r="A11413" s="118"/>
      <c r="B11413" s="136"/>
    </row>
    <row r="11414" spans="1:2" x14ac:dyDescent="0.25">
      <c r="A11414" s="118"/>
      <c r="B11414" s="136"/>
    </row>
    <row r="11415" spans="1:2" x14ac:dyDescent="0.25">
      <c r="A11415" s="118"/>
      <c r="B11415" s="136"/>
    </row>
    <row r="11416" spans="1:2" x14ac:dyDescent="0.25">
      <c r="A11416" s="118"/>
      <c r="B11416" s="136"/>
    </row>
    <row r="11417" spans="1:2" x14ac:dyDescent="0.25">
      <c r="A11417" s="118"/>
      <c r="B11417" s="136"/>
    </row>
    <row r="11418" spans="1:2" x14ac:dyDescent="0.25">
      <c r="A11418" s="118"/>
      <c r="B11418" s="136"/>
    </row>
    <row r="11419" spans="1:2" x14ac:dyDescent="0.25">
      <c r="A11419" s="118"/>
      <c r="B11419" s="136"/>
    </row>
    <row r="11420" spans="1:2" x14ac:dyDescent="0.25">
      <c r="A11420" s="118"/>
      <c r="B11420" s="136"/>
    </row>
    <row r="11421" spans="1:2" x14ac:dyDescent="0.25">
      <c r="A11421" s="118"/>
      <c r="B11421" s="136"/>
    </row>
    <row r="11422" spans="1:2" x14ac:dyDescent="0.25">
      <c r="A11422" s="118"/>
      <c r="B11422" s="136"/>
    </row>
    <row r="11423" spans="1:2" x14ac:dyDescent="0.25">
      <c r="A11423" s="118"/>
      <c r="B11423" s="136"/>
    </row>
    <row r="11424" spans="1:2" x14ac:dyDescent="0.25">
      <c r="A11424" s="118"/>
      <c r="B11424" s="136"/>
    </row>
    <row r="11425" spans="1:2" x14ac:dyDescent="0.25">
      <c r="A11425" s="118"/>
      <c r="B11425" s="136"/>
    </row>
    <row r="11426" spans="1:2" x14ac:dyDescent="0.25">
      <c r="A11426" s="118"/>
      <c r="B11426" s="136"/>
    </row>
    <row r="11427" spans="1:2" x14ac:dyDescent="0.25">
      <c r="A11427" s="118"/>
      <c r="B11427" s="136"/>
    </row>
    <row r="11428" spans="1:2" x14ac:dyDescent="0.25">
      <c r="A11428" s="118"/>
      <c r="B11428" s="136"/>
    </row>
    <row r="11429" spans="1:2" x14ac:dyDescent="0.25">
      <c r="A11429" s="118"/>
      <c r="B11429" s="136"/>
    </row>
    <row r="11430" spans="1:2" x14ac:dyDescent="0.25">
      <c r="A11430" s="118"/>
      <c r="B11430" s="136"/>
    </row>
    <row r="11431" spans="1:2" x14ac:dyDescent="0.25">
      <c r="A11431" s="118"/>
      <c r="B11431" s="136"/>
    </row>
    <row r="11432" spans="1:2" x14ac:dyDescent="0.25">
      <c r="A11432" s="118"/>
      <c r="B11432" s="136"/>
    </row>
    <row r="11433" spans="1:2" x14ac:dyDescent="0.25">
      <c r="A11433" s="118"/>
      <c r="B11433" s="136"/>
    </row>
    <row r="11434" spans="1:2" x14ac:dyDescent="0.25">
      <c r="A11434" s="118"/>
      <c r="B11434" s="136"/>
    </row>
    <row r="11435" spans="1:2" x14ac:dyDescent="0.25">
      <c r="A11435" s="118"/>
      <c r="B11435" s="136"/>
    </row>
    <row r="11436" spans="1:2" x14ac:dyDescent="0.25">
      <c r="A11436" s="118"/>
      <c r="B11436" s="136"/>
    </row>
    <row r="11437" spans="1:2" x14ac:dyDescent="0.25">
      <c r="A11437" s="118"/>
      <c r="B11437" s="136"/>
    </row>
    <row r="11438" spans="1:2" x14ac:dyDescent="0.25">
      <c r="A11438" s="118"/>
      <c r="B11438" s="136"/>
    </row>
    <row r="11439" spans="1:2" x14ac:dyDescent="0.25">
      <c r="A11439" s="118"/>
      <c r="B11439" s="136"/>
    </row>
    <row r="11440" spans="1:2" x14ac:dyDescent="0.25">
      <c r="A11440" s="118"/>
      <c r="B11440" s="136"/>
    </row>
    <row r="11441" spans="1:2" x14ac:dyDescent="0.25">
      <c r="A11441" s="118"/>
      <c r="B11441" s="136"/>
    </row>
    <row r="11442" spans="1:2" x14ac:dyDescent="0.25">
      <c r="A11442" s="118"/>
      <c r="B11442" s="136"/>
    </row>
    <row r="11443" spans="1:2" x14ac:dyDescent="0.25">
      <c r="A11443" s="118"/>
      <c r="B11443" s="136"/>
    </row>
    <row r="11444" spans="1:2" x14ac:dyDescent="0.25">
      <c r="A11444" s="118"/>
      <c r="B11444" s="136"/>
    </row>
    <row r="11445" spans="1:2" x14ac:dyDescent="0.25">
      <c r="A11445" s="118"/>
      <c r="B11445" s="136"/>
    </row>
    <row r="11446" spans="1:2" x14ac:dyDescent="0.25">
      <c r="A11446" s="118"/>
      <c r="B11446" s="136"/>
    </row>
    <row r="11447" spans="1:2" x14ac:dyDescent="0.25">
      <c r="A11447" s="118"/>
      <c r="B11447" s="136"/>
    </row>
    <row r="11448" spans="1:2" x14ac:dyDescent="0.25">
      <c r="A11448" s="118"/>
      <c r="B11448" s="136"/>
    </row>
    <row r="11449" spans="1:2" x14ac:dyDescent="0.25">
      <c r="A11449" s="118"/>
      <c r="B11449" s="136"/>
    </row>
    <row r="11450" spans="1:2" x14ac:dyDescent="0.25">
      <c r="A11450" s="118"/>
      <c r="B11450" s="136"/>
    </row>
    <row r="11451" spans="1:2" x14ac:dyDescent="0.25">
      <c r="A11451" s="118"/>
      <c r="B11451" s="136"/>
    </row>
    <row r="11452" spans="1:2" x14ac:dyDescent="0.25">
      <c r="A11452" s="118"/>
      <c r="B11452" s="136"/>
    </row>
    <row r="11453" spans="1:2" x14ac:dyDescent="0.25">
      <c r="A11453" s="118"/>
      <c r="B11453" s="136"/>
    </row>
    <row r="11454" spans="1:2" x14ac:dyDescent="0.25">
      <c r="A11454" s="118"/>
      <c r="B11454" s="136"/>
    </row>
    <row r="11455" spans="1:2" x14ac:dyDescent="0.25">
      <c r="A11455" s="118"/>
      <c r="B11455" s="136"/>
    </row>
    <row r="11456" spans="1:2" x14ac:dyDescent="0.25">
      <c r="A11456" s="118"/>
      <c r="B11456" s="136"/>
    </row>
    <row r="11457" spans="1:2" x14ac:dyDescent="0.25">
      <c r="A11457" s="118"/>
      <c r="B11457" s="136"/>
    </row>
    <row r="11458" spans="1:2" x14ac:dyDescent="0.25">
      <c r="A11458" s="118"/>
      <c r="B11458" s="136"/>
    </row>
    <row r="11459" spans="1:2" x14ac:dyDescent="0.25">
      <c r="A11459" s="118"/>
      <c r="B11459" s="136"/>
    </row>
    <row r="11460" spans="1:2" x14ac:dyDescent="0.25">
      <c r="A11460" s="118"/>
      <c r="B11460" s="136"/>
    </row>
    <row r="11461" spans="1:2" x14ac:dyDescent="0.25">
      <c r="A11461" s="118"/>
      <c r="B11461" s="136"/>
    </row>
    <row r="11462" spans="1:2" x14ac:dyDescent="0.25">
      <c r="A11462" s="118"/>
      <c r="B11462" s="136"/>
    </row>
    <row r="11463" spans="1:2" x14ac:dyDescent="0.25">
      <c r="A11463" s="118"/>
      <c r="B11463" s="136"/>
    </row>
    <row r="11464" spans="1:2" x14ac:dyDescent="0.25">
      <c r="A11464" s="118"/>
      <c r="B11464" s="136"/>
    </row>
    <row r="11465" spans="1:2" x14ac:dyDescent="0.25">
      <c r="A11465" s="118"/>
      <c r="B11465" s="136"/>
    </row>
    <row r="11466" spans="1:2" x14ac:dyDescent="0.25">
      <c r="A11466" s="118"/>
      <c r="B11466" s="136"/>
    </row>
    <row r="11467" spans="1:2" x14ac:dyDescent="0.25">
      <c r="A11467" s="118"/>
      <c r="B11467" s="136"/>
    </row>
    <row r="11468" spans="1:2" x14ac:dyDescent="0.25">
      <c r="A11468" s="118"/>
      <c r="B11468" s="136"/>
    </row>
    <row r="11469" spans="1:2" x14ac:dyDescent="0.25">
      <c r="A11469" s="118"/>
      <c r="B11469" s="136"/>
    </row>
    <row r="11470" spans="1:2" x14ac:dyDescent="0.25">
      <c r="A11470" s="118"/>
      <c r="B11470" s="136"/>
    </row>
    <row r="11471" spans="1:2" x14ac:dyDescent="0.25">
      <c r="A11471" s="118"/>
      <c r="B11471" s="136"/>
    </row>
    <row r="11472" spans="1:2" x14ac:dyDescent="0.25">
      <c r="A11472" s="118"/>
      <c r="B11472" s="136"/>
    </row>
    <row r="11473" spans="1:2" x14ac:dyDescent="0.25">
      <c r="A11473" s="118"/>
      <c r="B11473" s="136"/>
    </row>
    <row r="11474" spans="1:2" x14ac:dyDescent="0.25">
      <c r="A11474" s="118"/>
      <c r="B11474" s="136"/>
    </row>
    <row r="11475" spans="1:2" x14ac:dyDescent="0.25">
      <c r="A11475" s="118"/>
      <c r="B11475" s="136"/>
    </row>
    <row r="11476" spans="1:2" x14ac:dyDescent="0.25">
      <c r="A11476" s="118"/>
      <c r="B11476" s="136"/>
    </row>
    <row r="11477" spans="1:2" x14ac:dyDescent="0.25">
      <c r="A11477" s="118"/>
      <c r="B11477" s="136"/>
    </row>
    <row r="11478" spans="1:2" x14ac:dyDescent="0.25">
      <c r="A11478" s="118"/>
      <c r="B11478" s="136"/>
    </row>
    <row r="11479" spans="1:2" x14ac:dyDescent="0.25">
      <c r="A11479" s="118"/>
      <c r="B11479" s="136"/>
    </row>
    <row r="11480" spans="1:2" x14ac:dyDescent="0.25">
      <c r="A11480" s="118"/>
      <c r="B11480" s="136"/>
    </row>
    <row r="11481" spans="1:2" x14ac:dyDescent="0.25">
      <c r="A11481" s="118"/>
      <c r="B11481" s="136"/>
    </row>
    <row r="11482" spans="1:2" x14ac:dyDescent="0.25">
      <c r="A11482" s="118"/>
      <c r="B11482" s="136"/>
    </row>
    <row r="11483" spans="1:2" x14ac:dyDescent="0.25">
      <c r="A11483" s="118"/>
      <c r="B11483" s="136"/>
    </row>
    <row r="11484" spans="1:2" x14ac:dyDescent="0.25">
      <c r="A11484" s="118"/>
      <c r="B11484" s="136"/>
    </row>
    <row r="11485" spans="1:2" x14ac:dyDescent="0.25">
      <c r="A11485" s="118"/>
      <c r="B11485" s="136"/>
    </row>
    <row r="11486" spans="1:2" x14ac:dyDescent="0.25">
      <c r="A11486" s="118"/>
      <c r="B11486" s="136"/>
    </row>
    <row r="11487" spans="1:2" x14ac:dyDescent="0.25">
      <c r="A11487" s="118"/>
      <c r="B11487" s="136"/>
    </row>
    <row r="11488" spans="1:2" x14ac:dyDescent="0.25">
      <c r="A11488" s="118"/>
      <c r="B11488" s="136"/>
    </row>
    <row r="11489" spans="1:2" x14ac:dyDescent="0.25">
      <c r="A11489" s="118"/>
      <c r="B11489" s="136"/>
    </row>
    <row r="11490" spans="1:2" x14ac:dyDescent="0.25">
      <c r="A11490" s="118"/>
      <c r="B11490" s="136"/>
    </row>
    <row r="11491" spans="1:2" x14ac:dyDescent="0.25">
      <c r="A11491" s="118"/>
      <c r="B11491" s="136"/>
    </row>
    <row r="11492" spans="1:2" x14ac:dyDescent="0.25">
      <c r="A11492" s="118"/>
      <c r="B11492" s="136"/>
    </row>
    <row r="11493" spans="1:2" x14ac:dyDescent="0.25">
      <c r="A11493" s="118"/>
      <c r="B11493" s="136"/>
    </row>
    <row r="11494" spans="1:2" x14ac:dyDescent="0.25">
      <c r="A11494" s="118"/>
      <c r="B11494" s="136"/>
    </row>
    <row r="11495" spans="1:2" x14ac:dyDescent="0.25">
      <c r="A11495" s="118"/>
      <c r="B11495" s="136"/>
    </row>
    <row r="11496" spans="1:2" x14ac:dyDescent="0.25">
      <c r="A11496" s="118"/>
      <c r="B11496" s="136"/>
    </row>
    <row r="11497" spans="1:2" x14ac:dyDescent="0.25">
      <c r="A11497" s="118"/>
      <c r="B11497" s="136"/>
    </row>
    <row r="11498" spans="1:2" x14ac:dyDescent="0.25">
      <c r="A11498" s="118"/>
      <c r="B11498" s="136"/>
    </row>
    <row r="11499" spans="1:2" x14ac:dyDescent="0.25">
      <c r="A11499" s="118"/>
      <c r="B11499" s="136"/>
    </row>
    <row r="11500" spans="1:2" x14ac:dyDescent="0.25">
      <c r="A11500" s="118"/>
      <c r="B11500" s="136"/>
    </row>
    <row r="11501" spans="1:2" x14ac:dyDescent="0.25">
      <c r="A11501" s="118"/>
      <c r="B11501" s="136"/>
    </row>
    <row r="11502" spans="1:2" x14ac:dyDescent="0.25">
      <c r="A11502" s="118"/>
      <c r="B11502" s="136"/>
    </row>
    <row r="11503" spans="1:2" x14ac:dyDescent="0.25">
      <c r="A11503" s="118"/>
      <c r="B11503" s="136"/>
    </row>
    <row r="11504" spans="1:2" x14ac:dyDescent="0.25">
      <c r="A11504" s="118"/>
      <c r="B11504" s="136"/>
    </row>
    <row r="11505" spans="1:2" x14ac:dyDescent="0.25">
      <c r="A11505" s="118"/>
      <c r="B11505" s="136"/>
    </row>
    <row r="11506" spans="1:2" x14ac:dyDescent="0.25">
      <c r="A11506" s="118"/>
      <c r="B11506" s="136"/>
    </row>
    <row r="11507" spans="1:2" x14ac:dyDescent="0.25">
      <c r="A11507" s="118"/>
      <c r="B11507" s="136"/>
    </row>
    <row r="11508" spans="1:2" x14ac:dyDescent="0.25">
      <c r="A11508" s="118"/>
      <c r="B11508" s="136"/>
    </row>
    <row r="11509" spans="1:2" x14ac:dyDescent="0.25">
      <c r="A11509" s="118"/>
      <c r="B11509" s="136"/>
    </row>
    <row r="11510" spans="1:2" x14ac:dyDescent="0.25">
      <c r="A11510" s="118"/>
      <c r="B11510" s="136"/>
    </row>
    <row r="11511" spans="1:2" x14ac:dyDescent="0.25">
      <c r="A11511" s="118"/>
      <c r="B11511" s="136"/>
    </row>
    <row r="11512" spans="1:2" x14ac:dyDescent="0.25">
      <c r="A11512" s="118"/>
      <c r="B11512" s="136"/>
    </row>
    <row r="11513" spans="1:2" x14ac:dyDescent="0.25">
      <c r="A11513" s="118"/>
      <c r="B11513" s="136"/>
    </row>
    <row r="11514" spans="1:2" x14ac:dyDescent="0.25">
      <c r="A11514" s="118"/>
      <c r="B11514" s="136"/>
    </row>
    <row r="11515" spans="1:2" x14ac:dyDescent="0.25">
      <c r="A11515" s="118"/>
      <c r="B11515" s="136"/>
    </row>
    <row r="11516" spans="1:2" x14ac:dyDescent="0.25">
      <c r="A11516" s="118"/>
      <c r="B11516" s="136"/>
    </row>
    <row r="11517" spans="1:2" x14ac:dyDescent="0.25">
      <c r="A11517" s="118"/>
      <c r="B11517" s="136"/>
    </row>
    <row r="11518" spans="1:2" x14ac:dyDescent="0.25">
      <c r="A11518" s="118"/>
      <c r="B11518" s="136"/>
    </row>
    <row r="11519" spans="1:2" x14ac:dyDescent="0.25">
      <c r="A11519" s="118"/>
      <c r="B11519" s="136"/>
    </row>
    <row r="11520" spans="1:2" x14ac:dyDescent="0.25">
      <c r="A11520" s="118"/>
      <c r="B11520" s="136"/>
    </row>
    <row r="11521" spans="1:2" x14ac:dyDescent="0.25">
      <c r="A11521" s="118"/>
      <c r="B11521" s="136"/>
    </row>
    <row r="11522" spans="1:2" x14ac:dyDescent="0.25">
      <c r="A11522" s="118"/>
      <c r="B11522" s="136"/>
    </row>
    <row r="11523" spans="1:2" x14ac:dyDescent="0.25">
      <c r="A11523" s="118"/>
      <c r="B11523" s="136"/>
    </row>
    <row r="11524" spans="1:2" x14ac:dyDescent="0.25">
      <c r="A11524" s="118"/>
      <c r="B11524" s="136"/>
    </row>
    <row r="11525" spans="1:2" x14ac:dyDescent="0.25">
      <c r="A11525" s="118"/>
      <c r="B11525" s="136"/>
    </row>
    <row r="11526" spans="1:2" x14ac:dyDescent="0.25">
      <c r="A11526" s="118"/>
      <c r="B11526" s="136"/>
    </row>
    <row r="11527" spans="1:2" x14ac:dyDescent="0.25">
      <c r="A11527" s="118"/>
      <c r="B11527" s="136"/>
    </row>
    <row r="11528" spans="1:2" x14ac:dyDescent="0.25">
      <c r="A11528" s="118"/>
      <c r="B11528" s="136"/>
    </row>
    <row r="11529" spans="1:2" x14ac:dyDescent="0.25">
      <c r="A11529" s="118"/>
      <c r="B11529" s="136"/>
    </row>
    <row r="11530" spans="1:2" x14ac:dyDescent="0.25">
      <c r="A11530" s="118"/>
      <c r="B11530" s="136"/>
    </row>
    <row r="11531" spans="1:2" x14ac:dyDescent="0.25">
      <c r="A11531" s="118"/>
      <c r="B11531" s="136"/>
    </row>
    <row r="11532" spans="1:2" x14ac:dyDescent="0.25">
      <c r="A11532" s="118"/>
      <c r="B11532" s="136"/>
    </row>
    <row r="11533" spans="1:2" x14ac:dyDescent="0.25">
      <c r="A11533" s="118"/>
      <c r="B11533" s="136"/>
    </row>
    <row r="11534" spans="1:2" x14ac:dyDescent="0.25">
      <c r="A11534" s="118"/>
      <c r="B11534" s="136"/>
    </row>
    <row r="11535" spans="1:2" x14ac:dyDescent="0.25">
      <c r="A11535" s="118"/>
      <c r="B11535" s="136"/>
    </row>
    <row r="11536" spans="1:2" x14ac:dyDescent="0.25">
      <c r="A11536" s="118"/>
      <c r="B11536" s="136"/>
    </row>
    <row r="11537" spans="1:2" x14ac:dyDescent="0.25">
      <c r="A11537" s="118"/>
      <c r="B11537" s="136"/>
    </row>
    <row r="11538" spans="1:2" x14ac:dyDescent="0.25">
      <c r="A11538" s="118"/>
      <c r="B11538" s="136"/>
    </row>
    <row r="11539" spans="1:2" x14ac:dyDescent="0.25">
      <c r="A11539" s="118"/>
      <c r="B11539" s="136"/>
    </row>
    <row r="11540" spans="1:2" x14ac:dyDescent="0.25">
      <c r="A11540" s="118"/>
      <c r="B11540" s="136"/>
    </row>
    <row r="11541" spans="1:2" x14ac:dyDescent="0.25">
      <c r="A11541" s="118"/>
      <c r="B11541" s="136"/>
    </row>
    <row r="11542" spans="1:2" x14ac:dyDescent="0.25">
      <c r="A11542" s="118"/>
      <c r="B11542" s="136"/>
    </row>
    <row r="11543" spans="1:2" x14ac:dyDescent="0.25">
      <c r="A11543" s="118"/>
      <c r="B11543" s="136"/>
    </row>
    <row r="11544" spans="1:2" x14ac:dyDescent="0.25">
      <c r="A11544" s="118"/>
      <c r="B11544" s="136"/>
    </row>
    <row r="11545" spans="1:2" x14ac:dyDescent="0.25">
      <c r="A11545" s="118"/>
      <c r="B11545" s="136"/>
    </row>
    <row r="11546" spans="1:2" x14ac:dyDescent="0.25">
      <c r="A11546" s="118"/>
      <c r="B11546" s="136"/>
    </row>
    <row r="11547" spans="1:2" x14ac:dyDescent="0.25">
      <c r="A11547" s="118"/>
      <c r="B11547" s="136"/>
    </row>
    <row r="11548" spans="1:2" x14ac:dyDescent="0.25">
      <c r="A11548" s="118"/>
      <c r="B11548" s="136"/>
    </row>
    <row r="11549" spans="1:2" x14ac:dyDescent="0.25">
      <c r="A11549" s="118"/>
      <c r="B11549" s="136"/>
    </row>
    <row r="11550" spans="1:2" x14ac:dyDescent="0.25">
      <c r="A11550" s="118"/>
      <c r="B11550" s="136"/>
    </row>
    <row r="11551" spans="1:2" x14ac:dyDescent="0.25">
      <c r="A11551" s="118"/>
      <c r="B11551" s="136"/>
    </row>
    <row r="11552" spans="1:2" x14ac:dyDescent="0.25">
      <c r="A11552" s="118"/>
      <c r="B11552" s="136"/>
    </row>
    <row r="11553" spans="1:2" x14ac:dyDescent="0.25">
      <c r="A11553" s="118"/>
      <c r="B11553" s="136"/>
    </row>
    <row r="11554" spans="1:2" x14ac:dyDescent="0.25">
      <c r="A11554" s="118"/>
      <c r="B11554" s="136"/>
    </row>
    <row r="11555" spans="1:2" x14ac:dyDescent="0.25">
      <c r="A11555" s="118"/>
      <c r="B11555" s="136"/>
    </row>
    <row r="11556" spans="1:2" x14ac:dyDescent="0.25">
      <c r="A11556" s="118"/>
      <c r="B11556" s="136"/>
    </row>
    <row r="11557" spans="1:2" x14ac:dyDescent="0.25">
      <c r="A11557" s="118"/>
      <c r="B11557" s="136"/>
    </row>
    <row r="11558" spans="1:2" x14ac:dyDescent="0.25">
      <c r="A11558" s="118"/>
      <c r="B11558" s="136"/>
    </row>
    <row r="11559" spans="1:2" x14ac:dyDescent="0.25">
      <c r="A11559" s="118"/>
      <c r="B11559" s="136"/>
    </row>
    <row r="11560" spans="1:2" x14ac:dyDescent="0.25">
      <c r="A11560" s="118"/>
      <c r="B11560" s="136"/>
    </row>
    <row r="11561" spans="1:2" x14ac:dyDescent="0.25">
      <c r="A11561" s="118"/>
      <c r="B11561" s="136"/>
    </row>
    <row r="11562" spans="1:2" x14ac:dyDescent="0.25">
      <c r="A11562" s="118"/>
      <c r="B11562" s="136"/>
    </row>
    <row r="11563" spans="1:2" x14ac:dyDescent="0.25">
      <c r="A11563" s="118"/>
      <c r="B11563" s="136"/>
    </row>
    <row r="11564" spans="1:2" x14ac:dyDescent="0.25">
      <c r="A11564" s="118"/>
      <c r="B11564" s="136"/>
    </row>
    <row r="11565" spans="1:2" x14ac:dyDescent="0.25">
      <c r="A11565" s="118"/>
      <c r="B11565" s="136"/>
    </row>
    <row r="11566" spans="1:2" x14ac:dyDescent="0.25">
      <c r="A11566" s="118"/>
      <c r="B11566" s="136"/>
    </row>
    <row r="11567" spans="1:2" x14ac:dyDescent="0.25">
      <c r="A11567" s="118"/>
      <c r="B11567" s="136"/>
    </row>
    <row r="11568" spans="1:2" x14ac:dyDescent="0.25">
      <c r="A11568" s="118"/>
      <c r="B11568" s="136"/>
    </row>
    <row r="11569" spans="1:2" x14ac:dyDescent="0.25">
      <c r="A11569" s="118"/>
      <c r="B11569" s="136"/>
    </row>
    <row r="11570" spans="1:2" x14ac:dyDescent="0.25">
      <c r="A11570" s="118"/>
      <c r="B11570" s="136"/>
    </row>
    <row r="11571" spans="1:2" x14ac:dyDescent="0.25">
      <c r="A11571" s="118"/>
      <c r="B11571" s="136"/>
    </row>
    <row r="11572" spans="1:2" x14ac:dyDescent="0.25">
      <c r="A11572" s="118"/>
      <c r="B11572" s="136"/>
    </row>
    <row r="11573" spans="1:2" x14ac:dyDescent="0.25">
      <c r="A11573" s="118"/>
      <c r="B11573" s="136"/>
    </row>
    <row r="11574" spans="1:2" x14ac:dyDescent="0.25">
      <c r="A11574" s="118"/>
      <c r="B11574" s="136"/>
    </row>
    <row r="11575" spans="1:2" x14ac:dyDescent="0.25">
      <c r="A11575" s="118"/>
      <c r="B11575" s="136"/>
    </row>
    <row r="11576" spans="1:2" x14ac:dyDescent="0.25">
      <c r="A11576" s="118"/>
      <c r="B11576" s="136"/>
    </row>
    <row r="11577" spans="1:2" x14ac:dyDescent="0.25">
      <c r="A11577" s="118"/>
      <c r="B11577" s="136"/>
    </row>
    <row r="11578" spans="1:2" x14ac:dyDescent="0.25">
      <c r="A11578" s="118"/>
      <c r="B11578" s="136"/>
    </row>
    <row r="11579" spans="1:2" x14ac:dyDescent="0.25">
      <c r="A11579" s="118"/>
      <c r="B11579" s="136"/>
    </row>
    <row r="11580" spans="1:2" x14ac:dyDescent="0.25">
      <c r="A11580" s="118"/>
      <c r="B11580" s="136"/>
    </row>
    <row r="11581" spans="1:2" x14ac:dyDescent="0.25">
      <c r="A11581" s="118"/>
      <c r="B11581" s="136"/>
    </row>
    <row r="11582" spans="1:2" x14ac:dyDescent="0.25">
      <c r="A11582" s="118"/>
      <c r="B11582" s="136"/>
    </row>
    <row r="11583" spans="1:2" x14ac:dyDescent="0.25">
      <c r="A11583" s="118"/>
      <c r="B11583" s="136"/>
    </row>
    <row r="11584" spans="1:2" x14ac:dyDescent="0.25">
      <c r="A11584" s="118"/>
      <c r="B11584" s="136"/>
    </row>
    <row r="11585" spans="1:2" x14ac:dyDescent="0.25">
      <c r="A11585" s="118"/>
      <c r="B11585" s="136"/>
    </row>
    <row r="11586" spans="1:2" x14ac:dyDescent="0.25">
      <c r="A11586" s="118"/>
      <c r="B11586" s="136"/>
    </row>
    <row r="11587" spans="1:2" x14ac:dyDescent="0.25">
      <c r="A11587" s="118"/>
      <c r="B11587" s="136"/>
    </row>
    <row r="11588" spans="1:2" x14ac:dyDescent="0.25">
      <c r="A11588" s="118"/>
      <c r="B11588" s="136"/>
    </row>
    <row r="11589" spans="1:2" x14ac:dyDescent="0.25">
      <c r="A11589" s="118"/>
      <c r="B11589" s="136"/>
    </row>
    <row r="11590" spans="1:2" x14ac:dyDescent="0.25">
      <c r="A11590" s="118"/>
      <c r="B11590" s="136"/>
    </row>
    <row r="11591" spans="1:2" x14ac:dyDescent="0.25">
      <c r="A11591" s="118"/>
      <c r="B11591" s="136"/>
    </row>
    <row r="11592" spans="1:2" x14ac:dyDescent="0.25">
      <c r="A11592" s="118"/>
      <c r="B11592" s="136"/>
    </row>
    <row r="11593" spans="1:2" x14ac:dyDescent="0.25">
      <c r="A11593" s="118"/>
      <c r="B11593" s="136"/>
    </row>
    <row r="11594" spans="1:2" x14ac:dyDescent="0.25">
      <c r="A11594" s="118"/>
      <c r="B11594" s="136"/>
    </row>
    <row r="11595" spans="1:2" x14ac:dyDescent="0.25">
      <c r="A11595" s="118"/>
      <c r="B11595" s="136"/>
    </row>
    <row r="11596" spans="1:2" x14ac:dyDescent="0.25">
      <c r="A11596" s="118"/>
      <c r="B11596" s="136"/>
    </row>
    <row r="11597" spans="1:2" x14ac:dyDescent="0.25">
      <c r="A11597" s="118"/>
      <c r="B11597" s="136"/>
    </row>
    <row r="11598" spans="1:2" x14ac:dyDescent="0.25">
      <c r="A11598" s="118"/>
      <c r="B11598" s="136"/>
    </row>
    <row r="11599" spans="1:2" x14ac:dyDescent="0.25">
      <c r="A11599" s="118"/>
      <c r="B11599" s="136"/>
    </row>
    <row r="11600" spans="1:2" x14ac:dyDescent="0.25">
      <c r="A11600" s="118"/>
      <c r="B11600" s="136"/>
    </row>
    <row r="11601" spans="1:2" x14ac:dyDescent="0.25">
      <c r="A11601" s="118"/>
      <c r="B11601" s="136"/>
    </row>
    <row r="11602" spans="1:2" x14ac:dyDescent="0.25">
      <c r="A11602" s="118"/>
      <c r="B11602" s="136"/>
    </row>
    <row r="11603" spans="1:2" x14ac:dyDescent="0.25">
      <c r="A11603" s="118"/>
      <c r="B11603" s="136"/>
    </row>
    <row r="11604" spans="1:2" x14ac:dyDescent="0.25">
      <c r="A11604" s="118"/>
      <c r="B11604" s="136"/>
    </row>
    <row r="11605" spans="1:2" x14ac:dyDescent="0.25">
      <c r="A11605" s="118"/>
      <c r="B11605" s="136"/>
    </row>
    <row r="11606" spans="1:2" x14ac:dyDescent="0.25">
      <c r="A11606" s="118"/>
      <c r="B11606" s="136"/>
    </row>
    <row r="11607" spans="1:2" x14ac:dyDescent="0.25">
      <c r="A11607" s="118"/>
      <c r="B11607" s="136"/>
    </row>
    <row r="11608" spans="1:2" x14ac:dyDescent="0.25">
      <c r="A11608" s="118"/>
      <c r="B11608" s="136"/>
    </row>
    <row r="11609" spans="1:2" x14ac:dyDescent="0.25">
      <c r="A11609" s="118"/>
      <c r="B11609" s="136"/>
    </row>
    <row r="11610" spans="1:2" x14ac:dyDescent="0.25">
      <c r="A11610" s="118"/>
      <c r="B11610" s="136"/>
    </row>
    <row r="11611" spans="1:2" x14ac:dyDescent="0.25">
      <c r="A11611" s="118"/>
      <c r="B11611" s="136"/>
    </row>
    <row r="11612" spans="1:2" x14ac:dyDescent="0.25">
      <c r="A11612" s="118"/>
      <c r="B11612" s="136"/>
    </row>
    <row r="11613" spans="1:2" x14ac:dyDescent="0.25">
      <c r="A11613" s="118"/>
      <c r="B11613" s="136"/>
    </row>
    <row r="11614" spans="1:2" x14ac:dyDescent="0.25">
      <c r="A11614" s="118"/>
      <c r="B11614" s="136"/>
    </row>
    <row r="11615" spans="1:2" x14ac:dyDescent="0.25">
      <c r="A11615" s="118"/>
      <c r="B11615" s="136"/>
    </row>
    <row r="11616" spans="1:2" x14ac:dyDescent="0.25">
      <c r="A11616" s="118"/>
      <c r="B11616" s="136"/>
    </row>
    <row r="11617" spans="1:2" x14ac:dyDescent="0.25">
      <c r="A11617" s="118"/>
      <c r="B11617" s="136"/>
    </row>
    <row r="11618" spans="1:2" x14ac:dyDescent="0.25">
      <c r="A11618" s="118"/>
      <c r="B11618" s="136"/>
    </row>
    <row r="11619" spans="1:2" x14ac:dyDescent="0.25">
      <c r="A11619" s="118"/>
      <c r="B11619" s="136"/>
    </row>
    <row r="11620" spans="1:2" x14ac:dyDescent="0.25">
      <c r="A11620" s="118"/>
      <c r="B11620" s="136"/>
    </row>
    <row r="11621" spans="1:2" x14ac:dyDescent="0.25">
      <c r="A11621" s="118"/>
      <c r="B11621" s="136"/>
    </row>
    <row r="11622" spans="1:2" x14ac:dyDescent="0.25">
      <c r="A11622" s="118"/>
      <c r="B11622" s="136"/>
    </row>
    <row r="11623" spans="1:2" x14ac:dyDescent="0.25">
      <c r="A11623" s="118"/>
      <c r="B11623" s="136"/>
    </row>
    <row r="11624" spans="1:2" x14ac:dyDescent="0.25">
      <c r="A11624" s="118"/>
      <c r="B11624" s="136"/>
    </row>
    <row r="11625" spans="1:2" x14ac:dyDescent="0.25">
      <c r="A11625" s="118"/>
      <c r="B11625" s="136"/>
    </row>
    <row r="11626" spans="1:2" x14ac:dyDescent="0.25">
      <c r="A11626" s="118"/>
      <c r="B11626" s="136"/>
    </row>
    <row r="11627" spans="1:2" x14ac:dyDescent="0.25">
      <c r="A11627" s="118"/>
      <c r="B11627" s="136"/>
    </row>
    <row r="11628" spans="1:2" x14ac:dyDescent="0.25">
      <c r="A11628" s="118"/>
      <c r="B11628" s="136"/>
    </row>
    <row r="11629" spans="1:2" x14ac:dyDescent="0.25">
      <c r="A11629" s="118"/>
      <c r="B11629" s="136"/>
    </row>
    <row r="11630" spans="1:2" x14ac:dyDescent="0.25">
      <c r="A11630" s="118"/>
      <c r="B11630" s="136"/>
    </row>
    <row r="11631" spans="1:2" x14ac:dyDescent="0.25">
      <c r="A11631" s="118"/>
      <c r="B11631" s="136"/>
    </row>
    <row r="11632" spans="1:2" x14ac:dyDescent="0.25">
      <c r="A11632" s="118"/>
      <c r="B11632" s="136"/>
    </row>
    <row r="11633" spans="1:2" x14ac:dyDescent="0.25">
      <c r="A11633" s="118"/>
      <c r="B11633" s="136"/>
    </row>
    <row r="11634" spans="1:2" x14ac:dyDescent="0.25">
      <c r="A11634" s="118"/>
      <c r="B11634" s="136"/>
    </row>
    <row r="11635" spans="1:2" x14ac:dyDescent="0.25">
      <c r="A11635" s="118"/>
      <c r="B11635" s="136"/>
    </row>
    <row r="11636" spans="1:2" x14ac:dyDescent="0.25">
      <c r="A11636" s="118"/>
      <c r="B11636" s="136"/>
    </row>
    <row r="11637" spans="1:2" x14ac:dyDescent="0.25">
      <c r="A11637" s="118"/>
      <c r="B11637" s="136"/>
    </row>
    <row r="11638" spans="1:2" x14ac:dyDescent="0.25">
      <c r="A11638" s="118"/>
      <c r="B11638" s="136"/>
    </row>
    <row r="11639" spans="1:2" x14ac:dyDescent="0.25">
      <c r="A11639" s="118"/>
      <c r="B11639" s="136"/>
    </row>
    <row r="11640" spans="1:2" x14ac:dyDescent="0.25">
      <c r="A11640" s="118"/>
      <c r="B11640" s="136"/>
    </row>
    <row r="11641" spans="1:2" x14ac:dyDescent="0.25">
      <c r="A11641" s="118"/>
      <c r="B11641" s="136"/>
    </row>
    <row r="11642" spans="1:2" x14ac:dyDescent="0.25">
      <c r="A11642" s="118"/>
      <c r="B11642" s="136"/>
    </row>
    <row r="11643" spans="1:2" x14ac:dyDescent="0.25">
      <c r="A11643" s="118"/>
      <c r="B11643" s="136"/>
    </row>
    <row r="11644" spans="1:2" x14ac:dyDescent="0.25">
      <c r="A11644" s="118"/>
      <c r="B11644" s="136"/>
    </row>
    <row r="11645" spans="1:2" x14ac:dyDescent="0.25">
      <c r="A11645" s="118"/>
      <c r="B11645" s="136"/>
    </row>
    <row r="11646" spans="1:2" x14ac:dyDescent="0.25">
      <c r="A11646" s="118"/>
      <c r="B11646" s="136"/>
    </row>
    <row r="11647" spans="1:2" x14ac:dyDescent="0.25">
      <c r="A11647" s="118"/>
      <c r="B11647" s="136"/>
    </row>
    <row r="11648" spans="1:2" x14ac:dyDescent="0.25">
      <c r="A11648" s="118"/>
      <c r="B11648" s="136"/>
    </row>
    <row r="11649" spans="1:2" x14ac:dyDescent="0.25">
      <c r="A11649" s="118"/>
      <c r="B11649" s="136"/>
    </row>
    <row r="11650" spans="1:2" x14ac:dyDescent="0.25">
      <c r="A11650" s="118"/>
      <c r="B11650" s="136"/>
    </row>
    <row r="11651" spans="1:2" x14ac:dyDescent="0.25">
      <c r="A11651" s="118"/>
      <c r="B11651" s="136"/>
    </row>
    <row r="11652" spans="1:2" x14ac:dyDescent="0.25">
      <c r="A11652" s="118"/>
      <c r="B11652" s="136"/>
    </row>
    <row r="11653" spans="1:2" x14ac:dyDescent="0.25">
      <c r="A11653" s="118"/>
      <c r="B11653" s="136"/>
    </row>
    <row r="11654" spans="1:2" x14ac:dyDescent="0.25">
      <c r="A11654" s="118"/>
      <c r="B11654" s="136"/>
    </row>
    <row r="11655" spans="1:2" x14ac:dyDescent="0.25">
      <c r="A11655" s="118"/>
      <c r="B11655" s="136"/>
    </row>
    <row r="11656" spans="1:2" x14ac:dyDescent="0.25">
      <c r="A11656" s="118"/>
      <c r="B11656" s="136"/>
    </row>
    <row r="11657" spans="1:2" x14ac:dyDescent="0.25">
      <c r="A11657" s="118"/>
      <c r="B11657" s="136"/>
    </row>
    <row r="11658" spans="1:2" x14ac:dyDescent="0.25">
      <c r="A11658" s="118"/>
      <c r="B11658" s="136"/>
    </row>
    <row r="11659" spans="1:2" x14ac:dyDescent="0.25">
      <c r="A11659" s="118"/>
      <c r="B11659" s="136"/>
    </row>
    <row r="11660" spans="1:2" x14ac:dyDescent="0.25">
      <c r="A11660" s="118"/>
      <c r="B11660" s="136"/>
    </row>
    <row r="11661" spans="1:2" x14ac:dyDescent="0.25">
      <c r="A11661" s="118"/>
      <c r="B11661" s="136"/>
    </row>
    <row r="11662" spans="1:2" x14ac:dyDescent="0.25">
      <c r="A11662" s="118"/>
      <c r="B11662" s="136"/>
    </row>
    <row r="11663" spans="1:2" x14ac:dyDescent="0.25">
      <c r="A11663" s="118"/>
      <c r="B11663" s="136"/>
    </row>
    <row r="11664" spans="1:2" x14ac:dyDescent="0.25">
      <c r="A11664" s="118"/>
      <c r="B11664" s="136"/>
    </row>
    <row r="11665" spans="1:2" x14ac:dyDescent="0.25">
      <c r="A11665" s="118"/>
      <c r="B11665" s="136"/>
    </row>
    <row r="11666" spans="1:2" x14ac:dyDescent="0.25">
      <c r="A11666" s="118"/>
      <c r="B11666" s="136"/>
    </row>
    <row r="11667" spans="1:2" x14ac:dyDescent="0.25">
      <c r="A11667" s="118"/>
      <c r="B11667" s="136"/>
    </row>
    <row r="11668" spans="1:2" x14ac:dyDescent="0.25">
      <c r="A11668" s="118"/>
      <c r="B11668" s="136"/>
    </row>
    <row r="11669" spans="1:2" x14ac:dyDescent="0.25">
      <c r="A11669" s="118"/>
      <c r="B11669" s="136"/>
    </row>
    <row r="11670" spans="1:2" x14ac:dyDescent="0.25">
      <c r="A11670" s="118"/>
      <c r="B11670" s="136"/>
    </row>
    <row r="11671" spans="1:2" x14ac:dyDescent="0.25">
      <c r="A11671" s="118"/>
      <c r="B11671" s="136"/>
    </row>
    <row r="11672" spans="1:2" x14ac:dyDescent="0.25">
      <c r="A11672" s="118"/>
      <c r="B11672" s="136"/>
    </row>
    <row r="11673" spans="1:2" x14ac:dyDescent="0.25">
      <c r="A11673" s="118"/>
      <c r="B11673" s="136"/>
    </row>
    <row r="11674" spans="1:2" x14ac:dyDescent="0.25">
      <c r="A11674" s="118"/>
      <c r="B11674" s="136"/>
    </row>
    <row r="11675" spans="1:2" x14ac:dyDescent="0.25">
      <c r="A11675" s="118"/>
      <c r="B11675" s="136"/>
    </row>
    <row r="11676" spans="1:2" x14ac:dyDescent="0.25">
      <c r="A11676" s="118"/>
      <c r="B11676" s="136"/>
    </row>
    <row r="11677" spans="1:2" x14ac:dyDescent="0.25">
      <c r="A11677" s="118"/>
      <c r="B11677" s="136"/>
    </row>
    <row r="11678" spans="1:2" x14ac:dyDescent="0.25">
      <c r="A11678" s="118"/>
      <c r="B11678" s="136"/>
    </row>
    <row r="11679" spans="1:2" x14ac:dyDescent="0.25">
      <c r="A11679" s="118"/>
      <c r="B11679" s="136"/>
    </row>
    <row r="11680" spans="1:2" x14ac:dyDescent="0.25">
      <c r="A11680" s="118"/>
      <c r="B11680" s="136"/>
    </row>
    <row r="11681" spans="1:2" x14ac:dyDescent="0.25">
      <c r="A11681" s="118"/>
      <c r="B11681" s="136"/>
    </row>
    <row r="11682" spans="1:2" x14ac:dyDescent="0.25">
      <c r="A11682" s="118"/>
      <c r="B11682" s="136"/>
    </row>
    <row r="11683" spans="1:2" x14ac:dyDescent="0.25">
      <c r="A11683" s="118"/>
      <c r="B11683" s="136"/>
    </row>
    <row r="11684" spans="1:2" x14ac:dyDescent="0.25">
      <c r="A11684" s="118"/>
      <c r="B11684" s="136"/>
    </row>
    <row r="11685" spans="1:2" x14ac:dyDescent="0.25">
      <c r="A11685" s="118"/>
      <c r="B11685" s="136"/>
    </row>
    <row r="11686" spans="1:2" x14ac:dyDescent="0.25">
      <c r="A11686" s="118"/>
      <c r="B11686" s="136"/>
    </row>
    <row r="11687" spans="1:2" x14ac:dyDescent="0.25">
      <c r="A11687" s="118"/>
      <c r="B11687" s="136"/>
    </row>
    <row r="11688" spans="1:2" x14ac:dyDescent="0.25">
      <c r="A11688" s="118"/>
      <c r="B11688" s="136"/>
    </row>
    <row r="11689" spans="1:2" x14ac:dyDescent="0.25">
      <c r="A11689" s="118"/>
      <c r="B11689" s="136"/>
    </row>
    <row r="11690" spans="1:2" x14ac:dyDescent="0.25">
      <c r="A11690" s="118"/>
      <c r="B11690" s="136"/>
    </row>
    <row r="11691" spans="1:2" x14ac:dyDescent="0.25">
      <c r="A11691" s="118"/>
      <c r="B11691" s="136"/>
    </row>
    <row r="11692" spans="1:2" x14ac:dyDescent="0.25">
      <c r="A11692" s="118"/>
      <c r="B11692" s="136"/>
    </row>
    <row r="11693" spans="1:2" x14ac:dyDescent="0.25">
      <c r="A11693" s="118"/>
      <c r="B11693" s="136"/>
    </row>
    <row r="11694" spans="1:2" x14ac:dyDescent="0.25">
      <c r="A11694" s="118"/>
      <c r="B11694" s="136"/>
    </row>
    <row r="11695" spans="1:2" x14ac:dyDescent="0.25">
      <c r="A11695" s="118"/>
      <c r="B11695" s="136"/>
    </row>
    <row r="11696" spans="1:2" x14ac:dyDescent="0.25">
      <c r="A11696" s="118"/>
      <c r="B11696" s="136"/>
    </row>
    <row r="11697" spans="1:2" x14ac:dyDescent="0.25">
      <c r="A11697" s="118"/>
      <c r="B11697" s="136"/>
    </row>
    <row r="11698" spans="1:2" x14ac:dyDescent="0.25">
      <c r="A11698" s="118"/>
      <c r="B11698" s="136"/>
    </row>
    <row r="11699" spans="1:2" x14ac:dyDescent="0.25">
      <c r="A11699" s="118"/>
      <c r="B11699" s="136"/>
    </row>
    <row r="11700" spans="1:2" x14ac:dyDescent="0.25">
      <c r="A11700" s="118"/>
      <c r="B11700" s="136"/>
    </row>
    <row r="11701" spans="1:2" x14ac:dyDescent="0.25">
      <c r="A11701" s="118"/>
      <c r="B11701" s="136"/>
    </row>
    <row r="11702" spans="1:2" x14ac:dyDescent="0.25">
      <c r="A11702" s="118"/>
      <c r="B11702" s="136"/>
    </row>
    <row r="11703" spans="1:2" x14ac:dyDescent="0.25">
      <c r="A11703" s="118"/>
      <c r="B11703" s="136"/>
    </row>
    <row r="11704" spans="1:2" x14ac:dyDescent="0.25">
      <c r="A11704" s="118"/>
      <c r="B11704" s="136"/>
    </row>
    <row r="11705" spans="1:2" x14ac:dyDescent="0.25">
      <c r="A11705" s="118"/>
      <c r="B11705" s="136"/>
    </row>
    <row r="11706" spans="1:2" x14ac:dyDescent="0.25">
      <c r="A11706" s="118"/>
      <c r="B11706" s="136"/>
    </row>
    <row r="11707" spans="1:2" x14ac:dyDescent="0.25">
      <c r="A11707" s="118"/>
      <c r="B11707" s="136"/>
    </row>
    <row r="11708" spans="1:2" x14ac:dyDescent="0.25">
      <c r="A11708" s="118"/>
      <c r="B11708" s="136"/>
    </row>
    <row r="11709" spans="1:2" x14ac:dyDescent="0.25">
      <c r="A11709" s="118"/>
      <c r="B11709" s="136"/>
    </row>
    <row r="11710" spans="1:2" x14ac:dyDescent="0.25">
      <c r="A11710" s="118"/>
      <c r="B11710" s="136"/>
    </row>
    <row r="11711" spans="1:2" x14ac:dyDescent="0.25">
      <c r="A11711" s="118"/>
      <c r="B11711" s="136"/>
    </row>
    <row r="11712" spans="1:2" x14ac:dyDescent="0.25">
      <c r="A11712" s="118"/>
      <c r="B11712" s="136"/>
    </row>
    <row r="11713" spans="1:2" x14ac:dyDescent="0.25">
      <c r="A11713" s="118"/>
      <c r="B11713" s="136"/>
    </row>
    <row r="11714" spans="1:2" x14ac:dyDescent="0.25">
      <c r="A11714" s="118"/>
      <c r="B11714" s="136"/>
    </row>
    <row r="11715" spans="1:2" x14ac:dyDescent="0.25">
      <c r="A11715" s="118"/>
      <c r="B11715" s="136"/>
    </row>
    <row r="11716" spans="1:2" x14ac:dyDescent="0.25">
      <c r="A11716" s="118"/>
      <c r="B11716" s="136"/>
    </row>
    <row r="11717" spans="1:2" x14ac:dyDescent="0.25">
      <c r="A11717" s="118"/>
      <c r="B11717" s="136"/>
    </row>
    <row r="11718" spans="1:2" x14ac:dyDescent="0.25">
      <c r="A11718" s="118"/>
      <c r="B11718" s="136"/>
    </row>
    <row r="11719" spans="1:2" x14ac:dyDescent="0.25">
      <c r="A11719" s="118"/>
      <c r="B11719" s="136"/>
    </row>
    <row r="11720" spans="1:2" x14ac:dyDescent="0.25">
      <c r="A11720" s="118"/>
      <c r="B11720" s="136"/>
    </row>
    <row r="11721" spans="1:2" x14ac:dyDescent="0.25">
      <c r="A11721" s="118"/>
      <c r="B11721" s="136"/>
    </row>
    <row r="11722" spans="1:2" x14ac:dyDescent="0.25">
      <c r="A11722" s="118"/>
      <c r="B11722" s="136"/>
    </row>
    <row r="11723" spans="1:2" x14ac:dyDescent="0.25">
      <c r="A11723" s="118"/>
      <c r="B11723" s="136"/>
    </row>
    <row r="11724" spans="1:2" x14ac:dyDescent="0.25">
      <c r="A11724" s="118"/>
      <c r="B11724" s="136"/>
    </row>
    <row r="11725" spans="1:2" x14ac:dyDescent="0.25">
      <c r="A11725" s="118"/>
      <c r="B11725" s="136"/>
    </row>
    <row r="11726" spans="1:2" x14ac:dyDescent="0.25">
      <c r="A11726" s="118"/>
      <c r="B11726" s="136"/>
    </row>
    <row r="11727" spans="1:2" x14ac:dyDescent="0.25">
      <c r="A11727" s="118"/>
      <c r="B11727" s="136"/>
    </row>
    <row r="11728" spans="1:2" x14ac:dyDescent="0.25">
      <c r="A11728" s="118"/>
      <c r="B11728" s="136"/>
    </row>
    <row r="11729" spans="1:2" x14ac:dyDescent="0.25">
      <c r="A11729" s="118"/>
      <c r="B11729" s="136"/>
    </row>
    <row r="11730" spans="1:2" x14ac:dyDescent="0.25">
      <c r="A11730" s="118"/>
      <c r="B11730" s="136"/>
    </row>
    <row r="11731" spans="1:2" x14ac:dyDescent="0.25">
      <c r="A11731" s="118"/>
      <c r="B11731" s="136"/>
    </row>
    <row r="11732" spans="1:2" x14ac:dyDescent="0.25">
      <c r="A11732" s="118"/>
      <c r="B11732" s="136"/>
    </row>
    <row r="11733" spans="1:2" x14ac:dyDescent="0.25">
      <c r="A11733" s="118"/>
      <c r="B11733" s="136"/>
    </row>
    <row r="11734" spans="1:2" x14ac:dyDescent="0.25">
      <c r="A11734" s="118"/>
      <c r="B11734" s="136"/>
    </row>
    <row r="11735" spans="1:2" x14ac:dyDescent="0.25">
      <c r="A11735" s="118"/>
      <c r="B11735" s="136"/>
    </row>
    <row r="11736" spans="1:2" x14ac:dyDescent="0.25">
      <c r="A11736" s="118"/>
      <c r="B11736" s="136"/>
    </row>
    <row r="11737" spans="1:2" x14ac:dyDescent="0.25">
      <c r="A11737" s="118"/>
      <c r="B11737" s="136"/>
    </row>
    <row r="11738" spans="1:2" x14ac:dyDescent="0.25">
      <c r="A11738" s="118"/>
      <c r="B11738" s="136"/>
    </row>
    <row r="11739" spans="1:2" x14ac:dyDescent="0.25">
      <c r="A11739" s="118"/>
      <c r="B11739" s="136"/>
    </row>
    <row r="11740" spans="1:2" x14ac:dyDescent="0.25">
      <c r="A11740" s="118"/>
      <c r="B11740" s="136"/>
    </row>
    <row r="11741" spans="1:2" x14ac:dyDescent="0.25">
      <c r="A11741" s="118"/>
      <c r="B11741" s="136"/>
    </row>
    <row r="11742" spans="1:2" x14ac:dyDescent="0.25">
      <c r="A11742" s="118"/>
      <c r="B11742" s="136"/>
    </row>
    <row r="11743" spans="1:2" x14ac:dyDescent="0.25">
      <c r="A11743" s="118"/>
      <c r="B11743" s="136"/>
    </row>
    <row r="11744" spans="1:2" x14ac:dyDescent="0.25">
      <c r="A11744" s="118"/>
      <c r="B11744" s="136"/>
    </row>
    <row r="11745" spans="1:2" x14ac:dyDescent="0.25">
      <c r="A11745" s="118"/>
      <c r="B11745" s="136"/>
    </row>
    <row r="11746" spans="1:2" x14ac:dyDescent="0.25">
      <c r="A11746" s="118"/>
      <c r="B11746" s="136"/>
    </row>
    <row r="11747" spans="1:2" x14ac:dyDescent="0.25">
      <c r="A11747" s="118"/>
      <c r="B11747" s="136"/>
    </row>
    <row r="11748" spans="1:2" x14ac:dyDescent="0.25">
      <c r="A11748" s="118"/>
      <c r="B11748" s="136"/>
    </row>
    <row r="11749" spans="1:2" x14ac:dyDescent="0.25">
      <c r="A11749" s="118"/>
      <c r="B11749" s="136"/>
    </row>
    <row r="11750" spans="1:2" x14ac:dyDescent="0.25">
      <c r="A11750" s="118"/>
      <c r="B11750" s="136"/>
    </row>
    <row r="11751" spans="1:2" x14ac:dyDescent="0.25">
      <c r="A11751" s="118"/>
      <c r="B11751" s="136"/>
    </row>
    <row r="11752" spans="1:2" x14ac:dyDescent="0.25">
      <c r="A11752" s="118"/>
      <c r="B11752" s="136"/>
    </row>
    <row r="11753" spans="1:2" x14ac:dyDescent="0.25">
      <c r="A11753" s="118"/>
      <c r="B11753" s="136"/>
    </row>
    <row r="11754" spans="1:2" x14ac:dyDescent="0.25">
      <c r="A11754" s="118"/>
      <c r="B11754" s="136"/>
    </row>
    <row r="11755" spans="1:2" x14ac:dyDescent="0.25">
      <c r="A11755" s="118"/>
      <c r="B11755" s="136"/>
    </row>
    <row r="11756" spans="1:2" x14ac:dyDescent="0.25">
      <c r="A11756" s="118"/>
      <c r="B11756" s="136"/>
    </row>
    <row r="11757" spans="1:2" x14ac:dyDescent="0.25">
      <c r="A11757" s="118"/>
      <c r="B11757" s="136"/>
    </row>
    <row r="11758" spans="1:2" x14ac:dyDescent="0.25">
      <c r="A11758" s="118"/>
      <c r="B11758" s="136"/>
    </row>
    <row r="11759" spans="1:2" x14ac:dyDescent="0.25">
      <c r="A11759" s="118"/>
      <c r="B11759" s="136"/>
    </row>
    <row r="11760" spans="1:2" x14ac:dyDescent="0.25">
      <c r="A11760" s="118"/>
      <c r="B11760" s="136"/>
    </row>
    <row r="11761" spans="1:2" x14ac:dyDescent="0.25">
      <c r="A11761" s="118"/>
      <c r="B11761" s="136"/>
    </row>
    <row r="11762" spans="1:2" x14ac:dyDescent="0.25">
      <c r="A11762" s="118"/>
      <c r="B11762" s="136"/>
    </row>
    <row r="11763" spans="1:2" x14ac:dyDescent="0.25">
      <c r="A11763" s="118"/>
      <c r="B11763" s="136"/>
    </row>
    <row r="11764" spans="1:2" x14ac:dyDescent="0.25">
      <c r="A11764" s="118"/>
      <c r="B11764" s="136"/>
    </row>
    <row r="11765" spans="1:2" x14ac:dyDescent="0.25">
      <c r="A11765" s="118"/>
      <c r="B11765" s="136"/>
    </row>
    <row r="11766" spans="1:2" x14ac:dyDescent="0.25">
      <c r="A11766" s="118"/>
      <c r="B11766" s="136"/>
    </row>
    <row r="11767" spans="1:2" x14ac:dyDescent="0.25">
      <c r="A11767" s="118"/>
      <c r="B11767" s="136"/>
    </row>
    <row r="11768" spans="1:2" x14ac:dyDescent="0.25">
      <c r="A11768" s="118"/>
      <c r="B11768" s="136"/>
    </row>
    <row r="11769" spans="1:2" x14ac:dyDescent="0.25">
      <c r="A11769" s="118"/>
      <c r="B11769" s="136"/>
    </row>
    <row r="11770" spans="1:2" x14ac:dyDescent="0.25">
      <c r="A11770" s="118"/>
      <c r="B11770" s="136"/>
    </row>
    <row r="11771" spans="1:2" x14ac:dyDescent="0.25">
      <c r="A11771" s="118"/>
      <c r="B11771" s="136"/>
    </row>
    <row r="11772" spans="1:2" x14ac:dyDescent="0.25">
      <c r="A11772" s="118"/>
      <c r="B11772" s="136"/>
    </row>
    <row r="11773" spans="1:2" x14ac:dyDescent="0.25">
      <c r="A11773" s="118"/>
      <c r="B11773" s="136"/>
    </row>
    <row r="11774" spans="1:2" x14ac:dyDescent="0.25">
      <c r="A11774" s="118"/>
      <c r="B11774" s="136"/>
    </row>
    <row r="11775" spans="1:2" x14ac:dyDescent="0.25">
      <c r="A11775" s="118"/>
      <c r="B11775" s="136"/>
    </row>
    <row r="11776" spans="1:2" x14ac:dyDescent="0.25">
      <c r="A11776" s="118"/>
      <c r="B11776" s="136"/>
    </row>
    <row r="11777" spans="1:2" x14ac:dyDescent="0.25">
      <c r="A11777" s="118"/>
      <c r="B11777" s="136"/>
    </row>
    <row r="11778" spans="1:2" x14ac:dyDescent="0.25">
      <c r="A11778" s="118"/>
      <c r="B11778" s="136"/>
    </row>
    <row r="11779" spans="1:2" x14ac:dyDescent="0.25">
      <c r="A11779" s="118"/>
      <c r="B11779" s="136"/>
    </row>
    <row r="11780" spans="1:2" x14ac:dyDescent="0.25">
      <c r="A11780" s="118"/>
      <c r="B11780" s="136"/>
    </row>
    <row r="11781" spans="1:2" x14ac:dyDescent="0.25">
      <c r="A11781" s="118"/>
      <c r="B11781" s="136"/>
    </row>
    <row r="11782" spans="1:2" x14ac:dyDescent="0.25">
      <c r="A11782" s="118"/>
      <c r="B11782" s="136"/>
    </row>
    <row r="11783" spans="1:2" x14ac:dyDescent="0.25">
      <c r="A11783" s="118"/>
      <c r="B11783" s="136"/>
    </row>
    <row r="11784" spans="1:2" x14ac:dyDescent="0.25">
      <c r="A11784" s="118"/>
      <c r="B11784" s="136"/>
    </row>
    <row r="11785" spans="1:2" x14ac:dyDescent="0.25">
      <c r="A11785" s="118"/>
      <c r="B11785" s="136"/>
    </row>
    <row r="11786" spans="1:2" x14ac:dyDescent="0.25">
      <c r="A11786" s="118"/>
      <c r="B11786" s="136"/>
    </row>
    <row r="11787" spans="1:2" x14ac:dyDescent="0.25">
      <c r="A11787" s="118"/>
      <c r="B11787" s="136"/>
    </row>
    <row r="11788" spans="1:2" x14ac:dyDescent="0.25">
      <c r="A11788" s="118"/>
      <c r="B11788" s="136"/>
    </row>
    <row r="11789" spans="1:2" x14ac:dyDescent="0.25">
      <c r="A11789" s="118"/>
      <c r="B11789" s="136"/>
    </row>
    <row r="11790" spans="1:2" x14ac:dyDescent="0.25">
      <c r="A11790" s="118"/>
      <c r="B11790" s="136"/>
    </row>
    <row r="11791" spans="1:2" x14ac:dyDescent="0.25">
      <c r="A11791" s="118"/>
      <c r="B11791" s="136"/>
    </row>
    <row r="11792" spans="1:2" x14ac:dyDescent="0.25">
      <c r="A11792" s="118"/>
      <c r="B11792" s="136"/>
    </row>
    <row r="11793" spans="1:2" x14ac:dyDescent="0.25">
      <c r="A11793" s="118"/>
      <c r="B11793" s="136"/>
    </row>
    <row r="11794" spans="1:2" x14ac:dyDescent="0.25">
      <c r="A11794" s="118"/>
      <c r="B11794" s="136"/>
    </row>
    <row r="11795" spans="1:2" x14ac:dyDescent="0.25">
      <c r="A11795" s="118"/>
      <c r="B11795" s="136"/>
    </row>
    <row r="11796" spans="1:2" x14ac:dyDescent="0.25">
      <c r="A11796" s="118"/>
      <c r="B11796" s="136"/>
    </row>
    <row r="11797" spans="1:2" x14ac:dyDescent="0.25">
      <c r="A11797" s="118"/>
      <c r="B11797" s="136"/>
    </row>
    <row r="11798" spans="1:2" x14ac:dyDescent="0.25">
      <c r="A11798" s="118"/>
      <c r="B11798" s="136"/>
    </row>
    <row r="11799" spans="1:2" x14ac:dyDescent="0.25">
      <c r="A11799" s="118"/>
      <c r="B11799" s="136"/>
    </row>
    <row r="11800" spans="1:2" x14ac:dyDescent="0.25">
      <c r="A11800" s="118"/>
      <c r="B11800" s="136"/>
    </row>
    <row r="11801" spans="1:2" x14ac:dyDescent="0.25">
      <c r="A11801" s="118"/>
      <c r="B11801" s="136"/>
    </row>
    <row r="11802" spans="1:2" x14ac:dyDescent="0.25">
      <c r="A11802" s="118"/>
      <c r="B11802" s="136"/>
    </row>
    <row r="11803" spans="1:2" x14ac:dyDescent="0.25">
      <c r="A11803" s="118"/>
      <c r="B11803" s="136"/>
    </row>
    <row r="11804" spans="1:2" x14ac:dyDescent="0.25">
      <c r="A11804" s="118"/>
      <c r="B11804" s="136"/>
    </row>
    <row r="11805" spans="1:2" x14ac:dyDescent="0.25">
      <c r="A11805" s="118"/>
      <c r="B11805" s="136"/>
    </row>
    <row r="11806" spans="1:2" x14ac:dyDescent="0.25">
      <c r="A11806" s="118"/>
      <c r="B11806" s="136"/>
    </row>
    <row r="11807" spans="1:2" x14ac:dyDescent="0.25">
      <c r="A11807" s="118"/>
      <c r="B11807" s="136"/>
    </row>
    <row r="11808" spans="1:2" x14ac:dyDescent="0.25">
      <c r="A11808" s="118"/>
      <c r="B11808" s="136"/>
    </row>
    <row r="11809" spans="1:2" x14ac:dyDescent="0.25">
      <c r="A11809" s="118"/>
      <c r="B11809" s="136"/>
    </row>
    <row r="11810" spans="1:2" x14ac:dyDescent="0.25">
      <c r="A11810" s="118"/>
      <c r="B11810" s="136"/>
    </row>
    <row r="11811" spans="1:2" x14ac:dyDescent="0.25">
      <c r="A11811" s="118"/>
      <c r="B11811" s="136"/>
    </row>
    <row r="11812" spans="1:2" x14ac:dyDescent="0.25">
      <c r="A11812" s="118"/>
      <c r="B11812" s="136"/>
    </row>
    <row r="11813" spans="1:2" x14ac:dyDescent="0.25">
      <c r="A11813" s="118"/>
      <c r="B11813" s="136"/>
    </row>
    <row r="11814" spans="1:2" x14ac:dyDescent="0.25">
      <c r="A11814" s="118"/>
      <c r="B11814" s="136"/>
    </row>
    <row r="11815" spans="1:2" x14ac:dyDescent="0.25">
      <c r="A11815" s="118"/>
      <c r="B11815" s="136"/>
    </row>
    <row r="11816" spans="1:2" x14ac:dyDescent="0.25">
      <c r="A11816" s="118"/>
      <c r="B11816" s="136"/>
    </row>
    <row r="11817" spans="1:2" x14ac:dyDescent="0.25">
      <c r="A11817" s="118"/>
      <c r="B11817" s="136"/>
    </row>
    <row r="11818" spans="1:2" x14ac:dyDescent="0.25">
      <c r="A11818" s="118"/>
      <c r="B11818" s="136"/>
    </row>
    <row r="11819" spans="1:2" x14ac:dyDescent="0.25">
      <c r="A11819" s="118"/>
      <c r="B11819" s="136"/>
    </row>
    <row r="11820" spans="1:2" x14ac:dyDescent="0.25">
      <c r="A11820" s="118"/>
      <c r="B11820" s="136"/>
    </row>
    <row r="11821" spans="1:2" x14ac:dyDescent="0.25">
      <c r="A11821" s="118"/>
      <c r="B11821" s="136"/>
    </row>
    <row r="11822" spans="1:2" x14ac:dyDescent="0.25">
      <c r="A11822" s="118"/>
      <c r="B11822" s="136"/>
    </row>
    <row r="11823" spans="1:2" x14ac:dyDescent="0.25">
      <c r="A11823" s="118"/>
      <c r="B11823" s="136"/>
    </row>
    <row r="11824" spans="1:2" x14ac:dyDescent="0.25">
      <c r="A11824" s="118"/>
      <c r="B11824" s="136"/>
    </row>
    <row r="11825" spans="1:2" x14ac:dyDescent="0.25">
      <c r="A11825" s="118"/>
      <c r="B11825" s="136"/>
    </row>
    <row r="11826" spans="1:2" x14ac:dyDescent="0.25">
      <c r="A11826" s="118"/>
      <c r="B11826" s="136"/>
    </row>
    <row r="11827" spans="1:2" x14ac:dyDescent="0.25">
      <c r="A11827" s="118"/>
      <c r="B11827" s="136"/>
    </row>
    <row r="11828" spans="1:2" x14ac:dyDescent="0.25">
      <c r="A11828" s="118"/>
      <c r="B11828" s="136"/>
    </row>
    <row r="11829" spans="1:2" x14ac:dyDescent="0.25">
      <c r="A11829" s="118"/>
      <c r="B11829" s="136"/>
    </row>
    <row r="11830" spans="1:2" x14ac:dyDescent="0.25">
      <c r="A11830" s="118"/>
      <c r="B11830" s="136"/>
    </row>
    <row r="11831" spans="1:2" x14ac:dyDescent="0.25">
      <c r="A11831" s="118"/>
      <c r="B11831" s="136"/>
    </row>
    <row r="11832" spans="1:2" x14ac:dyDescent="0.25">
      <c r="A11832" s="118"/>
      <c r="B11832" s="136"/>
    </row>
    <row r="11833" spans="1:2" x14ac:dyDescent="0.25">
      <c r="A11833" s="118"/>
      <c r="B11833" s="136"/>
    </row>
    <row r="11834" spans="1:2" x14ac:dyDescent="0.25">
      <c r="A11834" s="118"/>
      <c r="B11834" s="136"/>
    </row>
    <row r="11835" spans="1:2" x14ac:dyDescent="0.25">
      <c r="A11835" s="118"/>
      <c r="B11835" s="136"/>
    </row>
    <row r="11836" spans="1:2" x14ac:dyDescent="0.25">
      <c r="A11836" s="118"/>
      <c r="B11836" s="136"/>
    </row>
    <row r="11837" spans="1:2" x14ac:dyDescent="0.25">
      <c r="A11837" s="118"/>
      <c r="B11837" s="136"/>
    </row>
    <row r="11838" spans="1:2" x14ac:dyDescent="0.25">
      <c r="A11838" s="118"/>
      <c r="B11838" s="136"/>
    </row>
    <row r="11839" spans="1:2" x14ac:dyDescent="0.25">
      <c r="A11839" s="118"/>
      <c r="B11839" s="136"/>
    </row>
    <row r="11840" spans="1:2" x14ac:dyDescent="0.25">
      <c r="A11840" s="118"/>
      <c r="B11840" s="136"/>
    </row>
    <row r="11841" spans="1:2" x14ac:dyDescent="0.25">
      <c r="A11841" s="118"/>
      <c r="B11841" s="136"/>
    </row>
    <row r="11842" spans="1:2" x14ac:dyDescent="0.25">
      <c r="A11842" s="118"/>
      <c r="B11842" s="136"/>
    </row>
    <row r="11843" spans="1:2" x14ac:dyDescent="0.25">
      <c r="A11843" s="118"/>
      <c r="B11843" s="136"/>
    </row>
    <row r="11844" spans="1:2" x14ac:dyDescent="0.25">
      <c r="A11844" s="118"/>
      <c r="B11844" s="136"/>
    </row>
    <row r="11845" spans="1:2" x14ac:dyDescent="0.25">
      <c r="A11845" s="118"/>
      <c r="B11845" s="136"/>
    </row>
    <row r="11846" spans="1:2" x14ac:dyDescent="0.25">
      <c r="A11846" s="118"/>
      <c r="B11846" s="136"/>
    </row>
    <row r="11847" spans="1:2" x14ac:dyDescent="0.25">
      <c r="A11847" s="118"/>
      <c r="B11847" s="136"/>
    </row>
    <row r="11848" spans="1:2" x14ac:dyDescent="0.25">
      <c r="A11848" s="118"/>
      <c r="B11848" s="136"/>
    </row>
    <row r="11849" spans="1:2" x14ac:dyDescent="0.25">
      <c r="A11849" s="118"/>
      <c r="B11849" s="136"/>
    </row>
    <row r="11850" spans="1:2" x14ac:dyDescent="0.25">
      <c r="A11850" s="118"/>
      <c r="B11850" s="136"/>
    </row>
    <row r="11851" spans="1:2" x14ac:dyDescent="0.25">
      <c r="A11851" s="118"/>
      <c r="B11851" s="136"/>
    </row>
    <row r="11852" spans="1:2" x14ac:dyDescent="0.25">
      <c r="A11852" s="118"/>
      <c r="B11852" s="136"/>
    </row>
    <row r="11853" spans="1:2" x14ac:dyDescent="0.25">
      <c r="A11853" s="118"/>
      <c r="B11853" s="136"/>
    </row>
    <row r="11854" spans="1:2" x14ac:dyDescent="0.25">
      <c r="A11854" s="118"/>
      <c r="B11854" s="136"/>
    </row>
    <row r="11855" spans="1:2" x14ac:dyDescent="0.25">
      <c r="A11855" s="118"/>
      <c r="B11855" s="136"/>
    </row>
    <row r="11856" spans="1:2" x14ac:dyDescent="0.25">
      <c r="A11856" s="118"/>
      <c r="B11856" s="136"/>
    </row>
    <row r="11857" spans="1:2" x14ac:dyDescent="0.25">
      <c r="A11857" s="118"/>
      <c r="B11857" s="136"/>
    </row>
    <row r="11858" spans="1:2" x14ac:dyDescent="0.25">
      <c r="A11858" s="118"/>
      <c r="B11858" s="136"/>
    </row>
    <row r="11859" spans="1:2" x14ac:dyDescent="0.25">
      <c r="A11859" s="118"/>
      <c r="B11859" s="136"/>
    </row>
    <row r="11860" spans="1:2" x14ac:dyDescent="0.25">
      <c r="A11860" s="118"/>
      <c r="B11860" s="136"/>
    </row>
    <row r="11861" spans="1:2" x14ac:dyDescent="0.25">
      <c r="A11861" s="118"/>
      <c r="B11861" s="136"/>
    </row>
    <row r="11862" spans="1:2" x14ac:dyDescent="0.25">
      <c r="A11862" s="118"/>
      <c r="B11862" s="136"/>
    </row>
    <row r="11863" spans="1:2" x14ac:dyDescent="0.25">
      <c r="A11863" s="118"/>
      <c r="B11863" s="136"/>
    </row>
    <row r="11864" spans="1:2" x14ac:dyDescent="0.25">
      <c r="A11864" s="118"/>
      <c r="B11864" s="136"/>
    </row>
    <row r="11865" spans="1:2" x14ac:dyDescent="0.25">
      <c r="A11865" s="118"/>
      <c r="B11865" s="136"/>
    </row>
    <row r="11866" spans="1:2" x14ac:dyDescent="0.25">
      <c r="A11866" s="118"/>
      <c r="B11866" s="136"/>
    </row>
    <row r="11867" spans="1:2" x14ac:dyDescent="0.25">
      <c r="A11867" s="118"/>
      <c r="B11867" s="136"/>
    </row>
    <row r="11868" spans="1:2" x14ac:dyDescent="0.25">
      <c r="A11868" s="118"/>
      <c r="B11868" s="136"/>
    </row>
    <row r="11869" spans="1:2" x14ac:dyDescent="0.25">
      <c r="A11869" s="118"/>
      <c r="B11869" s="136"/>
    </row>
    <row r="11870" spans="1:2" x14ac:dyDescent="0.25">
      <c r="A11870" s="118"/>
      <c r="B11870" s="136"/>
    </row>
    <row r="11871" spans="1:2" x14ac:dyDescent="0.25">
      <c r="A11871" s="118"/>
      <c r="B11871" s="136"/>
    </row>
    <row r="11872" spans="1:2" x14ac:dyDescent="0.25">
      <c r="A11872" s="118"/>
      <c r="B11872" s="136"/>
    </row>
    <row r="11873" spans="1:2" x14ac:dyDescent="0.25">
      <c r="A11873" s="118"/>
      <c r="B11873" s="136"/>
    </row>
    <row r="11874" spans="1:2" x14ac:dyDescent="0.25">
      <c r="A11874" s="118"/>
      <c r="B11874" s="136"/>
    </row>
    <row r="11875" spans="1:2" x14ac:dyDescent="0.25">
      <c r="A11875" s="118"/>
      <c r="B11875" s="136"/>
    </row>
    <row r="11876" spans="1:2" x14ac:dyDescent="0.25">
      <c r="A11876" s="118"/>
      <c r="B11876" s="136"/>
    </row>
    <row r="11877" spans="1:2" x14ac:dyDescent="0.25">
      <c r="A11877" s="118"/>
      <c r="B11877" s="136"/>
    </row>
    <row r="11878" spans="1:2" x14ac:dyDescent="0.25">
      <c r="A11878" s="118"/>
      <c r="B11878" s="136"/>
    </row>
    <row r="11879" spans="1:2" x14ac:dyDescent="0.25">
      <c r="A11879" s="118"/>
      <c r="B11879" s="136"/>
    </row>
    <row r="11880" spans="1:2" x14ac:dyDescent="0.25">
      <c r="A11880" s="118"/>
      <c r="B11880" s="136"/>
    </row>
    <row r="11881" spans="1:2" x14ac:dyDescent="0.25">
      <c r="A11881" s="118"/>
      <c r="B11881" s="136"/>
    </row>
    <row r="11882" spans="1:2" x14ac:dyDescent="0.25">
      <c r="A11882" s="118"/>
      <c r="B11882" s="136"/>
    </row>
    <row r="11883" spans="1:2" x14ac:dyDescent="0.25">
      <c r="A11883" s="118"/>
      <c r="B11883" s="136"/>
    </row>
    <row r="11884" spans="1:2" x14ac:dyDescent="0.25">
      <c r="A11884" s="118"/>
      <c r="B11884" s="136"/>
    </row>
    <row r="11885" spans="1:2" x14ac:dyDescent="0.25">
      <c r="A11885" s="118"/>
      <c r="B11885" s="136"/>
    </row>
    <row r="11886" spans="1:2" x14ac:dyDescent="0.25">
      <c r="A11886" s="118"/>
      <c r="B11886" s="136"/>
    </row>
    <row r="11887" spans="1:2" x14ac:dyDescent="0.25">
      <c r="A11887" s="118"/>
      <c r="B11887" s="136"/>
    </row>
    <row r="11888" spans="1:2" x14ac:dyDescent="0.25">
      <c r="A11888" s="118"/>
      <c r="B11888" s="136"/>
    </row>
    <row r="11889" spans="1:2" x14ac:dyDescent="0.25">
      <c r="A11889" s="118"/>
      <c r="B11889" s="136"/>
    </row>
    <row r="11890" spans="1:2" x14ac:dyDescent="0.25">
      <c r="A11890" s="118"/>
      <c r="B11890" s="136"/>
    </row>
    <row r="11891" spans="1:2" x14ac:dyDescent="0.25">
      <c r="A11891" s="118"/>
      <c r="B11891" s="136"/>
    </row>
    <row r="11892" spans="1:2" x14ac:dyDescent="0.25">
      <c r="A11892" s="118"/>
      <c r="B11892" s="136"/>
    </row>
    <row r="11893" spans="1:2" x14ac:dyDescent="0.25">
      <c r="A11893" s="118"/>
      <c r="B11893" s="136"/>
    </row>
    <row r="11894" spans="1:2" x14ac:dyDescent="0.25">
      <c r="A11894" s="118"/>
      <c r="B11894" s="136"/>
    </row>
    <row r="11895" spans="1:2" x14ac:dyDescent="0.25">
      <c r="A11895" s="118"/>
      <c r="B11895" s="136"/>
    </row>
    <row r="11896" spans="1:2" x14ac:dyDescent="0.25">
      <c r="A11896" s="118"/>
      <c r="B11896" s="136"/>
    </row>
    <row r="11897" spans="1:2" x14ac:dyDescent="0.25">
      <c r="A11897" s="118"/>
      <c r="B11897" s="136"/>
    </row>
    <row r="11898" spans="1:2" x14ac:dyDescent="0.25">
      <c r="A11898" s="118"/>
      <c r="B11898" s="136"/>
    </row>
    <row r="11899" spans="1:2" x14ac:dyDescent="0.25">
      <c r="A11899" s="118"/>
      <c r="B11899" s="136"/>
    </row>
    <row r="11900" spans="1:2" x14ac:dyDescent="0.25">
      <c r="A11900" s="118"/>
      <c r="B11900" s="136"/>
    </row>
    <row r="11901" spans="1:2" x14ac:dyDescent="0.25">
      <c r="A11901" s="118"/>
      <c r="B11901" s="136"/>
    </row>
    <row r="11902" spans="1:2" x14ac:dyDescent="0.25">
      <c r="A11902" s="118"/>
      <c r="B11902" s="136"/>
    </row>
    <row r="11903" spans="1:2" x14ac:dyDescent="0.25">
      <c r="A11903" s="118"/>
      <c r="B11903" s="136"/>
    </row>
    <row r="11904" spans="1:2" x14ac:dyDescent="0.25">
      <c r="A11904" s="118"/>
      <c r="B11904" s="136"/>
    </row>
    <row r="11905" spans="1:2" x14ac:dyDescent="0.25">
      <c r="A11905" s="118"/>
      <c r="B11905" s="136"/>
    </row>
    <row r="11906" spans="1:2" x14ac:dyDescent="0.25">
      <c r="A11906" s="118"/>
      <c r="B11906" s="136"/>
    </row>
    <row r="11907" spans="1:2" x14ac:dyDescent="0.25">
      <c r="A11907" s="118"/>
      <c r="B11907" s="136"/>
    </row>
    <row r="11908" spans="1:2" x14ac:dyDescent="0.25">
      <c r="A11908" s="118"/>
      <c r="B11908" s="136"/>
    </row>
    <row r="11909" spans="1:2" x14ac:dyDescent="0.25">
      <c r="A11909" s="118"/>
      <c r="B11909" s="136"/>
    </row>
    <row r="11910" spans="1:2" x14ac:dyDescent="0.25">
      <c r="A11910" s="118"/>
      <c r="B11910" s="136"/>
    </row>
    <row r="11911" spans="1:2" x14ac:dyDescent="0.25">
      <c r="A11911" s="118"/>
      <c r="B11911" s="136"/>
    </row>
    <row r="11912" spans="1:2" x14ac:dyDescent="0.25">
      <c r="A11912" s="118"/>
      <c r="B11912" s="136"/>
    </row>
    <row r="11913" spans="1:2" x14ac:dyDescent="0.25">
      <c r="A11913" s="118"/>
      <c r="B11913" s="136"/>
    </row>
    <row r="11914" spans="1:2" x14ac:dyDescent="0.25">
      <c r="A11914" s="118"/>
      <c r="B11914" s="136"/>
    </row>
    <row r="11915" spans="1:2" x14ac:dyDescent="0.25">
      <c r="A11915" s="118"/>
      <c r="B11915" s="136"/>
    </row>
    <row r="11916" spans="1:2" x14ac:dyDescent="0.25">
      <c r="A11916" s="118"/>
      <c r="B11916" s="136"/>
    </row>
    <row r="11917" spans="1:2" x14ac:dyDescent="0.25">
      <c r="A11917" s="118"/>
      <c r="B11917" s="136"/>
    </row>
    <row r="11918" spans="1:2" x14ac:dyDescent="0.25">
      <c r="A11918" s="118"/>
      <c r="B11918" s="136"/>
    </row>
    <row r="11919" spans="1:2" x14ac:dyDescent="0.25">
      <c r="A11919" s="118"/>
      <c r="B11919" s="136"/>
    </row>
    <row r="11920" spans="1:2" x14ac:dyDescent="0.25">
      <c r="A11920" s="118"/>
      <c r="B11920" s="136"/>
    </row>
    <row r="11921" spans="1:2" x14ac:dyDescent="0.25">
      <c r="A11921" s="118"/>
      <c r="B11921" s="136"/>
    </row>
    <row r="11922" spans="1:2" x14ac:dyDescent="0.25">
      <c r="A11922" s="118"/>
      <c r="B11922" s="136"/>
    </row>
    <row r="11923" spans="1:2" x14ac:dyDescent="0.25">
      <c r="A11923" s="118"/>
      <c r="B11923" s="136"/>
    </row>
    <row r="11924" spans="1:2" x14ac:dyDescent="0.25">
      <c r="A11924" s="118"/>
      <c r="B11924" s="136"/>
    </row>
    <row r="11925" spans="1:2" x14ac:dyDescent="0.25">
      <c r="A11925" s="118"/>
      <c r="B11925" s="136"/>
    </row>
    <row r="11926" spans="1:2" x14ac:dyDescent="0.25">
      <c r="A11926" s="118"/>
      <c r="B11926" s="136"/>
    </row>
    <row r="11927" spans="1:2" x14ac:dyDescent="0.25">
      <c r="A11927" s="118"/>
      <c r="B11927" s="136"/>
    </row>
    <row r="11928" spans="1:2" x14ac:dyDescent="0.25">
      <c r="A11928" s="118"/>
      <c r="B11928" s="136"/>
    </row>
    <row r="11929" spans="1:2" x14ac:dyDescent="0.25">
      <c r="A11929" s="118"/>
      <c r="B11929" s="136"/>
    </row>
    <row r="11930" spans="1:2" x14ac:dyDescent="0.25">
      <c r="A11930" s="118"/>
      <c r="B11930" s="136"/>
    </row>
    <row r="11931" spans="1:2" x14ac:dyDescent="0.25">
      <c r="A11931" s="118"/>
      <c r="B11931" s="136"/>
    </row>
    <row r="11932" spans="1:2" x14ac:dyDescent="0.25">
      <c r="A11932" s="118"/>
      <c r="B11932" s="136"/>
    </row>
    <row r="11933" spans="1:2" x14ac:dyDescent="0.25">
      <c r="A11933" s="118"/>
      <c r="B11933" s="136"/>
    </row>
    <row r="11934" spans="1:2" x14ac:dyDescent="0.25">
      <c r="A11934" s="118"/>
      <c r="B11934" s="136"/>
    </row>
    <row r="11935" spans="1:2" x14ac:dyDescent="0.25">
      <c r="A11935" s="118"/>
      <c r="B11935" s="136"/>
    </row>
    <row r="11936" spans="1:2" x14ac:dyDescent="0.25">
      <c r="A11936" s="118"/>
      <c r="B11936" s="136"/>
    </row>
    <row r="11937" spans="1:2" x14ac:dyDescent="0.25">
      <c r="A11937" s="118"/>
      <c r="B11937" s="136"/>
    </row>
    <row r="11938" spans="1:2" x14ac:dyDescent="0.25">
      <c r="A11938" s="118"/>
      <c r="B11938" s="136"/>
    </row>
    <row r="11939" spans="1:2" x14ac:dyDescent="0.25">
      <c r="A11939" s="118"/>
      <c r="B11939" s="136"/>
    </row>
    <row r="11940" spans="1:2" x14ac:dyDescent="0.25">
      <c r="A11940" s="118"/>
      <c r="B11940" s="136"/>
    </row>
    <row r="11941" spans="1:2" x14ac:dyDescent="0.25">
      <c r="A11941" s="118"/>
      <c r="B11941" s="136"/>
    </row>
    <row r="11942" spans="1:2" x14ac:dyDescent="0.25">
      <c r="A11942" s="118"/>
      <c r="B11942" s="136"/>
    </row>
    <row r="11943" spans="1:2" x14ac:dyDescent="0.25">
      <c r="A11943" s="118"/>
      <c r="B11943" s="136"/>
    </row>
    <row r="11944" spans="1:2" x14ac:dyDescent="0.25">
      <c r="A11944" s="118"/>
      <c r="B11944" s="136"/>
    </row>
    <row r="11945" spans="1:2" x14ac:dyDescent="0.25">
      <c r="A11945" s="118"/>
      <c r="B11945" s="136"/>
    </row>
    <row r="11946" spans="1:2" x14ac:dyDescent="0.25">
      <c r="A11946" s="118"/>
      <c r="B11946" s="136"/>
    </row>
    <row r="11947" spans="1:2" x14ac:dyDescent="0.25">
      <c r="A11947" s="118"/>
      <c r="B11947" s="136"/>
    </row>
    <row r="11948" spans="1:2" x14ac:dyDescent="0.25">
      <c r="A11948" s="118"/>
      <c r="B11948" s="136"/>
    </row>
    <row r="11949" spans="1:2" x14ac:dyDescent="0.25">
      <c r="A11949" s="118"/>
      <c r="B11949" s="136"/>
    </row>
    <row r="11950" spans="1:2" x14ac:dyDescent="0.25">
      <c r="A11950" s="118"/>
      <c r="B11950" s="136"/>
    </row>
    <row r="11951" spans="1:2" x14ac:dyDescent="0.25">
      <c r="A11951" s="118"/>
      <c r="B11951" s="136"/>
    </row>
    <row r="11952" spans="1:2" x14ac:dyDescent="0.25">
      <c r="A11952" s="118"/>
      <c r="B11952" s="136"/>
    </row>
    <row r="11953" spans="1:2" x14ac:dyDescent="0.25">
      <c r="A11953" s="118"/>
      <c r="B11953" s="136"/>
    </row>
    <row r="11954" spans="1:2" x14ac:dyDescent="0.25">
      <c r="A11954" s="118"/>
      <c r="B11954" s="136"/>
    </row>
    <row r="11955" spans="1:2" x14ac:dyDescent="0.25">
      <c r="A11955" s="118"/>
      <c r="B11955" s="136"/>
    </row>
    <row r="11956" spans="1:2" x14ac:dyDescent="0.25">
      <c r="A11956" s="118"/>
      <c r="B11956" s="136"/>
    </row>
    <row r="11957" spans="1:2" x14ac:dyDescent="0.25">
      <c r="A11957" s="118"/>
      <c r="B11957" s="136"/>
    </row>
    <row r="11958" spans="1:2" x14ac:dyDescent="0.25">
      <c r="A11958" s="118"/>
      <c r="B11958" s="136"/>
    </row>
    <row r="11959" spans="1:2" x14ac:dyDescent="0.25">
      <c r="A11959" s="118"/>
      <c r="B11959" s="136"/>
    </row>
    <row r="11960" spans="1:2" x14ac:dyDescent="0.25">
      <c r="A11960" s="118"/>
      <c r="B11960" s="136"/>
    </row>
    <row r="11961" spans="1:2" x14ac:dyDescent="0.25">
      <c r="A11961" s="118"/>
      <c r="B11961" s="136"/>
    </row>
    <row r="11962" spans="1:2" x14ac:dyDescent="0.25">
      <c r="A11962" s="118"/>
      <c r="B11962" s="136"/>
    </row>
    <row r="11963" spans="1:2" x14ac:dyDescent="0.25">
      <c r="A11963" s="118"/>
      <c r="B11963" s="136"/>
    </row>
    <row r="11964" spans="1:2" x14ac:dyDescent="0.25">
      <c r="A11964" s="118"/>
      <c r="B11964" s="136"/>
    </row>
    <row r="11965" spans="1:2" x14ac:dyDescent="0.25">
      <c r="A11965" s="118"/>
      <c r="B11965" s="136"/>
    </row>
    <row r="11966" spans="1:2" x14ac:dyDescent="0.25">
      <c r="A11966" s="118"/>
      <c r="B11966" s="136"/>
    </row>
    <row r="11967" spans="1:2" x14ac:dyDescent="0.25">
      <c r="A11967" s="118"/>
      <c r="B11967" s="136"/>
    </row>
    <row r="11968" spans="1:2" x14ac:dyDescent="0.25">
      <c r="A11968" s="118"/>
      <c r="B11968" s="136"/>
    </row>
    <row r="11969" spans="1:2" x14ac:dyDescent="0.25">
      <c r="A11969" s="118"/>
      <c r="B11969" s="136"/>
    </row>
    <row r="11970" spans="1:2" x14ac:dyDescent="0.25">
      <c r="A11970" s="118"/>
      <c r="B11970" s="136"/>
    </row>
    <row r="11971" spans="1:2" x14ac:dyDescent="0.25">
      <c r="A11971" s="118"/>
      <c r="B11971" s="136"/>
    </row>
    <row r="11972" spans="1:2" x14ac:dyDescent="0.25">
      <c r="A11972" s="118"/>
      <c r="B11972" s="136"/>
    </row>
    <row r="11973" spans="1:2" x14ac:dyDescent="0.25">
      <c r="A11973" s="118"/>
      <c r="B11973" s="136"/>
    </row>
    <row r="11974" spans="1:2" x14ac:dyDescent="0.25">
      <c r="A11974" s="118"/>
      <c r="B11974" s="136"/>
    </row>
    <row r="11975" spans="1:2" x14ac:dyDescent="0.25">
      <c r="A11975" s="118"/>
      <c r="B11975" s="136"/>
    </row>
    <row r="11976" spans="1:2" x14ac:dyDescent="0.25">
      <c r="A11976" s="118"/>
      <c r="B11976" s="136"/>
    </row>
    <row r="11977" spans="1:2" x14ac:dyDescent="0.25">
      <c r="A11977" s="118"/>
      <c r="B11977" s="136"/>
    </row>
    <row r="11978" spans="1:2" x14ac:dyDescent="0.25">
      <c r="A11978" s="118"/>
      <c r="B11978" s="136"/>
    </row>
    <row r="11979" spans="1:2" x14ac:dyDescent="0.25">
      <c r="A11979" s="118"/>
      <c r="B11979" s="136"/>
    </row>
    <row r="11980" spans="1:2" x14ac:dyDescent="0.25">
      <c r="A11980" s="118"/>
      <c r="B11980" s="136"/>
    </row>
    <row r="11981" spans="1:2" x14ac:dyDescent="0.25">
      <c r="A11981" s="118"/>
      <c r="B11981" s="136"/>
    </row>
    <row r="11982" spans="1:2" x14ac:dyDescent="0.25">
      <c r="A11982" s="118"/>
      <c r="B11982" s="136"/>
    </row>
    <row r="11983" spans="1:2" x14ac:dyDescent="0.25">
      <c r="A11983" s="118"/>
      <c r="B11983" s="136"/>
    </row>
    <row r="11984" spans="1:2" x14ac:dyDescent="0.25">
      <c r="A11984" s="118"/>
      <c r="B11984" s="136"/>
    </row>
    <row r="11985" spans="1:2" x14ac:dyDescent="0.25">
      <c r="A11985" s="118"/>
      <c r="B11985" s="136"/>
    </row>
    <row r="11986" spans="1:2" x14ac:dyDescent="0.25">
      <c r="A11986" s="118"/>
      <c r="B11986" s="136"/>
    </row>
    <row r="11987" spans="1:2" x14ac:dyDescent="0.25">
      <c r="A11987" s="118"/>
      <c r="B11987" s="136"/>
    </row>
    <row r="11988" spans="1:2" x14ac:dyDescent="0.25">
      <c r="A11988" s="118"/>
      <c r="B11988" s="136"/>
    </row>
    <row r="11989" spans="1:2" x14ac:dyDescent="0.25">
      <c r="A11989" s="118"/>
      <c r="B11989" s="136"/>
    </row>
    <row r="11990" spans="1:2" x14ac:dyDescent="0.25">
      <c r="A11990" s="118"/>
      <c r="B11990" s="136"/>
    </row>
    <row r="11991" spans="1:2" x14ac:dyDescent="0.25">
      <c r="A11991" s="118"/>
      <c r="B11991" s="136"/>
    </row>
    <row r="11992" spans="1:2" x14ac:dyDescent="0.25">
      <c r="A11992" s="118"/>
      <c r="B11992" s="136"/>
    </row>
    <row r="11993" spans="1:2" x14ac:dyDescent="0.25">
      <c r="A11993" s="118"/>
      <c r="B11993" s="136"/>
    </row>
    <row r="11994" spans="1:2" x14ac:dyDescent="0.25">
      <c r="A11994" s="118"/>
      <c r="B11994" s="136"/>
    </row>
    <row r="11995" spans="1:2" x14ac:dyDescent="0.25">
      <c r="A11995" s="118"/>
      <c r="B11995" s="136"/>
    </row>
    <row r="11996" spans="1:2" x14ac:dyDescent="0.25">
      <c r="A11996" s="118"/>
      <c r="B11996" s="136"/>
    </row>
    <row r="11997" spans="1:2" x14ac:dyDescent="0.25">
      <c r="A11997" s="118"/>
      <c r="B11997" s="136"/>
    </row>
    <row r="11998" spans="1:2" x14ac:dyDescent="0.25">
      <c r="A11998" s="118"/>
      <c r="B11998" s="136"/>
    </row>
    <row r="11999" spans="1:2" x14ac:dyDescent="0.25">
      <c r="A11999" s="118"/>
      <c r="B11999" s="136"/>
    </row>
    <row r="12000" spans="1:2" x14ac:dyDescent="0.25">
      <c r="A12000" s="118"/>
      <c r="B12000" s="136"/>
    </row>
    <row r="12001" spans="1:2" x14ac:dyDescent="0.25">
      <c r="A12001" s="118"/>
      <c r="B12001" s="136"/>
    </row>
    <row r="12002" spans="1:2" x14ac:dyDescent="0.25">
      <c r="A12002" s="118"/>
      <c r="B12002" s="136"/>
    </row>
    <row r="12003" spans="1:2" x14ac:dyDescent="0.25">
      <c r="A12003" s="118"/>
      <c r="B12003" s="136"/>
    </row>
    <row r="12004" spans="1:2" x14ac:dyDescent="0.25">
      <c r="A12004" s="118"/>
      <c r="B12004" s="136"/>
    </row>
    <row r="12005" spans="1:2" x14ac:dyDescent="0.25">
      <c r="A12005" s="118"/>
      <c r="B12005" s="136"/>
    </row>
    <row r="12006" spans="1:2" x14ac:dyDescent="0.25">
      <c r="A12006" s="118"/>
      <c r="B12006" s="136"/>
    </row>
    <row r="12007" spans="1:2" x14ac:dyDescent="0.25">
      <c r="A12007" s="118"/>
      <c r="B12007" s="136"/>
    </row>
    <row r="12008" spans="1:2" x14ac:dyDescent="0.25">
      <c r="A12008" s="118"/>
      <c r="B12008" s="136"/>
    </row>
    <row r="12009" spans="1:2" x14ac:dyDescent="0.25">
      <c r="A12009" s="118"/>
      <c r="B12009" s="136"/>
    </row>
    <row r="12010" spans="1:2" x14ac:dyDescent="0.25">
      <c r="A12010" s="118"/>
      <c r="B12010" s="136"/>
    </row>
    <row r="12011" spans="1:2" x14ac:dyDescent="0.25">
      <c r="A12011" s="118"/>
      <c r="B12011" s="136"/>
    </row>
    <row r="12012" spans="1:2" x14ac:dyDescent="0.25">
      <c r="A12012" s="118"/>
      <c r="B12012" s="136"/>
    </row>
    <row r="12013" spans="1:2" x14ac:dyDescent="0.25">
      <c r="A12013" s="118"/>
      <c r="B12013" s="136"/>
    </row>
    <row r="12014" spans="1:2" x14ac:dyDescent="0.25">
      <c r="A12014" s="118"/>
      <c r="B12014" s="136"/>
    </row>
    <row r="12015" spans="1:2" x14ac:dyDescent="0.25">
      <c r="A12015" s="118"/>
      <c r="B12015" s="136"/>
    </row>
    <row r="12016" spans="1:2" x14ac:dyDescent="0.25">
      <c r="A12016" s="118"/>
      <c r="B12016" s="136"/>
    </row>
    <row r="12017" spans="1:2" x14ac:dyDescent="0.25">
      <c r="A12017" s="118"/>
      <c r="B12017" s="136"/>
    </row>
    <row r="12018" spans="1:2" x14ac:dyDescent="0.25">
      <c r="A12018" s="118"/>
      <c r="B12018" s="136"/>
    </row>
    <row r="12019" spans="1:2" x14ac:dyDescent="0.25">
      <c r="A12019" s="118"/>
      <c r="B12019" s="136"/>
    </row>
    <row r="12020" spans="1:2" x14ac:dyDescent="0.25">
      <c r="A12020" s="118"/>
      <c r="B12020" s="136"/>
    </row>
    <row r="12021" spans="1:2" x14ac:dyDescent="0.25">
      <c r="A12021" s="118"/>
      <c r="B12021" s="136"/>
    </row>
    <row r="12022" spans="1:2" x14ac:dyDescent="0.25">
      <c r="A12022" s="118"/>
      <c r="B12022" s="136"/>
    </row>
    <row r="12023" spans="1:2" x14ac:dyDescent="0.25">
      <c r="A12023" s="118"/>
      <c r="B12023" s="136"/>
    </row>
    <row r="12024" spans="1:2" x14ac:dyDescent="0.25">
      <c r="A12024" s="118"/>
      <c r="B12024" s="136"/>
    </row>
    <row r="12025" spans="1:2" x14ac:dyDescent="0.25">
      <c r="A12025" s="118"/>
      <c r="B12025" s="136"/>
    </row>
    <row r="12026" spans="1:2" x14ac:dyDescent="0.25">
      <c r="A12026" s="118"/>
      <c r="B12026" s="136"/>
    </row>
    <row r="12027" spans="1:2" x14ac:dyDescent="0.25">
      <c r="A12027" s="118"/>
      <c r="B12027" s="136"/>
    </row>
    <row r="12028" spans="1:2" x14ac:dyDescent="0.25">
      <c r="A12028" s="118"/>
      <c r="B12028" s="136"/>
    </row>
    <row r="12029" spans="1:2" x14ac:dyDescent="0.25">
      <c r="A12029" s="118"/>
      <c r="B12029" s="136"/>
    </row>
    <row r="12030" spans="1:2" x14ac:dyDescent="0.25">
      <c r="A12030" s="118"/>
      <c r="B12030" s="136"/>
    </row>
    <row r="12031" spans="1:2" x14ac:dyDescent="0.25">
      <c r="A12031" s="118"/>
      <c r="B12031" s="136"/>
    </row>
    <row r="12032" spans="1:2" x14ac:dyDescent="0.25">
      <c r="A12032" s="118"/>
      <c r="B12032" s="136"/>
    </row>
    <row r="12033" spans="1:2" x14ac:dyDescent="0.25">
      <c r="A12033" s="118"/>
      <c r="B12033" s="136"/>
    </row>
    <row r="12034" spans="1:2" x14ac:dyDescent="0.25">
      <c r="A12034" s="118"/>
      <c r="B12034" s="136"/>
    </row>
    <row r="12035" spans="1:2" x14ac:dyDescent="0.25">
      <c r="A12035" s="118"/>
      <c r="B12035" s="136"/>
    </row>
    <row r="12036" spans="1:2" x14ac:dyDescent="0.25">
      <c r="A12036" s="118"/>
      <c r="B12036" s="136"/>
    </row>
    <row r="12037" spans="1:2" x14ac:dyDescent="0.25">
      <c r="A12037" s="118"/>
      <c r="B12037" s="136"/>
    </row>
    <row r="12038" spans="1:2" x14ac:dyDescent="0.25">
      <c r="A12038" s="118"/>
      <c r="B12038" s="136"/>
    </row>
    <row r="12039" spans="1:2" x14ac:dyDescent="0.25">
      <c r="A12039" s="118"/>
      <c r="B12039" s="136"/>
    </row>
    <row r="12040" spans="1:2" x14ac:dyDescent="0.25">
      <c r="A12040" s="118"/>
      <c r="B12040" s="136"/>
    </row>
    <row r="12041" spans="1:2" x14ac:dyDescent="0.25">
      <c r="A12041" s="118"/>
      <c r="B12041" s="136"/>
    </row>
    <row r="12042" spans="1:2" x14ac:dyDescent="0.25">
      <c r="A12042" s="118"/>
      <c r="B12042" s="136"/>
    </row>
    <row r="12043" spans="1:2" x14ac:dyDescent="0.25">
      <c r="A12043" s="118"/>
      <c r="B12043" s="136"/>
    </row>
    <row r="12044" spans="1:2" x14ac:dyDescent="0.25">
      <c r="A12044" s="118"/>
      <c r="B12044" s="136"/>
    </row>
    <row r="12045" spans="1:2" x14ac:dyDescent="0.25">
      <c r="A12045" s="118"/>
      <c r="B12045" s="136"/>
    </row>
    <row r="12046" spans="1:2" x14ac:dyDescent="0.25">
      <c r="A12046" s="118"/>
      <c r="B12046" s="136"/>
    </row>
    <row r="12047" spans="1:2" x14ac:dyDescent="0.25">
      <c r="A12047" s="118"/>
      <c r="B12047" s="136"/>
    </row>
    <row r="12048" spans="1:2" x14ac:dyDescent="0.25">
      <c r="A12048" s="118"/>
      <c r="B12048" s="136"/>
    </row>
    <row r="12049" spans="1:2" x14ac:dyDescent="0.25">
      <c r="A12049" s="118"/>
      <c r="B12049" s="136"/>
    </row>
    <row r="12050" spans="1:2" x14ac:dyDescent="0.25">
      <c r="A12050" s="118"/>
      <c r="B12050" s="136"/>
    </row>
    <row r="12051" spans="1:2" x14ac:dyDescent="0.25">
      <c r="A12051" s="118"/>
      <c r="B12051" s="136"/>
    </row>
    <row r="12052" spans="1:2" x14ac:dyDescent="0.25">
      <c r="A12052" s="118"/>
      <c r="B12052" s="136"/>
    </row>
    <row r="12053" spans="1:2" x14ac:dyDescent="0.25">
      <c r="A12053" s="118"/>
      <c r="B12053" s="136"/>
    </row>
    <row r="12054" spans="1:2" x14ac:dyDescent="0.25">
      <c r="A12054" s="118"/>
      <c r="B12054" s="136"/>
    </row>
    <row r="12055" spans="1:2" x14ac:dyDescent="0.25">
      <c r="A12055" s="118"/>
      <c r="B12055" s="136"/>
    </row>
    <row r="12056" spans="1:2" x14ac:dyDescent="0.25">
      <c r="A12056" s="118"/>
      <c r="B12056" s="136"/>
    </row>
    <row r="12057" spans="1:2" x14ac:dyDescent="0.25">
      <c r="A12057" s="118"/>
      <c r="B12057" s="136"/>
    </row>
    <row r="12058" spans="1:2" x14ac:dyDescent="0.25">
      <c r="A12058" s="118"/>
      <c r="B12058" s="136"/>
    </row>
    <row r="12059" spans="1:2" x14ac:dyDescent="0.25">
      <c r="A12059" s="118"/>
      <c r="B12059" s="136"/>
    </row>
    <row r="12060" spans="1:2" x14ac:dyDescent="0.25">
      <c r="A12060" s="118"/>
      <c r="B12060" s="136"/>
    </row>
    <row r="12061" spans="1:2" x14ac:dyDescent="0.25">
      <c r="A12061" s="118"/>
      <c r="B12061" s="136"/>
    </row>
    <row r="12062" spans="1:2" x14ac:dyDescent="0.25">
      <c r="A12062" s="118"/>
      <c r="B12062" s="136"/>
    </row>
    <row r="12063" spans="1:2" x14ac:dyDescent="0.25">
      <c r="A12063" s="118"/>
      <c r="B12063" s="136"/>
    </row>
    <row r="12064" spans="1:2" x14ac:dyDescent="0.25">
      <c r="A12064" s="118"/>
      <c r="B12064" s="136"/>
    </row>
    <row r="12065" spans="1:2" x14ac:dyDescent="0.25">
      <c r="A12065" s="118"/>
      <c r="B12065" s="136"/>
    </row>
    <row r="12066" spans="1:2" x14ac:dyDescent="0.25">
      <c r="A12066" s="118"/>
      <c r="B12066" s="136"/>
    </row>
    <row r="12067" spans="1:2" x14ac:dyDescent="0.25">
      <c r="A12067" s="118"/>
      <c r="B12067" s="136"/>
    </row>
    <row r="12068" spans="1:2" x14ac:dyDescent="0.25">
      <c r="A12068" s="118"/>
      <c r="B12068" s="136"/>
    </row>
    <row r="12069" spans="1:2" x14ac:dyDescent="0.25">
      <c r="A12069" s="118"/>
      <c r="B12069" s="136"/>
    </row>
    <row r="12070" spans="1:2" x14ac:dyDescent="0.25">
      <c r="A12070" s="118"/>
      <c r="B12070" s="136"/>
    </row>
    <row r="12071" spans="1:2" x14ac:dyDescent="0.25">
      <c r="A12071" s="118"/>
      <c r="B12071" s="136"/>
    </row>
    <row r="12072" spans="1:2" x14ac:dyDescent="0.25">
      <c r="A12072" s="118"/>
      <c r="B12072" s="136"/>
    </row>
    <row r="12073" spans="1:2" x14ac:dyDescent="0.25">
      <c r="A12073" s="118"/>
      <c r="B12073" s="136"/>
    </row>
    <row r="12074" spans="1:2" x14ac:dyDescent="0.25">
      <c r="A12074" s="118"/>
      <c r="B12074" s="136"/>
    </row>
    <row r="12075" spans="1:2" x14ac:dyDescent="0.25">
      <c r="A12075" s="118"/>
      <c r="B12075" s="136"/>
    </row>
    <row r="12076" spans="1:2" x14ac:dyDescent="0.25">
      <c r="A12076" s="118"/>
      <c r="B12076" s="136"/>
    </row>
    <row r="12077" spans="1:2" x14ac:dyDescent="0.25">
      <c r="A12077" s="118"/>
      <c r="B12077" s="136"/>
    </row>
    <row r="12078" spans="1:2" x14ac:dyDescent="0.25">
      <c r="A12078" s="118"/>
      <c r="B12078" s="136"/>
    </row>
    <row r="12079" spans="1:2" x14ac:dyDescent="0.25">
      <c r="A12079" s="118"/>
      <c r="B12079" s="136"/>
    </row>
    <row r="12080" spans="1:2" x14ac:dyDescent="0.25">
      <c r="A12080" s="118"/>
      <c r="B12080" s="136"/>
    </row>
    <row r="12081" spans="1:2" x14ac:dyDescent="0.25">
      <c r="A12081" s="118"/>
      <c r="B12081" s="136"/>
    </row>
    <row r="12082" spans="1:2" x14ac:dyDescent="0.25">
      <c r="A12082" s="118"/>
      <c r="B12082" s="136"/>
    </row>
    <row r="12083" spans="1:2" x14ac:dyDescent="0.25">
      <c r="A12083" s="118"/>
      <c r="B12083" s="136"/>
    </row>
    <row r="12084" spans="1:2" x14ac:dyDescent="0.25">
      <c r="A12084" s="118"/>
      <c r="B12084" s="136"/>
    </row>
    <row r="12085" spans="1:2" x14ac:dyDescent="0.25">
      <c r="A12085" s="118"/>
      <c r="B12085" s="136"/>
    </row>
    <row r="12086" spans="1:2" x14ac:dyDescent="0.25">
      <c r="A12086" s="118"/>
      <c r="B12086" s="136"/>
    </row>
    <row r="12087" spans="1:2" x14ac:dyDescent="0.25">
      <c r="A12087" s="118"/>
      <c r="B12087" s="136"/>
    </row>
    <row r="12088" spans="1:2" x14ac:dyDescent="0.25">
      <c r="A12088" s="118"/>
      <c r="B12088" s="136"/>
    </row>
    <row r="12089" spans="1:2" x14ac:dyDescent="0.25">
      <c r="A12089" s="118"/>
      <c r="B12089" s="136"/>
    </row>
    <row r="12090" spans="1:2" x14ac:dyDescent="0.25">
      <c r="A12090" s="118"/>
      <c r="B12090" s="136"/>
    </row>
    <row r="12091" spans="1:2" x14ac:dyDescent="0.25">
      <c r="A12091" s="118"/>
      <c r="B12091" s="136"/>
    </row>
    <row r="12092" spans="1:2" x14ac:dyDescent="0.25">
      <c r="A12092" s="118"/>
      <c r="B12092" s="136"/>
    </row>
    <row r="12093" spans="1:2" x14ac:dyDescent="0.25">
      <c r="A12093" s="118"/>
      <c r="B12093" s="136"/>
    </row>
    <row r="12094" spans="1:2" x14ac:dyDescent="0.25">
      <c r="A12094" s="118"/>
      <c r="B12094" s="136"/>
    </row>
    <row r="12095" spans="1:2" x14ac:dyDescent="0.25">
      <c r="A12095" s="118"/>
      <c r="B12095" s="136"/>
    </row>
    <row r="12096" spans="1:2" x14ac:dyDescent="0.25">
      <c r="A12096" s="118"/>
      <c r="B12096" s="136"/>
    </row>
    <row r="12097" spans="1:2" x14ac:dyDescent="0.25">
      <c r="A12097" s="118"/>
      <c r="B12097" s="136"/>
    </row>
    <row r="12098" spans="1:2" x14ac:dyDescent="0.25">
      <c r="A12098" s="118"/>
      <c r="B12098" s="136"/>
    </row>
    <row r="12099" spans="1:2" x14ac:dyDescent="0.25">
      <c r="A12099" s="118"/>
      <c r="B12099" s="136"/>
    </row>
    <row r="12100" spans="1:2" x14ac:dyDescent="0.25">
      <c r="A12100" s="118"/>
      <c r="B12100" s="136"/>
    </row>
    <row r="12101" spans="1:2" x14ac:dyDescent="0.25">
      <c r="A12101" s="118"/>
      <c r="B12101" s="136"/>
    </row>
    <row r="12102" spans="1:2" x14ac:dyDescent="0.25">
      <c r="A12102" s="118"/>
      <c r="B12102" s="136"/>
    </row>
    <row r="12103" spans="1:2" x14ac:dyDescent="0.25">
      <c r="A12103" s="118"/>
      <c r="B12103" s="136"/>
    </row>
    <row r="12104" spans="1:2" x14ac:dyDescent="0.25">
      <c r="A12104" s="118"/>
      <c r="B12104" s="136"/>
    </row>
    <row r="12105" spans="1:2" x14ac:dyDescent="0.25">
      <c r="A12105" s="118"/>
      <c r="B12105" s="136"/>
    </row>
    <row r="12106" spans="1:2" x14ac:dyDescent="0.25">
      <c r="A12106" s="118"/>
      <c r="B12106" s="136"/>
    </row>
    <row r="12107" spans="1:2" x14ac:dyDescent="0.25">
      <c r="A12107" s="118"/>
      <c r="B12107" s="136"/>
    </row>
    <row r="12108" spans="1:2" x14ac:dyDescent="0.25">
      <c r="A12108" s="118"/>
      <c r="B12108" s="136"/>
    </row>
    <row r="12109" spans="1:2" x14ac:dyDescent="0.25">
      <c r="A12109" s="118"/>
      <c r="B12109" s="136"/>
    </row>
    <row r="12110" spans="1:2" x14ac:dyDescent="0.25">
      <c r="A12110" s="118"/>
      <c r="B12110" s="136"/>
    </row>
    <row r="12111" spans="1:2" x14ac:dyDescent="0.25">
      <c r="A12111" s="118"/>
      <c r="B12111" s="136"/>
    </row>
    <row r="12112" spans="1:2" x14ac:dyDescent="0.25">
      <c r="A12112" s="118"/>
      <c r="B12112" s="136"/>
    </row>
    <row r="12113" spans="1:2" x14ac:dyDescent="0.25">
      <c r="A12113" s="118"/>
      <c r="B12113" s="136"/>
    </row>
    <row r="12114" spans="1:2" x14ac:dyDescent="0.25">
      <c r="A12114" s="118"/>
      <c r="B12114" s="136"/>
    </row>
    <row r="12115" spans="1:2" x14ac:dyDescent="0.25">
      <c r="A12115" s="118"/>
      <c r="B12115" s="136"/>
    </row>
    <row r="12116" spans="1:2" x14ac:dyDescent="0.25">
      <c r="A12116" s="118"/>
      <c r="B12116" s="136"/>
    </row>
    <row r="12117" spans="1:2" x14ac:dyDescent="0.25">
      <c r="A12117" s="118"/>
      <c r="B12117" s="136"/>
    </row>
    <row r="12118" spans="1:2" x14ac:dyDescent="0.25">
      <c r="A12118" s="118"/>
      <c r="B12118" s="136"/>
    </row>
    <row r="12119" spans="1:2" x14ac:dyDescent="0.25">
      <c r="A12119" s="118"/>
      <c r="B12119" s="136"/>
    </row>
    <row r="12120" spans="1:2" x14ac:dyDescent="0.25">
      <c r="A12120" s="118"/>
      <c r="B12120" s="136"/>
    </row>
    <row r="12121" spans="1:2" x14ac:dyDescent="0.25">
      <c r="A12121" s="118"/>
      <c r="B12121" s="136"/>
    </row>
    <row r="12122" spans="1:2" x14ac:dyDescent="0.25">
      <c r="A12122" s="118"/>
      <c r="B12122" s="136"/>
    </row>
    <row r="12123" spans="1:2" x14ac:dyDescent="0.25">
      <c r="A12123" s="118"/>
      <c r="B12123" s="136"/>
    </row>
    <row r="12124" spans="1:2" x14ac:dyDescent="0.25">
      <c r="A12124" s="118"/>
      <c r="B12124" s="136"/>
    </row>
    <row r="12125" spans="1:2" x14ac:dyDescent="0.25">
      <c r="A12125" s="118"/>
      <c r="B12125" s="136"/>
    </row>
    <row r="12126" spans="1:2" x14ac:dyDescent="0.25">
      <c r="A12126" s="118"/>
      <c r="B12126" s="136"/>
    </row>
    <row r="12127" spans="1:2" x14ac:dyDescent="0.25">
      <c r="A12127" s="118"/>
      <c r="B12127" s="136"/>
    </row>
    <row r="12128" spans="1:2" x14ac:dyDescent="0.25">
      <c r="A12128" s="118"/>
      <c r="B12128" s="136"/>
    </row>
    <row r="12129" spans="1:2" x14ac:dyDescent="0.25">
      <c r="A12129" s="118"/>
      <c r="B12129" s="136"/>
    </row>
    <row r="12130" spans="1:2" x14ac:dyDescent="0.25">
      <c r="A12130" s="118"/>
      <c r="B12130" s="136"/>
    </row>
    <row r="12131" spans="1:2" x14ac:dyDescent="0.25">
      <c r="A12131" s="118"/>
      <c r="B12131" s="136"/>
    </row>
    <row r="12132" spans="1:2" x14ac:dyDescent="0.25">
      <c r="A12132" s="118"/>
      <c r="B12132" s="136"/>
    </row>
    <row r="12133" spans="1:2" x14ac:dyDescent="0.25">
      <c r="A12133" s="118"/>
      <c r="B12133" s="136"/>
    </row>
    <row r="12134" spans="1:2" x14ac:dyDescent="0.25">
      <c r="A12134" s="118"/>
      <c r="B12134" s="136"/>
    </row>
    <row r="12135" spans="1:2" x14ac:dyDescent="0.25">
      <c r="A12135" s="118"/>
      <c r="B12135" s="136"/>
    </row>
    <row r="12136" spans="1:2" x14ac:dyDescent="0.25">
      <c r="A12136" s="118"/>
      <c r="B12136" s="136"/>
    </row>
    <row r="12137" spans="1:2" x14ac:dyDescent="0.25">
      <c r="A12137" s="118"/>
      <c r="B12137" s="136"/>
    </row>
    <row r="12138" spans="1:2" x14ac:dyDescent="0.25">
      <c r="A12138" s="118"/>
      <c r="B12138" s="136"/>
    </row>
    <row r="12139" spans="1:2" x14ac:dyDescent="0.25">
      <c r="A12139" s="118"/>
      <c r="B12139" s="136"/>
    </row>
    <row r="12140" spans="1:2" x14ac:dyDescent="0.25">
      <c r="A12140" s="118"/>
      <c r="B12140" s="136"/>
    </row>
    <row r="12141" spans="1:2" x14ac:dyDescent="0.25">
      <c r="A12141" s="118"/>
      <c r="B12141" s="136"/>
    </row>
    <row r="12142" spans="1:2" x14ac:dyDescent="0.25">
      <c r="A12142" s="118"/>
      <c r="B12142" s="136"/>
    </row>
    <row r="12143" spans="1:2" x14ac:dyDescent="0.25">
      <c r="A12143" s="118"/>
      <c r="B12143" s="136"/>
    </row>
    <row r="12144" spans="1:2" x14ac:dyDescent="0.25">
      <c r="A12144" s="118"/>
      <c r="B12144" s="136"/>
    </row>
    <row r="12145" spans="1:2" x14ac:dyDescent="0.25">
      <c r="A12145" s="118"/>
      <c r="B12145" s="136"/>
    </row>
    <row r="12146" spans="1:2" x14ac:dyDescent="0.25">
      <c r="A12146" s="118"/>
      <c r="B12146" s="136"/>
    </row>
    <row r="12147" spans="1:2" x14ac:dyDescent="0.25">
      <c r="A12147" s="118"/>
      <c r="B12147" s="136"/>
    </row>
    <row r="12148" spans="1:2" x14ac:dyDescent="0.25">
      <c r="A12148" s="118"/>
      <c r="B12148" s="136"/>
    </row>
    <row r="12149" spans="1:2" x14ac:dyDescent="0.25">
      <c r="A12149" s="118"/>
      <c r="B12149" s="136"/>
    </row>
    <row r="12150" spans="1:2" x14ac:dyDescent="0.25">
      <c r="A12150" s="118"/>
      <c r="B12150" s="136"/>
    </row>
    <row r="12151" spans="1:2" x14ac:dyDescent="0.25">
      <c r="A12151" s="118"/>
      <c r="B12151" s="136"/>
    </row>
    <row r="12152" spans="1:2" x14ac:dyDescent="0.25">
      <c r="A12152" s="118"/>
      <c r="B12152" s="136"/>
    </row>
    <row r="12153" spans="1:2" x14ac:dyDescent="0.25">
      <c r="A12153" s="118"/>
      <c r="B12153" s="136"/>
    </row>
    <row r="12154" spans="1:2" x14ac:dyDescent="0.25">
      <c r="A12154" s="118"/>
      <c r="B12154" s="136"/>
    </row>
    <row r="12155" spans="1:2" x14ac:dyDescent="0.25">
      <c r="A12155" s="118"/>
      <c r="B12155" s="136"/>
    </row>
    <row r="12156" spans="1:2" x14ac:dyDescent="0.25">
      <c r="A12156" s="118"/>
      <c r="B12156" s="136"/>
    </row>
    <row r="12157" spans="1:2" x14ac:dyDescent="0.25">
      <c r="A12157" s="118"/>
      <c r="B12157" s="136"/>
    </row>
    <row r="12158" spans="1:2" x14ac:dyDescent="0.25">
      <c r="A12158" s="118"/>
      <c r="B12158" s="136"/>
    </row>
    <row r="12159" spans="1:2" x14ac:dyDescent="0.25">
      <c r="A12159" s="118"/>
      <c r="B12159" s="136"/>
    </row>
    <row r="12160" spans="1:2" x14ac:dyDescent="0.25">
      <c r="A12160" s="118"/>
      <c r="B12160" s="136"/>
    </row>
    <row r="12161" spans="1:2" x14ac:dyDescent="0.25">
      <c r="A12161" s="118"/>
      <c r="B12161" s="136"/>
    </row>
    <row r="12162" spans="1:2" x14ac:dyDescent="0.25">
      <c r="A12162" s="118"/>
      <c r="B12162" s="136"/>
    </row>
    <row r="12163" spans="1:2" x14ac:dyDescent="0.25">
      <c r="A12163" s="118"/>
      <c r="B12163" s="136"/>
    </row>
    <row r="12164" spans="1:2" x14ac:dyDescent="0.25">
      <c r="A12164" s="118"/>
      <c r="B12164" s="136"/>
    </row>
    <row r="12165" spans="1:2" x14ac:dyDescent="0.25">
      <c r="A12165" s="118"/>
      <c r="B12165" s="136"/>
    </row>
    <row r="12166" spans="1:2" x14ac:dyDescent="0.25">
      <c r="A12166" s="118"/>
      <c r="B12166" s="136"/>
    </row>
    <row r="12167" spans="1:2" x14ac:dyDescent="0.25">
      <c r="A12167" s="118"/>
      <c r="B12167" s="136"/>
    </row>
    <row r="12168" spans="1:2" x14ac:dyDescent="0.25">
      <c r="A12168" s="118"/>
      <c r="B12168" s="136"/>
    </row>
    <row r="12169" spans="1:2" x14ac:dyDescent="0.25">
      <c r="A12169" s="118"/>
      <c r="B12169" s="136"/>
    </row>
    <row r="12170" spans="1:2" x14ac:dyDescent="0.25">
      <c r="A12170" s="118"/>
      <c r="B12170" s="136"/>
    </row>
    <row r="12171" spans="1:2" x14ac:dyDescent="0.25">
      <c r="A12171" s="118"/>
      <c r="B12171" s="136"/>
    </row>
    <row r="12172" spans="1:2" x14ac:dyDescent="0.25">
      <c r="A12172" s="118"/>
      <c r="B12172" s="136"/>
    </row>
    <row r="12173" spans="1:2" x14ac:dyDescent="0.25">
      <c r="A12173" s="118"/>
      <c r="B12173" s="136"/>
    </row>
    <row r="12174" spans="1:2" x14ac:dyDescent="0.25">
      <c r="A12174" s="118"/>
      <c r="B12174" s="136"/>
    </row>
    <row r="12175" spans="1:2" x14ac:dyDescent="0.25">
      <c r="A12175" s="118"/>
      <c r="B12175" s="136"/>
    </row>
    <row r="12176" spans="1:2" x14ac:dyDescent="0.25">
      <c r="A12176" s="118"/>
      <c r="B12176" s="136"/>
    </row>
    <row r="12177" spans="1:2" x14ac:dyDescent="0.25">
      <c r="A12177" s="118"/>
      <c r="B12177" s="136"/>
    </row>
    <row r="12178" spans="1:2" x14ac:dyDescent="0.25">
      <c r="A12178" s="118"/>
      <c r="B12178" s="136"/>
    </row>
    <row r="12179" spans="1:2" x14ac:dyDescent="0.25">
      <c r="A12179" s="118"/>
      <c r="B12179" s="136"/>
    </row>
    <row r="12180" spans="1:2" x14ac:dyDescent="0.25">
      <c r="A12180" s="118"/>
      <c r="B12180" s="136"/>
    </row>
    <row r="12181" spans="1:2" x14ac:dyDescent="0.25">
      <c r="A12181" s="118"/>
      <c r="B12181" s="136"/>
    </row>
    <row r="12182" spans="1:2" x14ac:dyDescent="0.25">
      <c r="A12182" s="118"/>
      <c r="B12182" s="136"/>
    </row>
    <row r="12183" spans="1:2" x14ac:dyDescent="0.25">
      <c r="A12183" s="118"/>
      <c r="B12183" s="136"/>
    </row>
    <row r="12184" spans="1:2" x14ac:dyDescent="0.25">
      <c r="A12184" s="118"/>
      <c r="B12184" s="136"/>
    </row>
    <row r="12185" spans="1:2" x14ac:dyDescent="0.25">
      <c r="A12185" s="118"/>
      <c r="B12185" s="136"/>
    </row>
    <row r="12186" spans="1:2" x14ac:dyDescent="0.25">
      <c r="A12186" s="118"/>
      <c r="B12186" s="136"/>
    </row>
    <row r="12187" spans="1:2" x14ac:dyDescent="0.25">
      <c r="A12187" s="118"/>
      <c r="B12187" s="136"/>
    </row>
    <row r="12188" spans="1:2" x14ac:dyDescent="0.25">
      <c r="A12188" s="118"/>
      <c r="B12188" s="136"/>
    </row>
    <row r="12189" spans="1:2" x14ac:dyDescent="0.25">
      <c r="A12189" s="118"/>
      <c r="B12189" s="136"/>
    </row>
    <row r="12190" spans="1:2" x14ac:dyDescent="0.25">
      <c r="A12190" s="118"/>
      <c r="B12190" s="136"/>
    </row>
    <row r="12191" spans="1:2" x14ac:dyDescent="0.25">
      <c r="A12191" s="118"/>
      <c r="B12191" s="136"/>
    </row>
    <row r="12192" spans="1:2" x14ac:dyDescent="0.25">
      <c r="A12192" s="118"/>
      <c r="B12192" s="136"/>
    </row>
    <row r="12193" spans="1:2" x14ac:dyDescent="0.25">
      <c r="A12193" s="118"/>
      <c r="B12193" s="136"/>
    </row>
    <row r="12194" spans="1:2" x14ac:dyDescent="0.25">
      <c r="A12194" s="118"/>
      <c r="B12194" s="136"/>
    </row>
    <row r="12195" spans="1:2" x14ac:dyDescent="0.25">
      <c r="A12195" s="118"/>
      <c r="B12195" s="136"/>
    </row>
    <row r="12196" spans="1:2" x14ac:dyDescent="0.25">
      <c r="A12196" s="118"/>
      <c r="B12196" s="136"/>
    </row>
    <row r="12197" spans="1:2" x14ac:dyDescent="0.25">
      <c r="A12197" s="118"/>
      <c r="B12197" s="136"/>
    </row>
    <row r="12198" spans="1:2" x14ac:dyDescent="0.25">
      <c r="A12198" s="118"/>
      <c r="B12198" s="136"/>
    </row>
    <row r="12199" spans="1:2" x14ac:dyDescent="0.25">
      <c r="A12199" s="118"/>
      <c r="B12199" s="136"/>
    </row>
    <row r="12200" spans="1:2" x14ac:dyDescent="0.25">
      <c r="A12200" s="118"/>
      <c r="B12200" s="136"/>
    </row>
    <row r="12201" spans="1:2" x14ac:dyDescent="0.25">
      <c r="A12201" s="118"/>
      <c r="B12201" s="136"/>
    </row>
    <row r="12202" spans="1:2" x14ac:dyDescent="0.25">
      <c r="A12202" s="118"/>
      <c r="B12202" s="136"/>
    </row>
    <row r="12203" spans="1:2" x14ac:dyDescent="0.25">
      <c r="A12203" s="118"/>
      <c r="B12203" s="136"/>
    </row>
    <row r="12204" spans="1:2" x14ac:dyDescent="0.25">
      <c r="A12204" s="118"/>
      <c r="B12204" s="136"/>
    </row>
    <row r="12205" spans="1:2" x14ac:dyDescent="0.25">
      <c r="A12205" s="118"/>
      <c r="B12205" s="136"/>
    </row>
    <row r="12206" spans="1:2" x14ac:dyDescent="0.25">
      <c r="A12206" s="118"/>
      <c r="B12206" s="136"/>
    </row>
    <row r="12207" spans="1:2" x14ac:dyDescent="0.25">
      <c r="A12207" s="118"/>
      <c r="B12207" s="136"/>
    </row>
    <row r="12208" spans="1:2" x14ac:dyDescent="0.25">
      <c r="A12208" s="118"/>
      <c r="B12208" s="136"/>
    </row>
    <row r="12209" spans="1:2" x14ac:dyDescent="0.25">
      <c r="A12209" s="118"/>
      <c r="B12209" s="136"/>
    </row>
    <row r="12210" spans="1:2" x14ac:dyDescent="0.25">
      <c r="A12210" s="118"/>
      <c r="B12210" s="136"/>
    </row>
    <row r="12211" spans="1:2" x14ac:dyDescent="0.25">
      <c r="A12211" s="118"/>
      <c r="B12211" s="136"/>
    </row>
    <row r="12212" spans="1:2" x14ac:dyDescent="0.25">
      <c r="A12212" s="118"/>
      <c r="B12212" s="136"/>
    </row>
    <row r="12213" spans="1:2" x14ac:dyDescent="0.25">
      <c r="A12213" s="118"/>
      <c r="B12213" s="136"/>
    </row>
    <row r="12214" spans="1:2" x14ac:dyDescent="0.25">
      <c r="A12214" s="118"/>
      <c r="B12214" s="136"/>
    </row>
    <row r="12215" spans="1:2" x14ac:dyDescent="0.25">
      <c r="A12215" s="118"/>
      <c r="B12215" s="136"/>
    </row>
    <row r="12216" spans="1:2" x14ac:dyDescent="0.25">
      <c r="A12216" s="118"/>
      <c r="B12216" s="136"/>
    </row>
    <row r="12217" spans="1:2" x14ac:dyDescent="0.25">
      <c r="A12217" s="118"/>
      <c r="B12217" s="136"/>
    </row>
    <row r="12218" spans="1:2" x14ac:dyDescent="0.25">
      <c r="A12218" s="118"/>
      <c r="B12218" s="136"/>
    </row>
    <row r="12219" spans="1:2" x14ac:dyDescent="0.25">
      <c r="A12219" s="118"/>
      <c r="B12219" s="136"/>
    </row>
    <row r="12220" spans="1:2" x14ac:dyDescent="0.25">
      <c r="A12220" s="118"/>
      <c r="B12220" s="136"/>
    </row>
    <row r="12221" spans="1:2" x14ac:dyDescent="0.25">
      <c r="A12221" s="118"/>
      <c r="B12221" s="136"/>
    </row>
    <row r="12222" spans="1:2" x14ac:dyDescent="0.25">
      <c r="A12222" s="118"/>
      <c r="B12222" s="136"/>
    </row>
    <row r="12223" spans="1:2" x14ac:dyDescent="0.25">
      <c r="A12223" s="118"/>
      <c r="B12223" s="136"/>
    </row>
    <row r="12224" spans="1:2" x14ac:dyDescent="0.25">
      <c r="A12224" s="118"/>
      <c r="B12224" s="136"/>
    </row>
    <row r="12225" spans="1:2" x14ac:dyDescent="0.25">
      <c r="A12225" s="118"/>
      <c r="B12225" s="136"/>
    </row>
    <row r="12226" spans="1:2" x14ac:dyDescent="0.25">
      <c r="A12226" s="118"/>
      <c r="B12226" s="136"/>
    </row>
    <row r="12227" spans="1:2" x14ac:dyDescent="0.25">
      <c r="A12227" s="118"/>
      <c r="B12227" s="136"/>
    </row>
    <row r="12228" spans="1:2" x14ac:dyDescent="0.25">
      <c r="A12228" s="118"/>
      <c r="B12228" s="136"/>
    </row>
    <row r="12229" spans="1:2" x14ac:dyDescent="0.25">
      <c r="A12229" s="118"/>
      <c r="B12229" s="136"/>
    </row>
    <row r="12230" spans="1:2" x14ac:dyDescent="0.25">
      <c r="A12230" s="118"/>
      <c r="B12230" s="136"/>
    </row>
    <row r="12231" spans="1:2" x14ac:dyDescent="0.25">
      <c r="A12231" s="118"/>
      <c r="B12231" s="136"/>
    </row>
    <row r="12232" spans="1:2" x14ac:dyDescent="0.25">
      <c r="A12232" s="118"/>
      <c r="B12232" s="136"/>
    </row>
    <row r="12233" spans="1:2" x14ac:dyDescent="0.25">
      <c r="A12233" s="118"/>
      <c r="B12233" s="136"/>
    </row>
    <row r="12234" spans="1:2" x14ac:dyDescent="0.25">
      <c r="A12234" s="118"/>
      <c r="B12234" s="136"/>
    </row>
    <row r="12235" spans="1:2" x14ac:dyDescent="0.25">
      <c r="A12235" s="118"/>
      <c r="B12235" s="136"/>
    </row>
    <row r="12236" spans="1:2" x14ac:dyDescent="0.25">
      <c r="A12236" s="118"/>
      <c r="B12236" s="136"/>
    </row>
    <row r="12237" spans="1:2" x14ac:dyDescent="0.25">
      <c r="A12237" s="118"/>
      <c r="B12237" s="136"/>
    </row>
    <row r="12238" spans="1:2" x14ac:dyDescent="0.25">
      <c r="A12238" s="118"/>
      <c r="B12238" s="136"/>
    </row>
    <row r="12239" spans="1:2" x14ac:dyDescent="0.25">
      <c r="A12239" s="118"/>
      <c r="B12239" s="136"/>
    </row>
    <row r="12240" spans="1:2" x14ac:dyDescent="0.25">
      <c r="A12240" s="118"/>
      <c r="B12240" s="136"/>
    </row>
    <row r="12241" spans="1:2" x14ac:dyDescent="0.25">
      <c r="A12241" s="118"/>
      <c r="B12241" s="136"/>
    </row>
    <row r="12242" spans="1:2" x14ac:dyDescent="0.25">
      <c r="A12242" s="118"/>
      <c r="B12242" s="136"/>
    </row>
    <row r="12243" spans="1:2" x14ac:dyDescent="0.25">
      <c r="A12243" s="118"/>
      <c r="B12243" s="136"/>
    </row>
    <row r="12244" spans="1:2" x14ac:dyDescent="0.25">
      <c r="A12244" s="118"/>
      <c r="B12244" s="136"/>
    </row>
    <row r="12245" spans="1:2" x14ac:dyDescent="0.25">
      <c r="A12245" s="118"/>
      <c r="B12245" s="136"/>
    </row>
    <row r="12246" spans="1:2" x14ac:dyDescent="0.25">
      <c r="A12246" s="118"/>
      <c r="B12246" s="136"/>
    </row>
    <row r="12247" spans="1:2" x14ac:dyDescent="0.25">
      <c r="A12247" s="118"/>
      <c r="B12247" s="136"/>
    </row>
    <row r="12248" spans="1:2" x14ac:dyDescent="0.25">
      <c r="A12248" s="118"/>
      <c r="B12248" s="136"/>
    </row>
    <row r="12249" spans="1:2" x14ac:dyDescent="0.25">
      <c r="A12249" s="118"/>
      <c r="B12249" s="136"/>
    </row>
    <row r="12250" spans="1:2" x14ac:dyDescent="0.25">
      <c r="A12250" s="118"/>
      <c r="B12250" s="136"/>
    </row>
    <row r="12251" spans="1:2" x14ac:dyDescent="0.25">
      <c r="A12251" s="118"/>
      <c r="B12251" s="136"/>
    </row>
    <row r="12252" spans="1:2" x14ac:dyDescent="0.25">
      <c r="A12252" s="118"/>
      <c r="B12252" s="136"/>
    </row>
    <row r="12253" spans="1:2" x14ac:dyDescent="0.25">
      <c r="A12253" s="118"/>
      <c r="B12253" s="136"/>
    </row>
    <row r="12254" spans="1:2" x14ac:dyDescent="0.25">
      <c r="A12254" s="118"/>
      <c r="B12254" s="136"/>
    </row>
    <row r="12255" spans="1:2" x14ac:dyDescent="0.25">
      <c r="A12255" s="118"/>
      <c r="B12255" s="136"/>
    </row>
    <row r="12256" spans="1:2" x14ac:dyDescent="0.25">
      <c r="A12256" s="118"/>
      <c r="B12256" s="136"/>
    </row>
    <row r="12257" spans="1:2" x14ac:dyDescent="0.25">
      <c r="A12257" s="118"/>
      <c r="B12257" s="136"/>
    </row>
    <row r="12258" spans="1:2" x14ac:dyDescent="0.25">
      <c r="A12258" s="118"/>
      <c r="B12258" s="136"/>
    </row>
    <row r="12259" spans="1:2" x14ac:dyDescent="0.25">
      <c r="A12259" s="118"/>
      <c r="B12259" s="136"/>
    </row>
    <row r="12260" spans="1:2" x14ac:dyDescent="0.25">
      <c r="A12260" s="118"/>
      <c r="B12260" s="136"/>
    </row>
    <row r="12261" spans="1:2" x14ac:dyDescent="0.25">
      <c r="A12261" s="118"/>
      <c r="B12261" s="136"/>
    </row>
    <row r="12262" spans="1:2" x14ac:dyDescent="0.25">
      <c r="A12262" s="118"/>
      <c r="B12262" s="136"/>
    </row>
    <row r="12263" spans="1:2" x14ac:dyDescent="0.25">
      <c r="A12263" s="118"/>
      <c r="B12263" s="136"/>
    </row>
    <row r="12264" spans="1:2" x14ac:dyDescent="0.25">
      <c r="A12264" s="118"/>
      <c r="B12264" s="136"/>
    </row>
    <row r="12265" spans="1:2" x14ac:dyDescent="0.25">
      <c r="A12265" s="118"/>
      <c r="B12265" s="136"/>
    </row>
    <row r="12266" spans="1:2" x14ac:dyDescent="0.25">
      <c r="A12266" s="118"/>
      <c r="B12266" s="136"/>
    </row>
    <row r="12267" spans="1:2" x14ac:dyDescent="0.25">
      <c r="A12267" s="118"/>
      <c r="B12267" s="136"/>
    </row>
    <row r="12268" spans="1:2" x14ac:dyDescent="0.25">
      <c r="A12268" s="118"/>
      <c r="B12268" s="136"/>
    </row>
    <row r="12269" spans="1:2" x14ac:dyDescent="0.25">
      <c r="A12269" s="118"/>
      <c r="B12269" s="136"/>
    </row>
    <row r="12270" spans="1:2" x14ac:dyDescent="0.25">
      <c r="A12270" s="118"/>
      <c r="B12270" s="136"/>
    </row>
    <row r="12271" spans="1:2" x14ac:dyDescent="0.25">
      <c r="A12271" s="118"/>
      <c r="B12271" s="136"/>
    </row>
    <row r="12272" spans="1:2" x14ac:dyDescent="0.25">
      <c r="A12272" s="118"/>
      <c r="B12272" s="136"/>
    </row>
    <row r="12273" spans="1:2" x14ac:dyDescent="0.25">
      <c r="A12273" s="118"/>
      <c r="B12273" s="136"/>
    </row>
    <row r="12274" spans="1:2" x14ac:dyDescent="0.25">
      <c r="A12274" s="118"/>
      <c r="B12274" s="136"/>
    </row>
    <row r="12275" spans="1:2" x14ac:dyDescent="0.25">
      <c r="A12275" s="118"/>
      <c r="B12275" s="136"/>
    </row>
    <row r="12276" spans="1:2" x14ac:dyDescent="0.25">
      <c r="A12276" s="118"/>
      <c r="B12276" s="136"/>
    </row>
    <row r="12277" spans="1:2" x14ac:dyDescent="0.25">
      <c r="A12277" s="118"/>
      <c r="B12277" s="136"/>
    </row>
    <row r="12278" spans="1:2" x14ac:dyDescent="0.25">
      <c r="A12278" s="118"/>
      <c r="B12278" s="136"/>
    </row>
    <row r="12279" spans="1:2" x14ac:dyDescent="0.25">
      <c r="A12279" s="118"/>
      <c r="B12279" s="136"/>
    </row>
    <row r="12280" spans="1:2" x14ac:dyDescent="0.25">
      <c r="A12280" s="118"/>
      <c r="B12280" s="136"/>
    </row>
    <row r="12281" spans="1:2" x14ac:dyDescent="0.25">
      <c r="A12281" s="118"/>
      <c r="B12281" s="136"/>
    </row>
    <row r="12282" spans="1:2" x14ac:dyDescent="0.25">
      <c r="A12282" s="118"/>
      <c r="B12282" s="136"/>
    </row>
    <row r="12283" spans="1:2" x14ac:dyDescent="0.25">
      <c r="A12283" s="118"/>
      <c r="B12283" s="136"/>
    </row>
    <row r="12284" spans="1:2" x14ac:dyDescent="0.25">
      <c r="A12284" s="118"/>
      <c r="B12284" s="136"/>
    </row>
    <row r="12285" spans="1:2" x14ac:dyDescent="0.25">
      <c r="A12285" s="118"/>
      <c r="B12285" s="136"/>
    </row>
    <row r="12286" spans="1:2" x14ac:dyDescent="0.25">
      <c r="A12286" s="118"/>
      <c r="B12286" s="136"/>
    </row>
    <row r="12287" spans="1:2" x14ac:dyDescent="0.25">
      <c r="A12287" s="118"/>
      <c r="B12287" s="136"/>
    </row>
    <row r="12288" spans="1:2" x14ac:dyDescent="0.25">
      <c r="A12288" s="118"/>
      <c r="B12288" s="136"/>
    </row>
    <row r="12289" spans="1:2" x14ac:dyDescent="0.25">
      <c r="A12289" s="118"/>
      <c r="B12289" s="136"/>
    </row>
    <row r="12290" spans="1:2" x14ac:dyDescent="0.25">
      <c r="A12290" s="118"/>
      <c r="B12290" s="136"/>
    </row>
    <row r="12291" spans="1:2" x14ac:dyDescent="0.25">
      <c r="A12291" s="118"/>
      <c r="B12291" s="136"/>
    </row>
    <row r="12292" spans="1:2" x14ac:dyDescent="0.25">
      <c r="A12292" s="118"/>
      <c r="B12292" s="136"/>
    </row>
    <row r="12293" spans="1:2" x14ac:dyDescent="0.25">
      <c r="A12293" s="118"/>
      <c r="B12293" s="136"/>
    </row>
    <row r="12294" spans="1:2" x14ac:dyDescent="0.25">
      <c r="A12294" s="118"/>
      <c r="B12294" s="136"/>
    </row>
    <row r="12295" spans="1:2" x14ac:dyDescent="0.25">
      <c r="A12295" s="118"/>
      <c r="B12295" s="136"/>
    </row>
    <row r="12296" spans="1:2" x14ac:dyDescent="0.25">
      <c r="A12296" s="118"/>
      <c r="B12296" s="136"/>
    </row>
    <row r="12297" spans="1:2" x14ac:dyDescent="0.25">
      <c r="A12297" s="118"/>
      <c r="B12297" s="136"/>
    </row>
    <row r="12298" spans="1:2" x14ac:dyDescent="0.25">
      <c r="A12298" s="118"/>
      <c r="B12298" s="136"/>
    </row>
    <row r="12299" spans="1:2" x14ac:dyDescent="0.25">
      <c r="A12299" s="118"/>
      <c r="B12299" s="136"/>
    </row>
    <row r="12300" spans="1:2" x14ac:dyDescent="0.25">
      <c r="A12300" s="118"/>
      <c r="B12300" s="136"/>
    </row>
    <row r="12301" spans="1:2" x14ac:dyDescent="0.25">
      <c r="A12301" s="118"/>
      <c r="B12301" s="136"/>
    </row>
    <row r="12302" spans="1:2" x14ac:dyDescent="0.25">
      <c r="A12302" s="118"/>
      <c r="B12302" s="136"/>
    </row>
    <row r="12303" spans="1:2" x14ac:dyDescent="0.25">
      <c r="A12303" s="118"/>
      <c r="B12303" s="136"/>
    </row>
    <row r="12304" spans="1:2" x14ac:dyDescent="0.25">
      <c r="A12304" s="118"/>
      <c r="B12304" s="136"/>
    </row>
    <row r="12305" spans="1:2" x14ac:dyDescent="0.25">
      <c r="A12305" s="118"/>
      <c r="B12305" s="136"/>
    </row>
    <row r="12306" spans="1:2" x14ac:dyDescent="0.25">
      <c r="A12306" s="118"/>
      <c r="B12306" s="136"/>
    </row>
    <row r="12307" spans="1:2" x14ac:dyDescent="0.25">
      <c r="A12307" s="118"/>
      <c r="B12307" s="136"/>
    </row>
    <row r="12308" spans="1:2" x14ac:dyDescent="0.25">
      <c r="A12308" s="118"/>
      <c r="B12308" s="136"/>
    </row>
    <row r="12309" spans="1:2" x14ac:dyDescent="0.25">
      <c r="A12309" s="118"/>
      <c r="B12309" s="136"/>
    </row>
    <row r="12310" spans="1:2" x14ac:dyDescent="0.25">
      <c r="A12310" s="118"/>
      <c r="B12310" s="136"/>
    </row>
    <row r="12311" spans="1:2" x14ac:dyDescent="0.25">
      <c r="A12311" s="118"/>
      <c r="B12311" s="136"/>
    </row>
    <row r="12312" spans="1:2" x14ac:dyDescent="0.25">
      <c r="A12312" s="118"/>
      <c r="B12312" s="136"/>
    </row>
    <row r="12313" spans="1:2" x14ac:dyDescent="0.25">
      <c r="A12313" s="118"/>
      <c r="B12313" s="136"/>
    </row>
    <row r="12314" spans="1:2" x14ac:dyDescent="0.25">
      <c r="A12314" s="118"/>
      <c r="B12314" s="136"/>
    </row>
    <row r="12315" spans="1:2" x14ac:dyDescent="0.25">
      <c r="A12315" s="118"/>
      <c r="B12315" s="136"/>
    </row>
    <row r="12316" spans="1:2" x14ac:dyDescent="0.25">
      <c r="A12316" s="118"/>
      <c r="B12316" s="136"/>
    </row>
    <row r="12317" spans="1:2" x14ac:dyDescent="0.25">
      <c r="A12317" s="118"/>
      <c r="B12317" s="136"/>
    </row>
    <row r="12318" spans="1:2" x14ac:dyDescent="0.25">
      <c r="A12318" s="118"/>
      <c r="B12318" s="136"/>
    </row>
    <row r="12319" spans="1:2" x14ac:dyDescent="0.25">
      <c r="A12319" s="118"/>
      <c r="B12319" s="136"/>
    </row>
    <row r="12320" spans="1:2" x14ac:dyDescent="0.25">
      <c r="A12320" s="118"/>
      <c r="B12320" s="136"/>
    </row>
    <row r="12321" spans="1:2" x14ac:dyDescent="0.25">
      <c r="A12321" s="118"/>
      <c r="B12321" s="136"/>
    </row>
    <row r="12322" spans="1:2" x14ac:dyDescent="0.25">
      <c r="A12322" s="118"/>
      <c r="B12322" s="136"/>
    </row>
    <row r="12323" spans="1:2" x14ac:dyDescent="0.25">
      <c r="A12323" s="118"/>
      <c r="B12323" s="136"/>
    </row>
    <row r="12324" spans="1:2" x14ac:dyDescent="0.25">
      <c r="A12324" s="118"/>
      <c r="B12324" s="136"/>
    </row>
    <row r="12325" spans="1:2" x14ac:dyDescent="0.25">
      <c r="A12325" s="118"/>
      <c r="B12325" s="136"/>
    </row>
    <row r="12326" spans="1:2" x14ac:dyDescent="0.25">
      <c r="A12326" s="118"/>
      <c r="B12326" s="136"/>
    </row>
    <row r="12327" spans="1:2" x14ac:dyDescent="0.25">
      <c r="A12327" s="118"/>
      <c r="B12327" s="136"/>
    </row>
    <row r="12328" spans="1:2" x14ac:dyDescent="0.25">
      <c r="A12328" s="118"/>
      <c r="B12328" s="136"/>
    </row>
    <row r="12329" spans="1:2" x14ac:dyDescent="0.25">
      <c r="A12329" s="118"/>
      <c r="B12329" s="136"/>
    </row>
    <row r="12330" spans="1:2" x14ac:dyDescent="0.25">
      <c r="A12330" s="118"/>
      <c r="B12330" s="136"/>
    </row>
    <row r="12331" spans="1:2" x14ac:dyDescent="0.25">
      <c r="A12331" s="118"/>
      <c r="B12331" s="136"/>
    </row>
    <row r="12332" spans="1:2" x14ac:dyDescent="0.25">
      <c r="A12332" s="118"/>
      <c r="B12332" s="136"/>
    </row>
    <row r="12333" spans="1:2" x14ac:dyDescent="0.25">
      <c r="A12333" s="118"/>
      <c r="B12333" s="136"/>
    </row>
    <row r="12334" spans="1:2" x14ac:dyDescent="0.25">
      <c r="A12334" s="118"/>
      <c r="B12334" s="136"/>
    </row>
    <row r="12335" spans="1:2" x14ac:dyDescent="0.25">
      <c r="A12335" s="118"/>
      <c r="B12335" s="136"/>
    </row>
    <row r="12336" spans="1:2" x14ac:dyDescent="0.25">
      <c r="A12336" s="118"/>
      <c r="B12336" s="136"/>
    </row>
    <row r="12337" spans="1:2" x14ac:dyDescent="0.25">
      <c r="A12337" s="118"/>
      <c r="B12337" s="136"/>
    </row>
    <row r="12338" spans="1:2" x14ac:dyDescent="0.25">
      <c r="A12338" s="118"/>
      <c r="B12338" s="136"/>
    </row>
    <row r="12339" spans="1:2" x14ac:dyDescent="0.25">
      <c r="A12339" s="118"/>
      <c r="B12339" s="136"/>
    </row>
    <row r="12340" spans="1:2" x14ac:dyDescent="0.25">
      <c r="A12340" s="118"/>
      <c r="B12340" s="136"/>
    </row>
    <row r="12341" spans="1:2" x14ac:dyDescent="0.25">
      <c r="A12341" s="118"/>
      <c r="B12341" s="136"/>
    </row>
    <row r="12342" spans="1:2" x14ac:dyDescent="0.25">
      <c r="A12342" s="118"/>
      <c r="B12342" s="136"/>
    </row>
    <row r="12343" spans="1:2" x14ac:dyDescent="0.25">
      <c r="A12343" s="118"/>
      <c r="B12343" s="136"/>
    </row>
    <row r="12344" spans="1:2" x14ac:dyDescent="0.25">
      <c r="A12344" s="118"/>
      <c r="B12344" s="136"/>
    </row>
    <row r="12345" spans="1:2" x14ac:dyDescent="0.25">
      <c r="A12345" s="118"/>
      <c r="B12345" s="136"/>
    </row>
    <row r="12346" spans="1:2" x14ac:dyDescent="0.25">
      <c r="A12346" s="118"/>
      <c r="B12346" s="136"/>
    </row>
    <row r="12347" spans="1:2" x14ac:dyDescent="0.25">
      <c r="A12347" s="118"/>
      <c r="B12347" s="136"/>
    </row>
    <row r="12348" spans="1:2" x14ac:dyDescent="0.25">
      <c r="A12348" s="118"/>
      <c r="B12348" s="136"/>
    </row>
    <row r="12349" spans="1:2" x14ac:dyDescent="0.25">
      <c r="A12349" s="118"/>
      <c r="B12349" s="136"/>
    </row>
    <row r="12350" spans="1:2" x14ac:dyDescent="0.25">
      <c r="A12350" s="118"/>
      <c r="B12350" s="136"/>
    </row>
    <row r="12351" spans="1:2" x14ac:dyDescent="0.25">
      <c r="A12351" s="118"/>
      <c r="B12351" s="136"/>
    </row>
    <row r="12352" spans="1:2" x14ac:dyDescent="0.25">
      <c r="A12352" s="118"/>
      <c r="B12352" s="136"/>
    </row>
    <row r="12353" spans="1:2" x14ac:dyDescent="0.25">
      <c r="A12353" s="118"/>
      <c r="B12353" s="136"/>
    </row>
    <row r="12354" spans="1:2" x14ac:dyDescent="0.25">
      <c r="A12354" s="118"/>
      <c r="B12354" s="136"/>
    </row>
    <row r="12355" spans="1:2" x14ac:dyDescent="0.25">
      <c r="A12355" s="118"/>
      <c r="B12355" s="136"/>
    </row>
    <row r="12356" spans="1:2" x14ac:dyDescent="0.25">
      <c r="A12356" s="118"/>
      <c r="B12356" s="136"/>
    </row>
    <row r="12357" spans="1:2" x14ac:dyDescent="0.25">
      <c r="A12357" s="118"/>
      <c r="B12357" s="136"/>
    </row>
    <row r="12358" spans="1:2" x14ac:dyDescent="0.25">
      <c r="A12358" s="118"/>
      <c r="B12358" s="136"/>
    </row>
    <row r="12359" spans="1:2" x14ac:dyDescent="0.25">
      <c r="A12359" s="118"/>
      <c r="B12359" s="136"/>
    </row>
    <row r="12360" spans="1:2" x14ac:dyDescent="0.25">
      <c r="A12360" s="118"/>
      <c r="B12360" s="136"/>
    </row>
    <row r="12361" spans="1:2" x14ac:dyDescent="0.25">
      <c r="A12361" s="118"/>
      <c r="B12361" s="136"/>
    </row>
    <row r="12362" spans="1:2" x14ac:dyDescent="0.25">
      <c r="A12362" s="118"/>
      <c r="B12362" s="136"/>
    </row>
    <row r="12363" spans="1:2" x14ac:dyDescent="0.25">
      <c r="A12363" s="118"/>
      <c r="B12363" s="136"/>
    </row>
    <row r="12364" spans="1:2" x14ac:dyDescent="0.25">
      <c r="A12364" s="118"/>
      <c r="B12364" s="136"/>
    </row>
    <row r="12365" spans="1:2" x14ac:dyDescent="0.25">
      <c r="A12365" s="118"/>
      <c r="B12365" s="136"/>
    </row>
    <row r="12366" spans="1:2" x14ac:dyDescent="0.25">
      <c r="A12366" s="118"/>
      <c r="B12366" s="136"/>
    </row>
    <row r="12367" spans="1:2" x14ac:dyDescent="0.25">
      <c r="A12367" s="118"/>
      <c r="B12367" s="136"/>
    </row>
    <row r="12368" spans="1:2" x14ac:dyDescent="0.25">
      <c r="A12368" s="118"/>
      <c r="B12368" s="136"/>
    </row>
    <row r="12369" spans="1:2" x14ac:dyDescent="0.25">
      <c r="A12369" s="118"/>
      <c r="B12369" s="136"/>
    </row>
    <row r="12370" spans="1:2" x14ac:dyDescent="0.25">
      <c r="A12370" s="118"/>
      <c r="B12370" s="136"/>
    </row>
    <row r="12371" spans="1:2" x14ac:dyDescent="0.25">
      <c r="A12371" s="118"/>
      <c r="B12371" s="136"/>
    </row>
    <row r="12372" spans="1:2" x14ac:dyDescent="0.25">
      <c r="A12372" s="118"/>
      <c r="B12372" s="136"/>
    </row>
    <row r="12373" spans="1:2" x14ac:dyDescent="0.25">
      <c r="A12373" s="118"/>
      <c r="B12373" s="136"/>
    </row>
    <row r="12374" spans="1:2" x14ac:dyDescent="0.25">
      <c r="A12374" s="118"/>
      <c r="B12374" s="136"/>
    </row>
    <row r="12375" spans="1:2" x14ac:dyDescent="0.25">
      <c r="A12375" s="118"/>
      <c r="B12375" s="136"/>
    </row>
    <row r="12376" spans="1:2" x14ac:dyDescent="0.25">
      <c r="A12376" s="118"/>
      <c r="B12376" s="136"/>
    </row>
    <row r="12377" spans="1:2" x14ac:dyDescent="0.25">
      <c r="A12377" s="118"/>
      <c r="B12377" s="136"/>
    </row>
    <row r="12378" spans="1:2" x14ac:dyDescent="0.25">
      <c r="A12378" s="118"/>
      <c r="B12378" s="136"/>
    </row>
    <row r="12379" spans="1:2" x14ac:dyDescent="0.25">
      <c r="A12379" s="118"/>
      <c r="B12379" s="136"/>
    </row>
    <row r="12380" spans="1:2" x14ac:dyDescent="0.25">
      <c r="A12380" s="118"/>
      <c r="B12380" s="136"/>
    </row>
    <row r="12381" spans="1:2" x14ac:dyDescent="0.25">
      <c r="A12381" s="118"/>
      <c r="B12381" s="136"/>
    </row>
    <row r="12382" spans="1:2" x14ac:dyDescent="0.25">
      <c r="A12382" s="118"/>
      <c r="B12382" s="136"/>
    </row>
    <row r="12383" spans="1:2" x14ac:dyDescent="0.25">
      <c r="A12383" s="118"/>
      <c r="B12383" s="136"/>
    </row>
    <row r="12384" spans="1:2" x14ac:dyDescent="0.25">
      <c r="A12384" s="118"/>
      <c r="B12384" s="136"/>
    </row>
    <row r="12385" spans="1:2" x14ac:dyDescent="0.25">
      <c r="A12385" s="118"/>
      <c r="B12385" s="136"/>
    </row>
    <row r="12386" spans="1:2" x14ac:dyDescent="0.25">
      <c r="A12386" s="118"/>
      <c r="B12386" s="136"/>
    </row>
    <row r="12387" spans="1:2" x14ac:dyDescent="0.25">
      <c r="A12387" s="118"/>
      <c r="B12387" s="136"/>
    </row>
    <row r="12388" spans="1:2" x14ac:dyDescent="0.25">
      <c r="A12388" s="118"/>
      <c r="B12388" s="136"/>
    </row>
    <row r="12389" spans="1:2" x14ac:dyDescent="0.25">
      <c r="A12389" s="118"/>
      <c r="B12389" s="136"/>
    </row>
    <row r="12390" spans="1:2" x14ac:dyDescent="0.25">
      <c r="A12390" s="118"/>
      <c r="B12390" s="136"/>
    </row>
    <row r="12391" spans="1:2" x14ac:dyDescent="0.25">
      <c r="A12391" s="118"/>
      <c r="B12391" s="136"/>
    </row>
    <row r="12392" spans="1:2" x14ac:dyDescent="0.25">
      <c r="A12392" s="118"/>
      <c r="B12392" s="136"/>
    </row>
    <row r="12393" spans="1:2" x14ac:dyDescent="0.25">
      <c r="A12393" s="118"/>
      <c r="B12393" s="136"/>
    </row>
    <row r="12394" spans="1:2" x14ac:dyDescent="0.25">
      <c r="A12394" s="118"/>
      <c r="B12394" s="136"/>
    </row>
    <row r="12395" spans="1:2" x14ac:dyDescent="0.25">
      <c r="A12395" s="118"/>
      <c r="B12395" s="136"/>
    </row>
    <row r="12396" spans="1:2" x14ac:dyDescent="0.25">
      <c r="A12396" s="118"/>
      <c r="B12396" s="136"/>
    </row>
    <row r="12397" spans="1:2" x14ac:dyDescent="0.25">
      <c r="A12397" s="118"/>
      <c r="B12397" s="136"/>
    </row>
    <row r="12398" spans="1:2" x14ac:dyDescent="0.25">
      <c r="A12398" s="118"/>
      <c r="B12398" s="136"/>
    </row>
    <row r="12399" spans="1:2" x14ac:dyDescent="0.25">
      <c r="A12399" s="118"/>
      <c r="B12399" s="136"/>
    </row>
    <row r="12400" spans="1:2" x14ac:dyDescent="0.25">
      <c r="A12400" s="118"/>
      <c r="B12400" s="136"/>
    </row>
    <row r="12401" spans="1:2" x14ac:dyDescent="0.25">
      <c r="A12401" s="118"/>
      <c r="B12401" s="136"/>
    </row>
    <row r="12402" spans="1:2" x14ac:dyDescent="0.25">
      <c r="A12402" s="118"/>
      <c r="B12402" s="136"/>
    </row>
    <row r="12403" spans="1:2" x14ac:dyDescent="0.25">
      <c r="A12403" s="118"/>
      <c r="B12403" s="136"/>
    </row>
    <row r="12404" spans="1:2" x14ac:dyDescent="0.25">
      <c r="A12404" s="118"/>
      <c r="B12404" s="136"/>
    </row>
    <row r="12405" spans="1:2" x14ac:dyDescent="0.25">
      <c r="A12405" s="118"/>
      <c r="B12405" s="136"/>
    </row>
    <row r="12406" spans="1:2" x14ac:dyDescent="0.25">
      <c r="A12406" s="118"/>
      <c r="B12406" s="136"/>
    </row>
    <row r="12407" spans="1:2" x14ac:dyDescent="0.25">
      <c r="A12407" s="118"/>
      <c r="B12407" s="136"/>
    </row>
    <row r="12408" spans="1:2" x14ac:dyDescent="0.25">
      <c r="A12408" s="118"/>
      <c r="B12408" s="136"/>
    </row>
    <row r="12409" spans="1:2" x14ac:dyDescent="0.25">
      <c r="A12409" s="118"/>
      <c r="B12409" s="136"/>
    </row>
    <row r="12410" spans="1:2" x14ac:dyDescent="0.25">
      <c r="A12410" s="118"/>
      <c r="B12410" s="136"/>
    </row>
    <row r="12411" spans="1:2" x14ac:dyDescent="0.25">
      <c r="A12411" s="118"/>
      <c r="B12411" s="136"/>
    </row>
    <row r="12412" spans="1:2" x14ac:dyDescent="0.25">
      <c r="A12412" s="118"/>
      <c r="B12412" s="136"/>
    </row>
    <row r="12413" spans="1:2" x14ac:dyDescent="0.25">
      <c r="A12413" s="118"/>
      <c r="B12413" s="136"/>
    </row>
    <row r="12414" spans="1:2" x14ac:dyDescent="0.25">
      <c r="A12414" s="118"/>
      <c r="B12414" s="136"/>
    </row>
    <row r="12415" spans="1:2" x14ac:dyDescent="0.25">
      <c r="A12415" s="118"/>
      <c r="B12415" s="136"/>
    </row>
    <row r="12416" spans="1:2" x14ac:dyDescent="0.25">
      <c r="A12416" s="118"/>
      <c r="B12416" s="136"/>
    </row>
    <row r="12417" spans="1:2" x14ac:dyDescent="0.25">
      <c r="A12417" s="118"/>
      <c r="B12417" s="136"/>
    </row>
    <row r="12418" spans="1:2" x14ac:dyDescent="0.25">
      <c r="A12418" s="118"/>
      <c r="B12418" s="136"/>
    </row>
    <row r="12419" spans="1:2" x14ac:dyDescent="0.25">
      <c r="A12419" s="118"/>
      <c r="B12419" s="136"/>
    </row>
    <row r="12420" spans="1:2" x14ac:dyDescent="0.25">
      <c r="A12420" s="118"/>
      <c r="B12420" s="136"/>
    </row>
    <row r="12421" spans="1:2" x14ac:dyDescent="0.25">
      <c r="A12421" s="118"/>
      <c r="B12421" s="136"/>
    </row>
    <row r="12422" spans="1:2" x14ac:dyDescent="0.25">
      <c r="A12422" s="118"/>
      <c r="B12422" s="136"/>
    </row>
    <row r="12423" spans="1:2" x14ac:dyDescent="0.25">
      <c r="A12423" s="118"/>
      <c r="B12423" s="136"/>
    </row>
    <row r="12424" spans="1:2" x14ac:dyDescent="0.25">
      <c r="A12424" s="118"/>
      <c r="B12424" s="136"/>
    </row>
    <row r="12425" spans="1:2" x14ac:dyDescent="0.25">
      <c r="A12425" s="118"/>
      <c r="B12425" s="136"/>
    </row>
    <row r="12426" spans="1:2" x14ac:dyDescent="0.25">
      <c r="A12426" s="118"/>
      <c r="B12426" s="136"/>
    </row>
    <row r="12427" spans="1:2" x14ac:dyDescent="0.25">
      <c r="A12427" s="118"/>
      <c r="B12427" s="136"/>
    </row>
    <row r="12428" spans="1:2" x14ac:dyDescent="0.25">
      <c r="A12428" s="118"/>
      <c r="B12428" s="136"/>
    </row>
    <row r="12429" spans="1:2" x14ac:dyDescent="0.25">
      <c r="A12429" s="118"/>
      <c r="B12429" s="136"/>
    </row>
    <row r="12430" spans="1:2" x14ac:dyDescent="0.25">
      <c r="A12430" s="118"/>
      <c r="B12430" s="136"/>
    </row>
    <row r="12431" spans="1:2" x14ac:dyDescent="0.25">
      <c r="A12431" s="118"/>
      <c r="B12431" s="136"/>
    </row>
    <row r="12432" spans="1:2" x14ac:dyDescent="0.25">
      <c r="A12432" s="118"/>
      <c r="B12432" s="136"/>
    </row>
    <row r="12433" spans="1:2" x14ac:dyDescent="0.25">
      <c r="A12433" s="118"/>
      <c r="B12433" s="136"/>
    </row>
    <row r="12434" spans="1:2" x14ac:dyDescent="0.25">
      <c r="A12434" s="118"/>
      <c r="B12434" s="136"/>
    </row>
    <row r="12435" spans="1:2" x14ac:dyDescent="0.25">
      <c r="A12435" s="118"/>
      <c r="B12435" s="136"/>
    </row>
    <row r="12436" spans="1:2" x14ac:dyDescent="0.25">
      <c r="A12436" s="118"/>
      <c r="B12436" s="136"/>
    </row>
    <row r="12437" spans="1:2" x14ac:dyDescent="0.25">
      <c r="A12437" s="118"/>
      <c r="B12437" s="136"/>
    </row>
    <row r="12438" spans="1:2" x14ac:dyDescent="0.25">
      <c r="A12438" s="118"/>
      <c r="B12438" s="136"/>
    </row>
    <row r="12439" spans="1:2" x14ac:dyDescent="0.25">
      <c r="A12439" s="118"/>
      <c r="B12439" s="136"/>
    </row>
    <row r="12440" spans="1:2" x14ac:dyDescent="0.25">
      <c r="A12440" s="118"/>
      <c r="B12440" s="136"/>
    </row>
    <row r="12441" spans="1:2" x14ac:dyDescent="0.25">
      <c r="A12441" s="118"/>
      <c r="B12441" s="136"/>
    </row>
    <row r="12442" spans="1:2" x14ac:dyDescent="0.25">
      <c r="A12442" s="118"/>
      <c r="B12442" s="136"/>
    </row>
    <row r="12443" spans="1:2" x14ac:dyDescent="0.25">
      <c r="A12443" s="118"/>
      <c r="B12443" s="136"/>
    </row>
    <row r="12444" spans="1:2" x14ac:dyDescent="0.25">
      <c r="A12444" s="118"/>
      <c r="B12444" s="136"/>
    </row>
    <row r="12445" spans="1:2" x14ac:dyDescent="0.25">
      <c r="A12445" s="118"/>
      <c r="B12445" s="136"/>
    </row>
    <row r="12446" spans="1:2" x14ac:dyDescent="0.25">
      <c r="A12446" s="118"/>
      <c r="B12446" s="136"/>
    </row>
    <row r="12447" spans="1:2" x14ac:dyDescent="0.25">
      <c r="A12447" s="118"/>
      <c r="B12447" s="136"/>
    </row>
    <row r="12448" spans="1:2" x14ac:dyDescent="0.25">
      <c r="A12448" s="118"/>
      <c r="B12448" s="136"/>
    </row>
    <row r="12449" spans="1:2" x14ac:dyDescent="0.25">
      <c r="A12449" s="118"/>
      <c r="B12449" s="136"/>
    </row>
    <row r="12450" spans="1:2" x14ac:dyDescent="0.25">
      <c r="A12450" s="118"/>
      <c r="B12450" s="136"/>
    </row>
    <row r="12451" spans="1:2" x14ac:dyDescent="0.25">
      <c r="A12451" s="118"/>
      <c r="B12451" s="136"/>
    </row>
    <row r="12452" spans="1:2" x14ac:dyDescent="0.25">
      <c r="A12452" s="118"/>
      <c r="B12452" s="136"/>
    </row>
    <row r="12453" spans="1:2" x14ac:dyDescent="0.25">
      <c r="A12453" s="118"/>
      <c r="B12453" s="136"/>
    </row>
    <row r="12454" spans="1:2" x14ac:dyDescent="0.25">
      <c r="A12454" s="118"/>
      <c r="B12454" s="136"/>
    </row>
    <row r="12455" spans="1:2" x14ac:dyDescent="0.25">
      <c r="A12455" s="118"/>
      <c r="B12455" s="136"/>
    </row>
    <row r="12456" spans="1:2" x14ac:dyDescent="0.25">
      <c r="A12456" s="118"/>
      <c r="B12456" s="136"/>
    </row>
    <row r="12457" spans="1:2" x14ac:dyDescent="0.25">
      <c r="A12457" s="118"/>
      <c r="B12457" s="136"/>
    </row>
    <row r="12458" spans="1:2" x14ac:dyDescent="0.25">
      <c r="A12458" s="118"/>
      <c r="B12458" s="136"/>
    </row>
    <row r="12459" spans="1:2" x14ac:dyDescent="0.25">
      <c r="A12459" s="118"/>
      <c r="B12459" s="136"/>
    </row>
    <row r="12460" spans="1:2" x14ac:dyDescent="0.25">
      <c r="A12460" s="118"/>
      <c r="B12460" s="136"/>
    </row>
    <row r="12461" spans="1:2" x14ac:dyDescent="0.25">
      <c r="A12461" s="118"/>
      <c r="B12461" s="136"/>
    </row>
    <row r="12462" spans="1:2" x14ac:dyDescent="0.25">
      <c r="A12462" s="118"/>
      <c r="B12462" s="136"/>
    </row>
    <row r="12463" spans="1:2" x14ac:dyDescent="0.25">
      <c r="A12463" s="118"/>
      <c r="B12463" s="136"/>
    </row>
    <row r="12464" spans="1:2" x14ac:dyDescent="0.25">
      <c r="A12464" s="118"/>
      <c r="B12464" s="136"/>
    </row>
    <row r="12465" spans="1:2" x14ac:dyDescent="0.25">
      <c r="A12465" s="118"/>
      <c r="B12465" s="136"/>
    </row>
    <row r="12466" spans="1:2" x14ac:dyDescent="0.25">
      <c r="A12466" s="118"/>
      <c r="B12466" s="136"/>
    </row>
    <row r="12467" spans="1:2" x14ac:dyDescent="0.25">
      <c r="A12467" s="118"/>
      <c r="B12467" s="136"/>
    </row>
    <row r="12468" spans="1:2" x14ac:dyDescent="0.25">
      <c r="A12468" s="118"/>
      <c r="B12468" s="136"/>
    </row>
    <row r="12469" spans="1:2" x14ac:dyDescent="0.25">
      <c r="A12469" s="118"/>
      <c r="B12469" s="136"/>
    </row>
    <row r="12470" spans="1:2" x14ac:dyDescent="0.25">
      <c r="A12470" s="118"/>
      <c r="B12470" s="136"/>
    </row>
    <row r="12471" spans="1:2" x14ac:dyDescent="0.25">
      <c r="A12471" s="118"/>
      <c r="B12471" s="136"/>
    </row>
    <row r="12472" spans="1:2" x14ac:dyDescent="0.25">
      <c r="A12472" s="118"/>
      <c r="B12472" s="136"/>
    </row>
    <row r="12473" spans="1:2" x14ac:dyDescent="0.25">
      <c r="A12473" s="118"/>
      <c r="B12473" s="136"/>
    </row>
    <row r="12474" spans="1:2" x14ac:dyDescent="0.25">
      <c r="A12474" s="118"/>
      <c r="B12474" s="136"/>
    </row>
    <row r="12475" spans="1:2" x14ac:dyDescent="0.25">
      <c r="A12475" s="118"/>
      <c r="B12475" s="136"/>
    </row>
    <row r="12476" spans="1:2" x14ac:dyDescent="0.25">
      <c r="A12476" s="118"/>
      <c r="B12476" s="136"/>
    </row>
    <row r="12477" spans="1:2" x14ac:dyDescent="0.25">
      <c r="A12477" s="118"/>
      <c r="B12477" s="136"/>
    </row>
    <row r="12478" spans="1:2" x14ac:dyDescent="0.25">
      <c r="A12478" s="118"/>
      <c r="B12478" s="136"/>
    </row>
    <row r="12479" spans="1:2" x14ac:dyDescent="0.25">
      <c r="A12479" s="118"/>
      <c r="B12479" s="136"/>
    </row>
    <row r="12480" spans="1:2" x14ac:dyDescent="0.25">
      <c r="A12480" s="118"/>
      <c r="B12480" s="136"/>
    </row>
    <row r="12481" spans="1:2" x14ac:dyDescent="0.25">
      <c r="A12481" s="118"/>
      <c r="B12481" s="136"/>
    </row>
    <row r="12482" spans="1:2" x14ac:dyDescent="0.25">
      <c r="A12482" s="118"/>
      <c r="B12482" s="136"/>
    </row>
    <row r="12483" spans="1:2" x14ac:dyDescent="0.25">
      <c r="A12483" s="118"/>
      <c r="B12483" s="136"/>
    </row>
    <row r="12484" spans="1:2" x14ac:dyDescent="0.25">
      <c r="A12484" s="118"/>
      <c r="B12484" s="136"/>
    </row>
    <row r="12485" spans="1:2" x14ac:dyDescent="0.25">
      <c r="A12485" s="118"/>
      <c r="B12485" s="136"/>
    </row>
    <row r="12486" spans="1:2" x14ac:dyDescent="0.25">
      <c r="A12486" s="118"/>
      <c r="B12486" s="136"/>
    </row>
    <row r="12487" spans="1:2" x14ac:dyDescent="0.25">
      <c r="A12487" s="118"/>
      <c r="B12487" s="136"/>
    </row>
    <row r="12488" spans="1:2" x14ac:dyDescent="0.25">
      <c r="A12488" s="118"/>
      <c r="B12488" s="136"/>
    </row>
    <row r="12489" spans="1:2" x14ac:dyDescent="0.25">
      <c r="A12489" s="118"/>
      <c r="B12489" s="136"/>
    </row>
    <row r="12490" spans="1:2" x14ac:dyDescent="0.25">
      <c r="A12490" s="118"/>
      <c r="B12490" s="136"/>
    </row>
    <row r="12491" spans="1:2" x14ac:dyDescent="0.25">
      <c r="A12491" s="118"/>
      <c r="B12491" s="136"/>
    </row>
    <row r="12492" spans="1:2" x14ac:dyDescent="0.25">
      <c r="A12492" s="118"/>
      <c r="B12492" s="136"/>
    </row>
    <row r="12493" spans="1:2" x14ac:dyDescent="0.25">
      <c r="A12493" s="118"/>
      <c r="B12493" s="136"/>
    </row>
    <row r="12494" spans="1:2" x14ac:dyDescent="0.25">
      <c r="A12494" s="118"/>
      <c r="B12494" s="136"/>
    </row>
    <row r="12495" spans="1:2" x14ac:dyDescent="0.25">
      <c r="A12495" s="118"/>
      <c r="B12495" s="136"/>
    </row>
    <row r="12496" spans="1:2" x14ac:dyDescent="0.25">
      <c r="A12496" s="118"/>
      <c r="B12496" s="136"/>
    </row>
    <row r="12497" spans="1:2" x14ac:dyDescent="0.25">
      <c r="A12497" s="118"/>
      <c r="B12497" s="136"/>
    </row>
    <row r="12498" spans="1:2" x14ac:dyDescent="0.25">
      <c r="A12498" s="118"/>
      <c r="B12498" s="136"/>
    </row>
    <row r="12499" spans="1:2" x14ac:dyDescent="0.25">
      <c r="A12499" s="118"/>
      <c r="B12499" s="136"/>
    </row>
    <row r="12500" spans="1:2" x14ac:dyDescent="0.25">
      <c r="A12500" s="118"/>
      <c r="B12500" s="136"/>
    </row>
    <row r="12501" spans="1:2" x14ac:dyDescent="0.25">
      <c r="A12501" s="118"/>
      <c r="B12501" s="136"/>
    </row>
    <row r="12502" spans="1:2" x14ac:dyDescent="0.25">
      <c r="A12502" s="118"/>
      <c r="B12502" s="136"/>
    </row>
    <row r="12503" spans="1:2" x14ac:dyDescent="0.25">
      <c r="A12503" s="118"/>
      <c r="B12503" s="136"/>
    </row>
    <row r="12504" spans="1:2" x14ac:dyDescent="0.25">
      <c r="A12504" s="118"/>
      <c r="B12504" s="136"/>
    </row>
    <row r="12505" spans="1:2" x14ac:dyDescent="0.25">
      <c r="A12505" s="118"/>
      <c r="B12505" s="136"/>
    </row>
    <row r="12506" spans="1:2" x14ac:dyDescent="0.25">
      <c r="A12506" s="118"/>
      <c r="B12506" s="136"/>
    </row>
    <row r="12507" spans="1:2" x14ac:dyDescent="0.25">
      <c r="A12507" s="118"/>
      <c r="B12507" s="136"/>
    </row>
    <row r="12508" spans="1:2" x14ac:dyDescent="0.25">
      <c r="A12508" s="118"/>
      <c r="B12508" s="136"/>
    </row>
    <row r="12509" spans="1:2" x14ac:dyDescent="0.25">
      <c r="A12509" s="118"/>
      <c r="B12509" s="136"/>
    </row>
    <row r="12510" spans="1:2" x14ac:dyDescent="0.25">
      <c r="A12510" s="118"/>
      <c r="B12510" s="136"/>
    </row>
    <row r="12511" spans="1:2" x14ac:dyDescent="0.25">
      <c r="A12511" s="118"/>
      <c r="B12511" s="136"/>
    </row>
    <row r="12512" spans="1:2" x14ac:dyDescent="0.25">
      <c r="A12512" s="118"/>
      <c r="B12512" s="136"/>
    </row>
    <row r="12513" spans="1:2" x14ac:dyDescent="0.25">
      <c r="A12513" s="118"/>
      <c r="B12513" s="136"/>
    </row>
    <row r="12514" spans="1:2" x14ac:dyDescent="0.25">
      <c r="A12514" s="118"/>
      <c r="B12514" s="136"/>
    </row>
    <row r="12515" spans="1:2" x14ac:dyDescent="0.25">
      <c r="A12515" s="118"/>
      <c r="B12515" s="136"/>
    </row>
    <row r="12516" spans="1:2" x14ac:dyDescent="0.25">
      <c r="A12516" s="118"/>
      <c r="B12516" s="136"/>
    </row>
    <row r="12517" spans="1:2" x14ac:dyDescent="0.25">
      <c r="A12517" s="118"/>
      <c r="B12517" s="136"/>
    </row>
    <row r="12518" spans="1:2" x14ac:dyDescent="0.25">
      <c r="A12518" s="118"/>
      <c r="B12518" s="136"/>
    </row>
    <row r="12519" spans="1:2" x14ac:dyDescent="0.25">
      <c r="A12519" s="118"/>
      <c r="B12519" s="136"/>
    </row>
    <row r="12520" spans="1:2" x14ac:dyDescent="0.25">
      <c r="A12520" s="118"/>
      <c r="B12520" s="136"/>
    </row>
    <row r="12521" spans="1:2" x14ac:dyDescent="0.25">
      <c r="A12521" s="118"/>
      <c r="B12521" s="136"/>
    </row>
    <row r="12522" spans="1:2" x14ac:dyDescent="0.25">
      <c r="A12522" s="118"/>
      <c r="B12522" s="136"/>
    </row>
    <row r="12523" spans="1:2" x14ac:dyDescent="0.25">
      <c r="A12523" s="118"/>
      <c r="B12523" s="136"/>
    </row>
    <row r="12524" spans="1:2" x14ac:dyDescent="0.25">
      <c r="A12524" s="118"/>
      <c r="B12524" s="136"/>
    </row>
    <row r="12525" spans="1:2" x14ac:dyDescent="0.25">
      <c r="A12525" s="118"/>
      <c r="B12525" s="136"/>
    </row>
    <row r="12526" spans="1:2" x14ac:dyDescent="0.25">
      <c r="A12526" s="118"/>
      <c r="B12526" s="136"/>
    </row>
    <row r="12527" spans="1:2" x14ac:dyDescent="0.25">
      <c r="A12527" s="118"/>
      <c r="B12527" s="136"/>
    </row>
    <row r="12528" spans="1:2" x14ac:dyDescent="0.25">
      <c r="A12528" s="118"/>
      <c r="B12528" s="136"/>
    </row>
    <row r="12529" spans="1:2" x14ac:dyDescent="0.25">
      <c r="A12529" s="118"/>
      <c r="B12529" s="136"/>
    </row>
    <row r="12530" spans="1:2" x14ac:dyDescent="0.25">
      <c r="A12530" s="118"/>
      <c r="B12530" s="136"/>
    </row>
    <row r="12531" spans="1:2" x14ac:dyDescent="0.25">
      <c r="A12531" s="118"/>
      <c r="B12531" s="136"/>
    </row>
    <row r="12532" spans="1:2" x14ac:dyDescent="0.25">
      <c r="A12532" s="118"/>
      <c r="B12532" s="136"/>
    </row>
    <row r="12533" spans="1:2" x14ac:dyDescent="0.25">
      <c r="A12533" s="118"/>
      <c r="B12533" s="136"/>
    </row>
    <row r="12534" spans="1:2" x14ac:dyDescent="0.25">
      <c r="A12534" s="118"/>
      <c r="B12534" s="136"/>
    </row>
    <row r="12535" spans="1:2" x14ac:dyDescent="0.25">
      <c r="A12535" s="118"/>
      <c r="B12535" s="136"/>
    </row>
    <row r="12536" spans="1:2" x14ac:dyDescent="0.25">
      <c r="A12536" s="118"/>
      <c r="B12536" s="136"/>
    </row>
    <row r="12537" spans="1:2" x14ac:dyDescent="0.25">
      <c r="A12537" s="118"/>
      <c r="B12537" s="136"/>
    </row>
    <row r="12538" spans="1:2" x14ac:dyDescent="0.25">
      <c r="A12538" s="118"/>
      <c r="B12538" s="136"/>
    </row>
    <row r="12539" spans="1:2" x14ac:dyDescent="0.25">
      <c r="A12539" s="118"/>
      <c r="B12539" s="136"/>
    </row>
    <row r="12540" spans="1:2" x14ac:dyDescent="0.25">
      <c r="A12540" s="118"/>
      <c r="B12540" s="136"/>
    </row>
    <row r="12541" spans="1:2" x14ac:dyDescent="0.25">
      <c r="A12541" s="118"/>
      <c r="B12541" s="136"/>
    </row>
    <row r="12542" spans="1:2" x14ac:dyDescent="0.25">
      <c r="A12542" s="118"/>
      <c r="B12542" s="136"/>
    </row>
    <row r="12543" spans="1:2" x14ac:dyDescent="0.25">
      <c r="A12543" s="118"/>
      <c r="B12543" s="136"/>
    </row>
    <row r="12544" spans="1:2" x14ac:dyDescent="0.25">
      <c r="A12544" s="118"/>
      <c r="B12544" s="136"/>
    </row>
    <row r="12545" spans="1:2" x14ac:dyDescent="0.25">
      <c r="A12545" s="118"/>
      <c r="B12545" s="136"/>
    </row>
    <row r="12546" spans="1:2" x14ac:dyDescent="0.25">
      <c r="A12546" s="118"/>
      <c r="B12546" s="136"/>
    </row>
    <row r="12547" spans="1:2" x14ac:dyDescent="0.25">
      <c r="A12547" s="118"/>
      <c r="B12547" s="136"/>
    </row>
    <row r="12548" spans="1:2" x14ac:dyDescent="0.25">
      <c r="A12548" s="118"/>
      <c r="B12548" s="136"/>
    </row>
    <row r="12549" spans="1:2" x14ac:dyDescent="0.25">
      <c r="A12549" s="118"/>
      <c r="B12549" s="136"/>
    </row>
    <row r="12550" spans="1:2" x14ac:dyDescent="0.25">
      <c r="A12550" s="118"/>
      <c r="B12550" s="136"/>
    </row>
    <row r="12551" spans="1:2" x14ac:dyDescent="0.25">
      <c r="A12551" s="118"/>
      <c r="B12551" s="136"/>
    </row>
    <row r="12552" spans="1:2" x14ac:dyDescent="0.25">
      <c r="A12552" s="118"/>
      <c r="B12552" s="136"/>
    </row>
    <row r="12553" spans="1:2" x14ac:dyDescent="0.25">
      <c r="A12553" s="118"/>
      <c r="B12553" s="136"/>
    </row>
    <row r="12554" spans="1:2" x14ac:dyDescent="0.25">
      <c r="A12554" s="118"/>
      <c r="B12554" s="136"/>
    </row>
    <row r="12555" spans="1:2" x14ac:dyDescent="0.25">
      <c r="A12555" s="118"/>
      <c r="B12555" s="136"/>
    </row>
    <row r="12556" spans="1:2" x14ac:dyDescent="0.25">
      <c r="A12556" s="118"/>
      <c r="B12556" s="136"/>
    </row>
    <row r="12557" spans="1:2" x14ac:dyDescent="0.25">
      <c r="A12557" s="118"/>
      <c r="B12557" s="136"/>
    </row>
    <row r="12558" spans="1:2" x14ac:dyDescent="0.25">
      <c r="A12558" s="118"/>
      <c r="B12558" s="136"/>
    </row>
    <row r="12559" spans="1:2" x14ac:dyDescent="0.25">
      <c r="A12559" s="118"/>
      <c r="B12559" s="136"/>
    </row>
    <row r="12560" spans="1:2" x14ac:dyDescent="0.25">
      <c r="A12560" s="118"/>
      <c r="B12560" s="136"/>
    </row>
    <row r="12561" spans="1:2" x14ac:dyDescent="0.25">
      <c r="A12561" s="118"/>
      <c r="B12561" s="136"/>
    </row>
    <row r="12562" spans="1:2" x14ac:dyDescent="0.25">
      <c r="A12562" s="118"/>
      <c r="B12562" s="136"/>
    </row>
    <row r="12563" spans="1:2" x14ac:dyDescent="0.25">
      <c r="A12563" s="118"/>
      <c r="B12563" s="136"/>
    </row>
    <row r="12564" spans="1:2" x14ac:dyDescent="0.25">
      <c r="A12564" s="118"/>
      <c r="B12564" s="136"/>
    </row>
    <row r="12565" spans="1:2" x14ac:dyDescent="0.25">
      <c r="A12565" s="118"/>
      <c r="B12565" s="136"/>
    </row>
    <row r="12566" spans="1:2" x14ac:dyDescent="0.25">
      <c r="A12566" s="118"/>
      <c r="B12566" s="136"/>
    </row>
    <row r="12567" spans="1:2" x14ac:dyDescent="0.25">
      <c r="A12567" s="118"/>
      <c r="B12567" s="136"/>
    </row>
    <row r="12568" spans="1:2" x14ac:dyDescent="0.25">
      <c r="A12568" s="118"/>
      <c r="B12568" s="136"/>
    </row>
    <row r="12569" spans="1:2" x14ac:dyDescent="0.25">
      <c r="A12569" s="118"/>
      <c r="B12569" s="136"/>
    </row>
    <row r="12570" spans="1:2" x14ac:dyDescent="0.25">
      <c r="A12570" s="118"/>
      <c r="B12570" s="136"/>
    </row>
    <row r="12571" spans="1:2" x14ac:dyDescent="0.25">
      <c r="A12571" s="118"/>
      <c r="B12571" s="136"/>
    </row>
    <row r="12572" spans="1:2" x14ac:dyDescent="0.25">
      <c r="A12572" s="118"/>
      <c r="B12572" s="136"/>
    </row>
    <row r="12573" spans="1:2" x14ac:dyDescent="0.25">
      <c r="A12573" s="118"/>
      <c r="B12573" s="136"/>
    </row>
    <row r="12574" spans="1:2" x14ac:dyDescent="0.25">
      <c r="A12574" s="118"/>
      <c r="B12574" s="136"/>
    </row>
    <row r="12575" spans="1:2" x14ac:dyDescent="0.25">
      <c r="A12575" s="118"/>
      <c r="B12575" s="136"/>
    </row>
    <row r="12576" spans="1:2" x14ac:dyDescent="0.25">
      <c r="A12576" s="118"/>
      <c r="B12576" s="136"/>
    </row>
    <row r="12577" spans="1:2" x14ac:dyDescent="0.25">
      <c r="A12577" s="118"/>
      <c r="B12577" s="136"/>
    </row>
    <row r="12578" spans="1:2" x14ac:dyDescent="0.25">
      <c r="A12578" s="118"/>
      <c r="B12578" s="136"/>
    </row>
    <row r="12579" spans="1:2" x14ac:dyDescent="0.25">
      <c r="A12579" s="118"/>
      <c r="B12579" s="136"/>
    </row>
    <row r="12580" spans="1:2" x14ac:dyDescent="0.25">
      <c r="A12580" s="118"/>
      <c r="B12580" s="136"/>
    </row>
    <row r="12581" spans="1:2" x14ac:dyDescent="0.25">
      <c r="A12581" s="118"/>
      <c r="B12581" s="136"/>
    </row>
    <row r="12582" spans="1:2" x14ac:dyDescent="0.25">
      <c r="A12582" s="118"/>
      <c r="B12582" s="136"/>
    </row>
    <row r="12583" spans="1:2" x14ac:dyDescent="0.25">
      <c r="A12583" s="118"/>
      <c r="B12583" s="136"/>
    </row>
    <row r="12584" spans="1:2" x14ac:dyDescent="0.25">
      <c r="A12584" s="118"/>
      <c r="B12584" s="136"/>
    </row>
    <row r="12585" spans="1:2" x14ac:dyDescent="0.25">
      <c r="A12585" s="118"/>
      <c r="B12585" s="136"/>
    </row>
    <row r="12586" spans="1:2" x14ac:dyDescent="0.25">
      <c r="A12586" s="118"/>
      <c r="B12586" s="136"/>
    </row>
    <row r="12587" spans="1:2" x14ac:dyDescent="0.25">
      <c r="A12587" s="118"/>
      <c r="B12587" s="136"/>
    </row>
    <row r="12588" spans="1:2" x14ac:dyDescent="0.25">
      <c r="A12588" s="118"/>
      <c r="B12588" s="136"/>
    </row>
    <row r="12589" spans="1:2" x14ac:dyDescent="0.25">
      <c r="A12589" s="118"/>
      <c r="B12589" s="136"/>
    </row>
    <row r="12590" spans="1:2" x14ac:dyDescent="0.25">
      <c r="A12590" s="118"/>
      <c r="B12590" s="136"/>
    </row>
    <row r="12591" spans="1:2" x14ac:dyDescent="0.25">
      <c r="A12591" s="118"/>
      <c r="B12591" s="136"/>
    </row>
    <row r="12592" spans="1:2" x14ac:dyDescent="0.25">
      <c r="A12592" s="118"/>
      <c r="B12592" s="136"/>
    </row>
    <row r="12593" spans="1:2" x14ac:dyDescent="0.25">
      <c r="A12593" s="118"/>
      <c r="B12593" s="136"/>
    </row>
    <row r="12594" spans="1:2" x14ac:dyDescent="0.25">
      <c r="A12594" s="118"/>
      <c r="B12594" s="136"/>
    </row>
    <row r="12595" spans="1:2" x14ac:dyDescent="0.25">
      <c r="A12595" s="118"/>
      <c r="B12595" s="136"/>
    </row>
    <row r="12596" spans="1:2" x14ac:dyDescent="0.25">
      <c r="A12596" s="118"/>
      <c r="B12596" s="136"/>
    </row>
    <row r="12597" spans="1:2" x14ac:dyDescent="0.25">
      <c r="A12597" s="118"/>
      <c r="B12597" s="136"/>
    </row>
    <row r="12598" spans="1:2" x14ac:dyDescent="0.25">
      <c r="A12598" s="118"/>
      <c r="B12598" s="136"/>
    </row>
    <row r="12599" spans="1:2" x14ac:dyDescent="0.25">
      <c r="A12599" s="118"/>
      <c r="B12599" s="136"/>
    </row>
    <row r="12600" spans="1:2" x14ac:dyDescent="0.25">
      <c r="A12600" s="118"/>
      <c r="B12600" s="136"/>
    </row>
    <row r="12601" spans="1:2" x14ac:dyDescent="0.25">
      <c r="A12601" s="118"/>
      <c r="B12601" s="136"/>
    </row>
    <row r="12602" spans="1:2" x14ac:dyDescent="0.25">
      <c r="A12602" s="118"/>
      <c r="B12602" s="136"/>
    </row>
    <row r="12603" spans="1:2" x14ac:dyDescent="0.25">
      <c r="A12603" s="118"/>
      <c r="B12603" s="136"/>
    </row>
    <row r="12604" spans="1:2" x14ac:dyDescent="0.25">
      <c r="A12604" s="118"/>
      <c r="B12604" s="136"/>
    </row>
    <row r="12605" spans="1:2" x14ac:dyDescent="0.25">
      <c r="A12605" s="118"/>
      <c r="B12605" s="136"/>
    </row>
    <row r="12606" spans="1:2" x14ac:dyDescent="0.25">
      <c r="A12606" s="118"/>
      <c r="B12606" s="136"/>
    </row>
    <row r="12607" spans="1:2" x14ac:dyDescent="0.25">
      <c r="A12607" s="118"/>
      <c r="B12607" s="136"/>
    </row>
    <row r="12608" spans="1:2" x14ac:dyDescent="0.25">
      <c r="A12608" s="118"/>
      <c r="B12608" s="136"/>
    </row>
    <row r="12609" spans="1:2" x14ac:dyDescent="0.25">
      <c r="A12609" s="118"/>
      <c r="B12609" s="136"/>
    </row>
    <row r="12610" spans="1:2" x14ac:dyDescent="0.25">
      <c r="A12610" s="118"/>
      <c r="B12610" s="136"/>
    </row>
    <row r="12611" spans="1:2" x14ac:dyDescent="0.25">
      <c r="A12611" s="118"/>
      <c r="B12611" s="136"/>
    </row>
    <row r="12612" spans="1:2" x14ac:dyDescent="0.25">
      <c r="A12612" s="118"/>
      <c r="B12612" s="136"/>
    </row>
    <row r="12613" spans="1:2" x14ac:dyDescent="0.25">
      <c r="A12613" s="118"/>
      <c r="B12613" s="136"/>
    </row>
    <row r="12614" spans="1:2" x14ac:dyDescent="0.25">
      <c r="A12614" s="118"/>
      <c r="B12614" s="136"/>
    </row>
    <row r="12615" spans="1:2" x14ac:dyDescent="0.25">
      <c r="A12615" s="118"/>
      <c r="B12615" s="136"/>
    </row>
    <row r="12616" spans="1:2" x14ac:dyDescent="0.25">
      <c r="A12616" s="118"/>
      <c r="B12616" s="136"/>
    </row>
    <row r="12617" spans="1:2" x14ac:dyDescent="0.25">
      <c r="A12617" s="118"/>
      <c r="B12617" s="136"/>
    </row>
    <row r="12618" spans="1:2" x14ac:dyDescent="0.25">
      <c r="A12618" s="118"/>
      <c r="B12618" s="136"/>
    </row>
    <row r="12619" spans="1:2" x14ac:dyDescent="0.25">
      <c r="A12619" s="118"/>
      <c r="B12619" s="136"/>
    </row>
    <row r="12620" spans="1:2" x14ac:dyDescent="0.25">
      <c r="A12620" s="118"/>
      <c r="B12620" s="136"/>
    </row>
    <row r="12621" spans="1:2" x14ac:dyDescent="0.25">
      <c r="A12621" s="118"/>
      <c r="B12621" s="136"/>
    </row>
    <row r="12622" spans="1:2" x14ac:dyDescent="0.25">
      <c r="A12622" s="118"/>
      <c r="B12622" s="136"/>
    </row>
    <row r="12623" spans="1:2" x14ac:dyDescent="0.25">
      <c r="A12623" s="118"/>
      <c r="B12623" s="136"/>
    </row>
    <row r="12624" spans="1:2" x14ac:dyDescent="0.25">
      <c r="A12624" s="118"/>
      <c r="B12624" s="136"/>
    </row>
    <row r="12625" spans="1:2" x14ac:dyDescent="0.25">
      <c r="A12625" s="118"/>
      <c r="B12625" s="136"/>
    </row>
    <row r="12626" spans="1:2" x14ac:dyDescent="0.25">
      <c r="A12626" s="118"/>
      <c r="B12626" s="136"/>
    </row>
    <row r="12627" spans="1:2" x14ac:dyDescent="0.25">
      <c r="A12627" s="118"/>
      <c r="B12627" s="136"/>
    </row>
    <row r="12628" spans="1:2" x14ac:dyDescent="0.25">
      <c r="A12628" s="118"/>
      <c r="B12628" s="136"/>
    </row>
    <row r="12629" spans="1:2" x14ac:dyDescent="0.25">
      <c r="A12629" s="118"/>
      <c r="B12629" s="136"/>
    </row>
    <row r="12630" spans="1:2" x14ac:dyDescent="0.25">
      <c r="A12630" s="118"/>
      <c r="B12630" s="136"/>
    </row>
    <row r="12631" spans="1:2" x14ac:dyDescent="0.25">
      <c r="A12631" s="118"/>
      <c r="B12631" s="136"/>
    </row>
    <row r="12632" spans="1:2" x14ac:dyDescent="0.25">
      <c r="A12632" s="118"/>
      <c r="B12632" s="136"/>
    </row>
    <row r="12633" spans="1:2" x14ac:dyDescent="0.25">
      <c r="A12633" s="118"/>
      <c r="B12633" s="136"/>
    </row>
    <row r="12634" spans="1:2" x14ac:dyDescent="0.25">
      <c r="A12634" s="118"/>
      <c r="B12634" s="136"/>
    </row>
    <row r="12635" spans="1:2" x14ac:dyDescent="0.25">
      <c r="A12635" s="118"/>
      <c r="B12635" s="136"/>
    </row>
    <row r="12636" spans="1:2" x14ac:dyDescent="0.25">
      <c r="A12636" s="118"/>
      <c r="B12636" s="136"/>
    </row>
    <row r="12637" spans="1:2" x14ac:dyDescent="0.25">
      <c r="A12637" s="118"/>
      <c r="B12637" s="136"/>
    </row>
    <row r="12638" spans="1:2" x14ac:dyDescent="0.25">
      <c r="A12638" s="118"/>
      <c r="B12638" s="136"/>
    </row>
    <row r="12639" spans="1:2" x14ac:dyDescent="0.25">
      <c r="A12639" s="118"/>
      <c r="B12639" s="136"/>
    </row>
    <row r="12640" spans="1:2" x14ac:dyDescent="0.25">
      <c r="A12640" s="118"/>
      <c r="B12640" s="136"/>
    </row>
    <row r="12641" spans="1:2" x14ac:dyDescent="0.25">
      <c r="A12641" s="118"/>
      <c r="B12641" s="136"/>
    </row>
    <row r="12642" spans="1:2" x14ac:dyDescent="0.25">
      <c r="A12642" s="118"/>
      <c r="B12642" s="136"/>
    </row>
    <row r="12643" spans="1:2" x14ac:dyDescent="0.25">
      <c r="A12643" s="118"/>
      <c r="B12643" s="136"/>
    </row>
    <row r="12644" spans="1:2" x14ac:dyDescent="0.25">
      <c r="A12644" s="118"/>
      <c r="B12644" s="136"/>
    </row>
    <row r="12645" spans="1:2" x14ac:dyDescent="0.25">
      <c r="A12645" s="118"/>
      <c r="B12645" s="136"/>
    </row>
    <row r="12646" spans="1:2" x14ac:dyDescent="0.25">
      <c r="A12646" s="118"/>
      <c r="B12646" s="136"/>
    </row>
    <row r="12647" spans="1:2" x14ac:dyDescent="0.25">
      <c r="A12647" s="118"/>
      <c r="B12647" s="136"/>
    </row>
    <row r="12648" spans="1:2" x14ac:dyDescent="0.25">
      <c r="A12648" s="118"/>
      <c r="B12648" s="136"/>
    </row>
    <row r="12649" spans="1:2" x14ac:dyDescent="0.25">
      <c r="A12649" s="118"/>
      <c r="B12649" s="136"/>
    </row>
    <row r="12650" spans="1:2" x14ac:dyDescent="0.25">
      <c r="A12650" s="118"/>
      <c r="B12650" s="136"/>
    </row>
    <row r="12651" spans="1:2" x14ac:dyDescent="0.25">
      <c r="A12651" s="118"/>
      <c r="B12651" s="136"/>
    </row>
    <row r="12652" spans="1:2" x14ac:dyDescent="0.25">
      <c r="A12652" s="118"/>
      <c r="B12652" s="136"/>
    </row>
    <row r="12653" spans="1:2" x14ac:dyDescent="0.25">
      <c r="A12653" s="118"/>
      <c r="B12653" s="136"/>
    </row>
    <row r="12654" spans="1:2" x14ac:dyDescent="0.25">
      <c r="A12654" s="118"/>
      <c r="B12654" s="136"/>
    </row>
    <row r="12655" spans="1:2" x14ac:dyDescent="0.25">
      <c r="A12655" s="118"/>
      <c r="B12655" s="136"/>
    </row>
    <row r="12656" spans="1:2" x14ac:dyDescent="0.25">
      <c r="A12656" s="118"/>
      <c r="B12656" s="136"/>
    </row>
    <row r="12657" spans="1:2" x14ac:dyDescent="0.25">
      <c r="A12657" s="118"/>
      <c r="B12657" s="136"/>
    </row>
    <row r="12658" spans="1:2" x14ac:dyDescent="0.25">
      <c r="A12658" s="118"/>
      <c r="B12658" s="136"/>
    </row>
    <row r="12659" spans="1:2" x14ac:dyDescent="0.25">
      <c r="A12659" s="118"/>
      <c r="B12659" s="136"/>
    </row>
    <row r="12660" spans="1:2" x14ac:dyDescent="0.25">
      <c r="A12660" s="118"/>
      <c r="B12660" s="136"/>
    </row>
    <row r="12661" spans="1:2" x14ac:dyDescent="0.25">
      <c r="A12661" s="118"/>
      <c r="B12661" s="136"/>
    </row>
    <row r="12662" spans="1:2" x14ac:dyDescent="0.25">
      <c r="A12662" s="118"/>
      <c r="B12662" s="136"/>
    </row>
    <row r="12663" spans="1:2" x14ac:dyDescent="0.25">
      <c r="A12663" s="118"/>
      <c r="B12663" s="136"/>
    </row>
    <row r="12664" spans="1:2" x14ac:dyDescent="0.25">
      <c r="A12664" s="118"/>
      <c r="B12664" s="136"/>
    </row>
    <row r="12665" spans="1:2" x14ac:dyDescent="0.25">
      <c r="A12665" s="118"/>
      <c r="B12665" s="136"/>
    </row>
    <row r="12666" spans="1:2" x14ac:dyDescent="0.25">
      <c r="A12666" s="118"/>
      <c r="B12666" s="136"/>
    </row>
    <row r="12667" spans="1:2" x14ac:dyDescent="0.25">
      <c r="A12667" s="118"/>
      <c r="B12667" s="136"/>
    </row>
    <row r="12668" spans="1:2" x14ac:dyDescent="0.25">
      <c r="A12668" s="118"/>
      <c r="B12668" s="136"/>
    </row>
    <row r="12669" spans="1:2" x14ac:dyDescent="0.25">
      <c r="A12669" s="118"/>
      <c r="B12669" s="136"/>
    </row>
    <row r="12670" spans="1:2" x14ac:dyDescent="0.25">
      <c r="A12670" s="118"/>
      <c r="B12670" s="136"/>
    </row>
    <row r="12671" spans="1:2" x14ac:dyDescent="0.25">
      <c r="A12671" s="118"/>
      <c r="B12671" s="136"/>
    </row>
    <row r="12672" spans="1:2" x14ac:dyDescent="0.25">
      <c r="A12672" s="118"/>
      <c r="B12672" s="136"/>
    </row>
    <row r="12673" spans="1:2" x14ac:dyDescent="0.25">
      <c r="A12673" s="118"/>
      <c r="B12673" s="136"/>
    </row>
    <row r="12674" spans="1:2" x14ac:dyDescent="0.25">
      <c r="A12674" s="118"/>
      <c r="B12674" s="136"/>
    </row>
    <row r="12675" spans="1:2" x14ac:dyDescent="0.25">
      <c r="A12675" s="118"/>
      <c r="B12675" s="136"/>
    </row>
    <row r="12676" spans="1:2" x14ac:dyDescent="0.25">
      <c r="A12676" s="118"/>
      <c r="B12676" s="136"/>
    </row>
    <row r="12677" spans="1:2" x14ac:dyDescent="0.25">
      <c r="A12677" s="118"/>
      <c r="B12677" s="136"/>
    </row>
    <row r="12678" spans="1:2" x14ac:dyDescent="0.25">
      <c r="A12678" s="118"/>
      <c r="B12678" s="136"/>
    </row>
    <row r="12679" spans="1:2" x14ac:dyDescent="0.25">
      <c r="A12679" s="118"/>
      <c r="B12679" s="136"/>
    </row>
    <row r="12680" spans="1:2" x14ac:dyDescent="0.25">
      <c r="A12680" s="118"/>
      <c r="B12680" s="136"/>
    </row>
    <row r="12681" spans="1:2" x14ac:dyDescent="0.25">
      <c r="A12681" s="118"/>
      <c r="B12681" s="136"/>
    </row>
    <row r="12682" spans="1:2" x14ac:dyDescent="0.25">
      <c r="A12682" s="118"/>
      <c r="B12682" s="136"/>
    </row>
    <row r="12683" spans="1:2" x14ac:dyDescent="0.25">
      <c r="A12683" s="118"/>
      <c r="B12683" s="136"/>
    </row>
    <row r="12684" spans="1:2" x14ac:dyDescent="0.25">
      <c r="A12684" s="118"/>
      <c r="B12684" s="136"/>
    </row>
    <row r="12685" spans="1:2" x14ac:dyDescent="0.25">
      <c r="A12685" s="118"/>
      <c r="B12685" s="136"/>
    </row>
    <row r="12686" spans="1:2" x14ac:dyDescent="0.25">
      <c r="A12686" s="118"/>
      <c r="B12686" s="136"/>
    </row>
    <row r="12687" spans="1:2" x14ac:dyDescent="0.25">
      <c r="A12687" s="118"/>
      <c r="B12687" s="136"/>
    </row>
    <row r="12688" spans="1:2" x14ac:dyDescent="0.25">
      <c r="A12688" s="118"/>
      <c r="B12688" s="136"/>
    </row>
    <row r="12689" spans="1:2" x14ac:dyDescent="0.25">
      <c r="A12689" s="118"/>
      <c r="B12689" s="136"/>
    </row>
    <row r="12690" spans="1:2" x14ac:dyDescent="0.25">
      <c r="A12690" s="118"/>
      <c r="B12690" s="136"/>
    </row>
    <row r="12691" spans="1:2" x14ac:dyDescent="0.25">
      <c r="A12691" s="118"/>
      <c r="B12691" s="136"/>
    </row>
    <row r="12692" spans="1:2" x14ac:dyDescent="0.25">
      <c r="A12692" s="118"/>
      <c r="B12692" s="136"/>
    </row>
    <row r="12693" spans="1:2" x14ac:dyDescent="0.25">
      <c r="A12693" s="118"/>
      <c r="B12693" s="136"/>
    </row>
    <row r="12694" spans="1:2" x14ac:dyDescent="0.25">
      <c r="A12694" s="118"/>
      <c r="B12694" s="136"/>
    </row>
    <row r="12695" spans="1:2" x14ac:dyDescent="0.25">
      <c r="A12695" s="118"/>
      <c r="B12695" s="136"/>
    </row>
    <row r="12696" spans="1:2" x14ac:dyDescent="0.25">
      <c r="A12696" s="118"/>
      <c r="B12696" s="136"/>
    </row>
    <row r="12697" spans="1:2" x14ac:dyDescent="0.25">
      <c r="A12697" s="118"/>
      <c r="B12697" s="136"/>
    </row>
    <row r="12698" spans="1:2" x14ac:dyDescent="0.25">
      <c r="A12698" s="118"/>
      <c r="B12698" s="136"/>
    </row>
    <row r="12699" spans="1:2" x14ac:dyDescent="0.25">
      <c r="A12699" s="118"/>
      <c r="B12699" s="136"/>
    </row>
    <row r="12700" spans="1:2" x14ac:dyDescent="0.25">
      <c r="A12700" s="118"/>
      <c r="B12700" s="136"/>
    </row>
    <row r="12701" spans="1:2" x14ac:dyDescent="0.25">
      <c r="A12701" s="118"/>
      <c r="B12701" s="136"/>
    </row>
    <row r="12702" spans="1:2" x14ac:dyDescent="0.25">
      <c r="A12702" s="118"/>
      <c r="B12702" s="136"/>
    </row>
    <row r="12703" spans="1:2" x14ac:dyDescent="0.25">
      <c r="A12703" s="118"/>
      <c r="B12703" s="136"/>
    </row>
    <row r="12704" spans="1:2" x14ac:dyDescent="0.25">
      <c r="A12704" s="118"/>
      <c r="B12704" s="136"/>
    </row>
    <row r="12705" spans="1:2" x14ac:dyDescent="0.25">
      <c r="A12705" s="118"/>
      <c r="B12705" s="136"/>
    </row>
    <row r="12706" spans="1:2" x14ac:dyDescent="0.25">
      <c r="A12706" s="118"/>
      <c r="B12706" s="136"/>
    </row>
    <row r="12707" spans="1:2" x14ac:dyDescent="0.25">
      <c r="A12707" s="118"/>
      <c r="B12707" s="136"/>
    </row>
    <row r="12708" spans="1:2" x14ac:dyDescent="0.25">
      <c r="A12708" s="118"/>
      <c r="B12708" s="136"/>
    </row>
    <row r="12709" spans="1:2" x14ac:dyDescent="0.25">
      <c r="A12709" s="118"/>
      <c r="B12709" s="136"/>
    </row>
    <row r="12710" spans="1:2" x14ac:dyDescent="0.25">
      <c r="A12710" s="118"/>
      <c r="B12710" s="136"/>
    </row>
    <row r="12711" spans="1:2" x14ac:dyDescent="0.25">
      <c r="A12711" s="118"/>
      <c r="B12711" s="136"/>
    </row>
    <row r="12712" spans="1:2" x14ac:dyDescent="0.25">
      <c r="A12712" s="118"/>
      <c r="B12712" s="136"/>
    </row>
    <row r="12713" spans="1:2" x14ac:dyDescent="0.25">
      <c r="A12713" s="118"/>
      <c r="B12713" s="136"/>
    </row>
    <row r="12714" spans="1:2" x14ac:dyDescent="0.25">
      <c r="A12714" s="118"/>
      <c r="B12714" s="136"/>
    </row>
    <row r="12715" spans="1:2" x14ac:dyDescent="0.25">
      <c r="A12715" s="118"/>
      <c r="B12715" s="136"/>
    </row>
    <row r="12716" spans="1:2" x14ac:dyDescent="0.25">
      <c r="A12716" s="118"/>
      <c r="B12716" s="136"/>
    </row>
    <row r="12717" spans="1:2" x14ac:dyDescent="0.25">
      <c r="A12717" s="118"/>
      <c r="B12717" s="136"/>
    </row>
    <row r="12718" spans="1:2" x14ac:dyDescent="0.25">
      <c r="A12718" s="118"/>
      <c r="B12718" s="136"/>
    </row>
    <row r="12719" spans="1:2" x14ac:dyDescent="0.25">
      <c r="A12719" s="118"/>
      <c r="B12719" s="136"/>
    </row>
    <row r="12720" spans="1:2" x14ac:dyDescent="0.25">
      <c r="A12720" s="118"/>
      <c r="B12720" s="136"/>
    </row>
    <row r="12721" spans="1:2" x14ac:dyDescent="0.25">
      <c r="A12721" s="118"/>
      <c r="B12721" s="136"/>
    </row>
    <row r="12722" spans="1:2" x14ac:dyDescent="0.25">
      <c r="A12722" s="118"/>
      <c r="B12722" s="136"/>
    </row>
    <row r="12723" spans="1:2" x14ac:dyDescent="0.25">
      <c r="A12723" s="118"/>
      <c r="B12723" s="136"/>
    </row>
    <row r="12724" spans="1:2" x14ac:dyDescent="0.25">
      <c r="A12724" s="118"/>
      <c r="B12724" s="136"/>
    </row>
    <row r="12725" spans="1:2" x14ac:dyDescent="0.25">
      <c r="A12725" s="118"/>
      <c r="B12725" s="136"/>
    </row>
    <row r="12726" spans="1:2" x14ac:dyDescent="0.25">
      <c r="A12726" s="118"/>
      <c r="B12726" s="136"/>
    </row>
    <row r="12727" spans="1:2" x14ac:dyDescent="0.25">
      <c r="A12727" s="118"/>
      <c r="B12727" s="136"/>
    </row>
    <row r="12728" spans="1:2" x14ac:dyDescent="0.25">
      <c r="A12728" s="118"/>
      <c r="B12728" s="136"/>
    </row>
    <row r="12729" spans="1:2" x14ac:dyDescent="0.25">
      <c r="A12729" s="118"/>
      <c r="B12729" s="136"/>
    </row>
    <row r="12730" spans="1:2" x14ac:dyDescent="0.25">
      <c r="A12730" s="118"/>
      <c r="B12730" s="136"/>
    </row>
    <row r="12731" spans="1:2" x14ac:dyDescent="0.25">
      <c r="A12731" s="118"/>
      <c r="B12731" s="136"/>
    </row>
    <row r="12732" spans="1:2" x14ac:dyDescent="0.25">
      <c r="A12732" s="118"/>
      <c r="B12732" s="136"/>
    </row>
    <row r="12733" spans="1:2" x14ac:dyDescent="0.25">
      <c r="A12733" s="118"/>
      <c r="B12733" s="136"/>
    </row>
    <row r="12734" spans="1:2" x14ac:dyDescent="0.25">
      <c r="A12734" s="118"/>
      <c r="B12734" s="136"/>
    </row>
    <row r="12735" spans="1:2" x14ac:dyDescent="0.25">
      <c r="A12735" s="118"/>
      <c r="B12735" s="136"/>
    </row>
    <row r="12736" spans="1:2" x14ac:dyDescent="0.25">
      <c r="A12736" s="118"/>
      <c r="B12736" s="136"/>
    </row>
    <row r="12737" spans="1:2" x14ac:dyDescent="0.25">
      <c r="A12737" s="118"/>
      <c r="B12737" s="136"/>
    </row>
    <row r="12738" spans="1:2" x14ac:dyDescent="0.25">
      <c r="A12738" s="118"/>
      <c r="B12738" s="136"/>
    </row>
    <row r="12739" spans="1:2" x14ac:dyDescent="0.25">
      <c r="A12739" s="118"/>
      <c r="B12739" s="136"/>
    </row>
    <row r="12740" spans="1:2" x14ac:dyDescent="0.25">
      <c r="A12740" s="118"/>
      <c r="B12740" s="136"/>
    </row>
    <row r="12741" spans="1:2" x14ac:dyDescent="0.25">
      <c r="A12741" s="118"/>
      <c r="B12741" s="136"/>
    </row>
    <row r="12742" spans="1:2" x14ac:dyDescent="0.25">
      <c r="A12742" s="118"/>
      <c r="B12742" s="136"/>
    </row>
    <row r="12743" spans="1:2" x14ac:dyDescent="0.25">
      <c r="A12743" s="118"/>
      <c r="B12743" s="136"/>
    </row>
    <row r="12744" spans="1:2" x14ac:dyDescent="0.25">
      <c r="A12744" s="118"/>
      <c r="B12744" s="136"/>
    </row>
    <row r="12745" spans="1:2" x14ac:dyDescent="0.25">
      <c r="A12745" s="118"/>
      <c r="B12745" s="136"/>
    </row>
    <row r="12746" spans="1:2" x14ac:dyDescent="0.25">
      <c r="A12746" s="118"/>
      <c r="B12746" s="136"/>
    </row>
    <row r="12747" spans="1:2" x14ac:dyDescent="0.25">
      <c r="A12747" s="118"/>
      <c r="B12747" s="136"/>
    </row>
    <row r="12748" spans="1:2" x14ac:dyDescent="0.25">
      <c r="A12748" s="118"/>
      <c r="B12748" s="136"/>
    </row>
    <row r="12749" spans="1:2" x14ac:dyDescent="0.25">
      <c r="A12749" s="118"/>
      <c r="B12749" s="136"/>
    </row>
    <row r="12750" spans="1:2" x14ac:dyDescent="0.25">
      <c r="A12750" s="118"/>
      <c r="B12750" s="136"/>
    </row>
    <row r="12751" spans="1:2" x14ac:dyDescent="0.25">
      <c r="A12751" s="118"/>
      <c r="B12751" s="136"/>
    </row>
    <row r="12752" spans="1:2" x14ac:dyDescent="0.25">
      <c r="A12752" s="118"/>
      <c r="B12752" s="136"/>
    </row>
    <row r="12753" spans="1:2" x14ac:dyDescent="0.25">
      <c r="A12753" s="118"/>
      <c r="B12753" s="136"/>
    </row>
    <row r="12754" spans="1:2" x14ac:dyDescent="0.25">
      <c r="A12754" s="118"/>
      <c r="B12754" s="136"/>
    </row>
    <row r="12755" spans="1:2" x14ac:dyDescent="0.25">
      <c r="A12755" s="118"/>
      <c r="B12755" s="136"/>
    </row>
    <row r="12756" spans="1:2" x14ac:dyDescent="0.25">
      <c r="A12756" s="118"/>
      <c r="B12756" s="136"/>
    </row>
    <row r="12757" spans="1:2" x14ac:dyDescent="0.25">
      <c r="A12757" s="118"/>
      <c r="B12757" s="136"/>
    </row>
    <row r="12758" spans="1:2" x14ac:dyDescent="0.25">
      <c r="A12758" s="118"/>
      <c r="B12758" s="136"/>
    </row>
    <row r="12759" spans="1:2" x14ac:dyDescent="0.25">
      <c r="A12759" s="118"/>
      <c r="B12759" s="136"/>
    </row>
    <row r="12760" spans="1:2" x14ac:dyDescent="0.25">
      <c r="A12760" s="118"/>
      <c r="B12760" s="136"/>
    </row>
    <row r="12761" spans="1:2" x14ac:dyDescent="0.25">
      <c r="A12761" s="118"/>
      <c r="B12761" s="136"/>
    </row>
    <row r="12762" spans="1:2" x14ac:dyDescent="0.25">
      <c r="A12762" s="118"/>
      <c r="B12762" s="136"/>
    </row>
    <row r="12763" spans="1:2" x14ac:dyDescent="0.25">
      <c r="A12763" s="118"/>
      <c r="B12763" s="136"/>
    </row>
    <row r="12764" spans="1:2" x14ac:dyDescent="0.25">
      <c r="A12764" s="118"/>
      <c r="B12764" s="136"/>
    </row>
    <row r="12765" spans="1:2" x14ac:dyDescent="0.25">
      <c r="A12765" s="118"/>
      <c r="B12765" s="136"/>
    </row>
    <row r="12766" spans="1:2" x14ac:dyDescent="0.25">
      <c r="A12766" s="118"/>
      <c r="B12766" s="136"/>
    </row>
    <row r="12767" spans="1:2" x14ac:dyDescent="0.25">
      <c r="A12767" s="118"/>
      <c r="B12767" s="136"/>
    </row>
    <row r="12768" spans="1:2" x14ac:dyDescent="0.25">
      <c r="A12768" s="118"/>
      <c r="B12768" s="136"/>
    </row>
    <row r="12769" spans="1:2" x14ac:dyDescent="0.25">
      <c r="A12769" s="118"/>
      <c r="B12769" s="136"/>
    </row>
    <row r="12770" spans="1:2" x14ac:dyDescent="0.25">
      <c r="A12770" s="118"/>
      <c r="B12770" s="136"/>
    </row>
    <row r="12771" spans="1:2" x14ac:dyDescent="0.25">
      <c r="A12771" s="118"/>
      <c r="B12771" s="136"/>
    </row>
    <row r="12772" spans="1:2" x14ac:dyDescent="0.25">
      <c r="A12772" s="118"/>
      <c r="B12772" s="136"/>
    </row>
    <row r="12773" spans="1:2" x14ac:dyDescent="0.25">
      <c r="A12773" s="118"/>
      <c r="B12773" s="136"/>
    </row>
    <row r="12774" spans="1:2" x14ac:dyDescent="0.25">
      <c r="A12774" s="118"/>
      <c r="B12774" s="136"/>
    </row>
    <row r="12775" spans="1:2" x14ac:dyDescent="0.25">
      <c r="A12775" s="118"/>
      <c r="B12775" s="136"/>
    </row>
    <row r="12776" spans="1:2" x14ac:dyDescent="0.25">
      <c r="A12776" s="118"/>
      <c r="B12776" s="136"/>
    </row>
    <row r="12777" spans="1:2" x14ac:dyDescent="0.25">
      <c r="A12777" s="118"/>
      <c r="B12777" s="136"/>
    </row>
    <row r="12778" spans="1:2" x14ac:dyDescent="0.25">
      <c r="A12778" s="118"/>
      <c r="B12778" s="136"/>
    </row>
    <row r="12779" spans="1:2" x14ac:dyDescent="0.25">
      <c r="A12779" s="118"/>
      <c r="B12779" s="136"/>
    </row>
    <row r="12780" spans="1:2" x14ac:dyDescent="0.25">
      <c r="A12780" s="118"/>
      <c r="B12780" s="136"/>
    </row>
    <row r="12781" spans="1:2" x14ac:dyDescent="0.25">
      <c r="A12781" s="118"/>
      <c r="B12781" s="136"/>
    </row>
    <row r="12782" spans="1:2" x14ac:dyDescent="0.25">
      <c r="A12782" s="118"/>
      <c r="B12782" s="136"/>
    </row>
    <row r="12783" spans="1:2" x14ac:dyDescent="0.25">
      <c r="A12783" s="118"/>
      <c r="B12783" s="136"/>
    </row>
    <row r="12784" spans="1:2" x14ac:dyDescent="0.25">
      <c r="A12784" s="118"/>
      <c r="B12784" s="136"/>
    </row>
    <row r="12785" spans="1:2" x14ac:dyDescent="0.25">
      <c r="A12785" s="118"/>
      <c r="B12785" s="136"/>
    </row>
    <row r="12786" spans="1:2" x14ac:dyDescent="0.25">
      <c r="A12786" s="118"/>
      <c r="B12786" s="136"/>
    </row>
    <row r="12787" spans="1:2" x14ac:dyDescent="0.25">
      <c r="A12787" s="118"/>
      <c r="B12787" s="136"/>
    </row>
    <row r="12788" spans="1:2" x14ac:dyDescent="0.25">
      <c r="A12788" s="118"/>
      <c r="B12788" s="136"/>
    </row>
    <row r="12789" spans="1:2" x14ac:dyDescent="0.25">
      <c r="A12789" s="118"/>
      <c r="B12789" s="136"/>
    </row>
    <row r="12790" spans="1:2" x14ac:dyDescent="0.25">
      <c r="A12790" s="118"/>
      <c r="B12790" s="136"/>
    </row>
    <row r="12791" spans="1:2" x14ac:dyDescent="0.25">
      <c r="A12791" s="118"/>
      <c r="B12791" s="136"/>
    </row>
    <row r="12792" spans="1:2" x14ac:dyDescent="0.25">
      <c r="A12792" s="118"/>
      <c r="B12792" s="136"/>
    </row>
    <row r="12793" spans="1:2" x14ac:dyDescent="0.25">
      <c r="A12793" s="118"/>
      <c r="B12793" s="136"/>
    </row>
    <row r="12794" spans="1:2" x14ac:dyDescent="0.25">
      <c r="A12794" s="118"/>
      <c r="B12794" s="136"/>
    </row>
    <row r="12795" spans="1:2" x14ac:dyDescent="0.25">
      <c r="A12795" s="118"/>
      <c r="B12795" s="136"/>
    </row>
    <row r="12796" spans="1:2" x14ac:dyDescent="0.25">
      <c r="A12796" s="118"/>
      <c r="B12796" s="136"/>
    </row>
    <row r="12797" spans="1:2" x14ac:dyDescent="0.25">
      <c r="A12797" s="118"/>
      <c r="B12797" s="136"/>
    </row>
    <row r="12798" spans="1:2" x14ac:dyDescent="0.25">
      <c r="A12798" s="118"/>
      <c r="B12798" s="136"/>
    </row>
    <row r="12799" spans="1:2" x14ac:dyDescent="0.25">
      <c r="A12799" s="118"/>
      <c r="B12799" s="136"/>
    </row>
    <row r="12800" spans="1:2" x14ac:dyDescent="0.25">
      <c r="A12800" s="118"/>
      <c r="B12800" s="136"/>
    </row>
    <row r="12801" spans="1:2" x14ac:dyDescent="0.25">
      <c r="A12801" s="118"/>
      <c r="B12801" s="136"/>
    </row>
    <row r="12802" spans="1:2" x14ac:dyDescent="0.25">
      <c r="A12802" s="118"/>
      <c r="B12802" s="136"/>
    </row>
    <row r="12803" spans="1:2" x14ac:dyDescent="0.25">
      <c r="A12803" s="118"/>
      <c r="B12803" s="136"/>
    </row>
    <row r="12804" spans="1:2" x14ac:dyDescent="0.25">
      <c r="A12804" s="118"/>
      <c r="B12804" s="136"/>
    </row>
    <row r="12805" spans="1:2" x14ac:dyDescent="0.25">
      <c r="A12805" s="118"/>
      <c r="B12805" s="136"/>
    </row>
    <row r="12806" spans="1:2" x14ac:dyDescent="0.25">
      <c r="A12806" s="118"/>
      <c r="B12806" s="136"/>
    </row>
    <row r="12807" spans="1:2" x14ac:dyDescent="0.25">
      <c r="A12807" s="118"/>
      <c r="B12807" s="136"/>
    </row>
    <row r="12808" spans="1:2" x14ac:dyDescent="0.25">
      <c r="A12808" s="118"/>
      <c r="B12808" s="136"/>
    </row>
    <row r="12809" spans="1:2" x14ac:dyDescent="0.25">
      <c r="A12809" s="118"/>
      <c r="B12809" s="136"/>
    </row>
    <row r="12810" spans="1:2" x14ac:dyDescent="0.25">
      <c r="A12810" s="118"/>
      <c r="B12810" s="136"/>
    </row>
    <row r="12811" spans="1:2" x14ac:dyDescent="0.25">
      <c r="A12811" s="118"/>
      <c r="B12811" s="136"/>
    </row>
    <row r="12812" spans="1:2" x14ac:dyDescent="0.25">
      <c r="A12812" s="118"/>
      <c r="B12812" s="136"/>
    </row>
    <row r="12813" spans="1:2" x14ac:dyDescent="0.25">
      <c r="A12813" s="118"/>
      <c r="B12813" s="136"/>
    </row>
    <row r="12814" spans="1:2" x14ac:dyDescent="0.25">
      <c r="A12814" s="118"/>
      <c r="B12814" s="136"/>
    </row>
    <row r="12815" spans="1:2" x14ac:dyDescent="0.25">
      <c r="A12815" s="118"/>
      <c r="B12815" s="136"/>
    </row>
    <row r="12816" spans="1:2" x14ac:dyDescent="0.25">
      <c r="A12816" s="118"/>
      <c r="B12816" s="136"/>
    </row>
    <row r="12817" spans="1:2" x14ac:dyDescent="0.25">
      <c r="A12817" s="118"/>
      <c r="B12817" s="136"/>
    </row>
    <row r="12818" spans="1:2" x14ac:dyDescent="0.25">
      <c r="A12818" s="118"/>
      <c r="B12818" s="136"/>
    </row>
    <row r="12819" spans="1:2" x14ac:dyDescent="0.25">
      <c r="A12819" s="118"/>
      <c r="B12819" s="136"/>
    </row>
    <row r="12820" spans="1:2" x14ac:dyDescent="0.25">
      <c r="A12820" s="118"/>
      <c r="B12820" s="136"/>
    </row>
    <row r="12821" spans="1:2" x14ac:dyDescent="0.25">
      <c r="A12821" s="118"/>
      <c r="B12821" s="136"/>
    </row>
    <row r="12822" spans="1:2" x14ac:dyDescent="0.25">
      <c r="A12822" s="118"/>
      <c r="B12822" s="136"/>
    </row>
    <row r="12823" spans="1:2" x14ac:dyDescent="0.25">
      <c r="A12823" s="118"/>
      <c r="B12823" s="136"/>
    </row>
    <row r="12824" spans="1:2" x14ac:dyDescent="0.25">
      <c r="A12824" s="118"/>
      <c r="B12824" s="136"/>
    </row>
    <row r="12825" spans="1:2" x14ac:dyDescent="0.25">
      <c r="A12825" s="118"/>
      <c r="B12825" s="136"/>
    </row>
    <row r="12826" spans="1:2" x14ac:dyDescent="0.25">
      <c r="A12826" s="118"/>
      <c r="B12826" s="136"/>
    </row>
    <row r="12827" spans="1:2" x14ac:dyDescent="0.25">
      <c r="A12827" s="118"/>
      <c r="B12827" s="136"/>
    </row>
    <row r="12828" spans="1:2" x14ac:dyDescent="0.25">
      <c r="A12828" s="118"/>
      <c r="B12828" s="136"/>
    </row>
    <row r="12829" spans="1:2" x14ac:dyDescent="0.25">
      <c r="A12829" s="118"/>
      <c r="B12829" s="136"/>
    </row>
    <row r="12830" spans="1:2" x14ac:dyDescent="0.25">
      <c r="A12830" s="118"/>
      <c r="B12830" s="136"/>
    </row>
    <row r="12831" spans="1:2" x14ac:dyDescent="0.25">
      <c r="A12831" s="118"/>
      <c r="B12831" s="136"/>
    </row>
    <row r="12832" spans="1:2" x14ac:dyDescent="0.25">
      <c r="A12832" s="118"/>
      <c r="B12832" s="136"/>
    </row>
    <row r="12833" spans="1:2" x14ac:dyDescent="0.25">
      <c r="A12833" s="118"/>
      <c r="B12833" s="136"/>
    </row>
    <row r="12834" spans="1:2" x14ac:dyDescent="0.25">
      <c r="A12834" s="118"/>
      <c r="B12834" s="136"/>
    </row>
    <row r="12835" spans="1:2" x14ac:dyDescent="0.25">
      <c r="A12835" s="118"/>
      <c r="B12835" s="136"/>
    </row>
    <row r="12836" spans="1:2" x14ac:dyDescent="0.25">
      <c r="A12836" s="118"/>
      <c r="B12836" s="136"/>
    </row>
    <row r="12837" spans="1:2" x14ac:dyDescent="0.25">
      <c r="A12837" s="118"/>
      <c r="B12837" s="136"/>
    </row>
    <row r="12838" spans="1:2" x14ac:dyDescent="0.25">
      <c r="A12838" s="118"/>
      <c r="B12838" s="136"/>
    </row>
    <row r="12839" spans="1:2" x14ac:dyDescent="0.25">
      <c r="A12839" s="118"/>
      <c r="B12839" s="136"/>
    </row>
    <row r="12840" spans="1:2" x14ac:dyDescent="0.25">
      <c r="A12840" s="118"/>
      <c r="B12840" s="136"/>
    </row>
    <row r="12841" spans="1:2" x14ac:dyDescent="0.25">
      <c r="A12841" s="118"/>
      <c r="B12841" s="136"/>
    </row>
    <row r="12842" spans="1:2" x14ac:dyDescent="0.25">
      <c r="A12842" s="118"/>
      <c r="B12842" s="136"/>
    </row>
    <row r="12843" spans="1:2" x14ac:dyDescent="0.25">
      <c r="A12843" s="118"/>
      <c r="B12843" s="136"/>
    </row>
    <row r="12844" spans="1:2" x14ac:dyDescent="0.25">
      <c r="A12844" s="118"/>
      <c r="B12844" s="136"/>
    </row>
    <row r="12845" spans="1:2" x14ac:dyDescent="0.25">
      <c r="A12845" s="118"/>
      <c r="B12845" s="136"/>
    </row>
    <row r="12846" spans="1:2" x14ac:dyDescent="0.25">
      <c r="A12846" s="118"/>
      <c r="B12846" s="136"/>
    </row>
    <row r="12847" spans="1:2" x14ac:dyDescent="0.25">
      <c r="A12847" s="118"/>
      <c r="B12847" s="136"/>
    </row>
    <row r="12848" spans="1:2" x14ac:dyDescent="0.25">
      <c r="A12848" s="118"/>
      <c r="B12848" s="136"/>
    </row>
    <row r="12849" spans="1:2" x14ac:dyDescent="0.25">
      <c r="A12849" s="118"/>
      <c r="B12849" s="136"/>
    </row>
    <row r="12850" spans="1:2" x14ac:dyDescent="0.25">
      <c r="A12850" s="118"/>
      <c r="B12850" s="136"/>
    </row>
    <row r="12851" spans="1:2" x14ac:dyDescent="0.25">
      <c r="A12851" s="118"/>
      <c r="B12851" s="136"/>
    </row>
    <row r="12852" spans="1:2" x14ac:dyDescent="0.25">
      <c r="A12852" s="118"/>
      <c r="B12852" s="136"/>
    </row>
    <row r="12853" spans="1:2" x14ac:dyDescent="0.25">
      <c r="A12853" s="118"/>
      <c r="B12853" s="136"/>
    </row>
    <row r="12854" spans="1:2" x14ac:dyDescent="0.25">
      <c r="A12854" s="118"/>
      <c r="B12854" s="136"/>
    </row>
    <row r="12855" spans="1:2" x14ac:dyDescent="0.25">
      <c r="A12855" s="118"/>
      <c r="B12855" s="136"/>
    </row>
    <row r="12856" spans="1:2" x14ac:dyDescent="0.25">
      <c r="A12856" s="118"/>
      <c r="B12856" s="136"/>
    </row>
    <row r="12857" spans="1:2" x14ac:dyDescent="0.25">
      <c r="A12857" s="118"/>
      <c r="B12857" s="136"/>
    </row>
    <row r="12858" spans="1:2" x14ac:dyDescent="0.25">
      <c r="A12858" s="118"/>
      <c r="B12858" s="136"/>
    </row>
    <row r="12859" spans="1:2" x14ac:dyDescent="0.25">
      <c r="A12859" s="118"/>
      <c r="B12859" s="136"/>
    </row>
    <row r="12860" spans="1:2" x14ac:dyDescent="0.25">
      <c r="A12860" s="118"/>
      <c r="B12860" s="136"/>
    </row>
    <row r="12861" spans="1:2" x14ac:dyDescent="0.25">
      <c r="A12861" s="118"/>
      <c r="B12861" s="136"/>
    </row>
    <row r="12862" spans="1:2" x14ac:dyDescent="0.25">
      <c r="A12862" s="118"/>
      <c r="B12862" s="136"/>
    </row>
    <row r="12863" spans="1:2" x14ac:dyDescent="0.25">
      <c r="A12863" s="118"/>
      <c r="B12863" s="136"/>
    </row>
    <row r="12864" spans="1:2" x14ac:dyDescent="0.25">
      <c r="A12864" s="118"/>
      <c r="B12864" s="136"/>
    </row>
    <row r="12865" spans="1:2" x14ac:dyDescent="0.25">
      <c r="A12865" s="118"/>
      <c r="B12865" s="136"/>
    </row>
    <row r="12866" spans="1:2" x14ac:dyDescent="0.25">
      <c r="A12866" s="118"/>
      <c r="B12866" s="136"/>
    </row>
    <row r="12867" spans="1:2" x14ac:dyDescent="0.25">
      <c r="A12867" s="118"/>
      <c r="B12867" s="136"/>
    </row>
    <row r="12868" spans="1:2" x14ac:dyDescent="0.25">
      <c r="A12868" s="118"/>
      <c r="B12868" s="136"/>
    </row>
    <row r="12869" spans="1:2" x14ac:dyDescent="0.25">
      <c r="A12869" s="118"/>
      <c r="B12869" s="136"/>
    </row>
    <row r="12870" spans="1:2" x14ac:dyDescent="0.25">
      <c r="A12870" s="118"/>
      <c r="B12870" s="136"/>
    </row>
    <row r="12871" spans="1:2" x14ac:dyDescent="0.25">
      <c r="A12871" s="118"/>
      <c r="B12871" s="136"/>
    </row>
    <row r="12872" spans="1:2" x14ac:dyDescent="0.25">
      <c r="A12872" s="118"/>
      <c r="B12872" s="136"/>
    </row>
    <row r="12873" spans="1:2" x14ac:dyDescent="0.25">
      <c r="A12873" s="118"/>
      <c r="B12873" s="136"/>
    </row>
    <row r="12874" spans="1:2" x14ac:dyDescent="0.25">
      <c r="A12874" s="118"/>
      <c r="B12874" s="136"/>
    </row>
    <row r="12875" spans="1:2" x14ac:dyDescent="0.25">
      <c r="A12875" s="118"/>
      <c r="B12875" s="136"/>
    </row>
    <row r="12876" spans="1:2" x14ac:dyDescent="0.25">
      <c r="A12876" s="118"/>
      <c r="B12876" s="136"/>
    </row>
    <row r="12877" spans="1:2" x14ac:dyDescent="0.25">
      <c r="A12877" s="118"/>
      <c r="B12877" s="136"/>
    </row>
    <row r="12878" spans="1:2" x14ac:dyDescent="0.25">
      <c r="A12878" s="118"/>
      <c r="B12878" s="136"/>
    </row>
    <row r="12879" spans="1:2" x14ac:dyDescent="0.25">
      <c r="A12879" s="118"/>
      <c r="B12879" s="136"/>
    </row>
    <row r="12880" spans="1:2" x14ac:dyDescent="0.25">
      <c r="A12880" s="118"/>
      <c r="B12880" s="136"/>
    </row>
    <row r="12881" spans="1:2" x14ac:dyDescent="0.25">
      <c r="A12881" s="118"/>
      <c r="B12881" s="136"/>
    </row>
    <row r="12882" spans="1:2" x14ac:dyDescent="0.25">
      <c r="A12882" s="118"/>
      <c r="B12882" s="136"/>
    </row>
    <row r="12883" spans="1:2" x14ac:dyDescent="0.25">
      <c r="A12883" s="118"/>
      <c r="B12883" s="136"/>
    </row>
    <row r="12884" spans="1:2" x14ac:dyDescent="0.25">
      <c r="A12884" s="118"/>
      <c r="B12884" s="136"/>
    </row>
    <row r="12885" spans="1:2" x14ac:dyDescent="0.25">
      <c r="A12885" s="118"/>
      <c r="B12885" s="136"/>
    </row>
    <row r="12886" spans="1:2" x14ac:dyDescent="0.25">
      <c r="A12886" s="118"/>
      <c r="B12886" s="136"/>
    </row>
    <row r="12887" spans="1:2" x14ac:dyDescent="0.25">
      <c r="A12887" s="118"/>
      <c r="B12887" s="136"/>
    </row>
    <row r="12888" spans="1:2" x14ac:dyDescent="0.25">
      <c r="A12888" s="118"/>
      <c r="B12888" s="136"/>
    </row>
    <row r="12889" spans="1:2" x14ac:dyDescent="0.25">
      <c r="A12889" s="118"/>
      <c r="B12889" s="136"/>
    </row>
    <row r="12890" spans="1:2" x14ac:dyDescent="0.25">
      <c r="A12890" s="118"/>
      <c r="B12890" s="136"/>
    </row>
    <row r="12891" spans="1:2" x14ac:dyDescent="0.25">
      <c r="A12891" s="118"/>
      <c r="B12891" s="136"/>
    </row>
    <row r="12892" spans="1:2" x14ac:dyDescent="0.25">
      <c r="A12892" s="118"/>
      <c r="B12892" s="136"/>
    </row>
    <row r="12893" spans="1:2" x14ac:dyDescent="0.25">
      <c r="A12893" s="118"/>
      <c r="B12893" s="136"/>
    </row>
    <row r="12894" spans="1:2" x14ac:dyDescent="0.25">
      <c r="A12894" s="118"/>
      <c r="B12894" s="136"/>
    </row>
    <row r="12895" spans="1:2" x14ac:dyDescent="0.25">
      <c r="A12895" s="118"/>
      <c r="B12895" s="136"/>
    </row>
    <row r="12896" spans="1:2" x14ac:dyDescent="0.25">
      <c r="A12896" s="118"/>
      <c r="B12896" s="136"/>
    </row>
    <row r="12897" spans="1:2" x14ac:dyDescent="0.25">
      <c r="A12897" s="118"/>
      <c r="B12897" s="136"/>
    </row>
    <row r="12898" spans="1:2" x14ac:dyDescent="0.25">
      <c r="A12898" s="118"/>
      <c r="B12898" s="136"/>
    </row>
    <row r="12899" spans="1:2" x14ac:dyDescent="0.25">
      <c r="A12899" s="118"/>
      <c r="B12899" s="136"/>
    </row>
    <row r="12900" spans="1:2" x14ac:dyDescent="0.25">
      <c r="A12900" s="118"/>
      <c r="B12900" s="136"/>
    </row>
    <row r="12901" spans="1:2" x14ac:dyDescent="0.25">
      <c r="A12901" s="118"/>
      <c r="B12901" s="136"/>
    </row>
    <row r="12902" spans="1:2" x14ac:dyDescent="0.25">
      <c r="A12902" s="118"/>
      <c r="B12902" s="136"/>
    </row>
    <row r="12903" spans="1:2" x14ac:dyDescent="0.25">
      <c r="A12903" s="118"/>
      <c r="B12903" s="136"/>
    </row>
    <row r="12904" spans="1:2" x14ac:dyDescent="0.25">
      <c r="A12904" s="118"/>
      <c r="B12904" s="136"/>
    </row>
    <row r="12905" spans="1:2" x14ac:dyDescent="0.25">
      <c r="A12905" s="118"/>
      <c r="B12905" s="136"/>
    </row>
    <row r="12906" spans="1:2" x14ac:dyDescent="0.25">
      <c r="A12906" s="118"/>
      <c r="B12906" s="136"/>
    </row>
    <row r="12907" spans="1:2" x14ac:dyDescent="0.25">
      <c r="A12907" s="118"/>
      <c r="B12907" s="136"/>
    </row>
    <row r="12908" spans="1:2" x14ac:dyDescent="0.25">
      <c r="A12908" s="118"/>
      <c r="B12908" s="136"/>
    </row>
    <row r="12909" spans="1:2" x14ac:dyDescent="0.25">
      <c r="A12909" s="118"/>
      <c r="B12909" s="136"/>
    </row>
    <row r="12910" spans="1:2" x14ac:dyDescent="0.25">
      <c r="A12910" s="118"/>
      <c r="B12910" s="136"/>
    </row>
    <row r="12911" spans="1:2" x14ac:dyDescent="0.25">
      <c r="A12911" s="118"/>
      <c r="B12911" s="136"/>
    </row>
    <row r="12912" spans="1:2" x14ac:dyDescent="0.25">
      <c r="A12912" s="118"/>
      <c r="B12912" s="136"/>
    </row>
    <row r="12913" spans="1:2" x14ac:dyDescent="0.25">
      <c r="A12913" s="118"/>
      <c r="B12913" s="136"/>
    </row>
    <row r="12914" spans="1:2" x14ac:dyDescent="0.25">
      <c r="A12914" s="118"/>
      <c r="B12914" s="136"/>
    </row>
    <row r="12915" spans="1:2" x14ac:dyDescent="0.25">
      <c r="A12915" s="118"/>
      <c r="B12915" s="136"/>
    </row>
    <row r="12916" spans="1:2" x14ac:dyDescent="0.25">
      <c r="A12916" s="118"/>
      <c r="B12916" s="136"/>
    </row>
    <row r="12917" spans="1:2" x14ac:dyDescent="0.25">
      <c r="A12917" s="118"/>
      <c r="B12917" s="136"/>
    </row>
    <row r="12918" spans="1:2" x14ac:dyDescent="0.25">
      <c r="A12918" s="118"/>
      <c r="B12918" s="136"/>
    </row>
    <row r="12919" spans="1:2" x14ac:dyDescent="0.25">
      <c r="A12919" s="118"/>
      <c r="B12919" s="136"/>
    </row>
    <row r="12920" spans="1:2" x14ac:dyDescent="0.25">
      <c r="A12920" s="118"/>
      <c r="B12920" s="136"/>
    </row>
    <row r="12921" spans="1:2" x14ac:dyDescent="0.25">
      <c r="A12921" s="118"/>
      <c r="B12921" s="136"/>
    </row>
    <row r="12922" spans="1:2" x14ac:dyDescent="0.25">
      <c r="A12922" s="118"/>
      <c r="B12922" s="136"/>
    </row>
    <row r="12923" spans="1:2" x14ac:dyDescent="0.25">
      <c r="A12923" s="118"/>
      <c r="B12923" s="136"/>
    </row>
    <row r="12924" spans="1:2" x14ac:dyDescent="0.25">
      <c r="A12924" s="118"/>
      <c r="B12924" s="136"/>
    </row>
    <row r="12925" spans="1:2" x14ac:dyDescent="0.25">
      <c r="A12925" s="118"/>
      <c r="B12925" s="136"/>
    </row>
    <row r="12926" spans="1:2" x14ac:dyDescent="0.25">
      <c r="A12926" s="118"/>
      <c r="B12926" s="136"/>
    </row>
    <row r="12927" spans="1:2" x14ac:dyDescent="0.25">
      <c r="A12927" s="118"/>
      <c r="B12927" s="136"/>
    </row>
    <row r="12928" spans="1:2" x14ac:dyDescent="0.25">
      <c r="A12928" s="118"/>
      <c r="B12928" s="136"/>
    </row>
    <row r="12929" spans="1:2" x14ac:dyDescent="0.25">
      <c r="A12929" s="118"/>
      <c r="B12929" s="136"/>
    </row>
    <row r="12930" spans="1:2" x14ac:dyDescent="0.25">
      <c r="A12930" s="118"/>
      <c r="B12930" s="136"/>
    </row>
    <row r="12931" spans="1:2" x14ac:dyDescent="0.25">
      <c r="A12931" s="118"/>
      <c r="B12931" s="136"/>
    </row>
    <row r="12932" spans="1:2" x14ac:dyDescent="0.25">
      <c r="A12932" s="118"/>
      <c r="B12932" s="136"/>
    </row>
    <row r="12933" spans="1:2" x14ac:dyDescent="0.25">
      <c r="A12933" s="118"/>
      <c r="B12933" s="136"/>
    </row>
    <row r="12934" spans="1:2" x14ac:dyDescent="0.25">
      <c r="A12934" s="118"/>
      <c r="B12934" s="136"/>
    </row>
    <row r="12935" spans="1:2" x14ac:dyDescent="0.25">
      <c r="A12935" s="118"/>
      <c r="B12935" s="136"/>
    </row>
    <row r="12936" spans="1:2" x14ac:dyDescent="0.25">
      <c r="A12936" s="118"/>
      <c r="B12936" s="136"/>
    </row>
    <row r="12937" spans="1:2" x14ac:dyDescent="0.25">
      <c r="A12937" s="118"/>
      <c r="B12937" s="136"/>
    </row>
    <row r="12938" spans="1:2" x14ac:dyDescent="0.25">
      <c r="A12938" s="118"/>
      <c r="B12938" s="136"/>
    </row>
    <row r="12939" spans="1:2" x14ac:dyDescent="0.25">
      <c r="A12939" s="118"/>
      <c r="B12939" s="136"/>
    </row>
    <row r="12940" spans="1:2" x14ac:dyDescent="0.25">
      <c r="A12940" s="118"/>
      <c r="B12940" s="136"/>
    </row>
    <row r="12941" spans="1:2" x14ac:dyDescent="0.25">
      <c r="A12941" s="118"/>
      <c r="B12941" s="136"/>
    </row>
    <row r="12942" spans="1:2" x14ac:dyDescent="0.25">
      <c r="A12942" s="118"/>
      <c r="B12942" s="136"/>
    </row>
    <row r="12943" spans="1:2" x14ac:dyDescent="0.25">
      <c r="A12943" s="118"/>
      <c r="B12943" s="136"/>
    </row>
    <row r="12944" spans="1:2" x14ac:dyDescent="0.25">
      <c r="A12944" s="118"/>
      <c r="B12944" s="136"/>
    </row>
    <row r="12945" spans="1:2" x14ac:dyDescent="0.25">
      <c r="A12945" s="118"/>
      <c r="B12945" s="136"/>
    </row>
    <row r="12946" spans="1:2" x14ac:dyDescent="0.25">
      <c r="A12946" s="118"/>
      <c r="B12946" s="136"/>
    </row>
    <row r="12947" spans="1:2" x14ac:dyDescent="0.25">
      <c r="A12947" s="118"/>
      <c r="B12947" s="136"/>
    </row>
    <row r="12948" spans="1:2" x14ac:dyDescent="0.25">
      <c r="A12948" s="118"/>
      <c r="B12948" s="136"/>
    </row>
    <row r="12949" spans="1:2" x14ac:dyDescent="0.25">
      <c r="A12949" s="118"/>
      <c r="B12949" s="136"/>
    </row>
    <row r="12950" spans="1:2" x14ac:dyDescent="0.25">
      <c r="A12950" s="118"/>
      <c r="B12950" s="136"/>
    </row>
    <row r="12951" spans="1:2" x14ac:dyDescent="0.25">
      <c r="A12951" s="118"/>
      <c r="B12951" s="136"/>
    </row>
    <row r="12952" spans="1:2" x14ac:dyDescent="0.25">
      <c r="A12952" s="118"/>
      <c r="B12952" s="136"/>
    </row>
    <row r="12953" spans="1:2" x14ac:dyDescent="0.25">
      <c r="A12953" s="118"/>
      <c r="B12953" s="136"/>
    </row>
    <row r="12954" spans="1:2" x14ac:dyDescent="0.25">
      <c r="A12954" s="118"/>
      <c r="B12954" s="136"/>
    </row>
    <row r="12955" spans="1:2" x14ac:dyDescent="0.25">
      <c r="A12955" s="118"/>
      <c r="B12955" s="136"/>
    </row>
    <row r="12956" spans="1:2" x14ac:dyDescent="0.25">
      <c r="A12956" s="118"/>
      <c r="B12956" s="136"/>
    </row>
    <row r="12957" spans="1:2" x14ac:dyDescent="0.25">
      <c r="A12957" s="118"/>
      <c r="B12957" s="136"/>
    </row>
    <row r="12958" spans="1:2" x14ac:dyDescent="0.25">
      <c r="A12958" s="118"/>
      <c r="B12958" s="136"/>
    </row>
    <row r="12959" spans="1:2" x14ac:dyDescent="0.25">
      <c r="A12959" s="118"/>
      <c r="B12959" s="136"/>
    </row>
    <row r="12960" spans="1:2" x14ac:dyDescent="0.25">
      <c r="A12960" s="118"/>
      <c r="B12960" s="136"/>
    </row>
    <row r="12961" spans="1:2" x14ac:dyDescent="0.25">
      <c r="A12961" s="118"/>
      <c r="B12961" s="136"/>
    </row>
    <row r="12962" spans="1:2" x14ac:dyDescent="0.25">
      <c r="A12962" s="118"/>
      <c r="B12962" s="136"/>
    </row>
    <row r="12963" spans="1:2" x14ac:dyDescent="0.25">
      <c r="A12963" s="118"/>
      <c r="B12963" s="136"/>
    </row>
    <row r="12964" spans="1:2" x14ac:dyDescent="0.25">
      <c r="A12964" s="118"/>
      <c r="B12964" s="136"/>
    </row>
    <row r="12965" spans="1:2" x14ac:dyDescent="0.25">
      <c r="A12965" s="118"/>
      <c r="B12965" s="136"/>
    </row>
    <row r="12966" spans="1:2" x14ac:dyDescent="0.25">
      <c r="A12966" s="118"/>
      <c r="B12966" s="136"/>
    </row>
    <row r="12967" spans="1:2" x14ac:dyDescent="0.25">
      <c r="A12967" s="118"/>
      <c r="B12967" s="136"/>
    </row>
    <row r="12968" spans="1:2" x14ac:dyDescent="0.25">
      <c r="A12968" s="118"/>
      <c r="B12968" s="136"/>
    </row>
    <row r="12969" spans="1:2" x14ac:dyDescent="0.25">
      <c r="A12969" s="118"/>
      <c r="B12969" s="136"/>
    </row>
    <row r="12970" spans="1:2" x14ac:dyDescent="0.25">
      <c r="A12970" s="118"/>
      <c r="B12970" s="136"/>
    </row>
    <row r="12971" spans="1:2" x14ac:dyDescent="0.25">
      <c r="A12971" s="118"/>
      <c r="B12971" s="136"/>
    </row>
    <row r="12972" spans="1:2" x14ac:dyDescent="0.25">
      <c r="A12972" s="118"/>
      <c r="B12972" s="136"/>
    </row>
    <row r="12973" spans="1:2" x14ac:dyDescent="0.25">
      <c r="A12973" s="118"/>
      <c r="B12973" s="136"/>
    </row>
    <row r="12974" spans="1:2" x14ac:dyDescent="0.25">
      <c r="A12974" s="118"/>
      <c r="B12974" s="136"/>
    </row>
    <row r="12975" spans="1:2" x14ac:dyDescent="0.25">
      <c r="A12975" s="118"/>
      <c r="B12975" s="136"/>
    </row>
    <row r="12976" spans="1:2" x14ac:dyDescent="0.25">
      <c r="A12976" s="118"/>
      <c r="B12976" s="136"/>
    </row>
    <row r="12977" spans="1:2" x14ac:dyDescent="0.25">
      <c r="A12977" s="118"/>
      <c r="B12977" s="136"/>
    </row>
    <row r="12978" spans="1:2" x14ac:dyDescent="0.25">
      <c r="A12978" s="118"/>
      <c r="B12978" s="136"/>
    </row>
    <row r="12979" spans="1:2" x14ac:dyDescent="0.25">
      <c r="A12979" s="118"/>
      <c r="B12979" s="136"/>
    </row>
    <row r="12980" spans="1:2" x14ac:dyDescent="0.25">
      <c r="A12980" s="118"/>
      <c r="B12980" s="136"/>
    </row>
    <row r="12981" spans="1:2" x14ac:dyDescent="0.25">
      <c r="A12981" s="118"/>
      <c r="B12981" s="136"/>
    </row>
    <row r="12982" spans="1:2" x14ac:dyDescent="0.25">
      <c r="A12982" s="118"/>
      <c r="B12982" s="136"/>
    </row>
    <row r="12983" spans="1:2" x14ac:dyDescent="0.25">
      <c r="A12983" s="118"/>
      <c r="B12983" s="136"/>
    </row>
    <row r="12984" spans="1:2" x14ac:dyDescent="0.25">
      <c r="A12984" s="118"/>
      <c r="B12984" s="136"/>
    </row>
    <row r="12985" spans="1:2" x14ac:dyDescent="0.25">
      <c r="A12985" s="118"/>
      <c r="B12985" s="136"/>
    </row>
    <row r="12986" spans="1:2" x14ac:dyDescent="0.25">
      <c r="A12986" s="118"/>
      <c r="B12986" s="136"/>
    </row>
    <row r="12987" spans="1:2" x14ac:dyDescent="0.25">
      <c r="A12987" s="118"/>
      <c r="B12987" s="136"/>
    </row>
    <row r="12988" spans="1:2" x14ac:dyDescent="0.25">
      <c r="A12988" s="118"/>
      <c r="B12988" s="136"/>
    </row>
    <row r="12989" spans="1:2" x14ac:dyDescent="0.25">
      <c r="A12989" s="118"/>
      <c r="B12989" s="136"/>
    </row>
    <row r="12990" spans="1:2" x14ac:dyDescent="0.25">
      <c r="A12990" s="118"/>
      <c r="B12990" s="136"/>
    </row>
    <row r="12991" spans="1:2" x14ac:dyDescent="0.25">
      <c r="A12991" s="118"/>
      <c r="B12991" s="136"/>
    </row>
    <row r="12992" spans="1:2" x14ac:dyDescent="0.25">
      <c r="A12992" s="118"/>
      <c r="B12992" s="136"/>
    </row>
    <row r="12993" spans="1:2" x14ac:dyDescent="0.25">
      <c r="A12993" s="118"/>
      <c r="B12993" s="136"/>
    </row>
    <row r="12994" spans="1:2" x14ac:dyDescent="0.25">
      <c r="A12994" s="118"/>
      <c r="B12994" s="136"/>
    </row>
    <row r="12995" spans="1:2" x14ac:dyDescent="0.25">
      <c r="A12995" s="118"/>
      <c r="B12995" s="136"/>
    </row>
    <row r="12996" spans="1:2" x14ac:dyDescent="0.25">
      <c r="A12996" s="118"/>
      <c r="B12996" s="136"/>
    </row>
    <row r="12997" spans="1:2" x14ac:dyDescent="0.25">
      <c r="A12997" s="118"/>
      <c r="B12997" s="136"/>
    </row>
    <row r="12998" spans="1:2" x14ac:dyDescent="0.25">
      <c r="A12998" s="118"/>
      <c r="B12998" s="136"/>
    </row>
    <row r="12999" spans="1:2" x14ac:dyDescent="0.25">
      <c r="A12999" s="118"/>
      <c r="B12999" s="136"/>
    </row>
    <row r="13000" spans="1:2" x14ac:dyDescent="0.25">
      <c r="A13000" s="118"/>
      <c r="B13000" s="136"/>
    </row>
    <row r="13001" spans="1:2" x14ac:dyDescent="0.25">
      <c r="A13001" s="118"/>
      <c r="B13001" s="136"/>
    </row>
    <row r="13002" spans="1:2" x14ac:dyDescent="0.25">
      <c r="A13002" s="118"/>
      <c r="B13002" s="136"/>
    </row>
    <row r="13003" spans="1:2" x14ac:dyDescent="0.25">
      <c r="A13003" s="118"/>
      <c r="B13003" s="136"/>
    </row>
    <row r="13004" spans="1:2" x14ac:dyDescent="0.25">
      <c r="A13004" s="118"/>
      <c r="B13004" s="136"/>
    </row>
    <row r="13005" spans="1:2" x14ac:dyDescent="0.25">
      <c r="A13005" s="118"/>
      <c r="B13005" s="136"/>
    </row>
    <row r="13006" spans="1:2" x14ac:dyDescent="0.25">
      <c r="A13006" s="118"/>
      <c r="B13006" s="136"/>
    </row>
    <row r="13007" spans="1:2" x14ac:dyDescent="0.25">
      <c r="A13007" s="118"/>
      <c r="B13007" s="136"/>
    </row>
    <row r="13008" spans="1:2" x14ac:dyDescent="0.25">
      <c r="A13008" s="118"/>
      <c r="B13008" s="136"/>
    </row>
    <row r="13009" spans="1:2" x14ac:dyDescent="0.25">
      <c r="A13009" s="118"/>
      <c r="B13009" s="136"/>
    </row>
    <row r="13010" spans="1:2" x14ac:dyDescent="0.25">
      <c r="A13010" s="118"/>
      <c r="B13010" s="136"/>
    </row>
    <row r="13011" spans="1:2" x14ac:dyDescent="0.25">
      <c r="A13011" s="118"/>
      <c r="B13011" s="136"/>
    </row>
    <row r="13012" spans="1:2" x14ac:dyDescent="0.25">
      <c r="A13012" s="118"/>
      <c r="B13012" s="136"/>
    </row>
    <row r="13013" spans="1:2" x14ac:dyDescent="0.25">
      <c r="A13013" s="118"/>
      <c r="B13013" s="136"/>
    </row>
    <row r="13014" spans="1:2" x14ac:dyDescent="0.25">
      <c r="A13014" s="118"/>
      <c r="B13014" s="136"/>
    </row>
    <row r="13015" spans="1:2" x14ac:dyDescent="0.25">
      <c r="A13015" s="118"/>
      <c r="B13015" s="136"/>
    </row>
    <row r="13016" spans="1:2" x14ac:dyDescent="0.25">
      <c r="A13016" s="118"/>
      <c r="B13016" s="136"/>
    </row>
    <row r="13017" spans="1:2" x14ac:dyDescent="0.25">
      <c r="A13017" s="118"/>
      <c r="B13017" s="136"/>
    </row>
    <row r="13018" spans="1:2" x14ac:dyDescent="0.25">
      <c r="A13018" s="118"/>
      <c r="B13018" s="136"/>
    </row>
    <row r="13019" spans="1:2" x14ac:dyDescent="0.25">
      <c r="A13019" s="118"/>
      <c r="B13019" s="136"/>
    </row>
    <row r="13020" spans="1:2" x14ac:dyDescent="0.25">
      <c r="A13020" s="118"/>
      <c r="B13020" s="136"/>
    </row>
    <row r="13021" spans="1:2" x14ac:dyDescent="0.25">
      <c r="A13021" s="118"/>
      <c r="B13021" s="136"/>
    </row>
    <row r="13022" spans="1:2" x14ac:dyDescent="0.25">
      <c r="A13022" s="118"/>
      <c r="B13022" s="136"/>
    </row>
    <row r="13023" spans="1:2" x14ac:dyDescent="0.25">
      <c r="A13023" s="118"/>
      <c r="B13023" s="136"/>
    </row>
    <row r="13024" spans="1:2" x14ac:dyDescent="0.25">
      <c r="A13024" s="118"/>
      <c r="B13024" s="136"/>
    </row>
    <row r="13025" spans="1:2" x14ac:dyDescent="0.25">
      <c r="A13025" s="118"/>
      <c r="B13025" s="136"/>
    </row>
    <row r="13026" spans="1:2" x14ac:dyDescent="0.25">
      <c r="A13026" s="118"/>
      <c r="B13026" s="136"/>
    </row>
    <row r="13027" spans="1:2" x14ac:dyDescent="0.25">
      <c r="A13027" s="118"/>
      <c r="B13027" s="136"/>
    </row>
    <row r="13028" spans="1:2" x14ac:dyDescent="0.25">
      <c r="A13028" s="118"/>
      <c r="B13028" s="136"/>
    </row>
    <row r="13029" spans="1:2" x14ac:dyDescent="0.25">
      <c r="A13029" s="118"/>
      <c r="B13029" s="136"/>
    </row>
    <row r="13030" spans="1:2" x14ac:dyDescent="0.25">
      <c r="A13030" s="118"/>
      <c r="B13030" s="136"/>
    </row>
    <row r="13031" spans="1:2" x14ac:dyDescent="0.25">
      <c r="A13031" s="118"/>
      <c r="B13031" s="136"/>
    </row>
    <row r="13032" spans="1:2" x14ac:dyDescent="0.25">
      <c r="A13032" s="118"/>
      <c r="B13032" s="136"/>
    </row>
    <row r="13033" spans="1:2" x14ac:dyDescent="0.25">
      <c r="A13033" s="118"/>
      <c r="B13033" s="136"/>
    </row>
    <row r="13034" spans="1:2" x14ac:dyDescent="0.25">
      <c r="A13034" s="118"/>
      <c r="B13034" s="136"/>
    </row>
    <row r="13035" spans="1:2" x14ac:dyDescent="0.25">
      <c r="A13035" s="118"/>
      <c r="B13035" s="136"/>
    </row>
    <row r="13036" spans="1:2" x14ac:dyDescent="0.25">
      <c r="A13036" s="118"/>
      <c r="B13036" s="136"/>
    </row>
    <row r="13037" spans="1:2" x14ac:dyDescent="0.25">
      <c r="A13037" s="118"/>
      <c r="B13037" s="136"/>
    </row>
    <row r="13038" spans="1:2" x14ac:dyDescent="0.25">
      <c r="A13038" s="118"/>
      <c r="B13038" s="136"/>
    </row>
    <row r="13039" spans="1:2" x14ac:dyDescent="0.25">
      <c r="A13039" s="118"/>
      <c r="B13039" s="136"/>
    </row>
    <row r="13040" spans="1:2" x14ac:dyDescent="0.25">
      <c r="A13040" s="118"/>
      <c r="B13040" s="136"/>
    </row>
    <row r="13041" spans="1:2" x14ac:dyDescent="0.25">
      <c r="A13041" s="118"/>
      <c r="B13041" s="136"/>
    </row>
    <row r="13042" spans="1:2" x14ac:dyDescent="0.25">
      <c r="A13042" s="118"/>
      <c r="B13042" s="136"/>
    </row>
    <row r="13043" spans="1:2" x14ac:dyDescent="0.25">
      <c r="A13043" s="118"/>
      <c r="B13043" s="136"/>
    </row>
    <row r="13044" spans="1:2" x14ac:dyDescent="0.25">
      <c r="A13044" s="118"/>
      <c r="B13044" s="136"/>
    </row>
    <row r="13045" spans="1:2" x14ac:dyDescent="0.25">
      <c r="A13045" s="118"/>
      <c r="B13045" s="136"/>
    </row>
    <row r="13046" spans="1:2" x14ac:dyDescent="0.25">
      <c r="A13046" s="118"/>
      <c r="B13046" s="136"/>
    </row>
    <row r="13047" spans="1:2" x14ac:dyDescent="0.25">
      <c r="A13047" s="118"/>
      <c r="B13047" s="136"/>
    </row>
    <row r="13048" spans="1:2" x14ac:dyDescent="0.25">
      <c r="A13048" s="118"/>
      <c r="B13048" s="136"/>
    </row>
    <row r="13049" spans="1:2" x14ac:dyDescent="0.25">
      <c r="A13049" s="118"/>
      <c r="B13049" s="136"/>
    </row>
    <row r="13050" spans="1:2" x14ac:dyDescent="0.25">
      <c r="A13050" s="118"/>
      <c r="B13050" s="136"/>
    </row>
    <row r="13051" spans="1:2" x14ac:dyDescent="0.25">
      <c r="A13051" s="118"/>
      <c r="B13051" s="136"/>
    </row>
    <row r="13052" spans="1:2" x14ac:dyDescent="0.25">
      <c r="A13052" s="118"/>
      <c r="B13052" s="136"/>
    </row>
    <row r="13053" spans="1:2" x14ac:dyDescent="0.25">
      <c r="A13053" s="118"/>
      <c r="B13053" s="136"/>
    </row>
    <row r="13054" spans="1:2" x14ac:dyDescent="0.25">
      <c r="A13054" s="118"/>
      <c r="B13054" s="136"/>
    </row>
    <row r="13055" spans="1:2" x14ac:dyDescent="0.25">
      <c r="A13055" s="118"/>
      <c r="B13055" s="136"/>
    </row>
    <row r="13056" spans="1:2" x14ac:dyDescent="0.25">
      <c r="A13056" s="118"/>
      <c r="B13056" s="136"/>
    </row>
    <row r="13057" spans="1:2" x14ac:dyDescent="0.25">
      <c r="A13057" s="118"/>
      <c r="B13057" s="136"/>
    </row>
    <row r="13058" spans="1:2" x14ac:dyDescent="0.25">
      <c r="A13058" s="118"/>
      <c r="B13058" s="136"/>
    </row>
    <row r="13059" spans="1:2" x14ac:dyDescent="0.25">
      <c r="A13059" s="118"/>
      <c r="B13059" s="136"/>
    </row>
    <row r="13060" spans="1:2" x14ac:dyDescent="0.25">
      <c r="A13060" s="118"/>
      <c r="B13060" s="136"/>
    </row>
    <row r="13061" spans="1:2" x14ac:dyDescent="0.25">
      <c r="A13061" s="118"/>
      <c r="B13061" s="136"/>
    </row>
    <row r="13062" spans="1:2" x14ac:dyDescent="0.25">
      <c r="A13062" s="118"/>
      <c r="B13062" s="136"/>
    </row>
    <row r="13063" spans="1:2" x14ac:dyDescent="0.25">
      <c r="A13063" s="118"/>
      <c r="B13063" s="136"/>
    </row>
    <row r="13064" spans="1:2" x14ac:dyDescent="0.25">
      <c r="A13064" s="118"/>
      <c r="B13064" s="136"/>
    </row>
    <row r="13065" spans="1:2" x14ac:dyDescent="0.25">
      <c r="A13065" s="118"/>
      <c r="B13065" s="136"/>
    </row>
    <row r="13066" spans="1:2" x14ac:dyDescent="0.25">
      <c r="A13066" s="118"/>
      <c r="B13066" s="136"/>
    </row>
    <row r="13067" spans="1:2" x14ac:dyDescent="0.25">
      <c r="A13067" s="118"/>
      <c r="B13067" s="136"/>
    </row>
    <row r="13068" spans="1:2" x14ac:dyDescent="0.25">
      <c r="A13068" s="118"/>
      <c r="B13068" s="136"/>
    </row>
    <row r="13069" spans="1:2" x14ac:dyDescent="0.25">
      <c r="A13069" s="118"/>
      <c r="B13069" s="136"/>
    </row>
    <row r="13070" spans="1:2" x14ac:dyDescent="0.25">
      <c r="A13070" s="118"/>
      <c r="B13070" s="136"/>
    </row>
    <row r="13071" spans="1:2" x14ac:dyDescent="0.25">
      <c r="A13071" s="118"/>
      <c r="B13071" s="136"/>
    </row>
    <row r="13072" spans="1:2" x14ac:dyDescent="0.25">
      <c r="A13072" s="118"/>
      <c r="B13072" s="136"/>
    </row>
    <row r="13073" spans="1:2" x14ac:dyDescent="0.25">
      <c r="A13073" s="118"/>
      <c r="B13073" s="136"/>
    </row>
    <row r="13074" spans="1:2" x14ac:dyDescent="0.25">
      <c r="A13074" s="118"/>
      <c r="B13074" s="136"/>
    </row>
    <row r="13075" spans="1:2" x14ac:dyDescent="0.25">
      <c r="A13075" s="118"/>
      <c r="B13075" s="136"/>
    </row>
    <row r="13076" spans="1:2" x14ac:dyDescent="0.25">
      <c r="A13076" s="118"/>
      <c r="B13076" s="136"/>
    </row>
    <row r="13077" spans="1:2" x14ac:dyDescent="0.25">
      <c r="A13077" s="118"/>
      <c r="B13077" s="136"/>
    </row>
    <row r="13078" spans="1:2" x14ac:dyDescent="0.25">
      <c r="A13078" s="118"/>
      <c r="B13078" s="136"/>
    </row>
    <row r="13079" spans="1:2" x14ac:dyDescent="0.25">
      <c r="A13079" s="118"/>
      <c r="B13079" s="136"/>
    </row>
    <row r="13080" spans="1:2" x14ac:dyDescent="0.25">
      <c r="A13080" s="118"/>
      <c r="B13080" s="136"/>
    </row>
    <row r="13081" spans="1:2" x14ac:dyDescent="0.25">
      <c r="A13081" s="118"/>
      <c r="B13081" s="136"/>
    </row>
    <row r="13082" spans="1:2" x14ac:dyDescent="0.25">
      <c r="A13082" s="118"/>
      <c r="B13082" s="136"/>
    </row>
    <row r="13083" spans="1:2" x14ac:dyDescent="0.25">
      <c r="A13083" s="118"/>
      <c r="B13083" s="136"/>
    </row>
    <row r="13084" spans="1:2" x14ac:dyDescent="0.25">
      <c r="A13084" s="118"/>
      <c r="B13084" s="136"/>
    </row>
    <row r="13085" spans="1:2" x14ac:dyDescent="0.25">
      <c r="A13085" s="118"/>
      <c r="B13085" s="136"/>
    </row>
    <row r="13086" spans="1:2" x14ac:dyDescent="0.25">
      <c r="A13086" s="118"/>
      <c r="B13086" s="136"/>
    </row>
    <row r="13087" spans="1:2" x14ac:dyDescent="0.25">
      <c r="A13087" s="118"/>
      <c r="B13087" s="136"/>
    </row>
    <row r="13088" spans="1:2" x14ac:dyDescent="0.25">
      <c r="A13088" s="118"/>
      <c r="B13088" s="136"/>
    </row>
    <row r="13089" spans="1:2" x14ac:dyDescent="0.25">
      <c r="A13089" s="118"/>
      <c r="B13089" s="136"/>
    </row>
    <row r="13090" spans="1:2" x14ac:dyDescent="0.25">
      <c r="A13090" s="118"/>
      <c r="B13090" s="136"/>
    </row>
    <row r="13091" spans="1:2" x14ac:dyDescent="0.25">
      <c r="A13091" s="118"/>
      <c r="B13091" s="136"/>
    </row>
    <row r="13092" spans="1:2" x14ac:dyDescent="0.25">
      <c r="A13092" s="118"/>
      <c r="B13092" s="136"/>
    </row>
    <row r="13093" spans="1:2" x14ac:dyDescent="0.25">
      <c r="A13093" s="118"/>
      <c r="B13093" s="136"/>
    </row>
    <row r="13094" spans="1:2" x14ac:dyDescent="0.25">
      <c r="A13094" s="118"/>
      <c r="B13094" s="136"/>
    </row>
    <row r="13095" spans="1:2" x14ac:dyDescent="0.25">
      <c r="A13095" s="118"/>
      <c r="B13095" s="136"/>
    </row>
    <row r="13096" spans="1:2" x14ac:dyDescent="0.25">
      <c r="A13096" s="118"/>
      <c r="B13096" s="136"/>
    </row>
    <row r="13097" spans="1:2" x14ac:dyDescent="0.25">
      <c r="A13097" s="118"/>
      <c r="B13097" s="136"/>
    </row>
    <row r="13098" spans="1:2" x14ac:dyDescent="0.25">
      <c r="A13098" s="118"/>
      <c r="B13098" s="136"/>
    </row>
    <row r="13099" spans="1:2" x14ac:dyDescent="0.25">
      <c r="A13099" s="118"/>
      <c r="B13099" s="136"/>
    </row>
    <row r="13100" spans="1:2" x14ac:dyDescent="0.25">
      <c r="A13100" s="118"/>
      <c r="B13100" s="136"/>
    </row>
    <row r="13101" spans="1:2" x14ac:dyDescent="0.25">
      <c r="A13101" s="118"/>
      <c r="B13101" s="136"/>
    </row>
    <row r="13102" spans="1:2" x14ac:dyDescent="0.25">
      <c r="A13102" s="118"/>
      <c r="B13102" s="136"/>
    </row>
    <row r="13103" spans="1:2" x14ac:dyDescent="0.25">
      <c r="A13103" s="118"/>
      <c r="B13103" s="136"/>
    </row>
    <row r="13104" spans="1:2" x14ac:dyDescent="0.25">
      <c r="A13104" s="118"/>
      <c r="B13104" s="136"/>
    </row>
    <row r="13105" spans="1:2" x14ac:dyDescent="0.25">
      <c r="A13105" s="118"/>
      <c r="B13105" s="136"/>
    </row>
    <row r="13106" spans="1:2" x14ac:dyDescent="0.25">
      <c r="A13106" s="118"/>
      <c r="B13106" s="136"/>
    </row>
    <row r="13107" spans="1:2" x14ac:dyDescent="0.25">
      <c r="A13107" s="118"/>
      <c r="B13107" s="136"/>
    </row>
    <row r="13108" spans="1:2" x14ac:dyDescent="0.25">
      <c r="A13108" s="118"/>
      <c r="B13108" s="136"/>
    </row>
    <row r="13109" spans="1:2" x14ac:dyDescent="0.25">
      <c r="A13109" s="118"/>
      <c r="B13109" s="136"/>
    </row>
    <row r="13110" spans="1:2" x14ac:dyDescent="0.25">
      <c r="A13110" s="118"/>
      <c r="B13110" s="136"/>
    </row>
    <row r="13111" spans="1:2" x14ac:dyDescent="0.25">
      <c r="A13111" s="118"/>
      <c r="B13111" s="136"/>
    </row>
    <row r="13112" spans="1:2" x14ac:dyDescent="0.25">
      <c r="A13112" s="118"/>
      <c r="B13112" s="136"/>
    </row>
    <row r="13113" spans="1:2" x14ac:dyDescent="0.25">
      <c r="A13113" s="118"/>
      <c r="B13113" s="136"/>
    </row>
    <row r="13114" spans="1:2" x14ac:dyDescent="0.25">
      <c r="A13114" s="118"/>
      <c r="B13114" s="136"/>
    </row>
    <row r="13115" spans="1:2" x14ac:dyDescent="0.25">
      <c r="A13115" s="118"/>
      <c r="B13115" s="136"/>
    </row>
    <row r="13116" spans="1:2" x14ac:dyDescent="0.25">
      <c r="A13116" s="118"/>
      <c r="B13116" s="136"/>
    </row>
    <row r="13117" spans="1:2" x14ac:dyDescent="0.25">
      <c r="A13117" s="118"/>
      <c r="B13117" s="136"/>
    </row>
    <row r="13118" spans="1:2" x14ac:dyDescent="0.25">
      <c r="A13118" s="118"/>
      <c r="B13118" s="136"/>
    </row>
    <row r="13119" spans="1:2" x14ac:dyDescent="0.25">
      <c r="A13119" s="118"/>
      <c r="B13119" s="136"/>
    </row>
    <row r="13120" spans="1:2" x14ac:dyDescent="0.25">
      <c r="A13120" s="118"/>
      <c r="B13120" s="136"/>
    </row>
    <row r="13121" spans="1:2" x14ac:dyDescent="0.25">
      <c r="A13121" s="118"/>
      <c r="B13121" s="136"/>
    </row>
    <row r="13122" spans="1:2" x14ac:dyDescent="0.25">
      <c r="A13122" s="118"/>
      <c r="B13122" s="136"/>
    </row>
    <row r="13123" spans="1:2" x14ac:dyDescent="0.25">
      <c r="A13123" s="118"/>
      <c r="B13123" s="136"/>
    </row>
    <row r="13124" spans="1:2" x14ac:dyDescent="0.25">
      <c r="A13124" s="118"/>
      <c r="B13124" s="136"/>
    </row>
    <row r="13125" spans="1:2" x14ac:dyDescent="0.25">
      <c r="A13125" s="118"/>
      <c r="B13125" s="136"/>
    </row>
    <row r="13126" spans="1:2" x14ac:dyDescent="0.25">
      <c r="A13126" s="118"/>
      <c r="B13126" s="136"/>
    </row>
    <row r="13127" spans="1:2" x14ac:dyDescent="0.25">
      <c r="A13127" s="118"/>
      <c r="B13127" s="136"/>
    </row>
    <row r="13128" spans="1:2" x14ac:dyDescent="0.25">
      <c r="A13128" s="118"/>
      <c r="B13128" s="136"/>
    </row>
    <row r="13129" spans="1:2" x14ac:dyDescent="0.25">
      <c r="A13129" s="118"/>
      <c r="B13129" s="136"/>
    </row>
    <row r="13130" spans="1:2" x14ac:dyDescent="0.25">
      <c r="A13130" s="118"/>
      <c r="B13130" s="136"/>
    </row>
    <row r="13131" spans="1:2" x14ac:dyDescent="0.25">
      <c r="A13131" s="118"/>
      <c r="B13131" s="136"/>
    </row>
    <row r="13132" spans="1:2" x14ac:dyDescent="0.25">
      <c r="A13132" s="118"/>
      <c r="B13132" s="136"/>
    </row>
    <row r="13133" spans="1:2" x14ac:dyDescent="0.25">
      <c r="A13133" s="118"/>
      <c r="B13133" s="136"/>
    </row>
    <row r="13134" spans="1:2" x14ac:dyDescent="0.25">
      <c r="A13134" s="118"/>
      <c r="B13134" s="136"/>
    </row>
    <row r="13135" spans="1:2" x14ac:dyDescent="0.25">
      <c r="A13135" s="118"/>
      <c r="B13135" s="136"/>
    </row>
    <row r="13136" spans="1:2" x14ac:dyDescent="0.25">
      <c r="A13136" s="118"/>
      <c r="B13136" s="136"/>
    </row>
    <row r="13137" spans="1:2" x14ac:dyDescent="0.25">
      <c r="A13137" s="118"/>
      <c r="B13137" s="136"/>
    </row>
    <row r="13138" spans="1:2" x14ac:dyDescent="0.25">
      <c r="A13138" s="118"/>
      <c r="B13138" s="136"/>
    </row>
    <row r="13139" spans="1:2" x14ac:dyDescent="0.25">
      <c r="A13139" s="118"/>
      <c r="B13139" s="136"/>
    </row>
    <row r="13140" spans="1:2" x14ac:dyDescent="0.25">
      <c r="A13140" s="118"/>
      <c r="B13140" s="136"/>
    </row>
    <row r="13141" spans="1:2" x14ac:dyDescent="0.25">
      <c r="A13141" s="118"/>
      <c r="B13141" s="136"/>
    </row>
    <row r="13142" spans="1:2" x14ac:dyDescent="0.25">
      <c r="A13142" s="118"/>
      <c r="B13142" s="136"/>
    </row>
    <row r="13143" spans="1:2" x14ac:dyDescent="0.25">
      <c r="A13143" s="118"/>
      <c r="B13143" s="136"/>
    </row>
    <row r="13144" spans="1:2" x14ac:dyDescent="0.25">
      <c r="A13144" s="118"/>
      <c r="B13144" s="136"/>
    </row>
    <row r="13145" spans="1:2" x14ac:dyDescent="0.25">
      <c r="A13145" s="118"/>
      <c r="B13145" s="136"/>
    </row>
    <row r="13146" spans="1:2" x14ac:dyDescent="0.25">
      <c r="A13146" s="118"/>
      <c r="B13146" s="136"/>
    </row>
    <row r="13147" spans="1:2" x14ac:dyDescent="0.25">
      <c r="A13147" s="118"/>
      <c r="B13147" s="136"/>
    </row>
    <row r="13148" spans="1:2" x14ac:dyDescent="0.25">
      <c r="A13148" s="118"/>
      <c r="B13148" s="136"/>
    </row>
    <row r="13149" spans="1:2" x14ac:dyDescent="0.25">
      <c r="A13149" s="118"/>
      <c r="B13149" s="136"/>
    </row>
    <row r="13150" spans="1:2" x14ac:dyDescent="0.25">
      <c r="A13150" s="118"/>
      <c r="B13150" s="136"/>
    </row>
    <row r="13151" spans="1:2" x14ac:dyDescent="0.25">
      <c r="A13151" s="118"/>
      <c r="B13151" s="136"/>
    </row>
    <row r="13152" spans="1:2" x14ac:dyDescent="0.25">
      <c r="A13152" s="118"/>
      <c r="B13152" s="136"/>
    </row>
    <row r="13153" spans="1:2" x14ac:dyDescent="0.25">
      <c r="A13153" s="118"/>
      <c r="B13153" s="136"/>
    </row>
    <row r="13154" spans="1:2" x14ac:dyDescent="0.25">
      <c r="A13154" s="118"/>
      <c r="B13154" s="136"/>
    </row>
    <row r="13155" spans="1:2" x14ac:dyDescent="0.25">
      <c r="A13155" s="118"/>
      <c r="B13155" s="136"/>
    </row>
    <row r="13156" spans="1:2" x14ac:dyDescent="0.25">
      <c r="A13156" s="118"/>
      <c r="B13156" s="136"/>
    </row>
    <row r="13157" spans="1:2" x14ac:dyDescent="0.25">
      <c r="A13157" s="118"/>
      <c r="B13157" s="136"/>
    </row>
    <row r="13158" spans="1:2" x14ac:dyDescent="0.25">
      <c r="A13158" s="118"/>
      <c r="B13158" s="136"/>
    </row>
    <row r="13159" spans="1:2" x14ac:dyDescent="0.25">
      <c r="A13159" s="118"/>
      <c r="B13159" s="136"/>
    </row>
    <row r="13160" spans="1:2" x14ac:dyDescent="0.25">
      <c r="A13160" s="118"/>
      <c r="B13160" s="136"/>
    </row>
    <row r="13161" spans="1:2" x14ac:dyDescent="0.25">
      <c r="A13161" s="118"/>
      <c r="B13161" s="136"/>
    </row>
    <row r="13162" spans="1:2" x14ac:dyDescent="0.25">
      <c r="A13162" s="118"/>
      <c r="B13162" s="136"/>
    </row>
    <row r="13163" spans="1:2" x14ac:dyDescent="0.25">
      <c r="A13163" s="118"/>
      <c r="B13163" s="136"/>
    </row>
    <row r="13164" spans="1:2" x14ac:dyDescent="0.25">
      <c r="A13164" s="118"/>
      <c r="B13164" s="136"/>
    </row>
    <row r="13165" spans="1:2" x14ac:dyDescent="0.25">
      <c r="A13165" s="118"/>
      <c r="B13165" s="136"/>
    </row>
    <row r="13166" spans="1:2" x14ac:dyDescent="0.25">
      <c r="A13166" s="118"/>
      <c r="B13166" s="136"/>
    </row>
    <row r="13167" spans="1:2" x14ac:dyDescent="0.25">
      <c r="A13167" s="118"/>
      <c r="B13167" s="136"/>
    </row>
    <row r="13168" spans="1:2" x14ac:dyDescent="0.25">
      <c r="A13168" s="118"/>
      <c r="B13168" s="136"/>
    </row>
    <row r="13169" spans="1:2" x14ac:dyDescent="0.25">
      <c r="A13169" s="118"/>
      <c r="B13169" s="136"/>
    </row>
    <row r="13170" spans="1:2" x14ac:dyDescent="0.25">
      <c r="A13170" s="118"/>
      <c r="B13170" s="136"/>
    </row>
    <row r="13171" spans="1:2" x14ac:dyDescent="0.25">
      <c r="A13171" s="118"/>
      <c r="B13171" s="136"/>
    </row>
    <row r="13172" spans="1:2" x14ac:dyDescent="0.25">
      <c r="A13172" s="118"/>
      <c r="B13172" s="136"/>
    </row>
    <row r="13173" spans="1:2" x14ac:dyDescent="0.25">
      <c r="A13173" s="118"/>
      <c r="B13173" s="136"/>
    </row>
    <row r="13174" spans="1:2" x14ac:dyDescent="0.25">
      <c r="A13174" s="118"/>
      <c r="B13174" s="136"/>
    </row>
    <row r="13175" spans="1:2" x14ac:dyDescent="0.25">
      <c r="A13175" s="118"/>
      <c r="B13175" s="136"/>
    </row>
    <row r="13176" spans="1:2" x14ac:dyDescent="0.25">
      <c r="A13176" s="118"/>
      <c r="B13176" s="136"/>
    </row>
    <row r="13177" spans="1:2" x14ac:dyDescent="0.25">
      <c r="A13177" s="118"/>
      <c r="B13177" s="136"/>
    </row>
    <row r="13178" spans="1:2" x14ac:dyDescent="0.25">
      <c r="A13178" s="118"/>
      <c r="B13178" s="136"/>
    </row>
    <row r="13179" spans="1:2" x14ac:dyDescent="0.25">
      <c r="A13179" s="118"/>
      <c r="B13179" s="136"/>
    </row>
    <row r="13180" spans="1:2" x14ac:dyDescent="0.25">
      <c r="A13180" s="118"/>
      <c r="B13180" s="136"/>
    </row>
    <row r="13181" spans="1:2" x14ac:dyDescent="0.25">
      <c r="A13181" s="118"/>
      <c r="B13181" s="136"/>
    </row>
    <row r="13182" spans="1:2" x14ac:dyDescent="0.25">
      <c r="A13182" s="118"/>
      <c r="B13182" s="136"/>
    </row>
    <row r="13183" spans="1:2" x14ac:dyDescent="0.25">
      <c r="A13183" s="118"/>
      <c r="B13183" s="136"/>
    </row>
    <row r="13184" spans="1:2" x14ac:dyDescent="0.25">
      <c r="A13184" s="118"/>
      <c r="B13184" s="136"/>
    </row>
    <row r="13185" spans="1:2" x14ac:dyDescent="0.25">
      <c r="A13185" s="118"/>
      <c r="B13185" s="136"/>
    </row>
    <row r="13186" spans="1:2" x14ac:dyDescent="0.25">
      <c r="A13186" s="118"/>
      <c r="B13186" s="136"/>
    </row>
    <row r="13187" spans="1:2" x14ac:dyDescent="0.25">
      <c r="A13187" s="118"/>
      <c r="B13187" s="136"/>
    </row>
    <row r="13188" spans="1:2" x14ac:dyDescent="0.25">
      <c r="A13188" s="118"/>
      <c r="B13188" s="136"/>
    </row>
    <row r="13189" spans="1:2" x14ac:dyDescent="0.25">
      <c r="A13189" s="118"/>
      <c r="B13189" s="136"/>
    </row>
    <row r="13190" spans="1:2" x14ac:dyDescent="0.25">
      <c r="A13190" s="118"/>
      <c r="B13190" s="136"/>
    </row>
    <row r="13191" spans="1:2" x14ac:dyDescent="0.25">
      <c r="A13191" s="118"/>
      <c r="B13191" s="136"/>
    </row>
    <row r="13192" spans="1:2" x14ac:dyDescent="0.25">
      <c r="A13192" s="118"/>
      <c r="B13192" s="136"/>
    </row>
    <row r="13193" spans="1:2" x14ac:dyDescent="0.25">
      <c r="A13193" s="118"/>
      <c r="B13193" s="136"/>
    </row>
    <row r="13194" spans="1:2" x14ac:dyDescent="0.25">
      <c r="A13194" s="118"/>
      <c r="B13194" s="136"/>
    </row>
    <row r="13195" spans="1:2" x14ac:dyDescent="0.25">
      <c r="A13195" s="118"/>
      <c r="B13195" s="136"/>
    </row>
    <row r="13196" spans="1:2" x14ac:dyDescent="0.25">
      <c r="A13196" s="118"/>
      <c r="B13196" s="136"/>
    </row>
    <row r="13197" spans="1:2" x14ac:dyDescent="0.25">
      <c r="A13197" s="118"/>
      <c r="B13197" s="136"/>
    </row>
    <row r="13198" spans="1:2" x14ac:dyDescent="0.25">
      <c r="A13198" s="118"/>
      <c r="B13198" s="136"/>
    </row>
    <row r="13199" spans="1:2" x14ac:dyDescent="0.25">
      <c r="A13199" s="118"/>
      <c r="B13199" s="136"/>
    </row>
    <row r="13200" spans="1:2" x14ac:dyDescent="0.25">
      <c r="A13200" s="118"/>
      <c r="B13200" s="136"/>
    </row>
    <row r="13201" spans="1:2" x14ac:dyDescent="0.25">
      <c r="A13201" s="118"/>
      <c r="B13201" s="136"/>
    </row>
    <row r="13202" spans="1:2" x14ac:dyDescent="0.25">
      <c r="A13202" s="118"/>
      <c r="B13202" s="136"/>
    </row>
    <row r="13203" spans="1:2" x14ac:dyDescent="0.25">
      <c r="A13203" s="118"/>
      <c r="B13203" s="136"/>
    </row>
    <row r="13204" spans="1:2" x14ac:dyDescent="0.25">
      <c r="A13204" s="118"/>
      <c r="B13204" s="136"/>
    </row>
    <row r="13205" spans="1:2" x14ac:dyDescent="0.25">
      <c r="A13205" s="118"/>
      <c r="B13205" s="136"/>
    </row>
    <row r="13206" spans="1:2" x14ac:dyDescent="0.25">
      <c r="A13206" s="118"/>
      <c r="B13206" s="136"/>
    </row>
    <row r="13207" spans="1:2" x14ac:dyDescent="0.25">
      <c r="A13207" s="118"/>
      <c r="B13207" s="136"/>
    </row>
    <row r="13208" spans="1:2" x14ac:dyDescent="0.25">
      <c r="A13208" s="118"/>
      <c r="B13208" s="136"/>
    </row>
    <row r="13209" spans="1:2" x14ac:dyDescent="0.25">
      <c r="A13209" s="118"/>
      <c r="B13209" s="136"/>
    </row>
    <row r="13210" spans="1:2" x14ac:dyDescent="0.25">
      <c r="A13210" s="118"/>
      <c r="B13210" s="136"/>
    </row>
    <row r="13211" spans="1:2" x14ac:dyDescent="0.25">
      <c r="A13211" s="118"/>
      <c r="B13211" s="136"/>
    </row>
    <row r="13212" spans="1:2" x14ac:dyDescent="0.25">
      <c r="A13212" s="118"/>
      <c r="B13212" s="136"/>
    </row>
    <row r="13213" spans="1:2" x14ac:dyDescent="0.25">
      <c r="A13213" s="118"/>
      <c r="B13213" s="136"/>
    </row>
    <row r="13214" spans="1:2" x14ac:dyDescent="0.25">
      <c r="A13214" s="118"/>
      <c r="B13214" s="136"/>
    </row>
    <row r="13215" spans="1:2" x14ac:dyDescent="0.25">
      <c r="A13215" s="118"/>
      <c r="B13215" s="136"/>
    </row>
    <row r="13216" spans="1:2" x14ac:dyDescent="0.25">
      <c r="A13216" s="118"/>
      <c r="B13216" s="136"/>
    </row>
    <row r="13217" spans="1:2" x14ac:dyDescent="0.25">
      <c r="A13217" s="118"/>
      <c r="B13217" s="136"/>
    </row>
    <row r="13218" spans="1:2" x14ac:dyDescent="0.25">
      <c r="A13218" s="118"/>
      <c r="B13218" s="136"/>
    </row>
    <row r="13219" spans="1:2" x14ac:dyDescent="0.25">
      <c r="A13219" s="118"/>
      <c r="B13219" s="136"/>
    </row>
    <row r="13220" spans="1:2" x14ac:dyDescent="0.25">
      <c r="A13220" s="118"/>
      <c r="B13220" s="136"/>
    </row>
    <row r="13221" spans="1:2" x14ac:dyDescent="0.25">
      <c r="A13221" s="118"/>
      <c r="B13221" s="136"/>
    </row>
    <row r="13222" spans="1:2" x14ac:dyDescent="0.25">
      <c r="A13222" s="118"/>
      <c r="B13222" s="136"/>
    </row>
    <row r="13223" spans="1:2" x14ac:dyDescent="0.25">
      <c r="A13223" s="118"/>
      <c r="B13223" s="136"/>
    </row>
    <row r="13224" spans="1:2" x14ac:dyDescent="0.25">
      <c r="A13224" s="118"/>
      <c r="B13224" s="136"/>
    </row>
    <row r="13225" spans="1:2" x14ac:dyDescent="0.25">
      <c r="A13225" s="118"/>
      <c r="B13225" s="136"/>
    </row>
    <row r="13226" spans="1:2" x14ac:dyDescent="0.25">
      <c r="A13226" s="118"/>
      <c r="B13226" s="136"/>
    </row>
    <row r="13227" spans="1:2" x14ac:dyDescent="0.25">
      <c r="A13227" s="118"/>
      <c r="B13227" s="136"/>
    </row>
    <row r="13228" spans="1:2" x14ac:dyDescent="0.25">
      <c r="A13228" s="118"/>
      <c r="B13228" s="136"/>
    </row>
    <row r="13229" spans="1:2" x14ac:dyDescent="0.25">
      <c r="A13229" s="118"/>
      <c r="B13229" s="136"/>
    </row>
    <row r="13230" spans="1:2" x14ac:dyDescent="0.25">
      <c r="A13230" s="118"/>
      <c r="B13230" s="136"/>
    </row>
    <row r="13231" spans="1:2" x14ac:dyDescent="0.25">
      <c r="A13231" s="118"/>
      <c r="B13231" s="136"/>
    </row>
    <row r="13232" spans="1:2" x14ac:dyDescent="0.25">
      <c r="A13232" s="118"/>
      <c r="B13232" s="136"/>
    </row>
    <row r="13233" spans="1:2" x14ac:dyDescent="0.25">
      <c r="A13233" s="118"/>
      <c r="B13233" s="136"/>
    </row>
    <row r="13234" spans="1:2" x14ac:dyDescent="0.25">
      <c r="A13234" s="118"/>
      <c r="B13234" s="136"/>
    </row>
    <row r="13235" spans="1:2" x14ac:dyDescent="0.25">
      <c r="A13235" s="118"/>
      <c r="B13235" s="136"/>
    </row>
    <row r="13236" spans="1:2" x14ac:dyDescent="0.25">
      <c r="A13236" s="118"/>
      <c r="B13236" s="136"/>
    </row>
    <row r="13237" spans="1:2" x14ac:dyDescent="0.25">
      <c r="A13237" s="118"/>
      <c r="B13237" s="136"/>
    </row>
    <row r="13238" spans="1:2" x14ac:dyDescent="0.25">
      <c r="A13238" s="118"/>
      <c r="B13238" s="136"/>
    </row>
    <row r="13239" spans="1:2" x14ac:dyDescent="0.25">
      <c r="A13239" s="118"/>
      <c r="B13239" s="136"/>
    </row>
    <row r="13240" spans="1:2" x14ac:dyDescent="0.25">
      <c r="A13240" s="118"/>
      <c r="B13240" s="136"/>
    </row>
    <row r="13241" spans="1:2" x14ac:dyDescent="0.25">
      <c r="A13241" s="118"/>
      <c r="B13241" s="136"/>
    </row>
    <row r="13242" spans="1:2" x14ac:dyDescent="0.25">
      <c r="A13242" s="118"/>
      <c r="B13242" s="136"/>
    </row>
    <row r="13243" spans="1:2" x14ac:dyDescent="0.25">
      <c r="A13243" s="118"/>
      <c r="B13243" s="136"/>
    </row>
    <row r="13244" spans="1:2" x14ac:dyDescent="0.25">
      <c r="A13244" s="118"/>
      <c r="B13244" s="136"/>
    </row>
    <row r="13245" spans="1:2" x14ac:dyDescent="0.25">
      <c r="A13245" s="118"/>
      <c r="B13245" s="136"/>
    </row>
    <row r="13246" spans="1:2" x14ac:dyDescent="0.25">
      <c r="A13246" s="118"/>
      <c r="B13246" s="136"/>
    </row>
    <row r="13247" spans="1:2" x14ac:dyDescent="0.25">
      <c r="A13247" s="118"/>
      <c r="B13247" s="136"/>
    </row>
    <row r="13248" spans="1:2" x14ac:dyDescent="0.25">
      <c r="A13248" s="118"/>
      <c r="B13248" s="136"/>
    </row>
    <row r="13249" spans="1:2" x14ac:dyDescent="0.25">
      <c r="A13249" s="118"/>
      <c r="B13249" s="136"/>
    </row>
    <row r="13250" spans="1:2" x14ac:dyDescent="0.25">
      <c r="A13250" s="118"/>
      <c r="B13250" s="136"/>
    </row>
    <row r="13251" spans="1:2" x14ac:dyDescent="0.25">
      <c r="A13251" s="118"/>
      <c r="B13251" s="136"/>
    </row>
    <row r="13252" spans="1:2" x14ac:dyDescent="0.25">
      <c r="A13252" s="118"/>
      <c r="B13252" s="136"/>
    </row>
    <row r="13253" spans="1:2" x14ac:dyDescent="0.25">
      <c r="A13253" s="118"/>
      <c r="B13253" s="136"/>
    </row>
    <row r="13254" spans="1:2" x14ac:dyDescent="0.25">
      <c r="A13254" s="118"/>
      <c r="B13254" s="136"/>
    </row>
    <row r="13255" spans="1:2" x14ac:dyDescent="0.25">
      <c r="A13255" s="118"/>
      <c r="B13255" s="136"/>
    </row>
    <row r="13256" spans="1:2" x14ac:dyDescent="0.25">
      <c r="A13256" s="118"/>
      <c r="B13256" s="136"/>
    </row>
    <row r="13257" spans="1:2" x14ac:dyDescent="0.25">
      <c r="A13257" s="118"/>
      <c r="B13257" s="136"/>
    </row>
    <row r="13258" spans="1:2" x14ac:dyDescent="0.25">
      <c r="A13258" s="118"/>
      <c r="B13258" s="136"/>
    </row>
    <row r="13259" spans="1:2" x14ac:dyDescent="0.25">
      <c r="A13259" s="118"/>
      <c r="B13259" s="136"/>
    </row>
    <row r="13260" spans="1:2" x14ac:dyDescent="0.25">
      <c r="A13260" s="118"/>
      <c r="B13260" s="136"/>
    </row>
    <row r="13261" spans="1:2" x14ac:dyDescent="0.25">
      <c r="A13261" s="118"/>
      <c r="B13261" s="136"/>
    </row>
    <row r="13262" spans="1:2" x14ac:dyDescent="0.25">
      <c r="A13262" s="118"/>
      <c r="B13262" s="136"/>
    </row>
    <row r="13263" spans="1:2" x14ac:dyDescent="0.25">
      <c r="A13263" s="118"/>
      <c r="B13263" s="136"/>
    </row>
    <row r="13264" spans="1:2" x14ac:dyDescent="0.25">
      <c r="A13264" s="118"/>
      <c r="B13264" s="136"/>
    </row>
    <row r="13265" spans="1:2" x14ac:dyDescent="0.25">
      <c r="A13265" s="118"/>
      <c r="B13265" s="136"/>
    </row>
    <row r="13266" spans="1:2" x14ac:dyDescent="0.25">
      <c r="A13266" s="118"/>
      <c r="B13266" s="136"/>
    </row>
    <row r="13267" spans="1:2" x14ac:dyDescent="0.25">
      <c r="A13267" s="118"/>
      <c r="B13267" s="136"/>
    </row>
    <row r="13268" spans="1:2" x14ac:dyDescent="0.25">
      <c r="A13268" s="118"/>
      <c r="B13268" s="136"/>
    </row>
    <row r="13269" spans="1:2" x14ac:dyDescent="0.25">
      <c r="A13269" s="118"/>
      <c r="B13269" s="136"/>
    </row>
    <row r="13270" spans="1:2" x14ac:dyDescent="0.25">
      <c r="A13270" s="118"/>
      <c r="B13270" s="136"/>
    </row>
    <row r="13271" spans="1:2" x14ac:dyDescent="0.25">
      <c r="A13271" s="118"/>
      <c r="B13271" s="136"/>
    </row>
    <row r="13272" spans="1:2" x14ac:dyDescent="0.25">
      <c r="A13272" s="118"/>
      <c r="B13272" s="136"/>
    </row>
    <row r="13273" spans="1:2" x14ac:dyDescent="0.25">
      <c r="A13273" s="118"/>
      <c r="B13273" s="136"/>
    </row>
    <row r="13274" spans="1:2" x14ac:dyDescent="0.25">
      <c r="A13274" s="118"/>
      <c r="B13274" s="136"/>
    </row>
    <row r="13275" spans="1:2" x14ac:dyDescent="0.25">
      <c r="A13275" s="118"/>
      <c r="B13275" s="136"/>
    </row>
    <row r="13276" spans="1:2" x14ac:dyDescent="0.25">
      <c r="A13276" s="118"/>
      <c r="B13276" s="136"/>
    </row>
    <row r="13277" spans="1:2" x14ac:dyDescent="0.25">
      <c r="A13277" s="118"/>
      <c r="B13277" s="136"/>
    </row>
    <row r="13278" spans="1:2" x14ac:dyDescent="0.25">
      <c r="A13278" s="118"/>
      <c r="B13278" s="136"/>
    </row>
    <row r="13279" spans="1:2" x14ac:dyDescent="0.25">
      <c r="A13279" s="118"/>
      <c r="B13279" s="136"/>
    </row>
    <row r="13280" spans="1:2" x14ac:dyDescent="0.25">
      <c r="A13280" s="118"/>
      <c r="B13280" s="136"/>
    </row>
    <row r="13281" spans="1:2" x14ac:dyDescent="0.25">
      <c r="A13281" s="118"/>
      <c r="B13281" s="136"/>
    </row>
    <row r="13282" spans="1:2" x14ac:dyDescent="0.25">
      <c r="A13282" s="118"/>
      <c r="B13282" s="136"/>
    </row>
    <row r="13283" spans="1:2" x14ac:dyDescent="0.25">
      <c r="A13283" s="118"/>
      <c r="B13283" s="136"/>
    </row>
    <row r="13284" spans="1:2" x14ac:dyDescent="0.25">
      <c r="A13284" s="118"/>
      <c r="B13284" s="136"/>
    </row>
    <row r="13285" spans="1:2" x14ac:dyDescent="0.25">
      <c r="A13285" s="118"/>
      <c r="B13285" s="136"/>
    </row>
    <row r="13286" spans="1:2" x14ac:dyDescent="0.25">
      <c r="A13286" s="118"/>
      <c r="B13286" s="136"/>
    </row>
    <row r="13287" spans="1:2" x14ac:dyDescent="0.25">
      <c r="A13287" s="118"/>
      <c r="B13287" s="136"/>
    </row>
    <row r="13288" spans="1:2" x14ac:dyDescent="0.25">
      <c r="A13288" s="118"/>
      <c r="B13288" s="136"/>
    </row>
    <row r="13289" spans="1:2" x14ac:dyDescent="0.25">
      <c r="A13289" s="118"/>
      <c r="B13289" s="136"/>
    </row>
    <row r="13290" spans="1:2" x14ac:dyDescent="0.25">
      <c r="A13290" s="118"/>
      <c r="B13290" s="136"/>
    </row>
    <row r="13291" spans="1:2" x14ac:dyDescent="0.25">
      <c r="A13291" s="118"/>
      <c r="B13291" s="136"/>
    </row>
    <row r="13292" spans="1:2" x14ac:dyDescent="0.25">
      <c r="A13292" s="118"/>
      <c r="B13292" s="136"/>
    </row>
    <row r="13293" spans="1:2" x14ac:dyDescent="0.25">
      <c r="A13293" s="118"/>
      <c r="B13293" s="136"/>
    </row>
    <row r="13294" spans="1:2" x14ac:dyDescent="0.25">
      <c r="A13294" s="118"/>
      <c r="B13294" s="136"/>
    </row>
    <row r="13295" spans="1:2" x14ac:dyDescent="0.25">
      <c r="A13295" s="118"/>
      <c r="B13295" s="136"/>
    </row>
    <row r="13296" spans="1:2" x14ac:dyDescent="0.25">
      <c r="A13296" s="118"/>
      <c r="B13296" s="136"/>
    </row>
    <row r="13297" spans="1:2" x14ac:dyDescent="0.25">
      <c r="A13297" s="118"/>
      <c r="B13297" s="136"/>
    </row>
    <row r="13298" spans="1:2" x14ac:dyDescent="0.25">
      <c r="A13298" s="118"/>
      <c r="B13298" s="136"/>
    </row>
    <row r="13299" spans="1:2" x14ac:dyDescent="0.25">
      <c r="A13299" s="118"/>
      <c r="B13299" s="136"/>
    </row>
    <row r="13300" spans="1:2" x14ac:dyDescent="0.25">
      <c r="A13300" s="118"/>
      <c r="B13300" s="136"/>
    </row>
    <row r="13301" spans="1:2" x14ac:dyDescent="0.25">
      <c r="A13301" s="118"/>
      <c r="B13301" s="136"/>
    </row>
    <row r="13302" spans="1:2" x14ac:dyDescent="0.25">
      <c r="A13302" s="118"/>
      <c r="B13302" s="136"/>
    </row>
    <row r="13303" spans="1:2" x14ac:dyDescent="0.25">
      <c r="A13303" s="118"/>
      <c r="B13303" s="136"/>
    </row>
    <row r="13304" spans="1:2" x14ac:dyDescent="0.25">
      <c r="A13304" s="118"/>
      <c r="B13304" s="136"/>
    </row>
    <row r="13305" spans="1:2" x14ac:dyDescent="0.25">
      <c r="A13305" s="118"/>
      <c r="B13305" s="136"/>
    </row>
    <row r="13306" spans="1:2" x14ac:dyDescent="0.25">
      <c r="A13306" s="118"/>
      <c r="B13306" s="136"/>
    </row>
    <row r="13307" spans="1:2" x14ac:dyDescent="0.25">
      <c r="A13307" s="118"/>
      <c r="B13307" s="136"/>
    </row>
    <row r="13308" spans="1:2" x14ac:dyDescent="0.25">
      <c r="A13308" s="118"/>
      <c r="B13308" s="136"/>
    </row>
    <row r="13309" spans="1:2" x14ac:dyDescent="0.25">
      <c r="A13309" s="118"/>
      <c r="B13309" s="136"/>
    </row>
    <row r="13310" spans="1:2" x14ac:dyDescent="0.25">
      <c r="A13310" s="118"/>
      <c r="B13310" s="136"/>
    </row>
    <row r="13311" spans="1:2" x14ac:dyDescent="0.25">
      <c r="A13311" s="118"/>
      <c r="B13311" s="136"/>
    </row>
    <row r="13312" spans="1:2" x14ac:dyDescent="0.25">
      <c r="A13312" s="118"/>
      <c r="B13312" s="136"/>
    </row>
    <row r="13313" spans="1:2" x14ac:dyDescent="0.25">
      <c r="A13313" s="118"/>
      <c r="B13313" s="136"/>
    </row>
    <row r="13314" spans="1:2" x14ac:dyDescent="0.25">
      <c r="A13314" s="118"/>
      <c r="B13314" s="136"/>
    </row>
    <row r="13315" spans="1:2" x14ac:dyDescent="0.25">
      <c r="A13315" s="118"/>
      <c r="B13315" s="136"/>
    </row>
    <row r="13316" spans="1:2" x14ac:dyDescent="0.25">
      <c r="A13316" s="118"/>
      <c r="B13316" s="136"/>
    </row>
    <row r="13317" spans="1:2" x14ac:dyDescent="0.25">
      <c r="A13317" s="118"/>
      <c r="B13317" s="136"/>
    </row>
    <row r="13318" spans="1:2" x14ac:dyDescent="0.25">
      <c r="A13318" s="118"/>
      <c r="B13318" s="136"/>
    </row>
    <row r="13319" spans="1:2" x14ac:dyDescent="0.25">
      <c r="A13319" s="118"/>
      <c r="B13319" s="136"/>
    </row>
    <row r="13320" spans="1:2" x14ac:dyDescent="0.25">
      <c r="A13320" s="118"/>
      <c r="B13320" s="136"/>
    </row>
    <row r="13321" spans="1:2" x14ac:dyDescent="0.25">
      <c r="A13321" s="118"/>
      <c r="B13321" s="136"/>
    </row>
    <row r="13322" spans="1:2" x14ac:dyDescent="0.25">
      <c r="A13322" s="118"/>
      <c r="B13322" s="136"/>
    </row>
    <row r="13323" spans="1:2" x14ac:dyDescent="0.25">
      <c r="A13323" s="118"/>
      <c r="B13323" s="136"/>
    </row>
    <row r="13324" spans="1:2" x14ac:dyDescent="0.25">
      <c r="A13324" s="118"/>
      <c r="B13324" s="136"/>
    </row>
    <row r="13325" spans="1:2" x14ac:dyDescent="0.25">
      <c r="A13325" s="118"/>
      <c r="B13325" s="136"/>
    </row>
    <row r="13326" spans="1:2" x14ac:dyDescent="0.25">
      <c r="A13326" s="118"/>
      <c r="B13326" s="136"/>
    </row>
    <row r="13327" spans="1:2" x14ac:dyDescent="0.25">
      <c r="A13327" s="118"/>
      <c r="B13327" s="136"/>
    </row>
    <row r="13328" spans="1:2" x14ac:dyDescent="0.25">
      <c r="A13328" s="118"/>
      <c r="B13328" s="136"/>
    </row>
    <row r="13329" spans="1:2" x14ac:dyDescent="0.25">
      <c r="A13329" s="118"/>
      <c r="B13329" s="136"/>
    </row>
    <row r="13330" spans="1:2" x14ac:dyDescent="0.25">
      <c r="A13330" s="118"/>
      <c r="B13330" s="136"/>
    </row>
    <row r="13331" spans="1:2" x14ac:dyDescent="0.25">
      <c r="A13331" s="118"/>
      <c r="B13331" s="136"/>
    </row>
    <row r="13332" spans="1:2" x14ac:dyDescent="0.25">
      <c r="A13332" s="118"/>
      <c r="B13332" s="136"/>
    </row>
    <row r="13333" spans="1:2" x14ac:dyDescent="0.25">
      <c r="A13333" s="118"/>
      <c r="B13333" s="136"/>
    </row>
    <row r="13334" spans="1:2" x14ac:dyDescent="0.25">
      <c r="A13334" s="118"/>
      <c r="B13334" s="136"/>
    </row>
    <row r="13335" spans="1:2" x14ac:dyDescent="0.25">
      <c r="A13335" s="118"/>
      <c r="B13335" s="136"/>
    </row>
    <row r="13336" spans="1:2" x14ac:dyDescent="0.25">
      <c r="A13336" s="118"/>
      <c r="B13336" s="136"/>
    </row>
    <row r="13337" spans="1:2" x14ac:dyDescent="0.25">
      <c r="A13337" s="118"/>
      <c r="B13337" s="136"/>
    </row>
    <row r="13338" spans="1:2" x14ac:dyDescent="0.25">
      <c r="A13338" s="118"/>
      <c r="B13338" s="136"/>
    </row>
    <row r="13339" spans="1:2" x14ac:dyDescent="0.25">
      <c r="A13339" s="118"/>
      <c r="B13339" s="136"/>
    </row>
    <row r="13340" spans="1:2" x14ac:dyDescent="0.25">
      <c r="A13340" s="118"/>
      <c r="B13340" s="136"/>
    </row>
    <row r="13341" spans="1:2" x14ac:dyDescent="0.25">
      <c r="A13341" s="118"/>
      <c r="B13341" s="136"/>
    </row>
    <row r="13342" spans="1:2" x14ac:dyDescent="0.25">
      <c r="A13342" s="118"/>
      <c r="B13342" s="136"/>
    </row>
    <row r="13343" spans="1:2" x14ac:dyDescent="0.25">
      <c r="A13343" s="118"/>
      <c r="B13343" s="136"/>
    </row>
    <row r="13344" spans="1:2" x14ac:dyDescent="0.25">
      <c r="A13344" s="118"/>
      <c r="B13344" s="136"/>
    </row>
    <row r="13345" spans="1:2" x14ac:dyDescent="0.25">
      <c r="A13345" s="118"/>
      <c r="B13345" s="136"/>
    </row>
    <row r="13346" spans="1:2" x14ac:dyDescent="0.25">
      <c r="A13346" s="118"/>
      <c r="B13346" s="136"/>
    </row>
    <row r="13347" spans="1:2" x14ac:dyDescent="0.25">
      <c r="A13347" s="118"/>
      <c r="B13347" s="136"/>
    </row>
    <row r="13348" spans="1:2" x14ac:dyDescent="0.25">
      <c r="A13348" s="118"/>
      <c r="B13348" s="136"/>
    </row>
    <row r="13349" spans="1:2" x14ac:dyDescent="0.25">
      <c r="A13349" s="118"/>
      <c r="B13349" s="136"/>
    </row>
    <row r="13350" spans="1:2" x14ac:dyDescent="0.25">
      <c r="A13350" s="118"/>
      <c r="B13350" s="136"/>
    </row>
    <row r="13351" spans="1:2" x14ac:dyDescent="0.25">
      <c r="A13351" s="118"/>
      <c r="B13351" s="136"/>
    </row>
    <row r="13352" spans="1:2" x14ac:dyDescent="0.25">
      <c r="A13352" s="118"/>
      <c r="B13352" s="136"/>
    </row>
    <row r="13353" spans="1:2" x14ac:dyDescent="0.25">
      <c r="A13353" s="118"/>
      <c r="B13353" s="136"/>
    </row>
    <row r="13354" spans="1:2" x14ac:dyDescent="0.25">
      <c r="A13354" s="118"/>
      <c r="B13354" s="136"/>
    </row>
    <row r="13355" spans="1:2" x14ac:dyDescent="0.25">
      <c r="A13355" s="118"/>
      <c r="B13355" s="136"/>
    </row>
    <row r="13356" spans="1:2" x14ac:dyDescent="0.25">
      <c r="A13356" s="118"/>
      <c r="B13356" s="136"/>
    </row>
    <row r="13357" spans="1:2" x14ac:dyDescent="0.25">
      <c r="A13357" s="118"/>
      <c r="B13357" s="136"/>
    </row>
    <row r="13358" spans="1:2" x14ac:dyDescent="0.25">
      <c r="A13358" s="118"/>
      <c r="B13358" s="136"/>
    </row>
    <row r="13359" spans="1:2" x14ac:dyDescent="0.25">
      <c r="A13359" s="118"/>
      <c r="B13359" s="136"/>
    </row>
    <row r="13360" spans="1:2" x14ac:dyDescent="0.25">
      <c r="A13360" s="118"/>
      <c r="B13360" s="136"/>
    </row>
    <row r="13361" spans="1:2" x14ac:dyDescent="0.25">
      <c r="A13361" s="118"/>
      <c r="B13361" s="136"/>
    </row>
    <row r="13362" spans="1:2" x14ac:dyDescent="0.25">
      <c r="A13362" s="118"/>
      <c r="B13362" s="136"/>
    </row>
    <row r="13363" spans="1:2" x14ac:dyDescent="0.25">
      <c r="A13363" s="118"/>
      <c r="B13363" s="136"/>
    </row>
    <row r="13364" spans="1:2" x14ac:dyDescent="0.25">
      <c r="A13364" s="118"/>
      <c r="B13364" s="136"/>
    </row>
    <row r="13365" spans="1:2" x14ac:dyDescent="0.25">
      <c r="A13365" s="118"/>
      <c r="B13365" s="136"/>
    </row>
    <row r="13366" spans="1:2" x14ac:dyDescent="0.25">
      <c r="A13366" s="118"/>
      <c r="B13366" s="136"/>
    </row>
    <row r="13367" spans="1:2" x14ac:dyDescent="0.25">
      <c r="A13367" s="118"/>
      <c r="B13367" s="136"/>
    </row>
    <row r="13368" spans="1:2" x14ac:dyDescent="0.25">
      <c r="A13368" s="118"/>
      <c r="B13368" s="136"/>
    </row>
    <row r="13369" spans="1:2" x14ac:dyDescent="0.25">
      <c r="A13369" s="118"/>
      <c r="B13369" s="136"/>
    </row>
    <row r="13370" spans="1:2" x14ac:dyDescent="0.25">
      <c r="A13370" s="118"/>
      <c r="B13370" s="136"/>
    </row>
    <row r="13371" spans="1:2" x14ac:dyDescent="0.25">
      <c r="A13371" s="118"/>
      <c r="B13371" s="136"/>
    </row>
    <row r="13372" spans="1:2" x14ac:dyDescent="0.25">
      <c r="A13372" s="118"/>
      <c r="B13372" s="136"/>
    </row>
    <row r="13373" spans="1:2" x14ac:dyDescent="0.25">
      <c r="A13373" s="118"/>
      <c r="B13373" s="136"/>
    </row>
    <row r="13374" spans="1:2" x14ac:dyDescent="0.25">
      <c r="A13374" s="118"/>
      <c r="B13374" s="136"/>
    </row>
    <row r="13375" spans="1:2" x14ac:dyDescent="0.25">
      <c r="A13375" s="118"/>
      <c r="B13375" s="136"/>
    </row>
    <row r="13376" spans="1:2" x14ac:dyDescent="0.25">
      <c r="A13376" s="118"/>
      <c r="B13376" s="136"/>
    </row>
    <row r="13377" spans="1:2" x14ac:dyDescent="0.25">
      <c r="A13377" s="118"/>
      <c r="B13377" s="136"/>
    </row>
    <row r="13378" spans="1:2" x14ac:dyDescent="0.25">
      <c r="A13378" s="118"/>
      <c r="B13378" s="136"/>
    </row>
    <row r="13379" spans="1:2" x14ac:dyDescent="0.25">
      <c r="A13379" s="118"/>
      <c r="B13379" s="136"/>
    </row>
    <row r="13380" spans="1:2" x14ac:dyDescent="0.25">
      <c r="A13380" s="118"/>
      <c r="B13380" s="136"/>
    </row>
    <row r="13381" spans="1:2" x14ac:dyDescent="0.25">
      <c r="A13381" s="118"/>
      <c r="B13381" s="136"/>
    </row>
    <row r="13382" spans="1:2" x14ac:dyDescent="0.25">
      <c r="A13382" s="118"/>
      <c r="B13382" s="136"/>
    </row>
    <row r="13383" spans="1:2" x14ac:dyDescent="0.25">
      <c r="A13383" s="118"/>
      <c r="B13383" s="136"/>
    </row>
    <row r="13384" spans="1:2" x14ac:dyDescent="0.25">
      <c r="A13384" s="118"/>
      <c r="B13384" s="136"/>
    </row>
    <row r="13385" spans="1:2" x14ac:dyDescent="0.25">
      <c r="A13385" s="118"/>
      <c r="B13385" s="136"/>
    </row>
    <row r="13386" spans="1:2" x14ac:dyDescent="0.25">
      <c r="A13386" s="118"/>
      <c r="B13386" s="136"/>
    </row>
    <row r="13387" spans="1:2" x14ac:dyDescent="0.25">
      <c r="A13387" s="118"/>
      <c r="B13387" s="136"/>
    </row>
    <row r="13388" spans="1:2" x14ac:dyDescent="0.25">
      <c r="A13388" s="118"/>
      <c r="B13388" s="136"/>
    </row>
    <row r="13389" spans="1:2" x14ac:dyDescent="0.25">
      <c r="A13389" s="118"/>
      <c r="B13389" s="136"/>
    </row>
    <row r="13390" spans="1:2" x14ac:dyDescent="0.25">
      <c r="A13390" s="118"/>
      <c r="B13390" s="136"/>
    </row>
    <row r="13391" spans="1:2" x14ac:dyDescent="0.25">
      <c r="A13391" s="118"/>
      <c r="B13391" s="136"/>
    </row>
    <row r="13392" spans="1:2" x14ac:dyDescent="0.25">
      <c r="A13392" s="118"/>
      <c r="B13392" s="136"/>
    </row>
    <row r="13393" spans="1:2" x14ac:dyDescent="0.25">
      <c r="A13393" s="118"/>
      <c r="B13393" s="136"/>
    </row>
    <row r="13394" spans="1:2" x14ac:dyDescent="0.25">
      <c r="A13394" s="118"/>
      <c r="B13394" s="136"/>
    </row>
    <row r="13395" spans="1:2" x14ac:dyDescent="0.25">
      <c r="A13395" s="118"/>
      <c r="B13395" s="136"/>
    </row>
    <row r="13396" spans="1:2" x14ac:dyDescent="0.25">
      <c r="A13396" s="118"/>
      <c r="B13396" s="136"/>
    </row>
    <row r="13397" spans="1:2" x14ac:dyDescent="0.25">
      <c r="A13397" s="118"/>
      <c r="B13397" s="136"/>
    </row>
    <row r="13398" spans="1:2" x14ac:dyDescent="0.25">
      <c r="A13398" s="118"/>
      <c r="B13398" s="136"/>
    </row>
    <row r="13399" spans="1:2" x14ac:dyDescent="0.25">
      <c r="A13399" s="118"/>
      <c r="B13399" s="136"/>
    </row>
    <row r="13400" spans="1:2" x14ac:dyDescent="0.25">
      <c r="A13400" s="118"/>
      <c r="B13400" s="136"/>
    </row>
    <row r="13401" spans="1:2" x14ac:dyDescent="0.25">
      <c r="A13401" s="118"/>
      <c r="B13401" s="136"/>
    </row>
    <row r="13402" spans="1:2" x14ac:dyDescent="0.25">
      <c r="A13402" s="118"/>
      <c r="B13402" s="136"/>
    </row>
    <row r="13403" spans="1:2" x14ac:dyDescent="0.25">
      <c r="A13403" s="118"/>
      <c r="B13403" s="136"/>
    </row>
    <row r="13404" spans="1:2" x14ac:dyDescent="0.25">
      <c r="A13404" s="118"/>
      <c r="B13404" s="136"/>
    </row>
    <row r="13405" spans="1:2" x14ac:dyDescent="0.25">
      <c r="A13405" s="118"/>
      <c r="B13405" s="136"/>
    </row>
    <row r="13406" spans="1:2" x14ac:dyDescent="0.25">
      <c r="A13406" s="118"/>
      <c r="B13406" s="136"/>
    </row>
    <row r="13407" spans="1:2" x14ac:dyDescent="0.25">
      <c r="A13407" s="118"/>
      <c r="B13407" s="136"/>
    </row>
    <row r="13408" spans="1:2" x14ac:dyDescent="0.25">
      <c r="A13408" s="118"/>
      <c r="B13408" s="136"/>
    </row>
    <row r="13409" spans="1:2" x14ac:dyDescent="0.25">
      <c r="A13409" s="118"/>
      <c r="B13409" s="136"/>
    </row>
    <row r="13410" spans="1:2" x14ac:dyDescent="0.25">
      <c r="A13410" s="118"/>
      <c r="B13410" s="136"/>
    </row>
    <row r="13411" spans="1:2" x14ac:dyDescent="0.25">
      <c r="A13411" s="118"/>
      <c r="B13411" s="136"/>
    </row>
    <row r="13412" spans="1:2" x14ac:dyDescent="0.25">
      <c r="A13412" s="118"/>
      <c r="B13412" s="136"/>
    </row>
    <row r="13413" spans="1:2" x14ac:dyDescent="0.25">
      <c r="A13413" s="118"/>
      <c r="B13413" s="136"/>
    </row>
    <row r="13414" spans="1:2" x14ac:dyDescent="0.25">
      <c r="A13414" s="118"/>
      <c r="B13414" s="136"/>
    </row>
    <row r="13415" spans="1:2" x14ac:dyDescent="0.25">
      <c r="A13415" s="118"/>
      <c r="B13415" s="136"/>
    </row>
    <row r="13416" spans="1:2" x14ac:dyDescent="0.25">
      <c r="A13416" s="118"/>
      <c r="B13416" s="136"/>
    </row>
    <row r="13417" spans="1:2" x14ac:dyDescent="0.25">
      <c r="A13417" s="118"/>
      <c r="B13417" s="136"/>
    </row>
    <row r="13418" spans="1:2" x14ac:dyDescent="0.25">
      <c r="A13418" s="118"/>
      <c r="B13418" s="136"/>
    </row>
    <row r="13419" spans="1:2" x14ac:dyDescent="0.25">
      <c r="A13419" s="118"/>
      <c r="B13419" s="136"/>
    </row>
    <row r="13420" spans="1:2" x14ac:dyDescent="0.25">
      <c r="A13420" s="118"/>
      <c r="B13420" s="136"/>
    </row>
    <row r="13421" spans="1:2" x14ac:dyDescent="0.25">
      <c r="A13421" s="118"/>
      <c r="B13421" s="136"/>
    </row>
    <row r="13422" spans="1:2" x14ac:dyDescent="0.25">
      <c r="A13422" s="118"/>
      <c r="B13422" s="136"/>
    </row>
    <row r="13423" spans="1:2" x14ac:dyDescent="0.25">
      <c r="A13423" s="118"/>
      <c r="B13423" s="136"/>
    </row>
    <row r="13424" spans="1:2" x14ac:dyDescent="0.25">
      <c r="A13424" s="118"/>
      <c r="B13424" s="136"/>
    </row>
    <row r="13425" spans="1:2" x14ac:dyDescent="0.25">
      <c r="A13425" s="118"/>
      <c r="B13425" s="136"/>
    </row>
    <row r="13426" spans="1:2" x14ac:dyDescent="0.25">
      <c r="A13426" s="118"/>
      <c r="B13426" s="136"/>
    </row>
    <row r="13427" spans="1:2" x14ac:dyDescent="0.25">
      <c r="A13427" s="118"/>
      <c r="B13427" s="136"/>
    </row>
    <row r="13428" spans="1:2" x14ac:dyDescent="0.25">
      <c r="A13428" s="118"/>
      <c r="B13428" s="136"/>
    </row>
    <row r="13429" spans="1:2" x14ac:dyDescent="0.25">
      <c r="A13429" s="118"/>
      <c r="B13429" s="136"/>
    </row>
    <row r="13430" spans="1:2" x14ac:dyDescent="0.25">
      <c r="A13430" s="118"/>
      <c r="B13430" s="136"/>
    </row>
    <row r="13431" spans="1:2" x14ac:dyDescent="0.25">
      <c r="A13431" s="118"/>
      <c r="B13431" s="136"/>
    </row>
    <row r="13432" spans="1:2" x14ac:dyDescent="0.25">
      <c r="A13432" s="118"/>
      <c r="B13432" s="136"/>
    </row>
    <row r="13433" spans="1:2" x14ac:dyDescent="0.25">
      <c r="A13433" s="118"/>
      <c r="B13433" s="136"/>
    </row>
    <row r="13434" spans="1:2" x14ac:dyDescent="0.25">
      <c r="A13434" s="118"/>
      <c r="B13434" s="136"/>
    </row>
    <row r="13435" spans="1:2" x14ac:dyDescent="0.25">
      <c r="A13435" s="118"/>
      <c r="B13435" s="136"/>
    </row>
    <row r="13436" spans="1:2" x14ac:dyDescent="0.25">
      <c r="A13436" s="118"/>
      <c r="B13436" s="136"/>
    </row>
    <row r="13437" spans="1:2" x14ac:dyDescent="0.25">
      <c r="A13437" s="118"/>
      <c r="B13437" s="136"/>
    </row>
    <row r="13438" spans="1:2" x14ac:dyDescent="0.25">
      <c r="A13438" s="118"/>
      <c r="B13438" s="136"/>
    </row>
    <row r="13439" spans="1:2" x14ac:dyDescent="0.25">
      <c r="A13439" s="118"/>
      <c r="B13439" s="136"/>
    </row>
    <row r="13440" spans="1:2" x14ac:dyDescent="0.25">
      <c r="A13440" s="118"/>
      <c r="B13440" s="136"/>
    </row>
    <row r="13441" spans="1:2" x14ac:dyDescent="0.25">
      <c r="A13441" s="118"/>
      <c r="B13441" s="136"/>
    </row>
    <row r="13442" spans="1:2" x14ac:dyDescent="0.25">
      <c r="A13442" s="118"/>
      <c r="B13442" s="136"/>
    </row>
    <row r="13443" spans="1:2" x14ac:dyDescent="0.25">
      <c r="A13443" s="118"/>
      <c r="B13443" s="136"/>
    </row>
    <row r="13444" spans="1:2" x14ac:dyDescent="0.25">
      <c r="A13444" s="118"/>
      <c r="B13444" s="136"/>
    </row>
    <row r="13445" spans="1:2" x14ac:dyDescent="0.25">
      <c r="A13445" s="118"/>
      <c r="B13445" s="136"/>
    </row>
    <row r="13446" spans="1:2" x14ac:dyDescent="0.25">
      <c r="A13446" s="118"/>
      <c r="B13446" s="136"/>
    </row>
    <row r="13447" spans="1:2" x14ac:dyDescent="0.25">
      <c r="A13447" s="118"/>
      <c r="B13447" s="136"/>
    </row>
    <row r="13448" spans="1:2" x14ac:dyDescent="0.25">
      <c r="A13448" s="118"/>
      <c r="B13448" s="136"/>
    </row>
    <row r="13449" spans="1:2" x14ac:dyDescent="0.25">
      <c r="A13449" s="118"/>
      <c r="B13449" s="136"/>
    </row>
    <row r="13450" spans="1:2" x14ac:dyDescent="0.25">
      <c r="A13450" s="118"/>
      <c r="B13450" s="136"/>
    </row>
    <row r="13451" spans="1:2" x14ac:dyDescent="0.25">
      <c r="A13451" s="118"/>
      <c r="B13451" s="136"/>
    </row>
    <row r="13452" spans="1:2" x14ac:dyDescent="0.25">
      <c r="A13452" s="118"/>
      <c r="B13452" s="136"/>
    </row>
    <row r="13453" spans="1:2" x14ac:dyDescent="0.25">
      <c r="A13453" s="118"/>
      <c r="B13453" s="136"/>
    </row>
    <row r="13454" spans="1:2" x14ac:dyDescent="0.25">
      <c r="A13454" s="118"/>
      <c r="B13454" s="136"/>
    </row>
    <row r="13455" spans="1:2" x14ac:dyDescent="0.25">
      <c r="A13455" s="118"/>
      <c r="B13455" s="136"/>
    </row>
    <row r="13456" spans="1:2" x14ac:dyDescent="0.25">
      <c r="A13456" s="118"/>
      <c r="B13456" s="136"/>
    </row>
    <row r="13457" spans="1:2" x14ac:dyDescent="0.25">
      <c r="A13457" s="118"/>
      <c r="B13457" s="136"/>
    </row>
    <row r="13458" spans="1:2" x14ac:dyDescent="0.25">
      <c r="A13458" s="118"/>
      <c r="B13458" s="136"/>
    </row>
    <row r="13459" spans="1:2" x14ac:dyDescent="0.25">
      <c r="A13459" s="118"/>
      <c r="B13459" s="136"/>
    </row>
    <row r="13460" spans="1:2" x14ac:dyDescent="0.25">
      <c r="A13460" s="118"/>
      <c r="B13460" s="136"/>
    </row>
    <row r="13461" spans="1:2" x14ac:dyDescent="0.25">
      <c r="A13461" s="118"/>
      <c r="B13461" s="136"/>
    </row>
    <row r="13462" spans="1:2" x14ac:dyDescent="0.25">
      <c r="A13462" s="118"/>
      <c r="B13462" s="136"/>
    </row>
    <row r="13463" spans="1:2" x14ac:dyDescent="0.25">
      <c r="A13463" s="118"/>
      <c r="B13463" s="136"/>
    </row>
    <row r="13464" spans="1:2" x14ac:dyDescent="0.25">
      <c r="A13464" s="118"/>
      <c r="B13464" s="136"/>
    </row>
    <row r="13465" spans="1:2" x14ac:dyDescent="0.25">
      <c r="A13465" s="118"/>
      <c r="B13465" s="136"/>
    </row>
    <row r="13466" spans="1:2" x14ac:dyDescent="0.25">
      <c r="A13466" s="118"/>
      <c r="B13466" s="136"/>
    </row>
    <row r="13467" spans="1:2" x14ac:dyDescent="0.25">
      <c r="A13467" s="118"/>
      <c r="B13467" s="136"/>
    </row>
    <row r="13468" spans="1:2" x14ac:dyDescent="0.25">
      <c r="A13468" s="118"/>
      <c r="B13468" s="136"/>
    </row>
    <row r="13469" spans="1:2" x14ac:dyDescent="0.25">
      <c r="A13469" s="118"/>
      <c r="B13469" s="136"/>
    </row>
    <row r="13470" spans="1:2" x14ac:dyDescent="0.25">
      <c r="A13470" s="118"/>
      <c r="B13470" s="136"/>
    </row>
    <row r="13471" spans="1:2" x14ac:dyDescent="0.25">
      <c r="A13471" s="118"/>
      <c r="B13471" s="136"/>
    </row>
    <row r="13472" spans="1:2" x14ac:dyDescent="0.25">
      <c r="A13472" s="118"/>
      <c r="B13472" s="136"/>
    </row>
    <row r="13473" spans="1:2" x14ac:dyDescent="0.25">
      <c r="A13473" s="118"/>
      <c r="B13473" s="136"/>
    </row>
    <row r="13474" spans="1:2" x14ac:dyDescent="0.25">
      <c r="A13474" s="118"/>
      <c r="B13474" s="136"/>
    </row>
    <row r="13475" spans="1:2" x14ac:dyDescent="0.25">
      <c r="A13475" s="118"/>
      <c r="B13475" s="136"/>
    </row>
    <row r="13476" spans="1:2" x14ac:dyDescent="0.25">
      <c r="A13476" s="118"/>
      <c r="B13476" s="136"/>
    </row>
    <row r="13477" spans="1:2" x14ac:dyDescent="0.25">
      <c r="A13477" s="118"/>
      <c r="B13477" s="136"/>
    </row>
    <row r="13478" spans="1:2" x14ac:dyDescent="0.25">
      <c r="A13478" s="118"/>
      <c r="B13478" s="136"/>
    </row>
    <row r="13479" spans="1:2" x14ac:dyDescent="0.25">
      <c r="A13479" s="118"/>
      <c r="B13479" s="136"/>
    </row>
    <row r="13480" spans="1:2" x14ac:dyDescent="0.25">
      <c r="A13480" s="118"/>
      <c r="B13480" s="136"/>
    </row>
    <row r="13481" spans="1:2" x14ac:dyDescent="0.25">
      <c r="A13481" s="118"/>
      <c r="B13481" s="136"/>
    </row>
    <row r="13482" spans="1:2" x14ac:dyDescent="0.25">
      <c r="A13482" s="118"/>
      <c r="B13482" s="136"/>
    </row>
    <row r="13483" spans="1:2" x14ac:dyDescent="0.25">
      <c r="A13483" s="118"/>
      <c r="B13483" s="136"/>
    </row>
    <row r="13484" spans="1:2" x14ac:dyDescent="0.25">
      <c r="A13484" s="118"/>
      <c r="B13484" s="136"/>
    </row>
    <row r="13485" spans="1:2" x14ac:dyDescent="0.25">
      <c r="A13485" s="118"/>
      <c r="B13485" s="136"/>
    </row>
    <row r="13486" spans="1:2" x14ac:dyDescent="0.25">
      <c r="A13486" s="118"/>
      <c r="B13486" s="136"/>
    </row>
    <row r="13487" spans="1:2" x14ac:dyDescent="0.25">
      <c r="A13487" s="118"/>
      <c r="B13487" s="136"/>
    </row>
    <row r="13488" spans="1:2" x14ac:dyDescent="0.25">
      <c r="A13488" s="118"/>
      <c r="B13488" s="136"/>
    </row>
    <row r="13489" spans="1:2" x14ac:dyDescent="0.25">
      <c r="A13489" s="118"/>
      <c r="B13489" s="136"/>
    </row>
    <row r="13490" spans="1:2" x14ac:dyDescent="0.25">
      <c r="A13490" s="118"/>
      <c r="B13490" s="136"/>
    </row>
    <row r="13491" spans="1:2" x14ac:dyDescent="0.25">
      <c r="A13491" s="118"/>
      <c r="B13491" s="136"/>
    </row>
    <row r="13492" spans="1:2" x14ac:dyDescent="0.25">
      <c r="A13492" s="118"/>
      <c r="B13492" s="136"/>
    </row>
    <row r="13493" spans="1:2" x14ac:dyDescent="0.25">
      <c r="A13493" s="118"/>
      <c r="B13493" s="136"/>
    </row>
    <row r="13494" spans="1:2" x14ac:dyDescent="0.25">
      <c r="A13494" s="118"/>
      <c r="B13494" s="136"/>
    </row>
    <row r="13495" spans="1:2" x14ac:dyDescent="0.25">
      <c r="A13495" s="118"/>
      <c r="B13495" s="136"/>
    </row>
    <row r="13496" spans="1:2" x14ac:dyDescent="0.25">
      <c r="A13496" s="118"/>
      <c r="B13496" s="136"/>
    </row>
    <row r="13497" spans="1:2" x14ac:dyDescent="0.25">
      <c r="A13497" s="118"/>
      <c r="B13497" s="136"/>
    </row>
    <row r="13498" spans="1:2" x14ac:dyDescent="0.25">
      <c r="A13498" s="118"/>
      <c r="B13498" s="136"/>
    </row>
    <row r="13499" spans="1:2" x14ac:dyDescent="0.25">
      <c r="A13499" s="118"/>
      <c r="B13499" s="136"/>
    </row>
    <row r="13500" spans="1:2" x14ac:dyDescent="0.25">
      <c r="A13500" s="118"/>
      <c r="B13500" s="136"/>
    </row>
    <row r="13501" spans="1:2" x14ac:dyDescent="0.25">
      <c r="A13501" s="118"/>
      <c r="B13501" s="136"/>
    </row>
    <row r="13502" spans="1:2" x14ac:dyDescent="0.25">
      <c r="A13502" s="118"/>
      <c r="B13502" s="136"/>
    </row>
    <row r="13503" spans="1:2" x14ac:dyDescent="0.25">
      <c r="A13503" s="118"/>
      <c r="B13503" s="136"/>
    </row>
    <row r="13504" spans="1:2" x14ac:dyDescent="0.25">
      <c r="A13504" s="118"/>
      <c r="B13504" s="136"/>
    </row>
    <row r="13505" spans="1:2" x14ac:dyDescent="0.25">
      <c r="A13505" s="118"/>
      <c r="B13505" s="136"/>
    </row>
    <row r="13506" spans="1:2" x14ac:dyDescent="0.25">
      <c r="A13506" s="118"/>
      <c r="B13506" s="136"/>
    </row>
    <row r="13507" spans="1:2" x14ac:dyDescent="0.25">
      <c r="A13507" s="118"/>
      <c r="B13507" s="136"/>
    </row>
    <row r="13508" spans="1:2" x14ac:dyDescent="0.25">
      <c r="A13508" s="118"/>
      <c r="B13508" s="136"/>
    </row>
    <row r="13509" spans="1:2" x14ac:dyDescent="0.25">
      <c r="A13509" s="118"/>
      <c r="B13509" s="136"/>
    </row>
    <row r="13510" spans="1:2" x14ac:dyDescent="0.25">
      <c r="A13510" s="118"/>
      <c r="B13510" s="136"/>
    </row>
    <row r="13511" spans="1:2" x14ac:dyDescent="0.25">
      <c r="A13511" s="118"/>
      <c r="B13511" s="136"/>
    </row>
    <row r="13512" spans="1:2" x14ac:dyDescent="0.25">
      <c r="A13512" s="118"/>
      <c r="B13512" s="136"/>
    </row>
    <row r="13513" spans="1:2" x14ac:dyDescent="0.25">
      <c r="A13513" s="118"/>
      <c r="B13513" s="136"/>
    </row>
    <row r="13514" spans="1:2" x14ac:dyDescent="0.25">
      <c r="A13514" s="118"/>
      <c r="B13514" s="136"/>
    </row>
    <row r="13515" spans="1:2" x14ac:dyDescent="0.25">
      <c r="A13515" s="118"/>
      <c r="B13515" s="136"/>
    </row>
    <row r="13516" spans="1:2" x14ac:dyDescent="0.25">
      <c r="A13516" s="118"/>
      <c r="B13516" s="136"/>
    </row>
    <row r="13517" spans="1:2" x14ac:dyDescent="0.25">
      <c r="A13517" s="118"/>
      <c r="B13517" s="136"/>
    </row>
    <row r="13518" spans="1:2" x14ac:dyDescent="0.25">
      <c r="A13518" s="118"/>
      <c r="B13518" s="136"/>
    </row>
    <row r="13519" spans="1:2" x14ac:dyDescent="0.25">
      <c r="A13519" s="118"/>
      <c r="B13519" s="136"/>
    </row>
    <row r="13520" spans="1:2" x14ac:dyDescent="0.25">
      <c r="A13520" s="118"/>
      <c r="B13520" s="136"/>
    </row>
    <row r="13521" spans="1:2" x14ac:dyDescent="0.25">
      <c r="A13521" s="118"/>
      <c r="B13521" s="136"/>
    </row>
    <row r="13522" spans="1:2" x14ac:dyDescent="0.25">
      <c r="A13522" s="118"/>
      <c r="B13522" s="136"/>
    </row>
    <row r="13523" spans="1:2" x14ac:dyDescent="0.25">
      <c r="A13523" s="118"/>
      <c r="B13523" s="136"/>
    </row>
    <row r="13524" spans="1:2" x14ac:dyDescent="0.25">
      <c r="A13524" s="118"/>
      <c r="B13524" s="136"/>
    </row>
    <row r="13525" spans="1:2" x14ac:dyDescent="0.25">
      <c r="A13525" s="118"/>
      <c r="B13525" s="136"/>
    </row>
    <row r="13526" spans="1:2" x14ac:dyDescent="0.25">
      <c r="A13526" s="118"/>
      <c r="B13526" s="136"/>
    </row>
    <row r="13527" spans="1:2" x14ac:dyDescent="0.25">
      <c r="A13527" s="118"/>
      <c r="B13527" s="136"/>
    </row>
    <row r="13528" spans="1:2" x14ac:dyDescent="0.25">
      <c r="A13528" s="118"/>
      <c r="B13528" s="136"/>
    </row>
    <row r="13529" spans="1:2" x14ac:dyDescent="0.25">
      <c r="A13529" s="118"/>
      <c r="B13529" s="136"/>
    </row>
    <row r="13530" spans="1:2" x14ac:dyDescent="0.25">
      <c r="A13530" s="118"/>
      <c r="B13530" s="136"/>
    </row>
    <row r="13531" spans="1:2" x14ac:dyDescent="0.25">
      <c r="A13531" s="118"/>
      <c r="B13531" s="136"/>
    </row>
    <row r="13532" spans="1:2" x14ac:dyDescent="0.25">
      <c r="A13532" s="118"/>
      <c r="B13532" s="136"/>
    </row>
    <row r="13533" spans="1:2" x14ac:dyDescent="0.25">
      <c r="A13533" s="118"/>
      <c r="B13533" s="136"/>
    </row>
    <row r="13534" spans="1:2" x14ac:dyDescent="0.25">
      <c r="A13534" s="118"/>
      <c r="B13534" s="136"/>
    </row>
    <row r="13535" spans="1:2" x14ac:dyDescent="0.25">
      <c r="A13535" s="118"/>
      <c r="B13535" s="136"/>
    </row>
    <row r="13536" spans="1:2" x14ac:dyDescent="0.25">
      <c r="A13536" s="118"/>
      <c r="B13536" s="136"/>
    </row>
    <row r="13537" spans="1:2" x14ac:dyDescent="0.25">
      <c r="A13537" s="118"/>
      <c r="B13537" s="136"/>
    </row>
    <row r="13538" spans="1:2" x14ac:dyDescent="0.25">
      <c r="A13538" s="118"/>
      <c r="B13538" s="136"/>
    </row>
    <row r="13539" spans="1:2" x14ac:dyDescent="0.25">
      <c r="A13539" s="118"/>
      <c r="B13539" s="136"/>
    </row>
    <row r="13540" spans="1:2" x14ac:dyDescent="0.25">
      <c r="A13540" s="118"/>
      <c r="B13540" s="136"/>
    </row>
    <row r="13541" spans="1:2" x14ac:dyDescent="0.25">
      <c r="A13541" s="118"/>
      <c r="B13541" s="136"/>
    </row>
    <row r="13542" spans="1:2" x14ac:dyDescent="0.25">
      <c r="A13542" s="118"/>
      <c r="B13542" s="136"/>
    </row>
    <row r="13543" spans="1:2" x14ac:dyDescent="0.25">
      <c r="A13543" s="118"/>
      <c r="B13543" s="136"/>
    </row>
    <row r="13544" spans="1:2" x14ac:dyDescent="0.25">
      <c r="A13544" s="118"/>
      <c r="B13544" s="136"/>
    </row>
    <row r="13545" spans="1:2" x14ac:dyDescent="0.25">
      <c r="A13545" s="118"/>
      <c r="B13545" s="136"/>
    </row>
    <row r="13546" spans="1:2" x14ac:dyDescent="0.25">
      <c r="A13546" s="118"/>
      <c r="B13546" s="136"/>
    </row>
    <row r="13547" spans="1:2" x14ac:dyDescent="0.25">
      <c r="A13547" s="118"/>
      <c r="B13547" s="136"/>
    </row>
    <row r="13548" spans="1:2" x14ac:dyDescent="0.25">
      <c r="A13548" s="118"/>
      <c r="B13548" s="136"/>
    </row>
    <row r="13549" spans="1:2" x14ac:dyDescent="0.25">
      <c r="A13549" s="118"/>
      <c r="B13549" s="136"/>
    </row>
    <row r="13550" spans="1:2" x14ac:dyDescent="0.25">
      <c r="A13550" s="118"/>
      <c r="B13550" s="136"/>
    </row>
    <row r="13551" spans="1:2" x14ac:dyDescent="0.25">
      <c r="A13551" s="118"/>
      <c r="B13551" s="136"/>
    </row>
    <row r="13552" spans="1:2" x14ac:dyDescent="0.25">
      <c r="A13552" s="118"/>
      <c r="B13552" s="136"/>
    </row>
    <row r="13553" spans="1:2" x14ac:dyDescent="0.25">
      <c r="A13553" s="118"/>
      <c r="B13553" s="136"/>
    </row>
    <row r="13554" spans="1:2" x14ac:dyDescent="0.25">
      <c r="A13554" s="118"/>
      <c r="B13554" s="136"/>
    </row>
    <row r="13555" spans="1:2" x14ac:dyDescent="0.25">
      <c r="A13555" s="118"/>
      <c r="B13555" s="136"/>
    </row>
    <row r="13556" spans="1:2" x14ac:dyDescent="0.25">
      <c r="A13556" s="118"/>
      <c r="B13556" s="136"/>
    </row>
    <row r="13557" spans="1:2" x14ac:dyDescent="0.25">
      <c r="A13557" s="118"/>
      <c r="B13557" s="136"/>
    </row>
    <row r="13558" spans="1:2" x14ac:dyDescent="0.25">
      <c r="A13558" s="118"/>
      <c r="B13558" s="136"/>
    </row>
    <row r="13559" spans="1:2" x14ac:dyDescent="0.25">
      <c r="A13559" s="118"/>
      <c r="B13559" s="136"/>
    </row>
    <row r="13560" spans="1:2" x14ac:dyDescent="0.25">
      <c r="A13560" s="118"/>
      <c r="B13560" s="136"/>
    </row>
    <row r="13561" spans="1:2" x14ac:dyDescent="0.25">
      <c r="A13561" s="118"/>
      <c r="B13561" s="136"/>
    </row>
    <row r="13562" spans="1:2" x14ac:dyDescent="0.25">
      <c r="A13562" s="118"/>
      <c r="B13562" s="136"/>
    </row>
    <row r="13563" spans="1:2" x14ac:dyDescent="0.25">
      <c r="A13563" s="118"/>
      <c r="B13563" s="136"/>
    </row>
    <row r="13564" spans="1:2" x14ac:dyDescent="0.25">
      <c r="A13564" s="118"/>
      <c r="B13564" s="136"/>
    </row>
    <row r="13565" spans="1:2" x14ac:dyDescent="0.25">
      <c r="A13565" s="118"/>
      <c r="B13565" s="136"/>
    </row>
    <row r="13566" spans="1:2" x14ac:dyDescent="0.25">
      <c r="A13566" s="118"/>
      <c r="B13566" s="136"/>
    </row>
    <row r="13567" spans="1:2" x14ac:dyDescent="0.25">
      <c r="A13567" s="118"/>
      <c r="B13567" s="136"/>
    </row>
    <row r="13568" spans="1:2" x14ac:dyDescent="0.25">
      <c r="A13568" s="118"/>
      <c r="B13568" s="136"/>
    </row>
    <row r="13569" spans="1:2" x14ac:dyDescent="0.25">
      <c r="A13569" s="118"/>
      <c r="B13569" s="136"/>
    </row>
    <row r="13570" spans="1:2" x14ac:dyDescent="0.25">
      <c r="A13570" s="118"/>
      <c r="B13570" s="136"/>
    </row>
    <row r="13571" spans="1:2" x14ac:dyDescent="0.25">
      <c r="A13571" s="118"/>
      <c r="B13571" s="136"/>
    </row>
    <row r="13572" spans="1:2" x14ac:dyDescent="0.25">
      <c r="A13572" s="118"/>
      <c r="B13572" s="136"/>
    </row>
    <row r="13573" spans="1:2" x14ac:dyDescent="0.25">
      <c r="A13573" s="118"/>
      <c r="B13573" s="136"/>
    </row>
    <row r="13574" spans="1:2" x14ac:dyDescent="0.25">
      <c r="A13574" s="118"/>
      <c r="B13574" s="136"/>
    </row>
    <row r="13575" spans="1:2" x14ac:dyDescent="0.25">
      <c r="A13575" s="118"/>
      <c r="B13575" s="136"/>
    </row>
    <row r="13576" spans="1:2" x14ac:dyDescent="0.25">
      <c r="A13576" s="118"/>
      <c r="B13576" s="136"/>
    </row>
    <row r="13577" spans="1:2" x14ac:dyDescent="0.25">
      <c r="A13577" s="118"/>
      <c r="B13577" s="136"/>
    </row>
    <row r="13578" spans="1:2" x14ac:dyDescent="0.25">
      <c r="A13578" s="118"/>
      <c r="B13578" s="136"/>
    </row>
    <row r="13579" spans="1:2" x14ac:dyDescent="0.25">
      <c r="A13579" s="118"/>
      <c r="B13579" s="136"/>
    </row>
    <row r="13580" spans="1:2" x14ac:dyDescent="0.25">
      <c r="A13580" s="118"/>
      <c r="B13580" s="136"/>
    </row>
    <row r="13581" spans="1:2" x14ac:dyDescent="0.25">
      <c r="A13581" s="118"/>
      <c r="B13581" s="136"/>
    </row>
    <row r="13582" spans="1:2" x14ac:dyDescent="0.25">
      <c r="A13582" s="118"/>
      <c r="B13582" s="136"/>
    </row>
    <row r="13583" spans="1:2" x14ac:dyDescent="0.25">
      <c r="A13583" s="118"/>
      <c r="B13583" s="136"/>
    </row>
    <row r="13584" spans="1:2" x14ac:dyDescent="0.25">
      <c r="A13584" s="118"/>
      <c r="B13584" s="136"/>
    </row>
    <row r="13585" spans="1:2" x14ac:dyDescent="0.25">
      <c r="A13585" s="118"/>
      <c r="B13585" s="136"/>
    </row>
    <row r="13586" spans="1:2" x14ac:dyDescent="0.25">
      <c r="A13586" s="118"/>
      <c r="B13586" s="136"/>
    </row>
    <row r="13587" spans="1:2" x14ac:dyDescent="0.25">
      <c r="A13587" s="118"/>
      <c r="B13587" s="136"/>
    </row>
    <row r="13588" spans="1:2" x14ac:dyDescent="0.25">
      <c r="A13588" s="118"/>
      <c r="B13588" s="136"/>
    </row>
    <row r="13589" spans="1:2" x14ac:dyDescent="0.25">
      <c r="A13589" s="118"/>
      <c r="B13589" s="136"/>
    </row>
    <row r="13590" spans="1:2" x14ac:dyDescent="0.25">
      <c r="A13590" s="118"/>
      <c r="B13590" s="136"/>
    </row>
    <row r="13591" spans="1:2" x14ac:dyDescent="0.25">
      <c r="A13591" s="118"/>
      <c r="B13591" s="136"/>
    </row>
    <row r="13592" spans="1:2" x14ac:dyDescent="0.25">
      <c r="A13592" s="118"/>
      <c r="B13592" s="136"/>
    </row>
    <row r="13593" spans="1:2" x14ac:dyDescent="0.25">
      <c r="A13593" s="118"/>
      <c r="B13593" s="136"/>
    </row>
    <row r="13594" spans="1:2" x14ac:dyDescent="0.25">
      <c r="A13594" s="118"/>
      <c r="B13594" s="136"/>
    </row>
    <row r="13595" spans="1:2" x14ac:dyDescent="0.25">
      <c r="A13595" s="118"/>
      <c r="B13595" s="136"/>
    </row>
    <row r="13596" spans="1:2" x14ac:dyDescent="0.25">
      <c r="A13596" s="118"/>
      <c r="B13596" s="136"/>
    </row>
    <row r="13597" spans="1:2" x14ac:dyDescent="0.25">
      <c r="A13597" s="118"/>
      <c r="B13597" s="136"/>
    </row>
    <row r="13598" spans="1:2" x14ac:dyDescent="0.25">
      <c r="A13598" s="118"/>
      <c r="B13598" s="136"/>
    </row>
    <row r="13599" spans="1:2" x14ac:dyDescent="0.25">
      <c r="A13599" s="118"/>
      <c r="B13599" s="136"/>
    </row>
    <row r="13600" spans="1:2" x14ac:dyDescent="0.25">
      <c r="A13600" s="118"/>
      <c r="B13600" s="136"/>
    </row>
    <row r="13601" spans="1:2" x14ac:dyDescent="0.25">
      <c r="A13601" s="118"/>
      <c r="B13601" s="136"/>
    </row>
    <row r="13602" spans="1:2" x14ac:dyDescent="0.25">
      <c r="A13602" s="118"/>
      <c r="B13602" s="136"/>
    </row>
    <row r="13603" spans="1:2" x14ac:dyDescent="0.25">
      <c r="A13603" s="118"/>
      <c r="B13603" s="136"/>
    </row>
    <row r="13604" spans="1:2" x14ac:dyDescent="0.25">
      <c r="A13604" s="118"/>
      <c r="B13604" s="136"/>
    </row>
    <row r="13605" spans="1:2" x14ac:dyDescent="0.25">
      <c r="A13605" s="118"/>
      <c r="B13605" s="136"/>
    </row>
    <row r="13606" spans="1:2" x14ac:dyDescent="0.25">
      <c r="A13606" s="118"/>
      <c r="B13606" s="136"/>
    </row>
    <row r="13607" spans="1:2" x14ac:dyDescent="0.25">
      <c r="A13607" s="118"/>
      <c r="B13607" s="136"/>
    </row>
    <row r="13608" spans="1:2" x14ac:dyDescent="0.25">
      <c r="A13608" s="118"/>
      <c r="B13608" s="136"/>
    </row>
    <row r="13609" spans="1:2" x14ac:dyDescent="0.25">
      <c r="A13609" s="118"/>
      <c r="B13609" s="136"/>
    </row>
    <row r="13610" spans="1:2" x14ac:dyDescent="0.25">
      <c r="A13610" s="118"/>
      <c r="B13610" s="136"/>
    </row>
    <row r="13611" spans="1:2" x14ac:dyDescent="0.25">
      <c r="A13611" s="118"/>
      <c r="B13611" s="136"/>
    </row>
    <row r="13612" spans="1:2" x14ac:dyDescent="0.25">
      <c r="A13612" s="118"/>
      <c r="B13612" s="136"/>
    </row>
    <row r="13613" spans="1:2" x14ac:dyDescent="0.25">
      <c r="A13613" s="118"/>
      <c r="B13613" s="136"/>
    </row>
    <row r="13614" spans="1:2" x14ac:dyDescent="0.25">
      <c r="A13614" s="118"/>
      <c r="B13614" s="136"/>
    </row>
    <row r="13615" spans="1:2" x14ac:dyDescent="0.25">
      <c r="A13615" s="118"/>
      <c r="B13615" s="136"/>
    </row>
    <row r="13616" spans="1:2" x14ac:dyDescent="0.25">
      <c r="A13616" s="118"/>
      <c r="B13616" s="136"/>
    </row>
    <row r="13617" spans="1:2" x14ac:dyDescent="0.25">
      <c r="A13617" s="118"/>
      <c r="B13617" s="136"/>
    </row>
    <row r="13618" spans="1:2" x14ac:dyDescent="0.25">
      <c r="A13618" s="118"/>
      <c r="B13618" s="136"/>
    </row>
    <row r="13619" spans="1:2" x14ac:dyDescent="0.25">
      <c r="A13619" s="118"/>
      <c r="B13619" s="136"/>
    </row>
    <row r="13620" spans="1:2" x14ac:dyDescent="0.25">
      <c r="A13620" s="118"/>
      <c r="B13620" s="136"/>
    </row>
    <row r="13621" spans="1:2" x14ac:dyDescent="0.25">
      <c r="A13621" s="118"/>
      <c r="B13621" s="136"/>
    </row>
    <row r="13622" spans="1:2" x14ac:dyDescent="0.25">
      <c r="A13622" s="118"/>
      <c r="B13622" s="136"/>
    </row>
    <row r="13623" spans="1:2" x14ac:dyDescent="0.25">
      <c r="A13623" s="118"/>
      <c r="B13623" s="136"/>
    </row>
    <row r="13624" spans="1:2" x14ac:dyDescent="0.25">
      <c r="A13624" s="118"/>
      <c r="B13624" s="136"/>
    </row>
    <row r="13625" spans="1:2" x14ac:dyDescent="0.25">
      <c r="A13625" s="118"/>
      <c r="B13625" s="136"/>
    </row>
    <row r="13626" spans="1:2" x14ac:dyDescent="0.25">
      <c r="A13626" s="118"/>
      <c r="B13626" s="136"/>
    </row>
    <row r="13627" spans="1:2" x14ac:dyDescent="0.25">
      <c r="A13627" s="118"/>
      <c r="B13627" s="136"/>
    </row>
    <row r="13628" spans="1:2" x14ac:dyDescent="0.25">
      <c r="A13628" s="118"/>
      <c r="B13628" s="136"/>
    </row>
    <row r="13629" spans="1:2" x14ac:dyDescent="0.25">
      <c r="A13629" s="118"/>
      <c r="B13629" s="136"/>
    </row>
    <row r="13630" spans="1:2" x14ac:dyDescent="0.25">
      <c r="A13630" s="118"/>
      <c r="B13630" s="136"/>
    </row>
    <row r="13631" spans="1:2" x14ac:dyDescent="0.25">
      <c r="A13631" s="118"/>
      <c r="B13631" s="136"/>
    </row>
    <row r="13632" spans="1:2" x14ac:dyDescent="0.25">
      <c r="A13632" s="118"/>
      <c r="B13632" s="136"/>
    </row>
    <row r="13633" spans="1:2" x14ac:dyDescent="0.25">
      <c r="A13633" s="118"/>
      <c r="B13633" s="136"/>
    </row>
    <row r="13634" spans="1:2" x14ac:dyDescent="0.25">
      <c r="A13634" s="118"/>
      <c r="B13634" s="136"/>
    </row>
    <row r="13635" spans="1:2" x14ac:dyDescent="0.25">
      <c r="A13635" s="118"/>
      <c r="B13635" s="136"/>
    </row>
    <row r="13636" spans="1:2" x14ac:dyDescent="0.25">
      <c r="A13636" s="118"/>
      <c r="B13636" s="136"/>
    </row>
    <row r="13637" spans="1:2" x14ac:dyDescent="0.25">
      <c r="A13637" s="118"/>
      <c r="B13637" s="136"/>
    </row>
    <row r="13638" spans="1:2" x14ac:dyDescent="0.25">
      <c r="A13638" s="118"/>
      <c r="B13638" s="136"/>
    </row>
    <row r="13639" spans="1:2" x14ac:dyDescent="0.25">
      <c r="A13639" s="118"/>
      <c r="B13639" s="136"/>
    </row>
    <row r="13640" spans="1:2" x14ac:dyDescent="0.25">
      <c r="A13640" s="118"/>
      <c r="B13640" s="136"/>
    </row>
    <row r="13641" spans="1:2" x14ac:dyDescent="0.25">
      <c r="A13641" s="118"/>
      <c r="B13641" s="136"/>
    </row>
    <row r="13642" spans="1:2" x14ac:dyDescent="0.25">
      <c r="A13642" s="118"/>
      <c r="B13642" s="136"/>
    </row>
    <row r="13643" spans="1:2" x14ac:dyDescent="0.25">
      <c r="A13643" s="118"/>
      <c r="B13643" s="136"/>
    </row>
    <row r="13644" spans="1:2" x14ac:dyDescent="0.25">
      <c r="A13644" s="118"/>
      <c r="B13644" s="136"/>
    </row>
    <row r="13645" spans="1:2" x14ac:dyDescent="0.25">
      <c r="A13645" s="118"/>
      <c r="B13645" s="136"/>
    </row>
    <row r="13646" spans="1:2" x14ac:dyDescent="0.25">
      <c r="A13646" s="118"/>
      <c r="B13646" s="136"/>
    </row>
    <row r="13647" spans="1:2" x14ac:dyDescent="0.25">
      <c r="A13647" s="118"/>
      <c r="B13647" s="136"/>
    </row>
    <row r="13648" spans="1:2" x14ac:dyDescent="0.25">
      <c r="A13648" s="118"/>
      <c r="B13648" s="136"/>
    </row>
    <row r="13649" spans="1:2" x14ac:dyDescent="0.25">
      <c r="A13649" s="118"/>
      <c r="B13649" s="136"/>
    </row>
    <row r="13650" spans="1:2" x14ac:dyDescent="0.25">
      <c r="A13650" s="118"/>
      <c r="B13650" s="136"/>
    </row>
    <row r="13651" spans="1:2" x14ac:dyDescent="0.25">
      <c r="A13651" s="118"/>
      <c r="B13651" s="136"/>
    </row>
    <row r="13652" spans="1:2" x14ac:dyDescent="0.25">
      <c r="A13652" s="118"/>
      <c r="B13652" s="136"/>
    </row>
    <row r="13653" spans="1:2" x14ac:dyDescent="0.25">
      <c r="A13653" s="118"/>
      <c r="B13653" s="136"/>
    </row>
    <row r="13654" spans="1:2" x14ac:dyDescent="0.25">
      <c r="A13654" s="118"/>
      <c r="B13654" s="136"/>
    </row>
    <row r="13655" spans="1:2" x14ac:dyDescent="0.25">
      <c r="A13655" s="118"/>
      <c r="B13655" s="136"/>
    </row>
    <row r="13656" spans="1:2" x14ac:dyDescent="0.25">
      <c r="A13656" s="118"/>
      <c r="B13656" s="136"/>
    </row>
    <row r="13657" spans="1:2" x14ac:dyDescent="0.25">
      <c r="A13657" s="118"/>
      <c r="B13657" s="136"/>
    </row>
    <row r="13658" spans="1:2" x14ac:dyDescent="0.25">
      <c r="A13658" s="118"/>
      <c r="B13658" s="136"/>
    </row>
    <row r="13659" spans="1:2" x14ac:dyDescent="0.25">
      <c r="A13659" s="118"/>
      <c r="B13659" s="136"/>
    </row>
    <row r="13660" spans="1:2" x14ac:dyDescent="0.25">
      <c r="A13660" s="118"/>
      <c r="B13660" s="136"/>
    </row>
    <row r="13661" spans="1:2" x14ac:dyDescent="0.25">
      <c r="A13661" s="118"/>
      <c r="B13661" s="136"/>
    </row>
    <row r="13662" spans="1:2" x14ac:dyDescent="0.25">
      <c r="A13662" s="118"/>
      <c r="B13662" s="136"/>
    </row>
    <row r="13663" spans="1:2" x14ac:dyDescent="0.25">
      <c r="A13663" s="118"/>
      <c r="B13663" s="136"/>
    </row>
    <row r="13664" spans="1:2" x14ac:dyDescent="0.25">
      <c r="A13664" s="118"/>
      <c r="B13664" s="136"/>
    </row>
    <row r="13665" spans="1:2" x14ac:dyDescent="0.25">
      <c r="A13665" s="118"/>
      <c r="B13665" s="136"/>
    </row>
    <row r="13666" spans="1:2" x14ac:dyDescent="0.25">
      <c r="A13666" s="118"/>
      <c r="B13666" s="136"/>
    </row>
    <row r="13667" spans="1:2" x14ac:dyDescent="0.25">
      <c r="A13667" s="118"/>
      <c r="B13667" s="136"/>
    </row>
    <row r="13668" spans="1:2" x14ac:dyDescent="0.25">
      <c r="A13668" s="118"/>
      <c r="B13668" s="136"/>
    </row>
    <row r="13669" spans="1:2" x14ac:dyDescent="0.25">
      <c r="A13669" s="118"/>
      <c r="B13669" s="136"/>
    </row>
    <row r="13670" spans="1:2" x14ac:dyDescent="0.25">
      <c r="A13670" s="118"/>
      <c r="B13670" s="136"/>
    </row>
    <row r="13671" spans="1:2" x14ac:dyDescent="0.25">
      <c r="A13671" s="118"/>
      <c r="B13671" s="136"/>
    </row>
    <row r="13672" spans="1:2" x14ac:dyDescent="0.25">
      <c r="A13672" s="118"/>
      <c r="B13672" s="136"/>
    </row>
    <row r="13673" spans="1:2" x14ac:dyDescent="0.25">
      <c r="A13673" s="118"/>
      <c r="B13673" s="136"/>
    </row>
    <row r="13674" spans="1:2" x14ac:dyDescent="0.25">
      <c r="A13674" s="118"/>
      <c r="B13674" s="136"/>
    </row>
    <row r="13675" spans="1:2" x14ac:dyDescent="0.25">
      <c r="A13675" s="118"/>
      <c r="B13675" s="136"/>
    </row>
    <row r="13676" spans="1:2" x14ac:dyDescent="0.25">
      <c r="A13676" s="118"/>
      <c r="B13676" s="136"/>
    </row>
    <row r="13677" spans="1:2" x14ac:dyDescent="0.25">
      <c r="A13677" s="118"/>
      <c r="B13677" s="136"/>
    </row>
    <row r="13678" spans="1:2" x14ac:dyDescent="0.25">
      <c r="A13678" s="118"/>
      <c r="B13678" s="136"/>
    </row>
    <row r="13679" spans="1:2" x14ac:dyDescent="0.25">
      <c r="A13679" s="118"/>
      <c r="B13679" s="136"/>
    </row>
    <row r="13680" spans="1:2" x14ac:dyDescent="0.25">
      <c r="A13680" s="118"/>
      <c r="B13680" s="136"/>
    </row>
    <row r="13681" spans="1:2" x14ac:dyDescent="0.25">
      <c r="A13681" s="118"/>
      <c r="B13681" s="136"/>
    </row>
    <row r="13682" spans="1:2" x14ac:dyDescent="0.25">
      <c r="A13682" s="118"/>
      <c r="B13682" s="136"/>
    </row>
    <row r="13683" spans="1:2" x14ac:dyDescent="0.25">
      <c r="A13683" s="118"/>
      <c r="B13683" s="136"/>
    </row>
    <row r="13684" spans="1:2" x14ac:dyDescent="0.25">
      <c r="A13684" s="118"/>
      <c r="B13684" s="136"/>
    </row>
    <row r="13685" spans="1:2" x14ac:dyDescent="0.25">
      <c r="A13685" s="118"/>
      <c r="B13685" s="136"/>
    </row>
    <row r="13686" spans="1:2" x14ac:dyDescent="0.25">
      <c r="A13686" s="118"/>
      <c r="B13686" s="136"/>
    </row>
    <row r="13687" spans="1:2" x14ac:dyDescent="0.25">
      <c r="A13687" s="118"/>
      <c r="B13687" s="136"/>
    </row>
    <row r="13688" spans="1:2" x14ac:dyDescent="0.25">
      <c r="A13688" s="118"/>
      <c r="B13688" s="136"/>
    </row>
    <row r="13689" spans="1:2" x14ac:dyDescent="0.25">
      <c r="A13689" s="118"/>
      <c r="B13689" s="136"/>
    </row>
    <row r="13690" spans="1:2" x14ac:dyDescent="0.25">
      <c r="A13690" s="118"/>
      <c r="B13690" s="136"/>
    </row>
    <row r="13691" spans="1:2" x14ac:dyDescent="0.25">
      <c r="A13691" s="118"/>
      <c r="B13691" s="136"/>
    </row>
    <row r="13692" spans="1:2" x14ac:dyDescent="0.25">
      <c r="A13692" s="118"/>
      <c r="B13692" s="136"/>
    </row>
    <row r="13693" spans="1:2" x14ac:dyDescent="0.25">
      <c r="A13693" s="118"/>
      <c r="B13693" s="136"/>
    </row>
    <row r="13694" spans="1:2" x14ac:dyDescent="0.25">
      <c r="A13694" s="118"/>
      <c r="B13694" s="136"/>
    </row>
    <row r="13695" spans="1:2" x14ac:dyDescent="0.25">
      <c r="A13695" s="118"/>
      <c r="B13695" s="136"/>
    </row>
    <row r="13696" spans="1:2" x14ac:dyDescent="0.25">
      <c r="A13696" s="118"/>
      <c r="B13696" s="136"/>
    </row>
    <row r="13697" spans="1:2" x14ac:dyDescent="0.25">
      <c r="A13697" s="118"/>
      <c r="B13697" s="136"/>
    </row>
    <row r="13698" spans="1:2" x14ac:dyDescent="0.25">
      <c r="A13698" s="118"/>
      <c r="B13698" s="136"/>
    </row>
    <row r="13699" spans="1:2" x14ac:dyDescent="0.25">
      <c r="A13699" s="118"/>
      <c r="B13699" s="136"/>
    </row>
    <row r="13700" spans="1:2" x14ac:dyDescent="0.25">
      <c r="A13700" s="118"/>
      <c r="B13700" s="136"/>
    </row>
    <row r="13701" spans="1:2" x14ac:dyDescent="0.25">
      <c r="A13701" s="118"/>
      <c r="B13701" s="136"/>
    </row>
    <row r="13702" spans="1:2" x14ac:dyDescent="0.25">
      <c r="A13702" s="118"/>
      <c r="B13702" s="136"/>
    </row>
    <row r="13703" spans="1:2" x14ac:dyDescent="0.25">
      <c r="A13703" s="118"/>
      <c r="B13703" s="136"/>
    </row>
    <row r="13704" spans="1:2" x14ac:dyDescent="0.25">
      <c r="A13704" s="118"/>
      <c r="B13704" s="136"/>
    </row>
    <row r="13705" spans="1:2" x14ac:dyDescent="0.25">
      <c r="A13705" s="118"/>
      <c r="B13705" s="136"/>
    </row>
    <row r="13706" spans="1:2" x14ac:dyDescent="0.25">
      <c r="A13706" s="118"/>
      <c r="B13706" s="136"/>
    </row>
    <row r="13707" spans="1:2" x14ac:dyDescent="0.25">
      <c r="A13707" s="118"/>
      <c r="B13707" s="136"/>
    </row>
    <row r="13708" spans="1:2" x14ac:dyDescent="0.25">
      <c r="A13708" s="118"/>
      <c r="B13708" s="136"/>
    </row>
    <row r="13709" spans="1:2" x14ac:dyDescent="0.25">
      <c r="A13709" s="118"/>
      <c r="B13709" s="136"/>
    </row>
    <row r="13710" spans="1:2" x14ac:dyDescent="0.25">
      <c r="A13710" s="118"/>
      <c r="B13710" s="136"/>
    </row>
    <row r="13711" spans="1:2" x14ac:dyDescent="0.25">
      <c r="A13711" s="118"/>
      <c r="B13711" s="136"/>
    </row>
    <row r="13712" spans="1:2" x14ac:dyDescent="0.25">
      <c r="A13712" s="118"/>
      <c r="B13712" s="136"/>
    </row>
    <row r="13713" spans="1:2" x14ac:dyDescent="0.25">
      <c r="A13713" s="118"/>
      <c r="B13713" s="136"/>
    </row>
    <row r="13714" spans="1:2" x14ac:dyDescent="0.25">
      <c r="A13714" s="118"/>
      <c r="B13714" s="136"/>
    </row>
    <row r="13715" spans="1:2" x14ac:dyDescent="0.25">
      <c r="A13715" s="118"/>
      <c r="B13715" s="136"/>
    </row>
    <row r="13716" spans="1:2" x14ac:dyDescent="0.25">
      <c r="A13716" s="118"/>
      <c r="B13716" s="136"/>
    </row>
    <row r="13717" spans="1:2" x14ac:dyDescent="0.25">
      <c r="A13717" s="118"/>
      <c r="B13717" s="136"/>
    </row>
    <row r="13718" spans="1:2" x14ac:dyDescent="0.25">
      <c r="A13718" s="118"/>
      <c r="B13718" s="136"/>
    </row>
    <row r="13719" spans="1:2" x14ac:dyDescent="0.25">
      <c r="A13719" s="118"/>
      <c r="B13719" s="136"/>
    </row>
    <row r="13720" spans="1:2" x14ac:dyDescent="0.25">
      <c r="A13720" s="118"/>
      <c r="B13720" s="136"/>
    </row>
    <row r="13721" spans="1:2" x14ac:dyDescent="0.25">
      <c r="A13721" s="118"/>
      <c r="B13721" s="136"/>
    </row>
    <row r="13722" spans="1:2" x14ac:dyDescent="0.25">
      <c r="A13722" s="118"/>
      <c r="B13722" s="136"/>
    </row>
    <row r="13723" spans="1:2" x14ac:dyDescent="0.25">
      <c r="A13723" s="118"/>
      <c r="B13723" s="136"/>
    </row>
    <row r="13724" spans="1:2" x14ac:dyDescent="0.25">
      <c r="A13724" s="118"/>
      <c r="B13724" s="136"/>
    </row>
    <row r="13725" spans="1:2" x14ac:dyDescent="0.25">
      <c r="A13725" s="118"/>
      <c r="B13725" s="136"/>
    </row>
    <row r="13726" spans="1:2" x14ac:dyDescent="0.25">
      <c r="A13726" s="118"/>
      <c r="B13726" s="136"/>
    </row>
    <row r="13727" spans="1:2" x14ac:dyDescent="0.25">
      <c r="A13727" s="118"/>
      <c r="B13727" s="136"/>
    </row>
    <row r="13728" spans="1:2" x14ac:dyDescent="0.25">
      <c r="A13728" s="118"/>
      <c r="B13728" s="136"/>
    </row>
    <row r="13729" spans="1:2" x14ac:dyDescent="0.25">
      <c r="A13729" s="118"/>
      <c r="B13729" s="136"/>
    </row>
    <row r="13730" spans="1:2" x14ac:dyDescent="0.25">
      <c r="A13730" s="118"/>
      <c r="B13730" s="136"/>
    </row>
    <row r="13731" spans="1:2" x14ac:dyDescent="0.25">
      <c r="A13731" s="118"/>
      <c r="B13731" s="136"/>
    </row>
    <row r="13732" spans="1:2" x14ac:dyDescent="0.25">
      <c r="A13732" s="118"/>
      <c r="B13732" s="136"/>
    </row>
    <row r="13733" spans="1:2" x14ac:dyDescent="0.25">
      <c r="A13733" s="118"/>
      <c r="B13733" s="136"/>
    </row>
    <row r="13734" spans="1:2" x14ac:dyDescent="0.25">
      <c r="A13734" s="118"/>
      <c r="B13734" s="136"/>
    </row>
    <row r="13735" spans="1:2" x14ac:dyDescent="0.25">
      <c r="A13735" s="118"/>
      <c r="B13735" s="136"/>
    </row>
    <row r="13736" spans="1:2" x14ac:dyDescent="0.25">
      <c r="A13736" s="118"/>
      <c r="B13736" s="136"/>
    </row>
    <row r="13737" spans="1:2" x14ac:dyDescent="0.25">
      <c r="A13737" s="118"/>
      <c r="B13737" s="136"/>
    </row>
    <row r="13738" spans="1:2" x14ac:dyDescent="0.25">
      <c r="A13738" s="118"/>
      <c r="B13738" s="136"/>
    </row>
    <row r="13739" spans="1:2" x14ac:dyDescent="0.25">
      <c r="A13739" s="118"/>
      <c r="B13739" s="136"/>
    </row>
    <row r="13740" spans="1:2" x14ac:dyDescent="0.25">
      <c r="A13740" s="118"/>
      <c r="B13740" s="136"/>
    </row>
    <row r="13741" spans="1:2" x14ac:dyDescent="0.25">
      <c r="A13741" s="118"/>
      <c r="B13741" s="136"/>
    </row>
    <row r="13742" spans="1:2" x14ac:dyDescent="0.25">
      <c r="A13742" s="118"/>
      <c r="B13742" s="136"/>
    </row>
    <row r="13743" spans="1:2" x14ac:dyDescent="0.25">
      <c r="A13743" s="118"/>
      <c r="B13743" s="136"/>
    </row>
    <row r="13744" spans="1:2" x14ac:dyDescent="0.25">
      <c r="A13744" s="118"/>
      <c r="B13744" s="136"/>
    </row>
    <row r="13745" spans="1:2" x14ac:dyDescent="0.25">
      <c r="A13745" s="118"/>
      <c r="B13745" s="136"/>
    </row>
    <row r="13746" spans="1:2" x14ac:dyDescent="0.25">
      <c r="A13746" s="118"/>
      <c r="B13746" s="136"/>
    </row>
    <row r="13747" spans="1:2" x14ac:dyDescent="0.25">
      <c r="A13747" s="118"/>
      <c r="B13747" s="136"/>
    </row>
    <row r="13748" spans="1:2" x14ac:dyDescent="0.25">
      <c r="A13748" s="118"/>
      <c r="B13748" s="136"/>
    </row>
    <row r="13749" spans="1:2" x14ac:dyDescent="0.25">
      <c r="A13749" s="118"/>
      <c r="B13749" s="136"/>
    </row>
    <row r="13750" spans="1:2" x14ac:dyDescent="0.25">
      <c r="A13750" s="118"/>
      <c r="B13750" s="136"/>
    </row>
    <row r="13751" spans="1:2" x14ac:dyDescent="0.25">
      <c r="A13751" s="118"/>
      <c r="B13751" s="136"/>
    </row>
    <row r="13752" spans="1:2" x14ac:dyDescent="0.25">
      <c r="A13752" s="118"/>
      <c r="B13752" s="136"/>
    </row>
    <row r="13753" spans="1:2" x14ac:dyDescent="0.25">
      <c r="A13753" s="118"/>
      <c r="B13753" s="136"/>
    </row>
    <row r="13754" spans="1:2" x14ac:dyDescent="0.25">
      <c r="A13754" s="118"/>
      <c r="B13754" s="136"/>
    </row>
    <row r="13755" spans="1:2" x14ac:dyDescent="0.25">
      <c r="A13755" s="118"/>
      <c r="B13755" s="136"/>
    </row>
    <row r="13756" spans="1:2" x14ac:dyDescent="0.25">
      <c r="A13756" s="118"/>
      <c r="B13756" s="136"/>
    </row>
    <row r="13757" spans="1:2" x14ac:dyDescent="0.25">
      <c r="A13757" s="118"/>
      <c r="B13757" s="136"/>
    </row>
    <row r="13758" spans="1:2" x14ac:dyDescent="0.25">
      <c r="A13758" s="118"/>
      <c r="B13758" s="136"/>
    </row>
    <row r="13759" spans="1:2" x14ac:dyDescent="0.25">
      <c r="A13759" s="118"/>
      <c r="B13759" s="136"/>
    </row>
    <row r="13760" spans="1:2" x14ac:dyDescent="0.25">
      <c r="A13760" s="118"/>
      <c r="B13760" s="136"/>
    </row>
    <row r="13761" spans="1:2" x14ac:dyDescent="0.25">
      <c r="A13761" s="118"/>
      <c r="B13761" s="136"/>
    </row>
    <row r="13762" spans="1:2" x14ac:dyDescent="0.25">
      <c r="A13762" s="118"/>
      <c r="B13762" s="136"/>
    </row>
    <row r="13763" spans="1:2" x14ac:dyDescent="0.25">
      <c r="A13763" s="118"/>
      <c r="B13763" s="136"/>
    </row>
    <row r="13764" spans="1:2" x14ac:dyDescent="0.25">
      <c r="A13764" s="118"/>
      <c r="B13764" s="136"/>
    </row>
    <row r="13765" spans="1:2" x14ac:dyDescent="0.25">
      <c r="A13765" s="118"/>
      <c r="B13765" s="136"/>
    </row>
    <row r="13766" spans="1:2" x14ac:dyDescent="0.25">
      <c r="A13766" s="118"/>
      <c r="B13766" s="136"/>
    </row>
    <row r="13767" spans="1:2" x14ac:dyDescent="0.25">
      <c r="A13767" s="118"/>
      <c r="B13767" s="136"/>
    </row>
    <row r="13768" spans="1:2" x14ac:dyDescent="0.25">
      <c r="A13768" s="118"/>
      <c r="B13768" s="136"/>
    </row>
    <row r="13769" spans="1:2" x14ac:dyDescent="0.25">
      <c r="A13769" s="118"/>
      <c r="B13769" s="136"/>
    </row>
    <row r="13770" spans="1:2" x14ac:dyDescent="0.25">
      <c r="A13770" s="118"/>
      <c r="B13770" s="136"/>
    </row>
    <row r="13771" spans="1:2" x14ac:dyDescent="0.25">
      <c r="A13771" s="118"/>
      <c r="B13771" s="136"/>
    </row>
    <row r="13772" spans="1:2" x14ac:dyDescent="0.25">
      <c r="A13772" s="118"/>
      <c r="B13772" s="136"/>
    </row>
    <row r="13773" spans="1:2" x14ac:dyDescent="0.25">
      <c r="A13773" s="118"/>
      <c r="B13773" s="136"/>
    </row>
    <row r="13774" spans="1:2" x14ac:dyDescent="0.25">
      <c r="A13774" s="118"/>
      <c r="B13774" s="136"/>
    </row>
    <row r="13775" spans="1:2" x14ac:dyDescent="0.25">
      <c r="A13775" s="118"/>
      <c r="B13775" s="136"/>
    </row>
    <row r="13776" spans="1:2" x14ac:dyDescent="0.25">
      <c r="A13776" s="118"/>
      <c r="B13776" s="136"/>
    </row>
    <row r="13777" spans="1:2" x14ac:dyDescent="0.25">
      <c r="A13777" s="118"/>
      <c r="B13777" s="136"/>
    </row>
    <row r="13778" spans="1:2" x14ac:dyDescent="0.25">
      <c r="A13778" s="118"/>
      <c r="B13778" s="136"/>
    </row>
    <row r="13779" spans="1:2" x14ac:dyDescent="0.25">
      <c r="A13779" s="118"/>
      <c r="B13779" s="136"/>
    </row>
    <row r="13780" spans="1:2" x14ac:dyDescent="0.25">
      <c r="A13780" s="118"/>
      <c r="B13780" s="136"/>
    </row>
    <row r="13781" spans="1:2" x14ac:dyDescent="0.25">
      <c r="A13781" s="118"/>
      <c r="B13781" s="136"/>
    </row>
    <row r="13782" spans="1:2" x14ac:dyDescent="0.25">
      <c r="A13782" s="118"/>
      <c r="B13782" s="136"/>
    </row>
    <row r="13783" spans="1:2" x14ac:dyDescent="0.25">
      <c r="A13783" s="118"/>
      <c r="B13783" s="136"/>
    </row>
    <row r="13784" spans="1:2" x14ac:dyDescent="0.25">
      <c r="A13784" s="118"/>
      <c r="B13784" s="136"/>
    </row>
    <row r="13785" spans="1:2" x14ac:dyDescent="0.25">
      <c r="A13785" s="118"/>
      <c r="B13785" s="136"/>
    </row>
    <row r="13786" spans="1:2" x14ac:dyDescent="0.25">
      <c r="A13786" s="118"/>
      <c r="B13786" s="136"/>
    </row>
    <row r="13787" spans="1:2" x14ac:dyDescent="0.25">
      <c r="A13787" s="118"/>
      <c r="B13787" s="136"/>
    </row>
    <row r="13788" spans="1:2" x14ac:dyDescent="0.25">
      <c r="A13788" s="118"/>
      <c r="B13788" s="136"/>
    </row>
    <row r="13789" spans="1:2" x14ac:dyDescent="0.25">
      <c r="A13789" s="118"/>
      <c r="B13789" s="136"/>
    </row>
    <row r="13790" spans="1:2" x14ac:dyDescent="0.25">
      <c r="A13790" s="118"/>
      <c r="B13790" s="136"/>
    </row>
    <row r="13791" spans="1:2" x14ac:dyDescent="0.25">
      <c r="A13791" s="118"/>
      <c r="B13791" s="136"/>
    </row>
    <row r="13792" spans="1:2" x14ac:dyDescent="0.25">
      <c r="A13792" s="118"/>
      <c r="B13792" s="136"/>
    </row>
    <row r="13793" spans="1:2" x14ac:dyDescent="0.25">
      <c r="A13793" s="118"/>
      <c r="B13793" s="136"/>
    </row>
    <row r="13794" spans="1:2" x14ac:dyDescent="0.25">
      <c r="A13794" s="118"/>
      <c r="B13794" s="136"/>
    </row>
    <row r="13795" spans="1:2" x14ac:dyDescent="0.25">
      <c r="A13795" s="118"/>
      <c r="B13795" s="136"/>
    </row>
    <row r="13796" spans="1:2" x14ac:dyDescent="0.25">
      <c r="A13796" s="118"/>
      <c r="B13796" s="136"/>
    </row>
    <row r="13797" spans="1:2" x14ac:dyDescent="0.25">
      <c r="A13797" s="118"/>
      <c r="B13797" s="136"/>
    </row>
    <row r="13798" spans="1:2" x14ac:dyDescent="0.25">
      <c r="A13798" s="118"/>
      <c r="B13798" s="136"/>
    </row>
    <row r="13799" spans="1:2" x14ac:dyDescent="0.25">
      <c r="A13799" s="118"/>
      <c r="B13799" s="136"/>
    </row>
    <row r="13800" spans="1:2" x14ac:dyDescent="0.25">
      <c r="A13800" s="118"/>
      <c r="B13800" s="136"/>
    </row>
    <row r="13801" spans="1:2" x14ac:dyDescent="0.25">
      <c r="A13801" s="118"/>
      <c r="B13801" s="136"/>
    </row>
    <row r="13802" spans="1:2" x14ac:dyDescent="0.25">
      <c r="A13802" s="118"/>
      <c r="B13802" s="136"/>
    </row>
    <row r="13803" spans="1:2" x14ac:dyDescent="0.25">
      <c r="A13803" s="118"/>
      <c r="B13803" s="136"/>
    </row>
    <row r="13804" spans="1:2" x14ac:dyDescent="0.25">
      <c r="A13804" s="118"/>
      <c r="B13804" s="136"/>
    </row>
    <row r="13805" spans="1:2" x14ac:dyDescent="0.25">
      <c r="A13805" s="118"/>
      <c r="B13805" s="136"/>
    </row>
    <row r="13806" spans="1:2" x14ac:dyDescent="0.25">
      <c r="A13806" s="118"/>
      <c r="B13806" s="136"/>
    </row>
    <row r="13807" spans="1:2" x14ac:dyDescent="0.25">
      <c r="A13807" s="118"/>
      <c r="B13807" s="136"/>
    </row>
    <row r="13808" spans="1:2" x14ac:dyDescent="0.25">
      <c r="A13808" s="118"/>
      <c r="B13808" s="136"/>
    </row>
    <row r="13809" spans="1:2" x14ac:dyDescent="0.25">
      <c r="A13809" s="118"/>
      <c r="B13809" s="136"/>
    </row>
    <row r="13810" spans="1:2" x14ac:dyDescent="0.25">
      <c r="A13810" s="118"/>
      <c r="B13810" s="136"/>
    </row>
    <row r="13811" spans="1:2" x14ac:dyDescent="0.25">
      <c r="A13811" s="118"/>
      <c r="B13811" s="136"/>
    </row>
    <row r="13812" spans="1:2" x14ac:dyDescent="0.25">
      <c r="A13812" s="118"/>
      <c r="B13812" s="136"/>
    </row>
    <row r="13813" spans="1:2" x14ac:dyDescent="0.25">
      <c r="A13813" s="118"/>
      <c r="B13813" s="136"/>
    </row>
    <row r="13814" spans="1:2" x14ac:dyDescent="0.25">
      <c r="A13814" s="118"/>
      <c r="B13814" s="136"/>
    </row>
    <row r="13815" spans="1:2" x14ac:dyDescent="0.25">
      <c r="A13815" s="118"/>
      <c r="B13815" s="136"/>
    </row>
    <row r="13816" spans="1:2" x14ac:dyDescent="0.25">
      <c r="A13816" s="118"/>
      <c r="B13816" s="136"/>
    </row>
    <row r="13817" spans="1:2" x14ac:dyDescent="0.25">
      <c r="A13817" s="118"/>
      <c r="B13817" s="136"/>
    </row>
    <row r="13818" spans="1:2" x14ac:dyDescent="0.25">
      <c r="A13818" s="118"/>
      <c r="B13818" s="136"/>
    </row>
    <row r="13819" spans="1:2" x14ac:dyDescent="0.25">
      <c r="A13819" s="118"/>
      <c r="B13819" s="136"/>
    </row>
    <row r="13820" spans="1:2" x14ac:dyDescent="0.25">
      <c r="A13820" s="118"/>
      <c r="B13820" s="136"/>
    </row>
    <row r="13821" spans="1:2" x14ac:dyDescent="0.25">
      <c r="A13821" s="118"/>
      <c r="B13821" s="136"/>
    </row>
    <row r="13822" spans="1:2" x14ac:dyDescent="0.25">
      <c r="A13822" s="118"/>
      <c r="B13822" s="136"/>
    </row>
    <row r="13823" spans="1:2" x14ac:dyDescent="0.25">
      <c r="A13823" s="118"/>
      <c r="B13823" s="136"/>
    </row>
    <row r="13824" spans="1:2" x14ac:dyDescent="0.25">
      <c r="A13824" s="118"/>
      <c r="B13824" s="136"/>
    </row>
    <row r="13825" spans="1:2" x14ac:dyDescent="0.25">
      <c r="A13825" s="118"/>
      <c r="B13825" s="136"/>
    </row>
    <row r="13826" spans="1:2" x14ac:dyDescent="0.25">
      <c r="A13826" s="118"/>
      <c r="B13826" s="136"/>
    </row>
    <row r="13827" spans="1:2" x14ac:dyDescent="0.25">
      <c r="A13827" s="118"/>
      <c r="B13827" s="136"/>
    </row>
    <row r="13828" spans="1:2" x14ac:dyDescent="0.25">
      <c r="A13828" s="118"/>
      <c r="B13828" s="136"/>
    </row>
    <row r="13829" spans="1:2" x14ac:dyDescent="0.25">
      <c r="A13829" s="118"/>
      <c r="B13829" s="136"/>
    </row>
    <row r="13830" spans="1:2" x14ac:dyDescent="0.25">
      <c r="A13830" s="118"/>
      <c r="B13830" s="136"/>
    </row>
    <row r="13831" spans="1:2" x14ac:dyDescent="0.25">
      <c r="A13831" s="118"/>
      <c r="B13831" s="136"/>
    </row>
    <row r="13832" spans="1:2" x14ac:dyDescent="0.25">
      <c r="A13832" s="118"/>
      <c r="B13832" s="136"/>
    </row>
    <row r="13833" spans="1:2" x14ac:dyDescent="0.25">
      <c r="A13833" s="118"/>
      <c r="B13833" s="136"/>
    </row>
    <row r="13834" spans="1:2" x14ac:dyDescent="0.25">
      <c r="A13834" s="118"/>
      <c r="B13834" s="136"/>
    </row>
    <row r="13835" spans="1:2" x14ac:dyDescent="0.25">
      <c r="A13835" s="118"/>
      <c r="B13835" s="136"/>
    </row>
    <row r="13836" spans="1:2" x14ac:dyDescent="0.25">
      <c r="A13836" s="118"/>
      <c r="B13836" s="136"/>
    </row>
    <row r="13837" spans="1:2" x14ac:dyDescent="0.25">
      <c r="A13837" s="118"/>
      <c r="B13837" s="136"/>
    </row>
    <row r="13838" spans="1:2" x14ac:dyDescent="0.25">
      <c r="A13838" s="118"/>
      <c r="B13838" s="136"/>
    </row>
    <row r="13839" spans="1:2" x14ac:dyDescent="0.25">
      <c r="A13839" s="118"/>
      <c r="B13839" s="136"/>
    </row>
    <row r="13840" spans="1:2" x14ac:dyDescent="0.25">
      <c r="A13840" s="118"/>
      <c r="B13840" s="136"/>
    </row>
    <row r="13841" spans="1:2" x14ac:dyDescent="0.25">
      <c r="A13841" s="118"/>
      <c r="B13841" s="136"/>
    </row>
    <row r="13842" spans="1:2" x14ac:dyDescent="0.25">
      <c r="A13842" s="118"/>
      <c r="B13842" s="136"/>
    </row>
    <row r="13843" spans="1:2" x14ac:dyDescent="0.25">
      <c r="A13843" s="118"/>
      <c r="B13843" s="136"/>
    </row>
    <row r="13844" spans="1:2" x14ac:dyDescent="0.25">
      <c r="A13844" s="118"/>
      <c r="B13844" s="136"/>
    </row>
    <row r="13845" spans="1:2" x14ac:dyDescent="0.25">
      <c r="A13845" s="118"/>
      <c r="B13845" s="136"/>
    </row>
    <row r="13846" spans="1:2" x14ac:dyDescent="0.25">
      <c r="A13846" s="118"/>
      <c r="B13846" s="136"/>
    </row>
    <row r="13847" spans="1:2" x14ac:dyDescent="0.25">
      <c r="A13847" s="118"/>
      <c r="B13847" s="136"/>
    </row>
    <row r="13848" spans="1:2" x14ac:dyDescent="0.25">
      <c r="A13848" s="118"/>
      <c r="B13848" s="136"/>
    </row>
    <row r="13849" spans="1:2" x14ac:dyDescent="0.25">
      <c r="A13849" s="118"/>
      <c r="B13849" s="136"/>
    </row>
    <row r="13850" spans="1:2" x14ac:dyDescent="0.25">
      <c r="A13850" s="118"/>
      <c r="B13850" s="136"/>
    </row>
    <row r="13851" spans="1:2" x14ac:dyDescent="0.25">
      <c r="A13851" s="118"/>
      <c r="B13851" s="136"/>
    </row>
    <row r="13852" spans="1:2" x14ac:dyDescent="0.25">
      <c r="A13852" s="118"/>
      <c r="B13852" s="136"/>
    </row>
    <row r="13853" spans="1:2" x14ac:dyDescent="0.25">
      <c r="A13853" s="118"/>
      <c r="B13853" s="136"/>
    </row>
    <row r="13854" spans="1:2" x14ac:dyDescent="0.25">
      <c r="A13854" s="118"/>
      <c r="B13854" s="136"/>
    </row>
    <row r="13855" spans="1:2" x14ac:dyDescent="0.25">
      <c r="A13855" s="118"/>
      <c r="B13855" s="136"/>
    </row>
    <row r="13856" spans="1:2" x14ac:dyDescent="0.25">
      <c r="A13856" s="118"/>
      <c r="B13856" s="136"/>
    </row>
    <row r="13857" spans="1:2" x14ac:dyDescent="0.25">
      <c r="A13857" s="118"/>
      <c r="B13857" s="136"/>
    </row>
    <row r="13858" spans="1:2" x14ac:dyDescent="0.25">
      <c r="A13858" s="118"/>
      <c r="B13858" s="136"/>
    </row>
    <row r="13859" spans="1:2" x14ac:dyDescent="0.25">
      <c r="A13859" s="118"/>
      <c r="B13859" s="136"/>
    </row>
    <row r="13860" spans="1:2" x14ac:dyDescent="0.25">
      <c r="A13860" s="118"/>
      <c r="B13860" s="136"/>
    </row>
    <row r="13861" spans="1:2" x14ac:dyDescent="0.25">
      <c r="A13861" s="118"/>
      <c r="B13861" s="136"/>
    </row>
    <row r="13862" spans="1:2" x14ac:dyDescent="0.25">
      <c r="A13862" s="118"/>
      <c r="B13862" s="136"/>
    </row>
    <row r="13863" spans="1:2" x14ac:dyDescent="0.25">
      <c r="A13863" s="118"/>
      <c r="B13863" s="136"/>
    </row>
    <row r="13864" spans="1:2" x14ac:dyDescent="0.25">
      <c r="A13864" s="118"/>
      <c r="B13864" s="136"/>
    </row>
    <row r="13865" spans="1:2" x14ac:dyDescent="0.25">
      <c r="A13865" s="118"/>
      <c r="B13865" s="136"/>
    </row>
    <row r="13866" spans="1:2" x14ac:dyDescent="0.25">
      <c r="A13866" s="118"/>
      <c r="B13866" s="136"/>
    </row>
    <row r="13867" spans="1:2" x14ac:dyDescent="0.25">
      <c r="A13867" s="118"/>
      <c r="B13867" s="136"/>
    </row>
    <row r="13868" spans="1:2" x14ac:dyDescent="0.25">
      <c r="A13868" s="118"/>
      <c r="B13868" s="136"/>
    </row>
    <row r="13869" spans="1:2" x14ac:dyDescent="0.25">
      <c r="A13869" s="118"/>
      <c r="B13869" s="136"/>
    </row>
    <row r="13870" spans="1:2" x14ac:dyDescent="0.25">
      <c r="A13870" s="118"/>
      <c r="B13870" s="136"/>
    </row>
    <row r="13871" spans="1:2" x14ac:dyDescent="0.25">
      <c r="A13871" s="118"/>
      <c r="B13871" s="136"/>
    </row>
    <row r="13872" spans="1:2" x14ac:dyDescent="0.25">
      <c r="A13872" s="118"/>
      <c r="B13872" s="136"/>
    </row>
    <row r="13873" spans="1:2" x14ac:dyDescent="0.25">
      <c r="A13873" s="118"/>
      <c r="B13873" s="136"/>
    </row>
    <row r="13874" spans="1:2" x14ac:dyDescent="0.25">
      <c r="A13874" s="118"/>
      <c r="B13874" s="136"/>
    </row>
    <row r="13875" spans="1:2" x14ac:dyDescent="0.25">
      <c r="A13875" s="118"/>
      <c r="B13875" s="136"/>
    </row>
    <row r="13876" spans="1:2" x14ac:dyDescent="0.25">
      <c r="A13876" s="118"/>
      <c r="B13876" s="136"/>
    </row>
    <row r="13877" spans="1:2" x14ac:dyDescent="0.25">
      <c r="A13877" s="118"/>
      <c r="B13877" s="136"/>
    </row>
    <row r="13878" spans="1:2" x14ac:dyDescent="0.25">
      <c r="A13878" s="118"/>
      <c r="B13878" s="136"/>
    </row>
    <row r="13879" spans="1:2" x14ac:dyDescent="0.25">
      <c r="A13879" s="118"/>
      <c r="B13879" s="136"/>
    </row>
    <row r="13880" spans="1:2" x14ac:dyDescent="0.25">
      <c r="A13880" s="118"/>
      <c r="B13880" s="136"/>
    </row>
    <row r="13881" spans="1:2" x14ac:dyDescent="0.25">
      <c r="A13881" s="118"/>
      <c r="B13881" s="136"/>
    </row>
    <row r="13882" spans="1:2" x14ac:dyDescent="0.25">
      <c r="A13882" s="118"/>
      <c r="B13882" s="136"/>
    </row>
    <row r="13883" spans="1:2" x14ac:dyDescent="0.25">
      <c r="A13883" s="118"/>
      <c r="B13883" s="136"/>
    </row>
    <row r="13884" spans="1:2" x14ac:dyDescent="0.25">
      <c r="A13884" s="118"/>
      <c r="B13884" s="136"/>
    </row>
    <row r="13885" spans="1:2" x14ac:dyDescent="0.25">
      <c r="A13885" s="118"/>
      <c r="B13885" s="136"/>
    </row>
    <row r="13886" spans="1:2" x14ac:dyDescent="0.25">
      <c r="A13886" s="118"/>
      <c r="B13886" s="136"/>
    </row>
    <row r="13887" spans="1:2" x14ac:dyDescent="0.25">
      <c r="A13887" s="118"/>
      <c r="B13887" s="136"/>
    </row>
    <row r="13888" spans="1:2" x14ac:dyDescent="0.25">
      <c r="A13888" s="118"/>
      <c r="B13888" s="136"/>
    </row>
    <row r="13889" spans="1:2" x14ac:dyDescent="0.25">
      <c r="A13889" s="118"/>
      <c r="B13889" s="136"/>
    </row>
    <row r="13890" spans="1:2" x14ac:dyDescent="0.25">
      <c r="A13890" s="118"/>
      <c r="B13890" s="136"/>
    </row>
    <row r="13891" spans="1:2" x14ac:dyDescent="0.25">
      <c r="A13891" s="118"/>
      <c r="B13891" s="136"/>
    </row>
    <row r="13892" spans="1:2" x14ac:dyDescent="0.25">
      <c r="A13892" s="118"/>
      <c r="B13892" s="136"/>
    </row>
    <row r="13893" spans="1:2" x14ac:dyDescent="0.25">
      <c r="A13893" s="118"/>
      <c r="B13893" s="136"/>
    </row>
    <row r="13894" spans="1:2" x14ac:dyDescent="0.25">
      <c r="A13894" s="118"/>
      <c r="B13894" s="136"/>
    </row>
    <row r="13895" spans="1:2" x14ac:dyDescent="0.25">
      <c r="A13895" s="118"/>
      <c r="B13895" s="136"/>
    </row>
    <row r="13896" spans="1:2" x14ac:dyDescent="0.25">
      <c r="A13896" s="118"/>
      <c r="B13896" s="136"/>
    </row>
    <row r="13897" spans="1:2" x14ac:dyDescent="0.25">
      <c r="A13897" s="118"/>
      <c r="B13897" s="136"/>
    </row>
    <row r="13898" spans="1:2" x14ac:dyDescent="0.25">
      <c r="A13898" s="118"/>
      <c r="B13898" s="136"/>
    </row>
    <row r="13899" spans="1:2" x14ac:dyDescent="0.25">
      <c r="A13899" s="118"/>
      <c r="B13899" s="136"/>
    </row>
    <row r="13900" spans="1:2" x14ac:dyDescent="0.25">
      <c r="A13900" s="118"/>
      <c r="B13900" s="136"/>
    </row>
    <row r="13901" spans="1:2" x14ac:dyDescent="0.25">
      <c r="A13901" s="118"/>
      <c r="B13901" s="136"/>
    </row>
    <row r="13902" spans="1:2" x14ac:dyDescent="0.25">
      <c r="A13902" s="118"/>
      <c r="B13902" s="136"/>
    </row>
    <row r="13903" spans="1:2" x14ac:dyDescent="0.25">
      <c r="A13903" s="118"/>
      <c r="B13903" s="136"/>
    </row>
    <row r="13904" spans="1:2" x14ac:dyDescent="0.25">
      <c r="A13904" s="118"/>
      <c r="B13904" s="136"/>
    </row>
    <row r="13905" spans="1:2" x14ac:dyDescent="0.25">
      <c r="A13905" s="118"/>
      <c r="B13905" s="136"/>
    </row>
    <row r="13906" spans="1:2" x14ac:dyDescent="0.25">
      <c r="A13906" s="118"/>
      <c r="B13906" s="136"/>
    </row>
    <row r="13907" spans="1:2" x14ac:dyDescent="0.25">
      <c r="A13907" s="118"/>
      <c r="B13907" s="136"/>
    </row>
    <row r="13908" spans="1:2" x14ac:dyDescent="0.25">
      <c r="A13908" s="118"/>
      <c r="B13908" s="136"/>
    </row>
    <row r="13909" spans="1:2" x14ac:dyDescent="0.25">
      <c r="A13909" s="118"/>
      <c r="B13909" s="136"/>
    </row>
    <row r="13910" spans="1:2" x14ac:dyDescent="0.25">
      <c r="A13910" s="118"/>
      <c r="B13910" s="136"/>
    </row>
    <row r="13911" spans="1:2" x14ac:dyDescent="0.25">
      <c r="A13911" s="118"/>
      <c r="B13911" s="136"/>
    </row>
    <row r="13912" spans="1:2" x14ac:dyDescent="0.25">
      <c r="A13912" s="118"/>
      <c r="B13912" s="136"/>
    </row>
    <row r="13913" spans="1:2" x14ac:dyDescent="0.25">
      <c r="A13913" s="118"/>
      <c r="B13913" s="136"/>
    </row>
    <row r="13914" spans="1:2" x14ac:dyDescent="0.25">
      <c r="A13914" s="118"/>
      <c r="B13914" s="136"/>
    </row>
    <row r="13915" spans="1:2" x14ac:dyDescent="0.25">
      <c r="A13915" s="118"/>
      <c r="B13915" s="136"/>
    </row>
    <row r="13916" spans="1:2" x14ac:dyDescent="0.25">
      <c r="A13916" s="118"/>
      <c r="B13916" s="136"/>
    </row>
    <row r="13917" spans="1:2" x14ac:dyDescent="0.25">
      <c r="A13917" s="118"/>
      <c r="B13917" s="136"/>
    </row>
    <row r="13918" spans="1:2" x14ac:dyDescent="0.25">
      <c r="A13918" s="118"/>
      <c r="B13918" s="136"/>
    </row>
    <row r="13919" spans="1:2" x14ac:dyDescent="0.25">
      <c r="A13919" s="118"/>
      <c r="B13919" s="136"/>
    </row>
    <row r="13920" spans="1:2" x14ac:dyDescent="0.25">
      <c r="A13920" s="118"/>
      <c r="B13920" s="136"/>
    </row>
    <row r="13921" spans="1:2" x14ac:dyDescent="0.25">
      <c r="A13921" s="118"/>
      <c r="B13921" s="136"/>
    </row>
    <row r="13922" spans="1:2" x14ac:dyDescent="0.25">
      <c r="A13922" s="118"/>
      <c r="B13922" s="136"/>
    </row>
    <row r="13923" spans="1:2" x14ac:dyDescent="0.25">
      <c r="A13923" s="118"/>
      <c r="B13923" s="136"/>
    </row>
    <row r="13924" spans="1:2" x14ac:dyDescent="0.25">
      <c r="A13924" s="118"/>
      <c r="B13924" s="136"/>
    </row>
    <row r="13925" spans="1:2" x14ac:dyDescent="0.25">
      <c r="A13925" s="118"/>
      <c r="B13925" s="136"/>
    </row>
    <row r="13926" spans="1:2" x14ac:dyDescent="0.25">
      <c r="A13926" s="118"/>
      <c r="B13926" s="136"/>
    </row>
    <row r="13927" spans="1:2" x14ac:dyDescent="0.25">
      <c r="A13927" s="118"/>
      <c r="B13927" s="136"/>
    </row>
    <row r="13928" spans="1:2" x14ac:dyDescent="0.25">
      <c r="A13928" s="118"/>
      <c r="B13928" s="136"/>
    </row>
    <row r="13929" spans="1:2" x14ac:dyDescent="0.25">
      <c r="A13929" s="118"/>
      <c r="B13929" s="136"/>
    </row>
    <row r="13930" spans="1:2" x14ac:dyDescent="0.25">
      <c r="A13930" s="118"/>
      <c r="B13930" s="136"/>
    </row>
    <row r="13931" spans="1:2" x14ac:dyDescent="0.25">
      <c r="A13931" s="118"/>
      <c r="B13931" s="136"/>
    </row>
    <row r="13932" spans="1:2" x14ac:dyDescent="0.25">
      <c r="A13932" s="118"/>
      <c r="B13932" s="136"/>
    </row>
    <row r="13933" spans="1:2" x14ac:dyDescent="0.25">
      <c r="A13933" s="118"/>
      <c r="B13933" s="136"/>
    </row>
    <row r="13934" spans="1:2" x14ac:dyDescent="0.25">
      <c r="A13934" s="118"/>
      <c r="B13934" s="136"/>
    </row>
    <row r="13935" spans="1:2" x14ac:dyDescent="0.25">
      <c r="A13935" s="118"/>
      <c r="B13935" s="136"/>
    </row>
    <row r="13936" spans="1:2" x14ac:dyDescent="0.25">
      <c r="A13936" s="118"/>
      <c r="B13936" s="136"/>
    </row>
    <row r="13937" spans="1:2" x14ac:dyDescent="0.25">
      <c r="A13937" s="118"/>
      <c r="B13937" s="136"/>
    </row>
    <row r="13938" spans="1:2" x14ac:dyDescent="0.25">
      <c r="A13938" s="118"/>
      <c r="B13938" s="136"/>
    </row>
    <row r="13939" spans="1:2" x14ac:dyDescent="0.25">
      <c r="A13939" s="118"/>
      <c r="B13939" s="136"/>
    </row>
    <row r="13940" spans="1:2" x14ac:dyDescent="0.25">
      <c r="A13940" s="118"/>
      <c r="B13940" s="136"/>
    </row>
    <row r="13941" spans="1:2" x14ac:dyDescent="0.25">
      <c r="A13941" s="118"/>
      <c r="B13941" s="136"/>
    </row>
    <row r="13942" spans="1:2" x14ac:dyDescent="0.25">
      <c r="A13942" s="118"/>
      <c r="B13942" s="136"/>
    </row>
    <row r="13943" spans="1:2" x14ac:dyDescent="0.25">
      <c r="A13943" s="118"/>
      <c r="B13943" s="136"/>
    </row>
    <row r="13944" spans="1:2" x14ac:dyDescent="0.25">
      <c r="A13944" s="118"/>
      <c r="B13944" s="136"/>
    </row>
    <row r="13945" spans="1:2" x14ac:dyDescent="0.25">
      <c r="A13945" s="118"/>
      <c r="B13945" s="136"/>
    </row>
    <row r="13946" spans="1:2" x14ac:dyDescent="0.25">
      <c r="A13946" s="118"/>
      <c r="B13946" s="136"/>
    </row>
    <row r="13947" spans="1:2" x14ac:dyDescent="0.25">
      <c r="A13947" s="118"/>
      <c r="B13947" s="136"/>
    </row>
    <row r="13948" spans="1:2" x14ac:dyDescent="0.25">
      <c r="A13948" s="118"/>
      <c r="B13948" s="136"/>
    </row>
    <row r="13949" spans="1:2" x14ac:dyDescent="0.25">
      <c r="A13949" s="118"/>
      <c r="B13949" s="136"/>
    </row>
    <row r="13950" spans="1:2" x14ac:dyDescent="0.25">
      <c r="A13950" s="118"/>
      <c r="B13950" s="136"/>
    </row>
    <row r="13951" spans="1:2" x14ac:dyDescent="0.25">
      <c r="A13951" s="118"/>
      <c r="B13951" s="136"/>
    </row>
    <row r="13952" spans="1:2" x14ac:dyDescent="0.25">
      <c r="A13952" s="118"/>
      <c r="B13952" s="136"/>
    </row>
    <row r="13953" spans="1:2" x14ac:dyDescent="0.25">
      <c r="A13953" s="118"/>
      <c r="B13953" s="136"/>
    </row>
    <row r="13954" spans="1:2" x14ac:dyDescent="0.25">
      <c r="A13954" s="118"/>
      <c r="B13954" s="136"/>
    </row>
    <row r="13955" spans="1:2" x14ac:dyDescent="0.25">
      <c r="A13955" s="118"/>
      <c r="B13955" s="136"/>
    </row>
    <row r="13956" spans="1:2" x14ac:dyDescent="0.25">
      <c r="A13956" s="118"/>
      <c r="B13956" s="136"/>
    </row>
    <row r="13957" spans="1:2" x14ac:dyDescent="0.25">
      <c r="A13957" s="118"/>
      <c r="B13957" s="136"/>
    </row>
    <row r="13958" spans="1:2" x14ac:dyDescent="0.25">
      <c r="A13958" s="118"/>
      <c r="B13958" s="136"/>
    </row>
    <row r="13959" spans="1:2" x14ac:dyDescent="0.25">
      <c r="A13959" s="118"/>
      <c r="B13959" s="136"/>
    </row>
    <row r="13960" spans="1:2" x14ac:dyDescent="0.25">
      <c r="A13960" s="118"/>
      <c r="B13960" s="136"/>
    </row>
    <row r="13961" spans="1:2" x14ac:dyDescent="0.25">
      <c r="A13961" s="118"/>
      <c r="B13961" s="136"/>
    </row>
    <row r="13962" spans="1:2" x14ac:dyDescent="0.25">
      <c r="A13962" s="118"/>
      <c r="B13962" s="136"/>
    </row>
    <row r="13963" spans="1:2" x14ac:dyDescent="0.25">
      <c r="A13963" s="118"/>
      <c r="B13963" s="136"/>
    </row>
    <row r="13964" spans="1:2" x14ac:dyDescent="0.25">
      <c r="A13964" s="118"/>
      <c r="B13964" s="136"/>
    </row>
    <row r="13965" spans="1:2" x14ac:dyDescent="0.25">
      <c r="A13965" s="118"/>
      <c r="B13965" s="136"/>
    </row>
    <row r="13966" spans="1:2" x14ac:dyDescent="0.25">
      <c r="A13966" s="118"/>
      <c r="B13966" s="136"/>
    </row>
    <row r="13967" spans="1:2" x14ac:dyDescent="0.25">
      <c r="A13967" s="118"/>
      <c r="B13967" s="136"/>
    </row>
    <row r="13968" spans="1:2" x14ac:dyDescent="0.25">
      <c r="A13968" s="118"/>
      <c r="B13968" s="136"/>
    </row>
    <row r="13969" spans="1:2" x14ac:dyDescent="0.25">
      <c r="A13969" s="118"/>
      <c r="B13969" s="136"/>
    </row>
    <row r="13970" spans="1:2" x14ac:dyDescent="0.25">
      <c r="A13970" s="118"/>
      <c r="B13970" s="136"/>
    </row>
    <row r="13971" spans="1:2" x14ac:dyDescent="0.25">
      <c r="A13971" s="118"/>
      <c r="B13971" s="136"/>
    </row>
    <row r="13972" spans="1:2" x14ac:dyDescent="0.25">
      <c r="A13972" s="118"/>
      <c r="B13972" s="136"/>
    </row>
    <row r="13973" spans="1:2" x14ac:dyDescent="0.25">
      <c r="A13973" s="118"/>
      <c r="B13973" s="136"/>
    </row>
    <row r="13974" spans="1:2" x14ac:dyDescent="0.25">
      <c r="A13974" s="118"/>
      <c r="B13974" s="136"/>
    </row>
    <row r="13975" spans="1:2" x14ac:dyDescent="0.25">
      <c r="A13975" s="118"/>
      <c r="B13975" s="136"/>
    </row>
    <row r="13976" spans="1:2" x14ac:dyDescent="0.25">
      <c r="A13976" s="118"/>
      <c r="B13976" s="136"/>
    </row>
    <row r="13977" spans="1:2" x14ac:dyDescent="0.25">
      <c r="A13977" s="118"/>
      <c r="B13977" s="136"/>
    </row>
    <row r="13978" spans="1:2" x14ac:dyDescent="0.25">
      <c r="A13978" s="118"/>
      <c r="B13978" s="136"/>
    </row>
    <row r="13979" spans="1:2" x14ac:dyDescent="0.25">
      <c r="A13979" s="118"/>
      <c r="B13979" s="136"/>
    </row>
    <row r="13980" spans="1:2" x14ac:dyDescent="0.25">
      <c r="A13980" s="118"/>
      <c r="B13980" s="136"/>
    </row>
    <row r="13981" spans="1:2" x14ac:dyDescent="0.25">
      <c r="A13981" s="118"/>
      <c r="B13981" s="136"/>
    </row>
    <row r="13982" spans="1:2" x14ac:dyDescent="0.25">
      <c r="A13982" s="118"/>
      <c r="B13982" s="136"/>
    </row>
    <row r="13983" spans="1:2" x14ac:dyDescent="0.25">
      <c r="A13983" s="118"/>
      <c r="B13983" s="136"/>
    </row>
    <row r="13984" spans="1:2" x14ac:dyDescent="0.25">
      <c r="A13984" s="118"/>
      <c r="B13984" s="136"/>
    </row>
    <row r="13985" spans="1:2" x14ac:dyDescent="0.25">
      <c r="A13985" s="118"/>
      <c r="B13985" s="136"/>
    </row>
    <row r="13986" spans="1:2" x14ac:dyDescent="0.25">
      <c r="A13986" s="118"/>
      <c r="B13986" s="136"/>
    </row>
    <row r="13987" spans="1:2" x14ac:dyDescent="0.25">
      <c r="A13987" s="118"/>
      <c r="B13987" s="136"/>
    </row>
    <row r="13988" spans="1:2" x14ac:dyDescent="0.25">
      <c r="A13988" s="118"/>
      <c r="B13988" s="136"/>
    </row>
    <row r="13989" spans="1:2" x14ac:dyDescent="0.25">
      <c r="A13989" s="118"/>
      <c r="B13989" s="136"/>
    </row>
    <row r="13990" spans="1:2" x14ac:dyDescent="0.25">
      <c r="A13990" s="118"/>
      <c r="B13990" s="136"/>
    </row>
    <row r="13991" spans="1:2" x14ac:dyDescent="0.25">
      <c r="A13991" s="118"/>
      <c r="B13991" s="136"/>
    </row>
    <row r="13992" spans="1:2" x14ac:dyDescent="0.25">
      <c r="A13992" s="118"/>
      <c r="B13992" s="136"/>
    </row>
    <row r="13993" spans="1:2" x14ac:dyDescent="0.25">
      <c r="A13993" s="118"/>
      <c r="B13993" s="136"/>
    </row>
    <row r="13994" spans="1:2" x14ac:dyDescent="0.25">
      <c r="A13994" s="118"/>
      <c r="B13994" s="136"/>
    </row>
    <row r="13995" spans="1:2" x14ac:dyDescent="0.25">
      <c r="A13995" s="118"/>
      <c r="B13995" s="136"/>
    </row>
    <row r="13996" spans="1:2" x14ac:dyDescent="0.25">
      <c r="A13996" s="118"/>
      <c r="B13996" s="136"/>
    </row>
    <row r="13997" spans="1:2" x14ac:dyDescent="0.25">
      <c r="A13997" s="118"/>
      <c r="B13997" s="136"/>
    </row>
    <row r="13998" spans="1:2" x14ac:dyDescent="0.25">
      <c r="A13998" s="118"/>
      <c r="B13998" s="136"/>
    </row>
    <row r="13999" spans="1:2" x14ac:dyDescent="0.25">
      <c r="A13999" s="118"/>
      <c r="B13999" s="136"/>
    </row>
    <row r="14000" spans="1:2" x14ac:dyDescent="0.25">
      <c r="A14000" s="118"/>
      <c r="B14000" s="136"/>
    </row>
    <row r="14001" spans="1:2" x14ac:dyDescent="0.25">
      <c r="A14001" s="118"/>
      <c r="B14001" s="136"/>
    </row>
    <row r="14002" spans="1:2" x14ac:dyDescent="0.25">
      <c r="A14002" s="118"/>
      <c r="B14002" s="136"/>
    </row>
    <row r="14003" spans="1:2" x14ac:dyDescent="0.25">
      <c r="A14003" s="118"/>
      <c r="B14003" s="136"/>
    </row>
    <row r="14004" spans="1:2" x14ac:dyDescent="0.25">
      <c r="A14004" s="118"/>
      <c r="B14004" s="136"/>
    </row>
    <row r="14005" spans="1:2" x14ac:dyDescent="0.25">
      <c r="A14005" s="118"/>
      <c r="B14005" s="136"/>
    </row>
    <row r="14006" spans="1:2" x14ac:dyDescent="0.25">
      <c r="A14006" s="118"/>
      <c r="B14006" s="136"/>
    </row>
    <row r="14007" spans="1:2" x14ac:dyDescent="0.25">
      <c r="A14007" s="118"/>
      <c r="B14007" s="136"/>
    </row>
    <row r="14008" spans="1:2" x14ac:dyDescent="0.25">
      <c r="A14008" s="118"/>
      <c r="B14008" s="136"/>
    </row>
    <row r="14009" spans="1:2" x14ac:dyDescent="0.25">
      <c r="A14009" s="118"/>
      <c r="B14009" s="136"/>
    </row>
    <row r="14010" spans="1:2" x14ac:dyDescent="0.25">
      <c r="A14010" s="118"/>
      <c r="B14010" s="136"/>
    </row>
    <row r="14011" spans="1:2" x14ac:dyDescent="0.25">
      <c r="A14011" s="118"/>
      <c r="B14011" s="136"/>
    </row>
    <row r="14012" spans="1:2" x14ac:dyDescent="0.25">
      <c r="A14012" s="118"/>
      <c r="B14012" s="136"/>
    </row>
    <row r="14013" spans="1:2" x14ac:dyDescent="0.25">
      <c r="A14013" s="118"/>
      <c r="B14013" s="136"/>
    </row>
    <row r="14014" spans="1:2" x14ac:dyDescent="0.25">
      <c r="A14014" s="118"/>
      <c r="B14014" s="136"/>
    </row>
    <row r="14015" spans="1:2" x14ac:dyDescent="0.25">
      <c r="A14015" s="118"/>
      <c r="B14015" s="136"/>
    </row>
    <row r="14016" spans="1:2" x14ac:dyDescent="0.25">
      <c r="A14016" s="118"/>
      <c r="B14016" s="136"/>
    </row>
    <row r="14017" spans="1:2" x14ac:dyDescent="0.25">
      <c r="A14017" s="118"/>
      <c r="B14017" s="136"/>
    </row>
    <row r="14018" spans="1:2" x14ac:dyDescent="0.25">
      <c r="A14018" s="118"/>
      <c r="B14018" s="136"/>
    </row>
    <row r="14019" spans="1:2" x14ac:dyDescent="0.25">
      <c r="A14019" s="118"/>
      <c r="B14019" s="136"/>
    </row>
    <row r="14020" spans="1:2" x14ac:dyDescent="0.25">
      <c r="A14020" s="118"/>
      <c r="B14020" s="136"/>
    </row>
    <row r="14021" spans="1:2" x14ac:dyDescent="0.25">
      <c r="A14021" s="118"/>
      <c r="B14021" s="136"/>
    </row>
    <row r="14022" spans="1:2" x14ac:dyDescent="0.25">
      <c r="A14022" s="118"/>
      <c r="B14022" s="136"/>
    </row>
    <row r="14023" spans="1:2" x14ac:dyDescent="0.25">
      <c r="A14023" s="118"/>
      <c r="B14023" s="136"/>
    </row>
    <row r="14024" spans="1:2" x14ac:dyDescent="0.25">
      <c r="A14024" s="118"/>
      <c r="B14024" s="136"/>
    </row>
    <row r="14025" spans="1:2" x14ac:dyDescent="0.25">
      <c r="A14025" s="118"/>
      <c r="B14025" s="136"/>
    </row>
    <row r="14026" spans="1:2" x14ac:dyDescent="0.25">
      <c r="A14026" s="118"/>
      <c r="B14026" s="136"/>
    </row>
    <row r="14027" spans="1:2" x14ac:dyDescent="0.25">
      <c r="A14027" s="118"/>
      <c r="B14027" s="136"/>
    </row>
    <row r="14028" spans="1:2" x14ac:dyDescent="0.25">
      <c r="A14028" s="118"/>
      <c r="B14028" s="136"/>
    </row>
    <row r="14029" spans="1:2" x14ac:dyDescent="0.25">
      <c r="A14029" s="118"/>
      <c r="B14029" s="136"/>
    </row>
    <row r="14030" spans="1:2" x14ac:dyDescent="0.25">
      <c r="A14030" s="118"/>
      <c r="B14030" s="136"/>
    </row>
    <row r="14031" spans="1:2" x14ac:dyDescent="0.25">
      <c r="A14031" s="118"/>
      <c r="B14031" s="136"/>
    </row>
    <row r="14032" spans="1:2" x14ac:dyDescent="0.25">
      <c r="A14032" s="118"/>
      <c r="B14032" s="136"/>
    </row>
    <row r="14033" spans="1:2" x14ac:dyDescent="0.25">
      <c r="A14033" s="118"/>
      <c r="B14033" s="136"/>
    </row>
    <row r="14034" spans="1:2" x14ac:dyDescent="0.25">
      <c r="A14034" s="118"/>
      <c r="B14034" s="136"/>
    </row>
    <row r="14035" spans="1:2" x14ac:dyDescent="0.25">
      <c r="A14035" s="118"/>
      <c r="B14035" s="136"/>
    </row>
    <row r="14036" spans="1:2" x14ac:dyDescent="0.25">
      <c r="A14036" s="118"/>
      <c r="B14036" s="136"/>
    </row>
    <row r="14037" spans="1:2" x14ac:dyDescent="0.25">
      <c r="A14037" s="118"/>
      <c r="B14037" s="136"/>
    </row>
    <row r="14038" spans="1:2" x14ac:dyDescent="0.25">
      <c r="A14038" s="118"/>
      <c r="B14038" s="136"/>
    </row>
    <row r="14039" spans="1:2" x14ac:dyDescent="0.25">
      <c r="A14039" s="118"/>
      <c r="B14039" s="136"/>
    </row>
    <row r="14040" spans="1:2" x14ac:dyDescent="0.25">
      <c r="A14040" s="118"/>
      <c r="B14040" s="136"/>
    </row>
    <row r="14041" spans="1:2" x14ac:dyDescent="0.25">
      <c r="A14041" s="118"/>
      <c r="B14041" s="136"/>
    </row>
    <row r="14042" spans="1:2" x14ac:dyDescent="0.25">
      <c r="A14042" s="118"/>
      <c r="B14042" s="136"/>
    </row>
    <row r="14043" spans="1:2" x14ac:dyDescent="0.25">
      <c r="A14043" s="118"/>
      <c r="B14043" s="136"/>
    </row>
    <row r="14044" spans="1:2" x14ac:dyDescent="0.25">
      <c r="A14044" s="118"/>
      <c r="B14044" s="136"/>
    </row>
    <row r="14045" spans="1:2" x14ac:dyDescent="0.25">
      <c r="A14045" s="118"/>
      <c r="B14045" s="136"/>
    </row>
    <row r="14046" spans="1:2" x14ac:dyDescent="0.25">
      <c r="A14046" s="118"/>
      <c r="B14046" s="136"/>
    </row>
    <row r="14047" spans="1:2" x14ac:dyDescent="0.25">
      <c r="A14047" s="118"/>
      <c r="B14047" s="136"/>
    </row>
    <row r="14048" spans="1:2" x14ac:dyDescent="0.25">
      <c r="A14048" s="118"/>
      <c r="B14048" s="136"/>
    </row>
    <row r="14049" spans="1:2" x14ac:dyDescent="0.25">
      <c r="A14049" s="118"/>
      <c r="B14049" s="136"/>
    </row>
    <row r="14050" spans="1:2" x14ac:dyDescent="0.25">
      <c r="A14050" s="118"/>
      <c r="B14050" s="136"/>
    </row>
    <row r="14051" spans="1:2" x14ac:dyDescent="0.25">
      <c r="A14051" s="118"/>
      <c r="B14051" s="136"/>
    </row>
    <row r="14052" spans="1:2" x14ac:dyDescent="0.25">
      <c r="A14052" s="118"/>
      <c r="B14052" s="136"/>
    </row>
    <row r="14053" spans="1:2" x14ac:dyDescent="0.25">
      <c r="A14053" s="118"/>
      <c r="B14053" s="136"/>
    </row>
    <row r="14054" spans="1:2" x14ac:dyDescent="0.25">
      <c r="A14054" s="118"/>
      <c r="B14054" s="136"/>
    </row>
    <row r="14055" spans="1:2" x14ac:dyDescent="0.25">
      <c r="A14055" s="118"/>
      <c r="B14055" s="136"/>
    </row>
    <row r="14056" spans="1:2" x14ac:dyDescent="0.25">
      <c r="A14056" s="118"/>
      <c r="B14056" s="136"/>
    </row>
    <row r="14057" spans="1:2" x14ac:dyDescent="0.25">
      <c r="A14057" s="118"/>
      <c r="B14057" s="136"/>
    </row>
    <row r="14058" spans="1:2" x14ac:dyDescent="0.25">
      <c r="A14058" s="118"/>
      <c r="B14058" s="136"/>
    </row>
    <row r="14059" spans="1:2" x14ac:dyDescent="0.25">
      <c r="A14059" s="118"/>
      <c r="B14059" s="136"/>
    </row>
    <row r="14060" spans="1:2" x14ac:dyDescent="0.25">
      <c r="A14060" s="118"/>
      <c r="B14060" s="136"/>
    </row>
    <row r="14061" spans="1:2" x14ac:dyDescent="0.25">
      <c r="A14061" s="118"/>
      <c r="B14061" s="136"/>
    </row>
    <row r="14062" spans="1:2" x14ac:dyDescent="0.25">
      <c r="A14062" s="118"/>
      <c r="B14062" s="136"/>
    </row>
    <row r="14063" spans="1:2" x14ac:dyDescent="0.25">
      <c r="A14063" s="118"/>
      <c r="B14063" s="136"/>
    </row>
    <row r="14064" spans="1:2" x14ac:dyDescent="0.25">
      <c r="A14064" s="118"/>
      <c r="B14064" s="136"/>
    </row>
    <row r="14065" spans="1:2" x14ac:dyDescent="0.25">
      <c r="A14065" s="118"/>
      <c r="B14065" s="136"/>
    </row>
    <row r="14066" spans="1:2" x14ac:dyDescent="0.25">
      <c r="A14066" s="118"/>
      <c r="B14066" s="136"/>
    </row>
    <row r="14067" spans="1:2" x14ac:dyDescent="0.25">
      <c r="A14067" s="118"/>
      <c r="B14067" s="136"/>
    </row>
    <row r="14068" spans="1:2" x14ac:dyDescent="0.25">
      <c r="A14068" s="118"/>
      <c r="B14068" s="136"/>
    </row>
    <row r="14069" spans="1:2" x14ac:dyDescent="0.25">
      <c r="A14069" s="118"/>
      <c r="B14069" s="136"/>
    </row>
    <row r="14070" spans="1:2" x14ac:dyDescent="0.25">
      <c r="A14070" s="118"/>
      <c r="B14070" s="136"/>
    </row>
    <row r="14071" spans="1:2" x14ac:dyDescent="0.25">
      <c r="A14071" s="118"/>
      <c r="B14071" s="136"/>
    </row>
    <row r="14072" spans="1:2" x14ac:dyDescent="0.25">
      <c r="A14072" s="118"/>
      <c r="B14072" s="136"/>
    </row>
    <row r="14073" spans="1:2" x14ac:dyDescent="0.25">
      <c r="A14073" s="118"/>
      <c r="B14073" s="136"/>
    </row>
    <row r="14074" spans="1:2" x14ac:dyDescent="0.25">
      <c r="A14074" s="118"/>
      <c r="B14074" s="136"/>
    </row>
    <row r="14075" spans="1:2" x14ac:dyDescent="0.25">
      <c r="A14075" s="118"/>
      <c r="B14075" s="136"/>
    </row>
    <row r="14076" spans="1:2" x14ac:dyDescent="0.25">
      <c r="A14076" s="118"/>
      <c r="B14076" s="136"/>
    </row>
    <row r="14077" spans="1:2" x14ac:dyDescent="0.25">
      <c r="A14077" s="118"/>
      <c r="B14077" s="136"/>
    </row>
    <row r="14078" spans="1:2" x14ac:dyDescent="0.25">
      <c r="A14078" s="118"/>
      <c r="B14078" s="136"/>
    </row>
    <row r="14079" spans="1:2" x14ac:dyDescent="0.25">
      <c r="A14079" s="118"/>
      <c r="B14079" s="136"/>
    </row>
    <row r="14080" spans="1:2" x14ac:dyDescent="0.25">
      <c r="A14080" s="118"/>
      <c r="B14080" s="136"/>
    </row>
    <row r="14081" spans="1:2" x14ac:dyDescent="0.25">
      <c r="A14081" s="118"/>
      <c r="B14081" s="136"/>
    </row>
    <row r="14082" spans="1:2" x14ac:dyDescent="0.25">
      <c r="A14082" s="118"/>
      <c r="B14082" s="136"/>
    </row>
    <row r="14083" spans="1:2" x14ac:dyDescent="0.25">
      <c r="A14083" s="118"/>
      <c r="B14083" s="136"/>
    </row>
    <row r="14084" spans="1:2" x14ac:dyDescent="0.25">
      <c r="A14084" s="118"/>
      <c r="B14084" s="136"/>
    </row>
    <row r="14085" spans="1:2" x14ac:dyDescent="0.25">
      <c r="A14085" s="118"/>
      <c r="B14085" s="136"/>
    </row>
    <row r="14086" spans="1:2" x14ac:dyDescent="0.25">
      <c r="A14086" s="118"/>
      <c r="B14086" s="136"/>
    </row>
    <row r="14087" spans="1:2" x14ac:dyDescent="0.25">
      <c r="A14087" s="118"/>
      <c r="B14087" s="136"/>
    </row>
    <row r="14088" spans="1:2" x14ac:dyDescent="0.25">
      <c r="A14088" s="118"/>
      <c r="B14088" s="136"/>
    </row>
    <row r="14089" spans="1:2" x14ac:dyDescent="0.25">
      <c r="A14089" s="118"/>
      <c r="B14089" s="136"/>
    </row>
    <row r="14090" spans="1:2" x14ac:dyDescent="0.25">
      <c r="A14090" s="118"/>
      <c r="B14090" s="136"/>
    </row>
    <row r="14091" spans="1:2" x14ac:dyDescent="0.25">
      <c r="A14091" s="118"/>
      <c r="B14091" s="136"/>
    </row>
    <row r="14092" spans="1:2" x14ac:dyDescent="0.25">
      <c r="A14092" s="118"/>
      <c r="B14092" s="136"/>
    </row>
    <row r="14093" spans="1:2" x14ac:dyDescent="0.25">
      <c r="A14093" s="118"/>
      <c r="B14093" s="136"/>
    </row>
    <row r="14094" spans="1:2" x14ac:dyDescent="0.25">
      <c r="A14094" s="118"/>
      <c r="B14094" s="136"/>
    </row>
    <row r="14095" spans="1:2" x14ac:dyDescent="0.25">
      <c r="A14095" s="118"/>
      <c r="B14095" s="136"/>
    </row>
    <row r="14096" spans="1:2" x14ac:dyDescent="0.25">
      <c r="A14096" s="118"/>
      <c r="B14096" s="136"/>
    </row>
    <row r="14097" spans="1:2" x14ac:dyDescent="0.25">
      <c r="A14097" s="118"/>
      <c r="B14097" s="136"/>
    </row>
    <row r="14098" spans="1:2" x14ac:dyDescent="0.25">
      <c r="A14098" s="118"/>
      <c r="B14098" s="136"/>
    </row>
    <row r="14099" spans="1:2" x14ac:dyDescent="0.25">
      <c r="A14099" s="118"/>
      <c r="B14099" s="136"/>
    </row>
    <row r="14100" spans="1:2" x14ac:dyDescent="0.25">
      <c r="A14100" s="118"/>
      <c r="B14100" s="136"/>
    </row>
    <row r="14101" spans="1:2" x14ac:dyDescent="0.25">
      <c r="A14101" s="118"/>
      <c r="B14101" s="136"/>
    </row>
    <row r="14102" spans="1:2" x14ac:dyDescent="0.25">
      <c r="A14102" s="118"/>
      <c r="B14102" s="136"/>
    </row>
    <row r="14103" spans="1:2" x14ac:dyDescent="0.25">
      <c r="A14103" s="118"/>
      <c r="B14103" s="136"/>
    </row>
    <row r="14104" spans="1:2" x14ac:dyDescent="0.25">
      <c r="A14104" s="118"/>
      <c r="B14104" s="136"/>
    </row>
    <row r="14105" spans="1:2" x14ac:dyDescent="0.25">
      <c r="A14105" s="118"/>
      <c r="B14105" s="136"/>
    </row>
    <row r="14106" spans="1:2" x14ac:dyDescent="0.25">
      <c r="A14106" s="118"/>
      <c r="B14106" s="136"/>
    </row>
    <row r="14107" spans="1:2" x14ac:dyDescent="0.25">
      <c r="A14107" s="118"/>
      <c r="B14107" s="136"/>
    </row>
    <row r="14108" spans="1:2" x14ac:dyDescent="0.25">
      <c r="A14108" s="118"/>
      <c r="B14108" s="136"/>
    </row>
    <row r="14109" spans="1:2" x14ac:dyDescent="0.25">
      <c r="A14109" s="118"/>
      <c r="B14109" s="136"/>
    </row>
    <row r="14110" spans="1:2" x14ac:dyDescent="0.25">
      <c r="A14110" s="118"/>
      <c r="B14110" s="136"/>
    </row>
    <row r="14111" spans="1:2" x14ac:dyDescent="0.25">
      <c r="A14111" s="118"/>
      <c r="B14111" s="136"/>
    </row>
    <row r="14112" spans="1:2" x14ac:dyDescent="0.25">
      <c r="A14112" s="118"/>
      <c r="B14112" s="136"/>
    </row>
    <row r="14113" spans="1:2" x14ac:dyDescent="0.25">
      <c r="A14113" s="118"/>
      <c r="B14113" s="136"/>
    </row>
    <row r="14114" spans="1:2" x14ac:dyDescent="0.25">
      <c r="A14114" s="118"/>
      <c r="B14114" s="136"/>
    </row>
    <row r="14115" spans="1:2" x14ac:dyDescent="0.25">
      <c r="A14115" s="118"/>
      <c r="B14115" s="136"/>
    </row>
    <row r="14116" spans="1:2" x14ac:dyDescent="0.25">
      <c r="A14116" s="118"/>
      <c r="B14116" s="136"/>
    </row>
    <row r="14117" spans="1:2" x14ac:dyDescent="0.25">
      <c r="A14117" s="118"/>
      <c r="B14117" s="136"/>
    </row>
    <row r="14118" spans="1:2" x14ac:dyDescent="0.25">
      <c r="A14118" s="118"/>
      <c r="B14118" s="136"/>
    </row>
    <row r="14119" spans="1:2" x14ac:dyDescent="0.25">
      <c r="A14119" s="118"/>
      <c r="B14119" s="136"/>
    </row>
    <row r="14120" spans="1:2" x14ac:dyDescent="0.25">
      <c r="A14120" s="118"/>
      <c r="B14120" s="136"/>
    </row>
    <row r="14121" spans="1:2" x14ac:dyDescent="0.25">
      <c r="A14121" s="118"/>
      <c r="B14121" s="136"/>
    </row>
    <row r="14122" spans="1:2" x14ac:dyDescent="0.25">
      <c r="A14122" s="118"/>
      <c r="B14122" s="136"/>
    </row>
    <row r="14123" spans="1:2" x14ac:dyDescent="0.25">
      <c r="A14123" s="118"/>
      <c r="B14123" s="136"/>
    </row>
    <row r="14124" spans="1:2" x14ac:dyDescent="0.25">
      <c r="A14124" s="118"/>
      <c r="B14124" s="136"/>
    </row>
    <row r="14125" spans="1:2" x14ac:dyDescent="0.25">
      <c r="A14125" s="118"/>
      <c r="B14125" s="136"/>
    </row>
    <row r="14126" spans="1:2" x14ac:dyDescent="0.25">
      <c r="A14126" s="118"/>
      <c r="B14126" s="136"/>
    </row>
    <row r="14127" spans="1:2" x14ac:dyDescent="0.25">
      <c r="A14127" s="118"/>
      <c r="B14127" s="136"/>
    </row>
    <row r="14128" spans="1:2" x14ac:dyDescent="0.25">
      <c r="A14128" s="118"/>
      <c r="B14128" s="136"/>
    </row>
    <row r="14129" spans="1:2" x14ac:dyDescent="0.25">
      <c r="A14129" s="118"/>
      <c r="B14129" s="136"/>
    </row>
    <row r="14130" spans="1:2" x14ac:dyDescent="0.25">
      <c r="A14130" s="118"/>
      <c r="B14130" s="136"/>
    </row>
    <row r="14131" spans="1:2" x14ac:dyDescent="0.25">
      <c r="A14131" s="118"/>
      <c r="B14131" s="136"/>
    </row>
    <row r="14132" spans="1:2" x14ac:dyDescent="0.25">
      <c r="A14132" s="118"/>
      <c r="B14132" s="136"/>
    </row>
    <row r="14133" spans="1:2" x14ac:dyDescent="0.25">
      <c r="A14133" s="118"/>
      <c r="B14133" s="136"/>
    </row>
    <row r="14134" spans="1:2" x14ac:dyDescent="0.25">
      <c r="A14134" s="118"/>
      <c r="B14134" s="136"/>
    </row>
    <row r="14135" spans="1:2" x14ac:dyDescent="0.25">
      <c r="A14135" s="118"/>
      <c r="B14135" s="136"/>
    </row>
    <row r="14136" spans="1:2" x14ac:dyDescent="0.25">
      <c r="A14136" s="118"/>
      <c r="B14136" s="136"/>
    </row>
    <row r="14137" spans="1:2" x14ac:dyDescent="0.25">
      <c r="A14137" s="118"/>
      <c r="B14137" s="136"/>
    </row>
    <row r="14138" spans="1:2" x14ac:dyDescent="0.25">
      <c r="A14138" s="118"/>
      <c r="B14138" s="136"/>
    </row>
    <row r="14139" spans="1:2" x14ac:dyDescent="0.25">
      <c r="A14139" s="118"/>
      <c r="B14139" s="136"/>
    </row>
    <row r="14140" spans="1:2" x14ac:dyDescent="0.25">
      <c r="A14140" s="118"/>
      <c r="B14140" s="136"/>
    </row>
    <row r="14141" spans="1:2" x14ac:dyDescent="0.25">
      <c r="A14141" s="118"/>
      <c r="B14141" s="136"/>
    </row>
    <row r="14142" spans="1:2" x14ac:dyDescent="0.25">
      <c r="A14142" s="118"/>
      <c r="B14142" s="136"/>
    </row>
    <row r="14143" spans="1:2" x14ac:dyDescent="0.25">
      <c r="A14143" s="118"/>
      <c r="B14143" s="136"/>
    </row>
    <row r="14144" spans="1:2" x14ac:dyDescent="0.25">
      <c r="A14144" s="118"/>
      <c r="B14144" s="136"/>
    </row>
    <row r="14145" spans="1:2" x14ac:dyDescent="0.25">
      <c r="A14145" s="118"/>
      <c r="B14145" s="136"/>
    </row>
    <row r="14146" spans="1:2" x14ac:dyDescent="0.25">
      <c r="A14146" s="118"/>
      <c r="B14146" s="136"/>
    </row>
    <row r="14147" spans="1:2" x14ac:dyDescent="0.25">
      <c r="A14147" s="118"/>
      <c r="B14147" s="136"/>
    </row>
    <row r="14148" spans="1:2" x14ac:dyDescent="0.25">
      <c r="A14148" s="118"/>
      <c r="B14148" s="136"/>
    </row>
    <row r="14149" spans="1:2" x14ac:dyDescent="0.25">
      <c r="A14149" s="118"/>
      <c r="B14149" s="136"/>
    </row>
    <row r="14150" spans="1:2" x14ac:dyDescent="0.25">
      <c r="A14150" s="118"/>
      <c r="B14150" s="136"/>
    </row>
    <row r="14151" spans="1:2" x14ac:dyDescent="0.25">
      <c r="A14151" s="118"/>
      <c r="B14151" s="136"/>
    </row>
    <row r="14152" spans="1:2" x14ac:dyDescent="0.25">
      <c r="A14152" s="118"/>
      <c r="B14152" s="136"/>
    </row>
    <row r="14153" spans="1:2" x14ac:dyDescent="0.25">
      <c r="A14153" s="118"/>
      <c r="B14153" s="136"/>
    </row>
    <row r="14154" spans="1:2" x14ac:dyDescent="0.25">
      <c r="A14154" s="118"/>
      <c r="B14154" s="136"/>
    </row>
    <row r="14155" spans="1:2" x14ac:dyDescent="0.25">
      <c r="A14155" s="118"/>
      <c r="B14155" s="136"/>
    </row>
    <row r="14156" spans="1:2" x14ac:dyDescent="0.25">
      <c r="A14156" s="118"/>
      <c r="B14156" s="136"/>
    </row>
    <row r="14157" spans="1:2" x14ac:dyDescent="0.25">
      <c r="A14157" s="118"/>
      <c r="B14157" s="136"/>
    </row>
    <row r="14158" spans="1:2" x14ac:dyDescent="0.25">
      <c r="A14158" s="118"/>
      <c r="B14158" s="136"/>
    </row>
    <row r="14159" spans="1:2" x14ac:dyDescent="0.25">
      <c r="A14159" s="118"/>
      <c r="B14159" s="136"/>
    </row>
    <row r="14160" spans="1:2" x14ac:dyDescent="0.25">
      <c r="A14160" s="118"/>
      <c r="B14160" s="136"/>
    </row>
    <row r="14161" spans="1:2" x14ac:dyDescent="0.25">
      <c r="A14161" s="118"/>
      <c r="B14161" s="136"/>
    </row>
    <row r="14162" spans="1:2" x14ac:dyDescent="0.25">
      <c r="A14162" s="118"/>
      <c r="B14162" s="136"/>
    </row>
    <row r="14163" spans="1:2" x14ac:dyDescent="0.25">
      <c r="A14163" s="118"/>
      <c r="B14163" s="136"/>
    </row>
    <row r="14164" spans="1:2" x14ac:dyDescent="0.25">
      <c r="A14164" s="118"/>
      <c r="B14164" s="136"/>
    </row>
    <row r="14165" spans="1:2" x14ac:dyDescent="0.25">
      <c r="A14165" s="118"/>
      <c r="B14165" s="136"/>
    </row>
    <row r="14166" spans="1:2" x14ac:dyDescent="0.25">
      <c r="A14166" s="118"/>
      <c r="B14166" s="136"/>
    </row>
    <row r="14167" spans="1:2" x14ac:dyDescent="0.25">
      <c r="A14167" s="118"/>
      <c r="B14167" s="136"/>
    </row>
    <row r="14168" spans="1:2" x14ac:dyDescent="0.25">
      <c r="A14168" s="118"/>
      <c r="B14168" s="136"/>
    </row>
    <row r="14169" spans="1:2" x14ac:dyDescent="0.25">
      <c r="A14169" s="118"/>
      <c r="B14169" s="136"/>
    </row>
    <row r="14170" spans="1:2" x14ac:dyDescent="0.25">
      <c r="A14170" s="118"/>
      <c r="B14170" s="136"/>
    </row>
    <row r="14171" spans="1:2" x14ac:dyDescent="0.25">
      <c r="A14171" s="118"/>
      <c r="B14171" s="136"/>
    </row>
    <row r="14172" spans="1:2" x14ac:dyDescent="0.25">
      <c r="A14172" s="118"/>
      <c r="B14172" s="136"/>
    </row>
    <row r="14173" spans="1:2" x14ac:dyDescent="0.25">
      <c r="A14173" s="118"/>
      <c r="B14173" s="136"/>
    </row>
    <row r="14174" spans="1:2" x14ac:dyDescent="0.25">
      <c r="A14174" s="118"/>
      <c r="B14174" s="136"/>
    </row>
    <row r="14175" spans="1:2" x14ac:dyDescent="0.25">
      <c r="A14175" s="118"/>
      <c r="B14175" s="136"/>
    </row>
    <row r="14176" spans="1:2" x14ac:dyDescent="0.25">
      <c r="A14176" s="118"/>
      <c r="B14176" s="136"/>
    </row>
    <row r="14177" spans="1:2" x14ac:dyDescent="0.25">
      <c r="A14177" s="118"/>
      <c r="B14177" s="136"/>
    </row>
    <row r="14178" spans="1:2" x14ac:dyDescent="0.25">
      <c r="A14178" s="118"/>
      <c r="B14178" s="136"/>
    </row>
    <row r="14179" spans="1:2" x14ac:dyDescent="0.25">
      <c r="A14179" s="118"/>
      <c r="B14179" s="136"/>
    </row>
    <row r="14180" spans="1:2" x14ac:dyDescent="0.25">
      <c r="A14180" s="118"/>
      <c r="B14180" s="136"/>
    </row>
    <row r="14181" spans="1:2" x14ac:dyDescent="0.25">
      <c r="A14181" s="118"/>
      <c r="B14181" s="136"/>
    </row>
    <row r="14182" spans="1:2" x14ac:dyDescent="0.25">
      <c r="A14182" s="118"/>
      <c r="B14182" s="136"/>
    </row>
    <row r="14183" spans="1:2" x14ac:dyDescent="0.25">
      <c r="A14183" s="118"/>
      <c r="B14183" s="136"/>
    </row>
    <row r="14184" spans="1:2" x14ac:dyDescent="0.25">
      <c r="A14184" s="118"/>
      <c r="B14184" s="136"/>
    </row>
    <row r="14185" spans="1:2" x14ac:dyDescent="0.25">
      <c r="A14185" s="118"/>
      <c r="B14185" s="136"/>
    </row>
    <row r="14186" spans="1:2" x14ac:dyDescent="0.25">
      <c r="A14186" s="118"/>
      <c r="B14186" s="136"/>
    </row>
    <row r="14187" spans="1:2" x14ac:dyDescent="0.25">
      <c r="A14187" s="118"/>
      <c r="B14187" s="136"/>
    </row>
    <row r="14188" spans="1:2" x14ac:dyDescent="0.25">
      <c r="A14188" s="118"/>
      <c r="B14188" s="136"/>
    </row>
    <row r="14189" spans="1:2" x14ac:dyDescent="0.25">
      <c r="A14189" s="118"/>
      <c r="B14189" s="136"/>
    </row>
    <row r="14190" spans="1:2" x14ac:dyDescent="0.25">
      <c r="A14190" s="118"/>
      <c r="B14190" s="136"/>
    </row>
    <row r="14191" spans="1:2" x14ac:dyDescent="0.25">
      <c r="A14191" s="118"/>
      <c r="B14191" s="136"/>
    </row>
    <row r="14192" spans="1:2" x14ac:dyDescent="0.25">
      <c r="A14192" s="118"/>
      <c r="B14192" s="136"/>
    </row>
    <row r="14193" spans="1:2" x14ac:dyDescent="0.25">
      <c r="A14193" s="118"/>
      <c r="B14193" s="136"/>
    </row>
    <row r="14194" spans="1:2" x14ac:dyDescent="0.25">
      <c r="A14194" s="118"/>
      <c r="B14194" s="136"/>
    </row>
    <row r="14195" spans="1:2" x14ac:dyDescent="0.25">
      <c r="A14195" s="118"/>
      <c r="B14195" s="136"/>
    </row>
    <row r="14196" spans="1:2" x14ac:dyDescent="0.25">
      <c r="A14196" s="118"/>
      <c r="B14196" s="136"/>
    </row>
    <row r="14197" spans="1:2" x14ac:dyDescent="0.25">
      <c r="A14197" s="118"/>
      <c r="B14197" s="136"/>
    </row>
    <row r="14198" spans="1:2" x14ac:dyDescent="0.25">
      <c r="A14198" s="118"/>
      <c r="B14198" s="136"/>
    </row>
    <row r="14199" spans="1:2" x14ac:dyDescent="0.25">
      <c r="A14199" s="118"/>
      <c r="B14199" s="136"/>
    </row>
    <row r="14200" spans="1:2" x14ac:dyDescent="0.25">
      <c r="A14200" s="118"/>
      <c r="B14200" s="136"/>
    </row>
    <row r="14201" spans="1:2" x14ac:dyDescent="0.25">
      <c r="A14201" s="118"/>
      <c r="B14201" s="136"/>
    </row>
    <row r="14202" spans="1:2" x14ac:dyDescent="0.25">
      <c r="A14202" s="118"/>
      <c r="B14202" s="136"/>
    </row>
    <row r="14203" spans="1:2" x14ac:dyDescent="0.25">
      <c r="A14203" s="118"/>
      <c r="B14203" s="136"/>
    </row>
    <row r="14204" spans="1:2" x14ac:dyDescent="0.25">
      <c r="A14204" s="118"/>
      <c r="B14204" s="136"/>
    </row>
    <row r="14205" spans="1:2" x14ac:dyDescent="0.25">
      <c r="A14205" s="118"/>
      <c r="B14205" s="136"/>
    </row>
    <row r="14206" spans="1:2" x14ac:dyDescent="0.25">
      <c r="A14206" s="118"/>
      <c r="B14206" s="136"/>
    </row>
    <row r="14207" spans="1:2" x14ac:dyDescent="0.25">
      <c r="A14207" s="118"/>
      <c r="B14207" s="136"/>
    </row>
    <row r="14208" spans="1:2" x14ac:dyDescent="0.25">
      <c r="A14208" s="118"/>
      <c r="B14208" s="136"/>
    </row>
    <row r="14209" spans="1:2" x14ac:dyDescent="0.25">
      <c r="A14209" s="118"/>
      <c r="B14209" s="136"/>
    </row>
    <row r="14210" spans="1:2" x14ac:dyDescent="0.25">
      <c r="A14210" s="118"/>
      <c r="B14210" s="136"/>
    </row>
    <row r="14211" spans="1:2" x14ac:dyDescent="0.25">
      <c r="A14211" s="118"/>
      <c r="B14211" s="136"/>
    </row>
    <row r="14212" spans="1:2" x14ac:dyDescent="0.25">
      <c r="A14212" s="118"/>
      <c r="B14212" s="136"/>
    </row>
    <row r="14213" spans="1:2" x14ac:dyDescent="0.25">
      <c r="A14213" s="118"/>
      <c r="B14213" s="136"/>
    </row>
    <row r="14214" spans="1:2" x14ac:dyDescent="0.25">
      <c r="A14214" s="118"/>
      <c r="B14214" s="136"/>
    </row>
    <row r="14215" spans="1:2" x14ac:dyDescent="0.25">
      <c r="A14215" s="118"/>
      <c r="B14215" s="136"/>
    </row>
    <row r="14216" spans="1:2" x14ac:dyDescent="0.25">
      <c r="A14216" s="118"/>
      <c r="B14216" s="136"/>
    </row>
    <row r="14217" spans="1:2" x14ac:dyDescent="0.25">
      <c r="A14217" s="118"/>
      <c r="B14217" s="136"/>
    </row>
    <row r="14218" spans="1:2" x14ac:dyDescent="0.25">
      <c r="A14218" s="118"/>
      <c r="B14218" s="136"/>
    </row>
    <row r="14219" spans="1:2" x14ac:dyDescent="0.25">
      <c r="A14219" s="118"/>
      <c r="B14219" s="136"/>
    </row>
    <row r="14220" spans="1:2" x14ac:dyDescent="0.25">
      <c r="A14220" s="118"/>
      <c r="B14220" s="136"/>
    </row>
    <row r="14221" spans="1:2" x14ac:dyDescent="0.25">
      <c r="A14221" s="118"/>
      <c r="B14221" s="136"/>
    </row>
    <row r="14222" spans="1:2" x14ac:dyDescent="0.25">
      <c r="A14222" s="118"/>
      <c r="B14222" s="136"/>
    </row>
    <row r="14223" spans="1:2" x14ac:dyDescent="0.25">
      <c r="A14223" s="118"/>
      <c r="B14223" s="136"/>
    </row>
    <row r="14224" spans="1:2" x14ac:dyDescent="0.25">
      <c r="A14224" s="118"/>
      <c r="B14224" s="136"/>
    </row>
    <row r="14225" spans="1:2" x14ac:dyDescent="0.25">
      <c r="A14225" s="118"/>
      <c r="B14225" s="136"/>
    </row>
    <row r="14226" spans="1:2" x14ac:dyDescent="0.25">
      <c r="A14226" s="118"/>
      <c r="B14226" s="136"/>
    </row>
    <row r="14227" spans="1:2" x14ac:dyDescent="0.25">
      <c r="A14227" s="118"/>
      <c r="B14227" s="136"/>
    </row>
    <row r="14228" spans="1:2" x14ac:dyDescent="0.25">
      <c r="A14228" s="118"/>
      <c r="B14228" s="136"/>
    </row>
    <row r="14229" spans="1:2" x14ac:dyDescent="0.25">
      <c r="A14229" s="118"/>
      <c r="B14229" s="136"/>
    </row>
    <row r="14230" spans="1:2" x14ac:dyDescent="0.25">
      <c r="A14230" s="118"/>
      <c r="B14230" s="136"/>
    </row>
    <row r="14231" spans="1:2" x14ac:dyDescent="0.25">
      <c r="A14231" s="118"/>
      <c r="B14231" s="136"/>
    </row>
    <row r="14232" spans="1:2" x14ac:dyDescent="0.25">
      <c r="A14232" s="118"/>
      <c r="B14232" s="136"/>
    </row>
    <row r="14233" spans="1:2" x14ac:dyDescent="0.25">
      <c r="A14233" s="118"/>
      <c r="B14233" s="136"/>
    </row>
    <row r="14234" spans="1:2" x14ac:dyDescent="0.25">
      <c r="A14234" s="118"/>
      <c r="B14234" s="136"/>
    </row>
    <row r="14235" spans="1:2" x14ac:dyDescent="0.25">
      <c r="A14235" s="118"/>
      <c r="B14235" s="136"/>
    </row>
    <row r="14236" spans="1:2" x14ac:dyDescent="0.25">
      <c r="A14236" s="118"/>
      <c r="B14236" s="136"/>
    </row>
    <row r="14237" spans="1:2" x14ac:dyDescent="0.25">
      <c r="A14237" s="118"/>
      <c r="B14237" s="136"/>
    </row>
    <row r="14238" spans="1:2" x14ac:dyDescent="0.25">
      <c r="A14238" s="118"/>
      <c r="B14238" s="136"/>
    </row>
    <row r="14239" spans="1:2" x14ac:dyDescent="0.25">
      <c r="A14239" s="118"/>
      <c r="B14239" s="136"/>
    </row>
    <row r="14240" spans="1:2" x14ac:dyDescent="0.25">
      <c r="A14240" s="118"/>
      <c r="B14240" s="136"/>
    </row>
    <row r="14241" spans="1:2" x14ac:dyDescent="0.25">
      <c r="A14241" s="118"/>
      <c r="B14241" s="136"/>
    </row>
    <row r="14242" spans="1:2" x14ac:dyDescent="0.25">
      <c r="A14242" s="118"/>
      <c r="B14242" s="136"/>
    </row>
    <row r="14243" spans="1:2" x14ac:dyDescent="0.25">
      <c r="A14243" s="118"/>
      <c r="B14243" s="136"/>
    </row>
    <row r="14244" spans="1:2" x14ac:dyDescent="0.25">
      <c r="A14244" s="118"/>
      <c r="B14244" s="136"/>
    </row>
    <row r="14245" spans="1:2" x14ac:dyDescent="0.25">
      <c r="A14245" s="118"/>
      <c r="B14245" s="136"/>
    </row>
    <row r="14246" spans="1:2" x14ac:dyDescent="0.25">
      <c r="A14246" s="118"/>
      <c r="B14246" s="136"/>
    </row>
    <row r="14247" spans="1:2" x14ac:dyDescent="0.25">
      <c r="A14247" s="118"/>
      <c r="B14247" s="136"/>
    </row>
    <row r="14248" spans="1:2" x14ac:dyDescent="0.25">
      <c r="A14248" s="118"/>
      <c r="B14248" s="136"/>
    </row>
    <row r="14249" spans="1:2" x14ac:dyDescent="0.25">
      <c r="A14249" s="118"/>
      <c r="B14249" s="136"/>
    </row>
    <row r="14250" spans="1:2" x14ac:dyDescent="0.25">
      <c r="A14250" s="118"/>
      <c r="B14250" s="136"/>
    </row>
    <row r="14251" spans="1:2" x14ac:dyDescent="0.25">
      <c r="A14251" s="118"/>
      <c r="B14251" s="136"/>
    </row>
    <row r="14252" spans="1:2" x14ac:dyDescent="0.25">
      <c r="A14252" s="118"/>
      <c r="B14252" s="136"/>
    </row>
    <row r="14253" spans="1:2" x14ac:dyDescent="0.25">
      <c r="A14253" s="118"/>
      <c r="B14253" s="136"/>
    </row>
    <row r="14254" spans="1:2" x14ac:dyDescent="0.25">
      <c r="A14254" s="118"/>
      <c r="B14254" s="136"/>
    </row>
    <row r="14255" spans="1:2" x14ac:dyDescent="0.25">
      <c r="A14255" s="118"/>
      <c r="B14255" s="136"/>
    </row>
    <row r="14256" spans="1:2" x14ac:dyDescent="0.25">
      <c r="A14256" s="118"/>
      <c r="B14256" s="136"/>
    </row>
    <row r="14257" spans="1:2" x14ac:dyDescent="0.25">
      <c r="A14257" s="118"/>
      <c r="B14257" s="136"/>
    </row>
    <row r="14258" spans="1:2" x14ac:dyDescent="0.25">
      <c r="A14258" s="118"/>
      <c r="B14258" s="136"/>
    </row>
    <row r="14259" spans="1:2" x14ac:dyDescent="0.25">
      <c r="A14259" s="118"/>
      <c r="B14259" s="136"/>
    </row>
    <row r="14260" spans="1:2" x14ac:dyDescent="0.25">
      <c r="A14260" s="118"/>
      <c r="B14260" s="136"/>
    </row>
    <row r="14261" spans="1:2" x14ac:dyDescent="0.25">
      <c r="A14261" s="118"/>
      <c r="B14261" s="136"/>
    </row>
    <row r="14262" spans="1:2" x14ac:dyDescent="0.25">
      <c r="A14262" s="118"/>
      <c r="B14262" s="136"/>
    </row>
    <row r="14263" spans="1:2" x14ac:dyDescent="0.25">
      <c r="A14263" s="118"/>
      <c r="B14263" s="136"/>
    </row>
    <row r="14264" spans="1:2" x14ac:dyDescent="0.25">
      <c r="A14264" s="118"/>
      <c r="B14264" s="136"/>
    </row>
    <row r="14265" spans="1:2" x14ac:dyDescent="0.25">
      <c r="A14265" s="118"/>
      <c r="B14265" s="136"/>
    </row>
    <row r="14266" spans="1:2" x14ac:dyDescent="0.25">
      <c r="A14266" s="118"/>
      <c r="B14266" s="136"/>
    </row>
    <row r="14267" spans="1:2" x14ac:dyDescent="0.25">
      <c r="A14267" s="118"/>
      <c r="B14267" s="136"/>
    </row>
    <row r="14268" spans="1:2" x14ac:dyDescent="0.25">
      <c r="A14268" s="118"/>
      <c r="B14268" s="136"/>
    </row>
    <row r="14269" spans="1:2" x14ac:dyDescent="0.25">
      <c r="A14269" s="118"/>
      <c r="B14269" s="136"/>
    </row>
    <row r="14270" spans="1:2" x14ac:dyDescent="0.25">
      <c r="A14270" s="118"/>
      <c r="B14270" s="136"/>
    </row>
    <row r="14271" spans="1:2" x14ac:dyDescent="0.25">
      <c r="A14271" s="118"/>
      <c r="B14271" s="136"/>
    </row>
    <row r="14272" spans="1:2" x14ac:dyDescent="0.25">
      <c r="A14272" s="118"/>
      <c r="B14272" s="136"/>
    </row>
    <row r="14273" spans="1:2" x14ac:dyDescent="0.25">
      <c r="A14273" s="118"/>
      <c r="B14273" s="136"/>
    </row>
    <row r="14274" spans="1:2" x14ac:dyDescent="0.25">
      <c r="A14274" s="118"/>
      <c r="B14274" s="136"/>
    </row>
    <row r="14275" spans="1:2" x14ac:dyDescent="0.25">
      <c r="A14275" s="118"/>
      <c r="B14275" s="136"/>
    </row>
    <row r="14276" spans="1:2" x14ac:dyDescent="0.25">
      <c r="A14276" s="118"/>
      <c r="B14276" s="136"/>
    </row>
    <row r="14277" spans="1:2" x14ac:dyDescent="0.25">
      <c r="A14277" s="118"/>
      <c r="B14277" s="136"/>
    </row>
    <row r="14278" spans="1:2" x14ac:dyDescent="0.25">
      <c r="A14278" s="118"/>
      <c r="B14278" s="136"/>
    </row>
    <row r="14279" spans="1:2" x14ac:dyDescent="0.25">
      <c r="A14279" s="118"/>
      <c r="B14279" s="136"/>
    </row>
    <row r="14280" spans="1:2" x14ac:dyDescent="0.25">
      <c r="A14280" s="118"/>
      <c r="B14280" s="136"/>
    </row>
    <row r="14281" spans="1:2" x14ac:dyDescent="0.25">
      <c r="A14281" s="118"/>
      <c r="B14281" s="136"/>
    </row>
    <row r="14282" spans="1:2" x14ac:dyDescent="0.25">
      <c r="A14282" s="118"/>
      <c r="B14282" s="136"/>
    </row>
    <row r="14283" spans="1:2" x14ac:dyDescent="0.25">
      <c r="A14283" s="118"/>
      <c r="B14283" s="136"/>
    </row>
    <row r="14284" spans="1:2" x14ac:dyDescent="0.25">
      <c r="A14284" s="118"/>
      <c r="B14284" s="136"/>
    </row>
    <row r="14285" spans="1:2" x14ac:dyDescent="0.25">
      <c r="A14285" s="118"/>
      <c r="B14285" s="136"/>
    </row>
    <row r="14286" spans="1:2" x14ac:dyDescent="0.25">
      <c r="A14286" s="118"/>
      <c r="B14286" s="136"/>
    </row>
    <row r="14287" spans="1:2" x14ac:dyDescent="0.25">
      <c r="A14287" s="118"/>
      <c r="B14287" s="136"/>
    </row>
    <row r="14288" spans="1:2" x14ac:dyDescent="0.25">
      <c r="A14288" s="118"/>
      <c r="B14288" s="136"/>
    </row>
    <row r="14289" spans="1:2" x14ac:dyDescent="0.25">
      <c r="A14289" s="118"/>
      <c r="B14289" s="136"/>
    </row>
    <row r="14290" spans="1:2" x14ac:dyDescent="0.25">
      <c r="A14290" s="118"/>
      <c r="B14290" s="136"/>
    </row>
    <row r="14291" spans="1:2" x14ac:dyDescent="0.25">
      <c r="A14291" s="118"/>
      <c r="B14291" s="136"/>
    </row>
    <row r="14292" spans="1:2" x14ac:dyDescent="0.25">
      <c r="A14292" s="118"/>
      <c r="B14292" s="136"/>
    </row>
    <row r="14293" spans="1:2" x14ac:dyDescent="0.25">
      <c r="A14293" s="118"/>
      <c r="B14293" s="136"/>
    </row>
    <row r="14294" spans="1:2" x14ac:dyDescent="0.25">
      <c r="A14294" s="118"/>
      <c r="B14294" s="136"/>
    </row>
    <row r="14295" spans="1:2" x14ac:dyDescent="0.25">
      <c r="A14295" s="118"/>
      <c r="B14295" s="136"/>
    </row>
    <row r="14296" spans="1:2" x14ac:dyDescent="0.25">
      <c r="A14296" s="118"/>
      <c r="B14296" s="136"/>
    </row>
    <row r="14297" spans="1:2" x14ac:dyDescent="0.25">
      <c r="A14297" s="118"/>
      <c r="B14297" s="136"/>
    </row>
    <row r="14298" spans="1:2" x14ac:dyDescent="0.25">
      <c r="A14298" s="118"/>
      <c r="B14298" s="136"/>
    </row>
    <row r="14299" spans="1:2" x14ac:dyDescent="0.25">
      <c r="A14299" s="118"/>
      <c r="B14299" s="136"/>
    </row>
    <row r="14300" spans="1:2" x14ac:dyDescent="0.25">
      <c r="A14300" s="118"/>
      <c r="B14300" s="136"/>
    </row>
    <row r="14301" spans="1:2" x14ac:dyDescent="0.25">
      <c r="A14301" s="118"/>
      <c r="B14301" s="136"/>
    </row>
    <row r="14302" spans="1:2" x14ac:dyDescent="0.25">
      <c r="A14302" s="118"/>
      <c r="B14302" s="136"/>
    </row>
    <row r="14303" spans="1:2" x14ac:dyDescent="0.25">
      <c r="A14303" s="118"/>
      <c r="B14303" s="136"/>
    </row>
    <row r="14304" spans="1:2" x14ac:dyDescent="0.25">
      <c r="A14304" s="118"/>
      <c r="B14304" s="136"/>
    </row>
    <row r="14305" spans="1:2" x14ac:dyDescent="0.25">
      <c r="A14305" s="118"/>
      <c r="B14305" s="136"/>
    </row>
    <row r="14306" spans="1:2" x14ac:dyDescent="0.25">
      <c r="A14306" s="118"/>
      <c r="B14306" s="136"/>
    </row>
    <row r="14307" spans="1:2" x14ac:dyDescent="0.25">
      <c r="A14307" s="118"/>
      <c r="B14307" s="136"/>
    </row>
    <row r="14308" spans="1:2" x14ac:dyDescent="0.25">
      <c r="A14308" s="118"/>
      <c r="B14308" s="136"/>
    </row>
    <row r="14309" spans="1:2" x14ac:dyDescent="0.25">
      <c r="A14309" s="118"/>
      <c r="B14309" s="136"/>
    </row>
    <row r="14310" spans="1:2" x14ac:dyDescent="0.25">
      <c r="A14310" s="118"/>
      <c r="B14310" s="136"/>
    </row>
    <row r="14311" spans="1:2" x14ac:dyDescent="0.25">
      <c r="A14311" s="118"/>
      <c r="B14311" s="136"/>
    </row>
    <row r="14312" spans="1:2" x14ac:dyDescent="0.25">
      <c r="A14312" s="118"/>
      <c r="B14312" s="136"/>
    </row>
    <row r="14313" spans="1:2" x14ac:dyDescent="0.25">
      <c r="A14313" s="118"/>
      <c r="B14313" s="136"/>
    </row>
    <row r="14314" spans="1:2" x14ac:dyDescent="0.25">
      <c r="A14314" s="118"/>
      <c r="B14314" s="136"/>
    </row>
    <row r="14315" spans="1:2" x14ac:dyDescent="0.25">
      <c r="A14315" s="118"/>
      <c r="B14315" s="136"/>
    </row>
    <row r="14316" spans="1:2" x14ac:dyDescent="0.25">
      <c r="A14316" s="118"/>
      <c r="B14316" s="136"/>
    </row>
    <row r="14317" spans="1:2" x14ac:dyDescent="0.25">
      <c r="A14317" s="118"/>
      <c r="B14317" s="136"/>
    </row>
    <row r="14318" spans="1:2" x14ac:dyDescent="0.25">
      <c r="A14318" s="118"/>
      <c r="B14318" s="136"/>
    </row>
    <row r="14319" spans="1:2" x14ac:dyDescent="0.25">
      <c r="A14319" s="118"/>
      <c r="B14319" s="136"/>
    </row>
    <row r="14320" spans="1:2" x14ac:dyDescent="0.25">
      <c r="A14320" s="118"/>
      <c r="B14320" s="136"/>
    </row>
    <row r="14321" spans="1:2" x14ac:dyDescent="0.25">
      <c r="A14321" s="118"/>
      <c r="B14321" s="136"/>
    </row>
    <row r="14322" spans="1:2" x14ac:dyDescent="0.25">
      <c r="A14322" s="118"/>
      <c r="B14322" s="136"/>
    </row>
    <row r="14323" spans="1:2" x14ac:dyDescent="0.25">
      <c r="A14323" s="118"/>
      <c r="B14323" s="136"/>
    </row>
    <row r="14324" spans="1:2" x14ac:dyDescent="0.25">
      <c r="A14324" s="118"/>
      <c r="B14324" s="136"/>
    </row>
    <row r="14325" spans="1:2" x14ac:dyDescent="0.25">
      <c r="A14325" s="118"/>
      <c r="B14325" s="136"/>
    </row>
    <row r="14326" spans="1:2" x14ac:dyDescent="0.25">
      <c r="A14326" s="118"/>
      <c r="B14326" s="136"/>
    </row>
    <row r="14327" spans="1:2" x14ac:dyDescent="0.25">
      <c r="A14327" s="118"/>
      <c r="B14327" s="136"/>
    </row>
    <row r="14328" spans="1:2" x14ac:dyDescent="0.25">
      <c r="A14328" s="118"/>
      <c r="B14328" s="136"/>
    </row>
    <row r="14329" spans="1:2" x14ac:dyDescent="0.25">
      <c r="A14329" s="118"/>
      <c r="B14329" s="136"/>
    </row>
    <row r="14330" spans="1:2" x14ac:dyDescent="0.25">
      <c r="A14330" s="118"/>
      <c r="B14330" s="136"/>
    </row>
    <row r="14331" spans="1:2" x14ac:dyDescent="0.25">
      <c r="A14331" s="118"/>
      <c r="B14331" s="136"/>
    </row>
    <row r="14332" spans="1:2" x14ac:dyDescent="0.25">
      <c r="A14332" s="118"/>
      <c r="B14332" s="136"/>
    </row>
    <row r="14333" spans="1:2" x14ac:dyDescent="0.25">
      <c r="A14333" s="118"/>
      <c r="B14333" s="136"/>
    </row>
    <row r="14334" spans="1:2" x14ac:dyDescent="0.25">
      <c r="A14334" s="118"/>
      <c r="B14334" s="136"/>
    </row>
    <row r="14335" spans="1:2" x14ac:dyDescent="0.25">
      <c r="A14335" s="118"/>
      <c r="B14335" s="136"/>
    </row>
    <row r="14336" spans="1:2" x14ac:dyDescent="0.25">
      <c r="A14336" s="118"/>
      <c r="B14336" s="136"/>
    </row>
    <row r="14337" spans="1:2" x14ac:dyDescent="0.25">
      <c r="A14337" s="118"/>
      <c r="B14337" s="136"/>
    </row>
    <row r="14338" spans="1:2" x14ac:dyDescent="0.25">
      <c r="A14338" s="118"/>
      <c r="B14338" s="136"/>
    </row>
    <row r="14339" spans="1:2" x14ac:dyDescent="0.25">
      <c r="A14339" s="118"/>
      <c r="B14339" s="136"/>
    </row>
    <row r="14340" spans="1:2" x14ac:dyDescent="0.25">
      <c r="A14340" s="118"/>
      <c r="B14340" s="136"/>
    </row>
    <row r="14341" spans="1:2" x14ac:dyDescent="0.25">
      <c r="A14341" s="118"/>
      <c r="B14341" s="136"/>
    </row>
    <row r="14342" spans="1:2" x14ac:dyDescent="0.25">
      <c r="A14342" s="118"/>
      <c r="B14342" s="136"/>
    </row>
    <row r="14343" spans="1:2" x14ac:dyDescent="0.25">
      <c r="A14343" s="118"/>
      <c r="B14343" s="136"/>
    </row>
    <row r="14344" spans="1:2" x14ac:dyDescent="0.25">
      <c r="A14344" s="118"/>
      <c r="B14344" s="136"/>
    </row>
    <row r="14345" spans="1:2" x14ac:dyDescent="0.25">
      <c r="A14345" s="118"/>
      <c r="B14345" s="136"/>
    </row>
    <row r="14346" spans="1:2" x14ac:dyDescent="0.25">
      <c r="A14346" s="118"/>
      <c r="B14346" s="136"/>
    </row>
    <row r="14347" spans="1:2" x14ac:dyDescent="0.25">
      <c r="A14347" s="118"/>
      <c r="B14347" s="136"/>
    </row>
    <row r="14348" spans="1:2" x14ac:dyDescent="0.25">
      <c r="A14348" s="118"/>
      <c r="B14348" s="136"/>
    </row>
    <row r="14349" spans="1:2" x14ac:dyDescent="0.25">
      <c r="A14349" s="118"/>
      <c r="B14349" s="136"/>
    </row>
    <row r="14350" spans="1:2" x14ac:dyDescent="0.25">
      <c r="A14350" s="118"/>
      <c r="B14350" s="136"/>
    </row>
    <row r="14351" spans="1:2" x14ac:dyDescent="0.25">
      <c r="A14351" s="118"/>
      <c r="B14351" s="136"/>
    </row>
    <row r="14352" spans="1:2" x14ac:dyDescent="0.25">
      <c r="A14352" s="118"/>
      <c r="B14352" s="136"/>
    </row>
    <row r="14353" spans="1:2" x14ac:dyDescent="0.25">
      <c r="A14353" s="118"/>
      <c r="B14353" s="136"/>
    </row>
    <row r="14354" spans="1:2" x14ac:dyDescent="0.25">
      <c r="A14354" s="118"/>
      <c r="B14354" s="136"/>
    </row>
    <row r="14355" spans="1:2" x14ac:dyDescent="0.25">
      <c r="A14355" s="118"/>
      <c r="B14355" s="136"/>
    </row>
    <row r="14356" spans="1:2" x14ac:dyDescent="0.25">
      <c r="A14356" s="118"/>
      <c r="B14356" s="136"/>
    </row>
    <row r="14357" spans="1:2" x14ac:dyDescent="0.25">
      <c r="A14357" s="118"/>
      <c r="B14357" s="136"/>
    </row>
    <row r="14358" spans="1:2" x14ac:dyDescent="0.25">
      <c r="A14358" s="118"/>
      <c r="B14358" s="136"/>
    </row>
    <row r="14359" spans="1:2" x14ac:dyDescent="0.25">
      <c r="A14359" s="118"/>
      <c r="B14359" s="136"/>
    </row>
    <row r="14360" spans="1:2" x14ac:dyDescent="0.25">
      <c r="A14360" s="118"/>
      <c r="B14360" s="136"/>
    </row>
    <row r="14361" spans="1:2" x14ac:dyDescent="0.25">
      <c r="A14361" s="118"/>
      <c r="B14361" s="136"/>
    </row>
    <row r="14362" spans="1:2" x14ac:dyDescent="0.25">
      <c r="A14362" s="118"/>
      <c r="B14362" s="136"/>
    </row>
    <row r="14363" spans="1:2" x14ac:dyDescent="0.25">
      <c r="A14363" s="118"/>
      <c r="B14363" s="136"/>
    </row>
    <row r="14364" spans="1:2" x14ac:dyDescent="0.25">
      <c r="A14364" s="118"/>
      <c r="B14364" s="136"/>
    </row>
    <row r="14365" spans="1:2" x14ac:dyDescent="0.25">
      <c r="A14365" s="118"/>
      <c r="B14365" s="136"/>
    </row>
    <row r="14366" spans="1:2" x14ac:dyDescent="0.25">
      <c r="A14366" s="118"/>
      <c r="B14366" s="136"/>
    </row>
    <row r="14367" spans="1:2" x14ac:dyDescent="0.25">
      <c r="A14367" s="118"/>
      <c r="B14367" s="136"/>
    </row>
    <row r="14368" spans="1:2" x14ac:dyDescent="0.25">
      <c r="A14368" s="118"/>
      <c r="B14368" s="136"/>
    </row>
    <row r="14369" spans="1:2" x14ac:dyDescent="0.25">
      <c r="A14369" s="118"/>
      <c r="B14369" s="136"/>
    </row>
    <row r="14370" spans="1:2" x14ac:dyDescent="0.25">
      <c r="A14370" s="118"/>
      <c r="B14370" s="136"/>
    </row>
    <row r="14371" spans="1:2" x14ac:dyDescent="0.25">
      <c r="A14371" s="118"/>
      <c r="B14371" s="136"/>
    </row>
    <row r="14372" spans="1:2" x14ac:dyDescent="0.25">
      <c r="A14372" s="118"/>
      <c r="B14372" s="136"/>
    </row>
    <row r="14373" spans="1:2" x14ac:dyDescent="0.25">
      <c r="A14373" s="118"/>
      <c r="B14373" s="136"/>
    </row>
    <row r="14374" spans="1:2" x14ac:dyDescent="0.25">
      <c r="A14374" s="118"/>
      <c r="B14374" s="136"/>
    </row>
    <row r="14375" spans="1:2" x14ac:dyDescent="0.25">
      <c r="A14375" s="118"/>
      <c r="B14375" s="136"/>
    </row>
    <row r="14376" spans="1:2" x14ac:dyDescent="0.25">
      <c r="A14376" s="118"/>
      <c r="B14376" s="136"/>
    </row>
    <row r="14377" spans="1:2" x14ac:dyDescent="0.25">
      <c r="A14377" s="118"/>
      <c r="B14377" s="136"/>
    </row>
    <row r="14378" spans="1:2" x14ac:dyDescent="0.25">
      <c r="A14378" s="118"/>
      <c r="B14378" s="136"/>
    </row>
    <row r="14379" spans="1:2" x14ac:dyDescent="0.25">
      <c r="A14379" s="118"/>
      <c r="B14379" s="136"/>
    </row>
    <row r="14380" spans="1:2" x14ac:dyDescent="0.25">
      <c r="A14380" s="118"/>
      <c r="B14380" s="136"/>
    </row>
    <row r="14381" spans="1:2" x14ac:dyDescent="0.25">
      <c r="A14381" s="118"/>
      <c r="B14381" s="136"/>
    </row>
    <row r="14382" spans="1:2" x14ac:dyDescent="0.25">
      <c r="A14382" s="118"/>
      <c r="B14382" s="136"/>
    </row>
    <row r="14383" spans="1:2" x14ac:dyDescent="0.25">
      <c r="A14383" s="118"/>
      <c r="B14383" s="136"/>
    </row>
    <row r="14384" spans="1:2" x14ac:dyDescent="0.25">
      <c r="A14384" s="118"/>
      <c r="B14384" s="136"/>
    </row>
    <row r="14385" spans="1:2" x14ac:dyDescent="0.25">
      <c r="A14385" s="118"/>
      <c r="B14385" s="136"/>
    </row>
    <row r="14386" spans="1:2" x14ac:dyDescent="0.25">
      <c r="A14386" s="118"/>
      <c r="B14386" s="136"/>
    </row>
    <row r="14387" spans="1:2" x14ac:dyDescent="0.25">
      <c r="A14387" s="118"/>
      <c r="B14387" s="136"/>
    </row>
    <row r="14388" spans="1:2" x14ac:dyDescent="0.25">
      <c r="A14388" s="118"/>
      <c r="B14388" s="136"/>
    </row>
    <row r="14389" spans="1:2" x14ac:dyDescent="0.25">
      <c r="A14389" s="118"/>
      <c r="B14389" s="136"/>
    </row>
    <row r="14390" spans="1:2" x14ac:dyDescent="0.25">
      <c r="A14390" s="118"/>
      <c r="B14390" s="136"/>
    </row>
    <row r="14391" spans="1:2" x14ac:dyDescent="0.25">
      <c r="A14391" s="118"/>
      <c r="B14391" s="136"/>
    </row>
    <row r="14392" spans="1:2" x14ac:dyDescent="0.25">
      <c r="A14392" s="118"/>
      <c r="B14392" s="136"/>
    </row>
    <row r="14393" spans="1:2" x14ac:dyDescent="0.25">
      <c r="A14393" s="118"/>
      <c r="B14393" s="136"/>
    </row>
    <row r="14394" spans="1:2" x14ac:dyDescent="0.25">
      <c r="A14394" s="118"/>
      <c r="B14394" s="136"/>
    </row>
    <row r="14395" spans="1:2" x14ac:dyDescent="0.25">
      <c r="A14395" s="118"/>
      <c r="B14395" s="136"/>
    </row>
    <row r="14396" spans="1:2" x14ac:dyDescent="0.25">
      <c r="A14396" s="118"/>
      <c r="B14396" s="136"/>
    </row>
    <row r="14397" spans="1:2" x14ac:dyDescent="0.25">
      <c r="A14397" s="118"/>
      <c r="B14397" s="136"/>
    </row>
    <row r="14398" spans="1:2" x14ac:dyDescent="0.25">
      <c r="A14398" s="118"/>
      <c r="B14398" s="136"/>
    </row>
    <row r="14399" spans="1:2" x14ac:dyDescent="0.25">
      <c r="A14399" s="118"/>
      <c r="B14399" s="136"/>
    </row>
    <row r="14400" spans="1:2" x14ac:dyDescent="0.25">
      <c r="A14400" s="118"/>
      <c r="B14400" s="136"/>
    </row>
    <row r="14401" spans="1:2" x14ac:dyDescent="0.25">
      <c r="A14401" s="118"/>
      <c r="B14401" s="136"/>
    </row>
    <row r="14402" spans="1:2" x14ac:dyDescent="0.25">
      <c r="A14402" s="118"/>
      <c r="B14402" s="136"/>
    </row>
    <row r="14403" spans="1:2" x14ac:dyDescent="0.25">
      <c r="A14403" s="118"/>
      <c r="B14403" s="136"/>
    </row>
    <row r="14404" spans="1:2" x14ac:dyDescent="0.25">
      <c r="A14404" s="118"/>
      <c r="B14404" s="136"/>
    </row>
    <row r="14405" spans="1:2" x14ac:dyDescent="0.25">
      <c r="A14405" s="118"/>
      <c r="B14405" s="136"/>
    </row>
    <row r="14406" spans="1:2" x14ac:dyDescent="0.25">
      <c r="A14406" s="118"/>
      <c r="B14406" s="136"/>
    </row>
    <row r="14407" spans="1:2" x14ac:dyDescent="0.25">
      <c r="A14407" s="118"/>
      <c r="B14407" s="136"/>
    </row>
    <row r="14408" spans="1:2" x14ac:dyDescent="0.25">
      <c r="A14408" s="118"/>
      <c r="B14408" s="136"/>
    </row>
    <row r="14409" spans="1:2" x14ac:dyDescent="0.25">
      <c r="A14409" s="118"/>
      <c r="B14409" s="136"/>
    </row>
    <row r="14410" spans="1:2" x14ac:dyDescent="0.25">
      <c r="A14410" s="118"/>
      <c r="B14410" s="136"/>
    </row>
    <row r="14411" spans="1:2" x14ac:dyDescent="0.25">
      <c r="A14411" s="118"/>
      <c r="B14411" s="136"/>
    </row>
    <row r="14412" spans="1:2" x14ac:dyDescent="0.25">
      <c r="A14412" s="118"/>
      <c r="B14412" s="136"/>
    </row>
    <row r="14413" spans="1:2" x14ac:dyDescent="0.25">
      <c r="A14413" s="118"/>
      <c r="B14413" s="136"/>
    </row>
    <row r="14414" spans="1:2" x14ac:dyDescent="0.25">
      <c r="A14414" s="118"/>
      <c r="B14414" s="136"/>
    </row>
    <row r="14415" spans="1:2" x14ac:dyDescent="0.25">
      <c r="A14415" s="118"/>
      <c r="B14415" s="136"/>
    </row>
    <row r="14416" spans="1:2" x14ac:dyDescent="0.25">
      <c r="A14416" s="118"/>
      <c r="B14416" s="136"/>
    </row>
    <row r="14417" spans="1:2" x14ac:dyDescent="0.25">
      <c r="A14417" s="118"/>
      <c r="B14417" s="136"/>
    </row>
    <row r="14418" spans="1:2" x14ac:dyDescent="0.25">
      <c r="A14418" s="118"/>
      <c r="B14418" s="136"/>
    </row>
    <row r="14419" spans="1:2" x14ac:dyDescent="0.25">
      <c r="A14419" s="118"/>
      <c r="B14419" s="136"/>
    </row>
    <row r="14420" spans="1:2" x14ac:dyDescent="0.25">
      <c r="A14420" s="118"/>
      <c r="B14420" s="136"/>
    </row>
    <row r="14421" spans="1:2" x14ac:dyDescent="0.25">
      <c r="A14421" s="118"/>
      <c r="B14421" s="136"/>
    </row>
    <row r="14422" spans="1:2" x14ac:dyDescent="0.25">
      <c r="A14422" s="118"/>
      <c r="B14422" s="136"/>
    </row>
    <row r="14423" spans="1:2" x14ac:dyDescent="0.25">
      <c r="A14423" s="118"/>
      <c r="B14423" s="136"/>
    </row>
    <row r="14424" spans="1:2" x14ac:dyDescent="0.25">
      <c r="A14424" s="118"/>
      <c r="B14424" s="136"/>
    </row>
    <row r="14425" spans="1:2" x14ac:dyDescent="0.25">
      <c r="A14425" s="118"/>
      <c r="B14425" s="136"/>
    </row>
    <row r="14426" spans="1:2" x14ac:dyDescent="0.25">
      <c r="A14426" s="118"/>
      <c r="B14426" s="136"/>
    </row>
    <row r="14427" spans="1:2" x14ac:dyDescent="0.25">
      <c r="A14427" s="118"/>
      <c r="B14427" s="136"/>
    </row>
    <row r="14428" spans="1:2" x14ac:dyDescent="0.25">
      <c r="A14428" s="118"/>
      <c r="B14428" s="136"/>
    </row>
    <row r="14429" spans="1:2" x14ac:dyDescent="0.25">
      <c r="A14429" s="118"/>
      <c r="B14429" s="136"/>
    </row>
    <row r="14430" spans="1:2" x14ac:dyDescent="0.25">
      <c r="A14430" s="118"/>
      <c r="B14430" s="136"/>
    </row>
    <row r="14431" spans="1:2" x14ac:dyDescent="0.25">
      <c r="A14431" s="118"/>
      <c r="B14431" s="136"/>
    </row>
    <row r="14432" spans="1:2" x14ac:dyDescent="0.25">
      <c r="A14432" s="118"/>
      <c r="B14432" s="136"/>
    </row>
    <row r="14433" spans="1:2" x14ac:dyDescent="0.25">
      <c r="A14433" s="118"/>
      <c r="B14433" s="136"/>
    </row>
    <row r="14434" spans="1:2" x14ac:dyDescent="0.25">
      <c r="A14434" s="118"/>
      <c r="B14434" s="136"/>
    </row>
    <row r="14435" spans="1:2" x14ac:dyDescent="0.25">
      <c r="A14435" s="118"/>
      <c r="B14435" s="136"/>
    </row>
    <row r="14436" spans="1:2" x14ac:dyDescent="0.25">
      <c r="A14436" s="118"/>
      <c r="B14436" s="136"/>
    </row>
    <row r="14437" spans="1:2" x14ac:dyDescent="0.25">
      <c r="A14437" s="118"/>
      <c r="B14437" s="136"/>
    </row>
    <row r="14438" spans="1:2" x14ac:dyDescent="0.25">
      <c r="A14438" s="118"/>
      <c r="B14438" s="136"/>
    </row>
    <row r="14439" spans="1:2" x14ac:dyDescent="0.25">
      <c r="A14439" s="118"/>
      <c r="B14439" s="136"/>
    </row>
    <row r="14440" spans="1:2" x14ac:dyDescent="0.25">
      <c r="A14440" s="118"/>
      <c r="B14440" s="136"/>
    </row>
    <row r="14441" spans="1:2" x14ac:dyDescent="0.25">
      <c r="A14441" s="118"/>
      <c r="B14441" s="136"/>
    </row>
    <row r="14442" spans="1:2" x14ac:dyDescent="0.25">
      <c r="A14442" s="118"/>
      <c r="B14442" s="136"/>
    </row>
    <row r="14443" spans="1:2" x14ac:dyDescent="0.25">
      <c r="A14443" s="118"/>
      <c r="B14443" s="136"/>
    </row>
    <row r="14444" spans="1:2" x14ac:dyDescent="0.25">
      <c r="A14444" s="118"/>
      <c r="B14444" s="136"/>
    </row>
    <row r="14445" spans="1:2" x14ac:dyDescent="0.25">
      <c r="A14445" s="118"/>
      <c r="B14445" s="136"/>
    </row>
    <row r="14446" spans="1:2" x14ac:dyDescent="0.25">
      <c r="A14446" s="118"/>
      <c r="B14446" s="136"/>
    </row>
    <row r="14447" spans="1:2" x14ac:dyDescent="0.25">
      <c r="A14447" s="118"/>
      <c r="B14447" s="136"/>
    </row>
    <row r="14448" spans="1:2" x14ac:dyDescent="0.25">
      <c r="A14448" s="118"/>
      <c r="B14448" s="136"/>
    </row>
    <row r="14449" spans="1:2" x14ac:dyDescent="0.25">
      <c r="A14449" s="118"/>
      <c r="B14449" s="136"/>
    </row>
    <row r="14450" spans="1:2" x14ac:dyDescent="0.25">
      <c r="A14450" s="118"/>
      <c r="B14450" s="136"/>
    </row>
    <row r="14451" spans="1:2" x14ac:dyDescent="0.25">
      <c r="A14451" s="118"/>
      <c r="B14451" s="136"/>
    </row>
    <row r="14452" spans="1:2" x14ac:dyDescent="0.25">
      <c r="A14452" s="118"/>
      <c r="B14452" s="136"/>
    </row>
    <row r="14453" spans="1:2" x14ac:dyDescent="0.25">
      <c r="A14453" s="118"/>
      <c r="B14453" s="136"/>
    </row>
    <row r="14454" spans="1:2" x14ac:dyDescent="0.25">
      <c r="A14454" s="118"/>
      <c r="B14454" s="136"/>
    </row>
    <row r="14455" spans="1:2" x14ac:dyDescent="0.25">
      <c r="A14455" s="118"/>
      <c r="B14455" s="136"/>
    </row>
    <row r="14456" spans="1:2" x14ac:dyDescent="0.25">
      <c r="A14456" s="118"/>
      <c r="B14456" s="136"/>
    </row>
    <row r="14457" spans="1:2" x14ac:dyDescent="0.25">
      <c r="A14457" s="118"/>
      <c r="B14457" s="136"/>
    </row>
    <row r="14458" spans="1:2" x14ac:dyDescent="0.25">
      <c r="A14458" s="118"/>
      <c r="B14458" s="136"/>
    </row>
    <row r="14459" spans="1:2" x14ac:dyDescent="0.25">
      <c r="A14459" s="118"/>
      <c r="B14459" s="136"/>
    </row>
    <row r="14460" spans="1:2" x14ac:dyDescent="0.25">
      <c r="A14460" s="118"/>
      <c r="B14460" s="136"/>
    </row>
    <row r="14461" spans="1:2" x14ac:dyDescent="0.25">
      <c r="A14461" s="118"/>
      <c r="B14461" s="136"/>
    </row>
    <row r="14462" spans="1:2" x14ac:dyDescent="0.25">
      <c r="A14462" s="118"/>
      <c r="B14462" s="136"/>
    </row>
    <row r="14463" spans="1:2" x14ac:dyDescent="0.25">
      <c r="A14463" s="118"/>
      <c r="B14463" s="136"/>
    </row>
    <row r="14464" spans="1:2" x14ac:dyDescent="0.25">
      <c r="A14464" s="118"/>
      <c r="B14464" s="136"/>
    </row>
    <row r="14465" spans="1:2" x14ac:dyDescent="0.25">
      <c r="A14465" s="118"/>
      <c r="B14465" s="136"/>
    </row>
    <row r="14466" spans="1:2" x14ac:dyDescent="0.25">
      <c r="A14466" s="118"/>
      <c r="B14466" s="136"/>
    </row>
    <row r="14467" spans="1:2" x14ac:dyDescent="0.25">
      <c r="A14467" s="118"/>
      <c r="B14467" s="136"/>
    </row>
    <row r="14468" spans="1:2" x14ac:dyDescent="0.25">
      <c r="A14468" s="118"/>
      <c r="B14468" s="136"/>
    </row>
    <row r="14469" spans="1:2" x14ac:dyDescent="0.25">
      <c r="A14469" s="118"/>
      <c r="B14469" s="136"/>
    </row>
    <row r="14470" spans="1:2" x14ac:dyDescent="0.25">
      <c r="A14470" s="118"/>
      <c r="B14470" s="136"/>
    </row>
    <row r="14471" spans="1:2" x14ac:dyDescent="0.25">
      <c r="A14471" s="118"/>
      <c r="B14471" s="136"/>
    </row>
    <row r="14472" spans="1:2" x14ac:dyDescent="0.25">
      <c r="A14472" s="118"/>
      <c r="B14472" s="136"/>
    </row>
    <row r="14473" spans="1:2" x14ac:dyDescent="0.25">
      <c r="A14473" s="118"/>
      <c r="B14473" s="136"/>
    </row>
    <row r="14474" spans="1:2" x14ac:dyDescent="0.25">
      <c r="A14474" s="118"/>
      <c r="B14474" s="136"/>
    </row>
    <row r="14475" spans="1:2" x14ac:dyDescent="0.25">
      <c r="A14475" s="118"/>
      <c r="B14475" s="136"/>
    </row>
    <row r="14476" spans="1:2" x14ac:dyDescent="0.25">
      <c r="A14476" s="118"/>
      <c r="B14476" s="136"/>
    </row>
    <row r="14477" spans="1:2" x14ac:dyDescent="0.25">
      <c r="A14477" s="118"/>
      <c r="B14477" s="136"/>
    </row>
    <row r="14478" spans="1:2" x14ac:dyDescent="0.25">
      <c r="A14478" s="118"/>
      <c r="B14478" s="136"/>
    </row>
    <row r="14479" spans="1:2" x14ac:dyDescent="0.25">
      <c r="A14479" s="118"/>
      <c r="B14479" s="136"/>
    </row>
    <row r="14480" spans="1:2" x14ac:dyDescent="0.25">
      <c r="A14480" s="118"/>
      <c r="B14480" s="136"/>
    </row>
    <row r="14481" spans="1:2" x14ac:dyDescent="0.25">
      <c r="A14481" s="118"/>
      <c r="B14481" s="136"/>
    </row>
    <row r="14482" spans="1:2" x14ac:dyDescent="0.25">
      <c r="A14482" s="118"/>
      <c r="B14482" s="136"/>
    </row>
    <row r="14483" spans="1:2" x14ac:dyDescent="0.25">
      <c r="A14483" s="118"/>
      <c r="B14483" s="136"/>
    </row>
    <row r="14484" spans="1:2" x14ac:dyDescent="0.25">
      <c r="A14484" s="118"/>
      <c r="B14484" s="136"/>
    </row>
    <row r="14485" spans="1:2" x14ac:dyDescent="0.25">
      <c r="A14485" s="118"/>
      <c r="B14485" s="136"/>
    </row>
    <row r="14486" spans="1:2" x14ac:dyDescent="0.25">
      <c r="A14486" s="118"/>
      <c r="B14486" s="136"/>
    </row>
    <row r="14487" spans="1:2" x14ac:dyDescent="0.25">
      <c r="A14487" s="118"/>
      <c r="B14487" s="136"/>
    </row>
    <row r="14488" spans="1:2" x14ac:dyDescent="0.25">
      <c r="A14488" s="118"/>
      <c r="B14488" s="136"/>
    </row>
    <row r="14489" spans="1:2" x14ac:dyDescent="0.25">
      <c r="A14489" s="118"/>
      <c r="B14489" s="136"/>
    </row>
    <row r="14490" spans="1:2" x14ac:dyDescent="0.25">
      <c r="A14490" s="118"/>
      <c r="B14490" s="136"/>
    </row>
    <row r="14491" spans="1:2" x14ac:dyDescent="0.25">
      <c r="A14491" s="118"/>
      <c r="B14491" s="136"/>
    </row>
    <row r="14492" spans="1:2" x14ac:dyDescent="0.25">
      <c r="A14492" s="118"/>
      <c r="B14492" s="136"/>
    </row>
    <row r="14493" spans="1:2" x14ac:dyDescent="0.25">
      <c r="A14493" s="118"/>
      <c r="B14493" s="136"/>
    </row>
    <row r="14494" spans="1:2" x14ac:dyDescent="0.25">
      <c r="A14494" s="118"/>
      <c r="B14494" s="136"/>
    </row>
    <row r="14495" spans="1:2" x14ac:dyDescent="0.25">
      <c r="A14495" s="118"/>
      <c r="B14495" s="136"/>
    </row>
    <row r="14496" spans="1:2" x14ac:dyDescent="0.25">
      <c r="A14496" s="118"/>
      <c r="B14496" s="136"/>
    </row>
    <row r="14497" spans="1:2" x14ac:dyDescent="0.25">
      <c r="A14497" s="118"/>
      <c r="B14497" s="136"/>
    </row>
    <row r="14498" spans="1:2" x14ac:dyDescent="0.25">
      <c r="A14498" s="118"/>
      <c r="B14498" s="136"/>
    </row>
    <row r="14499" spans="1:2" x14ac:dyDescent="0.25">
      <c r="A14499" s="118"/>
      <c r="B14499" s="136"/>
    </row>
    <row r="14500" spans="1:2" x14ac:dyDescent="0.25">
      <c r="A14500" s="118"/>
      <c r="B14500" s="136"/>
    </row>
    <row r="14501" spans="1:2" x14ac:dyDescent="0.25">
      <c r="A14501" s="118"/>
      <c r="B14501" s="136"/>
    </row>
    <row r="14502" spans="1:2" x14ac:dyDescent="0.25">
      <c r="A14502" s="118"/>
      <c r="B14502" s="136"/>
    </row>
    <row r="14503" spans="1:2" x14ac:dyDescent="0.25">
      <c r="A14503" s="118"/>
      <c r="B14503" s="136"/>
    </row>
    <row r="14504" spans="1:2" x14ac:dyDescent="0.25">
      <c r="A14504" s="118"/>
      <c r="B14504" s="136"/>
    </row>
    <row r="14505" spans="1:2" x14ac:dyDescent="0.25">
      <c r="A14505" s="118"/>
      <c r="B14505" s="136"/>
    </row>
    <row r="14506" spans="1:2" x14ac:dyDescent="0.25">
      <c r="A14506" s="118"/>
      <c r="B14506" s="136"/>
    </row>
    <row r="14507" spans="1:2" x14ac:dyDescent="0.25">
      <c r="A14507" s="118"/>
      <c r="B14507" s="136"/>
    </row>
    <row r="14508" spans="1:2" x14ac:dyDescent="0.25">
      <c r="A14508" s="118"/>
      <c r="B14508" s="136"/>
    </row>
    <row r="14509" spans="1:2" x14ac:dyDescent="0.25">
      <c r="A14509" s="118"/>
      <c r="B14509" s="136"/>
    </row>
    <row r="14510" spans="1:2" x14ac:dyDescent="0.25">
      <c r="A14510" s="118"/>
      <c r="B14510" s="136"/>
    </row>
    <row r="14511" spans="1:2" x14ac:dyDescent="0.25">
      <c r="A14511" s="118"/>
      <c r="B14511" s="136"/>
    </row>
    <row r="14512" spans="1:2" x14ac:dyDescent="0.25">
      <c r="A14512" s="118"/>
      <c r="B14512" s="136"/>
    </row>
    <row r="14513" spans="1:2" x14ac:dyDescent="0.25">
      <c r="A14513" s="118"/>
      <c r="B14513" s="136"/>
    </row>
    <row r="14514" spans="1:2" x14ac:dyDescent="0.25">
      <c r="A14514" s="118"/>
      <c r="B14514" s="136"/>
    </row>
    <row r="14515" spans="1:2" x14ac:dyDescent="0.25">
      <c r="A14515" s="118"/>
      <c r="B14515" s="136"/>
    </row>
    <row r="14516" spans="1:2" x14ac:dyDescent="0.25">
      <c r="A14516" s="118"/>
      <c r="B14516" s="136"/>
    </row>
    <row r="14517" spans="1:2" x14ac:dyDescent="0.25">
      <c r="A14517" s="118"/>
      <c r="B14517" s="136"/>
    </row>
    <row r="14518" spans="1:2" x14ac:dyDescent="0.25">
      <c r="A14518" s="118"/>
      <c r="B14518" s="136"/>
    </row>
    <row r="14519" spans="1:2" x14ac:dyDescent="0.25">
      <c r="A14519" s="118"/>
      <c r="B14519" s="136"/>
    </row>
    <row r="14520" spans="1:2" x14ac:dyDescent="0.25">
      <c r="A14520" s="118"/>
      <c r="B14520" s="136"/>
    </row>
    <row r="14521" spans="1:2" x14ac:dyDescent="0.25">
      <c r="A14521" s="118"/>
      <c r="B14521" s="136"/>
    </row>
    <row r="14522" spans="1:2" x14ac:dyDescent="0.25">
      <c r="A14522" s="118"/>
      <c r="B14522" s="136"/>
    </row>
    <row r="14523" spans="1:2" x14ac:dyDescent="0.25">
      <c r="A14523" s="118"/>
      <c r="B14523" s="136"/>
    </row>
    <row r="14524" spans="1:2" x14ac:dyDescent="0.25">
      <c r="A14524" s="118"/>
      <c r="B14524" s="136"/>
    </row>
    <row r="14525" spans="1:2" x14ac:dyDescent="0.25">
      <c r="A14525" s="118"/>
      <c r="B14525" s="136"/>
    </row>
    <row r="14526" spans="1:2" x14ac:dyDescent="0.25">
      <c r="A14526" s="118"/>
      <c r="B14526" s="136"/>
    </row>
    <row r="14527" spans="1:2" x14ac:dyDescent="0.25">
      <c r="A14527" s="118"/>
      <c r="B14527" s="136"/>
    </row>
    <row r="14528" spans="1:2" x14ac:dyDescent="0.25">
      <c r="A14528" s="118"/>
      <c r="B14528" s="136"/>
    </row>
    <row r="14529" spans="1:2" x14ac:dyDescent="0.25">
      <c r="A14529" s="118"/>
      <c r="B14529" s="136"/>
    </row>
    <row r="14530" spans="1:2" x14ac:dyDescent="0.25">
      <c r="A14530" s="118"/>
      <c r="B14530" s="136"/>
    </row>
    <row r="14531" spans="1:2" x14ac:dyDescent="0.25">
      <c r="A14531" s="118"/>
      <c r="B14531" s="136"/>
    </row>
    <row r="14532" spans="1:2" x14ac:dyDescent="0.25">
      <c r="A14532" s="118"/>
      <c r="B14532" s="136"/>
    </row>
    <row r="14533" spans="1:2" x14ac:dyDescent="0.25">
      <c r="A14533" s="118"/>
      <c r="B14533" s="136"/>
    </row>
    <row r="14534" spans="1:2" x14ac:dyDescent="0.25">
      <c r="A14534" s="118"/>
      <c r="B14534" s="136"/>
    </row>
    <row r="14535" spans="1:2" x14ac:dyDescent="0.25">
      <c r="A14535" s="118"/>
      <c r="B14535" s="136"/>
    </row>
    <row r="14536" spans="1:2" x14ac:dyDescent="0.25">
      <c r="A14536" s="118"/>
      <c r="B14536" s="136"/>
    </row>
    <row r="14537" spans="1:2" x14ac:dyDescent="0.25">
      <c r="A14537" s="118"/>
      <c r="B14537" s="136"/>
    </row>
    <row r="14538" spans="1:2" x14ac:dyDescent="0.25">
      <c r="A14538" s="118"/>
      <c r="B14538" s="136"/>
    </row>
    <row r="14539" spans="1:2" x14ac:dyDescent="0.25">
      <c r="A14539" s="118"/>
      <c r="B14539" s="136"/>
    </row>
    <row r="14540" spans="1:2" x14ac:dyDescent="0.25">
      <c r="A14540" s="118"/>
      <c r="B14540" s="136"/>
    </row>
    <row r="14541" spans="1:2" x14ac:dyDescent="0.25">
      <c r="A14541" s="118"/>
      <c r="B14541" s="136"/>
    </row>
    <row r="14542" spans="1:2" x14ac:dyDescent="0.25">
      <c r="A14542" s="118"/>
      <c r="B14542" s="136"/>
    </row>
    <row r="14543" spans="1:2" x14ac:dyDescent="0.25">
      <c r="A14543" s="118"/>
      <c r="B14543" s="136"/>
    </row>
    <row r="14544" spans="1:2" x14ac:dyDescent="0.25">
      <c r="A14544" s="118"/>
      <c r="B14544" s="136"/>
    </row>
    <row r="14545" spans="1:2" x14ac:dyDescent="0.25">
      <c r="A14545" s="118"/>
      <c r="B14545" s="136"/>
    </row>
    <row r="14546" spans="1:2" x14ac:dyDescent="0.25">
      <c r="A14546" s="118"/>
      <c r="B14546" s="136"/>
    </row>
    <row r="14547" spans="1:2" x14ac:dyDescent="0.25">
      <c r="A14547" s="118"/>
      <c r="B14547" s="136"/>
    </row>
    <row r="14548" spans="1:2" x14ac:dyDescent="0.25">
      <c r="A14548" s="118"/>
      <c r="B14548" s="136"/>
    </row>
    <row r="14549" spans="1:2" x14ac:dyDescent="0.25">
      <c r="A14549" s="118"/>
      <c r="B14549" s="136"/>
    </row>
    <row r="14550" spans="1:2" x14ac:dyDescent="0.25">
      <c r="A14550" s="118"/>
      <c r="B14550" s="136"/>
    </row>
    <row r="14551" spans="1:2" x14ac:dyDescent="0.25">
      <c r="A14551" s="118"/>
      <c r="B14551" s="136"/>
    </row>
    <row r="14552" spans="1:2" x14ac:dyDescent="0.25">
      <c r="A14552" s="118"/>
      <c r="B14552" s="136"/>
    </row>
    <row r="14553" spans="1:2" x14ac:dyDescent="0.25">
      <c r="A14553" s="118"/>
      <c r="B14553" s="136"/>
    </row>
    <row r="14554" spans="1:2" x14ac:dyDescent="0.25">
      <c r="A14554" s="118"/>
      <c r="B14554" s="136"/>
    </row>
    <row r="14555" spans="1:2" x14ac:dyDescent="0.25">
      <c r="A14555" s="118"/>
      <c r="B14555" s="136"/>
    </row>
    <row r="14556" spans="1:2" x14ac:dyDescent="0.25">
      <c r="A14556" s="118"/>
      <c r="B14556" s="136"/>
    </row>
    <row r="14557" spans="1:2" x14ac:dyDescent="0.25">
      <c r="A14557" s="118"/>
      <c r="B14557" s="136"/>
    </row>
    <row r="14558" spans="1:2" x14ac:dyDescent="0.25">
      <c r="A14558" s="118"/>
      <c r="B14558" s="136"/>
    </row>
    <row r="14559" spans="1:2" x14ac:dyDescent="0.25">
      <c r="A14559" s="118"/>
      <c r="B14559" s="136"/>
    </row>
    <row r="14560" spans="1:2" x14ac:dyDescent="0.25">
      <c r="A14560" s="118"/>
      <c r="B14560" s="136"/>
    </row>
    <row r="14561" spans="1:2" x14ac:dyDescent="0.25">
      <c r="A14561" s="118"/>
      <c r="B14561" s="136"/>
    </row>
    <row r="14562" spans="1:2" x14ac:dyDescent="0.25">
      <c r="A14562" s="118"/>
      <c r="B14562" s="136"/>
    </row>
    <row r="14563" spans="1:2" x14ac:dyDescent="0.25">
      <c r="A14563" s="118"/>
      <c r="B14563" s="136"/>
    </row>
    <row r="14564" spans="1:2" x14ac:dyDescent="0.25">
      <c r="A14564" s="118"/>
      <c r="B14564" s="136"/>
    </row>
    <row r="14565" spans="1:2" x14ac:dyDescent="0.25">
      <c r="A14565" s="118"/>
      <c r="B14565" s="136"/>
    </row>
    <row r="14566" spans="1:2" x14ac:dyDescent="0.25">
      <c r="A14566" s="118"/>
      <c r="B14566" s="136"/>
    </row>
    <row r="14567" spans="1:2" x14ac:dyDescent="0.25">
      <c r="A14567" s="118"/>
      <c r="B14567" s="136"/>
    </row>
    <row r="14568" spans="1:2" x14ac:dyDescent="0.25">
      <c r="A14568" s="118"/>
      <c r="B14568" s="136"/>
    </row>
    <row r="14569" spans="1:2" x14ac:dyDescent="0.25">
      <c r="A14569" s="118"/>
      <c r="B14569" s="136"/>
    </row>
    <row r="14570" spans="1:2" x14ac:dyDescent="0.25">
      <c r="A14570" s="118"/>
      <c r="B14570" s="136"/>
    </row>
    <row r="14571" spans="1:2" x14ac:dyDescent="0.25">
      <c r="A14571" s="118"/>
      <c r="B14571" s="136"/>
    </row>
    <row r="14572" spans="1:2" x14ac:dyDescent="0.25">
      <c r="A14572" s="118"/>
      <c r="B14572" s="136"/>
    </row>
    <row r="14573" spans="1:2" x14ac:dyDescent="0.25">
      <c r="A14573" s="118"/>
      <c r="B14573" s="136"/>
    </row>
    <row r="14574" spans="1:2" x14ac:dyDescent="0.25">
      <c r="A14574" s="118"/>
      <c r="B14574" s="136"/>
    </row>
    <row r="14575" spans="1:2" x14ac:dyDescent="0.25">
      <c r="A14575" s="118"/>
      <c r="B14575" s="136"/>
    </row>
    <row r="14576" spans="1:2" x14ac:dyDescent="0.25">
      <c r="A14576" s="118"/>
      <c r="B14576" s="136"/>
    </row>
    <row r="14577" spans="1:2" x14ac:dyDescent="0.25">
      <c r="A14577" s="118"/>
      <c r="B14577" s="136"/>
    </row>
    <row r="14578" spans="1:2" x14ac:dyDescent="0.25">
      <c r="A14578" s="118"/>
      <c r="B14578" s="136"/>
    </row>
    <row r="14579" spans="1:2" x14ac:dyDescent="0.25">
      <c r="A14579" s="118"/>
      <c r="B14579" s="136"/>
    </row>
    <row r="14580" spans="1:2" x14ac:dyDescent="0.25">
      <c r="A14580" s="118"/>
      <c r="B14580" s="136"/>
    </row>
    <row r="14581" spans="1:2" x14ac:dyDescent="0.25">
      <c r="A14581" s="118"/>
      <c r="B14581" s="136"/>
    </row>
    <row r="14582" spans="1:2" x14ac:dyDescent="0.25">
      <c r="A14582" s="118"/>
      <c r="B14582" s="136"/>
    </row>
    <row r="14583" spans="1:2" x14ac:dyDescent="0.25">
      <c r="A14583" s="118"/>
      <c r="B14583" s="136"/>
    </row>
    <row r="14584" spans="1:2" x14ac:dyDescent="0.25">
      <c r="A14584" s="118"/>
      <c r="B14584" s="136"/>
    </row>
    <row r="14585" spans="1:2" x14ac:dyDescent="0.25">
      <c r="A14585" s="118"/>
      <c r="B14585" s="136"/>
    </row>
    <row r="14586" spans="1:2" x14ac:dyDescent="0.25">
      <c r="A14586" s="118"/>
      <c r="B14586" s="136"/>
    </row>
    <row r="14587" spans="1:2" x14ac:dyDescent="0.25">
      <c r="A14587" s="118"/>
      <c r="B14587" s="136"/>
    </row>
    <row r="14588" spans="1:2" x14ac:dyDescent="0.25">
      <c r="A14588" s="118"/>
      <c r="B14588" s="136"/>
    </row>
    <row r="14589" spans="1:2" x14ac:dyDescent="0.25">
      <c r="A14589" s="118"/>
      <c r="B14589" s="136"/>
    </row>
    <row r="14590" spans="1:2" x14ac:dyDescent="0.25">
      <c r="A14590" s="118"/>
      <c r="B14590" s="136"/>
    </row>
    <row r="14591" spans="1:2" x14ac:dyDescent="0.25">
      <c r="A14591" s="118"/>
      <c r="B14591" s="136"/>
    </row>
    <row r="14592" spans="1:2" x14ac:dyDescent="0.25">
      <c r="A14592" s="118"/>
      <c r="B14592" s="136"/>
    </row>
    <row r="14593" spans="1:2" x14ac:dyDescent="0.25">
      <c r="A14593" s="118"/>
      <c r="B14593" s="136"/>
    </row>
    <row r="14594" spans="1:2" x14ac:dyDescent="0.25">
      <c r="A14594" s="118"/>
      <c r="B14594" s="136"/>
    </row>
    <row r="14595" spans="1:2" x14ac:dyDescent="0.25">
      <c r="A14595" s="118"/>
      <c r="B14595" s="136"/>
    </row>
    <row r="14596" spans="1:2" x14ac:dyDescent="0.25">
      <c r="A14596" s="118"/>
      <c r="B14596" s="136"/>
    </row>
    <row r="14597" spans="1:2" x14ac:dyDescent="0.25">
      <c r="A14597" s="118"/>
      <c r="B14597" s="136"/>
    </row>
    <row r="14598" spans="1:2" x14ac:dyDescent="0.25">
      <c r="A14598" s="118"/>
      <c r="B14598" s="136"/>
    </row>
    <row r="14599" spans="1:2" x14ac:dyDescent="0.25">
      <c r="A14599" s="118"/>
      <c r="B14599" s="136"/>
    </row>
    <row r="14600" spans="1:2" x14ac:dyDescent="0.25">
      <c r="A14600" s="118"/>
      <c r="B14600" s="136"/>
    </row>
    <row r="14601" spans="1:2" x14ac:dyDescent="0.25">
      <c r="A14601" s="118"/>
      <c r="B14601" s="136"/>
    </row>
    <row r="14602" spans="1:2" x14ac:dyDescent="0.25">
      <c r="A14602" s="118"/>
      <c r="B14602" s="136"/>
    </row>
    <row r="14603" spans="1:2" x14ac:dyDescent="0.25">
      <c r="A14603" s="118"/>
      <c r="B14603" s="136"/>
    </row>
    <row r="14604" spans="1:2" x14ac:dyDescent="0.25">
      <c r="A14604" s="118"/>
      <c r="B14604" s="136"/>
    </row>
    <row r="14605" spans="1:2" x14ac:dyDescent="0.25">
      <c r="A14605" s="118"/>
      <c r="B14605" s="136"/>
    </row>
    <row r="14606" spans="1:2" x14ac:dyDescent="0.25">
      <c r="A14606" s="118"/>
      <c r="B14606" s="136"/>
    </row>
    <row r="14607" spans="1:2" x14ac:dyDescent="0.25">
      <c r="A14607" s="118"/>
      <c r="B14607" s="136"/>
    </row>
    <row r="14608" spans="1:2" x14ac:dyDescent="0.25">
      <c r="A14608" s="118"/>
      <c r="B14608" s="136"/>
    </row>
    <row r="14609" spans="1:2" x14ac:dyDescent="0.25">
      <c r="A14609" s="118"/>
      <c r="B14609" s="136"/>
    </row>
    <row r="14610" spans="1:2" x14ac:dyDescent="0.25">
      <c r="A14610" s="118"/>
      <c r="B14610" s="136"/>
    </row>
    <row r="14611" spans="1:2" x14ac:dyDescent="0.25">
      <c r="A14611" s="118"/>
      <c r="B14611" s="136"/>
    </row>
    <row r="14612" spans="1:2" x14ac:dyDescent="0.25">
      <c r="A14612" s="118"/>
      <c r="B14612" s="136"/>
    </row>
    <row r="14613" spans="1:2" x14ac:dyDescent="0.25">
      <c r="A14613" s="118"/>
      <c r="B14613" s="136"/>
    </row>
    <row r="14614" spans="1:2" x14ac:dyDescent="0.25">
      <c r="A14614" s="118"/>
      <c r="B14614" s="136"/>
    </row>
    <row r="14615" spans="1:2" x14ac:dyDescent="0.25">
      <c r="A14615" s="118"/>
      <c r="B14615" s="136"/>
    </row>
    <row r="14616" spans="1:2" x14ac:dyDescent="0.25">
      <c r="A14616" s="118"/>
      <c r="B14616" s="136"/>
    </row>
    <row r="14617" spans="1:2" x14ac:dyDescent="0.25">
      <c r="A14617" s="118"/>
      <c r="B14617" s="136"/>
    </row>
    <row r="14618" spans="1:2" x14ac:dyDescent="0.25">
      <c r="A14618" s="118"/>
      <c r="B14618" s="136"/>
    </row>
    <row r="14619" spans="1:2" x14ac:dyDescent="0.25">
      <c r="A14619" s="118"/>
      <c r="B14619" s="136"/>
    </row>
    <row r="14620" spans="1:2" x14ac:dyDescent="0.25">
      <c r="A14620" s="118"/>
      <c r="B14620" s="136"/>
    </row>
    <row r="14621" spans="1:2" x14ac:dyDescent="0.25">
      <c r="A14621" s="118"/>
      <c r="B14621" s="136"/>
    </row>
    <row r="14622" spans="1:2" x14ac:dyDescent="0.25">
      <c r="A14622" s="118"/>
      <c r="B14622" s="136"/>
    </row>
    <row r="14623" spans="1:2" x14ac:dyDescent="0.25">
      <c r="A14623" s="118"/>
      <c r="B14623" s="136"/>
    </row>
    <row r="14624" spans="1:2" x14ac:dyDescent="0.25">
      <c r="A14624" s="118"/>
      <c r="B14624" s="136"/>
    </row>
    <row r="14625" spans="1:2" x14ac:dyDescent="0.25">
      <c r="A14625" s="118"/>
      <c r="B14625" s="136"/>
    </row>
    <row r="14626" spans="1:2" x14ac:dyDescent="0.25">
      <c r="A14626" s="118"/>
      <c r="B14626" s="136"/>
    </row>
    <row r="14627" spans="1:2" x14ac:dyDescent="0.25">
      <c r="A14627" s="118"/>
      <c r="B14627" s="136"/>
    </row>
    <row r="14628" spans="1:2" x14ac:dyDescent="0.25">
      <c r="A14628" s="118"/>
      <c r="B14628" s="136"/>
    </row>
    <row r="14629" spans="1:2" x14ac:dyDescent="0.25">
      <c r="A14629" s="118"/>
      <c r="B14629" s="136"/>
    </row>
    <row r="14630" spans="1:2" x14ac:dyDescent="0.25">
      <c r="A14630" s="118"/>
      <c r="B14630" s="136"/>
    </row>
    <row r="14631" spans="1:2" x14ac:dyDescent="0.25">
      <c r="A14631" s="118"/>
      <c r="B14631" s="136"/>
    </row>
    <row r="14632" spans="1:2" x14ac:dyDescent="0.25">
      <c r="A14632" s="118"/>
      <c r="B14632" s="136"/>
    </row>
    <row r="14633" spans="1:2" x14ac:dyDescent="0.25">
      <c r="A14633" s="118"/>
      <c r="B14633" s="136"/>
    </row>
    <row r="14634" spans="1:2" x14ac:dyDescent="0.25">
      <c r="A14634" s="118"/>
      <c r="B14634" s="136"/>
    </row>
    <row r="14635" spans="1:2" x14ac:dyDescent="0.25">
      <c r="A14635" s="118"/>
      <c r="B14635" s="136"/>
    </row>
    <row r="14636" spans="1:2" x14ac:dyDescent="0.25">
      <c r="A14636" s="118"/>
      <c r="B14636" s="136"/>
    </row>
    <row r="14637" spans="1:2" x14ac:dyDescent="0.25">
      <c r="A14637" s="118"/>
      <c r="B14637" s="136"/>
    </row>
    <row r="14638" spans="1:2" x14ac:dyDescent="0.25">
      <c r="A14638" s="118"/>
      <c r="B14638" s="136"/>
    </row>
    <row r="14639" spans="1:2" x14ac:dyDescent="0.25">
      <c r="A14639" s="118"/>
      <c r="B14639" s="136"/>
    </row>
    <row r="14640" spans="1:2" x14ac:dyDescent="0.25">
      <c r="A14640" s="118"/>
      <c r="B14640" s="136"/>
    </row>
    <row r="14641" spans="1:2" x14ac:dyDescent="0.25">
      <c r="A14641" s="118"/>
      <c r="B14641" s="136"/>
    </row>
    <row r="14642" spans="1:2" x14ac:dyDescent="0.25">
      <c r="A14642" s="118"/>
      <c r="B14642" s="136"/>
    </row>
    <row r="14643" spans="1:2" x14ac:dyDescent="0.25">
      <c r="A14643" s="118"/>
      <c r="B14643" s="136"/>
    </row>
    <row r="14644" spans="1:2" x14ac:dyDescent="0.25">
      <c r="A14644" s="118"/>
      <c r="B14644" s="136"/>
    </row>
    <row r="14645" spans="1:2" x14ac:dyDescent="0.25">
      <c r="A14645" s="118"/>
      <c r="B14645" s="136"/>
    </row>
    <row r="14646" spans="1:2" x14ac:dyDescent="0.25">
      <c r="A14646" s="118"/>
      <c r="B14646" s="136"/>
    </row>
    <row r="14647" spans="1:2" x14ac:dyDescent="0.25">
      <c r="A14647" s="118"/>
      <c r="B14647" s="136"/>
    </row>
    <row r="14648" spans="1:2" x14ac:dyDescent="0.25">
      <c r="A14648" s="118"/>
      <c r="B14648" s="136"/>
    </row>
    <row r="14649" spans="1:2" x14ac:dyDescent="0.25">
      <c r="A14649" s="118"/>
      <c r="B14649" s="136"/>
    </row>
    <row r="14650" spans="1:2" x14ac:dyDescent="0.25">
      <c r="A14650" s="118"/>
      <c r="B14650" s="136"/>
    </row>
    <row r="14651" spans="1:2" x14ac:dyDescent="0.25">
      <c r="A14651" s="118"/>
      <c r="B14651" s="136"/>
    </row>
    <row r="14652" spans="1:2" x14ac:dyDescent="0.25">
      <c r="A14652" s="118"/>
      <c r="B14652" s="136"/>
    </row>
    <row r="14653" spans="1:2" x14ac:dyDescent="0.25">
      <c r="A14653" s="118"/>
      <c r="B14653" s="136"/>
    </row>
    <row r="14654" spans="1:2" x14ac:dyDescent="0.25">
      <c r="A14654" s="118"/>
      <c r="B14654" s="136"/>
    </row>
    <row r="14655" spans="1:2" x14ac:dyDescent="0.25">
      <c r="A14655" s="118"/>
      <c r="B14655" s="136"/>
    </row>
    <row r="14656" spans="1:2" x14ac:dyDescent="0.25">
      <c r="A14656" s="118"/>
      <c r="B14656" s="136"/>
    </row>
    <row r="14657" spans="1:2" x14ac:dyDescent="0.25">
      <c r="A14657" s="118"/>
      <c r="B14657" s="136"/>
    </row>
    <row r="14658" spans="1:2" x14ac:dyDescent="0.25">
      <c r="A14658" s="118"/>
      <c r="B14658" s="136"/>
    </row>
    <row r="14659" spans="1:2" x14ac:dyDescent="0.25">
      <c r="A14659" s="118"/>
      <c r="B14659" s="136"/>
    </row>
    <row r="14660" spans="1:2" x14ac:dyDescent="0.25">
      <c r="A14660" s="118"/>
      <c r="B14660" s="136"/>
    </row>
    <row r="14661" spans="1:2" x14ac:dyDescent="0.25">
      <c r="A14661" s="118"/>
      <c r="B14661" s="136"/>
    </row>
    <row r="14662" spans="1:2" x14ac:dyDescent="0.25">
      <c r="A14662" s="118"/>
      <c r="B14662" s="136"/>
    </row>
    <row r="14663" spans="1:2" x14ac:dyDescent="0.25">
      <c r="A14663" s="118"/>
      <c r="B14663" s="136"/>
    </row>
    <row r="14664" spans="1:2" x14ac:dyDescent="0.25">
      <c r="A14664" s="118"/>
      <c r="B14664" s="136"/>
    </row>
    <row r="14665" spans="1:2" x14ac:dyDescent="0.25">
      <c r="A14665" s="118"/>
      <c r="B14665" s="136"/>
    </row>
    <row r="14666" spans="1:2" x14ac:dyDescent="0.25">
      <c r="A14666" s="118"/>
      <c r="B14666" s="136"/>
    </row>
    <row r="14667" spans="1:2" x14ac:dyDescent="0.25">
      <c r="A14667" s="118"/>
      <c r="B14667" s="136"/>
    </row>
    <row r="14668" spans="1:2" x14ac:dyDescent="0.25">
      <c r="A14668" s="118"/>
      <c r="B14668" s="136"/>
    </row>
    <row r="14669" spans="1:2" x14ac:dyDescent="0.25">
      <c r="A14669" s="118"/>
      <c r="B14669" s="136"/>
    </row>
    <row r="14670" spans="1:2" x14ac:dyDescent="0.25">
      <c r="A14670" s="118"/>
      <c r="B14670" s="136"/>
    </row>
    <row r="14671" spans="1:2" x14ac:dyDescent="0.25">
      <c r="A14671" s="118"/>
      <c r="B14671" s="136"/>
    </row>
    <row r="14672" spans="1:2" x14ac:dyDescent="0.25">
      <c r="A14672" s="118"/>
      <c r="B14672" s="136"/>
    </row>
    <row r="14673" spans="1:2" x14ac:dyDescent="0.25">
      <c r="A14673" s="118"/>
      <c r="B14673" s="136"/>
    </row>
    <row r="14674" spans="1:2" x14ac:dyDescent="0.25">
      <c r="A14674" s="118"/>
      <c r="B14674" s="136"/>
    </row>
    <row r="14675" spans="1:2" x14ac:dyDescent="0.25">
      <c r="A14675" s="118"/>
      <c r="B14675" s="136"/>
    </row>
    <row r="14676" spans="1:2" x14ac:dyDescent="0.25">
      <c r="A14676" s="118"/>
      <c r="B14676" s="136"/>
    </row>
    <row r="14677" spans="1:2" x14ac:dyDescent="0.25">
      <c r="A14677" s="118"/>
      <c r="B14677" s="136"/>
    </row>
    <row r="14678" spans="1:2" x14ac:dyDescent="0.25">
      <c r="A14678" s="118"/>
      <c r="B14678" s="136"/>
    </row>
    <row r="14679" spans="1:2" x14ac:dyDescent="0.25">
      <c r="A14679" s="118"/>
      <c r="B14679" s="136"/>
    </row>
    <row r="14680" spans="1:2" x14ac:dyDescent="0.25">
      <c r="A14680" s="118"/>
      <c r="B14680" s="136"/>
    </row>
    <row r="14681" spans="1:2" x14ac:dyDescent="0.25">
      <c r="A14681" s="118"/>
      <c r="B14681" s="136"/>
    </row>
    <row r="14682" spans="1:2" x14ac:dyDescent="0.25">
      <c r="A14682" s="118"/>
      <c r="B14682" s="136"/>
    </row>
    <row r="14683" spans="1:2" x14ac:dyDescent="0.25">
      <c r="A14683" s="118"/>
      <c r="B14683" s="136"/>
    </row>
    <row r="14684" spans="1:2" x14ac:dyDescent="0.25">
      <c r="A14684" s="118"/>
      <c r="B14684" s="136"/>
    </row>
    <row r="14685" spans="1:2" x14ac:dyDescent="0.25">
      <c r="A14685" s="118"/>
      <c r="B14685" s="136"/>
    </row>
    <row r="14686" spans="1:2" x14ac:dyDescent="0.25">
      <c r="A14686" s="118"/>
      <c r="B14686" s="136"/>
    </row>
    <row r="14687" spans="1:2" x14ac:dyDescent="0.25">
      <c r="A14687" s="118"/>
      <c r="B14687" s="136"/>
    </row>
    <row r="14688" spans="1:2" x14ac:dyDescent="0.25">
      <c r="A14688" s="118"/>
      <c r="B14688" s="136"/>
    </row>
    <row r="14689" spans="1:2" x14ac:dyDescent="0.25">
      <c r="A14689" s="118"/>
      <c r="B14689" s="136"/>
    </row>
    <row r="14690" spans="1:2" x14ac:dyDescent="0.25">
      <c r="A14690" s="118"/>
      <c r="B14690" s="136"/>
    </row>
    <row r="14691" spans="1:2" x14ac:dyDescent="0.25">
      <c r="A14691" s="118"/>
      <c r="B14691" s="136"/>
    </row>
    <row r="14692" spans="1:2" x14ac:dyDescent="0.25">
      <c r="A14692" s="118"/>
      <c r="B14692" s="136"/>
    </row>
    <row r="14693" spans="1:2" x14ac:dyDescent="0.25">
      <c r="A14693" s="118"/>
      <c r="B14693" s="136"/>
    </row>
    <row r="14694" spans="1:2" x14ac:dyDescent="0.25">
      <c r="A14694" s="118"/>
      <c r="B14694" s="136"/>
    </row>
    <row r="14695" spans="1:2" x14ac:dyDescent="0.25">
      <c r="A14695" s="118"/>
      <c r="B14695" s="136"/>
    </row>
    <row r="14696" spans="1:2" x14ac:dyDescent="0.25">
      <c r="A14696" s="118"/>
      <c r="B14696" s="136"/>
    </row>
    <row r="14697" spans="1:2" x14ac:dyDescent="0.25">
      <c r="A14697" s="118"/>
      <c r="B14697" s="136"/>
    </row>
    <row r="14698" spans="1:2" x14ac:dyDescent="0.25">
      <c r="A14698" s="118"/>
      <c r="B14698" s="136"/>
    </row>
    <row r="14699" spans="1:2" x14ac:dyDescent="0.25">
      <c r="A14699" s="118"/>
      <c r="B14699" s="136"/>
    </row>
    <row r="14700" spans="1:2" x14ac:dyDescent="0.25">
      <c r="A14700" s="118"/>
      <c r="B14700" s="136"/>
    </row>
    <row r="14701" spans="1:2" x14ac:dyDescent="0.25">
      <c r="A14701" s="118"/>
      <c r="B14701" s="136"/>
    </row>
    <row r="14702" spans="1:2" x14ac:dyDescent="0.25">
      <c r="A14702" s="118"/>
      <c r="B14702" s="136"/>
    </row>
    <row r="14703" spans="1:2" x14ac:dyDescent="0.25">
      <c r="A14703" s="118"/>
      <c r="B14703" s="136"/>
    </row>
    <row r="14704" spans="1:2" x14ac:dyDescent="0.25">
      <c r="A14704" s="118"/>
      <c r="B14704" s="136"/>
    </row>
    <row r="14705" spans="1:2" x14ac:dyDescent="0.25">
      <c r="A14705" s="118"/>
      <c r="B14705" s="136"/>
    </row>
    <row r="14706" spans="1:2" x14ac:dyDescent="0.25">
      <c r="A14706" s="118"/>
      <c r="B14706" s="136"/>
    </row>
    <row r="14707" spans="1:2" x14ac:dyDescent="0.25">
      <c r="A14707" s="118"/>
      <c r="B14707" s="136"/>
    </row>
    <row r="14708" spans="1:2" x14ac:dyDescent="0.25">
      <c r="A14708" s="118"/>
      <c r="B14708" s="136"/>
    </row>
    <row r="14709" spans="1:2" x14ac:dyDescent="0.25">
      <c r="A14709" s="118"/>
      <c r="B14709" s="136"/>
    </row>
    <row r="14710" spans="1:2" x14ac:dyDescent="0.25">
      <c r="A14710" s="118"/>
      <c r="B14710" s="136"/>
    </row>
    <row r="14711" spans="1:2" x14ac:dyDescent="0.25">
      <c r="A14711" s="118"/>
      <c r="B14711" s="136"/>
    </row>
    <row r="14712" spans="1:2" x14ac:dyDescent="0.25">
      <c r="A14712" s="118"/>
      <c r="B14712" s="136"/>
    </row>
    <row r="14713" spans="1:2" x14ac:dyDescent="0.25">
      <c r="A14713" s="118"/>
      <c r="B14713" s="136"/>
    </row>
    <row r="14714" spans="1:2" x14ac:dyDescent="0.25">
      <c r="A14714" s="118"/>
      <c r="B14714" s="136"/>
    </row>
    <row r="14715" spans="1:2" x14ac:dyDescent="0.25">
      <c r="A14715" s="118"/>
      <c r="B14715" s="136"/>
    </row>
    <row r="14716" spans="1:2" x14ac:dyDescent="0.25">
      <c r="A14716" s="118"/>
      <c r="B14716" s="136"/>
    </row>
    <row r="14717" spans="1:2" x14ac:dyDescent="0.25">
      <c r="A14717" s="118"/>
      <c r="B14717" s="136"/>
    </row>
    <row r="14718" spans="1:2" x14ac:dyDescent="0.25">
      <c r="A14718" s="118"/>
      <c r="B14718" s="136"/>
    </row>
    <row r="14719" spans="1:2" x14ac:dyDescent="0.25">
      <c r="A14719" s="118"/>
      <c r="B14719" s="136"/>
    </row>
    <row r="14720" spans="1:2" x14ac:dyDescent="0.25">
      <c r="A14720" s="118"/>
      <c r="B14720" s="136"/>
    </row>
    <row r="14721" spans="1:2" x14ac:dyDescent="0.25">
      <c r="A14721" s="118"/>
      <c r="B14721" s="136"/>
    </row>
    <row r="14722" spans="1:2" x14ac:dyDescent="0.25">
      <c r="A14722" s="118"/>
      <c r="B14722" s="136"/>
    </row>
    <row r="14723" spans="1:2" x14ac:dyDescent="0.25">
      <c r="A14723" s="118"/>
      <c r="B14723" s="136"/>
    </row>
    <row r="14724" spans="1:2" x14ac:dyDescent="0.25">
      <c r="A14724" s="118"/>
      <c r="B14724" s="136"/>
    </row>
    <row r="14725" spans="1:2" x14ac:dyDescent="0.25">
      <c r="A14725" s="118"/>
      <c r="B14725" s="136"/>
    </row>
    <row r="14726" spans="1:2" x14ac:dyDescent="0.25">
      <c r="A14726" s="118"/>
      <c r="B14726" s="136"/>
    </row>
    <row r="14727" spans="1:2" x14ac:dyDescent="0.25">
      <c r="A14727" s="118"/>
      <c r="B14727" s="136"/>
    </row>
    <row r="14728" spans="1:2" x14ac:dyDescent="0.25">
      <c r="A14728" s="118"/>
      <c r="B14728" s="136"/>
    </row>
    <row r="14729" spans="1:2" x14ac:dyDescent="0.25">
      <c r="A14729" s="118"/>
      <c r="B14729" s="136"/>
    </row>
    <row r="14730" spans="1:2" x14ac:dyDescent="0.25">
      <c r="A14730" s="118"/>
      <c r="B14730" s="136"/>
    </row>
    <row r="14731" spans="1:2" x14ac:dyDescent="0.25">
      <c r="A14731" s="118"/>
      <c r="B14731" s="136"/>
    </row>
    <row r="14732" spans="1:2" x14ac:dyDescent="0.25">
      <c r="A14732" s="118"/>
      <c r="B14732" s="136"/>
    </row>
    <row r="14733" spans="1:2" x14ac:dyDescent="0.25">
      <c r="A14733" s="118"/>
      <c r="B14733" s="136"/>
    </row>
    <row r="14734" spans="1:2" x14ac:dyDescent="0.25">
      <c r="A14734" s="118"/>
      <c r="B14734" s="136"/>
    </row>
    <row r="14735" spans="1:2" x14ac:dyDescent="0.25">
      <c r="A14735" s="118"/>
      <c r="B14735" s="136"/>
    </row>
    <row r="14736" spans="1:2" x14ac:dyDescent="0.25">
      <c r="A14736" s="118"/>
      <c r="B14736" s="136"/>
    </row>
    <row r="14737" spans="1:2" x14ac:dyDescent="0.25">
      <c r="A14737" s="118"/>
      <c r="B14737" s="136"/>
    </row>
    <row r="14738" spans="1:2" x14ac:dyDescent="0.25">
      <c r="A14738" s="118"/>
      <c r="B14738" s="136"/>
    </row>
    <row r="14739" spans="1:2" x14ac:dyDescent="0.25">
      <c r="A14739" s="118"/>
      <c r="B14739" s="136"/>
    </row>
    <row r="14740" spans="1:2" x14ac:dyDescent="0.25">
      <c r="A14740" s="118"/>
      <c r="B14740" s="136"/>
    </row>
    <row r="14741" spans="1:2" x14ac:dyDescent="0.25">
      <c r="A14741" s="118"/>
      <c r="B14741" s="136"/>
    </row>
    <row r="14742" spans="1:2" x14ac:dyDescent="0.25">
      <c r="A14742" s="118"/>
      <c r="B14742" s="136"/>
    </row>
    <row r="14743" spans="1:2" x14ac:dyDescent="0.25">
      <c r="A14743" s="118"/>
      <c r="B14743" s="136"/>
    </row>
    <row r="14744" spans="1:2" x14ac:dyDescent="0.25">
      <c r="A14744" s="118"/>
      <c r="B14744" s="136"/>
    </row>
    <row r="14745" spans="1:2" x14ac:dyDescent="0.25">
      <c r="A14745" s="118"/>
      <c r="B14745" s="136"/>
    </row>
    <row r="14746" spans="1:2" x14ac:dyDescent="0.25">
      <c r="A14746" s="118"/>
      <c r="B14746" s="136"/>
    </row>
    <row r="14747" spans="1:2" x14ac:dyDescent="0.25">
      <c r="A14747" s="118"/>
      <c r="B14747" s="136"/>
    </row>
    <row r="14748" spans="1:2" x14ac:dyDescent="0.25">
      <c r="A14748" s="118"/>
      <c r="B14748" s="136"/>
    </row>
    <row r="14749" spans="1:2" x14ac:dyDescent="0.25">
      <c r="A14749" s="118"/>
      <c r="B14749" s="136"/>
    </row>
    <row r="14750" spans="1:2" x14ac:dyDescent="0.25">
      <c r="A14750" s="118"/>
      <c r="B14750" s="136"/>
    </row>
    <row r="14751" spans="1:2" x14ac:dyDescent="0.25">
      <c r="A14751" s="118"/>
      <c r="B14751" s="136"/>
    </row>
    <row r="14752" spans="1:2" x14ac:dyDescent="0.25">
      <c r="A14752" s="118"/>
      <c r="B14752" s="136"/>
    </row>
    <row r="14753" spans="1:2" x14ac:dyDescent="0.25">
      <c r="A14753" s="118"/>
      <c r="B14753" s="136"/>
    </row>
    <row r="14754" spans="1:2" x14ac:dyDescent="0.25">
      <c r="A14754" s="118"/>
      <c r="B14754" s="136"/>
    </row>
    <row r="14755" spans="1:2" x14ac:dyDescent="0.25">
      <c r="A14755" s="118"/>
      <c r="B14755" s="136"/>
    </row>
    <row r="14756" spans="1:2" x14ac:dyDescent="0.25">
      <c r="A14756" s="118"/>
      <c r="B14756" s="136"/>
    </row>
    <row r="14757" spans="1:2" x14ac:dyDescent="0.25">
      <c r="A14757" s="118"/>
      <c r="B14757" s="136"/>
    </row>
    <row r="14758" spans="1:2" x14ac:dyDescent="0.25">
      <c r="A14758" s="118"/>
      <c r="B14758" s="136"/>
    </row>
    <row r="14759" spans="1:2" x14ac:dyDescent="0.25">
      <c r="A14759" s="118"/>
      <c r="B14759" s="136"/>
    </row>
    <row r="14760" spans="1:2" x14ac:dyDescent="0.25">
      <c r="A14760" s="118"/>
      <c r="B14760" s="136"/>
    </row>
    <row r="14761" spans="1:2" x14ac:dyDescent="0.25">
      <c r="A14761" s="118"/>
      <c r="B14761" s="136"/>
    </row>
    <row r="14762" spans="1:2" x14ac:dyDescent="0.25">
      <c r="A14762" s="118"/>
      <c r="B14762" s="136"/>
    </row>
    <row r="14763" spans="1:2" x14ac:dyDescent="0.25">
      <c r="A14763" s="118"/>
      <c r="B14763" s="136"/>
    </row>
    <row r="14764" spans="1:2" x14ac:dyDescent="0.25">
      <c r="A14764" s="118"/>
      <c r="B14764" s="136"/>
    </row>
    <row r="14765" spans="1:2" x14ac:dyDescent="0.25">
      <c r="A14765" s="118"/>
      <c r="B14765" s="136"/>
    </row>
    <row r="14766" spans="1:2" x14ac:dyDescent="0.25">
      <c r="A14766" s="118"/>
      <c r="B14766" s="136"/>
    </row>
    <row r="14767" spans="1:2" x14ac:dyDescent="0.25">
      <c r="A14767" s="118"/>
      <c r="B14767" s="136"/>
    </row>
    <row r="14768" spans="1:2" x14ac:dyDescent="0.25">
      <c r="A14768" s="118"/>
      <c r="B14768" s="136"/>
    </row>
    <row r="14769" spans="1:2" x14ac:dyDescent="0.25">
      <c r="A14769" s="118"/>
      <c r="B14769" s="136"/>
    </row>
    <row r="14770" spans="1:2" x14ac:dyDescent="0.25">
      <c r="A14770" s="118"/>
      <c r="B14770" s="136"/>
    </row>
    <row r="14771" spans="1:2" x14ac:dyDescent="0.25">
      <c r="A14771" s="118"/>
      <c r="B14771" s="136"/>
    </row>
    <row r="14772" spans="1:2" x14ac:dyDescent="0.25">
      <c r="A14772" s="118"/>
      <c r="B14772" s="136"/>
    </row>
    <row r="14773" spans="1:2" x14ac:dyDescent="0.25">
      <c r="A14773" s="118"/>
      <c r="B14773" s="136"/>
    </row>
    <row r="14774" spans="1:2" x14ac:dyDescent="0.25">
      <c r="A14774" s="118"/>
      <c r="B14774" s="136"/>
    </row>
    <row r="14775" spans="1:2" x14ac:dyDescent="0.25">
      <c r="A14775" s="118"/>
      <c r="B14775" s="136"/>
    </row>
    <row r="14776" spans="1:2" x14ac:dyDescent="0.25">
      <c r="A14776" s="118"/>
      <c r="B14776" s="136"/>
    </row>
    <row r="14777" spans="1:2" x14ac:dyDescent="0.25">
      <c r="A14777" s="118"/>
      <c r="B14777" s="136"/>
    </row>
    <row r="14778" spans="1:2" x14ac:dyDescent="0.25">
      <c r="A14778" s="118"/>
      <c r="B14778" s="136"/>
    </row>
    <row r="14779" spans="1:2" x14ac:dyDescent="0.25">
      <c r="A14779" s="118"/>
      <c r="B14779" s="136"/>
    </row>
    <row r="14780" spans="1:2" x14ac:dyDescent="0.25">
      <c r="A14780" s="118"/>
      <c r="B14780" s="136"/>
    </row>
    <row r="14781" spans="1:2" x14ac:dyDescent="0.25">
      <c r="A14781" s="118"/>
      <c r="B14781" s="136"/>
    </row>
    <row r="14782" spans="1:2" x14ac:dyDescent="0.25">
      <c r="A14782" s="118"/>
      <c r="B14782" s="136"/>
    </row>
    <row r="14783" spans="1:2" x14ac:dyDescent="0.25">
      <c r="A14783" s="118"/>
      <c r="B14783" s="136"/>
    </row>
    <row r="14784" spans="1:2" x14ac:dyDescent="0.25">
      <c r="A14784" s="118"/>
      <c r="B14784" s="136"/>
    </row>
    <row r="14785" spans="1:2" x14ac:dyDescent="0.25">
      <c r="A14785" s="118"/>
      <c r="B14785" s="136"/>
    </row>
    <row r="14786" spans="1:2" x14ac:dyDescent="0.25">
      <c r="A14786" s="118"/>
      <c r="B14786" s="136"/>
    </row>
    <row r="14787" spans="1:2" x14ac:dyDescent="0.25">
      <c r="A14787" s="118"/>
      <c r="B14787" s="136"/>
    </row>
    <row r="14788" spans="1:2" x14ac:dyDescent="0.25">
      <c r="A14788" s="118"/>
      <c r="B14788" s="136"/>
    </row>
    <row r="14789" spans="1:2" x14ac:dyDescent="0.25">
      <c r="A14789" s="118"/>
      <c r="B14789" s="136"/>
    </row>
    <row r="14790" spans="1:2" x14ac:dyDescent="0.25">
      <c r="A14790" s="118"/>
      <c r="B14790" s="136"/>
    </row>
    <row r="14791" spans="1:2" x14ac:dyDescent="0.25">
      <c r="A14791" s="118"/>
      <c r="B14791" s="136"/>
    </row>
    <row r="14792" spans="1:2" x14ac:dyDescent="0.25">
      <c r="A14792" s="118"/>
      <c r="B14792" s="136"/>
    </row>
    <row r="14793" spans="1:2" x14ac:dyDescent="0.25">
      <c r="A14793" s="118"/>
      <c r="B14793" s="136"/>
    </row>
    <row r="14794" spans="1:2" x14ac:dyDescent="0.25">
      <c r="A14794" s="118"/>
      <c r="B14794" s="136"/>
    </row>
    <row r="14795" spans="1:2" x14ac:dyDescent="0.25">
      <c r="A14795" s="118"/>
      <c r="B14795" s="136"/>
    </row>
    <row r="14796" spans="1:2" x14ac:dyDescent="0.25">
      <c r="A14796" s="118"/>
      <c r="B14796" s="136"/>
    </row>
    <row r="14797" spans="1:2" x14ac:dyDescent="0.25">
      <c r="A14797" s="118"/>
      <c r="B14797" s="136"/>
    </row>
    <row r="14798" spans="1:2" x14ac:dyDescent="0.25">
      <c r="A14798" s="118"/>
      <c r="B14798" s="136"/>
    </row>
    <row r="14799" spans="1:2" x14ac:dyDescent="0.25">
      <c r="A14799" s="118"/>
      <c r="B14799" s="136"/>
    </row>
    <row r="14800" spans="1:2" x14ac:dyDescent="0.25">
      <c r="A14800" s="118"/>
      <c r="B14800" s="136"/>
    </row>
    <row r="14801" spans="1:2" x14ac:dyDescent="0.25">
      <c r="A14801" s="118"/>
      <c r="B14801" s="136"/>
    </row>
    <row r="14802" spans="1:2" x14ac:dyDescent="0.25">
      <c r="A14802" s="118"/>
      <c r="B14802" s="136"/>
    </row>
    <row r="14803" spans="1:2" x14ac:dyDescent="0.25">
      <c r="A14803" s="118"/>
      <c r="B14803" s="136"/>
    </row>
    <row r="14804" spans="1:2" x14ac:dyDescent="0.25">
      <c r="A14804" s="118"/>
      <c r="B14804" s="136"/>
    </row>
    <row r="14805" spans="1:2" x14ac:dyDescent="0.25">
      <c r="A14805" s="118"/>
      <c r="B14805" s="136"/>
    </row>
    <row r="14806" spans="1:2" x14ac:dyDescent="0.25">
      <c r="A14806" s="118"/>
      <c r="B14806" s="136"/>
    </row>
    <row r="14807" spans="1:2" x14ac:dyDescent="0.25">
      <c r="A14807" s="118"/>
      <c r="B14807" s="136"/>
    </row>
    <row r="14808" spans="1:2" x14ac:dyDescent="0.25">
      <c r="A14808" s="118"/>
      <c r="B14808" s="136"/>
    </row>
    <row r="14809" spans="1:2" x14ac:dyDescent="0.25">
      <c r="A14809" s="118"/>
      <c r="B14809" s="136"/>
    </row>
    <row r="14810" spans="1:2" x14ac:dyDescent="0.25">
      <c r="A14810" s="118"/>
      <c r="B14810" s="136"/>
    </row>
    <row r="14811" spans="1:2" x14ac:dyDescent="0.25">
      <c r="A14811" s="118"/>
      <c r="B14811" s="136"/>
    </row>
    <row r="14812" spans="1:2" x14ac:dyDescent="0.25">
      <c r="A14812" s="118"/>
      <c r="B14812" s="136"/>
    </row>
    <row r="14813" spans="1:2" x14ac:dyDescent="0.25">
      <c r="A14813" s="118"/>
      <c r="B14813" s="136"/>
    </row>
    <row r="14814" spans="1:2" x14ac:dyDescent="0.25">
      <c r="A14814" s="118"/>
      <c r="B14814" s="136"/>
    </row>
    <row r="14815" spans="1:2" x14ac:dyDescent="0.25">
      <c r="A14815" s="118"/>
      <c r="B14815" s="136"/>
    </row>
    <row r="14816" spans="1:2" x14ac:dyDescent="0.25">
      <c r="A14816" s="118"/>
      <c r="B14816" s="136"/>
    </row>
    <row r="14817" spans="1:2" x14ac:dyDescent="0.25">
      <c r="A14817" s="118"/>
      <c r="B14817" s="136"/>
    </row>
    <row r="14818" spans="1:2" x14ac:dyDescent="0.25">
      <c r="A14818" s="118"/>
      <c r="B14818" s="136"/>
    </row>
    <row r="14819" spans="1:2" x14ac:dyDescent="0.25">
      <c r="A14819" s="118"/>
      <c r="B14819" s="136"/>
    </row>
    <row r="14820" spans="1:2" x14ac:dyDescent="0.25">
      <c r="A14820" s="118"/>
      <c r="B14820" s="136"/>
    </row>
    <row r="14821" spans="1:2" x14ac:dyDescent="0.25">
      <c r="A14821" s="118"/>
      <c r="B14821" s="136"/>
    </row>
    <row r="14822" spans="1:2" x14ac:dyDescent="0.25">
      <c r="A14822" s="118"/>
      <c r="B14822" s="136"/>
    </row>
    <row r="14823" spans="1:2" x14ac:dyDescent="0.25">
      <c r="A14823" s="118"/>
      <c r="B14823" s="136"/>
    </row>
    <row r="14824" spans="1:2" x14ac:dyDescent="0.25">
      <c r="A14824" s="118"/>
      <c r="B14824" s="136"/>
    </row>
    <row r="14825" spans="1:2" x14ac:dyDescent="0.25">
      <c r="A14825" s="118"/>
      <c r="B14825" s="136"/>
    </row>
    <row r="14826" spans="1:2" x14ac:dyDescent="0.25">
      <c r="A14826" s="118"/>
      <c r="B14826" s="136"/>
    </row>
    <row r="14827" spans="1:2" x14ac:dyDescent="0.25">
      <c r="A14827" s="118"/>
      <c r="B14827" s="136"/>
    </row>
    <row r="14828" spans="1:2" x14ac:dyDescent="0.25">
      <c r="A14828" s="118"/>
      <c r="B14828" s="136"/>
    </row>
    <row r="14829" spans="1:2" x14ac:dyDescent="0.25">
      <c r="A14829" s="118"/>
      <c r="B14829" s="136"/>
    </row>
    <row r="14830" spans="1:2" x14ac:dyDescent="0.25">
      <c r="A14830" s="118"/>
      <c r="B14830" s="136"/>
    </row>
    <row r="14831" spans="1:2" x14ac:dyDescent="0.25">
      <c r="A14831" s="118"/>
      <c r="B14831" s="136"/>
    </row>
    <row r="14832" spans="1:2" x14ac:dyDescent="0.25">
      <c r="A14832" s="118"/>
      <c r="B14832" s="136"/>
    </row>
    <row r="14833" spans="1:2" x14ac:dyDescent="0.25">
      <c r="A14833" s="118"/>
      <c r="B14833" s="136"/>
    </row>
    <row r="14834" spans="1:2" x14ac:dyDescent="0.25">
      <c r="A14834" s="118"/>
      <c r="B14834" s="136"/>
    </row>
    <row r="14835" spans="1:2" x14ac:dyDescent="0.25">
      <c r="A14835" s="118"/>
      <c r="B14835" s="136"/>
    </row>
    <row r="14836" spans="1:2" x14ac:dyDescent="0.25">
      <c r="A14836" s="118"/>
      <c r="B14836" s="136"/>
    </row>
    <row r="14837" spans="1:2" x14ac:dyDescent="0.25">
      <c r="A14837" s="118"/>
      <c r="B14837" s="136"/>
    </row>
    <row r="14838" spans="1:2" x14ac:dyDescent="0.25">
      <c r="A14838" s="118"/>
      <c r="B14838" s="136"/>
    </row>
    <row r="14839" spans="1:2" x14ac:dyDescent="0.25">
      <c r="A14839" s="118"/>
      <c r="B14839" s="136"/>
    </row>
    <row r="14840" spans="1:2" x14ac:dyDescent="0.25">
      <c r="A14840" s="118"/>
      <c r="B14840" s="136"/>
    </row>
    <row r="14841" spans="1:2" x14ac:dyDescent="0.25">
      <c r="A14841" s="118"/>
      <c r="B14841" s="136"/>
    </row>
    <row r="14842" spans="1:2" x14ac:dyDescent="0.25">
      <c r="A14842" s="118"/>
      <c r="B14842" s="136"/>
    </row>
    <row r="14843" spans="1:2" x14ac:dyDescent="0.25">
      <c r="A14843" s="118"/>
      <c r="B14843" s="136"/>
    </row>
    <row r="14844" spans="1:2" x14ac:dyDescent="0.25">
      <c r="A14844" s="118"/>
      <c r="B14844" s="136"/>
    </row>
    <row r="14845" spans="1:2" x14ac:dyDescent="0.25">
      <c r="A14845" s="118"/>
      <c r="B14845" s="136"/>
    </row>
    <row r="14846" spans="1:2" x14ac:dyDescent="0.25">
      <c r="A14846" s="118"/>
      <c r="B14846" s="136"/>
    </row>
    <row r="14847" spans="1:2" x14ac:dyDescent="0.25">
      <c r="A14847" s="118"/>
      <c r="B14847" s="136"/>
    </row>
    <row r="14848" spans="1:2" x14ac:dyDescent="0.25">
      <c r="A14848" s="118"/>
      <c r="B14848" s="136"/>
    </row>
    <row r="14849" spans="1:2" x14ac:dyDescent="0.25">
      <c r="A14849" s="118"/>
      <c r="B14849" s="136"/>
    </row>
    <row r="14850" spans="1:2" x14ac:dyDescent="0.25">
      <c r="A14850" s="118"/>
      <c r="B14850" s="136"/>
    </row>
    <row r="14851" spans="1:2" x14ac:dyDescent="0.25">
      <c r="A14851" s="118"/>
      <c r="B14851" s="136"/>
    </row>
    <row r="14852" spans="1:2" x14ac:dyDescent="0.25">
      <c r="A14852" s="118"/>
      <c r="B14852" s="136"/>
    </row>
    <row r="14853" spans="1:2" x14ac:dyDescent="0.25">
      <c r="A14853" s="118"/>
      <c r="B14853" s="136"/>
    </row>
    <row r="14854" spans="1:2" x14ac:dyDescent="0.25">
      <c r="A14854" s="118"/>
      <c r="B14854" s="136"/>
    </row>
    <row r="14855" spans="1:2" x14ac:dyDescent="0.25">
      <c r="A14855" s="118"/>
      <c r="B14855" s="136"/>
    </row>
    <row r="14856" spans="1:2" x14ac:dyDescent="0.25">
      <c r="A14856" s="118"/>
      <c r="B14856" s="136"/>
    </row>
    <row r="14857" spans="1:2" x14ac:dyDescent="0.25">
      <c r="A14857" s="118"/>
      <c r="B14857" s="136"/>
    </row>
    <row r="14858" spans="1:2" x14ac:dyDescent="0.25">
      <c r="A14858" s="118"/>
      <c r="B14858" s="136"/>
    </row>
    <row r="14859" spans="1:2" x14ac:dyDescent="0.25">
      <c r="A14859" s="118"/>
      <c r="B14859" s="136"/>
    </row>
    <row r="14860" spans="1:2" x14ac:dyDescent="0.25">
      <c r="A14860" s="118"/>
      <c r="B14860" s="136"/>
    </row>
    <row r="14861" spans="1:2" x14ac:dyDescent="0.25">
      <c r="A14861" s="118"/>
      <c r="B14861" s="136"/>
    </row>
    <row r="14862" spans="1:2" x14ac:dyDescent="0.25">
      <c r="A14862" s="118"/>
      <c r="B14862" s="136"/>
    </row>
    <row r="14863" spans="1:2" x14ac:dyDescent="0.25">
      <c r="A14863" s="118"/>
      <c r="B14863" s="136"/>
    </row>
    <row r="14864" spans="1:2" x14ac:dyDescent="0.25">
      <c r="A14864" s="118"/>
      <c r="B14864" s="136"/>
    </row>
    <row r="14865" spans="1:2" x14ac:dyDescent="0.25">
      <c r="A14865" s="118"/>
      <c r="B14865" s="136"/>
    </row>
    <row r="14866" spans="1:2" x14ac:dyDescent="0.25">
      <c r="A14866" s="118"/>
      <c r="B14866" s="136"/>
    </row>
    <row r="14867" spans="1:2" x14ac:dyDescent="0.25">
      <c r="A14867" s="118"/>
      <c r="B14867" s="136"/>
    </row>
    <row r="14868" spans="1:2" x14ac:dyDescent="0.25">
      <c r="A14868" s="118"/>
      <c r="B14868" s="136"/>
    </row>
    <row r="14869" spans="1:2" x14ac:dyDescent="0.25">
      <c r="A14869" s="118"/>
      <c r="B14869" s="136"/>
    </row>
    <row r="14870" spans="1:2" x14ac:dyDescent="0.25">
      <c r="A14870" s="118"/>
      <c r="B14870" s="136"/>
    </row>
    <row r="14871" spans="1:2" x14ac:dyDescent="0.25">
      <c r="A14871" s="118"/>
      <c r="B14871" s="136"/>
    </row>
    <row r="14872" spans="1:2" x14ac:dyDescent="0.25">
      <c r="A14872" s="118"/>
      <c r="B14872" s="136"/>
    </row>
    <row r="14873" spans="1:2" x14ac:dyDescent="0.25">
      <c r="A14873" s="118"/>
      <c r="B14873" s="136"/>
    </row>
    <row r="14874" spans="1:2" x14ac:dyDescent="0.25">
      <c r="A14874" s="118"/>
      <c r="B14874" s="136"/>
    </row>
    <row r="14875" spans="1:2" x14ac:dyDescent="0.25">
      <c r="A14875" s="118"/>
      <c r="B14875" s="136"/>
    </row>
    <row r="14876" spans="1:2" x14ac:dyDescent="0.25">
      <c r="A14876" s="118"/>
      <c r="B14876" s="136"/>
    </row>
    <row r="14877" spans="1:2" x14ac:dyDescent="0.25">
      <c r="A14877" s="118"/>
      <c r="B14877" s="136"/>
    </row>
    <row r="14878" spans="1:2" x14ac:dyDescent="0.25">
      <c r="A14878" s="118"/>
      <c r="B14878" s="136"/>
    </row>
    <row r="14879" spans="1:2" x14ac:dyDescent="0.25">
      <c r="A14879" s="118"/>
      <c r="B14879" s="136"/>
    </row>
    <row r="14880" spans="1:2" x14ac:dyDescent="0.25">
      <c r="A14880" s="118"/>
      <c r="B14880" s="136"/>
    </row>
    <row r="14881" spans="1:2" x14ac:dyDescent="0.25">
      <c r="A14881" s="118"/>
      <c r="B14881" s="136"/>
    </row>
    <row r="14882" spans="1:2" x14ac:dyDescent="0.25">
      <c r="A14882" s="118"/>
      <c r="B14882" s="136"/>
    </row>
    <row r="14883" spans="1:2" x14ac:dyDescent="0.25">
      <c r="A14883" s="118"/>
      <c r="B14883" s="136"/>
    </row>
    <row r="14884" spans="1:2" x14ac:dyDescent="0.25">
      <c r="A14884" s="118"/>
      <c r="B14884" s="136"/>
    </row>
    <row r="14885" spans="1:2" x14ac:dyDescent="0.25">
      <c r="A14885" s="118"/>
      <c r="B14885" s="136"/>
    </row>
    <row r="14886" spans="1:2" x14ac:dyDescent="0.25">
      <c r="A14886" s="118"/>
      <c r="B14886" s="136"/>
    </row>
    <row r="14887" spans="1:2" x14ac:dyDescent="0.25">
      <c r="A14887" s="118"/>
      <c r="B14887" s="136"/>
    </row>
    <row r="14888" spans="1:2" x14ac:dyDescent="0.25">
      <c r="A14888" s="118"/>
      <c r="B14888" s="136"/>
    </row>
    <row r="14889" spans="1:2" x14ac:dyDescent="0.25">
      <c r="A14889" s="118"/>
      <c r="B14889" s="136"/>
    </row>
    <row r="14890" spans="1:2" x14ac:dyDescent="0.25">
      <c r="A14890" s="118"/>
      <c r="B14890" s="136"/>
    </row>
    <row r="14891" spans="1:2" x14ac:dyDescent="0.25">
      <c r="A14891" s="118"/>
      <c r="B14891" s="136"/>
    </row>
    <row r="14892" spans="1:2" x14ac:dyDescent="0.25">
      <c r="A14892" s="118"/>
      <c r="B14892" s="136"/>
    </row>
    <row r="14893" spans="1:2" x14ac:dyDescent="0.25">
      <c r="A14893" s="118"/>
      <c r="B14893" s="136"/>
    </row>
    <row r="14894" spans="1:2" x14ac:dyDescent="0.25">
      <c r="A14894" s="118"/>
      <c r="B14894" s="136"/>
    </row>
    <row r="14895" spans="1:2" x14ac:dyDescent="0.25">
      <c r="A14895" s="118"/>
      <c r="B14895" s="136"/>
    </row>
    <row r="14896" spans="1:2" x14ac:dyDescent="0.25">
      <c r="A14896" s="118"/>
      <c r="B14896" s="136"/>
    </row>
    <row r="14897" spans="1:2" x14ac:dyDescent="0.25">
      <c r="A14897" s="118"/>
      <c r="B14897" s="136"/>
    </row>
    <row r="14898" spans="1:2" x14ac:dyDescent="0.25">
      <c r="A14898" s="118"/>
      <c r="B14898" s="136"/>
    </row>
    <row r="14899" spans="1:2" x14ac:dyDescent="0.25">
      <c r="A14899" s="118"/>
      <c r="B14899" s="136"/>
    </row>
    <row r="14900" spans="1:2" x14ac:dyDescent="0.25">
      <c r="A14900" s="118"/>
      <c r="B14900" s="136"/>
    </row>
    <row r="14901" spans="1:2" x14ac:dyDescent="0.25">
      <c r="A14901" s="118"/>
      <c r="B14901" s="136"/>
    </row>
    <row r="14902" spans="1:2" x14ac:dyDescent="0.25">
      <c r="A14902" s="118"/>
      <c r="B14902" s="136"/>
    </row>
    <row r="14903" spans="1:2" x14ac:dyDescent="0.25">
      <c r="A14903" s="118"/>
      <c r="B14903" s="136"/>
    </row>
    <row r="14904" spans="1:2" x14ac:dyDescent="0.25">
      <c r="A14904" s="118"/>
      <c r="B14904" s="136"/>
    </row>
    <row r="14905" spans="1:2" x14ac:dyDescent="0.25">
      <c r="A14905" s="118"/>
      <c r="B14905" s="136"/>
    </row>
    <row r="14906" spans="1:2" x14ac:dyDescent="0.25">
      <c r="A14906" s="118"/>
      <c r="B14906" s="136"/>
    </row>
    <row r="14907" spans="1:2" x14ac:dyDescent="0.25">
      <c r="A14907" s="118"/>
      <c r="B14907" s="136"/>
    </row>
    <row r="14908" spans="1:2" x14ac:dyDescent="0.25">
      <c r="A14908" s="118"/>
      <c r="B14908" s="136"/>
    </row>
    <row r="14909" spans="1:2" x14ac:dyDescent="0.25">
      <c r="A14909" s="118"/>
      <c r="B14909" s="136"/>
    </row>
    <row r="14910" spans="1:2" x14ac:dyDescent="0.25">
      <c r="A14910" s="118"/>
      <c r="B14910" s="136"/>
    </row>
    <row r="14911" spans="1:2" x14ac:dyDescent="0.25">
      <c r="A14911" s="118"/>
      <c r="B14911" s="136"/>
    </row>
    <row r="14912" spans="1:2" x14ac:dyDescent="0.25">
      <c r="A14912" s="118"/>
      <c r="B14912" s="136"/>
    </row>
    <row r="14913" spans="1:2" x14ac:dyDescent="0.25">
      <c r="A14913" s="118"/>
      <c r="B14913" s="136"/>
    </row>
    <row r="14914" spans="1:2" x14ac:dyDescent="0.25">
      <c r="A14914" s="118"/>
      <c r="B14914" s="136"/>
    </row>
    <row r="14915" spans="1:2" x14ac:dyDescent="0.25">
      <c r="A14915" s="118"/>
      <c r="B14915" s="136"/>
    </row>
    <row r="14916" spans="1:2" x14ac:dyDescent="0.25">
      <c r="A14916" s="118"/>
      <c r="B14916" s="136"/>
    </row>
    <row r="14917" spans="1:2" x14ac:dyDescent="0.25">
      <c r="A14917" s="118"/>
      <c r="B14917" s="136"/>
    </row>
    <row r="14918" spans="1:2" x14ac:dyDescent="0.25">
      <c r="A14918" s="118"/>
      <c r="B14918" s="136"/>
    </row>
    <row r="14919" spans="1:2" x14ac:dyDescent="0.25">
      <c r="A14919" s="118"/>
      <c r="B14919" s="136"/>
    </row>
    <row r="14920" spans="1:2" x14ac:dyDescent="0.25">
      <c r="A14920" s="118"/>
      <c r="B14920" s="136"/>
    </row>
    <row r="14921" spans="1:2" x14ac:dyDescent="0.25">
      <c r="A14921" s="118"/>
      <c r="B14921" s="136"/>
    </row>
    <row r="14922" spans="1:2" x14ac:dyDescent="0.25">
      <c r="A14922" s="118"/>
      <c r="B14922" s="136"/>
    </row>
    <row r="14923" spans="1:2" x14ac:dyDescent="0.25">
      <c r="A14923" s="118"/>
      <c r="B14923" s="136"/>
    </row>
    <row r="14924" spans="1:2" x14ac:dyDescent="0.25">
      <c r="A14924" s="118"/>
      <c r="B14924" s="136"/>
    </row>
    <row r="14925" spans="1:2" x14ac:dyDescent="0.25">
      <c r="A14925" s="118"/>
      <c r="B14925" s="136"/>
    </row>
    <row r="14926" spans="1:2" x14ac:dyDescent="0.25">
      <c r="A14926" s="118"/>
      <c r="B14926" s="136"/>
    </row>
    <row r="14927" spans="1:2" x14ac:dyDescent="0.25">
      <c r="A14927" s="118"/>
      <c r="B14927" s="136"/>
    </row>
    <row r="14928" spans="1:2" x14ac:dyDescent="0.25">
      <c r="A14928" s="118"/>
      <c r="B14928" s="136"/>
    </row>
    <row r="14929" spans="1:2" x14ac:dyDescent="0.25">
      <c r="A14929" s="118"/>
      <c r="B14929" s="136"/>
    </row>
    <row r="14930" spans="1:2" x14ac:dyDescent="0.25">
      <c r="A14930" s="118"/>
      <c r="B14930" s="136"/>
    </row>
    <row r="14931" spans="1:2" x14ac:dyDescent="0.25">
      <c r="A14931" s="118"/>
      <c r="B14931" s="136"/>
    </row>
    <row r="14932" spans="1:2" x14ac:dyDescent="0.25">
      <c r="A14932" s="118"/>
      <c r="B14932" s="136"/>
    </row>
    <row r="14933" spans="1:2" x14ac:dyDescent="0.25">
      <c r="A14933" s="118"/>
      <c r="B14933" s="136"/>
    </row>
    <row r="14934" spans="1:2" x14ac:dyDescent="0.25">
      <c r="A14934" s="118"/>
      <c r="B14934" s="136"/>
    </row>
    <row r="14935" spans="1:2" x14ac:dyDescent="0.25">
      <c r="A14935" s="118"/>
      <c r="B14935" s="136"/>
    </row>
    <row r="14936" spans="1:2" x14ac:dyDescent="0.25">
      <c r="A14936" s="118"/>
      <c r="B14936" s="136"/>
    </row>
    <row r="14937" spans="1:2" x14ac:dyDescent="0.25">
      <c r="A14937" s="118"/>
      <c r="B14937" s="136"/>
    </row>
    <row r="14938" spans="1:2" x14ac:dyDescent="0.25">
      <c r="A14938" s="118"/>
      <c r="B14938" s="136"/>
    </row>
    <row r="14939" spans="1:2" x14ac:dyDescent="0.25">
      <c r="A14939" s="118"/>
      <c r="B14939" s="136"/>
    </row>
    <row r="14940" spans="1:2" x14ac:dyDescent="0.25">
      <c r="A14940" s="118"/>
      <c r="B14940" s="136"/>
    </row>
    <row r="14941" spans="1:2" x14ac:dyDescent="0.25">
      <c r="A14941" s="118"/>
      <c r="B14941" s="136"/>
    </row>
    <row r="14942" spans="1:2" x14ac:dyDescent="0.25">
      <c r="A14942" s="118"/>
      <c r="B14942" s="136"/>
    </row>
    <row r="14943" spans="1:2" x14ac:dyDescent="0.25">
      <c r="A14943" s="118"/>
      <c r="B14943" s="136"/>
    </row>
    <row r="14944" spans="1:2" x14ac:dyDescent="0.25">
      <c r="A14944" s="118"/>
      <c r="B14944" s="136"/>
    </row>
    <row r="14945" spans="1:2" x14ac:dyDescent="0.25">
      <c r="A14945" s="118"/>
      <c r="B14945" s="136"/>
    </row>
    <row r="14946" spans="1:2" x14ac:dyDescent="0.25">
      <c r="A14946" s="118"/>
      <c r="B14946" s="136"/>
    </row>
    <row r="14947" spans="1:2" x14ac:dyDescent="0.25">
      <c r="A14947" s="118"/>
      <c r="B14947" s="136"/>
    </row>
    <row r="14948" spans="1:2" x14ac:dyDescent="0.25">
      <c r="A14948" s="118"/>
      <c r="B14948" s="136"/>
    </row>
    <row r="14949" spans="1:2" x14ac:dyDescent="0.25">
      <c r="A14949" s="118"/>
      <c r="B14949" s="136"/>
    </row>
    <row r="14950" spans="1:2" x14ac:dyDescent="0.25">
      <c r="A14950" s="118"/>
      <c r="B14950" s="136"/>
    </row>
    <row r="14951" spans="1:2" x14ac:dyDescent="0.25">
      <c r="A14951" s="118"/>
      <c r="B14951" s="136"/>
    </row>
    <row r="14952" spans="1:2" x14ac:dyDescent="0.25">
      <c r="A14952" s="118"/>
      <c r="B14952" s="136"/>
    </row>
    <row r="14953" spans="1:2" x14ac:dyDescent="0.25">
      <c r="A14953" s="118"/>
      <c r="B14953" s="136"/>
    </row>
    <row r="14954" spans="1:2" x14ac:dyDescent="0.25">
      <c r="A14954" s="118"/>
      <c r="B14954" s="136"/>
    </row>
    <row r="14955" spans="1:2" x14ac:dyDescent="0.25">
      <c r="A14955" s="118"/>
      <c r="B14955" s="136"/>
    </row>
    <row r="14956" spans="1:2" x14ac:dyDescent="0.25">
      <c r="A14956" s="118"/>
      <c r="B14956" s="136"/>
    </row>
    <row r="14957" spans="1:2" x14ac:dyDescent="0.25">
      <c r="A14957" s="118"/>
      <c r="B14957" s="136"/>
    </row>
    <row r="14958" spans="1:2" x14ac:dyDescent="0.25">
      <c r="A14958" s="118"/>
      <c r="B14958" s="136"/>
    </row>
    <row r="14959" spans="1:2" x14ac:dyDescent="0.25">
      <c r="A14959" s="118"/>
      <c r="B14959" s="136"/>
    </row>
    <row r="14960" spans="1:2" x14ac:dyDescent="0.25">
      <c r="A14960" s="118"/>
      <c r="B14960" s="136"/>
    </row>
    <row r="14961" spans="1:2" x14ac:dyDescent="0.25">
      <c r="A14961" s="118"/>
      <c r="B14961" s="136"/>
    </row>
    <row r="14962" spans="1:2" x14ac:dyDescent="0.25">
      <c r="A14962" s="118"/>
      <c r="B14962" s="136"/>
    </row>
    <row r="14963" spans="1:2" x14ac:dyDescent="0.25">
      <c r="A14963" s="118"/>
      <c r="B14963" s="136"/>
    </row>
    <row r="14964" spans="1:2" x14ac:dyDescent="0.25">
      <c r="A14964" s="118"/>
      <c r="B14964" s="136"/>
    </row>
    <row r="14965" spans="1:2" x14ac:dyDescent="0.25">
      <c r="A14965" s="118"/>
      <c r="B14965" s="136"/>
    </row>
    <row r="14966" spans="1:2" x14ac:dyDescent="0.25">
      <c r="A14966" s="118"/>
      <c r="B14966" s="136"/>
    </row>
    <row r="14967" spans="1:2" x14ac:dyDescent="0.25">
      <c r="A14967" s="118"/>
      <c r="B14967" s="136"/>
    </row>
    <row r="14968" spans="1:2" x14ac:dyDescent="0.25">
      <c r="A14968" s="118"/>
      <c r="B14968" s="136"/>
    </row>
    <row r="14969" spans="1:2" x14ac:dyDescent="0.25">
      <c r="A14969" s="118"/>
      <c r="B14969" s="136"/>
    </row>
    <row r="14970" spans="1:2" x14ac:dyDescent="0.25">
      <c r="A14970" s="118"/>
      <c r="B14970" s="136"/>
    </row>
    <row r="14971" spans="1:2" x14ac:dyDescent="0.25">
      <c r="A14971" s="118"/>
      <c r="B14971" s="136"/>
    </row>
    <row r="14972" spans="1:2" x14ac:dyDescent="0.25">
      <c r="A14972" s="118"/>
      <c r="B14972" s="136"/>
    </row>
    <row r="14973" spans="1:2" x14ac:dyDescent="0.25">
      <c r="A14973" s="118"/>
      <c r="B14973" s="136"/>
    </row>
    <row r="14974" spans="1:2" x14ac:dyDescent="0.25">
      <c r="A14974" s="118"/>
      <c r="B14974" s="136"/>
    </row>
    <row r="14975" spans="1:2" x14ac:dyDescent="0.25">
      <c r="A14975" s="118"/>
      <c r="B14975" s="136"/>
    </row>
    <row r="14976" spans="1:2" x14ac:dyDescent="0.25">
      <c r="A14976" s="118"/>
      <c r="B14976" s="136"/>
    </row>
    <row r="14977" spans="1:2" x14ac:dyDescent="0.25">
      <c r="A14977" s="118"/>
      <c r="B14977" s="136"/>
    </row>
    <row r="14978" spans="1:2" x14ac:dyDescent="0.25">
      <c r="A14978" s="118"/>
      <c r="B14978" s="136"/>
    </row>
    <row r="14979" spans="1:2" x14ac:dyDescent="0.25">
      <c r="A14979" s="118"/>
      <c r="B14979" s="136"/>
    </row>
    <row r="14980" spans="1:2" x14ac:dyDescent="0.25">
      <c r="A14980" s="118"/>
      <c r="B14980" s="136"/>
    </row>
    <row r="14981" spans="1:2" x14ac:dyDescent="0.25">
      <c r="A14981" s="118"/>
      <c r="B14981" s="136"/>
    </row>
    <row r="14982" spans="1:2" x14ac:dyDescent="0.25">
      <c r="A14982" s="118"/>
      <c r="B14982" s="136"/>
    </row>
    <row r="14983" spans="1:2" x14ac:dyDescent="0.25">
      <c r="A14983" s="118"/>
      <c r="B14983" s="136"/>
    </row>
    <row r="14984" spans="1:2" x14ac:dyDescent="0.25">
      <c r="A14984" s="118"/>
      <c r="B14984" s="136"/>
    </row>
    <row r="14985" spans="1:2" x14ac:dyDescent="0.25">
      <c r="A14985" s="118"/>
      <c r="B14985" s="136"/>
    </row>
    <row r="14986" spans="1:2" x14ac:dyDescent="0.25">
      <c r="A14986" s="118"/>
      <c r="B14986" s="136"/>
    </row>
    <row r="14987" spans="1:2" x14ac:dyDescent="0.25">
      <c r="A14987" s="118"/>
      <c r="B14987" s="136"/>
    </row>
    <row r="14988" spans="1:2" x14ac:dyDescent="0.25">
      <c r="A14988" s="118"/>
      <c r="B14988" s="136"/>
    </row>
    <row r="14989" spans="1:2" x14ac:dyDescent="0.25">
      <c r="A14989" s="118"/>
      <c r="B14989" s="136"/>
    </row>
    <row r="14990" spans="1:2" x14ac:dyDescent="0.25">
      <c r="A14990" s="118"/>
      <c r="B14990" s="136"/>
    </row>
    <row r="14991" spans="1:2" x14ac:dyDescent="0.25">
      <c r="A14991" s="118"/>
      <c r="B14991" s="136"/>
    </row>
    <row r="14992" spans="1:2" x14ac:dyDescent="0.25">
      <c r="A14992" s="118"/>
      <c r="B14992" s="136"/>
    </row>
    <row r="14993" spans="1:2" x14ac:dyDescent="0.25">
      <c r="A14993" s="118"/>
      <c r="B14993" s="136"/>
    </row>
    <row r="14994" spans="1:2" x14ac:dyDescent="0.25">
      <c r="A14994" s="118"/>
      <c r="B14994" s="136"/>
    </row>
    <row r="14995" spans="1:2" x14ac:dyDescent="0.25">
      <c r="A14995" s="118"/>
      <c r="B14995" s="136"/>
    </row>
    <row r="14996" spans="1:2" x14ac:dyDescent="0.25">
      <c r="A14996" s="118"/>
      <c r="B14996" s="136"/>
    </row>
    <row r="14997" spans="1:2" x14ac:dyDescent="0.25">
      <c r="A14997" s="118"/>
      <c r="B14997" s="136"/>
    </row>
    <row r="14998" spans="1:2" x14ac:dyDescent="0.25">
      <c r="A14998" s="118"/>
      <c r="B14998" s="136"/>
    </row>
    <row r="14999" spans="1:2" x14ac:dyDescent="0.25">
      <c r="A14999" s="118"/>
      <c r="B14999" s="136"/>
    </row>
    <row r="15000" spans="1:2" x14ac:dyDescent="0.25">
      <c r="A15000" s="118"/>
      <c r="B15000" s="136"/>
    </row>
    <row r="15001" spans="1:2" x14ac:dyDescent="0.25">
      <c r="A15001" s="118"/>
      <c r="B15001" s="136"/>
    </row>
    <row r="15002" spans="1:2" x14ac:dyDescent="0.25">
      <c r="A15002" s="118"/>
      <c r="B15002" s="136"/>
    </row>
    <row r="15003" spans="1:2" x14ac:dyDescent="0.25">
      <c r="A15003" s="118"/>
      <c r="B15003" s="136"/>
    </row>
    <row r="15004" spans="1:2" x14ac:dyDescent="0.25">
      <c r="A15004" s="118"/>
      <c r="B15004" s="136"/>
    </row>
    <row r="15005" spans="1:2" x14ac:dyDescent="0.25">
      <c r="A15005" s="118"/>
      <c r="B15005" s="136"/>
    </row>
    <row r="15006" spans="1:2" x14ac:dyDescent="0.25">
      <c r="A15006" s="118"/>
      <c r="B15006" s="136"/>
    </row>
    <row r="15007" spans="1:2" x14ac:dyDescent="0.25">
      <c r="A15007" s="118"/>
      <c r="B15007" s="136"/>
    </row>
    <row r="15008" spans="1:2" x14ac:dyDescent="0.25">
      <c r="A15008" s="118"/>
      <c r="B15008" s="136"/>
    </row>
    <row r="15009" spans="1:2" x14ac:dyDescent="0.25">
      <c r="A15009" s="118"/>
      <c r="B15009" s="136"/>
    </row>
    <row r="15010" spans="1:2" x14ac:dyDescent="0.25">
      <c r="A15010" s="118"/>
      <c r="B15010" s="136"/>
    </row>
    <row r="15011" spans="1:2" x14ac:dyDescent="0.25">
      <c r="A15011" s="118"/>
      <c r="B15011" s="136"/>
    </row>
    <row r="15012" spans="1:2" x14ac:dyDescent="0.25">
      <c r="A15012" s="118"/>
      <c r="B15012" s="136"/>
    </row>
    <row r="15013" spans="1:2" x14ac:dyDescent="0.25">
      <c r="A15013" s="118"/>
      <c r="B15013" s="136"/>
    </row>
    <row r="15014" spans="1:2" x14ac:dyDescent="0.25">
      <c r="A15014" s="118"/>
      <c r="B15014" s="136"/>
    </row>
    <row r="15015" spans="1:2" x14ac:dyDescent="0.25">
      <c r="A15015" s="118"/>
      <c r="B15015" s="136"/>
    </row>
    <row r="15016" spans="1:2" x14ac:dyDescent="0.25">
      <c r="A15016" s="118"/>
      <c r="B15016" s="136"/>
    </row>
    <row r="15017" spans="1:2" x14ac:dyDescent="0.25">
      <c r="A15017" s="118"/>
      <c r="B15017" s="136"/>
    </row>
    <row r="15018" spans="1:2" x14ac:dyDescent="0.25">
      <c r="A15018" s="118"/>
      <c r="B15018" s="136"/>
    </row>
    <row r="15019" spans="1:2" x14ac:dyDescent="0.25">
      <c r="A15019" s="118"/>
      <c r="B15019" s="136"/>
    </row>
    <row r="15020" spans="1:2" x14ac:dyDescent="0.25">
      <c r="A15020" s="118"/>
      <c r="B15020" s="136"/>
    </row>
    <row r="15021" spans="1:2" x14ac:dyDescent="0.25">
      <c r="A15021" s="118"/>
      <c r="B15021" s="136"/>
    </row>
    <row r="15022" spans="1:2" x14ac:dyDescent="0.25">
      <c r="A15022" s="118"/>
      <c r="B15022" s="136"/>
    </row>
    <row r="15023" spans="1:2" x14ac:dyDescent="0.25">
      <c r="A15023" s="118"/>
      <c r="B15023" s="136"/>
    </row>
    <row r="15024" spans="1:2" x14ac:dyDescent="0.25">
      <c r="A15024" s="118"/>
      <c r="B15024" s="136"/>
    </row>
    <row r="15025" spans="1:2" x14ac:dyDescent="0.25">
      <c r="A15025" s="118"/>
      <c r="B15025" s="136"/>
    </row>
    <row r="15026" spans="1:2" x14ac:dyDescent="0.25">
      <c r="A15026" s="118"/>
      <c r="B15026" s="136"/>
    </row>
    <row r="15027" spans="1:2" x14ac:dyDescent="0.25">
      <c r="A15027" s="118"/>
      <c r="B15027" s="136"/>
    </row>
    <row r="15028" spans="1:2" x14ac:dyDescent="0.25">
      <c r="A15028" s="118"/>
      <c r="B15028" s="136"/>
    </row>
    <row r="15029" spans="1:2" x14ac:dyDescent="0.25">
      <c r="A15029" s="118"/>
      <c r="B15029" s="136"/>
    </row>
    <row r="15030" spans="1:2" x14ac:dyDescent="0.25">
      <c r="A15030" s="118"/>
      <c r="B15030" s="136"/>
    </row>
    <row r="15031" spans="1:2" x14ac:dyDescent="0.25">
      <c r="A15031" s="118"/>
      <c r="B15031" s="136"/>
    </row>
    <row r="15032" spans="1:2" x14ac:dyDescent="0.25">
      <c r="A15032" s="118"/>
      <c r="B15032" s="136"/>
    </row>
    <row r="15033" spans="1:2" x14ac:dyDescent="0.25">
      <c r="A15033" s="118"/>
      <c r="B15033" s="136"/>
    </row>
    <row r="15034" spans="1:2" x14ac:dyDescent="0.25">
      <c r="A15034" s="118"/>
      <c r="B15034" s="136"/>
    </row>
    <row r="15035" spans="1:2" x14ac:dyDescent="0.25">
      <c r="A15035" s="118"/>
      <c r="B15035" s="136"/>
    </row>
    <row r="15036" spans="1:2" x14ac:dyDescent="0.25">
      <c r="A15036" s="118"/>
      <c r="B15036" s="136"/>
    </row>
    <row r="15037" spans="1:2" x14ac:dyDescent="0.25">
      <c r="A15037" s="118"/>
      <c r="B15037" s="136"/>
    </row>
    <row r="15038" spans="1:2" x14ac:dyDescent="0.25">
      <c r="A15038" s="118"/>
      <c r="B15038" s="136"/>
    </row>
    <row r="15039" spans="1:2" x14ac:dyDescent="0.25">
      <c r="A15039" s="118"/>
      <c r="B15039" s="136"/>
    </row>
    <row r="15040" spans="1:2" x14ac:dyDescent="0.25">
      <c r="A15040" s="118"/>
      <c r="B15040" s="136"/>
    </row>
    <row r="15041" spans="1:2" x14ac:dyDescent="0.25">
      <c r="A15041" s="118"/>
      <c r="B15041" s="136"/>
    </row>
    <row r="15042" spans="1:2" x14ac:dyDescent="0.25">
      <c r="A15042" s="118"/>
      <c r="B15042" s="136"/>
    </row>
    <row r="15043" spans="1:2" x14ac:dyDescent="0.25">
      <c r="A15043" s="118"/>
      <c r="B15043" s="136"/>
    </row>
    <row r="15044" spans="1:2" x14ac:dyDescent="0.25">
      <c r="A15044" s="118"/>
      <c r="B15044" s="136"/>
    </row>
    <row r="15045" spans="1:2" x14ac:dyDescent="0.25">
      <c r="A15045" s="118"/>
      <c r="B15045" s="136"/>
    </row>
    <row r="15046" spans="1:2" x14ac:dyDescent="0.25">
      <c r="A15046" s="118"/>
      <c r="B15046" s="136"/>
    </row>
    <row r="15047" spans="1:2" x14ac:dyDescent="0.25">
      <c r="A15047" s="118"/>
      <c r="B15047" s="136"/>
    </row>
    <row r="15048" spans="1:2" x14ac:dyDescent="0.25">
      <c r="A15048" s="118"/>
      <c r="B15048" s="136"/>
    </row>
    <row r="15049" spans="1:2" x14ac:dyDescent="0.25">
      <c r="A15049" s="118"/>
      <c r="B15049" s="136"/>
    </row>
    <row r="15050" spans="1:2" x14ac:dyDescent="0.25">
      <c r="A15050" s="118"/>
      <c r="B15050" s="136"/>
    </row>
    <row r="15051" spans="1:2" x14ac:dyDescent="0.25">
      <c r="A15051" s="118"/>
      <c r="B15051" s="136"/>
    </row>
    <row r="15052" spans="1:2" x14ac:dyDescent="0.25">
      <c r="A15052" s="118"/>
      <c r="B15052" s="136"/>
    </row>
    <row r="15053" spans="1:2" x14ac:dyDescent="0.25">
      <c r="A15053" s="118"/>
      <c r="B15053" s="136"/>
    </row>
    <row r="15054" spans="1:2" x14ac:dyDescent="0.25">
      <c r="A15054" s="118"/>
      <c r="B15054" s="136"/>
    </row>
    <row r="15055" spans="1:2" x14ac:dyDescent="0.25">
      <c r="A15055" s="118"/>
      <c r="B15055" s="136"/>
    </row>
    <row r="15056" spans="1:2" x14ac:dyDescent="0.25">
      <c r="A15056" s="118"/>
      <c r="B15056" s="136"/>
    </row>
    <row r="15057" spans="1:2" x14ac:dyDescent="0.25">
      <c r="A15057" s="118"/>
      <c r="B15057" s="136"/>
    </row>
    <row r="15058" spans="1:2" x14ac:dyDescent="0.25">
      <c r="A15058" s="118"/>
      <c r="B15058" s="136"/>
    </row>
    <row r="15059" spans="1:2" x14ac:dyDescent="0.25">
      <c r="A15059" s="118"/>
      <c r="B15059" s="136"/>
    </row>
    <row r="15060" spans="1:2" x14ac:dyDescent="0.25">
      <c r="A15060" s="118"/>
      <c r="B15060" s="136"/>
    </row>
    <row r="15061" spans="1:2" x14ac:dyDescent="0.25">
      <c r="A15061" s="118"/>
      <c r="B15061" s="136"/>
    </row>
    <row r="15062" spans="1:2" x14ac:dyDescent="0.25">
      <c r="A15062" s="118"/>
      <c r="B15062" s="136"/>
    </row>
    <row r="15063" spans="1:2" x14ac:dyDescent="0.25">
      <c r="A15063" s="118"/>
      <c r="B15063" s="136"/>
    </row>
    <row r="15064" spans="1:2" x14ac:dyDescent="0.25">
      <c r="A15064" s="118"/>
      <c r="B15064" s="136"/>
    </row>
    <row r="15065" spans="1:2" x14ac:dyDescent="0.25">
      <c r="A15065" s="118"/>
      <c r="B15065" s="136"/>
    </row>
    <row r="15066" spans="1:2" x14ac:dyDescent="0.25">
      <c r="A15066" s="118"/>
      <c r="B15066" s="136"/>
    </row>
    <row r="15067" spans="1:2" x14ac:dyDescent="0.25">
      <c r="A15067" s="118"/>
      <c r="B15067" s="136"/>
    </row>
    <row r="15068" spans="1:2" x14ac:dyDescent="0.25">
      <c r="A15068" s="118"/>
      <c r="B15068" s="136"/>
    </row>
    <row r="15069" spans="1:2" x14ac:dyDescent="0.25">
      <c r="A15069" s="118"/>
      <c r="B15069" s="136"/>
    </row>
    <row r="15070" spans="1:2" x14ac:dyDescent="0.25">
      <c r="A15070" s="118"/>
      <c r="B15070" s="136"/>
    </row>
    <row r="15071" spans="1:2" x14ac:dyDescent="0.25">
      <c r="A15071" s="118"/>
      <c r="B15071" s="136"/>
    </row>
    <row r="15072" spans="1:2" x14ac:dyDescent="0.25">
      <c r="A15072" s="118"/>
      <c r="B15072" s="136"/>
    </row>
    <row r="15073" spans="1:2" x14ac:dyDescent="0.25">
      <c r="A15073" s="118"/>
      <c r="B15073" s="136"/>
    </row>
    <row r="15074" spans="1:2" x14ac:dyDescent="0.25">
      <c r="A15074" s="118"/>
      <c r="B15074" s="136"/>
    </row>
    <row r="15075" spans="1:2" x14ac:dyDescent="0.25">
      <c r="A15075" s="118"/>
      <c r="B15075" s="136"/>
    </row>
    <row r="15076" spans="1:2" x14ac:dyDescent="0.25">
      <c r="A15076" s="118"/>
      <c r="B15076" s="136"/>
    </row>
    <row r="15077" spans="1:2" x14ac:dyDescent="0.25">
      <c r="A15077" s="118"/>
      <c r="B15077" s="136"/>
    </row>
    <row r="15078" spans="1:2" x14ac:dyDescent="0.25">
      <c r="A15078" s="118"/>
      <c r="B15078" s="136"/>
    </row>
    <row r="15079" spans="1:2" x14ac:dyDescent="0.25">
      <c r="A15079" s="118"/>
      <c r="B15079" s="136"/>
    </row>
    <row r="15080" spans="1:2" x14ac:dyDescent="0.25">
      <c r="A15080" s="118"/>
      <c r="B15080" s="136"/>
    </row>
    <row r="15081" spans="1:2" x14ac:dyDescent="0.25">
      <c r="A15081" s="118"/>
      <c r="B15081" s="136"/>
    </row>
    <row r="15082" spans="1:2" x14ac:dyDescent="0.25">
      <c r="A15082" s="118"/>
      <c r="B15082" s="136"/>
    </row>
    <row r="15083" spans="1:2" x14ac:dyDescent="0.25">
      <c r="A15083" s="118"/>
      <c r="B15083" s="136"/>
    </row>
    <row r="15084" spans="1:2" x14ac:dyDescent="0.25">
      <c r="A15084" s="118"/>
      <c r="B15084" s="136"/>
    </row>
    <row r="15085" spans="1:2" x14ac:dyDescent="0.25">
      <c r="A15085" s="118"/>
      <c r="B15085" s="136"/>
    </row>
    <row r="15086" spans="1:2" x14ac:dyDescent="0.25">
      <c r="A15086" s="118"/>
      <c r="B15086" s="136"/>
    </row>
    <row r="15087" spans="1:2" x14ac:dyDescent="0.25">
      <c r="A15087" s="118"/>
      <c r="B15087" s="136"/>
    </row>
    <row r="15088" spans="1:2" x14ac:dyDescent="0.25">
      <c r="A15088" s="118"/>
      <c r="B15088" s="136"/>
    </row>
    <row r="15089" spans="1:2" x14ac:dyDescent="0.25">
      <c r="A15089" s="118"/>
      <c r="B15089" s="136"/>
    </row>
    <row r="15090" spans="1:2" x14ac:dyDescent="0.25">
      <c r="A15090" s="118"/>
      <c r="B15090" s="136"/>
    </row>
    <row r="15091" spans="1:2" x14ac:dyDescent="0.25">
      <c r="A15091" s="118"/>
      <c r="B15091" s="136"/>
    </row>
    <row r="15092" spans="1:2" x14ac:dyDescent="0.25">
      <c r="A15092" s="118"/>
      <c r="B15092" s="136"/>
    </row>
    <row r="15093" spans="1:2" x14ac:dyDescent="0.25">
      <c r="A15093" s="118"/>
      <c r="B15093" s="136"/>
    </row>
    <row r="15094" spans="1:2" x14ac:dyDescent="0.25">
      <c r="A15094" s="118"/>
      <c r="B15094" s="136"/>
    </row>
    <row r="15095" spans="1:2" x14ac:dyDescent="0.25">
      <c r="A15095" s="118"/>
      <c r="B15095" s="136"/>
    </row>
    <row r="15096" spans="1:2" x14ac:dyDescent="0.25">
      <c r="A15096" s="118"/>
      <c r="B15096" s="136"/>
    </row>
    <row r="15097" spans="1:2" x14ac:dyDescent="0.25">
      <c r="A15097" s="118"/>
      <c r="B15097" s="136"/>
    </row>
    <row r="15098" spans="1:2" x14ac:dyDescent="0.25">
      <c r="A15098" s="118"/>
      <c r="B15098" s="136"/>
    </row>
    <row r="15099" spans="1:2" x14ac:dyDescent="0.25">
      <c r="A15099" s="118"/>
      <c r="B15099" s="136"/>
    </row>
    <row r="15100" spans="1:2" x14ac:dyDescent="0.25">
      <c r="A15100" s="118"/>
      <c r="B15100" s="136"/>
    </row>
    <row r="15101" spans="1:2" x14ac:dyDescent="0.25">
      <c r="A15101" s="118"/>
      <c r="B15101" s="136"/>
    </row>
    <row r="15102" spans="1:2" x14ac:dyDescent="0.25">
      <c r="A15102" s="118"/>
      <c r="B15102" s="136"/>
    </row>
    <row r="15103" spans="1:2" x14ac:dyDescent="0.25">
      <c r="A15103" s="118"/>
      <c r="B15103" s="136"/>
    </row>
    <row r="15104" spans="1:2" x14ac:dyDescent="0.25">
      <c r="A15104" s="118"/>
      <c r="B15104" s="136"/>
    </row>
    <row r="15105" spans="1:2" x14ac:dyDescent="0.25">
      <c r="A15105" s="118"/>
      <c r="B15105" s="136"/>
    </row>
    <row r="15106" spans="1:2" x14ac:dyDescent="0.25">
      <c r="A15106" s="118"/>
      <c r="B15106" s="136"/>
    </row>
    <row r="15107" spans="1:2" x14ac:dyDescent="0.25">
      <c r="A15107" s="118"/>
      <c r="B15107" s="136"/>
    </row>
    <row r="15108" spans="1:2" x14ac:dyDescent="0.25">
      <c r="A15108" s="118"/>
      <c r="B15108" s="136"/>
    </row>
    <row r="15109" spans="1:2" x14ac:dyDescent="0.25">
      <c r="A15109" s="118"/>
      <c r="B15109" s="136"/>
    </row>
    <row r="15110" spans="1:2" x14ac:dyDescent="0.25">
      <c r="A15110" s="118"/>
      <c r="B15110" s="136"/>
    </row>
    <row r="15111" spans="1:2" x14ac:dyDescent="0.25">
      <c r="A15111" s="118"/>
      <c r="B15111" s="136"/>
    </row>
    <row r="15112" spans="1:2" x14ac:dyDescent="0.25">
      <c r="A15112" s="118"/>
      <c r="B15112" s="136"/>
    </row>
    <row r="15113" spans="1:2" x14ac:dyDescent="0.25">
      <c r="A15113" s="118"/>
      <c r="B15113" s="136"/>
    </row>
    <row r="15114" spans="1:2" x14ac:dyDescent="0.25">
      <c r="A15114" s="118"/>
      <c r="B15114" s="136"/>
    </row>
    <row r="15115" spans="1:2" x14ac:dyDescent="0.25">
      <c r="A15115" s="118"/>
      <c r="B15115" s="136"/>
    </row>
    <row r="15116" spans="1:2" x14ac:dyDescent="0.25">
      <c r="A15116" s="118"/>
      <c r="B15116" s="136"/>
    </row>
    <row r="15117" spans="1:2" x14ac:dyDescent="0.25">
      <c r="A15117" s="118"/>
      <c r="B15117" s="136"/>
    </row>
    <row r="15118" spans="1:2" x14ac:dyDescent="0.25">
      <c r="A15118" s="118"/>
      <c r="B15118" s="136"/>
    </row>
    <row r="15119" spans="1:2" x14ac:dyDescent="0.25">
      <c r="A15119" s="118"/>
      <c r="B15119" s="136"/>
    </row>
    <row r="15120" spans="1:2" x14ac:dyDescent="0.25">
      <c r="A15120" s="118"/>
      <c r="B15120" s="136"/>
    </row>
    <row r="15121" spans="1:2" x14ac:dyDescent="0.25">
      <c r="A15121" s="118"/>
      <c r="B15121" s="136"/>
    </row>
    <row r="15122" spans="1:2" x14ac:dyDescent="0.25">
      <c r="A15122" s="118"/>
      <c r="B15122" s="136"/>
    </row>
    <row r="15123" spans="1:2" x14ac:dyDescent="0.25">
      <c r="A15123" s="118"/>
      <c r="B15123" s="136"/>
    </row>
    <row r="15124" spans="1:2" x14ac:dyDescent="0.25">
      <c r="A15124" s="118"/>
      <c r="B15124" s="136"/>
    </row>
    <row r="15125" spans="1:2" x14ac:dyDescent="0.25">
      <c r="A15125" s="118"/>
      <c r="B15125" s="136"/>
    </row>
    <row r="15126" spans="1:2" x14ac:dyDescent="0.25">
      <c r="A15126" s="118"/>
      <c r="B15126" s="136"/>
    </row>
    <row r="15127" spans="1:2" x14ac:dyDescent="0.25">
      <c r="A15127" s="118"/>
      <c r="B15127" s="136"/>
    </row>
    <row r="15128" spans="1:2" x14ac:dyDescent="0.25">
      <c r="A15128" s="118"/>
      <c r="B15128" s="136"/>
    </row>
    <row r="15129" spans="1:2" x14ac:dyDescent="0.25">
      <c r="A15129" s="118"/>
      <c r="B15129" s="136"/>
    </row>
    <row r="15130" spans="1:2" x14ac:dyDescent="0.25">
      <c r="A15130" s="118"/>
      <c r="B15130" s="136"/>
    </row>
    <row r="15131" spans="1:2" x14ac:dyDescent="0.25">
      <c r="A15131" s="118"/>
      <c r="B15131" s="136"/>
    </row>
    <row r="15132" spans="1:2" x14ac:dyDescent="0.25">
      <c r="A15132" s="118"/>
      <c r="B15132" s="136"/>
    </row>
    <row r="15133" spans="1:2" x14ac:dyDescent="0.25">
      <c r="A15133" s="118"/>
      <c r="B15133" s="136"/>
    </row>
    <row r="15134" spans="1:2" x14ac:dyDescent="0.25">
      <c r="A15134" s="118"/>
      <c r="B15134" s="136"/>
    </row>
    <row r="15135" spans="1:2" x14ac:dyDescent="0.25">
      <c r="A15135" s="118"/>
      <c r="B15135" s="136"/>
    </row>
    <row r="15136" spans="1:2" x14ac:dyDescent="0.25">
      <c r="A15136" s="118"/>
      <c r="B15136" s="136"/>
    </row>
    <row r="15137" spans="1:2" x14ac:dyDescent="0.25">
      <c r="A15137" s="118"/>
      <c r="B15137" s="136"/>
    </row>
    <row r="15138" spans="1:2" x14ac:dyDescent="0.25">
      <c r="A15138" s="118"/>
      <c r="B15138" s="136"/>
    </row>
    <row r="15139" spans="1:2" x14ac:dyDescent="0.25">
      <c r="A15139" s="118"/>
      <c r="B15139" s="136"/>
    </row>
    <row r="15140" spans="1:2" x14ac:dyDescent="0.25">
      <c r="A15140" s="118"/>
      <c r="B15140" s="136"/>
    </row>
    <row r="15141" spans="1:2" x14ac:dyDescent="0.25">
      <c r="A15141" s="118"/>
      <c r="B15141" s="136"/>
    </row>
    <row r="15142" spans="1:2" x14ac:dyDescent="0.25">
      <c r="A15142" s="118"/>
      <c r="B15142" s="136"/>
    </row>
    <row r="15143" spans="1:2" x14ac:dyDescent="0.25">
      <c r="A15143" s="118"/>
      <c r="B15143" s="136"/>
    </row>
    <row r="15144" spans="1:2" x14ac:dyDescent="0.25">
      <c r="A15144" s="118"/>
      <c r="B15144" s="136"/>
    </row>
    <row r="15145" spans="1:2" x14ac:dyDescent="0.25">
      <c r="A15145" s="118"/>
      <c r="B15145" s="136"/>
    </row>
    <row r="15146" spans="1:2" x14ac:dyDescent="0.25">
      <c r="A15146" s="118"/>
      <c r="B15146" s="136"/>
    </row>
    <row r="15147" spans="1:2" x14ac:dyDescent="0.25">
      <c r="A15147" s="118"/>
      <c r="B15147" s="136"/>
    </row>
    <row r="15148" spans="1:2" x14ac:dyDescent="0.25">
      <c r="A15148" s="118"/>
      <c r="B15148" s="136"/>
    </row>
    <row r="15149" spans="1:2" x14ac:dyDescent="0.25">
      <c r="A15149" s="118"/>
      <c r="B15149" s="136"/>
    </row>
    <row r="15150" spans="1:2" x14ac:dyDescent="0.25">
      <c r="A15150" s="118"/>
      <c r="B15150" s="136"/>
    </row>
    <row r="15151" spans="1:2" x14ac:dyDescent="0.25">
      <c r="A15151" s="118"/>
      <c r="B15151" s="136"/>
    </row>
    <row r="15152" spans="1:2" x14ac:dyDescent="0.25">
      <c r="A15152" s="118"/>
      <c r="B15152" s="136"/>
    </row>
    <row r="15153" spans="1:2" x14ac:dyDescent="0.25">
      <c r="A15153" s="118"/>
      <c r="B15153" s="136"/>
    </row>
    <row r="15154" spans="1:2" x14ac:dyDescent="0.25">
      <c r="A15154" s="118"/>
      <c r="B15154" s="136"/>
    </row>
    <row r="15155" spans="1:2" x14ac:dyDescent="0.25">
      <c r="A15155" s="118"/>
      <c r="B15155" s="136"/>
    </row>
    <row r="15156" spans="1:2" x14ac:dyDescent="0.25">
      <c r="A15156" s="118"/>
      <c r="B15156" s="136"/>
    </row>
    <row r="15157" spans="1:2" x14ac:dyDescent="0.25">
      <c r="A15157" s="118"/>
      <c r="B15157" s="136"/>
    </row>
    <row r="15158" spans="1:2" x14ac:dyDescent="0.25">
      <c r="A15158" s="118"/>
      <c r="B15158" s="136"/>
    </row>
    <row r="15159" spans="1:2" x14ac:dyDescent="0.25">
      <c r="A15159" s="118"/>
      <c r="B15159" s="136"/>
    </row>
    <row r="15160" spans="1:2" x14ac:dyDescent="0.25">
      <c r="A15160" s="118"/>
      <c r="B15160" s="136"/>
    </row>
    <row r="15161" spans="1:2" x14ac:dyDescent="0.25">
      <c r="A15161" s="118"/>
      <c r="B15161" s="136"/>
    </row>
    <row r="15162" spans="1:2" x14ac:dyDescent="0.25">
      <c r="A15162" s="118"/>
      <c r="B15162" s="136"/>
    </row>
    <row r="15163" spans="1:2" x14ac:dyDescent="0.25">
      <c r="A15163" s="118"/>
      <c r="B15163" s="136"/>
    </row>
    <row r="15164" spans="1:2" x14ac:dyDescent="0.25">
      <c r="A15164" s="118"/>
      <c r="B15164" s="136"/>
    </row>
    <row r="15165" spans="1:2" x14ac:dyDescent="0.25">
      <c r="A15165" s="118"/>
      <c r="B15165" s="136"/>
    </row>
    <row r="15166" spans="1:2" x14ac:dyDescent="0.25">
      <c r="A15166" s="118"/>
      <c r="B15166" s="136"/>
    </row>
    <row r="15167" spans="1:2" x14ac:dyDescent="0.25">
      <c r="A15167" s="118"/>
      <c r="B15167" s="136"/>
    </row>
    <row r="15168" spans="1:2" x14ac:dyDescent="0.25">
      <c r="A15168" s="118"/>
      <c r="B15168" s="136"/>
    </row>
    <row r="15169" spans="1:2" x14ac:dyDescent="0.25">
      <c r="A15169" s="118"/>
      <c r="B15169" s="136"/>
    </row>
    <row r="15170" spans="1:2" x14ac:dyDescent="0.25">
      <c r="A15170" s="118"/>
      <c r="B15170" s="136"/>
    </row>
    <row r="15171" spans="1:2" x14ac:dyDescent="0.25">
      <c r="A15171" s="118"/>
      <c r="B15171" s="136"/>
    </row>
    <row r="15172" spans="1:2" x14ac:dyDescent="0.25">
      <c r="A15172" s="118"/>
      <c r="B15172" s="136"/>
    </row>
    <row r="15173" spans="1:2" x14ac:dyDescent="0.25">
      <c r="A15173" s="118"/>
      <c r="B15173" s="136"/>
    </row>
    <row r="15174" spans="1:2" x14ac:dyDescent="0.25">
      <c r="A15174" s="118"/>
      <c r="B15174" s="136"/>
    </row>
    <row r="15175" spans="1:2" x14ac:dyDescent="0.25">
      <c r="A15175" s="118"/>
      <c r="B15175" s="136"/>
    </row>
    <row r="15176" spans="1:2" x14ac:dyDescent="0.25">
      <c r="A15176" s="118"/>
      <c r="B15176" s="136"/>
    </row>
    <row r="15177" spans="1:2" x14ac:dyDescent="0.25">
      <c r="A15177" s="118"/>
      <c r="B15177" s="136"/>
    </row>
    <row r="15178" spans="1:2" x14ac:dyDescent="0.25">
      <c r="A15178" s="118"/>
      <c r="B15178" s="136"/>
    </row>
    <row r="15179" spans="1:2" x14ac:dyDescent="0.25">
      <c r="A15179" s="118"/>
      <c r="B15179" s="136"/>
    </row>
    <row r="15180" spans="1:2" x14ac:dyDescent="0.25">
      <c r="A15180" s="118"/>
      <c r="B15180" s="136"/>
    </row>
    <row r="15181" spans="1:2" x14ac:dyDescent="0.25">
      <c r="A15181" s="118"/>
      <c r="B15181" s="136"/>
    </row>
    <row r="15182" spans="1:2" x14ac:dyDescent="0.25">
      <c r="A15182" s="118"/>
      <c r="B15182" s="136"/>
    </row>
    <row r="15183" spans="1:2" x14ac:dyDescent="0.25">
      <c r="A15183" s="118"/>
      <c r="B15183" s="136"/>
    </row>
    <row r="15184" spans="1:2" x14ac:dyDescent="0.25">
      <c r="A15184" s="118"/>
      <c r="B15184" s="136"/>
    </row>
    <row r="15185" spans="1:2" x14ac:dyDescent="0.25">
      <c r="A15185" s="118"/>
      <c r="B15185" s="136"/>
    </row>
    <row r="15186" spans="1:2" x14ac:dyDescent="0.25">
      <c r="A15186" s="118"/>
      <c r="B15186" s="136"/>
    </row>
    <row r="15187" spans="1:2" x14ac:dyDescent="0.25">
      <c r="A15187" s="118"/>
      <c r="B15187" s="136"/>
    </row>
    <row r="15188" spans="1:2" x14ac:dyDescent="0.25">
      <c r="A15188" s="118"/>
      <c r="B15188" s="136"/>
    </row>
    <row r="15189" spans="1:2" x14ac:dyDescent="0.25">
      <c r="A15189" s="118"/>
      <c r="B15189" s="136"/>
    </row>
    <row r="15190" spans="1:2" x14ac:dyDescent="0.25">
      <c r="A15190" s="118"/>
      <c r="B15190" s="136"/>
    </row>
    <row r="15191" spans="1:2" x14ac:dyDescent="0.25">
      <c r="A15191" s="118"/>
      <c r="B15191" s="136"/>
    </row>
    <row r="15192" spans="1:2" x14ac:dyDescent="0.25">
      <c r="A15192" s="118"/>
      <c r="B15192" s="136"/>
    </row>
    <row r="15193" spans="1:2" x14ac:dyDescent="0.25">
      <c r="A15193" s="118"/>
      <c r="B15193" s="136"/>
    </row>
    <row r="15194" spans="1:2" x14ac:dyDescent="0.25">
      <c r="A15194" s="118"/>
      <c r="B15194" s="136"/>
    </row>
    <row r="15195" spans="1:2" x14ac:dyDescent="0.25">
      <c r="A15195" s="118"/>
      <c r="B15195" s="136"/>
    </row>
    <row r="15196" spans="1:2" x14ac:dyDescent="0.25">
      <c r="A15196" s="118"/>
      <c r="B15196" s="136"/>
    </row>
    <row r="15197" spans="1:2" x14ac:dyDescent="0.25">
      <c r="A15197" s="118"/>
      <c r="B15197" s="136"/>
    </row>
    <row r="15198" spans="1:2" x14ac:dyDescent="0.25">
      <c r="A15198" s="118"/>
      <c r="B15198" s="136"/>
    </row>
    <row r="15199" spans="1:2" x14ac:dyDescent="0.25">
      <c r="A15199" s="118"/>
      <c r="B15199" s="136"/>
    </row>
    <row r="15200" spans="1:2" x14ac:dyDescent="0.25">
      <c r="A15200" s="118"/>
      <c r="B15200" s="136"/>
    </row>
    <row r="15201" spans="1:2" x14ac:dyDescent="0.25">
      <c r="A15201" s="118"/>
      <c r="B15201" s="136"/>
    </row>
    <row r="15202" spans="1:2" x14ac:dyDescent="0.25">
      <c r="A15202" s="118"/>
      <c r="B15202" s="136"/>
    </row>
    <row r="15203" spans="1:2" x14ac:dyDescent="0.25">
      <c r="A15203" s="118"/>
      <c r="B15203" s="136"/>
    </row>
    <row r="15204" spans="1:2" x14ac:dyDescent="0.25">
      <c r="A15204" s="118"/>
      <c r="B15204" s="136"/>
    </row>
    <row r="15205" spans="1:2" x14ac:dyDescent="0.25">
      <c r="A15205" s="118"/>
      <c r="B15205" s="136"/>
    </row>
    <row r="15206" spans="1:2" x14ac:dyDescent="0.25">
      <c r="A15206" s="118"/>
      <c r="B15206" s="136"/>
    </row>
    <row r="15207" spans="1:2" x14ac:dyDescent="0.25">
      <c r="A15207" s="118"/>
      <c r="B15207" s="136"/>
    </row>
    <row r="15208" spans="1:2" x14ac:dyDescent="0.25">
      <c r="A15208" s="118"/>
      <c r="B15208" s="136"/>
    </row>
    <row r="15209" spans="1:2" x14ac:dyDescent="0.25">
      <c r="A15209" s="118"/>
      <c r="B15209" s="136"/>
    </row>
    <row r="15210" spans="1:2" x14ac:dyDescent="0.25">
      <c r="A15210" s="118"/>
      <c r="B15210" s="136"/>
    </row>
    <row r="15211" spans="1:2" x14ac:dyDescent="0.25">
      <c r="A15211" s="118"/>
      <c r="B15211" s="136"/>
    </row>
    <row r="15212" spans="1:2" x14ac:dyDescent="0.25">
      <c r="A15212" s="118"/>
      <c r="B15212" s="136"/>
    </row>
    <row r="15213" spans="1:2" x14ac:dyDescent="0.25">
      <c r="A15213" s="118"/>
      <c r="B15213" s="136"/>
    </row>
    <row r="15214" spans="1:2" x14ac:dyDescent="0.25">
      <c r="A15214" s="118"/>
      <c r="B15214" s="136"/>
    </row>
    <row r="15215" spans="1:2" x14ac:dyDescent="0.25">
      <c r="A15215" s="118"/>
      <c r="B15215" s="136"/>
    </row>
    <row r="15216" spans="1:2" x14ac:dyDescent="0.25">
      <c r="A15216" s="118"/>
      <c r="B15216" s="136"/>
    </row>
    <row r="15217" spans="1:2" x14ac:dyDescent="0.25">
      <c r="A15217" s="118"/>
      <c r="B15217" s="136"/>
    </row>
    <row r="15218" spans="1:2" x14ac:dyDescent="0.25">
      <c r="A15218" s="118"/>
      <c r="B15218" s="136"/>
    </row>
    <row r="15219" spans="1:2" x14ac:dyDescent="0.25">
      <c r="A15219" s="118"/>
      <c r="B15219" s="136"/>
    </row>
    <row r="15220" spans="1:2" x14ac:dyDescent="0.25">
      <c r="A15220" s="118"/>
      <c r="B15220" s="136"/>
    </row>
    <row r="15221" spans="1:2" x14ac:dyDescent="0.25">
      <c r="A15221" s="118"/>
      <c r="B15221" s="136"/>
    </row>
    <row r="15222" spans="1:2" x14ac:dyDescent="0.25">
      <c r="A15222" s="118"/>
      <c r="B15222" s="136"/>
    </row>
    <row r="15223" spans="1:2" x14ac:dyDescent="0.25">
      <c r="A15223" s="118"/>
      <c r="B15223" s="136"/>
    </row>
    <row r="15224" spans="1:2" x14ac:dyDescent="0.25">
      <c r="A15224" s="118"/>
      <c r="B15224" s="136"/>
    </row>
    <row r="15225" spans="1:2" x14ac:dyDescent="0.25">
      <c r="A15225" s="118"/>
      <c r="B15225" s="136"/>
    </row>
    <row r="15226" spans="1:2" x14ac:dyDescent="0.25">
      <c r="A15226" s="118"/>
      <c r="B15226" s="136"/>
    </row>
    <row r="15227" spans="1:2" x14ac:dyDescent="0.25">
      <c r="A15227" s="118"/>
      <c r="B15227" s="136"/>
    </row>
    <row r="15228" spans="1:2" x14ac:dyDescent="0.25">
      <c r="A15228" s="118"/>
      <c r="B15228" s="136"/>
    </row>
    <row r="15229" spans="1:2" x14ac:dyDescent="0.25">
      <c r="A15229" s="118"/>
      <c r="B15229" s="136"/>
    </row>
    <row r="15230" spans="1:2" x14ac:dyDescent="0.25">
      <c r="A15230" s="118"/>
      <c r="B15230" s="136"/>
    </row>
    <row r="15231" spans="1:2" x14ac:dyDescent="0.25">
      <c r="A15231" s="118"/>
      <c r="B15231" s="136"/>
    </row>
    <row r="15232" spans="1:2" x14ac:dyDescent="0.25">
      <c r="A15232" s="118"/>
      <c r="B15232" s="136"/>
    </row>
    <row r="15233" spans="1:2" x14ac:dyDescent="0.25">
      <c r="A15233" s="118"/>
      <c r="B15233" s="136"/>
    </row>
    <row r="15234" spans="1:2" x14ac:dyDescent="0.25">
      <c r="A15234" s="118"/>
      <c r="B15234" s="136"/>
    </row>
    <row r="15235" spans="1:2" x14ac:dyDescent="0.25">
      <c r="A15235" s="118"/>
      <c r="B15235" s="136"/>
    </row>
    <row r="15236" spans="1:2" x14ac:dyDescent="0.25">
      <c r="A15236" s="118"/>
      <c r="B15236" s="136"/>
    </row>
    <row r="15237" spans="1:2" x14ac:dyDescent="0.25">
      <c r="A15237" s="118"/>
      <c r="B15237" s="136"/>
    </row>
    <row r="15238" spans="1:2" x14ac:dyDescent="0.25">
      <c r="A15238" s="118"/>
      <c r="B15238" s="136"/>
    </row>
    <row r="15239" spans="1:2" x14ac:dyDescent="0.25">
      <c r="A15239" s="118"/>
      <c r="B15239" s="136"/>
    </row>
    <row r="15240" spans="1:2" x14ac:dyDescent="0.25">
      <c r="A15240" s="118"/>
      <c r="B15240" s="136"/>
    </row>
    <row r="15241" spans="1:2" x14ac:dyDescent="0.25">
      <c r="A15241" s="118"/>
      <c r="B15241" s="136"/>
    </row>
    <row r="15242" spans="1:2" x14ac:dyDescent="0.25">
      <c r="A15242" s="118"/>
      <c r="B15242" s="136"/>
    </row>
    <row r="15243" spans="1:2" x14ac:dyDescent="0.25">
      <c r="A15243" s="118"/>
      <c r="B15243" s="136"/>
    </row>
    <row r="15244" spans="1:2" x14ac:dyDescent="0.25">
      <c r="A15244" s="118"/>
      <c r="B15244" s="136"/>
    </row>
    <row r="15245" spans="1:2" x14ac:dyDescent="0.25">
      <c r="A15245" s="118"/>
      <c r="B15245" s="136"/>
    </row>
    <row r="15246" spans="1:2" x14ac:dyDescent="0.25">
      <c r="A15246" s="118"/>
      <c r="B15246" s="136"/>
    </row>
    <row r="15247" spans="1:2" x14ac:dyDescent="0.25">
      <c r="A15247" s="118"/>
      <c r="B15247" s="136"/>
    </row>
    <row r="15248" spans="1:2" x14ac:dyDescent="0.25">
      <c r="A15248" s="118"/>
      <c r="B15248" s="136"/>
    </row>
    <row r="15249" spans="1:2" x14ac:dyDescent="0.25">
      <c r="A15249" s="118"/>
      <c r="B15249" s="136"/>
    </row>
    <row r="15250" spans="1:2" x14ac:dyDescent="0.25">
      <c r="A15250" s="118"/>
      <c r="B15250" s="136"/>
    </row>
    <row r="15251" spans="1:2" x14ac:dyDescent="0.25">
      <c r="A15251" s="118"/>
      <c r="B15251" s="136"/>
    </row>
    <row r="15252" spans="1:2" x14ac:dyDescent="0.25">
      <c r="A15252" s="118"/>
      <c r="B15252" s="136"/>
    </row>
    <row r="15253" spans="1:2" x14ac:dyDescent="0.25">
      <c r="A15253" s="118"/>
      <c r="B15253" s="136"/>
    </row>
    <row r="15254" spans="1:2" x14ac:dyDescent="0.25">
      <c r="A15254" s="118"/>
      <c r="B15254" s="136"/>
    </row>
    <row r="15255" spans="1:2" x14ac:dyDescent="0.25">
      <c r="A15255" s="118"/>
      <c r="B15255" s="136"/>
    </row>
    <row r="15256" spans="1:2" x14ac:dyDescent="0.25">
      <c r="A15256" s="118"/>
      <c r="B15256" s="136"/>
    </row>
    <row r="15257" spans="1:2" x14ac:dyDescent="0.25">
      <c r="A15257" s="118"/>
      <c r="B15257" s="136"/>
    </row>
    <row r="15258" spans="1:2" x14ac:dyDescent="0.25">
      <c r="A15258" s="118"/>
      <c r="B15258" s="136"/>
    </row>
    <row r="15259" spans="1:2" x14ac:dyDescent="0.25">
      <c r="A15259" s="118"/>
      <c r="B15259" s="136"/>
    </row>
    <row r="15260" spans="1:2" x14ac:dyDescent="0.25">
      <c r="A15260" s="118"/>
      <c r="B15260" s="136"/>
    </row>
    <row r="15261" spans="1:2" x14ac:dyDescent="0.25">
      <c r="A15261" s="118"/>
      <c r="B15261" s="136"/>
    </row>
    <row r="15262" spans="1:2" x14ac:dyDescent="0.25">
      <c r="A15262" s="118"/>
      <c r="B15262" s="136"/>
    </row>
    <row r="15263" spans="1:2" x14ac:dyDescent="0.25">
      <c r="A15263" s="118"/>
      <c r="B15263" s="136"/>
    </row>
    <row r="15264" spans="1:2" x14ac:dyDescent="0.25">
      <c r="A15264" s="118"/>
      <c r="B15264" s="136"/>
    </row>
    <row r="15265" spans="1:2" x14ac:dyDescent="0.25">
      <c r="A15265" s="118"/>
      <c r="B15265" s="136"/>
    </row>
    <row r="15266" spans="1:2" x14ac:dyDescent="0.25">
      <c r="A15266" s="118"/>
      <c r="B15266" s="136"/>
    </row>
    <row r="15267" spans="1:2" x14ac:dyDescent="0.25">
      <c r="A15267" s="118"/>
      <c r="B15267" s="136"/>
    </row>
    <row r="15268" spans="1:2" x14ac:dyDescent="0.25">
      <c r="A15268" s="118"/>
      <c r="B15268" s="136"/>
    </row>
    <row r="15269" spans="1:2" x14ac:dyDescent="0.25">
      <c r="A15269" s="118"/>
      <c r="B15269" s="136"/>
    </row>
    <row r="15270" spans="1:2" x14ac:dyDescent="0.25">
      <c r="A15270" s="118"/>
      <c r="B15270" s="136"/>
    </row>
    <row r="15271" spans="1:2" x14ac:dyDescent="0.25">
      <c r="A15271" s="118"/>
      <c r="B15271" s="136"/>
    </row>
    <row r="15272" spans="1:2" x14ac:dyDescent="0.25">
      <c r="A15272" s="118"/>
      <c r="B15272" s="136"/>
    </row>
    <row r="15273" spans="1:2" x14ac:dyDescent="0.25">
      <c r="A15273" s="118"/>
      <c r="B15273" s="136"/>
    </row>
    <row r="15274" spans="1:2" x14ac:dyDescent="0.25">
      <c r="A15274" s="118"/>
      <c r="B15274" s="136"/>
    </row>
    <row r="15275" spans="1:2" x14ac:dyDescent="0.25">
      <c r="A15275" s="118"/>
      <c r="B15275" s="136"/>
    </row>
    <row r="15276" spans="1:2" x14ac:dyDescent="0.25">
      <c r="A15276" s="118"/>
      <c r="B15276" s="136"/>
    </row>
    <row r="15277" spans="1:2" x14ac:dyDescent="0.25">
      <c r="A15277" s="118"/>
      <c r="B15277" s="136"/>
    </row>
    <row r="15278" spans="1:2" x14ac:dyDescent="0.25">
      <c r="A15278" s="118"/>
      <c r="B15278" s="136"/>
    </row>
    <row r="15279" spans="1:2" x14ac:dyDescent="0.25">
      <c r="A15279" s="118"/>
      <c r="B15279" s="136"/>
    </row>
    <row r="15280" spans="1:2" x14ac:dyDescent="0.25">
      <c r="A15280" s="118"/>
      <c r="B15280" s="136"/>
    </row>
    <row r="15281" spans="1:2" x14ac:dyDescent="0.25">
      <c r="A15281" s="118"/>
      <c r="B15281" s="136"/>
    </row>
    <row r="15282" spans="1:2" x14ac:dyDescent="0.25">
      <c r="A15282" s="118"/>
      <c r="B15282" s="136"/>
    </row>
    <row r="15283" spans="1:2" x14ac:dyDescent="0.25">
      <c r="A15283" s="118"/>
      <c r="B15283" s="136"/>
    </row>
    <row r="15284" spans="1:2" x14ac:dyDescent="0.25">
      <c r="A15284" s="118"/>
      <c r="B15284" s="136"/>
    </row>
    <row r="15285" spans="1:2" x14ac:dyDescent="0.25">
      <c r="A15285" s="118"/>
      <c r="B15285" s="136"/>
    </row>
    <row r="15286" spans="1:2" x14ac:dyDescent="0.25">
      <c r="A15286" s="118"/>
      <c r="B15286" s="136"/>
    </row>
    <row r="15287" spans="1:2" x14ac:dyDescent="0.25">
      <c r="A15287" s="118"/>
      <c r="B15287" s="136"/>
    </row>
    <row r="15288" spans="1:2" x14ac:dyDescent="0.25">
      <c r="A15288" s="118"/>
      <c r="B15288" s="136"/>
    </row>
    <row r="15289" spans="1:2" x14ac:dyDescent="0.25">
      <c r="A15289" s="118"/>
      <c r="B15289" s="136"/>
    </row>
    <row r="15290" spans="1:2" x14ac:dyDescent="0.25">
      <c r="A15290" s="118"/>
      <c r="B15290" s="136"/>
    </row>
    <row r="15291" spans="1:2" x14ac:dyDescent="0.25">
      <c r="A15291" s="118"/>
      <c r="B15291" s="136"/>
    </row>
    <row r="15292" spans="1:2" x14ac:dyDescent="0.25">
      <c r="A15292" s="118"/>
      <c r="B15292" s="136"/>
    </row>
    <row r="15293" spans="1:2" x14ac:dyDescent="0.25">
      <c r="A15293" s="118"/>
      <c r="B15293" s="136"/>
    </row>
    <row r="15294" spans="1:2" x14ac:dyDescent="0.25">
      <c r="A15294" s="118"/>
      <c r="B15294" s="136"/>
    </row>
    <row r="15295" spans="1:2" x14ac:dyDescent="0.25">
      <c r="A15295" s="118"/>
      <c r="B15295" s="136"/>
    </row>
    <row r="15296" spans="1:2" x14ac:dyDescent="0.25">
      <c r="A15296" s="118"/>
      <c r="B15296" s="136"/>
    </row>
    <row r="15297" spans="1:2" x14ac:dyDescent="0.25">
      <c r="A15297" s="118"/>
      <c r="B15297" s="136"/>
    </row>
    <row r="15298" spans="1:2" x14ac:dyDescent="0.25">
      <c r="A15298" s="118"/>
      <c r="B15298" s="136"/>
    </row>
    <row r="15299" spans="1:2" x14ac:dyDescent="0.25">
      <c r="A15299" s="118"/>
      <c r="B15299" s="136"/>
    </row>
    <row r="15300" spans="1:2" x14ac:dyDescent="0.25">
      <c r="A15300" s="118"/>
      <c r="B15300" s="136"/>
    </row>
    <row r="15301" spans="1:2" x14ac:dyDescent="0.25">
      <c r="A15301" s="118"/>
      <c r="B15301" s="136"/>
    </row>
    <row r="15302" spans="1:2" x14ac:dyDescent="0.25">
      <c r="A15302" s="118"/>
      <c r="B15302" s="136"/>
    </row>
    <row r="15303" spans="1:2" x14ac:dyDescent="0.25">
      <c r="A15303" s="118"/>
      <c r="B15303" s="136"/>
    </row>
    <row r="15304" spans="1:2" x14ac:dyDescent="0.25">
      <c r="A15304" s="118"/>
      <c r="B15304" s="136"/>
    </row>
    <row r="15305" spans="1:2" x14ac:dyDescent="0.25">
      <c r="A15305" s="118"/>
      <c r="B15305" s="136"/>
    </row>
    <row r="15306" spans="1:2" x14ac:dyDescent="0.25">
      <c r="A15306" s="118"/>
      <c r="B15306" s="136"/>
    </row>
    <row r="15307" spans="1:2" x14ac:dyDescent="0.25">
      <c r="A15307" s="118"/>
      <c r="B15307" s="136"/>
    </row>
    <row r="15308" spans="1:2" x14ac:dyDescent="0.25">
      <c r="A15308" s="118"/>
      <c r="B15308" s="136"/>
    </row>
    <row r="15309" spans="1:2" x14ac:dyDescent="0.25">
      <c r="A15309" s="118"/>
      <c r="B15309" s="136"/>
    </row>
    <row r="15310" spans="1:2" x14ac:dyDescent="0.25">
      <c r="A15310" s="118"/>
      <c r="B15310" s="136"/>
    </row>
    <row r="15311" spans="1:2" x14ac:dyDescent="0.25">
      <c r="A15311" s="118"/>
      <c r="B15311" s="136"/>
    </row>
    <row r="15312" spans="1:2" x14ac:dyDescent="0.25">
      <c r="A15312" s="118"/>
      <c r="B15312" s="136"/>
    </row>
    <row r="15313" spans="1:2" x14ac:dyDescent="0.25">
      <c r="A15313" s="118"/>
      <c r="B15313" s="136"/>
    </row>
    <row r="15314" spans="1:2" x14ac:dyDescent="0.25">
      <c r="A15314" s="118"/>
      <c r="B15314" s="136"/>
    </row>
    <row r="15315" spans="1:2" x14ac:dyDescent="0.25">
      <c r="A15315" s="118"/>
      <c r="B15315" s="136"/>
    </row>
    <row r="15316" spans="1:2" x14ac:dyDescent="0.25">
      <c r="A15316" s="118"/>
      <c r="B15316" s="136"/>
    </row>
    <row r="15317" spans="1:2" x14ac:dyDescent="0.25">
      <c r="A15317" s="118"/>
      <c r="B15317" s="136"/>
    </row>
    <row r="15318" spans="1:2" x14ac:dyDescent="0.25">
      <c r="A15318" s="118"/>
      <c r="B15318" s="136"/>
    </row>
    <row r="15319" spans="1:2" x14ac:dyDescent="0.25">
      <c r="A15319" s="118"/>
      <c r="B15319" s="136"/>
    </row>
    <row r="15320" spans="1:2" x14ac:dyDescent="0.25">
      <c r="A15320" s="118"/>
      <c r="B15320" s="136"/>
    </row>
    <row r="15321" spans="1:2" x14ac:dyDescent="0.25">
      <c r="A15321" s="118"/>
      <c r="B15321" s="136"/>
    </row>
    <row r="15322" spans="1:2" x14ac:dyDescent="0.25">
      <c r="A15322" s="118"/>
      <c r="B15322" s="136"/>
    </row>
    <row r="15323" spans="1:2" x14ac:dyDescent="0.25">
      <c r="A15323" s="118"/>
      <c r="B15323" s="136"/>
    </row>
    <row r="15324" spans="1:2" x14ac:dyDescent="0.25">
      <c r="A15324" s="118"/>
      <c r="B15324" s="136"/>
    </row>
    <row r="15325" spans="1:2" x14ac:dyDescent="0.25">
      <c r="A15325" s="118"/>
      <c r="B15325" s="136"/>
    </row>
    <row r="15326" spans="1:2" x14ac:dyDescent="0.25">
      <c r="A15326" s="118"/>
      <c r="B15326" s="136"/>
    </row>
    <row r="15327" spans="1:2" x14ac:dyDescent="0.25">
      <c r="A15327" s="118"/>
      <c r="B15327" s="136"/>
    </row>
    <row r="15328" spans="1:2" x14ac:dyDescent="0.25">
      <c r="A15328" s="118"/>
      <c r="B15328" s="136"/>
    </row>
    <row r="15329" spans="1:2" x14ac:dyDescent="0.25">
      <c r="A15329" s="118"/>
      <c r="B15329" s="136"/>
    </row>
    <row r="15330" spans="1:2" x14ac:dyDescent="0.25">
      <c r="A15330" s="118"/>
      <c r="B15330" s="136"/>
    </row>
    <row r="15331" spans="1:2" x14ac:dyDescent="0.25">
      <c r="A15331" s="118"/>
      <c r="B15331" s="136"/>
    </row>
    <row r="15332" spans="1:2" x14ac:dyDescent="0.25">
      <c r="A15332" s="118"/>
      <c r="B15332" s="136"/>
    </row>
    <row r="15333" spans="1:2" x14ac:dyDescent="0.25">
      <c r="A15333" s="118"/>
      <c r="B15333" s="136"/>
    </row>
    <row r="15334" spans="1:2" x14ac:dyDescent="0.25">
      <c r="A15334" s="118"/>
      <c r="B15334" s="136"/>
    </row>
    <row r="15335" spans="1:2" x14ac:dyDescent="0.25">
      <c r="A15335" s="118"/>
      <c r="B15335" s="136"/>
    </row>
    <row r="15336" spans="1:2" x14ac:dyDescent="0.25">
      <c r="A15336" s="118"/>
      <c r="B15336" s="136"/>
    </row>
    <row r="15337" spans="1:2" x14ac:dyDescent="0.25">
      <c r="A15337" s="118"/>
      <c r="B15337" s="136"/>
    </row>
    <row r="15338" spans="1:2" x14ac:dyDescent="0.25">
      <c r="A15338" s="118"/>
      <c r="B15338" s="136"/>
    </row>
    <row r="15339" spans="1:2" x14ac:dyDescent="0.25">
      <c r="A15339" s="118"/>
      <c r="B15339" s="136"/>
    </row>
    <row r="15340" spans="1:2" x14ac:dyDescent="0.25">
      <c r="A15340" s="118"/>
      <c r="B15340" s="136"/>
    </row>
    <row r="15341" spans="1:2" x14ac:dyDescent="0.25">
      <c r="A15341" s="118"/>
      <c r="B15341" s="136"/>
    </row>
    <row r="15342" spans="1:2" x14ac:dyDescent="0.25">
      <c r="A15342" s="118"/>
      <c r="B15342" s="136"/>
    </row>
    <row r="15343" spans="1:2" x14ac:dyDescent="0.25">
      <c r="A15343" s="118"/>
      <c r="B15343" s="136"/>
    </row>
    <row r="15344" spans="1:2" x14ac:dyDescent="0.25">
      <c r="A15344" s="118"/>
      <c r="B15344" s="136"/>
    </row>
    <row r="15345" spans="1:2" x14ac:dyDescent="0.25">
      <c r="A15345" s="118"/>
      <c r="B15345" s="136"/>
    </row>
    <row r="15346" spans="1:2" x14ac:dyDescent="0.25">
      <c r="A15346" s="118"/>
      <c r="B15346" s="136"/>
    </row>
    <row r="15347" spans="1:2" x14ac:dyDescent="0.25">
      <c r="A15347" s="118"/>
      <c r="B15347" s="136"/>
    </row>
    <row r="15348" spans="1:2" x14ac:dyDescent="0.25">
      <c r="A15348" s="118"/>
      <c r="B15348" s="136"/>
    </row>
    <row r="15349" spans="1:2" x14ac:dyDescent="0.25">
      <c r="A15349" s="118"/>
      <c r="B15349" s="136"/>
    </row>
    <row r="15350" spans="1:2" x14ac:dyDescent="0.25">
      <c r="A15350" s="118"/>
      <c r="B15350" s="136"/>
    </row>
    <row r="15351" spans="1:2" x14ac:dyDescent="0.25">
      <c r="A15351" s="118"/>
      <c r="B15351" s="136"/>
    </row>
    <row r="15352" spans="1:2" x14ac:dyDescent="0.25">
      <c r="A15352" s="118"/>
      <c r="B15352" s="136"/>
    </row>
    <row r="15353" spans="1:2" x14ac:dyDescent="0.25">
      <c r="A15353" s="118"/>
      <c r="B15353" s="136"/>
    </row>
    <row r="15354" spans="1:2" x14ac:dyDescent="0.25">
      <c r="A15354" s="118"/>
      <c r="B15354" s="136"/>
    </row>
    <row r="15355" spans="1:2" x14ac:dyDescent="0.25">
      <c r="A15355" s="118"/>
      <c r="B15355" s="136"/>
    </row>
    <row r="15356" spans="1:2" x14ac:dyDescent="0.25">
      <c r="A15356" s="118"/>
      <c r="B15356" s="136"/>
    </row>
    <row r="15357" spans="1:2" x14ac:dyDescent="0.25">
      <c r="A15357" s="118"/>
      <c r="B15357" s="136"/>
    </row>
    <row r="15358" spans="1:2" x14ac:dyDescent="0.25">
      <c r="A15358" s="118"/>
      <c r="B15358" s="136"/>
    </row>
    <row r="15359" spans="1:2" x14ac:dyDescent="0.25">
      <c r="A15359" s="118"/>
      <c r="B15359" s="136"/>
    </row>
    <row r="15360" spans="1:2" x14ac:dyDescent="0.25">
      <c r="A15360" s="118"/>
      <c r="B15360" s="136"/>
    </row>
    <row r="15361" spans="1:2" x14ac:dyDescent="0.25">
      <c r="A15361" s="118"/>
      <c r="B15361" s="136"/>
    </row>
    <row r="15362" spans="1:2" x14ac:dyDescent="0.25">
      <c r="A15362" s="118"/>
      <c r="B15362" s="136"/>
    </row>
    <row r="15363" spans="1:2" x14ac:dyDescent="0.25">
      <c r="A15363" s="118"/>
      <c r="B15363" s="136"/>
    </row>
    <row r="15364" spans="1:2" x14ac:dyDescent="0.25">
      <c r="A15364" s="118"/>
      <c r="B15364" s="136"/>
    </row>
    <row r="15365" spans="1:2" x14ac:dyDescent="0.25">
      <c r="A15365" s="118"/>
      <c r="B15365" s="136"/>
    </row>
    <row r="15366" spans="1:2" x14ac:dyDescent="0.25">
      <c r="A15366" s="118"/>
      <c r="B15366" s="136"/>
    </row>
    <row r="15367" spans="1:2" x14ac:dyDescent="0.25">
      <c r="A15367" s="118"/>
      <c r="B15367" s="136"/>
    </row>
    <row r="15368" spans="1:2" x14ac:dyDescent="0.25">
      <c r="A15368" s="118"/>
      <c r="B15368" s="136"/>
    </row>
    <row r="15369" spans="1:2" x14ac:dyDescent="0.25">
      <c r="A15369" s="118"/>
      <c r="B15369" s="136"/>
    </row>
    <row r="15370" spans="1:2" x14ac:dyDescent="0.25">
      <c r="A15370" s="118"/>
      <c r="B15370" s="136"/>
    </row>
    <row r="15371" spans="1:2" x14ac:dyDescent="0.25">
      <c r="A15371" s="118"/>
      <c r="B15371" s="136"/>
    </row>
    <row r="15372" spans="1:2" x14ac:dyDescent="0.25">
      <c r="A15372" s="118"/>
      <c r="B15372" s="136"/>
    </row>
    <row r="15373" spans="1:2" x14ac:dyDescent="0.25">
      <c r="A15373" s="118"/>
      <c r="B15373" s="136"/>
    </row>
    <row r="15374" spans="1:2" x14ac:dyDescent="0.25">
      <c r="A15374" s="118"/>
      <c r="B15374" s="136"/>
    </row>
    <row r="15375" spans="1:2" x14ac:dyDescent="0.25">
      <c r="A15375" s="118"/>
      <c r="B15375" s="136"/>
    </row>
    <row r="15376" spans="1:2" x14ac:dyDescent="0.25">
      <c r="A15376" s="118"/>
      <c r="B15376" s="136"/>
    </row>
    <row r="15377" spans="1:2" x14ac:dyDescent="0.25">
      <c r="A15377" s="118"/>
      <c r="B15377" s="136"/>
    </row>
    <row r="15378" spans="1:2" x14ac:dyDescent="0.25">
      <c r="A15378" s="118"/>
      <c r="B15378" s="136"/>
    </row>
    <row r="15379" spans="1:2" x14ac:dyDescent="0.25">
      <c r="A15379" s="118"/>
      <c r="B15379" s="136"/>
    </row>
    <row r="15380" spans="1:2" x14ac:dyDescent="0.25">
      <c r="A15380" s="118"/>
      <c r="B15380" s="136"/>
    </row>
    <row r="15381" spans="1:2" x14ac:dyDescent="0.25">
      <c r="A15381" s="118"/>
      <c r="B15381" s="136"/>
    </row>
    <row r="15382" spans="1:2" x14ac:dyDescent="0.25">
      <c r="A15382" s="118"/>
      <c r="B15382" s="136"/>
    </row>
    <row r="15383" spans="1:2" x14ac:dyDescent="0.25">
      <c r="A15383" s="118"/>
      <c r="B15383" s="136"/>
    </row>
    <row r="15384" spans="1:2" x14ac:dyDescent="0.25">
      <c r="A15384" s="118"/>
      <c r="B15384" s="136"/>
    </row>
    <row r="15385" spans="1:2" x14ac:dyDescent="0.25">
      <c r="A15385" s="118"/>
      <c r="B15385" s="136"/>
    </row>
    <row r="15386" spans="1:2" x14ac:dyDescent="0.25">
      <c r="A15386" s="118"/>
      <c r="B15386" s="136"/>
    </row>
    <row r="15387" spans="1:2" x14ac:dyDescent="0.25">
      <c r="A15387" s="118"/>
      <c r="B15387" s="136"/>
    </row>
    <row r="15388" spans="1:2" x14ac:dyDescent="0.25">
      <c r="A15388" s="118"/>
      <c r="B15388" s="136"/>
    </row>
    <row r="15389" spans="1:2" x14ac:dyDescent="0.25">
      <c r="A15389" s="118"/>
      <c r="B15389" s="136"/>
    </row>
    <row r="15390" spans="1:2" x14ac:dyDescent="0.25">
      <c r="A15390" s="118"/>
      <c r="B15390" s="136"/>
    </row>
    <row r="15391" spans="1:2" x14ac:dyDescent="0.25">
      <c r="A15391" s="118"/>
      <c r="B15391" s="136"/>
    </row>
    <row r="15392" spans="1:2" x14ac:dyDescent="0.25">
      <c r="A15392" s="118"/>
      <c r="B15392" s="136"/>
    </row>
    <row r="15393" spans="1:2" x14ac:dyDescent="0.25">
      <c r="A15393" s="118"/>
      <c r="B15393" s="136"/>
    </row>
    <row r="15394" spans="1:2" x14ac:dyDescent="0.25">
      <c r="A15394" s="118"/>
      <c r="B15394" s="136"/>
    </row>
    <row r="15395" spans="1:2" x14ac:dyDescent="0.25">
      <c r="A15395" s="118"/>
      <c r="B15395" s="136"/>
    </row>
    <row r="15396" spans="1:2" x14ac:dyDescent="0.25">
      <c r="A15396" s="118"/>
      <c r="B15396" s="136"/>
    </row>
    <row r="15397" spans="1:2" x14ac:dyDescent="0.25">
      <c r="A15397" s="118"/>
      <c r="B15397" s="136"/>
    </row>
    <row r="15398" spans="1:2" x14ac:dyDescent="0.25">
      <c r="A15398" s="118"/>
      <c r="B15398" s="136"/>
    </row>
    <row r="15399" spans="1:2" x14ac:dyDescent="0.25">
      <c r="A15399" s="118"/>
      <c r="B15399" s="136"/>
    </row>
    <row r="15400" spans="1:2" x14ac:dyDescent="0.25">
      <c r="A15400" s="118"/>
      <c r="B15400" s="136"/>
    </row>
    <row r="15401" spans="1:2" x14ac:dyDescent="0.25">
      <c r="A15401" s="118"/>
      <c r="B15401" s="136"/>
    </row>
    <row r="15402" spans="1:2" x14ac:dyDescent="0.25">
      <c r="A15402" s="118"/>
      <c r="B15402" s="136"/>
    </row>
    <row r="15403" spans="1:2" x14ac:dyDescent="0.25">
      <c r="A15403" s="118"/>
      <c r="B15403" s="136"/>
    </row>
    <row r="15404" spans="1:2" x14ac:dyDescent="0.25">
      <c r="A15404" s="118"/>
      <c r="B15404" s="136"/>
    </row>
    <row r="15405" spans="1:2" x14ac:dyDescent="0.25">
      <c r="A15405" s="118"/>
      <c r="B15405" s="136"/>
    </row>
    <row r="15406" spans="1:2" x14ac:dyDescent="0.25">
      <c r="A15406" s="118"/>
      <c r="B15406" s="136"/>
    </row>
    <row r="15407" spans="1:2" x14ac:dyDescent="0.25">
      <c r="A15407" s="118"/>
      <c r="B15407" s="136"/>
    </row>
    <row r="15408" spans="1:2" x14ac:dyDescent="0.25">
      <c r="A15408" s="118"/>
      <c r="B15408" s="136"/>
    </row>
    <row r="15409" spans="1:2" x14ac:dyDescent="0.25">
      <c r="A15409" s="118"/>
      <c r="B15409" s="136"/>
    </row>
    <row r="15410" spans="1:2" x14ac:dyDescent="0.25">
      <c r="A15410" s="118"/>
      <c r="B15410" s="136"/>
    </row>
    <row r="15411" spans="1:2" x14ac:dyDescent="0.25">
      <c r="A15411" s="118"/>
      <c r="B15411" s="136"/>
    </row>
    <row r="15412" spans="1:2" x14ac:dyDescent="0.25">
      <c r="A15412" s="118"/>
      <c r="B15412" s="136"/>
    </row>
    <row r="15413" spans="1:2" x14ac:dyDescent="0.25">
      <c r="A15413" s="118"/>
      <c r="B15413" s="136"/>
    </row>
    <row r="15414" spans="1:2" x14ac:dyDescent="0.25">
      <c r="A15414" s="118"/>
      <c r="B15414" s="136"/>
    </row>
    <row r="15415" spans="1:2" x14ac:dyDescent="0.25">
      <c r="A15415" s="118"/>
      <c r="B15415" s="136"/>
    </row>
    <row r="15416" spans="1:2" x14ac:dyDescent="0.25">
      <c r="A15416" s="118"/>
      <c r="B15416" s="136"/>
    </row>
    <row r="15417" spans="1:2" x14ac:dyDescent="0.25">
      <c r="A15417" s="118"/>
      <c r="B15417" s="136"/>
    </row>
    <row r="15418" spans="1:2" x14ac:dyDescent="0.25">
      <c r="A15418" s="118"/>
      <c r="B15418" s="136"/>
    </row>
    <row r="15419" spans="1:2" x14ac:dyDescent="0.25">
      <c r="A15419" s="118"/>
      <c r="B15419" s="136"/>
    </row>
    <row r="15420" spans="1:2" x14ac:dyDescent="0.25">
      <c r="A15420" s="118"/>
      <c r="B15420" s="136"/>
    </row>
    <row r="15421" spans="1:2" x14ac:dyDescent="0.25">
      <c r="A15421" s="118"/>
      <c r="B15421" s="136"/>
    </row>
    <row r="15422" spans="1:2" x14ac:dyDescent="0.25">
      <c r="A15422" s="118"/>
      <c r="B15422" s="136"/>
    </row>
    <row r="15423" spans="1:2" x14ac:dyDescent="0.25">
      <c r="A15423" s="118"/>
      <c r="B15423" s="136"/>
    </row>
    <row r="15424" spans="1:2" x14ac:dyDescent="0.25">
      <c r="A15424" s="118"/>
      <c r="B15424" s="136"/>
    </row>
    <row r="15425" spans="1:2" x14ac:dyDescent="0.25">
      <c r="A15425" s="118"/>
      <c r="B15425" s="136"/>
    </row>
    <row r="15426" spans="1:2" x14ac:dyDescent="0.25">
      <c r="A15426" s="118"/>
      <c r="B15426" s="136"/>
    </row>
    <row r="15427" spans="1:2" x14ac:dyDescent="0.25">
      <c r="A15427" s="118"/>
      <c r="B15427" s="136"/>
    </row>
    <row r="15428" spans="1:2" x14ac:dyDescent="0.25">
      <c r="A15428" s="118"/>
      <c r="B15428" s="136"/>
    </row>
    <row r="15429" spans="1:2" x14ac:dyDescent="0.25">
      <c r="A15429" s="118"/>
      <c r="B15429" s="136"/>
    </row>
    <row r="15430" spans="1:2" x14ac:dyDescent="0.25">
      <c r="A15430" s="118"/>
      <c r="B15430" s="136"/>
    </row>
    <row r="15431" spans="1:2" x14ac:dyDescent="0.25">
      <c r="A15431" s="118"/>
      <c r="B15431" s="136"/>
    </row>
    <row r="15432" spans="1:2" x14ac:dyDescent="0.25">
      <c r="A15432" s="118"/>
      <c r="B15432" s="136"/>
    </row>
    <row r="15433" spans="1:2" x14ac:dyDescent="0.25">
      <c r="A15433" s="118"/>
      <c r="B15433" s="136"/>
    </row>
    <row r="15434" spans="1:2" x14ac:dyDescent="0.25">
      <c r="A15434" s="118"/>
      <c r="B15434" s="136"/>
    </row>
    <row r="15435" spans="1:2" x14ac:dyDescent="0.25">
      <c r="A15435" s="118"/>
      <c r="B15435" s="136"/>
    </row>
    <row r="15436" spans="1:2" x14ac:dyDescent="0.25">
      <c r="A15436" s="118"/>
      <c r="B15436" s="136"/>
    </row>
    <row r="15437" spans="1:2" x14ac:dyDescent="0.25">
      <c r="A15437" s="118"/>
      <c r="B15437" s="136"/>
    </row>
    <row r="15438" spans="1:2" x14ac:dyDescent="0.25">
      <c r="A15438" s="118"/>
      <c r="B15438" s="136"/>
    </row>
    <row r="15439" spans="1:2" x14ac:dyDescent="0.25">
      <c r="A15439" s="118"/>
      <c r="B15439" s="136"/>
    </row>
    <row r="15440" spans="1:2" x14ac:dyDescent="0.25">
      <c r="A15440" s="118"/>
      <c r="B15440" s="136"/>
    </row>
    <row r="15441" spans="1:2" x14ac:dyDescent="0.25">
      <c r="A15441" s="118"/>
      <c r="B15441" s="136"/>
    </row>
    <row r="15442" spans="1:2" x14ac:dyDescent="0.25">
      <c r="A15442" s="118"/>
      <c r="B15442" s="136"/>
    </row>
    <row r="15443" spans="1:2" x14ac:dyDescent="0.25">
      <c r="A15443" s="118"/>
      <c r="B15443" s="136"/>
    </row>
    <row r="15444" spans="1:2" x14ac:dyDescent="0.25">
      <c r="A15444" s="118"/>
      <c r="B15444" s="136"/>
    </row>
    <row r="15445" spans="1:2" x14ac:dyDescent="0.25">
      <c r="A15445" s="118"/>
      <c r="B15445" s="136"/>
    </row>
    <row r="15446" spans="1:2" x14ac:dyDescent="0.25">
      <c r="A15446" s="118"/>
      <c r="B15446" s="136"/>
    </row>
    <row r="15447" spans="1:2" x14ac:dyDescent="0.25">
      <c r="A15447" s="118"/>
      <c r="B15447" s="136"/>
    </row>
    <row r="15448" spans="1:2" x14ac:dyDescent="0.25">
      <c r="A15448" s="118"/>
      <c r="B15448" s="136"/>
    </row>
    <row r="15449" spans="1:2" x14ac:dyDescent="0.25">
      <c r="A15449" s="118"/>
      <c r="B15449" s="136"/>
    </row>
    <row r="15450" spans="1:2" x14ac:dyDescent="0.25">
      <c r="A15450" s="118"/>
      <c r="B15450" s="136"/>
    </row>
    <row r="15451" spans="1:2" x14ac:dyDescent="0.25">
      <c r="A15451" s="118"/>
      <c r="B15451" s="136"/>
    </row>
    <row r="15452" spans="1:2" x14ac:dyDescent="0.25">
      <c r="A15452" s="118"/>
      <c r="B15452" s="136"/>
    </row>
    <row r="15453" spans="1:2" x14ac:dyDescent="0.25">
      <c r="A15453" s="118"/>
      <c r="B15453" s="136"/>
    </row>
    <row r="15454" spans="1:2" x14ac:dyDescent="0.25">
      <c r="A15454" s="118"/>
      <c r="B15454" s="136"/>
    </row>
    <row r="15455" spans="1:2" x14ac:dyDescent="0.25">
      <c r="A15455" s="118"/>
      <c r="B15455" s="136"/>
    </row>
    <row r="15456" spans="1:2" x14ac:dyDescent="0.25">
      <c r="A15456" s="118"/>
      <c r="B15456" s="136"/>
    </row>
    <row r="15457" spans="1:2" x14ac:dyDescent="0.25">
      <c r="A15457" s="118"/>
      <c r="B15457" s="136"/>
    </row>
    <row r="15458" spans="1:2" x14ac:dyDescent="0.25">
      <c r="A15458" s="118"/>
      <c r="B15458" s="136"/>
    </row>
    <row r="15459" spans="1:2" x14ac:dyDescent="0.25">
      <c r="A15459" s="118"/>
      <c r="B15459" s="136"/>
    </row>
    <row r="15460" spans="1:2" x14ac:dyDescent="0.25">
      <c r="A15460" s="118"/>
      <c r="B15460" s="136"/>
    </row>
    <row r="15461" spans="1:2" x14ac:dyDescent="0.25">
      <c r="A15461" s="118"/>
      <c r="B15461" s="136"/>
    </row>
    <row r="15462" spans="1:2" x14ac:dyDescent="0.25">
      <c r="A15462" s="118"/>
      <c r="B15462" s="136"/>
    </row>
    <row r="15463" spans="1:2" x14ac:dyDescent="0.25">
      <c r="A15463" s="118"/>
      <c r="B15463" s="136"/>
    </row>
    <row r="15464" spans="1:2" x14ac:dyDescent="0.25">
      <c r="A15464" s="118"/>
      <c r="B15464" s="136"/>
    </row>
    <row r="15465" spans="1:2" x14ac:dyDescent="0.25">
      <c r="A15465" s="118"/>
      <c r="B15465" s="136"/>
    </row>
    <row r="15466" spans="1:2" x14ac:dyDescent="0.25">
      <c r="A15466" s="118"/>
      <c r="B15466" s="136"/>
    </row>
    <row r="15467" spans="1:2" x14ac:dyDescent="0.25">
      <c r="A15467" s="118"/>
      <c r="B15467" s="136"/>
    </row>
    <row r="15468" spans="1:2" x14ac:dyDescent="0.25">
      <c r="A15468" s="118"/>
      <c r="B15468" s="136"/>
    </row>
    <row r="15469" spans="1:2" x14ac:dyDescent="0.25">
      <c r="A15469" s="118"/>
      <c r="B15469" s="136"/>
    </row>
    <row r="15470" spans="1:2" x14ac:dyDescent="0.25">
      <c r="A15470" s="118"/>
      <c r="B15470" s="136"/>
    </row>
    <row r="15471" spans="1:2" x14ac:dyDescent="0.25">
      <c r="A15471" s="118"/>
      <c r="B15471" s="136"/>
    </row>
    <row r="15472" spans="1:2" x14ac:dyDescent="0.25">
      <c r="A15472" s="118"/>
      <c r="B15472" s="136"/>
    </row>
    <row r="15473" spans="1:2" x14ac:dyDescent="0.25">
      <c r="A15473" s="118"/>
      <c r="B15473" s="136"/>
    </row>
    <row r="15474" spans="1:2" x14ac:dyDescent="0.25">
      <c r="A15474" s="118"/>
      <c r="B15474" s="136"/>
    </row>
    <row r="15475" spans="1:2" x14ac:dyDescent="0.25">
      <c r="A15475" s="118"/>
      <c r="B15475" s="136"/>
    </row>
    <row r="15476" spans="1:2" x14ac:dyDescent="0.25">
      <c r="A15476" s="118"/>
      <c r="B15476" s="136"/>
    </row>
    <row r="15477" spans="1:2" x14ac:dyDescent="0.25">
      <c r="A15477" s="118"/>
      <c r="B15477" s="136"/>
    </row>
    <row r="15478" spans="1:2" x14ac:dyDescent="0.25">
      <c r="A15478" s="118"/>
      <c r="B15478" s="136"/>
    </row>
    <row r="15479" spans="1:2" x14ac:dyDescent="0.25">
      <c r="A15479" s="118"/>
      <c r="B15479" s="136"/>
    </row>
    <row r="15480" spans="1:2" x14ac:dyDescent="0.25">
      <c r="A15480" s="118"/>
      <c r="B15480" s="136"/>
    </row>
    <row r="15481" spans="1:2" x14ac:dyDescent="0.25">
      <c r="A15481" s="118"/>
      <c r="B15481" s="136"/>
    </row>
    <row r="15482" spans="1:2" x14ac:dyDescent="0.25">
      <c r="A15482" s="118"/>
      <c r="B15482" s="136"/>
    </row>
    <row r="15483" spans="1:2" x14ac:dyDescent="0.25">
      <c r="A15483" s="118"/>
      <c r="B15483" s="136"/>
    </row>
    <row r="15484" spans="1:2" x14ac:dyDescent="0.25">
      <c r="A15484" s="118"/>
      <c r="B15484" s="136"/>
    </row>
    <row r="15485" spans="1:2" x14ac:dyDescent="0.25">
      <c r="A15485" s="118"/>
      <c r="B15485" s="136"/>
    </row>
    <row r="15486" spans="1:2" x14ac:dyDescent="0.25">
      <c r="A15486" s="118"/>
      <c r="B15486" s="136"/>
    </row>
    <row r="15487" spans="1:2" x14ac:dyDescent="0.25">
      <c r="A15487" s="118"/>
      <c r="B15487" s="136"/>
    </row>
    <row r="15488" spans="1:2" x14ac:dyDescent="0.25">
      <c r="A15488" s="118"/>
      <c r="B15488" s="136"/>
    </row>
    <row r="15489" spans="1:2" x14ac:dyDescent="0.25">
      <c r="A15489" s="118"/>
      <c r="B15489" s="136"/>
    </row>
    <row r="15490" spans="1:2" x14ac:dyDescent="0.25">
      <c r="A15490" s="118"/>
      <c r="B15490" s="136"/>
    </row>
    <row r="15491" spans="1:2" x14ac:dyDescent="0.25">
      <c r="A15491" s="118"/>
      <c r="B15491" s="136"/>
    </row>
    <row r="15492" spans="1:2" x14ac:dyDescent="0.25">
      <c r="A15492" s="118"/>
      <c r="B15492" s="136"/>
    </row>
    <row r="15493" spans="1:2" x14ac:dyDescent="0.25">
      <c r="A15493" s="118"/>
      <c r="B15493" s="136"/>
    </row>
    <row r="15494" spans="1:2" x14ac:dyDescent="0.25">
      <c r="A15494" s="118"/>
      <c r="B15494" s="136"/>
    </row>
    <row r="15495" spans="1:2" x14ac:dyDescent="0.25">
      <c r="A15495" s="118"/>
      <c r="B15495" s="136"/>
    </row>
    <row r="15496" spans="1:2" x14ac:dyDescent="0.25">
      <c r="A15496" s="118"/>
      <c r="B15496" s="136"/>
    </row>
    <row r="15497" spans="1:2" x14ac:dyDescent="0.25">
      <c r="A15497" s="118"/>
      <c r="B15497" s="136"/>
    </row>
    <row r="15498" spans="1:2" x14ac:dyDescent="0.25">
      <c r="A15498" s="118"/>
      <c r="B15498" s="136"/>
    </row>
    <row r="15499" spans="1:2" x14ac:dyDescent="0.25">
      <c r="A15499" s="118"/>
      <c r="B15499" s="136"/>
    </row>
    <row r="15500" spans="1:2" x14ac:dyDescent="0.25">
      <c r="A15500" s="118"/>
      <c r="B15500" s="136"/>
    </row>
    <row r="15501" spans="1:2" x14ac:dyDescent="0.25">
      <c r="A15501" s="118"/>
      <c r="B15501" s="136"/>
    </row>
    <row r="15502" spans="1:2" x14ac:dyDescent="0.25">
      <c r="A15502" s="118"/>
      <c r="B15502" s="136"/>
    </row>
    <row r="15503" spans="1:2" x14ac:dyDescent="0.25">
      <c r="A15503" s="118"/>
      <c r="B15503" s="136"/>
    </row>
    <row r="15504" spans="1:2" x14ac:dyDescent="0.25">
      <c r="A15504" s="118"/>
      <c r="B15504" s="136"/>
    </row>
    <row r="15505" spans="1:2" x14ac:dyDescent="0.25">
      <c r="A15505" s="118"/>
      <c r="B15505" s="136"/>
    </row>
    <row r="15506" spans="1:2" x14ac:dyDescent="0.25">
      <c r="A15506" s="118"/>
      <c r="B15506" s="136"/>
    </row>
    <row r="15507" spans="1:2" x14ac:dyDescent="0.25">
      <c r="A15507" s="118"/>
      <c r="B15507" s="136"/>
    </row>
    <row r="15508" spans="1:2" x14ac:dyDescent="0.25">
      <c r="A15508" s="118"/>
      <c r="B15508" s="136"/>
    </row>
    <row r="15509" spans="1:2" x14ac:dyDescent="0.25">
      <c r="A15509" s="118"/>
      <c r="B15509" s="136"/>
    </row>
    <row r="15510" spans="1:2" x14ac:dyDescent="0.25">
      <c r="A15510" s="118"/>
      <c r="B15510" s="136"/>
    </row>
    <row r="15511" spans="1:2" x14ac:dyDescent="0.25">
      <c r="A15511" s="118"/>
      <c r="B15511" s="136"/>
    </row>
    <row r="15512" spans="1:2" x14ac:dyDescent="0.25">
      <c r="A15512" s="118"/>
      <c r="B15512" s="136"/>
    </row>
    <row r="15513" spans="1:2" x14ac:dyDescent="0.25">
      <c r="A15513" s="118"/>
      <c r="B15513" s="136"/>
    </row>
    <row r="15514" spans="1:2" x14ac:dyDescent="0.25">
      <c r="A15514" s="118"/>
      <c r="B15514" s="136"/>
    </row>
    <row r="15515" spans="1:2" x14ac:dyDescent="0.25">
      <c r="A15515" s="118"/>
      <c r="B15515" s="136"/>
    </row>
    <row r="15516" spans="1:2" x14ac:dyDescent="0.25">
      <c r="A15516" s="118"/>
      <c r="B15516" s="136"/>
    </row>
    <row r="15517" spans="1:2" x14ac:dyDescent="0.25">
      <c r="A15517" s="118"/>
      <c r="B15517" s="136"/>
    </row>
    <row r="15518" spans="1:2" x14ac:dyDescent="0.25">
      <c r="A15518" s="118"/>
      <c r="B15518" s="136"/>
    </row>
    <row r="15519" spans="1:2" x14ac:dyDescent="0.25">
      <c r="A15519" s="118"/>
      <c r="B15519" s="136"/>
    </row>
    <row r="15520" spans="1:2" x14ac:dyDescent="0.25">
      <c r="A15520" s="118"/>
      <c r="B15520" s="136"/>
    </row>
    <row r="15521" spans="1:2" x14ac:dyDescent="0.25">
      <c r="A15521" s="118"/>
      <c r="B15521" s="136"/>
    </row>
    <row r="15522" spans="1:2" x14ac:dyDescent="0.25">
      <c r="A15522" s="118"/>
      <c r="B15522" s="136"/>
    </row>
    <row r="15523" spans="1:2" x14ac:dyDescent="0.25">
      <c r="A15523" s="118"/>
      <c r="B15523" s="136"/>
    </row>
    <row r="15524" spans="1:2" x14ac:dyDescent="0.25">
      <c r="A15524" s="118"/>
      <c r="B15524" s="136"/>
    </row>
    <row r="15525" spans="1:2" x14ac:dyDescent="0.25">
      <c r="A15525" s="118"/>
      <c r="B15525" s="136"/>
    </row>
    <row r="15526" spans="1:2" x14ac:dyDescent="0.25">
      <c r="A15526" s="118"/>
      <c r="B15526" s="136"/>
    </row>
    <row r="15527" spans="1:2" x14ac:dyDescent="0.25">
      <c r="A15527" s="118"/>
      <c r="B15527" s="136"/>
    </row>
    <row r="15528" spans="1:2" x14ac:dyDescent="0.25">
      <c r="A15528" s="118"/>
      <c r="B15528" s="136"/>
    </row>
    <row r="15529" spans="1:2" x14ac:dyDescent="0.25">
      <c r="A15529" s="118"/>
      <c r="B15529" s="136"/>
    </row>
    <row r="15530" spans="1:2" x14ac:dyDescent="0.25">
      <c r="A15530" s="118"/>
      <c r="B15530" s="136"/>
    </row>
    <row r="15531" spans="1:2" x14ac:dyDescent="0.25">
      <c r="A15531" s="118"/>
      <c r="B15531" s="136"/>
    </row>
    <row r="15532" spans="1:2" x14ac:dyDescent="0.25">
      <c r="A15532" s="118"/>
      <c r="B15532" s="136"/>
    </row>
    <row r="15533" spans="1:2" x14ac:dyDescent="0.25">
      <c r="A15533" s="118"/>
      <c r="B15533" s="136"/>
    </row>
    <row r="15534" spans="1:2" x14ac:dyDescent="0.25">
      <c r="A15534" s="118"/>
      <c r="B15534" s="136"/>
    </row>
    <row r="15535" spans="1:2" x14ac:dyDescent="0.25">
      <c r="A15535" s="118"/>
      <c r="B15535" s="136"/>
    </row>
    <row r="15536" spans="1:2" x14ac:dyDescent="0.25">
      <c r="A15536" s="118"/>
      <c r="B15536" s="136"/>
    </row>
    <row r="15537" spans="1:2" x14ac:dyDescent="0.25">
      <c r="A15537" s="118"/>
      <c r="B15537" s="136"/>
    </row>
    <row r="15538" spans="1:2" x14ac:dyDescent="0.25">
      <c r="A15538" s="118"/>
      <c r="B15538" s="136"/>
    </row>
    <row r="15539" spans="1:2" x14ac:dyDescent="0.25">
      <c r="A15539" s="118"/>
      <c r="B15539" s="136"/>
    </row>
    <row r="15540" spans="1:2" x14ac:dyDescent="0.25">
      <c r="A15540" s="118"/>
      <c r="B15540" s="136"/>
    </row>
    <row r="15541" spans="1:2" x14ac:dyDescent="0.25">
      <c r="A15541" s="118"/>
      <c r="B15541" s="136"/>
    </row>
    <row r="15542" spans="1:2" x14ac:dyDescent="0.25">
      <c r="A15542" s="118"/>
      <c r="B15542" s="136"/>
    </row>
    <row r="15543" spans="1:2" x14ac:dyDescent="0.25">
      <c r="A15543" s="118"/>
      <c r="B15543" s="136"/>
    </row>
    <row r="15544" spans="1:2" x14ac:dyDescent="0.25">
      <c r="A15544" s="118"/>
      <c r="B15544" s="136"/>
    </row>
    <row r="15545" spans="1:2" x14ac:dyDescent="0.25">
      <c r="A15545" s="118"/>
      <c r="B15545" s="136"/>
    </row>
    <row r="15546" spans="1:2" x14ac:dyDescent="0.25">
      <c r="A15546" s="118"/>
      <c r="B15546" s="136"/>
    </row>
    <row r="15547" spans="1:2" x14ac:dyDescent="0.25">
      <c r="A15547" s="118"/>
      <c r="B15547" s="136"/>
    </row>
    <row r="15548" spans="1:2" x14ac:dyDescent="0.25">
      <c r="A15548" s="118"/>
      <c r="B15548" s="136"/>
    </row>
    <row r="15549" spans="1:2" x14ac:dyDescent="0.25">
      <c r="A15549" s="118"/>
      <c r="B15549" s="136"/>
    </row>
    <row r="15550" spans="1:2" x14ac:dyDescent="0.25">
      <c r="A15550" s="118"/>
      <c r="B15550" s="136"/>
    </row>
    <row r="15551" spans="1:2" x14ac:dyDescent="0.25">
      <c r="A15551" s="118"/>
      <c r="B15551" s="136"/>
    </row>
    <row r="15552" spans="1:2" x14ac:dyDescent="0.25">
      <c r="A15552" s="118"/>
      <c r="B15552" s="136"/>
    </row>
    <row r="15553" spans="1:2" x14ac:dyDescent="0.25">
      <c r="A15553" s="118"/>
      <c r="B15553" s="136"/>
    </row>
    <row r="15554" spans="1:2" x14ac:dyDescent="0.25">
      <c r="A15554" s="118"/>
      <c r="B15554" s="136"/>
    </row>
    <row r="15555" spans="1:2" x14ac:dyDescent="0.25">
      <c r="A15555" s="118"/>
      <c r="B15555" s="136"/>
    </row>
    <row r="15556" spans="1:2" x14ac:dyDescent="0.25">
      <c r="A15556" s="118"/>
      <c r="B15556" s="136"/>
    </row>
    <row r="15557" spans="1:2" x14ac:dyDescent="0.25">
      <c r="A15557" s="118"/>
      <c r="B15557" s="136"/>
    </row>
    <row r="15558" spans="1:2" x14ac:dyDescent="0.25">
      <c r="A15558" s="118"/>
      <c r="B15558" s="136"/>
    </row>
    <row r="15559" spans="1:2" x14ac:dyDescent="0.25">
      <c r="A15559" s="118"/>
      <c r="B15559" s="136"/>
    </row>
    <row r="15560" spans="1:2" x14ac:dyDescent="0.25">
      <c r="A15560" s="118"/>
      <c r="B15560" s="136"/>
    </row>
    <row r="15561" spans="1:2" x14ac:dyDescent="0.25">
      <c r="A15561" s="118"/>
      <c r="B15561" s="136"/>
    </row>
    <row r="15562" spans="1:2" x14ac:dyDescent="0.25">
      <c r="A15562" s="118"/>
      <c r="B15562" s="136"/>
    </row>
    <row r="15563" spans="1:2" x14ac:dyDescent="0.25">
      <c r="A15563" s="118"/>
      <c r="B15563" s="136"/>
    </row>
    <row r="15564" spans="1:2" x14ac:dyDescent="0.25">
      <c r="A15564" s="118"/>
      <c r="B15564" s="136"/>
    </row>
    <row r="15565" spans="1:2" x14ac:dyDescent="0.25">
      <c r="A15565" s="118"/>
      <c r="B15565" s="136"/>
    </row>
    <row r="15566" spans="1:2" x14ac:dyDescent="0.25">
      <c r="A15566" s="118"/>
      <c r="B15566" s="136"/>
    </row>
    <row r="15567" spans="1:2" x14ac:dyDescent="0.25">
      <c r="A15567" s="118"/>
      <c r="B15567" s="136"/>
    </row>
    <row r="15568" spans="1:2" x14ac:dyDescent="0.25">
      <c r="A15568" s="118"/>
      <c r="B15568" s="136"/>
    </row>
    <row r="15569" spans="1:2" x14ac:dyDescent="0.25">
      <c r="A15569" s="118"/>
      <c r="B15569" s="136"/>
    </row>
    <row r="15570" spans="1:2" x14ac:dyDescent="0.25">
      <c r="A15570" s="118"/>
      <c r="B15570" s="136"/>
    </row>
    <row r="15571" spans="1:2" x14ac:dyDescent="0.25">
      <c r="A15571" s="118"/>
      <c r="B15571" s="136"/>
    </row>
    <row r="15572" spans="1:2" x14ac:dyDescent="0.25">
      <c r="A15572" s="118"/>
      <c r="B15572" s="136"/>
    </row>
    <row r="15573" spans="1:2" x14ac:dyDescent="0.25">
      <c r="A15573" s="118"/>
      <c r="B15573" s="136"/>
    </row>
    <row r="15574" spans="1:2" x14ac:dyDescent="0.25">
      <c r="A15574" s="118"/>
      <c r="B15574" s="136"/>
    </row>
    <row r="15575" spans="1:2" x14ac:dyDescent="0.25">
      <c r="A15575" s="118"/>
      <c r="B15575" s="136"/>
    </row>
    <row r="15576" spans="1:2" x14ac:dyDescent="0.25">
      <c r="A15576" s="118"/>
      <c r="B15576" s="136"/>
    </row>
    <row r="15577" spans="1:2" x14ac:dyDescent="0.25">
      <c r="A15577" s="118"/>
      <c r="B15577" s="136"/>
    </row>
    <row r="15578" spans="1:2" x14ac:dyDescent="0.25">
      <c r="A15578" s="118"/>
      <c r="B15578" s="136"/>
    </row>
    <row r="15579" spans="1:2" x14ac:dyDescent="0.25">
      <c r="A15579" s="118"/>
      <c r="B15579" s="136"/>
    </row>
    <row r="15580" spans="1:2" x14ac:dyDescent="0.25">
      <c r="A15580" s="118"/>
      <c r="B15580" s="136"/>
    </row>
    <row r="15581" spans="1:2" x14ac:dyDescent="0.25">
      <c r="A15581" s="118"/>
      <c r="B15581" s="136"/>
    </row>
    <row r="15582" spans="1:2" x14ac:dyDescent="0.25">
      <c r="A15582" s="118"/>
      <c r="B15582" s="136"/>
    </row>
    <row r="15583" spans="1:2" x14ac:dyDescent="0.25">
      <c r="A15583" s="118"/>
      <c r="B15583" s="136"/>
    </row>
    <row r="15584" spans="1:2" x14ac:dyDescent="0.25">
      <c r="A15584" s="118"/>
      <c r="B15584" s="136"/>
    </row>
    <row r="15585" spans="1:2" x14ac:dyDescent="0.25">
      <c r="A15585" s="118"/>
      <c r="B15585" s="136"/>
    </row>
    <row r="15586" spans="1:2" x14ac:dyDescent="0.25">
      <c r="A15586" s="118"/>
      <c r="B15586" s="136"/>
    </row>
    <row r="15587" spans="1:2" x14ac:dyDescent="0.25">
      <c r="A15587" s="118"/>
      <c r="B15587" s="136"/>
    </row>
    <row r="15588" spans="1:2" x14ac:dyDescent="0.25">
      <c r="A15588" s="118"/>
      <c r="B15588" s="136"/>
    </row>
    <row r="15589" spans="1:2" x14ac:dyDescent="0.25">
      <c r="A15589" s="118"/>
      <c r="B15589" s="136"/>
    </row>
    <row r="15590" spans="1:2" x14ac:dyDescent="0.25">
      <c r="A15590" s="118"/>
      <c r="B15590" s="136"/>
    </row>
    <row r="15591" spans="1:2" x14ac:dyDescent="0.25">
      <c r="A15591" s="118"/>
      <c r="B15591" s="136"/>
    </row>
    <row r="15592" spans="1:2" x14ac:dyDescent="0.25">
      <c r="A15592" s="118"/>
      <c r="B15592" s="136"/>
    </row>
    <row r="15593" spans="1:2" x14ac:dyDescent="0.25">
      <c r="A15593" s="118"/>
      <c r="B15593" s="136"/>
    </row>
    <row r="15594" spans="1:2" x14ac:dyDescent="0.25">
      <c r="A15594" s="118"/>
      <c r="B15594" s="136"/>
    </row>
    <row r="15595" spans="1:2" x14ac:dyDescent="0.25">
      <c r="A15595" s="118"/>
      <c r="B15595" s="136"/>
    </row>
    <row r="15596" spans="1:2" x14ac:dyDescent="0.25">
      <c r="A15596" s="118"/>
      <c r="B15596" s="136"/>
    </row>
    <row r="15597" spans="1:2" x14ac:dyDescent="0.25">
      <c r="A15597" s="118"/>
      <c r="B15597" s="136"/>
    </row>
    <row r="15598" spans="1:2" x14ac:dyDescent="0.25">
      <c r="A15598" s="118"/>
      <c r="B15598" s="136"/>
    </row>
    <row r="15599" spans="1:2" x14ac:dyDescent="0.25">
      <c r="A15599" s="118"/>
      <c r="B15599" s="136"/>
    </row>
    <row r="15600" spans="1:2" x14ac:dyDescent="0.25">
      <c r="A15600" s="118"/>
      <c r="B15600" s="136"/>
    </row>
    <row r="15601" spans="1:2" x14ac:dyDescent="0.25">
      <c r="A15601" s="118"/>
      <c r="B15601" s="136"/>
    </row>
    <row r="15602" spans="1:2" x14ac:dyDescent="0.25">
      <c r="A15602" s="118"/>
      <c r="B15602" s="136"/>
    </row>
    <row r="15603" spans="1:2" x14ac:dyDescent="0.25">
      <c r="A15603" s="118"/>
      <c r="B15603" s="136"/>
    </row>
    <row r="15604" spans="1:2" x14ac:dyDescent="0.25">
      <c r="A15604" s="118"/>
      <c r="B15604" s="136"/>
    </row>
    <row r="15605" spans="1:2" x14ac:dyDescent="0.25">
      <c r="A15605" s="118"/>
      <c r="B15605" s="136"/>
    </row>
    <row r="15606" spans="1:2" x14ac:dyDescent="0.25">
      <c r="A15606" s="118"/>
      <c r="B15606" s="136"/>
    </row>
    <row r="15607" spans="1:2" x14ac:dyDescent="0.25">
      <c r="A15607" s="118"/>
      <c r="B15607" s="136"/>
    </row>
    <row r="15608" spans="1:2" x14ac:dyDescent="0.25">
      <c r="A15608" s="118"/>
      <c r="B15608" s="136"/>
    </row>
    <row r="15609" spans="1:2" x14ac:dyDescent="0.25">
      <c r="A15609" s="118"/>
      <c r="B15609" s="136"/>
    </row>
    <row r="15610" spans="1:2" x14ac:dyDescent="0.25">
      <c r="A15610" s="118"/>
      <c r="B15610" s="136"/>
    </row>
    <row r="15611" spans="1:2" x14ac:dyDescent="0.25">
      <c r="A15611" s="118"/>
      <c r="B15611" s="136"/>
    </row>
    <row r="15612" spans="1:2" x14ac:dyDescent="0.25">
      <c r="A15612" s="118"/>
      <c r="B15612" s="136"/>
    </row>
    <row r="15613" spans="1:2" x14ac:dyDescent="0.25">
      <c r="A15613" s="118"/>
      <c r="B15613" s="136"/>
    </row>
    <row r="15614" spans="1:2" x14ac:dyDescent="0.25">
      <c r="A15614" s="118"/>
      <c r="B15614" s="136"/>
    </row>
    <row r="15615" spans="1:2" x14ac:dyDescent="0.25">
      <c r="A15615" s="118"/>
      <c r="B15615" s="136"/>
    </row>
    <row r="15616" spans="1:2" x14ac:dyDescent="0.25">
      <c r="A15616" s="118"/>
      <c r="B15616" s="136"/>
    </row>
    <row r="15617" spans="1:2" x14ac:dyDescent="0.25">
      <c r="A15617" s="118"/>
      <c r="B15617" s="136"/>
    </row>
    <row r="15618" spans="1:2" x14ac:dyDescent="0.25">
      <c r="A15618" s="118"/>
      <c r="B15618" s="136"/>
    </row>
    <row r="15619" spans="1:2" x14ac:dyDescent="0.25">
      <c r="A15619" s="118"/>
      <c r="B15619" s="136"/>
    </row>
    <row r="15620" spans="1:2" x14ac:dyDescent="0.25">
      <c r="A15620" s="118"/>
      <c r="B15620" s="136"/>
    </row>
    <row r="15621" spans="1:2" x14ac:dyDescent="0.25">
      <c r="A15621" s="118"/>
      <c r="B15621" s="136"/>
    </row>
    <row r="15622" spans="1:2" x14ac:dyDescent="0.25">
      <c r="A15622" s="118"/>
      <c r="B15622" s="136"/>
    </row>
    <row r="15623" spans="1:2" x14ac:dyDescent="0.25">
      <c r="A15623" s="118"/>
      <c r="B15623" s="136"/>
    </row>
    <row r="15624" spans="1:2" x14ac:dyDescent="0.25">
      <c r="A15624" s="118"/>
      <c r="B15624" s="136"/>
    </row>
    <row r="15625" spans="1:2" x14ac:dyDescent="0.25">
      <c r="A15625" s="118"/>
      <c r="B15625" s="136"/>
    </row>
    <row r="15626" spans="1:2" x14ac:dyDescent="0.25">
      <c r="A15626" s="118"/>
      <c r="B15626" s="136"/>
    </row>
    <row r="15627" spans="1:2" x14ac:dyDescent="0.25">
      <c r="A15627" s="118"/>
      <c r="B15627" s="136"/>
    </row>
    <row r="15628" spans="1:2" x14ac:dyDescent="0.25">
      <c r="A15628" s="118"/>
      <c r="B15628" s="136"/>
    </row>
    <row r="15629" spans="1:2" x14ac:dyDescent="0.25">
      <c r="A15629" s="118"/>
      <c r="B15629" s="136"/>
    </row>
    <row r="15630" spans="1:2" x14ac:dyDescent="0.25">
      <c r="A15630" s="118"/>
      <c r="B15630" s="136"/>
    </row>
    <row r="15631" spans="1:2" x14ac:dyDescent="0.25">
      <c r="A15631" s="118"/>
      <c r="B15631" s="136"/>
    </row>
    <row r="15632" spans="1:2" x14ac:dyDescent="0.25">
      <c r="A15632" s="118"/>
      <c r="B15632" s="136"/>
    </row>
    <row r="15633" spans="1:2" x14ac:dyDescent="0.25">
      <c r="A15633" s="118"/>
      <c r="B15633" s="136"/>
    </row>
    <row r="15634" spans="1:2" x14ac:dyDescent="0.25">
      <c r="A15634" s="118"/>
      <c r="B15634" s="136"/>
    </row>
    <row r="15635" spans="1:2" x14ac:dyDescent="0.25">
      <c r="A15635" s="118"/>
      <c r="B15635" s="136"/>
    </row>
    <row r="15636" spans="1:2" x14ac:dyDescent="0.25">
      <c r="A15636" s="118"/>
      <c r="B15636" s="136"/>
    </row>
    <row r="15637" spans="1:2" x14ac:dyDescent="0.25">
      <c r="A15637" s="118"/>
      <c r="B15637" s="136"/>
    </row>
    <row r="15638" spans="1:2" x14ac:dyDescent="0.25">
      <c r="A15638" s="118"/>
      <c r="B15638" s="136"/>
    </row>
    <row r="15639" spans="1:2" x14ac:dyDescent="0.25">
      <c r="A15639" s="118"/>
      <c r="B15639" s="136"/>
    </row>
    <row r="15640" spans="1:2" x14ac:dyDescent="0.25">
      <c r="A15640" s="118"/>
      <c r="B15640" s="136"/>
    </row>
    <row r="15641" spans="1:2" x14ac:dyDescent="0.25">
      <c r="A15641" s="118"/>
      <c r="B15641" s="136"/>
    </row>
    <row r="15642" spans="1:2" x14ac:dyDescent="0.25">
      <c r="A15642" s="118"/>
      <c r="B15642" s="136"/>
    </row>
    <row r="15643" spans="1:2" x14ac:dyDescent="0.25">
      <c r="A15643" s="118"/>
      <c r="B15643" s="136"/>
    </row>
    <row r="15644" spans="1:2" x14ac:dyDescent="0.25">
      <c r="A15644" s="118"/>
      <c r="B15644" s="136"/>
    </row>
    <row r="15645" spans="1:2" x14ac:dyDescent="0.25">
      <c r="A15645" s="118"/>
      <c r="B15645" s="136"/>
    </row>
    <row r="15646" spans="1:2" x14ac:dyDescent="0.25">
      <c r="A15646" s="118"/>
      <c r="B15646" s="136"/>
    </row>
    <row r="15647" spans="1:2" x14ac:dyDescent="0.25">
      <c r="A15647" s="118"/>
      <c r="B15647" s="136"/>
    </row>
    <row r="15648" spans="1:2" x14ac:dyDescent="0.25">
      <c r="A15648" s="118"/>
      <c r="B15648" s="136"/>
    </row>
    <row r="15649" spans="1:2" x14ac:dyDescent="0.25">
      <c r="A15649" s="118"/>
      <c r="B15649" s="136"/>
    </row>
    <row r="15650" spans="1:2" x14ac:dyDescent="0.25">
      <c r="A15650" s="118"/>
      <c r="B15650" s="136"/>
    </row>
    <row r="15651" spans="1:2" x14ac:dyDescent="0.25">
      <c r="A15651" s="118"/>
      <c r="B15651" s="136"/>
    </row>
    <row r="15652" spans="1:2" x14ac:dyDescent="0.25">
      <c r="A15652" s="118"/>
      <c r="B15652" s="136"/>
    </row>
    <row r="15653" spans="1:2" x14ac:dyDescent="0.25">
      <c r="A15653" s="118"/>
      <c r="B15653" s="136"/>
    </row>
    <row r="15654" spans="1:2" x14ac:dyDescent="0.25">
      <c r="A15654" s="118"/>
      <c r="B15654" s="136"/>
    </row>
    <row r="15655" spans="1:2" x14ac:dyDescent="0.25">
      <c r="A15655" s="118"/>
      <c r="B15655" s="136"/>
    </row>
    <row r="15656" spans="1:2" x14ac:dyDescent="0.25">
      <c r="A15656" s="118"/>
      <c r="B15656" s="136"/>
    </row>
    <row r="15657" spans="1:2" x14ac:dyDescent="0.25">
      <c r="A15657" s="118"/>
      <c r="B15657" s="136"/>
    </row>
    <row r="15658" spans="1:2" x14ac:dyDescent="0.25">
      <c r="A15658" s="118"/>
      <c r="B15658" s="136"/>
    </row>
    <row r="15659" spans="1:2" x14ac:dyDescent="0.25">
      <c r="A15659" s="118"/>
      <c r="B15659" s="136"/>
    </row>
    <row r="15660" spans="1:2" x14ac:dyDescent="0.25">
      <c r="A15660" s="118"/>
      <c r="B15660" s="136"/>
    </row>
    <row r="15661" spans="1:2" x14ac:dyDescent="0.25">
      <c r="A15661" s="118"/>
      <c r="B15661" s="136"/>
    </row>
    <row r="15662" spans="1:2" x14ac:dyDescent="0.25">
      <c r="A15662" s="118"/>
      <c r="B15662" s="136"/>
    </row>
    <row r="15663" spans="1:2" x14ac:dyDescent="0.25">
      <c r="A15663" s="118"/>
      <c r="B15663" s="136"/>
    </row>
    <row r="15664" spans="1:2" x14ac:dyDescent="0.25">
      <c r="A15664" s="118"/>
      <c r="B15664" s="136"/>
    </row>
    <row r="15665" spans="1:2" x14ac:dyDescent="0.25">
      <c r="A15665" s="118"/>
      <c r="B15665" s="136"/>
    </row>
    <row r="15666" spans="1:2" x14ac:dyDescent="0.25">
      <c r="A15666" s="118"/>
      <c r="B15666" s="136"/>
    </row>
    <row r="15667" spans="1:2" x14ac:dyDescent="0.25">
      <c r="A15667" s="118"/>
      <c r="B15667" s="136"/>
    </row>
    <row r="15668" spans="1:2" x14ac:dyDescent="0.25">
      <c r="A15668" s="118"/>
      <c r="B15668" s="136"/>
    </row>
    <row r="15669" spans="1:2" x14ac:dyDescent="0.25">
      <c r="A15669" s="118"/>
      <c r="B15669" s="136"/>
    </row>
    <row r="15670" spans="1:2" x14ac:dyDescent="0.25">
      <c r="A15670" s="118"/>
      <c r="B15670" s="136"/>
    </row>
    <row r="15671" spans="1:2" x14ac:dyDescent="0.25">
      <c r="A15671" s="118"/>
      <c r="B15671" s="136"/>
    </row>
    <row r="15672" spans="1:2" x14ac:dyDescent="0.25">
      <c r="A15672" s="118"/>
      <c r="B15672" s="136"/>
    </row>
    <row r="15673" spans="1:2" x14ac:dyDescent="0.25">
      <c r="A15673" s="118"/>
      <c r="B15673" s="136"/>
    </row>
    <row r="15674" spans="1:2" x14ac:dyDescent="0.25">
      <c r="A15674" s="118"/>
      <c r="B15674" s="136"/>
    </row>
    <row r="15675" spans="1:2" x14ac:dyDescent="0.25">
      <c r="A15675" s="118"/>
      <c r="B15675" s="136"/>
    </row>
    <row r="15676" spans="1:2" x14ac:dyDescent="0.25">
      <c r="A15676" s="118"/>
      <c r="B15676" s="136"/>
    </row>
    <row r="15677" spans="1:2" x14ac:dyDescent="0.25">
      <c r="A15677" s="118"/>
      <c r="B15677" s="136"/>
    </row>
    <row r="15678" spans="1:2" x14ac:dyDescent="0.25">
      <c r="A15678" s="118"/>
      <c r="B15678" s="136"/>
    </row>
    <row r="15679" spans="1:2" x14ac:dyDescent="0.25">
      <c r="A15679" s="118"/>
      <c r="B15679" s="136"/>
    </row>
    <row r="15680" spans="1:2" x14ac:dyDescent="0.25">
      <c r="A15680" s="118"/>
      <c r="B15680" s="136"/>
    </row>
    <row r="15681" spans="1:2" x14ac:dyDescent="0.25">
      <c r="A15681" s="118"/>
      <c r="B15681" s="136"/>
    </row>
    <row r="15682" spans="1:2" x14ac:dyDescent="0.25">
      <c r="A15682" s="118"/>
      <c r="B15682" s="136"/>
    </row>
    <row r="15683" spans="1:2" x14ac:dyDescent="0.25">
      <c r="A15683" s="118"/>
      <c r="B15683" s="136"/>
    </row>
    <row r="15684" spans="1:2" x14ac:dyDescent="0.25">
      <c r="A15684" s="118"/>
      <c r="B15684" s="136"/>
    </row>
    <row r="15685" spans="1:2" x14ac:dyDescent="0.25">
      <c r="A15685" s="118"/>
      <c r="B15685" s="136"/>
    </row>
    <row r="15686" spans="1:2" x14ac:dyDescent="0.25">
      <c r="A15686" s="118"/>
      <c r="B15686" s="136"/>
    </row>
    <row r="15687" spans="1:2" x14ac:dyDescent="0.25">
      <c r="A15687" s="118"/>
      <c r="B15687" s="136"/>
    </row>
    <row r="15688" spans="1:2" x14ac:dyDescent="0.25">
      <c r="A15688" s="118"/>
      <c r="B15688" s="136"/>
    </row>
    <row r="15689" spans="1:2" x14ac:dyDescent="0.25">
      <c r="A15689" s="118"/>
      <c r="B15689" s="136"/>
    </row>
    <row r="15690" spans="1:2" x14ac:dyDescent="0.25">
      <c r="A15690" s="118"/>
      <c r="B15690" s="136"/>
    </row>
    <row r="15691" spans="1:2" x14ac:dyDescent="0.25">
      <c r="A15691" s="118"/>
      <c r="B15691" s="136"/>
    </row>
    <row r="15692" spans="1:2" x14ac:dyDescent="0.25">
      <c r="A15692" s="118"/>
      <c r="B15692" s="136"/>
    </row>
    <row r="15693" spans="1:2" x14ac:dyDescent="0.25">
      <c r="A15693" s="118"/>
      <c r="B15693" s="136"/>
    </row>
    <row r="15694" spans="1:2" x14ac:dyDescent="0.25">
      <c r="A15694" s="118"/>
      <c r="B15694" s="136"/>
    </row>
    <row r="15695" spans="1:2" x14ac:dyDescent="0.25">
      <c r="A15695" s="118"/>
      <c r="B15695" s="136"/>
    </row>
    <row r="15696" spans="1:2" x14ac:dyDescent="0.25">
      <c r="A15696" s="118"/>
      <c r="B15696" s="136"/>
    </row>
    <row r="15697" spans="1:2" x14ac:dyDescent="0.25">
      <c r="A15697" s="118"/>
      <c r="B15697" s="136"/>
    </row>
    <row r="15698" spans="1:2" x14ac:dyDescent="0.25">
      <c r="A15698" s="118"/>
      <c r="B15698" s="136"/>
    </row>
    <row r="15699" spans="1:2" x14ac:dyDescent="0.25">
      <c r="A15699" s="118"/>
      <c r="B15699" s="136"/>
    </row>
    <row r="15700" spans="1:2" x14ac:dyDescent="0.25">
      <c r="A15700" s="118"/>
      <c r="B15700" s="136"/>
    </row>
    <row r="15701" spans="1:2" x14ac:dyDescent="0.25">
      <c r="A15701" s="118"/>
      <c r="B15701" s="136"/>
    </row>
    <row r="15702" spans="1:2" x14ac:dyDescent="0.25">
      <c r="A15702" s="118"/>
      <c r="B15702" s="136"/>
    </row>
    <row r="15703" spans="1:2" x14ac:dyDescent="0.25">
      <c r="A15703" s="118"/>
      <c r="B15703" s="136"/>
    </row>
    <row r="15704" spans="1:2" x14ac:dyDescent="0.25">
      <c r="A15704" s="118"/>
      <c r="B15704" s="136"/>
    </row>
    <row r="15705" spans="1:2" x14ac:dyDescent="0.25">
      <c r="A15705" s="118"/>
      <c r="B15705" s="136"/>
    </row>
    <row r="15706" spans="1:2" x14ac:dyDescent="0.25">
      <c r="A15706" s="118"/>
      <c r="B15706" s="136"/>
    </row>
    <row r="15707" spans="1:2" x14ac:dyDescent="0.25">
      <c r="A15707" s="118"/>
      <c r="B15707" s="136"/>
    </row>
    <row r="15708" spans="1:2" x14ac:dyDescent="0.25">
      <c r="A15708" s="118"/>
      <c r="B15708" s="136"/>
    </row>
    <row r="15709" spans="1:2" x14ac:dyDescent="0.25">
      <c r="A15709" s="118"/>
      <c r="B15709" s="136"/>
    </row>
    <row r="15710" spans="1:2" x14ac:dyDescent="0.25">
      <c r="A15710" s="118"/>
      <c r="B15710" s="136"/>
    </row>
    <row r="15711" spans="1:2" x14ac:dyDescent="0.25">
      <c r="A15711" s="118"/>
      <c r="B15711" s="136"/>
    </row>
    <row r="15712" spans="1:2" x14ac:dyDescent="0.25">
      <c r="A15712" s="118"/>
      <c r="B15712" s="136"/>
    </row>
    <row r="15713" spans="1:2" x14ac:dyDescent="0.25">
      <c r="A15713" s="118"/>
      <c r="B15713" s="136"/>
    </row>
    <row r="15714" spans="1:2" x14ac:dyDescent="0.25">
      <c r="A15714" s="118"/>
      <c r="B15714" s="136"/>
    </row>
    <row r="15715" spans="1:2" x14ac:dyDescent="0.25">
      <c r="A15715" s="118"/>
      <c r="B15715" s="136"/>
    </row>
    <row r="15716" spans="1:2" x14ac:dyDescent="0.25">
      <c r="A15716" s="118"/>
      <c r="B15716" s="136"/>
    </row>
    <row r="15717" spans="1:2" x14ac:dyDescent="0.25">
      <c r="A15717" s="118"/>
      <c r="B15717" s="136"/>
    </row>
    <row r="15718" spans="1:2" x14ac:dyDescent="0.25">
      <c r="A15718" s="118"/>
      <c r="B15718" s="136"/>
    </row>
    <row r="15719" spans="1:2" x14ac:dyDescent="0.25">
      <c r="A15719" s="118"/>
      <c r="B15719" s="136"/>
    </row>
    <row r="15720" spans="1:2" x14ac:dyDescent="0.25">
      <c r="A15720" s="118"/>
      <c r="B15720" s="136"/>
    </row>
    <row r="15721" spans="1:2" x14ac:dyDescent="0.25">
      <c r="A15721" s="118"/>
      <c r="B15721" s="136"/>
    </row>
    <row r="15722" spans="1:2" x14ac:dyDescent="0.25">
      <c r="A15722" s="118"/>
      <c r="B15722" s="136"/>
    </row>
    <row r="15723" spans="1:2" x14ac:dyDescent="0.25">
      <c r="A15723" s="118"/>
      <c r="B15723" s="136"/>
    </row>
    <row r="15724" spans="1:2" x14ac:dyDescent="0.25">
      <c r="A15724" s="118"/>
      <c r="B15724" s="136"/>
    </row>
    <row r="15725" spans="1:2" x14ac:dyDescent="0.25">
      <c r="A15725" s="118"/>
      <c r="B15725" s="136"/>
    </row>
    <row r="15726" spans="1:2" x14ac:dyDescent="0.25">
      <c r="A15726" s="118"/>
      <c r="B15726" s="136"/>
    </row>
    <row r="15727" spans="1:2" x14ac:dyDescent="0.25">
      <c r="A15727" s="118"/>
      <c r="B15727" s="136"/>
    </row>
    <row r="15728" spans="1:2" x14ac:dyDescent="0.25">
      <c r="A15728" s="118"/>
      <c r="B15728" s="136"/>
    </row>
    <row r="15729" spans="1:2" x14ac:dyDescent="0.25">
      <c r="A15729" s="118"/>
      <c r="B15729" s="136"/>
    </row>
    <row r="15730" spans="1:2" x14ac:dyDescent="0.25">
      <c r="A15730" s="118"/>
      <c r="B15730" s="136"/>
    </row>
    <row r="15731" spans="1:2" x14ac:dyDescent="0.25">
      <c r="A15731" s="118"/>
      <c r="B15731" s="136"/>
    </row>
    <row r="15732" spans="1:2" x14ac:dyDescent="0.25">
      <c r="A15732" s="118"/>
      <c r="B15732" s="136"/>
    </row>
    <row r="15733" spans="1:2" x14ac:dyDescent="0.25">
      <c r="A15733" s="118"/>
      <c r="B15733" s="136"/>
    </row>
    <row r="15734" spans="1:2" x14ac:dyDescent="0.25">
      <c r="A15734" s="118"/>
      <c r="B15734" s="136"/>
    </row>
    <row r="15735" spans="1:2" x14ac:dyDescent="0.25">
      <c r="A15735" s="118"/>
      <c r="B15735" s="136"/>
    </row>
    <row r="15736" spans="1:2" x14ac:dyDescent="0.25">
      <c r="A15736" s="118"/>
      <c r="B15736" s="136"/>
    </row>
    <row r="15737" spans="1:2" x14ac:dyDescent="0.25">
      <c r="A15737" s="118"/>
      <c r="B15737" s="136"/>
    </row>
    <row r="15738" spans="1:2" x14ac:dyDescent="0.25">
      <c r="A15738" s="118"/>
      <c r="B15738" s="136"/>
    </row>
    <row r="15739" spans="1:2" x14ac:dyDescent="0.25">
      <c r="A15739" s="118"/>
      <c r="B15739" s="136"/>
    </row>
    <row r="15740" spans="1:2" x14ac:dyDescent="0.25">
      <c r="A15740" s="118"/>
      <c r="B15740" s="136"/>
    </row>
    <row r="15741" spans="1:2" x14ac:dyDescent="0.25">
      <c r="A15741" s="118"/>
      <c r="B15741" s="136"/>
    </row>
    <row r="15742" spans="1:2" x14ac:dyDescent="0.25">
      <c r="A15742" s="118"/>
      <c r="B15742" s="136"/>
    </row>
    <row r="15743" spans="1:2" x14ac:dyDescent="0.25">
      <c r="A15743" s="118"/>
      <c r="B15743" s="136"/>
    </row>
    <row r="15744" spans="1:2" x14ac:dyDescent="0.25">
      <c r="A15744" s="118"/>
      <c r="B15744" s="136"/>
    </row>
    <row r="15745" spans="1:2" x14ac:dyDescent="0.25">
      <c r="A15745" s="118"/>
      <c r="B15745" s="136"/>
    </row>
    <row r="15746" spans="1:2" x14ac:dyDescent="0.25">
      <c r="A15746" s="118"/>
      <c r="B15746" s="136"/>
    </row>
    <row r="15747" spans="1:2" x14ac:dyDescent="0.25">
      <c r="A15747" s="118"/>
      <c r="B15747" s="136"/>
    </row>
    <row r="15748" spans="1:2" x14ac:dyDescent="0.25">
      <c r="A15748" s="118"/>
      <c r="B15748" s="136"/>
    </row>
    <row r="15749" spans="1:2" x14ac:dyDescent="0.25">
      <c r="A15749" s="118"/>
      <c r="B15749" s="136"/>
    </row>
    <row r="15750" spans="1:2" x14ac:dyDescent="0.25">
      <c r="A15750" s="118"/>
      <c r="B15750" s="136"/>
    </row>
    <row r="15751" spans="1:2" x14ac:dyDescent="0.25">
      <c r="A15751" s="118"/>
      <c r="B15751" s="136"/>
    </row>
    <row r="15752" spans="1:2" x14ac:dyDescent="0.25">
      <c r="A15752" s="118"/>
      <c r="B15752" s="136"/>
    </row>
    <row r="15753" spans="1:2" x14ac:dyDescent="0.25">
      <c r="A15753" s="118"/>
      <c r="B15753" s="136"/>
    </row>
    <row r="15754" spans="1:2" x14ac:dyDescent="0.25">
      <c r="A15754" s="118"/>
      <c r="B15754" s="136"/>
    </row>
    <row r="15755" spans="1:2" x14ac:dyDescent="0.25">
      <c r="A15755" s="118"/>
      <c r="B15755" s="136"/>
    </row>
    <row r="15756" spans="1:2" x14ac:dyDescent="0.25">
      <c r="A15756" s="118"/>
      <c r="B15756" s="136"/>
    </row>
    <row r="15757" spans="1:2" x14ac:dyDescent="0.25">
      <c r="A15757" s="118"/>
      <c r="B15757" s="136"/>
    </row>
    <row r="15758" spans="1:2" x14ac:dyDescent="0.25">
      <c r="A15758" s="118"/>
      <c r="B15758" s="136"/>
    </row>
    <row r="15759" spans="1:2" x14ac:dyDescent="0.25">
      <c r="A15759" s="118"/>
      <c r="B15759" s="136"/>
    </row>
    <row r="15760" spans="1:2" x14ac:dyDescent="0.25">
      <c r="A15760" s="118"/>
      <c r="B15760" s="136"/>
    </row>
    <row r="15761" spans="1:2" x14ac:dyDescent="0.25">
      <c r="A15761" s="118"/>
      <c r="B15761" s="136"/>
    </row>
    <row r="15762" spans="1:2" x14ac:dyDescent="0.25">
      <c r="A15762" s="118"/>
      <c r="B15762" s="136"/>
    </row>
    <row r="15763" spans="1:2" x14ac:dyDescent="0.25">
      <c r="A15763" s="118"/>
      <c r="B15763" s="136"/>
    </row>
    <row r="15764" spans="1:2" x14ac:dyDescent="0.25">
      <c r="A15764" s="118"/>
      <c r="B15764" s="136"/>
    </row>
    <row r="15765" spans="1:2" x14ac:dyDescent="0.25">
      <c r="A15765" s="118"/>
      <c r="B15765" s="136"/>
    </row>
    <row r="15766" spans="1:2" x14ac:dyDescent="0.25">
      <c r="A15766" s="118"/>
      <c r="B15766" s="136"/>
    </row>
    <row r="15767" spans="1:2" x14ac:dyDescent="0.25">
      <c r="A15767" s="118"/>
      <c r="B15767" s="136"/>
    </row>
    <row r="15768" spans="1:2" x14ac:dyDescent="0.25">
      <c r="A15768" s="118"/>
      <c r="B15768" s="136"/>
    </row>
    <row r="15769" spans="1:2" x14ac:dyDescent="0.25">
      <c r="A15769" s="118"/>
      <c r="B15769" s="136"/>
    </row>
    <row r="15770" spans="1:2" x14ac:dyDescent="0.25">
      <c r="A15770" s="118"/>
      <c r="B15770" s="136"/>
    </row>
    <row r="15771" spans="1:2" x14ac:dyDescent="0.25">
      <c r="A15771" s="118"/>
      <c r="B15771" s="136"/>
    </row>
    <row r="15772" spans="1:2" x14ac:dyDescent="0.25">
      <c r="A15772" s="118"/>
      <c r="B15772" s="136"/>
    </row>
    <row r="15773" spans="1:2" x14ac:dyDescent="0.25">
      <c r="A15773" s="118"/>
      <c r="B15773" s="136"/>
    </row>
    <row r="15774" spans="1:2" x14ac:dyDescent="0.25">
      <c r="A15774" s="118"/>
      <c r="B15774" s="136"/>
    </row>
    <row r="15775" spans="1:2" x14ac:dyDescent="0.25">
      <c r="A15775" s="118"/>
      <c r="B15775" s="136"/>
    </row>
    <row r="15776" spans="1:2" x14ac:dyDescent="0.25">
      <c r="A15776" s="118"/>
      <c r="B15776" s="136"/>
    </row>
    <row r="15777" spans="1:2" x14ac:dyDescent="0.25">
      <c r="A15777" s="118"/>
      <c r="B15777" s="136"/>
    </row>
    <row r="15778" spans="1:2" x14ac:dyDescent="0.25">
      <c r="A15778" s="118"/>
      <c r="B15778" s="136"/>
    </row>
    <row r="15779" spans="1:2" x14ac:dyDescent="0.25">
      <c r="A15779" s="118"/>
      <c r="B15779" s="136"/>
    </row>
    <row r="15780" spans="1:2" x14ac:dyDescent="0.25">
      <c r="A15780" s="118"/>
      <c r="B15780" s="136"/>
    </row>
    <row r="15781" spans="1:2" x14ac:dyDescent="0.25">
      <c r="A15781" s="118"/>
      <c r="B15781" s="136"/>
    </row>
    <row r="15782" spans="1:2" x14ac:dyDescent="0.25">
      <c r="A15782" s="118"/>
      <c r="B15782" s="136"/>
    </row>
    <row r="15783" spans="1:2" x14ac:dyDescent="0.25">
      <c r="A15783" s="118"/>
      <c r="B15783" s="136"/>
    </row>
    <row r="15784" spans="1:2" x14ac:dyDescent="0.25">
      <c r="A15784" s="118"/>
      <c r="B15784" s="136"/>
    </row>
    <row r="15785" spans="1:2" x14ac:dyDescent="0.25">
      <c r="A15785" s="118"/>
      <c r="B15785" s="136"/>
    </row>
    <row r="15786" spans="1:2" x14ac:dyDescent="0.25">
      <c r="A15786" s="118"/>
      <c r="B15786" s="136"/>
    </row>
    <row r="15787" spans="1:2" x14ac:dyDescent="0.25">
      <c r="A15787" s="118"/>
      <c r="B15787" s="136"/>
    </row>
    <row r="15788" spans="1:2" x14ac:dyDescent="0.25">
      <c r="A15788" s="118"/>
      <c r="B15788" s="136"/>
    </row>
    <row r="15789" spans="1:2" x14ac:dyDescent="0.25">
      <c r="A15789" s="118"/>
      <c r="B15789" s="136"/>
    </row>
    <row r="15790" spans="1:2" x14ac:dyDescent="0.25">
      <c r="A15790" s="118"/>
      <c r="B15790" s="136"/>
    </row>
    <row r="15791" spans="1:2" x14ac:dyDescent="0.25">
      <c r="A15791" s="118"/>
      <c r="B15791" s="136"/>
    </row>
    <row r="15792" spans="1:2" x14ac:dyDescent="0.25">
      <c r="A15792" s="118"/>
      <c r="B15792" s="136"/>
    </row>
    <row r="15793" spans="1:2" x14ac:dyDescent="0.25">
      <c r="A15793" s="118"/>
      <c r="B15793" s="136"/>
    </row>
    <row r="15794" spans="1:2" x14ac:dyDescent="0.25">
      <c r="A15794" s="118"/>
      <c r="B15794" s="136"/>
    </row>
    <row r="15795" spans="1:2" x14ac:dyDescent="0.25">
      <c r="A15795" s="118"/>
      <c r="B15795" s="136"/>
    </row>
    <row r="15796" spans="1:2" x14ac:dyDescent="0.25">
      <c r="A15796" s="118"/>
      <c r="B15796" s="136"/>
    </row>
    <row r="15797" spans="1:2" x14ac:dyDescent="0.25">
      <c r="A15797" s="118"/>
      <c r="B15797" s="136"/>
    </row>
    <row r="15798" spans="1:2" x14ac:dyDescent="0.25">
      <c r="A15798" s="118"/>
      <c r="B15798" s="136"/>
    </row>
    <row r="15799" spans="1:2" x14ac:dyDescent="0.25">
      <c r="A15799" s="118"/>
      <c r="B15799" s="136"/>
    </row>
    <row r="15800" spans="1:2" x14ac:dyDescent="0.25">
      <c r="A15800" s="118"/>
      <c r="B15800" s="136"/>
    </row>
    <row r="15801" spans="1:2" x14ac:dyDescent="0.25">
      <c r="A15801" s="118"/>
      <c r="B15801" s="136"/>
    </row>
    <row r="15802" spans="1:2" x14ac:dyDescent="0.25">
      <c r="A15802" s="118"/>
      <c r="B15802" s="136"/>
    </row>
    <row r="15803" spans="1:2" x14ac:dyDescent="0.25">
      <c r="A15803" s="118"/>
      <c r="B15803" s="136"/>
    </row>
    <row r="15804" spans="1:2" x14ac:dyDescent="0.25">
      <c r="A15804" s="118"/>
      <c r="B15804" s="136"/>
    </row>
    <row r="15805" spans="1:2" x14ac:dyDescent="0.25">
      <c r="A15805" s="118"/>
      <c r="B15805" s="136"/>
    </row>
    <row r="15806" spans="1:2" x14ac:dyDescent="0.25">
      <c r="A15806" s="118"/>
      <c r="B15806" s="136"/>
    </row>
    <row r="15807" spans="1:2" x14ac:dyDescent="0.25">
      <c r="A15807" s="118"/>
      <c r="B15807" s="136"/>
    </row>
    <row r="15808" spans="1:2" x14ac:dyDescent="0.25">
      <c r="A15808" s="118"/>
      <c r="B15808" s="136"/>
    </row>
    <row r="15809" spans="1:2" x14ac:dyDescent="0.25">
      <c r="A15809" s="118"/>
      <c r="B15809" s="136"/>
    </row>
    <row r="15810" spans="1:2" x14ac:dyDescent="0.25">
      <c r="A15810" s="118"/>
      <c r="B15810" s="136"/>
    </row>
    <row r="15811" spans="1:2" x14ac:dyDescent="0.25">
      <c r="A15811" s="118"/>
      <c r="B15811" s="136"/>
    </row>
    <row r="15812" spans="1:2" x14ac:dyDescent="0.25">
      <c r="A15812" s="118"/>
      <c r="B15812" s="136"/>
    </row>
    <row r="15813" spans="1:2" x14ac:dyDescent="0.25">
      <c r="A15813" s="118"/>
      <c r="B15813" s="136"/>
    </row>
    <row r="15814" spans="1:2" x14ac:dyDescent="0.25">
      <c r="A15814" s="118"/>
      <c r="B15814" s="136"/>
    </row>
    <row r="15815" spans="1:2" x14ac:dyDescent="0.25">
      <c r="A15815" s="118"/>
      <c r="B15815" s="136"/>
    </row>
    <row r="15816" spans="1:2" x14ac:dyDescent="0.25">
      <c r="A15816" s="118"/>
      <c r="B15816" s="136"/>
    </row>
    <row r="15817" spans="1:2" x14ac:dyDescent="0.25">
      <c r="A15817" s="118"/>
      <c r="B15817" s="136"/>
    </row>
    <row r="15818" spans="1:2" x14ac:dyDescent="0.25">
      <c r="A15818" s="118"/>
      <c r="B15818" s="136"/>
    </row>
    <row r="15819" spans="1:2" x14ac:dyDescent="0.25">
      <c r="A15819" s="118"/>
      <c r="B15819" s="136"/>
    </row>
    <row r="15820" spans="1:2" x14ac:dyDescent="0.25">
      <c r="A15820" s="118"/>
      <c r="B15820" s="136"/>
    </row>
    <row r="15821" spans="1:2" x14ac:dyDescent="0.25">
      <c r="A15821" s="118"/>
      <c r="B15821" s="136"/>
    </row>
    <row r="15822" spans="1:2" x14ac:dyDescent="0.25">
      <c r="A15822" s="118"/>
      <c r="B15822" s="136"/>
    </row>
    <row r="15823" spans="1:2" x14ac:dyDescent="0.25">
      <c r="A15823" s="118"/>
      <c r="B15823" s="136"/>
    </row>
    <row r="15824" spans="1:2" x14ac:dyDescent="0.25">
      <c r="A15824" s="118"/>
      <c r="B15824" s="136"/>
    </row>
    <row r="15825" spans="1:2" x14ac:dyDescent="0.25">
      <c r="A15825" s="118"/>
      <c r="B15825" s="136"/>
    </row>
    <row r="15826" spans="1:2" x14ac:dyDescent="0.25">
      <c r="A15826" s="118"/>
      <c r="B15826" s="136"/>
    </row>
    <row r="15827" spans="1:2" x14ac:dyDescent="0.25">
      <c r="A15827" s="118"/>
      <c r="B15827" s="136"/>
    </row>
    <row r="15828" spans="1:2" x14ac:dyDescent="0.25">
      <c r="A15828" s="118"/>
      <c r="B15828" s="136"/>
    </row>
    <row r="15829" spans="1:2" x14ac:dyDescent="0.25">
      <c r="A15829" s="118"/>
      <c r="B15829" s="136"/>
    </row>
    <row r="15830" spans="1:2" x14ac:dyDescent="0.25">
      <c r="A15830" s="118"/>
      <c r="B15830" s="136"/>
    </row>
    <row r="15831" spans="1:2" x14ac:dyDescent="0.25">
      <c r="A15831" s="118"/>
      <c r="B15831" s="136"/>
    </row>
    <row r="15832" spans="1:2" x14ac:dyDescent="0.25">
      <c r="A15832" s="118"/>
      <c r="B15832" s="136"/>
    </row>
    <row r="15833" spans="1:2" x14ac:dyDescent="0.25">
      <c r="A15833" s="118"/>
      <c r="B15833" s="136"/>
    </row>
    <row r="15834" spans="1:2" x14ac:dyDescent="0.25">
      <c r="A15834" s="118"/>
      <c r="B15834" s="136"/>
    </row>
    <row r="15835" spans="1:2" x14ac:dyDescent="0.25">
      <c r="A15835" s="118"/>
      <c r="B15835" s="136"/>
    </row>
    <row r="15836" spans="1:2" x14ac:dyDescent="0.25">
      <c r="A15836" s="118"/>
      <c r="B15836" s="136"/>
    </row>
    <row r="15837" spans="1:2" x14ac:dyDescent="0.25">
      <c r="A15837" s="118"/>
      <c r="B15837" s="136"/>
    </row>
    <row r="15838" spans="1:2" x14ac:dyDescent="0.25">
      <c r="A15838" s="118"/>
      <c r="B15838" s="136"/>
    </row>
    <row r="15839" spans="1:2" x14ac:dyDescent="0.25">
      <c r="A15839" s="118"/>
      <c r="B15839" s="136"/>
    </row>
    <row r="15840" spans="1:2" x14ac:dyDescent="0.25">
      <c r="A15840" s="118"/>
      <c r="B15840" s="136"/>
    </row>
    <row r="15841" spans="1:2" x14ac:dyDescent="0.25">
      <c r="A15841" s="118"/>
      <c r="B15841" s="136"/>
    </row>
    <row r="15842" spans="1:2" x14ac:dyDescent="0.25">
      <c r="A15842" s="118"/>
      <c r="B15842" s="136"/>
    </row>
    <row r="15843" spans="1:2" x14ac:dyDescent="0.25">
      <c r="A15843" s="118"/>
      <c r="B15843" s="136"/>
    </row>
    <row r="15844" spans="1:2" x14ac:dyDescent="0.25">
      <c r="A15844" s="118"/>
      <c r="B15844" s="136"/>
    </row>
    <row r="15845" spans="1:2" x14ac:dyDescent="0.25">
      <c r="A15845" s="118"/>
      <c r="B15845" s="136"/>
    </row>
    <row r="15846" spans="1:2" x14ac:dyDescent="0.25">
      <c r="A15846" s="118"/>
      <c r="B15846" s="136"/>
    </row>
    <row r="15847" spans="1:2" x14ac:dyDescent="0.25">
      <c r="A15847" s="118"/>
      <c r="B15847" s="136"/>
    </row>
    <row r="15848" spans="1:2" x14ac:dyDescent="0.25">
      <c r="A15848" s="118"/>
      <c r="B15848" s="136"/>
    </row>
    <row r="15849" spans="1:2" x14ac:dyDescent="0.25">
      <c r="A15849" s="118"/>
      <c r="B15849" s="136"/>
    </row>
    <row r="15850" spans="1:2" x14ac:dyDescent="0.25">
      <c r="A15850" s="118"/>
      <c r="B15850" s="136"/>
    </row>
    <row r="15851" spans="1:2" x14ac:dyDescent="0.25">
      <c r="A15851" s="118"/>
      <c r="B15851" s="136"/>
    </row>
    <row r="15852" spans="1:2" x14ac:dyDescent="0.25">
      <c r="A15852" s="118"/>
      <c r="B15852" s="136"/>
    </row>
    <row r="15853" spans="1:2" x14ac:dyDescent="0.25">
      <c r="A15853" s="118"/>
      <c r="B15853" s="136"/>
    </row>
    <row r="15854" spans="1:2" x14ac:dyDescent="0.25">
      <c r="A15854" s="118"/>
      <c r="B15854" s="136"/>
    </row>
    <row r="15855" spans="1:2" x14ac:dyDescent="0.25">
      <c r="A15855" s="118"/>
      <c r="B15855" s="136"/>
    </row>
    <row r="15856" spans="1:2" x14ac:dyDescent="0.25">
      <c r="A15856" s="118"/>
      <c r="B15856" s="136"/>
    </row>
    <row r="15857" spans="1:2" x14ac:dyDescent="0.25">
      <c r="A15857" s="118"/>
      <c r="B15857" s="136"/>
    </row>
    <row r="15858" spans="1:2" x14ac:dyDescent="0.25">
      <c r="A15858" s="118"/>
      <c r="B15858" s="136"/>
    </row>
    <row r="15859" spans="1:2" x14ac:dyDescent="0.25">
      <c r="A15859" s="118"/>
      <c r="B15859" s="136"/>
    </row>
    <row r="15860" spans="1:2" x14ac:dyDescent="0.25">
      <c r="A15860" s="118"/>
      <c r="B15860" s="136"/>
    </row>
    <row r="15861" spans="1:2" x14ac:dyDescent="0.25">
      <c r="A15861" s="118"/>
      <c r="B15861" s="136"/>
    </row>
    <row r="15862" spans="1:2" x14ac:dyDescent="0.25">
      <c r="A15862" s="118"/>
      <c r="B15862" s="136"/>
    </row>
    <row r="15863" spans="1:2" x14ac:dyDescent="0.25">
      <c r="A15863" s="118"/>
      <c r="B15863" s="136"/>
    </row>
    <row r="15864" spans="1:2" x14ac:dyDescent="0.25">
      <c r="A15864" s="118"/>
      <c r="B15864" s="136"/>
    </row>
    <row r="15865" spans="1:2" x14ac:dyDescent="0.25">
      <c r="A15865" s="118"/>
      <c r="B15865" s="136"/>
    </row>
    <row r="15866" spans="1:2" x14ac:dyDescent="0.25">
      <c r="A15866" s="118"/>
      <c r="B15866" s="136"/>
    </row>
    <row r="15867" spans="1:2" x14ac:dyDescent="0.25">
      <c r="A15867" s="118"/>
      <c r="B15867" s="136"/>
    </row>
    <row r="15868" spans="1:2" x14ac:dyDescent="0.25">
      <c r="A15868" s="118"/>
      <c r="B15868" s="136"/>
    </row>
    <row r="15869" spans="1:2" x14ac:dyDescent="0.25">
      <c r="A15869" s="118"/>
      <c r="B15869" s="136"/>
    </row>
    <row r="15870" spans="1:2" x14ac:dyDescent="0.25">
      <c r="A15870" s="118"/>
      <c r="B15870" s="136"/>
    </row>
    <row r="15871" spans="1:2" x14ac:dyDescent="0.25">
      <c r="A15871" s="118"/>
      <c r="B15871" s="136"/>
    </row>
    <row r="15872" spans="1:2" x14ac:dyDescent="0.25">
      <c r="A15872" s="118"/>
      <c r="B15872" s="136"/>
    </row>
    <row r="15873" spans="1:2" x14ac:dyDescent="0.25">
      <c r="A15873" s="118"/>
      <c r="B15873" s="136"/>
    </row>
    <row r="15874" spans="1:2" x14ac:dyDescent="0.25">
      <c r="A15874" s="118"/>
      <c r="B15874" s="136"/>
    </row>
    <row r="15875" spans="1:2" x14ac:dyDescent="0.25">
      <c r="A15875" s="118"/>
      <c r="B15875" s="136"/>
    </row>
    <row r="15876" spans="1:2" x14ac:dyDescent="0.25">
      <c r="A15876" s="118"/>
      <c r="B15876" s="136"/>
    </row>
    <row r="15877" spans="1:2" x14ac:dyDescent="0.25">
      <c r="A15877" s="118"/>
      <c r="B15877" s="136"/>
    </row>
    <row r="15878" spans="1:2" x14ac:dyDescent="0.25">
      <c r="A15878" s="118"/>
      <c r="B15878" s="136"/>
    </row>
    <row r="15879" spans="1:2" x14ac:dyDescent="0.25">
      <c r="A15879" s="118"/>
      <c r="B15879" s="136"/>
    </row>
    <row r="15880" spans="1:2" x14ac:dyDescent="0.25">
      <c r="A15880" s="118"/>
      <c r="B15880" s="136"/>
    </row>
    <row r="15881" spans="1:2" x14ac:dyDescent="0.25">
      <c r="A15881" s="118"/>
      <c r="B15881" s="136"/>
    </row>
    <row r="15882" spans="1:2" x14ac:dyDescent="0.25">
      <c r="A15882" s="118"/>
      <c r="B15882" s="136"/>
    </row>
    <row r="15883" spans="1:2" x14ac:dyDescent="0.25">
      <c r="A15883" s="118"/>
      <c r="B15883" s="136"/>
    </row>
    <row r="15884" spans="1:2" x14ac:dyDescent="0.25">
      <c r="A15884" s="118"/>
      <c r="B15884" s="136"/>
    </row>
    <row r="15885" spans="1:2" x14ac:dyDescent="0.25">
      <c r="A15885" s="118"/>
      <c r="B15885" s="136"/>
    </row>
    <row r="15886" spans="1:2" x14ac:dyDescent="0.25">
      <c r="A15886" s="118"/>
      <c r="B15886" s="136"/>
    </row>
    <row r="15887" spans="1:2" x14ac:dyDescent="0.25">
      <c r="A15887" s="118"/>
      <c r="B15887" s="136"/>
    </row>
    <row r="15888" spans="1:2" x14ac:dyDescent="0.25">
      <c r="A15888" s="118"/>
      <c r="B15888" s="136"/>
    </row>
    <row r="15889" spans="1:2" x14ac:dyDescent="0.25">
      <c r="A15889" s="118"/>
      <c r="B15889" s="136"/>
    </row>
    <row r="15890" spans="1:2" x14ac:dyDescent="0.25">
      <c r="A15890" s="118"/>
      <c r="B15890" s="136"/>
    </row>
    <row r="15891" spans="1:2" x14ac:dyDescent="0.25">
      <c r="A15891" s="118"/>
      <c r="B15891" s="136"/>
    </row>
    <row r="15892" spans="1:2" x14ac:dyDescent="0.25">
      <c r="A15892" s="118"/>
      <c r="B15892" s="136"/>
    </row>
    <row r="15893" spans="1:2" x14ac:dyDescent="0.25">
      <c r="A15893" s="118"/>
      <c r="B15893" s="136"/>
    </row>
    <row r="15894" spans="1:2" x14ac:dyDescent="0.25">
      <c r="A15894" s="118"/>
      <c r="B15894" s="136"/>
    </row>
    <row r="15895" spans="1:2" x14ac:dyDescent="0.25">
      <c r="A15895" s="118"/>
      <c r="B15895" s="136"/>
    </row>
    <row r="15896" spans="1:2" x14ac:dyDescent="0.25">
      <c r="A15896" s="118"/>
      <c r="B15896" s="136"/>
    </row>
    <row r="15897" spans="1:2" x14ac:dyDescent="0.25">
      <c r="A15897" s="118"/>
      <c r="B15897" s="136"/>
    </row>
    <row r="15898" spans="1:2" x14ac:dyDescent="0.25">
      <c r="A15898" s="118"/>
      <c r="B15898" s="136"/>
    </row>
    <row r="15899" spans="1:2" x14ac:dyDescent="0.25">
      <c r="A15899" s="118"/>
      <c r="B15899" s="136"/>
    </row>
    <row r="15900" spans="1:2" x14ac:dyDescent="0.25">
      <c r="A15900" s="118"/>
      <c r="B15900" s="136"/>
    </row>
    <row r="15901" spans="1:2" x14ac:dyDescent="0.25">
      <c r="A15901" s="118"/>
      <c r="B15901" s="136"/>
    </row>
    <row r="15902" spans="1:2" x14ac:dyDescent="0.25">
      <c r="A15902" s="118"/>
      <c r="B15902" s="136"/>
    </row>
    <row r="15903" spans="1:2" x14ac:dyDescent="0.25">
      <c r="A15903" s="118"/>
      <c r="B15903" s="136"/>
    </row>
    <row r="15904" spans="1:2" x14ac:dyDescent="0.25">
      <c r="A15904" s="118"/>
      <c r="B15904" s="136"/>
    </row>
    <row r="15905" spans="1:2" x14ac:dyDescent="0.25">
      <c r="A15905" s="118"/>
      <c r="B15905" s="136"/>
    </row>
    <row r="15906" spans="1:2" x14ac:dyDescent="0.25">
      <c r="A15906" s="118"/>
      <c r="B15906" s="136"/>
    </row>
    <row r="15907" spans="1:2" x14ac:dyDescent="0.25">
      <c r="A15907" s="118"/>
      <c r="B15907" s="136"/>
    </row>
    <row r="15908" spans="1:2" x14ac:dyDescent="0.25">
      <c r="A15908" s="118"/>
      <c r="B15908" s="136"/>
    </row>
    <row r="15909" spans="1:2" x14ac:dyDescent="0.25">
      <c r="A15909" s="118"/>
      <c r="B15909" s="136"/>
    </row>
    <row r="15910" spans="1:2" x14ac:dyDescent="0.25">
      <c r="A15910" s="118"/>
      <c r="B15910" s="136"/>
    </row>
    <row r="15911" spans="1:2" x14ac:dyDescent="0.25">
      <c r="A15911" s="118"/>
      <c r="B15911" s="136"/>
    </row>
    <row r="15912" spans="1:2" x14ac:dyDescent="0.25">
      <c r="A15912" s="118"/>
      <c r="B15912" s="136"/>
    </row>
    <row r="15913" spans="1:2" x14ac:dyDescent="0.25">
      <c r="A15913" s="118"/>
      <c r="B15913" s="136"/>
    </row>
    <row r="15914" spans="1:2" x14ac:dyDescent="0.25">
      <c r="A15914" s="118"/>
      <c r="B15914" s="136"/>
    </row>
    <row r="15915" spans="1:2" x14ac:dyDescent="0.25">
      <c r="A15915" s="118"/>
      <c r="B15915" s="136"/>
    </row>
    <row r="15916" spans="1:2" x14ac:dyDescent="0.25">
      <c r="A15916" s="118"/>
      <c r="B15916" s="136"/>
    </row>
    <row r="15917" spans="1:2" x14ac:dyDescent="0.25">
      <c r="A15917" s="118"/>
      <c r="B15917" s="136"/>
    </row>
    <row r="15918" spans="1:2" x14ac:dyDescent="0.25">
      <c r="A15918" s="118"/>
      <c r="B15918" s="136"/>
    </row>
    <row r="15919" spans="1:2" x14ac:dyDescent="0.25">
      <c r="A15919" s="118"/>
      <c r="B15919" s="136"/>
    </row>
    <row r="15920" spans="1:2" x14ac:dyDescent="0.25">
      <c r="A15920" s="118"/>
      <c r="B15920" s="136"/>
    </row>
    <row r="15921" spans="1:2" x14ac:dyDescent="0.25">
      <c r="A15921" s="118"/>
      <c r="B15921" s="136"/>
    </row>
    <row r="15922" spans="1:2" x14ac:dyDescent="0.25">
      <c r="A15922" s="118"/>
      <c r="B15922" s="136"/>
    </row>
    <row r="15923" spans="1:2" x14ac:dyDescent="0.25">
      <c r="A15923" s="118"/>
      <c r="B15923" s="136"/>
    </row>
    <row r="15924" spans="1:2" x14ac:dyDescent="0.25">
      <c r="A15924" s="118"/>
      <c r="B15924" s="136"/>
    </row>
    <row r="15925" spans="1:2" x14ac:dyDescent="0.25">
      <c r="A15925" s="118"/>
      <c r="B15925" s="136"/>
    </row>
    <row r="15926" spans="1:2" x14ac:dyDescent="0.25">
      <c r="A15926" s="118"/>
      <c r="B15926" s="136"/>
    </row>
    <row r="15927" spans="1:2" x14ac:dyDescent="0.25">
      <c r="A15927" s="118"/>
      <c r="B15927" s="136"/>
    </row>
    <row r="15928" spans="1:2" x14ac:dyDescent="0.25">
      <c r="A15928" s="118"/>
      <c r="B15928" s="136"/>
    </row>
    <row r="15929" spans="1:2" x14ac:dyDescent="0.25">
      <c r="A15929" s="118"/>
      <c r="B15929" s="136"/>
    </row>
    <row r="15930" spans="1:2" x14ac:dyDescent="0.25">
      <c r="A15930" s="118"/>
      <c r="B15930" s="136"/>
    </row>
    <row r="15931" spans="1:2" x14ac:dyDescent="0.25">
      <c r="A15931" s="118"/>
      <c r="B15931" s="136"/>
    </row>
    <row r="15932" spans="1:2" x14ac:dyDescent="0.25">
      <c r="A15932" s="118"/>
      <c r="B15932" s="136"/>
    </row>
    <row r="15933" spans="1:2" x14ac:dyDescent="0.25">
      <c r="A15933" s="118"/>
      <c r="B15933" s="136"/>
    </row>
    <row r="15934" spans="1:2" x14ac:dyDescent="0.25">
      <c r="A15934" s="118"/>
      <c r="B15934" s="136"/>
    </row>
    <row r="15935" spans="1:2" x14ac:dyDescent="0.25">
      <c r="A15935" s="118"/>
      <c r="B15935" s="136"/>
    </row>
    <row r="15936" spans="1:2" x14ac:dyDescent="0.25">
      <c r="A15936" s="118"/>
      <c r="B15936" s="136"/>
    </row>
    <row r="15937" spans="1:2" x14ac:dyDescent="0.25">
      <c r="A15937" s="118"/>
      <c r="B15937" s="136"/>
    </row>
    <row r="15938" spans="1:2" x14ac:dyDescent="0.25">
      <c r="A15938" s="118"/>
      <c r="B15938" s="136"/>
    </row>
    <row r="15939" spans="1:2" x14ac:dyDescent="0.25">
      <c r="A15939" s="118"/>
      <c r="B15939" s="136"/>
    </row>
    <row r="15940" spans="1:2" x14ac:dyDescent="0.25">
      <c r="A15940" s="118"/>
      <c r="B15940" s="136"/>
    </row>
    <row r="15941" spans="1:2" x14ac:dyDescent="0.25">
      <c r="A15941" s="118"/>
      <c r="B15941" s="136"/>
    </row>
    <row r="15942" spans="1:2" x14ac:dyDescent="0.25">
      <c r="A15942" s="118"/>
      <c r="B15942" s="136"/>
    </row>
    <row r="15943" spans="1:2" x14ac:dyDescent="0.25">
      <c r="A15943" s="118"/>
      <c r="B15943" s="136"/>
    </row>
    <row r="15944" spans="1:2" x14ac:dyDescent="0.25">
      <c r="A15944" s="118"/>
      <c r="B15944" s="136"/>
    </row>
    <row r="15945" spans="1:2" x14ac:dyDescent="0.25">
      <c r="A15945" s="118"/>
      <c r="B15945" s="136"/>
    </row>
    <row r="15946" spans="1:2" x14ac:dyDescent="0.25">
      <c r="A15946" s="118"/>
      <c r="B15946" s="136"/>
    </row>
    <row r="15947" spans="1:2" x14ac:dyDescent="0.25">
      <c r="A15947" s="118"/>
      <c r="B15947" s="136"/>
    </row>
    <row r="15948" spans="1:2" x14ac:dyDescent="0.25">
      <c r="A15948" s="118"/>
      <c r="B15948" s="136"/>
    </row>
    <row r="15949" spans="1:2" x14ac:dyDescent="0.25">
      <c r="A15949" s="118"/>
      <c r="B15949" s="136"/>
    </row>
    <row r="15950" spans="1:2" x14ac:dyDescent="0.25">
      <c r="A15950" s="118"/>
      <c r="B15950" s="136"/>
    </row>
    <row r="15951" spans="1:2" x14ac:dyDescent="0.25">
      <c r="A15951" s="118"/>
      <c r="B15951" s="136"/>
    </row>
    <row r="15952" spans="1:2" x14ac:dyDescent="0.25">
      <c r="A15952" s="118"/>
      <c r="B15952" s="136"/>
    </row>
    <row r="15953" spans="1:2" x14ac:dyDescent="0.25">
      <c r="A15953" s="118"/>
      <c r="B15953" s="136"/>
    </row>
    <row r="15954" spans="1:2" x14ac:dyDescent="0.25">
      <c r="A15954" s="118"/>
      <c r="B15954" s="136"/>
    </row>
    <row r="15955" spans="1:2" x14ac:dyDescent="0.25">
      <c r="A15955" s="118"/>
      <c r="B15955" s="136"/>
    </row>
    <row r="15956" spans="1:2" x14ac:dyDescent="0.25">
      <c r="A15956" s="118"/>
      <c r="B15956" s="136"/>
    </row>
    <row r="15957" spans="1:2" x14ac:dyDescent="0.25">
      <c r="A15957" s="118"/>
      <c r="B15957" s="136"/>
    </row>
    <row r="15958" spans="1:2" x14ac:dyDescent="0.25">
      <c r="A15958" s="118"/>
      <c r="B15958" s="136"/>
    </row>
    <row r="15959" spans="1:2" x14ac:dyDescent="0.25">
      <c r="A15959" s="118"/>
      <c r="B15959" s="136"/>
    </row>
    <row r="15960" spans="1:2" x14ac:dyDescent="0.25">
      <c r="A15960" s="118"/>
      <c r="B15960" s="136"/>
    </row>
    <row r="15961" spans="1:2" x14ac:dyDescent="0.25">
      <c r="A15961" s="118"/>
      <c r="B15961" s="136"/>
    </row>
    <row r="15962" spans="1:2" x14ac:dyDescent="0.25">
      <c r="A15962" s="118"/>
      <c r="B15962" s="136"/>
    </row>
    <row r="15963" spans="1:2" x14ac:dyDescent="0.25">
      <c r="A15963" s="118"/>
      <c r="B15963" s="136"/>
    </row>
    <row r="15964" spans="1:2" x14ac:dyDescent="0.25">
      <c r="A15964" s="118"/>
      <c r="B15964" s="136"/>
    </row>
    <row r="15965" spans="1:2" x14ac:dyDescent="0.25">
      <c r="A15965" s="118"/>
      <c r="B15965" s="136"/>
    </row>
    <row r="15966" spans="1:2" x14ac:dyDescent="0.25">
      <c r="A15966" s="118"/>
      <c r="B15966" s="136"/>
    </row>
    <row r="15967" spans="1:2" x14ac:dyDescent="0.25">
      <c r="A15967" s="118"/>
      <c r="B15967" s="136"/>
    </row>
    <row r="15968" spans="1:2" x14ac:dyDescent="0.25">
      <c r="A15968" s="118"/>
      <c r="B15968" s="136"/>
    </row>
    <row r="15969" spans="1:2" x14ac:dyDescent="0.25">
      <c r="A15969" s="118"/>
      <c r="B15969" s="136"/>
    </row>
    <row r="15970" spans="1:2" x14ac:dyDescent="0.25">
      <c r="A15970" s="118"/>
      <c r="B15970" s="136"/>
    </row>
    <row r="15971" spans="1:2" x14ac:dyDescent="0.25">
      <c r="A15971" s="118"/>
      <c r="B15971" s="136"/>
    </row>
    <row r="15972" spans="1:2" x14ac:dyDescent="0.25">
      <c r="A15972" s="118"/>
      <c r="B15972" s="136"/>
    </row>
    <row r="15973" spans="1:2" x14ac:dyDescent="0.25">
      <c r="A15973" s="118"/>
      <c r="B15973" s="136"/>
    </row>
    <row r="15974" spans="1:2" x14ac:dyDescent="0.25">
      <c r="A15974" s="118"/>
      <c r="B15974" s="136"/>
    </row>
    <row r="15975" spans="1:2" x14ac:dyDescent="0.25">
      <c r="A15975" s="118"/>
      <c r="B15975" s="136"/>
    </row>
    <row r="15976" spans="1:2" x14ac:dyDescent="0.25">
      <c r="A15976" s="118"/>
      <c r="B15976" s="136"/>
    </row>
    <row r="15977" spans="1:2" x14ac:dyDescent="0.25">
      <c r="A15977" s="118"/>
      <c r="B15977" s="136"/>
    </row>
    <row r="15978" spans="1:2" x14ac:dyDescent="0.25">
      <c r="A15978" s="118"/>
      <c r="B15978" s="136"/>
    </row>
    <row r="15979" spans="1:2" x14ac:dyDescent="0.25">
      <c r="A15979" s="118"/>
      <c r="B15979" s="136"/>
    </row>
    <row r="15980" spans="1:2" x14ac:dyDescent="0.25">
      <c r="A15980" s="118"/>
      <c r="B15980" s="136"/>
    </row>
    <row r="15981" spans="1:2" x14ac:dyDescent="0.25">
      <c r="A15981" s="118"/>
      <c r="B15981" s="136"/>
    </row>
    <row r="15982" spans="1:2" x14ac:dyDescent="0.25">
      <c r="A15982" s="118"/>
      <c r="B15982" s="136"/>
    </row>
    <row r="15983" spans="1:2" x14ac:dyDescent="0.25">
      <c r="A15983" s="118"/>
      <c r="B15983" s="136"/>
    </row>
    <row r="15984" spans="1:2" x14ac:dyDescent="0.25">
      <c r="A15984" s="118"/>
      <c r="B15984" s="136"/>
    </row>
    <row r="15985" spans="1:2" x14ac:dyDescent="0.25">
      <c r="A15985" s="118"/>
      <c r="B15985" s="136"/>
    </row>
    <row r="15986" spans="1:2" x14ac:dyDescent="0.25">
      <c r="A15986" s="118"/>
      <c r="B15986" s="136"/>
    </row>
    <row r="15987" spans="1:2" x14ac:dyDescent="0.25">
      <c r="A15987" s="118"/>
      <c r="B15987" s="136"/>
    </row>
    <row r="15988" spans="1:2" x14ac:dyDescent="0.25">
      <c r="A15988" s="118"/>
      <c r="B15988" s="136"/>
    </row>
    <row r="15989" spans="1:2" x14ac:dyDescent="0.25">
      <c r="A15989" s="118"/>
      <c r="B15989" s="136"/>
    </row>
    <row r="15990" spans="1:2" x14ac:dyDescent="0.25">
      <c r="A15990" s="118"/>
      <c r="B15990" s="136"/>
    </row>
    <row r="15991" spans="1:2" x14ac:dyDescent="0.25">
      <c r="A15991" s="118"/>
      <c r="B15991" s="136"/>
    </row>
    <row r="15992" spans="1:2" x14ac:dyDescent="0.25">
      <c r="A15992" s="118"/>
      <c r="B15992" s="136"/>
    </row>
    <row r="15993" spans="1:2" x14ac:dyDescent="0.25">
      <c r="A15993" s="118"/>
      <c r="B15993" s="136"/>
    </row>
    <row r="15994" spans="1:2" x14ac:dyDescent="0.25">
      <c r="A15994" s="118"/>
      <c r="B15994" s="136"/>
    </row>
    <row r="15995" spans="1:2" x14ac:dyDescent="0.25">
      <c r="A15995" s="118"/>
      <c r="B15995" s="136"/>
    </row>
    <row r="15996" spans="1:2" x14ac:dyDescent="0.25">
      <c r="A15996" s="118"/>
      <c r="B15996" s="136"/>
    </row>
    <row r="15997" spans="1:2" x14ac:dyDescent="0.25">
      <c r="A15997" s="118"/>
      <c r="B15997" s="136"/>
    </row>
    <row r="15998" spans="1:2" x14ac:dyDescent="0.25">
      <c r="A15998" s="118"/>
      <c r="B15998" s="136"/>
    </row>
    <row r="15999" spans="1:2" x14ac:dyDescent="0.25">
      <c r="A15999" s="118"/>
      <c r="B15999" s="136"/>
    </row>
    <row r="16000" spans="1:2" x14ac:dyDescent="0.25">
      <c r="A16000" s="118"/>
      <c r="B16000" s="136"/>
    </row>
    <row r="16001" spans="1:2" x14ac:dyDescent="0.25">
      <c r="A16001" s="118"/>
      <c r="B16001" s="136"/>
    </row>
    <row r="16002" spans="1:2" x14ac:dyDescent="0.25">
      <c r="A16002" s="118"/>
      <c r="B16002" s="136"/>
    </row>
    <row r="16003" spans="1:2" x14ac:dyDescent="0.25">
      <c r="A16003" s="118"/>
      <c r="B16003" s="136"/>
    </row>
    <row r="16004" spans="1:2" x14ac:dyDescent="0.25">
      <c r="A16004" s="118"/>
      <c r="B16004" s="136"/>
    </row>
    <row r="16005" spans="1:2" x14ac:dyDescent="0.25">
      <c r="A16005" s="118"/>
      <c r="B16005" s="136"/>
    </row>
    <row r="16006" spans="1:2" x14ac:dyDescent="0.25">
      <c r="A16006" s="118"/>
      <c r="B16006" s="136"/>
    </row>
    <row r="16007" spans="1:2" x14ac:dyDescent="0.25">
      <c r="A16007" s="118"/>
      <c r="B16007" s="136"/>
    </row>
    <row r="16008" spans="1:2" x14ac:dyDescent="0.25">
      <c r="A16008" s="118"/>
      <c r="B16008" s="136"/>
    </row>
    <row r="16009" spans="1:2" x14ac:dyDescent="0.25">
      <c r="A16009" s="118"/>
      <c r="B16009" s="136"/>
    </row>
    <row r="16010" spans="1:2" x14ac:dyDescent="0.25">
      <c r="A16010" s="118"/>
      <c r="B16010" s="136"/>
    </row>
    <row r="16011" spans="1:2" x14ac:dyDescent="0.25">
      <c r="A16011" s="118"/>
      <c r="B16011" s="136"/>
    </row>
    <row r="16012" spans="1:2" x14ac:dyDescent="0.25">
      <c r="A16012" s="118"/>
      <c r="B16012" s="136"/>
    </row>
    <row r="16013" spans="1:2" x14ac:dyDescent="0.25">
      <c r="A16013" s="118"/>
      <c r="B16013" s="136"/>
    </row>
    <row r="16014" spans="1:2" x14ac:dyDescent="0.25">
      <c r="A16014" s="118"/>
      <c r="B16014" s="136"/>
    </row>
    <row r="16015" spans="1:2" x14ac:dyDescent="0.25">
      <c r="A16015" s="118"/>
      <c r="B16015" s="136"/>
    </row>
    <row r="16016" spans="1:2" x14ac:dyDescent="0.25">
      <c r="A16016" s="118"/>
      <c r="B16016" s="136"/>
    </row>
    <row r="16017" spans="1:2" x14ac:dyDescent="0.25">
      <c r="A16017" s="118"/>
      <c r="B16017" s="136"/>
    </row>
    <row r="16018" spans="1:2" x14ac:dyDescent="0.25">
      <c r="A16018" s="118"/>
      <c r="B16018" s="136"/>
    </row>
    <row r="16019" spans="1:2" x14ac:dyDescent="0.25">
      <c r="A16019" s="118"/>
      <c r="B16019" s="136"/>
    </row>
    <row r="16020" spans="1:2" x14ac:dyDescent="0.25">
      <c r="A16020" s="118"/>
      <c r="B16020" s="136"/>
    </row>
    <row r="16021" spans="1:2" x14ac:dyDescent="0.25">
      <c r="A16021" s="118"/>
      <c r="B16021" s="136"/>
    </row>
    <row r="16022" spans="1:2" x14ac:dyDescent="0.25">
      <c r="A16022" s="118"/>
      <c r="B16022" s="136"/>
    </row>
    <row r="16023" spans="1:2" x14ac:dyDescent="0.25">
      <c r="A16023" s="118"/>
      <c r="B16023" s="136"/>
    </row>
    <row r="16024" spans="1:2" x14ac:dyDescent="0.25">
      <c r="A16024" s="118"/>
      <c r="B16024" s="136"/>
    </row>
    <row r="16025" spans="1:2" x14ac:dyDescent="0.25">
      <c r="A16025" s="118"/>
      <c r="B16025" s="136"/>
    </row>
    <row r="16026" spans="1:2" x14ac:dyDescent="0.25">
      <c r="A16026" s="118"/>
      <c r="B16026" s="136"/>
    </row>
    <row r="16027" spans="1:2" x14ac:dyDescent="0.25">
      <c r="A16027" s="118"/>
      <c r="B16027" s="136"/>
    </row>
    <row r="16028" spans="1:2" x14ac:dyDescent="0.25">
      <c r="A16028" s="118"/>
      <c r="B16028" s="136"/>
    </row>
    <row r="16029" spans="1:2" x14ac:dyDescent="0.25">
      <c r="A16029" s="118"/>
      <c r="B16029" s="136"/>
    </row>
    <row r="16030" spans="1:2" x14ac:dyDescent="0.25">
      <c r="A16030" s="118"/>
      <c r="B16030" s="136"/>
    </row>
    <row r="16031" spans="1:2" x14ac:dyDescent="0.25">
      <c r="A16031" s="118"/>
      <c r="B16031" s="136"/>
    </row>
    <row r="16032" spans="1:2" x14ac:dyDescent="0.25">
      <c r="A16032" s="118"/>
      <c r="B16032" s="136"/>
    </row>
    <row r="16033" spans="1:2" x14ac:dyDescent="0.25">
      <c r="A16033" s="118"/>
      <c r="B16033" s="136"/>
    </row>
    <row r="16034" spans="1:2" x14ac:dyDescent="0.25">
      <c r="A16034" s="118"/>
      <c r="B16034" s="136"/>
    </row>
    <row r="16035" spans="1:2" x14ac:dyDescent="0.25">
      <c r="A16035" s="118"/>
      <c r="B16035" s="136"/>
    </row>
    <row r="16036" spans="1:2" x14ac:dyDescent="0.25">
      <c r="A16036" s="118"/>
      <c r="B16036" s="136"/>
    </row>
    <row r="16037" spans="1:2" x14ac:dyDescent="0.25">
      <c r="A16037" s="118"/>
      <c r="B16037" s="136"/>
    </row>
    <row r="16038" spans="1:2" x14ac:dyDescent="0.25">
      <c r="A16038" s="118"/>
      <c r="B16038" s="136"/>
    </row>
    <row r="16039" spans="1:2" x14ac:dyDescent="0.25">
      <c r="A16039" s="118"/>
      <c r="B16039" s="136"/>
    </row>
    <row r="16040" spans="1:2" x14ac:dyDescent="0.25">
      <c r="A16040" s="118"/>
      <c r="B16040" s="136"/>
    </row>
    <row r="16041" spans="1:2" x14ac:dyDescent="0.25">
      <c r="A16041" s="118"/>
      <c r="B16041" s="136"/>
    </row>
    <row r="16042" spans="1:2" x14ac:dyDescent="0.25">
      <c r="A16042" s="118"/>
      <c r="B16042" s="136"/>
    </row>
    <row r="16043" spans="1:2" x14ac:dyDescent="0.25">
      <c r="A16043" s="118"/>
      <c r="B16043" s="136"/>
    </row>
    <row r="16044" spans="1:2" x14ac:dyDescent="0.25">
      <c r="A16044" s="118"/>
      <c r="B16044" s="136"/>
    </row>
    <row r="16045" spans="1:2" x14ac:dyDescent="0.25">
      <c r="A16045" s="118"/>
      <c r="B16045" s="136"/>
    </row>
    <row r="16046" spans="1:2" x14ac:dyDescent="0.25">
      <c r="A16046" s="118"/>
      <c r="B16046" s="136"/>
    </row>
    <row r="16047" spans="1:2" x14ac:dyDescent="0.25">
      <c r="A16047" s="118"/>
      <c r="B16047" s="136"/>
    </row>
    <row r="16048" spans="1:2" x14ac:dyDescent="0.25">
      <c r="A16048" s="118"/>
      <c r="B16048" s="136"/>
    </row>
    <row r="16049" spans="1:2" x14ac:dyDescent="0.25">
      <c r="A16049" s="118"/>
      <c r="B16049" s="136"/>
    </row>
    <row r="16050" spans="1:2" x14ac:dyDescent="0.25">
      <c r="A16050" s="118"/>
      <c r="B16050" s="136"/>
    </row>
    <row r="16051" spans="1:2" x14ac:dyDescent="0.25">
      <c r="A16051" s="118"/>
      <c r="B16051" s="136"/>
    </row>
    <row r="16052" spans="1:2" x14ac:dyDescent="0.25">
      <c r="A16052" s="118"/>
      <c r="B16052" s="136"/>
    </row>
    <row r="16053" spans="1:2" x14ac:dyDescent="0.25">
      <c r="A16053" s="118"/>
      <c r="B16053" s="136"/>
    </row>
    <row r="16054" spans="1:2" x14ac:dyDescent="0.25">
      <c r="A16054" s="118"/>
      <c r="B16054" s="136"/>
    </row>
    <row r="16055" spans="1:2" x14ac:dyDescent="0.25">
      <c r="A16055" s="118"/>
      <c r="B16055" s="136"/>
    </row>
    <row r="16056" spans="1:2" x14ac:dyDescent="0.25">
      <c r="A16056" s="118"/>
      <c r="B16056" s="136"/>
    </row>
    <row r="16057" spans="1:2" x14ac:dyDescent="0.25">
      <c r="A16057" s="118"/>
      <c r="B16057" s="136"/>
    </row>
    <row r="16058" spans="1:2" x14ac:dyDescent="0.25">
      <c r="A16058" s="118"/>
      <c r="B16058" s="136"/>
    </row>
    <row r="16059" spans="1:2" x14ac:dyDescent="0.25">
      <c r="A16059" s="118"/>
      <c r="B16059" s="136"/>
    </row>
    <row r="16060" spans="1:2" x14ac:dyDescent="0.25">
      <c r="A16060" s="118"/>
      <c r="B16060" s="136"/>
    </row>
    <row r="16061" spans="1:2" x14ac:dyDescent="0.25">
      <c r="A16061" s="118"/>
      <c r="B16061" s="136"/>
    </row>
    <row r="16062" spans="1:2" x14ac:dyDescent="0.25">
      <c r="A16062" s="118"/>
      <c r="B16062" s="136"/>
    </row>
    <row r="16063" spans="1:2" x14ac:dyDescent="0.25">
      <c r="A16063" s="118"/>
      <c r="B16063" s="136"/>
    </row>
    <row r="16064" spans="1:2" x14ac:dyDescent="0.25">
      <c r="A16064" s="118"/>
      <c r="B16064" s="136"/>
    </row>
    <row r="16065" spans="1:2" x14ac:dyDescent="0.25">
      <c r="A16065" s="118"/>
      <c r="B16065" s="136"/>
    </row>
    <row r="16066" spans="1:2" x14ac:dyDescent="0.25">
      <c r="A16066" s="118"/>
      <c r="B16066" s="136"/>
    </row>
    <row r="16067" spans="1:2" x14ac:dyDescent="0.25">
      <c r="A16067" s="118"/>
      <c r="B16067" s="136"/>
    </row>
    <row r="16068" spans="1:2" x14ac:dyDescent="0.25">
      <c r="A16068" s="118"/>
      <c r="B16068" s="136"/>
    </row>
    <row r="16069" spans="1:2" x14ac:dyDescent="0.25">
      <c r="A16069" s="118"/>
      <c r="B16069" s="136"/>
    </row>
    <row r="16070" spans="1:2" x14ac:dyDescent="0.25">
      <c r="A16070" s="118"/>
      <c r="B16070" s="136"/>
    </row>
    <row r="16071" spans="1:2" x14ac:dyDescent="0.25">
      <c r="A16071" s="118"/>
      <c r="B16071" s="136"/>
    </row>
    <row r="16072" spans="1:2" x14ac:dyDescent="0.25">
      <c r="A16072" s="118"/>
      <c r="B16072" s="136"/>
    </row>
    <row r="16073" spans="1:2" x14ac:dyDescent="0.25">
      <c r="A16073" s="118"/>
      <c r="B16073" s="136"/>
    </row>
    <row r="16074" spans="1:2" x14ac:dyDescent="0.25">
      <c r="A16074" s="118"/>
      <c r="B16074" s="136"/>
    </row>
    <row r="16075" spans="1:2" x14ac:dyDescent="0.25">
      <c r="A16075" s="118"/>
      <c r="B16075" s="136"/>
    </row>
    <row r="16076" spans="1:2" x14ac:dyDescent="0.25">
      <c r="A16076" s="118"/>
      <c r="B16076" s="136"/>
    </row>
    <row r="16077" spans="1:2" x14ac:dyDescent="0.25">
      <c r="A16077" s="118"/>
      <c r="B16077" s="136"/>
    </row>
    <row r="16078" spans="1:2" x14ac:dyDescent="0.25">
      <c r="A16078" s="118"/>
      <c r="B16078" s="136"/>
    </row>
    <row r="16079" spans="1:2" x14ac:dyDescent="0.25">
      <c r="A16079" s="118"/>
      <c r="B16079" s="136"/>
    </row>
    <row r="16080" spans="1:2" x14ac:dyDescent="0.25">
      <c r="A16080" s="118"/>
      <c r="B16080" s="136"/>
    </row>
    <row r="16081" spans="1:2" x14ac:dyDescent="0.25">
      <c r="A16081" s="118"/>
      <c r="B16081" s="136"/>
    </row>
    <row r="16082" spans="1:2" x14ac:dyDescent="0.25">
      <c r="A16082" s="118"/>
      <c r="B16082" s="136"/>
    </row>
    <row r="16083" spans="1:2" x14ac:dyDescent="0.25">
      <c r="A16083" s="118"/>
      <c r="B16083" s="136"/>
    </row>
    <row r="16084" spans="1:2" x14ac:dyDescent="0.25">
      <c r="A16084" s="118"/>
      <c r="B16084" s="136"/>
    </row>
    <row r="16085" spans="1:2" x14ac:dyDescent="0.25">
      <c r="A16085" s="118"/>
      <c r="B16085" s="136"/>
    </row>
    <row r="16086" spans="1:2" x14ac:dyDescent="0.25">
      <c r="A16086" s="118"/>
      <c r="B16086" s="136"/>
    </row>
    <row r="16087" spans="1:2" x14ac:dyDescent="0.25">
      <c r="A16087" s="118"/>
      <c r="B16087" s="136"/>
    </row>
    <row r="16088" spans="1:2" x14ac:dyDescent="0.25">
      <c r="A16088" s="118"/>
      <c r="B16088" s="136"/>
    </row>
    <row r="16089" spans="1:2" x14ac:dyDescent="0.25">
      <c r="A16089" s="118"/>
      <c r="B16089" s="136"/>
    </row>
    <row r="16090" spans="1:2" x14ac:dyDescent="0.25">
      <c r="A16090" s="118"/>
      <c r="B16090" s="136"/>
    </row>
    <row r="16091" spans="1:2" x14ac:dyDescent="0.25">
      <c r="A16091" s="118"/>
      <c r="B16091" s="136"/>
    </row>
    <row r="16092" spans="1:2" x14ac:dyDescent="0.25">
      <c r="A16092" s="118"/>
      <c r="B16092" s="136"/>
    </row>
    <row r="16093" spans="1:2" x14ac:dyDescent="0.25">
      <c r="A16093" s="118"/>
      <c r="B16093" s="136"/>
    </row>
    <row r="16094" spans="1:2" x14ac:dyDescent="0.25">
      <c r="A16094" s="118"/>
      <c r="B16094" s="136"/>
    </row>
    <row r="16095" spans="1:2" x14ac:dyDescent="0.25">
      <c r="A16095" s="118"/>
      <c r="B16095" s="136"/>
    </row>
    <row r="16096" spans="1:2" x14ac:dyDescent="0.25">
      <c r="A16096" s="118"/>
      <c r="B16096" s="136"/>
    </row>
    <row r="16097" spans="1:2" x14ac:dyDescent="0.25">
      <c r="A16097" s="118"/>
      <c r="B16097" s="136"/>
    </row>
    <row r="16098" spans="1:2" x14ac:dyDescent="0.25">
      <c r="A16098" s="118"/>
      <c r="B16098" s="136"/>
    </row>
    <row r="16099" spans="1:2" x14ac:dyDescent="0.25">
      <c r="A16099" s="118"/>
      <c r="B16099" s="136"/>
    </row>
    <row r="16100" spans="1:2" x14ac:dyDescent="0.25">
      <c r="A16100" s="118"/>
      <c r="B16100" s="136"/>
    </row>
    <row r="16101" spans="1:2" x14ac:dyDescent="0.25">
      <c r="A16101" s="118"/>
      <c r="B16101" s="136"/>
    </row>
    <row r="16102" spans="1:2" x14ac:dyDescent="0.25">
      <c r="A16102" s="118"/>
      <c r="B16102" s="136"/>
    </row>
    <row r="16103" spans="1:2" x14ac:dyDescent="0.25">
      <c r="A16103" s="118"/>
      <c r="B16103" s="136"/>
    </row>
    <row r="16104" spans="1:2" x14ac:dyDescent="0.25">
      <c r="A16104" s="118"/>
      <c r="B16104" s="136"/>
    </row>
    <row r="16105" spans="1:2" x14ac:dyDescent="0.25">
      <c r="A16105" s="118"/>
      <c r="B16105" s="136"/>
    </row>
    <row r="16106" spans="1:2" x14ac:dyDescent="0.25">
      <c r="A16106" s="118"/>
      <c r="B16106" s="136"/>
    </row>
    <row r="16107" spans="1:2" x14ac:dyDescent="0.25">
      <c r="A16107" s="118"/>
      <c r="B16107" s="136"/>
    </row>
    <row r="16108" spans="1:2" x14ac:dyDescent="0.25">
      <c r="A16108" s="118"/>
      <c r="B16108" s="136"/>
    </row>
    <row r="16109" spans="1:2" x14ac:dyDescent="0.25">
      <c r="A16109" s="118"/>
      <c r="B16109" s="136"/>
    </row>
    <row r="16110" spans="1:2" x14ac:dyDescent="0.25">
      <c r="A16110" s="118"/>
      <c r="B16110" s="136"/>
    </row>
    <row r="16111" spans="1:2" x14ac:dyDescent="0.25">
      <c r="A16111" s="118"/>
      <c r="B16111" s="136"/>
    </row>
    <row r="16112" spans="1:2" x14ac:dyDescent="0.25">
      <c r="A16112" s="118"/>
      <c r="B16112" s="136"/>
    </row>
    <row r="16113" spans="1:2" x14ac:dyDescent="0.25">
      <c r="A16113" s="118"/>
      <c r="B16113" s="136"/>
    </row>
    <row r="16114" spans="1:2" x14ac:dyDescent="0.25">
      <c r="A16114" s="118"/>
      <c r="B16114" s="136"/>
    </row>
    <row r="16115" spans="1:2" x14ac:dyDescent="0.25">
      <c r="A16115" s="118"/>
      <c r="B16115" s="136"/>
    </row>
    <row r="16116" spans="1:2" x14ac:dyDescent="0.25">
      <c r="A16116" s="118"/>
      <c r="B16116" s="136"/>
    </row>
    <row r="16117" spans="1:2" x14ac:dyDescent="0.25">
      <c r="A16117" s="118"/>
      <c r="B16117" s="136"/>
    </row>
    <row r="16118" spans="1:2" x14ac:dyDescent="0.25">
      <c r="A16118" s="118"/>
      <c r="B16118" s="136"/>
    </row>
    <row r="16119" spans="1:2" x14ac:dyDescent="0.25">
      <c r="A16119" s="118"/>
      <c r="B16119" s="136"/>
    </row>
    <row r="16120" spans="1:2" x14ac:dyDescent="0.25">
      <c r="A16120" s="118"/>
      <c r="B16120" s="136"/>
    </row>
    <row r="16121" spans="1:2" x14ac:dyDescent="0.25">
      <c r="A16121" s="118"/>
      <c r="B16121" s="136"/>
    </row>
    <row r="16122" spans="1:2" x14ac:dyDescent="0.25">
      <c r="A16122" s="118"/>
      <c r="B16122" s="136"/>
    </row>
    <row r="16123" spans="1:2" x14ac:dyDescent="0.25">
      <c r="A16123" s="118"/>
      <c r="B16123" s="136"/>
    </row>
    <row r="16124" spans="1:2" x14ac:dyDescent="0.25">
      <c r="A16124" s="118"/>
      <c r="B16124" s="136"/>
    </row>
    <row r="16125" spans="1:2" x14ac:dyDescent="0.25">
      <c r="A16125" s="118"/>
      <c r="B16125" s="136"/>
    </row>
    <row r="16126" spans="1:2" x14ac:dyDescent="0.25">
      <c r="A16126" s="118"/>
      <c r="B16126" s="136"/>
    </row>
    <row r="16127" spans="1:2" x14ac:dyDescent="0.25">
      <c r="A16127" s="118"/>
      <c r="B16127" s="136"/>
    </row>
    <row r="16128" spans="1:2" x14ac:dyDescent="0.25">
      <c r="A16128" s="118"/>
      <c r="B16128" s="136"/>
    </row>
    <row r="16129" spans="1:2" x14ac:dyDescent="0.25">
      <c r="A16129" s="118"/>
      <c r="B16129" s="136"/>
    </row>
    <row r="16130" spans="1:2" x14ac:dyDescent="0.25">
      <c r="A16130" s="118"/>
      <c r="B16130" s="136"/>
    </row>
    <row r="16131" spans="1:2" x14ac:dyDescent="0.25">
      <c r="A16131" s="118"/>
      <c r="B16131" s="136"/>
    </row>
    <row r="16132" spans="1:2" x14ac:dyDescent="0.25">
      <c r="A16132" s="118"/>
      <c r="B16132" s="136"/>
    </row>
    <row r="16133" spans="1:2" x14ac:dyDescent="0.25">
      <c r="A16133" s="118"/>
      <c r="B16133" s="136"/>
    </row>
    <row r="16134" spans="1:2" x14ac:dyDescent="0.25">
      <c r="A16134" s="118"/>
      <c r="B16134" s="136"/>
    </row>
    <row r="16135" spans="1:2" x14ac:dyDescent="0.25">
      <c r="A16135" s="118"/>
      <c r="B16135" s="136"/>
    </row>
    <row r="16136" spans="1:2" x14ac:dyDescent="0.25">
      <c r="A16136" s="118"/>
      <c r="B16136" s="136"/>
    </row>
    <row r="16137" spans="1:2" x14ac:dyDescent="0.25">
      <c r="A16137" s="118"/>
      <c r="B16137" s="136"/>
    </row>
    <row r="16138" spans="1:2" x14ac:dyDescent="0.25">
      <c r="A16138" s="118"/>
      <c r="B16138" s="136"/>
    </row>
    <row r="16139" spans="1:2" x14ac:dyDescent="0.25">
      <c r="A16139" s="118"/>
      <c r="B16139" s="136"/>
    </row>
    <row r="16140" spans="1:2" x14ac:dyDescent="0.25">
      <c r="A16140" s="118"/>
      <c r="B16140" s="136"/>
    </row>
    <row r="16141" spans="1:2" x14ac:dyDescent="0.25">
      <c r="A16141" s="118"/>
      <c r="B16141" s="136"/>
    </row>
    <row r="16142" spans="1:2" x14ac:dyDescent="0.25">
      <c r="A16142" s="118"/>
      <c r="B16142" s="136"/>
    </row>
    <row r="16143" spans="1:2" x14ac:dyDescent="0.25">
      <c r="A16143" s="118"/>
      <c r="B16143" s="136"/>
    </row>
    <row r="16144" spans="1:2" x14ac:dyDescent="0.25">
      <c r="A16144" s="118"/>
      <c r="B16144" s="136"/>
    </row>
    <row r="16145" spans="1:2" x14ac:dyDescent="0.25">
      <c r="A16145" s="118"/>
      <c r="B16145" s="136"/>
    </row>
    <row r="16146" spans="1:2" x14ac:dyDescent="0.25">
      <c r="A16146" s="118"/>
      <c r="B16146" s="136"/>
    </row>
    <row r="16147" spans="1:2" x14ac:dyDescent="0.25">
      <c r="A16147" s="118"/>
      <c r="B16147" s="136"/>
    </row>
    <row r="16148" spans="1:2" x14ac:dyDescent="0.25">
      <c r="A16148" s="118"/>
      <c r="B16148" s="136"/>
    </row>
    <row r="16149" spans="1:2" x14ac:dyDescent="0.25">
      <c r="A16149" s="118"/>
      <c r="B16149" s="136"/>
    </row>
    <row r="16150" spans="1:2" x14ac:dyDescent="0.25">
      <c r="A16150" s="118"/>
      <c r="B16150" s="136"/>
    </row>
    <row r="16151" spans="1:2" x14ac:dyDescent="0.25">
      <c r="A16151" s="118"/>
      <c r="B16151" s="136"/>
    </row>
    <row r="16152" spans="1:2" x14ac:dyDescent="0.25">
      <c r="A16152" s="118"/>
      <c r="B16152" s="136"/>
    </row>
    <row r="16153" spans="1:2" x14ac:dyDescent="0.25">
      <c r="A16153" s="118"/>
      <c r="B16153" s="136"/>
    </row>
    <row r="16154" spans="1:2" x14ac:dyDescent="0.25">
      <c r="A16154" s="118"/>
      <c r="B16154" s="136"/>
    </row>
    <row r="16155" spans="1:2" x14ac:dyDescent="0.25">
      <c r="A16155" s="118"/>
      <c r="B16155" s="136"/>
    </row>
    <row r="16156" spans="1:2" x14ac:dyDescent="0.25">
      <c r="A16156" s="118"/>
      <c r="B16156" s="136"/>
    </row>
    <row r="16157" spans="1:2" x14ac:dyDescent="0.25">
      <c r="A16157" s="118"/>
      <c r="B16157" s="136"/>
    </row>
    <row r="16158" spans="1:2" x14ac:dyDescent="0.25">
      <c r="A16158" s="118"/>
      <c r="B16158" s="136"/>
    </row>
    <row r="16159" spans="1:2" x14ac:dyDescent="0.25">
      <c r="A16159" s="118"/>
      <c r="B16159" s="136"/>
    </row>
    <row r="16160" spans="1:2" x14ac:dyDescent="0.25">
      <c r="A16160" s="118"/>
      <c r="B16160" s="136"/>
    </row>
    <row r="16161" spans="1:2" x14ac:dyDescent="0.25">
      <c r="A16161" s="118"/>
      <c r="B16161" s="136"/>
    </row>
    <row r="16162" spans="1:2" x14ac:dyDescent="0.25">
      <c r="A16162" s="118"/>
      <c r="B16162" s="136"/>
    </row>
    <row r="16163" spans="1:2" x14ac:dyDescent="0.25">
      <c r="A16163" s="118"/>
      <c r="B16163" s="136"/>
    </row>
    <row r="16164" spans="1:2" x14ac:dyDescent="0.25">
      <c r="A16164" s="118"/>
      <c r="B16164" s="136"/>
    </row>
    <row r="16165" spans="1:2" x14ac:dyDescent="0.25">
      <c r="A16165" s="118"/>
      <c r="B16165" s="136"/>
    </row>
    <row r="16166" spans="1:2" x14ac:dyDescent="0.25">
      <c r="A16166" s="118"/>
      <c r="B16166" s="136"/>
    </row>
    <row r="16167" spans="1:2" x14ac:dyDescent="0.25">
      <c r="A16167" s="118"/>
      <c r="B16167" s="136"/>
    </row>
    <row r="16168" spans="1:2" x14ac:dyDescent="0.25">
      <c r="A16168" s="118"/>
      <c r="B16168" s="136"/>
    </row>
    <row r="16169" spans="1:2" x14ac:dyDescent="0.25">
      <c r="A16169" s="118"/>
      <c r="B16169" s="136"/>
    </row>
    <row r="16170" spans="1:2" x14ac:dyDescent="0.25">
      <c r="A16170" s="118"/>
      <c r="B16170" s="136"/>
    </row>
    <row r="16171" spans="1:2" x14ac:dyDescent="0.25">
      <c r="A16171" s="118"/>
      <c r="B16171" s="136"/>
    </row>
    <row r="16172" spans="1:2" x14ac:dyDescent="0.25">
      <c r="A16172" s="118"/>
      <c r="B16172" s="136"/>
    </row>
    <row r="16173" spans="1:2" x14ac:dyDescent="0.25">
      <c r="A16173" s="118"/>
      <c r="B16173" s="136"/>
    </row>
    <row r="16174" spans="1:2" x14ac:dyDescent="0.25">
      <c r="A16174" s="118"/>
      <c r="B16174" s="136"/>
    </row>
    <row r="16175" spans="1:2" x14ac:dyDescent="0.25">
      <c r="A16175" s="118"/>
      <c r="B16175" s="136"/>
    </row>
    <row r="16176" spans="1:2" x14ac:dyDescent="0.25">
      <c r="A16176" s="118"/>
      <c r="B16176" s="136"/>
    </row>
    <row r="16177" spans="1:2" x14ac:dyDescent="0.25">
      <c r="A16177" s="118"/>
      <c r="B16177" s="136"/>
    </row>
    <row r="16178" spans="1:2" x14ac:dyDescent="0.25">
      <c r="A16178" s="118"/>
      <c r="B16178" s="136"/>
    </row>
    <row r="16179" spans="1:2" x14ac:dyDescent="0.25">
      <c r="A16179" s="118"/>
      <c r="B16179" s="136"/>
    </row>
    <row r="16180" spans="1:2" x14ac:dyDescent="0.25">
      <c r="A16180" s="118"/>
      <c r="B16180" s="136"/>
    </row>
    <row r="16181" spans="1:2" x14ac:dyDescent="0.25">
      <c r="A16181" s="118"/>
      <c r="B16181" s="136"/>
    </row>
    <row r="16182" spans="1:2" x14ac:dyDescent="0.25">
      <c r="A16182" s="118"/>
      <c r="B16182" s="136"/>
    </row>
    <row r="16183" spans="1:2" x14ac:dyDescent="0.25">
      <c r="A16183" s="118"/>
      <c r="B16183" s="136"/>
    </row>
    <row r="16184" spans="1:2" x14ac:dyDescent="0.25">
      <c r="A16184" s="118"/>
      <c r="B16184" s="136"/>
    </row>
    <row r="16185" spans="1:2" x14ac:dyDescent="0.25">
      <c r="A16185" s="118"/>
      <c r="B16185" s="136"/>
    </row>
    <row r="16186" spans="1:2" x14ac:dyDescent="0.25">
      <c r="A16186" s="118"/>
      <c r="B16186" s="136"/>
    </row>
    <row r="16187" spans="1:2" x14ac:dyDescent="0.25">
      <c r="A16187" s="118"/>
      <c r="B16187" s="136"/>
    </row>
    <row r="16188" spans="1:2" x14ac:dyDescent="0.25">
      <c r="A16188" s="118"/>
      <c r="B16188" s="136"/>
    </row>
    <row r="16189" spans="1:2" x14ac:dyDescent="0.25">
      <c r="A16189" s="118"/>
      <c r="B16189" s="136"/>
    </row>
    <row r="16190" spans="1:2" x14ac:dyDescent="0.25">
      <c r="A16190" s="118"/>
      <c r="B16190" s="136"/>
    </row>
    <row r="16191" spans="1:2" x14ac:dyDescent="0.25">
      <c r="A16191" s="118"/>
      <c r="B16191" s="136"/>
    </row>
    <row r="16192" spans="1:2" x14ac:dyDescent="0.25">
      <c r="A16192" s="118"/>
      <c r="B16192" s="136"/>
    </row>
    <row r="16193" spans="1:2" x14ac:dyDescent="0.25">
      <c r="A16193" s="118"/>
      <c r="B16193" s="136"/>
    </row>
    <row r="16194" spans="1:2" x14ac:dyDescent="0.25">
      <c r="A16194" s="118"/>
      <c r="B16194" s="136"/>
    </row>
    <row r="16195" spans="1:2" x14ac:dyDescent="0.25">
      <c r="A16195" s="118"/>
      <c r="B16195" s="136"/>
    </row>
    <row r="16196" spans="1:2" x14ac:dyDescent="0.25">
      <c r="A16196" s="118"/>
      <c r="B16196" s="136"/>
    </row>
    <row r="16197" spans="1:2" x14ac:dyDescent="0.25">
      <c r="A16197" s="118"/>
      <c r="B16197" s="136"/>
    </row>
    <row r="16198" spans="1:2" x14ac:dyDescent="0.25">
      <c r="A16198" s="118"/>
      <c r="B16198" s="136"/>
    </row>
    <row r="16199" spans="1:2" x14ac:dyDescent="0.25">
      <c r="A16199" s="118"/>
      <c r="B16199" s="136"/>
    </row>
    <row r="16200" spans="1:2" x14ac:dyDescent="0.25">
      <c r="A16200" s="118"/>
      <c r="B16200" s="136"/>
    </row>
    <row r="16201" spans="1:2" x14ac:dyDescent="0.25">
      <c r="A16201" s="118"/>
      <c r="B16201" s="136"/>
    </row>
    <row r="16202" spans="1:2" x14ac:dyDescent="0.25">
      <c r="A16202" s="118"/>
      <c r="B16202" s="136"/>
    </row>
    <row r="16203" spans="1:2" x14ac:dyDescent="0.25">
      <c r="A16203" s="118"/>
      <c r="B16203" s="136"/>
    </row>
    <row r="16204" spans="1:2" x14ac:dyDescent="0.25">
      <c r="A16204" s="118"/>
      <c r="B16204" s="136"/>
    </row>
    <row r="16205" spans="1:2" x14ac:dyDescent="0.25">
      <c r="A16205" s="118"/>
      <c r="B16205" s="136"/>
    </row>
    <row r="16206" spans="1:2" x14ac:dyDescent="0.25">
      <c r="A16206" s="118"/>
      <c r="B16206" s="136"/>
    </row>
    <row r="16207" spans="1:2" x14ac:dyDescent="0.25">
      <c r="A16207" s="118"/>
      <c r="B16207" s="136"/>
    </row>
    <row r="16208" spans="1:2" x14ac:dyDescent="0.25">
      <c r="A16208" s="118"/>
      <c r="B16208" s="136"/>
    </row>
    <row r="16209" spans="1:2" x14ac:dyDescent="0.25">
      <c r="A16209" s="118"/>
      <c r="B16209" s="136"/>
    </row>
    <row r="16210" spans="1:2" x14ac:dyDescent="0.25">
      <c r="A16210" s="118"/>
      <c r="B16210" s="136"/>
    </row>
    <row r="16211" spans="1:2" x14ac:dyDescent="0.25">
      <c r="A16211" s="118"/>
      <c r="B16211" s="136"/>
    </row>
    <row r="16212" spans="1:2" x14ac:dyDescent="0.25">
      <c r="A16212" s="118"/>
      <c r="B16212" s="136"/>
    </row>
    <row r="16213" spans="1:2" x14ac:dyDescent="0.25">
      <c r="A16213" s="118"/>
      <c r="B16213" s="136"/>
    </row>
    <row r="16214" spans="1:2" x14ac:dyDescent="0.25">
      <c r="A16214" s="118"/>
      <c r="B16214" s="136"/>
    </row>
    <row r="16215" spans="1:2" x14ac:dyDescent="0.25">
      <c r="A16215" s="118"/>
      <c r="B16215" s="136"/>
    </row>
    <row r="16216" spans="1:2" x14ac:dyDescent="0.25">
      <c r="A16216" s="118"/>
      <c r="B16216" s="136"/>
    </row>
    <row r="16217" spans="1:2" x14ac:dyDescent="0.25">
      <c r="A16217" s="118"/>
      <c r="B16217" s="136"/>
    </row>
    <row r="16218" spans="1:2" x14ac:dyDescent="0.25">
      <c r="A16218" s="118"/>
      <c r="B16218" s="136"/>
    </row>
    <row r="16219" spans="1:2" x14ac:dyDescent="0.25">
      <c r="A16219" s="118"/>
      <c r="B16219" s="136"/>
    </row>
    <row r="16220" spans="1:2" x14ac:dyDescent="0.25">
      <c r="A16220" s="118"/>
      <c r="B16220" s="136"/>
    </row>
    <row r="16221" spans="1:2" x14ac:dyDescent="0.25">
      <c r="A16221" s="118"/>
      <c r="B16221" s="136"/>
    </row>
    <row r="16222" spans="1:2" x14ac:dyDescent="0.25">
      <c r="A16222" s="118"/>
      <c r="B16222" s="136"/>
    </row>
    <row r="16223" spans="1:2" x14ac:dyDescent="0.25">
      <c r="A16223" s="118"/>
      <c r="B16223" s="136"/>
    </row>
    <row r="16224" spans="1:2" x14ac:dyDescent="0.25">
      <c r="A16224" s="118"/>
      <c r="B16224" s="136"/>
    </row>
    <row r="16225" spans="1:2" x14ac:dyDescent="0.25">
      <c r="A16225" s="118"/>
      <c r="B16225" s="136"/>
    </row>
    <row r="16226" spans="1:2" x14ac:dyDescent="0.25">
      <c r="A16226" s="118"/>
      <c r="B16226" s="136"/>
    </row>
    <row r="16227" spans="1:2" x14ac:dyDescent="0.25">
      <c r="A16227" s="118"/>
      <c r="B16227" s="136"/>
    </row>
    <row r="16228" spans="1:2" x14ac:dyDescent="0.25">
      <c r="A16228" s="118"/>
      <c r="B16228" s="136"/>
    </row>
    <row r="16229" spans="1:2" x14ac:dyDescent="0.25">
      <c r="A16229" s="118"/>
      <c r="B16229" s="136"/>
    </row>
    <row r="16230" spans="1:2" x14ac:dyDescent="0.25">
      <c r="A16230" s="118"/>
      <c r="B16230" s="136"/>
    </row>
    <row r="16231" spans="1:2" x14ac:dyDescent="0.25">
      <c r="A16231" s="118"/>
      <c r="B16231" s="136"/>
    </row>
    <row r="16232" spans="1:2" x14ac:dyDescent="0.25">
      <c r="A16232" s="118"/>
      <c r="B16232" s="136"/>
    </row>
    <row r="16233" spans="1:2" x14ac:dyDescent="0.25">
      <c r="A16233" s="118"/>
      <c r="B16233" s="136"/>
    </row>
    <row r="16234" spans="1:2" x14ac:dyDescent="0.25">
      <c r="A16234" s="118"/>
      <c r="B16234" s="136"/>
    </row>
    <row r="16235" spans="1:2" x14ac:dyDescent="0.25">
      <c r="A16235" s="118"/>
      <c r="B16235" s="136"/>
    </row>
    <row r="16236" spans="1:2" x14ac:dyDescent="0.25">
      <c r="A16236" s="118"/>
      <c r="B16236" s="136"/>
    </row>
    <row r="16237" spans="1:2" x14ac:dyDescent="0.25">
      <c r="A16237" s="118"/>
      <c r="B16237" s="136"/>
    </row>
    <row r="16238" spans="1:2" x14ac:dyDescent="0.25">
      <c r="A16238" s="118"/>
      <c r="B16238" s="136"/>
    </row>
    <row r="16239" spans="1:2" x14ac:dyDescent="0.25">
      <c r="A16239" s="118"/>
      <c r="B16239" s="136"/>
    </row>
    <row r="16240" spans="1:2" x14ac:dyDescent="0.25">
      <c r="A16240" s="118"/>
      <c r="B16240" s="136"/>
    </row>
    <row r="16241" spans="1:2" x14ac:dyDescent="0.25">
      <c r="A16241" s="118"/>
      <c r="B16241" s="136"/>
    </row>
    <row r="16242" spans="1:2" x14ac:dyDescent="0.25">
      <c r="A16242" s="118"/>
      <c r="B16242" s="136"/>
    </row>
    <row r="16243" spans="1:2" x14ac:dyDescent="0.25">
      <c r="A16243" s="118"/>
      <c r="B16243" s="136"/>
    </row>
    <row r="16244" spans="1:2" x14ac:dyDescent="0.25">
      <c r="A16244" s="118"/>
      <c r="B16244" s="136"/>
    </row>
    <row r="16245" spans="1:2" x14ac:dyDescent="0.25">
      <c r="A16245" s="118"/>
      <c r="B16245" s="136"/>
    </row>
    <row r="16246" spans="1:2" x14ac:dyDescent="0.25">
      <c r="A16246" s="118"/>
      <c r="B16246" s="136"/>
    </row>
    <row r="16247" spans="1:2" x14ac:dyDescent="0.25">
      <c r="A16247" s="118"/>
      <c r="B16247" s="136"/>
    </row>
    <row r="16248" spans="1:2" x14ac:dyDescent="0.25">
      <c r="A16248" s="118"/>
      <c r="B16248" s="136"/>
    </row>
    <row r="16249" spans="1:2" x14ac:dyDescent="0.25">
      <c r="A16249" s="118"/>
      <c r="B16249" s="136"/>
    </row>
    <row r="16250" spans="1:2" x14ac:dyDescent="0.25">
      <c r="A16250" s="118"/>
      <c r="B16250" s="136"/>
    </row>
    <row r="16251" spans="1:2" x14ac:dyDescent="0.25">
      <c r="A16251" s="118"/>
      <c r="B16251" s="136"/>
    </row>
    <row r="16252" spans="1:2" x14ac:dyDescent="0.25">
      <c r="A16252" s="118"/>
      <c r="B16252" s="136"/>
    </row>
    <row r="16253" spans="1:2" x14ac:dyDescent="0.25">
      <c r="A16253" s="118"/>
      <c r="B16253" s="136"/>
    </row>
    <row r="16254" spans="1:2" x14ac:dyDescent="0.25">
      <c r="A16254" s="118"/>
      <c r="B16254" s="136"/>
    </row>
    <row r="16255" spans="1:2" x14ac:dyDescent="0.25">
      <c r="A16255" s="118"/>
      <c r="B16255" s="136"/>
    </row>
    <row r="16256" spans="1:2" x14ac:dyDescent="0.25">
      <c r="A16256" s="118"/>
      <c r="B16256" s="136"/>
    </row>
    <row r="16257" spans="1:2" x14ac:dyDescent="0.25">
      <c r="A16257" s="118"/>
      <c r="B16257" s="136"/>
    </row>
    <row r="16258" spans="1:2" x14ac:dyDescent="0.25">
      <c r="A16258" s="118"/>
      <c r="B16258" s="136"/>
    </row>
    <row r="16259" spans="1:2" x14ac:dyDescent="0.25">
      <c r="A16259" s="118"/>
      <c r="B16259" s="136"/>
    </row>
    <row r="16260" spans="1:2" x14ac:dyDescent="0.25">
      <c r="A16260" s="118"/>
      <c r="B16260" s="136"/>
    </row>
    <row r="16261" spans="1:2" x14ac:dyDescent="0.25">
      <c r="A16261" s="118"/>
      <c r="B16261" s="136"/>
    </row>
    <row r="16262" spans="1:2" x14ac:dyDescent="0.25">
      <c r="A16262" s="118"/>
      <c r="B16262" s="136"/>
    </row>
    <row r="16263" spans="1:2" x14ac:dyDescent="0.25">
      <c r="A16263" s="118"/>
      <c r="B16263" s="136"/>
    </row>
    <row r="16264" spans="1:2" x14ac:dyDescent="0.25">
      <c r="A16264" s="118"/>
      <c r="B16264" s="136"/>
    </row>
    <row r="16265" spans="1:2" x14ac:dyDescent="0.25">
      <c r="A16265" s="118"/>
      <c r="B16265" s="136"/>
    </row>
    <row r="16266" spans="1:2" x14ac:dyDescent="0.25">
      <c r="A16266" s="118"/>
      <c r="B16266" s="136"/>
    </row>
    <row r="16267" spans="1:2" x14ac:dyDescent="0.25">
      <c r="A16267" s="118"/>
      <c r="B16267" s="136"/>
    </row>
    <row r="16268" spans="1:2" x14ac:dyDescent="0.25">
      <c r="A16268" s="118"/>
      <c r="B16268" s="136"/>
    </row>
    <row r="16269" spans="1:2" x14ac:dyDescent="0.25">
      <c r="A16269" s="118"/>
      <c r="B16269" s="136"/>
    </row>
    <row r="16270" spans="1:2" x14ac:dyDescent="0.25">
      <c r="A16270" s="118"/>
      <c r="B16270" s="136"/>
    </row>
    <row r="16271" spans="1:2" x14ac:dyDescent="0.25">
      <c r="A16271" s="118"/>
      <c r="B16271" s="136"/>
    </row>
    <row r="16272" spans="1:2" x14ac:dyDescent="0.25">
      <c r="A16272" s="118"/>
      <c r="B16272" s="136"/>
    </row>
    <row r="16273" spans="1:2" x14ac:dyDescent="0.25">
      <c r="A16273" s="118"/>
      <c r="B16273" s="136"/>
    </row>
    <row r="16274" spans="1:2" x14ac:dyDescent="0.25">
      <c r="A16274" s="118"/>
      <c r="B16274" s="136"/>
    </row>
    <row r="16275" spans="1:2" x14ac:dyDescent="0.25">
      <c r="A16275" s="118"/>
      <c r="B16275" s="136"/>
    </row>
    <row r="16276" spans="1:2" x14ac:dyDescent="0.25">
      <c r="A16276" s="118"/>
      <c r="B16276" s="136"/>
    </row>
    <row r="16277" spans="1:2" x14ac:dyDescent="0.25">
      <c r="A16277" s="118"/>
      <c r="B16277" s="136"/>
    </row>
    <row r="16278" spans="1:2" x14ac:dyDescent="0.25">
      <c r="A16278" s="118"/>
      <c r="B16278" s="136"/>
    </row>
    <row r="16279" spans="1:2" x14ac:dyDescent="0.25">
      <c r="A16279" s="118"/>
      <c r="B16279" s="136"/>
    </row>
    <row r="16280" spans="1:2" x14ac:dyDescent="0.25">
      <c r="A16280" s="118"/>
      <c r="B16280" s="136"/>
    </row>
    <row r="16281" spans="1:2" x14ac:dyDescent="0.25">
      <c r="A16281" s="118"/>
      <c r="B16281" s="136"/>
    </row>
    <row r="16282" spans="1:2" x14ac:dyDescent="0.25">
      <c r="A16282" s="118"/>
      <c r="B16282" s="136"/>
    </row>
    <row r="16283" spans="1:2" x14ac:dyDescent="0.25">
      <c r="A16283" s="118"/>
      <c r="B16283" s="136"/>
    </row>
    <row r="16284" spans="1:2" x14ac:dyDescent="0.25">
      <c r="A16284" s="118"/>
      <c r="B16284" s="136"/>
    </row>
    <row r="16285" spans="1:2" x14ac:dyDescent="0.25">
      <c r="A16285" s="118"/>
      <c r="B16285" s="136"/>
    </row>
    <row r="16286" spans="1:2" x14ac:dyDescent="0.25">
      <c r="A16286" s="118"/>
      <c r="B16286" s="136"/>
    </row>
    <row r="16287" spans="1:2" x14ac:dyDescent="0.25">
      <c r="A16287" s="118"/>
      <c r="B16287" s="136"/>
    </row>
    <row r="16288" spans="1:2" x14ac:dyDescent="0.25">
      <c r="A16288" s="118"/>
      <c r="B16288" s="136"/>
    </row>
    <row r="16289" spans="1:2" x14ac:dyDescent="0.25">
      <c r="A16289" s="118"/>
      <c r="B16289" s="136"/>
    </row>
    <row r="16290" spans="1:2" x14ac:dyDescent="0.25">
      <c r="A16290" s="118"/>
      <c r="B16290" s="136"/>
    </row>
    <row r="16291" spans="1:2" x14ac:dyDescent="0.25">
      <c r="A16291" s="118"/>
      <c r="B16291" s="136"/>
    </row>
    <row r="16292" spans="1:2" x14ac:dyDescent="0.25">
      <c r="A16292" s="118"/>
      <c r="B16292" s="136"/>
    </row>
    <row r="16293" spans="1:2" x14ac:dyDescent="0.25">
      <c r="A16293" s="118"/>
      <c r="B16293" s="136"/>
    </row>
    <row r="16294" spans="1:2" x14ac:dyDescent="0.25">
      <c r="A16294" s="118"/>
      <c r="B16294" s="136"/>
    </row>
    <row r="16295" spans="1:2" x14ac:dyDescent="0.25">
      <c r="A16295" s="118"/>
      <c r="B16295" s="136"/>
    </row>
    <row r="16296" spans="1:2" x14ac:dyDescent="0.25">
      <c r="A16296" s="118"/>
      <c r="B16296" s="136"/>
    </row>
    <row r="16297" spans="1:2" x14ac:dyDescent="0.25">
      <c r="A16297" s="118"/>
      <c r="B16297" s="136"/>
    </row>
    <row r="16298" spans="1:2" x14ac:dyDescent="0.25">
      <c r="A16298" s="118"/>
      <c r="B16298" s="136"/>
    </row>
    <row r="16299" spans="1:2" x14ac:dyDescent="0.25">
      <c r="A16299" s="118"/>
      <c r="B16299" s="136"/>
    </row>
    <row r="16300" spans="1:2" x14ac:dyDescent="0.25">
      <c r="A16300" s="118"/>
      <c r="B16300" s="136"/>
    </row>
    <row r="16301" spans="1:2" x14ac:dyDescent="0.25">
      <c r="A16301" s="118"/>
      <c r="B16301" s="136"/>
    </row>
    <row r="16302" spans="1:2" x14ac:dyDescent="0.25">
      <c r="A16302" s="118"/>
      <c r="B16302" s="136"/>
    </row>
    <row r="16303" spans="1:2" x14ac:dyDescent="0.25">
      <c r="A16303" s="118"/>
      <c r="B16303" s="136"/>
    </row>
    <row r="16304" spans="1:2" x14ac:dyDescent="0.25">
      <c r="A16304" s="118"/>
      <c r="B16304" s="136"/>
    </row>
    <row r="16305" spans="1:2" x14ac:dyDescent="0.25">
      <c r="A16305" s="118"/>
      <c r="B16305" s="136"/>
    </row>
    <row r="16306" spans="1:2" x14ac:dyDescent="0.25">
      <c r="A16306" s="118"/>
      <c r="B16306" s="136"/>
    </row>
    <row r="16307" spans="1:2" x14ac:dyDescent="0.25">
      <c r="A16307" s="118"/>
      <c r="B16307" s="136"/>
    </row>
    <row r="16308" spans="1:2" x14ac:dyDescent="0.25">
      <c r="A16308" s="118"/>
      <c r="B16308" s="136"/>
    </row>
    <row r="16309" spans="1:2" x14ac:dyDescent="0.25">
      <c r="A16309" s="118"/>
      <c r="B16309" s="136"/>
    </row>
    <row r="16310" spans="1:2" x14ac:dyDescent="0.25">
      <c r="A16310" s="118"/>
      <c r="B16310" s="136"/>
    </row>
    <row r="16311" spans="1:2" x14ac:dyDescent="0.25">
      <c r="A16311" s="118"/>
      <c r="B16311" s="136"/>
    </row>
    <row r="16312" spans="1:2" x14ac:dyDescent="0.25">
      <c r="A16312" s="118"/>
      <c r="B16312" s="136"/>
    </row>
    <row r="16313" spans="1:2" x14ac:dyDescent="0.25">
      <c r="A16313" s="118"/>
      <c r="B16313" s="136"/>
    </row>
    <row r="16314" spans="1:2" x14ac:dyDescent="0.25">
      <c r="A16314" s="118"/>
      <c r="B16314" s="136"/>
    </row>
    <row r="16315" spans="1:2" x14ac:dyDescent="0.25">
      <c r="A16315" s="118"/>
      <c r="B16315" s="136"/>
    </row>
    <row r="16316" spans="1:2" x14ac:dyDescent="0.25">
      <c r="A16316" s="118"/>
      <c r="B16316" s="136"/>
    </row>
    <row r="16317" spans="1:2" x14ac:dyDescent="0.25">
      <c r="A16317" s="118"/>
      <c r="B16317" s="136"/>
    </row>
    <row r="16318" spans="1:2" x14ac:dyDescent="0.25">
      <c r="A16318" s="118"/>
      <c r="B16318" s="136"/>
    </row>
    <row r="16319" spans="1:2" x14ac:dyDescent="0.25">
      <c r="A16319" s="118"/>
      <c r="B16319" s="136"/>
    </row>
    <row r="16320" spans="1:2" x14ac:dyDescent="0.25">
      <c r="A16320" s="118"/>
      <c r="B16320" s="136"/>
    </row>
    <row r="16321" spans="1:2" x14ac:dyDescent="0.25">
      <c r="A16321" s="118"/>
      <c r="B16321" s="136"/>
    </row>
    <row r="16322" spans="1:2" x14ac:dyDescent="0.25">
      <c r="A16322" s="118"/>
      <c r="B16322" s="136"/>
    </row>
    <row r="16323" spans="1:2" x14ac:dyDescent="0.25">
      <c r="A16323" s="118"/>
      <c r="B16323" s="136"/>
    </row>
    <row r="16324" spans="1:2" x14ac:dyDescent="0.25">
      <c r="A16324" s="118"/>
      <c r="B16324" s="136"/>
    </row>
    <row r="16325" spans="1:2" x14ac:dyDescent="0.25">
      <c r="A16325" s="118"/>
      <c r="B16325" s="136"/>
    </row>
    <row r="16326" spans="1:2" x14ac:dyDescent="0.25">
      <c r="A16326" s="118"/>
      <c r="B16326" s="136"/>
    </row>
    <row r="16327" spans="1:2" x14ac:dyDescent="0.25">
      <c r="A16327" s="118"/>
      <c r="B16327" s="136"/>
    </row>
    <row r="16328" spans="1:2" x14ac:dyDescent="0.25">
      <c r="A16328" s="118"/>
      <c r="B16328" s="136"/>
    </row>
    <row r="16329" spans="1:2" x14ac:dyDescent="0.25">
      <c r="A16329" s="118"/>
      <c r="B16329" s="136"/>
    </row>
    <row r="16330" spans="1:2" x14ac:dyDescent="0.25">
      <c r="A16330" s="118"/>
      <c r="B16330" s="136"/>
    </row>
    <row r="16331" spans="1:2" x14ac:dyDescent="0.25">
      <c r="A16331" s="118"/>
      <c r="B16331" s="136"/>
    </row>
    <row r="16332" spans="1:2" x14ac:dyDescent="0.25">
      <c r="A16332" s="118"/>
      <c r="B16332" s="136"/>
    </row>
    <row r="16333" spans="1:2" x14ac:dyDescent="0.25">
      <c r="A16333" s="118"/>
      <c r="B16333" s="136"/>
    </row>
    <row r="16334" spans="1:2" x14ac:dyDescent="0.25">
      <c r="A16334" s="118"/>
      <c r="B16334" s="136"/>
    </row>
    <row r="16335" spans="1:2" x14ac:dyDescent="0.25">
      <c r="A16335" s="118"/>
      <c r="B16335" s="136"/>
    </row>
    <row r="16336" spans="1:2" x14ac:dyDescent="0.25">
      <c r="A16336" s="118"/>
      <c r="B16336" s="136"/>
    </row>
    <row r="16337" spans="1:2" x14ac:dyDescent="0.25">
      <c r="A16337" s="118"/>
      <c r="B16337" s="136"/>
    </row>
    <row r="16338" spans="1:2" x14ac:dyDescent="0.25">
      <c r="A16338" s="118"/>
      <c r="B16338" s="136"/>
    </row>
    <row r="16339" spans="1:2" x14ac:dyDescent="0.25">
      <c r="A16339" s="118"/>
      <c r="B16339" s="136"/>
    </row>
    <row r="16340" spans="1:2" x14ac:dyDescent="0.25">
      <c r="A16340" s="118"/>
      <c r="B16340" s="136"/>
    </row>
    <row r="16341" spans="1:2" x14ac:dyDescent="0.25">
      <c r="A16341" s="118"/>
      <c r="B16341" s="136"/>
    </row>
    <row r="16342" spans="1:2" x14ac:dyDescent="0.25">
      <c r="A16342" s="118"/>
      <c r="B16342" s="136"/>
    </row>
    <row r="16343" spans="1:2" x14ac:dyDescent="0.25">
      <c r="A16343" s="118"/>
      <c r="B16343" s="136"/>
    </row>
    <row r="16344" spans="1:2" x14ac:dyDescent="0.25">
      <c r="A16344" s="118"/>
      <c r="B16344" s="136"/>
    </row>
    <row r="16345" spans="1:2" x14ac:dyDescent="0.25">
      <c r="A16345" s="118"/>
      <c r="B16345" s="136"/>
    </row>
    <row r="16346" spans="1:2" x14ac:dyDescent="0.25">
      <c r="A16346" s="118"/>
      <c r="B16346" s="136"/>
    </row>
    <row r="16347" spans="1:2" x14ac:dyDescent="0.25">
      <c r="A16347" s="118"/>
      <c r="B16347" s="136"/>
    </row>
    <row r="16348" spans="1:2" x14ac:dyDescent="0.25">
      <c r="A16348" s="118"/>
      <c r="B16348" s="136"/>
    </row>
    <row r="16349" spans="1:2" x14ac:dyDescent="0.25">
      <c r="A16349" s="118"/>
      <c r="B16349" s="136"/>
    </row>
    <row r="16350" spans="1:2" x14ac:dyDescent="0.25">
      <c r="A16350" s="118"/>
      <c r="B16350" s="136"/>
    </row>
    <row r="16351" spans="1:2" x14ac:dyDescent="0.25">
      <c r="A16351" s="118"/>
      <c r="B16351" s="136"/>
    </row>
    <row r="16352" spans="1:2" x14ac:dyDescent="0.25">
      <c r="A16352" s="118"/>
      <c r="B16352" s="136"/>
    </row>
    <row r="16353" spans="1:2" x14ac:dyDescent="0.25">
      <c r="A16353" s="118"/>
      <c r="B16353" s="136"/>
    </row>
    <row r="16354" spans="1:2" x14ac:dyDescent="0.25">
      <c r="A16354" s="118"/>
      <c r="B16354" s="136"/>
    </row>
    <row r="16355" spans="1:2" x14ac:dyDescent="0.25">
      <c r="A16355" s="118"/>
      <c r="B16355" s="136"/>
    </row>
    <row r="16356" spans="1:2" x14ac:dyDescent="0.25">
      <c r="A16356" s="118"/>
      <c r="B16356" s="136"/>
    </row>
    <row r="16357" spans="1:2" x14ac:dyDescent="0.25">
      <c r="A16357" s="118"/>
      <c r="B16357" s="136"/>
    </row>
    <row r="16358" spans="1:2" x14ac:dyDescent="0.25">
      <c r="A16358" s="118"/>
      <c r="B16358" s="136"/>
    </row>
    <row r="16359" spans="1:2" x14ac:dyDescent="0.25">
      <c r="A16359" s="118"/>
      <c r="B16359" s="136"/>
    </row>
    <row r="16360" spans="1:2" x14ac:dyDescent="0.25">
      <c r="A16360" s="118"/>
      <c r="B16360" s="136"/>
    </row>
    <row r="16361" spans="1:2" x14ac:dyDescent="0.25">
      <c r="A16361" s="118"/>
      <c r="B16361" s="136"/>
    </row>
    <row r="16362" spans="1:2" x14ac:dyDescent="0.25">
      <c r="A16362" s="118"/>
      <c r="B16362" s="136"/>
    </row>
    <row r="16363" spans="1:2" x14ac:dyDescent="0.25">
      <c r="A16363" s="118"/>
      <c r="B16363" s="136"/>
    </row>
    <row r="16364" spans="1:2" x14ac:dyDescent="0.25">
      <c r="A16364" s="118"/>
      <c r="B16364" s="136"/>
    </row>
    <row r="16365" spans="1:2" x14ac:dyDescent="0.25">
      <c r="A16365" s="118"/>
      <c r="B16365" s="136"/>
    </row>
    <row r="16366" spans="1:2" x14ac:dyDescent="0.25">
      <c r="A16366" s="118"/>
      <c r="B16366" s="136"/>
    </row>
    <row r="16367" spans="1:2" x14ac:dyDescent="0.25">
      <c r="A16367" s="118"/>
      <c r="B16367" s="136"/>
    </row>
    <row r="16368" spans="1:2" x14ac:dyDescent="0.25">
      <c r="A16368" s="118"/>
      <c r="B16368" s="136"/>
    </row>
    <row r="16369" spans="1:2" x14ac:dyDescent="0.25">
      <c r="A16369" s="118"/>
      <c r="B16369" s="136"/>
    </row>
    <row r="16370" spans="1:2" x14ac:dyDescent="0.25">
      <c r="A16370" s="118"/>
      <c r="B16370" s="136"/>
    </row>
    <row r="16371" spans="1:2" x14ac:dyDescent="0.25">
      <c r="A16371" s="118"/>
      <c r="B16371" s="136"/>
    </row>
    <row r="16372" spans="1:2" x14ac:dyDescent="0.25">
      <c r="A16372" s="118"/>
      <c r="B16372" s="136"/>
    </row>
    <row r="16373" spans="1:2" x14ac:dyDescent="0.25">
      <c r="A16373" s="118"/>
      <c r="B16373" s="136"/>
    </row>
    <row r="16374" spans="1:2" x14ac:dyDescent="0.25">
      <c r="A16374" s="118"/>
      <c r="B16374" s="136"/>
    </row>
    <row r="16375" spans="1:2" x14ac:dyDescent="0.25">
      <c r="A16375" s="118"/>
      <c r="B16375" s="136"/>
    </row>
    <row r="16376" spans="1:2" x14ac:dyDescent="0.25">
      <c r="A16376" s="118"/>
      <c r="B16376" s="136"/>
    </row>
    <row r="16377" spans="1:2" x14ac:dyDescent="0.25">
      <c r="A16377" s="118"/>
      <c r="B16377" s="136"/>
    </row>
    <row r="16378" spans="1:2" x14ac:dyDescent="0.25">
      <c r="A16378" s="118"/>
      <c r="B16378" s="136"/>
    </row>
    <row r="16379" spans="1:2" x14ac:dyDescent="0.25">
      <c r="A16379" s="118"/>
      <c r="B16379" s="136"/>
    </row>
    <row r="16380" spans="1:2" x14ac:dyDescent="0.25">
      <c r="A16380" s="118"/>
      <c r="B16380" s="136"/>
    </row>
    <row r="16381" spans="1:2" x14ac:dyDescent="0.25">
      <c r="A16381" s="118"/>
      <c r="B16381" s="136"/>
    </row>
    <row r="16382" spans="1:2" x14ac:dyDescent="0.25">
      <c r="A16382" s="118"/>
      <c r="B16382" s="136"/>
    </row>
    <row r="16383" spans="1:2" x14ac:dyDescent="0.25">
      <c r="A16383" s="118"/>
      <c r="B16383" s="136"/>
    </row>
    <row r="16384" spans="1:2" x14ac:dyDescent="0.25">
      <c r="A16384" s="118"/>
      <c r="B16384" s="136"/>
    </row>
    <row r="16385" spans="1:2" x14ac:dyDescent="0.25">
      <c r="A16385" s="118"/>
      <c r="B16385" s="136"/>
    </row>
    <row r="16386" spans="1:2" x14ac:dyDescent="0.25">
      <c r="A16386" s="118"/>
      <c r="B16386" s="136"/>
    </row>
    <row r="16387" spans="1:2" x14ac:dyDescent="0.25">
      <c r="A16387" s="118"/>
      <c r="B16387" s="136"/>
    </row>
    <row r="16388" spans="1:2" x14ac:dyDescent="0.25">
      <c r="A16388" s="118"/>
      <c r="B16388" s="136"/>
    </row>
    <row r="16389" spans="1:2" x14ac:dyDescent="0.25">
      <c r="A16389" s="118"/>
      <c r="B16389" s="136"/>
    </row>
    <row r="16390" spans="1:2" x14ac:dyDescent="0.25">
      <c r="A16390" s="118"/>
      <c r="B16390" s="136"/>
    </row>
    <row r="16391" spans="1:2" x14ac:dyDescent="0.25">
      <c r="A16391" s="118"/>
      <c r="B16391" s="136"/>
    </row>
    <row r="16392" spans="1:2" x14ac:dyDescent="0.25">
      <c r="A16392" s="118"/>
      <c r="B16392" s="136"/>
    </row>
    <row r="16393" spans="1:2" x14ac:dyDescent="0.25">
      <c r="A16393" s="118"/>
      <c r="B16393" s="136"/>
    </row>
    <row r="16394" spans="1:2" x14ac:dyDescent="0.25">
      <c r="A16394" s="118"/>
      <c r="B16394" s="136"/>
    </row>
    <row r="16395" spans="1:2" x14ac:dyDescent="0.25">
      <c r="A16395" s="118"/>
      <c r="B16395" s="136"/>
    </row>
    <row r="16396" spans="1:2" x14ac:dyDescent="0.25">
      <c r="A16396" s="118"/>
      <c r="B16396" s="136"/>
    </row>
    <row r="16397" spans="1:2" x14ac:dyDescent="0.25">
      <c r="A16397" s="118"/>
      <c r="B16397" s="136"/>
    </row>
    <row r="16398" spans="1:2" x14ac:dyDescent="0.25">
      <c r="A16398" s="118"/>
      <c r="B16398" s="136"/>
    </row>
    <row r="16399" spans="1:2" x14ac:dyDescent="0.25">
      <c r="A16399" s="118"/>
      <c r="B16399" s="136"/>
    </row>
    <row r="16400" spans="1:2" x14ac:dyDescent="0.25">
      <c r="A16400" s="118"/>
      <c r="B16400" s="136"/>
    </row>
    <row r="16401" spans="1:2" x14ac:dyDescent="0.25">
      <c r="A16401" s="118"/>
      <c r="B16401" s="136"/>
    </row>
    <row r="16402" spans="1:2" x14ac:dyDescent="0.25">
      <c r="A16402" s="118"/>
      <c r="B16402" s="136"/>
    </row>
    <row r="16403" spans="1:2" x14ac:dyDescent="0.25">
      <c r="A16403" s="118"/>
      <c r="B16403" s="136"/>
    </row>
    <row r="16404" spans="1:2" x14ac:dyDescent="0.25">
      <c r="A16404" s="118"/>
      <c r="B16404" s="136"/>
    </row>
    <row r="16405" spans="1:2" x14ac:dyDescent="0.25">
      <c r="A16405" s="118"/>
      <c r="B16405" s="136"/>
    </row>
    <row r="16406" spans="1:2" x14ac:dyDescent="0.25">
      <c r="A16406" s="118"/>
      <c r="B16406" s="136"/>
    </row>
    <row r="16407" spans="1:2" x14ac:dyDescent="0.25">
      <c r="A16407" s="118"/>
      <c r="B16407" s="136"/>
    </row>
    <row r="16408" spans="1:2" x14ac:dyDescent="0.25">
      <c r="A16408" s="118"/>
      <c r="B16408" s="136"/>
    </row>
    <row r="16409" spans="1:2" x14ac:dyDescent="0.25">
      <c r="A16409" s="118"/>
      <c r="B16409" s="136"/>
    </row>
    <row r="16410" spans="1:2" x14ac:dyDescent="0.25">
      <c r="A16410" s="118"/>
      <c r="B16410" s="136"/>
    </row>
    <row r="16411" spans="1:2" x14ac:dyDescent="0.25">
      <c r="A16411" s="118"/>
      <c r="B16411" s="136"/>
    </row>
    <row r="16412" spans="1:2" x14ac:dyDescent="0.25">
      <c r="A16412" s="118"/>
      <c r="B16412" s="136"/>
    </row>
    <row r="16413" spans="1:2" x14ac:dyDescent="0.25">
      <c r="A16413" s="118"/>
      <c r="B16413" s="136"/>
    </row>
    <row r="16414" spans="1:2" x14ac:dyDescent="0.25">
      <c r="A16414" s="118"/>
      <c r="B16414" s="136"/>
    </row>
    <row r="16415" spans="1:2" x14ac:dyDescent="0.25">
      <c r="A16415" s="118"/>
      <c r="B16415" s="136"/>
    </row>
    <row r="16416" spans="1:2" x14ac:dyDescent="0.25">
      <c r="A16416" s="118"/>
      <c r="B16416" s="136"/>
    </row>
    <row r="16417" spans="1:2" x14ac:dyDescent="0.25">
      <c r="A16417" s="118"/>
      <c r="B16417" s="136"/>
    </row>
    <row r="16418" spans="1:2" x14ac:dyDescent="0.25">
      <c r="A16418" s="118"/>
      <c r="B16418" s="136"/>
    </row>
    <row r="16419" spans="1:2" x14ac:dyDescent="0.25">
      <c r="A16419" s="118"/>
      <c r="B16419" s="136"/>
    </row>
    <row r="16420" spans="1:2" x14ac:dyDescent="0.25">
      <c r="A16420" s="118"/>
      <c r="B16420" s="136"/>
    </row>
    <row r="16421" spans="1:2" x14ac:dyDescent="0.25">
      <c r="A16421" s="118"/>
      <c r="B16421" s="136"/>
    </row>
    <row r="16422" spans="1:2" x14ac:dyDescent="0.25">
      <c r="A16422" s="118"/>
      <c r="B16422" s="136"/>
    </row>
    <row r="16423" spans="1:2" x14ac:dyDescent="0.25">
      <c r="A16423" s="118"/>
      <c r="B16423" s="136"/>
    </row>
    <row r="16424" spans="1:2" x14ac:dyDescent="0.25">
      <c r="A16424" s="118"/>
      <c r="B16424" s="136"/>
    </row>
    <row r="16425" spans="1:2" x14ac:dyDescent="0.25">
      <c r="A16425" s="118"/>
      <c r="B16425" s="136"/>
    </row>
    <row r="16426" spans="1:2" x14ac:dyDescent="0.25">
      <c r="A16426" s="118"/>
      <c r="B16426" s="136"/>
    </row>
    <row r="16427" spans="1:2" x14ac:dyDescent="0.25">
      <c r="A16427" s="118"/>
      <c r="B16427" s="136"/>
    </row>
    <row r="16428" spans="1:2" x14ac:dyDescent="0.25">
      <c r="A16428" s="118"/>
      <c r="B16428" s="136"/>
    </row>
    <row r="16429" spans="1:2" x14ac:dyDescent="0.25">
      <c r="A16429" s="118"/>
      <c r="B16429" s="136"/>
    </row>
    <row r="16430" spans="1:2" x14ac:dyDescent="0.25">
      <c r="A16430" s="118"/>
      <c r="B16430" s="136"/>
    </row>
    <row r="16431" spans="1:2" x14ac:dyDescent="0.25">
      <c r="A16431" s="118"/>
      <c r="B16431" s="136"/>
    </row>
    <row r="16432" spans="1:2" x14ac:dyDescent="0.25">
      <c r="A16432" s="118"/>
      <c r="B16432" s="136"/>
    </row>
    <row r="16433" spans="1:2" x14ac:dyDescent="0.25">
      <c r="A16433" s="118"/>
      <c r="B16433" s="136"/>
    </row>
    <row r="16434" spans="1:2" x14ac:dyDescent="0.25">
      <c r="A16434" s="118"/>
      <c r="B16434" s="136"/>
    </row>
    <row r="16435" spans="1:2" x14ac:dyDescent="0.25">
      <c r="A16435" s="118"/>
      <c r="B16435" s="136"/>
    </row>
    <row r="16436" spans="1:2" x14ac:dyDescent="0.25">
      <c r="A16436" s="118"/>
      <c r="B16436" s="136"/>
    </row>
    <row r="16437" spans="1:2" x14ac:dyDescent="0.25">
      <c r="A16437" s="118"/>
      <c r="B16437" s="136"/>
    </row>
    <row r="16438" spans="1:2" x14ac:dyDescent="0.25">
      <c r="A16438" s="118"/>
      <c r="B16438" s="136"/>
    </row>
    <row r="16439" spans="1:2" x14ac:dyDescent="0.25">
      <c r="A16439" s="118"/>
      <c r="B16439" s="136"/>
    </row>
    <row r="16440" spans="1:2" x14ac:dyDescent="0.25">
      <c r="A16440" s="118"/>
      <c r="B16440" s="136"/>
    </row>
    <row r="16441" spans="1:2" x14ac:dyDescent="0.25">
      <c r="A16441" s="118"/>
      <c r="B16441" s="136"/>
    </row>
    <row r="16442" spans="1:2" x14ac:dyDescent="0.25">
      <c r="A16442" s="118"/>
      <c r="B16442" s="136"/>
    </row>
    <row r="16443" spans="1:2" x14ac:dyDescent="0.25">
      <c r="A16443" s="118"/>
      <c r="B16443" s="136"/>
    </row>
    <row r="16444" spans="1:2" x14ac:dyDescent="0.25">
      <c r="A16444" s="118"/>
      <c r="B16444" s="136"/>
    </row>
    <row r="16445" spans="1:2" x14ac:dyDescent="0.25">
      <c r="A16445" s="118"/>
      <c r="B16445" s="136"/>
    </row>
    <row r="16446" spans="1:2" x14ac:dyDescent="0.25">
      <c r="A16446" s="118"/>
      <c r="B16446" s="136"/>
    </row>
    <row r="16447" spans="1:2" x14ac:dyDescent="0.25">
      <c r="A16447" s="118"/>
      <c r="B16447" s="136"/>
    </row>
    <row r="16448" spans="1:2" x14ac:dyDescent="0.25">
      <c r="A16448" s="118"/>
      <c r="B16448" s="136"/>
    </row>
    <row r="16449" spans="1:2" x14ac:dyDescent="0.25">
      <c r="A16449" s="118"/>
      <c r="B16449" s="136"/>
    </row>
    <row r="16450" spans="1:2" x14ac:dyDescent="0.25">
      <c r="A16450" s="118"/>
      <c r="B16450" s="136"/>
    </row>
    <row r="16451" spans="1:2" x14ac:dyDescent="0.25">
      <c r="A16451" s="118"/>
      <c r="B16451" s="136"/>
    </row>
    <row r="16452" spans="1:2" x14ac:dyDescent="0.25">
      <c r="A16452" s="118"/>
      <c r="B16452" s="136"/>
    </row>
    <row r="16453" spans="1:2" x14ac:dyDescent="0.25">
      <c r="A16453" s="118"/>
      <c r="B16453" s="136"/>
    </row>
    <row r="16454" spans="1:2" x14ac:dyDescent="0.25">
      <c r="A16454" s="118"/>
      <c r="B16454" s="136"/>
    </row>
    <row r="16455" spans="1:2" x14ac:dyDescent="0.25">
      <c r="A16455" s="118"/>
      <c r="B16455" s="136"/>
    </row>
    <row r="16456" spans="1:2" x14ac:dyDescent="0.25">
      <c r="A16456" s="118"/>
      <c r="B16456" s="136"/>
    </row>
    <row r="16457" spans="1:2" x14ac:dyDescent="0.25">
      <c r="A16457" s="118"/>
      <c r="B16457" s="136"/>
    </row>
    <row r="16458" spans="1:2" x14ac:dyDescent="0.25">
      <c r="A16458" s="118"/>
      <c r="B16458" s="136"/>
    </row>
    <row r="16459" spans="1:2" x14ac:dyDescent="0.25">
      <c r="A16459" s="118"/>
      <c r="B16459" s="136"/>
    </row>
    <row r="16460" spans="1:2" x14ac:dyDescent="0.25">
      <c r="A16460" s="118"/>
      <c r="B16460" s="136"/>
    </row>
    <row r="16461" spans="1:2" x14ac:dyDescent="0.25">
      <c r="A16461" s="118"/>
      <c r="B16461" s="136"/>
    </row>
    <row r="16462" spans="1:2" x14ac:dyDescent="0.25">
      <c r="A16462" s="118"/>
      <c r="B16462" s="136"/>
    </row>
    <row r="16463" spans="1:2" x14ac:dyDescent="0.25">
      <c r="A16463" s="118"/>
      <c r="B16463" s="136"/>
    </row>
    <row r="16464" spans="1:2" x14ac:dyDescent="0.25">
      <c r="A16464" s="118"/>
      <c r="B16464" s="136"/>
    </row>
    <row r="16465" spans="1:2" x14ac:dyDescent="0.25">
      <c r="A16465" s="118"/>
      <c r="B16465" s="136"/>
    </row>
    <row r="16466" spans="1:2" x14ac:dyDescent="0.25">
      <c r="A16466" s="118"/>
      <c r="B16466" s="136"/>
    </row>
    <row r="16467" spans="1:2" x14ac:dyDescent="0.25">
      <c r="A16467" s="118"/>
      <c r="B16467" s="136"/>
    </row>
    <row r="16468" spans="1:2" x14ac:dyDescent="0.25">
      <c r="A16468" s="118"/>
      <c r="B16468" s="136"/>
    </row>
    <row r="16469" spans="1:2" x14ac:dyDescent="0.25">
      <c r="A16469" s="118"/>
      <c r="B16469" s="136"/>
    </row>
    <row r="16470" spans="1:2" x14ac:dyDescent="0.25">
      <c r="A16470" s="118"/>
      <c r="B16470" s="136"/>
    </row>
    <row r="16471" spans="1:2" x14ac:dyDescent="0.25">
      <c r="A16471" s="118"/>
      <c r="B16471" s="136"/>
    </row>
    <row r="16472" spans="1:2" x14ac:dyDescent="0.25">
      <c r="A16472" s="118"/>
      <c r="B16472" s="136"/>
    </row>
    <row r="16473" spans="1:2" x14ac:dyDescent="0.25">
      <c r="A16473" s="118"/>
      <c r="B16473" s="136"/>
    </row>
    <row r="16474" spans="1:2" x14ac:dyDescent="0.25">
      <c r="A16474" s="118"/>
      <c r="B16474" s="136"/>
    </row>
    <row r="16475" spans="1:2" x14ac:dyDescent="0.25">
      <c r="A16475" s="118"/>
      <c r="B16475" s="136"/>
    </row>
    <row r="16476" spans="1:2" x14ac:dyDescent="0.25">
      <c r="A16476" s="118"/>
      <c r="B16476" s="136"/>
    </row>
    <row r="16477" spans="1:2" x14ac:dyDescent="0.25">
      <c r="A16477" s="118"/>
      <c r="B16477" s="136"/>
    </row>
    <row r="16478" spans="1:2" x14ac:dyDescent="0.25">
      <c r="A16478" s="118"/>
      <c r="B16478" s="136"/>
    </row>
    <row r="16479" spans="1:2" x14ac:dyDescent="0.25">
      <c r="A16479" s="118"/>
      <c r="B16479" s="136"/>
    </row>
    <row r="16480" spans="1:2" x14ac:dyDescent="0.25">
      <c r="A16480" s="118"/>
      <c r="B16480" s="136"/>
    </row>
    <row r="16481" spans="1:2" x14ac:dyDescent="0.25">
      <c r="A16481" s="118"/>
      <c r="B16481" s="136"/>
    </row>
    <row r="16482" spans="1:2" x14ac:dyDescent="0.25">
      <c r="A16482" s="118"/>
      <c r="B16482" s="136"/>
    </row>
    <row r="16483" spans="1:2" x14ac:dyDescent="0.25">
      <c r="A16483" s="118"/>
      <c r="B16483" s="136"/>
    </row>
    <row r="16484" spans="1:2" x14ac:dyDescent="0.25">
      <c r="A16484" s="118"/>
      <c r="B16484" s="136"/>
    </row>
    <row r="16485" spans="1:2" x14ac:dyDescent="0.25">
      <c r="A16485" s="118"/>
      <c r="B16485" s="136"/>
    </row>
    <row r="16486" spans="1:2" x14ac:dyDescent="0.25">
      <c r="A16486" s="118"/>
      <c r="B16486" s="136"/>
    </row>
    <row r="16487" spans="1:2" x14ac:dyDescent="0.25">
      <c r="A16487" s="118"/>
      <c r="B16487" s="136"/>
    </row>
    <row r="16488" spans="1:2" x14ac:dyDescent="0.25">
      <c r="A16488" s="118"/>
      <c r="B16488" s="136"/>
    </row>
    <row r="16489" spans="1:2" x14ac:dyDescent="0.25">
      <c r="A16489" s="118"/>
      <c r="B16489" s="136"/>
    </row>
    <row r="16490" spans="1:2" x14ac:dyDescent="0.25">
      <c r="A16490" s="118"/>
      <c r="B16490" s="136"/>
    </row>
    <row r="16491" spans="1:2" x14ac:dyDescent="0.25">
      <c r="A16491" s="118"/>
      <c r="B16491" s="136"/>
    </row>
    <row r="16492" spans="1:2" x14ac:dyDescent="0.25">
      <c r="A16492" s="118"/>
      <c r="B16492" s="136"/>
    </row>
    <row r="16493" spans="1:2" x14ac:dyDescent="0.25">
      <c r="A16493" s="118"/>
      <c r="B16493" s="136"/>
    </row>
    <row r="16494" spans="1:2" x14ac:dyDescent="0.25">
      <c r="A16494" s="118"/>
      <c r="B16494" s="136"/>
    </row>
    <row r="16495" spans="1:2" x14ac:dyDescent="0.25">
      <c r="A16495" s="118"/>
      <c r="B16495" s="136"/>
    </row>
    <row r="16496" spans="1:2" x14ac:dyDescent="0.25">
      <c r="A16496" s="118"/>
      <c r="B16496" s="136"/>
    </row>
    <row r="16497" spans="1:2" x14ac:dyDescent="0.25">
      <c r="A16497" s="118"/>
      <c r="B16497" s="136"/>
    </row>
    <row r="16498" spans="1:2" x14ac:dyDescent="0.25">
      <c r="A16498" s="118"/>
      <c r="B16498" s="136"/>
    </row>
    <row r="16499" spans="1:2" x14ac:dyDescent="0.25">
      <c r="A16499" s="118"/>
      <c r="B16499" s="136"/>
    </row>
    <row r="16500" spans="1:2" x14ac:dyDescent="0.25">
      <c r="A16500" s="118"/>
      <c r="B16500" s="136"/>
    </row>
    <row r="16501" spans="1:2" x14ac:dyDescent="0.25">
      <c r="A16501" s="118"/>
      <c r="B16501" s="136"/>
    </row>
    <row r="16502" spans="1:2" x14ac:dyDescent="0.25">
      <c r="A16502" s="118"/>
      <c r="B16502" s="136"/>
    </row>
    <row r="16503" spans="1:2" x14ac:dyDescent="0.25">
      <c r="A16503" s="118"/>
      <c r="B16503" s="136"/>
    </row>
    <row r="16504" spans="1:2" x14ac:dyDescent="0.25">
      <c r="A16504" s="118"/>
      <c r="B16504" s="136"/>
    </row>
    <row r="16505" spans="1:2" x14ac:dyDescent="0.25">
      <c r="A16505" s="118"/>
      <c r="B16505" s="136"/>
    </row>
    <row r="16506" spans="1:2" x14ac:dyDescent="0.25">
      <c r="A16506" s="118"/>
      <c r="B16506" s="136"/>
    </row>
    <row r="16507" spans="1:2" x14ac:dyDescent="0.25">
      <c r="A16507" s="118"/>
      <c r="B16507" s="136"/>
    </row>
    <row r="16508" spans="1:2" x14ac:dyDescent="0.25">
      <c r="A16508" s="118"/>
      <c r="B16508" s="136"/>
    </row>
    <row r="16509" spans="1:2" x14ac:dyDescent="0.25">
      <c r="A16509" s="118"/>
      <c r="B16509" s="136"/>
    </row>
    <row r="16510" spans="1:2" x14ac:dyDescent="0.25">
      <c r="A16510" s="118"/>
      <c r="B16510" s="136"/>
    </row>
    <row r="16511" spans="1:2" x14ac:dyDescent="0.25">
      <c r="A16511" s="118"/>
      <c r="B16511" s="136"/>
    </row>
    <row r="16512" spans="1:2" x14ac:dyDescent="0.25">
      <c r="A16512" s="118"/>
      <c r="B16512" s="136"/>
    </row>
    <row r="16513" spans="1:2" x14ac:dyDescent="0.25">
      <c r="A16513" s="118"/>
      <c r="B16513" s="136"/>
    </row>
    <row r="16514" spans="1:2" x14ac:dyDescent="0.25">
      <c r="A16514" s="118"/>
      <c r="B16514" s="136"/>
    </row>
    <row r="16515" spans="1:2" x14ac:dyDescent="0.25">
      <c r="A16515" s="118"/>
      <c r="B16515" s="136"/>
    </row>
    <row r="16516" spans="1:2" x14ac:dyDescent="0.25">
      <c r="A16516" s="118"/>
      <c r="B16516" s="136"/>
    </row>
    <row r="16517" spans="1:2" x14ac:dyDescent="0.25">
      <c r="A16517" s="118"/>
      <c r="B16517" s="136"/>
    </row>
    <row r="16518" spans="1:2" x14ac:dyDescent="0.25">
      <c r="A16518" s="118"/>
      <c r="B16518" s="136"/>
    </row>
    <row r="16519" spans="1:2" x14ac:dyDescent="0.25">
      <c r="A16519" s="118"/>
      <c r="B16519" s="136"/>
    </row>
    <row r="16520" spans="1:2" x14ac:dyDescent="0.25">
      <c r="A16520" s="118"/>
      <c r="B16520" s="136"/>
    </row>
    <row r="16521" spans="1:2" x14ac:dyDescent="0.25">
      <c r="A16521" s="118"/>
      <c r="B16521" s="136"/>
    </row>
    <row r="16522" spans="1:2" x14ac:dyDescent="0.25">
      <c r="A16522" s="118"/>
      <c r="B16522" s="136"/>
    </row>
    <row r="16523" spans="1:2" x14ac:dyDescent="0.25">
      <c r="A16523" s="118"/>
      <c r="B16523" s="136"/>
    </row>
    <row r="16524" spans="1:2" x14ac:dyDescent="0.25">
      <c r="A16524" s="118"/>
      <c r="B16524" s="136"/>
    </row>
    <row r="16525" spans="1:2" x14ac:dyDescent="0.25">
      <c r="A16525" s="118"/>
      <c r="B16525" s="136"/>
    </row>
    <row r="16526" spans="1:2" x14ac:dyDescent="0.25">
      <c r="A16526" s="118"/>
      <c r="B16526" s="136"/>
    </row>
    <row r="16527" spans="1:2" x14ac:dyDescent="0.25">
      <c r="A16527" s="118"/>
      <c r="B16527" s="136"/>
    </row>
    <row r="16528" spans="1:2" x14ac:dyDescent="0.25">
      <c r="A16528" s="118"/>
      <c r="B16528" s="136"/>
    </row>
    <row r="16529" spans="1:2" x14ac:dyDescent="0.25">
      <c r="A16529" s="118"/>
      <c r="B16529" s="136"/>
    </row>
    <row r="16530" spans="1:2" x14ac:dyDescent="0.25">
      <c r="A16530" s="118"/>
      <c r="B16530" s="136"/>
    </row>
    <row r="16531" spans="1:2" x14ac:dyDescent="0.25">
      <c r="A16531" s="118"/>
      <c r="B16531" s="136"/>
    </row>
    <row r="16532" spans="1:2" x14ac:dyDescent="0.25">
      <c r="A16532" s="118"/>
      <c r="B16532" s="136"/>
    </row>
    <row r="16533" spans="1:2" x14ac:dyDescent="0.25">
      <c r="A16533" s="118"/>
      <c r="B16533" s="136"/>
    </row>
    <row r="16534" spans="1:2" x14ac:dyDescent="0.25">
      <c r="A16534" s="118"/>
      <c r="B16534" s="136"/>
    </row>
    <row r="16535" spans="1:2" x14ac:dyDescent="0.25">
      <c r="A16535" s="118"/>
      <c r="B16535" s="136"/>
    </row>
    <row r="16536" spans="1:2" x14ac:dyDescent="0.25">
      <c r="A16536" s="118"/>
      <c r="B16536" s="136"/>
    </row>
    <row r="16537" spans="1:2" x14ac:dyDescent="0.25">
      <c r="A16537" s="118"/>
      <c r="B16537" s="136"/>
    </row>
    <row r="16538" spans="1:2" x14ac:dyDescent="0.25">
      <c r="A16538" s="118"/>
      <c r="B16538" s="136"/>
    </row>
    <row r="16539" spans="1:2" x14ac:dyDescent="0.25">
      <c r="A16539" s="118"/>
      <c r="B16539" s="136"/>
    </row>
    <row r="16540" spans="1:2" x14ac:dyDescent="0.25">
      <c r="A16540" s="118"/>
      <c r="B16540" s="136"/>
    </row>
    <row r="16541" spans="1:2" x14ac:dyDescent="0.25">
      <c r="A16541" s="118"/>
      <c r="B16541" s="136"/>
    </row>
    <row r="16542" spans="1:2" x14ac:dyDescent="0.25">
      <c r="A16542" s="118"/>
      <c r="B16542" s="136"/>
    </row>
    <row r="16543" spans="1:2" x14ac:dyDescent="0.25">
      <c r="A16543" s="118"/>
      <c r="B16543" s="136"/>
    </row>
    <row r="16544" spans="1:2" x14ac:dyDescent="0.25">
      <c r="A16544" s="118"/>
      <c r="B16544" s="136"/>
    </row>
    <row r="16545" spans="1:2" x14ac:dyDescent="0.25">
      <c r="A16545" s="118"/>
      <c r="B16545" s="136"/>
    </row>
    <row r="16546" spans="1:2" x14ac:dyDescent="0.25">
      <c r="A16546" s="118"/>
      <c r="B16546" s="136"/>
    </row>
    <row r="16547" spans="1:2" x14ac:dyDescent="0.25">
      <c r="A16547" s="118"/>
      <c r="B16547" s="136"/>
    </row>
    <row r="16548" spans="1:2" x14ac:dyDescent="0.25">
      <c r="A16548" s="118"/>
      <c r="B16548" s="136"/>
    </row>
    <row r="16549" spans="1:2" x14ac:dyDescent="0.25">
      <c r="A16549" s="118"/>
      <c r="B16549" s="136"/>
    </row>
    <row r="16550" spans="1:2" x14ac:dyDescent="0.25">
      <c r="A16550" s="118"/>
      <c r="B16550" s="136"/>
    </row>
    <row r="16551" spans="1:2" x14ac:dyDescent="0.25">
      <c r="A16551" s="118"/>
      <c r="B16551" s="136"/>
    </row>
    <row r="16552" spans="1:2" x14ac:dyDescent="0.25">
      <c r="A16552" s="118"/>
      <c r="B16552" s="136"/>
    </row>
    <row r="16553" spans="1:2" x14ac:dyDescent="0.25">
      <c r="A16553" s="118"/>
      <c r="B16553" s="136"/>
    </row>
    <row r="16554" spans="1:2" x14ac:dyDescent="0.25">
      <c r="A16554" s="118"/>
      <c r="B16554" s="136"/>
    </row>
    <row r="16555" spans="1:2" x14ac:dyDescent="0.25">
      <c r="A16555" s="118"/>
      <c r="B16555" s="136"/>
    </row>
    <row r="16556" spans="1:2" x14ac:dyDescent="0.25">
      <c r="A16556" s="118"/>
      <c r="B16556" s="136"/>
    </row>
    <row r="16557" spans="1:2" x14ac:dyDescent="0.25">
      <c r="A16557" s="118"/>
      <c r="B16557" s="136"/>
    </row>
    <row r="16558" spans="1:2" x14ac:dyDescent="0.25">
      <c r="A16558" s="118"/>
      <c r="B16558" s="136"/>
    </row>
    <row r="16559" spans="1:2" x14ac:dyDescent="0.25">
      <c r="A16559" s="118"/>
      <c r="B16559" s="136"/>
    </row>
    <row r="16560" spans="1:2" x14ac:dyDescent="0.25">
      <c r="A16560" s="118"/>
      <c r="B16560" s="136"/>
    </row>
    <row r="16561" spans="1:2" x14ac:dyDescent="0.25">
      <c r="A16561" s="118"/>
      <c r="B16561" s="136"/>
    </row>
    <row r="16562" spans="1:2" x14ac:dyDescent="0.25">
      <c r="A16562" s="118"/>
      <c r="B16562" s="136"/>
    </row>
    <row r="16563" spans="1:2" x14ac:dyDescent="0.25">
      <c r="A16563" s="118"/>
      <c r="B16563" s="136"/>
    </row>
    <row r="16564" spans="1:2" x14ac:dyDescent="0.25">
      <c r="A16564" s="118"/>
      <c r="B16564" s="136"/>
    </row>
    <row r="16565" spans="1:2" x14ac:dyDescent="0.25">
      <c r="A16565" s="118"/>
      <c r="B16565" s="136"/>
    </row>
    <row r="16566" spans="1:2" x14ac:dyDescent="0.25">
      <c r="A16566" s="118"/>
      <c r="B16566" s="136"/>
    </row>
    <row r="16567" spans="1:2" x14ac:dyDescent="0.25">
      <c r="A16567" s="118"/>
      <c r="B16567" s="136"/>
    </row>
    <row r="16568" spans="1:2" x14ac:dyDescent="0.25">
      <c r="A16568" s="118"/>
      <c r="B16568" s="136"/>
    </row>
    <row r="16569" spans="1:2" x14ac:dyDescent="0.25">
      <c r="A16569" s="118"/>
      <c r="B16569" s="136"/>
    </row>
    <row r="16570" spans="1:2" x14ac:dyDescent="0.25">
      <c r="A16570" s="118"/>
      <c r="B16570" s="136"/>
    </row>
    <row r="16571" spans="1:2" x14ac:dyDescent="0.25">
      <c r="A16571" s="118"/>
      <c r="B16571" s="136"/>
    </row>
    <row r="16572" spans="1:2" x14ac:dyDescent="0.25">
      <c r="A16572" s="118"/>
      <c r="B16572" s="136"/>
    </row>
    <row r="16573" spans="1:2" x14ac:dyDescent="0.25">
      <c r="A16573" s="118"/>
      <c r="B16573" s="136"/>
    </row>
    <row r="16574" spans="1:2" x14ac:dyDescent="0.25">
      <c r="A16574" s="118"/>
      <c r="B16574" s="136"/>
    </row>
    <row r="16575" spans="1:2" x14ac:dyDescent="0.25">
      <c r="A16575" s="118"/>
      <c r="B16575" s="136"/>
    </row>
    <row r="16576" spans="1:2" x14ac:dyDescent="0.25">
      <c r="A16576" s="118"/>
      <c r="B16576" s="136"/>
    </row>
    <row r="16577" spans="1:2" x14ac:dyDescent="0.25">
      <c r="A16577" s="118"/>
      <c r="B16577" s="136"/>
    </row>
    <row r="16578" spans="1:2" x14ac:dyDescent="0.25">
      <c r="A16578" s="118"/>
      <c r="B16578" s="136"/>
    </row>
    <row r="16579" spans="1:2" x14ac:dyDescent="0.25">
      <c r="A16579" s="118"/>
      <c r="B16579" s="136"/>
    </row>
    <row r="16580" spans="1:2" x14ac:dyDescent="0.25">
      <c r="A16580" s="118"/>
      <c r="B16580" s="136"/>
    </row>
    <row r="16581" spans="1:2" x14ac:dyDescent="0.25">
      <c r="A16581" s="118"/>
      <c r="B16581" s="136"/>
    </row>
    <row r="16582" spans="1:2" x14ac:dyDescent="0.25">
      <c r="A16582" s="118"/>
      <c r="B16582" s="136"/>
    </row>
    <row r="16583" spans="1:2" x14ac:dyDescent="0.25">
      <c r="A16583" s="118"/>
      <c r="B16583" s="136"/>
    </row>
    <row r="16584" spans="1:2" x14ac:dyDescent="0.25">
      <c r="A16584" s="118"/>
      <c r="B16584" s="136"/>
    </row>
    <row r="16585" spans="1:2" x14ac:dyDescent="0.25">
      <c r="A16585" s="118"/>
      <c r="B16585" s="136"/>
    </row>
    <row r="16586" spans="1:2" x14ac:dyDescent="0.25">
      <c r="A16586" s="118"/>
      <c r="B16586" s="136"/>
    </row>
    <row r="16587" spans="1:2" x14ac:dyDescent="0.25">
      <c r="A16587" s="118"/>
      <c r="B16587" s="136"/>
    </row>
    <row r="16588" spans="1:2" x14ac:dyDescent="0.25">
      <c r="A16588" s="118"/>
      <c r="B16588" s="136"/>
    </row>
    <row r="16589" spans="1:2" x14ac:dyDescent="0.25">
      <c r="A16589" s="118"/>
      <c r="B16589" s="136"/>
    </row>
    <row r="16590" spans="1:2" x14ac:dyDescent="0.25">
      <c r="A16590" s="118"/>
      <c r="B16590" s="136"/>
    </row>
    <row r="16591" spans="1:2" x14ac:dyDescent="0.25">
      <c r="A16591" s="118"/>
      <c r="B16591" s="136"/>
    </row>
    <row r="16592" spans="1:2" x14ac:dyDescent="0.25">
      <c r="A16592" s="118"/>
      <c r="B16592" s="136"/>
    </row>
    <row r="16593" spans="1:2" x14ac:dyDescent="0.25">
      <c r="A16593" s="118"/>
      <c r="B16593" s="136"/>
    </row>
    <row r="16594" spans="1:2" x14ac:dyDescent="0.25">
      <c r="A16594" s="118"/>
      <c r="B16594" s="136"/>
    </row>
    <row r="16595" spans="1:2" x14ac:dyDescent="0.25">
      <c r="A16595" s="118"/>
      <c r="B16595" s="136"/>
    </row>
    <row r="16596" spans="1:2" x14ac:dyDescent="0.25">
      <c r="A16596" s="118"/>
      <c r="B16596" s="136"/>
    </row>
    <row r="16597" spans="1:2" x14ac:dyDescent="0.25">
      <c r="A16597" s="118"/>
      <c r="B16597" s="136"/>
    </row>
    <row r="16598" spans="1:2" x14ac:dyDescent="0.25">
      <c r="A16598" s="118"/>
      <c r="B16598" s="136"/>
    </row>
    <row r="16599" spans="1:2" x14ac:dyDescent="0.25">
      <c r="A16599" s="118"/>
      <c r="B16599" s="136"/>
    </row>
    <row r="16600" spans="1:2" x14ac:dyDescent="0.25">
      <c r="A16600" s="118"/>
      <c r="B16600" s="136"/>
    </row>
    <row r="16601" spans="1:2" x14ac:dyDescent="0.25">
      <c r="A16601" s="118"/>
      <c r="B16601" s="136"/>
    </row>
    <row r="16602" spans="1:2" x14ac:dyDescent="0.25">
      <c r="A16602" s="118"/>
      <c r="B16602" s="136"/>
    </row>
    <row r="16603" spans="1:2" x14ac:dyDescent="0.25">
      <c r="A16603" s="118"/>
      <c r="B16603" s="136"/>
    </row>
    <row r="16604" spans="1:2" x14ac:dyDescent="0.25">
      <c r="A16604" s="118"/>
      <c r="B16604" s="136"/>
    </row>
    <row r="16605" spans="1:2" x14ac:dyDescent="0.25">
      <c r="A16605" s="118"/>
      <c r="B16605" s="136"/>
    </row>
    <row r="16606" spans="1:2" x14ac:dyDescent="0.25">
      <c r="A16606" s="118"/>
      <c r="B16606" s="136"/>
    </row>
    <row r="16607" spans="1:2" x14ac:dyDescent="0.25">
      <c r="A16607" s="118"/>
      <c r="B16607" s="136"/>
    </row>
    <row r="16608" spans="1:2" x14ac:dyDescent="0.25">
      <c r="A16608" s="118"/>
      <c r="B16608" s="136"/>
    </row>
    <row r="16609" spans="1:2" x14ac:dyDescent="0.25">
      <c r="A16609" s="118"/>
      <c r="B16609" s="136"/>
    </row>
    <row r="16610" spans="1:2" x14ac:dyDescent="0.25">
      <c r="A16610" s="118"/>
      <c r="B16610" s="136"/>
    </row>
    <row r="16611" spans="1:2" x14ac:dyDescent="0.25">
      <c r="A16611" s="118"/>
      <c r="B16611" s="136"/>
    </row>
    <row r="16612" spans="1:2" x14ac:dyDescent="0.25">
      <c r="A16612" s="118"/>
      <c r="B16612" s="136"/>
    </row>
    <row r="16613" spans="1:2" x14ac:dyDescent="0.25">
      <c r="A16613" s="118"/>
      <c r="B16613" s="136"/>
    </row>
    <row r="16614" spans="1:2" x14ac:dyDescent="0.25">
      <c r="A16614" s="118"/>
      <c r="B16614" s="136"/>
    </row>
    <row r="16615" spans="1:2" x14ac:dyDescent="0.25">
      <c r="A16615" s="118"/>
      <c r="B16615" s="136"/>
    </row>
    <row r="16616" spans="1:2" x14ac:dyDescent="0.25">
      <c r="A16616" s="118"/>
      <c r="B16616" s="136"/>
    </row>
    <row r="16617" spans="1:2" x14ac:dyDescent="0.25">
      <c r="A16617" s="118"/>
      <c r="B16617" s="136"/>
    </row>
    <row r="16618" spans="1:2" x14ac:dyDescent="0.25">
      <c r="A16618" s="118"/>
      <c r="B16618" s="136"/>
    </row>
    <row r="16619" spans="1:2" x14ac:dyDescent="0.25">
      <c r="A16619" s="118"/>
      <c r="B16619" s="136"/>
    </row>
    <row r="16620" spans="1:2" x14ac:dyDescent="0.25">
      <c r="A16620" s="118"/>
      <c r="B16620" s="136"/>
    </row>
    <row r="16621" spans="1:2" x14ac:dyDescent="0.25">
      <c r="A16621" s="118"/>
      <c r="B16621" s="136"/>
    </row>
    <row r="16622" spans="1:2" x14ac:dyDescent="0.25">
      <c r="A16622" s="118"/>
      <c r="B16622" s="136"/>
    </row>
    <row r="16623" spans="1:2" x14ac:dyDescent="0.25">
      <c r="A16623" s="118"/>
      <c r="B16623" s="136"/>
    </row>
    <row r="16624" spans="1:2" x14ac:dyDescent="0.25">
      <c r="A16624" s="118"/>
      <c r="B16624" s="136"/>
    </row>
    <row r="16625" spans="1:2" x14ac:dyDescent="0.25">
      <c r="A16625" s="118"/>
      <c r="B16625" s="136"/>
    </row>
    <row r="16626" spans="1:2" x14ac:dyDescent="0.25">
      <c r="A16626" s="118"/>
      <c r="B16626" s="136"/>
    </row>
    <row r="16627" spans="1:2" x14ac:dyDescent="0.25">
      <c r="A16627" s="118"/>
      <c r="B16627" s="136"/>
    </row>
    <row r="16628" spans="1:2" x14ac:dyDescent="0.25">
      <c r="A16628" s="118"/>
      <c r="B16628" s="136"/>
    </row>
    <row r="16629" spans="1:2" x14ac:dyDescent="0.25">
      <c r="A16629" s="118"/>
      <c r="B16629" s="136"/>
    </row>
    <row r="16630" spans="1:2" x14ac:dyDescent="0.25">
      <c r="A16630" s="118"/>
      <c r="B16630" s="136"/>
    </row>
    <row r="16631" spans="1:2" x14ac:dyDescent="0.25">
      <c r="A16631" s="118"/>
      <c r="B16631" s="136"/>
    </row>
    <row r="16632" spans="1:2" x14ac:dyDescent="0.25">
      <c r="A16632" s="118"/>
      <c r="B16632" s="136"/>
    </row>
    <row r="16633" spans="1:2" x14ac:dyDescent="0.25">
      <c r="A16633" s="118"/>
      <c r="B16633" s="136"/>
    </row>
    <row r="16634" spans="1:2" x14ac:dyDescent="0.25">
      <c r="A16634" s="118"/>
      <c r="B16634" s="136"/>
    </row>
    <row r="16635" spans="1:2" x14ac:dyDescent="0.25">
      <c r="A16635" s="118"/>
      <c r="B16635" s="136"/>
    </row>
    <row r="16636" spans="1:2" x14ac:dyDescent="0.25">
      <c r="A16636" s="118"/>
      <c r="B16636" s="136"/>
    </row>
    <row r="16637" spans="1:2" x14ac:dyDescent="0.25">
      <c r="A16637" s="118"/>
      <c r="B16637" s="136"/>
    </row>
    <row r="16638" spans="1:2" x14ac:dyDescent="0.25">
      <c r="A16638" s="118"/>
      <c r="B16638" s="136"/>
    </row>
    <row r="16639" spans="1:2" x14ac:dyDescent="0.25">
      <c r="A16639" s="118"/>
      <c r="B16639" s="136"/>
    </row>
    <row r="16640" spans="1:2" x14ac:dyDescent="0.25">
      <c r="A16640" s="118"/>
      <c r="B16640" s="136"/>
    </row>
    <row r="16641" spans="1:2" x14ac:dyDescent="0.25">
      <c r="A16641" s="118"/>
      <c r="B16641" s="136"/>
    </row>
    <row r="16642" spans="1:2" x14ac:dyDescent="0.25">
      <c r="A16642" s="118"/>
      <c r="B16642" s="136"/>
    </row>
    <row r="16643" spans="1:2" x14ac:dyDescent="0.25">
      <c r="A16643" s="118"/>
      <c r="B16643" s="136"/>
    </row>
    <row r="16644" spans="1:2" x14ac:dyDescent="0.25">
      <c r="A16644" s="118"/>
      <c r="B16644" s="136"/>
    </row>
    <row r="16645" spans="1:2" x14ac:dyDescent="0.25">
      <c r="A16645" s="118"/>
      <c r="B16645" s="136"/>
    </row>
    <row r="16646" spans="1:2" x14ac:dyDescent="0.25">
      <c r="A16646" s="118"/>
      <c r="B16646" s="136"/>
    </row>
    <row r="16647" spans="1:2" x14ac:dyDescent="0.25">
      <c r="A16647" s="118"/>
      <c r="B16647" s="136"/>
    </row>
    <row r="16648" spans="1:2" x14ac:dyDescent="0.25">
      <c r="A16648" s="118"/>
      <c r="B16648" s="136"/>
    </row>
    <row r="16649" spans="1:2" x14ac:dyDescent="0.25">
      <c r="A16649" s="118"/>
      <c r="B16649" s="136"/>
    </row>
    <row r="16650" spans="1:2" x14ac:dyDescent="0.25">
      <c r="A16650" s="118"/>
      <c r="B16650" s="136"/>
    </row>
    <row r="16651" spans="1:2" x14ac:dyDescent="0.25">
      <c r="A16651" s="118"/>
      <c r="B16651" s="136"/>
    </row>
    <row r="16652" spans="1:2" x14ac:dyDescent="0.25">
      <c r="A16652" s="118"/>
      <c r="B16652" s="136"/>
    </row>
    <row r="16653" spans="1:2" x14ac:dyDescent="0.25">
      <c r="A16653" s="118"/>
      <c r="B16653" s="136"/>
    </row>
    <row r="16654" spans="1:2" x14ac:dyDescent="0.25">
      <c r="A16654" s="118"/>
      <c r="B16654" s="136"/>
    </row>
    <row r="16655" spans="1:2" x14ac:dyDescent="0.25">
      <c r="A16655" s="118"/>
      <c r="B16655" s="136"/>
    </row>
    <row r="16656" spans="1:2" x14ac:dyDescent="0.25">
      <c r="A16656" s="118"/>
      <c r="B16656" s="136"/>
    </row>
    <row r="16657" spans="1:2" x14ac:dyDescent="0.25">
      <c r="A16657" s="118"/>
      <c r="B16657" s="136"/>
    </row>
    <row r="16658" spans="1:2" x14ac:dyDescent="0.25">
      <c r="A16658" s="118"/>
      <c r="B16658" s="136"/>
    </row>
    <row r="16659" spans="1:2" x14ac:dyDescent="0.25">
      <c r="A16659" s="118"/>
      <c r="B16659" s="136"/>
    </row>
    <row r="16660" spans="1:2" x14ac:dyDescent="0.25">
      <c r="A16660" s="118"/>
      <c r="B16660" s="136"/>
    </row>
    <row r="16661" spans="1:2" x14ac:dyDescent="0.25">
      <c r="A16661" s="118"/>
      <c r="B16661" s="136"/>
    </row>
    <row r="16662" spans="1:2" x14ac:dyDescent="0.25">
      <c r="A16662" s="118"/>
      <c r="B16662" s="136"/>
    </row>
    <row r="16663" spans="1:2" x14ac:dyDescent="0.25">
      <c r="A16663" s="118"/>
      <c r="B16663" s="136"/>
    </row>
    <row r="16664" spans="1:2" x14ac:dyDescent="0.25">
      <c r="A16664" s="118"/>
      <c r="B16664" s="136"/>
    </row>
    <row r="16665" spans="1:2" x14ac:dyDescent="0.25">
      <c r="A16665" s="118"/>
      <c r="B16665" s="136"/>
    </row>
    <row r="16666" spans="1:2" x14ac:dyDescent="0.25">
      <c r="A16666" s="118"/>
      <c r="B16666" s="136"/>
    </row>
    <row r="16667" spans="1:2" x14ac:dyDescent="0.25">
      <c r="A16667" s="118"/>
      <c r="B16667" s="136"/>
    </row>
    <row r="16668" spans="1:2" x14ac:dyDescent="0.25">
      <c r="A16668" s="118"/>
      <c r="B16668" s="136"/>
    </row>
    <row r="16669" spans="1:2" x14ac:dyDescent="0.25">
      <c r="A16669" s="118"/>
      <c r="B16669" s="136"/>
    </row>
    <row r="16670" spans="1:2" x14ac:dyDescent="0.25">
      <c r="A16670" s="118"/>
      <c r="B16670" s="136"/>
    </row>
    <row r="16671" spans="1:2" x14ac:dyDescent="0.25">
      <c r="A16671" s="118"/>
      <c r="B16671" s="136"/>
    </row>
    <row r="16672" spans="1:2" x14ac:dyDescent="0.25">
      <c r="A16672" s="118"/>
      <c r="B16672" s="136"/>
    </row>
    <row r="16673" spans="1:2" x14ac:dyDescent="0.25">
      <c r="A16673" s="118"/>
      <c r="B16673" s="136"/>
    </row>
    <row r="16674" spans="1:2" x14ac:dyDescent="0.25">
      <c r="A16674" s="118"/>
      <c r="B16674" s="136"/>
    </row>
    <row r="16675" spans="1:2" x14ac:dyDescent="0.25">
      <c r="A16675" s="118"/>
      <c r="B16675" s="136"/>
    </row>
    <row r="16676" spans="1:2" x14ac:dyDescent="0.25">
      <c r="A16676" s="118"/>
      <c r="B16676" s="136"/>
    </row>
    <row r="16677" spans="1:2" x14ac:dyDescent="0.25">
      <c r="A16677" s="118"/>
      <c r="B16677" s="136"/>
    </row>
    <row r="16678" spans="1:2" x14ac:dyDescent="0.25">
      <c r="A16678" s="118"/>
      <c r="B16678" s="136"/>
    </row>
    <row r="16679" spans="1:2" x14ac:dyDescent="0.25">
      <c r="A16679" s="118"/>
      <c r="B16679" s="136"/>
    </row>
    <row r="16680" spans="1:2" x14ac:dyDescent="0.25">
      <c r="A16680" s="118"/>
      <c r="B16680" s="136"/>
    </row>
    <row r="16681" spans="1:2" x14ac:dyDescent="0.25">
      <c r="A16681" s="118"/>
      <c r="B16681" s="136"/>
    </row>
    <row r="16682" spans="1:2" x14ac:dyDescent="0.25">
      <c r="A16682" s="118"/>
      <c r="B16682" s="136"/>
    </row>
    <row r="16683" spans="1:2" x14ac:dyDescent="0.25">
      <c r="A16683" s="118"/>
      <c r="B16683" s="136"/>
    </row>
    <row r="16684" spans="1:2" x14ac:dyDescent="0.25">
      <c r="A16684" s="118"/>
      <c r="B16684" s="136"/>
    </row>
    <row r="16685" spans="1:2" x14ac:dyDescent="0.25">
      <c r="A16685" s="118"/>
      <c r="B16685" s="136"/>
    </row>
    <row r="16686" spans="1:2" x14ac:dyDescent="0.25">
      <c r="A16686" s="118"/>
      <c r="B16686" s="136"/>
    </row>
    <row r="16687" spans="1:2" x14ac:dyDescent="0.25">
      <c r="A16687" s="118"/>
      <c r="B16687" s="136"/>
    </row>
    <row r="16688" spans="1:2" x14ac:dyDescent="0.25">
      <c r="A16688" s="118"/>
      <c r="B16688" s="136"/>
    </row>
    <row r="16689" spans="1:2" x14ac:dyDescent="0.25">
      <c r="A16689" s="118"/>
      <c r="B16689" s="136"/>
    </row>
    <row r="16690" spans="1:2" x14ac:dyDescent="0.25">
      <c r="A16690" s="118"/>
      <c r="B16690" s="136"/>
    </row>
    <row r="16691" spans="1:2" x14ac:dyDescent="0.25">
      <c r="A16691" s="118"/>
      <c r="B16691" s="136"/>
    </row>
    <row r="16692" spans="1:2" x14ac:dyDescent="0.25">
      <c r="A16692" s="118"/>
      <c r="B16692" s="136"/>
    </row>
    <row r="16693" spans="1:2" x14ac:dyDescent="0.25">
      <c r="A16693" s="118"/>
      <c r="B16693" s="136"/>
    </row>
    <row r="16694" spans="1:2" x14ac:dyDescent="0.25">
      <c r="A16694" s="118"/>
      <c r="B16694" s="136"/>
    </row>
    <row r="16695" spans="1:2" x14ac:dyDescent="0.25">
      <c r="A16695" s="118"/>
      <c r="B16695" s="136"/>
    </row>
    <row r="16696" spans="1:2" x14ac:dyDescent="0.25">
      <c r="A16696" s="118"/>
      <c r="B16696" s="136"/>
    </row>
    <row r="16697" spans="1:2" x14ac:dyDescent="0.25">
      <c r="A16697" s="118"/>
      <c r="B16697" s="136"/>
    </row>
    <row r="16698" spans="1:2" x14ac:dyDescent="0.25">
      <c r="A16698" s="118"/>
      <c r="B16698" s="136"/>
    </row>
    <row r="16699" spans="1:2" x14ac:dyDescent="0.25">
      <c r="A16699" s="118"/>
      <c r="B16699" s="136"/>
    </row>
    <row r="16700" spans="1:2" x14ac:dyDescent="0.25">
      <c r="A16700" s="118"/>
      <c r="B16700" s="136"/>
    </row>
    <row r="16701" spans="1:2" x14ac:dyDescent="0.25">
      <c r="A16701" s="118"/>
      <c r="B16701" s="136"/>
    </row>
    <row r="16702" spans="1:2" x14ac:dyDescent="0.25">
      <c r="A16702" s="118"/>
      <c r="B16702" s="136"/>
    </row>
    <row r="16703" spans="1:2" x14ac:dyDescent="0.25">
      <c r="A16703" s="118"/>
      <c r="B16703" s="136"/>
    </row>
    <row r="16704" spans="1:2" x14ac:dyDescent="0.25">
      <c r="A16704" s="118"/>
      <c r="B16704" s="136"/>
    </row>
    <row r="16705" spans="1:2" x14ac:dyDescent="0.25">
      <c r="A16705" s="118"/>
      <c r="B16705" s="136"/>
    </row>
    <row r="16706" spans="1:2" x14ac:dyDescent="0.25">
      <c r="A16706" s="118"/>
      <c r="B16706" s="136"/>
    </row>
    <row r="16707" spans="1:2" x14ac:dyDescent="0.25">
      <c r="A16707" s="118"/>
      <c r="B16707" s="136"/>
    </row>
    <row r="16708" spans="1:2" x14ac:dyDescent="0.25">
      <c r="A16708" s="118"/>
      <c r="B16708" s="136"/>
    </row>
    <row r="16709" spans="1:2" x14ac:dyDescent="0.25">
      <c r="A16709" s="118"/>
      <c r="B16709" s="136"/>
    </row>
    <row r="16710" spans="1:2" x14ac:dyDescent="0.25">
      <c r="A16710" s="118"/>
      <c r="B16710" s="136"/>
    </row>
    <row r="16711" spans="1:2" x14ac:dyDescent="0.25">
      <c r="A16711" s="118"/>
      <c r="B16711" s="136"/>
    </row>
    <row r="16712" spans="1:2" x14ac:dyDescent="0.25">
      <c r="A16712" s="118"/>
      <c r="B16712" s="136"/>
    </row>
    <row r="16713" spans="1:2" x14ac:dyDescent="0.25">
      <c r="A16713" s="118"/>
      <c r="B16713" s="136"/>
    </row>
    <row r="16714" spans="1:2" x14ac:dyDescent="0.25">
      <c r="A16714" s="118"/>
      <c r="B16714" s="136"/>
    </row>
    <row r="16715" spans="1:2" x14ac:dyDescent="0.25">
      <c r="A16715" s="118"/>
      <c r="B16715" s="136"/>
    </row>
    <row r="16716" spans="1:2" x14ac:dyDescent="0.25">
      <c r="A16716" s="118"/>
      <c r="B16716" s="136"/>
    </row>
    <row r="16717" spans="1:2" x14ac:dyDescent="0.25">
      <c r="A16717" s="118"/>
      <c r="B16717" s="136"/>
    </row>
    <row r="16718" spans="1:2" x14ac:dyDescent="0.25">
      <c r="A16718" s="118"/>
      <c r="B16718" s="136"/>
    </row>
    <row r="16719" spans="1:2" x14ac:dyDescent="0.25">
      <c r="A16719" s="118"/>
      <c r="B16719" s="136"/>
    </row>
    <row r="16720" spans="1:2" x14ac:dyDescent="0.25">
      <c r="A16720" s="118"/>
      <c r="B16720" s="136"/>
    </row>
    <row r="16721" spans="1:2" x14ac:dyDescent="0.25">
      <c r="A16721" s="118"/>
      <c r="B16721" s="136"/>
    </row>
    <row r="16722" spans="1:2" x14ac:dyDescent="0.25">
      <c r="A16722" s="118"/>
      <c r="B16722" s="136"/>
    </row>
    <row r="16723" spans="1:2" x14ac:dyDescent="0.25">
      <c r="A16723" s="118"/>
      <c r="B16723" s="136"/>
    </row>
    <row r="16724" spans="1:2" x14ac:dyDescent="0.25">
      <c r="A16724" s="118"/>
      <c r="B16724" s="136"/>
    </row>
    <row r="16725" spans="1:2" x14ac:dyDescent="0.25">
      <c r="A16725" s="118"/>
      <c r="B16725" s="136"/>
    </row>
    <row r="16726" spans="1:2" x14ac:dyDescent="0.25">
      <c r="A16726" s="118"/>
      <c r="B16726" s="136"/>
    </row>
    <row r="16727" spans="1:2" x14ac:dyDescent="0.25">
      <c r="A16727" s="118"/>
      <c r="B16727" s="136"/>
    </row>
    <row r="16728" spans="1:2" x14ac:dyDescent="0.25">
      <c r="A16728" s="118"/>
      <c r="B16728" s="136"/>
    </row>
    <row r="16729" spans="1:2" x14ac:dyDescent="0.25">
      <c r="A16729" s="118"/>
      <c r="B16729" s="136"/>
    </row>
    <row r="16730" spans="1:2" x14ac:dyDescent="0.25">
      <c r="A16730" s="118"/>
      <c r="B16730" s="136"/>
    </row>
    <row r="16731" spans="1:2" x14ac:dyDescent="0.25">
      <c r="A16731" s="118"/>
      <c r="B16731" s="136"/>
    </row>
    <row r="16732" spans="1:2" x14ac:dyDescent="0.25">
      <c r="A16732" s="118"/>
      <c r="B16732" s="136"/>
    </row>
    <row r="16733" spans="1:2" x14ac:dyDescent="0.25">
      <c r="A16733" s="118"/>
      <c r="B16733" s="136"/>
    </row>
    <row r="16734" spans="1:2" x14ac:dyDescent="0.25">
      <c r="A16734" s="118"/>
      <c r="B16734" s="136"/>
    </row>
    <row r="16735" spans="1:2" x14ac:dyDescent="0.25">
      <c r="A16735" s="118"/>
      <c r="B16735" s="136"/>
    </row>
    <row r="16736" spans="1:2" x14ac:dyDescent="0.25">
      <c r="A16736" s="118"/>
      <c r="B16736" s="136"/>
    </row>
    <row r="16737" spans="1:2" x14ac:dyDescent="0.25">
      <c r="A16737" s="118"/>
      <c r="B16737" s="136"/>
    </row>
    <row r="16738" spans="1:2" x14ac:dyDescent="0.25">
      <c r="A16738" s="118"/>
      <c r="B16738" s="136"/>
    </row>
    <row r="16739" spans="1:2" x14ac:dyDescent="0.25">
      <c r="A16739" s="118"/>
      <c r="B16739" s="136"/>
    </row>
    <row r="16740" spans="1:2" x14ac:dyDescent="0.25">
      <c r="A16740" s="118"/>
      <c r="B16740" s="136"/>
    </row>
    <row r="16741" spans="1:2" x14ac:dyDescent="0.25">
      <c r="A16741" s="118"/>
      <c r="B16741" s="136"/>
    </row>
    <row r="16742" spans="1:2" x14ac:dyDescent="0.25">
      <c r="A16742" s="118"/>
      <c r="B16742" s="136"/>
    </row>
    <row r="16743" spans="1:2" x14ac:dyDescent="0.25">
      <c r="A16743" s="118"/>
      <c r="B16743" s="136"/>
    </row>
    <row r="16744" spans="1:2" x14ac:dyDescent="0.25">
      <c r="A16744" s="118"/>
      <c r="B16744" s="136"/>
    </row>
    <row r="16745" spans="1:2" x14ac:dyDescent="0.25">
      <c r="A16745" s="118"/>
      <c r="B16745" s="136"/>
    </row>
    <row r="16746" spans="1:2" x14ac:dyDescent="0.25">
      <c r="A16746" s="118"/>
      <c r="B16746" s="136"/>
    </row>
    <row r="16747" spans="1:2" x14ac:dyDescent="0.25">
      <c r="A16747" s="118"/>
      <c r="B16747" s="136"/>
    </row>
    <row r="16748" spans="1:2" x14ac:dyDescent="0.25">
      <c r="A16748" s="118"/>
      <c r="B16748" s="136"/>
    </row>
    <row r="16749" spans="1:2" x14ac:dyDescent="0.25">
      <c r="A16749" s="118"/>
      <c r="B16749" s="136"/>
    </row>
    <row r="16750" spans="1:2" x14ac:dyDescent="0.25">
      <c r="A16750" s="118"/>
      <c r="B16750" s="136"/>
    </row>
    <row r="16751" spans="1:2" x14ac:dyDescent="0.25">
      <c r="A16751" s="118"/>
      <c r="B16751" s="136"/>
    </row>
    <row r="16752" spans="1:2" x14ac:dyDescent="0.25">
      <c r="A16752" s="118"/>
      <c r="B16752" s="136"/>
    </row>
    <row r="16753" spans="1:2" x14ac:dyDescent="0.25">
      <c r="A16753" s="118"/>
      <c r="B16753" s="136"/>
    </row>
    <row r="16754" spans="1:2" x14ac:dyDescent="0.25">
      <c r="A16754" s="118"/>
      <c r="B16754" s="136"/>
    </row>
    <row r="16755" spans="1:2" x14ac:dyDescent="0.25">
      <c r="A16755" s="118"/>
      <c r="B16755" s="136"/>
    </row>
    <row r="16756" spans="1:2" x14ac:dyDescent="0.25">
      <c r="A16756" s="118"/>
      <c r="B16756" s="136"/>
    </row>
    <row r="16757" spans="1:2" x14ac:dyDescent="0.25">
      <c r="A16757" s="118"/>
      <c r="B16757" s="136"/>
    </row>
    <row r="16758" spans="1:2" x14ac:dyDescent="0.25">
      <c r="A16758" s="118"/>
      <c r="B16758" s="136"/>
    </row>
    <row r="16759" spans="1:2" x14ac:dyDescent="0.25">
      <c r="A16759" s="118"/>
      <c r="B16759" s="136"/>
    </row>
    <row r="16760" spans="1:2" x14ac:dyDescent="0.25">
      <c r="A16760" s="118"/>
      <c r="B16760" s="136"/>
    </row>
    <row r="16761" spans="1:2" x14ac:dyDescent="0.25">
      <c r="A16761" s="118"/>
      <c r="B16761" s="136"/>
    </row>
    <row r="16762" spans="1:2" x14ac:dyDescent="0.25">
      <c r="A16762" s="118"/>
      <c r="B16762" s="136"/>
    </row>
    <row r="16763" spans="1:2" x14ac:dyDescent="0.25">
      <c r="A16763" s="118"/>
      <c r="B16763" s="136"/>
    </row>
    <row r="16764" spans="1:2" x14ac:dyDescent="0.25">
      <c r="A16764" s="118"/>
      <c r="B16764" s="136"/>
    </row>
    <row r="16765" spans="1:2" x14ac:dyDescent="0.25">
      <c r="A16765" s="118"/>
      <c r="B16765" s="136"/>
    </row>
    <row r="16766" spans="1:2" x14ac:dyDescent="0.25">
      <c r="A16766" s="118"/>
      <c r="B16766" s="136"/>
    </row>
    <row r="16767" spans="1:2" x14ac:dyDescent="0.25">
      <c r="A16767" s="118"/>
      <c r="B16767" s="136"/>
    </row>
    <row r="16768" spans="1:2" x14ac:dyDescent="0.25">
      <c r="A16768" s="118"/>
      <c r="B16768" s="136"/>
    </row>
    <row r="16769" spans="1:2" x14ac:dyDescent="0.25">
      <c r="A16769" s="118"/>
      <c r="B16769" s="136"/>
    </row>
    <row r="16770" spans="1:2" x14ac:dyDescent="0.25">
      <c r="A16770" s="118"/>
      <c r="B16770" s="136"/>
    </row>
    <row r="16771" spans="1:2" x14ac:dyDescent="0.25">
      <c r="A16771" s="118"/>
      <c r="B16771" s="136"/>
    </row>
    <row r="16772" spans="1:2" x14ac:dyDescent="0.25">
      <c r="A16772" s="118"/>
      <c r="B16772" s="136"/>
    </row>
    <row r="16773" spans="1:2" x14ac:dyDescent="0.25">
      <c r="A16773" s="118"/>
      <c r="B16773" s="136"/>
    </row>
    <row r="16774" spans="1:2" x14ac:dyDescent="0.25">
      <c r="A16774" s="118"/>
      <c r="B16774" s="136"/>
    </row>
    <row r="16775" spans="1:2" x14ac:dyDescent="0.25">
      <c r="A16775" s="118"/>
      <c r="B16775" s="136"/>
    </row>
    <row r="16776" spans="1:2" x14ac:dyDescent="0.25">
      <c r="A16776" s="118"/>
      <c r="B16776" s="136"/>
    </row>
    <row r="16777" spans="1:2" x14ac:dyDescent="0.25">
      <c r="A16777" s="118"/>
      <c r="B16777" s="136"/>
    </row>
    <row r="16778" spans="1:2" x14ac:dyDescent="0.25">
      <c r="A16778" s="118"/>
      <c r="B16778" s="136"/>
    </row>
    <row r="16779" spans="1:2" x14ac:dyDescent="0.25">
      <c r="A16779" s="118"/>
      <c r="B16779" s="136"/>
    </row>
    <row r="16780" spans="1:2" x14ac:dyDescent="0.25">
      <c r="A16780" s="118"/>
      <c r="B16780" s="136"/>
    </row>
    <row r="16781" spans="1:2" x14ac:dyDescent="0.25">
      <c r="A16781" s="118"/>
      <c r="B16781" s="136"/>
    </row>
    <row r="16782" spans="1:2" x14ac:dyDescent="0.25">
      <c r="A16782" s="118"/>
      <c r="B16782" s="136"/>
    </row>
    <row r="16783" spans="1:2" x14ac:dyDescent="0.25">
      <c r="A16783" s="118"/>
      <c r="B16783" s="136"/>
    </row>
    <row r="16784" spans="1:2" x14ac:dyDescent="0.25">
      <c r="A16784" s="118"/>
      <c r="B16784" s="136"/>
    </row>
    <row r="16785" spans="1:2" x14ac:dyDescent="0.25">
      <c r="A16785" s="118"/>
      <c r="B16785" s="136"/>
    </row>
    <row r="16786" spans="1:2" x14ac:dyDescent="0.25">
      <c r="A16786" s="118"/>
      <c r="B16786" s="136"/>
    </row>
    <row r="16787" spans="1:2" x14ac:dyDescent="0.25">
      <c r="A16787" s="118"/>
      <c r="B16787" s="136"/>
    </row>
    <row r="16788" spans="1:2" x14ac:dyDescent="0.25">
      <c r="A16788" s="118"/>
      <c r="B16788" s="136"/>
    </row>
    <row r="16789" spans="1:2" x14ac:dyDescent="0.25">
      <c r="A16789" s="118"/>
      <c r="B16789" s="136"/>
    </row>
    <row r="16790" spans="1:2" x14ac:dyDescent="0.25">
      <c r="A16790" s="118"/>
      <c r="B16790" s="136"/>
    </row>
    <row r="16791" spans="1:2" x14ac:dyDescent="0.25">
      <c r="A16791" s="118"/>
      <c r="B16791" s="136"/>
    </row>
    <row r="16792" spans="1:2" x14ac:dyDescent="0.25">
      <c r="A16792" s="118"/>
      <c r="B16792" s="136"/>
    </row>
    <row r="16793" spans="1:2" x14ac:dyDescent="0.25">
      <c r="A16793" s="118"/>
      <c r="B16793" s="136"/>
    </row>
    <row r="16794" spans="1:2" x14ac:dyDescent="0.25">
      <c r="A16794" s="118"/>
      <c r="B16794" s="136"/>
    </row>
    <row r="16795" spans="1:2" x14ac:dyDescent="0.25">
      <c r="A16795" s="118"/>
      <c r="B16795" s="136"/>
    </row>
    <row r="16796" spans="1:2" x14ac:dyDescent="0.25">
      <c r="A16796" s="118"/>
      <c r="B16796" s="136"/>
    </row>
    <row r="16797" spans="1:2" x14ac:dyDescent="0.25">
      <c r="A16797" s="118"/>
      <c r="B16797" s="136"/>
    </row>
    <row r="16798" spans="1:2" x14ac:dyDescent="0.25">
      <c r="A16798" s="118"/>
      <c r="B16798" s="136"/>
    </row>
    <row r="16799" spans="1:2" x14ac:dyDescent="0.25">
      <c r="A16799" s="118"/>
      <c r="B16799" s="136"/>
    </row>
    <row r="16800" spans="1:2" x14ac:dyDescent="0.25">
      <c r="A16800" s="118"/>
      <c r="B16800" s="136"/>
    </row>
    <row r="16801" spans="1:2" x14ac:dyDescent="0.25">
      <c r="A16801" s="118"/>
      <c r="B16801" s="136"/>
    </row>
    <row r="16802" spans="1:2" x14ac:dyDescent="0.25">
      <c r="A16802" s="118"/>
      <c r="B16802" s="136"/>
    </row>
    <row r="16803" spans="1:2" x14ac:dyDescent="0.25">
      <c r="A16803" s="118"/>
      <c r="B16803" s="136"/>
    </row>
    <row r="16804" spans="1:2" x14ac:dyDescent="0.25">
      <c r="A16804" s="118"/>
      <c r="B16804" s="136"/>
    </row>
    <row r="16805" spans="1:2" x14ac:dyDescent="0.25">
      <c r="A16805" s="118"/>
      <c r="B16805" s="136"/>
    </row>
    <row r="16806" spans="1:2" x14ac:dyDescent="0.25">
      <c r="A16806" s="118"/>
      <c r="B16806" s="136"/>
    </row>
    <row r="16807" spans="1:2" x14ac:dyDescent="0.25">
      <c r="A16807" s="118"/>
      <c r="B16807" s="136"/>
    </row>
    <row r="16808" spans="1:2" x14ac:dyDescent="0.25">
      <c r="A16808" s="118"/>
      <c r="B16808" s="136"/>
    </row>
    <row r="16809" spans="1:2" x14ac:dyDescent="0.25">
      <c r="A16809" s="118"/>
      <c r="B16809" s="136"/>
    </row>
    <row r="16810" spans="1:2" x14ac:dyDescent="0.25">
      <c r="A16810" s="118"/>
      <c r="B16810" s="136"/>
    </row>
    <row r="16811" spans="1:2" x14ac:dyDescent="0.25">
      <c r="A16811" s="118"/>
      <c r="B16811" s="136"/>
    </row>
    <row r="16812" spans="1:2" x14ac:dyDescent="0.25">
      <c r="A16812" s="118"/>
      <c r="B16812" s="136"/>
    </row>
    <row r="16813" spans="1:2" x14ac:dyDescent="0.25">
      <c r="A16813" s="118"/>
      <c r="B16813" s="136"/>
    </row>
    <row r="16814" spans="1:2" x14ac:dyDescent="0.25">
      <c r="A16814" s="118"/>
      <c r="B16814" s="136"/>
    </row>
    <row r="16815" spans="1:2" x14ac:dyDescent="0.25">
      <c r="A16815" s="118"/>
      <c r="B16815" s="136"/>
    </row>
    <row r="16816" spans="1:2" x14ac:dyDescent="0.25">
      <c r="A16816" s="118"/>
      <c r="B16816" s="136"/>
    </row>
    <row r="16817" spans="1:2" x14ac:dyDescent="0.25">
      <c r="A16817" s="118"/>
      <c r="B16817" s="136"/>
    </row>
    <row r="16818" spans="1:2" x14ac:dyDescent="0.25">
      <c r="A16818" s="118"/>
      <c r="B16818" s="136"/>
    </row>
    <row r="16819" spans="1:2" x14ac:dyDescent="0.25">
      <c r="A16819" s="118"/>
      <c r="B16819" s="136"/>
    </row>
    <row r="16820" spans="1:2" x14ac:dyDescent="0.25">
      <c r="A16820" s="118"/>
      <c r="B16820" s="136"/>
    </row>
    <row r="16821" spans="1:2" x14ac:dyDescent="0.25">
      <c r="A16821" s="118"/>
      <c r="B16821" s="136"/>
    </row>
    <row r="16822" spans="1:2" x14ac:dyDescent="0.25">
      <c r="A16822" s="118"/>
      <c r="B16822" s="136"/>
    </row>
    <row r="16823" spans="1:2" x14ac:dyDescent="0.25">
      <c r="A16823" s="118"/>
      <c r="B16823" s="136"/>
    </row>
    <row r="16824" spans="1:2" x14ac:dyDescent="0.25">
      <c r="A16824" s="118"/>
      <c r="B16824" s="136"/>
    </row>
    <row r="16825" spans="1:2" x14ac:dyDescent="0.25">
      <c r="A16825" s="118"/>
      <c r="B16825" s="136"/>
    </row>
    <row r="16826" spans="1:2" x14ac:dyDescent="0.25">
      <c r="A16826" s="118"/>
      <c r="B16826" s="136"/>
    </row>
    <row r="16827" spans="1:2" x14ac:dyDescent="0.25">
      <c r="A16827" s="118"/>
      <c r="B16827" s="136"/>
    </row>
    <row r="16828" spans="1:2" x14ac:dyDescent="0.25">
      <c r="A16828" s="118"/>
      <c r="B16828" s="136"/>
    </row>
    <row r="16829" spans="1:2" x14ac:dyDescent="0.25">
      <c r="A16829" s="118"/>
      <c r="B16829" s="136"/>
    </row>
    <row r="16830" spans="1:2" x14ac:dyDescent="0.25">
      <c r="A16830" s="118"/>
      <c r="B16830" s="136"/>
    </row>
    <row r="16831" spans="1:2" x14ac:dyDescent="0.25">
      <c r="A16831" s="118"/>
      <c r="B16831" s="136"/>
    </row>
    <row r="16832" spans="1:2" x14ac:dyDescent="0.25">
      <c r="A16832" s="118"/>
      <c r="B16832" s="136"/>
    </row>
    <row r="16833" spans="1:2" x14ac:dyDescent="0.25">
      <c r="A16833" s="118"/>
      <c r="B16833" s="136"/>
    </row>
    <row r="16834" spans="1:2" x14ac:dyDescent="0.25">
      <c r="A16834" s="118"/>
      <c r="B16834" s="136"/>
    </row>
    <row r="16835" spans="1:2" x14ac:dyDescent="0.25">
      <c r="A16835" s="118"/>
      <c r="B16835" s="136"/>
    </row>
    <row r="16836" spans="1:2" x14ac:dyDescent="0.25">
      <c r="A16836" s="118"/>
      <c r="B16836" s="136"/>
    </row>
    <row r="16837" spans="1:2" x14ac:dyDescent="0.25">
      <c r="A16837" s="118"/>
      <c r="B16837" s="136"/>
    </row>
    <row r="16838" spans="1:2" x14ac:dyDescent="0.25">
      <c r="A16838" s="118"/>
      <c r="B16838" s="136"/>
    </row>
    <row r="16839" spans="1:2" x14ac:dyDescent="0.25">
      <c r="A16839" s="118"/>
      <c r="B16839" s="136"/>
    </row>
    <row r="16840" spans="1:2" x14ac:dyDescent="0.25">
      <c r="A16840" s="118"/>
      <c r="B16840" s="136"/>
    </row>
    <row r="16841" spans="1:2" x14ac:dyDescent="0.25">
      <c r="A16841" s="118"/>
      <c r="B16841" s="136"/>
    </row>
    <row r="16842" spans="1:2" x14ac:dyDescent="0.25">
      <c r="A16842" s="118"/>
      <c r="B16842" s="136"/>
    </row>
    <row r="16843" spans="1:2" x14ac:dyDescent="0.25">
      <c r="A16843" s="118"/>
      <c r="B16843" s="136"/>
    </row>
    <row r="16844" spans="1:2" x14ac:dyDescent="0.25">
      <c r="A16844" s="118"/>
      <c r="B16844" s="136"/>
    </row>
    <row r="16845" spans="1:2" x14ac:dyDescent="0.25">
      <c r="A16845" s="118"/>
      <c r="B16845" s="136"/>
    </row>
    <row r="16846" spans="1:2" x14ac:dyDescent="0.25">
      <c r="A16846" s="118"/>
      <c r="B16846" s="136"/>
    </row>
    <row r="16847" spans="1:2" x14ac:dyDescent="0.25">
      <c r="A16847" s="118"/>
      <c r="B16847" s="136"/>
    </row>
    <row r="16848" spans="1:2" x14ac:dyDescent="0.25">
      <c r="A16848" s="118"/>
      <c r="B16848" s="136"/>
    </row>
    <row r="16849" spans="1:2" x14ac:dyDescent="0.25">
      <c r="A16849" s="118"/>
      <c r="B16849" s="136"/>
    </row>
    <row r="16850" spans="1:2" x14ac:dyDescent="0.25">
      <c r="A16850" s="118"/>
      <c r="B16850" s="136"/>
    </row>
    <row r="16851" spans="1:2" x14ac:dyDescent="0.25">
      <c r="A16851" s="118"/>
      <c r="B16851" s="136"/>
    </row>
    <row r="16852" spans="1:2" x14ac:dyDescent="0.25">
      <c r="A16852" s="118"/>
      <c r="B16852" s="136"/>
    </row>
    <row r="16853" spans="1:2" x14ac:dyDescent="0.25">
      <c r="A16853" s="118"/>
      <c r="B16853" s="136"/>
    </row>
    <row r="16854" spans="1:2" x14ac:dyDescent="0.25">
      <c r="A16854" s="118"/>
      <c r="B16854" s="136"/>
    </row>
    <row r="16855" spans="1:2" x14ac:dyDescent="0.25">
      <c r="A16855" s="118"/>
      <c r="B16855" s="136"/>
    </row>
    <row r="16856" spans="1:2" x14ac:dyDescent="0.25">
      <c r="A16856" s="118"/>
      <c r="B16856" s="136"/>
    </row>
    <row r="16857" spans="1:2" x14ac:dyDescent="0.25">
      <c r="A16857" s="118"/>
      <c r="B16857" s="136"/>
    </row>
    <row r="16858" spans="1:2" x14ac:dyDescent="0.25">
      <c r="A16858" s="118"/>
      <c r="B16858" s="136"/>
    </row>
    <row r="16859" spans="1:2" x14ac:dyDescent="0.25">
      <c r="A16859" s="118"/>
      <c r="B16859" s="136"/>
    </row>
    <row r="16860" spans="1:2" x14ac:dyDescent="0.25">
      <c r="A16860" s="118"/>
      <c r="B16860" s="136"/>
    </row>
    <row r="16861" spans="1:2" x14ac:dyDescent="0.25">
      <c r="A16861" s="118"/>
      <c r="B16861" s="136"/>
    </row>
    <row r="16862" spans="1:2" x14ac:dyDescent="0.25">
      <c r="A16862" s="118"/>
      <c r="B16862" s="136"/>
    </row>
    <row r="16863" spans="1:2" x14ac:dyDescent="0.25">
      <c r="A16863" s="118"/>
      <c r="B16863" s="136"/>
    </row>
    <row r="16864" spans="1:2" x14ac:dyDescent="0.25">
      <c r="A16864" s="118"/>
      <c r="B16864" s="136"/>
    </row>
    <row r="16865" spans="1:2" x14ac:dyDescent="0.25">
      <c r="A16865" s="118"/>
      <c r="B16865" s="136"/>
    </row>
    <row r="16866" spans="1:2" x14ac:dyDescent="0.25">
      <c r="A16866" s="118"/>
      <c r="B16866" s="136"/>
    </row>
    <row r="16867" spans="1:2" x14ac:dyDescent="0.25">
      <c r="A16867" s="118"/>
      <c r="B16867" s="136"/>
    </row>
    <row r="16868" spans="1:2" x14ac:dyDescent="0.25">
      <c r="A16868" s="118"/>
      <c r="B16868" s="136"/>
    </row>
    <row r="16869" spans="1:2" x14ac:dyDescent="0.25">
      <c r="A16869" s="118"/>
      <c r="B16869" s="136"/>
    </row>
    <row r="16870" spans="1:2" x14ac:dyDescent="0.25">
      <c r="A16870" s="118"/>
      <c r="B16870" s="136"/>
    </row>
    <row r="16871" spans="1:2" x14ac:dyDescent="0.25">
      <c r="A16871" s="118"/>
      <c r="B16871" s="136"/>
    </row>
    <row r="16872" spans="1:2" x14ac:dyDescent="0.25">
      <c r="A16872" s="118"/>
      <c r="B16872" s="136"/>
    </row>
    <row r="16873" spans="1:2" x14ac:dyDescent="0.25">
      <c r="A16873" s="118"/>
      <c r="B16873" s="136"/>
    </row>
    <row r="16874" spans="1:2" x14ac:dyDescent="0.25">
      <c r="A16874" s="118"/>
      <c r="B16874" s="136"/>
    </row>
    <row r="16875" spans="1:2" x14ac:dyDescent="0.25">
      <c r="A16875" s="118"/>
      <c r="B16875" s="136"/>
    </row>
    <row r="16876" spans="1:2" x14ac:dyDescent="0.25">
      <c r="A16876" s="118"/>
      <c r="B16876" s="136"/>
    </row>
    <row r="16877" spans="1:2" x14ac:dyDescent="0.25">
      <c r="A16877" s="118"/>
      <c r="B16877" s="136"/>
    </row>
    <row r="16878" spans="1:2" x14ac:dyDescent="0.25">
      <c r="A16878" s="118"/>
      <c r="B16878" s="136"/>
    </row>
    <row r="16879" spans="1:2" x14ac:dyDescent="0.25">
      <c r="A16879" s="118"/>
      <c r="B16879" s="136"/>
    </row>
    <row r="16880" spans="1:2" x14ac:dyDescent="0.25">
      <c r="A16880" s="118"/>
      <c r="B16880" s="136"/>
    </row>
    <row r="16881" spans="1:2" x14ac:dyDescent="0.25">
      <c r="A16881" s="118"/>
      <c r="B16881" s="136"/>
    </row>
    <row r="16882" spans="1:2" x14ac:dyDescent="0.25">
      <c r="A16882" s="118"/>
      <c r="B16882" s="136"/>
    </row>
    <row r="16883" spans="1:2" x14ac:dyDescent="0.25">
      <c r="A16883" s="118"/>
      <c r="B16883" s="136"/>
    </row>
    <row r="16884" spans="1:2" x14ac:dyDescent="0.25">
      <c r="A16884" s="118"/>
      <c r="B16884" s="136"/>
    </row>
    <row r="16885" spans="1:2" x14ac:dyDescent="0.25">
      <c r="A16885" s="118"/>
      <c r="B16885" s="136"/>
    </row>
    <row r="16886" spans="1:2" x14ac:dyDescent="0.25">
      <c r="A16886" s="118"/>
      <c r="B16886" s="136"/>
    </row>
    <row r="16887" spans="1:2" x14ac:dyDescent="0.25">
      <c r="A16887" s="118"/>
      <c r="B16887" s="136"/>
    </row>
    <row r="16888" spans="1:2" x14ac:dyDescent="0.25">
      <c r="A16888" s="118"/>
      <c r="B16888" s="136"/>
    </row>
    <row r="16889" spans="1:2" x14ac:dyDescent="0.25">
      <c r="A16889" s="118"/>
      <c r="B16889" s="136"/>
    </row>
    <row r="16890" spans="1:2" x14ac:dyDescent="0.25">
      <c r="A16890" s="118"/>
      <c r="B16890" s="136"/>
    </row>
    <row r="16891" spans="1:2" x14ac:dyDescent="0.25">
      <c r="A16891" s="118"/>
      <c r="B16891" s="136"/>
    </row>
    <row r="16892" spans="1:2" x14ac:dyDescent="0.25">
      <c r="A16892" s="118"/>
      <c r="B16892" s="136"/>
    </row>
    <row r="16893" spans="1:2" x14ac:dyDescent="0.25">
      <c r="A16893" s="118"/>
      <c r="B16893" s="136"/>
    </row>
    <row r="16894" spans="1:2" x14ac:dyDescent="0.25">
      <c r="A16894" s="118"/>
      <c r="B16894" s="136"/>
    </row>
    <row r="16895" spans="1:2" x14ac:dyDescent="0.25">
      <c r="A16895" s="118"/>
      <c r="B16895" s="136"/>
    </row>
    <row r="16896" spans="1:2" x14ac:dyDescent="0.25">
      <c r="A16896" s="118"/>
      <c r="B16896" s="136"/>
    </row>
    <row r="16897" spans="1:2" x14ac:dyDescent="0.25">
      <c r="A16897" s="118"/>
      <c r="B16897" s="136"/>
    </row>
    <row r="16898" spans="1:2" x14ac:dyDescent="0.25">
      <c r="A16898" s="118"/>
      <c r="B16898" s="136"/>
    </row>
    <row r="16899" spans="1:2" x14ac:dyDescent="0.25">
      <c r="A16899" s="118"/>
      <c r="B16899" s="136"/>
    </row>
    <row r="16900" spans="1:2" x14ac:dyDescent="0.25">
      <c r="A16900" s="118"/>
      <c r="B16900" s="136"/>
    </row>
    <row r="16901" spans="1:2" x14ac:dyDescent="0.25">
      <c r="A16901" s="118"/>
      <c r="B16901" s="136"/>
    </row>
    <row r="16902" spans="1:2" x14ac:dyDescent="0.25">
      <c r="A16902" s="118"/>
      <c r="B16902" s="136"/>
    </row>
    <row r="16903" spans="1:2" x14ac:dyDescent="0.25">
      <c r="A16903" s="118"/>
      <c r="B16903" s="136"/>
    </row>
    <row r="16904" spans="1:2" x14ac:dyDescent="0.25">
      <c r="A16904" s="118"/>
      <c r="B16904" s="136"/>
    </row>
    <row r="16905" spans="1:2" x14ac:dyDescent="0.25">
      <c r="A16905" s="118"/>
      <c r="B16905" s="136"/>
    </row>
    <row r="16906" spans="1:2" x14ac:dyDescent="0.25">
      <c r="A16906" s="118"/>
      <c r="B16906" s="136"/>
    </row>
    <row r="16907" spans="1:2" x14ac:dyDescent="0.25">
      <c r="A16907" s="118"/>
      <c r="B16907" s="136"/>
    </row>
    <row r="16908" spans="1:2" x14ac:dyDescent="0.25">
      <c r="A16908" s="118"/>
      <c r="B16908" s="136"/>
    </row>
    <row r="16909" spans="1:2" x14ac:dyDescent="0.25">
      <c r="A16909" s="118"/>
      <c r="B16909" s="136"/>
    </row>
    <row r="16910" spans="1:2" x14ac:dyDescent="0.25">
      <c r="A16910" s="118"/>
      <c r="B16910" s="136"/>
    </row>
    <row r="16911" spans="1:2" x14ac:dyDescent="0.25">
      <c r="A16911" s="118"/>
      <c r="B16911" s="136"/>
    </row>
    <row r="16912" spans="1:2" x14ac:dyDescent="0.25">
      <c r="A16912" s="118"/>
      <c r="B16912" s="136"/>
    </row>
    <row r="16913" spans="1:2" x14ac:dyDescent="0.25">
      <c r="A16913" s="118"/>
      <c r="B16913" s="136"/>
    </row>
    <row r="16914" spans="1:2" x14ac:dyDescent="0.25">
      <c r="A16914" s="118"/>
      <c r="B16914" s="136"/>
    </row>
    <row r="16915" spans="1:2" x14ac:dyDescent="0.25">
      <c r="A16915" s="118"/>
      <c r="B16915" s="136"/>
    </row>
    <row r="16916" spans="1:2" x14ac:dyDescent="0.25">
      <c r="A16916" s="118"/>
      <c r="B16916" s="136"/>
    </row>
    <row r="16917" spans="1:2" x14ac:dyDescent="0.25">
      <c r="A16917" s="118"/>
      <c r="B16917" s="136"/>
    </row>
    <row r="16918" spans="1:2" x14ac:dyDescent="0.25">
      <c r="A16918" s="118"/>
      <c r="B16918" s="136"/>
    </row>
    <row r="16919" spans="1:2" x14ac:dyDescent="0.25">
      <c r="A16919" s="118"/>
      <c r="B16919" s="136"/>
    </row>
    <row r="16920" spans="1:2" x14ac:dyDescent="0.25">
      <c r="A16920" s="118"/>
      <c r="B16920" s="136"/>
    </row>
    <row r="16921" spans="1:2" x14ac:dyDescent="0.25">
      <c r="A16921" s="118"/>
      <c r="B16921" s="136"/>
    </row>
    <row r="16922" spans="1:2" x14ac:dyDescent="0.25">
      <c r="A16922" s="118"/>
      <c r="B16922" s="136"/>
    </row>
    <row r="16923" spans="1:2" x14ac:dyDescent="0.25">
      <c r="A16923" s="118"/>
      <c r="B16923" s="136"/>
    </row>
    <row r="16924" spans="1:2" x14ac:dyDescent="0.25">
      <c r="A16924" s="118"/>
      <c r="B16924" s="136"/>
    </row>
    <row r="16925" spans="1:2" x14ac:dyDescent="0.25">
      <c r="A16925" s="118"/>
      <c r="B16925" s="136"/>
    </row>
    <row r="16926" spans="1:2" x14ac:dyDescent="0.25">
      <c r="A16926" s="118"/>
      <c r="B16926" s="136"/>
    </row>
    <row r="16927" spans="1:2" x14ac:dyDescent="0.25">
      <c r="A16927" s="118"/>
      <c r="B16927" s="136"/>
    </row>
    <row r="16928" spans="1:2" x14ac:dyDescent="0.25">
      <c r="A16928" s="118"/>
      <c r="B16928" s="136"/>
    </row>
    <row r="16929" spans="1:2" x14ac:dyDescent="0.25">
      <c r="A16929" s="118"/>
      <c r="B16929" s="136"/>
    </row>
    <row r="16930" spans="1:2" x14ac:dyDescent="0.25">
      <c r="A16930" s="118"/>
      <c r="B16930" s="136"/>
    </row>
    <row r="16931" spans="1:2" x14ac:dyDescent="0.25">
      <c r="A16931" s="118"/>
      <c r="B16931" s="136"/>
    </row>
    <row r="16932" spans="1:2" x14ac:dyDescent="0.25">
      <c r="A16932" s="118"/>
      <c r="B16932" s="136"/>
    </row>
    <row r="16933" spans="1:2" x14ac:dyDescent="0.25">
      <c r="A16933" s="118"/>
      <c r="B16933" s="136"/>
    </row>
    <row r="16934" spans="1:2" x14ac:dyDescent="0.25">
      <c r="A16934" s="118"/>
      <c r="B16934" s="136"/>
    </row>
    <row r="16935" spans="1:2" x14ac:dyDescent="0.25">
      <c r="A16935" s="118"/>
      <c r="B16935" s="136"/>
    </row>
    <row r="16936" spans="1:2" x14ac:dyDescent="0.25">
      <c r="A16936" s="118"/>
      <c r="B16936" s="136"/>
    </row>
    <row r="16937" spans="1:2" x14ac:dyDescent="0.25">
      <c r="A16937" s="118"/>
      <c r="B16937" s="136"/>
    </row>
    <row r="16938" spans="1:2" x14ac:dyDescent="0.25">
      <c r="A16938" s="118"/>
      <c r="B16938" s="136"/>
    </row>
    <row r="16939" spans="1:2" x14ac:dyDescent="0.25">
      <c r="A16939" s="118"/>
      <c r="B16939" s="136"/>
    </row>
    <row r="16940" spans="1:2" x14ac:dyDescent="0.25">
      <c r="A16940" s="118"/>
      <c r="B16940" s="136"/>
    </row>
    <row r="16941" spans="1:2" x14ac:dyDescent="0.25">
      <c r="A16941" s="118"/>
      <c r="B16941" s="136"/>
    </row>
    <row r="16942" spans="1:2" x14ac:dyDescent="0.25">
      <c r="A16942" s="118"/>
      <c r="B16942" s="136"/>
    </row>
    <row r="16943" spans="1:2" x14ac:dyDescent="0.25">
      <c r="A16943" s="118"/>
      <c r="B16943" s="136"/>
    </row>
    <row r="16944" spans="1:2" x14ac:dyDescent="0.25">
      <c r="A16944" s="118"/>
      <c r="B16944" s="136"/>
    </row>
    <row r="16945" spans="1:2" x14ac:dyDescent="0.25">
      <c r="A16945" s="118"/>
      <c r="B16945" s="136"/>
    </row>
    <row r="16946" spans="1:2" x14ac:dyDescent="0.25">
      <c r="A16946" s="118"/>
      <c r="B16946" s="136"/>
    </row>
    <row r="16947" spans="1:2" x14ac:dyDescent="0.25">
      <c r="A16947" s="118"/>
      <c r="B16947" s="136"/>
    </row>
    <row r="16948" spans="1:2" x14ac:dyDescent="0.25">
      <c r="A16948" s="118"/>
      <c r="B16948" s="136"/>
    </row>
    <row r="16949" spans="1:2" x14ac:dyDescent="0.25">
      <c r="A16949" s="118"/>
      <c r="B16949" s="136"/>
    </row>
    <row r="16950" spans="1:2" x14ac:dyDescent="0.25">
      <c r="A16950" s="118"/>
      <c r="B16950" s="136"/>
    </row>
    <row r="16951" spans="1:2" x14ac:dyDescent="0.25">
      <c r="A16951" s="118"/>
      <c r="B16951" s="136"/>
    </row>
    <row r="16952" spans="1:2" x14ac:dyDescent="0.25">
      <c r="A16952" s="118"/>
      <c r="B16952" s="136"/>
    </row>
    <row r="16953" spans="1:2" x14ac:dyDescent="0.25">
      <c r="A16953" s="118"/>
      <c r="B16953" s="136"/>
    </row>
    <row r="16954" spans="1:2" x14ac:dyDescent="0.25">
      <c r="A16954" s="118"/>
      <c r="B16954" s="136"/>
    </row>
    <row r="16955" spans="1:2" x14ac:dyDescent="0.25">
      <c r="A16955" s="118"/>
      <c r="B16955" s="136"/>
    </row>
    <row r="16956" spans="1:2" x14ac:dyDescent="0.25">
      <c r="A16956" s="118"/>
      <c r="B16956" s="136"/>
    </row>
    <row r="16957" spans="1:2" x14ac:dyDescent="0.25">
      <c r="A16957" s="118"/>
      <c r="B16957" s="136"/>
    </row>
    <row r="16958" spans="1:2" x14ac:dyDescent="0.25">
      <c r="A16958" s="118"/>
      <c r="B16958" s="136"/>
    </row>
    <row r="16959" spans="1:2" x14ac:dyDescent="0.25">
      <c r="A16959" s="118"/>
      <c r="B16959" s="136"/>
    </row>
    <row r="16960" spans="1:2" x14ac:dyDescent="0.25">
      <c r="A16960" s="118"/>
      <c r="B16960" s="136"/>
    </row>
    <row r="16961" spans="1:2" x14ac:dyDescent="0.25">
      <c r="A16961" s="118"/>
      <c r="B16961" s="136"/>
    </row>
    <row r="16962" spans="1:2" x14ac:dyDescent="0.25">
      <c r="A16962" s="118"/>
      <c r="B16962" s="136"/>
    </row>
    <row r="16963" spans="1:2" x14ac:dyDescent="0.25">
      <c r="A16963" s="118"/>
      <c r="B16963" s="136"/>
    </row>
    <row r="16964" spans="1:2" x14ac:dyDescent="0.25">
      <c r="A16964" s="118"/>
      <c r="B16964" s="136"/>
    </row>
    <row r="16965" spans="1:2" x14ac:dyDescent="0.25">
      <c r="A16965" s="118"/>
      <c r="B16965" s="136"/>
    </row>
    <row r="16966" spans="1:2" x14ac:dyDescent="0.25">
      <c r="A16966" s="118"/>
      <c r="B16966" s="136"/>
    </row>
    <row r="16967" spans="1:2" x14ac:dyDescent="0.25">
      <c r="A16967" s="118"/>
      <c r="B16967" s="136"/>
    </row>
    <row r="16968" spans="1:2" x14ac:dyDescent="0.25">
      <c r="A16968" s="118"/>
      <c r="B16968" s="136"/>
    </row>
    <row r="16969" spans="1:2" x14ac:dyDescent="0.25">
      <c r="A16969" s="118"/>
      <c r="B16969" s="136"/>
    </row>
    <row r="16970" spans="1:2" x14ac:dyDescent="0.25">
      <c r="A16970" s="118"/>
      <c r="B16970" s="136"/>
    </row>
    <row r="16971" spans="1:2" x14ac:dyDescent="0.25">
      <c r="A16971" s="118"/>
      <c r="B16971" s="136"/>
    </row>
    <row r="16972" spans="1:2" x14ac:dyDescent="0.25">
      <c r="A16972" s="118"/>
      <c r="B16972" s="136"/>
    </row>
    <row r="16973" spans="1:2" x14ac:dyDescent="0.25">
      <c r="A16973" s="118"/>
      <c r="B16973" s="136"/>
    </row>
    <row r="16974" spans="1:2" x14ac:dyDescent="0.25">
      <c r="A16974" s="118"/>
      <c r="B16974" s="136"/>
    </row>
    <row r="16975" spans="1:2" x14ac:dyDescent="0.25">
      <c r="A16975" s="118"/>
      <c r="B16975" s="136"/>
    </row>
    <row r="16976" spans="1:2" x14ac:dyDescent="0.25">
      <c r="A16976" s="118"/>
      <c r="B16976" s="136"/>
    </row>
    <row r="16977" spans="1:2" x14ac:dyDescent="0.25">
      <c r="A16977" s="118"/>
      <c r="B16977" s="136"/>
    </row>
    <row r="16978" spans="1:2" x14ac:dyDescent="0.25">
      <c r="A16978" s="118"/>
      <c r="B16978" s="136"/>
    </row>
    <row r="16979" spans="1:2" x14ac:dyDescent="0.25">
      <c r="A16979" s="118"/>
      <c r="B16979" s="136"/>
    </row>
    <row r="16980" spans="1:2" x14ac:dyDescent="0.25">
      <c r="A16980" s="118"/>
      <c r="B16980" s="136"/>
    </row>
    <row r="16981" spans="1:2" x14ac:dyDescent="0.25">
      <c r="A16981" s="118"/>
      <c r="B16981" s="136"/>
    </row>
    <row r="16982" spans="1:2" x14ac:dyDescent="0.25">
      <c r="A16982" s="118"/>
      <c r="B16982" s="136"/>
    </row>
    <row r="16983" spans="1:2" x14ac:dyDescent="0.25">
      <c r="A16983" s="118"/>
      <c r="B16983" s="136"/>
    </row>
    <row r="16984" spans="1:2" x14ac:dyDescent="0.25">
      <c r="A16984" s="118"/>
      <c r="B16984" s="136"/>
    </row>
    <row r="16985" spans="1:2" x14ac:dyDescent="0.25">
      <c r="A16985" s="118"/>
      <c r="B16985" s="136"/>
    </row>
    <row r="16986" spans="1:2" x14ac:dyDescent="0.25">
      <c r="A16986" s="118"/>
      <c r="B16986" s="136"/>
    </row>
    <row r="16987" spans="1:2" x14ac:dyDescent="0.25">
      <c r="A16987" s="118"/>
      <c r="B16987" s="136"/>
    </row>
    <row r="16988" spans="1:2" x14ac:dyDescent="0.25">
      <c r="A16988" s="118"/>
      <c r="B16988" s="136"/>
    </row>
    <row r="16989" spans="1:2" x14ac:dyDescent="0.25">
      <c r="A16989" s="118"/>
      <c r="B16989" s="136"/>
    </row>
    <row r="16990" spans="1:2" x14ac:dyDescent="0.25">
      <c r="A16990" s="118"/>
      <c r="B16990" s="136"/>
    </row>
    <row r="16991" spans="1:2" x14ac:dyDescent="0.25">
      <c r="A16991" s="118"/>
      <c r="B16991" s="136"/>
    </row>
    <row r="16992" spans="1:2" x14ac:dyDescent="0.25">
      <c r="A16992" s="118"/>
      <c r="B16992" s="136"/>
    </row>
    <row r="16993" spans="1:2" x14ac:dyDescent="0.25">
      <c r="A16993" s="118"/>
      <c r="B16993" s="136"/>
    </row>
    <row r="16994" spans="1:2" x14ac:dyDescent="0.25">
      <c r="A16994" s="118"/>
      <c r="B16994" s="136"/>
    </row>
    <row r="16995" spans="1:2" x14ac:dyDescent="0.25">
      <c r="A16995" s="118"/>
      <c r="B16995" s="136"/>
    </row>
    <row r="16996" spans="1:2" x14ac:dyDescent="0.25">
      <c r="A16996" s="118"/>
      <c r="B16996" s="136"/>
    </row>
    <row r="16997" spans="1:2" x14ac:dyDescent="0.25">
      <c r="A16997" s="118"/>
      <c r="B16997" s="136"/>
    </row>
    <row r="16998" spans="1:2" x14ac:dyDescent="0.25">
      <c r="A16998" s="118"/>
      <c r="B16998" s="136"/>
    </row>
    <row r="16999" spans="1:2" x14ac:dyDescent="0.25">
      <c r="A16999" s="118"/>
      <c r="B16999" s="136"/>
    </row>
    <row r="17000" spans="1:2" x14ac:dyDescent="0.25">
      <c r="A17000" s="118"/>
      <c r="B17000" s="136"/>
    </row>
    <row r="17001" spans="1:2" x14ac:dyDescent="0.25">
      <c r="A17001" s="118"/>
      <c r="B17001" s="136"/>
    </row>
    <row r="17002" spans="1:2" x14ac:dyDescent="0.25">
      <c r="A17002" s="118"/>
      <c r="B17002" s="136"/>
    </row>
    <row r="17003" spans="1:2" x14ac:dyDescent="0.25">
      <c r="A17003" s="118"/>
      <c r="B17003" s="136"/>
    </row>
    <row r="17004" spans="1:2" x14ac:dyDescent="0.25">
      <c r="A17004" s="118"/>
      <c r="B17004" s="136"/>
    </row>
    <row r="17005" spans="1:2" x14ac:dyDescent="0.25">
      <c r="A17005" s="118"/>
      <c r="B17005" s="136"/>
    </row>
    <row r="17006" spans="1:2" x14ac:dyDescent="0.25">
      <c r="A17006" s="118"/>
      <c r="B17006" s="136"/>
    </row>
    <row r="17007" spans="1:2" x14ac:dyDescent="0.25">
      <c r="A17007" s="118"/>
      <c r="B17007" s="136"/>
    </row>
    <row r="17008" spans="1:2" x14ac:dyDescent="0.25">
      <c r="A17008" s="118"/>
      <c r="B17008" s="136"/>
    </row>
    <row r="17009" spans="1:2" x14ac:dyDescent="0.25">
      <c r="A17009" s="118"/>
      <c r="B17009" s="136"/>
    </row>
    <row r="17010" spans="1:2" x14ac:dyDescent="0.25">
      <c r="A17010" s="118"/>
      <c r="B17010" s="136"/>
    </row>
    <row r="17011" spans="1:2" x14ac:dyDescent="0.25">
      <c r="A17011" s="118"/>
      <c r="B17011" s="136"/>
    </row>
    <row r="17012" spans="1:2" x14ac:dyDescent="0.25">
      <c r="A17012" s="118"/>
      <c r="B17012" s="136"/>
    </row>
    <row r="17013" spans="1:2" x14ac:dyDescent="0.25">
      <c r="A17013" s="118"/>
      <c r="B17013" s="136"/>
    </row>
    <row r="17014" spans="1:2" x14ac:dyDescent="0.25">
      <c r="A17014" s="118"/>
      <c r="B17014" s="136"/>
    </row>
    <row r="17015" spans="1:2" x14ac:dyDescent="0.25">
      <c r="A17015" s="118"/>
      <c r="B17015" s="136"/>
    </row>
    <row r="17016" spans="1:2" x14ac:dyDescent="0.25">
      <c r="A17016" s="118"/>
      <c r="B17016" s="136"/>
    </row>
    <row r="17017" spans="1:2" x14ac:dyDescent="0.25">
      <c r="A17017" s="118"/>
      <c r="B17017" s="136"/>
    </row>
    <row r="17018" spans="1:2" x14ac:dyDescent="0.25">
      <c r="A17018" s="118"/>
      <c r="B17018" s="136"/>
    </row>
    <row r="17019" spans="1:2" x14ac:dyDescent="0.25">
      <c r="A17019" s="118"/>
      <c r="B17019" s="136"/>
    </row>
    <row r="17020" spans="1:2" x14ac:dyDescent="0.25">
      <c r="A17020" s="118"/>
      <c r="B17020" s="136"/>
    </row>
    <row r="17021" spans="1:2" x14ac:dyDescent="0.25">
      <c r="A17021" s="118"/>
      <c r="B17021" s="136"/>
    </row>
    <row r="17022" spans="1:2" x14ac:dyDescent="0.25">
      <c r="A17022" s="118"/>
      <c r="B17022" s="136"/>
    </row>
    <row r="17023" spans="1:2" x14ac:dyDescent="0.25">
      <c r="A17023" s="118"/>
      <c r="B17023" s="136"/>
    </row>
    <row r="17024" spans="1:2" x14ac:dyDescent="0.25">
      <c r="A17024" s="118"/>
      <c r="B17024" s="136"/>
    </row>
    <row r="17025" spans="1:2" x14ac:dyDescent="0.25">
      <c r="A17025" s="118"/>
      <c r="B17025" s="136"/>
    </row>
    <row r="17026" spans="1:2" x14ac:dyDescent="0.25">
      <c r="A17026" s="118"/>
      <c r="B17026" s="136"/>
    </row>
    <row r="17027" spans="1:2" x14ac:dyDescent="0.25">
      <c r="A17027" s="118"/>
      <c r="B17027" s="136"/>
    </row>
    <row r="17028" spans="1:2" x14ac:dyDescent="0.25">
      <c r="A17028" s="118"/>
      <c r="B17028" s="136"/>
    </row>
    <row r="17029" spans="1:2" x14ac:dyDescent="0.25">
      <c r="A17029" s="118"/>
      <c r="B17029" s="136"/>
    </row>
    <row r="17030" spans="1:2" x14ac:dyDescent="0.25">
      <c r="A17030" s="118"/>
      <c r="B17030" s="136"/>
    </row>
    <row r="17031" spans="1:2" x14ac:dyDescent="0.25">
      <c r="A17031" s="118"/>
      <c r="B17031" s="136"/>
    </row>
    <row r="17032" spans="1:2" x14ac:dyDescent="0.25">
      <c r="A17032" s="118"/>
      <c r="B17032" s="136"/>
    </row>
    <row r="17033" spans="1:2" x14ac:dyDescent="0.25">
      <c r="A17033" s="118"/>
      <c r="B17033" s="136"/>
    </row>
    <row r="17034" spans="1:2" x14ac:dyDescent="0.25">
      <c r="A17034" s="118"/>
      <c r="B17034" s="136"/>
    </row>
    <row r="17035" spans="1:2" x14ac:dyDescent="0.25">
      <c r="A17035" s="118"/>
      <c r="B17035" s="136"/>
    </row>
    <row r="17036" spans="1:2" x14ac:dyDescent="0.25">
      <c r="A17036" s="118"/>
      <c r="B17036" s="136"/>
    </row>
    <row r="17037" spans="1:2" x14ac:dyDescent="0.25">
      <c r="A17037" s="118"/>
      <c r="B17037" s="136"/>
    </row>
    <row r="17038" spans="1:2" x14ac:dyDescent="0.25">
      <c r="A17038" s="118"/>
      <c r="B17038" s="136"/>
    </row>
    <row r="17039" spans="1:2" x14ac:dyDescent="0.25">
      <c r="A17039" s="118"/>
      <c r="B17039" s="136"/>
    </row>
    <row r="17040" spans="1:2" x14ac:dyDescent="0.25">
      <c r="A17040" s="118"/>
      <c r="B17040" s="136"/>
    </row>
    <row r="17041" spans="1:2" x14ac:dyDescent="0.25">
      <c r="A17041" s="118"/>
      <c r="B17041" s="136"/>
    </row>
    <row r="17042" spans="1:2" x14ac:dyDescent="0.25">
      <c r="A17042" s="118"/>
      <c r="B17042" s="136"/>
    </row>
    <row r="17043" spans="1:2" x14ac:dyDescent="0.25">
      <c r="A17043" s="118"/>
      <c r="B17043" s="136"/>
    </row>
    <row r="17044" spans="1:2" x14ac:dyDescent="0.25">
      <c r="A17044" s="118"/>
      <c r="B17044" s="136"/>
    </row>
    <row r="17045" spans="1:2" x14ac:dyDescent="0.25">
      <c r="A17045" s="118"/>
      <c r="B17045" s="136"/>
    </row>
    <row r="17046" spans="1:2" x14ac:dyDescent="0.25">
      <c r="A17046" s="118"/>
      <c r="B17046" s="136"/>
    </row>
    <row r="17047" spans="1:2" x14ac:dyDescent="0.25">
      <c r="A17047" s="118"/>
      <c r="B17047" s="136"/>
    </row>
    <row r="17048" spans="1:2" x14ac:dyDescent="0.25">
      <c r="A17048" s="118"/>
      <c r="B17048" s="136"/>
    </row>
    <row r="17049" spans="1:2" x14ac:dyDescent="0.25">
      <c r="A17049" s="118"/>
      <c r="B17049" s="136"/>
    </row>
    <row r="17050" spans="1:2" x14ac:dyDescent="0.25">
      <c r="A17050" s="118"/>
      <c r="B17050" s="136"/>
    </row>
    <row r="17051" spans="1:2" x14ac:dyDescent="0.25">
      <c r="A17051" s="118"/>
      <c r="B17051" s="136"/>
    </row>
    <row r="17052" spans="1:2" x14ac:dyDescent="0.25">
      <c r="A17052" s="118"/>
      <c r="B17052" s="136"/>
    </row>
    <row r="17053" spans="1:2" x14ac:dyDescent="0.25">
      <c r="A17053" s="118"/>
      <c r="B17053" s="136"/>
    </row>
    <row r="17054" spans="1:2" x14ac:dyDescent="0.25">
      <c r="A17054" s="118"/>
      <c r="B17054" s="136"/>
    </row>
    <row r="17055" spans="1:2" x14ac:dyDescent="0.25">
      <c r="A17055" s="118"/>
      <c r="B17055" s="136"/>
    </row>
    <row r="17056" spans="1:2" x14ac:dyDescent="0.25">
      <c r="A17056" s="118"/>
      <c r="B17056" s="136"/>
    </row>
    <row r="17057" spans="1:2" x14ac:dyDescent="0.25">
      <c r="A17057" s="118"/>
      <c r="B17057" s="136"/>
    </row>
    <row r="17058" spans="1:2" x14ac:dyDescent="0.25">
      <c r="A17058" s="118"/>
      <c r="B17058" s="136"/>
    </row>
    <row r="17059" spans="1:2" x14ac:dyDescent="0.25">
      <c r="A17059" s="118"/>
      <c r="B17059" s="136"/>
    </row>
    <row r="17060" spans="1:2" x14ac:dyDescent="0.25">
      <c r="A17060" s="118"/>
      <c r="B17060" s="136"/>
    </row>
    <row r="17061" spans="1:2" x14ac:dyDescent="0.25">
      <c r="A17061" s="118"/>
      <c r="B17061" s="136"/>
    </row>
    <row r="17062" spans="1:2" x14ac:dyDescent="0.25">
      <c r="A17062" s="118"/>
      <c r="B17062" s="136"/>
    </row>
    <row r="17063" spans="1:2" x14ac:dyDescent="0.25">
      <c r="A17063" s="118"/>
      <c r="B17063" s="136"/>
    </row>
    <row r="17064" spans="1:2" x14ac:dyDescent="0.25">
      <c r="A17064" s="118"/>
      <c r="B17064" s="136"/>
    </row>
    <row r="17065" spans="1:2" x14ac:dyDescent="0.25">
      <c r="A17065" s="118"/>
      <c r="B17065" s="136"/>
    </row>
    <row r="17066" spans="1:2" x14ac:dyDescent="0.25">
      <c r="A17066" s="118"/>
      <c r="B17066" s="136"/>
    </row>
    <row r="17067" spans="1:2" x14ac:dyDescent="0.25">
      <c r="A17067" s="118"/>
      <c r="B17067" s="136"/>
    </row>
    <row r="17068" spans="1:2" x14ac:dyDescent="0.25">
      <c r="A17068" s="118"/>
      <c r="B17068" s="136"/>
    </row>
    <row r="17069" spans="1:2" x14ac:dyDescent="0.25">
      <c r="A17069" s="118"/>
      <c r="B17069" s="136"/>
    </row>
    <row r="17070" spans="1:2" x14ac:dyDescent="0.25">
      <c r="A17070" s="118"/>
      <c r="B17070" s="136"/>
    </row>
    <row r="17071" spans="1:2" x14ac:dyDescent="0.25">
      <c r="A17071" s="118"/>
      <c r="B17071" s="136"/>
    </row>
    <row r="17072" spans="1:2" x14ac:dyDescent="0.25">
      <c r="A17072" s="118"/>
      <c r="B17072" s="136"/>
    </row>
    <row r="17073" spans="1:2" x14ac:dyDescent="0.25">
      <c r="A17073" s="118"/>
      <c r="B17073" s="136"/>
    </row>
    <row r="17074" spans="1:2" x14ac:dyDescent="0.25">
      <c r="A17074" s="118"/>
      <c r="B17074" s="136"/>
    </row>
    <row r="17075" spans="1:2" x14ac:dyDescent="0.25">
      <c r="A17075" s="118"/>
      <c r="B17075" s="136"/>
    </row>
    <row r="17076" spans="1:2" x14ac:dyDescent="0.25">
      <c r="A17076" s="118"/>
      <c r="B17076" s="136"/>
    </row>
    <row r="17077" spans="1:2" x14ac:dyDescent="0.25">
      <c r="A17077" s="118"/>
      <c r="B17077" s="136"/>
    </row>
    <row r="17078" spans="1:2" x14ac:dyDescent="0.25">
      <c r="A17078" s="118"/>
      <c r="B17078" s="136"/>
    </row>
    <row r="17079" spans="1:2" x14ac:dyDescent="0.25">
      <c r="A17079" s="118"/>
      <c r="B17079" s="136"/>
    </row>
    <row r="17080" spans="1:2" x14ac:dyDescent="0.25">
      <c r="A17080" s="118"/>
      <c r="B17080" s="136"/>
    </row>
    <row r="17081" spans="1:2" x14ac:dyDescent="0.25">
      <c r="A17081" s="118"/>
      <c r="B17081" s="136"/>
    </row>
    <row r="17082" spans="1:2" x14ac:dyDescent="0.25">
      <c r="A17082" s="118"/>
      <c r="B17082" s="136"/>
    </row>
    <row r="17083" spans="1:2" x14ac:dyDescent="0.25">
      <c r="A17083" s="118"/>
      <c r="B17083" s="136"/>
    </row>
    <row r="17084" spans="1:2" x14ac:dyDescent="0.25">
      <c r="A17084" s="118"/>
      <c r="B17084" s="136"/>
    </row>
    <row r="17085" spans="1:2" x14ac:dyDescent="0.25">
      <c r="A17085" s="118"/>
      <c r="B17085" s="136"/>
    </row>
    <row r="17086" spans="1:2" x14ac:dyDescent="0.25">
      <c r="A17086" s="118"/>
      <c r="B17086" s="136"/>
    </row>
    <row r="17087" spans="1:2" x14ac:dyDescent="0.25">
      <c r="A17087" s="118"/>
      <c r="B17087" s="136"/>
    </row>
    <row r="17088" spans="1:2" x14ac:dyDescent="0.25">
      <c r="A17088" s="118"/>
      <c r="B17088" s="136"/>
    </row>
    <row r="17089" spans="1:2" x14ac:dyDescent="0.25">
      <c r="A17089" s="118"/>
      <c r="B17089" s="136"/>
    </row>
    <row r="17090" spans="1:2" x14ac:dyDescent="0.25">
      <c r="A17090" s="118"/>
      <c r="B17090" s="136"/>
    </row>
    <row r="17091" spans="1:2" x14ac:dyDescent="0.25">
      <c r="A17091" s="118"/>
      <c r="B17091" s="136"/>
    </row>
    <row r="17092" spans="1:2" x14ac:dyDescent="0.25">
      <c r="A17092" s="118"/>
      <c r="B17092" s="136"/>
    </row>
    <row r="17093" spans="1:2" x14ac:dyDescent="0.25">
      <c r="A17093" s="118"/>
      <c r="B17093" s="136"/>
    </row>
    <row r="17094" spans="1:2" x14ac:dyDescent="0.25">
      <c r="A17094" s="118"/>
      <c r="B17094" s="136"/>
    </row>
    <row r="17095" spans="1:2" x14ac:dyDescent="0.25">
      <c r="A17095" s="118"/>
      <c r="B17095" s="136"/>
    </row>
    <row r="17096" spans="1:2" x14ac:dyDescent="0.25">
      <c r="A17096" s="118"/>
      <c r="B17096" s="136"/>
    </row>
    <row r="17097" spans="1:2" x14ac:dyDescent="0.25">
      <c r="A17097" s="118"/>
      <c r="B17097" s="136"/>
    </row>
    <row r="17098" spans="1:2" x14ac:dyDescent="0.25">
      <c r="A17098" s="118"/>
      <c r="B17098" s="136"/>
    </row>
    <row r="17099" spans="1:2" x14ac:dyDescent="0.25">
      <c r="A17099" s="118"/>
      <c r="B17099" s="136"/>
    </row>
    <row r="17100" spans="1:2" x14ac:dyDescent="0.25">
      <c r="A17100" s="118"/>
      <c r="B17100" s="136"/>
    </row>
    <row r="17101" spans="1:2" x14ac:dyDescent="0.25">
      <c r="A17101" s="118"/>
      <c r="B17101" s="136"/>
    </row>
    <row r="17102" spans="1:2" x14ac:dyDescent="0.25">
      <c r="A17102" s="118"/>
      <c r="B17102" s="136"/>
    </row>
    <row r="17103" spans="1:2" x14ac:dyDescent="0.25">
      <c r="A17103" s="118"/>
      <c r="B17103" s="136"/>
    </row>
    <row r="17104" spans="1:2" x14ac:dyDescent="0.25">
      <c r="A17104" s="118"/>
      <c r="B17104" s="136"/>
    </row>
    <row r="17105" spans="1:2" x14ac:dyDescent="0.25">
      <c r="A17105" s="118"/>
      <c r="B17105" s="136"/>
    </row>
    <row r="17106" spans="1:2" x14ac:dyDescent="0.25">
      <c r="A17106" s="118"/>
      <c r="B17106" s="136"/>
    </row>
    <row r="17107" spans="1:2" x14ac:dyDescent="0.25">
      <c r="A17107" s="118"/>
      <c r="B17107" s="136"/>
    </row>
    <row r="17108" spans="1:2" x14ac:dyDescent="0.25">
      <c r="A17108" s="118"/>
      <c r="B17108" s="136"/>
    </row>
    <row r="17109" spans="1:2" x14ac:dyDescent="0.25">
      <c r="A17109" s="118"/>
      <c r="B17109" s="136"/>
    </row>
    <row r="17110" spans="1:2" x14ac:dyDescent="0.25">
      <c r="A17110" s="118"/>
      <c r="B17110" s="136"/>
    </row>
    <row r="17111" spans="1:2" x14ac:dyDescent="0.25">
      <c r="A17111" s="118"/>
      <c r="B17111" s="136"/>
    </row>
    <row r="17112" spans="1:2" x14ac:dyDescent="0.25">
      <c r="A17112" s="118"/>
      <c r="B17112" s="136"/>
    </row>
    <row r="17113" spans="1:2" x14ac:dyDescent="0.25">
      <c r="A17113" s="118"/>
      <c r="B17113" s="136"/>
    </row>
    <row r="17114" spans="1:2" x14ac:dyDescent="0.25">
      <c r="A17114" s="118"/>
      <c r="B17114" s="136"/>
    </row>
    <row r="17115" spans="1:2" x14ac:dyDescent="0.25">
      <c r="A17115" s="118"/>
      <c r="B17115" s="136"/>
    </row>
    <row r="17116" spans="1:2" x14ac:dyDescent="0.25">
      <c r="A17116" s="118"/>
      <c r="B17116" s="136"/>
    </row>
    <row r="17117" spans="1:2" x14ac:dyDescent="0.25">
      <c r="A17117" s="118"/>
      <c r="B17117" s="136"/>
    </row>
    <row r="17118" spans="1:2" x14ac:dyDescent="0.25">
      <c r="A17118" s="118"/>
      <c r="B17118" s="136"/>
    </row>
    <row r="17119" spans="1:2" x14ac:dyDescent="0.25">
      <c r="A17119" s="118"/>
      <c r="B17119" s="136"/>
    </row>
    <row r="17120" spans="1:2" x14ac:dyDescent="0.25">
      <c r="A17120" s="118"/>
      <c r="B17120" s="136"/>
    </row>
    <row r="17121" spans="1:2" x14ac:dyDescent="0.25">
      <c r="A17121" s="118"/>
      <c r="B17121" s="136"/>
    </row>
    <row r="17122" spans="1:2" x14ac:dyDescent="0.25">
      <c r="A17122" s="118"/>
      <c r="B17122" s="136"/>
    </row>
    <row r="17123" spans="1:2" x14ac:dyDescent="0.25">
      <c r="A17123" s="118"/>
      <c r="B17123" s="136"/>
    </row>
    <row r="17124" spans="1:2" x14ac:dyDescent="0.25">
      <c r="A17124" s="118"/>
      <c r="B17124" s="136"/>
    </row>
    <row r="17125" spans="1:2" x14ac:dyDescent="0.25">
      <c r="A17125" s="118"/>
      <c r="B17125" s="136"/>
    </row>
    <row r="17126" spans="1:2" x14ac:dyDescent="0.25">
      <c r="A17126" s="118"/>
      <c r="B17126" s="136"/>
    </row>
    <row r="17127" spans="1:2" x14ac:dyDescent="0.25">
      <c r="A17127" s="118"/>
      <c r="B17127" s="136"/>
    </row>
    <row r="17128" spans="1:2" x14ac:dyDescent="0.25">
      <c r="A17128" s="118"/>
      <c r="B17128" s="136"/>
    </row>
    <row r="17129" spans="1:2" x14ac:dyDescent="0.25">
      <c r="A17129" s="118"/>
      <c r="B17129" s="136"/>
    </row>
    <row r="17130" spans="1:2" x14ac:dyDescent="0.25">
      <c r="A17130" s="118"/>
      <c r="B17130" s="136"/>
    </row>
    <row r="17131" spans="1:2" x14ac:dyDescent="0.25">
      <c r="A17131" s="118"/>
      <c r="B17131" s="136"/>
    </row>
    <row r="17132" spans="1:2" x14ac:dyDescent="0.25">
      <c r="A17132" s="118"/>
      <c r="B17132" s="136"/>
    </row>
    <row r="17133" spans="1:2" x14ac:dyDescent="0.25">
      <c r="A17133" s="118"/>
      <c r="B17133" s="136"/>
    </row>
    <row r="17134" spans="1:2" x14ac:dyDescent="0.25">
      <c r="A17134" s="118"/>
      <c r="B17134" s="136"/>
    </row>
    <row r="17135" spans="1:2" x14ac:dyDescent="0.25">
      <c r="A17135" s="118"/>
      <c r="B17135" s="136"/>
    </row>
    <row r="17136" spans="1:2" x14ac:dyDescent="0.25">
      <c r="A17136" s="118"/>
      <c r="B17136" s="136"/>
    </row>
    <row r="17137" spans="1:2" x14ac:dyDescent="0.25">
      <c r="A17137" s="118"/>
      <c r="B17137" s="136"/>
    </row>
    <row r="17138" spans="1:2" x14ac:dyDescent="0.25">
      <c r="A17138" s="118"/>
      <c r="B17138" s="136"/>
    </row>
    <row r="17139" spans="1:2" x14ac:dyDescent="0.25">
      <c r="A17139" s="118"/>
      <c r="B17139" s="136"/>
    </row>
    <row r="17140" spans="1:2" x14ac:dyDescent="0.25">
      <c r="A17140" s="118"/>
      <c r="B17140" s="136"/>
    </row>
    <row r="17141" spans="1:2" x14ac:dyDescent="0.25">
      <c r="A17141" s="118"/>
      <c r="B17141" s="136"/>
    </row>
    <row r="17142" spans="1:2" x14ac:dyDescent="0.25">
      <c r="A17142" s="118"/>
      <c r="B17142" s="136"/>
    </row>
    <row r="17143" spans="1:2" x14ac:dyDescent="0.25">
      <c r="A17143" s="118"/>
      <c r="B17143" s="136"/>
    </row>
    <row r="17144" spans="1:2" x14ac:dyDescent="0.25">
      <c r="A17144" s="118"/>
      <c r="B17144" s="136"/>
    </row>
    <row r="17145" spans="1:2" x14ac:dyDescent="0.25">
      <c r="A17145" s="118"/>
      <c r="B17145" s="136"/>
    </row>
    <row r="17146" spans="1:2" x14ac:dyDescent="0.25">
      <c r="A17146" s="118"/>
      <c r="B17146" s="136"/>
    </row>
    <row r="17147" spans="1:2" x14ac:dyDescent="0.25">
      <c r="A17147" s="118"/>
      <c r="B17147" s="136"/>
    </row>
    <row r="17148" spans="1:2" x14ac:dyDescent="0.25">
      <c r="A17148" s="118"/>
      <c r="B17148" s="136"/>
    </row>
    <row r="17149" spans="1:2" x14ac:dyDescent="0.25">
      <c r="A17149" s="118"/>
      <c r="B17149" s="136"/>
    </row>
    <row r="17150" spans="1:2" x14ac:dyDescent="0.25">
      <c r="A17150" s="118"/>
      <c r="B17150" s="136"/>
    </row>
    <row r="17151" spans="1:2" x14ac:dyDescent="0.25">
      <c r="A17151" s="118"/>
      <c r="B17151" s="136"/>
    </row>
    <row r="17152" spans="1:2" x14ac:dyDescent="0.25">
      <c r="A17152" s="118"/>
      <c r="B17152" s="136"/>
    </row>
    <row r="17153" spans="1:2" x14ac:dyDescent="0.25">
      <c r="A17153" s="118"/>
      <c r="B17153" s="136"/>
    </row>
    <row r="17154" spans="1:2" x14ac:dyDescent="0.25">
      <c r="A17154" s="118"/>
      <c r="B17154" s="136"/>
    </row>
    <row r="17155" spans="1:2" x14ac:dyDescent="0.25">
      <c r="A17155" s="118"/>
      <c r="B17155" s="136"/>
    </row>
    <row r="17156" spans="1:2" x14ac:dyDescent="0.25">
      <c r="A17156" s="118"/>
      <c r="B17156" s="136"/>
    </row>
    <row r="17157" spans="1:2" x14ac:dyDescent="0.25">
      <c r="A17157" s="118"/>
      <c r="B17157" s="136"/>
    </row>
    <row r="17158" spans="1:2" x14ac:dyDescent="0.25">
      <c r="A17158" s="118"/>
      <c r="B17158" s="136"/>
    </row>
    <row r="17159" spans="1:2" x14ac:dyDescent="0.25">
      <c r="A17159" s="118"/>
      <c r="B17159" s="136"/>
    </row>
    <row r="17160" spans="1:2" x14ac:dyDescent="0.25">
      <c r="A17160" s="118"/>
      <c r="B17160" s="136"/>
    </row>
    <row r="17161" spans="1:2" x14ac:dyDescent="0.25">
      <c r="A17161" s="118"/>
      <c r="B17161" s="136"/>
    </row>
    <row r="17162" spans="1:2" x14ac:dyDescent="0.25">
      <c r="A17162" s="118"/>
      <c r="B17162" s="136"/>
    </row>
    <row r="17163" spans="1:2" x14ac:dyDescent="0.25">
      <c r="A17163" s="118"/>
      <c r="B17163" s="136"/>
    </row>
    <row r="17164" spans="1:2" x14ac:dyDescent="0.25">
      <c r="A17164" s="118"/>
      <c r="B17164" s="136"/>
    </row>
    <row r="17165" spans="1:2" x14ac:dyDescent="0.25">
      <c r="A17165" s="118"/>
      <c r="B17165" s="136"/>
    </row>
    <row r="17166" spans="1:2" x14ac:dyDescent="0.25">
      <c r="A17166" s="118"/>
      <c r="B17166" s="136"/>
    </row>
    <row r="17167" spans="1:2" x14ac:dyDescent="0.25">
      <c r="A17167" s="118"/>
      <c r="B17167" s="136"/>
    </row>
    <row r="17168" spans="1:2" x14ac:dyDescent="0.25">
      <c r="A17168" s="118"/>
      <c r="B17168" s="136"/>
    </row>
    <row r="17169" spans="1:2" x14ac:dyDescent="0.25">
      <c r="A17169" s="118"/>
      <c r="B17169" s="136"/>
    </row>
    <row r="17170" spans="1:2" x14ac:dyDescent="0.25">
      <c r="A17170" s="118"/>
      <c r="B17170" s="136"/>
    </row>
    <row r="17171" spans="1:2" x14ac:dyDescent="0.25">
      <c r="A17171" s="118"/>
      <c r="B17171" s="136"/>
    </row>
    <row r="17172" spans="1:2" x14ac:dyDescent="0.25">
      <c r="A17172" s="118"/>
      <c r="B17172" s="136"/>
    </row>
    <row r="17173" spans="1:2" x14ac:dyDescent="0.25">
      <c r="A17173" s="118"/>
      <c r="B17173" s="136"/>
    </row>
    <row r="17174" spans="1:2" x14ac:dyDescent="0.25">
      <c r="A17174" s="118"/>
      <c r="B17174" s="136"/>
    </row>
    <row r="17175" spans="1:2" x14ac:dyDescent="0.25">
      <c r="A17175" s="118"/>
      <c r="B17175" s="136"/>
    </row>
    <row r="17176" spans="1:2" x14ac:dyDescent="0.25">
      <c r="A17176" s="118"/>
      <c r="B17176" s="136"/>
    </row>
    <row r="17177" spans="1:2" x14ac:dyDescent="0.25">
      <c r="A17177" s="118"/>
      <c r="B17177" s="136"/>
    </row>
    <row r="17178" spans="1:2" x14ac:dyDescent="0.25">
      <c r="A17178" s="118"/>
      <c r="B17178" s="136"/>
    </row>
    <row r="17179" spans="1:2" x14ac:dyDescent="0.25">
      <c r="A17179" s="118"/>
      <c r="B17179" s="136"/>
    </row>
    <row r="17180" spans="1:2" x14ac:dyDescent="0.25">
      <c r="A17180" s="118"/>
      <c r="B17180" s="136"/>
    </row>
    <row r="17181" spans="1:2" x14ac:dyDescent="0.25">
      <c r="A17181" s="118"/>
      <c r="B17181" s="136"/>
    </row>
    <row r="17182" spans="1:2" x14ac:dyDescent="0.25">
      <c r="A17182" s="118"/>
      <c r="B17182" s="136"/>
    </row>
    <row r="17183" spans="1:2" x14ac:dyDescent="0.25">
      <c r="A17183" s="118"/>
      <c r="B17183" s="136"/>
    </row>
    <row r="17184" spans="1:2" x14ac:dyDescent="0.25">
      <c r="A17184" s="118"/>
      <c r="B17184" s="136"/>
    </row>
    <row r="17185" spans="1:2" x14ac:dyDescent="0.25">
      <c r="A17185" s="118"/>
      <c r="B17185" s="136"/>
    </row>
    <row r="17186" spans="1:2" x14ac:dyDescent="0.25">
      <c r="A17186" s="118"/>
      <c r="B17186" s="136"/>
    </row>
    <row r="17187" spans="1:2" x14ac:dyDescent="0.25">
      <c r="A17187" s="118"/>
      <c r="B17187" s="136"/>
    </row>
    <row r="17188" spans="1:2" x14ac:dyDescent="0.25">
      <c r="A17188" s="118"/>
      <c r="B17188" s="136"/>
    </row>
    <row r="17189" spans="1:2" x14ac:dyDescent="0.25">
      <c r="A17189" s="118"/>
      <c r="B17189" s="136"/>
    </row>
    <row r="17190" spans="1:2" x14ac:dyDescent="0.25">
      <c r="A17190" s="118"/>
      <c r="B17190" s="136"/>
    </row>
    <row r="17191" spans="1:2" x14ac:dyDescent="0.25">
      <c r="A17191" s="118"/>
      <c r="B17191" s="136"/>
    </row>
    <row r="17192" spans="1:2" x14ac:dyDescent="0.25">
      <c r="A17192" s="118"/>
      <c r="B17192" s="136"/>
    </row>
    <row r="17193" spans="1:2" x14ac:dyDescent="0.25">
      <c r="A17193" s="118"/>
      <c r="B17193" s="136"/>
    </row>
    <row r="17194" spans="1:2" x14ac:dyDescent="0.25">
      <c r="A17194" s="118"/>
      <c r="B17194" s="136"/>
    </row>
    <row r="17195" spans="1:2" x14ac:dyDescent="0.25">
      <c r="A17195" s="118"/>
      <c r="B17195" s="136"/>
    </row>
    <row r="17196" spans="1:2" x14ac:dyDescent="0.25">
      <c r="A17196" s="118"/>
      <c r="B17196" s="136"/>
    </row>
    <row r="17197" spans="1:2" x14ac:dyDescent="0.25">
      <c r="A17197" s="118"/>
      <c r="B17197" s="136"/>
    </row>
    <row r="17198" spans="1:2" x14ac:dyDescent="0.25">
      <c r="A17198" s="118"/>
      <c r="B17198" s="136"/>
    </row>
    <row r="17199" spans="1:2" x14ac:dyDescent="0.25">
      <c r="A17199" s="118"/>
      <c r="B17199" s="136"/>
    </row>
    <row r="17200" spans="1:2" x14ac:dyDescent="0.25">
      <c r="A17200" s="118"/>
      <c r="B17200" s="136"/>
    </row>
    <row r="17201" spans="1:2" x14ac:dyDescent="0.25">
      <c r="A17201" s="118"/>
      <c r="B17201" s="136"/>
    </row>
    <row r="17202" spans="1:2" x14ac:dyDescent="0.25">
      <c r="A17202" s="118"/>
      <c r="B17202" s="136"/>
    </row>
    <row r="17203" spans="1:2" x14ac:dyDescent="0.25">
      <c r="A17203" s="118"/>
      <c r="B17203" s="136"/>
    </row>
    <row r="17204" spans="1:2" x14ac:dyDescent="0.25">
      <c r="A17204" s="118"/>
      <c r="B17204" s="136"/>
    </row>
    <row r="17205" spans="1:2" x14ac:dyDescent="0.25">
      <c r="A17205" s="118"/>
      <c r="B17205" s="136"/>
    </row>
    <row r="17206" spans="1:2" x14ac:dyDescent="0.25">
      <c r="A17206" s="118"/>
      <c r="B17206" s="136"/>
    </row>
    <row r="17207" spans="1:2" x14ac:dyDescent="0.25">
      <c r="A17207" s="118"/>
      <c r="B17207" s="136"/>
    </row>
    <row r="17208" spans="1:2" x14ac:dyDescent="0.25">
      <c r="A17208" s="118"/>
      <c r="B17208" s="136"/>
    </row>
    <row r="17209" spans="1:2" x14ac:dyDescent="0.25">
      <c r="A17209" s="118"/>
      <c r="B17209" s="136"/>
    </row>
    <row r="17210" spans="1:2" x14ac:dyDescent="0.25">
      <c r="A17210" s="118"/>
      <c r="B17210" s="136"/>
    </row>
    <row r="17211" spans="1:2" x14ac:dyDescent="0.25">
      <c r="A17211" s="118"/>
      <c r="B17211" s="136"/>
    </row>
    <row r="17212" spans="1:2" x14ac:dyDescent="0.25">
      <c r="A17212" s="118"/>
      <c r="B17212" s="136"/>
    </row>
    <row r="17213" spans="1:2" x14ac:dyDescent="0.25">
      <c r="A17213" s="118"/>
      <c r="B17213" s="136"/>
    </row>
    <row r="17214" spans="1:2" x14ac:dyDescent="0.25">
      <c r="A17214" s="118"/>
      <c r="B17214" s="136"/>
    </row>
    <row r="17215" spans="1:2" x14ac:dyDescent="0.25">
      <c r="A17215" s="118"/>
      <c r="B17215" s="136"/>
    </row>
    <row r="17216" spans="1:2" x14ac:dyDescent="0.25">
      <c r="A17216" s="118"/>
      <c r="B17216" s="136"/>
    </row>
    <row r="17217" spans="1:2" x14ac:dyDescent="0.25">
      <c r="A17217" s="118"/>
      <c r="B17217" s="136"/>
    </row>
    <row r="17218" spans="1:2" x14ac:dyDescent="0.25">
      <c r="A17218" s="118"/>
      <c r="B17218" s="136"/>
    </row>
    <row r="17219" spans="1:2" x14ac:dyDescent="0.25">
      <c r="A17219" s="118"/>
      <c r="B17219" s="136"/>
    </row>
    <row r="17220" spans="1:2" x14ac:dyDescent="0.25">
      <c r="A17220" s="118"/>
      <c r="B17220" s="136"/>
    </row>
    <row r="17221" spans="1:2" x14ac:dyDescent="0.25">
      <c r="A17221" s="118"/>
      <c r="B17221" s="136"/>
    </row>
    <row r="17222" spans="1:2" x14ac:dyDescent="0.25">
      <c r="A17222" s="118"/>
      <c r="B17222" s="136"/>
    </row>
    <row r="17223" spans="1:2" x14ac:dyDescent="0.25">
      <c r="A17223" s="118"/>
      <c r="B17223" s="136"/>
    </row>
    <row r="17224" spans="1:2" x14ac:dyDescent="0.25">
      <c r="A17224" s="118"/>
      <c r="B17224" s="136"/>
    </row>
    <row r="17225" spans="1:2" x14ac:dyDescent="0.25">
      <c r="A17225" s="118"/>
      <c r="B17225" s="136"/>
    </row>
    <row r="17226" spans="1:2" x14ac:dyDescent="0.25">
      <c r="A17226" s="118"/>
      <c r="B17226" s="136"/>
    </row>
    <row r="17227" spans="1:2" x14ac:dyDescent="0.25">
      <c r="A17227" s="118"/>
      <c r="B17227" s="136"/>
    </row>
    <row r="17228" spans="1:2" x14ac:dyDescent="0.25">
      <c r="A17228" s="118"/>
      <c r="B17228" s="136"/>
    </row>
    <row r="17229" spans="1:2" x14ac:dyDescent="0.25">
      <c r="A17229" s="118"/>
      <c r="B17229" s="136"/>
    </row>
    <row r="17230" spans="1:2" x14ac:dyDescent="0.25">
      <c r="A17230" s="118"/>
      <c r="B17230" s="136"/>
    </row>
    <row r="17231" spans="1:2" x14ac:dyDescent="0.25">
      <c r="A17231" s="118"/>
      <c r="B17231" s="136"/>
    </row>
    <row r="17232" spans="1:2" x14ac:dyDescent="0.25">
      <c r="A17232" s="118"/>
      <c r="B17232" s="136"/>
    </row>
    <row r="17233" spans="1:2" x14ac:dyDescent="0.25">
      <c r="A17233" s="118"/>
      <c r="B17233" s="136"/>
    </row>
    <row r="17234" spans="1:2" x14ac:dyDescent="0.25">
      <c r="A17234" s="118"/>
      <c r="B17234" s="136"/>
    </row>
    <row r="17235" spans="1:2" x14ac:dyDescent="0.25">
      <c r="A17235" s="118"/>
      <c r="B17235" s="136"/>
    </row>
    <row r="17236" spans="1:2" x14ac:dyDescent="0.25">
      <c r="A17236" s="118"/>
      <c r="B17236" s="136"/>
    </row>
    <row r="17237" spans="1:2" x14ac:dyDescent="0.25">
      <c r="A17237" s="118"/>
      <c r="B17237" s="136"/>
    </row>
    <row r="17238" spans="1:2" x14ac:dyDescent="0.25">
      <c r="A17238" s="118"/>
      <c r="B17238" s="136"/>
    </row>
    <row r="17239" spans="1:2" x14ac:dyDescent="0.25">
      <c r="A17239" s="118"/>
      <c r="B17239" s="136"/>
    </row>
    <row r="17240" spans="1:2" x14ac:dyDescent="0.25">
      <c r="A17240" s="118"/>
      <c r="B17240" s="136"/>
    </row>
    <row r="17241" spans="1:2" x14ac:dyDescent="0.25">
      <c r="A17241" s="118"/>
      <c r="B17241" s="136"/>
    </row>
    <row r="17242" spans="1:2" x14ac:dyDescent="0.25">
      <c r="A17242" s="118"/>
      <c r="B17242" s="136"/>
    </row>
    <row r="17243" spans="1:2" x14ac:dyDescent="0.25">
      <c r="A17243" s="118"/>
      <c r="B17243" s="136"/>
    </row>
    <row r="17244" spans="1:2" x14ac:dyDescent="0.25">
      <c r="A17244" s="118"/>
      <c r="B17244" s="136"/>
    </row>
    <row r="17245" spans="1:2" x14ac:dyDescent="0.25">
      <c r="A17245" s="118"/>
      <c r="B17245" s="136"/>
    </row>
    <row r="17246" spans="1:2" x14ac:dyDescent="0.25">
      <c r="A17246" s="118"/>
      <c r="B17246" s="136"/>
    </row>
    <row r="17247" spans="1:2" x14ac:dyDescent="0.25">
      <c r="A17247" s="118"/>
      <c r="B17247" s="136"/>
    </row>
    <row r="17248" spans="1:2" x14ac:dyDescent="0.25">
      <c r="A17248" s="118"/>
      <c r="B17248" s="136"/>
    </row>
    <row r="17249" spans="1:2" x14ac:dyDescent="0.25">
      <c r="A17249" s="118"/>
      <c r="B17249" s="136"/>
    </row>
    <row r="17250" spans="1:2" x14ac:dyDescent="0.25">
      <c r="A17250" s="118"/>
      <c r="B17250" s="136"/>
    </row>
    <row r="17251" spans="1:2" x14ac:dyDescent="0.25">
      <c r="A17251" s="118"/>
      <c r="B17251" s="136"/>
    </row>
    <row r="17252" spans="1:2" x14ac:dyDescent="0.25">
      <c r="A17252" s="118"/>
      <c r="B17252" s="136"/>
    </row>
    <row r="17253" spans="1:2" x14ac:dyDescent="0.25">
      <c r="A17253" s="118"/>
      <c r="B17253" s="136"/>
    </row>
    <row r="17254" spans="1:2" x14ac:dyDescent="0.25">
      <c r="A17254" s="118"/>
      <c r="B17254" s="136"/>
    </row>
    <row r="17255" spans="1:2" x14ac:dyDescent="0.25">
      <c r="A17255" s="118"/>
      <c r="B17255" s="136"/>
    </row>
    <row r="17256" spans="1:2" x14ac:dyDescent="0.25">
      <c r="A17256" s="118"/>
      <c r="B17256" s="136"/>
    </row>
    <row r="17257" spans="1:2" x14ac:dyDescent="0.25">
      <c r="A17257" s="118"/>
      <c r="B17257" s="136"/>
    </row>
    <row r="17258" spans="1:2" x14ac:dyDescent="0.25">
      <c r="A17258" s="118"/>
      <c r="B17258" s="136"/>
    </row>
    <row r="17259" spans="1:2" x14ac:dyDescent="0.25">
      <c r="A17259" s="118"/>
      <c r="B17259" s="136"/>
    </row>
    <row r="17260" spans="1:2" x14ac:dyDescent="0.25">
      <c r="A17260" s="118"/>
      <c r="B17260" s="136"/>
    </row>
    <row r="17261" spans="1:2" x14ac:dyDescent="0.25">
      <c r="A17261" s="118"/>
      <c r="B17261" s="136"/>
    </row>
    <row r="17262" spans="1:2" x14ac:dyDescent="0.25">
      <c r="A17262" s="118"/>
      <c r="B17262" s="136"/>
    </row>
    <row r="17263" spans="1:2" x14ac:dyDescent="0.25">
      <c r="A17263" s="118"/>
      <c r="B17263" s="136"/>
    </row>
    <row r="17264" spans="1:2" x14ac:dyDescent="0.25">
      <c r="A17264" s="118"/>
      <c r="B17264" s="136"/>
    </row>
    <row r="17265" spans="1:2" x14ac:dyDescent="0.25">
      <c r="A17265" s="118"/>
      <c r="B17265" s="136"/>
    </row>
    <row r="17266" spans="1:2" x14ac:dyDescent="0.25">
      <c r="A17266" s="118"/>
      <c r="B17266" s="136"/>
    </row>
    <row r="17267" spans="1:2" x14ac:dyDescent="0.25">
      <c r="A17267" s="118"/>
      <c r="B17267" s="136"/>
    </row>
    <row r="17268" spans="1:2" x14ac:dyDescent="0.25">
      <c r="A17268" s="118"/>
      <c r="B17268" s="136"/>
    </row>
    <row r="17269" spans="1:2" x14ac:dyDescent="0.25">
      <c r="A17269" s="118"/>
      <c r="B17269" s="136"/>
    </row>
    <row r="17270" spans="1:2" x14ac:dyDescent="0.25">
      <c r="A17270" s="118"/>
      <c r="B17270" s="136"/>
    </row>
    <row r="17271" spans="1:2" x14ac:dyDescent="0.25">
      <c r="A17271" s="118"/>
      <c r="B17271" s="136"/>
    </row>
    <row r="17272" spans="1:2" x14ac:dyDescent="0.25">
      <c r="A17272" s="118"/>
      <c r="B17272" s="136"/>
    </row>
    <row r="17273" spans="1:2" x14ac:dyDescent="0.25">
      <c r="A17273" s="118"/>
      <c r="B17273" s="136"/>
    </row>
    <row r="17274" spans="1:2" x14ac:dyDescent="0.25">
      <c r="A17274" s="118"/>
      <c r="B17274" s="136"/>
    </row>
    <row r="17275" spans="1:2" x14ac:dyDescent="0.25">
      <c r="A17275" s="118"/>
      <c r="B17275" s="136"/>
    </row>
    <row r="17276" spans="1:2" x14ac:dyDescent="0.25">
      <c r="A17276" s="118"/>
      <c r="B17276" s="136"/>
    </row>
    <row r="17277" spans="1:2" x14ac:dyDescent="0.25">
      <c r="A17277" s="118"/>
      <c r="B17277" s="136"/>
    </row>
    <row r="17278" spans="1:2" x14ac:dyDescent="0.25">
      <c r="A17278" s="118"/>
      <c r="B17278" s="136"/>
    </row>
    <row r="17279" spans="1:2" x14ac:dyDescent="0.25">
      <c r="A17279" s="118"/>
      <c r="B17279" s="136"/>
    </row>
    <row r="17280" spans="1:2" x14ac:dyDescent="0.25">
      <c r="A17280" s="118"/>
      <c r="B17280" s="136"/>
    </row>
    <row r="17281" spans="1:2" x14ac:dyDescent="0.25">
      <c r="A17281" s="118"/>
      <c r="B17281" s="136"/>
    </row>
    <row r="17282" spans="1:2" x14ac:dyDescent="0.25">
      <c r="A17282" s="118"/>
      <c r="B17282" s="136"/>
    </row>
    <row r="17283" spans="1:2" x14ac:dyDescent="0.25">
      <c r="A17283" s="118"/>
      <c r="B17283" s="136"/>
    </row>
    <row r="17284" spans="1:2" x14ac:dyDescent="0.25">
      <c r="A17284" s="118"/>
      <c r="B17284" s="136"/>
    </row>
    <row r="17285" spans="1:2" x14ac:dyDescent="0.25">
      <c r="A17285" s="118"/>
      <c r="B17285" s="136"/>
    </row>
    <row r="17286" spans="1:2" x14ac:dyDescent="0.25">
      <c r="A17286" s="118"/>
      <c r="B17286" s="136"/>
    </row>
    <row r="17287" spans="1:2" x14ac:dyDescent="0.25">
      <c r="A17287" s="118"/>
      <c r="B17287" s="136"/>
    </row>
    <row r="17288" spans="1:2" x14ac:dyDescent="0.25">
      <c r="A17288" s="118"/>
      <c r="B17288" s="136"/>
    </row>
    <row r="17289" spans="1:2" x14ac:dyDescent="0.25">
      <c r="A17289" s="118"/>
      <c r="B17289" s="136"/>
    </row>
    <row r="17290" spans="1:2" x14ac:dyDescent="0.25">
      <c r="A17290" s="118"/>
      <c r="B17290" s="136"/>
    </row>
    <row r="17291" spans="1:2" x14ac:dyDescent="0.25">
      <c r="A17291" s="118"/>
      <c r="B17291" s="136"/>
    </row>
    <row r="17292" spans="1:2" x14ac:dyDescent="0.25">
      <c r="A17292" s="118"/>
      <c r="B17292" s="136"/>
    </row>
    <row r="17293" spans="1:2" x14ac:dyDescent="0.25">
      <c r="A17293" s="118"/>
      <c r="B17293" s="136"/>
    </row>
    <row r="17294" spans="1:2" x14ac:dyDescent="0.25">
      <c r="A17294" s="118"/>
      <c r="B17294" s="136"/>
    </row>
    <row r="17295" spans="1:2" x14ac:dyDescent="0.25">
      <c r="A17295" s="118"/>
      <c r="B17295" s="136"/>
    </row>
    <row r="17296" spans="1:2" x14ac:dyDescent="0.25">
      <c r="A17296" s="118"/>
      <c r="B17296" s="136"/>
    </row>
    <row r="17297" spans="1:2" x14ac:dyDescent="0.25">
      <c r="A17297" s="118"/>
      <c r="B17297" s="136"/>
    </row>
    <row r="17298" spans="1:2" x14ac:dyDescent="0.25">
      <c r="A17298" s="118"/>
      <c r="B17298" s="136"/>
    </row>
    <row r="17299" spans="1:2" x14ac:dyDescent="0.25">
      <c r="A17299" s="118"/>
      <c r="B17299" s="136"/>
    </row>
    <row r="17300" spans="1:2" x14ac:dyDescent="0.25">
      <c r="A17300" s="118"/>
      <c r="B17300" s="136"/>
    </row>
    <row r="17301" spans="1:2" x14ac:dyDescent="0.25">
      <c r="A17301" s="118"/>
      <c r="B17301" s="136"/>
    </row>
    <row r="17302" spans="1:2" x14ac:dyDescent="0.25">
      <c r="A17302" s="118"/>
      <c r="B17302" s="136"/>
    </row>
    <row r="17303" spans="1:2" x14ac:dyDescent="0.25">
      <c r="A17303" s="118"/>
      <c r="B17303" s="136"/>
    </row>
    <row r="17304" spans="1:2" x14ac:dyDescent="0.25">
      <c r="A17304" s="118"/>
      <c r="B17304" s="136"/>
    </row>
    <row r="17305" spans="1:2" x14ac:dyDescent="0.25">
      <c r="A17305" s="118"/>
      <c r="B17305" s="136"/>
    </row>
    <row r="17306" spans="1:2" x14ac:dyDescent="0.25">
      <c r="A17306" s="118"/>
      <c r="B17306" s="136"/>
    </row>
    <row r="17307" spans="1:2" x14ac:dyDescent="0.25">
      <c r="A17307" s="118"/>
      <c r="B17307" s="136"/>
    </row>
    <row r="17308" spans="1:2" x14ac:dyDescent="0.25">
      <c r="A17308" s="118"/>
      <c r="B17308" s="136"/>
    </row>
    <row r="17309" spans="1:2" x14ac:dyDescent="0.25">
      <c r="A17309" s="118"/>
      <c r="B17309" s="136"/>
    </row>
    <row r="17310" spans="1:2" x14ac:dyDescent="0.25">
      <c r="A17310" s="118"/>
      <c r="B17310" s="136"/>
    </row>
    <row r="17311" spans="1:2" x14ac:dyDescent="0.25">
      <c r="A17311" s="118"/>
      <c r="B17311" s="136"/>
    </row>
    <row r="17312" spans="1:2" x14ac:dyDescent="0.25">
      <c r="A17312" s="118"/>
      <c r="B17312" s="136"/>
    </row>
    <row r="17313" spans="1:2" x14ac:dyDescent="0.25">
      <c r="A17313" s="118"/>
      <c r="B17313" s="136"/>
    </row>
    <row r="17314" spans="1:2" x14ac:dyDescent="0.25">
      <c r="A17314" s="118"/>
      <c r="B17314" s="136"/>
    </row>
    <row r="17315" spans="1:2" x14ac:dyDescent="0.25">
      <c r="A17315" s="118"/>
      <c r="B17315" s="136"/>
    </row>
    <row r="17316" spans="1:2" x14ac:dyDescent="0.25">
      <c r="A17316" s="118"/>
      <c r="B17316" s="136"/>
    </row>
    <row r="17317" spans="1:2" x14ac:dyDescent="0.25">
      <c r="A17317" s="118"/>
      <c r="B17317" s="136"/>
    </row>
    <row r="17318" spans="1:2" x14ac:dyDescent="0.25">
      <c r="A17318" s="118"/>
      <c r="B17318" s="136"/>
    </row>
    <row r="17319" spans="1:2" x14ac:dyDescent="0.25">
      <c r="A17319" s="118"/>
      <c r="B17319" s="136"/>
    </row>
    <row r="17320" spans="1:2" x14ac:dyDescent="0.25">
      <c r="A17320" s="118"/>
      <c r="B17320" s="136"/>
    </row>
    <row r="17321" spans="1:2" x14ac:dyDescent="0.25">
      <c r="A17321" s="118"/>
      <c r="B17321" s="136"/>
    </row>
    <row r="17322" spans="1:2" x14ac:dyDescent="0.25">
      <c r="A17322" s="118"/>
      <c r="B17322" s="136"/>
    </row>
    <row r="17323" spans="1:2" x14ac:dyDescent="0.25">
      <c r="A17323" s="118"/>
      <c r="B17323" s="136"/>
    </row>
    <row r="17324" spans="1:2" x14ac:dyDescent="0.25">
      <c r="A17324" s="118"/>
      <c r="B17324" s="136"/>
    </row>
    <row r="17325" spans="1:2" x14ac:dyDescent="0.25">
      <c r="A17325" s="118"/>
      <c r="B17325" s="136"/>
    </row>
    <row r="17326" spans="1:2" x14ac:dyDescent="0.25">
      <c r="A17326" s="118"/>
      <c r="B17326" s="136"/>
    </row>
    <row r="17327" spans="1:2" x14ac:dyDescent="0.25">
      <c r="A17327" s="118"/>
      <c r="B17327" s="136"/>
    </row>
    <row r="17328" spans="1:2" x14ac:dyDescent="0.25">
      <c r="A17328" s="118"/>
      <c r="B17328" s="136"/>
    </row>
    <row r="17329" spans="1:2" x14ac:dyDescent="0.25">
      <c r="A17329" s="118"/>
      <c r="B17329" s="136"/>
    </row>
    <row r="17330" spans="1:2" x14ac:dyDescent="0.25">
      <c r="A17330" s="118"/>
      <c r="B17330" s="136"/>
    </row>
    <row r="17331" spans="1:2" x14ac:dyDescent="0.25">
      <c r="A17331" s="118"/>
      <c r="B17331" s="136"/>
    </row>
    <row r="17332" spans="1:2" x14ac:dyDescent="0.25">
      <c r="A17332" s="118"/>
      <c r="B17332" s="136"/>
    </row>
    <row r="17333" spans="1:2" x14ac:dyDescent="0.25">
      <c r="A17333" s="118"/>
      <c r="B17333" s="136"/>
    </row>
    <row r="17334" spans="1:2" x14ac:dyDescent="0.25">
      <c r="A17334" s="118"/>
      <c r="B17334" s="136"/>
    </row>
    <row r="17335" spans="1:2" x14ac:dyDescent="0.25">
      <c r="A17335" s="118"/>
      <c r="B17335" s="136"/>
    </row>
    <row r="17336" spans="1:2" x14ac:dyDescent="0.25">
      <c r="A17336" s="118"/>
      <c r="B17336" s="136"/>
    </row>
    <row r="17337" spans="1:2" x14ac:dyDescent="0.25">
      <c r="A17337" s="118"/>
      <c r="B17337" s="136"/>
    </row>
    <row r="17338" spans="1:2" x14ac:dyDescent="0.25">
      <c r="A17338" s="118"/>
      <c r="B17338" s="136"/>
    </row>
    <row r="17339" spans="1:2" x14ac:dyDescent="0.25">
      <c r="A17339" s="118"/>
      <c r="B17339" s="136"/>
    </row>
    <row r="17340" spans="1:2" x14ac:dyDescent="0.25">
      <c r="A17340" s="118"/>
      <c r="B17340" s="136"/>
    </row>
    <row r="17341" spans="1:2" x14ac:dyDescent="0.25">
      <c r="A17341" s="118"/>
      <c r="B17341" s="136"/>
    </row>
    <row r="17342" spans="1:2" x14ac:dyDescent="0.25">
      <c r="A17342" s="118"/>
      <c r="B17342" s="136"/>
    </row>
    <row r="17343" spans="1:2" x14ac:dyDescent="0.25">
      <c r="A17343" s="118"/>
      <c r="B17343" s="136"/>
    </row>
    <row r="17344" spans="1:2" x14ac:dyDescent="0.25">
      <c r="A17344" s="118"/>
      <c r="B17344" s="136"/>
    </row>
    <row r="17345" spans="1:2" x14ac:dyDescent="0.25">
      <c r="A17345" s="118"/>
      <c r="B17345" s="136"/>
    </row>
    <row r="17346" spans="1:2" x14ac:dyDescent="0.25">
      <c r="A17346" s="118"/>
      <c r="B17346" s="136"/>
    </row>
    <row r="17347" spans="1:2" x14ac:dyDescent="0.25">
      <c r="A17347" s="118"/>
      <c r="B17347" s="136"/>
    </row>
    <row r="17348" spans="1:2" x14ac:dyDescent="0.25">
      <c r="A17348" s="118"/>
      <c r="B17348" s="136"/>
    </row>
    <row r="17349" spans="1:2" x14ac:dyDescent="0.25">
      <c r="A17349" s="118"/>
      <c r="B17349" s="136"/>
    </row>
    <row r="17350" spans="1:2" x14ac:dyDescent="0.25">
      <c r="A17350" s="118"/>
      <c r="B17350" s="136"/>
    </row>
    <row r="17351" spans="1:2" x14ac:dyDescent="0.25">
      <c r="A17351" s="118"/>
      <c r="B17351" s="136"/>
    </row>
    <row r="17352" spans="1:2" x14ac:dyDescent="0.25">
      <c r="A17352" s="118"/>
      <c r="B17352" s="136"/>
    </row>
    <row r="17353" spans="1:2" x14ac:dyDescent="0.25">
      <c r="A17353" s="118"/>
      <c r="B17353" s="136"/>
    </row>
    <row r="17354" spans="1:2" x14ac:dyDescent="0.25">
      <c r="A17354" s="118"/>
      <c r="B17354" s="136"/>
    </row>
    <row r="17355" spans="1:2" x14ac:dyDescent="0.25">
      <c r="A17355" s="118"/>
      <c r="B17355" s="136"/>
    </row>
    <row r="17356" spans="1:2" x14ac:dyDescent="0.25">
      <c r="A17356" s="118"/>
      <c r="B17356" s="136"/>
    </row>
    <row r="17357" spans="1:2" x14ac:dyDescent="0.25">
      <c r="A17357" s="118"/>
      <c r="B17357" s="136"/>
    </row>
    <row r="17358" spans="1:2" x14ac:dyDescent="0.25">
      <c r="A17358" s="118"/>
      <c r="B17358" s="136"/>
    </row>
    <row r="17359" spans="1:2" x14ac:dyDescent="0.25">
      <c r="A17359" s="118"/>
      <c r="B17359" s="136"/>
    </row>
    <row r="17360" spans="1:2" x14ac:dyDescent="0.25">
      <c r="A17360" s="118"/>
      <c r="B17360" s="136"/>
    </row>
    <row r="17361" spans="1:2" x14ac:dyDescent="0.25">
      <c r="A17361" s="118"/>
      <c r="B17361" s="136"/>
    </row>
    <row r="17362" spans="1:2" x14ac:dyDescent="0.25">
      <c r="A17362" s="118"/>
      <c r="B17362" s="136"/>
    </row>
    <row r="17363" spans="1:2" x14ac:dyDescent="0.25">
      <c r="A17363" s="118"/>
      <c r="B17363" s="136"/>
    </row>
    <row r="17364" spans="1:2" x14ac:dyDescent="0.25">
      <c r="A17364" s="118"/>
      <c r="B17364" s="136"/>
    </row>
    <row r="17365" spans="1:2" x14ac:dyDescent="0.25">
      <c r="A17365" s="118"/>
      <c r="B17365" s="136"/>
    </row>
    <row r="17366" spans="1:2" x14ac:dyDescent="0.25">
      <c r="A17366" s="118"/>
      <c r="B17366" s="136"/>
    </row>
    <row r="17367" spans="1:2" x14ac:dyDescent="0.25">
      <c r="A17367" s="118"/>
      <c r="B17367" s="136"/>
    </row>
    <row r="17368" spans="1:2" x14ac:dyDescent="0.25">
      <c r="A17368" s="118"/>
      <c r="B17368" s="136"/>
    </row>
    <row r="17369" spans="1:2" x14ac:dyDescent="0.25">
      <c r="A17369" s="118"/>
      <c r="B17369" s="136"/>
    </row>
    <row r="17370" spans="1:2" x14ac:dyDescent="0.25">
      <c r="A17370" s="118"/>
      <c r="B17370" s="136"/>
    </row>
    <row r="17371" spans="1:2" x14ac:dyDescent="0.25">
      <c r="A17371" s="118"/>
      <c r="B17371" s="136"/>
    </row>
    <row r="17372" spans="1:2" x14ac:dyDescent="0.25">
      <c r="A17372" s="118"/>
      <c r="B17372" s="136"/>
    </row>
    <row r="17373" spans="1:2" x14ac:dyDescent="0.25">
      <c r="A17373" s="118"/>
      <c r="B17373" s="136"/>
    </row>
    <row r="17374" spans="1:2" x14ac:dyDescent="0.25">
      <c r="A17374" s="118"/>
      <c r="B17374" s="136"/>
    </row>
    <row r="17375" spans="1:2" x14ac:dyDescent="0.25">
      <c r="A17375" s="118"/>
      <c r="B17375" s="136"/>
    </row>
    <row r="17376" spans="1:2" x14ac:dyDescent="0.25">
      <c r="A17376" s="118"/>
      <c r="B17376" s="136"/>
    </row>
    <row r="17377" spans="1:2" x14ac:dyDescent="0.25">
      <c r="A17377" s="118"/>
      <c r="B17377" s="136"/>
    </row>
    <row r="17378" spans="1:2" x14ac:dyDescent="0.25">
      <c r="A17378" s="118"/>
      <c r="B17378" s="136"/>
    </row>
    <row r="17379" spans="1:2" x14ac:dyDescent="0.25">
      <c r="A17379" s="118"/>
      <c r="B17379" s="136"/>
    </row>
    <row r="17380" spans="1:2" x14ac:dyDescent="0.25">
      <c r="A17380" s="118"/>
      <c r="B17380" s="136"/>
    </row>
    <row r="17381" spans="1:2" x14ac:dyDescent="0.25">
      <c r="A17381" s="118"/>
      <c r="B17381" s="136"/>
    </row>
    <row r="17382" spans="1:2" x14ac:dyDescent="0.25">
      <c r="A17382" s="118"/>
      <c r="B17382" s="136"/>
    </row>
    <row r="17383" spans="1:2" x14ac:dyDescent="0.25">
      <c r="A17383" s="118"/>
      <c r="B17383" s="136"/>
    </row>
    <row r="17384" spans="1:2" x14ac:dyDescent="0.25">
      <c r="A17384" s="118"/>
      <c r="B17384" s="136"/>
    </row>
    <row r="17385" spans="1:2" x14ac:dyDescent="0.25">
      <c r="A17385" s="118"/>
      <c r="B17385" s="136"/>
    </row>
    <row r="17386" spans="1:2" x14ac:dyDescent="0.25">
      <c r="A17386" s="118"/>
      <c r="B17386" s="136"/>
    </row>
    <row r="17387" spans="1:2" x14ac:dyDescent="0.25">
      <c r="A17387" s="118"/>
      <c r="B17387" s="136"/>
    </row>
    <row r="17388" spans="1:2" x14ac:dyDescent="0.25">
      <c r="A17388" s="118"/>
      <c r="B17388" s="136"/>
    </row>
    <row r="17389" spans="1:2" x14ac:dyDescent="0.25">
      <c r="A17389" s="118"/>
      <c r="B17389" s="136"/>
    </row>
    <row r="17390" spans="1:2" x14ac:dyDescent="0.25">
      <c r="A17390" s="118"/>
      <c r="B17390" s="136"/>
    </row>
    <row r="17391" spans="1:2" x14ac:dyDescent="0.25">
      <c r="A17391" s="118"/>
      <c r="B17391" s="136"/>
    </row>
    <row r="17392" spans="1:2" x14ac:dyDescent="0.25">
      <c r="A17392" s="118"/>
      <c r="B17392" s="136"/>
    </row>
    <row r="17393" spans="1:2" x14ac:dyDescent="0.25">
      <c r="A17393" s="118"/>
      <c r="B17393" s="136"/>
    </row>
    <row r="17394" spans="1:2" x14ac:dyDescent="0.25">
      <c r="A17394" s="118"/>
      <c r="B17394" s="136"/>
    </row>
    <row r="17395" spans="1:2" x14ac:dyDescent="0.25">
      <c r="A17395" s="118"/>
      <c r="B17395" s="136"/>
    </row>
    <row r="17396" spans="1:2" x14ac:dyDescent="0.25">
      <c r="A17396" s="118"/>
      <c r="B17396" s="136"/>
    </row>
    <row r="17397" spans="1:2" x14ac:dyDescent="0.25">
      <c r="A17397" s="118"/>
      <c r="B17397" s="136"/>
    </row>
    <row r="17398" spans="1:2" x14ac:dyDescent="0.25">
      <c r="A17398" s="118"/>
      <c r="B17398" s="136"/>
    </row>
    <row r="17399" spans="1:2" x14ac:dyDescent="0.25">
      <c r="A17399" s="118"/>
      <c r="B17399" s="136"/>
    </row>
    <row r="17400" spans="1:2" x14ac:dyDescent="0.25">
      <c r="A17400" s="118"/>
      <c r="B17400" s="136"/>
    </row>
    <row r="17401" spans="1:2" x14ac:dyDescent="0.25">
      <c r="A17401" s="118"/>
      <c r="B17401" s="136"/>
    </row>
    <row r="17402" spans="1:2" x14ac:dyDescent="0.25">
      <c r="A17402" s="118"/>
      <c r="B17402" s="136"/>
    </row>
    <row r="17403" spans="1:2" x14ac:dyDescent="0.25">
      <c r="A17403" s="118"/>
      <c r="B17403" s="136"/>
    </row>
    <row r="17404" spans="1:2" x14ac:dyDescent="0.25">
      <c r="A17404" s="118"/>
      <c r="B17404" s="136"/>
    </row>
    <row r="17405" spans="1:2" x14ac:dyDescent="0.25">
      <c r="A17405" s="118"/>
      <c r="B17405" s="136"/>
    </row>
    <row r="17406" spans="1:2" x14ac:dyDescent="0.25">
      <c r="A17406" s="118"/>
      <c r="B17406" s="136"/>
    </row>
    <row r="17407" spans="1:2" x14ac:dyDescent="0.25">
      <c r="A17407" s="118"/>
      <c r="B17407" s="136"/>
    </row>
    <row r="17408" spans="1:2" x14ac:dyDescent="0.25">
      <c r="A17408" s="118"/>
      <c r="B17408" s="136"/>
    </row>
    <row r="17409" spans="1:2" x14ac:dyDescent="0.25">
      <c r="A17409" s="118"/>
      <c r="B17409" s="136"/>
    </row>
    <row r="17410" spans="1:2" x14ac:dyDescent="0.25">
      <c r="A17410" s="118"/>
      <c r="B17410" s="136"/>
    </row>
    <row r="17411" spans="1:2" x14ac:dyDescent="0.25">
      <c r="A17411" s="118"/>
      <c r="B17411" s="136"/>
    </row>
    <row r="17412" spans="1:2" x14ac:dyDescent="0.25">
      <c r="A17412" s="118"/>
      <c r="B17412" s="136"/>
    </row>
    <row r="17413" spans="1:2" x14ac:dyDescent="0.25">
      <c r="A17413" s="118"/>
      <c r="B17413" s="136"/>
    </row>
    <row r="17414" spans="1:2" x14ac:dyDescent="0.25">
      <c r="A17414" s="118"/>
      <c r="B17414" s="136"/>
    </row>
    <row r="17415" spans="1:2" x14ac:dyDescent="0.25">
      <c r="A17415" s="118"/>
      <c r="B17415" s="136"/>
    </row>
    <row r="17416" spans="1:2" x14ac:dyDescent="0.25">
      <c r="A17416" s="118"/>
      <c r="B17416" s="136"/>
    </row>
    <row r="17417" spans="1:2" x14ac:dyDescent="0.25">
      <c r="A17417" s="118"/>
      <c r="B17417" s="136"/>
    </row>
    <row r="17418" spans="1:2" x14ac:dyDescent="0.25">
      <c r="A17418" s="118"/>
      <c r="B17418" s="136"/>
    </row>
    <row r="17419" spans="1:2" x14ac:dyDescent="0.25">
      <c r="A17419" s="118"/>
      <c r="B17419" s="136"/>
    </row>
    <row r="17420" spans="1:2" x14ac:dyDescent="0.25">
      <c r="A17420" s="118"/>
      <c r="B17420" s="136"/>
    </row>
    <row r="17421" spans="1:2" x14ac:dyDescent="0.25">
      <c r="A17421" s="118"/>
      <c r="B17421" s="136"/>
    </row>
    <row r="17422" spans="1:2" x14ac:dyDescent="0.25">
      <c r="A17422" s="118"/>
      <c r="B17422" s="136"/>
    </row>
    <row r="17423" spans="1:2" x14ac:dyDescent="0.25">
      <c r="A17423" s="118"/>
      <c r="B17423" s="136"/>
    </row>
    <row r="17424" spans="1:2" x14ac:dyDescent="0.25">
      <c r="A17424" s="118"/>
      <c r="B17424" s="136"/>
    </row>
    <row r="17425" spans="1:2" x14ac:dyDescent="0.25">
      <c r="A17425" s="118"/>
      <c r="B17425" s="136"/>
    </row>
    <row r="17426" spans="1:2" x14ac:dyDescent="0.25">
      <c r="A17426" s="118"/>
      <c r="B17426" s="136"/>
    </row>
    <row r="17427" spans="1:2" x14ac:dyDescent="0.25">
      <c r="A17427" s="118"/>
      <c r="B17427" s="136"/>
    </row>
    <row r="17428" spans="1:2" x14ac:dyDescent="0.25">
      <c r="A17428" s="118"/>
      <c r="B17428" s="136"/>
    </row>
    <row r="17429" spans="1:2" x14ac:dyDescent="0.25">
      <c r="A17429" s="118"/>
      <c r="B17429" s="136"/>
    </row>
    <row r="17430" spans="1:2" x14ac:dyDescent="0.25">
      <c r="A17430" s="118"/>
      <c r="B17430" s="136"/>
    </row>
    <row r="17431" spans="1:2" x14ac:dyDescent="0.25">
      <c r="A17431" s="118"/>
      <c r="B17431" s="136"/>
    </row>
    <row r="17432" spans="1:2" x14ac:dyDescent="0.25">
      <c r="A17432" s="118"/>
      <c r="B17432" s="136"/>
    </row>
    <row r="17433" spans="1:2" x14ac:dyDescent="0.25">
      <c r="A17433" s="118"/>
      <c r="B17433" s="136"/>
    </row>
    <row r="17434" spans="1:2" x14ac:dyDescent="0.25">
      <c r="A17434" s="118"/>
      <c r="B17434" s="136"/>
    </row>
    <row r="17435" spans="1:2" x14ac:dyDescent="0.25">
      <c r="A17435" s="118"/>
      <c r="B17435" s="136"/>
    </row>
    <row r="17436" spans="1:2" x14ac:dyDescent="0.25">
      <c r="A17436" s="118"/>
      <c r="B17436" s="136"/>
    </row>
    <row r="17437" spans="1:2" x14ac:dyDescent="0.25">
      <c r="A17437" s="118"/>
      <c r="B17437" s="136"/>
    </row>
    <row r="17438" spans="1:2" x14ac:dyDescent="0.25">
      <c r="A17438" s="118"/>
      <c r="B17438" s="136"/>
    </row>
    <row r="17439" spans="1:2" x14ac:dyDescent="0.25">
      <c r="A17439" s="118"/>
      <c r="B17439" s="136"/>
    </row>
    <row r="17440" spans="1:2" x14ac:dyDescent="0.25">
      <c r="A17440" s="118"/>
      <c r="B17440" s="136"/>
    </row>
    <row r="17441" spans="1:2" x14ac:dyDescent="0.25">
      <c r="A17441" s="118"/>
      <c r="B17441" s="136"/>
    </row>
    <row r="17442" spans="1:2" x14ac:dyDescent="0.25">
      <c r="A17442" s="118"/>
      <c r="B17442" s="136"/>
    </row>
    <row r="17443" spans="1:2" x14ac:dyDescent="0.25">
      <c r="A17443" s="118"/>
      <c r="B17443" s="136"/>
    </row>
    <row r="17444" spans="1:2" x14ac:dyDescent="0.25">
      <c r="A17444" s="118"/>
      <c r="B17444" s="136"/>
    </row>
    <row r="17445" spans="1:2" x14ac:dyDescent="0.25">
      <c r="A17445" s="118"/>
      <c r="B17445" s="136"/>
    </row>
    <row r="17446" spans="1:2" x14ac:dyDescent="0.25">
      <c r="A17446" s="118"/>
      <c r="B17446" s="136"/>
    </row>
    <row r="17447" spans="1:2" x14ac:dyDescent="0.25">
      <c r="A17447" s="118"/>
      <c r="B17447" s="136"/>
    </row>
    <row r="17448" spans="1:2" x14ac:dyDescent="0.25">
      <c r="A17448" s="118"/>
      <c r="B17448" s="136"/>
    </row>
    <row r="17449" spans="1:2" x14ac:dyDescent="0.25">
      <c r="A17449" s="118"/>
      <c r="B17449" s="136"/>
    </row>
    <row r="17450" spans="1:2" x14ac:dyDescent="0.25">
      <c r="A17450" s="118"/>
      <c r="B17450" s="136"/>
    </row>
    <row r="17451" spans="1:2" x14ac:dyDescent="0.25">
      <c r="A17451" s="118"/>
      <c r="B17451" s="136"/>
    </row>
    <row r="17452" spans="1:2" x14ac:dyDescent="0.25">
      <c r="A17452" s="118"/>
      <c r="B17452" s="136"/>
    </row>
    <row r="17453" spans="1:2" x14ac:dyDescent="0.25">
      <c r="A17453" s="118"/>
      <c r="B17453" s="136"/>
    </row>
    <row r="17454" spans="1:2" x14ac:dyDescent="0.25">
      <c r="A17454" s="118"/>
      <c r="B17454" s="136"/>
    </row>
    <row r="17455" spans="1:2" x14ac:dyDescent="0.25">
      <c r="A17455" s="118"/>
      <c r="B17455" s="136"/>
    </row>
    <row r="17456" spans="1:2" x14ac:dyDescent="0.25">
      <c r="A17456" s="118"/>
      <c r="B17456" s="136"/>
    </row>
    <row r="17457" spans="1:2" x14ac:dyDescent="0.25">
      <c r="A17457" s="118"/>
      <c r="B17457" s="136"/>
    </row>
    <row r="17458" spans="1:2" x14ac:dyDescent="0.25">
      <c r="A17458" s="118"/>
      <c r="B17458" s="136"/>
    </row>
    <row r="17459" spans="1:2" x14ac:dyDescent="0.25">
      <c r="A17459" s="118"/>
      <c r="B17459" s="136"/>
    </row>
    <row r="17460" spans="1:2" x14ac:dyDescent="0.25">
      <c r="A17460" s="118"/>
      <c r="B17460" s="136"/>
    </row>
    <row r="17461" spans="1:2" x14ac:dyDescent="0.25">
      <c r="A17461" s="118"/>
      <c r="B17461" s="136"/>
    </row>
    <row r="17462" spans="1:2" x14ac:dyDescent="0.25">
      <c r="A17462" s="118"/>
      <c r="B17462" s="136"/>
    </row>
    <row r="17463" spans="1:2" x14ac:dyDescent="0.25">
      <c r="A17463" s="118"/>
      <c r="B17463" s="136"/>
    </row>
    <row r="17464" spans="1:2" x14ac:dyDescent="0.25">
      <c r="A17464" s="118"/>
      <c r="B17464" s="136"/>
    </row>
    <row r="17465" spans="1:2" x14ac:dyDescent="0.25">
      <c r="A17465" s="118"/>
      <c r="B17465" s="136"/>
    </row>
    <row r="17466" spans="1:2" x14ac:dyDescent="0.25">
      <c r="A17466" s="118"/>
      <c r="B17466" s="136"/>
    </row>
    <row r="17467" spans="1:2" x14ac:dyDescent="0.25">
      <c r="A17467" s="118"/>
      <c r="B17467" s="136"/>
    </row>
    <row r="17468" spans="1:2" x14ac:dyDescent="0.25">
      <c r="A17468" s="118"/>
      <c r="B17468" s="136"/>
    </row>
    <row r="17469" spans="1:2" x14ac:dyDescent="0.25">
      <c r="A17469" s="118"/>
      <c r="B17469" s="136"/>
    </row>
    <row r="17470" spans="1:2" x14ac:dyDescent="0.25">
      <c r="A17470" s="118"/>
      <c r="B17470" s="136"/>
    </row>
    <row r="17471" spans="1:2" x14ac:dyDescent="0.25">
      <c r="A17471" s="118"/>
      <c r="B17471" s="136"/>
    </row>
    <row r="17472" spans="1:2" x14ac:dyDescent="0.25">
      <c r="A17472" s="118"/>
      <c r="B17472" s="136"/>
    </row>
    <row r="17473" spans="1:2" x14ac:dyDescent="0.25">
      <c r="A17473" s="118"/>
      <c r="B17473" s="136"/>
    </row>
    <row r="17474" spans="1:2" x14ac:dyDescent="0.25">
      <c r="A17474" s="118"/>
      <c r="B17474" s="136"/>
    </row>
    <row r="17475" spans="1:2" x14ac:dyDescent="0.25">
      <c r="A17475" s="118"/>
      <c r="B17475" s="136"/>
    </row>
    <row r="17476" spans="1:2" x14ac:dyDescent="0.25">
      <c r="A17476" s="118"/>
      <c r="B17476" s="136"/>
    </row>
    <row r="17477" spans="1:2" x14ac:dyDescent="0.25">
      <c r="A17477" s="118"/>
      <c r="B17477" s="136"/>
    </row>
    <row r="17478" spans="1:2" x14ac:dyDescent="0.25">
      <c r="A17478" s="118"/>
      <c r="B17478" s="136"/>
    </row>
    <row r="17479" spans="1:2" x14ac:dyDescent="0.25">
      <c r="A17479" s="118"/>
      <c r="B17479" s="136"/>
    </row>
    <row r="17480" spans="1:2" x14ac:dyDescent="0.25">
      <c r="A17480" s="118"/>
      <c r="B17480" s="136"/>
    </row>
    <row r="17481" spans="1:2" x14ac:dyDescent="0.25">
      <c r="A17481" s="118"/>
      <c r="B17481" s="136"/>
    </row>
    <row r="17482" spans="1:2" x14ac:dyDescent="0.25">
      <c r="A17482" s="118"/>
      <c r="B17482" s="136"/>
    </row>
    <row r="17483" spans="1:2" x14ac:dyDescent="0.25">
      <c r="A17483" s="118"/>
      <c r="B17483" s="136"/>
    </row>
    <row r="17484" spans="1:2" x14ac:dyDescent="0.25">
      <c r="A17484" s="118"/>
      <c r="B17484" s="136"/>
    </row>
    <row r="17485" spans="1:2" x14ac:dyDescent="0.25">
      <c r="A17485" s="118"/>
      <c r="B17485" s="136"/>
    </row>
    <row r="17486" spans="1:2" x14ac:dyDescent="0.25">
      <c r="A17486" s="118"/>
      <c r="B17486" s="136"/>
    </row>
    <row r="17487" spans="1:2" x14ac:dyDescent="0.25">
      <c r="A17487" s="118"/>
      <c r="B17487" s="136"/>
    </row>
    <row r="17488" spans="1:2" x14ac:dyDescent="0.25">
      <c r="A17488" s="118"/>
      <c r="B17488" s="136"/>
    </row>
    <row r="17489" spans="1:2" x14ac:dyDescent="0.25">
      <c r="A17489" s="118"/>
      <c r="B17489" s="136"/>
    </row>
    <row r="17490" spans="1:2" x14ac:dyDescent="0.25">
      <c r="A17490" s="118"/>
      <c r="B17490" s="136"/>
    </row>
    <row r="17491" spans="1:2" x14ac:dyDescent="0.25">
      <c r="A17491" s="118"/>
      <c r="B17491" s="136"/>
    </row>
    <row r="17492" spans="1:2" x14ac:dyDescent="0.25">
      <c r="A17492" s="118"/>
      <c r="B17492" s="136"/>
    </row>
    <row r="17493" spans="1:2" x14ac:dyDescent="0.25">
      <c r="A17493" s="118"/>
      <c r="B17493" s="136"/>
    </row>
    <row r="17494" spans="1:2" x14ac:dyDescent="0.25">
      <c r="A17494" s="118"/>
      <c r="B17494" s="136"/>
    </row>
    <row r="17495" spans="1:2" x14ac:dyDescent="0.25">
      <c r="A17495" s="118"/>
      <c r="B17495" s="136"/>
    </row>
    <row r="17496" spans="1:2" x14ac:dyDescent="0.25">
      <c r="A17496" s="118"/>
      <c r="B17496" s="136"/>
    </row>
    <row r="17497" spans="1:2" x14ac:dyDescent="0.25">
      <c r="A17497" s="118"/>
      <c r="B17497" s="136"/>
    </row>
    <row r="17498" spans="1:2" x14ac:dyDescent="0.25">
      <c r="A17498" s="118"/>
      <c r="B17498" s="136"/>
    </row>
    <row r="17499" spans="1:2" x14ac:dyDescent="0.25">
      <c r="A17499" s="118"/>
      <c r="B17499" s="136"/>
    </row>
    <row r="17500" spans="1:2" x14ac:dyDescent="0.25">
      <c r="A17500" s="118"/>
      <c r="B17500" s="136"/>
    </row>
    <row r="17501" spans="1:2" x14ac:dyDescent="0.25">
      <c r="A17501" s="118"/>
      <c r="B17501" s="136"/>
    </row>
    <row r="17502" spans="1:2" x14ac:dyDescent="0.25">
      <c r="A17502" s="118"/>
      <c r="B17502" s="136"/>
    </row>
    <row r="17503" spans="1:2" x14ac:dyDescent="0.25">
      <c r="A17503" s="118"/>
      <c r="B17503" s="136"/>
    </row>
    <row r="17504" spans="1:2" x14ac:dyDescent="0.25">
      <c r="A17504" s="118"/>
      <c r="B17504" s="136"/>
    </row>
    <row r="17505" spans="1:2" x14ac:dyDescent="0.25">
      <c r="A17505" s="118"/>
      <c r="B17505" s="136"/>
    </row>
    <row r="17506" spans="1:2" x14ac:dyDescent="0.25">
      <c r="A17506" s="118"/>
      <c r="B17506" s="136"/>
    </row>
    <row r="17507" spans="1:2" x14ac:dyDescent="0.25">
      <c r="A17507" s="118"/>
      <c r="B17507" s="136"/>
    </row>
    <row r="17508" spans="1:2" x14ac:dyDescent="0.25">
      <c r="A17508" s="118"/>
      <c r="B17508" s="136"/>
    </row>
    <row r="17509" spans="1:2" x14ac:dyDescent="0.25">
      <c r="A17509" s="118"/>
      <c r="B17509" s="136"/>
    </row>
    <row r="17510" spans="1:2" x14ac:dyDescent="0.25">
      <c r="A17510" s="118"/>
      <c r="B17510" s="136"/>
    </row>
    <row r="17511" spans="1:2" x14ac:dyDescent="0.25">
      <c r="A17511" s="118"/>
      <c r="B17511" s="136"/>
    </row>
    <row r="17512" spans="1:2" x14ac:dyDescent="0.25">
      <c r="A17512" s="118"/>
      <c r="B17512" s="136"/>
    </row>
    <row r="17513" spans="1:2" x14ac:dyDescent="0.25">
      <c r="A17513" s="118"/>
      <c r="B17513" s="136"/>
    </row>
    <row r="17514" spans="1:2" x14ac:dyDescent="0.25">
      <c r="A17514" s="118"/>
      <c r="B17514" s="136"/>
    </row>
    <row r="17515" spans="1:2" x14ac:dyDescent="0.25">
      <c r="A17515" s="118"/>
      <c r="B17515" s="136"/>
    </row>
    <row r="17516" spans="1:2" x14ac:dyDescent="0.25">
      <c r="A17516" s="118"/>
      <c r="B17516" s="136"/>
    </row>
    <row r="17517" spans="1:2" x14ac:dyDescent="0.25">
      <c r="A17517" s="118"/>
      <c r="B17517" s="136"/>
    </row>
    <row r="17518" spans="1:2" x14ac:dyDescent="0.25">
      <c r="A17518" s="118"/>
      <c r="B17518" s="136"/>
    </row>
    <row r="17519" spans="1:2" x14ac:dyDescent="0.25">
      <c r="A17519" s="118"/>
      <c r="B17519" s="136"/>
    </row>
    <row r="17520" spans="1:2" x14ac:dyDescent="0.25">
      <c r="A17520" s="118"/>
      <c r="B17520" s="136"/>
    </row>
    <row r="17521" spans="1:2" x14ac:dyDescent="0.25">
      <c r="A17521" s="118"/>
      <c r="B17521" s="136"/>
    </row>
    <row r="17522" spans="1:2" x14ac:dyDescent="0.25">
      <c r="A17522" s="118"/>
      <c r="B17522" s="136"/>
    </row>
    <row r="17523" spans="1:2" x14ac:dyDescent="0.25">
      <c r="A17523" s="118"/>
      <c r="B17523" s="136"/>
    </row>
    <row r="17524" spans="1:2" x14ac:dyDescent="0.25">
      <c r="A17524" s="118"/>
      <c r="B17524" s="136"/>
    </row>
    <row r="17525" spans="1:2" x14ac:dyDescent="0.25">
      <c r="A17525" s="118"/>
      <c r="B17525" s="136"/>
    </row>
    <row r="17526" spans="1:2" x14ac:dyDescent="0.25">
      <c r="A17526" s="118"/>
      <c r="B17526" s="136"/>
    </row>
    <row r="17527" spans="1:2" x14ac:dyDescent="0.25">
      <c r="A17527" s="118"/>
      <c r="B17527" s="136"/>
    </row>
    <row r="17528" spans="1:2" x14ac:dyDescent="0.25">
      <c r="A17528" s="118"/>
      <c r="B17528" s="136"/>
    </row>
    <row r="17529" spans="1:2" x14ac:dyDescent="0.25">
      <c r="A17529" s="118"/>
      <c r="B17529" s="136"/>
    </row>
    <row r="17530" spans="1:2" x14ac:dyDescent="0.25">
      <c r="A17530" s="118"/>
      <c r="B17530" s="136"/>
    </row>
    <row r="17531" spans="1:2" x14ac:dyDescent="0.25">
      <c r="A17531" s="118"/>
      <c r="B17531" s="136"/>
    </row>
    <row r="17532" spans="1:2" x14ac:dyDescent="0.25">
      <c r="A17532" s="118"/>
      <c r="B17532" s="136"/>
    </row>
    <row r="17533" spans="1:2" x14ac:dyDescent="0.25">
      <c r="A17533" s="118"/>
      <c r="B17533" s="136"/>
    </row>
    <row r="17534" spans="1:2" x14ac:dyDescent="0.25">
      <c r="A17534" s="118"/>
      <c r="B17534" s="136"/>
    </row>
    <row r="17535" spans="1:2" x14ac:dyDescent="0.25">
      <c r="A17535" s="118"/>
      <c r="B17535" s="136"/>
    </row>
    <row r="17536" spans="1:2" x14ac:dyDescent="0.25">
      <c r="A17536" s="118"/>
      <c r="B17536" s="136"/>
    </row>
    <row r="17537" spans="1:2" x14ac:dyDescent="0.25">
      <c r="A17537" s="118"/>
      <c r="B17537" s="136"/>
    </row>
    <row r="17538" spans="1:2" x14ac:dyDescent="0.25">
      <c r="A17538" s="118"/>
      <c r="B17538" s="136"/>
    </row>
    <row r="17539" spans="1:2" x14ac:dyDescent="0.25">
      <c r="A17539" s="118"/>
      <c r="B17539" s="136"/>
    </row>
    <row r="17540" spans="1:2" x14ac:dyDescent="0.25">
      <c r="A17540" s="118"/>
      <c r="B17540" s="136"/>
    </row>
    <row r="17541" spans="1:2" x14ac:dyDescent="0.25">
      <c r="A17541" s="118"/>
      <c r="B17541" s="136"/>
    </row>
    <row r="17542" spans="1:2" x14ac:dyDescent="0.25">
      <c r="A17542" s="118"/>
      <c r="B17542" s="136"/>
    </row>
    <row r="17543" spans="1:2" x14ac:dyDescent="0.25">
      <c r="A17543" s="118"/>
      <c r="B17543" s="136"/>
    </row>
    <row r="17544" spans="1:2" x14ac:dyDescent="0.25">
      <c r="A17544" s="118"/>
      <c r="B17544" s="136"/>
    </row>
    <row r="17545" spans="1:2" x14ac:dyDescent="0.25">
      <c r="A17545" s="118"/>
      <c r="B17545" s="136"/>
    </row>
    <row r="17546" spans="1:2" x14ac:dyDescent="0.25">
      <c r="A17546" s="118"/>
      <c r="B17546" s="136"/>
    </row>
    <row r="17547" spans="1:2" x14ac:dyDescent="0.25">
      <c r="A17547" s="118"/>
      <c r="B17547" s="136"/>
    </row>
    <row r="17548" spans="1:2" x14ac:dyDescent="0.25">
      <c r="A17548" s="118"/>
      <c r="B17548" s="136"/>
    </row>
    <row r="17549" spans="1:2" x14ac:dyDescent="0.25">
      <c r="A17549" s="118"/>
      <c r="B17549" s="136"/>
    </row>
    <row r="17550" spans="1:2" x14ac:dyDescent="0.25">
      <c r="A17550" s="118"/>
      <c r="B17550" s="136"/>
    </row>
    <row r="17551" spans="1:2" x14ac:dyDescent="0.25">
      <c r="A17551" s="118"/>
      <c r="B17551" s="136"/>
    </row>
    <row r="17552" spans="1:2" x14ac:dyDescent="0.25">
      <c r="A17552" s="118"/>
      <c r="B17552" s="136"/>
    </row>
    <row r="17553" spans="1:2" x14ac:dyDescent="0.25">
      <c r="A17553" s="118"/>
      <c r="B17553" s="136"/>
    </row>
    <row r="17554" spans="1:2" x14ac:dyDescent="0.25">
      <c r="A17554" s="118"/>
      <c r="B17554" s="136"/>
    </row>
    <row r="17555" spans="1:2" x14ac:dyDescent="0.25">
      <c r="A17555" s="118"/>
      <c r="B17555" s="136"/>
    </row>
    <row r="17556" spans="1:2" x14ac:dyDescent="0.25">
      <c r="A17556" s="118"/>
      <c r="B17556" s="136"/>
    </row>
    <row r="17557" spans="1:2" x14ac:dyDescent="0.25">
      <c r="A17557" s="118"/>
      <c r="B17557" s="136"/>
    </row>
    <row r="17558" spans="1:2" x14ac:dyDescent="0.25">
      <c r="A17558" s="118"/>
      <c r="B17558" s="136"/>
    </row>
    <row r="17559" spans="1:2" x14ac:dyDescent="0.25">
      <c r="A17559" s="118"/>
      <c r="B17559" s="136"/>
    </row>
    <row r="17560" spans="1:2" x14ac:dyDescent="0.25">
      <c r="A17560" s="118"/>
      <c r="B17560" s="136"/>
    </row>
    <row r="17561" spans="1:2" x14ac:dyDescent="0.25">
      <c r="A17561" s="118"/>
      <c r="B17561" s="136"/>
    </row>
    <row r="17562" spans="1:2" x14ac:dyDescent="0.25">
      <c r="A17562" s="118"/>
      <c r="B17562" s="136"/>
    </row>
    <row r="17563" spans="1:2" x14ac:dyDescent="0.25">
      <c r="A17563" s="118"/>
      <c r="B17563" s="136"/>
    </row>
    <row r="17564" spans="1:2" x14ac:dyDescent="0.25">
      <c r="A17564" s="118"/>
      <c r="B17564" s="136"/>
    </row>
    <row r="17565" spans="1:2" x14ac:dyDescent="0.25">
      <c r="A17565" s="118"/>
      <c r="B17565" s="136"/>
    </row>
    <row r="17566" spans="1:2" x14ac:dyDescent="0.25">
      <c r="A17566" s="118"/>
      <c r="B17566" s="136"/>
    </row>
    <row r="17567" spans="1:2" x14ac:dyDescent="0.25">
      <c r="A17567" s="118"/>
      <c r="B17567" s="136"/>
    </row>
    <row r="17568" spans="1:2" x14ac:dyDescent="0.25">
      <c r="A17568" s="118"/>
      <c r="B17568" s="136"/>
    </row>
    <row r="17569" spans="1:2" x14ac:dyDescent="0.25">
      <c r="A17569" s="118"/>
      <c r="B17569" s="136"/>
    </row>
    <row r="17570" spans="1:2" x14ac:dyDescent="0.25">
      <c r="A17570" s="118"/>
      <c r="B17570" s="136"/>
    </row>
    <row r="17571" spans="1:2" x14ac:dyDescent="0.25">
      <c r="A17571" s="118"/>
      <c r="B17571" s="136"/>
    </row>
    <row r="17572" spans="1:2" x14ac:dyDescent="0.25">
      <c r="A17572" s="118"/>
      <c r="B17572" s="136"/>
    </row>
    <row r="17573" spans="1:2" x14ac:dyDescent="0.25">
      <c r="A17573" s="118"/>
      <c r="B17573" s="136"/>
    </row>
    <row r="17574" spans="1:2" x14ac:dyDescent="0.25">
      <c r="A17574" s="118"/>
      <c r="B17574" s="136"/>
    </row>
    <row r="17575" spans="1:2" x14ac:dyDescent="0.25">
      <c r="A17575" s="118"/>
      <c r="B17575" s="136"/>
    </row>
    <row r="17576" spans="1:2" x14ac:dyDescent="0.25">
      <c r="A17576" s="118"/>
      <c r="B17576" s="136"/>
    </row>
    <row r="17577" spans="1:2" x14ac:dyDescent="0.25">
      <c r="A17577" s="118"/>
      <c r="B17577" s="136"/>
    </row>
    <row r="17578" spans="1:2" x14ac:dyDescent="0.25">
      <c r="A17578" s="118"/>
      <c r="B17578" s="136"/>
    </row>
    <row r="17579" spans="1:2" x14ac:dyDescent="0.25">
      <c r="A17579" s="118"/>
      <c r="B17579" s="136"/>
    </row>
    <row r="17580" spans="1:2" x14ac:dyDescent="0.25">
      <c r="A17580" s="118"/>
      <c r="B17580" s="136"/>
    </row>
    <row r="17581" spans="1:2" x14ac:dyDescent="0.25">
      <c r="A17581" s="118"/>
      <c r="B17581" s="136"/>
    </row>
    <row r="17582" spans="1:2" x14ac:dyDescent="0.25">
      <c r="A17582" s="118"/>
      <c r="B17582" s="136"/>
    </row>
    <row r="17583" spans="1:2" x14ac:dyDescent="0.25">
      <c r="A17583" s="118"/>
      <c r="B17583" s="136"/>
    </row>
    <row r="17584" spans="1:2" x14ac:dyDescent="0.25">
      <c r="A17584" s="118"/>
      <c r="B17584" s="136"/>
    </row>
    <row r="17585" spans="1:2" x14ac:dyDescent="0.25">
      <c r="A17585" s="118"/>
      <c r="B17585" s="136"/>
    </row>
    <row r="17586" spans="1:2" x14ac:dyDescent="0.25">
      <c r="A17586" s="118"/>
      <c r="B17586" s="136"/>
    </row>
    <row r="17587" spans="1:2" x14ac:dyDescent="0.25">
      <c r="A17587" s="118"/>
      <c r="B17587" s="136"/>
    </row>
    <row r="17588" spans="1:2" x14ac:dyDescent="0.25">
      <c r="A17588" s="118"/>
      <c r="B17588" s="136"/>
    </row>
    <row r="17589" spans="1:2" x14ac:dyDescent="0.25">
      <c r="A17589" s="118"/>
      <c r="B17589" s="136"/>
    </row>
    <row r="17590" spans="1:2" x14ac:dyDescent="0.25">
      <c r="A17590" s="118"/>
      <c r="B17590" s="136"/>
    </row>
    <row r="17591" spans="1:2" x14ac:dyDescent="0.25">
      <c r="A17591" s="118"/>
      <c r="B17591" s="136"/>
    </row>
    <row r="17592" spans="1:2" x14ac:dyDescent="0.25">
      <c r="A17592" s="118"/>
      <c r="B17592" s="136"/>
    </row>
    <row r="17593" spans="1:2" x14ac:dyDescent="0.25">
      <c r="A17593" s="118"/>
      <c r="B17593" s="136"/>
    </row>
    <row r="17594" spans="1:2" x14ac:dyDescent="0.25">
      <c r="A17594" s="118"/>
      <c r="B17594" s="136"/>
    </row>
    <row r="17595" spans="1:2" x14ac:dyDescent="0.25">
      <c r="A17595" s="118"/>
      <c r="B17595" s="136"/>
    </row>
    <row r="17596" spans="1:2" x14ac:dyDescent="0.25">
      <c r="A17596" s="118"/>
      <c r="B17596" s="136"/>
    </row>
    <row r="17597" spans="1:2" x14ac:dyDescent="0.25">
      <c r="A17597" s="118"/>
      <c r="B17597" s="136"/>
    </row>
    <row r="17598" spans="1:2" x14ac:dyDescent="0.25">
      <c r="A17598" s="118"/>
      <c r="B17598" s="136"/>
    </row>
    <row r="17599" spans="1:2" x14ac:dyDescent="0.25">
      <c r="A17599" s="118"/>
      <c r="B17599" s="136"/>
    </row>
    <row r="17600" spans="1:2" x14ac:dyDescent="0.25">
      <c r="A17600" s="118"/>
      <c r="B17600" s="136"/>
    </row>
    <row r="17601" spans="1:2" x14ac:dyDescent="0.25">
      <c r="A17601" s="118"/>
      <c r="B17601" s="136"/>
    </row>
    <row r="17602" spans="1:2" x14ac:dyDescent="0.25">
      <c r="A17602" s="118"/>
      <c r="B17602" s="136"/>
    </row>
    <row r="17603" spans="1:2" x14ac:dyDescent="0.25">
      <c r="A17603" s="118"/>
      <c r="B17603" s="136"/>
    </row>
    <row r="17604" spans="1:2" x14ac:dyDescent="0.25">
      <c r="A17604" s="118"/>
      <c r="B17604" s="136"/>
    </row>
    <row r="17605" spans="1:2" x14ac:dyDescent="0.25">
      <c r="A17605" s="118"/>
      <c r="B17605" s="136"/>
    </row>
    <row r="17606" spans="1:2" x14ac:dyDescent="0.25">
      <c r="A17606" s="118"/>
      <c r="B17606" s="136"/>
    </row>
    <row r="17607" spans="1:2" x14ac:dyDescent="0.25">
      <c r="A17607" s="118"/>
      <c r="B17607" s="136"/>
    </row>
    <row r="17608" spans="1:2" x14ac:dyDescent="0.25">
      <c r="A17608" s="118"/>
      <c r="B17608" s="136"/>
    </row>
    <row r="17609" spans="1:2" x14ac:dyDescent="0.25">
      <c r="A17609" s="118"/>
      <c r="B17609" s="136"/>
    </row>
    <row r="17610" spans="1:2" x14ac:dyDescent="0.25">
      <c r="A17610" s="118"/>
      <c r="B17610" s="136"/>
    </row>
    <row r="17611" spans="1:2" x14ac:dyDescent="0.25">
      <c r="A17611" s="118"/>
      <c r="B17611" s="136"/>
    </row>
    <row r="17612" spans="1:2" x14ac:dyDescent="0.25">
      <c r="A17612" s="118"/>
      <c r="B17612" s="136"/>
    </row>
    <row r="17613" spans="1:2" x14ac:dyDescent="0.25">
      <c r="A17613" s="118"/>
      <c r="B17613" s="136"/>
    </row>
    <row r="17614" spans="1:2" x14ac:dyDescent="0.25">
      <c r="A17614" s="118"/>
      <c r="B17614" s="136"/>
    </row>
    <row r="17615" spans="1:2" x14ac:dyDescent="0.25">
      <c r="A17615" s="118"/>
      <c r="B17615" s="136"/>
    </row>
    <row r="17616" spans="1:2" x14ac:dyDescent="0.25">
      <c r="A17616" s="118"/>
      <c r="B17616" s="136"/>
    </row>
    <row r="17617" spans="1:2" x14ac:dyDescent="0.25">
      <c r="A17617" s="118"/>
      <c r="B17617" s="136"/>
    </row>
    <row r="17618" spans="1:2" x14ac:dyDescent="0.25">
      <c r="A17618" s="118"/>
      <c r="B17618" s="136"/>
    </row>
    <row r="17619" spans="1:2" x14ac:dyDescent="0.25">
      <c r="A17619" s="118"/>
      <c r="B17619" s="136"/>
    </row>
    <row r="17620" spans="1:2" x14ac:dyDescent="0.25">
      <c r="A17620" s="118"/>
      <c r="B17620" s="136"/>
    </row>
    <row r="17621" spans="1:2" x14ac:dyDescent="0.25">
      <c r="A17621" s="118"/>
      <c r="B17621" s="136"/>
    </row>
    <row r="17622" spans="1:2" x14ac:dyDescent="0.25">
      <c r="A17622" s="118"/>
      <c r="B17622" s="136"/>
    </row>
    <row r="17623" spans="1:2" x14ac:dyDescent="0.25">
      <c r="A17623" s="118"/>
      <c r="B17623" s="136"/>
    </row>
    <row r="17624" spans="1:2" x14ac:dyDescent="0.25">
      <c r="A17624" s="118"/>
      <c r="B17624" s="136"/>
    </row>
    <row r="17625" spans="1:2" x14ac:dyDescent="0.25">
      <c r="A17625" s="118"/>
      <c r="B17625" s="136"/>
    </row>
    <row r="17626" spans="1:2" x14ac:dyDescent="0.25">
      <c r="A17626" s="118"/>
      <c r="B17626" s="136"/>
    </row>
    <row r="17627" spans="1:2" x14ac:dyDescent="0.25">
      <c r="A17627" s="118"/>
      <c r="B17627" s="136"/>
    </row>
    <row r="17628" spans="1:2" x14ac:dyDescent="0.25">
      <c r="A17628" s="118"/>
      <c r="B17628" s="136"/>
    </row>
    <row r="17629" spans="1:2" x14ac:dyDescent="0.25">
      <c r="A17629" s="118"/>
      <c r="B17629" s="136"/>
    </row>
    <row r="17630" spans="1:2" x14ac:dyDescent="0.25">
      <c r="A17630" s="118"/>
      <c r="B17630" s="136"/>
    </row>
    <row r="17631" spans="1:2" x14ac:dyDescent="0.25">
      <c r="A17631" s="118"/>
      <c r="B17631" s="136"/>
    </row>
    <row r="17632" spans="1:2" x14ac:dyDescent="0.25">
      <c r="A17632" s="118"/>
      <c r="B17632" s="136"/>
    </row>
    <row r="17633" spans="1:2" x14ac:dyDescent="0.25">
      <c r="A17633" s="118"/>
      <c r="B17633" s="136"/>
    </row>
    <row r="17634" spans="1:2" x14ac:dyDescent="0.25">
      <c r="A17634" s="118"/>
      <c r="B17634" s="136"/>
    </row>
    <row r="17635" spans="1:2" x14ac:dyDescent="0.25">
      <c r="A17635" s="118"/>
      <c r="B17635" s="136"/>
    </row>
    <row r="17636" spans="1:2" x14ac:dyDescent="0.25">
      <c r="A17636" s="118"/>
      <c r="B17636" s="136"/>
    </row>
    <row r="17637" spans="1:2" x14ac:dyDescent="0.25">
      <c r="A17637" s="118"/>
      <c r="B17637" s="136"/>
    </row>
    <row r="17638" spans="1:2" x14ac:dyDescent="0.25">
      <c r="A17638" s="118"/>
      <c r="B17638" s="136"/>
    </row>
    <row r="17639" spans="1:2" x14ac:dyDescent="0.25">
      <c r="A17639" s="118"/>
      <c r="B17639" s="136"/>
    </row>
    <row r="17640" spans="1:2" x14ac:dyDescent="0.25">
      <c r="A17640" s="118"/>
      <c r="B17640" s="136"/>
    </row>
    <row r="17641" spans="1:2" x14ac:dyDescent="0.25">
      <c r="A17641" s="118"/>
      <c r="B17641" s="136"/>
    </row>
    <row r="17642" spans="1:2" x14ac:dyDescent="0.25">
      <c r="A17642" s="118"/>
      <c r="B17642" s="136"/>
    </row>
    <row r="17643" spans="1:2" x14ac:dyDescent="0.25">
      <c r="A17643" s="118"/>
      <c r="B17643" s="136"/>
    </row>
    <row r="17644" spans="1:2" x14ac:dyDescent="0.25">
      <c r="A17644" s="118"/>
      <c r="B17644" s="136"/>
    </row>
    <row r="17645" spans="1:2" x14ac:dyDescent="0.25">
      <c r="A17645" s="118"/>
      <c r="B17645" s="136"/>
    </row>
    <row r="17646" spans="1:2" x14ac:dyDescent="0.25">
      <c r="A17646" s="118"/>
      <c r="B17646" s="136"/>
    </row>
    <row r="17647" spans="1:2" x14ac:dyDescent="0.25">
      <c r="A17647" s="118"/>
      <c r="B17647" s="136"/>
    </row>
    <row r="17648" spans="1:2" x14ac:dyDescent="0.25">
      <c r="A17648" s="118"/>
      <c r="B17648" s="136"/>
    </row>
    <row r="17649" spans="1:2" x14ac:dyDescent="0.25">
      <c r="A17649" s="118"/>
      <c r="B17649" s="136"/>
    </row>
    <row r="17650" spans="1:2" x14ac:dyDescent="0.25">
      <c r="A17650" s="118"/>
      <c r="B17650" s="136"/>
    </row>
    <row r="17651" spans="1:2" x14ac:dyDescent="0.25">
      <c r="A17651" s="118"/>
      <c r="B17651" s="136"/>
    </row>
    <row r="17652" spans="1:2" x14ac:dyDescent="0.25">
      <c r="A17652" s="118"/>
      <c r="B17652" s="136"/>
    </row>
    <row r="17653" spans="1:2" x14ac:dyDescent="0.25">
      <c r="A17653" s="118"/>
      <c r="B17653" s="136"/>
    </row>
    <row r="17654" spans="1:2" x14ac:dyDescent="0.25">
      <c r="A17654" s="118"/>
      <c r="B17654" s="136"/>
    </row>
    <row r="17655" spans="1:2" x14ac:dyDescent="0.25">
      <c r="A17655" s="118"/>
      <c r="B17655" s="136"/>
    </row>
    <row r="17656" spans="1:2" x14ac:dyDescent="0.25">
      <c r="A17656" s="118"/>
      <c r="B17656" s="136"/>
    </row>
    <row r="17657" spans="1:2" x14ac:dyDescent="0.25">
      <c r="A17657" s="118"/>
      <c r="B17657" s="136"/>
    </row>
    <row r="17658" spans="1:2" x14ac:dyDescent="0.25">
      <c r="A17658" s="118"/>
      <c r="B17658" s="136"/>
    </row>
    <row r="17659" spans="1:2" x14ac:dyDescent="0.25">
      <c r="A17659" s="118"/>
      <c r="B17659" s="136"/>
    </row>
    <row r="17660" spans="1:2" x14ac:dyDescent="0.25">
      <c r="A17660" s="118"/>
      <c r="B17660" s="136"/>
    </row>
    <row r="17661" spans="1:2" x14ac:dyDescent="0.25">
      <c r="A17661" s="118"/>
      <c r="B17661" s="136"/>
    </row>
    <row r="17662" spans="1:2" x14ac:dyDescent="0.25">
      <c r="A17662" s="118"/>
      <c r="B17662" s="136"/>
    </row>
    <row r="17663" spans="1:2" x14ac:dyDescent="0.25">
      <c r="A17663" s="118"/>
      <c r="B17663" s="136"/>
    </row>
    <row r="17664" spans="1:2" x14ac:dyDescent="0.25">
      <c r="A17664" s="118"/>
      <c r="B17664" s="136"/>
    </row>
    <row r="17665" spans="1:2" x14ac:dyDescent="0.25">
      <c r="A17665" s="118"/>
      <c r="B17665" s="136"/>
    </row>
    <row r="17666" spans="1:2" x14ac:dyDescent="0.25">
      <c r="A17666" s="118"/>
      <c r="B17666" s="136"/>
    </row>
    <row r="17667" spans="1:2" x14ac:dyDescent="0.25">
      <c r="A17667" s="118"/>
      <c r="B17667" s="136"/>
    </row>
    <row r="17668" spans="1:2" x14ac:dyDescent="0.25">
      <c r="A17668" s="118"/>
      <c r="B17668" s="136"/>
    </row>
    <row r="17669" spans="1:2" x14ac:dyDescent="0.25">
      <c r="A17669" s="118"/>
      <c r="B17669" s="136"/>
    </row>
    <row r="17670" spans="1:2" x14ac:dyDescent="0.25">
      <c r="A17670" s="118"/>
      <c r="B17670" s="136"/>
    </row>
    <row r="17671" spans="1:2" x14ac:dyDescent="0.25">
      <c r="A17671" s="118"/>
      <c r="B17671" s="136"/>
    </row>
    <row r="17672" spans="1:2" x14ac:dyDescent="0.25">
      <c r="A17672" s="118"/>
      <c r="B17672" s="136"/>
    </row>
    <row r="17673" spans="1:2" x14ac:dyDescent="0.25">
      <c r="A17673" s="118"/>
      <c r="B17673" s="136"/>
    </row>
    <row r="17674" spans="1:2" x14ac:dyDescent="0.25">
      <c r="A17674" s="118"/>
      <c r="B17674" s="136"/>
    </row>
    <row r="17675" spans="1:2" x14ac:dyDescent="0.25">
      <c r="A17675" s="118"/>
      <c r="B17675" s="136"/>
    </row>
    <row r="17676" spans="1:2" x14ac:dyDescent="0.25">
      <c r="A17676" s="118"/>
      <c r="B17676" s="136"/>
    </row>
    <row r="17677" spans="1:2" x14ac:dyDescent="0.25">
      <c r="A17677" s="118"/>
      <c r="B17677" s="136"/>
    </row>
    <row r="17678" spans="1:2" x14ac:dyDescent="0.25">
      <c r="A17678" s="118"/>
      <c r="B17678" s="136"/>
    </row>
    <row r="17679" spans="1:2" x14ac:dyDescent="0.25">
      <c r="A17679" s="118"/>
      <c r="B17679" s="136"/>
    </row>
    <row r="17680" spans="1:2" x14ac:dyDescent="0.25">
      <c r="A17680" s="118"/>
      <c r="B17680" s="136"/>
    </row>
    <row r="17681" spans="1:2" x14ac:dyDescent="0.25">
      <c r="A17681" s="118"/>
      <c r="B17681" s="136"/>
    </row>
    <row r="17682" spans="1:2" x14ac:dyDescent="0.25">
      <c r="A17682" s="118"/>
      <c r="B17682" s="136"/>
    </row>
    <row r="17683" spans="1:2" x14ac:dyDescent="0.25">
      <c r="A17683" s="118"/>
      <c r="B17683" s="136"/>
    </row>
    <row r="17684" spans="1:2" x14ac:dyDescent="0.25">
      <c r="A17684" s="118"/>
      <c r="B17684" s="136"/>
    </row>
    <row r="17685" spans="1:2" x14ac:dyDescent="0.25">
      <c r="A17685" s="118"/>
      <c r="B17685" s="136"/>
    </row>
    <row r="17686" spans="1:2" x14ac:dyDescent="0.25">
      <c r="A17686" s="118"/>
      <c r="B17686" s="136"/>
    </row>
    <row r="17687" spans="1:2" x14ac:dyDescent="0.25">
      <c r="A17687" s="118"/>
      <c r="B17687" s="136"/>
    </row>
    <row r="17688" spans="1:2" x14ac:dyDescent="0.25">
      <c r="A17688" s="118"/>
      <c r="B17688" s="136"/>
    </row>
    <row r="17689" spans="1:2" x14ac:dyDescent="0.25">
      <c r="A17689" s="118"/>
      <c r="B17689" s="136"/>
    </row>
    <row r="17690" spans="1:2" x14ac:dyDescent="0.25">
      <c r="A17690" s="118"/>
      <c r="B17690" s="136"/>
    </row>
    <row r="17691" spans="1:2" x14ac:dyDescent="0.25">
      <c r="A17691" s="118"/>
      <c r="B17691" s="136"/>
    </row>
    <row r="17692" spans="1:2" x14ac:dyDescent="0.25">
      <c r="A17692" s="118"/>
      <c r="B17692" s="136"/>
    </row>
    <row r="17693" spans="1:2" x14ac:dyDescent="0.25">
      <c r="A17693" s="118"/>
      <c r="B17693" s="136"/>
    </row>
    <row r="17694" spans="1:2" x14ac:dyDescent="0.25">
      <c r="A17694" s="118"/>
      <c r="B17694" s="136"/>
    </row>
    <row r="17695" spans="1:2" x14ac:dyDescent="0.25">
      <c r="A17695" s="118"/>
      <c r="B17695" s="136"/>
    </row>
    <row r="17696" spans="1:2" x14ac:dyDescent="0.25">
      <c r="A17696" s="118"/>
      <c r="B17696" s="136"/>
    </row>
    <row r="17697" spans="1:2" x14ac:dyDescent="0.25">
      <c r="A17697" s="118"/>
      <c r="B17697" s="136"/>
    </row>
    <row r="17698" spans="1:2" x14ac:dyDescent="0.25">
      <c r="A17698" s="118"/>
      <c r="B17698" s="136"/>
    </row>
    <row r="17699" spans="1:2" x14ac:dyDescent="0.25">
      <c r="A17699" s="118"/>
      <c r="B17699" s="136"/>
    </row>
    <row r="17700" spans="1:2" x14ac:dyDescent="0.25">
      <c r="A17700" s="118"/>
      <c r="B17700" s="136"/>
    </row>
    <row r="17701" spans="1:2" x14ac:dyDescent="0.25">
      <c r="A17701" s="118"/>
      <c r="B17701" s="136"/>
    </row>
    <row r="17702" spans="1:2" x14ac:dyDescent="0.25">
      <c r="A17702" s="118"/>
      <c r="B17702" s="136"/>
    </row>
    <row r="17703" spans="1:2" x14ac:dyDescent="0.25">
      <c r="A17703" s="118"/>
      <c r="B17703" s="136"/>
    </row>
    <row r="17704" spans="1:2" x14ac:dyDescent="0.25">
      <c r="A17704" s="118"/>
      <c r="B17704" s="136"/>
    </row>
    <row r="17705" spans="1:2" x14ac:dyDescent="0.25">
      <c r="A17705" s="118"/>
      <c r="B17705" s="136"/>
    </row>
    <row r="17706" spans="1:2" x14ac:dyDescent="0.25">
      <c r="A17706" s="118"/>
      <c r="B17706" s="136"/>
    </row>
    <row r="17707" spans="1:2" x14ac:dyDescent="0.25">
      <c r="A17707" s="118"/>
      <c r="B17707" s="136"/>
    </row>
    <row r="17708" spans="1:2" x14ac:dyDescent="0.25">
      <c r="A17708" s="118"/>
      <c r="B17708" s="136"/>
    </row>
    <row r="17709" spans="1:2" x14ac:dyDescent="0.25">
      <c r="A17709" s="118"/>
      <c r="B17709" s="136"/>
    </row>
    <row r="17710" spans="1:2" x14ac:dyDescent="0.25">
      <c r="A17710" s="118"/>
      <c r="B17710" s="136"/>
    </row>
    <row r="17711" spans="1:2" x14ac:dyDescent="0.25">
      <c r="A17711" s="118"/>
      <c r="B17711" s="136"/>
    </row>
    <row r="17712" spans="1:2" x14ac:dyDescent="0.25">
      <c r="A17712" s="118"/>
      <c r="B17712" s="136"/>
    </row>
    <row r="17713" spans="1:2" x14ac:dyDescent="0.25">
      <c r="A17713" s="118"/>
      <c r="B17713" s="136"/>
    </row>
    <row r="17714" spans="1:2" x14ac:dyDescent="0.25">
      <c r="A17714" s="118"/>
      <c r="B17714" s="136"/>
    </row>
    <row r="17715" spans="1:2" x14ac:dyDescent="0.25">
      <c r="A17715" s="118"/>
      <c r="B17715" s="136"/>
    </row>
    <row r="17716" spans="1:2" x14ac:dyDescent="0.25">
      <c r="A17716" s="118"/>
      <c r="B17716" s="136"/>
    </row>
    <row r="17717" spans="1:2" x14ac:dyDescent="0.25">
      <c r="A17717" s="118"/>
      <c r="B17717" s="136"/>
    </row>
    <row r="17718" spans="1:2" x14ac:dyDescent="0.25">
      <c r="A17718" s="118"/>
      <c r="B17718" s="136"/>
    </row>
    <row r="17719" spans="1:2" x14ac:dyDescent="0.25">
      <c r="A17719" s="118"/>
      <c r="B17719" s="136"/>
    </row>
    <row r="17720" spans="1:2" x14ac:dyDescent="0.25">
      <c r="A17720" s="118"/>
      <c r="B17720" s="136"/>
    </row>
    <row r="17721" spans="1:2" x14ac:dyDescent="0.25">
      <c r="A17721" s="118"/>
      <c r="B17721" s="136"/>
    </row>
    <row r="17722" spans="1:2" x14ac:dyDescent="0.25">
      <c r="A17722" s="118"/>
      <c r="B17722" s="136"/>
    </row>
    <row r="17723" spans="1:2" x14ac:dyDescent="0.25">
      <c r="A17723" s="118"/>
      <c r="B17723" s="136"/>
    </row>
    <row r="17724" spans="1:2" x14ac:dyDescent="0.25">
      <c r="A17724" s="118"/>
      <c r="B17724" s="136"/>
    </row>
    <row r="17725" spans="1:2" x14ac:dyDescent="0.25">
      <c r="A17725" s="118"/>
      <c r="B17725" s="136"/>
    </row>
    <row r="17726" spans="1:2" x14ac:dyDescent="0.25">
      <c r="A17726" s="118"/>
      <c r="B17726" s="136"/>
    </row>
    <row r="17727" spans="1:2" x14ac:dyDescent="0.25">
      <c r="A17727" s="118"/>
      <c r="B17727" s="136"/>
    </row>
    <row r="17728" spans="1:2" x14ac:dyDescent="0.25">
      <c r="A17728" s="118"/>
      <c r="B17728" s="136"/>
    </row>
    <row r="17729" spans="1:2" x14ac:dyDescent="0.25">
      <c r="A17729" s="118"/>
      <c r="B17729" s="136"/>
    </row>
    <row r="17730" spans="1:2" x14ac:dyDescent="0.25">
      <c r="A17730" s="118"/>
      <c r="B17730" s="136"/>
    </row>
    <row r="17731" spans="1:2" x14ac:dyDescent="0.25">
      <c r="A17731" s="118"/>
      <c r="B17731" s="136"/>
    </row>
    <row r="17732" spans="1:2" x14ac:dyDescent="0.25">
      <c r="A17732" s="118"/>
      <c r="B17732" s="136"/>
    </row>
    <row r="17733" spans="1:2" x14ac:dyDescent="0.25">
      <c r="A17733" s="118"/>
      <c r="B17733" s="136"/>
    </row>
    <row r="17734" spans="1:2" x14ac:dyDescent="0.25">
      <c r="A17734" s="118"/>
      <c r="B17734" s="136"/>
    </row>
    <row r="17735" spans="1:2" x14ac:dyDescent="0.25">
      <c r="A17735" s="118"/>
      <c r="B17735" s="136"/>
    </row>
    <row r="17736" spans="1:2" x14ac:dyDescent="0.25">
      <c r="A17736" s="118"/>
      <c r="B17736" s="136"/>
    </row>
    <row r="17737" spans="1:2" x14ac:dyDescent="0.25">
      <c r="A17737" s="118"/>
      <c r="B17737" s="136"/>
    </row>
    <row r="17738" spans="1:2" x14ac:dyDescent="0.25">
      <c r="A17738" s="118"/>
      <c r="B17738" s="136"/>
    </row>
    <row r="17739" spans="1:2" x14ac:dyDescent="0.25">
      <c r="A17739" s="118"/>
      <c r="B17739" s="136"/>
    </row>
    <row r="17740" spans="1:2" x14ac:dyDescent="0.25">
      <c r="A17740" s="118"/>
      <c r="B17740" s="136"/>
    </row>
    <row r="17741" spans="1:2" x14ac:dyDescent="0.25">
      <c r="A17741" s="118"/>
      <c r="B17741" s="136"/>
    </row>
    <row r="17742" spans="1:2" x14ac:dyDescent="0.25">
      <c r="A17742" s="118"/>
      <c r="B17742" s="136"/>
    </row>
    <row r="17743" spans="1:2" x14ac:dyDescent="0.25">
      <c r="A17743" s="118"/>
      <c r="B17743" s="136"/>
    </row>
    <row r="17744" spans="1:2" x14ac:dyDescent="0.25">
      <c r="A17744" s="118"/>
      <c r="B17744" s="136"/>
    </row>
    <row r="17745" spans="1:2" x14ac:dyDescent="0.25">
      <c r="A17745" s="118"/>
      <c r="B17745" s="136"/>
    </row>
    <row r="17746" spans="1:2" x14ac:dyDescent="0.25">
      <c r="A17746" s="118"/>
      <c r="B17746" s="136"/>
    </row>
    <row r="17747" spans="1:2" x14ac:dyDescent="0.25">
      <c r="A17747" s="118"/>
      <c r="B17747" s="136"/>
    </row>
    <row r="17748" spans="1:2" x14ac:dyDescent="0.25">
      <c r="A17748" s="118"/>
      <c r="B17748" s="136"/>
    </row>
    <row r="17749" spans="1:2" x14ac:dyDescent="0.25">
      <c r="A17749" s="118"/>
      <c r="B17749" s="136"/>
    </row>
    <row r="17750" spans="1:2" x14ac:dyDescent="0.25">
      <c r="A17750" s="118"/>
      <c r="B17750" s="136"/>
    </row>
    <row r="17751" spans="1:2" x14ac:dyDescent="0.25">
      <c r="A17751" s="118"/>
      <c r="B17751" s="136"/>
    </row>
    <row r="17752" spans="1:2" x14ac:dyDescent="0.25">
      <c r="A17752" s="118"/>
      <c r="B17752" s="136"/>
    </row>
    <row r="17753" spans="1:2" x14ac:dyDescent="0.25">
      <c r="A17753" s="118"/>
      <c r="B17753" s="136"/>
    </row>
    <row r="17754" spans="1:2" x14ac:dyDescent="0.25">
      <c r="A17754" s="118"/>
      <c r="B17754" s="136"/>
    </row>
    <row r="17755" spans="1:2" x14ac:dyDescent="0.25">
      <c r="A17755" s="118"/>
      <c r="B17755" s="136"/>
    </row>
    <row r="17756" spans="1:2" x14ac:dyDescent="0.25">
      <c r="A17756" s="118"/>
      <c r="B17756" s="136"/>
    </row>
    <row r="17757" spans="1:2" x14ac:dyDescent="0.25">
      <c r="A17757" s="118"/>
      <c r="B17757" s="136"/>
    </row>
    <row r="17758" spans="1:2" x14ac:dyDescent="0.25">
      <c r="A17758" s="118"/>
      <c r="B17758" s="136"/>
    </row>
    <row r="17759" spans="1:2" x14ac:dyDescent="0.25">
      <c r="A17759" s="118"/>
      <c r="B17759" s="136"/>
    </row>
    <row r="17760" spans="1:2" x14ac:dyDescent="0.25">
      <c r="A17760" s="118"/>
      <c r="B17760" s="136"/>
    </row>
    <row r="17761" spans="1:2" x14ac:dyDescent="0.25">
      <c r="A17761" s="118"/>
      <c r="B17761" s="136"/>
    </row>
    <row r="17762" spans="1:2" x14ac:dyDescent="0.25">
      <c r="A17762" s="118"/>
      <c r="B17762" s="136"/>
    </row>
    <row r="17763" spans="1:2" x14ac:dyDescent="0.25">
      <c r="A17763" s="118"/>
      <c r="B17763" s="136"/>
    </row>
    <row r="17764" spans="1:2" x14ac:dyDescent="0.25">
      <c r="A17764" s="118"/>
      <c r="B17764" s="136"/>
    </row>
    <row r="17765" spans="1:2" x14ac:dyDescent="0.25">
      <c r="A17765" s="118"/>
      <c r="B17765" s="136"/>
    </row>
    <row r="17766" spans="1:2" x14ac:dyDescent="0.25">
      <c r="A17766" s="118"/>
      <c r="B17766" s="136"/>
    </row>
    <row r="17767" spans="1:2" x14ac:dyDescent="0.25">
      <c r="A17767" s="118"/>
      <c r="B17767" s="136"/>
    </row>
    <row r="17768" spans="1:2" x14ac:dyDescent="0.25">
      <c r="A17768" s="118"/>
      <c r="B17768" s="136"/>
    </row>
    <row r="17769" spans="1:2" x14ac:dyDescent="0.25">
      <c r="A17769" s="118"/>
      <c r="B17769" s="136"/>
    </row>
    <row r="17770" spans="1:2" x14ac:dyDescent="0.25">
      <c r="A17770" s="118"/>
      <c r="B17770" s="136"/>
    </row>
    <row r="17771" spans="1:2" x14ac:dyDescent="0.25">
      <c r="A17771" s="118"/>
      <c r="B17771" s="136"/>
    </row>
    <row r="17772" spans="1:2" x14ac:dyDescent="0.25">
      <c r="A17772" s="118"/>
      <c r="B17772" s="136"/>
    </row>
    <row r="17773" spans="1:2" x14ac:dyDescent="0.25">
      <c r="A17773" s="118"/>
      <c r="B17773" s="136"/>
    </row>
    <row r="17774" spans="1:2" x14ac:dyDescent="0.25">
      <c r="A17774" s="118"/>
      <c r="B17774" s="136"/>
    </row>
    <row r="17775" spans="1:2" x14ac:dyDescent="0.25">
      <c r="A17775" s="118"/>
      <c r="B17775" s="136"/>
    </row>
    <row r="17776" spans="1:2" x14ac:dyDescent="0.25">
      <c r="A17776" s="118"/>
      <c r="B17776" s="136"/>
    </row>
    <row r="17777" spans="1:2" x14ac:dyDescent="0.25">
      <c r="A17777" s="118"/>
      <c r="B17777" s="136"/>
    </row>
    <row r="17778" spans="1:2" x14ac:dyDescent="0.25">
      <c r="A17778" s="118"/>
      <c r="B17778" s="136"/>
    </row>
    <row r="17779" spans="1:2" x14ac:dyDescent="0.25">
      <c r="A17779" s="118"/>
      <c r="B17779" s="136"/>
    </row>
    <row r="17780" spans="1:2" x14ac:dyDescent="0.25">
      <c r="A17780" s="118"/>
      <c r="B17780" s="136"/>
    </row>
    <row r="17781" spans="1:2" x14ac:dyDescent="0.25">
      <c r="A17781" s="118"/>
      <c r="B17781" s="136"/>
    </row>
    <row r="17782" spans="1:2" x14ac:dyDescent="0.25">
      <c r="A17782" s="118"/>
      <c r="B17782" s="136"/>
    </row>
    <row r="17783" spans="1:2" x14ac:dyDescent="0.25">
      <c r="A17783" s="118"/>
      <c r="B17783" s="136"/>
    </row>
    <row r="17784" spans="1:2" x14ac:dyDescent="0.25">
      <c r="A17784" s="118"/>
      <c r="B17784" s="136"/>
    </row>
    <row r="17785" spans="1:2" x14ac:dyDescent="0.25">
      <c r="A17785" s="118"/>
      <c r="B17785" s="136"/>
    </row>
    <row r="17786" spans="1:2" x14ac:dyDescent="0.25">
      <c r="A17786" s="118"/>
      <c r="B17786" s="136"/>
    </row>
    <row r="17787" spans="1:2" x14ac:dyDescent="0.25">
      <c r="A17787" s="118"/>
      <c r="B17787" s="136"/>
    </row>
    <row r="17788" spans="1:2" x14ac:dyDescent="0.25">
      <c r="A17788" s="118"/>
      <c r="B17788" s="136"/>
    </row>
    <row r="17789" spans="1:2" x14ac:dyDescent="0.25">
      <c r="A17789" s="118"/>
      <c r="B17789" s="136"/>
    </row>
    <row r="17790" spans="1:2" x14ac:dyDescent="0.25">
      <c r="A17790" s="118"/>
      <c r="B17790" s="136"/>
    </row>
    <row r="17791" spans="1:2" x14ac:dyDescent="0.25">
      <c r="A17791" s="118"/>
      <c r="B17791" s="136"/>
    </row>
    <row r="17792" spans="1:2" x14ac:dyDescent="0.25">
      <c r="A17792" s="118"/>
      <c r="B17792" s="136"/>
    </row>
    <row r="17793" spans="1:2" x14ac:dyDescent="0.25">
      <c r="A17793" s="118"/>
      <c r="B17793" s="136"/>
    </row>
    <row r="17794" spans="1:2" x14ac:dyDescent="0.25">
      <c r="A17794" s="118"/>
      <c r="B17794" s="136"/>
    </row>
    <row r="17795" spans="1:2" x14ac:dyDescent="0.25">
      <c r="A17795" s="118"/>
      <c r="B17795" s="136"/>
    </row>
    <row r="17796" spans="1:2" x14ac:dyDescent="0.25">
      <c r="A17796" s="118"/>
      <c r="B17796" s="136"/>
    </row>
    <row r="17797" spans="1:2" x14ac:dyDescent="0.25">
      <c r="A17797" s="118"/>
      <c r="B17797" s="136"/>
    </row>
    <row r="17798" spans="1:2" x14ac:dyDescent="0.25">
      <c r="A17798" s="118"/>
      <c r="B17798" s="136"/>
    </row>
    <row r="17799" spans="1:2" x14ac:dyDescent="0.25">
      <c r="A17799" s="118"/>
      <c r="B17799" s="136"/>
    </row>
    <row r="17800" spans="1:2" x14ac:dyDescent="0.25">
      <c r="A17800" s="118"/>
      <c r="B17800" s="136"/>
    </row>
    <row r="17801" spans="1:2" x14ac:dyDescent="0.25">
      <c r="A17801" s="118"/>
      <c r="B17801" s="136"/>
    </row>
    <row r="17802" spans="1:2" x14ac:dyDescent="0.25">
      <c r="A17802" s="118"/>
      <c r="B17802" s="136"/>
    </row>
    <row r="17803" spans="1:2" x14ac:dyDescent="0.25">
      <c r="A17803" s="118"/>
      <c r="B17803" s="136"/>
    </row>
    <row r="17804" spans="1:2" x14ac:dyDescent="0.25">
      <c r="A17804" s="118"/>
      <c r="B17804" s="136"/>
    </row>
    <row r="17805" spans="1:2" x14ac:dyDescent="0.25">
      <c r="A17805" s="118"/>
      <c r="B17805" s="136"/>
    </row>
    <row r="17806" spans="1:2" x14ac:dyDescent="0.25">
      <c r="A17806" s="118"/>
      <c r="B17806" s="136"/>
    </row>
    <row r="17807" spans="1:2" x14ac:dyDescent="0.25">
      <c r="A17807" s="118"/>
      <c r="B17807" s="136"/>
    </row>
    <row r="17808" spans="1:2" x14ac:dyDescent="0.25">
      <c r="A17808" s="118"/>
      <c r="B17808" s="136"/>
    </row>
    <row r="17809" spans="1:2" x14ac:dyDescent="0.25">
      <c r="A17809" s="118"/>
      <c r="B17809" s="136"/>
    </row>
    <row r="17810" spans="1:2" x14ac:dyDescent="0.25">
      <c r="A17810" s="118"/>
      <c r="B17810" s="136"/>
    </row>
    <row r="17811" spans="1:2" x14ac:dyDescent="0.25">
      <c r="A17811" s="118"/>
      <c r="B17811" s="136"/>
    </row>
    <row r="17812" spans="1:2" x14ac:dyDescent="0.25">
      <c r="A17812" s="118"/>
      <c r="B17812" s="136"/>
    </row>
    <row r="17813" spans="1:2" x14ac:dyDescent="0.25">
      <c r="A17813" s="118"/>
      <c r="B17813" s="136"/>
    </row>
    <row r="17814" spans="1:2" x14ac:dyDescent="0.25">
      <c r="A17814" s="118"/>
      <c r="B17814" s="136"/>
    </row>
    <row r="17815" spans="1:2" x14ac:dyDescent="0.25">
      <c r="A17815" s="118"/>
      <c r="B17815" s="136"/>
    </row>
    <row r="17816" spans="1:2" x14ac:dyDescent="0.25">
      <c r="A17816" s="118"/>
      <c r="B17816" s="136"/>
    </row>
    <row r="17817" spans="1:2" x14ac:dyDescent="0.25">
      <c r="A17817" s="118"/>
      <c r="B17817" s="136"/>
    </row>
    <row r="17818" spans="1:2" x14ac:dyDescent="0.25">
      <c r="A17818" s="118"/>
      <c r="B17818" s="136"/>
    </row>
    <row r="17819" spans="1:2" x14ac:dyDescent="0.25">
      <c r="A17819" s="118"/>
      <c r="B17819" s="136"/>
    </row>
    <row r="17820" spans="1:2" x14ac:dyDescent="0.25">
      <c r="A17820" s="118"/>
      <c r="B17820" s="136"/>
    </row>
    <row r="17821" spans="1:2" x14ac:dyDescent="0.25">
      <c r="A17821" s="118"/>
      <c r="B17821" s="136"/>
    </row>
    <row r="17822" spans="1:2" x14ac:dyDescent="0.25">
      <c r="A17822" s="118"/>
      <c r="B17822" s="136"/>
    </row>
    <row r="17823" spans="1:2" x14ac:dyDescent="0.25">
      <c r="A17823" s="118"/>
      <c r="B17823" s="136"/>
    </row>
    <row r="17824" spans="1:2" x14ac:dyDescent="0.25">
      <c r="A17824" s="118"/>
      <c r="B17824" s="136"/>
    </row>
    <row r="17825" spans="1:2" x14ac:dyDescent="0.25">
      <c r="A17825" s="118"/>
      <c r="B17825" s="136"/>
    </row>
    <row r="17826" spans="1:2" x14ac:dyDescent="0.25">
      <c r="A17826" s="118"/>
      <c r="B17826" s="136"/>
    </row>
    <row r="17827" spans="1:2" x14ac:dyDescent="0.25">
      <c r="A17827" s="118"/>
      <c r="B17827" s="136"/>
    </row>
    <row r="17828" spans="1:2" x14ac:dyDescent="0.25">
      <c r="A17828" s="118"/>
      <c r="B17828" s="136"/>
    </row>
    <row r="17829" spans="1:2" x14ac:dyDescent="0.25">
      <c r="A17829" s="118"/>
      <c r="B17829" s="136"/>
    </row>
    <row r="17830" spans="1:2" x14ac:dyDescent="0.25">
      <c r="A17830" s="118"/>
      <c r="B17830" s="136"/>
    </row>
    <row r="17831" spans="1:2" x14ac:dyDescent="0.25">
      <c r="A17831" s="118"/>
      <c r="B17831" s="136"/>
    </row>
    <row r="17832" spans="1:2" x14ac:dyDescent="0.25">
      <c r="A17832" s="118"/>
      <c r="B17832" s="136"/>
    </row>
    <row r="17833" spans="1:2" x14ac:dyDescent="0.25">
      <c r="A17833" s="118"/>
      <c r="B17833" s="136"/>
    </row>
    <row r="17834" spans="1:2" x14ac:dyDescent="0.25">
      <c r="A17834" s="118"/>
      <c r="B17834" s="136"/>
    </row>
    <row r="17835" spans="1:2" x14ac:dyDescent="0.25">
      <c r="A17835" s="118"/>
      <c r="B17835" s="136"/>
    </row>
    <row r="17836" spans="1:2" x14ac:dyDescent="0.25">
      <c r="A17836" s="118"/>
      <c r="B17836" s="136"/>
    </row>
    <row r="17837" spans="1:2" x14ac:dyDescent="0.25">
      <c r="A17837" s="118"/>
      <c r="B17837" s="136"/>
    </row>
    <row r="17838" spans="1:2" x14ac:dyDescent="0.25">
      <c r="A17838" s="118"/>
      <c r="B17838" s="136"/>
    </row>
    <row r="17839" spans="1:2" x14ac:dyDescent="0.25">
      <c r="A17839" s="118"/>
      <c r="B17839" s="136"/>
    </row>
    <row r="17840" spans="1:2" x14ac:dyDescent="0.25">
      <c r="A17840" s="118"/>
      <c r="B17840" s="136"/>
    </row>
    <row r="17841" spans="1:2" x14ac:dyDescent="0.25">
      <c r="A17841" s="118"/>
      <c r="B17841" s="136"/>
    </row>
    <row r="17842" spans="1:2" x14ac:dyDescent="0.25">
      <c r="A17842" s="118"/>
      <c r="B17842" s="136"/>
    </row>
    <row r="17843" spans="1:2" x14ac:dyDescent="0.25">
      <c r="A17843" s="118"/>
      <c r="B17843" s="136"/>
    </row>
    <row r="17844" spans="1:2" x14ac:dyDescent="0.25">
      <c r="A17844" s="118"/>
      <c r="B17844" s="136"/>
    </row>
    <row r="17845" spans="1:2" x14ac:dyDescent="0.25">
      <c r="A17845" s="118"/>
      <c r="B17845" s="136"/>
    </row>
    <row r="17846" spans="1:2" x14ac:dyDescent="0.25">
      <c r="A17846" s="118"/>
      <c r="B17846" s="136"/>
    </row>
    <row r="17847" spans="1:2" x14ac:dyDescent="0.25">
      <c r="A17847" s="118"/>
      <c r="B17847" s="136"/>
    </row>
    <row r="17848" spans="1:2" x14ac:dyDescent="0.25">
      <c r="A17848" s="118"/>
      <c r="B17848" s="136"/>
    </row>
    <row r="17849" spans="1:2" x14ac:dyDescent="0.25">
      <c r="A17849" s="118"/>
      <c r="B17849" s="136"/>
    </row>
    <row r="17850" spans="1:2" x14ac:dyDescent="0.25">
      <c r="A17850" s="118"/>
      <c r="B17850" s="136"/>
    </row>
    <row r="17851" spans="1:2" x14ac:dyDescent="0.25">
      <c r="A17851" s="118"/>
      <c r="B17851" s="136"/>
    </row>
    <row r="17852" spans="1:2" x14ac:dyDescent="0.25">
      <c r="A17852" s="118"/>
      <c r="B17852" s="136"/>
    </row>
    <row r="17853" spans="1:2" x14ac:dyDescent="0.25">
      <c r="A17853" s="118"/>
      <c r="B17853" s="136"/>
    </row>
    <row r="17854" spans="1:2" x14ac:dyDescent="0.25">
      <c r="A17854" s="118"/>
      <c r="B17854" s="136"/>
    </row>
    <row r="17855" spans="1:2" x14ac:dyDescent="0.25">
      <c r="A17855" s="118"/>
      <c r="B17855" s="136"/>
    </row>
    <row r="17856" spans="1:2" x14ac:dyDescent="0.25">
      <c r="A17856" s="118"/>
      <c r="B17856" s="136"/>
    </row>
    <row r="17857" spans="1:2" x14ac:dyDescent="0.25">
      <c r="A17857" s="118"/>
      <c r="B17857" s="136"/>
    </row>
    <row r="17858" spans="1:2" x14ac:dyDescent="0.25">
      <c r="A17858" s="118"/>
      <c r="B17858" s="136"/>
    </row>
    <row r="17859" spans="1:2" x14ac:dyDescent="0.25">
      <c r="A17859" s="118"/>
      <c r="B17859" s="136"/>
    </row>
    <row r="17860" spans="1:2" x14ac:dyDescent="0.25">
      <c r="A17860" s="118"/>
      <c r="B17860" s="136"/>
    </row>
    <row r="17861" spans="1:2" x14ac:dyDescent="0.25">
      <c r="A17861" s="118"/>
      <c r="B17861" s="136"/>
    </row>
    <row r="17862" spans="1:2" x14ac:dyDescent="0.25">
      <c r="A17862" s="118"/>
      <c r="B17862" s="136"/>
    </row>
    <row r="17863" spans="1:2" x14ac:dyDescent="0.25">
      <c r="A17863" s="118"/>
      <c r="B17863" s="136"/>
    </row>
    <row r="17864" spans="1:2" x14ac:dyDescent="0.25">
      <c r="A17864" s="118"/>
      <c r="B17864" s="136"/>
    </row>
    <row r="17865" spans="1:2" x14ac:dyDescent="0.25">
      <c r="A17865" s="118"/>
      <c r="B17865" s="136"/>
    </row>
    <row r="17866" spans="1:2" x14ac:dyDescent="0.25">
      <c r="A17866" s="118"/>
      <c r="B17866" s="136"/>
    </row>
    <row r="17867" spans="1:2" x14ac:dyDescent="0.25">
      <c r="A17867" s="118"/>
      <c r="B17867" s="136"/>
    </row>
    <row r="17868" spans="1:2" x14ac:dyDescent="0.25">
      <c r="A17868" s="118"/>
      <c r="B17868" s="136"/>
    </row>
    <row r="17869" spans="1:2" x14ac:dyDescent="0.25">
      <c r="A17869" s="118"/>
      <c r="B17869" s="136"/>
    </row>
    <row r="17870" spans="1:2" x14ac:dyDescent="0.25">
      <c r="A17870" s="118"/>
      <c r="B17870" s="136"/>
    </row>
    <row r="17871" spans="1:2" x14ac:dyDescent="0.25">
      <c r="A17871" s="118"/>
      <c r="B17871" s="136"/>
    </row>
    <row r="17872" spans="1:2" x14ac:dyDescent="0.25">
      <c r="A17872" s="118"/>
      <c r="B17872" s="136"/>
    </row>
    <row r="17873" spans="1:2" x14ac:dyDescent="0.25">
      <c r="A17873" s="118"/>
      <c r="B17873" s="136"/>
    </row>
    <row r="17874" spans="1:2" x14ac:dyDescent="0.25">
      <c r="A17874" s="118"/>
      <c r="B17874" s="136"/>
    </row>
    <row r="17875" spans="1:2" x14ac:dyDescent="0.25">
      <c r="A17875" s="118"/>
      <c r="B17875" s="136"/>
    </row>
    <row r="17876" spans="1:2" x14ac:dyDescent="0.25">
      <c r="A17876" s="118"/>
      <c r="B17876" s="136"/>
    </row>
    <row r="17877" spans="1:2" x14ac:dyDescent="0.25">
      <c r="A17877" s="118"/>
      <c r="B17877" s="136"/>
    </row>
    <row r="17878" spans="1:2" x14ac:dyDescent="0.25">
      <c r="A17878" s="118"/>
      <c r="B17878" s="136"/>
    </row>
    <row r="17879" spans="1:2" x14ac:dyDescent="0.25">
      <c r="A17879" s="118"/>
      <c r="B17879" s="136"/>
    </row>
    <row r="17880" spans="1:2" x14ac:dyDescent="0.25">
      <c r="A17880" s="118"/>
      <c r="B17880" s="136"/>
    </row>
    <row r="17881" spans="1:2" x14ac:dyDescent="0.25">
      <c r="A17881" s="118"/>
      <c r="B17881" s="136"/>
    </row>
    <row r="17882" spans="1:2" x14ac:dyDescent="0.25">
      <c r="A17882" s="118"/>
      <c r="B17882" s="136"/>
    </row>
    <row r="17883" spans="1:2" x14ac:dyDescent="0.25">
      <c r="A17883" s="118"/>
      <c r="B17883" s="136"/>
    </row>
    <row r="17884" spans="1:2" x14ac:dyDescent="0.25">
      <c r="A17884" s="118"/>
      <c r="B17884" s="136"/>
    </row>
    <row r="17885" spans="1:2" x14ac:dyDescent="0.25">
      <c r="A17885" s="118"/>
      <c r="B17885" s="136"/>
    </row>
    <row r="17886" spans="1:2" x14ac:dyDescent="0.25">
      <c r="A17886" s="118"/>
      <c r="B17886" s="136"/>
    </row>
    <row r="17887" spans="1:2" x14ac:dyDescent="0.25">
      <c r="A17887" s="118"/>
      <c r="B17887" s="136"/>
    </row>
    <row r="17888" spans="1:2" x14ac:dyDescent="0.25">
      <c r="A17888" s="118"/>
      <c r="B17888" s="136"/>
    </row>
    <row r="17889" spans="1:2" x14ac:dyDescent="0.25">
      <c r="A17889" s="118"/>
      <c r="B17889" s="136"/>
    </row>
    <row r="17890" spans="1:2" x14ac:dyDescent="0.25">
      <c r="A17890" s="118"/>
      <c r="B17890" s="136"/>
    </row>
    <row r="17891" spans="1:2" x14ac:dyDescent="0.25">
      <c r="A17891" s="118"/>
      <c r="B17891" s="136"/>
    </row>
    <row r="17892" spans="1:2" x14ac:dyDescent="0.25">
      <c r="A17892" s="118"/>
      <c r="B17892" s="136"/>
    </row>
    <row r="17893" spans="1:2" x14ac:dyDescent="0.25">
      <c r="A17893" s="118"/>
      <c r="B17893" s="136"/>
    </row>
    <row r="17894" spans="1:2" x14ac:dyDescent="0.25">
      <c r="A17894" s="118"/>
      <c r="B17894" s="136"/>
    </row>
    <row r="17895" spans="1:2" x14ac:dyDescent="0.25">
      <c r="A17895" s="118"/>
      <c r="B17895" s="136"/>
    </row>
    <row r="17896" spans="1:2" x14ac:dyDescent="0.25">
      <c r="A17896" s="118"/>
      <c r="B17896" s="136"/>
    </row>
    <row r="17897" spans="1:2" x14ac:dyDescent="0.25">
      <c r="A17897" s="118"/>
      <c r="B17897" s="136"/>
    </row>
    <row r="17898" spans="1:2" x14ac:dyDescent="0.25">
      <c r="A17898" s="118"/>
      <c r="B17898" s="136"/>
    </row>
    <row r="17899" spans="1:2" x14ac:dyDescent="0.25">
      <c r="A17899" s="118"/>
      <c r="B17899" s="136"/>
    </row>
    <row r="17900" spans="1:2" x14ac:dyDescent="0.25">
      <c r="A17900" s="118"/>
      <c r="B17900" s="136"/>
    </row>
    <row r="17901" spans="1:2" x14ac:dyDescent="0.25">
      <c r="A17901" s="118"/>
      <c r="B17901" s="136"/>
    </row>
    <row r="17902" spans="1:2" x14ac:dyDescent="0.25">
      <c r="A17902" s="118"/>
      <c r="B17902" s="136"/>
    </row>
    <row r="17903" spans="1:2" x14ac:dyDescent="0.25">
      <c r="A17903" s="118"/>
      <c r="B17903" s="136"/>
    </row>
    <row r="17904" spans="1:2" x14ac:dyDescent="0.25">
      <c r="A17904" s="118"/>
      <c r="B17904" s="136"/>
    </row>
    <row r="17905" spans="1:2" x14ac:dyDescent="0.25">
      <c r="A17905" s="118"/>
      <c r="B17905" s="136"/>
    </row>
    <row r="17906" spans="1:2" x14ac:dyDescent="0.25">
      <c r="A17906" s="118"/>
      <c r="B17906" s="136"/>
    </row>
    <row r="17907" spans="1:2" x14ac:dyDescent="0.25">
      <c r="A17907" s="118"/>
      <c r="B17907" s="136"/>
    </row>
    <row r="17908" spans="1:2" x14ac:dyDescent="0.25">
      <c r="A17908" s="118"/>
      <c r="B17908" s="136"/>
    </row>
    <row r="17909" spans="1:2" x14ac:dyDescent="0.25">
      <c r="A17909" s="118"/>
      <c r="B17909" s="136"/>
    </row>
    <row r="17910" spans="1:2" x14ac:dyDescent="0.25">
      <c r="A17910" s="118"/>
      <c r="B17910" s="136"/>
    </row>
    <row r="17911" spans="1:2" x14ac:dyDescent="0.25">
      <c r="A17911" s="118"/>
      <c r="B17911" s="136"/>
    </row>
    <row r="17912" spans="1:2" x14ac:dyDescent="0.25">
      <c r="A17912" s="118"/>
      <c r="B17912" s="136"/>
    </row>
    <row r="17913" spans="1:2" x14ac:dyDescent="0.25">
      <c r="A17913" s="118"/>
      <c r="B17913" s="136"/>
    </row>
    <row r="17914" spans="1:2" x14ac:dyDescent="0.25">
      <c r="A17914" s="118"/>
      <c r="B17914" s="136"/>
    </row>
    <row r="17915" spans="1:2" x14ac:dyDescent="0.25">
      <c r="A17915" s="118"/>
      <c r="B17915" s="136"/>
    </row>
    <row r="17916" spans="1:2" x14ac:dyDescent="0.25">
      <c r="A17916" s="118"/>
      <c r="B17916" s="136"/>
    </row>
    <row r="17917" spans="1:2" x14ac:dyDescent="0.25">
      <c r="A17917" s="118"/>
      <c r="B17917" s="136"/>
    </row>
    <row r="17918" spans="1:2" x14ac:dyDescent="0.25">
      <c r="A17918" s="118"/>
      <c r="B17918" s="136"/>
    </row>
    <row r="17919" spans="1:2" x14ac:dyDescent="0.25">
      <c r="A17919" s="118"/>
      <c r="B17919" s="136"/>
    </row>
    <row r="17920" spans="1:2" x14ac:dyDescent="0.25">
      <c r="A17920" s="118"/>
      <c r="B17920" s="136"/>
    </row>
    <row r="17921" spans="1:2" x14ac:dyDescent="0.25">
      <c r="A17921" s="118"/>
      <c r="B17921" s="136"/>
    </row>
    <row r="17922" spans="1:2" x14ac:dyDescent="0.25">
      <c r="A17922" s="118"/>
      <c r="B17922" s="136"/>
    </row>
    <row r="17923" spans="1:2" x14ac:dyDescent="0.25">
      <c r="A17923" s="118"/>
      <c r="B17923" s="136"/>
    </row>
    <row r="17924" spans="1:2" x14ac:dyDescent="0.25">
      <c r="A17924" s="118"/>
      <c r="B17924" s="136"/>
    </row>
    <row r="17925" spans="1:2" x14ac:dyDescent="0.25">
      <c r="A17925" s="118"/>
      <c r="B17925" s="136"/>
    </row>
    <row r="17926" spans="1:2" x14ac:dyDescent="0.25">
      <c r="A17926" s="118"/>
      <c r="B17926" s="136"/>
    </row>
    <row r="17927" spans="1:2" x14ac:dyDescent="0.25">
      <c r="A17927" s="118"/>
      <c r="B17927" s="136"/>
    </row>
    <row r="17928" spans="1:2" x14ac:dyDescent="0.25">
      <c r="A17928" s="118"/>
      <c r="B17928" s="136"/>
    </row>
    <row r="17929" spans="1:2" x14ac:dyDescent="0.25">
      <c r="A17929" s="118"/>
      <c r="B17929" s="136"/>
    </row>
    <row r="17930" spans="1:2" x14ac:dyDescent="0.25">
      <c r="A17930" s="118"/>
      <c r="B17930" s="136"/>
    </row>
    <row r="17931" spans="1:2" x14ac:dyDescent="0.25">
      <c r="A17931" s="118"/>
      <c r="B17931" s="136"/>
    </row>
    <row r="17932" spans="1:2" x14ac:dyDescent="0.25">
      <c r="A17932" s="118"/>
      <c r="B17932" s="136"/>
    </row>
    <row r="17933" spans="1:2" x14ac:dyDescent="0.25">
      <c r="A17933" s="118"/>
      <c r="B17933" s="136"/>
    </row>
    <row r="17934" spans="1:2" x14ac:dyDescent="0.25">
      <c r="A17934" s="118"/>
      <c r="B17934" s="136"/>
    </row>
    <row r="17935" spans="1:2" x14ac:dyDescent="0.25">
      <c r="A17935" s="118"/>
      <c r="B17935" s="136"/>
    </row>
    <row r="17936" spans="1:2" x14ac:dyDescent="0.25">
      <c r="A17936" s="118"/>
      <c r="B17936" s="136"/>
    </row>
    <row r="17937" spans="1:2" x14ac:dyDescent="0.25">
      <c r="A17937" s="118"/>
      <c r="B17937" s="136"/>
    </row>
    <row r="17938" spans="1:2" x14ac:dyDescent="0.25">
      <c r="A17938" s="118"/>
      <c r="B17938" s="136"/>
    </row>
    <row r="17939" spans="1:2" x14ac:dyDescent="0.25">
      <c r="A17939" s="118"/>
      <c r="B17939" s="136"/>
    </row>
    <row r="17940" spans="1:2" x14ac:dyDescent="0.25">
      <c r="A17940" s="118"/>
      <c r="B17940" s="136"/>
    </row>
    <row r="17941" spans="1:2" x14ac:dyDescent="0.25">
      <c r="A17941" s="118"/>
      <c r="B17941" s="136"/>
    </row>
    <row r="17942" spans="1:2" x14ac:dyDescent="0.25">
      <c r="A17942" s="118"/>
      <c r="B17942" s="136"/>
    </row>
    <row r="17943" spans="1:2" x14ac:dyDescent="0.25">
      <c r="A17943" s="118"/>
      <c r="B17943" s="136"/>
    </row>
    <row r="17944" spans="1:2" x14ac:dyDescent="0.25">
      <c r="A17944" s="118"/>
      <c r="B17944" s="136"/>
    </row>
    <row r="17945" spans="1:2" x14ac:dyDescent="0.25">
      <c r="A17945" s="118"/>
      <c r="B17945" s="136"/>
    </row>
    <row r="17946" spans="1:2" x14ac:dyDescent="0.25">
      <c r="A17946" s="118"/>
      <c r="B17946" s="136"/>
    </row>
    <row r="17947" spans="1:2" x14ac:dyDescent="0.25">
      <c r="A17947" s="118"/>
      <c r="B17947" s="136"/>
    </row>
    <row r="17948" spans="1:2" x14ac:dyDescent="0.25">
      <c r="A17948" s="118"/>
      <c r="B17948" s="136"/>
    </row>
    <row r="17949" spans="1:2" x14ac:dyDescent="0.25">
      <c r="A17949" s="118"/>
      <c r="B17949" s="136"/>
    </row>
    <row r="17950" spans="1:2" x14ac:dyDescent="0.25">
      <c r="A17950" s="118"/>
      <c r="B17950" s="136"/>
    </row>
    <row r="17951" spans="1:2" x14ac:dyDescent="0.25">
      <c r="A17951" s="118"/>
      <c r="B17951" s="136"/>
    </row>
    <row r="17952" spans="1:2" x14ac:dyDescent="0.25">
      <c r="A17952" s="118"/>
      <c r="B17952" s="136"/>
    </row>
    <row r="17953" spans="1:2" x14ac:dyDescent="0.25">
      <c r="A17953" s="118"/>
      <c r="B17953" s="136"/>
    </row>
    <row r="17954" spans="1:2" x14ac:dyDescent="0.25">
      <c r="A17954" s="118"/>
      <c r="B17954" s="136"/>
    </row>
    <row r="17955" spans="1:2" x14ac:dyDescent="0.25">
      <c r="A17955" s="118"/>
      <c r="B17955" s="136"/>
    </row>
    <row r="17956" spans="1:2" x14ac:dyDescent="0.25">
      <c r="A17956" s="118"/>
      <c r="B17956" s="136"/>
    </row>
    <row r="17957" spans="1:2" x14ac:dyDescent="0.25">
      <c r="A17957" s="118"/>
      <c r="B17957" s="136"/>
    </row>
    <row r="17958" spans="1:2" x14ac:dyDescent="0.25">
      <c r="A17958" s="118"/>
      <c r="B17958" s="136"/>
    </row>
    <row r="17959" spans="1:2" x14ac:dyDescent="0.25">
      <c r="A17959" s="118"/>
      <c r="B17959" s="136"/>
    </row>
    <row r="17960" spans="1:2" x14ac:dyDescent="0.25">
      <c r="A17960" s="118"/>
      <c r="B17960" s="136"/>
    </row>
    <row r="17961" spans="1:2" x14ac:dyDescent="0.25">
      <c r="A17961" s="118"/>
      <c r="B17961" s="136"/>
    </row>
    <row r="17962" spans="1:2" x14ac:dyDescent="0.25">
      <c r="A17962" s="118"/>
      <c r="B17962" s="136"/>
    </row>
    <row r="17963" spans="1:2" x14ac:dyDescent="0.25">
      <c r="A17963" s="118"/>
      <c r="B17963" s="136"/>
    </row>
    <row r="17964" spans="1:2" x14ac:dyDescent="0.25">
      <c r="A17964" s="118"/>
      <c r="B17964" s="136"/>
    </row>
    <row r="17965" spans="1:2" x14ac:dyDescent="0.25">
      <c r="A17965" s="118"/>
      <c r="B17965" s="136"/>
    </row>
    <row r="17966" spans="1:2" x14ac:dyDescent="0.25">
      <c r="A17966" s="118"/>
      <c r="B17966" s="136"/>
    </row>
    <row r="17967" spans="1:2" x14ac:dyDescent="0.25">
      <c r="A17967" s="118"/>
      <c r="B17967" s="136"/>
    </row>
    <row r="17968" spans="1:2" x14ac:dyDescent="0.25">
      <c r="A17968" s="118"/>
      <c r="B17968" s="136"/>
    </row>
    <row r="17969" spans="1:2" x14ac:dyDescent="0.25">
      <c r="A17969" s="118"/>
      <c r="B17969" s="136"/>
    </row>
    <row r="17970" spans="1:2" x14ac:dyDescent="0.25">
      <c r="A17970" s="118"/>
      <c r="B17970" s="136"/>
    </row>
    <row r="17971" spans="1:2" x14ac:dyDescent="0.25">
      <c r="A17971" s="118"/>
      <c r="B17971" s="136"/>
    </row>
    <row r="17972" spans="1:2" x14ac:dyDescent="0.25">
      <c r="A17972" s="118"/>
      <c r="B17972" s="136"/>
    </row>
    <row r="17973" spans="1:2" x14ac:dyDescent="0.25">
      <c r="A17973" s="118"/>
      <c r="B17973" s="136"/>
    </row>
    <row r="17974" spans="1:2" x14ac:dyDescent="0.25">
      <c r="A17974" s="118"/>
      <c r="B17974" s="136"/>
    </row>
    <row r="17975" spans="1:2" x14ac:dyDescent="0.25">
      <c r="A17975" s="118"/>
      <c r="B17975" s="136"/>
    </row>
    <row r="17976" spans="1:2" x14ac:dyDescent="0.25">
      <c r="A17976" s="118"/>
      <c r="B17976" s="136"/>
    </row>
    <row r="17977" spans="1:2" x14ac:dyDescent="0.25">
      <c r="A17977" s="118"/>
      <c r="B17977" s="136"/>
    </row>
    <row r="17978" spans="1:2" x14ac:dyDescent="0.25">
      <c r="A17978" s="118"/>
      <c r="B17978" s="136"/>
    </row>
    <row r="17979" spans="1:2" x14ac:dyDescent="0.25">
      <c r="A17979" s="118"/>
      <c r="B17979" s="136"/>
    </row>
    <row r="17980" spans="1:2" x14ac:dyDescent="0.25">
      <c r="A17980" s="118"/>
      <c r="B17980" s="136"/>
    </row>
    <row r="17981" spans="1:2" x14ac:dyDescent="0.25">
      <c r="A17981" s="118"/>
      <c r="B17981" s="136"/>
    </row>
    <row r="17982" spans="1:2" x14ac:dyDescent="0.25">
      <c r="A17982" s="118"/>
      <c r="B17982" s="136"/>
    </row>
    <row r="17983" spans="1:2" x14ac:dyDescent="0.25">
      <c r="A17983" s="118"/>
      <c r="B17983" s="136"/>
    </row>
    <row r="17984" spans="1:2" x14ac:dyDescent="0.25">
      <c r="A17984" s="118"/>
      <c r="B17984" s="136"/>
    </row>
    <row r="17985" spans="1:2" x14ac:dyDescent="0.25">
      <c r="A17985" s="118"/>
      <c r="B17985" s="136"/>
    </row>
    <row r="17986" spans="1:2" x14ac:dyDescent="0.25">
      <c r="A17986" s="118"/>
      <c r="B17986" s="136"/>
    </row>
    <row r="17987" spans="1:2" x14ac:dyDescent="0.25">
      <c r="A17987" s="118"/>
      <c r="B17987" s="136"/>
    </row>
    <row r="17988" spans="1:2" x14ac:dyDescent="0.25">
      <c r="A17988" s="118"/>
      <c r="B17988" s="136"/>
    </row>
    <row r="17989" spans="1:2" x14ac:dyDescent="0.25">
      <c r="A17989" s="118"/>
      <c r="B17989" s="136"/>
    </row>
    <row r="17990" spans="1:2" x14ac:dyDescent="0.25">
      <c r="A17990" s="118"/>
      <c r="B17990" s="136"/>
    </row>
    <row r="17991" spans="1:2" x14ac:dyDescent="0.25">
      <c r="A17991" s="118"/>
      <c r="B17991" s="136"/>
    </row>
    <row r="17992" spans="1:2" x14ac:dyDescent="0.25">
      <c r="A17992" s="118"/>
      <c r="B17992" s="136"/>
    </row>
    <row r="17993" spans="1:2" x14ac:dyDescent="0.25">
      <c r="A17993" s="118"/>
      <c r="B17993" s="136"/>
    </row>
    <row r="17994" spans="1:2" x14ac:dyDescent="0.25">
      <c r="A17994" s="118"/>
      <c r="B17994" s="136"/>
    </row>
    <row r="17995" spans="1:2" x14ac:dyDescent="0.25">
      <c r="A17995" s="118"/>
      <c r="B17995" s="136"/>
    </row>
    <row r="17996" spans="1:2" x14ac:dyDescent="0.25">
      <c r="A17996" s="118"/>
      <c r="B17996" s="136"/>
    </row>
    <row r="17997" spans="1:2" x14ac:dyDescent="0.25">
      <c r="A17997" s="118"/>
      <c r="B17997" s="136"/>
    </row>
    <row r="17998" spans="1:2" x14ac:dyDescent="0.25">
      <c r="A17998" s="118"/>
      <c r="B17998" s="136"/>
    </row>
    <row r="17999" spans="1:2" x14ac:dyDescent="0.25">
      <c r="A17999" s="118"/>
      <c r="B17999" s="136"/>
    </row>
    <row r="18000" spans="1:2" x14ac:dyDescent="0.25">
      <c r="A18000" s="118"/>
      <c r="B18000" s="136"/>
    </row>
    <row r="18001" spans="1:2" x14ac:dyDescent="0.25">
      <c r="A18001" s="118"/>
      <c r="B18001" s="136"/>
    </row>
    <row r="18002" spans="1:2" x14ac:dyDescent="0.25">
      <c r="A18002" s="118"/>
      <c r="B18002" s="136"/>
    </row>
    <row r="18003" spans="1:2" x14ac:dyDescent="0.25">
      <c r="A18003" s="118"/>
      <c r="B18003" s="136"/>
    </row>
    <row r="18004" spans="1:2" x14ac:dyDescent="0.25">
      <c r="A18004" s="118"/>
      <c r="B18004" s="136"/>
    </row>
    <row r="18005" spans="1:2" x14ac:dyDescent="0.25">
      <c r="A18005" s="118"/>
      <c r="B18005" s="136"/>
    </row>
    <row r="18006" spans="1:2" x14ac:dyDescent="0.25">
      <c r="A18006" s="118"/>
      <c r="B18006" s="136"/>
    </row>
    <row r="18007" spans="1:2" x14ac:dyDescent="0.25">
      <c r="A18007" s="118"/>
      <c r="B18007" s="136"/>
    </row>
    <row r="18008" spans="1:2" x14ac:dyDescent="0.25">
      <c r="A18008" s="118"/>
      <c r="B18008" s="136"/>
    </row>
    <row r="18009" spans="1:2" x14ac:dyDescent="0.25">
      <c r="A18009" s="118"/>
      <c r="B18009" s="136"/>
    </row>
    <row r="18010" spans="1:2" x14ac:dyDescent="0.25">
      <c r="A18010" s="118"/>
      <c r="B18010" s="136"/>
    </row>
    <row r="18011" spans="1:2" x14ac:dyDescent="0.25">
      <c r="A18011" s="118"/>
      <c r="B18011" s="136"/>
    </row>
    <row r="18012" spans="1:2" x14ac:dyDescent="0.25">
      <c r="A18012" s="118"/>
      <c r="B18012" s="136"/>
    </row>
    <row r="18013" spans="1:2" x14ac:dyDescent="0.25">
      <c r="A18013" s="118"/>
      <c r="B18013" s="136"/>
    </row>
    <row r="18014" spans="1:2" x14ac:dyDescent="0.25">
      <c r="A18014" s="118"/>
      <c r="B18014" s="136"/>
    </row>
    <row r="18015" spans="1:2" x14ac:dyDescent="0.25">
      <c r="A18015" s="118"/>
      <c r="B18015" s="136"/>
    </row>
    <row r="18016" spans="1:2" x14ac:dyDescent="0.25">
      <c r="A18016" s="118"/>
      <c r="B18016" s="136"/>
    </row>
    <row r="18017" spans="1:2" x14ac:dyDescent="0.25">
      <c r="A18017" s="118"/>
      <c r="B18017" s="136"/>
    </row>
    <row r="18018" spans="1:2" x14ac:dyDescent="0.25">
      <c r="A18018" s="118"/>
      <c r="B18018" s="136"/>
    </row>
    <row r="18019" spans="1:2" x14ac:dyDescent="0.25">
      <c r="A18019" s="118"/>
      <c r="B18019" s="136"/>
    </row>
    <row r="18020" spans="1:2" x14ac:dyDescent="0.25">
      <c r="A18020" s="118"/>
      <c r="B18020" s="136"/>
    </row>
    <row r="18021" spans="1:2" x14ac:dyDescent="0.25">
      <c r="A18021" s="118"/>
      <c r="B18021" s="136"/>
    </row>
    <row r="18022" spans="1:2" x14ac:dyDescent="0.25">
      <c r="A18022" s="118"/>
      <c r="B18022" s="136"/>
    </row>
    <row r="18023" spans="1:2" x14ac:dyDescent="0.25">
      <c r="A18023" s="118"/>
      <c r="B18023" s="136"/>
    </row>
    <row r="18024" spans="1:2" x14ac:dyDescent="0.25">
      <c r="A18024" s="118"/>
      <c r="B18024" s="136"/>
    </row>
    <row r="18025" spans="1:2" x14ac:dyDescent="0.25">
      <c r="A18025" s="118"/>
      <c r="B18025" s="136"/>
    </row>
    <row r="18026" spans="1:2" x14ac:dyDescent="0.25">
      <c r="A18026" s="118"/>
      <c r="B18026" s="136"/>
    </row>
    <row r="18027" spans="1:2" x14ac:dyDescent="0.25">
      <c r="A18027" s="118"/>
      <c r="B18027" s="136"/>
    </row>
    <row r="18028" spans="1:2" x14ac:dyDescent="0.25">
      <c r="A18028" s="118"/>
      <c r="B18028" s="136"/>
    </row>
    <row r="18029" spans="1:2" x14ac:dyDescent="0.25">
      <c r="A18029" s="118"/>
      <c r="B18029" s="136"/>
    </row>
    <row r="18030" spans="1:2" x14ac:dyDescent="0.25">
      <c r="A18030" s="118"/>
      <c r="B18030" s="136"/>
    </row>
    <row r="18031" spans="1:2" x14ac:dyDescent="0.25">
      <c r="A18031" s="118"/>
      <c r="B18031" s="136"/>
    </row>
    <row r="18032" spans="1:2" x14ac:dyDescent="0.25">
      <c r="A18032" s="118"/>
      <c r="B18032" s="136"/>
    </row>
    <row r="18033" spans="1:2" x14ac:dyDescent="0.25">
      <c r="A18033" s="118"/>
      <c r="B18033" s="136"/>
    </row>
    <row r="18034" spans="1:2" x14ac:dyDescent="0.25">
      <c r="A18034" s="118"/>
      <c r="B18034" s="136"/>
    </row>
    <row r="18035" spans="1:2" x14ac:dyDescent="0.25">
      <c r="A18035" s="118"/>
      <c r="B18035" s="136"/>
    </row>
    <row r="18036" spans="1:2" x14ac:dyDescent="0.25">
      <c r="A18036" s="118"/>
      <c r="B18036" s="136"/>
    </row>
    <row r="18037" spans="1:2" x14ac:dyDescent="0.25">
      <c r="A18037" s="118"/>
      <c r="B18037" s="136"/>
    </row>
    <row r="18038" spans="1:2" x14ac:dyDescent="0.25">
      <c r="A18038" s="118"/>
      <c r="B18038" s="136"/>
    </row>
    <row r="18039" spans="1:2" x14ac:dyDescent="0.25">
      <c r="A18039" s="118"/>
      <c r="B18039" s="136"/>
    </row>
    <row r="18040" spans="1:2" x14ac:dyDescent="0.25">
      <c r="A18040" s="118"/>
      <c r="B18040" s="136"/>
    </row>
    <row r="18041" spans="1:2" x14ac:dyDescent="0.25">
      <c r="A18041" s="118"/>
      <c r="B18041" s="136"/>
    </row>
    <row r="18042" spans="1:2" x14ac:dyDescent="0.25">
      <c r="A18042" s="118"/>
      <c r="B18042" s="136"/>
    </row>
    <row r="18043" spans="1:2" x14ac:dyDescent="0.25">
      <c r="A18043" s="118"/>
      <c r="B18043" s="136"/>
    </row>
    <row r="18044" spans="1:2" x14ac:dyDescent="0.25">
      <c r="A18044" s="118"/>
      <c r="B18044" s="136"/>
    </row>
    <row r="18045" spans="1:2" x14ac:dyDescent="0.25">
      <c r="A18045" s="118"/>
      <c r="B18045" s="136"/>
    </row>
    <row r="18046" spans="1:2" x14ac:dyDescent="0.25">
      <c r="A18046" s="118"/>
      <c r="B18046" s="136"/>
    </row>
    <row r="18047" spans="1:2" x14ac:dyDescent="0.25">
      <c r="A18047" s="118"/>
      <c r="B18047" s="136"/>
    </row>
    <row r="18048" spans="1:2" x14ac:dyDescent="0.25">
      <c r="A18048" s="118"/>
      <c r="B18048" s="136"/>
    </row>
    <row r="18049" spans="1:2" x14ac:dyDescent="0.25">
      <c r="A18049" s="118"/>
      <c r="B18049" s="136"/>
    </row>
    <row r="18050" spans="1:2" x14ac:dyDescent="0.25">
      <c r="A18050" s="118"/>
      <c r="B18050" s="136"/>
    </row>
    <row r="18051" spans="1:2" x14ac:dyDescent="0.25">
      <c r="A18051" s="118"/>
      <c r="B18051" s="136"/>
    </row>
    <row r="18052" spans="1:2" x14ac:dyDescent="0.25">
      <c r="A18052" s="118"/>
      <c r="B18052" s="136"/>
    </row>
    <row r="18053" spans="1:2" x14ac:dyDescent="0.25">
      <c r="A18053" s="118"/>
      <c r="B18053" s="136"/>
    </row>
    <row r="18054" spans="1:2" x14ac:dyDescent="0.25">
      <c r="A18054" s="118"/>
      <c r="B18054" s="136"/>
    </row>
    <row r="18055" spans="1:2" x14ac:dyDescent="0.25">
      <c r="A18055" s="118"/>
      <c r="B18055" s="136"/>
    </row>
    <row r="18056" spans="1:2" x14ac:dyDescent="0.25">
      <c r="A18056" s="118"/>
      <c r="B18056" s="136"/>
    </row>
    <row r="18057" spans="1:2" x14ac:dyDescent="0.25">
      <c r="A18057" s="118"/>
      <c r="B18057" s="136"/>
    </row>
    <row r="18058" spans="1:2" x14ac:dyDescent="0.25">
      <c r="A18058" s="118"/>
      <c r="B18058" s="136"/>
    </row>
    <row r="18059" spans="1:2" x14ac:dyDescent="0.25">
      <c r="A18059" s="118"/>
      <c r="B18059" s="136"/>
    </row>
    <row r="18060" spans="1:2" x14ac:dyDescent="0.25">
      <c r="A18060" s="118"/>
      <c r="B18060" s="136"/>
    </row>
    <row r="18061" spans="1:2" x14ac:dyDescent="0.25">
      <c r="A18061" s="118"/>
      <c r="B18061" s="136"/>
    </row>
    <row r="18062" spans="1:2" x14ac:dyDescent="0.25">
      <c r="A18062" s="118"/>
      <c r="B18062" s="136"/>
    </row>
    <row r="18063" spans="1:2" x14ac:dyDescent="0.25">
      <c r="A18063" s="118"/>
      <c r="B18063" s="136"/>
    </row>
    <row r="18064" spans="1:2" x14ac:dyDescent="0.25">
      <c r="A18064" s="118"/>
      <c r="B18064" s="136"/>
    </row>
    <row r="18065" spans="1:2" x14ac:dyDescent="0.25">
      <c r="A18065" s="118"/>
      <c r="B18065" s="136"/>
    </row>
    <row r="18066" spans="1:2" x14ac:dyDescent="0.25">
      <c r="A18066" s="118"/>
      <c r="B18066" s="136"/>
    </row>
    <row r="18067" spans="1:2" x14ac:dyDescent="0.25">
      <c r="A18067" s="118"/>
      <c r="B18067" s="136"/>
    </row>
    <row r="18068" spans="1:2" x14ac:dyDescent="0.25">
      <c r="A18068" s="118"/>
      <c r="B18068" s="136"/>
    </row>
    <row r="18069" spans="1:2" x14ac:dyDescent="0.25">
      <c r="A18069" s="118"/>
      <c r="B18069" s="136"/>
    </row>
    <row r="18070" spans="1:2" x14ac:dyDescent="0.25">
      <c r="A18070" s="118"/>
      <c r="B18070" s="136"/>
    </row>
    <row r="18071" spans="1:2" x14ac:dyDescent="0.25">
      <c r="A18071" s="118"/>
      <c r="B18071" s="136"/>
    </row>
    <row r="18072" spans="1:2" x14ac:dyDescent="0.25">
      <c r="A18072" s="118"/>
      <c r="B18072" s="136"/>
    </row>
    <row r="18073" spans="1:2" x14ac:dyDescent="0.25">
      <c r="A18073" s="118"/>
      <c r="B18073" s="136"/>
    </row>
    <row r="18074" spans="1:2" x14ac:dyDescent="0.25">
      <c r="A18074" s="118"/>
      <c r="B18074" s="136"/>
    </row>
    <row r="18075" spans="1:2" x14ac:dyDescent="0.25">
      <c r="A18075" s="118"/>
      <c r="B18075" s="136"/>
    </row>
    <row r="18076" spans="1:2" x14ac:dyDescent="0.25">
      <c r="A18076" s="118"/>
      <c r="B18076" s="136"/>
    </row>
    <row r="18077" spans="1:2" x14ac:dyDescent="0.25">
      <c r="A18077" s="118"/>
      <c r="B18077" s="136"/>
    </row>
    <row r="18078" spans="1:2" x14ac:dyDescent="0.25">
      <c r="A18078" s="118"/>
      <c r="B18078" s="136"/>
    </row>
    <row r="18079" spans="1:2" x14ac:dyDescent="0.25">
      <c r="A18079" s="118"/>
      <c r="B18079" s="136"/>
    </row>
    <row r="18080" spans="1:2" x14ac:dyDescent="0.25">
      <c r="A18080" s="118"/>
      <c r="B18080" s="136"/>
    </row>
    <row r="18081" spans="1:2" x14ac:dyDescent="0.25">
      <c r="A18081" s="118"/>
      <c r="B18081" s="136"/>
    </row>
    <row r="18082" spans="1:2" x14ac:dyDescent="0.25">
      <c r="A18082" s="118"/>
      <c r="B18082" s="136"/>
    </row>
    <row r="18083" spans="1:2" x14ac:dyDescent="0.25">
      <c r="A18083" s="118"/>
      <c r="B18083" s="136"/>
    </row>
    <row r="18084" spans="1:2" x14ac:dyDescent="0.25">
      <c r="A18084" s="118"/>
      <c r="B18084" s="136"/>
    </row>
    <row r="18085" spans="1:2" x14ac:dyDescent="0.25">
      <c r="A18085" s="118"/>
      <c r="B18085" s="136"/>
    </row>
    <row r="18086" spans="1:2" x14ac:dyDescent="0.25">
      <c r="A18086" s="118"/>
      <c r="B18086" s="136"/>
    </row>
    <row r="18087" spans="1:2" x14ac:dyDescent="0.25">
      <c r="A18087" s="118"/>
      <c r="B18087" s="136"/>
    </row>
    <row r="18088" spans="1:2" x14ac:dyDescent="0.25">
      <c r="A18088" s="118"/>
      <c r="B18088" s="136"/>
    </row>
    <row r="18089" spans="1:2" x14ac:dyDescent="0.25">
      <c r="A18089" s="118"/>
      <c r="B18089" s="136"/>
    </row>
    <row r="18090" spans="1:2" x14ac:dyDescent="0.25">
      <c r="A18090" s="118"/>
      <c r="B18090" s="136"/>
    </row>
    <row r="18091" spans="1:2" x14ac:dyDescent="0.25">
      <c r="A18091" s="118"/>
      <c r="B18091" s="136"/>
    </row>
    <row r="18092" spans="1:2" x14ac:dyDescent="0.25">
      <c r="A18092" s="118"/>
      <c r="B18092" s="136"/>
    </row>
    <row r="18093" spans="1:2" x14ac:dyDescent="0.25">
      <c r="A18093" s="118"/>
      <c r="B18093" s="136"/>
    </row>
    <row r="18094" spans="1:2" x14ac:dyDescent="0.25">
      <c r="A18094" s="118"/>
      <c r="B18094" s="136"/>
    </row>
    <row r="18095" spans="1:2" x14ac:dyDescent="0.25">
      <c r="A18095" s="118"/>
      <c r="B18095" s="136"/>
    </row>
    <row r="18096" spans="1:2" x14ac:dyDescent="0.25">
      <c r="A18096" s="118"/>
      <c r="B18096" s="136"/>
    </row>
    <row r="18097" spans="1:2" x14ac:dyDescent="0.25">
      <c r="A18097" s="118"/>
      <c r="B18097" s="136"/>
    </row>
    <row r="18098" spans="1:2" x14ac:dyDescent="0.25">
      <c r="A18098" s="118"/>
      <c r="B18098" s="136"/>
    </row>
    <row r="18099" spans="1:2" x14ac:dyDescent="0.25">
      <c r="A18099" s="118"/>
      <c r="B18099" s="136"/>
    </row>
    <row r="18100" spans="1:2" x14ac:dyDescent="0.25">
      <c r="A18100" s="118"/>
      <c r="B18100" s="136"/>
    </row>
    <row r="18101" spans="1:2" x14ac:dyDescent="0.25">
      <c r="A18101" s="118"/>
      <c r="B18101" s="136"/>
    </row>
    <row r="18102" spans="1:2" x14ac:dyDescent="0.25">
      <c r="A18102" s="118"/>
      <c r="B18102" s="136"/>
    </row>
    <row r="18103" spans="1:2" x14ac:dyDescent="0.25">
      <c r="A18103" s="118"/>
      <c r="B18103" s="136"/>
    </row>
    <row r="18104" spans="1:2" x14ac:dyDescent="0.25">
      <c r="A18104" s="118"/>
      <c r="B18104" s="136"/>
    </row>
    <row r="18105" spans="1:2" x14ac:dyDescent="0.25">
      <c r="A18105" s="118"/>
      <c r="B18105" s="136"/>
    </row>
    <row r="18106" spans="1:2" x14ac:dyDescent="0.25">
      <c r="A18106" s="118"/>
      <c r="B18106" s="136"/>
    </row>
    <row r="18107" spans="1:2" x14ac:dyDescent="0.25">
      <c r="A18107" s="118"/>
      <c r="B18107" s="136"/>
    </row>
    <row r="18108" spans="1:2" x14ac:dyDescent="0.25">
      <c r="A18108" s="118"/>
      <c r="B18108" s="136"/>
    </row>
    <row r="18109" spans="1:2" x14ac:dyDescent="0.25">
      <c r="A18109" s="118"/>
      <c r="B18109" s="136"/>
    </row>
    <row r="18110" spans="1:2" x14ac:dyDescent="0.25">
      <c r="A18110" s="118"/>
      <c r="B18110" s="136"/>
    </row>
    <row r="18111" spans="1:2" x14ac:dyDescent="0.25">
      <c r="A18111" s="118"/>
      <c r="B18111" s="136"/>
    </row>
    <row r="18112" spans="1:2" x14ac:dyDescent="0.25">
      <c r="A18112" s="118"/>
      <c r="B18112" s="136"/>
    </row>
    <row r="18113" spans="1:2" x14ac:dyDescent="0.25">
      <c r="A18113" s="118"/>
      <c r="B18113" s="136"/>
    </row>
    <row r="18114" spans="1:2" x14ac:dyDescent="0.25">
      <c r="A18114" s="118"/>
      <c r="B18114" s="136"/>
    </row>
    <row r="18115" spans="1:2" x14ac:dyDescent="0.25">
      <c r="A18115" s="118"/>
      <c r="B18115" s="136"/>
    </row>
    <row r="18116" spans="1:2" x14ac:dyDescent="0.25">
      <c r="A18116" s="118"/>
      <c r="B18116" s="136"/>
    </row>
    <row r="18117" spans="1:2" x14ac:dyDescent="0.25">
      <c r="A18117" s="118"/>
      <c r="B18117" s="136"/>
    </row>
    <row r="18118" spans="1:2" x14ac:dyDescent="0.25">
      <c r="A18118" s="118"/>
      <c r="B18118" s="136"/>
    </row>
    <row r="18119" spans="1:2" x14ac:dyDescent="0.25">
      <c r="A18119" s="118"/>
      <c r="B18119" s="136"/>
    </row>
    <row r="18120" spans="1:2" x14ac:dyDescent="0.25">
      <c r="A18120" s="118"/>
      <c r="B18120" s="136"/>
    </row>
    <row r="18121" spans="1:2" x14ac:dyDescent="0.25">
      <c r="A18121" s="118"/>
      <c r="B18121" s="136"/>
    </row>
    <row r="18122" spans="1:2" x14ac:dyDescent="0.25">
      <c r="A18122" s="118"/>
      <c r="B18122" s="136"/>
    </row>
    <row r="18123" spans="1:2" x14ac:dyDescent="0.25">
      <c r="A18123" s="118"/>
      <c r="B18123" s="136"/>
    </row>
    <row r="18124" spans="1:2" x14ac:dyDescent="0.25">
      <c r="A18124" s="118"/>
      <c r="B18124" s="136"/>
    </row>
    <row r="18125" spans="1:2" x14ac:dyDescent="0.25">
      <c r="A18125" s="118"/>
      <c r="B18125" s="136"/>
    </row>
    <row r="18126" spans="1:2" x14ac:dyDescent="0.25">
      <c r="A18126" s="118"/>
      <c r="B18126" s="136"/>
    </row>
    <row r="18127" spans="1:2" x14ac:dyDescent="0.25">
      <c r="A18127" s="118"/>
      <c r="B18127" s="136"/>
    </row>
    <row r="18128" spans="1:2" x14ac:dyDescent="0.25">
      <c r="A18128" s="118"/>
      <c r="B18128" s="136"/>
    </row>
    <row r="18129" spans="1:2" x14ac:dyDescent="0.25">
      <c r="A18129" s="118"/>
      <c r="B18129" s="136"/>
    </row>
    <row r="18130" spans="1:2" x14ac:dyDescent="0.25">
      <c r="A18130" s="118"/>
      <c r="B18130" s="136"/>
    </row>
    <row r="18131" spans="1:2" x14ac:dyDescent="0.25">
      <c r="A18131" s="118"/>
      <c r="B18131" s="136"/>
    </row>
    <row r="18132" spans="1:2" x14ac:dyDescent="0.25">
      <c r="A18132" s="118"/>
      <c r="B18132" s="136"/>
    </row>
    <row r="18133" spans="1:2" x14ac:dyDescent="0.25">
      <c r="A18133" s="118"/>
      <c r="B18133" s="136"/>
    </row>
    <row r="18134" spans="1:2" x14ac:dyDescent="0.25">
      <c r="A18134" s="118"/>
      <c r="B18134" s="136"/>
    </row>
    <row r="18135" spans="1:2" x14ac:dyDescent="0.25">
      <c r="A18135" s="118"/>
      <c r="B18135" s="136"/>
    </row>
    <row r="18136" spans="1:2" x14ac:dyDescent="0.25">
      <c r="A18136" s="118"/>
      <c r="B18136" s="136"/>
    </row>
    <row r="18137" spans="1:2" x14ac:dyDescent="0.25">
      <c r="A18137" s="118"/>
      <c r="B18137" s="136"/>
    </row>
    <row r="18138" spans="1:2" x14ac:dyDescent="0.25">
      <c r="A18138" s="118"/>
      <c r="B18138" s="136"/>
    </row>
    <row r="18139" spans="1:2" x14ac:dyDescent="0.25">
      <c r="A18139" s="118"/>
      <c r="B18139" s="136"/>
    </row>
    <row r="18140" spans="1:2" x14ac:dyDescent="0.25">
      <c r="A18140" s="118"/>
      <c r="B18140" s="136"/>
    </row>
    <row r="18141" spans="1:2" x14ac:dyDescent="0.25">
      <c r="A18141" s="118"/>
      <c r="B18141" s="136"/>
    </row>
    <row r="18142" spans="1:2" x14ac:dyDescent="0.25">
      <c r="A18142" s="118"/>
      <c r="B18142" s="136"/>
    </row>
    <row r="18143" spans="1:2" x14ac:dyDescent="0.25">
      <c r="A18143" s="118"/>
      <c r="B18143" s="136"/>
    </row>
    <row r="18144" spans="1:2" x14ac:dyDescent="0.25">
      <c r="A18144" s="118"/>
      <c r="B18144" s="136"/>
    </row>
    <row r="18145" spans="1:2" x14ac:dyDescent="0.25">
      <c r="A18145" s="118"/>
      <c r="B18145" s="136"/>
    </row>
    <row r="18146" spans="1:2" x14ac:dyDescent="0.25">
      <c r="A18146" s="118"/>
      <c r="B18146" s="136"/>
    </row>
    <row r="18147" spans="1:2" x14ac:dyDescent="0.25">
      <c r="A18147" s="118"/>
      <c r="B18147" s="136"/>
    </row>
    <row r="18148" spans="1:2" x14ac:dyDescent="0.25">
      <c r="A18148" s="118"/>
      <c r="B18148" s="136"/>
    </row>
    <row r="18149" spans="1:2" x14ac:dyDescent="0.25">
      <c r="A18149" s="118"/>
      <c r="B18149" s="136"/>
    </row>
    <row r="18150" spans="1:2" x14ac:dyDescent="0.25">
      <c r="A18150" s="118"/>
      <c r="B18150" s="136"/>
    </row>
    <row r="18151" spans="1:2" x14ac:dyDescent="0.25">
      <c r="A18151" s="118"/>
      <c r="B18151" s="136"/>
    </row>
    <row r="18152" spans="1:2" x14ac:dyDescent="0.25">
      <c r="A18152" s="118"/>
      <c r="B18152" s="136"/>
    </row>
    <row r="18153" spans="1:2" x14ac:dyDescent="0.25">
      <c r="A18153" s="118"/>
      <c r="B18153" s="136"/>
    </row>
    <row r="18154" spans="1:2" x14ac:dyDescent="0.25">
      <c r="A18154" s="118"/>
      <c r="B18154" s="136"/>
    </row>
    <row r="18155" spans="1:2" x14ac:dyDescent="0.25">
      <c r="A18155" s="118"/>
      <c r="B18155" s="136"/>
    </row>
    <row r="18156" spans="1:2" x14ac:dyDescent="0.25">
      <c r="A18156" s="118"/>
      <c r="B18156" s="136"/>
    </row>
    <row r="18157" spans="1:2" x14ac:dyDescent="0.25">
      <c r="A18157" s="118"/>
      <c r="B18157" s="136"/>
    </row>
    <row r="18158" spans="1:2" x14ac:dyDescent="0.25">
      <c r="A18158" s="118"/>
      <c r="B18158" s="136"/>
    </row>
    <row r="18159" spans="1:2" x14ac:dyDescent="0.25">
      <c r="A18159" s="118"/>
      <c r="B18159" s="136"/>
    </row>
    <row r="18160" spans="1:2" x14ac:dyDescent="0.25">
      <c r="A18160" s="118"/>
      <c r="B18160" s="136"/>
    </row>
    <row r="18161" spans="1:2" x14ac:dyDescent="0.25">
      <c r="A18161" s="118"/>
      <c r="B18161" s="136"/>
    </row>
    <row r="18162" spans="1:2" x14ac:dyDescent="0.25">
      <c r="A18162" s="118"/>
      <c r="B18162" s="136"/>
    </row>
    <row r="18163" spans="1:2" x14ac:dyDescent="0.25">
      <c r="A18163" s="118"/>
      <c r="B18163" s="136"/>
    </row>
    <row r="18164" spans="1:2" x14ac:dyDescent="0.25">
      <c r="A18164" s="118"/>
      <c r="B18164" s="136"/>
    </row>
    <row r="18165" spans="1:2" x14ac:dyDescent="0.25">
      <c r="A18165" s="118"/>
      <c r="B18165" s="136"/>
    </row>
    <row r="18166" spans="1:2" x14ac:dyDescent="0.25">
      <c r="A18166" s="118"/>
      <c r="B18166" s="136"/>
    </row>
    <row r="18167" spans="1:2" x14ac:dyDescent="0.25">
      <c r="A18167" s="118"/>
      <c r="B18167" s="136"/>
    </row>
    <row r="18168" spans="1:2" x14ac:dyDescent="0.25">
      <c r="A18168" s="118"/>
      <c r="B18168" s="136"/>
    </row>
    <row r="18169" spans="1:2" x14ac:dyDescent="0.25">
      <c r="A18169" s="118"/>
      <c r="B18169" s="136"/>
    </row>
    <row r="18170" spans="1:2" x14ac:dyDescent="0.25">
      <c r="A18170" s="118"/>
      <c r="B18170" s="136"/>
    </row>
    <row r="18171" spans="1:2" x14ac:dyDescent="0.25">
      <c r="A18171" s="118"/>
      <c r="B18171" s="136"/>
    </row>
    <row r="18172" spans="1:2" x14ac:dyDescent="0.25">
      <c r="A18172" s="118"/>
      <c r="B18172" s="136"/>
    </row>
    <row r="18173" spans="1:2" x14ac:dyDescent="0.25">
      <c r="A18173" s="118"/>
      <c r="B18173" s="136"/>
    </row>
    <row r="18174" spans="1:2" x14ac:dyDescent="0.25">
      <c r="A18174" s="118"/>
      <c r="B18174" s="136"/>
    </row>
    <row r="18175" spans="1:2" x14ac:dyDescent="0.25">
      <c r="A18175" s="118"/>
      <c r="B18175" s="136"/>
    </row>
    <row r="18176" spans="1:2" x14ac:dyDescent="0.25">
      <c r="A18176" s="118"/>
      <c r="B18176" s="136"/>
    </row>
    <row r="18177" spans="1:2" x14ac:dyDescent="0.25">
      <c r="A18177" s="118"/>
      <c r="B18177" s="136"/>
    </row>
    <row r="18178" spans="1:2" x14ac:dyDescent="0.25">
      <c r="A18178" s="118"/>
      <c r="B18178" s="136"/>
    </row>
    <row r="18179" spans="1:2" x14ac:dyDescent="0.25">
      <c r="A18179" s="118"/>
      <c r="B18179" s="136"/>
    </row>
    <row r="18180" spans="1:2" x14ac:dyDescent="0.25">
      <c r="A18180" s="118"/>
      <c r="B18180" s="136"/>
    </row>
    <row r="18181" spans="1:2" x14ac:dyDescent="0.25">
      <c r="A18181" s="118"/>
      <c r="B18181" s="136"/>
    </row>
    <row r="18182" spans="1:2" x14ac:dyDescent="0.25">
      <c r="A18182" s="118"/>
      <c r="B18182" s="136"/>
    </row>
    <row r="18183" spans="1:2" x14ac:dyDescent="0.25">
      <c r="A18183" s="118"/>
      <c r="B18183" s="136"/>
    </row>
    <row r="18184" spans="1:2" x14ac:dyDescent="0.25">
      <c r="A18184" s="118"/>
      <c r="B18184" s="136"/>
    </row>
    <row r="18185" spans="1:2" x14ac:dyDescent="0.25">
      <c r="A18185" s="118"/>
      <c r="B18185" s="136"/>
    </row>
    <row r="18186" spans="1:2" x14ac:dyDescent="0.25">
      <c r="A18186" s="118"/>
      <c r="B18186" s="136"/>
    </row>
    <row r="18187" spans="1:2" x14ac:dyDescent="0.25">
      <c r="A18187" s="118"/>
      <c r="B18187" s="136"/>
    </row>
    <row r="18188" spans="1:2" x14ac:dyDescent="0.25">
      <c r="A18188" s="118"/>
      <c r="B18188" s="136"/>
    </row>
    <row r="18189" spans="1:2" x14ac:dyDescent="0.25">
      <c r="A18189" s="118"/>
      <c r="B18189" s="136"/>
    </row>
    <row r="18190" spans="1:2" x14ac:dyDescent="0.25">
      <c r="A18190" s="118"/>
      <c r="B18190" s="136"/>
    </row>
    <row r="18191" spans="1:2" x14ac:dyDescent="0.25">
      <c r="A18191" s="118"/>
      <c r="B18191" s="136"/>
    </row>
    <row r="18192" spans="1:2" x14ac:dyDescent="0.25">
      <c r="A18192" s="118"/>
      <c r="B18192" s="136"/>
    </row>
    <row r="18193" spans="1:2" x14ac:dyDescent="0.25">
      <c r="A18193" s="118"/>
      <c r="B18193" s="136"/>
    </row>
    <row r="18194" spans="1:2" x14ac:dyDescent="0.25">
      <c r="A18194" s="118"/>
      <c r="B18194" s="136"/>
    </row>
    <row r="18195" spans="1:2" x14ac:dyDescent="0.25">
      <c r="A18195" s="118"/>
      <c r="B18195" s="136"/>
    </row>
    <row r="18196" spans="1:2" x14ac:dyDescent="0.25">
      <c r="A18196" s="118"/>
      <c r="B18196" s="136"/>
    </row>
    <row r="18197" spans="1:2" x14ac:dyDescent="0.25">
      <c r="A18197" s="118"/>
      <c r="B18197" s="136"/>
    </row>
    <row r="18198" spans="1:2" x14ac:dyDescent="0.25">
      <c r="A18198" s="118"/>
      <c r="B18198" s="136"/>
    </row>
    <row r="18199" spans="1:2" x14ac:dyDescent="0.25">
      <c r="A18199" s="118"/>
      <c r="B18199" s="136"/>
    </row>
    <row r="18200" spans="1:2" x14ac:dyDescent="0.25">
      <c r="A18200" s="118"/>
      <c r="B18200" s="136"/>
    </row>
    <row r="18201" spans="1:2" x14ac:dyDescent="0.25">
      <c r="A18201" s="118"/>
      <c r="B18201" s="136"/>
    </row>
    <row r="18202" spans="1:2" x14ac:dyDescent="0.25">
      <c r="A18202" s="118"/>
      <c r="B18202" s="136"/>
    </row>
    <row r="18203" spans="1:2" x14ac:dyDescent="0.25">
      <c r="A18203" s="118"/>
      <c r="B18203" s="136"/>
    </row>
    <row r="18204" spans="1:2" x14ac:dyDescent="0.25">
      <c r="A18204" s="118"/>
      <c r="B18204" s="136"/>
    </row>
    <row r="18205" spans="1:2" x14ac:dyDescent="0.25">
      <c r="A18205" s="118"/>
      <c r="B18205" s="136"/>
    </row>
    <row r="18206" spans="1:2" x14ac:dyDescent="0.25">
      <c r="A18206" s="118"/>
      <c r="B18206" s="136"/>
    </row>
    <row r="18207" spans="1:2" x14ac:dyDescent="0.25">
      <c r="A18207" s="118"/>
      <c r="B18207" s="136"/>
    </row>
    <row r="18208" spans="1:2" x14ac:dyDescent="0.25">
      <c r="A18208" s="118"/>
      <c r="B18208" s="136"/>
    </row>
    <row r="18209" spans="1:2" x14ac:dyDescent="0.25">
      <c r="A18209" s="118"/>
      <c r="B18209" s="136"/>
    </row>
    <row r="18210" spans="1:2" x14ac:dyDescent="0.25">
      <c r="A18210" s="118"/>
      <c r="B18210" s="136"/>
    </row>
    <row r="18211" spans="1:2" x14ac:dyDescent="0.25">
      <c r="A18211" s="118"/>
      <c r="B18211" s="136"/>
    </row>
    <row r="18212" spans="1:2" x14ac:dyDescent="0.25">
      <c r="A18212" s="118"/>
      <c r="B18212" s="136"/>
    </row>
    <row r="18213" spans="1:2" x14ac:dyDescent="0.25">
      <c r="A18213" s="118"/>
      <c r="B18213" s="136"/>
    </row>
    <row r="18214" spans="1:2" x14ac:dyDescent="0.25">
      <c r="A18214" s="118"/>
      <c r="B18214" s="136"/>
    </row>
    <row r="18215" spans="1:2" x14ac:dyDescent="0.25">
      <c r="A18215" s="118"/>
      <c r="B18215" s="136"/>
    </row>
    <row r="18216" spans="1:2" x14ac:dyDescent="0.25">
      <c r="A18216" s="118"/>
      <c r="B18216" s="136"/>
    </row>
    <row r="18217" spans="1:2" x14ac:dyDescent="0.25">
      <c r="A18217" s="118"/>
      <c r="B18217" s="136"/>
    </row>
    <row r="18218" spans="1:2" x14ac:dyDescent="0.25">
      <c r="A18218" s="118"/>
      <c r="B18218" s="136"/>
    </row>
    <row r="18219" spans="1:2" x14ac:dyDescent="0.25">
      <c r="A18219" s="118"/>
      <c r="B18219" s="136"/>
    </row>
    <row r="18220" spans="1:2" x14ac:dyDescent="0.25">
      <c r="A18220" s="118"/>
      <c r="B18220" s="136"/>
    </row>
    <row r="18221" spans="1:2" x14ac:dyDescent="0.25">
      <c r="A18221" s="118"/>
      <c r="B18221" s="136"/>
    </row>
    <row r="18222" spans="1:2" x14ac:dyDescent="0.25">
      <c r="A18222" s="118"/>
      <c r="B18222" s="136"/>
    </row>
    <row r="18223" spans="1:2" x14ac:dyDescent="0.25">
      <c r="A18223" s="118"/>
      <c r="B18223" s="136"/>
    </row>
    <row r="18224" spans="1:2" x14ac:dyDescent="0.25">
      <c r="A18224" s="118"/>
      <c r="B18224" s="136"/>
    </row>
    <row r="18225" spans="1:2" x14ac:dyDescent="0.25">
      <c r="A18225" s="118"/>
      <c r="B18225" s="136"/>
    </row>
    <row r="18226" spans="1:2" x14ac:dyDescent="0.25">
      <c r="A18226" s="118"/>
      <c r="B18226" s="136"/>
    </row>
    <row r="18227" spans="1:2" x14ac:dyDescent="0.25">
      <c r="A18227" s="118"/>
      <c r="B18227" s="136"/>
    </row>
    <row r="18228" spans="1:2" x14ac:dyDescent="0.25">
      <c r="A18228" s="118"/>
      <c r="B18228" s="136"/>
    </row>
    <row r="18229" spans="1:2" x14ac:dyDescent="0.25">
      <c r="A18229" s="118"/>
      <c r="B18229" s="136"/>
    </row>
    <row r="18230" spans="1:2" x14ac:dyDescent="0.25">
      <c r="A18230" s="118"/>
      <c r="B18230" s="136"/>
    </row>
    <row r="18231" spans="1:2" x14ac:dyDescent="0.25">
      <c r="A18231" s="118"/>
      <c r="B18231" s="136"/>
    </row>
    <row r="18232" spans="1:2" x14ac:dyDescent="0.25">
      <c r="A18232" s="118"/>
      <c r="B18232" s="136"/>
    </row>
    <row r="18233" spans="1:2" x14ac:dyDescent="0.25">
      <c r="A18233" s="118"/>
      <c r="B18233" s="136"/>
    </row>
    <row r="18234" spans="1:2" x14ac:dyDescent="0.25">
      <c r="A18234" s="118"/>
      <c r="B18234" s="136"/>
    </row>
    <row r="18235" spans="1:2" x14ac:dyDescent="0.25">
      <c r="A18235" s="118"/>
      <c r="B18235" s="136"/>
    </row>
    <row r="18236" spans="1:2" x14ac:dyDescent="0.25">
      <c r="A18236" s="118"/>
      <c r="B18236" s="136"/>
    </row>
    <row r="18237" spans="1:2" x14ac:dyDescent="0.25">
      <c r="A18237" s="118"/>
      <c r="B18237" s="136"/>
    </row>
    <row r="18238" spans="1:2" x14ac:dyDescent="0.25">
      <c r="A18238" s="118"/>
      <c r="B18238" s="136"/>
    </row>
    <row r="18239" spans="1:2" x14ac:dyDescent="0.25">
      <c r="A18239" s="118"/>
      <c r="B18239" s="136"/>
    </row>
    <row r="18240" spans="1:2" x14ac:dyDescent="0.25">
      <c r="A18240" s="118"/>
      <c r="B18240" s="136"/>
    </row>
    <row r="18241" spans="1:2" x14ac:dyDescent="0.25">
      <c r="A18241" s="118"/>
      <c r="B18241" s="136"/>
    </row>
    <row r="18242" spans="1:2" x14ac:dyDescent="0.25">
      <c r="A18242" s="118"/>
      <c r="B18242" s="136"/>
    </row>
    <row r="18243" spans="1:2" x14ac:dyDescent="0.25">
      <c r="A18243" s="118"/>
      <c r="B18243" s="136"/>
    </row>
    <row r="18244" spans="1:2" x14ac:dyDescent="0.25">
      <c r="A18244" s="118"/>
      <c r="B18244" s="136"/>
    </row>
    <row r="18245" spans="1:2" x14ac:dyDescent="0.25">
      <c r="A18245" s="118"/>
      <c r="B18245" s="136"/>
    </row>
    <row r="18246" spans="1:2" x14ac:dyDescent="0.25">
      <c r="A18246" s="118"/>
      <c r="B18246" s="136"/>
    </row>
    <row r="18247" spans="1:2" x14ac:dyDescent="0.25">
      <c r="A18247" s="118"/>
      <c r="B18247" s="136"/>
    </row>
    <row r="18248" spans="1:2" x14ac:dyDescent="0.25">
      <c r="A18248" s="118"/>
      <c r="B18248" s="136"/>
    </row>
    <row r="18249" spans="1:2" x14ac:dyDescent="0.25">
      <c r="A18249" s="118"/>
      <c r="B18249" s="136"/>
    </row>
    <row r="18250" spans="1:2" x14ac:dyDescent="0.25">
      <c r="A18250" s="118"/>
      <c r="B18250" s="136"/>
    </row>
    <row r="18251" spans="1:2" x14ac:dyDescent="0.25">
      <c r="A18251" s="118"/>
      <c r="B18251" s="136"/>
    </row>
    <row r="18252" spans="1:2" x14ac:dyDescent="0.25">
      <c r="A18252" s="118"/>
      <c r="B18252" s="136"/>
    </row>
    <row r="18253" spans="1:2" x14ac:dyDescent="0.25">
      <c r="A18253" s="118"/>
      <c r="B18253" s="136"/>
    </row>
    <row r="18254" spans="1:2" x14ac:dyDescent="0.25">
      <c r="A18254" s="118"/>
      <c r="B18254" s="136"/>
    </row>
    <row r="18255" spans="1:2" x14ac:dyDescent="0.25">
      <c r="A18255" s="118"/>
      <c r="B18255" s="136"/>
    </row>
    <row r="18256" spans="1:2" x14ac:dyDescent="0.25">
      <c r="A18256" s="118"/>
      <c r="B18256" s="136"/>
    </row>
    <row r="18257" spans="1:2" x14ac:dyDescent="0.25">
      <c r="A18257" s="118"/>
      <c r="B18257" s="136"/>
    </row>
    <row r="18258" spans="1:2" x14ac:dyDescent="0.25">
      <c r="A18258" s="118"/>
      <c r="B18258" s="136"/>
    </row>
    <row r="18259" spans="1:2" x14ac:dyDescent="0.25">
      <c r="A18259" s="118"/>
      <c r="B18259" s="136"/>
    </row>
    <row r="18260" spans="1:2" x14ac:dyDescent="0.25">
      <c r="A18260" s="118"/>
      <c r="B18260" s="136"/>
    </row>
    <row r="18261" spans="1:2" x14ac:dyDescent="0.25">
      <c r="A18261" s="118"/>
      <c r="B18261" s="136"/>
    </row>
    <row r="18262" spans="1:2" x14ac:dyDescent="0.25">
      <c r="A18262" s="118"/>
      <c r="B18262" s="136"/>
    </row>
    <row r="18263" spans="1:2" x14ac:dyDescent="0.25">
      <c r="A18263" s="118"/>
      <c r="B18263" s="136"/>
    </row>
    <row r="18264" spans="1:2" x14ac:dyDescent="0.25">
      <c r="A18264" s="118"/>
      <c r="B18264" s="136"/>
    </row>
    <row r="18265" spans="1:2" x14ac:dyDescent="0.25">
      <c r="A18265" s="118"/>
      <c r="B18265" s="136"/>
    </row>
    <row r="18266" spans="1:2" x14ac:dyDescent="0.25">
      <c r="A18266" s="118"/>
      <c r="B18266" s="136"/>
    </row>
    <row r="18267" spans="1:2" x14ac:dyDescent="0.25">
      <c r="A18267" s="118"/>
      <c r="B18267" s="136"/>
    </row>
    <row r="18268" spans="1:2" x14ac:dyDescent="0.25">
      <c r="A18268" s="118"/>
      <c r="B18268" s="136"/>
    </row>
    <row r="18269" spans="1:2" x14ac:dyDescent="0.25">
      <c r="A18269" s="118"/>
      <c r="B18269" s="136"/>
    </row>
    <row r="18270" spans="1:2" x14ac:dyDescent="0.25">
      <c r="A18270" s="118"/>
      <c r="B18270" s="136"/>
    </row>
    <row r="18271" spans="1:2" x14ac:dyDescent="0.25">
      <c r="A18271" s="118"/>
      <c r="B18271" s="136"/>
    </row>
    <row r="18272" spans="1:2" x14ac:dyDescent="0.25">
      <c r="A18272" s="118"/>
      <c r="B18272" s="136"/>
    </row>
    <row r="18273" spans="1:2" x14ac:dyDescent="0.25">
      <c r="A18273" s="118"/>
      <c r="B18273" s="136"/>
    </row>
    <row r="18274" spans="1:2" x14ac:dyDescent="0.25">
      <c r="A18274" s="118"/>
      <c r="B18274" s="136"/>
    </row>
    <row r="18275" spans="1:2" x14ac:dyDescent="0.25">
      <c r="A18275" s="118"/>
      <c r="B18275" s="136"/>
    </row>
    <row r="18276" spans="1:2" x14ac:dyDescent="0.25">
      <c r="A18276" s="118"/>
      <c r="B18276" s="136"/>
    </row>
    <row r="18277" spans="1:2" x14ac:dyDescent="0.25">
      <c r="A18277" s="118"/>
      <c r="B18277" s="136"/>
    </row>
    <row r="18278" spans="1:2" x14ac:dyDescent="0.25">
      <c r="A18278" s="118"/>
      <c r="B18278" s="136"/>
    </row>
    <row r="18279" spans="1:2" x14ac:dyDescent="0.25">
      <c r="A18279" s="118"/>
      <c r="B18279" s="136"/>
    </row>
    <row r="18280" spans="1:2" x14ac:dyDescent="0.25">
      <c r="A18280" s="118"/>
      <c r="B18280" s="136"/>
    </row>
    <row r="18281" spans="1:2" x14ac:dyDescent="0.25">
      <c r="A18281" s="118"/>
      <c r="B18281" s="136"/>
    </row>
    <row r="18282" spans="1:2" x14ac:dyDescent="0.25">
      <c r="A18282" s="118"/>
      <c r="B18282" s="136"/>
    </row>
    <row r="18283" spans="1:2" x14ac:dyDescent="0.25">
      <c r="A18283" s="118"/>
      <c r="B18283" s="136"/>
    </row>
    <row r="18284" spans="1:2" x14ac:dyDescent="0.25">
      <c r="A18284" s="118"/>
      <c r="B18284" s="136"/>
    </row>
    <row r="18285" spans="1:2" x14ac:dyDescent="0.25">
      <c r="A18285" s="118"/>
      <c r="B18285" s="136"/>
    </row>
    <row r="18286" spans="1:2" x14ac:dyDescent="0.25">
      <c r="A18286" s="118"/>
      <c r="B18286" s="136"/>
    </row>
    <row r="18287" spans="1:2" x14ac:dyDescent="0.25">
      <c r="A18287" s="118"/>
      <c r="B18287" s="136"/>
    </row>
    <row r="18288" spans="1:2" x14ac:dyDescent="0.25">
      <c r="A18288" s="118"/>
      <c r="B18288" s="136"/>
    </row>
    <row r="18289" spans="1:2" x14ac:dyDescent="0.25">
      <c r="A18289" s="118"/>
      <c r="B18289" s="136"/>
    </row>
    <row r="18290" spans="1:2" x14ac:dyDescent="0.25">
      <c r="A18290" s="118"/>
      <c r="B18290" s="136"/>
    </row>
    <row r="18291" spans="1:2" x14ac:dyDescent="0.25">
      <c r="A18291" s="118"/>
      <c r="B18291" s="136"/>
    </row>
    <row r="18292" spans="1:2" x14ac:dyDescent="0.25">
      <c r="A18292" s="118"/>
      <c r="B18292" s="136"/>
    </row>
    <row r="18293" spans="1:2" x14ac:dyDescent="0.25">
      <c r="A18293" s="118"/>
      <c r="B18293" s="136"/>
    </row>
    <row r="18294" spans="1:2" x14ac:dyDescent="0.25">
      <c r="A18294" s="118"/>
      <c r="B18294" s="136"/>
    </row>
    <row r="18295" spans="1:2" x14ac:dyDescent="0.25">
      <c r="A18295" s="118"/>
      <c r="B18295" s="136"/>
    </row>
    <row r="18296" spans="1:2" x14ac:dyDescent="0.25">
      <c r="A18296" s="118"/>
      <c r="B18296" s="136"/>
    </row>
    <row r="18297" spans="1:2" x14ac:dyDescent="0.25">
      <c r="A18297" s="118"/>
      <c r="B18297" s="136"/>
    </row>
    <row r="18298" spans="1:2" x14ac:dyDescent="0.25">
      <c r="A18298" s="118"/>
      <c r="B18298" s="136"/>
    </row>
    <row r="18299" spans="1:2" x14ac:dyDescent="0.25">
      <c r="A18299" s="118"/>
      <c r="B18299" s="136"/>
    </row>
    <row r="18300" spans="1:2" x14ac:dyDescent="0.25">
      <c r="A18300" s="118"/>
      <c r="B18300" s="136"/>
    </row>
    <row r="18301" spans="1:2" x14ac:dyDescent="0.25">
      <c r="A18301" s="118"/>
      <c r="B18301" s="136"/>
    </row>
    <row r="18302" spans="1:2" x14ac:dyDescent="0.25">
      <c r="A18302" s="118"/>
      <c r="B18302" s="136"/>
    </row>
    <row r="18303" spans="1:2" x14ac:dyDescent="0.25">
      <c r="A18303" s="118"/>
      <c r="B18303" s="136"/>
    </row>
    <row r="18304" spans="1:2" x14ac:dyDescent="0.25">
      <c r="A18304" s="118"/>
      <c r="B18304" s="136"/>
    </row>
    <row r="18305" spans="1:2" x14ac:dyDescent="0.25">
      <c r="A18305" s="118"/>
      <c r="B18305" s="136"/>
    </row>
    <row r="18306" spans="1:2" x14ac:dyDescent="0.25">
      <c r="A18306" s="118"/>
      <c r="B18306" s="136"/>
    </row>
    <row r="18307" spans="1:2" x14ac:dyDescent="0.25">
      <c r="A18307" s="118"/>
      <c r="B18307" s="136"/>
    </row>
    <row r="18308" spans="1:2" x14ac:dyDescent="0.25">
      <c r="A18308" s="118"/>
      <c r="B18308" s="136"/>
    </row>
    <row r="18309" spans="1:2" x14ac:dyDescent="0.25">
      <c r="A18309" s="118"/>
      <c r="B18309" s="136"/>
    </row>
    <row r="18310" spans="1:2" x14ac:dyDescent="0.25">
      <c r="A18310" s="118"/>
      <c r="B18310" s="136"/>
    </row>
    <row r="18311" spans="1:2" x14ac:dyDescent="0.25">
      <c r="A18311" s="118"/>
      <c r="B18311" s="136"/>
    </row>
    <row r="18312" spans="1:2" x14ac:dyDescent="0.25">
      <c r="A18312" s="118"/>
      <c r="B18312" s="136"/>
    </row>
    <row r="18313" spans="1:2" x14ac:dyDescent="0.25">
      <c r="A18313" s="118"/>
      <c r="B18313" s="136"/>
    </row>
    <row r="18314" spans="1:2" x14ac:dyDescent="0.25">
      <c r="A18314" s="118"/>
      <c r="B18314" s="136"/>
    </row>
    <row r="18315" spans="1:2" x14ac:dyDescent="0.25">
      <c r="A18315" s="118"/>
      <c r="B18315" s="136"/>
    </row>
    <row r="18316" spans="1:2" x14ac:dyDescent="0.25">
      <c r="A18316" s="118"/>
      <c r="B18316" s="136"/>
    </row>
    <row r="18317" spans="1:2" x14ac:dyDescent="0.25">
      <c r="A18317" s="118"/>
      <c r="B18317" s="136"/>
    </row>
    <row r="18318" spans="1:2" x14ac:dyDescent="0.25">
      <c r="A18318" s="118"/>
      <c r="B18318" s="136"/>
    </row>
    <row r="18319" spans="1:2" x14ac:dyDescent="0.25">
      <c r="A18319" s="118"/>
      <c r="B18319" s="136"/>
    </row>
    <row r="18320" spans="1:2" x14ac:dyDescent="0.25">
      <c r="A18320" s="118"/>
      <c r="B18320" s="136"/>
    </row>
    <row r="18321" spans="1:2" x14ac:dyDescent="0.25">
      <c r="A18321" s="118"/>
      <c r="B18321" s="136"/>
    </row>
    <row r="18322" spans="1:2" x14ac:dyDescent="0.25">
      <c r="A18322" s="118"/>
      <c r="B18322" s="136"/>
    </row>
    <row r="18323" spans="1:2" x14ac:dyDescent="0.25">
      <c r="A18323" s="118"/>
      <c r="B18323" s="136"/>
    </row>
    <row r="18324" spans="1:2" x14ac:dyDescent="0.25">
      <c r="A18324" s="118"/>
      <c r="B18324" s="136"/>
    </row>
    <row r="18325" spans="1:2" x14ac:dyDescent="0.25">
      <c r="A18325" s="118"/>
      <c r="B18325" s="136"/>
    </row>
    <row r="18326" spans="1:2" x14ac:dyDescent="0.25">
      <c r="A18326" s="118"/>
      <c r="B18326" s="136"/>
    </row>
    <row r="18327" spans="1:2" x14ac:dyDescent="0.25">
      <c r="A18327" s="118"/>
      <c r="B18327" s="136"/>
    </row>
    <row r="18328" spans="1:2" x14ac:dyDescent="0.25">
      <c r="A18328" s="118"/>
      <c r="B18328" s="136"/>
    </row>
    <row r="18329" spans="1:2" x14ac:dyDescent="0.25">
      <c r="A18329" s="118"/>
      <c r="B18329" s="136"/>
    </row>
    <row r="18330" spans="1:2" x14ac:dyDescent="0.25">
      <c r="A18330" s="118"/>
      <c r="B18330" s="136"/>
    </row>
    <row r="18331" spans="1:2" x14ac:dyDescent="0.25">
      <c r="A18331" s="118"/>
      <c r="B18331" s="136"/>
    </row>
    <row r="18332" spans="1:2" x14ac:dyDescent="0.25">
      <c r="A18332" s="118"/>
      <c r="B18332" s="136"/>
    </row>
    <row r="18333" spans="1:2" x14ac:dyDescent="0.25">
      <c r="A18333" s="118"/>
      <c r="B18333" s="136"/>
    </row>
    <row r="18334" spans="1:2" x14ac:dyDescent="0.25">
      <c r="A18334" s="118"/>
      <c r="B18334" s="136"/>
    </row>
    <row r="18335" spans="1:2" x14ac:dyDescent="0.25">
      <c r="A18335" s="118"/>
      <c r="B18335" s="136"/>
    </row>
    <row r="18336" spans="1:2" x14ac:dyDescent="0.25">
      <c r="A18336" s="118"/>
      <c r="B18336" s="136"/>
    </row>
    <row r="18337" spans="1:2" x14ac:dyDescent="0.25">
      <c r="A18337" s="118"/>
      <c r="B18337" s="136"/>
    </row>
    <row r="18338" spans="1:2" x14ac:dyDescent="0.25">
      <c r="A18338" s="118"/>
      <c r="B18338" s="136"/>
    </row>
    <row r="18339" spans="1:2" x14ac:dyDescent="0.25">
      <c r="A18339" s="118"/>
      <c r="B18339" s="136"/>
    </row>
    <row r="18340" spans="1:2" x14ac:dyDescent="0.25">
      <c r="A18340" s="118"/>
      <c r="B18340" s="136"/>
    </row>
    <row r="18341" spans="1:2" x14ac:dyDescent="0.25">
      <c r="A18341" s="118"/>
      <c r="B18341" s="136"/>
    </row>
    <row r="18342" spans="1:2" x14ac:dyDescent="0.25">
      <c r="A18342" s="118"/>
      <c r="B18342" s="136"/>
    </row>
    <row r="18343" spans="1:2" x14ac:dyDescent="0.25">
      <c r="A18343" s="118"/>
      <c r="B18343" s="136"/>
    </row>
    <row r="18344" spans="1:2" x14ac:dyDescent="0.25">
      <c r="A18344" s="118"/>
      <c r="B18344" s="136"/>
    </row>
    <row r="18345" spans="1:2" x14ac:dyDescent="0.25">
      <c r="A18345" s="118"/>
      <c r="B18345" s="136"/>
    </row>
    <row r="18346" spans="1:2" x14ac:dyDescent="0.25">
      <c r="A18346" s="118"/>
      <c r="B18346" s="136"/>
    </row>
    <row r="18347" spans="1:2" x14ac:dyDescent="0.25">
      <c r="A18347" s="118"/>
      <c r="B18347" s="136"/>
    </row>
    <row r="18348" spans="1:2" x14ac:dyDescent="0.25">
      <c r="A18348" s="118"/>
      <c r="B18348" s="136"/>
    </row>
    <row r="18349" spans="1:2" x14ac:dyDescent="0.25">
      <c r="A18349" s="118"/>
      <c r="B18349" s="136"/>
    </row>
    <row r="18350" spans="1:2" x14ac:dyDescent="0.25">
      <c r="A18350" s="118"/>
      <c r="B18350" s="136"/>
    </row>
    <row r="18351" spans="1:2" x14ac:dyDescent="0.25">
      <c r="A18351" s="118"/>
      <c r="B18351" s="136"/>
    </row>
    <row r="18352" spans="1:2" x14ac:dyDescent="0.25">
      <c r="A18352" s="118"/>
      <c r="B18352" s="136"/>
    </row>
    <row r="18353" spans="1:2" x14ac:dyDescent="0.25">
      <c r="A18353" s="118"/>
      <c r="B18353" s="136"/>
    </row>
    <row r="18354" spans="1:2" x14ac:dyDescent="0.25">
      <c r="A18354" s="118"/>
      <c r="B18354" s="136"/>
    </row>
    <row r="18355" spans="1:2" x14ac:dyDescent="0.25">
      <c r="A18355" s="118"/>
      <c r="B18355" s="136"/>
    </row>
    <row r="18356" spans="1:2" x14ac:dyDescent="0.25">
      <c r="A18356" s="118"/>
      <c r="B18356" s="136"/>
    </row>
    <row r="18357" spans="1:2" x14ac:dyDescent="0.25">
      <c r="A18357" s="118"/>
      <c r="B18357" s="136"/>
    </row>
    <row r="18358" spans="1:2" x14ac:dyDescent="0.25">
      <c r="A18358" s="118"/>
      <c r="B18358" s="136"/>
    </row>
    <row r="18359" spans="1:2" x14ac:dyDescent="0.25">
      <c r="A18359" s="118"/>
      <c r="B18359" s="136"/>
    </row>
    <row r="18360" spans="1:2" x14ac:dyDescent="0.25">
      <c r="A18360" s="118"/>
      <c r="B18360" s="136"/>
    </row>
    <row r="18361" spans="1:2" x14ac:dyDescent="0.25">
      <c r="A18361" s="118"/>
      <c r="B18361" s="136"/>
    </row>
    <row r="18362" spans="1:2" x14ac:dyDescent="0.25">
      <c r="A18362" s="118"/>
      <c r="B18362" s="136"/>
    </row>
    <row r="18363" spans="1:2" x14ac:dyDescent="0.25">
      <c r="A18363" s="118"/>
      <c r="B18363" s="136"/>
    </row>
    <row r="18364" spans="1:2" x14ac:dyDescent="0.25">
      <c r="A18364" s="118"/>
      <c r="B18364" s="136"/>
    </row>
    <row r="18365" spans="1:2" x14ac:dyDescent="0.25">
      <c r="A18365" s="118"/>
      <c r="B18365" s="136"/>
    </row>
    <row r="18366" spans="1:2" x14ac:dyDescent="0.25">
      <c r="A18366" s="118"/>
      <c r="B18366" s="136"/>
    </row>
    <row r="18367" spans="1:2" x14ac:dyDescent="0.25">
      <c r="A18367" s="118"/>
      <c r="B18367" s="136"/>
    </row>
    <row r="18368" spans="1:2" x14ac:dyDescent="0.25">
      <c r="A18368" s="118"/>
      <c r="B18368" s="136"/>
    </row>
    <row r="18369" spans="1:2" x14ac:dyDescent="0.25">
      <c r="A18369" s="118"/>
      <c r="B18369" s="136"/>
    </row>
    <row r="18370" spans="1:2" x14ac:dyDescent="0.25">
      <c r="A18370" s="118"/>
      <c r="B18370" s="136"/>
    </row>
    <row r="18371" spans="1:2" x14ac:dyDescent="0.25">
      <c r="A18371" s="118"/>
      <c r="B18371" s="136"/>
    </row>
    <row r="18372" spans="1:2" x14ac:dyDescent="0.25">
      <c r="A18372" s="118"/>
      <c r="B18372" s="136"/>
    </row>
    <row r="18373" spans="1:2" x14ac:dyDescent="0.25">
      <c r="A18373" s="118"/>
      <c r="B18373" s="136"/>
    </row>
    <row r="18374" spans="1:2" x14ac:dyDescent="0.25">
      <c r="A18374" s="118"/>
      <c r="B18374" s="136"/>
    </row>
    <row r="18375" spans="1:2" x14ac:dyDescent="0.25">
      <c r="A18375" s="118"/>
      <c r="B18375" s="136"/>
    </row>
    <row r="18376" spans="1:2" x14ac:dyDescent="0.25">
      <c r="A18376" s="118"/>
      <c r="B18376" s="136"/>
    </row>
    <row r="18377" spans="1:2" x14ac:dyDescent="0.25">
      <c r="A18377" s="118"/>
      <c r="B18377" s="136"/>
    </row>
    <row r="18378" spans="1:2" x14ac:dyDescent="0.25">
      <c r="A18378" s="118"/>
      <c r="B18378" s="136"/>
    </row>
    <row r="18379" spans="1:2" x14ac:dyDescent="0.25">
      <c r="A18379" s="118"/>
      <c r="B18379" s="136"/>
    </row>
    <row r="18380" spans="1:2" x14ac:dyDescent="0.25">
      <c r="A18380" s="118"/>
      <c r="B18380" s="136"/>
    </row>
    <row r="18381" spans="1:2" x14ac:dyDescent="0.25">
      <c r="A18381" s="118"/>
      <c r="B18381" s="136"/>
    </row>
    <row r="18382" spans="1:2" x14ac:dyDescent="0.25">
      <c r="A18382" s="118"/>
      <c r="B18382" s="136"/>
    </row>
    <row r="18383" spans="1:2" x14ac:dyDescent="0.25">
      <c r="A18383" s="118"/>
      <c r="B18383" s="136"/>
    </row>
    <row r="18384" spans="1:2" x14ac:dyDescent="0.25">
      <c r="A18384" s="118"/>
      <c r="B18384" s="136"/>
    </row>
    <row r="18385" spans="1:2" x14ac:dyDescent="0.25">
      <c r="A18385" s="118"/>
      <c r="B18385" s="136"/>
    </row>
    <row r="18386" spans="1:2" x14ac:dyDescent="0.25">
      <c r="A18386" s="118"/>
      <c r="B18386" s="136"/>
    </row>
    <row r="18387" spans="1:2" x14ac:dyDescent="0.25">
      <c r="A18387" s="118"/>
      <c r="B18387" s="136"/>
    </row>
    <row r="18388" spans="1:2" x14ac:dyDescent="0.25">
      <c r="A18388" s="118"/>
      <c r="B18388" s="136"/>
    </row>
    <row r="18389" spans="1:2" x14ac:dyDescent="0.25">
      <c r="A18389" s="118"/>
      <c r="B18389" s="136"/>
    </row>
    <row r="18390" spans="1:2" x14ac:dyDescent="0.25">
      <c r="A18390" s="118"/>
      <c r="B18390" s="136"/>
    </row>
    <row r="18391" spans="1:2" x14ac:dyDescent="0.25">
      <c r="A18391" s="118"/>
      <c r="B18391" s="136"/>
    </row>
    <row r="18392" spans="1:2" x14ac:dyDescent="0.25">
      <c r="A18392" s="118"/>
      <c r="B18392" s="136"/>
    </row>
    <row r="18393" spans="1:2" x14ac:dyDescent="0.25">
      <c r="A18393" s="118"/>
      <c r="B18393" s="136"/>
    </row>
    <row r="18394" spans="1:2" x14ac:dyDescent="0.25">
      <c r="A18394" s="118"/>
      <c r="B18394" s="136"/>
    </row>
    <row r="18395" spans="1:2" x14ac:dyDescent="0.25">
      <c r="A18395" s="118"/>
      <c r="B18395" s="136"/>
    </row>
    <row r="18396" spans="1:2" x14ac:dyDescent="0.25">
      <c r="A18396" s="118"/>
      <c r="B18396" s="136"/>
    </row>
    <row r="18397" spans="1:2" x14ac:dyDescent="0.25">
      <c r="A18397" s="118"/>
      <c r="B18397" s="136"/>
    </row>
    <row r="18398" spans="1:2" x14ac:dyDescent="0.25">
      <c r="A18398" s="118"/>
      <c r="B18398" s="136"/>
    </row>
    <row r="18399" spans="1:2" x14ac:dyDescent="0.25">
      <c r="A18399" s="118"/>
      <c r="B18399" s="136"/>
    </row>
    <row r="18400" spans="1:2" x14ac:dyDescent="0.25">
      <c r="A18400" s="118"/>
      <c r="B18400" s="136"/>
    </row>
    <row r="18401" spans="1:2" x14ac:dyDescent="0.25">
      <c r="A18401" s="118"/>
      <c r="B18401" s="136"/>
    </row>
    <row r="18402" spans="1:2" x14ac:dyDescent="0.25">
      <c r="A18402" s="118"/>
      <c r="B18402" s="136"/>
    </row>
    <row r="18403" spans="1:2" x14ac:dyDescent="0.25">
      <c r="A18403" s="118"/>
      <c r="B18403" s="136"/>
    </row>
    <row r="18404" spans="1:2" x14ac:dyDescent="0.25">
      <c r="A18404" s="118"/>
      <c r="B18404" s="136"/>
    </row>
    <row r="18405" spans="1:2" x14ac:dyDescent="0.25">
      <c r="A18405" s="118"/>
      <c r="B18405" s="136"/>
    </row>
    <row r="18406" spans="1:2" x14ac:dyDescent="0.25">
      <c r="A18406" s="118"/>
      <c r="B18406" s="136"/>
    </row>
    <row r="18407" spans="1:2" x14ac:dyDescent="0.25">
      <c r="A18407" s="118"/>
      <c r="B18407" s="136"/>
    </row>
    <row r="18408" spans="1:2" x14ac:dyDescent="0.25">
      <c r="A18408" s="118"/>
      <c r="B18408" s="136"/>
    </row>
    <row r="18409" spans="1:2" x14ac:dyDescent="0.25">
      <c r="A18409" s="118"/>
      <c r="B18409" s="136"/>
    </row>
    <row r="18410" spans="1:2" x14ac:dyDescent="0.25">
      <c r="A18410" s="118"/>
      <c r="B18410" s="136"/>
    </row>
    <row r="18411" spans="1:2" x14ac:dyDescent="0.25">
      <c r="A18411" s="118"/>
      <c r="B18411" s="136"/>
    </row>
    <row r="18412" spans="1:2" x14ac:dyDescent="0.25">
      <c r="A18412" s="118"/>
      <c r="B18412" s="136"/>
    </row>
    <row r="18413" spans="1:2" x14ac:dyDescent="0.25">
      <c r="A18413" s="118"/>
      <c r="B18413" s="136"/>
    </row>
    <row r="18414" spans="1:2" x14ac:dyDescent="0.25">
      <c r="A18414" s="118"/>
      <c r="B18414" s="136"/>
    </row>
    <row r="18415" spans="1:2" x14ac:dyDescent="0.25">
      <c r="A18415" s="118"/>
      <c r="B18415" s="136"/>
    </row>
    <row r="18416" spans="1:2" x14ac:dyDescent="0.25">
      <c r="A18416" s="118"/>
      <c r="B18416" s="136"/>
    </row>
    <row r="18417" spans="1:2" x14ac:dyDescent="0.25">
      <c r="A18417" s="118"/>
      <c r="B18417" s="136"/>
    </row>
    <row r="18418" spans="1:2" x14ac:dyDescent="0.25">
      <c r="A18418" s="118"/>
      <c r="B18418" s="136"/>
    </row>
    <row r="18419" spans="1:2" x14ac:dyDescent="0.25">
      <c r="A18419" s="118"/>
      <c r="B18419" s="136"/>
    </row>
    <row r="18420" spans="1:2" x14ac:dyDescent="0.25">
      <c r="A18420" s="118"/>
      <c r="B18420" s="136"/>
    </row>
    <row r="18421" spans="1:2" x14ac:dyDescent="0.25">
      <c r="A18421" s="118"/>
      <c r="B18421" s="136"/>
    </row>
    <row r="18422" spans="1:2" x14ac:dyDescent="0.25">
      <c r="A18422" s="118"/>
      <c r="B18422" s="136"/>
    </row>
    <row r="18423" spans="1:2" x14ac:dyDescent="0.25">
      <c r="A18423" s="118"/>
      <c r="B18423" s="136"/>
    </row>
    <row r="18424" spans="1:2" x14ac:dyDescent="0.25">
      <c r="A18424" s="118"/>
      <c r="B18424" s="136"/>
    </row>
    <row r="18425" spans="1:2" x14ac:dyDescent="0.25">
      <c r="A18425" s="118"/>
      <c r="B18425" s="136"/>
    </row>
    <row r="18426" spans="1:2" x14ac:dyDescent="0.25">
      <c r="A18426" s="118"/>
      <c r="B18426" s="136"/>
    </row>
    <row r="18427" spans="1:2" x14ac:dyDescent="0.25">
      <c r="A18427" s="118"/>
      <c r="B18427" s="136"/>
    </row>
    <row r="18428" spans="1:2" x14ac:dyDescent="0.25">
      <c r="A18428" s="118"/>
      <c r="B18428" s="136"/>
    </row>
    <row r="18429" spans="1:2" x14ac:dyDescent="0.25">
      <c r="A18429" s="118"/>
      <c r="B18429" s="136"/>
    </row>
    <row r="18430" spans="1:2" x14ac:dyDescent="0.25">
      <c r="A18430" s="118"/>
      <c r="B18430" s="136"/>
    </row>
    <row r="18431" spans="1:2" x14ac:dyDescent="0.25">
      <c r="A18431" s="118"/>
      <c r="B18431" s="136"/>
    </row>
    <row r="18432" spans="1:2" x14ac:dyDescent="0.25">
      <c r="A18432" s="118"/>
      <c r="B18432" s="136"/>
    </row>
    <row r="18433" spans="1:2" x14ac:dyDescent="0.25">
      <c r="A18433" s="118"/>
      <c r="B18433" s="136"/>
    </row>
    <row r="18434" spans="1:2" x14ac:dyDescent="0.25">
      <c r="A18434" s="118"/>
      <c r="B18434" s="136"/>
    </row>
    <row r="18435" spans="1:2" x14ac:dyDescent="0.25">
      <c r="A18435" s="118"/>
      <c r="B18435" s="136"/>
    </row>
    <row r="18436" spans="1:2" x14ac:dyDescent="0.25">
      <c r="A18436" s="118"/>
      <c r="B18436" s="136"/>
    </row>
    <row r="18437" spans="1:2" x14ac:dyDescent="0.25">
      <c r="A18437" s="118"/>
      <c r="B18437" s="136"/>
    </row>
    <row r="18438" spans="1:2" x14ac:dyDescent="0.25">
      <c r="A18438" s="118"/>
      <c r="B18438" s="136"/>
    </row>
    <row r="18439" spans="1:2" x14ac:dyDescent="0.25">
      <c r="A18439" s="118"/>
      <c r="B18439" s="136"/>
    </row>
    <row r="18440" spans="1:2" x14ac:dyDescent="0.25">
      <c r="A18440" s="118"/>
      <c r="B18440" s="136"/>
    </row>
    <row r="18441" spans="1:2" x14ac:dyDescent="0.25">
      <c r="A18441" s="118"/>
      <c r="B18441" s="136"/>
    </row>
    <row r="18442" spans="1:2" x14ac:dyDescent="0.25">
      <c r="A18442" s="118"/>
      <c r="B18442" s="136"/>
    </row>
    <row r="18443" spans="1:2" x14ac:dyDescent="0.25">
      <c r="A18443" s="118"/>
      <c r="B18443" s="136"/>
    </row>
    <row r="18444" spans="1:2" x14ac:dyDescent="0.25">
      <c r="A18444" s="118"/>
      <c r="B18444" s="136"/>
    </row>
    <row r="18445" spans="1:2" x14ac:dyDescent="0.25">
      <c r="A18445" s="118"/>
      <c r="B18445" s="136"/>
    </row>
    <row r="18446" spans="1:2" x14ac:dyDescent="0.25">
      <c r="A18446" s="118"/>
      <c r="B18446" s="136"/>
    </row>
    <row r="18447" spans="1:2" x14ac:dyDescent="0.25">
      <c r="A18447" s="118"/>
      <c r="B18447" s="136"/>
    </row>
    <row r="18448" spans="1:2" x14ac:dyDescent="0.25">
      <c r="A18448" s="118"/>
      <c r="B18448" s="136"/>
    </row>
    <row r="18449" spans="1:2" x14ac:dyDescent="0.25">
      <c r="A18449" s="118"/>
      <c r="B18449" s="136"/>
    </row>
    <row r="18450" spans="1:2" x14ac:dyDescent="0.25">
      <c r="A18450" s="118"/>
      <c r="B18450" s="136"/>
    </row>
    <row r="18451" spans="1:2" x14ac:dyDescent="0.25">
      <c r="A18451" s="118"/>
      <c r="B18451" s="136"/>
    </row>
    <row r="18452" spans="1:2" x14ac:dyDescent="0.25">
      <c r="A18452" s="118"/>
      <c r="B18452" s="136"/>
    </row>
    <row r="18453" spans="1:2" x14ac:dyDescent="0.25">
      <c r="A18453" s="118"/>
      <c r="B18453" s="136"/>
    </row>
    <row r="18454" spans="1:2" x14ac:dyDescent="0.25">
      <c r="A18454" s="118"/>
      <c r="B18454" s="136"/>
    </row>
    <row r="18455" spans="1:2" x14ac:dyDescent="0.25">
      <c r="A18455" s="118"/>
      <c r="B18455" s="136"/>
    </row>
    <row r="18456" spans="1:2" x14ac:dyDescent="0.25">
      <c r="A18456" s="118"/>
      <c r="B18456" s="136"/>
    </row>
    <row r="18457" spans="1:2" x14ac:dyDescent="0.25">
      <c r="A18457" s="118"/>
      <c r="B18457" s="136"/>
    </row>
    <row r="18458" spans="1:2" x14ac:dyDescent="0.25">
      <c r="A18458" s="118"/>
      <c r="B18458" s="136"/>
    </row>
    <row r="18459" spans="1:2" x14ac:dyDescent="0.25">
      <c r="A18459" s="118"/>
      <c r="B18459" s="136"/>
    </row>
    <row r="18460" spans="1:2" x14ac:dyDescent="0.25">
      <c r="A18460" s="118"/>
      <c r="B18460" s="136"/>
    </row>
    <row r="18461" spans="1:2" x14ac:dyDescent="0.25">
      <c r="A18461" s="118"/>
      <c r="B18461" s="136"/>
    </row>
    <row r="18462" spans="1:2" x14ac:dyDescent="0.25">
      <c r="A18462" s="118"/>
      <c r="B18462" s="136"/>
    </row>
    <row r="18463" spans="1:2" x14ac:dyDescent="0.25">
      <c r="A18463" s="118"/>
      <c r="B18463" s="136"/>
    </row>
    <row r="18464" spans="1:2" x14ac:dyDescent="0.25">
      <c r="A18464" s="118"/>
      <c r="B18464" s="136"/>
    </row>
    <row r="18465" spans="1:2" x14ac:dyDescent="0.25">
      <c r="A18465" s="118"/>
      <c r="B18465" s="136"/>
    </row>
    <row r="18466" spans="1:2" x14ac:dyDescent="0.25">
      <c r="A18466" s="118"/>
      <c r="B18466" s="136"/>
    </row>
    <row r="18467" spans="1:2" x14ac:dyDescent="0.25">
      <c r="A18467" s="118"/>
      <c r="B18467" s="136"/>
    </row>
    <row r="18468" spans="1:2" x14ac:dyDescent="0.25">
      <c r="A18468" s="118"/>
      <c r="B18468" s="136"/>
    </row>
    <row r="18469" spans="1:2" x14ac:dyDescent="0.25">
      <c r="A18469" s="118"/>
      <c r="B18469" s="136"/>
    </row>
    <row r="18470" spans="1:2" x14ac:dyDescent="0.25">
      <c r="A18470" s="118"/>
      <c r="B18470" s="136"/>
    </row>
    <row r="18471" spans="1:2" x14ac:dyDescent="0.25">
      <c r="A18471" s="118"/>
      <c r="B18471" s="136"/>
    </row>
    <row r="18472" spans="1:2" x14ac:dyDescent="0.25">
      <c r="A18472" s="118"/>
      <c r="B18472" s="136"/>
    </row>
    <row r="18473" spans="1:2" x14ac:dyDescent="0.25">
      <c r="A18473" s="118"/>
      <c r="B18473" s="136"/>
    </row>
    <row r="18474" spans="1:2" x14ac:dyDescent="0.25">
      <c r="A18474" s="118"/>
      <c r="B18474" s="136"/>
    </row>
    <row r="18475" spans="1:2" x14ac:dyDescent="0.25">
      <c r="A18475" s="118"/>
      <c r="B18475" s="136"/>
    </row>
    <row r="18476" spans="1:2" x14ac:dyDescent="0.25">
      <c r="A18476" s="118"/>
      <c r="B18476" s="136"/>
    </row>
    <row r="18477" spans="1:2" x14ac:dyDescent="0.25">
      <c r="A18477" s="118"/>
      <c r="B18477" s="136"/>
    </row>
    <row r="18478" spans="1:2" x14ac:dyDescent="0.25">
      <c r="A18478" s="118"/>
      <c r="B18478" s="136"/>
    </row>
    <row r="18479" spans="1:2" x14ac:dyDescent="0.25">
      <c r="A18479" s="118"/>
      <c r="B18479" s="136"/>
    </row>
    <row r="18480" spans="1:2" x14ac:dyDescent="0.25">
      <c r="A18480" s="118"/>
      <c r="B18480" s="136"/>
    </row>
    <row r="18481" spans="1:2" x14ac:dyDescent="0.25">
      <c r="A18481" s="118"/>
      <c r="B18481" s="136"/>
    </row>
    <row r="18482" spans="1:2" x14ac:dyDescent="0.25">
      <c r="A18482" s="118"/>
      <c r="B18482" s="136"/>
    </row>
    <row r="18483" spans="1:2" x14ac:dyDescent="0.25">
      <c r="A18483" s="118"/>
      <c r="B18483" s="136"/>
    </row>
    <row r="18484" spans="1:2" x14ac:dyDescent="0.25">
      <c r="A18484" s="118"/>
      <c r="B18484" s="136"/>
    </row>
    <row r="18485" spans="1:2" x14ac:dyDescent="0.25">
      <c r="A18485" s="118"/>
      <c r="B18485" s="136"/>
    </row>
    <row r="18486" spans="1:2" x14ac:dyDescent="0.25">
      <c r="A18486" s="118"/>
      <c r="B18486" s="136"/>
    </row>
    <row r="18487" spans="1:2" x14ac:dyDescent="0.25">
      <c r="A18487" s="118"/>
      <c r="B18487" s="136"/>
    </row>
    <row r="18488" spans="1:2" x14ac:dyDescent="0.25">
      <c r="A18488" s="118"/>
      <c r="B18488" s="136"/>
    </row>
    <row r="18489" spans="1:2" x14ac:dyDescent="0.25">
      <c r="A18489" s="118"/>
      <c r="B18489" s="136"/>
    </row>
    <row r="18490" spans="1:2" x14ac:dyDescent="0.25">
      <c r="A18490" s="118"/>
      <c r="B18490" s="136"/>
    </row>
    <row r="18491" spans="1:2" x14ac:dyDescent="0.25">
      <c r="A18491" s="118"/>
      <c r="B18491" s="136"/>
    </row>
    <row r="18492" spans="1:2" x14ac:dyDescent="0.25">
      <c r="A18492" s="118"/>
      <c r="B18492" s="136"/>
    </row>
    <row r="18493" spans="1:2" x14ac:dyDescent="0.25">
      <c r="A18493" s="118"/>
      <c r="B18493" s="136"/>
    </row>
    <row r="18494" spans="1:2" x14ac:dyDescent="0.25">
      <c r="A18494" s="118"/>
      <c r="B18494" s="136"/>
    </row>
    <row r="18495" spans="1:2" x14ac:dyDescent="0.25">
      <c r="A18495" s="118"/>
      <c r="B18495" s="136"/>
    </row>
    <row r="18496" spans="1:2" x14ac:dyDescent="0.25">
      <c r="A18496" s="118"/>
      <c r="B18496" s="136"/>
    </row>
    <row r="18497" spans="1:2" x14ac:dyDescent="0.25">
      <c r="A18497" s="118"/>
      <c r="B18497" s="136"/>
    </row>
    <row r="18498" spans="1:2" x14ac:dyDescent="0.25">
      <c r="A18498" s="118"/>
      <c r="B18498" s="136"/>
    </row>
    <row r="18499" spans="1:2" x14ac:dyDescent="0.25">
      <c r="A18499" s="118"/>
      <c r="B18499" s="136"/>
    </row>
    <row r="18500" spans="1:2" x14ac:dyDescent="0.25">
      <c r="A18500" s="118"/>
      <c r="B18500" s="136"/>
    </row>
    <row r="18501" spans="1:2" x14ac:dyDescent="0.25">
      <c r="A18501" s="118"/>
      <c r="B18501" s="136"/>
    </row>
    <row r="18502" spans="1:2" x14ac:dyDescent="0.25">
      <c r="A18502" s="118"/>
      <c r="B18502" s="136"/>
    </row>
    <row r="18503" spans="1:2" x14ac:dyDescent="0.25">
      <c r="A18503" s="118"/>
      <c r="B18503" s="136"/>
    </row>
    <row r="18504" spans="1:2" x14ac:dyDescent="0.25">
      <c r="A18504" s="118"/>
      <c r="B18504" s="136"/>
    </row>
    <row r="18505" spans="1:2" x14ac:dyDescent="0.25">
      <c r="A18505" s="118"/>
      <c r="B18505" s="136"/>
    </row>
    <row r="18506" spans="1:2" x14ac:dyDescent="0.25">
      <c r="A18506" s="118"/>
      <c r="B18506" s="136"/>
    </row>
    <row r="18507" spans="1:2" x14ac:dyDescent="0.25">
      <c r="A18507" s="118"/>
      <c r="B18507" s="136"/>
    </row>
    <row r="18508" spans="1:2" x14ac:dyDescent="0.25">
      <c r="A18508" s="118"/>
      <c r="B18508" s="136"/>
    </row>
    <row r="18509" spans="1:2" x14ac:dyDescent="0.25">
      <c r="A18509" s="118"/>
      <c r="B18509" s="136"/>
    </row>
    <row r="18510" spans="1:2" x14ac:dyDescent="0.25">
      <c r="A18510" s="118"/>
      <c r="B18510" s="136"/>
    </row>
    <row r="18511" spans="1:2" x14ac:dyDescent="0.25">
      <c r="A18511" s="118"/>
      <c r="B18511" s="136"/>
    </row>
    <row r="18512" spans="1:2" x14ac:dyDescent="0.25">
      <c r="A18512" s="118"/>
      <c r="B18512" s="136"/>
    </row>
    <row r="18513" spans="1:2" x14ac:dyDescent="0.25">
      <c r="A18513" s="118"/>
      <c r="B18513" s="136"/>
    </row>
    <row r="18514" spans="1:2" x14ac:dyDescent="0.25">
      <c r="A18514" s="118"/>
      <c r="B18514" s="136"/>
    </row>
    <row r="18515" spans="1:2" x14ac:dyDescent="0.25">
      <c r="A18515" s="118"/>
      <c r="B18515" s="136"/>
    </row>
    <row r="18516" spans="1:2" x14ac:dyDescent="0.25">
      <c r="A18516" s="118"/>
      <c r="B18516" s="136"/>
    </row>
    <row r="18517" spans="1:2" x14ac:dyDescent="0.25">
      <c r="A18517" s="118"/>
      <c r="B18517" s="136"/>
    </row>
    <row r="18518" spans="1:2" x14ac:dyDescent="0.25">
      <c r="A18518" s="118"/>
      <c r="B18518" s="136"/>
    </row>
    <row r="18519" spans="1:2" x14ac:dyDescent="0.25">
      <c r="A18519" s="118"/>
      <c r="B18519" s="136"/>
    </row>
    <row r="18520" spans="1:2" x14ac:dyDescent="0.25">
      <c r="A18520" s="118"/>
      <c r="B18520" s="136"/>
    </row>
    <row r="18521" spans="1:2" x14ac:dyDescent="0.25">
      <c r="A18521" s="118"/>
      <c r="B18521" s="136"/>
    </row>
    <row r="18522" spans="1:2" x14ac:dyDescent="0.25">
      <c r="A18522" s="118"/>
      <c r="B18522" s="136"/>
    </row>
    <row r="18523" spans="1:2" x14ac:dyDescent="0.25">
      <c r="A18523" s="118"/>
      <c r="B18523" s="136"/>
    </row>
    <row r="18524" spans="1:2" x14ac:dyDescent="0.25">
      <c r="A18524" s="118"/>
      <c r="B18524" s="136"/>
    </row>
    <row r="18525" spans="1:2" x14ac:dyDescent="0.25">
      <c r="A18525" s="118"/>
      <c r="B18525" s="136"/>
    </row>
    <row r="18526" spans="1:2" x14ac:dyDescent="0.25">
      <c r="A18526" s="118"/>
      <c r="B18526" s="136"/>
    </row>
    <row r="18527" spans="1:2" x14ac:dyDescent="0.25">
      <c r="A18527" s="118"/>
      <c r="B18527" s="136"/>
    </row>
    <row r="18528" spans="1:2" x14ac:dyDescent="0.25">
      <c r="A18528" s="118"/>
      <c r="B18528" s="136"/>
    </row>
    <row r="18529" spans="1:2" x14ac:dyDescent="0.25">
      <c r="A18529" s="118"/>
      <c r="B18529" s="136"/>
    </row>
    <row r="18530" spans="1:2" x14ac:dyDescent="0.25">
      <c r="A18530" s="118"/>
      <c r="B18530" s="136"/>
    </row>
    <row r="18531" spans="1:2" x14ac:dyDescent="0.25">
      <c r="A18531" s="118"/>
      <c r="B18531" s="136"/>
    </row>
    <row r="18532" spans="1:2" x14ac:dyDescent="0.25">
      <c r="A18532" s="118"/>
      <c r="B18532" s="136"/>
    </row>
    <row r="18533" spans="1:2" x14ac:dyDescent="0.25">
      <c r="A18533" s="118"/>
      <c r="B18533" s="136"/>
    </row>
    <row r="18534" spans="1:2" x14ac:dyDescent="0.25">
      <c r="A18534" s="118"/>
      <c r="B18534" s="136"/>
    </row>
    <row r="18535" spans="1:2" x14ac:dyDescent="0.25">
      <c r="A18535" s="118"/>
      <c r="B18535" s="136"/>
    </row>
    <row r="18536" spans="1:2" x14ac:dyDescent="0.25">
      <c r="A18536" s="118"/>
      <c r="B18536" s="136"/>
    </row>
    <row r="18537" spans="1:2" x14ac:dyDescent="0.25">
      <c r="A18537" s="118"/>
      <c r="B18537" s="136"/>
    </row>
    <row r="18538" spans="1:2" x14ac:dyDescent="0.25">
      <c r="A18538" s="118"/>
      <c r="B18538" s="136"/>
    </row>
    <row r="18539" spans="1:2" x14ac:dyDescent="0.25">
      <c r="A18539" s="118"/>
      <c r="B18539" s="136"/>
    </row>
    <row r="18540" spans="1:2" x14ac:dyDescent="0.25">
      <c r="A18540" s="118"/>
      <c r="B18540" s="136"/>
    </row>
    <row r="18541" spans="1:2" x14ac:dyDescent="0.25">
      <c r="A18541" s="118"/>
      <c r="B18541" s="136"/>
    </row>
    <row r="18542" spans="1:2" x14ac:dyDescent="0.25">
      <c r="A18542" s="118"/>
      <c r="B18542" s="136"/>
    </row>
    <row r="18543" spans="1:2" x14ac:dyDescent="0.25">
      <c r="A18543" s="118"/>
      <c r="B18543" s="136"/>
    </row>
    <row r="18544" spans="1:2" x14ac:dyDescent="0.25">
      <c r="A18544" s="118"/>
      <c r="B18544" s="136"/>
    </row>
    <row r="18545" spans="1:2" x14ac:dyDescent="0.25">
      <c r="A18545" s="118"/>
      <c r="B18545" s="136"/>
    </row>
    <row r="18546" spans="1:2" x14ac:dyDescent="0.25">
      <c r="A18546" s="118"/>
      <c r="B18546" s="136"/>
    </row>
    <row r="18547" spans="1:2" x14ac:dyDescent="0.25">
      <c r="A18547" s="118"/>
      <c r="B18547" s="136"/>
    </row>
    <row r="18548" spans="1:2" x14ac:dyDescent="0.25">
      <c r="A18548" s="118"/>
      <c r="B18548" s="136"/>
    </row>
    <row r="18549" spans="1:2" x14ac:dyDescent="0.25">
      <c r="A18549" s="118"/>
      <c r="B18549" s="136"/>
    </row>
    <row r="18550" spans="1:2" x14ac:dyDescent="0.25">
      <c r="A18550" s="118"/>
      <c r="B18550" s="136"/>
    </row>
    <row r="18551" spans="1:2" x14ac:dyDescent="0.25">
      <c r="A18551" s="118"/>
      <c r="B18551" s="136"/>
    </row>
    <row r="18552" spans="1:2" x14ac:dyDescent="0.25">
      <c r="A18552" s="118"/>
      <c r="B18552" s="136"/>
    </row>
    <row r="18553" spans="1:2" x14ac:dyDescent="0.25">
      <c r="A18553" s="118"/>
      <c r="B18553" s="136"/>
    </row>
    <row r="18554" spans="1:2" x14ac:dyDescent="0.25">
      <c r="A18554" s="118"/>
      <c r="B18554" s="136"/>
    </row>
    <row r="18555" spans="1:2" x14ac:dyDescent="0.25">
      <c r="A18555" s="118"/>
      <c r="B18555" s="136"/>
    </row>
    <row r="18556" spans="1:2" x14ac:dyDescent="0.25">
      <c r="A18556" s="118"/>
      <c r="B18556" s="136"/>
    </row>
    <row r="18557" spans="1:2" x14ac:dyDescent="0.25">
      <c r="A18557" s="118"/>
      <c r="B18557" s="136"/>
    </row>
    <row r="18558" spans="1:2" x14ac:dyDescent="0.25">
      <c r="A18558" s="118"/>
      <c r="B18558" s="136"/>
    </row>
    <row r="18559" spans="1:2" x14ac:dyDescent="0.25">
      <c r="A18559" s="118"/>
      <c r="B18559" s="136"/>
    </row>
    <row r="18560" spans="1:2" x14ac:dyDescent="0.25">
      <c r="A18560" s="118"/>
      <c r="B18560" s="136"/>
    </row>
    <row r="18561" spans="1:2" x14ac:dyDescent="0.25">
      <c r="A18561" s="118"/>
      <c r="B18561" s="136"/>
    </row>
    <row r="18562" spans="1:2" x14ac:dyDescent="0.25">
      <c r="A18562" s="118"/>
      <c r="B18562" s="136"/>
    </row>
    <row r="18563" spans="1:2" x14ac:dyDescent="0.25">
      <c r="A18563" s="118"/>
      <c r="B18563" s="136"/>
    </row>
    <row r="18564" spans="1:2" x14ac:dyDescent="0.25">
      <c r="A18564" s="118"/>
      <c r="B18564" s="136"/>
    </row>
    <row r="18565" spans="1:2" x14ac:dyDescent="0.25">
      <c r="A18565" s="118"/>
      <c r="B18565" s="136"/>
    </row>
    <row r="18566" spans="1:2" x14ac:dyDescent="0.25">
      <c r="A18566" s="118"/>
      <c r="B18566" s="136"/>
    </row>
    <row r="18567" spans="1:2" x14ac:dyDescent="0.25">
      <c r="A18567" s="118"/>
      <c r="B18567" s="136"/>
    </row>
    <row r="18568" spans="1:2" x14ac:dyDescent="0.25">
      <c r="A18568" s="118"/>
      <c r="B18568" s="136"/>
    </row>
    <row r="18569" spans="1:2" x14ac:dyDescent="0.25">
      <c r="A18569" s="118"/>
      <c r="B18569" s="136"/>
    </row>
    <row r="18570" spans="1:2" x14ac:dyDescent="0.25">
      <c r="A18570" s="118"/>
      <c r="B18570" s="136"/>
    </row>
    <row r="18571" spans="1:2" x14ac:dyDescent="0.25">
      <c r="A18571" s="118"/>
      <c r="B18571" s="136"/>
    </row>
    <row r="18572" spans="1:2" x14ac:dyDescent="0.25">
      <c r="A18572" s="118"/>
      <c r="B18572" s="136"/>
    </row>
    <row r="18573" spans="1:2" x14ac:dyDescent="0.25">
      <c r="A18573" s="118"/>
      <c r="B18573" s="136"/>
    </row>
    <row r="18574" spans="1:2" x14ac:dyDescent="0.25">
      <c r="A18574" s="118"/>
      <c r="B18574" s="136"/>
    </row>
    <row r="18575" spans="1:2" x14ac:dyDescent="0.25">
      <c r="A18575" s="118"/>
      <c r="B18575" s="136"/>
    </row>
    <row r="18576" spans="1:2" x14ac:dyDescent="0.25">
      <c r="A18576" s="118"/>
      <c r="B18576" s="136"/>
    </row>
    <row r="18577" spans="1:2" x14ac:dyDescent="0.25">
      <c r="A18577" s="118"/>
      <c r="B18577" s="136"/>
    </row>
    <row r="18578" spans="1:2" x14ac:dyDescent="0.25">
      <c r="A18578" s="118"/>
      <c r="B18578" s="136"/>
    </row>
    <row r="18579" spans="1:2" x14ac:dyDescent="0.25">
      <c r="A18579" s="118"/>
      <c r="B18579" s="136"/>
    </row>
    <row r="18580" spans="1:2" x14ac:dyDescent="0.25">
      <c r="A18580" s="118"/>
      <c r="B18580" s="136"/>
    </row>
    <row r="18581" spans="1:2" x14ac:dyDescent="0.25">
      <c r="A18581" s="118"/>
      <c r="B18581" s="136"/>
    </row>
    <row r="18582" spans="1:2" x14ac:dyDescent="0.25">
      <c r="A18582" s="118"/>
      <c r="B18582" s="136"/>
    </row>
    <row r="18583" spans="1:2" x14ac:dyDescent="0.25">
      <c r="A18583" s="118"/>
      <c r="B18583" s="136"/>
    </row>
    <row r="18584" spans="1:2" x14ac:dyDescent="0.25">
      <c r="A18584" s="118"/>
      <c r="B18584" s="136"/>
    </row>
    <row r="18585" spans="1:2" x14ac:dyDescent="0.25">
      <c r="A18585" s="118"/>
      <c r="B18585" s="136"/>
    </row>
    <row r="18586" spans="1:2" x14ac:dyDescent="0.25">
      <c r="A18586" s="118"/>
      <c r="B18586" s="136"/>
    </row>
    <row r="18587" spans="1:2" x14ac:dyDescent="0.25">
      <c r="A18587" s="118"/>
      <c r="B18587" s="136"/>
    </row>
    <row r="18588" spans="1:2" x14ac:dyDescent="0.25">
      <c r="A18588" s="118"/>
      <c r="B18588" s="136"/>
    </row>
    <row r="18589" spans="1:2" x14ac:dyDescent="0.25">
      <c r="A18589" s="118"/>
      <c r="B18589" s="136"/>
    </row>
    <row r="18590" spans="1:2" x14ac:dyDescent="0.25">
      <c r="A18590" s="118"/>
      <c r="B18590" s="136"/>
    </row>
    <row r="18591" spans="1:2" x14ac:dyDescent="0.25">
      <c r="A18591" s="118"/>
      <c r="B18591" s="136"/>
    </row>
    <row r="18592" spans="1:2" x14ac:dyDescent="0.25">
      <c r="A18592" s="118"/>
      <c r="B18592" s="136"/>
    </row>
    <row r="18593" spans="1:2" x14ac:dyDescent="0.25">
      <c r="A18593" s="118"/>
      <c r="B18593" s="136"/>
    </row>
    <row r="18594" spans="1:2" x14ac:dyDescent="0.25">
      <c r="A18594" s="118"/>
      <c r="B18594" s="136"/>
    </row>
    <row r="18595" spans="1:2" x14ac:dyDescent="0.25">
      <c r="A18595" s="118"/>
      <c r="B18595" s="136"/>
    </row>
    <row r="18596" spans="1:2" x14ac:dyDescent="0.25">
      <c r="A18596" s="118"/>
      <c r="B18596" s="136"/>
    </row>
    <row r="18597" spans="1:2" x14ac:dyDescent="0.25">
      <c r="A18597" s="118"/>
      <c r="B18597" s="136"/>
    </row>
    <row r="18598" spans="1:2" x14ac:dyDescent="0.25">
      <c r="A18598" s="118"/>
      <c r="B18598" s="136"/>
    </row>
    <row r="18599" spans="1:2" x14ac:dyDescent="0.25">
      <c r="A18599" s="118"/>
      <c r="B18599" s="136"/>
    </row>
    <row r="18600" spans="1:2" x14ac:dyDescent="0.25">
      <c r="A18600" s="118"/>
      <c r="B18600" s="136"/>
    </row>
    <row r="18601" spans="1:2" x14ac:dyDescent="0.25">
      <c r="A18601" s="118"/>
      <c r="B18601" s="136"/>
    </row>
    <row r="18602" spans="1:2" x14ac:dyDescent="0.25">
      <c r="A18602" s="118"/>
      <c r="B18602" s="136"/>
    </row>
    <row r="18603" spans="1:2" x14ac:dyDescent="0.25">
      <c r="A18603" s="118"/>
      <c r="B18603" s="136"/>
    </row>
    <row r="18604" spans="1:2" x14ac:dyDescent="0.25">
      <c r="A18604" s="118"/>
      <c r="B18604" s="136"/>
    </row>
    <row r="18605" spans="1:2" x14ac:dyDescent="0.25">
      <c r="A18605" s="118"/>
      <c r="B18605" s="136"/>
    </row>
    <row r="18606" spans="1:2" x14ac:dyDescent="0.25">
      <c r="A18606" s="118"/>
      <c r="B18606" s="136"/>
    </row>
    <row r="18607" spans="1:2" x14ac:dyDescent="0.25">
      <c r="A18607" s="118"/>
      <c r="B18607" s="136"/>
    </row>
    <row r="18608" spans="1:2" x14ac:dyDescent="0.25">
      <c r="A18608" s="118"/>
      <c r="B18608" s="136"/>
    </row>
    <row r="18609" spans="1:2" x14ac:dyDescent="0.25">
      <c r="A18609" s="118"/>
      <c r="B18609" s="136"/>
    </row>
    <row r="18610" spans="1:2" x14ac:dyDescent="0.25">
      <c r="A18610" s="118"/>
      <c r="B18610" s="136"/>
    </row>
    <row r="18611" spans="1:2" x14ac:dyDescent="0.25">
      <c r="A18611" s="118"/>
      <c r="B18611" s="136"/>
    </row>
    <row r="18612" spans="1:2" x14ac:dyDescent="0.25">
      <c r="A18612" s="118"/>
      <c r="B18612" s="136"/>
    </row>
    <row r="18613" spans="1:2" x14ac:dyDescent="0.25">
      <c r="A18613" s="118"/>
      <c r="B18613" s="136"/>
    </row>
    <row r="18614" spans="1:2" x14ac:dyDescent="0.25">
      <c r="A18614" s="118"/>
      <c r="B18614" s="136"/>
    </row>
    <row r="18615" spans="1:2" x14ac:dyDescent="0.25">
      <c r="A18615" s="118"/>
      <c r="B18615" s="136"/>
    </row>
    <row r="18616" spans="1:2" x14ac:dyDescent="0.25">
      <c r="A18616" s="118"/>
      <c r="B18616" s="136"/>
    </row>
    <row r="18617" spans="1:2" x14ac:dyDescent="0.25">
      <c r="A18617" s="118"/>
      <c r="B18617" s="136"/>
    </row>
    <row r="18618" spans="1:2" x14ac:dyDescent="0.25">
      <c r="A18618" s="118"/>
      <c r="B18618" s="136"/>
    </row>
    <row r="18619" spans="1:2" x14ac:dyDescent="0.25">
      <c r="A18619" s="118"/>
      <c r="B18619" s="136"/>
    </row>
    <row r="18620" spans="1:2" x14ac:dyDescent="0.25">
      <c r="A18620" s="118"/>
      <c r="B18620" s="136"/>
    </row>
    <row r="18621" spans="1:2" x14ac:dyDescent="0.25">
      <c r="A18621" s="118"/>
      <c r="B18621" s="136"/>
    </row>
    <row r="18622" spans="1:2" x14ac:dyDescent="0.25">
      <c r="A18622" s="118"/>
      <c r="B18622" s="136"/>
    </row>
    <row r="18623" spans="1:2" x14ac:dyDescent="0.25">
      <c r="A18623" s="118"/>
      <c r="B18623" s="136"/>
    </row>
    <row r="18624" spans="1:2" x14ac:dyDescent="0.25">
      <c r="A18624" s="118"/>
      <c r="B18624" s="136"/>
    </row>
    <row r="18625" spans="1:2" x14ac:dyDescent="0.25">
      <c r="A18625" s="118"/>
      <c r="B18625" s="136"/>
    </row>
    <row r="18626" spans="1:2" x14ac:dyDescent="0.25">
      <c r="A18626" s="118"/>
      <c r="B18626" s="136"/>
    </row>
    <row r="18627" spans="1:2" x14ac:dyDescent="0.25">
      <c r="A18627" s="118"/>
      <c r="B18627" s="136"/>
    </row>
    <row r="18628" spans="1:2" x14ac:dyDescent="0.25">
      <c r="A18628" s="118"/>
      <c r="B18628" s="136"/>
    </row>
    <row r="18629" spans="1:2" x14ac:dyDescent="0.25">
      <c r="A18629" s="118"/>
      <c r="B18629" s="136"/>
    </row>
    <row r="18630" spans="1:2" x14ac:dyDescent="0.25">
      <c r="A18630" s="118"/>
      <c r="B18630" s="136"/>
    </row>
    <row r="18631" spans="1:2" x14ac:dyDescent="0.25">
      <c r="A18631" s="118"/>
      <c r="B18631" s="136"/>
    </row>
    <row r="18632" spans="1:2" x14ac:dyDescent="0.25">
      <c r="A18632" s="118"/>
      <c r="B18632" s="136"/>
    </row>
    <row r="18633" spans="1:2" x14ac:dyDescent="0.25">
      <c r="A18633" s="118"/>
      <c r="B18633" s="136"/>
    </row>
    <row r="18634" spans="1:2" x14ac:dyDescent="0.25">
      <c r="A18634" s="118"/>
      <c r="B18634" s="136"/>
    </row>
    <row r="18635" spans="1:2" x14ac:dyDescent="0.25">
      <c r="A18635" s="118"/>
      <c r="B18635" s="136"/>
    </row>
    <row r="18636" spans="1:2" x14ac:dyDescent="0.25">
      <c r="A18636" s="118"/>
      <c r="B18636" s="136"/>
    </row>
    <row r="18637" spans="1:2" x14ac:dyDescent="0.25">
      <c r="A18637" s="118"/>
      <c r="B18637" s="136"/>
    </row>
    <row r="18638" spans="1:2" x14ac:dyDescent="0.25">
      <c r="A18638" s="118"/>
      <c r="B18638" s="136"/>
    </row>
    <row r="18639" spans="1:2" x14ac:dyDescent="0.25">
      <c r="A18639" s="118"/>
      <c r="B18639" s="136"/>
    </row>
    <row r="18640" spans="1:2" x14ac:dyDescent="0.25">
      <c r="A18640" s="118"/>
      <c r="B18640" s="136"/>
    </row>
    <row r="18641" spans="1:2" x14ac:dyDescent="0.25">
      <c r="A18641" s="118"/>
      <c r="B18641" s="136"/>
    </row>
    <row r="18642" spans="1:2" x14ac:dyDescent="0.25">
      <c r="A18642" s="118"/>
      <c r="B18642" s="136"/>
    </row>
    <row r="18643" spans="1:2" x14ac:dyDescent="0.25">
      <c r="A18643" s="118"/>
      <c r="B18643" s="136"/>
    </row>
    <row r="18644" spans="1:2" x14ac:dyDescent="0.25">
      <c r="A18644" s="118"/>
      <c r="B18644" s="136"/>
    </row>
    <row r="18645" spans="1:2" x14ac:dyDescent="0.25">
      <c r="A18645" s="118"/>
      <c r="B18645" s="136"/>
    </row>
    <row r="18646" spans="1:2" x14ac:dyDescent="0.25">
      <c r="A18646" s="118"/>
      <c r="B18646" s="136"/>
    </row>
    <row r="18647" spans="1:2" x14ac:dyDescent="0.25">
      <c r="A18647" s="118"/>
      <c r="B18647" s="136"/>
    </row>
    <row r="18648" spans="1:2" x14ac:dyDescent="0.25">
      <c r="A18648" s="118"/>
      <c r="B18648" s="136"/>
    </row>
    <row r="18649" spans="1:2" x14ac:dyDescent="0.25">
      <c r="A18649" s="118"/>
      <c r="B18649" s="136"/>
    </row>
    <row r="18650" spans="1:2" x14ac:dyDescent="0.25">
      <c r="A18650" s="118"/>
      <c r="B18650" s="136"/>
    </row>
    <row r="18651" spans="1:2" x14ac:dyDescent="0.25">
      <c r="A18651" s="118"/>
      <c r="B18651" s="136"/>
    </row>
    <row r="18652" spans="1:2" x14ac:dyDescent="0.25">
      <c r="A18652" s="118"/>
      <c r="B18652" s="136"/>
    </row>
    <row r="18653" spans="1:2" x14ac:dyDescent="0.25">
      <c r="A18653" s="118"/>
      <c r="B18653" s="136"/>
    </row>
    <row r="18654" spans="1:2" x14ac:dyDescent="0.25">
      <c r="A18654" s="118"/>
      <c r="B18654" s="136"/>
    </row>
    <row r="18655" spans="1:2" x14ac:dyDescent="0.25">
      <c r="A18655" s="118"/>
      <c r="B18655" s="136"/>
    </row>
    <row r="18656" spans="1:2" x14ac:dyDescent="0.25">
      <c r="A18656" s="118"/>
      <c r="B18656" s="136"/>
    </row>
    <row r="18657" spans="1:2" x14ac:dyDescent="0.25">
      <c r="A18657" s="118"/>
      <c r="B18657" s="136"/>
    </row>
    <row r="18658" spans="1:2" x14ac:dyDescent="0.25">
      <c r="A18658" s="118"/>
      <c r="B18658" s="136"/>
    </row>
    <row r="18659" spans="1:2" x14ac:dyDescent="0.25">
      <c r="A18659" s="118"/>
      <c r="B18659" s="136"/>
    </row>
    <row r="18660" spans="1:2" x14ac:dyDescent="0.25">
      <c r="A18660" s="118"/>
      <c r="B18660" s="136"/>
    </row>
    <row r="18661" spans="1:2" x14ac:dyDescent="0.25">
      <c r="A18661" s="118"/>
      <c r="B18661" s="136"/>
    </row>
    <row r="18662" spans="1:2" x14ac:dyDescent="0.25">
      <c r="A18662" s="118"/>
      <c r="B18662" s="136"/>
    </row>
    <row r="18663" spans="1:2" x14ac:dyDescent="0.25">
      <c r="A18663" s="118"/>
      <c r="B18663" s="136"/>
    </row>
    <row r="18664" spans="1:2" x14ac:dyDescent="0.25">
      <c r="A18664" s="118"/>
      <c r="B18664" s="136"/>
    </row>
    <row r="18665" spans="1:2" x14ac:dyDescent="0.25">
      <c r="A18665" s="118"/>
      <c r="B18665" s="136"/>
    </row>
    <row r="18666" spans="1:2" x14ac:dyDescent="0.25">
      <c r="A18666" s="118"/>
      <c r="B18666" s="136"/>
    </row>
    <row r="18667" spans="1:2" x14ac:dyDescent="0.25">
      <c r="A18667" s="118"/>
      <c r="B18667" s="136"/>
    </row>
    <row r="18668" spans="1:2" x14ac:dyDescent="0.25">
      <c r="A18668" s="118"/>
      <c r="B18668" s="136"/>
    </row>
    <row r="18669" spans="1:2" x14ac:dyDescent="0.25">
      <c r="A18669" s="118"/>
      <c r="B18669" s="136"/>
    </row>
    <row r="18670" spans="1:2" x14ac:dyDescent="0.25">
      <c r="A18670" s="118"/>
      <c r="B18670" s="136"/>
    </row>
    <row r="18671" spans="1:2" x14ac:dyDescent="0.25">
      <c r="A18671" s="118"/>
      <c r="B18671" s="136"/>
    </row>
    <row r="18672" spans="1:2" x14ac:dyDescent="0.25">
      <c r="A18672" s="118"/>
      <c r="B18672" s="136"/>
    </row>
    <row r="18673" spans="1:2" x14ac:dyDescent="0.25">
      <c r="A18673" s="118"/>
      <c r="B18673" s="136"/>
    </row>
    <row r="18674" spans="1:2" x14ac:dyDescent="0.25">
      <c r="A18674" s="118"/>
      <c r="B18674" s="136"/>
    </row>
    <row r="18675" spans="1:2" x14ac:dyDescent="0.25">
      <c r="A18675" s="118"/>
      <c r="B18675" s="136"/>
    </row>
    <row r="18676" spans="1:2" x14ac:dyDescent="0.25">
      <c r="A18676" s="118"/>
      <c r="B18676" s="136"/>
    </row>
    <row r="18677" spans="1:2" x14ac:dyDescent="0.25">
      <c r="A18677" s="118"/>
      <c r="B18677" s="136"/>
    </row>
    <row r="18678" spans="1:2" x14ac:dyDescent="0.25">
      <c r="A18678" s="118"/>
      <c r="B18678" s="136"/>
    </row>
    <row r="18679" spans="1:2" x14ac:dyDescent="0.25">
      <c r="A18679" s="118"/>
      <c r="B18679" s="136"/>
    </row>
    <row r="18680" spans="1:2" x14ac:dyDescent="0.25">
      <c r="A18680" s="118"/>
      <c r="B18680" s="136"/>
    </row>
    <row r="18681" spans="1:2" x14ac:dyDescent="0.25">
      <c r="A18681" s="118"/>
      <c r="B18681" s="136"/>
    </row>
    <row r="18682" spans="1:2" x14ac:dyDescent="0.25">
      <c r="A18682" s="118"/>
      <c r="B18682" s="136"/>
    </row>
    <row r="18683" spans="1:2" x14ac:dyDescent="0.25">
      <c r="A18683" s="118"/>
      <c r="B18683" s="136"/>
    </row>
    <row r="18684" spans="1:2" x14ac:dyDescent="0.25">
      <c r="A18684" s="118"/>
      <c r="B18684" s="136"/>
    </row>
    <row r="18685" spans="1:2" x14ac:dyDescent="0.25">
      <c r="A18685" s="118"/>
      <c r="B18685" s="136"/>
    </row>
    <row r="18686" spans="1:2" x14ac:dyDescent="0.25">
      <c r="A18686" s="118"/>
      <c r="B18686" s="136"/>
    </row>
    <row r="18687" spans="1:2" x14ac:dyDescent="0.25">
      <c r="A18687" s="118"/>
      <c r="B18687" s="136"/>
    </row>
    <row r="18688" spans="1:2" x14ac:dyDescent="0.25">
      <c r="A18688" s="118"/>
      <c r="B18688" s="136"/>
    </row>
    <row r="18689" spans="1:2" x14ac:dyDescent="0.25">
      <c r="A18689" s="118"/>
      <c r="B18689" s="136"/>
    </row>
    <row r="18690" spans="1:2" x14ac:dyDescent="0.25">
      <c r="A18690" s="118"/>
      <c r="B18690" s="136"/>
    </row>
    <row r="18691" spans="1:2" x14ac:dyDescent="0.25">
      <c r="A18691" s="118"/>
      <c r="B18691" s="136"/>
    </row>
    <row r="18692" spans="1:2" x14ac:dyDescent="0.25">
      <c r="A18692" s="118"/>
      <c r="B18692" s="136"/>
    </row>
    <row r="18693" spans="1:2" x14ac:dyDescent="0.25">
      <c r="A18693" s="118"/>
      <c r="B18693" s="136"/>
    </row>
    <row r="18694" spans="1:2" x14ac:dyDescent="0.25">
      <c r="A18694" s="118"/>
      <c r="B18694" s="136"/>
    </row>
    <row r="18695" spans="1:2" x14ac:dyDescent="0.25">
      <c r="A18695" s="118"/>
      <c r="B18695" s="136"/>
    </row>
    <row r="18696" spans="1:2" x14ac:dyDescent="0.25">
      <c r="A18696" s="118"/>
      <c r="B18696" s="136"/>
    </row>
    <row r="18697" spans="1:2" x14ac:dyDescent="0.25">
      <c r="A18697" s="118"/>
      <c r="B18697" s="136"/>
    </row>
    <row r="18698" spans="1:2" x14ac:dyDescent="0.25">
      <c r="A18698" s="118"/>
      <c r="B18698" s="136"/>
    </row>
    <row r="18699" spans="1:2" x14ac:dyDescent="0.25">
      <c r="A18699" s="118"/>
      <c r="B18699" s="136"/>
    </row>
    <row r="18700" spans="1:2" x14ac:dyDescent="0.25">
      <c r="A18700" s="118"/>
      <c r="B18700" s="136"/>
    </row>
    <row r="18701" spans="1:2" x14ac:dyDescent="0.25">
      <c r="A18701" s="118"/>
      <c r="B18701" s="136"/>
    </row>
    <row r="18702" spans="1:2" x14ac:dyDescent="0.25">
      <c r="A18702" s="118"/>
      <c r="B18702" s="136"/>
    </row>
    <row r="18703" spans="1:2" x14ac:dyDescent="0.25">
      <c r="A18703" s="118"/>
      <c r="B18703" s="136"/>
    </row>
    <row r="18704" spans="1:2" x14ac:dyDescent="0.25">
      <c r="A18704" s="118"/>
      <c r="B18704" s="136"/>
    </row>
    <row r="18705" spans="1:2" x14ac:dyDescent="0.25">
      <c r="A18705" s="118"/>
      <c r="B18705" s="136"/>
    </row>
    <row r="18706" spans="1:2" x14ac:dyDescent="0.25">
      <c r="A18706" s="118"/>
      <c r="B18706" s="136"/>
    </row>
    <row r="18707" spans="1:2" x14ac:dyDescent="0.25">
      <c r="A18707" s="118"/>
      <c r="B18707" s="136"/>
    </row>
    <row r="18708" spans="1:2" x14ac:dyDescent="0.25">
      <c r="A18708" s="118"/>
      <c r="B18708" s="136"/>
    </row>
    <row r="18709" spans="1:2" x14ac:dyDescent="0.25">
      <c r="A18709" s="118"/>
      <c r="B18709" s="136"/>
    </row>
    <row r="18710" spans="1:2" x14ac:dyDescent="0.25">
      <c r="A18710" s="118"/>
      <c r="B18710" s="136"/>
    </row>
    <row r="18711" spans="1:2" x14ac:dyDescent="0.25">
      <c r="A18711" s="118"/>
      <c r="B18711" s="136"/>
    </row>
    <row r="18712" spans="1:2" x14ac:dyDescent="0.25">
      <c r="A18712" s="118"/>
      <c r="B18712" s="136"/>
    </row>
    <row r="18713" spans="1:2" x14ac:dyDescent="0.25">
      <c r="A18713" s="118"/>
      <c r="B18713" s="136"/>
    </row>
    <row r="18714" spans="1:2" x14ac:dyDescent="0.25">
      <c r="A18714" s="118"/>
      <c r="B18714" s="136"/>
    </row>
    <row r="18715" spans="1:2" x14ac:dyDescent="0.25">
      <c r="A18715" s="118"/>
      <c r="B18715" s="136"/>
    </row>
    <row r="18716" spans="1:2" x14ac:dyDescent="0.25">
      <c r="A18716" s="118"/>
      <c r="B18716" s="136"/>
    </row>
    <row r="18717" spans="1:2" x14ac:dyDescent="0.25">
      <c r="A18717" s="118"/>
      <c r="B18717" s="136"/>
    </row>
    <row r="18718" spans="1:2" x14ac:dyDescent="0.25">
      <c r="A18718" s="118"/>
      <c r="B18718" s="136"/>
    </row>
    <row r="18719" spans="1:2" x14ac:dyDescent="0.25">
      <c r="A18719" s="118"/>
      <c r="B18719" s="136"/>
    </row>
    <row r="18720" spans="1:2" x14ac:dyDescent="0.25">
      <c r="A18720" s="118"/>
      <c r="B18720" s="136"/>
    </row>
    <row r="18721" spans="1:2" x14ac:dyDescent="0.25">
      <c r="A18721" s="118"/>
      <c r="B18721" s="136"/>
    </row>
    <row r="18722" spans="1:2" x14ac:dyDescent="0.25">
      <c r="A18722" s="118"/>
      <c r="B18722" s="136"/>
    </row>
    <row r="18723" spans="1:2" x14ac:dyDescent="0.25">
      <c r="A18723" s="118"/>
      <c r="B18723" s="136"/>
    </row>
    <row r="18724" spans="1:2" x14ac:dyDescent="0.25">
      <c r="A18724" s="118"/>
      <c r="B18724" s="136"/>
    </row>
    <row r="18725" spans="1:2" x14ac:dyDescent="0.25">
      <c r="A18725" s="118"/>
      <c r="B18725" s="136"/>
    </row>
    <row r="18726" spans="1:2" x14ac:dyDescent="0.25">
      <c r="A18726" s="118"/>
      <c r="B18726" s="136"/>
    </row>
    <row r="18727" spans="1:2" x14ac:dyDescent="0.25">
      <c r="A18727" s="118"/>
      <c r="B18727" s="136"/>
    </row>
    <row r="18728" spans="1:2" x14ac:dyDescent="0.25">
      <c r="A18728" s="118"/>
      <c r="B18728" s="136"/>
    </row>
    <row r="18729" spans="1:2" x14ac:dyDescent="0.25">
      <c r="A18729" s="118"/>
      <c r="B18729" s="136"/>
    </row>
    <row r="18730" spans="1:2" x14ac:dyDescent="0.25">
      <c r="A18730" s="118"/>
      <c r="B18730" s="136"/>
    </row>
    <row r="18731" spans="1:2" x14ac:dyDescent="0.25">
      <c r="A18731" s="118"/>
      <c r="B18731" s="136"/>
    </row>
    <row r="18732" spans="1:2" x14ac:dyDescent="0.25">
      <c r="A18732" s="118"/>
      <c r="B18732" s="136"/>
    </row>
    <row r="18733" spans="1:2" x14ac:dyDescent="0.25">
      <c r="A18733" s="118"/>
      <c r="B18733" s="136"/>
    </row>
    <row r="18734" spans="1:2" x14ac:dyDescent="0.25">
      <c r="A18734" s="118"/>
      <c r="B18734" s="136"/>
    </row>
    <row r="18735" spans="1:2" x14ac:dyDescent="0.25">
      <c r="A18735" s="118"/>
      <c r="B18735" s="136"/>
    </row>
    <row r="18736" spans="1:2" x14ac:dyDescent="0.25">
      <c r="A18736" s="118"/>
      <c r="B18736" s="136"/>
    </row>
    <row r="18737" spans="1:2" x14ac:dyDescent="0.25">
      <c r="A18737" s="118"/>
      <c r="B18737" s="136"/>
    </row>
    <row r="18738" spans="1:2" x14ac:dyDescent="0.25">
      <c r="A18738" s="118"/>
      <c r="B18738" s="136"/>
    </row>
    <row r="18739" spans="1:2" x14ac:dyDescent="0.25">
      <c r="A18739" s="118"/>
      <c r="B18739" s="136"/>
    </row>
    <row r="18740" spans="1:2" x14ac:dyDescent="0.25">
      <c r="A18740" s="118"/>
      <c r="B18740" s="136"/>
    </row>
    <row r="18741" spans="1:2" x14ac:dyDescent="0.25">
      <c r="A18741" s="118"/>
      <c r="B18741" s="136"/>
    </row>
    <row r="18742" spans="1:2" x14ac:dyDescent="0.25">
      <c r="A18742" s="118"/>
      <c r="B18742" s="136"/>
    </row>
    <row r="18743" spans="1:2" x14ac:dyDescent="0.25">
      <c r="A18743" s="118"/>
      <c r="B18743" s="136"/>
    </row>
    <row r="18744" spans="1:2" x14ac:dyDescent="0.25">
      <c r="A18744" s="118"/>
      <c r="B18744" s="136"/>
    </row>
    <row r="18745" spans="1:2" x14ac:dyDescent="0.25">
      <c r="A18745" s="118"/>
      <c r="B18745" s="136"/>
    </row>
    <row r="18746" spans="1:2" x14ac:dyDescent="0.25">
      <c r="A18746" s="118"/>
      <c r="B18746" s="136"/>
    </row>
    <row r="18747" spans="1:2" x14ac:dyDescent="0.25">
      <c r="A18747" s="118"/>
      <c r="B18747" s="136"/>
    </row>
    <row r="18748" spans="1:2" x14ac:dyDescent="0.25">
      <c r="A18748" s="118"/>
      <c r="B18748" s="136"/>
    </row>
    <row r="18749" spans="1:2" x14ac:dyDescent="0.25">
      <c r="A18749" s="118"/>
      <c r="B18749" s="136"/>
    </row>
    <row r="18750" spans="1:2" x14ac:dyDescent="0.25">
      <c r="A18750" s="118"/>
      <c r="B18750" s="136"/>
    </row>
    <row r="18751" spans="1:2" x14ac:dyDescent="0.25">
      <c r="A18751" s="118"/>
      <c r="B18751" s="136"/>
    </row>
    <row r="18752" spans="1:2" x14ac:dyDescent="0.25">
      <c r="A18752" s="118"/>
      <c r="B18752" s="136"/>
    </row>
    <row r="18753" spans="1:2" x14ac:dyDescent="0.25">
      <c r="A18753" s="118"/>
      <c r="B18753" s="136"/>
    </row>
    <row r="18754" spans="1:2" x14ac:dyDescent="0.25">
      <c r="A18754" s="118"/>
      <c r="B18754" s="136"/>
    </row>
    <row r="18755" spans="1:2" x14ac:dyDescent="0.25">
      <c r="A18755" s="118"/>
      <c r="B18755" s="136"/>
    </row>
    <row r="18756" spans="1:2" x14ac:dyDescent="0.25">
      <c r="A18756" s="118"/>
      <c r="B18756" s="136"/>
    </row>
    <row r="18757" spans="1:2" x14ac:dyDescent="0.25">
      <c r="A18757" s="118"/>
      <c r="B18757" s="136"/>
    </row>
    <row r="18758" spans="1:2" x14ac:dyDescent="0.25">
      <c r="A18758" s="118"/>
      <c r="B18758" s="136"/>
    </row>
    <row r="18759" spans="1:2" x14ac:dyDescent="0.25">
      <c r="A18759" s="118"/>
      <c r="B18759" s="136"/>
    </row>
    <row r="18760" spans="1:2" x14ac:dyDescent="0.25">
      <c r="A18760" s="118"/>
      <c r="B18760" s="136"/>
    </row>
    <row r="18761" spans="1:2" x14ac:dyDescent="0.25">
      <c r="A18761" s="118"/>
      <c r="B18761" s="136"/>
    </row>
    <row r="18762" spans="1:2" x14ac:dyDescent="0.25">
      <c r="A18762" s="118"/>
      <c r="B18762" s="136"/>
    </row>
    <row r="18763" spans="1:2" x14ac:dyDescent="0.25">
      <c r="A18763" s="118"/>
      <c r="B18763" s="136"/>
    </row>
    <row r="18764" spans="1:2" x14ac:dyDescent="0.25">
      <c r="A18764" s="118"/>
      <c r="B18764" s="136"/>
    </row>
    <row r="18765" spans="1:2" x14ac:dyDescent="0.25">
      <c r="A18765" s="118"/>
      <c r="B18765" s="136"/>
    </row>
    <row r="18766" spans="1:2" x14ac:dyDescent="0.25">
      <c r="A18766" s="118"/>
      <c r="B18766" s="136"/>
    </row>
    <row r="18767" spans="1:2" x14ac:dyDescent="0.25">
      <c r="A18767" s="118"/>
      <c r="B18767" s="136"/>
    </row>
    <row r="18768" spans="1:2" x14ac:dyDescent="0.25">
      <c r="A18768" s="118"/>
      <c r="B18768" s="136"/>
    </row>
    <row r="18769" spans="1:2" x14ac:dyDescent="0.25">
      <c r="A18769" s="118"/>
      <c r="B18769" s="136"/>
    </row>
    <row r="18770" spans="1:2" x14ac:dyDescent="0.25">
      <c r="A18770" s="118"/>
      <c r="B18770" s="136"/>
    </row>
    <row r="18771" spans="1:2" x14ac:dyDescent="0.25">
      <c r="A18771" s="118"/>
      <c r="B18771" s="136"/>
    </row>
    <row r="18772" spans="1:2" x14ac:dyDescent="0.25">
      <c r="A18772" s="118"/>
      <c r="B18772" s="136"/>
    </row>
    <row r="18773" spans="1:2" x14ac:dyDescent="0.25">
      <c r="A18773" s="118"/>
      <c r="B18773" s="136"/>
    </row>
    <row r="18774" spans="1:2" x14ac:dyDescent="0.25">
      <c r="A18774" s="118"/>
      <c r="B18774" s="136"/>
    </row>
    <row r="18775" spans="1:2" x14ac:dyDescent="0.25">
      <c r="A18775" s="118"/>
      <c r="B18775" s="136"/>
    </row>
    <row r="18776" spans="1:2" x14ac:dyDescent="0.25">
      <c r="A18776" s="118"/>
      <c r="B18776" s="136"/>
    </row>
    <row r="18777" spans="1:2" x14ac:dyDescent="0.25">
      <c r="A18777" s="118"/>
      <c r="B18777" s="136"/>
    </row>
    <row r="18778" spans="1:2" x14ac:dyDescent="0.25">
      <c r="A18778" s="118"/>
      <c r="B18778" s="136"/>
    </row>
    <row r="18779" spans="1:2" x14ac:dyDescent="0.25">
      <c r="A18779" s="118"/>
      <c r="B18779" s="136"/>
    </row>
    <row r="18780" spans="1:2" x14ac:dyDescent="0.25">
      <c r="A18780" s="118"/>
      <c r="B18780" s="136"/>
    </row>
    <row r="18781" spans="1:2" x14ac:dyDescent="0.25">
      <c r="A18781" s="118"/>
      <c r="B18781" s="136"/>
    </row>
    <row r="18782" spans="1:2" x14ac:dyDescent="0.25">
      <c r="A18782" s="118"/>
      <c r="B18782" s="136"/>
    </row>
    <row r="18783" spans="1:2" x14ac:dyDescent="0.25">
      <c r="A18783" s="118"/>
      <c r="B18783" s="136"/>
    </row>
    <row r="18784" spans="1:2" x14ac:dyDescent="0.25">
      <c r="A18784" s="118"/>
      <c r="B18784" s="136"/>
    </row>
    <row r="18785" spans="1:2" x14ac:dyDescent="0.25">
      <c r="A18785" s="118"/>
      <c r="B18785" s="136"/>
    </row>
    <row r="18786" spans="1:2" x14ac:dyDescent="0.25">
      <c r="A18786" s="118"/>
      <c r="B18786" s="136"/>
    </row>
    <row r="18787" spans="1:2" x14ac:dyDescent="0.25">
      <c r="A18787" s="118"/>
      <c r="B18787" s="136"/>
    </row>
    <row r="18788" spans="1:2" x14ac:dyDescent="0.25">
      <c r="A18788" s="118"/>
      <c r="B18788" s="136"/>
    </row>
    <row r="18789" spans="1:2" x14ac:dyDescent="0.25">
      <c r="A18789" s="118"/>
      <c r="B18789" s="136"/>
    </row>
    <row r="18790" spans="1:2" x14ac:dyDescent="0.25">
      <c r="A18790" s="118"/>
      <c r="B18790" s="136"/>
    </row>
    <row r="18791" spans="1:2" x14ac:dyDescent="0.25">
      <c r="A18791" s="118"/>
      <c r="B18791" s="136"/>
    </row>
    <row r="18792" spans="1:2" x14ac:dyDescent="0.25">
      <c r="A18792" s="118"/>
      <c r="B18792" s="136"/>
    </row>
    <row r="18793" spans="1:2" x14ac:dyDescent="0.25">
      <c r="A18793" s="118"/>
      <c r="B18793" s="136"/>
    </row>
    <row r="18794" spans="1:2" x14ac:dyDescent="0.25">
      <c r="A18794" s="118"/>
      <c r="B18794" s="136"/>
    </row>
    <row r="18795" spans="1:2" x14ac:dyDescent="0.25">
      <c r="A18795" s="118"/>
      <c r="B18795" s="136"/>
    </row>
    <row r="18796" spans="1:2" x14ac:dyDescent="0.25">
      <c r="A18796" s="118"/>
      <c r="B18796" s="136"/>
    </row>
    <row r="18797" spans="1:2" x14ac:dyDescent="0.25">
      <c r="A18797" s="118"/>
      <c r="B18797" s="136"/>
    </row>
    <row r="18798" spans="1:2" x14ac:dyDescent="0.25">
      <c r="A18798" s="118"/>
      <c r="B18798" s="136"/>
    </row>
    <row r="18799" spans="1:2" x14ac:dyDescent="0.25">
      <c r="A18799" s="118"/>
      <c r="B18799" s="136"/>
    </row>
    <row r="18800" spans="1:2" x14ac:dyDescent="0.25">
      <c r="A18800" s="118"/>
      <c r="B18800" s="136"/>
    </row>
    <row r="18801" spans="1:2" x14ac:dyDescent="0.25">
      <c r="A18801" s="118"/>
      <c r="B18801" s="136"/>
    </row>
    <row r="18802" spans="1:2" x14ac:dyDescent="0.25">
      <c r="A18802" s="118"/>
      <c r="B18802" s="136"/>
    </row>
    <row r="18803" spans="1:2" x14ac:dyDescent="0.25">
      <c r="A18803" s="118"/>
      <c r="B18803" s="136"/>
    </row>
    <row r="18804" spans="1:2" x14ac:dyDescent="0.25">
      <c r="A18804" s="118"/>
      <c r="B18804" s="136"/>
    </row>
    <row r="18805" spans="1:2" x14ac:dyDescent="0.25">
      <c r="A18805" s="118"/>
      <c r="B18805" s="136"/>
    </row>
    <row r="18806" spans="1:2" x14ac:dyDescent="0.25">
      <c r="A18806" s="118"/>
      <c r="B18806" s="136"/>
    </row>
    <row r="18807" spans="1:2" x14ac:dyDescent="0.25">
      <c r="A18807" s="118"/>
      <c r="B18807" s="136"/>
    </row>
    <row r="18808" spans="1:2" x14ac:dyDescent="0.25">
      <c r="A18808" s="118"/>
      <c r="B18808" s="136"/>
    </row>
    <row r="18809" spans="1:2" x14ac:dyDescent="0.25">
      <c r="A18809" s="118"/>
      <c r="B18809" s="136"/>
    </row>
    <row r="18810" spans="1:2" x14ac:dyDescent="0.25">
      <c r="A18810" s="118"/>
      <c r="B18810" s="136"/>
    </row>
    <row r="18811" spans="1:2" x14ac:dyDescent="0.25">
      <c r="A18811" s="118"/>
      <c r="B18811" s="136"/>
    </row>
    <row r="18812" spans="1:2" x14ac:dyDescent="0.25">
      <c r="A18812" s="118"/>
      <c r="B18812" s="136"/>
    </row>
    <row r="18813" spans="1:2" x14ac:dyDescent="0.25">
      <c r="A18813" s="118"/>
      <c r="B18813" s="136"/>
    </row>
    <row r="18814" spans="1:2" x14ac:dyDescent="0.25">
      <c r="A18814" s="118"/>
      <c r="B18814" s="136"/>
    </row>
    <row r="18815" spans="1:2" x14ac:dyDescent="0.25">
      <c r="A18815" s="118"/>
      <c r="B18815" s="136"/>
    </row>
    <row r="18816" spans="1:2" x14ac:dyDescent="0.25">
      <c r="A18816" s="118"/>
      <c r="B18816" s="136"/>
    </row>
    <row r="18817" spans="1:2" x14ac:dyDescent="0.25">
      <c r="A18817" s="118"/>
      <c r="B18817" s="136"/>
    </row>
    <row r="18818" spans="1:2" x14ac:dyDescent="0.25">
      <c r="A18818" s="118"/>
      <c r="B18818" s="136"/>
    </row>
    <row r="18819" spans="1:2" x14ac:dyDescent="0.25">
      <c r="A18819" s="118"/>
      <c r="B18819" s="136"/>
    </row>
    <row r="18820" spans="1:2" x14ac:dyDescent="0.25">
      <c r="A18820" s="118"/>
      <c r="B18820" s="136"/>
    </row>
    <row r="18821" spans="1:2" x14ac:dyDescent="0.25">
      <c r="A18821" s="118"/>
      <c r="B18821" s="136"/>
    </row>
    <row r="18822" spans="1:2" x14ac:dyDescent="0.25">
      <c r="A18822" s="118"/>
      <c r="B18822" s="136"/>
    </row>
    <row r="18823" spans="1:2" x14ac:dyDescent="0.25">
      <c r="A18823" s="118"/>
      <c r="B18823" s="136"/>
    </row>
    <row r="18824" spans="1:2" x14ac:dyDescent="0.25">
      <c r="A18824" s="118"/>
      <c r="B18824" s="136"/>
    </row>
    <row r="18825" spans="1:2" x14ac:dyDescent="0.25">
      <c r="A18825" s="118"/>
      <c r="B18825" s="136"/>
    </row>
    <row r="18826" spans="1:2" x14ac:dyDescent="0.25">
      <c r="A18826" s="118"/>
      <c r="B18826" s="136"/>
    </row>
    <row r="18827" spans="1:2" x14ac:dyDescent="0.25">
      <c r="A18827" s="118"/>
      <c r="B18827" s="136"/>
    </row>
    <row r="18828" spans="1:2" x14ac:dyDescent="0.25">
      <c r="A18828" s="118"/>
      <c r="B18828" s="136"/>
    </row>
    <row r="18829" spans="1:2" x14ac:dyDescent="0.25">
      <c r="A18829" s="118"/>
      <c r="B18829" s="136"/>
    </row>
    <row r="18830" spans="1:2" x14ac:dyDescent="0.25">
      <c r="A18830" s="118"/>
      <c r="B18830" s="136"/>
    </row>
    <row r="18831" spans="1:2" x14ac:dyDescent="0.25">
      <c r="A18831" s="118"/>
      <c r="B18831" s="136"/>
    </row>
    <row r="18832" spans="1:2" x14ac:dyDescent="0.25">
      <c r="A18832" s="118"/>
      <c r="B18832" s="136"/>
    </row>
    <row r="18833" spans="1:2" x14ac:dyDescent="0.25">
      <c r="A18833" s="118"/>
      <c r="B18833" s="136"/>
    </row>
    <row r="18834" spans="1:2" x14ac:dyDescent="0.25">
      <c r="A18834" s="118"/>
      <c r="B18834" s="136"/>
    </row>
    <row r="18835" spans="1:2" x14ac:dyDescent="0.25">
      <c r="A18835" s="118"/>
      <c r="B18835" s="136"/>
    </row>
    <row r="18836" spans="1:2" x14ac:dyDescent="0.25">
      <c r="A18836" s="118"/>
      <c r="B18836" s="136"/>
    </row>
    <row r="18837" spans="1:2" x14ac:dyDescent="0.25">
      <c r="A18837" s="118"/>
      <c r="B18837" s="136"/>
    </row>
    <row r="18838" spans="1:2" x14ac:dyDescent="0.25">
      <c r="A18838" s="118"/>
      <c r="B18838" s="136"/>
    </row>
    <row r="18839" spans="1:2" x14ac:dyDescent="0.25">
      <c r="A18839" s="118"/>
      <c r="B18839" s="136"/>
    </row>
    <row r="18840" spans="1:2" x14ac:dyDescent="0.25">
      <c r="A18840" s="118"/>
      <c r="B18840" s="136"/>
    </row>
    <row r="18841" spans="1:2" x14ac:dyDescent="0.25">
      <c r="A18841" s="118"/>
      <c r="B18841" s="136"/>
    </row>
    <row r="18842" spans="1:2" x14ac:dyDescent="0.25">
      <c r="A18842" s="118"/>
      <c r="B18842" s="136"/>
    </row>
    <row r="18843" spans="1:2" x14ac:dyDescent="0.25">
      <c r="A18843" s="118"/>
      <c r="B18843" s="136"/>
    </row>
    <row r="18844" spans="1:2" x14ac:dyDescent="0.25">
      <c r="A18844" s="118"/>
      <c r="B18844" s="136"/>
    </row>
    <row r="18845" spans="1:2" x14ac:dyDescent="0.25">
      <c r="A18845" s="118"/>
      <c r="B18845" s="136"/>
    </row>
    <row r="18846" spans="1:2" x14ac:dyDescent="0.25">
      <c r="A18846" s="118"/>
      <c r="B18846" s="136"/>
    </row>
    <row r="18847" spans="1:2" x14ac:dyDescent="0.25">
      <c r="A18847" s="118"/>
      <c r="B18847" s="136"/>
    </row>
    <row r="18848" spans="1:2" x14ac:dyDescent="0.25">
      <c r="A18848" s="118"/>
      <c r="B18848" s="136"/>
    </row>
    <row r="18849" spans="1:2" x14ac:dyDescent="0.25">
      <c r="A18849" s="118"/>
      <c r="B18849" s="136"/>
    </row>
    <row r="18850" spans="1:2" x14ac:dyDescent="0.25">
      <c r="A18850" s="118"/>
      <c r="B18850" s="136"/>
    </row>
    <row r="18851" spans="1:2" x14ac:dyDescent="0.25">
      <c r="A18851" s="118"/>
      <c r="B18851" s="136"/>
    </row>
    <row r="18852" spans="1:2" x14ac:dyDescent="0.25">
      <c r="A18852" s="118"/>
      <c r="B18852" s="136"/>
    </row>
    <row r="18853" spans="1:2" x14ac:dyDescent="0.25">
      <c r="A18853" s="118"/>
      <c r="B18853" s="136"/>
    </row>
    <row r="18854" spans="1:2" x14ac:dyDescent="0.25">
      <c r="A18854" s="118"/>
      <c r="B18854" s="136"/>
    </row>
    <row r="18855" spans="1:2" x14ac:dyDescent="0.25">
      <c r="A18855" s="118"/>
      <c r="B18855" s="136"/>
    </row>
    <row r="18856" spans="1:2" x14ac:dyDescent="0.25">
      <c r="A18856" s="118"/>
      <c r="B18856" s="136"/>
    </row>
    <row r="18857" spans="1:2" x14ac:dyDescent="0.25">
      <c r="A18857" s="118"/>
      <c r="B18857" s="136"/>
    </row>
    <row r="18858" spans="1:2" x14ac:dyDescent="0.25">
      <c r="A18858" s="118"/>
      <c r="B18858" s="136"/>
    </row>
    <row r="18859" spans="1:2" x14ac:dyDescent="0.25">
      <c r="A18859" s="118"/>
      <c r="B18859" s="136"/>
    </row>
    <row r="18860" spans="1:2" x14ac:dyDescent="0.25">
      <c r="A18860" s="118"/>
      <c r="B18860" s="136"/>
    </row>
    <row r="18861" spans="1:2" x14ac:dyDescent="0.25">
      <c r="A18861" s="118"/>
      <c r="B18861" s="136"/>
    </row>
    <row r="18862" spans="1:2" x14ac:dyDescent="0.25">
      <c r="A18862" s="118"/>
      <c r="B18862" s="136"/>
    </row>
    <row r="18863" spans="1:2" x14ac:dyDescent="0.25">
      <c r="A18863" s="118"/>
      <c r="B18863" s="136"/>
    </row>
    <row r="18864" spans="1:2" x14ac:dyDescent="0.25">
      <c r="A18864" s="118"/>
      <c r="B18864" s="136"/>
    </row>
    <row r="18865" spans="1:2" x14ac:dyDescent="0.25">
      <c r="A18865" s="118"/>
      <c r="B18865" s="136"/>
    </row>
    <row r="18866" spans="1:2" x14ac:dyDescent="0.25">
      <c r="A18866" s="118"/>
      <c r="B18866" s="136"/>
    </row>
    <row r="18867" spans="1:2" x14ac:dyDescent="0.25">
      <c r="A18867" s="118"/>
      <c r="B18867" s="136"/>
    </row>
    <row r="18868" spans="1:2" x14ac:dyDescent="0.25">
      <c r="A18868" s="118"/>
      <c r="B18868" s="136"/>
    </row>
    <row r="18869" spans="1:2" x14ac:dyDescent="0.25">
      <c r="A18869" s="118"/>
      <c r="B18869" s="136"/>
    </row>
    <row r="18870" spans="1:2" x14ac:dyDescent="0.25">
      <c r="A18870" s="118"/>
      <c r="B18870" s="136"/>
    </row>
    <row r="18871" spans="1:2" x14ac:dyDescent="0.25">
      <c r="A18871" s="118"/>
      <c r="B18871" s="136"/>
    </row>
    <row r="18872" spans="1:2" x14ac:dyDescent="0.25">
      <c r="A18872" s="118"/>
      <c r="B18872" s="136"/>
    </row>
    <row r="18873" spans="1:2" x14ac:dyDescent="0.25">
      <c r="A18873" s="118"/>
      <c r="B18873" s="136"/>
    </row>
    <row r="18874" spans="1:2" x14ac:dyDescent="0.25">
      <c r="A18874" s="118"/>
      <c r="B18874" s="136"/>
    </row>
    <row r="18875" spans="1:2" x14ac:dyDescent="0.25">
      <c r="A18875" s="118"/>
      <c r="B18875" s="136"/>
    </row>
    <row r="18876" spans="1:2" x14ac:dyDescent="0.25">
      <c r="A18876" s="118"/>
      <c r="B18876" s="136"/>
    </row>
    <row r="18877" spans="1:2" x14ac:dyDescent="0.25">
      <c r="A18877" s="118"/>
      <c r="B18877" s="136"/>
    </row>
    <row r="18878" spans="1:2" x14ac:dyDescent="0.25">
      <c r="A18878" s="118"/>
      <c r="B18878" s="136"/>
    </row>
    <row r="18879" spans="1:2" x14ac:dyDescent="0.25">
      <c r="A18879" s="118"/>
      <c r="B18879" s="136"/>
    </row>
    <row r="18880" spans="1:2" x14ac:dyDescent="0.25">
      <c r="A18880" s="118"/>
      <c r="B18880" s="136"/>
    </row>
    <row r="18881" spans="1:2" x14ac:dyDescent="0.25">
      <c r="A18881" s="118"/>
      <c r="B18881" s="136"/>
    </row>
    <row r="18882" spans="1:2" x14ac:dyDescent="0.25">
      <c r="A18882" s="118"/>
      <c r="B18882" s="136"/>
    </row>
    <row r="18883" spans="1:2" x14ac:dyDescent="0.25">
      <c r="A18883" s="118"/>
      <c r="B18883" s="136"/>
    </row>
    <row r="18884" spans="1:2" x14ac:dyDescent="0.25">
      <c r="A18884" s="118"/>
      <c r="B18884" s="136"/>
    </row>
    <row r="18885" spans="1:2" x14ac:dyDescent="0.25">
      <c r="A18885" s="118"/>
      <c r="B18885" s="136"/>
    </row>
    <row r="18886" spans="1:2" x14ac:dyDescent="0.25">
      <c r="A18886" s="118"/>
      <c r="B18886" s="136"/>
    </row>
    <row r="18887" spans="1:2" x14ac:dyDescent="0.25">
      <c r="A18887" s="118"/>
      <c r="B18887" s="136"/>
    </row>
    <row r="18888" spans="1:2" x14ac:dyDescent="0.25">
      <c r="A18888" s="118"/>
      <c r="B18888" s="136"/>
    </row>
    <row r="18889" spans="1:2" x14ac:dyDescent="0.25">
      <c r="A18889" s="118"/>
      <c r="B18889" s="136"/>
    </row>
    <row r="18890" spans="1:2" x14ac:dyDescent="0.25">
      <c r="A18890" s="118"/>
      <c r="B18890" s="136"/>
    </row>
    <row r="18891" spans="1:2" x14ac:dyDescent="0.25">
      <c r="A18891" s="118"/>
      <c r="B18891" s="136"/>
    </row>
    <row r="18892" spans="1:2" x14ac:dyDescent="0.25">
      <c r="A18892" s="118"/>
      <c r="B18892" s="136"/>
    </row>
    <row r="18893" spans="1:2" x14ac:dyDescent="0.25">
      <c r="A18893" s="118"/>
      <c r="B18893" s="136"/>
    </row>
    <row r="18894" spans="1:2" x14ac:dyDescent="0.25">
      <c r="A18894" s="118"/>
      <c r="B18894" s="136"/>
    </row>
    <row r="18895" spans="1:2" x14ac:dyDescent="0.25">
      <c r="A18895" s="118"/>
      <c r="B18895" s="136"/>
    </row>
    <row r="18896" spans="1:2" x14ac:dyDescent="0.25">
      <c r="A18896" s="118"/>
      <c r="B18896" s="136"/>
    </row>
    <row r="18897" spans="1:2" x14ac:dyDescent="0.25">
      <c r="A18897" s="118"/>
      <c r="B18897" s="136"/>
    </row>
    <row r="18898" spans="1:2" x14ac:dyDescent="0.25">
      <c r="A18898" s="118"/>
      <c r="B18898" s="136"/>
    </row>
    <row r="18899" spans="1:2" x14ac:dyDescent="0.25">
      <c r="A18899" s="118"/>
      <c r="B18899" s="136"/>
    </row>
    <row r="18900" spans="1:2" x14ac:dyDescent="0.25">
      <c r="A18900" s="118"/>
      <c r="B18900" s="136"/>
    </row>
    <row r="18901" spans="1:2" x14ac:dyDescent="0.25">
      <c r="A18901" s="118"/>
      <c r="B18901" s="136"/>
    </row>
    <row r="18902" spans="1:2" x14ac:dyDescent="0.25">
      <c r="A18902" s="118"/>
      <c r="B18902" s="136"/>
    </row>
    <row r="18903" spans="1:2" x14ac:dyDescent="0.25">
      <c r="A18903" s="118"/>
      <c r="B18903" s="136"/>
    </row>
    <row r="18904" spans="1:2" x14ac:dyDescent="0.25">
      <c r="A18904" s="118"/>
      <c r="B18904" s="136"/>
    </row>
    <row r="18905" spans="1:2" x14ac:dyDescent="0.25">
      <c r="A18905" s="118"/>
      <c r="B18905" s="136"/>
    </row>
    <row r="18906" spans="1:2" x14ac:dyDescent="0.25">
      <c r="A18906" s="118"/>
      <c r="B18906" s="136"/>
    </row>
    <row r="18907" spans="1:2" x14ac:dyDescent="0.25">
      <c r="A18907" s="118"/>
      <c r="B18907" s="136"/>
    </row>
    <row r="18908" spans="1:2" x14ac:dyDescent="0.25">
      <c r="A18908" s="118"/>
      <c r="B18908" s="136"/>
    </row>
    <row r="18909" spans="1:2" x14ac:dyDescent="0.25">
      <c r="A18909" s="118"/>
      <c r="B18909" s="136"/>
    </row>
    <row r="18910" spans="1:2" x14ac:dyDescent="0.25">
      <c r="A18910" s="118"/>
      <c r="B18910" s="136"/>
    </row>
    <row r="18911" spans="1:2" x14ac:dyDescent="0.25">
      <c r="A18911" s="118"/>
      <c r="B18911" s="136"/>
    </row>
    <row r="18912" spans="1:2" x14ac:dyDescent="0.25">
      <c r="A18912" s="118"/>
      <c r="B18912" s="136"/>
    </row>
    <row r="18913" spans="1:2" x14ac:dyDescent="0.25">
      <c r="A18913" s="118"/>
      <c r="B18913" s="136"/>
    </row>
    <row r="18914" spans="1:2" x14ac:dyDescent="0.25">
      <c r="A18914" s="118"/>
      <c r="B18914" s="136"/>
    </row>
    <row r="18915" spans="1:2" x14ac:dyDescent="0.25">
      <c r="A18915" s="118"/>
      <c r="B18915" s="136"/>
    </row>
    <row r="18916" spans="1:2" x14ac:dyDescent="0.25">
      <c r="A18916" s="118"/>
      <c r="B18916" s="136"/>
    </row>
    <row r="18917" spans="1:2" x14ac:dyDescent="0.25">
      <c r="A18917" s="118"/>
      <c r="B18917" s="136"/>
    </row>
    <row r="18918" spans="1:2" x14ac:dyDescent="0.25">
      <c r="A18918" s="118"/>
      <c r="B18918" s="136"/>
    </row>
    <row r="18919" spans="1:2" x14ac:dyDescent="0.25">
      <c r="A18919" s="118"/>
      <c r="B18919" s="136"/>
    </row>
    <row r="18920" spans="1:2" x14ac:dyDescent="0.25">
      <c r="A18920" s="118"/>
      <c r="B18920" s="136"/>
    </row>
    <row r="18921" spans="1:2" x14ac:dyDescent="0.25">
      <c r="A18921" s="118"/>
      <c r="B18921" s="136"/>
    </row>
    <row r="18922" spans="1:2" x14ac:dyDescent="0.25">
      <c r="A18922" s="118"/>
      <c r="B18922" s="136"/>
    </row>
    <row r="18923" spans="1:2" x14ac:dyDescent="0.25">
      <c r="A18923" s="118"/>
      <c r="B18923" s="136"/>
    </row>
    <row r="18924" spans="1:2" x14ac:dyDescent="0.25">
      <c r="A18924" s="118"/>
      <c r="B18924" s="136"/>
    </row>
    <row r="18925" spans="1:2" x14ac:dyDescent="0.25">
      <c r="A18925" s="118"/>
      <c r="B18925" s="136"/>
    </row>
    <row r="18926" spans="1:2" x14ac:dyDescent="0.25">
      <c r="A18926" s="118"/>
      <c r="B18926" s="136"/>
    </row>
    <row r="18927" spans="1:2" x14ac:dyDescent="0.25">
      <c r="A18927" s="118"/>
      <c r="B18927" s="136"/>
    </row>
    <row r="18928" spans="1:2" x14ac:dyDescent="0.25">
      <c r="A18928" s="118"/>
      <c r="B18928" s="136"/>
    </row>
    <row r="18929" spans="1:2" x14ac:dyDescent="0.25">
      <c r="A18929" s="118"/>
      <c r="B18929" s="136"/>
    </row>
    <row r="18930" spans="1:2" x14ac:dyDescent="0.25">
      <c r="A18930" s="118"/>
      <c r="B18930" s="136"/>
    </row>
    <row r="18931" spans="1:2" x14ac:dyDescent="0.25">
      <c r="A18931" s="118"/>
      <c r="B18931" s="136"/>
    </row>
    <row r="18932" spans="1:2" x14ac:dyDescent="0.25">
      <c r="A18932" s="118"/>
      <c r="B18932" s="136"/>
    </row>
    <row r="18933" spans="1:2" x14ac:dyDescent="0.25">
      <c r="A18933" s="118"/>
      <c r="B18933" s="136"/>
    </row>
    <row r="18934" spans="1:2" x14ac:dyDescent="0.25">
      <c r="A18934" s="118"/>
      <c r="B18934" s="136"/>
    </row>
    <row r="18935" spans="1:2" x14ac:dyDescent="0.25">
      <c r="A18935" s="118"/>
      <c r="B18935" s="136"/>
    </row>
    <row r="18936" spans="1:2" x14ac:dyDescent="0.25">
      <c r="A18936" s="118"/>
      <c r="B18936" s="136"/>
    </row>
    <row r="18937" spans="1:2" x14ac:dyDescent="0.25">
      <c r="A18937" s="118"/>
      <c r="B18937" s="136"/>
    </row>
    <row r="18938" spans="1:2" x14ac:dyDescent="0.25">
      <c r="A18938" s="118"/>
      <c r="B18938" s="136"/>
    </row>
    <row r="18939" spans="1:2" x14ac:dyDescent="0.25">
      <c r="A18939" s="118"/>
      <c r="B18939" s="136"/>
    </row>
    <row r="18940" spans="1:2" x14ac:dyDescent="0.25">
      <c r="A18940" s="118"/>
      <c r="B18940" s="136"/>
    </row>
    <row r="18941" spans="1:2" x14ac:dyDescent="0.25">
      <c r="A18941" s="118"/>
      <c r="B18941" s="136"/>
    </row>
    <row r="18942" spans="1:2" x14ac:dyDescent="0.25">
      <c r="A18942" s="118"/>
      <c r="B18942" s="136"/>
    </row>
    <row r="18943" spans="1:2" x14ac:dyDescent="0.25">
      <c r="A18943" s="118"/>
      <c r="B18943" s="136"/>
    </row>
    <row r="18944" spans="1:2" x14ac:dyDescent="0.25">
      <c r="A18944" s="118"/>
      <c r="B18944" s="136"/>
    </row>
    <row r="18945" spans="1:2" x14ac:dyDescent="0.25">
      <c r="A18945" s="118"/>
      <c r="B18945" s="136"/>
    </row>
    <row r="18946" spans="1:2" x14ac:dyDescent="0.25">
      <c r="A18946" s="118"/>
      <c r="B18946" s="136"/>
    </row>
    <row r="18947" spans="1:2" x14ac:dyDescent="0.25">
      <c r="A18947" s="118"/>
      <c r="B18947" s="136"/>
    </row>
    <row r="18948" spans="1:2" x14ac:dyDescent="0.25">
      <c r="A18948" s="118"/>
      <c r="B18948" s="136"/>
    </row>
    <row r="18949" spans="1:2" x14ac:dyDescent="0.25">
      <c r="A18949" s="118"/>
      <c r="B18949" s="136"/>
    </row>
    <row r="18950" spans="1:2" x14ac:dyDescent="0.25">
      <c r="A18950" s="118"/>
      <c r="B18950" s="136"/>
    </row>
    <row r="18951" spans="1:2" x14ac:dyDescent="0.25">
      <c r="A18951" s="118"/>
      <c r="B18951" s="136"/>
    </row>
    <row r="18952" spans="1:2" x14ac:dyDescent="0.25">
      <c r="A18952" s="118"/>
      <c r="B18952" s="136"/>
    </row>
    <row r="18953" spans="1:2" x14ac:dyDescent="0.25">
      <c r="A18953" s="118"/>
      <c r="B18953" s="136"/>
    </row>
    <row r="18954" spans="1:2" x14ac:dyDescent="0.25">
      <c r="A18954" s="118"/>
      <c r="B18954" s="136"/>
    </row>
    <row r="18955" spans="1:2" x14ac:dyDescent="0.25">
      <c r="A18955" s="118"/>
      <c r="B18955" s="136"/>
    </row>
    <row r="18956" spans="1:2" x14ac:dyDescent="0.25">
      <c r="A18956" s="118"/>
      <c r="B18956" s="136"/>
    </row>
    <row r="18957" spans="1:2" x14ac:dyDescent="0.25">
      <c r="A18957" s="118"/>
      <c r="B18957" s="136"/>
    </row>
    <row r="18958" spans="1:2" x14ac:dyDescent="0.25">
      <c r="A18958" s="118"/>
      <c r="B18958" s="136"/>
    </row>
    <row r="18959" spans="1:2" x14ac:dyDescent="0.25">
      <c r="A18959" s="118"/>
      <c r="B18959" s="136"/>
    </row>
    <row r="18960" spans="1:2" x14ac:dyDescent="0.25">
      <c r="A18960" s="118"/>
      <c r="B18960" s="136"/>
    </row>
    <row r="18961" spans="1:2" x14ac:dyDescent="0.25">
      <c r="A18961" s="118"/>
      <c r="B18961" s="136"/>
    </row>
    <row r="18962" spans="1:2" x14ac:dyDescent="0.25">
      <c r="A18962" s="118"/>
      <c r="B18962" s="136"/>
    </row>
    <row r="18963" spans="1:2" x14ac:dyDescent="0.25">
      <c r="A18963" s="118"/>
      <c r="B18963" s="136"/>
    </row>
    <row r="18964" spans="1:2" x14ac:dyDescent="0.25">
      <c r="A18964" s="118"/>
      <c r="B18964" s="136"/>
    </row>
    <row r="18965" spans="1:2" x14ac:dyDescent="0.25">
      <c r="A18965" s="118"/>
      <c r="B18965" s="136"/>
    </row>
    <row r="18966" spans="1:2" x14ac:dyDescent="0.25">
      <c r="A18966" s="118"/>
      <c r="B18966" s="136"/>
    </row>
    <row r="18967" spans="1:2" x14ac:dyDescent="0.25">
      <c r="A18967" s="118"/>
      <c r="B18967" s="136"/>
    </row>
    <row r="18968" spans="1:2" x14ac:dyDescent="0.25">
      <c r="A18968" s="118"/>
      <c r="B18968" s="136"/>
    </row>
    <row r="18969" spans="1:2" x14ac:dyDescent="0.25">
      <c r="A18969" s="118"/>
      <c r="B18969" s="136"/>
    </row>
    <row r="18970" spans="1:2" x14ac:dyDescent="0.25">
      <c r="A18970" s="118"/>
      <c r="B18970" s="136"/>
    </row>
    <row r="18971" spans="1:2" x14ac:dyDescent="0.25">
      <c r="A18971" s="118"/>
      <c r="B18971" s="136"/>
    </row>
    <row r="18972" spans="1:2" x14ac:dyDescent="0.25">
      <c r="A18972" s="118"/>
      <c r="B18972" s="136"/>
    </row>
    <row r="18973" spans="1:2" x14ac:dyDescent="0.25">
      <c r="A18973" s="118"/>
      <c r="B18973" s="136"/>
    </row>
    <row r="18974" spans="1:2" x14ac:dyDescent="0.25">
      <c r="A18974" s="118"/>
      <c r="B18974" s="136"/>
    </row>
    <row r="18975" spans="1:2" x14ac:dyDescent="0.25">
      <c r="A18975" s="118"/>
      <c r="B18975" s="136"/>
    </row>
    <row r="18976" spans="1:2" x14ac:dyDescent="0.25">
      <c r="A18976" s="118"/>
      <c r="B18976" s="136"/>
    </row>
    <row r="18977" spans="1:2" x14ac:dyDescent="0.25">
      <c r="A18977" s="118"/>
      <c r="B18977" s="136"/>
    </row>
    <row r="18978" spans="1:2" x14ac:dyDescent="0.25">
      <c r="A18978" s="118"/>
      <c r="B18978" s="136"/>
    </row>
    <row r="18979" spans="1:2" x14ac:dyDescent="0.25">
      <c r="A18979" s="118"/>
      <c r="B18979" s="136"/>
    </row>
    <row r="18980" spans="1:2" x14ac:dyDescent="0.25">
      <c r="A18980" s="118"/>
      <c r="B18980" s="136"/>
    </row>
    <row r="18981" spans="1:2" x14ac:dyDescent="0.25">
      <c r="A18981" s="118"/>
      <c r="B18981" s="136"/>
    </row>
    <row r="18982" spans="1:2" x14ac:dyDescent="0.25">
      <c r="A18982" s="118"/>
      <c r="B18982" s="136"/>
    </row>
    <row r="18983" spans="1:2" x14ac:dyDescent="0.25">
      <c r="A18983" s="118"/>
      <c r="B18983" s="136"/>
    </row>
    <row r="18984" spans="1:2" x14ac:dyDescent="0.25">
      <c r="A18984" s="118"/>
      <c r="B18984" s="136"/>
    </row>
    <row r="18985" spans="1:2" x14ac:dyDescent="0.25">
      <c r="A18985" s="118"/>
      <c r="B18985" s="136"/>
    </row>
    <row r="18986" spans="1:2" x14ac:dyDescent="0.25">
      <c r="A18986" s="118"/>
      <c r="B18986" s="136"/>
    </row>
    <row r="18987" spans="1:2" x14ac:dyDescent="0.25">
      <c r="A18987" s="118"/>
      <c r="B18987" s="136"/>
    </row>
    <row r="18988" spans="1:2" x14ac:dyDescent="0.25">
      <c r="A18988" s="118"/>
      <c r="B18988" s="136"/>
    </row>
    <row r="18989" spans="1:2" x14ac:dyDescent="0.25">
      <c r="A18989" s="118"/>
      <c r="B18989" s="136"/>
    </row>
    <row r="18990" spans="1:2" x14ac:dyDescent="0.25">
      <c r="A18990" s="118"/>
      <c r="B18990" s="136"/>
    </row>
    <row r="18991" spans="1:2" x14ac:dyDescent="0.25">
      <c r="A18991" s="118"/>
      <c r="B18991" s="136"/>
    </row>
    <row r="18992" spans="1:2" x14ac:dyDescent="0.25">
      <c r="A18992" s="118"/>
      <c r="B18992" s="136"/>
    </row>
    <row r="18993" spans="1:2" x14ac:dyDescent="0.25">
      <c r="A18993" s="118"/>
      <c r="B18993" s="136"/>
    </row>
    <row r="18994" spans="1:2" x14ac:dyDescent="0.25">
      <c r="A18994" s="118"/>
      <c r="B18994" s="136"/>
    </row>
    <row r="18995" spans="1:2" x14ac:dyDescent="0.25">
      <c r="A18995" s="118"/>
      <c r="B18995" s="136"/>
    </row>
    <row r="18996" spans="1:2" x14ac:dyDescent="0.25">
      <c r="A18996" s="118"/>
      <c r="B18996" s="136"/>
    </row>
    <row r="18997" spans="1:2" x14ac:dyDescent="0.25">
      <c r="A18997" s="118"/>
      <c r="B18997" s="136"/>
    </row>
    <row r="18998" spans="1:2" x14ac:dyDescent="0.25">
      <c r="A18998" s="118"/>
      <c r="B18998" s="136"/>
    </row>
    <row r="18999" spans="1:2" x14ac:dyDescent="0.25">
      <c r="A18999" s="118"/>
      <c r="B18999" s="136"/>
    </row>
    <row r="19000" spans="1:2" x14ac:dyDescent="0.25">
      <c r="A19000" s="118"/>
      <c r="B19000" s="136"/>
    </row>
    <row r="19001" spans="1:2" x14ac:dyDescent="0.25">
      <c r="A19001" s="118"/>
      <c r="B19001" s="136"/>
    </row>
    <row r="19002" spans="1:2" x14ac:dyDescent="0.25">
      <c r="A19002" s="118"/>
      <c r="B19002" s="136"/>
    </row>
    <row r="19003" spans="1:2" x14ac:dyDescent="0.25">
      <c r="A19003" s="118"/>
      <c r="B19003" s="136"/>
    </row>
    <row r="19004" spans="1:2" x14ac:dyDescent="0.25">
      <c r="A19004" s="118"/>
      <c r="B19004" s="136"/>
    </row>
    <row r="19005" spans="1:2" x14ac:dyDescent="0.25">
      <c r="A19005" s="118"/>
      <c r="B19005" s="136"/>
    </row>
    <row r="19006" spans="1:2" x14ac:dyDescent="0.25">
      <c r="A19006" s="118"/>
      <c r="B19006" s="136"/>
    </row>
    <row r="19007" spans="1:2" x14ac:dyDescent="0.25">
      <c r="A19007" s="118"/>
      <c r="B19007" s="136"/>
    </row>
    <row r="19008" spans="1:2" x14ac:dyDescent="0.25">
      <c r="A19008" s="118"/>
      <c r="B19008" s="136"/>
    </row>
    <row r="19009" spans="1:2" x14ac:dyDescent="0.25">
      <c r="A19009" s="118"/>
      <c r="B19009" s="136"/>
    </row>
    <row r="19010" spans="1:2" x14ac:dyDescent="0.25">
      <c r="A19010" s="118"/>
      <c r="B19010" s="136"/>
    </row>
    <row r="19011" spans="1:2" x14ac:dyDescent="0.25">
      <c r="A19011" s="118"/>
      <c r="B19011" s="136"/>
    </row>
    <row r="19012" spans="1:2" x14ac:dyDescent="0.25">
      <c r="A19012" s="118"/>
      <c r="B19012" s="136"/>
    </row>
    <row r="19013" spans="1:2" x14ac:dyDescent="0.25">
      <c r="A19013" s="118"/>
      <c r="B19013" s="136"/>
    </row>
    <row r="19014" spans="1:2" x14ac:dyDescent="0.25">
      <c r="A19014" s="118"/>
      <c r="B19014" s="136"/>
    </row>
    <row r="19015" spans="1:2" x14ac:dyDescent="0.25">
      <c r="A19015" s="118"/>
      <c r="B19015" s="136"/>
    </row>
    <row r="19016" spans="1:2" x14ac:dyDescent="0.25">
      <c r="A19016" s="118"/>
      <c r="B19016" s="136"/>
    </row>
    <row r="19017" spans="1:2" x14ac:dyDescent="0.25">
      <c r="A19017" s="118"/>
      <c r="B19017" s="136"/>
    </row>
    <row r="19018" spans="1:2" x14ac:dyDescent="0.25">
      <c r="A19018" s="118"/>
      <c r="B19018" s="136"/>
    </row>
    <row r="19019" spans="1:2" x14ac:dyDescent="0.25">
      <c r="A19019" s="118"/>
      <c r="B19019" s="136"/>
    </row>
    <row r="19020" spans="1:2" x14ac:dyDescent="0.25">
      <c r="A19020" s="118"/>
      <c r="B19020" s="136"/>
    </row>
    <row r="19021" spans="1:2" x14ac:dyDescent="0.25">
      <c r="A19021" s="118"/>
      <c r="B19021" s="136"/>
    </row>
    <row r="19022" spans="1:2" x14ac:dyDescent="0.25">
      <c r="A19022" s="118"/>
      <c r="B19022" s="136"/>
    </row>
    <row r="19023" spans="1:2" x14ac:dyDescent="0.25">
      <c r="A19023" s="118"/>
      <c r="B19023" s="136"/>
    </row>
    <row r="19024" spans="1:2" x14ac:dyDescent="0.25">
      <c r="A19024" s="118"/>
      <c r="B19024" s="136"/>
    </row>
    <row r="19025" spans="1:2" x14ac:dyDescent="0.25">
      <c r="A19025" s="118"/>
      <c r="B19025" s="136"/>
    </row>
    <row r="19026" spans="1:2" x14ac:dyDescent="0.25">
      <c r="A19026" s="118"/>
      <c r="B19026" s="136"/>
    </row>
    <row r="19027" spans="1:2" x14ac:dyDescent="0.25">
      <c r="A19027" s="118"/>
      <c r="B19027" s="136"/>
    </row>
    <row r="19028" spans="1:2" x14ac:dyDescent="0.25">
      <c r="A19028" s="118"/>
      <c r="B19028" s="136"/>
    </row>
    <row r="19029" spans="1:2" x14ac:dyDescent="0.25">
      <c r="A19029" s="118"/>
      <c r="B19029" s="136"/>
    </row>
    <row r="19030" spans="1:2" x14ac:dyDescent="0.25">
      <c r="A19030" s="118"/>
      <c r="B19030" s="136"/>
    </row>
    <row r="19031" spans="1:2" x14ac:dyDescent="0.25">
      <c r="A19031" s="118"/>
      <c r="B19031" s="136"/>
    </row>
    <row r="19032" spans="1:2" x14ac:dyDescent="0.25">
      <c r="A19032" s="118"/>
      <c r="B19032" s="136"/>
    </row>
    <row r="19033" spans="1:2" x14ac:dyDescent="0.25">
      <c r="A19033" s="118"/>
      <c r="B19033" s="136"/>
    </row>
    <row r="19034" spans="1:2" x14ac:dyDescent="0.25">
      <c r="A19034" s="118"/>
      <c r="B19034" s="136"/>
    </row>
    <row r="19035" spans="1:2" x14ac:dyDescent="0.25">
      <c r="A19035" s="118"/>
      <c r="B19035" s="136"/>
    </row>
    <row r="19036" spans="1:2" x14ac:dyDescent="0.25">
      <c r="A19036" s="118"/>
      <c r="B19036" s="136"/>
    </row>
    <row r="19037" spans="1:2" x14ac:dyDescent="0.25">
      <c r="A19037" s="118"/>
      <c r="B19037" s="136"/>
    </row>
    <row r="19038" spans="1:2" x14ac:dyDescent="0.25">
      <c r="A19038" s="118"/>
      <c r="B19038" s="136"/>
    </row>
    <row r="19039" spans="1:2" x14ac:dyDescent="0.25">
      <c r="A19039" s="118"/>
      <c r="B19039" s="136"/>
    </row>
    <row r="19040" spans="1:2" x14ac:dyDescent="0.25">
      <c r="A19040" s="118"/>
      <c r="B19040" s="136"/>
    </row>
    <row r="19041" spans="1:2" x14ac:dyDescent="0.25">
      <c r="A19041" s="118"/>
      <c r="B19041" s="136"/>
    </row>
    <row r="19042" spans="1:2" x14ac:dyDescent="0.25">
      <c r="A19042" s="118"/>
      <c r="B19042" s="136"/>
    </row>
    <row r="19043" spans="1:2" x14ac:dyDescent="0.25">
      <c r="A19043" s="118"/>
      <c r="B19043" s="136"/>
    </row>
    <row r="19044" spans="1:2" x14ac:dyDescent="0.25">
      <c r="A19044" s="118"/>
      <c r="B19044" s="136"/>
    </row>
    <row r="19045" spans="1:2" x14ac:dyDescent="0.25">
      <c r="A19045" s="118"/>
      <c r="B19045" s="136"/>
    </row>
    <row r="19046" spans="1:2" x14ac:dyDescent="0.25">
      <c r="A19046" s="118"/>
      <c r="B19046" s="136"/>
    </row>
    <row r="19047" spans="1:2" x14ac:dyDescent="0.25">
      <c r="A19047" s="118"/>
      <c r="B19047" s="136"/>
    </row>
    <row r="19048" spans="1:2" x14ac:dyDescent="0.25">
      <c r="A19048" s="118"/>
      <c r="B19048" s="136"/>
    </row>
    <row r="19049" spans="1:2" x14ac:dyDescent="0.25">
      <c r="A19049" s="118"/>
      <c r="B19049" s="136"/>
    </row>
    <row r="19050" spans="1:2" x14ac:dyDescent="0.25">
      <c r="A19050" s="118"/>
      <c r="B19050" s="136"/>
    </row>
    <row r="19051" spans="1:2" x14ac:dyDescent="0.25">
      <c r="A19051" s="118"/>
      <c r="B19051" s="136"/>
    </row>
    <row r="19052" spans="1:2" x14ac:dyDescent="0.25">
      <c r="A19052" s="118"/>
      <c r="B19052" s="136"/>
    </row>
    <row r="19053" spans="1:2" x14ac:dyDescent="0.25">
      <c r="A19053" s="118"/>
      <c r="B19053" s="136"/>
    </row>
    <row r="19054" spans="1:2" x14ac:dyDescent="0.25">
      <c r="A19054" s="118"/>
      <c r="B19054" s="136"/>
    </row>
    <row r="19055" spans="1:2" x14ac:dyDescent="0.25">
      <c r="A19055" s="118"/>
      <c r="B19055" s="136"/>
    </row>
    <row r="19056" spans="1:2" x14ac:dyDescent="0.25">
      <c r="A19056" s="118"/>
      <c r="B19056" s="136"/>
    </row>
    <row r="19057" spans="1:2" x14ac:dyDescent="0.25">
      <c r="A19057" s="118"/>
      <c r="B19057" s="136"/>
    </row>
    <row r="19058" spans="1:2" x14ac:dyDescent="0.25">
      <c r="A19058" s="118"/>
      <c r="B19058" s="136"/>
    </row>
    <row r="19059" spans="1:2" x14ac:dyDescent="0.25">
      <c r="A19059" s="118"/>
      <c r="B19059" s="136"/>
    </row>
    <row r="19060" spans="1:2" x14ac:dyDescent="0.25">
      <c r="A19060" s="118"/>
      <c r="B19060" s="136"/>
    </row>
    <row r="19061" spans="1:2" x14ac:dyDescent="0.25">
      <c r="A19061" s="118"/>
      <c r="B19061" s="136"/>
    </row>
    <row r="19062" spans="1:2" x14ac:dyDescent="0.25">
      <c r="A19062" s="118"/>
      <c r="B19062" s="136"/>
    </row>
    <row r="19063" spans="1:2" x14ac:dyDescent="0.25">
      <c r="A19063" s="118"/>
      <c r="B19063" s="136"/>
    </row>
    <row r="19064" spans="1:2" x14ac:dyDescent="0.25">
      <c r="A19064" s="118"/>
      <c r="B19064" s="136"/>
    </row>
    <row r="19065" spans="1:2" x14ac:dyDescent="0.25">
      <c r="A19065" s="118"/>
      <c r="B19065" s="136"/>
    </row>
    <row r="19066" spans="1:2" x14ac:dyDescent="0.25">
      <c r="A19066" s="118"/>
      <c r="B19066" s="136"/>
    </row>
    <row r="19067" spans="1:2" x14ac:dyDescent="0.25">
      <c r="A19067" s="118"/>
      <c r="B19067" s="136"/>
    </row>
    <row r="19068" spans="1:2" x14ac:dyDescent="0.25">
      <c r="A19068" s="118"/>
      <c r="B19068" s="136"/>
    </row>
    <row r="19069" spans="1:2" x14ac:dyDescent="0.25">
      <c r="A19069" s="118"/>
      <c r="B19069" s="136"/>
    </row>
    <row r="19070" spans="1:2" x14ac:dyDescent="0.25">
      <c r="A19070" s="118"/>
      <c r="B19070" s="136"/>
    </row>
    <row r="19071" spans="1:2" x14ac:dyDescent="0.25">
      <c r="A19071" s="118"/>
      <c r="B19071" s="136"/>
    </row>
    <row r="19072" spans="1:2" x14ac:dyDescent="0.25">
      <c r="A19072" s="118"/>
      <c r="B19072" s="136"/>
    </row>
    <row r="19073" spans="1:2" x14ac:dyDescent="0.25">
      <c r="A19073" s="118"/>
      <c r="B19073" s="136"/>
    </row>
    <row r="19074" spans="1:2" x14ac:dyDescent="0.25">
      <c r="A19074" s="118"/>
      <c r="B19074" s="136"/>
    </row>
    <row r="19075" spans="1:2" x14ac:dyDescent="0.25">
      <c r="A19075" s="118"/>
      <c r="B19075" s="136"/>
    </row>
    <row r="19076" spans="1:2" x14ac:dyDescent="0.25">
      <c r="A19076" s="118"/>
      <c r="B19076" s="136"/>
    </row>
    <row r="19077" spans="1:2" x14ac:dyDescent="0.25">
      <c r="A19077" s="118"/>
      <c r="B19077" s="136"/>
    </row>
    <row r="19078" spans="1:2" x14ac:dyDescent="0.25">
      <c r="A19078" s="118"/>
      <c r="B19078" s="136"/>
    </row>
    <row r="19079" spans="1:2" x14ac:dyDescent="0.25">
      <c r="A19079" s="118"/>
      <c r="B19079" s="136"/>
    </row>
    <row r="19080" spans="1:2" x14ac:dyDescent="0.25">
      <c r="A19080" s="118"/>
      <c r="B19080" s="136"/>
    </row>
    <row r="19081" spans="1:2" x14ac:dyDescent="0.25">
      <c r="A19081" s="118"/>
      <c r="B19081" s="136"/>
    </row>
    <row r="19082" spans="1:2" x14ac:dyDescent="0.25">
      <c r="A19082" s="118"/>
      <c r="B19082" s="136"/>
    </row>
    <row r="19083" spans="1:2" x14ac:dyDescent="0.25">
      <c r="A19083" s="118"/>
      <c r="B19083" s="136"/>
    </row>
    <row r="19084" spans="1:2" x14ac:dyDescent="0.25">
      <c r="A19084" s="118"/>
      <c r="B19084" s="136"/>
    </row>
    <row r="19085" spans="1:2" x14ac:dyDescent="0.25">
      <c r="A19085" s="118"/>
      <c r="B19085" s="136"/>
    </row>
    <row r="19086" spans="1:2" x14ac:dyDescent="0.25">
      <c r="A19086" s="118"/>
      <c r="B19086" s="136"/>
    </row>
    <row r="19087" spans="1:2" x14ac:dyDescent="0.25">
      <c r="A19087" s="118"/>
      <c r="B19087" s="136"/>
    </row>
    <row r="19088" spans="1:2" x14ac:dyDescent="0.25">
      <c r="A19088" s="118"/>
      <c r="B19088" s="136"/>
    </row>
    <row r="19089" spans="1:2" x14ac:dyDescent="0.25">
      <c r="A19089" s="118"/>
      <c r="B19089" s="136"/>
    </row>
    <row r="19090" spans="1:2" x14ac:dyDescent="0.25">
      <c r="A19090" s="118"/>
      <c r="B19090" s="136"/>
    </row>
    <row r="19091" spans="1:2" x14ac:dyDescent="0.25">
      <c r="A19091" s="118"/>
      <c r="B19091" s="136"/>
    </row>
    <row r="19092" spans="1:2" x14ac:dyDescent="0.25">
      <c r="A19092" s="118"/>
      <c r="B19092" s="136"/>
    </row>
    <row r="19093" spans="1:2" x14ac:dyDescent="0.25">
      <c r="A19093" s="118"/>
      <c r="B19093" s="136"/>
    </row>
    <row r="19094" spans="1:2" x14ac:dyDescent="0.25">
      <c r="A19094" s="118"/>
      <c r="B19094" s="136"/>
    </row>
    <row r="19095" spans="1:2" x14ac:dyDescent="0.25">
      <c r="A19095" s="118"/>
      <c r="B19095" s="136"/>
    </row>
    <row r="19096" spans="1:2" x14ac:dyDescent="0.25">
      <c r="A19096" s="118"/>
      <c r="B19096" s="136"/>
    </row>
    <row r="19097" spans="1:2" x14ac:dyDescent="0.25">
      <c r="A19097" s="118"/>
      <c r="B19097" s="136"/>
    </row>
    <row r="19098" spans="1:2" x14ac:dyDescent="0.25">
      <c r="A19098" s="118"/>
      <c r="B19098" s="136"/>
    </row>
    <row r="19099" spans="1:2" x14ac:dyDescent="0.25">
      <c r="A19099" s="118"/>
      <c r="B19099" s="136"/>
    </row>
    <row r="19100" spans="1:2" x14ac:dyDescent="0.25">
      <c r="A19100" s="118"/>
      <c r="B19100" s="136"/>
    </row>
    <row r="19101" spans="1:2" x14ac:dyDescent="0.25">
      <c r="A19101" s="118"/>
      <c r="B19101" s="136"/>
    </row>
    <row r="19102" spans="1:2" x14ac:dyDescent="0.25">
      <c r="A19102" s="118"/>
      <c r="B19102" s="136"/>
    </row>
    <row r="19103" spans="1:2" x14ac:dyDescent="0.25">
      <c r="A19103" s="118"/>
      <c r="B19103" s="136"/>
    </row>
    <row r="19104" spans="1:2" x14ac:dyDescent="0.25">
      <c r="A19104" s="118"/>
      <c r="B19104" s="136"/>
    </row>
    <row r="19105" spans="1:2" x14ac:dyDescent="0.25">
      <c r="A19105" s="118"/>
      <c r="B19105" s="136"/>
    </row>
    <row r="19106" spans="1:2" x14ac:dyDescent="0.25">
      <c r="A19106" s="118"/>
      <c r="B19106" s="136"/>
    </row>
    <row r="19107" spans="1:2" x14ac:dyDescent="0.25">
      <c r="A19107" s="118"/>
      <c r="B19107" s="136"/>
    </row>
    <row r="19108" spans="1:2" x14ac:dyDescent="0.25">
      <c r="A19108" s="118"/>
      <c r="B19108" s="136"/>
    </row>
    <row r="19109" spans="1:2" x14ac:dyDescent="0.25">
      <c r="A19109" s="118"/>
      <c r="B19109" s="136"/>
    </row>
    <row r="19110" spans="1:2" x14ac:dyDescent="0.25">
      <c r="A19110" s="118"/>
      <c r="B19110" s="136"/>
    </row>
    <row r="19111" spans="1:2" x14ac:dyDescent="0.25">
      <c r="A19111" s="118"/>
      <c r="B19111" s="136"/>
    </row>
    <row r="19112" spans="1:2" x14ac:dyDescent="0.25">
      <c r="A19112" s="118"/>
      <c r="B19112" s="136"/>
    </row>
    <row r="19113" spans="1:2" x14ac:dyDescent="0.25">
      <c r="A19113" s="118"/>
      <c r="B19113" s="136"/>
    </row>
    <row r="19114" spans="1:2" x14ac:dyDescent="0.25">
      <c r="A19114" s="118"/>
      <c r="B19114" s="136"/>
    </row>
    <row r="19115" spans="1:2" x14ac:dyDescent="0.25">
      <c r="A19115" s="118"/>
      <c r="B19115" s="136"/>
    </row>
    <row r="19116" spans="1:2" x14ac:dyDescent="0.25">
      <c r="A19116" s="118"/>
      <c r="B19116" s="136"/>
    </row>
    <row r="19117" spans="1:2" x14ac:dyDescent="0.25">
      <c r="A19117" s="118"/>
      <c r="B19117" s="136"/>
    </row>
    <row r="19118" spans="1:2" x14ac:dyDescent="0.25">
      <c r="A19118" s="118"/>
      <c r="B19118" s="136"/>
    </row>
    <row r="19119" spans="1:2" x14ac:dyDescent="0.25">
      <c r="A19119" s="118"/>
      <c r="B19119" s="136"/>
    </row>
    <row r="19120" spans="1:2" x14ac:dyDescent="0.25">
      <c r="A19120" s="118"/>
      <c r="B19120" s="136"/>
    </row>
    <row r="19121" spans="1:2" x14ac:dyDescent="0.25">
      <c r="A19121" s="118"/>
      <c r="B19121" s="136"/>
    </row>
    <row r="19122" spans="1:2" x14ac:dyDescent="0.25">
      <c r="A19122" s="118"/>
      <c r="B19122" s="136"/>
    </row>
    <row r="19123" spans="1:2" x14ac:dyDescent="0.25">
      <c r="A19123" s="118"/>
      <c r="B19123" s="136"/>
    </row>
    <row r="19124" spans="1:2" x14ac:dyDescent="0.25">
      <c r="A19124" s="118"/>
      <c r="B19124" s="136"/>
    </row>
    <row r="19125" spans="1:2" x14ac:dyDescent="0.25">
      <c r="A19125" s="118"/>
      <c r="B19125" s="136"/>
    </row>
    <row r="19126" spans="1:2" x14ac:dyDescent="0.25">
      <c r="A19126" s="118"/>
      <c r="B19126" s="136"/>
    </row>
    <row r="19127" spans="1:2" x14ac:dyDescent="0.25">
      <c r="A19127" s="118"/>
      <c r="B19127" s="136"/>
    </row>
    <row r="19128" spans="1:2" x14ac:dyDescent="0.25">
      <c r="A19128" s="118"/>
      <c r="B19128" s="136"/>
    </row>
    <row r="19129" spans="1:2" x14ac:dyDescent="0.25">
      <c r="A19129" s="118"/>
      <c r="B19129" s="136"/>
    </row>
    <row r="19130" spans="1:2" x14ac:dyDescent="0.25">
      <c r="A19130" s="118"/>
      <c r="B19130" s="136"/>
    </row>
    <row r="19131" spans="1:2" x14ac:dyDescent="0.25">
      <c r="A19131" s="118"/>
      <c r="B19131" s="136"/>
    </row>
    <row r="19132" spans="1:2" x14ac:dyDescent="0.25">
      <c r="A19132" s="118"/>
      <c r="B19132" s="136"/>
    </row>
    <row r="19133" spans="1:2" x14ac:dyDescent="0.25">
      <c r="A19133" s="118"/>
      <c r="B19133" s="136"/>
    </row>
    <row r="19134" spans="1:2" x14ac:dyDescent="0.25">
      <c r="A19134" s="118"/>
      <c r="B19134" s="136"/>
    </row>
    <row r="19135" spans="1:2" x14ac:dyDescent="0.25">
      <c r="A19135" s="118"/>
      <c r="B19135" s="136"/>
    </row>
    <row r="19136" spans="1:2" x14ac:dyDescent="0.25">
      <c r="A19136" s="118"/>
      <c r="B19136" s="136"/>
    </row>
    <row r="19137" spans="1:2" x14ac:dyDescent="0.25">
      <c r="A19137" s="118"/>
      <c r="B19137" s="136"/>
    </row>
    <row r="19138" spans="1:2" x14ac:dyDescent="0.25">
      <c r="A19138" s="118"/>
      <c r="B19138" s="136"/>
    </row>
    <row r="19139" spans="1:2" x14ac:dyDescent="0.25">
      <c r="A19139" s="118"/>
      <c r="B19139" s="136"/>
    </row>
    <row r="19140" spans="1:2" x14ac:dyDescent="0.25">
      <c r="A19140" s="118"/>
      <c r="B19140" s="136"/>
    </row>
    <row r="19141" spans="1:2" x14ac:dyDescent="0.25">
      <c r="A19141" s="118"/>
      <c r="B19141" s="136"/>
    </row>
    <row r="19142" spans="1:2" x14ac:dyDescent="0.25">
      <c r="A19142" s="118"/>
      <c r="B19142" s="136"/>
    </row>
    <row r="19143" spans="1:2" x14ac:dyDescent="0.25">
      <c r="A19143" s="118"/>
      <c r="B19143" s="136"/>
    </row>
    <row r="19144" spans="1:2" x14ac:dyDescent="0.25">
      <c r="A19144" s="118"/>
      <c r="B19144" s="136"/>
    </row>
    <row r="19145" spans="1:2" x14ac:dyDescent="0.25">
      <c r="A19145" s="118"/>
      <c r="B19145" s="136"/>
    </row>
    <row r="19146" spans="1:2" x14ac:dyDescent="0.25">
      <c r="A19146" s="118"/>
      <c r="B19146" s="136"/>
    </row>
    <row r="19147" spans="1:2" x14ac:dyDescent="0.25">
      <c r="A19147" s="118"/>
      <c r="B19147" s="136"/>
    </row>
    <row r="19148" spans="1:2" x14ac:dyDescent="0.25">
      <c r="A19148" s="118"/>
      <c r="B19148" s="136"/>
    </row>
    <row r="19149" spans="1:2" x14ac:dyDescent="0.25">
      <c r="A19149" s="118"/>
      <c r="B19149" s="136"/>
    </row>
    <row r="19150" spans="1:2" x14ac:dyDescent="0.25">
      <c r="A19150" s="118"/>
      <c r="B19150" s="136"/>
    </row>
    <row r="19151" spans="1:2" x14ac:dyDescent="0.25">
      <c r="A19151" s="118"/>
      <c r="B19151" s="136"/>
    </row>
    <row r="19152" spans="1:2" x14ac:dyDescent="0.25">
      <c r="A19152" s="118"/>
      <c r="B19152" s="136"/>
    </row>
    <row r="19153" spans="1:2" x14ac:dyDescent="0.25">
      <c r="A19153" s="118"/>
      <c r="B19153" s="136"/>
    </row>
    <row r="19154" spans="1:2" x14ac:dyDescent="0.25">
      <c r="A19154" s="118"/>
      <c r="B19154" s="136"/>
    </row>
    <row r="19155" spans="1:2" x14ac:dyDescent="0.25">
      <c r="A19155" s="118"/>
      <c r="B19155" s="136"/>
    </row>
    <row r="19156" spans="1:2" x14ac:dyDescent="0.25">
      <c r="A19156" s="118"/>
      <c r="B19156" s="136"/>
    </row>
    <row r="19157" spans="1:2" x14ac:dyDescent="0.25">
      <c r="A19157" s="118"/>
      <c r="B19157" s="136"/>
    </row>
    <row r="19158" spans="1:2" x14ac:dyDescent="0.25">
      <c r="A19158" s="118"/>
      <c r="B19158" s="136"/>
    </row>
    <row r="19159" spans="1:2" x14ac:dyDescent="0.25">
      <c r="A19159" s="118"/>
      <c r="B19159" s="136"/>
    </row>
    <row r="19160" spans="1:2" x14ac:dyDescent="0.25">
      <c r="A19160" s="118"/>
      <c r="B19160" s="136"/>
    </row>
    <row r="19161" spans="1:2" x14ac:dyDescent="0.25">
      <c r="A19161" s="118"/>
      <c r="B19161" s="136"/>
    </row>
    <row r="19162" spans="1:2" x14ac:dyDescent="0.25">
      <c r="A19162" s="118"/>
      <c r="B19162" s="136"/>
    </row>
    <row r="19163" spans="1:2" x14ac:dyDescent="0.25">
      <c r="A19163" s="118"/>
      <c r="B19163" s="136"/>
    </row>
    <row r="19164" spans="1:2" x14ac:dyDescent="0.25">
      <c r="A19164" s="118"/>
      <c r="B19164" s="136"/>
    </row>
    <row r="19165" spans="1:2" x14ac:dyDescent="0.25">
      <c r="A19165" s="118"/>
      <c r="B19165" s="136"/>
    </row>
    <row r="19166" spans="1:2" x14ac:dyDescent="0.25">
      <c r="A19166" s="118"/>
      <c r="B19166" s="136"/>
    </row>
    <row r="19167" spans="1:2" x14ac:dyDescent="0.25">
      <c r="A19167" s="118"/>
      <c r="B19167" s="136"/>
    </row>
    <row r="19168" spans="1:2" x14ac:dyDescent="0.25">
      <c r="A19168" s="118"/>
      <c r="B19168" s="136"/>
    </row>
    <row r="19169" spans="1:2" x14ac:dyDescent="0.25">
      <c r="A19169" s="118"/>
      <c r="B19169" s="136"/>
    </row>
    <row r="19170" spans="1:2" x14ac:dyDescent="0.25">
      <c r="A19170" s="118"/>
      <c r="B19170" s="136"/>
    </row>
    <row r="19171" spans="1:2" x14ac:dyDescent="0.25">
      <c r="A19171" s="118"/>
      <c r="B19171" s="136"/>
    </row>
    <row r="19172" spans="1:2" x14ac:dyDescent="0.25">
      <c r="A19172" s="118"/>
      <c r="B19172" s="136"/>
    </row>
    <row r="19173" spans="1:2" x14ac:dyDescent="0.25">
      <c r="A19173" s="118"/>
      <c r="B19173" s="136"/>
    </row>
    <row r="19174" spans="1:2" x14ac:dyDescent="0.25">
      <c r="A19174" s="118"/>
      <c r="B19174" s="136"/>
    </row>
    <row r="19175" spans="1:2" x14ac:dyDescent="0.25">
      <c r="A19175" s="118"/>
      <c r="B19175" s="136"/>
    </row>
    <row r="19176" spans="1:2" x14ac:dyDescent="0.25">
      <c r="A19176" s="118"/>
      <c r="B19176" s="136"/>
    </row>
    <row r="19177" spans="1:2" x14ac:dyDescent="0.25">
      <c r="A19177" s="118"/>
      <c r="B19177" s="136"/>
    </row>
    <row r="19178" spans="1:2" x14ac:dyDescent="0.25">
      <c r="A19178" s="118"/>
      <c r="B19178" s="136"/>
    </row>
    <row r="19179" spans="1:2" x14ac:dyDescent="0.25">
      <c r="A19179" s="118"/>
      <c r="B19179" s="136"/>
    </row>
    <row r="19180" spans="1:2" x14ac:dyDescent="0.25">
      <c r="A19180" s="118"/>
      <c r="B19180" s="136"/>
    </row>
    <row r="19181" spans="1:2" x14ac:dyDescent="0.25">
      <c r="A19181" s="118"/>
      <c r="B19181" s="136"/>
    </row>
    <row r="19182" spans="1:2" x14ac:dyDescent="0.25">
      <c r="A19182" s="118"/>
      <c r="B19182" s="136"/>
    </row>
    <row r="19183" spans="1:2" x14ac:dyDescent="0.25">
      <c r="A19183" s="118"/>
      <c r="B19183" s="136"/>
    </row>
    <row r="19184" spans="1:2" x14ac:dyDescent="0.25">
      <c r="A19184" s="118"/>
      <c r="B19184" s="136"/>
    </row>
    <row r="19185" spans="1:2" x14ac:dyDescent="0.25">
      <c r="A19185" s="118"/>
      <c r="B19185" s="136"/>
    </row>
    <row r="19186" spans="1:2" x14ac:dyDescent="0.25">
      <c r="A19186" s="118"/>
      <c r="B19186" s="136"/>
    </row>
    <row r="19187" spans="1:2" x14ac:dyDescent="0.25">
      <c r="A19187" s="118"/>
      <c r="B19187" s="136"/>
    </row>
    <row r="19188" spans="1:2" x14ac:dyDescent="0.25">
      <c r="A19188" s="118"/>
      <c r="B19188" s="136"/>
    </row>
    <row r="19189" spans="1:2" x14ac:dyDescent="0.25">
      <c r="A19189" s="118"/>
      <c r="B19189" s="136"/>
    </row>
    <row r="19190" spans="1:2" x14ac:dyDescent="0.25">
      <c r="A19190" s="118"/>
      <c r="B19190" s="136"/>
    </row>
    <row r="19191" spans="1:2" x14ac:dyDescent="0.25">
      <c r="A19191" s="118"/>
      <c r="B19191" s="136"/>
    </row>
    <row r="19192" spans="1:2" x14ac:dyDescent="0.25">
      <c r="A19192" s="118"/>
      <c r="B19192" s="136"/>
    </row>
    <row r="19193" spans="1:2" x14ac:dyDescent="0.25">
      <c r="A19193" s="118"/>
      <c r="B19193" s="136"/>
    </row>
    <row r="19194" spans="1:2" x14ac:dyDescent="0.25">
      <c r="A19194" s="118"/>
      <c r="B19194" s="136"/>
    </row>
    <row r="19195" spans="1:2" x14ac:dyDescent="0.25">
      <c r="A19195" s="118"/>
      <c r="B19195" s="136"/>
    </row>
    <row r="19196" spans="1:2" x14ac:dyDescent="0.25">
      <c r="A19196" s="118"/>
      <c r="B19196" s="136"/>
    </row>
    <row r="19197" spans="1:2" x14ac:dyDescent="0.25">
      <c r="A19197" s="118"/>
      <c r="B19197" s="136"/>
    </row>
    <row r="19198" spans="1:2" x14ac:dyDescent="0.25">
      <c r="A19198" s="118"/>
      <c r="B19198" s="136"/>
    </row>
    <row r="19199" spans="1:2" x14ac:dyDescent="0.25">
      <c r="A19199" s="118"/>
      <c r="B19199" s="136"/>
    </row>
    <row r="19200" spans="1:2" x14ac:dyDescent="0.25">
      <c r="A19200" s="118"/>
      <c r="B19200" s="136"/>
    </row>
    <row r="19201" spans="1:2" x14ac:dyDescent="0.25">
      <c r="A19201" s="118"/>
      <c r="B19201" s="136"/>
    </row>
    <row r="19202" spans="1:2" x14ac:dyDescent="0.25">
      <c r="A19202" s="118"/>
      <c r="B19202" s="136"/>
    </row>
    <row r="19203" spans="1:2" x14ac:dyDescent="0.25">
      <c r="A19203" s="118"/>
      <c r="B19203" s="136"/>
    </row>
    <row r="19204" spans="1:2" x14ac:dyDescent="0.25">
      <c r="A19204" s="118"/>
      <c r="B19204" s="136"/>
    </row>
    <row r="19205" spans="1:2" x14ac:dyDescent="0.25">
      <c r="A19205" s="118"/>
      <c r="B19205" s="136"/>
    </row>
    <row r="19206" spans="1:2" x14ac:dyDescent="0.25">
      <c r="A19206" s="118"/>
      <c r="B19206" s="136"/>
    </row>
    <row r="19207" spans="1:2" x14ac:dyDescent="0.25">
      <c r="A19207" s="118"/>
      <c r="B19207" s="136"/>
    </row>
    <row r="19208" spans="1:2" x14ac:dyDescent="0.25">
      <c r="A19208" s="118"/>
      <c r="B19208" s="136"/>
    </row>
    <row r="19209" spans="1:2" x14ac:dyDescent="0.25">
      <c r="A19209" s="118"/>
      <c r="B19209" s="136"/>
    </row>
    <row r="19210" spans="1:2" x14ac:dyDescent="0.25">
      <c r="A19210" s="118"/>
      <c r="B19210" s="136"/>
    </row>
    <row r="19211" spans="1:2" x14ac:dyDescent="0.25">
      <c r="A19211" s="118"/>
      <c r="B19211" s="136"/>
    </row>
    <row r="19212" spans="1:2" x14ac:dyDescent="0.25">
      <c r="A19212" s="118"/>
      <c r="B19212" s="136"/>
    </row>
    <row r="19213" spans="1:2" x14ac:dyDescent="0.25">
      <c r="A19213" s="118"/>
      <c r="B19213" s="136"/>
    </row>
    <row r="19214" spans="1:2" x14ac:dyDescent="0.25">
      <c r="A19214" s="118"/>
      <c r="B19214" s="136"/>
    </row>
    <row r="19215" spans="1:2" x14ac:dyDescent="0.25">
      <c r="A19215" s="118"/>
      <c r="B19215" s="136"/>
    </row>
    <row r="19216" spans="1:2" x14ac:dyDescent="0.25">
      <c r="A19216" s="118"/>
      <c r="B19216" s="136"/>
    </row>
    <row r="19217" spans="1:2" x14ac:dyDescent="0.25">
      <c r="A19217" s="118"/>
      <c r="B19217" s="136"/>
    </row>
    <row r="19218" spans="1:2" x14ac:dyDescent="0.25">
      <c r="A19218" s="118"/>
      <c r="B19218" s="136"/>
    </row>
    <row r="19219" spans="1:2" x14ac:dyDescent="0.25">
      <c r="A19219" s="118"/>
      <c r="B19219" s="136"/>
    </row>
    <row r="19220" spans="1:2" x14ac:dyDescent="0.25">
      <c r="A19220" s="118"/>
      <c r="B19220" s="136"/>
    </row>
    <row r="19221" spans="1:2" x14ac:dyDescent="0.25">
      <c r="A19221" s="118"/>
      <c r="B19221" s="136"/>
    </row>
    <row r="19222" spans="1:2" x14ac:dyDescent="0.25">
      <c r="A19222" s="118"/>
      <c r="B19222" s="136"/>
    </row>
    <row r="19223" spans="1:2" x14ac:dyDescent="0.25">
      <c r="A19223" s="118"/>
      <c r="B19223" s="136"/>
    </row>
    <row r="19224" spans="1:2" x14ac:dyDescent="0.25">
      <c r="A19224" s="118"/>
      <c r="B19224" s="136"/>
    </row>
    <row r="19225" spans="1:2" x14ac:dyDescent="0.25">
      <c r="A19225" s="118"/>
      <c r="B19225" s="136"/>
    </row>
    <row r="19226" spans="1:2" x14ac:dyDescent="0.25">
      <c r="A19226" s="118"/>
      <c r="B19226" s="136"/>
    </row>
    <row r="19227" spans="1:2" x14ac:dyDescent="0.25">
      <c r="A19227" s="118"/>
      <c r="B19227" s="136"/>
    </row>
    <row r="19228" spans="1:2" x14ac:dyDescent="0.25">
      <c r="A19228" s="118"/>
      <c r="B19228" s="136"/>
    </row>
    <row r="19229" spans="1:2" x14ac:dyDescent="0.25">
      <c r="A19229" s="118"/>
      <c r="B19229" s="136"/>
    </row>
    <row r="19230" spans="1:2" x14ac:dyDescent="0.25">
      <c r="A19230" s="118"/>
      <c r="B19230" s="136"/>
    </row>
    <row r="19231" spans="1:2" x14ac:dyDescent="0.25">
      <c r="A19231" s="118"/>
      <c r="B19231" s="136"/>
    </row>
    <row r="19232" spans="1:2" x14ac:dyDescent="0.25">
      <c r="A19232" s="118"/>
      <c r="B19232" s="136"/>
    </row>
    <row r="19233" spans="1:2" x14ac:dyDescent="0.25">
      <c r="A19233" s="118"/>
      <c r="B19233" s="136"/>
    </row>
    <row r="19234" spans="1:2" x14ac:dyDescent="0.25">
      <c r="A19234" s="118"/>
      <c r="B19234" s="136"/>
    </row>
    <row r="19235" spans="1:2" x14ac:dyDescent="0.25">
      <c r="A19235" s="118"/>
      <c r="B19235" s="136"/>
    </row>
    <row r="19236" spans="1:2" x14ac:dyDescent="0.25">
      <c r="A19236" s="118"/>
      <c r="B19236" s="136"/>
    </row>
    <row r="19237" spans="1:2" x14ac:dyDescent="0.25">
      <c r="A19237" s="118"/>
      <c r="B19237" s="136"/>
    </row>
    <row r="19238" spans="1:2" x14ac:dyDescent="0.25">
      <c r="A19238" s="118"/>
      <c r="B19238" s="136"/>
    </row>
    <row r="19239" spans="1:2" x14ac:dyDescent="0.25">
      <c r="A19239" s="118"/>
      <c r="B19239" s="136"/>
    </row>
    <row r="19240" spans="1:2" x14ac:dyDescent="0.25">
      <c r="A19240" s="118"/>
      <c r="B19240" s="136"/>
    </row>
    <row r="19241" spans="1:2" x14ac:dyDescent="0.25">
      <c r="A19241" s="118"/>
      <c r="B19241" s="136"/>
    </row>
    <row r="19242" spans="1:2" x14ac:dyDescent="0.25">
      <c r="A19242" s="118"/>
      <c r="B19242" s="136"/>
    </row>
    <row r="19243" spans="1:2" x14ac:dyDescent="0.25">
      <c r="A19243" s="118"/>
      <c r="B19243" s="136"/>
    </row>
    <row r="19244" spans="1:2" x14ac:dyDescent="0.25">
      <c r="A19244" s="118"/>
      <c r="B19244" s="136"/>
    </row>
    <row r="19245" spans="1:2" x14ac:dyDescent="0.25">
      <c r="A19245" s="118"/>
      <c r="B19245" s="136"/>
    </row>
    <row r="19246" spans="1:2" x14ac:dyDescent="0.25">
      <c r="A19246" s="118"/>
      <c r="B19246" s="136"/>
    </row>
    <row r="19247" spans="1:2" x14ac:dyDescent="0.25">
      <c r="A19247" s="118"/>
      <c r="B19247" s="136"/>
    </row>
    <row r="19248" spans="1:2" x14ac:dyDescent="0.25">
      <c r="A19248" s="118"/>
      <c r="B19248" s="136"/>
    </row>
    <row r="19249" spans="1:2" x14ac:dyDescent="0.25">
      <c r="A19249" s="118"/>
      <c r="B19249" s="136"/>
    </row>
    <row r="19250" spans="1:2" x14ac:dyDescent="0.25">
      <c r="A19250" s="118"/>
      <c r="B19250" s="136"/>
    </row>
    <row r="19251" spans="1:2" x14ac:dyDescent="0.25">
      <c r="A19251" s="118"/>
      <c r="B19251" s="136"/>
    </row>
    <row r="19252" spans="1:2" x14ac:dyDescent="0.25">
      <c r="A19252" s="118"/>
      <c r="B19252" s="136"/>
    </row>
    <row r="19253" spans="1:2" x14ac:dyDescent="0.25">
      <c r="A19253" s="118"/>
      <c r="B19253" s="136"/>
    </row>
    <row r="19254" spans="1:2" x14ac:dyDescent="0.25">
      <c r="A19254" s="118"/>
      <c r="B19254" s="136"/>
    </row>
    <row r="19255" spans="1:2" x14ac:dyDescent="0.25">
      <c r="A19255" s="118"/>
      <c r="B19255" s="136"/>
    </row>
    <row r="19256" spans="1:2" x14ac:dyDescent="0.25">
      <c r="A19256" s="118"/>
      <c r="B19256" s="136"/>
    </row>
    <row r="19257" spans="1:2" x14ac:dyDescent="0.25">
      <c r="A19257" s="118"/>
      <c r="B19257" s="136"/>
    </row>
    <row r="19258" spans="1:2" x14ac:dyDescent="0.25">
      <c r="A19258" s="118"/>
      <c r="B19258" s="136"/>
    </row>
    <row r="19259" spans="1:2" x14ac:dyDescent="0.25">
      <c r="A19259" s="118"/>
      <c r="B19259" s="136"/>
    </row>
    <row r="19260" spans="1:2" x14ac:dyDescent="0.25">
      <c r="A19260" s="118"/>
      <c r="B19260" s="136"/>
    </row>
    <row r="19261" spans="1:2" x14ac:dyDescent="0.25">
      <c r="A19261" s="118"/>
      <c r="B19261" s="136"/>
    </row>
    <row r="19262" spans="1:2" x14ac:dyDescent="0.25">
      <c r="A19262" s="118"/>
      <c r="B19262" s="136"/>
    </row>
    <row r="19263" spans="1:2" x14ac:dyDescent="0.25">
      <c r="A19263" s="118"/>
      <c r="B19263" s="136"/>
    </row>
    <row r="19264" spans="1:2" x14ac:dyDescent="0.25">
      <c r="A19264" s="118"/>
      <c r="B19264" s="136"/>
    </row>
    <row r="19265" spans="1:2" x14ac:dyDescent="0.25">
      <c r="A19265" s="118"/>
      <c r="B19265" s="136"/>
    </row>
    <row r="19266" spans="1:2" x14ac:dyDescent="0.25">
      <c r="A19266" s="118"/>
      <c r="B19266" s="136"/>
    </row>
    <row r="19267" spans="1:2" x14ac:dyDescent="0.25">
      <c r="A19267" s="118"/>
      <c r="B19267" s="136"/>
    </row>
    <row r="19268" spans="1:2" x14ac:dyDescent="0.25">
      <c r="A19268" s="118"/>
      <c r="B19268" s="136"/>
    </row>
    <row r="19269" spans="1:2" x14ac:dyDescent="0.25">
      <c r="A19269" s="118"/>
      <c r="B19269" s="136"/>
    </row>
    <row r="19270" spans="1:2" x14ac:dyDescent="0.25">
      <c r="A19270" s="118"/>
      <c r="B19270" s="136"/>
    </row>
    <row r="19271" spans="1:2" x14ac:dyDescent="0.25">
      <c r="A19271" s="118"/>
      <c r="B19271" s="136"/>
    </row>
    <row r="19272" spans="1:2" x14ac:dyDescent="0.25">
      <c r="A19272" s="118"/>
      <c r="B19272" s="136"/>
    </row>
    <row r="19273" spans="1:2" x14ac:dyDescent="0.25">
      <c r="A19273" s="118"/>
      <c r="B19273" s="136"/>
    </row>
    <row r="19274" spans="1:2" x14ac:dyDescent="0.25">
      <c r="A19274" s="118"/>
      <c r="B19274" s="136"/>
    </row>
    <row r="19275" spans="1:2" x14ac:dyDescent="0.25">
      <c r="A19275" s="118"/>
      <c r="B19275" s="136"/>
    </row>
    <row r="19276" spans="1:2" x14ac:dyDescent="0.25">
      <c r="A19276" s="118"/>
      <c r="B19276" s="136"/>
    </row>
    <row r="19277" spans="1:2" x14ac:dyDescent="0.25">
      <c r="A19277" s="118"/>
      <c r="B19277" s="136"/>
    </row>
    <row r="19278" spans="1:2" x14ac:dyDescent="0.25">
      <c r="A19278" s="118"/>
      <c r="B19278" s="136"/>
    </row>
    <row r="19279" spans="1:2" x14ac:dyDescent="0.25">
      <c r="A19279" s="118"/>
      <c r="B19279" s="136"/>
    </row>
    <row r="19280" spans="1:2" x14ac:dyDescent="0.25">
      <c r="A19280" s="118"/>
      <c r="B19280" s="136"/>
    </row>
    <row r="19281" spans="1:2" x14ac:dyDescent="0.25">
      <c r="A19281" s="118"/>
      <c r="B19281" s="136"/>
    </row>
    <row r="19282" spans="1:2" x14ac:dyDescent="0.25">
      <c r="A19282" s="118"/>
      <c r="B19282" s="136"/>
    </row>
    <row r="19283" spans="1:2" x14ac:dyDescent="0.25">
      <c r="A19283" s="118"/>
      <c r="B19283" s="136"/>
    </row>
    <row r="19284" spans="1:2" x14ac:dyDescent="0.25">
      <c r="A19284" s="118"/>
      <c r="B19284" s="136"/>
    </row>
    <row r="19285" spans="1:2" x14ac:dyDescent="0.25">
      <c r="A19285" s="118"/>
      <c r="B19285" s="136"/>
    </row>
    <row r="19286" spans="1:2" x14ac:dyDescent="0.25">
      <c r="A19286" s="118"/>
      <c r="B19286" s="136"/>
    </row>
    <row r="19287" spans="1:2" x14ac:dyDescent="0.25">
      <c r="A19287" s="118"/>
      <c r="B19287" s="136"/>
    </row>
    <row r="19288" spans="1:2" x14ac:dyDescent="0.25">
      <c r="A19288" s="118"/>
      <c r="B19288" s="136"/>
    </row>
    <row r="19289" spans="1:2" x14ac:dyDescent="0.25">
      <c r="A19289" s="118"/>
      <c r="B19289" s="136"/>
    </row>
    <row r="19290" spans="1:2" x14ac:dyDescent="0.25">
      <c r="A19290" s="118"/>
      <c r="B19290" s="136"/>
    </row>
    <row r="19291" spans="1:2" x14ac:dyDescent="0.25">
      <c r="A19291" s="118"/>
      <c r="B19291" s="136"/>
    </row>
    <row r="19292" spans="1:2" x14ac:dyDescent="0.25">
      <c r="A19292" s="118"/>
      <c r="B19292" s="136"/>
    </row>
    <row r="19293" spans="1:2" x14ac:dyDescent="0.25">
      <c r="A19293" s="118"/>
      <c r="B19293" s="136"/>
    </row>
    <row r="19294" spans="1:2" x14ac:dyDescent="0.25">
      <c r="A19294" s="118"/>
      <c r="B19294" s="136"/>
    </row>
    <row r="19295" spans="1:2" x14ac:dyDescent="0.25">
      <c r="A19295" s="118"/>
      <c r="B19295" s="136"/>
    </row>
    <row r="19296" spans="1:2" x14ac:dyDescent="0.25">
      <c r="A19296" s="118"/>
      <c r="B19296" s="136"/>
    </row>
    <row r="19297" spans="1:2" x14ac:dyDescent="0.25">
      <c r="A19297" s="118"/>
      <c r="B19297" s="136"/>
    </row>
    <row r="19298" spans="1:2" x14ac:dyDescent="0.25">
      <c r="A19298" s="118"/>
      <c r="B19298" s="136"/>
    </row>
    <row r="19299" spans="1:2" x14ac:dyDescent="0.25">
      <c r="A19299" s="118"/>
      <c r="B19299" s="136"/>
    </row>
    <row r="19300" spans="1:2" x14ac:dyDescent="0.25">
      <c r="A19300" s="118"/>
      <c r="B19300" s="136"/>
    </row>
    <row r="19301" spans="1:2" x14ac:dyDescent="0.25">
      <c r="A19301" s="118"/>
      <c r="B19301" s="136"/>
    </row>
    <row r="19302" spans="1:2" x14ac:dyDescent="0.25">
      <c r="A19302" s="118"/>
      <c r="B19302" s="136"/>
    </row>
    <row r="19303" spans="1:2" x14ac:dyDescent="0.25">
      <c r="A19303" s="118"/>
      <c r="B19303" s="136"/>
    </row>
    <row r="19304" spans="1:2" x14ac:dyDescent="0.25">
      <c r="A19304" s="118"/>
      <c r="B19304" s="136"/>
    </row>
    <row r="19305" spans="1:2" x14ac:dyDescent="0.25">
      <c r="A19305" s="118"/>
      <c r="B19305" s="136"/>
    </row>
    <row r="19306" spans="1:2" x14ac:dyDescent="0.25">
      <c r="A19306" s="118"/>
      <c r="B19306" s="136"/>
    </row>
    <row r="19307" spans="1:2" x14ac:dyDescent="0.25">
      <c r="A19307" s="118"/>
      <c r="B19307" s="136"/>
    </row>
    <row r="19308" spans="1:2" x14ac:dyDescent="0.25">
      <c r="A19308" s="118"/>
      <c r="B19308" s="136"/>
    </row>
    <row r="19309" spans="1:2" x14ac:dyDescent="0.25">
      <c r="A19309" s="118"/>
      <c r="B19309" s="136"/>
    </row>
    <row r="19310" spans="1:2" x14ac:dyDescent="0.25">
      <c r="A19310" s="118"/>
      <c r="B19310" s="136"/>
    </row>
    <row r="19311" spans="1:2" x14ac:dyDescent="0.25">
      <c r="A19311" s="118"/>
      <c r="B19311" s="136"/>
    </row>
    <row r="19312" spans="1:2" x14ac:dyDescent="0.25">
      <c r="A19312" s="118"/>
      <c r="B19312" s="136"/>
    </row>
    <row r="19313" spans="1:2" x14ac:dyDescent="0.25">
      <c r="A19313" s="118"/>
      <c r="B19313" s="136"/>
    </row>
    <row r="19314" spans="1:2" x14ac:dyDescent="0.25">
      <c r="A19314" s="118"/>
      <c r="B19314" s="136"/>
    </row>
    <row r="19315" spans="1:2" x14ac:dyDescent="0.25">
      <c r="A19315" s="118"/>
      <c r="B19315" s="136"/>
    </row>
    <row r="19316" spans="1:2" x14ac:dyDescent="0.25">
      <c r="A19316" s="118"/>
      <c r="B19316" s="136"/>
    </row>
    <row r="19317" spans="1:2" x14ac:dyDescent="0.25">
      <c r="A19317" s="118"/>
      <c r="B19317" s="136"/>
    </row>
    <row r="19318" spans="1:2" x14ac:dyDescent="0.25">
      <c r="A19318" s="118"/>
      <c r="B19318" s="136"/>
    </row>
    <row r="19319" spans="1:2" x14ac:dyDescent="0.25">
      <c r="A19319" s="118"/>
      <c r="B19319" s="136"/>
    </row>
    <row r="19320" spans="1:2" x14ac:dyDescent="0.25">
      <c r="A19320" s="118"/>
      <c r="B19320" s="136"/>
    </row>
    <row r="19321" spans="1:2" x14ac:dyDescent="0.25">
      <c r="A19321" s="118"/>
      <c r="B19321" s="136"/>
    </row>
    <row r="19322" spans="1:2" x14ac:dyDescent="0.25">
      <c r="A19322" s="118"/>
      <c r="B19322" s="136"/>
    </row>
    <row r="19323" spans="1:2" x14ac:dyDescent="0.25">
      <c r="A19323" s="118"/>
      <c r="B19323" s="136"/>
    </row>
    <row r="19324" spans="1:2" x14ac:dyDescent="0.25">
      <c r="A19324" s="118"/>
      <c r="B19324" s="136"/>
    </row>
    <row r="19325" spans="1:2" x14ac:dyDescent="0.25">
      <c r="A19325" s="118"/>
      <c r="B19325" s="136"/>
    </row>
    <row r="19326" spans="1:2" x14ac:dyDescent="0.25">
      <c r="A19326" s="118"/>
      <c r="B19326" s="136"/>
    </row>
    <row r="19327" spans="1:2" x14ac:dyDescent="0.25">
      <c r="A19327" s="118"/>
      <c r="B19327" s="136"/>
    </row>
    <row r="19328" spans="1:2" x14ac:dyDescent="0.25">
      <c r="A19328" s="118"/>
      <c r="B19328" s="136"/>
    </row>
    <row r="19329" spans="1:2" x14ac:dyDescent="0.25">
      <c r="A19329" s="118"/>
      <c r="B19329" s="136"/>
    </row>
    <row r="19330" spans="1:2" x14ac:dyDescent="0.25">
      <c r="A19330" s="118"/>
      <c r="B19330" s="136"/>
    </row>
    <row r="19331" spans="1:2" x14ac:dyDescent="0.25">
      <c r="A19331" s="118"/>
      <c r="B19331" s="136"/>
    </row>
    <row r="19332" spans="1:2" x14ac:dyDescent="0.25">
      <c r="A19332" s="118"/>
      <c r="B19332" s="136"/>
    </row>
    <row r="19333" spans="1:2" x14ac:dyDescent="0.25">
      <c r="A19333" s="118"/>
      <c r="B19333" s="136"/>
    </row>
    <row r="19334" spans="1:2" x14ac:dyDescent="0.25">
      <c r="A19334" s="118"/>
      <c r="B19334" s="136"/>
    </row>
    <row r="19335" spans="1:2" x14ac:dyDescent="0.25">
      <c r="A19335" s="118"/>
      <c r="B19335" s="136"/>
    </row>
    <row r="19336" spans="1:2" x14ac:dyDescent="0.25">
      <c r="A19336" s="118"/>
      <c r="B19336" s="136"/>
    </row>
    <row r="19337" spans="1:2" x14ac:dyDescent="0.25">
      <c r="A19337" s="118"/>
      <c r="B19337" s="136"/>
    </row>
    <row r="19338" spans="1:2" x14ac:dyDescent="0.25">
      <c r="A19338" s="118"/>
      <c r="B19338" s="136"/>
    </row>
    <row r="19339" spans="1:2" x14ac:dyDescent="0.25">
      <c r="A19339" s="118"/>
      <c r="B19339" s="136"/>
    </row>
    <row r="19340" spans="1:2" x14ac:dyDescent="0.25">
      <c r="A19340" s="118"/>
      <c r="B19340" s="136"/>
    </row>
    <row r="19341" spans="1:2" x14ac:dyDescent="0.25">
      <c r="A19341" s="118"/>
      <c r="B19341" s="136"/>
    </row>
    <row r="19342" spans="1:2" x14ac:dyDescent="0.25">
      <c r="A19342" s="118"/>
      <c r="B19342" s="136"/>
    </row>
    <row r="19343" spans="1:2" x14ac:dyDescent="0.25">
      <c r="A19343" s="118"/>
      <c r="B19343" s="136"/>
    </row>
    <row r="19344" spans="1:2" x14ac:dyDescent="0.25">
      <c r="A19344" s="118"/>
      <c r="B19344" s="136"/>
    </row>
    <row r="19345" spans="1:2" x14ac:dyDescent="0.25">
      <c r="A19345" s="118"/>
      <c r="B19345" s="136"/>
    </row>
    <row r="19346" spans="1:2" x14ac:dyDescent="0.25">
      <c r="A19346" s="118"/>
      <c r="B19346" s="136"/>
    </row>
    <row r="19347" spans="1:2" x14ac:dyDescent="0.25">
      <c r="A19347" s="118"/>
      <c r="B19347" s="136"/>
    </row>
    <row r="19348" spans="1:2" x14ac:dyDescent="0.25">
      <c r="A19348" s="118"/>
      <c r="B19348" s="136"/>
    </row>
    <row r="19349" spans="1:2" x14ac:dyDescent="0.25">
      <c r="A19349" s="118"/>
      <c r="B19349" s="136"/>
    </row>
    <row r="19350" spans="1:2" x14ac:dyDescent="0.25">
      <c r="A19350" s="118"/>
      <c r="B19350" s="136"/>
    </row>
    <row r="19351" spans="1:2" x14ac:dyDescent="0.25">
      <c r="A19351" s="118"/>
      <c r="B19351" s="136"/>
    </row>
    <row r="19352" spans="1:2" x14ac:dyDescent="0.25">
      <c r="A19352" s="118"/>
      <c r="B19352" s="136"/>
    </row>
    <row r="19353" spans="1:2" x14ac:dyDescent="0.25">
      <c r="A19353" s="118"/>
      <c r="B19353" s="136"/>
    </row>
    <row r="19354" spans="1:2" x14ac:dyDescent="0.25">
      <c r="A19354" s="118"/>
      <c r="B19354" s="136"/>
    </row>
    <row r="19355" spans="1:2" x14ac:dyDescent="0.25">
      <c r="A19355" s="118"/>
      <c r="B19355" s="136"/>
    </row>
    <row r="19356" spans="1:2" x14ac:dyDescent="0.25">
      <c r="A19356" s="118"/>
      <c r="B19356" s="136"/>
    </row>
    <row r="19357" spans="1:2" x14ac:dyDescent="0.25">
      <c r="A19357" s="118"/>
      <c r="B19357" s="136"/>
    </row>
    <row r="19358" spans="1:2" x14ac:dyDescent="0.25">
      <c r="A19358" s="118"/>
      <c r="B19358" s="136"/>
    </row>
    <row r="19359" spans="1:2" x14ac:dyDescent="0.25">
      <c r="A19359" s="118"/>
      <c r="B19359" s="136"/>
    </row>
    <row r="19360" spans="1:2" x14ac:dyDescent="0.25">
      <c r="A19360" s="118"/>
      <c r="B19360" s="136"/>
    </row>
    <row r="19361" spans="1:2" x14ac:dyDescent="0.25">
      <c r="A19361" s="118"/>
      <c r="B19361" s="136"/>
    </row>
    <row r="19362" spans="1:2" x14ac:dyDescent="0.25">
      <c r="A19362" s="118"/>
      <c r="B19362" s="136"/>
    </row>
    <row r="19363" spans="1:2" x14ac:dyDescent="0.25">
      <c r="A19363" s="118"/>
      <c r="B19363" s="136"/>
    </row>
    <row r="19364" spans="1:2" x14ac:dyDescent="0.25">
      <c r="A19364" s="118"/>
      <c r="B19364" s="136"/>
    </row>
    <row r="19365" spans="1:2" x14ac:dyDescent="0.25">
      <c r="A19365" s="118"/>
      <c r="B19365" s="136"/>
    </row>
    <row r="19366" spans="1:2" x14ac:dyDescent="0.25">
      <c r="A19366" s="118"/>
      <c r="B19366" s="136"/>
    </row>
    <row r="19367" spans="1:2" x14ac:dyDescent="0.25">
      <c r="A19367" s="118"/>
      <c r="B19367" s="136"/>
    </row>
    <row r="19368" spans="1:2" x14ac:dyDescent="0.25">
      <c r="A19368" s="118"/>
      <c r="B19368" s="136"/>
    </row>
    <row r="19369" spans="1:2" x14ac:dyDescent="0.25">
      <c r="A19369" s="118"/>
      <c r="B19369" s="136"/>
    </row>
    <row r="19370" spans="1:2" x14ac:dyDescent="0.25">
      <c r="A19370" s="118"/>
      <c r="B19370" s="136"/>
    </row>
    <row r="19371" spans="1:2" x14ac:dyDescent="0.25">
      <c r="A19371" s="118"/>
      <c r="B19371" s="136"/>
    </row>
    <row r="19372" spans="1:2" x14ac:dyDescent="0.25">
      <c r="A19372" s="118"/>
      <c r="B19372" s="136"/>
    </row>
    <row r="19373" spans="1:2" x14ac:dyDescent="0.25">
      <c r="A19373" s="118"/>
      <c r="B19373" s="136"/>
    </row>
    <row r="19374" spans="1:2" x14ac:dyDescent="0.25">
      <c r="A19374" s="118"/>
      <c r="B19374" s="136"/>
    </row>
    <row r="19375" spans="1:2" x14ac:dyDescent="0.25">
      <c r="A19375" s="118"/>
      <c r="B19375" s="136"/>
    </row>
    <row r="19376" spans="1:2" x14ac:dyDescent="0.25">
      <c r="A19376" s="118"/>
      <c r="B19376" s="136"/>
    </row>
    <row r="19377" spans="1:2" x14ac:dyDescent="0.25">
      <c r="A19377" s="118"/>
      <c r="B19377" s="136"/>
    </row>
    <row r="19378" spans="1:2" x14ac:dyDescent="0.25">
      <c r="A19378" s="118"/>
      <c r="B19378" s="136"/>
    </row>
    <row r="19379" spans="1:2" x14ac:dyDescent="0.25">
      <c r="A19379" s="118"/>
      <c r="B19379" s="136"/>
    </row>
    <row r="19380" spans="1:2" x14ac:dyDescent="0.25">
      <c r="A19380" s="118"/>
      <c r="B19380" s="136"/>
    </row>
    <row r="19381" spans="1:2" x14ac:dyDescent="0.25">
      <c r="A19381" s="118"/>
      <c r="B19381" s="136"/>
    </row>
    <row r="19382" spans="1:2" x14ac:dyDescent="0.25">
      <c r="A19382" s="118"/>
      <c r="B19382" s="136"/>
    </row>
    <row r="19383" spans="1:2" x14ac:dyDescent="0.25">
      <c r="A19383" s="118"/>
      <c r="B19383" s="136"/>
    </row>
    <row r="19384" spans="1:2" x14ac:dyDescent="0.25">
      <c r="A19384" s="118"/>
      <c r="B19384" s="136"/>
    </row>
    <row r="19385" spans="1:2" x14ac:dyDescent="0.25">
      <c r="A19385" s="118"/>
      <c r="B19385" s="136"/>
    </row>
    <row r="19386" spans="1:2" x14ac:dyDescent="0.25">
      <c r="A19386" s="118"/>
      <c r="B19386" s="136"/>
    </row>
    <row r="19387" spans="1:2" x14ac:dyDescent="0.25">
      <c r="A19387" s="118"/>
      <c r="B19387" s="136"/>
    </row>
    <row r="19388" spans="1:2" x14ac:dyDescent="0.25">
      <c r="A19388" s="118"/>
      <c r="B19388" s="136"/>
    </row>
    <row r="19389" spans="1:2" x14ac:dyDescent="0.25">
      <c r="A19389" s="118"/>
      <c r="B19389" s="136"/>
    </row>
    <row r="19390" spans="1:2" x14ac:dyDescent="0.25">
      <c r="A19390" s="118"/>
      <c r="B19390" s="136"/>
    </row>
    <row r="19391" spans="1:2" x14ac:dyDescent="0.25">
      <c r="A19391" s="118"/>
      <c r="B19391" s="136"/>
    </row>
    <row r="19392" spans="1:2" x14ac:dyDescent="0.25">
      <c r="A19392" s="118"/>
      <c r="B19392" s="136"/>
    </row>
    <row r="19393" spans="1:2" x14ac:dyDescent="0.25">
      <c r="A19393" s="118"/>
      <c r="B19393" s="136"/>
    </row>
    <row r="19394" spans="1:2" x14ac:dyDescent="0.25">
      <c r="A19394" s="118"/>
      <c r="B19394" s="136"/>
    </row>
    <row r="19395" spans="1:2" x14ac:dyDescent="0.25">
      <c r="A19395" s="118"/>
      <c r="B19395" s="136"/>
    </row>
    <row r="19396" spans="1:2" x14ac:dyDescent="0.25">
      <c r="A19396" s="118"/>
      <c r="B19396" s="136"/>
    </row>
    <row r="19397" spans="1:2" x14ac:dyDescent="0.25">
      <c r="A19397" s="118"/>
      <c r="B19397" s="136"/>
    </row>
    <row r="19398" spans="1:2" x14ac:dyDescent="0.25">
      <c r="A19398" s="118"/>
      <c r="B19398" s="136"/>
    </row>
    <row r="19399" spans="1:2" x14ac:dyDescent="0.25">
      <c r="A19399" s="118"/>
      <c r="B19399" s="136"/>
    </row>
    <row r="19400" spans="1:2" x14ac:dyDescent="0.25">
      <c r="A19400" s="118"/>
      <c r="B19400" s="136"/>
    </row>
    <row r="19401" spans="1:2" x14ac:dyDescent="0.25">
      <c r="A19401" s="118"/>
      <c r="B19401" s="136"/>
    </row>
    <row r="19402" spans="1:2" x14ac:dyDescent="0.25">
      <c r="A19402" s="118"/>
      <c r="B19402" s="136"/>
    </row>
    <row r="19403" spans="1:2" x14ac:dyDescent="0.25">
      <c r="A19403" s="118"/>
      <c r="B19403" s="136"/>
    </row>
    <row r="19404" spans="1:2" x14ac:dyDescent="0.25">
      <c r="A19404" s="118"/>
      <c r="B19404" s="136"/>
    </row>
    <row r="19405" spans="1:2" x14ac:dyDescent="0.25">
      <c r="A19405" s="118"/>
      <c r="B19405" s="136"/>
    </row>
    <row r="19406" spans="1:2" x14ac:dyDescent="0.25">
      <c r="A19406" s="118"/>
      <c r="B19406" s="136"/>
    </row>
    <row r="19407" spans="1:2" x14ac:dyDescent="0.25">
      <c r="A19407" s="118"/>
      <c r="B19407" s="136"/>
    </row>
    <row r="19408" spans="1:2" x14ac:dyDescent="0.25">
      <c r="A19408" s="118"/>
      <c r="B19408" s="136"/>
    </row>
    <row r="19409" spans="1:2" x14ac:dyDescent="0.25">
      <c r="A19409" s="118"/>
      <c r="B19409" s="136"/>
    </row>
    <row r="19410" spans="1:2" x14ac:dyDescent="0.25">
      <c r="A19410" s="118"/>
      <c r="B19410" s="136"/>
    </row>
    <row r="19411" spans="1:2" x14ac:dyDescent="0.25">
      <c r="A19411" s="118"/>
      <c r="B19411" s="136"/>
    </row>
    <row r="19412" spans="1:2" x14ac:dyDescent="0.25">
      <c r="A19412" s="118"/>
      <c r="B19412" s="136"/>
    </row>
    <row r="19413" spans="1:2" x14ac:dyDescent="0.25">
      <c r="A19413" s="118"/>
      <c r="B19413" s="136"/>
    </row>
    <row r="19414" spans="1:2" x14ac:dyDescent="0.25">
      <c r="A19414" s="118"/>
      <c r="B19414" s="136"/>
    </row>
    <row r="19415" spans="1:2" x14ac:dyDescent="0.25">
      <c r="A19415" s="118"/>
      <c r="B19415" s="136"/>
    </row>
    <row r="19416" spans="1:2" x14ac:dyDescent="0.25">
      <c r="A19416" s="118"/>
      <c r="B19416" s="136"/>
    </row>
    <row r="19417" spans="1:2" x14ac:dyDescent="0.25">
      <c r="A19417" s="118"/>
      <c r="B19417" s="136"/>
    </row>
    <row r="19418" spans="1:2" x14ac:dyDescent="0.25">
      <c r="A19418" s="118"/>
      <c r="B19418" s="136"/>
    </row>
    <row r="19419" spans="1:2" x14ac:dyDescent="0.25">
      <c r="A19419" s="118"/>
      <c r="B19419" s="136"/>
    </row>
    <row r="19420" spans="1:2" x14ac:dyDescent="0.25">
      <c r="A19420" s="118"/>
      <c r="B19420" s="136"/>
    </row>
    <row r="19421" spans="1:2" x14ac:dyDescent="0.25">
      <c r="A19421" s="118"/>
      <c r="B19421" s="136"/>
    </row>
    <row r="19422" spans="1:2" x14ac:dyDescent="0.25">
      <c r="A19422" s="118"/>
      <c r="B19422" s="136"/>
    </row>
    <row r="19423" spans="1:2" x14ac:dyDescent="0.25">
      <c r="A19423" s="118"/>
      <c r="B19423" s="136"/>
    </row>
    <row r="19424" spans="1:2" x14ac:dyDescent="0.25">
      <c r="A19424" s="118"/>
      <c r="B19424" s="136"/>
    </row>
    <row r="19425" spans="1:2" x14ac:dyDescent="0.25">
      <c r="A19425" s="118"/>
      <c r="B19425" s="136"/>
    </row>
    <row r="19426" spans="1:2" x14ac:dyDescent="0.25">
      <c r="A19426" s="118"/>
      <c r="B19426" s="136"/>
    </row>
    <row r="19427" spans="1:2" x14ac:dyDescent="0.25">
      <c r="A19427" s="118"/>
      <c r="B19427" s="136"/>
    </row>
    <row r="19428" spans="1:2" x14ac:dyDescent="0.25">
      <c r="A19428" s="118"/>
      <c r="B19428" s="136"/>
    </row>
    <row r="19429" spans="1:2" x14ac:dyDescent="0.25">
      <c r="A19429" s="118"/>
      <c r="B19429" s="136"/>
    </row>
    <row r="19430" spans="1:2" x14ac:dyDescent="0.25">
      <c r="A19430" s="118"/>
      <c r="B19430" s="136"/>
    </row>
    <row r="19431" spans="1:2" x14ac:dyDescent="0.25">
      <c r="A19431" s="118"/>
      <c r="B19431" s="136"/>
    </row>
    <row r="19432" spans="1:2" x14ac:dyDescent="0.25">
      <c r="A19432" s="118"/>
      <c r="B19432" s="136"/>
    </row>
    <row r="19433" spans="1:2" x14ac:dyDescent="0.25">
      <c r="A19433" s="118"/>
      <c r="B19433" s="136"/>
    </row>
    <row r="19434" spans="1:2" x14ac:dyDescent="0.25">
      <c r="A19434" s="118"/>
      <c r="B19434" s="136"/>
    </row>
    <row r="19435" spans="1:2" x14ac:dyDescent="0.25">
      <c r="A19435" s="118"/>
      <c r="B19435" s="136"/>
    </row>
    <row r="19436" spans="1:2" x14ac:dyDescent="0.25">
      <c r="A19436" s="118"/>
      <c r="B19436" s="136"/>
    </row>
    <row r="19437" spans="1:2" x14ac:dyDescent="0.25">
      <c r="A19437" s="118"/>
      <c r="B19437" s="136"/>
    </row>
    <row r="19438" spans="1:2" x14ac:dyDescent="0.25">
      <c r="A19438" s="118"/>
      <c r="B19438" s="136"/>
    </row>
    <row r="19439" spans="1:2" x14ac:dyDescent="0.25">
      <c r="A19439" s="118"/>
      <c r="B19439" s="136"/>
    </row>
    <row r="19440" spans="1:2" x14ac:dyDescent="0.25">
      <c r="A19440" s="118"/>
      <c r="B19440" s="136"/>
    </row>
    <row r="19441" spans="1:2" x14ac:dyDescent="0.25">
      <c r="A19441" s="118"/>
      <c r="B19441" s="136"/>
    </row>
    <row r="19442" spans="1:2" x14ac:dyDescent="0.25">
      <c r="A19442" s="118"/>
      <c r="B19442" s="136"/>
    </row>
    <row r="19443" spans="1:2" x14ac:dyDescent="0.25">
      <c r="A19443" s="118"/>
      <c r="B19443" s="136"/>
    </row>
    <row r="19444" spans="1:2" x14ac:dyDescent="0.25">
      <c r="A19444" s="118"/>
      <c r="B19444" s="136"/>
    </row>
    <row r="19445" spans="1:2" x14ac:dyDescent="0.25">
      <c r="A19445" s="118"/>
      <c r="B19445" s="136"/>
    </row>
    <row r="19446" spans="1:2" x14ac:dyDescent="0.25">
      <c r="A19446" s="118"/>
      <c r="B19446" s="136"/>
    </row>
    <row r="19447" spans="1:2" x14ac:dyDescent="0.25">
      <c r="A19447" s="118"/>
      <c r="B19447" s="136"/>
    </row>
    <row r="19448" spans="1:2" x14ac:dyDescent="0.25">
      <c r="A19448" s="118"/>
      <c r="B19448" s="136"/>
    </row>
    <row r="19449" spans="1:2" x14ac:dyDescent="0.25">
      <c r="A19449" s="118"/>
      <c r="B19449" s="136"/>
    </row>
    <row r="19450" spans="1:2" x14ac:dyDescent="0.25">
      <c r="A19450" s="118"/>
      <c r="B19450" s="136"/>
    </row>
    <row r="19451" spans="1:2" x14ac:dyDescent="0.25">
      <c r="A19451" s="118"/>
      <c r="B19451" s="136"/>
    </row>
    <row r="19452" spans="1:2" x14ac:dyDescent="0.25">
      <c r="A19452" s="118"/>
      <c r="B19452" s="136"/>
    </row>
    <row r="19453" spans="1:2" x14ac:dyDescent="0.25">
      <c r="A19453" s="118"/>
      <c r="B19453" s="136"/>
    </row>
    <row r="19454" spans="1:2" x14ac:dyDescent="0.25">
      <c r="A19454" s="118"/>
      <c r="B19454" s="136"/>
    </row>
    <row r="19455" spans="1:2" x14ac:dyDescent="0.25">
      <c r="A19455" s="118"/>
      <c r="B19455" s="136"/>
    </row>
    <row r="19456" spans="1:2" x14ac:dyDescent="0.25">
      <c r="A19456" s="118"/>
      <c r="B19456" s="136"/>
    </row>
    <row r="19457" spans="1:2" x14ac:dyDescent="0.25">
      <c r="A19457" s="118"/>
      <c r="B19457" s="136"/>
    </row>
    <row r="19458" spans="1:2" x14ac:dyDescent="0.25">
      <c r="A19458" s="118"/>
      <c r="B19458" s="136"/>
    </row>
    <row r="19459" spans="1:2" x14ac:dyDescent="0.25">
      <c r="A19459" s="118"/>
      <c r="B19459" s="136"/>
    </row>
    <row r="19460" spans="1:2" x14ac:dyDescent="0.25">
      <c r="A19460" s="118"/>
      <c r="B19460" s="136"/>
    </row>
    <row r="19461" spans="1:2" x14ac:dyDescent="0.25">
      <c r="A19461" s="118"/>
      <c r="B19461" s="136"/>
    </row>
    <row r="19462" spans="1:2" x14ac:dyDescent="0.25">
      <c r="A19462" s="118"/>
      <c r="B19462" s="136"/>
    </row>
    <row r="19463" spans="1:2" x14ac:dyDescent="0.25">
      <c r="A19463" s="118"/>
      <c r="B19463" s="136"/>
    </row>
    <row r="19464" spans="1:2" x14ac:dyDescent="0.25">
      <c r="A19464" s="118"/>
      <c r="B19464" s="136"/>
    </row>
    <row r="19465" spans="1:2" x14ac:dyDescent="0.25">
      <c r="A19465" s="118"/>
      <c r="B19465" s="136"/>
    </row>
    <row r="19466" spans="1:2" x14ac:dyDescent="0.25">
      <c r="A19466" s="118"/>
      <c r="B19466" s="136"/>
    </row>
    <row r="19467" spans="1:2" x14ac:dyDescent="0.25">
      <c r="A19467" s="118"/>
      <c r="B19467" s="136"/>
    </row>
    <row r="19468" spans="1:2" x14ac:dyDescent="0.25">
      <c r="A19468" s="118"/>
      <c r="B19468" s="136"/>
    </row>
    <row r="19469" spans="1:2" x14ac:dyDescent="0.25">
      <c r="A19469" s="118"/>
      <c r="B19469" s="136"/>
    </row>
    <row r="19470" spans="1:2" x14ac:dyDescent="0.25">
      <c r="A19470" s="118"/>
      <c r="B19470" s="136"/>
    </row>
    <row r="19471" spans="1:2" x14ac:dyDescent="0.25">
      <c r="A19471" s="118"/>
      <c r="B19471" s="136"/>
    </row>
    <row r="19472" spans="1:2" x14ac:dyDescent="0.25">
      <c r="A19472" s="118"/>
      <c r="B19472" s="136"/>
    </row>
    <row r="19473" spans="1:2" x14ac:dyDescent="0.25">
      <c r="A19473" s="118"/>
      <c r="B19473" s="136"/>
    </row>
    <row r="19474" spans="1:2" x14ac:dyDescent="0.25">
      <c r="A19474" s="118"/>
      <c r="B19474" s="136"/>
    </row>
    <row r="19475" spans="1:2" x14ac:dyDescent="0.25">
      <c r="A19475" s="118"/>
      <c r="B19475" s="136"/>
    </row>
    <row r="19476" spans="1:2" x14ac:dyDescent="0.25">
      <c r="A19476" s="118"/>
      <c r="B19476" s="136"/>
    </row>
    <row r="19477" spans="1:2" x14ac:dyDescent="0.25">
      <c r="A19477" s="118"/>
      <c r="B19477" s="136"/>
    </row>
    <row r="19478" spans="1:2" x14ac:dyDescent="0.25">
      <c r="A19478" s="118"/>
      <c r="B19478" s="136"/>
    </row>
    <row r="19479" spans="1:2" x14ac:dyDescent="0.25">
      <c r="A19479" s="118"/>
      <c r="B19479" s="136"/>
    </row>
    <row r="19480" spans="1:2" x14ac:dyDescent="0.25">
      <c r="A19480" s="118"/>
      <c r="B19480" s="136"/>
    </row>
    <row r="19481" spans="1:2" x14ac:dyDescent="0.25">
      <c r="A19481" s="118"/>
      <c r="B19481" s="136"/>
    </row>
    <row r="19482" spans="1:2" x14ac:dyDescent="0.25">
      <c r="A19482" s="118"/>
      <c r="B19482" s="136"/>
    </row>
    <row r="19483" spans="1:2" x14ac:dyDescent="0.25">
      <c r="A19483" s="118"/>
      <c r="B19483" s="136"/>
    </row>
    <row r="19484" spans="1:2" x14ac:dyDescent="0.25">
      <c r="A19484" s="118"/>
      <c r="B19484" s="136"/>
    </row>
    <row r="19485" spans="1:2" x14ac:dyDescent="0.25">
      <c r="A19485" s="118"/>
      <c r="B19485" s="136"/>
    </row>
    <row r="19486" spans="1:2" x14ac:dyDescent="0.25">
      <c r="A19486" s="118"/>
      <c r="B19486" s="136"/>
    </row>
    <row r="19487" spans="1:2" x14ac:dyDescent="0.25">
      <c r="A19487" s="118"/>
      <c r="B19487" s="136"/>
    </row>
    <row r="19488" spans="1:2" x14ac:dyDescent="0.25">
      <c r="A19488" s="118"/>
      <c r="B19488" s="136"/>
    </row>
    <row r="19489" spans="1:2" x14ac:dyDescent="0.25">
      <c r="A19489" s="118"/>
      <c r="B19489" s="136"/>
    </row>
    <row r="19490" spans="1:2" x14ac:dyDescent="0.25">
      <c r="A19490" s="118"/>
      <c r="B19490" s="136"/>
    </row>
    <row r="19491" spans="1:2" x14ac:dyDescent="0.25">
      <c r="A19491" s="118"/>
      <c r="B19491" s="136"/>
    </row>
    <row r="19492" spans="1:2" x14ac:dyDescent="0.25">
      <c r="A19492" s="118"/>
      <c r="B19492" s="136"/>
    </row>
    <row r="19493" spans="1:2" x14ac:dyDescent="0.25">
      <c r="A19493" s="118"/>
      <c r="B19493" s="136"/>
    </row>
    <row r="19494" spans="1:2" x14ac:dyDescent="0.25">
      <c r="A19494" s="118"/>
      <c r="B19494" s="136"/>
    </row>
    <row r="19495" spans="1:2" x14ac:dyDescent="0.25">
      <c r="A19495" s="118"/>
      <c r="B19495" s="136"/>
    </row>
    <row r="19496" spans="1:2" x14ac:dyDescent="0.25">
      <c r="A19496" s="118"/>
      <c r="B19496" s="136"/>
    </row>
    <row r="19497" spans="1:2" x14ac:dyDescent="0.25">
      <c r="A19497" s="118"/>
      <c r="B19497" s="136"/>
    </row>
    <row r="19498" spans="1:2" x14ac:dyDescent="0.25">
      <c r="A19498" s="118"/>
      <c r="B19498" s="136"/>
    </row>
    <row r="19499" spans="1:2" x14ac:dyDescent="0.25">
      <c r="A19499" s="118"/>
      <c r="B19499" s="136"/>
    </row>
    <row r="19500" spans="1:2" x14ac:dyDescent="0.25">
      <c r="A19500" s="118"/>
      <c r="B19500" s="136"/>
    </row>
    <row r="19501" spans="1:2" x14ac:dyDescent="0.25">
      <c r="A19501" s="118"/>
      <c r="B19501" s="136"/>
    </row>
    <row r="19502" spans="1:2" x14ac:dyDescent="0.25">
      <c r="A19502" s="118"/>
      <c r="B19502" s="136"/>
    </row>
    <row r="19503" spans="1:2" x14ac:dyDescent="0.25">
      <c r="A19503" s="118"/>
      <c r="B19503" s="136"/>
    </row>
    <row r="19504" spans="1:2" x14ac:dyDescent="0.25">
      <c r="A19504" s="118"/>
      <c r="B19504" s="136"/>
    </row>
    <row r="19505" spans="1:2" x14ac:dyDescent="0.25">
      <c r="A19505" s="118"/>
      <c r="B19505" s="136"/>
    </row>
    <row r="19506" spans="1:2" x14ac:dyDescent="0.25">
      <c r="A19506" s="118"/>
      <c r="B19506" s="136"/>
    </row>
    <row r="19507" spans="1:2" x14ac:dyDescent="0.25">
      <c r="A19507" s="118"/>
      <c r="B19507" s="136"/>
    </row>
    <row r="19508" spans="1:2" x14ac:dyDescent="0.25">
      <c r="A19508" s="118"/>
      <c r="B19508" s="136"/>
    </row>
    <row r="19509" spans="1:2" x14ac:dyDescent="0.25">
      <c r="A19509" s="118"/>
      <c r="B19509" s="136"/>
    </row>
    <row r="19510" spans="1:2" x14ac:dyDescent="0.25">
      <c r="A19510" s="118"/>
      <c r="B19510" s="136"/>
    </row>
    <row r="19511" spans="1:2" x14ac:dyDescent="0.25">
      <c r="A19511" s="118"/>
      <c r="B19511" s="136"/>
    </row>
    <row r="19512" spans="1:2" x14ac:dyDescent="0.25">
      <c r="A19512" s="118"/>
      <c r="B19512" s="136"/>
    </row>
    <row r="19513" spans="1:2" x14ac:dyDescent="0.25">
      <c r="A19513" s="118"/>
      <c r="B19513" s="136"/>
    </row>
    <row r="19514" spans="1:2" x14ac:dyDescent="0.25">
      <c r="A19514" s="118"/>
      <c r="B19514" s="136"/>
    </row>
    <row r="19515" spans="1:2" x14ac:dyDescent="0.25">
      <c r="A19515" s="118"/>
      <c r="B19515" s="136"/>
    </row>
    <row r="19516" spans="1:2" x14ac:dyDescent="0.25">
      <c r="A19516" s="118"/>
      <c r="B19516" s="136"/>
    </row>
    <row r="19517" spans="1:2" x14ac:dyDescent="0.25">
      <c r="A19517" s="118"/>
      <c r="B19517" s="136"/>
    </row>
    <row r="19518" spans="1:2" x14ac:dyDescent="0.25">
      <c r="A19518" s="118"/>
      <c r="B19518" s="136"/>
    </row>
    <row r="19519" spans="1:2" x14ac:dyDescent="0.25">
      <c r="A19519" s="118"/>
      <c r="B19519" s="136"/>
    </row>
    <row r="19520" spans="1:2" x14ac:dyDescent="0.25">
      <c r="A19520" s="118"/>
      <c r="B19520" s="136"/>
    </row>
    <row r="19521" spans="1:2" x14ac:dyDescent="0.25">
      <c r="A19521" s="118"/>
      <c r="B19521" s="136"/>
    </row>
    <row r="19522" spans="1:2" x14ac:dyDescent="0.25">
      <c r="A19522" s="118"/>
      <c r="B19522" s="136"/>
    </row>
    <row r="19523" spans="1:2" x14ac:dyDescent="0.25">
      <c r="A19523" s="118"/>
      <c r="B19523" s="136"/>
    </row>
    <row r="19524" spans="1:2" x14ac:dyDescent="0.25">
      <c r="A19524" s="118"/>
      <c r="B19524" s="136"/>
    </row>
    <row r="19525" spans="1:2" x14ac:dyDescent="0.25">
      <c r="A19525" s="118"/>
      <c r="B19525" s="136"/>
    </row>
    <row r="19526" spans="1:2" x14ac:dyDescent="0.25">
      <c r="A19526" s="118"/>
      <c r="B19526" s="136"/>
    </row>
    <row r="19527" spans="1:2" x14ac:dyDescent="0.25">
      <c r="A19527" s="118"/>
      <c r="B19527" s="136"/>
    </row>
    <row r="19528" spans="1:2" x14ac:dyDescent="0.25">
      <c r="A19528" s="118"/>
      <c r="B19528" s="136"/>
    </row>
    <row r="19529" spans="1:2" x14ac:dyDescent="0.25">
      <c r="A19529" s="118"/>
      <c r="B19529" s="136"/>
    </row>
    <row r="19530" spans="1:2" x14ac:dyDescent="0.25">
      <c r="A19530" s="118"/>
      <c r="B19530" s="136"/>
    </row>
    <row r="19531" spans="1:2" x14ac:dyDescent="0.25">
      <c r="A19531" s="118"/>
      <c r="B19531" s="136"/>
    </row>
    <row r="19532" spans="1:2" x14ac:dyDescent="0.25">
      <c r="A19532" s="118"/>
      <c r="B19532" s="136"/>
    </row>
    <row r="19533" spans="1:2" x14ac:dyDescent="0.25">
      <c r="A19533" s="118"/>
      <c r="B19533" s="136"/>
    </row>
    <row r="19534" spans="1:2" x14ac:dyDescent="0.25">
      <c r="A19534" s="118"/>
      <c r="B19534" s="136"/>
    </row>
    <row r="19535" spans="1:2" x14ac:dyDescent="0.25">
      <c r="A19535" s="118"/>
      <c r="B19535" s="136"/>
    </row>
    <row r="19536" spans="1:2" x14ac:dyDescent="0.25">
      <c r="A19536" s="118"/>
      <c r="B19536" s="136"/>
    </row>
    <row r="19537" spans="1:2" x14ac:dyDescent="0.25">
      <c r="A19537" s="118"/>
      <c r="B19537" s="136"/>
    </row>
    <row r="19538" spans="1:2" x14ac:dyDescent="0.25">
      <c r="A19538" s="118"/>
      <c r="B19538" s="136"/>
    </row>
    <row r="19539" spans="1:2" x14ac:dyDescent="0.25">
      <c r="A19539" s="118"/>
      <c r="B19539" s="136"/>
    </row>
    <row r="19540" spans="1:2" x14ac:dyDescent="0.25">
      <c r="A19540" s="118"/>
      <c r="B19540" s="136"/>
    </row>
    <row r="19541" spans="1:2" x14ac:dyDescent="0.25">
      <c r="A19541" s="118"/>
      <c r="B19541" s="136"/>
    </row>
    <row r="19542" spans="1:2" x14ac:dyDescent="0.25">
      <c r="A19542" s="118"/>
      <c r="B19542" s="136"/>
    </row>
    <row r="19543" spans="1:2" x14ac:dyDescent="0.25">
      <c r="A19543" s="118"/>
      <c r="B19543" s="136"/>
    </row>
    <row r="19544" spans="1:2" x14ac:dyDescent="0.25">
      <c r="A19544" s="118"/>
      <c r="B19544" s="136"/>
    </row>
    <row r="19545" spans="1:2" x14ac:dyDescent="0.25">
      <c r="A19545" s="118"/>
      <c r="B19545" s="136"/>
    </row>
    <row r="19546" spans="1:2" x14ac:dyDescent="0.25">
      <c r="A19546" s="118"/>
      <c r="B19546" s="136"/>
    </row>
    <row r="19547" spans="1:2" x14ac:dyDescent="0.25">
      <c r="A19547" s="118"/>
      <c r="B19547" s="136"/>
    </row>
    <row r="19548" spans="1:2" x14ac:dyDescent="0.25">
      <c r="A19548" s="118"/>
      <c r="B19548" s="136"/>
    </row>
    <row r="19549" spans="1:2" x14ac:dyDescent="0.25">
      <c r="A19549" s="118"/>
      <c r="B19549" s="136"/>
    </row>
    <row r="19550" spans="1:2" x14ac:dyDescent="0.25">
      <c r="A19550" s="118"/>
      <c r="B19550" s="136"/>
    </row>
    <row r="19551" spans="1:2" x14ac:dyDescent="0.25">
      <c r="A19551" s="118"/>
      <c r="B19551" s="136"/>
    </row>
    <row r="19552" spans="1:2" x14ac:dyDescent="0.25">
      <c r="A19552" s="118"/>
      <c r="B19552" s="136"/>
    </row>
    <row r="19553" spans="1:2" x14ac:dyDescent="0.25">
      <c r="A19553" s="118"/>
      <c r="B19553" s="136"/>
    </row>
    <row r="19554" spans="1:2" x14ac:dyDescent="0.25">
      <c r="A19554" s="118"/>
      <c r="B19554" s="136"/>
    </row>
    <row r="19555" spans="1:2" x14ac:dyDescent="0.25">
      <c r="A19555" s="118"/>
      <c r="B19555" s="136"/>
    </row>
    <row r="19556" spans="1:2" x14ac:dyDescent="0.25">
      <c r="A19556" s="118"/>
      <c r="B19556" s="136"/>
    </row>
    <row r="19557" spans="1:2" x14ac:dyDescent="0.25">
      <c r="A19557" s="118"/>
      <c r="B19557" s="136"/>
    </row>
    <row r="19558" spans="1:2" x14ac:dyDescent="0.25">
      <c r="A19558" s="118"/>
      <c r="B19558" s="136"/>
    </row>
    <row r="19559" spans="1:2" x14ac:dyDescent="0.25">
      <c r="A19559" s="118"/>
      <c r="B19559" s="136"/>
    </row>
    <row r="19560" spans="1:2" x14ac:dyDescent="0.25">
      <c r="A19560" s="118"/>
      <c r="B19560" s="136"/>
    </row>
    <row r="19561" spans="1:2" x14ac:dyDescent="0.25">
      <c r="A19561" s="118"/>
      <c r="B19561" s="136"/>
    </row>
    <row r="19562" spans="1:2" x14ac:dyDescent="0.25">
      <c r="A19562" s="118"/>
      <c r="B19562" s="136"/>
    </row>
    <row r="19563" spans="1:2" x14ac:dyDescent="0.25">
      <c r="A19563" s="118"/>
      <c r="B19563" s="136"/>
    </row>
    <row r="19564" spans="1:2" x14ac:dyDescent="0.25">
      <c r="A19564" s="118"/>
      <c r="B19564" s="136"/>
    </row>
    <row r="19565" spans="1:2" x14ac:dyDescent="0.25">
      <c r="A19565" s="118"/>
      <c r="B19565" s="136"/>
    </row>
    <row r="19566" spans="1:2" x14ac:dyDescent="0.25">
      <c r="A19566" s="118"/>
      <c r="B19566" s="136"/>
    </row>
    <row r="19567" spans="1:2" x14ac:dyDescent="0.25">
      <c r="A19567" s="118"/>
      <c r="B19567" s="136"/>
    </row>
    <row r="19568" spans="1:2" x14ac:dyDescent="0.25">
      <c r="A19568" s="118"/>
      <c r="B19568" s="136"/>
    </row>
    <row r="19569" spans="1:2" x14ac:dyDescent="0.25">
      <c r="A19569" s="118"/>
      <c r="B19569" s="136"/>
    </row>
    <row r="19570" spans="1:2" x14ac:dyDescent="0.25">
      <c r="A19570" s="118"/>
      <c r="B19570" s="136"/>
    </row>
    <row r="19571" spans="1:2" x14ac:dyDescent="0.25">
      <c r="A19571" s="118"/>
      <c r="B19571" s="136"/>
    </row>
    <row r="19572" spans="1:2" x14ac:dyDescent="0.25">
      <c r="A19572" s="118"/>
      <c r="B19572" s="136"/>
    </row>
    <row r="19573" spans="1:2" x14ac:dyDescent="0.25">
      <c r="A19573" s="118"/>
      <c r="B19573" s="136"/>
    </row>
    <row r="19574" spans="1:2" x14ac:dyDescent="0.25">
      <c r="A19574" s="118"/>
      <c r="B19574" s="136"/>
    </row>
    <row r="19575" spans="1:2" x14ac:dyDescent="0.25">
      <c r="A19575" s="118"/>
      <c r="B19575" s="136"/>
    </row>
    <row r="19576" spans="1:2" x14ac:dyDescent="0.25">
      <c r="A19576" s="118"/>
      <c r="B19576" s="136"/>
    </row>
    <row r="19577" spans="1:2" x14ac:dyDescent="0.25">
      <c r="A19577" s="118"/>
      <c r="B19577" s="136"/>
    </row>
    <row r="19578" spans="1:2" x14ac:dyDescent="0.25">
      <c r="A19578" s="118"/>
      <c r="B19578" s="136"/>
    </row>
    <row r="19579" spans="1:2" x14ac:dyDescent="0.25">
      <c r="A19579" s="118"/>
      <c r="B19579" s="136"/>
    </row>
    <row r="19580" spans="1:2" x14ac:dyDescent="0.25">
      <c r="A19580" s="118"/>
      <c r="B19580" s="136"/>
    </row>
    <row r="19581" spans="1:2" x14ac:dyDescent="0.25">
      <c r="A19581" s="118"/>
      <c r="B19581" s="136"/>
    </row>
    <row r="19582" spans="1:2" x14ac:dyDescent="0.25">
      <c r="A19582" s="118"/>
      <c r="B19582" s="136"/>
    </row>
    <row r="19583" spans="1:2" x14ac:dyDescent="0.25">
      <c r="A19583" s="118"/>
      <c r="B19583" s="136"/>
    </row>
    <row r="19584" spans="1:2" x14ac:dyDescent="0.25">
      <c r="A19584" s="118"/>
      <c r="B19584" s="136"/>
    </row>
    <row r="19585" spans="1:2" x14ac:dyDescent="0.25">
      <c r="A19585" s="118"/>
      <c r="B19585" s="136"/>
    </row>
    <row r="19586" spans="1:2" x14ac:dyDescent="0.25">
      <c r="A19586" s="118"/>
      <c r="B19586" s="136"/>
    </row>
    <row r="19587" spans="1:2" x14ac:dyDescent="0.25">
      <c r="A19587" s="118"/>
      <c r="B19587" s="136"/>
    </row>
    <row r="19588" spans="1:2" x14ac:dyDescent="0.25">
      <c r="A19588" s="118"/>
      <c r="B19588" s="136"/>
    </row>
    <row r="19589" spans="1:2" x14ac:dyDescent="0.25">
      <c r="A19589" s="118"/>
      <c r="B19589" s="136"/>
    </row>
    <row r="19590" spans="1:2" x14ac:dyDescent="0.25">
      <c r="A19590" s="118"/>
      <c r="B19590" s="136"/>
    </row>
    <row r="19591" spans="1:2" x14ac:dyDescent="0.25">
      <c r="A19591" s="118"/>
      <c r="B19591" s="136"/>
    </row>
    <row r="19592" spans="1:2" x14ac:dyDescent="0.25">
      <c r="A19592" s="118"/>
      <c r="B19592" s="136"/>
    </row>
    <row r="19593" spans="1:2" x14ac:dyDescent="0.25">
      <c r="A19593" s="118"/>
      <c r="B19593" s="136"/>
    </row>
    <row r="19594" spans="1:2" x14ac:dyDescent="0.25">
      <c r="A19594" s="118"/>
      <c r="B19594" s="136"/>
    </row>
    <row r="19595" spans="1:2" x14ac:dyDescent="0.25">
      <c r="A19595" s="118"/>
      <c r="B19595" s="136"/>
    </row>
    <row r="19596" spans="1:2" x14ac:dyDescent="0.25">
      <c r="A19596" s="118"/>
      <c r="B19596" s="136"/>
    </row>
    <row r="19597" spans="1:2" x14ac:dyDescent="0.25">
      <c r="A19597" s="118"/>
      <c r="B19597" s="136"/>
    </row>
    <row r="19598" spans="1:2" x14ac:dyDescent="0.25">
      <c r="A19598" s="118"/>
      <c r="B19598" s="136"/>
    </row>
    <row r="19599" spans="1:2" x14ac:dyDescent="0.25">
      <c r="A19599" s="118"/>
      <c r="B19599" s="136"/>
    </row>
    <row r="19600" spans="1:2" x14ac:dyDescent="0.25">
      <c r="A19600" s="118"/>
      <c r="B19600" s="136"/>
    </row>
    <row r="19601" spans="1:2" x14ac:dyDescent="0.25">
      <c r="A19601" s="118"/>
      <c r="B19601" s="136"/>
    </row>
    <row r="19602" spans="1:2" x14ac:dyDescent="0.25">
      <c r="A19602" s="118"/>
      <c r="B19602" s="136"/>
    </row>
    <row r="19603" spans="1:2" x14ac:dyDescent="0.25">
      <c r="A19603" s="118"/>
      <c r="B19603" s="136"/>
    </row>
    <row r="19604" spans="1:2" x14ac:dyDescent="0.25">
      <c r="A19604" s="118"/>
      <c r="B19604" s="136"/>
    </row>
    <row r="19605" spans="1:2" x14ac:dyDescent="0.25">
      <c r="A19605" s="118"/>
      <c r="B19605" s="136"/>
    </row>
    <row r="19606" spans="1:2" x14ac:dyDescent="0.25">
      <c r="A19606" s="118"/>
      <c r="B19606" s="136"/>
    </row>
    <row r="19607" spans="1:2" x14ac:dyDescent="0.25">
      <c r="A19607" s="118"/>
      <c r="B19607" s="136"/>
    </row>
    <row r="19608" spans="1:2" x14ac:dyDescent="0.25">
      <c r="A19608" s="118"/>
      <c r="B19608" s="136"/>
    </row>
    <row r="19609" spans="1:2" x14ac:dyDescent="0.25">
      <c r="A19609" s="118"/>
      <c r="B19609" s="136"/>
    </row>
    <row r="19610" spans="1:2" x14ac:dyDescent="0.25">
      <c r="A19610" s="118"/>
      <c r="B19610" s="136"/>
    </row>
    <row r="19611" spans="1:2" x14ac:dyDescent="0.25">
      <c r="A19611" s="118"/>
      <c r="B19611" s="136"/>
    </row>
    <row r="19612" spans="1:2" x14ac:dyDescent="0.25">
      <c r="A19612" s="118"/>
      <c r="B19612" s="136"/>
    </row>
    <row r="19613" spans="1:2" x14ac:dyDescent="0.25">
      <c r="A19613" s="118"/>
      <c r="B19613" s="136"/>
    </row>
    <row r="19614" spans="1:2" x14ac:dyDescent="0.25">
      <c r="A19614" s="118"/>
      <c r="B19614" s="136"/>
    </row>
    <row r="19615" spans="1:2" x14ac:dyDescent="0.25">
      <c r="A19615" s="118"/>
      <c r="B19615" s="136"/>
    </row>
    <row r="19616" spans="1:2" x14ac:dyDescent="0.25">
      <c r="A19616" s="118"/>
      <c r="B19616" s="136"/>
    </row>
    <row r="19617" spans="1:2" x14ac:dyDescent="0.25">
      <c r="A19617" s="118"/>
      <c r="B19617" s="136"/>
    </row>
    <row r="19618" spans="1:2" x14ac:dyDescent="0.25">
      <c r="A19618" s="118"/>
      <c r="B19618" s="136"/>
    </row>
    <row r="19619" spans="1:2" x14ac:dyDescent="0.25">
      <c r="A19619" s="118"/>
      <c r="B19619" s="136"/>
    </row>
    <row r="19620" spans="1:2" x14ac:dyDescent="0.25">
      <c r="A19620" s="118"/>
      <c r="B19620" s="136"/>
    </row>
    <row r="19621" spans="1:2" x14ac:dyDescent="0.25">
      <c r="A19621" s="118"/>
      <c r="B19621" s="136"/>
    </row>
    <row r="19622" spans="1:2" x14ac:dyDescent="0.25">
      <c r="A19622" s="118"/>
      <c r="B19622" s="136"/>
    </row>
    <row r="19623" spans="1:2" x14ac:dyDescent="0.25">
      <c r="A19623" s="118"/>
      <c r="B19623" s="136"/>
    </row>
    <row r="19624" spans="1:2" x14ac:dyDescent="0.25">
      <c r="A19624" s="118"/>
      <c r="B19624" s="136"/>
    </row>
    <row r="19625" spans="1:2" x14ac:dyDescent="0.25">
      <c r="A19625" s="118"/>
      <c r="B19625" s="136"/>
    </row>
    <row r="19626" spans="1:2" x14ac:dyDescent="0.25">
      <c r="A19626" s="118"/>
      <c r="B19626" s="136"/>
    </row>
    <row r="19627" spans="1:2" x14ac:dyDescent="0.25">
      <c r="A19627" s="118"/>
      <c r="B19627" s="136"/>
    </row>
    <row r="19628" spans="1:2" x14ac:dyDescent="0.25">
      <c r="A19628" s="118"/>
      <c r="B19628" s="136"/>
    </row>
    <row r="19629" spans="1:2" x14ac:dyDescent="0.25">
      <c r="A19629" s="118"/>
      <c r="B19629" s="136"/>
    </row>
    <row r="19630" spans="1:2" x14ac:dyDescent="0.25">
      <c r="A19630" s="118"/>
      <c r="B19630" s="136"/>
    </row>
    <row r="19631" spans="1:2" x14ac:dyDescent="0.25">
      <c r="A19631" s="118"/>
      <c r="B19631" s="136"/>
    </row>
    <row r="19632" spans="1:2" x14ac:dyDescent="0.25">
      <c r="A19632" s="118"/>
      <c r="B19632" s="136"/>
    </row>
    <row r="19633" spans="1:2" x14ac:dyDescent="0.25">
      <c r="A19633" s="118"/>
      <c r="B19633" s="136"/>
    </row>
    <row r="19634" spans="1:2" x14ac:dyDescent="0.25">
      <c r="A19634" s="118"/>
      <c r="B19634" s="136"/>
    </row>
    <row r="19635" spans="1:2" x14ac:dyDescent="0.25">
      <c r="A19635" s="118"/>
      <c r="B19635" s="136"/>
    </row>
    <row r="19636" spans="1:2" x14ac:dyDescent="0.25">
      <c r="A19636" s="118"/>
      <c r="B19636" s="136"/>
    </row>
    <row r="19637" spans="1:2" x14ac:dyDescent="0.25">
      <c r="A19637" s="118"/>
      <c r="B19637" s="136"/>
    </row>
    <row r="19638" spans="1:2" x14ac:dyDescent="0.25">
      <c r="A19638" s="118"/>
      <c r="B19638" s="136"/>
    </row>
    <row r="19639" spans="1:2" x14ac:dyDescent="0.25">
      <c r="A19639" s="118"/>
      <c r="B19639" s="136"/>
    </row>
    <row r="19640" spans="1:2" x14ac:dyDescent="0.25">
      <c r="A19640" s="118"/>
      <c r="B19640" s="136"/>
    </row>
    <row r="19641" spans="1:2" x14ac:dyDescent="0.25">
      <c r="A19641" s="118"/>
      <c r="B19641" s="136"/>
    </row>
    <row r="19642" spans="1:2" x14ac:dyDescent="0.25">
      <c r="A19642" s="118"/>
      <c r="B19642" s="136"/>
    </row>
    <row r="19643" spans="1:2" x14ac:dyDescent="0.25">
      <c r="A19643" s="118"/>
      <c r="B19643" s="136"/>
    </row>
    <row r="19644" spans="1:2" x14ac:dyDescent="0.25">
      <c r="A19644" s="118"/>
      <c r="B19644" s="136"/>
    </row>
    <row r="19645" spans="1:2" x14ac:dyDescent="0.25">
      <c r="A19645" s="118"/>
      <c r="B19645" s="136"/>
    </row>
    <row r="19646" spans="1:2" x14ac:dyDescent="0.25">
      <c r="A19646" s="118"/>
      <c r="B19646" s="136"/>
    </row>
    <row r="19647" spans="1:2" x14ac:dyDescent="0.25">
      <c r="A19647" s="118"/>
      <c r="B19647" s="136"/>
    </row>
    <row r="19648" spans="1:2" x14ac:dyDescent="0.25">
      <c r="A19648" s="118"/>
      <c r="B19648" s="136"/>
    </row>
    <row r="19649" spans="1:2" x14ac:dyDescent="0.25">
      <c r="A19649" s="118"/>
      <c r="B19649" s="136"/>
    </row>
    <row r="19650" spans="1:2" x14ac:dyDescent="0.25">
      <c r="A19650" s="118"/>
      <c r="B19650" s="136"/>
    </row>
    <row r="19651" spans="1:2" x14ac:dyDescent="0.25">
      <c r="A19651" s="118"/>
      <c r="B19651" s="136"/>
    </row>
    <row r="19652" spans="1:2" x14ac:dyDescent="0.25">
      <c r="A19652" s="118"/>
      <c r="B19652" s="136"/>
    </row>
    <row r="19653" spans="1:2" x14ac:dyDescent="0.25">
      <c r="A19653" s="118"/>
      <c r="B19653" s="136"/>
    </row>
    <row r="19654" spans="1:2" x14ac:dyDescent="0.25">
      <c r="A19654" s="118"/>
      <c r="B19654" s="136"/>
    </row>
    <row r="19655" spans="1:2" x14ac:dyDescent="0.25">
      <c r="A19655" s="118"/>
      <c r="B19655" s="136"/>
    </row>
    <row r="19656" spans="1:2" x14ac:dyDescent="0.25">
      <c r="A19656" s="118"/>
      <c r="B19656" s="136"/>
    </row>
    <row r="19657" spans="1:2" x14ac:dyDescent="0.25">
      <c r="A19657" s="118"/>
      <c r="B19657" s="136"/>
    </row>
    <row r="19658" spans="1:2" x14ac:dyDescent="0.25">
      <c r="A19658" s="118"/>
      <c r="B19658" s="136"/>
    </row>
    <row r="19659" spans="1:2" x14ac:dyDescent="0.25">
      <c r="A19659" s="118"/>
      <c r="B19659" s="136"/>
    </row>
    <row r="19660" spans="1:2" x14ac:dyDescent="0.25">
      <c r="A19660" s="118"/>
      <c r="B19660" s="136"/>
    </row>
    <row r="19661" spans="1:2" x14ac:dyDescent="0.25">
      <c r="A19661" s="118"/>
      <c r="B19661" s="136"/>
    </row>
    <row r="19662" spans="1:2" x14ac:dyDescent="0.25">
      <c r="A19662" s="118"/>
      <c r="B19662" s="136"/>
    </row>
    <row r="19663" spans="1:2" x14ac:dyDescent="0.25">
      <c r="A19663" s="118"/>
      <c r="B19663" s="136"/>
    </row>
    <row r="19664" spans="1:2" x14ac:dyDescent="0.25">
      <c r="A19664" s="118"/>
      <c r="B19664" s="136"/>
    </row>
    <row r="19665" spans="1:2" x14ac:dyDescent="0.25">
      <c r="A19665" s="118"/>
      <c r="B19665" s="136"/>
    </row>
    <row r="19666" spans="1:2" x14ac:dyDescent="0.25">
      <c r="A19666" s="118"/>
      <c r="B19666" s="136"/>
    </row>
    <row r="19667" spans="1:2" x14ac:dyDescent="0.25">
      <c r="A19667" s="118"/>
      <c r="B19667" s="136"/>
    </row>
    <row r="19668" spans="1:2" x14ac:dyDescent="0.25">
      <c r="A19668" s="118"/>
      <c r="B19668" s="136"/>
    </row>
    <row r="19669" spans="1:2" x14ac:dyDescent="0.25">
      <c r="A19669" s="118"/>
      <c r="B19669" s="136"/>
    </row>
    <row r="19670" spans="1:2" x14ac:dyDescent="0.25">
      <c r="A19670" s="118"/>
      <c r="B19670" s="136"/>
    </row>
    <row r="19671" spans="1:2" x14ac:dyDescent="0.25">
      <c r="A19671" s="118"/>
      <c r="B19671" s="136"/>
    </row>
    <row r="19672" spans="1:2" x14ac:dyDescent="0.25">
      <c r="A19672" s="118"/>
      <c r="B19672" s="136"/>
    </row>
    <row r="19673" spans="1:2" x14ac:dyDescent="0.25">
      <c r="A19673" s="118"/>
      <c r="B19673" s="136"/>
    </row>
    <row r="19674" spans="1:2" x14ac:dyDescent="0.25">
      <c r="A19674" s="118"/>
      <c r="B19674" s="136"/>
    </row>
    <row r="19675" spans="1:2" x14ac:dyDescent="0.25">
      <c r="A19675" s="118"/>
      <c r="B19675" s="136"/>
    </row>
    <row r="19676" spans="1:2" x14ac:dyDescent="0.25">
      <c r="A19676" s="118"/>
      <c r="B19676" s="136"/>
    </row>
    <row r="19677" spans="1:2" x14ac:dyDescent="0.25">
      <c r="A19677" s="118"/>
      <c r="B19677" s="136"/>
    </row>
    <row r="19678" spans="1:2" x14ac:dyDescent="0.25">
      <c r="A19678" s="118"/>
      <c r="B19678" s="136"/>
    </row>
    <row r="19679" spans="1:2" x14ac:dyDescent="0.25">
      <c r="A19679" s="118"/>
      <c r="B19679" s="136"/>
    </row>
    <row r="19680" spans="1:2" x14ac:dyDescent="0.25">
      <c r="A19680" s="118"/>
      <c r="B19680" s="136"/>
    </row>
    <row r="19681" spans="1:2" x14ac:dyDescent="0.25">
      <c r="A19681" s="118"/>
      <c r="B19681" s="136"/>
    </row>
    <row r="19682" spans="1:2" x14ac:dyDescent="0.25">
      <c r="A19682" s="118"/>
      <c r="B19682" s="136"/>
    </row>
    <row r="19683" spans="1:2" x14ac:dyDescent="0.25">
      <c r="A19683" s="118"/>
      <c r="B19683" s="136"/>
    </row>
    <row r="19684" spans="1:2" x14ac:dyDescent="0.25">
      <c r="A19684" s="118"/>
      <c r="B19684" s="136"/>
    </row>
    <row r="19685" spans="1:2" x14ac:dyDescent="0.25">
      <c r="A19685" s="118"/>
      <c r="B19685" s="136"/>
    </row>
    <row r="19686" spans="1:2" x14ac:dyDescent="0.25">
      <c r="A19686" s="118"/>
      <c r="B19686" s="136"/>
    </row>
    <row r="19687" spans="1:2" x14ac:dyDescent="0.25">
      <c r="A19687" s="118"/>
      <c r="B19687" s="136"/>
    </row>
    <row r="19688" spans="1:2" x14ac:dyDescent="0.25">
      <c r="A19688" s="118"/>
      <c r="B19688" s="136"/>
    </row>
    <row r="19689" spans="1:2" x14ac:dyDescent="0.25">
      <c r="A19689" s="118"/>
      <c r="B19689" s="136"/>
    </row>
    <row r="19690" spans="1:2" x14ac:dyDescent="0.25">
      <c r="A19690" s="118"/>
      <c r="B19690" s="136"/>
    </row>
    <row r="19691" spans="1:2" x14ac:dyDescent="0.25">
      <c r="A19691" s="118"/>
      <c r="B19691" s="136"/>
    </row>
    <row r="19692" spans="1:2" x14ac:dyDescent="0.25">
      <c r="A19692" s="118"/>
      <c r="B19692" s="136"/>
    </row>
    <row r="19693" spans="1:2" x14ac:dyDescent="0.25">
      <c r="A19693" s="118"/>
      <c r="B19693" s="136"/>
    </row>
    <row r="19694" spans="1:2" x14ac:dyDescent="0.25">
      <c r="A19694" s="118"/>
      <c r="B19694" s="136"/>
    </row>
    <row r="19695" spans="1:2" x14ac:dyDescent="0.25">
      <c r="A19695" s="118"/>
      <c r="B19695" s="136"/>
    </row>
    <row r="19696" spans="1:2" x14ac:dyDescent="0.25">
      <c r="A19696" s="118"/>
      <c r="B19696" s="136"/>
    </row>
    <row r="19697" spans="1:2" x14ac:dyDescent="0.25">
      <c r="A19697" s="118"/>
      <c r="B19697" s="136"/>
    </row>
    <row r="19698" spans="1:2" x14ac:dyDescent="0.25">
      <c r="A19698" s="118"/>
      <c r="B19698" s="136"/>
    </row>
    <row r="19699" spans="1:2" x14ac:dyDescent="0.25">
      <c r="A19699" s="118"/>
      <c r="B19699" s="136"/>
    </row>
    <row r="19700" spans="1:2" x14ac:dyDescent="0.25">
      <c r="A19700" s="118"/>
      <c r="B19700" s="136"/>
    </row>
    <row r="19701" spans="1:2" x14ac:dyDescent="0.25">
      <c r="A19701" s="118"/>
      <c r="B19701" s="136"/>
    </row>
    <row r="19702" spans="1:2" x14ac:dyDescent="0.25">
      <c r="A19702" s="118"/>
      <c r="B19702" s="136"/>
    </row>
    <row r="19703" spans="1:2" x14ac:dyDescent="0.25">
      <c r="A19703" s="118"/>
      <c r="B19703" s="136"/>
    </row>
    <row r="19704" spans="1:2" x14ac:dyDescent="0.25">
      <c r="A19704" s="118"/>
      <c r="B19704" s="136"/>
    </row>
    <row r="19705" spans="1:2" x14ac:dyDescent="0.25">
      <c r="A19705" s="118"/>
      <c r="B19705" s="136"/>
    </row>
    <row r="19706" spans="1:2" x14ac:dyDescent="0.25">
      <c r="A19706" s="118"/>
      <c r="B19706" s="136"/>
    </row>
    <row r="19707" spans="1:2" x14ac:dyDescent="0.25">
      <c r="A19707" s="118"/>
      <c r="B19707" s="136"/>
    </row>
    <row r="19708" spans="1:2" x14ac:dyDescent="0.25">
      <c r="A19708" s="118"/>
      <c r="B19708" s="136"/>
    </row>
    <row r="19709" spans="1:2" x14ac:dyDescent="0.25">
      <c r="A19709" s="118"/>
      <c r="B19709" s="136"/>
    </row>
    <row r="19710" spans="1:2" x14ac:dyDescent="0.25">
      <c r="A19710" s="118"/>
      <c r="B19710" s="136"/>
    </row>
    <row r="19711" spans="1:2" x14ac:dyDescent="0.25">
      <c r="A19711" s="118"/>
      <c r="B19711" s="136"/>
    </row>
    <row r="19712" spans="1:2" x14ac:dyDescent="0.25">
      <c r="A19712" s="118"/>
      <c r="B19712" s="136"/>
    </row>
    <row r="19713" spans="1:2" x14ac:dyDescent="0.25">
      <c r="A19713" s="118"/>
      <c r="B19713" s="136"/>
    </row>
    <row r="19714" spans="1:2" x14ac:dyDescent="0.25">
      <c r="A19714" s="118"/>
      <c r="B19714" s="136"/>
    </row>
    <row r="19715" spans="1:2" x14ac:dyDescent="0.25">
      <c r="A19715" s="118"/>
      <c r="B19715" s="136"/>
    </row>
    <row r="19716" spans="1:2" x14ac:dyDescent="0.25">
      <c r="A19716" s="118"/>
      <c r="B19716" s="136"/>
    </row>
    <row r="19717" spans="1:2" x14ac:dyDescent="0.25">
      <c r="A19717" s="118"/>
      <c r="B19717" s="136"/>
    </row>
    <row r="19718" spans="1:2" x14ac:dyDescent="0.25">
      <c r="A19718" s="118"/>
      <c r="B19718" s="136"/>
    </row>
    <row r="19719" spans="1:2" x14ac:dyDescent="0.25">
      <c r="A19719" s="118"/>
      <c r="B19719" s="136"/>
    </row>
    <row r="19720" spans="1:2" x14ac:dyDescent="0.25">
      <c r="A19720" s="118"/>
      <c r="B19720" s="136"/>
    </row>
    <row r="19721" spans="1:2" x14ac:dyDescent="0.25">
      <c r="A19721" s="118"/>
      <c r="B19721" s="136"/>
    </row>
    <row r="19722" spans="1:2" x14ac:dyDescent="0.25">
      <c r="A19722" s="118"/>
      <c r="B19722" s="136"/>
    </row>
    <row r="19723" spans="1:2" x14ac:dyDescent="0.25">
      <c r="A19723" s="118"/>
      <c r="B19723" s="136"/>
    </row>
    <row r="19724" spans="1:2" x14ac:dyDescent="0.25">
      <c r="A19724" s="118"/>
      <c r="B19724" s="136"/>
    </row>
    <row r="19725" spans="1:2" x14ac:dyDescent="0.25">
      <c r="A19725" s="118"/>
      <c r="B19725" s="136"/>
    </row>
    <row r="19726" spans="1:2" x14ac:dyDescent="0.25">
      <c r="A19726" s="118"/>
      <c r="B19726" s="136"/>
    </row>
    <row r="19727" spans="1:2" x14ac:dyDescent="0.25">
      <c r="A19727" s="118"/>
      <c r="B19727" s="136"/>
    </row>
    <row r="19728" spans="1:2" x14ac:dyDescent="0.25">
      <c r="A19728" s="118"/>
      <c r="B19728" s="136"/>
    </row>
    <row r="19729" spans="1:2" x14ac:dyDescent="0.25">
      <c r="A19729" s="118"/>
      <c r="B19729" s="136"/>
    </row>
    <row r="19730" spans="1:2" x14ac:dyDescent="0.25">
      <c r="A19730" s="118"/>
      <c r="B19730" s="136"/>
    </row>
    <row r="19731" spans="1:2" x14ac:dyDescent="0.25">
      <c r="A19731" s="118"/>
      <c r="B19731" s="136"/>
    </row>
    <row r="19732" spans="1:2" x14ac:dyDescent="0.25">
      <c r="A19732" s="118"/>
      <c r="B19732" s="136"/>
    </row>
    <row r="19733" spans="1:2" x14ac:dyDescent="0.25">
      <c r="A19733" s="118"/>
      <c r="B19733" s="136"/>
    </row>
    <row r="19734" spans="1:2" x14ac:dyDescent="0.25">
      <c r="A19734" s="118"/>
      <c r="B19734" s="136"/>
    </row>
    <row r="19735" spans="1:2" x14ac:dyDescent="0.25">
      <c r="A19735" s="118"/>
      <c r="B19735" s="136"/>
    </row>
    <row r="19736" spans="1:2" x14ac:dyDescent="0.25">
      <c r="A19736" s="118"/>
      <c r="B19736" s="136"/>
    </row>
    <row r="19737" spans="1:2" x14ac:dyDescent="0.25">
      <c r="A19737" s="118"/>
      <c r="B19737" s="136"/>
    </row>
    <row r="19738" spans="1:2" x14ac:dyDescent="0.25">
      <c r="A19738" s="118"/>
      <c r="B19738" s="136"/>
    </row>
    <row r="19739" spans="1:2" x14ac:dyDescent="0.25">
      <c r="A19739" s="118"/>
      <c r="B19739" s="136"/>
    </row>
    <row r="19740" spans="1:2" x14ac:dyDescent="0.25">
      <c r="A19740" s="118"/>
      <c r="B19740" s="136"/>
    </row>
    <row r="19741" spans="1:2" x14ac:dyDescent="0.25">
      <c r="A19741" s="118"/>
      <c r="B19741" s="136"/>
    </row>
    <row r="19742" spans="1:2" x14ac:dyDescent="0.25">
      <c r="A19742" s="118"/>
      <c r="B19742" s="136"/>
    </row>
    <row r="19743" spans="1:2" x14ac:dyDescent="0.25">
      <c r="A19743" s="118"/>
      <c r="B19743" s="136"/>
    </row>
    <row r="19744" spans="1:2" x14ac:dyDescent="0.25">
      <c r="A19744" s="118"/>
      <c r="B19744" s="136"/>
    </row>
    <row r="19745" spans="1:2" x14ac:dyDescent="0.25">
      <c r="A19745" s="118"/>
      <c r="B19745" s="136"/>
    </row>
    <row r="19746" spans="1:2" x14ac:dyDescent="0.25">
      <c r="A19746" s="118"/>
      <c r="B19746" s="136"/>
    </row>
    <row r="19747" spans="1:2" x14ac:dyDescent="0.25">
      <c r="A19747" s="118"/>
      <c r="B19747" s="136"/>
    </row>
    <row r="19748" spans="1:2" x14ac:dyDescent="0.25">
      <c r="A19748" s="118"/>
      <c r="B19748" s="136"/>
    </row>
    <row r="19749" spans="1:2" x14ac:dyDescent="0.25">
      <c r="A19749" s="118"/>
      <c r="B19749" s="136"/>
    </row>
    <row r="19750" spans="1:2" x14ac:dyDescent="0.25">
      <c r="A19750" s="118"/>
      <c r="B19750" s="136"/>
    </row>
    <row r="19751" spans="1:2" x14ac:dyDescent="0.25">
      <c r="A19751" s="118"/>
      <c r="B19751" s="136"/>
    </row>
    <row r="19752" spans="1:2" x14ac:dyDescent="0.25">
      <c r="A19752" s="118"/>
      <c r="B19752" s="136"/>
    </row>
    <row r="19753" spans="1:2" x14ac:dyDescent="0.25">
      <c r="A19753" s="118"/>
      <c r="B19753" s="136"/>
    </row>
    <row r="19754" spans="1:2" x14ac:dyDescent="0.25">
      <c r="A19754" s="118"/>
      <c r="B19754" s="136"/>
    </row>
    <row r="19755" spans="1:2" x14ac:dyDescent="0.25">
      <c r="A19755" s="118"/>
      <c r="B19755" s="136"/>
    </row>
    <row r="19756" spans="1:2" x14ac:dyDescent="0.25">
      <c r="A19756" s="118"/>
      <c r="B19756" s="136"/>
    </row>
    <row r="19757" spans="1:2" x14ac:dyDescent="0.25">
      <c r="A19757" s="118"/>
      <c r="B19757" s="136"/>
    </row>
    <row r="19758" spans="1:2" x14ac:dyDescent="0.25">
      <c r="A19758" s="118"/>
      <c r="B19758" s="136"/>
    </row>
    <row r="19759" spans="1:2" x14ac:dyDescent="0.25">
      <c r="A19759" s="118"/>
      <c r="B19759" s="136"/>
    </row>
    <row r="19760" spans="1:2" x14ac:dyDescent="0.25">
      <c r="A19760" s="118"/>
      <c r="B19760" s="136"/>
    </row>
    <row r="19761" spans="1:2" x14ac:dyDescent="0.25">
      <c r="A19761" s="118"/>
      <c r="B19761" s="136"/>
    </row>
    <row r="19762" spans="1:2" x14ac:dyDescent="0.25">
      <c r="A19762" s="118"/>
      <c r="B19762" s="136"/>
    </row>
    <row r="19763" spans="1:2" x14ac:dyDescent="0.25">
      <c r="A19763" s="118"/>
      <c r="B19763" s="136"/>
    </row>
    <row r="19764" spans="1:2" x14ac:dyDescent="0.25">
      <c r="A19764" s="118"/>
      <c r="B19764" s="136"/>
    </row>
    <row r="19765" spans="1:2" x14ac:dyDescent="0.25">
      <c r="A19765" s="118"/>
      <c r="B19765" s="136"/>
    </row>
    <row r="19766" spans="1:2" x14ac:dyDescent="0.25">
      <c r="A19766" s="118"/>
      <c r="B19766" s="136"/>
    </row>
    <row r="19767" spans="1:2" x14ac:dyDescent="0.25">
      <c r="A19767" s="118"/>
      <c r="B19767" s="136"/>
    </row>
    <row r="19768" spans="1:2" x14ac:dyDescent="0.25">
      <c r="A19768" s="118"/>
      <c r="B19768" s="136"/>
    </row>
    <row r="19769" spans="1:2" x14ac:dyDescent="0.25">
      <c r="A19769" s="118"/>
      <c r="B19769" s="136"/>
    </row>
    <row r="19770" spans="1:2" x14ac:dyDescent="0.25">
      <c r="A19770" s="118"/>
      <c r="B19770" s="136"/>
    </row>
    <row r="19771" spans="1:2" x14ac:dyDescent="0.25">
      <c r="A19771" s="118"/>
      <c r="B19771" s="136"/>
    </row>
    <row r="19772" spans="1:2" x14ac:dyDescent="0.25">
      <c r="A19772" s="118"/>
      <c r="B19772" s="136"/>
    </row>
    <row r="19773" spans="1:2" x14ac:dyDescent="0.25">
      <c r="A19773" s="118"/>
      <c r="B19773" s="136"/>
    </row>
    <row r="19774" spans="1:2" x14ac:dyDescent="0.25">
      <c r="A19774" s="118"/>
      <c r="B19774" s="136"/>
    </row>
    <row r="19775" spans="1:2" x14ac:dyDescent="0.25">
      <c r="A19775" s="118"/>
      <c r="B19775" s="136"/>
    </row>
    <row r="19776" spans="1:2" x14ac:dyDescent="0.25">
      <c r="A19776" s="118"/>
      <c r="B19776" s="136"/>
    </row>
    <row r="19777" spans="1:2" x14ac:dyDescent="0.25">
      <c r="A19777" s="118"/>
      <c r="B19777" s="136"/>
    </row>
    <row r="19778" spans="1:2" x14ac:dyDescent="0.25">
      <c r="A19778" s="118"/>
      <c r="B19778" s="136"/>
    </row>
    <row r="19779" spans="1:2" x14ac:dyDescent="0.25">
      <c r="A19779" s="118"/>
      <c r="B19779" s="136"/>
    </row>
    <row r="19780" spans="1:2" x14ac:dyDescent="0.25">
      <c r="A19780" s="118"/>
      <c r="B19780" s="136"/>
    </row>
    <row r="19781" spans="1:2" x14ac:dyDescent="0.25">
      <c r="A19781" s="118"/>
      <c r="B19781" s="136"/>
    </row>
    <row r="19782" spans="1:2" x14ac:dyDescent="0.25">
      <c r="A19782" s="118"/>
      <c r="B19782" s="136"/>
    </row>
    <row r="19783" spans="1:2" x14ac:dyDescent="0.25">
      <c r="A19783" s="118"/>
      <c r="B19783" s="136"/>
    </row>
    <row r="19784" spans="1:2" x14ac:dyDescent="0.25">
      <c r="A19784" s="118"/>
      <c r="B19784" s="136"/>
    </row>
    <row r="19785" spans="1:2" x14ac:dyDescent="0.25">
      <c r="A19785" s="118"/>
      <c r="B19785" s="136"/>
    </row>
    <row r="19786" spans="1:2" x14ac:dyDescent="0.25">
      <c r="A19786" s="118"/>
      <c r="B19786" s="136"/>
    </row>
    <row r="19787" spans="1:2" x14ac:dyDescent="0.25">
      <c r="A19787" s="118"/>
      <c r="B19787" s="136"/>
    </row>
    <row r="19788" spans="1:2" x14ac:dyDescent="0.25">
      <c r="A19788" s="118"/>
      <c r="B19788" s="136"/>
    </row>
    <row r="19789" spans="1:2" x14ac:dyDescent="0.25">
      <c r="A19789" s="118"/>
      <c r="B19789" s="136"/>
    </row>
    <row r="19790" spans="1:2" x14ac:dyDescent="0.25">
      <c r="A19790" s="118"/>
      <c r="B19790" s="136"/>
    </row>
    <row r="19791" spans="1:2" x14ac:dyDescent="0.25">
      <c r="A19791" s="118"/>
      <c r="B19791" s="136"/>
    </row>
    <row r="19792" spans="1:2" x14ac:dyDescent="0.25">
      <c r="A19792" s="118"/>
      <c r="B19792" s="136"/>
    </row>
    <row r="19793" spans="1:2" x14ac:dyDescent="0.25">
      <c r="A19793" s="118"/>
      <c r="B19793" s="136"/>
    </row>
    <row r="19794" spans="1:2" x14ac:dyDescent="0.25">
      <c r="A19794" s="118"/>
      <c r="B19794" s="136"/>
    </row>
    <row r="19795" spans="1:2" x14ac:dyDescent="0.25">
      <c r="A19795" s="118"/>
      <c r="B19795" s="136"/>
    </row>
    <row r="19796" spans="1:2" x14ac:dyDescent="0.25">
      <c r="A19796" s="118"/>
      <c r="B19796" s="136"/>
    </row>
    <row r="19797" spans="1:2" x14ac:dyDescent="0.25">
      <c r="A19797" s="118"/>
      <c r="B19797" s="136"/>
    </row>
    <row r="19798" spans="1:2" x14ac:dyDescent="0.25">
      <c r="A19798" s="118"/>
      <c r="B19798" s="136"/>
    </row>
    <row r="19799" spans="1:2" x14ac:dyDescent="0.25">
      <c r="A19799" s="118"/>
      <c r="B19799" s="136"/>
    </row>
    <row r="19800" spans="1:2" x14ac:dyDescent="0.25">
      <c r="A19800" s="118"/>
      <c r="B19800" s="136"/>
    </row>
    <row r="19801" spans="1:2" x14ac:dyDescent="0.25">
      <c r="A19801" s="118"/>
      <c r="B19801" s="136"/>
    </row>
    <row r="19802" spans="1:2" x14ac:dyDescent="0.25">
      <c r="A19802" s="118"/>
      <c r="B19802" s="136"/>
    </row>
    <row r="19803" spans="1:2" x14ac:dyDescent="0.25">
      <c r="A19803" s="118"/>
      <c r="B19803" s="136"/>
    </row>
    <row r="19804" spans="1:2" x14ac:dyDescent="0.25">
      <c r="A19804" s="118"/>
      <c r="B19804" s="136"/>
    </row>
    <row r="19805" spans="1:2" x14ac:dyDescent="0.25">
      <c r="A19805" s="118"/>
      <c r="B19805" s="136"/>
    </row>
    <row r="19806" spans="1:2" x14ac:dyDescent="0.25">
      <c r="A19806" s="118"/>
      <c r="B19806" s="136"/>
    </row>
    <row r="19807" spans="1:2" x14ac:dyDescent="0.25">
      <c r="A19807" s="118"/>
      <c r="B19807" s="136"/>
    </row>
    <row r="19808" spans="1:2" x14ac:dyDescent="0.25">
      <c r="A19808" s="118"/>
      <c r="B19808" s="136"/>
    </row>
    <row r="19809" spans="1:2" x14ac:dyDescent="0.25">
      <c r="A19809" s="118"/>
      <c r="B19809" s="136"/>
    </row>
    <row r="19810" spans="1:2" x14ac:dyDescent="0.25">
      <c r="A19810" s="118"/>
      <c r="B19810" s="136"/>
    </row>
    <row r="19811" spans="1:2" x14ac:dyDescent="0.25">
      <c r="A19811" s="118"/>
      <c r="B19811" s="136"/>
    </row>
    <row r="19812" spans="1:2" x14ac:dyDescent="0.25">
      <c r="A19812" s="118"/>
      <c r="B19812" s="136"/>
    </row>
    <row r="19813" spans="1:2" x14ac:dyDescent="0.25">
      <c r="A19813" s="118"/>
      <c r="B19813" s="136"/>
    </row>
    <row r="19814" spans="1:2" x14ac:dyDescent="0.25">
      <c r="A19814" s="118"/>
      <c r="B19814" s="136"/>
    </row>
    <row r="19815" spans="1:2" x14ac:dyDescent="0.25">
      <c r="A19815" s="118"/>
      <c r="B19815" s="136"/>
    </row>
    <row r="19816" spans="1:2" x14ac:dyDescent="0.25">
      <c r="A19816" s="118"/>
      <c r="B19816" s="136"/>
    </row>
    <row r="19817" spans="1:2" x14ac:dyDescent="0.25">
      <c r="A19817" s="118"/>
      <c r="B19817" s="136"/>
    </row>
    <row r="19818" spans="1:2" x14ac:dyDescent="0.25">
      <c r="A19818" s="118"/>
      <c r="B19818" s="136"/>
    </row>
    <row r="19819" spans="1:2" x14ac:dyDescent="0.25">
      <c r="A19819" s="118"/>
      <c r="B19819" s="136"/>
    </row>
    <row r="19820" spans="1:2" x14ac:dyDescent="0.25">
      <c r="A19820" s="118"/>
      <c r="B19820" s="136"/>
    </row>
    <row r="19821" spans="1:2" x14ac:dyDescent="0.25">
      <c r="A19821" s="118"/>
      <c r="B19821" s="136"/>
    </row>
    <row r="19822" spans="1:2" x14ac:dyDescent="0.25">
      <c r="A19822" s="118"/>
      <c r="B19822" s="136"/>
    </row>
    <row r="19823" spans="1:2" x14ac:dyDescent="0.25">
      <c r="A19823" s="118"/>
      <c r="B19823" s="136"/>
    </row>
    <row r="19824" spans="1:2" x14ac:dyDescent="0.25">
      <c r="A19824" s="118"/>
      <c r="B19824" s="136"/>
    </row>
    <row r="19825" spans="1:2" x14ac:dyDescent="0.25">
      <c r="A19825" s="118"/>
      <c r="B19825" s="136"/>
    </row>
    <row r="19826" spans="1:2" x14ac:dyDescent="0.25">
      <c r="A19826" s="118"/>
      <c r="B19826" s="136"/>
    </row>
    <row r="19827" spans="1:2" x14ac:dyDescent="0.25">
      <c r="A19827" s="118"/>
      <c r="B19827" s="136"/>
    </row>
    <row r="19828" spans="1:2" x14ac:dyDescent="0.25">
      <c r="A19828" s="118"/>
      <c r="B19828" s="136"/>
    </row>
    <row r="19829" spans="1:2" x14ac:dyDescent="0.25">
      <c r="A19829" s="118"/>
      <c r="B19829" s="136"/>
    </row>
    <row r="19830" spans="1:2" x14ac:dyDescent="0.25">
      <c r="A19830" s="118"/>
      <c r="B19830" s="136"/>
    </row>
    <row r="19831" spans="1:2" x14ac:dyDescent="0.25">
      <c r="A19831" s="118"/>
      <c r="B19831" s="136"/>
    </row>
    <row r="19832" spans="1:2" x14ac:dyDescent="0.25">
      <c r="A19832" s="118"/>
      <c r="B19832" s="136"/>
    </row>
    <row r="19833" spans="1:2" x14ac:dyDescent="0.25">
      <c r="A19833" s="118"/>
      <c r="B19833" s="136"/>
    </row>
    <row r="19834" spans="1:2" x14ac:dyDescent="0.25">
      <c r="A19834" s="118"/>
      <c r="B19834" s="136"/>
    </row>
    <row r="19835" spans="1:2" x14ac:dyDescent="0.25">
      <c r="A19835" s="118"/>
      <c r="B19835" s="136"/>
    </row>
    <row r="19836" spans="1:2" x14ac:dyDescent="0.25">
      <c r="A19836" s="118"/>
      <c r="B19836" s="136"/>
    </row>
    <row r="19837" spans="1:2" x14ac:dyDescent="0.25">
      <c r="A19837" s="118"/>
      <c r="B19837" s="136"/>
    </row>
    <row r="19838" spans="1:2" x14ac:dyDescent="0.25">
      <c r="A19838" s="118"/>
      <c r="B19838" s="136"/>
    </row>
    <row r="19839" spans="1:2" x14ac:dyDescent="0.25">
      <c r="A19839" s="118"/>
      <c r="B19839" s="136"/>
    </row>
    <row r="19840" spans="1:2" x14ac:dyDescent="0.25">
      <c r="A19840" s="118"/>
      <c r="B19840" s="136"/>
    </row>
    <row r="19841" spans="1:2" x14ac:dyDescent="0.25">
      <c r="A19841" s="118"/>
      <c r="B19841" s="136"/>
    </row>
    <row r="19842" spans="1:2" x14ac:dyDescent="0.25">
      <c r="A19842" s="118"/>
      <c r="B19842" s="136"/>
    </row>
    <row r="19843" spans="1:2" x14ac:dyDescent="0.25">
      <c r="A19843" s="118"/>
      <c r="B19843" s="136"/>
    </row>
    <row r="19844" spans="1:2" x14ac:dyDescent="0.25">
      <c r="A19844" s="118"/>
      <c r="B19844" s="136"/>
    </row>
    <row r="19845" spans="1:2" x14ac:dyDescent="0.25">
      <c r="A19845" s="118"/>
      <c r="B19845" s="136"/>
    </row>
    <row r="19846" spans="1:2" x14ac:dyDescent="0.25">
      <c r="A19846" s="118"/>
      <c r="B19846" s="136"/>
    </row>
    <row r="19847" spans="1:2" x14ac:dyDescent="0.25">
      <c r="A19847" s="118"/>
      <c r="B19847" s="136"/>
    </row>
    <row r="19848" spans="1:2" x14ac:dyDescent="0.25">
      <c r="A19848" s="118"/>
      <c r="B19848" s="136"/>
    </row>
    <row r="19849" spans="1:2" x14ac:dyDescent="0.25">
      <c r="A19849" s="118"/>
      <c r="B19849" s="136"/>
    </row>
    <row r="19850" spans="1:2" x14ac:dyDescent="0.25">
      <c r="A19850" s="118"/>
      <c r="B19850" s="136"/>
    </row>
    <row r="19851" spans="1:2" x14ac:dyDescent="0.25">
      <c r="A19851" s="118"/>
      <c r="B19851" s="136"/>
    </row>
    <row r="19852" spans="1:2" x14ac:dyDescent="0.25">
      <c r="A19852" s="118"/>
      <c r="B19852" s="136"/>
    </row>
    <row r="19853" spans="1:2" x14ac:dyDescent="0.25">
      <c r="A19853" s="118"/>
      <c r="B19853" s="136"/>
    </row>
    <row r="19854" spans="1:2" x14ac:dyDescent="0.25">
      <c r="A19854" s="118"/>
      <c r="B19854" s="136"/>
    </row>
    <row r="19855" spans="1:2" x14ac:dyDescent="0.25">
      <c r="A19855" s="118"/>
      <c r="B19855" s="136"/>
    </row>
    <row r="19856" spans="1:2" x14ac:dyDescent="0.25">
      <c r="A19856" s="118"/>
      <c r="B19856" s="136"/>
    </row>
    <row r="19857" spans="1:2" x14ac:dyDescent="0.25">
      <c r="A19857" s="118"/>
      <c r="B19857" s="136"/>
    </row>
    <row r="19858" spans="1:2" x14ac:dyDescent="0.25">
      <c r="A19858" s="118"/>
      <c r="B19858" s="136"/>
    </row>
    <row r="19859" spans="1:2" x14ac:dyDescent="0.25">
      <c r="A19859" s="118"/>
      <c r="B19859" s="136"/>
    </row>
    <row r="19860" spans="1:2" x14ac:dyDescent="0.25">
      <c r="A19860" s="118"/>
      <c r="B19860" s="136"/>
    </row>
    <row r="19861" spans="1:2" x14ac:dyDescent="0.25">
      <c r="A19861" s="118"/>
      <c r="B19861" s="136"/>
    </row>
    <row r="19862" spans="1:2" x14ac:dyDescent="0.25">
      <c r="A19862" s="118"/>
      <c r="B19862" s="136"/>
    </row>
    <row r="19863" spans="1:2" x14ac:dyDescent="0.25">
      <c r="A19863" s="118"/>
      <c r="B19863" s="136"/>
    </row>
    <row r="19864" spans="1:2" x14ac:dyDescent="0.25">
      <c r="A19864" s="118"/>
      <c r="B19864" s="136"/>
    </row>
    <row r="19865" spans="1:2" x14ac:dyDescent="0.25">
      <c r="A19865" s="118"/>
      <c r="B19865" s="136"/>
    </row>
    <row r="19866" spans="1:2" x14ac:dyDescent="0.25">
      <c r="A19866" s="118"/>
      <c r="B19866" s="136"/>
    </row>
    <row r="19867" spans="1:2" x14ac:dyDescent="0.25">
      <c r="A19867" s="118"/>
      <c r="B19867" s="136"/>
    </row>
    <row r="19868" spans="1:2" x14ac:dyDescent="0.25">
      <c r="A19868" s="118"/>
      <c r="B19868" s="136"/>
    </row>
    <row r="19869" spans="1:2" x14ac:dyDescent="0.25">
      <c r="A19869" s="118"/>
      <c r="B19869" s="136"/>
    </row>
    <row r="19870" spans="1:2" x14ac:dyDescent="0.25">
      <c r="A19870" s="118"/>
      <c r="B19870" s="136"/>
    </row>
    <row r="19871" spans="1:2" x14ac:dyDescent="0.25">
      <c r="A19871" s="118"/>
      <c r="B19871" s="136"/>
    </row>
    <row r="19872" spans="1:2" x14ac:dyDescent="0.25">
      <c r="A19872" s="118"/>
      <c r="B19872" s="136"/>
    </row>
    <row r="19873" spans="1:2" x14ac:dyDescent="0.25">
      <c r="A19873" s="118"/>
      <c r="B19873" s="136"/>
    </row>
    <row r="19874" spans="1:2" x14ac:dyDescent="0.25">
      <c r="A19874" s="118"/>
      <c r="B19874" s="136"/>
    </row>
    <row r="19875" spans="1:2" x14ac:dyDescent="0.25">
      <c r="A19875" s="118"/>
      <c r="B19875" s="136"/>
    </row>
    <row r="19876" spans="1:2" x14ac:dyDescent="0.25">
      <c r="A19876" s="118"/>
      <c r="B19876" s="136"/>
    </row>
    <row r="19877" spans="1:2" x14ac:dyDescent="0.25">
      <c r="A19877" s="118"/>
      <c r="B19877" s="136"/>
    </row>
    <row r="19878" spans="1:2" x14ac:dyDescent="0.25">
      <c r="A19878" s="118"/>
      <c r="B19878" s="136"/>
    </row>
    <row r="19879" spans="1:2" x14ac:dyDescent="0.25">
      <c r="A19879" s="118"/>
      <c r="B19879" s="136"/>
    </row>
    <row r="19880" spans="1:2" x14ac:dyDescent="0.25">
      <c r="A19880" s="118"/>
      <c r="B19880" s="136"/>
    </row>
    <row r="19881" spans="1:2" x14ac:dyDescent="0.25">
      <c r="A19881" s="118"/>
      <c r="B19881" s="136"/>
    </row>
    <row r="19882" spans="1:2" x14ac:dyDescent="0.25">
      <c r="A19882" s="118"/>
      <c r="B19882" s="136"/>
    </row>
    <row r="19883" spans="1:2" x14ac:dyDescent="0.25">
      <c r="A19883" s="118"/>
      <c r="B19883" s="136"/>
    </row>
    <row r="19884" spans="1:2" x14ac:dyDescent="0.25">
      <c r="A19884" s="118"/>
      <c r="B19884" s="136"/>
    </row>
    <row r="19885" spans="1:2" x14ac:dyDescent="0.25">
      <c r="A19885" s="118"/>
      <c r="B19885" s="136"/>
    </row>
    <row r="19886" spans="1:2" x14ac:dyDescent="0.25">
      <c r="A19886" s="118"/>
      <c r="B19886" s="136"/>
    </row>
    <row r="19887" spans="1:2" x14ac:dyDescent="0.25">
      <c r="A19887" s="118"/>
      <c r="B19887" s="136"/>
    </row>
    <row r="19888" spans="1:2" x14ac:dyDescent="0.25">
      <c r="A19888" s="118"/>
      <c r="B19888" s="136"/>
    </row>
    <row r="19889" spans="1:2" x14ac:dyDescent="0.25">
      <c r="A19889" s="118"/>
      <c r="B19889" s="136"/>
    </row>
    <row r="19890" spans="1:2" x14ac:dyDescent="0.25">
      <c r="A19890" s="118"/>
      <c r="B19890" s="136"/>
    </row>
    <row r="19891" spans="1:2" x14ac:dyDescent="0.25">
      <c r="A19891" s="118"/>
      <c r="B19891" s="136"/>
    </row>
    <row r="19892" spans="1:2" x14ac:dyDescent="0.25">
      <c r="A19892" s="118"/>
      <c r="B19892" s="136"/>
    </row>
    <row r="19893" spans="1:2" x14ac:dyDescent="0.25">
      <c r="A19893" s="118"/>
      <c r="B19893" s="136"/>
    </row>
    <row r="19894" spans="1:2" x14ac:dyDescent="0.25">
      <c r="A19894" s="118"/>
      <c r="B19894" s="136"/>
    </row>
    <row r="19895" spans="1:2" x14ac:dyDescent="0.25">
      <c r="A19895" s="118"/>
      <c r="B19895" s="136"/>
    </row>
    <row r="19896" spans="1:2" x14ac:dyDescent="0.25">
      <c r="A19896" s="118"/>
      <c r="B19896" s="136"/>
    </row>
    <row r="19897" spans="1:2" x14ac:dyDescent="0.25">
      <c r="A19897" s="118"/>
      <c r="B19897" s="136"/>
    </row>
    <row r="19898" spans="1:2" x14ac:dyDescent="0.25">
      <c r="A19898" s="118"/>
      <c r="B19898" s="136"/>
    </row>
    <row r="19899" spans="1:2" x14ac:dyDescent="0.25">
      <c r="A19899" s="118"/>
      <c r="B19899" s="136"/>
    </row>
    <row r="19900" spans="1:2" x14ac:dyDescent="0.25">
      <c r="A19900" s="118"/>
      <c r="B19900" s="136"/>
    </row>
    <row r="19901" spans="1:2" x14ac:dyDescent="0.25">
      <c r="A19901" s="118"/>
      <c r="B19901" s="136"/>
    </row>
    <row r="19902" spans="1:2" x14ac:dyDescent="0.25">
      <c r="A19902" s="118"/>
      <c r="B19902" s="136"/>
    </row>
    <row r="19903" spans="1:2" x14ac:dyDescent="0.25">
      <c r="A19903" s="118"/>
      <c r="B19903" s="136"/>
    </row>
    <row r="19904" spans="1:2" x14ac:dyDescent="0.25">
      <c r="A19904" s="118"/>
      <c r="B19904" s="136"/>
    </row>
    <row r="19905" spans="1:2" x14ac:dyDescent="0.25">
      <c r="A19905" s="118"/>
      <c r="B19905" s="136"/>
    </row>
    <row r="19906" spans="1:2" x14ac:dyDescent="0.25">
      <c r="A19906" s="118"/>
      <c r="B19906" s="136"/>
    </row>
    <row r="19907" spans="1:2" x14ac:dyDescent="0.25">
      <c r="A19907" s="118"/>
      <c r="B19907" s="136"/>
    </row>
    <row r="19908" spans="1:2" x14ac:dyDescent="0.25">
      <c r="A19908" s="118"/>
      <c r="B19908" s="136"/>
    </row>
    <row r="19909" spans="1:2" x14ac:dyDescent="0.25">
      <c r="A19909" s="118"/>
      <c r="B19909" s="136"/>
    </row>
    <row r="19910" spans="1:2" x14ac:dyDescent="0.25">
      <c r="A19910" s="118"/>
      <c r="B19910" s="136"/>
    </row>
    <row r="19911" spans="1:2" x14ac:dyDescent="0.25">
      <c r="A19911" s="118"/>
      <c r="B19911" s="136"/>
    </row>
    <row r="19912" spans="1:2" x14ac:dyDescent="0.25">
      <c r="A19912" s="118"/>
      <c r="B19912" s="136"/>
    </row>
    <row r="19913" spans="1:2" x14ac:dyDescent="0.25">
      <c r="A19913" s="118"/>
      <c r="B19913" s="136"/>
    </row>
    <row r="19914" spans="1:2" x14ac:dyDescent="0.25">
      <c r="A19914" s="118"/>
      <c r="B19914" s="136"/>
    </row>
    <row r="19915" spans="1:2" x14ac:dyDescent="0.25">
      <c r="A19915" s="118"/>
      <c r="B19915" s="136"/>
    </row>
    <row r="19916" spans="1:2" x14ac:dyDescent="0.25">
      <c r="A19916" s="118"/>
      <c r="B19916" s="136"/>
    </row>
    <row r="19917" spans="1:2" x14ac:dyDescent="0.25">
      <c r="A19917" s="118"/>
      <c r="B19917" s="136"/>
    </row>
    <row r="19918" spans="1:2" x14ac:dyDescent="0.25">
      <c r="A19918" s="118"/>
      <c r="B19918" s="136"/>
    </row>
    <row r="19919" spans="1:2" x14ac:dyDescent="0.25">
      <c r="A19919" s="118"/>
      <c r="B19919" s="136"/>
    </row>
    <row r="19920" spans="1:2" x14ac:dyDescent="0.25">
      <c r="A19920" s="118"/>
      <c r="B19920" s="136"/>
    </row>
    <row r="19921" spans="1:2" x14ac:dyDescent="0.25">
      <c r="A19921" s="118"/>
      <c r="B19921" s="136"/>
    </row>
    <row r="19922" spans="1:2" x14ac:dyDescent="0.25">
      <c r="A19922" s="118"/>
      <c r="B19922" s="136"/>
    </row>
    <row r="19923" spans="1:2" x14ac:dyDescent="0.25">
      <c r="A19923" s="118"/>
      <c r="B19923" s="136"/>
    </row>
    <row r="19924" spans="1:2" x14ac:dyDescent="0.25">
      <c r="A19924" s="118"/>
      <c r="B19924" s="136"/>
    </row>
    <row r="19925" spans="1:2" x14ac:dyDescent="0.25">
      <c r="A19925" s="118"/>
      <c r="B19925" s="136"/>
    </row>
    <row r="19926" spans="1:2" x14ac:dyDescent="0.25">
      <c r="A19926" s="118"/>
      <c r="B19926" s="136"/>
    </row>
    <row r="19927" spans="1:2" x14ac:dyDescent="0.25">
      <c r="A19927" s="118"/>
      <c r="B19927" s="136"/>
    </row>
    <row r="19928" spans="1:2" x14ac:dyDescent="0.25">
      <c r="A19928" s="118"/>
      <c r="B19928" s="136"/>
    </row>
    <row r="19929" spans="1:2" x14ac:dyDescent="0.25">
      <c r="A19929" s="118"/>
      <c r="B19929" s="136"/>
    </row>
    <row r="19930" spans="1:2" x14ac:dyDescent="0.25">
      <c r="A19930" s="118"/>
      <c r="B19930" s="136"/>
    </row>
    <row r="19931" spans="1:2" x14ac:dyDescent="0.25">
      <c r="A19931" s="118"/>
      <c r="B19931" s="136"/>
    </row>
    <row r="19932" spans="1:2" x14ac:dyDescent="0.25">
      <c r="A19932" s="118"/>
      <c r="B19932" s="136"/>
    </row>
    <row r="19933" spans="1:2" x14ac:dyDescent="0.25">
      <c r="A19933" s="118"/>
      <c r="B19933" s="136"/>
    </row>
    <row r="19934" spans="1:2" x14ac:dyDescent="0.25">
      <c r="A19934" s="118"/>
      <c r="B19934" s="136"/>
    </row>
    <row r="19935" spans="1:2" x14ac:dyDescent="0.25">
      <c r="A19935" s="118"/>
      <c r="B19935" s="136"/>
    </row>
    <row r="19936" spans="1:2" x14ac:dyDescent="0.25">
      <c r="A19936" s="118"/>
      <c r="B19936" s="136"/>
    </row>
    <row r="19937" spans="1:2" x14ac:dyDescent="0.25">
      <c r="A19937" s="118"/>
      <c r="B19937" s="136"/>
    </row>
    <row r="19938" spans="1:2" x14ac:dyDescent="0.25">
      <c r="A19938" s="118"/>
      <c r="B19938" s="136"/>
    </row>
    <row r="19939" spans="1:2" x14ac:dyDescent="0.25">
      <c r="A19939" s="118"/>
      <c r="B19939" s="136"/>
    </row>
    <row r="19940" spans="1:2" x14ac:dyDescent="0.25">
      <c r="A19940" s="118"/>
      <c r="B19940" s="136"/>
    </row>
    <row r="19941" spans="1:2" x14ac:dyDescent="0.25">
      <c r="A19941" s="118"/>
      <c r="B19941" s="136"/>
    </row>
    <row r="19942" spans="1:2" x14ac:dyDescent="0.25">
      <c r="A19942" s="118"/>
      <c r="B19942" s="136"/>
    </row>
    <row r="19943" spans="1:2" x14ac:dyDescent="0.25">
      <c r="A19943" s="118"/>
      <c r="B19943" s="136"/>
    </row>
    <row r="19944" spans="1:2" x14ac:dyDescent="0.25">
      <c r="A19944" s="118"/>
      <c r="B19944" s="136"/>
    </row>
    <row r="19945" spans="1:2" x14ac:dyDescent="0.25">
      <c r="A19945" s="118"/>
      <c r="B19945" s="136"/>
    </row>
    <row r="19946" spans="1:2" x14ac:dyDescent="0.25">
      <c r="A19946" s="118"/>
      <c r="B19946" s="136"/>
    </row>
    <row r="19947" spans="1:2" x14ac:dyDescent="0.25">
      <c r="A19947" s="118"/>
      <c r="B19947" s="136"/>
    </row>
    <row r="19948" spans="1:2" x14ac:dyDescent="0.25">
      <c r="A19948" s="118"/>
      <c r="B19948" s="136"/>
    </row>
    <row r="19949" spans="1:2" x14ac:dyDescent="0.25">
      <c r="A19949" s="118"/>
      <c r="B19949" s="136"/>
    </row>
    <row r="19950" spans="1:2" x14ac:dyDescent="0.25">
      <c r="A19950" s="118"/>
      <c r="B19950" s="136"/>
    </row>
    <row r="19951" spans="1:2" x14ac:dyDescent="0.25">
      <c r="A19951" s="118"/>
      <c r="B19951" s="136"/>
    </row>
    <row r="19952" spans="1:2" x14ac:dyDescent="0.25">
      <c r="A19952" s="118"/>
      <c r="B19952" s="136"/>
    </row>
    <row r="19953" spans="1:2" x14ac:dyDescent="0.25">
      <c r="A19953" s="118"/>
      <c r="B19953" s="136"/>
    </row>
    <row r="19954" spans="1:2" x14ac:dyDescent="0.25">
      <c r="A19954" s="118"/>
      <c r="B19954" s="136"/>
    </row>
    <row r="19955" spans="1:2" x14ac:dyDescent="0.25">
      <c r="A19955" s="118"/>
      <c r="B19955" s="136"/>
    </row>
    <row r="19956" spans="1:2" x14ac:dyDescent="0.25">
      <c r="A19956" s="118"/>
      <c r="B19956" s="136"/>
    </row>
    <row r="19957" spans="1:2" x14ac:dyDescent="0.25">
      <c r="A19957" s="118"/>
      <c r="B19957" s="136"/>
    </row>
    <row r="19958" spans="1:2" x14ac:dyDescent="0.25">
      <c r="A19958" s="118"/>
      <c r="B19958" s="136"/>
    </row>
    <row r="19959" spans="1:2" x14ac:dyDescent="0.25">
      <c r="A19959" s="118"/>
      <c r="B19959" s="136"/>
    </row>
    <row r="19960" spans="1:2" x14ac:dyDescent="0.25">
      <c r="A19960" s="118"/>
      <c r="B19960" s="136"/>
    </row>
    <row r="19961" spans="1:2" x14ac:dyDescent="0.25">
      <c r="A19961" s="118"/>
      <c r="B19961" s="136"/>
    </row>
    <row r="19962" spans="1:2" x14ac:dyDescent="0.25">
      <c r="A19962" s="118"/>
      <c r="B19962" s="136"/>
    </row>
    <row r="19963" spans="1:2" x14ac:dyDescent="0.25">
      <c r="A19963" s="118"/>
      <c r="B19963" s="136"/>
    </row>
    <row r="19964" spans="1:2" x14ac:dyDescent="0.25">
      <c r="A19964" s="118"/>
      <c r="B19964" s="136"/>
    </row>
    <row r="19965" spans="1:2" x14ac:dyDescent="0.25">
      <c r="A19965" s="118"/>
      <c r="B19965" s="136"/>
    </row>
    <row r="19966" spans="1:2" x14ac:dyDescent="0.25">
      <c r="A19966" s="118"/>
      <c r="B19966" s="136"/>
    </row>
    <row r="19967" spans="1:2" x14ac:dyDescent="0.25">
      <c r="A19967" s="118"/>
      <c r="B19967" s="136"/>
    </row>
    <row r="19968" spans="1:2" x14ac:dyDescent="0.25">
      <c r="A19968" s="118"/>
      <c r="B19968" s="136"/>
    </row>
    <row r="19969" spans="1:2" x14ac:dyDescent="0.25">
      <c r="A19969" s="118"/>
      <c r="B19969" s="136"/>
    </row>
    <row r="19970" spans="1:2" x14ac:dyDescent="0.25">
      <c r="A19970" s="118"/>
      <c r="B19970" s="136"/>
    </row>
    <row r="19971" spans="1:2" x14ac:dyDescent="0.25">
      <c r="A19971" s="118"/>
      <c r="B19971" s="136"/>
    </row>
    <row r="19972" spans="1:2" x14ac:dyDescent="0.25">
      <c r="A19972" s="118"/>
      <c r="B19972" s="136"/>
    </row>
    <row r="19973" spans="1:2" x14ac:dyDescent="0.25">
      <c r="A19973" s="118"/>
      <c r="B19973" s="136"/>
    </row>
    <row r="19974" spans="1:2" x14ac:dyDescent="0.25">
      <c r="A19974" s="118"/>
      <c r="B19974" s="136"/>
    </row>
    <row r="19975" spans="1:2" x14ac:dyDescent="0.25">
      <c r="A19975" s="118"/>
      <c r="B19975" s="136"/>
    </row>
    <row r="19976" spans="1:2" x14ac:dyDescent="0.25">
      <c r="A19976" s="118"/>
      <c r="B19976" s="136"/>
    </row>
    <row r="19977" spans="1:2" x14ac:dyDescent="0.25">
      <c r="A19977" s="118"/>
      <c r="B19977" s="136"/>
    </row>
    <row r="19978" spans="1:2" x14ac:dyDescent="0.25">
      <c r="A19978" s="118"/>
      <c r="B19978" s="136"/>
    </row>
    <row r="19979" spans="1:2" x14ac:dyDescent="0.25">
      <c r="A19979" s="118"/>
      <c r="B19979" s="136"/>
    </row>
    <row r="19980" spans="1:2" x14ac:dyDescent="0.25">
      <c r="A19980" s="118"/>
      <c r="B19980" s="136"/>
    </row>
    <row r="19981" spans="1:2" x14ac:dyDescent="0.25">
      <c r="A19981" s="118"/>
      <c r="B19981" s="136"/>
    </row>
    <row r="19982" spans="1:2" x14ac:dyDescent="0.25">
      <c r="A19982" s="118"/>
      <c r="B19982" s="136"/>
    </row>
    <row r="19983" spans="1:2" x14ac:dyDescent="0.25">
      <c r="A19983" s="118"/>
      <c r="B19983" s="136"/>
    </row>
    <row r="19984" spans="1:2" x14ac:dyDescent="0.25">
      <c r="A19984" s="118"/>
      <c r="B19984" s="136"/>
    </row>
    <row r="19985" spans="1:2" x14ac:dyDescent="0.25">
      <c r="A19985" s="118"/>
      <c r="B19985" s="136"/>
    </row>
    <row r="19986" spans="1:2" x14ac:dyDescent="0.25">
      <c r="A19986" s="118"/>
      <c r="B19986" s="136"/>
    </row>
    <row r="19987" spans="1:2" x14ac:dyDescent="0.25">
      <c r="A19987" s="118"/>
      <c r="B19987" s="136"/>
    </row>
    <row r="19988" spans="1:2" x14ac:dyDescent="0.25">
      <c r="A19988" s="118"/>
      <c r="B19988" s="136"/>
    </row>
    <row r="19989" spans="1:2" x14ac:dyDescent="0.25">
      <c r="A19989" s="118"/>
      <c r="B19989" s="136"/>
    </row>
    <row r="19990" spans="1:2" x14ac:dyDescent="0.25">
      <c r="A19990" s="118"/>
      <c r="B19990" s="136"/>
    </row>
    <row r="19991" spans="1:2" x14ac:dyDescent="0.25">
      <c r="A19991" s="118"/>
      <c r="B19991" s="136"/>
    </row>
    <row r="19992" spans="1:2" x14ac:dyDescent="0.25">
      <c r="A19992" s="118"/>
      <c r="B19992" s="136"/>
    </row>
    <row r="19993" spans="1:2" x14ac:dyDescent="0.25">
      <c r="A19993" s="118"/>
      <c r="B19993" s="136"/>
    </row>
    <row r="19994" spans="1:2" x14ac:dyDescent="0.25">
      <c r="A19994" s="118"/>
      <c r="B19994" s="136"/>
    </row>
    <row r="19995" spans="1:2" x14ac:dyDescent="0.25">
      <c r="A19995" s="118"/>
      <c r="B19995" s="136"/>
    </row>
    <row r="19996" spans="1:2" x14ac:dyDescent="0.25">
      <c r="A19996" s="118"/>
      <c r="B19996" s="136"/>
    </row>
    <row r="19997" spans="1:2" x14ac:dyDescent="0.25">
      <c r="A19997" s="118"/>
      <c r="B19997" s="136"/>
    </row>
    <row r="19998" spans="1:2" x14ac:dyDescent="0.25">
      <c r="A19998" s="118"/>
      <c r="B19998" s="136"/>
    </row>
    <row r="19999" spans="1:2" x14ac:dyDescent="0.25">
      <c r="A19999" s="118"/>
      <c r="B19999" s="136"/>
    </row>
    <row r="20000" spans="1:2" x14ac:dyDescent="0.25">
      <c r="A20000" s="118"/>
      <c r="B20000" s="136"/>
    </row>
    <row r="20001" spans="1:2" x14ac:dyDescent="0.25">
      <c r="A20001" s="118"/>
      <c r="B20001" s="136"/>
    </row>
    <row r="20002" spans="1:2" x14ac:dyDescent="0.25">
      <c r="A20002" s="118"/>
      <c r="B20002" s="136"/>
    </row>
    <row r="20003" spans="1:2" x14ac:dyDescent="0.25">
      <c r="A20003" s="118"/>
      <c r="B20003" s="136"/>
    </row>
    <row r="20004" spans="1:2" x14ac:dyDescent="0.25">
      <c r="A20004" s="118"/>
      <c r="B20004" s="136"/>
    </row>
    <row r="20005" spans="1:2" x14ac:dyDescent="0.25">
      <c r="A20005" s="118"/>
      <c r="B20005" s="136"/>
    </row>
    <row r="20006" spans="1:2" x14ac:dyDescent="0.25">
      <c r="A20006" s="118"/>
      <c r="B20006" s="136"/>
    </row>
    <row r="20007" spans="1:2" x14ac:dyDescent="0.25">
      <c r="A20007" s="118"/>
      <c r="B20007" s="136"/>
    </row>
    <row r="20008" spans="1:2" x14ac:dyDescent="0.25">
      <c r="A20008" s="118"/>
      <c r="B20008" s="136"/>
    </row>
    <row r="20009" spans="1:2" x14ac:dyDescent="0.25">
      <c r="A20009" s="118"/>
      <c r="B20009" s="136"/>
    </row>
    <row r="20010" spans="1:2" x14ac:dyDescent="0.25">
      <c r="A20010" s="118"/>
      <c r="B20010" s="136"/>
    </row>
    <row r="20011" spans="1:2" x14ac:dyDescent="0.25">
      <c r="A20011" s="118"/>
      <c r="B20011" s="136"/>
    </row>
    <row r="20012" spans="1:2" x14ac:dyDescent="0.25">
      <c r="A20012" s="118"/>
      <c r="B20012" s="136"/>
    </row>
    <row r="20013" spans="1:2" x14ac:dyDescent="0.25">
      <c r="A20013" s="118"/>
      <c r="B20013" s="136"/>
    </row>
    <row r="20014" spans="1:2" x14ac:dyDescent="0.25">
      <c r="A20014" s="118"/>
      <c r="B20014" s="136"/>
    </row>
    <row r="20015" spans="1:2" x14ac:dyDescent="0.25">
      <c r="A20015" s="118"/>
      <c r="B20015" s="136"/>
    </row>
    <row r="20016" spans="1:2" x14ac:dyDescent="0.25">
      <c r="A20016" s="118"/>
      <c r="B20016" s="136"/>
    </row>
    <row r="20017" spans="1:2" x14ac:dyDescent="0.25">
      <c r="A20017" s="118"/>
      <c r="B20017" s="136"/>
    </row>
    <row r="20018" spans="1:2" x14ac:dyDescent="0.25">
      <c r="A20018" s="118"/>
      <c r="B20018" s="136"/>
    </row>
    <row r="20019" spans="1:2" x14ac:dyDescent="0.25">
      <c r="A20019" s="118"/>
      <c r="B20019" s="136"/>
    </row>
    <row r="20020" spans="1:2" x14ac:dyDescent="0.25">
      <c r="A20020" s="118"/>
      <c r="B20020" s="136"/>
    </row>
    <row r="20021" spans="1:2" x14ac:dyDescent="0.25">
      <c r="A20021" s="118"/>
      <c r="B20021" s="136"/>
    </row>
    <row r="20022" spans="1:2" x14ac:dyDescent="0.25">
      <c r="A20022" s="118"/>
      <c r="B20022" s="136"/>
    </row>
    <row r="20023" spans="1:2" x14ac:dyDescent="0.25">
      <c r="A20023" s="118"/>
      <c r="B20023" s="136"/>
    </row>
    <row r="20024" spans="1:2" x14ac:dyDescent="0.25">
      <c r="A20024" s="118"/>
      <c r="B20024" s="136"/>
    </row>
    <row r="20025" spans="1:2" x14ac:dyDescent="0.25">
      <c r="A20025" s="118"/>
      <c r="B20025" s="136"/>
    </row>
    <row r="20026" spans="1:2" x14ac:dyDescent="0.25">
      <c r="A20026" s="118"/>
      <c r="B20026" s="136"/>
    </row>
    <row r="20027" spans="1:2" x14ac:dyDescent="0.25">
      <c r="A20027" s="118"/>
      <c r="B20027" s="136"/>
    </row>
    <row r="20028" spans="1:2" x14ac:dyDescent="0.25">
      <c r="A20028" s="118"/>
      <c r="B20028" s="136"/>
    </row>
    <row r="20029" spans="1:2" x14ac:dyDescent="0.25">
      <c r="A20029" s="118"/>
      <c r="B20029" s="136"/>
    </row>
    <row r="20030" spans="1:2" x14ac:dyDescent="0.25">
      <c r="A20030" s="118"/>
      <c r="B20030" s="136"/>
    </row>
    <row r="20031" spans="1:2" x14ac:dyDescent="0.25">
      <c r="A20031" s="118"/>
      <c r="B20031" s="136"/>
    </row>
    <row r="20032" spans="1:2" x14ac:dyDescent="0.25">
      <c r="A20032" s="118"/>
      <c r="B20032" s="136"/>
    </row>
    <row r="20033" spans="1:2" x14ac:dyDescent="0.25">
      <c r="A20033" s="118"/>
      <c r="B20033" s="136"/>
    </row>
    <row r="20034" spans="1:2" x14ac:dyDescent="0.25">
      <c r="A20034" s="118"/>
      <c r="B20034" s="136"/>
    </row>
    <row r="20035" spans="1:2" x14ac:dyDescent="0.25">
      <c r="A20035" s="118"/>
      <c r="B20035" s="136"/>
    </row>
    <row r="20036" spans="1:2" x14ac:dyDescent="0.25">
      <c r="A20036" s="118"/>
      <c r="B20036" s="136"/>
    </row>
    <row r="20037" spans="1:2" x14ac:dyDescent="0.25">
      <c r="A20037" s="118"/>
      <c r="B20037" s="136"/>
    </row>
    <row r="20038" spans="1:2" x14ac:dyDescent="0.25">
      <c r="A20038" s="118"/>
      <c r="B20038" s="136"/>
    </row>
    <row r="20039" spans="1:2" x14ac:dyDescent="0.25">
      <c r="A20039" s="118"/>
      <c r="B20039" s="136"/>
    </row>
    <row r="20040" spans="1:2" x14ac:dyDescent="0.25">
      <c r="A20040" s="118"/>
      <c r="B20040" s="136"/>
    </row>
    <row r="20041" spans="1:2" x14ac:dyDescent="0.25">
      <c r="A20041" s="118"/>
      <c r="B20041" s="136"/>
    </row>
    <row r="20042" spans="1:2" x14ac:dyDescent="0.25">
      <c r="A20042" s="118"/>
      <c r="B20042" s="136"/>
    </row>
    <row r="20043" spans="1:2" x14ac:dyDescent="0.25">
      <c r="A20043" s="118"/>
      <c r="B20043" s="136"/>
    </row>
    <row r="20044" spans="1:2" x14ac:dyDescent="0.25">
      <c r="A20044" s="118"/>
      <c r="B20044" s="136"/>
    </row>
    <row r="20045" spans="1:2" x14ac:dyDescent="0.25">
      <c r="A20045" s="118"/>
      <c r="B20045" s="136"/>
    </row>
    <row r="20046" spans="1:2" x14ac:dyDescent="0.25">
      <c r="A20046" s="118"/>
      <c r="B20046" s="136"/>
    </row>
    <row r="20047" spans="1:2" x14ac:dyDescent="0.25">
      <c r="A20047" s="118"/>
      <c r="B20047" s="136"/>
    </row>
    <row r="20048" spans="1:2" x14ac:dyDescent="0.25">
      <c r="A20048" s="118"/>
      <c r="B20048" s="136"/>
    </row>
    <row r="20049" spans="1:2" x14ac:dyDescent="0.25">
      <c r="A20049" s="118"/>
      <c r="B20049" s="136"/>
    </row>
    <row r="20050" spans="1:2" x14ac:dyDescent="0.25">
      <c r="A20050" s="118"/>
      <c r="B20050" s="136"/>
    </row>
    <row r="20051" spans="1:2" x14ac:dyDescent="0.25">
      <c r="A20051" s="118"/>
      <c r="B20051" s="136"/>
    </row>
    <row r="20052" spans="1:2" x14ac:dyDescent="0.25">
      <c r="A20052" s="118"/>
      <c r="B20052" s="136"/>
    </row>
    <row r="20053" spans="1:2" x14ac:dyDescent="0.25">
      <c r="A20053" s="118"/>
      <c r="B20053" s="136"/>
    </row>
    <row r="20054" spans="1:2" x14ac:dyDescent="0.25">
      <c r="A20054" s="118"/>
      <c r="B20054" s="136"/>
    </row>
    <row r="20055" spans="1:2" x14ac:dyDescent="0.25">
      <c r="A20055" s="118"/>
      <c r="B20055" s="136"/>
    </row>
    <row r="20056" spans="1:2" x14ac:dyDescent="0.25">
      <c r="A20056" s="118"/>
      <c r="B20056" s="136"/>
    </row>
    <row r="20057" spans="1:2" x14ac:dyDescent="0.25">
      <c r="A20057" s="118"/>
      <c r="B20057" s="136"/>
    </row>
    <row r="20058" spans="1:2" x14ac:dyDescent="0.25">
      <c r="A20058" s="118"/>
      <c r="B20058" s="136"/>
    </row>
    <row r="20059" spans="1:2" x14ac:dyDescent="0.25">
      <c r="A20059" s="118"/>
      <c r="B20059" s="136"/>
    </row>
    <row r="20060" spans="1:2" x14ac:dyDescent="0.25">
      <c r="A20060" s="118"/>
      <c r="B20060" s="136"/>
    </row>
    <row r="20061" spans="1:2" x14ac:dyDescent="0.25">
      <c r="A20061" s="118"/>
      <c r="B20061" s="136"/>
    </row>
    <row r="20062" spans="1:2" x14ac:dyDescent="0.25">
      <c r="A20062" s="118"/>
      <c r="B20062" s="136"/>
    </row>
    <row r="20063" spans="1:2" x14ac:dyDescent="0.25">
      <c r="A20063" s="118"/>
      <c r="B20063" s="136"/>
    </row>
    <row r="20064" spans="1:2" x14ac:dyDescent="0.25">
      <c r="A20064" s="118"/>
      <c r="B20064" s="136"/>
    </row>
    <row r="20065" spans="1:2" x14ac:dyDescent="0.25">
      <c r="A20065" s="118"/>
      <c r="B20065" s="136"/>
    </row>
    <row r="20066" spans="1:2" x14ac:dyDescent="0.25">
      <c r="A20066" s="118"/>
      <c r="B20066" s="136"/>
    </row>
    <row r="20067" spans="1:2" x14ac:dyDescent="0.25">
      <c r="A20067" s="118"/>
      <c r="B20067" s="136"/>
    </row>
    <row r="20068" spans="1:2" x14ac:dyDescent="0.25">
      <c r="A20068" s="118"/>
      <c r="B20068" s="136"/>
    </row>
    <row r="20069" spans="1:2" x14ac:dyDescent="0.25">
      <c r="A20069" s="118"/>
      <c r="B20069" s="136"/>
    </row>
    <row r="20070" spans="1:2" x14ac:dyDescent="0.25">
      <c r="A20070" s="118"/>
      <c r="B20070" s="136"/>
    </row>
    <row r="20071" spans="1:2" x14ac:dyDescent="0.25">
      <c r="A20071" s="118"/>
      <c r="B20071" s="136"/>
    </row>
    <row r="20072" spans="1:2" x14ac:dyDescent="0.25">
      <c r="A20072" s="118"/>
      <c r="B20072" s="136"/>
    </row>
    <row r="20073" spans="1:2" x14ac:dyDescent="0.25">
      <c r="A20073" s="118"/>
      <c r="B20073" s="136"/>
    </row>
    <row r="20074" spans="1:2" x14ac:dyDescent="0.25">
      <c r="A20074" s="118"/>
      <c r="B20074" s="136"/>
    </row>
    <row r="20075" spans="1:2" x14ac:dyDescent="0.25">
      <c r="A20075" s="118"/>
      <c r="B20075" s="136"/>
    </row>
    <row r="20076" spans="1:2" x14ac:dyDescent="0.25">
      <c r="A20076" s="118"/>
      <c r="B20076" s="136"/>
    </row>
    <row r="20077" spans="1:2" x14ac:dyDescent="0.25">
      <c r="A20077" s="118"/>
      <c r="B20077" s="136"/>
    </row>
    <row r="20078" spans="1:2" x14ac:dyDescent="0.25">
      <c r="A20078" s="118"/>
      <c r="B20078" s="136"/>
    </row>
    <row r="20079" spans="1:2" x14ac:dyDescent="0.25">
      <c r="A20079" s="118"/>
      <c r="B20079" s="136"/>
    </row>
    <row r="20080" spans="1:2" x14ac:dyDescent="0.25">
      <c r="A20080" s="118"/>
      <c r="B20080" s="136"/>
    </row>
    <row r="20081" spans="1:2" x14ac:dyDescent="0.25">
      <c r="A20081" s="118"/>
      <c r="B20081" s="136"/>
    </row>
    <row r="20082" spans="1:2" x14ac:dyDescent="0.25">
      <c r="A20082" s="118"/>
      <c r="B20082" s="136"/>
    </row>
    <row r="20083" spans="1:2" x14ac:dyDescent="0.25">
      <c r="A20083" s="118"/>
      <c r="B20083" s="136"/>
    </row>
    <row r="20084" spans="1:2" x14ac:dyDescent="0.25">
      <c r="A20084" s="118"/>
      <c r="B20084" s="136"/>
    </row>
    <row r="20085" spans="1:2" x14ac:dyDescent="0.25">
      <c r="A20085" s="118"/>
      <c r="B20085" s="136"/>
    </row>
    <row r="20086" spans="1:2" x14ac:dyDescent="0.25">
      <c r="A20086" s="118"/>
      <c r="B20086" s="136"/>
    </row>
    <row r="20087" spans="1:2" x14ac:dyDescent="0.25">
      <c r="A20087" s="118"/>
      <c r="B20087" s="136"/>
    </row>
    <row r="20088" spans="1:2" x14ac:dyDescent="0.25">
      <c r="A20088" s="118"/>
      <c r="B20088" s="136"/>
    </row>
    <row r="20089" spans="1:2" x14ac:dyDescent="0.25">
      <c r="A20089" s="118"/>
      <c r="B20089" s="136"/>
    </row>
    <row r="20090" spans="1:2" x14ac:dyDescent="0.25">
      <c r="A20090" s="118"/>
      <c r="B20090" s="136"/>
    </row>
    <row r="20091" spans="1:2" x14ac:dyDescent="0.25">
      <c r="A20091" s="118"/>
      <c r="B20091" s="136"/>
    </row>
    <row r="20092" spans="1:2" x14ac:dyDescent="0.25">
      <c r="A20092" s="118"/>
      <c r="B20092" s="136"/>
    </row>
    <row r="20093" spans="1:2" x14ac:dyDescent="0.25">
      <c r="A20093" s="118"/>
      <c r="B20093" s="136"/>
    </row>
    <row r="20094" spans="1:2" x14ac:dyDescent="0.25">
      <c r="A20094" s="118"/>
      <c r="B20094" s="136"/>
    </row>
    <row r="20095" spans="1:2" x14ac:dyDescent="0.25">
      <c r="A20095" s="118"/>
      <c r="B20095" s="136"/>
    </row>
    <row r="20096" spans="1:2" x14ac:dyDescent="0.25">
      <c r="A20096" s="118"/>
      <c r="B20096" s="136"/>
    </row>
    <row r="20097" spans="1:2" x14ac:dyDescent="0.25">
      <c r="A20097" s="118"/>
      <c r="B20097" s="136"/>
    </row>
    <row r="20098" spans="1:2" x14ac:dyDescent="0.25">
      <c r="A20098" s="118"/>
      <c r="B20098" s="136"/>
    </row>
    <row r="20099" spans="1:2" x14ac:dyDescent="0.25">
      <c r="A20099" s="118"/>
      <c r="B20099" s="136"/>
    </row>
    <row r="20100" spans="1:2" x14ac:dyDescent="0.25">
      <c r="A20100" s="118"/>
      <c r="B20100" s="136"/>
    </row>
    <row r="20101" spans="1:2" x14ac:dyDescent="0.25">
      <c r="A20101" s="118"/>
      <c r="B20101" s="136"/>
    </row>
    <row r="20102" spans="1:2" x14ac:dyDescent="0.25">
      <c r="A20102" s="118"/>
      <c r="B20102" s="136"/>
    </row>
    <row r="20103" spans="1:2" x14ac:dyDescent="0.25">
      <c r="A20103" s="118"/>
      <c r="B20103" s="136"/>
    </row>
    <row r="20104" spans="1:2" x14ac:dyDescent="0.25">
      <c r="A20104" s="118"/>
      <c r="B20104" s="136"/>
    </row>
    <row r="20105" spans="1:2" x14ac:dyDescent="0.25">
      <c r="A20105" s="118"/>
      <c r="B20105" s="136"/>
    </row>
    <row r="20106" spans="1:2" x14ac:dyDescent="0.25">
      <c r="A20106" s="118"/>
      <c r="B20106" s="136"/>
    </row>
    <row r="20107" spans="1:2" x14ac:dyDescent="0.25">
      <c r="A20107" s="118"/>
      <c r="B20107" s="136"/>
    </row>
    <row r="20108" spans="1:2" x14ac:dyDescent="0.25">
      <c r="A20108" s="118"/>
      <c r="B20108" s="136"/>
    </row>
    <row r="20109" spans="1:2" x14ac:dyDescent="0.25">
      <c r="A20109" s="118"/>
      <c r="B20109" s="136"/>
    </row>
    <row r="20110" spans="1:2" x14ac:dyDescent="0.25">
      <c r="A20110" s="118"/>
      <c r="B20110" s="136"/>
    </row>
    <row r="20111" spans="1:2" x14ac:dyDescent="0.25">
      <c r="A20111" s="118"/>
      <c r="B20111" s="136"/>
    </row>
    <row r="20112" spans="1:2" x14ac:dyDescent="0.25">
      <c r="A20112" s="118"/>
      <c r="B20112" s="136"/>
    </row>
    <row r="20113" spans="1:2" x14ac:dyDescent="0.25">
      <c r="A20113" s="118"/>
      <c r="B20113" s="136"/>
    </row>
    <row r="20114" spans="1:2" x14ac:dyDescent="0.25">
      <c r="A20114" s="118"/>
      <c r="B20114" s="136"/>
    </row>
    <row r="20115" spans="1:2" x14ac:dyDescent="0.25">
      <c r="A20115" s="118"/>
      <c r="B20115" s="136"/>
    </row>
    <row r="20116" spans="1:2" x14ac:dyDescent="0.25">
      <c r="A20116" s="118"/>
      <c r="B20116" s="136"/>
    </row>
    <row r="20117" spans="1:2" x14ac:dyDescent="0.25">
      <c r="A20117" s="118"/>
      <c r="B20117" s="136"/>
    </row>
    <row r="20118" spans="1:2" x14ac:dyDescent="0.25">
      <c r="A20118" s="118"/>
      <c r="B20118" s="136"/>
    </row>
    <row r="20119" spans="1:2" x14ac:dyDescent="0.25">
      <c r="A20119" s="118"/>
      <c r="B20119" s="136"/>
    </row>
    <row r="20120" spans="1:2" x14ac:dyDescent="0.25">
      <c r="A20120" s="118"/>
      <c r="B20120" s="136"/>
    </row>
    <row r="20121" spans="1:2" x14ac:dyDescent="0.25">
      <c r="A20121" s="118"/>
      <c r="B20121" s="136"/>
    </row>
    <row r="20122" spans="1:2" x14ac:dyDescent="0.25">
      <c r="A20122" s="118"/>
      <c r="B20122" s="136"/>
    </row>
    <row r="20123" spans="1:2" x14ac:dyDescent="0.25">
      <c r="A20123" s="118"/>
      <c r="B20123" s="136"/>
    </row>
    <row r="20124" spans="1:2" x14ac:dyDescent="0.25">
      <c r="A20124" s="118"/>
      <c r="B20124" s="136"/>
    </row>
    <row r="20125" spans="1:2" x14ac:dyDescent="0.25">
      <c r="A20125" s="118"/>
      <c r="B20125" s="136"/>
    </row>
    <row r="20126" spans="1:2" x14ac:dyDescent="0.25">
      <c r="A20126" s="118"/>
      <c r="B20126" s="136"/>
    </row>
    <row r="20127" spans="1:2" x14ac:dyDescent="0.25">
      <c r="A20127" s="118"/>
      <c r="B20127" s="136"/>
    </row>
    <row r="20128" spans="1:2" x14ac:dyDescent="0.25">
      <c r="A20128" s="118"/>
      <c r="B20128" s="136"/>
    </row>
    <row r="20129" spans="1:2" x14ac:dyDescent="0.25">
      <c r="A20129" s="118"/>
      <c r="B20129" s="136"/>
    </row>
    <row r="20130" spans="1:2" x14ac:dyDescent="0.25">
      <c r="A20130" s="118"/>
      <c r="B20130" s="136"/>
    </row>
    <row r="20131" spans="1:2" x14ac:dyDescent="0.25">
      <c r="A20131" s="118"/>
      <c r="B20131" s="136"/>
    </row>
    <row r="20132" spans="1:2" x14ac:dyDescent="0.25">
      <c r="A20132" s="118"/>
      <c r="B20132" s="136"/>
    </row>
    <row r="20133" spans="1:2" x14ac:dyDescent="0.25">
      <c r="A20133" s="118"/>
      <c r="B20133" s="136"/>
    </row>
    <row r="20134" spans="1:2" x14ac:dyDescent="0.25">
      <c r="A20134" s="118"/>
      <c r="B20134" s="136"/>
    </row>
    <row r="20135" spans="1:2" x14ac:dyDescent="0.25">
      <c r="A20135" s="118"/>
      <c r="B20135" s="136"/>
    </row>
    <row r="20136" spans="1:2" x14ac:dyDescent="0.25">
      <c r="A20136" s="118"/>
      <c r="B20136" s="136"/>
    </row>
    <row r="20137" spans="1:2" x14ac:dyDescent="0.25">
      <c r="A20137" s="118"/>
      <c r="B20137" s="136"/>
    </row>
    <row r="20138" spans="1:2" x14ac:dyDescent="0.25">
      <c r="A20138" s="118"/>
      <c r="B20138" s="136"/>
    </row>
    <row r="20139" spans="1:2" x14ac:dyDescent="0.25">
      <c r="A20139" s="118"/>
      <c r="B20139" s="136"/>
    </row>
    <row r="20140" spans="1:2" x14ac:dyDescent="0.25">
      <c r="A20140" s="118"/>
      <c r="B20140" s="136"/>
    </row>
    <row r="20141" spans="1:2" x14ac:dyDescent="0.25">
      <c r="A20141" s="118"/>
      <c r="B20141" s="136"/>
    </row>
    <row r="20142" spans="1:2" x14ac:dyDescent="0.25">
      <c r="A20142" s="118"/>
      <c r="B20142" s="136"/>
    </row>
    <row r="20143" spans="1:2" x14ac:dyDescent="0.25">
      <c r="A20143" s="118"/>
      <c r="B20143" s="136"/>
    </row>
    <row r="20144" spans="1:2" x14ac:dyDescent="0.25">
      <c r="A20144" s="118"/>
      <c r="B20144" s="136"/>
    </row>
    <row r="20145" spans="1:2" x14ac:dyDescent="0.25">
      <c r="A20145" s="118"/>
      <c r="B20145" s="136"/>
    </row>
    <row r="20146" spans="1:2" x14ac:dyDescent="0.25">
      <c r="A20146" s="118"/>
      <c r="B20146" s="136"/>
    </row>
    <row r="20147" spans="1:2" x14ac:dyDescent="0.25">
      <c r="A20147" s="118"/>
      <c r="B20147" s="136"/>
    </row>
    <row r="20148" spans="1:2" x14ac:dyDescent="0.25">
      <c r="A20148" s="118"/>
      <c r="B20148" s="136"/>
    </row>
    <row r="20149" spans="1:2" x14ac:dyDescent="0.25">
      <c r="A20149" s="118"/>
      <c r="B20149" s="136"/>
    </row>
    <row r="20150" spans="1:2" x14ac:dyDescent="0.25">
      <c r="A20150" s="118"/>
      <c r="B20150" s="136"/>
    </row>
    <row r="20151" spans="1:2" x14ac:dyDescent="0.25">
      <c r="A20151" s="118"/>
      <c r="B20151" s="136"/>
    </row>
    <row r="20152" spans="1:2" x14ac:dyDescent="0.25">
      <c r="A20152" s="118"/>
      <c r="B20152" s="136"/>
    </row>
    <row r="20153" spans="1:2" x14ac:dyDescent="0.25">
      <c r="A20153" s="118"/>
      <c r="B20153" s="136"/>
    </row>
    <row r="20154" spans="1:2" x14ac:dyDescent="0.25">
      <c r="A20154" s="118"/>
      <c r="B20154" s="136"/>
    </row>
    <row r="20155" spans="1:2" x14ac:dyDescent="0.25">
      <c r="A20155" s="118"/>
      <c r="B20155" s="136"/>
    </row>
    <row r="20156" spans="1:2" x14ac:dyDescent="0.25">
      <c r="A20156" s="118"/>
      <c r="B20156" s="136"/>
    </row>
    <row r="20157" spans="1:2" x14ac:dyDescent="0.25">
      <c r="A20157" s="118"/>
      <c r="B20157" s="136"/>
    </row>
    <row r="20158" spans="1:2" x14ac:dyDescent="0.25">
      <c r="A20158" s="118"/>
      <c r="B20158" s="136"/>
    </row>
    <row r="20159" spans="1:2" x14ac:dyDescent="0.25">
      <c r="A20159" s="118"/>
      <c r="B20159" s="136"/>
    </row>
    <row r="20160" spans="1:2" x14ac:dyDescent="0.25">
      <c r="A20160" s="118"/>
      <c r="B20160" s="136"/>
    </row>
    <row r="20161" spans="1:2" x14ac:dyDescent="0.25">
      <c r="A20161" s="118"/>
      <c r="B20161" s="136"/>
    </row>
    <row r="20162" spans="1:2" x14ac:dyDescent="0.25">
      <c r="A20162" s="118"/>
      <c r="B20162" s="136"/>
    </row>
    <row r="20163" spans="1:2" x14ac:dyDescent="0.25">
      <c r="A20163" s="118"/>
      <c r="B20163" s="136"/>
    </row>
    <row r="20164" spans="1:2" x14ac:dyDescent="0.25">
      <c r="A20164" s="118"/>
      <c r="B20164" s="136"/>
    </row>
    <row r="20165" spans="1:2" x14ac:dyDescent="0.25">
      <c r="A20165" s="118"/>
      <c r="B20165" s="136"/>
    </row>
    <row r="20166" spans="1:2" x14ac:dyDescent="0.25">
      <c r="A20166" s="118"/>
      <c r="B20166" s="136"/>
    </row>
    <row r="20167" spans="1:2" x14ac:dyDescent="0.25">
      <c r="A20167" s="118"/>
      <c r="B20167" s="136"/>
    </row>
    <row r="20168" spans="1:2" x14ac:dyDescent="0.25">
      <c r="A20168" s="118"/>
      <c r="B20168" s="136"/>
    </row>
    <row r="20169" spans="1:2" x14ac:dyDescent="0.25">
      <c r="A20169" s="118"/>
      <c r="B20169" s="136"/>
    </row>
    <row r="20170" spans="1:2" x14ac:dyDescent="0.25">
      <c r="A20170" s="118"/>
      <c r="B20170" s="136"/>
    </row>
    <row r="20171" spans="1:2" x14ac:dyDescent="0.25">
      <c r="A20171" s="118"/>
      <c r="B20171" s="136"/>
    </row>
    <row r="20172" spans="1:2" x14ac:dyDescent="0.25">
      <c r="A20172" s="118"/>
      <c r="B20172" s="136"/>
    </row>
    <row r="20173" spans="1:2" x14ac:dyDescent="0.25">
      <c r="A20173" s="118"/>
      <c r="B20173" s="136"/>
    </row>
    <row r="20174" spans="1:2" x14ac:dyDescent="0.25">
      <c r="A20174" s="118"/>
      <c r="B20174" s="136"/>
    </row>
    <row r="20175" spans="1:2" x14ac:dyDescent="0.25">
      <c r="A20175" s="118"/>
      <c r="B20175" s="136"/>
    </row>
    <row r="20176" spans="1:2" x14ac:dyDescent="0.25">
      <c r="A20176" s="118"/>
      <c r="B20176" s="136"/>
    </row>
    <row r="20177" spans="1:2" x14ac:dyDescent="0.25">
      <c r="A20177" s="118"/>
      <c r="B20177" s="136"/>
    </row>
    <row r="20178" spans="1:2" x14ac:dyDescent="0.25">
      <c r="A20178" s="118"/>
      <c r="B20178" s="136"/>
    </row>
    <row r="20179" spans="1:2" x14ac:dyDescent="0.25">
      <c r="A20179" s="118"/>
      <c r="B20179" s="136"/>
    </row>
    <row r="20180" spans="1:2" x14ac:dyDescent="0.25">
      <c r="A20180" s="118"/>
      <c r="B20180" s="136"/>
    </row>
    <row r="20181" spans="1:2" x14ac:dyDescent="0.25">
      <c r="A20181" s="118"/>
      <c r="B20181" s="136"/>
    </row>
    <row r="20182" spans="1:2" x14ac:dyDescent="0.25">
      <c r="A20182" s="118"/>
      <c r="B20182" s="136"/>
    </row>
    <row r="20183" spans="1:2" x14ac:dyDescent="0.25">
      <c r="A20183" s="118"/>
      <c r="B20183" s="136"/>
    </row>
    <row r="20184" spans="1:2" x14ac:dyDescent="0.25">
      <c r="A20184" s="118"/>
      <c r="B20184" s="136"/>
    </row>
    <row r="20185" spans="1:2" x14ac:dyDescent="0.25">
      <c r="A20185" s="118"/>
      <c r="B20185" s="136"/>
    </row>
    <row r="20186" spans="1:2" x14ac:dyDescent="0.25">
      <c r="A20186" s="118"/>
      <c r="B20186" s="136"/>
    </row>
    <row r="20187" spans="1:2" x14ac:dyDescent="0.25">
      <c r="A20187" s="118"/>
      <c r="B20187" s="136"/>
    </row>
    <row r="20188" spans="1:2" x14ac:dyDescent="0.25">
      <c r="A20188" s="118"/>
      <c r="B20188" s="136"/>
    </row>
    <row r="20189" spans="1:2" x14ac:dyDescent="0.25">
      <c r="A20189" s="118"/>
      <c r="B20189" s="136"/>
    </row>
    <row r="20190" spans="1:2" x14ac:dyDescent="0.25">
      <c r="A20190" s="118"/>
      <c r="B20190" s="136"/>
    </row>
    <row r="20191" spans="1:2" x14ac:dyDescent="0.25">
      <c r="A20191" s="118"/>
      <c r="B20191" s="136"/>
    </row>
    <row r="20192" spans="1:2" x14ac:dyDescent="0.25">
      <c r="A20192" s="118"/>
      <c r="B20192" s="136"/>
    </row>
    <row r="20193" spans="1:2" x14ac:dyDescent="0.25">
      <c r="A20193" s="118"/>
      <c r="B20193" s="136"/>
    </row>
    <row r="20194" spans="1:2" x14ac:dyDescent="0.25">
      <c r="A20194" s="118"/>
      <c r="B20194" s="136"/>
    </row>
    <row r="20195" spans="1:2" x14ac:dyDescent="0.25">
      <c r="A20195" s="118"/>
      <c r="B20195" s="136"/>
    </row>
    <row r="20196" spans="1:2" x14ac:dyDescent="0.25">
      <c r="A20196" s="118"/>
      <c r="B20196" s="136"/>
    </row>
    <row r="20197" spans="1:2" x14ac:dyDescent="0.25">
      <c r="A20197" s="118"/>
      <c r="B20197" s="136"/>
    </row>
    <row r="20198" spans="1:2" x14ac:dyDescent="0.25">
      <c r="A20198" s="118"/>
      <c r="B20198" s="136"/>
    </row>
    <row r="20199" spans="1:2" x14ac:dyDescent="0.25">
      <c r="A20199" s="118"/>
      <c r="B20199" s="136"/>
    </row>
    <row r="20200" spans="1:2" x14ac:dyDescent="0.25">
      <c r="A20200" s="118"/>
      <c r="B20200" s="136"/>
    </row>
    <row r="20201" spans="1:2" x14ac:dyDescent="0.25">
      <c r="A20201" s="118"/>
      <c r="B20201" s="136"/>
    </row>
    <row r="20202" spans="1:2" x14ac:dyDescent="0.25">
      <c r="A20202" s="118"/>
      <c r="B20202" s="136"/>
    </row>
    <row r="20203" spans="1:2" x14ac:dyDescent="0.25">
      <c r="A20203" s="118"/>
      <c r="B20203" s="136"/>
    </row>
    <row r="20204" spans="1:2" x14ac:dyDescent="0.25">
      <c r="A20204" s="118"/>
      <c r="B20204" s="136"/>
    </row>
    <row r="20205" spans="1:2" x14ac:dyDescent="0.25">
      <c r="A20205" s="118"/>
      <c r="B20205" s="136"/>
    </row>
    <row r="20206" spans="1:2" x14ac:dyDescent="0.25">
      <c r="A20206" s="118"/>
      <c r="B20206" s="136"/>
    </row>
    <row r="20207" spans="1:2" x14ac:dyDescent="0.25">
      <c r="A20207" s="118"/>
      <c r="B20207" s="136"/>
    </row>
    <row r="20208" spans="1:2" x14ac:dyDescent="0.25">
      <c r="A20208" s="118"/>
      <c r="B20208" s="136"/>
    </row>
    <row r="20209" spans="1:2" x14ac:dyDescent="0.25">
      <c r="A20209" s="118"/>
      <c r="B20209" s="136"/>
    </row>
    <row r="20210" spans="1:2" x14ac:dyDescent="0.25">
      <c r="A20210" s="118"/>
      <c r="B20210" s="136"/>
    </row>
    <row r="20211" spans="1:2" x14ac:dyDescent="0.25">
      <c r="A20211" s="118"/>
      <c r="B20211" s="136"/>
    </row>
    <row r="20212" spans="1:2" x14ac:dyDescent="0.25">
      <c r="A20212" s="118"/>
      <c r="B20212" s="136"/>
    </row>
    <row r="20213" spans="1:2" x14ac:dyDescent="0.25">
      <c r="A20213" s="118"/>
      <c r="B20213" s="136"/>
    </row>
    <row r="20214" spans="1:2" x14ac:dyDescent="0.25">
      <c r="A20214" s="118"/>
      <c r="B20214" s="136"/>
    </row>
    <row r="20215" spans="1:2" x14ac:dyDescent="0.25">
      <c r="A20215" s="118"/>
      <c r="B20215" s="136"/>
    </row>
    <row r="20216" spans="1:2" x14ac:dyDescent="0.25">
      <c r="A20216" s="118"/>
      <c r="B20216" s="136"/>
    </row>
    <row r="20217" spans="1:2" x14ac:dyDescent="0.25">
      <c r="A20217" s="118"/>
      <c r="B20217" s="136"/>
    </row>
    <row r="20218" spans="1:2" x14ac:dyDescent="0.25">
      <c r="A20218" s="118"/>
      <c r="B20218" s="136"/>
    </row>
    <row r="20219" spans="1:2" x14ac:dyDescent="0.25">
      <c r="A20219" s="118"/>
      <c r="B20219" s="136"/>
    </row>
    <row r="20220" spans="1:2" x14ac:dyDescent="0.25">
      <c r="A20220" s="118"/>
      <c r="B20220" s="136"/>
    </row>
    <row r="20221" spans="1:2" x14ac:dyDescent="0.25">
      <c r="A20221" s="118"/>
      <c r="B20221" s="136"/>
    </row>
    <row r="20222" spans="1:2" x14ac:dyDescent="0.25">
      <c r="A20222" s="118"/>
      <c r="B20222" s="136"/>
    </row>
    <row r="20223" spans="1:2" x14ac:dyDescent="0.25">
      <c r="A20223" s="118"/>
      <c r="B20223" s="136"/>
    </row>
    <row r="20224" spans="1:2" x14ac:dyDescent="0.25">
      <c r="A20224" s="118"/>
      <c r="B20224" s="136"/>
    </row>
    <row r="20225" spans="1:2" x14ac:dyDescent="0.25">
      <c r="A20225" s="118"/>
      <c r="B20225" s="136"/>
    </row>
    <row r="20226" spans="1:2" x14ac:dyDescent="0.25">
      <c r="A20226" s="118"/>
      <c r="B20226" s="136"/>
    </row>
    <row r="20227" spans="1:2" x14ac:dyDescent="0.25">
      <c r="A20227" s="118"/>
      <c r="B20227" s="136"/>
    </row>
    <row r="20228" spans="1:2" x14ac:dyDescent="0.25">
      <c r="A20228" s="118"/>
      <c r="B20228" s="136"/>
    </row>
    <row r="20229" spans="1:2" x14ac:dyDescent="0.25">
      <c r="A20229" s="118"/>
      <c r="B20229" s="136"/>
    </row>
    <row r="20230" spans="1:2" x14ac:dyDescent="0.25">
      <c r="A20230" s="118"/>
      <c r="B20230" s="136"/>
    </row>
    <row r="20231" spans="1:2" x14ac:dyDescent="0.25">
      <c r="A20231" s="118"/>
      <c r="B20231" s="136"/>
    </row>
    <row r="20232" spans="1:2" x14ac:dyDescent="0.25">
      <c r="A20232" s="118"/>
      <c r="B20232" s="136"/>
    </row>
    <row r="20233" spans="1:2" x14ac:dyDescent="0.25">
      <c r="A20233" s="118"/>
      <c r="B20233" s="136"/>
    </row>
    <row r="20234" spans="1:2" x14ac:dyDescent="0.25">
      <c r="A20234" s="118"/>
      <c r="B20234" s="136"/>
    </row>
    <row r="20235" spans="1:2" x14ac:dyDescent="0.25">
      <c r="A20235" s="118"/>
      <c r="B20235" s="136"/>
    </row>
    <row r="20236" spans="1:2" x14ac:dyDescent="0.25">
      <c r="A20236" s="118"/>
      <c r="B20236" s="136"/>
    </row>
    <row r="20237" spans="1:2" x14ac:dyDescent="0.25">
      <c r="A20237" s="118"/>
      <c r="B20237" s="136"/>
    </row>
    <row r="20238" spans="1:2" x14ac:dyDescent="0.25">
      <c r="A20238" s="118"/>
      <c r="B20238" s="136"/>
    </row>
    <row r="20239" spans="1:2" x14ac:dyDescent="0.25">
      <c r="A20239" s="118"/>
      <c r="B20239" s="136"/>
    </row>
    <row r="20240" spans="1:2" x14ac:dyDescent="0.25">
      <c r="A20240" s="118"/>
      <c r="B20240" s="136"/>
    </row>
    <row r="20241" spans="1:2" x14ac:dyDescent="0.25">
      <c r="A20241" s="118"/>
      <c r="B20241" s="136"/>
    </row>
    <row r="20242" spans="1:2" x14ac:dyDescent="0.25">
      <c r="A20242" s="118"/>
      <c r="B20242" s="136"/>
    </row>
    <row r="20243" spans="1:2" x14ac:dyDescent="0.25">
      <c r="A20243" s="118"/>
      <c r="B20243" s="136"/>
    </row>
    <row r="20244" spans="1:2" x14ac:dyDescent="0.25">
      <c r="A20244" s="118"/>
      <c r="B20244" s="136"/>
    </row>
    <row r="20245" spans="1:2" x14ac:dyDescent="0.25">
      <c r="A20245" s="118"/>
      <c r="B20245" s="136"/>
    </row>
    <row r="20246" spans="1:2" x14ac:dyDescent="0.25">
      <c r="A20246" s="118"/>
      <c r="B20246" s="136"/>
    </row>
    <row r="20247" spans="1:2" x14ac:dyDescent="0.25">
      <c r="A20247" s="118"/>
      <c r="B20247" s="136"/>
    </row>
    <row r="20248" spans="1:2" x14ac:dyDescent="0.25">
      <c r="A20248" s="118"/>
      <c r="B20248" s="136"/>
    </row>
    <row r="20249" spans="1:2" x14ac:dyDescent="0.25">
      <c r="A20249" s="118"/>
      <c r="B20249" s="136"/>
    </row>
    <row r="20250" spans="1:2" x14ac:dyDescent="0.25">
      <c r="A20250" s="118"/>
      <c r="B20250" s="136"/>
    </row>
    <row r="20251" spans="1:2" x14ac:dyDescent="0.25">
      <c r="A20251" s="118"/>
      <c r="B20251" s="136"/>
    </row>
    <row r="20252" spans="1:2" x14ac:dyDescent="0.25">
      <c r="A20252" s="118"/>
      <c r="B20252" s="136"/>
    </row>
    <row r="20253" spans="1:2" x14ac:dyDescent="0.25">
      <c r="A20253" s="118"/>
      <c r="B20253" s="136"/>
    </row>
    <row r="20254" spans="1:2" x14ac:dyDescent="0.25">
      <c r="A20254" s="118"/>
      <c r="B20254" s="136"/>
    </row>
    <row r="20255" spans="1:2" x14ac:dyDescent="0.25">
      <c r="A20255" s="118"/>
      <c r="B20255" s="136"/>
    </row>
    <row r="20256" spans="1:2" x14ac:dyDescent="0.25">
      <c r="A20256" s="118"/>
      <c r="B20256" s="136"/>
    </row>
    <row r="20257" spans="1:2" x14ac:dyDescent="0.25">
      <c r="A20257" s="118"/>
      <c r="B20257" s="136"/>
    </row>
    <row r="20258" spans="1:2" x14ac:dyDescent="0.25">
      <c r="A20258" s="118"/>
      <c r="B20258" s="136"/>
    </row>
    <row r="20259" spans="1:2" x14ac:dyDescent="0.25">
      <c r="A20259" s="118"/>
      <c r="B20259" s="136"/>
    </row>
    <row r="20260" spans="1:2" x14ac:dyDescent="0.25">
      <c r="A20260" s="118"/>
      <c r="B20260" s="136"/>
    </row>
    <row r="20261" spans="1:2" x14ac:dyDescent="0.25">
      <c r="A20261" s="118"/>
      <c r="B20261" s="136"/>
    </row>
    <row r="20262" spans="1:2" x14ac:dyDescent="0.25">
      <c r="A20262" s="118"/>
      <c r="B20262" s="136"/>
    </row>
    <row r="20263" spans="1:2" x14ac:dyDescent="0.25">
      <c r="A20263" s="118"/>
      <c r="B20263" s="136"/>
    </row>
    <row r="20264" spans="1:2" x14ac:dyDescent="0.25">
      <c r="A20264" s="118"/>
      <c r="B20264" s="136"/>
    </row>
    <row r="20265" spans="1:2" x14ac:dyDescent="0.25">
      <c r="A20265" s="118"/>
      <c r="B20265" s="136"/>
    </row>
    <row r="20266" spans="1:2" x14ac:dyDescent="0.25">
      <c r="A20266" s="118"/>
      <c r="B20266" s="136"/>
    </row>
    <row r="20267" spans="1:2" x14ac:dyDescent="0.25">
      <c r="A20267" s="118"/>
      <c r="B20267" s="136"/>
    </row>
    <row r="20268" spans="1:2" x14ac:dyDescent="0.25">
      <c r="A20268" s="118"/>
      <c r="B20268" s="136"/>
    </row>
    <row r="20269" spans="1:2" x14ac:dyDescent="0.25">
      <c r="A20269" s="118"/>
      <c r="B20269" s="136"/>
    </row>
    <row r="20270" spans="1:2" x14ac:dyDescent="0.25">
      <c r="A20270" s="118"/>
      <c r="B20270" s="136"/>
    </row>
    <row r="20271" spans="1:2" x14ac:dyDescent="0.25">
      <c r="A20271" s="118"/>
      <c r="B20271" s="136"/>
    </row>
    <row r="20272" spans="1:2" x14ac:dyDescent="0.25">
      <c r="A20272" s="118"/>
      <c r="B20272" s="136"/>
    </row>
    <row r="20273" spans="1:2" x14ac:dyDescent="0.25">
      <c r="A20273" s="118"/>
      <c r="B20273" s="136"/>
    </row>
    <row r="20274" spans="1:2" x14ac:dyDescent="0.25">
      <c r="A20274" s="118"/>
      <c r="B20274" s="136"/>
    </row>
    <row r="20275" spans="1:2" x14ac:dyDescent="0.25">
      <c r="A20275" s="118"/>
      <c r="B20275" s="136"/>
    </row>
    <row r="20276" spans="1:2" x14ac:dyDescent="0.25">
      <c r="A20276" s="118"/>
      <c r="B20276" s="136"/>
    </row>
    <row r="20277" spans="1:2" x14ac:dyDescent="0.25">
      <c r="A20277" s="118"/>
      <c r="B20277" s="136"/>
    </row>
    <row r="20278" spans="1:2" x14ac:dyDescent="0.25">
      <c r="A20278" s="118"/>
      <c r="B20278" s="136"/>
    </row>
    <row r="20279" spans="1:2" x14ac:dyDescent="0.25">
      <c r="A20279" s="118"/>
      <c r="B20279" s="136"/>
    </row>
    <row r="20280" spans="1:2" x14ac:dyDescent="0.25">
      <c r="A20280" s="118"/>
      <c r="B20280" s="136"/>
    </row>
    <row r="20281" spans="1:2" x14ac:dyDescent="0.25">
      <c r="A20281" s="118"/>
      <c r="B20281" s="136"/>
    </row>
    <row r="20282" spans="1:2" x14ac:dyDescent="0.25">
      <c r="A20282" s="118"/>
      <c r="B20282" s="136"/>
    </row>
    <row r="20283" spans="1:2" x14ac:dyDescent="0.25">
      <c r="A20283" s="118"/>
      <c r="B20283" s="136"/>
    </row>
    <row r="20284" spans="1:2" x14ac:dyDescent="0.25">
      <c r="A20284" s="118"/>
      <c r="B20284" s="136"/>
    </row>
    <row r="20285" spans="1:2" x14ac:dyDescent="0.25">
      <c r="A20285" s="118"/>
      <c r="B20285" s="136"/>
    </row>
    <row r="20286" spans="1:2" x14ac:dyDescent="0.25">
      <c r="A20286" s="118"/>
      <c r="B20286" s="136"/>
    </row>
    <row r="20287" spans="1:2" x14ac:dyDescent="0.25">
      <c r="A20287" s="118"/>
      <c r="B20287" s="136"/>
    </row>
    <row r="20288" spans="1:2" x14ac:dyDescent="0.25">
      <c r="A20288" s="118"/>
      <c r="B20288" s="136"/>
    </row>
    <row r="20289" spans="1:2" x14ac:dyDescent="0.25">
      <c r="A20289" s="118"/>
      <c r="B20289" s="136"/>
    </row>
    <row r="20290" spans="1:2" x14ac:dyDescent="0.25">
      <c r="A20290" s="118"/>
      <c r="B20290" s="136"/>
    </row>
    <row r="20291" spans="1:2" x14ac:dyDescent="0.25">
      <c r="A20291" s="118"/>
      <c r="B20291" s="136"/>
    </row>
    <row r="20292" spans="1:2" x14ac:dyDescent="0.25">
      <c r="A20292" s="118"/>
      <c r="B20292" s="136"/>
    </row>
    <row r="20293" spans="1:2" x14ac:dyDescent="0.25">
      <c r="A20293" s="118"/>
      <c r="B20293" s="136"/>
    </row>
    <row r="20294" spans="1:2" x14ac:dyDescent="0.25">
      <c r="A20294" s="118"/>
      <c r="B20294" s="136"/>
    </row>
    <row r="20295" spans="1:2" x14ac:dyDescent="0.25">
      <c r="A20295" s="118"/>
      <c r="B20295" s="136"/>
    </row>
    <row r="20296" spans="1:2" x14ac:dyDescent="0.25">
      <c r="A20296" s="118"/>
      <c r="B20296" s="136"/>
    </row>
    <row r="20297" spans="1:2" x14ac:dyDescent="0.25">
      <c r="A20297" s="118"/>
      <c r="B20297" s="136"/>
    </row>
    <row r="20298" spans="1:2" x14ac:dyDescent="0.25">
      <c r="A20298" s="118"/>
      <c r="B20298" s="136"/>
    </row>
    <row r="20299" spans="1:2" x14ac:dyDescent="0.25">
      <c r="A20299" s="118"/>
      <c r="B20299" s="136"/>
    </row>
    <row r="20300" spans="1:2" x14ac:dyDescent="0.25">
      <c r="A20300" s="118"/>
      <c r="B20300" s="136"/>
    </row>
    <row r="20301" spans="1:2" x14ac:dyDescent="0.25">
      <c r="A20301" s="118"/>
      <c r="B20301" s="136"/>
    </row>
    <row r="20302" spans="1:2" x14ac:dyDescent="0.25">
      <c r="A20302" s="118"/>
      <c r="B20302" s="136"/>
    </row>
    <row r="20303" spans="1:2" x14ac:dyDescent="0.25">
      <c r="A20303" s="118"/>
      <c r="B20303" s="136"/>
    </row>
    <row r="20304" spans="1:2" x14ac:dyDescent="0.25">
      <c r="A20304" s="118"/>
      <c r="B20304" s="136"/>
    </row>
    <row r="20305" spans="1:2" x14ac:dyDescent="0.25">
      <c r="A20305" s="118"/>
      <c r="B20305" s="136"/>
    </row>
    <row r="20306" spans="1:2" x14ac:dyDescent="0.25">
      <c r="A20306" s="118"/>
      <c r="B20306" s="136"/>
    </row>
    <row r="20307" spans="1:2" x14ac:dyDescent="0.25">
      <c r="A20307" s="118"/>
      <c r="B20307" s="136"/>
    </row>
    <row r="20308" spans="1:2" x14ac:dyDescent="0.25">
      <c r="A20308" s="118"/>
      <c r="B20308" s="136"/>
    </row>
    <row r="20309" spans="1:2" x14ac:dyDescent="0.25">
      <c r="A20309" s="118"/>
      <c r="B20309" s="136"/>
    </row>
    <row r="20310" spans="1:2" x14ac:dyDescent="0.25">
      <c r="A20310" s="118"/>
      <c r="B20310" s="136"/>
    </row>
    <row r="20311" spans="1:2" x14ac:dyDescent="0.25">
      <c r="A20311" s="118"/>
      <c r="B20311" s="136"/>
    </row>
    <row r="20312" spans="1:2" x14ac:dyDescent="0.25">
      <c r="A20312" s="118"/>
      <c r="B20312" s="136"/>
    </row>
    <row r="20313" spans="1:2" x14ac:dyDescent="0.25">
      <c r="A20313" s="118"/>
      <c r="B20313" s="136"/>
    </row>
    <row r="20314" spans="1:2" x14ac:dyDescent="0.25">
      <c r="A20314" s="118"/>
      <c r="B20314" s="136"/>
    </row>
    <row r="20315" spans="1:2" x14ac:dyDescent="0.25">
      <c r="A20315" s="118"/>
      <c r="B20315" s="136"/>
    </row>
    <row r="20316" spans="1:2" x14ac:dyDescent="0.25">
      <c r="A20316" s="118"/>
      <c r="B20316" s="136"/>
    </row>
    <row r="20317" spans="1:2" x14ac:dyDescent="0.25">
      <c r="A20317" s="118"/>
      <c r="B20317" s="136"/>
    </row>
    <row r="20318" spans="1:2" x14ac:dyDescent="0.25">
      <c r="A20318" s="118"/>
      <c r="B20318" s="136"/>
    </row>
    <row r="20319" spans="1:2" x14ac:dyDescent="0.25">
      <c r="A20319" s="118"/>
      <c r="B20319" s="136"/>
    </row>
    <row r="20320" spans="1:2" x14ac:dyDescent="0.25">
      <c r="A20320" s="118"/>
      <c r="B20320" s="136"/>
    </row>
    <row r="20321" spans="1:2" x14ac:dyDescent="0.25">
      <c r="A20321" s="118"/>
      <c r="B20321" s="136"/>
    </row>
    <row r="20322" spans="1:2" x14ac:dyDescent="0.25">
      <c r="A20322" s="118"/>
      <c r="B20322" s="136"/>
    </row>
    <row r="20323" spans="1:2" x14ac:dyDescent="0.25">
      <c r="A20323" s="118"/>
      <c r="B20323" s="136"/>
    </row>
    <row r="20324" spans="1:2" x14ac:dyDescent="0.25">
      <c r="A20324" s="118"/>
      <c r="B20324" s="136"/>
    </row>
    <row r="20325" spans="1:2" x14ac:dyDescent="0.25">
      <c r="A20325" s="118"/>
      <c r="B20325" s="136"/>
    </row>
    <row r="20326" spans="1:2" x14ac:dyDescent="0.25">
      <c r="A20326" s="118"/>
      <c r="B20326" s="136"/>
    </row>
    <row r="20327" spans="1:2" x14ac:dyDescent="0.25">
      <c r="A20327" s="118"/>
      <c r="B20327" s="136"/>
    </row>
    <row r="20328" spans="1:2" x14ac:dyDescent="0.25">
      <c r="A20328" s="118"/>
      <c r="B20328" s="136"/>
    </row>
    <row r="20329" spans="1:2" x14ac:dyDescent="0.25">
      <c r="A20329" s="118"/>
      <c r="B20329" s="136"/>
    </row>
    <row r="20330" spans="1:2" x14ac:dyDescent="0.25">
      <c r="A20330" s="118"/>
      <c r="B20330" s="136"/>
    </row>
    <row r="20331" spans="1:2" x14ac:dyDescent="0.25">
      <c r="A20331" s="118"/>
      <c r="B20331" s="136"/>
    </row>
    <row r="20332" spans="1:2" x14ac:dyDescent="0.25">
      <c r="A20332" s="118"/>
      <c r="B20332" s="136"/>
    </row>
    <row r="20333" spans="1:2" x14ac:dyDescent="0.25">
      <c r="A20333" s="118"/>
      <c r="B20333" s="136"/>
    </row>
    <row r="20334" spans="1:2" x14ac:dyDescent="0.25">
      <c r="A20334" s="118"/>
      <c r="B20334" s="136"/>
    </row>
    <row r="20335" spans="1:2" x14ac:dyDescent="0.25">
      <c r="A20335" s="118"/>
      <c r="B20335" s="136"/>
    </row>
    <row r="20336" spans="1:2" x14ac:dyDescent="0.25">
      <c r="A20336" s="118"/>
      <c r="B20336" s="136"/>
    </row>
    <row r="20337" spans="1:2" x14ac:dyDescent="0.25">
      <c r="A20337" s="118"/>
      <c r="B20337" s="136"/>
    </row>
    <row r="20338" spans="1:2" x14ac:dyDescent="0.25">
      <c r="A20338" s="118"/>
      <c r="B20338" s="136"/>
    </row>
    <row r="20339" spans="1:2" x14ac:dyDescent="0.25">
      <c r="A20339" s="118"/>
      <c r="B20339" s="136"/>
    </row>
    <row r="20340" spans="1:2" x14ac:dyDescent="0.25">
      <c r="A20340" s="118"/>
      <c r="B20340" s="136"/>
    </row>
    <row r="20341" spans="1:2" x14ac:dyDescent="0.25">
      <c r="A20341" s="118"/>
      <c r="B20341" s="136"/>
    </row>
    <row r="20342" spans="1:2" x14ac:dyDescent="0.25">
      <c r="A20342" s="118"/>
      <c r="B20342" s="136"/>
    </row>
    <row r="20343" spans="1:2" x14ac:dyDescent="0.25">
      <c r="A20343" s="118"/>
      <c r="B20343" s="136"/>
    </row>
    <row r="20344" spans="1:2" x14ac:dyDescent="0.25">
      <c r="A20344" s="118"/>
      <c r="B20344" s="136"/>
    </row>
    <row r="20345" spans="1:2" x14ac:dyDescent="0.25">
      <c r="A20345" s="118"/>
      <c r="B20345" s="136"/>
    </row>
    <row r="20346" spans="1:2" x14ac:dyDescent="0.25">
      <c r="A20346" s="118"/>
      <c r="B20346" s="136"/>
    </row>
    <row r="20347" spans="1:2" x14ac:dyDescent="0.25">
      <c r="A20347" s="118"/>
      <c r="B20347" s="136"/>
    </row>
    <row r="20348" spans="1:2" x14ac:dyDescent="0.25">
      <c r="A20348" s="118"/>
      <c r="B20348" s="136"/>
    </row>
    <row r="20349" spans="1:2" x14ac:dyDescent="0.25">
      <c r="A20349" s="118"/>
      <c r="B20349" s="136"/>
    </row>
    <row r="20350" spans="1:2" x14ac:dyDescent="0.25">
      <c r="A20350" s="118"/>
      <c r="B20350" s="136"/>
    </row>
    <row r="20351" spans="1:2" x14ac:dyDescent="0.25">
      <c r="A20351" s="118"/>
      <c r="B20351" s="136"/>
    </row>
    <row r="20352" spans="1:2" x14ac:dyDescent="0.25">
      <c r="A20352" s="118"/>
      <c r="B20352" s="136"/>
    </row>
    <row r="20353" spans="1:2" x14ac:dyDescent="0.25">
      <c r="A20353" s="118"/>
      <c r="B20353" s="136"/>
    </row>
    <row r="20354" spans="1:2" x14ac:dyDescent="0.25">
      <c r="A20354" s="118"/>
      <c r="B20354" s="136"/>
    </row>
    <row r="20355" spans="1:2" x14ac:dyDescent="0.25">
      <c r="A20355" s="118"/>
      <c r="B20355" s="136"/>
    </row>
    <row r="20356" spans="1:2" x14ac:dyDescent="0.25">
      <c r="A20356" s="118"/>
      <c r="B20356" s="136"/>
    </row>
    <row r="20357" spans="1:2" x14ac:dyDescent="0.25">
      <c r="A20357" s="118"/>
      <c r="B20357" s="136"/>
    </row>
    <row r="20358" spans="1:2" x14ac:dyDescent="0.25">
      <c r="A20358" s="118"/>
      <c r="B20358" s="136"/>
    </row>
    <row r="20359" spans="1:2" x14ac:dyDescent="0.25">
      <c r="A20359" s="118"/>
      <c r="B20359" s="136"/>
    </row>
    <row r="20360" spans="1:2" x14ac:dyDescent="0.25">
      <c r="A20360" s="118"/>
      <c r="B20360" s="136"/>
    </row>
    <row r="20361" spans="1:2" x14ac:dyDescent="0.25">
      <c r="A20361" s="118"/>
      <c r="B20361" s="136"/>
    </row>
    <row r="20362" spans="1:2" x14ac:dyDescent="0.25">
      <c r="A20362" s="118"/>
      <c r="B20362" s="136"/>
    </row>
    <row r="20363" spans="1:2" x14ac:dyDescent="0.25">
      <c r="A20363" s="118"/>
      <c r="B20363" s="136"/>
    </row>
    <row r="20364" spans="1:2" x14ac:dyDescent="0.25">
      <c r="A20364" s="118"/>
      <c r="B20364" s="136"/>
    </row>
    <row r="20365" spans="1:2" x14ac:dyDescent="0.25">
      <c r="A20365" s="118"/>
      <c r="B20365" s="136"/>
    </row>
    <row r="20366" spans="1:2" x14ac:dyDescent="0.25">
      <c r="A20366" s="118"/>
      <c r="B20366" s="136"/>
    </row>
    <row r="20367" spans="1:2" x14ac:dyDescent="0.25">
      <c r="A20367" s="118"/>
      <c r="B20367" s="136"/>
    </row>
    <row r="20368" spans="1:2" x14ac:dyDescent="0.25">
      <c r="A20368" s="118"/>
      <c r="B20368" s="136"/>
    </row>
    <row r="20369" spans="1:2" x14ac:dyDescent="0.25">
      <c r="A20369" s="118"/>
      <c r="B20369" s="136"/>
    </row>
    <row r="20370" spans="1:2" x14ac:dyDescent="0.25">
      <c r="A20370" s="118"/>
      <c r="B20370" s="136"/>
    </row>
    <row r="20371" spans="1:2" x14ac:dyDescent="0.25">
      <c r="A20371" s="118"/>
      <c r="B20371" s="136"/>
    </row>
    <row r="20372" spans="1:2" x14ac:dyDescent="0.25">
      <c r="A20372" s="118"/>
      <c r="B20372" s="136"/>
    </row>
    <row r="20373" spans="1:2" x14ac:dyDescent="0.25">
      <c r="A20373" s="118"/>
      <c r="B20373" s="136"/>
    </row>
    <row r="20374" spans="1:2" x14ac:dyDescent="0.25">
      <c r="A20374" s="118"/>
      <c r="B20374" s="136"/>
    </row>
    <row r="20375" spans="1:2" x14ac:dyDescent="0.25">
      <c r="A20375" s="118"/>
      <c r="B20375" s="136"/>
    </row>
    <row r="20376" spans="1:2" x14ac:dyDescent="0.25">
      <c r="A20376" s="118"/>
      <c r="B20376" s="136"/>
    </row>
    <row r="20377" spans="1:2" x14ac:dyDescent="0.25">
      <c r="A20377" s="118"/>
      <c r="B20377" s="136"/>
    </row>
    <row r="20378" spans="1:2" x14ac:dyDescent="0.25">
      <c r="A20378" s="118"/>
      <c r="B20378" s="136"/>
    </row>
    <row r="20379" spans="1:2" x14ac:dyDescent="0.25">
      <c r="A20379" s="118"/>
      <c r="B20379" s="136"/>
    </row>
    <row r="20380" spans="1:2" x14ac:dyDescent="0.25">
      <c r="A20380" s="118"/>
      <c r="B20380" s="136"/>
    </row>
    <row r="20381" spans="1:2" x14ac:dyDescent="0.25">
      <c r="A20381" s="118"/>
      <c r="B20381" s="136"/>
    </row>
    <row r="20382" spans="1:2" x14ac:dyDescent="0.25">
      <c r="A20382" s="118"/>
      <c r="B20382" s="136"/>
    </row>
    <row r="20383" spans="1:2" x14ac:dyDescent="0.25">
      <c r="A20383" s="118"/>
      <c r="B20383" s="136"/>
    </row>
    <row r="20384" spans="1:2" x14ac:dyDescent="0.25">
      <c r="A20384" s="118"/>
      <c r="B20384" s="136"/>
    </row>
    <row r="20385" spans="1:2" x14ac:dyDescent="0.25">
      <c r="A20385" s="118"/>
      <c r="B20385" s="136"/>
    </row>
    <row r="20386" spans="1:2" x14ac:dyDescent="0.25">
      <c r="A20386" s="118"/>
      <c r="B20386" s="136"/>
    </row>
    <row r="20387" spans="1:2" x14ac:dyDescent="0.25">
      <c r="A20387" s="118"/>
      <c r="B20387" s="136"/>
    </row>
    <row r="20388" spans="1:2" x14ac:dyDescent="0.25">
      <c r="A20388" s="118"/>
      <c r="B20388" s="136"/>
    </row>
    <row r="20389" spans="1:2" x14ac:dyDescent="0.25">
      <c r="A20389" s="118"/>
      <c r="B20389" s="136"/>
    </row>
    <row r="20390" spans="1:2" x14ac:dyDescent="0.25">
      <c r="A20390" s="118"/>
      <c r="B20390" s="136"/>
    </row>
    <row r="20391" spans="1:2" x14ac:dyDescent="0.25">
      <c r="A20391" s="118"/>
      <c r="B20391" s="136"/>
    </row>
    <row r="20392" spans="1:2" x14ac:dyDescent="0.25">
      <c r="A20392" s="118"/>
      <c r="B20392" s="136"/>
    </row>
    <row r="20393" spans="1:2" x14ac:dyDescent="0.25">
      <c r="A20393" s="118"/>
      <c r="B20393" s="136"/>
    </row>
    <row r="20394" spans="1:2" x14ac:dyDescent="0.25">
      <c r="A20394" s="118"/>
      <c r="B20394" s="136"/>
    </row>
    <row r="20395" spans="1:2" x14ac:dyDescent="0.25">
      <c r="A20395" s="118"/>
      <c r="B20395" s="136"/>
    </row>
    <row r="20396" spans="1:2" x14ac:dyDescent="0.25">
      <c r="A20396" s="118"/>
      <c r="B20396" s="136"/>
    </row>
    <row r="20397" spans="1:2" x14ac:dyDescent="0.25">
      <c r="A20397" s="118"/>
      <c r="B20397" s="136"/>
    </row>
    <row r="20398" spans="1:2" x14ac:dyDescent="0.25">
      <c r="A20398" s="118"/>
      <c r="B20398" s="136"/>
    </row>
    <row r="20399" spans="1:2" x14ac:dyDescent="0.25">
      <c r="A20399" s="118"/>
      <c r="B20399" s="136"/>
    </row>
    <row r="20400" spans="1:2" x14ac:dyDescent="0.25">
      <c r="A20400" s="118"/>
      <c r="B20400" s="136"/>
    </row>
    <row r="20401" spans="1:2" x14ac:dyDescent="0.25">
      <c r="A20401" s="118"/>
      <c r="B20401" s="136"/>
    </row>
    <row r="20402" spans="1:2" x14ac:dyDescent="0.25">
      <c r="A20402" s="118"/>
      <c r="B20402" s="136"/>
    </row>
    <row r="20403" spans="1:2" x14ac:dyDescent="0.25">
      <c r="A20403" s="118"/>
      <c r="B20403" s="136"/>
    </row>
    <row r="20404" spans="1:2" x14ac:dyDescent="0.25">
      <c r="A20404" s="118"/>
      <c r="B20404" s="136"/>
    </row>
    <row r="20405" spans="1:2" x14ac:dyDescent="0.25">
      <c r="A20405" s="118"/>
      <c r="B20405" s="136"/>
    </row>
    <row r="20406" spans="1:2" x14ac:dyDescent="0.25">
      <c r="A20406" s="118"/>
      <c r="B20406" s="136"/>
    </row>
    <row r="20407" spans="1:2" x14ac:dyDescent="0.25">
      <c r="A20407" s="118"/>
      <c r="B20407" s="136"/>
    </row>
    <row r="20408" spans="1:2" x14ac:dyDescent="0.25">
      <c r="A20408" s="118"/>
      <c r="B20408" s="136"/>
    </row>
    <row r="20409" spans="1:2" x14ac:dyDescent="0.25">
      <c r="A20409" s="118"/>
      <c r="B20409" s="136"/>
    </row>
    <row r="20410" spans="1:2" x14ac:dyDescent="0.25">
      <c r="A20410" s="118"/>
      <c r="B20410" s="136"/>
    </row>
    <row r="20411" spans="1:2" x14ac:dyDescent="0.25">
      <c r="A20411" s="118"/>
      <c r="B20411" s="136"/>
    </row>
    <row r="20412" spans="1:2" x14ac:dyDescent="0.25">
      <c r="A20412" s="118"/>
      <c r="B20412" s="136"/>
    </row>
    <row r="20413" spans="1:2" x14ac:dyDescent="0.25">
      <c r="A20413" s="118"/>
      <c r="B20413" s="136"/>
    </row>
    <row r="20414" spans="1:2" x14ac:dyDescent="0.25">
      <c r="A20414" s="118"/>
      <c r="B20414" s="136"/>
    </row>
    <row r="20415" spans="1:2" x14ac:dyDescent="0.25">
      <c r="A20415" s="118"/>
      <c r="B20415" s="136"/>
    </row>
    <row r="20416" spans="1:2" x14ac:dyDescent="0.25">
      <c r="A20416" s="118"/>
      <c r="B20416" s="136"/>
    </row>
    <row r="20417" spans="1:2" x14ac:dyDescent="0.25">
      <c r="A20417" s="118"/>
      <c r="B20417" s="136"/>
    </row>
    <row r="20418" spans="1:2" x14ac:dyDescent="0.25">
      <c r="A20418" s="118"/>
      <c r="B20418" s="136"/>
    </row>
    <row r="20419" spans="1:2" x14ac:dyDescent="0.25">
      <c r="A20419" s="118"/>
      <c r="B20419" s="136"/>
    </row>
    <row r="20420" spans="1:2" x14ac:dyDescent="0.25">
      <c r="A20420" s="118"/>
      <c r="B20420" s="136"/>
    </row>
    <row r="20421" spans="1:2" x14ac:dyDescent="0.25">
      <c r="A20421" s="118"/>
      <c r="B20421" s="136"/>
    </row>
    <row r="20422" spans="1:2" x14ac:dyDescent="0.25">
      <c r="A20422" s="118"/>
      <c r="B20422" s="136"/>
    </row>
    <row r="20423" spans="1:2" x14ac:dyDescent="0.25">
      <c r="A20423" s="118"/>
      <c r="B20423" s="136"/>
    </row>
    <row r="20424" spans="1:2" x14ac:dyDescent="0.25">
      <c r="A20424" s="118"/>
      <c r="B20424" s="136"/>
    </row>
    <row r="20425" spans="1:2" x14ac:dyDescent="0.25">
      <c r="A20425" s="118"/>
      <c r="B20425" s="136"/>
    </row>
    <row r="20426" spans="1:2" x14ac:dyDescent="0.25">
      <c r="A20426" s="118"/>
      <c r="B20426" s="136"/>
    </row>
    <row r="20427" spans="1:2" x14ac:dyDescent="0.25">
      <c r="A20427" s="118"/>
      <c r="B20427" s="136"/>
    </row>
    <row r="20428" spans="1:2" x14ac:dyDescent="0.25">
      <c r="A20428" s="118"/>
      <c r="B20428" s="136"/>
    </row>
    <row r="20429" spans="1:2" x14ac:dyDescent="0.25">
      <c r="A20429" s="118"/>
      <c r="B20429" s="136"/>
    </row>
    <row r="20430" spans="1:2" x14ac:dyDescent="0.25">
      <c r="A20430" s="118"/>
      <c r="B20430" s="136"/>
    </row>
    <row r="20431" spans="1:2" x14ac:dyDescent="0.25">
      <c r="A20431" s="118"/>
      <c r="B20431" s="136"/>
    </row>
    <row r="20432" spans="1:2" x14ac:dyDescent="0.25">
      <c r="A20432" s="118"/>
      <c r="B20432" s="136"/>
    </row>
    <row r="20433" spans="1:2" x14ac:dyDescent="0.25">
      <c r="A20433" s="118"/>
      <c r="B20433" s="136"/>
    </row>
    <row r="20434" spans="1:2" x14ac:dyDescent="0.25">
      <c r="A20434" s="118"/>
      <c r="B20434" s="136"/>
    </row>
    <row r="20435" spans="1:2" x14ac:dyDescent="0.25">
      <c r="A20435" s="118"/>
      <c r="B20435" s="136"/>
    </row>
    <row r="20436" spans="1:2" x14ac:dyDescent="0.25">
      <c r="A20436" s="118"/>
      <c r="B20436" s="136"/>
    </row>
    <row r="20437" spans="1:2" x14ac:dyDescent="0.25">
      <c r="A20437" s="118"/>
      <c r="B20437" s="136"/>
    </row>
    <row r="20438" spans="1:2" x14ac:dyDescent="0.25">
      <c r="A20438" s="118"/>
      <c r="B20438" s="136"/>
    </row>
    <row r="20439" spans="1:2" x14ac:dyDescent="0.25">
      <c r="A20439" s="118"/>
      <c r="B20439" s="136"/>
    </row>
    <row r="20440" spans="1:2" x14ac:dyDescent="0.25">
      <c r="A20440" s="118"/>
      <c r="B20440" s="136"/>
    </row>
    <row r="20441" spans="1:2" x14ac:dyDescent="0.25">
      <c r="A20441" s="118"/>
      <c r="B20441" s="136"/>
    </row>
    <row r="20442" spans="1:2" x14ac:dyDescent="0.25">
      <c r="A20442" s="118"/>
      <c r="B20442" s="136"/>
    </row>
    <row r="20443" spans="1:2" x14ac:dyDescent="0.25">
      <c r="A20443" s="118"/>
      <c r="B20443" s="136"/>
    </row>
    <row r="20444" spans="1:2" x14ac:dyDescent="0.25">
      <c r="A20444" s="118"/>
      <c r="B20444" s="136"/>
    </row>
    <row r="20445" spans="1:2" x14ac:dyDescent="0.25">
      <c r="A20445" s="118"/>
      <c r="B20445" s="136"/>
    </row>
    <row r="20446" spans="1:2" x14ac:dyDescent="0.25">
      <c r="A20446" s="118"/>
      <c r="B20446" s="136"/>
    </row>
    <row r="20447" spans="1:2" x14ac:dyDescent="0.25">
      <c r="A20447" s="118"/>
      <c r="B20447" s="136"/>
    </row>
    <row r="20448" spans="1:2" x14ac:dyDescent="0.25">
      <c r="A20448" s="118"/>
      <c r="B20448" s="136"/>
    </row>
    <row r="20449" spans="1:2" x14ac:dyDescent="0.25">
      <c r="A20449" s="118"/>
      <c r="B20449" s="136"/>
    </row>
    <row r="20450" spans="1:2" x14ac:dyDescent="0.25">
      <c r="A20450" s="118"/>
      <c r="B20450" s="136"/>
    </row>
    <row r="20451" spans="1:2" x14ac:dyDescent="0.25">
      <c r="A20451" s="118"/>
      <c r="B20451" s="136"/>
    </row>
    <row r="20452" spans="1:2" x14ac:dyDescent="0.25">
      <c r="A20452" s="118"/>
      <c r="B20452" s="136"/>
    </row>
    <row r="20453" spans="1:2" x14ac:dyDescent="0.25">
      <c r="A20453" s="118"/>
      <c r="B20453" s="136"/>
    </row>
    <row r="20454" spans="1:2" x14ac:dyDescent="0.25">
      <c r="A20454" s="118"/>
      <c r="B20454" s="136"/>
    </row>
    <row r="20455" spans="1:2" x14ac:dyDescent="0.25">
      <c r="A20455" s="118"/>
      <c r="B20455" s="136"/>
    </row>
    <row r="20456" spans="1:2" x14ac:dyDescent="0.25">
      <c r="A20456" s="118"/>
      <c r="B20456" s="136"/>
    </row>
    <row r="20457" spans="1:2" x14ac:dyDescent="0.25">
      <c r="A20457" s="118"/>
      <c r="B20457" s="136"/>
    </row>
    <row r="20458" spans="1:2" x14ac:dyDescent="0.25">
      <c r="A20458" s="118"/>
      <c r="B20458" s="136"/>
    </row>
    <row r="20459" spans="1:2" x14ac:dyDescent="0.25">
      <c r="A20459" s="118"/>
      <c r="B20459" s="136"/>
    </row>
    <row r="20460" spans="1:2" x14ac:dyDescent="0.25">
      <c r="A20460" s="118"/>
      <c r="B20460" s="136"/>
    </row>
    <row r="20461" spans="1:2" x14ac:dyDescent="0.25">
      <c r="A20461" s="118"/>
      <c r="B20461" s="136"/>
    </row>
    <row r="20462" spans="1:2" x14ac:dyDescent="0.25">
      <c r="A20462" s="118"/>
      <c r="B20462" s="136"/>
    </row>
    <row r="20463" spans="1:2" x14ac:dyDescent="0.25">
      <c r="A20463" s="118"/>
      <c r="B20463" s="136"/>
    </row>
    <row r="20464" spans="1:2" x14ac:dyDescent="0.25">
      <c r="A20464" s="118"/>
      <c r="B20464" s="136"/>
    </row>
    <row r="20465" spans="1:2" x14ac:dyDescent="0.25">
      <c r="A20465" s="118"/>
      <c r="B20465" s="136"/>
    </row>
    <row r="20466" spans="1:2" x14ac:dyDescent="0.25">
      <c r="A20466" s="118"/>
      <c r="B20466" s="136"/>
    </row>
    <row r="20467" spans="1:2" x14ac:dyDescent="0.25">
      <c r="A20467" s="118"/>
      <c r="B20467" s="136"/>
    </row>
    <row r="20468" spans="1:2" x14ac:dyDescent="0.25">
      <c r="A20468" s="118"/>
      <c r="B20468" s="136"/>
    </row>
    <row r="20469" spans="1:2" x14ac:dyDescent="0.25">
      <c r="A20469" s="118"/>
      <c r="B20469" s="136"/>
    </row>
    <row r="20470" spans="1:2" x14ac:dyDescent="0.25">
      <c r="A20470" s="118"/>
      <c r="B20470" s="136"/>
    </row>
    <row r="20471" spans="1:2" x14ac:dyDescent="0.25">
      <c r="A20471" s="118"/>
      <c r="B20471" s="136"/>
    </row>
    <row r="20472" spans="1:2" x14ac:dyDescent="0.25">
      <c r="A20472" s="118"/>
      <c r="B20472" s="136"/>
    </row>
    <row r="20473" spans="1:2" x14ac:dyDescent="0.25">
      <c r="A20473" s="118"/>
      <c r="B20473" s="136"/>
    </row>
    <row r="20474" spans="1:2" x14ac:dyDescent="0.25">
      <c r="A20474" s="118"/>
      <c r="B20474" s="136"/>
    </row>
    <row r="20475" spans="1:2" x14ac:dyDescent="0.25">
      <c r="A20475" s="118"/>
      <c r="B20475" s="136"/>
    </row>
    <row r="20476" spans="1:2" x14ac:dyDescent="0.25">
      <c r="A20476" s="118"/>
      <c r="B20476" s="136"/>
    </row>
    <row r="20477" spans="1:2" x14ac:dyDescent="0.25">
      <c r="A20477" s="118"/>
      <c r="B20477" s="136"/>
    </row>
    <row r="20478" spans="1:2" x14ac:dyDescent="0.25">
      <c r="A20478" s="118"/>
      <c r="B20478" s="136"/>
    </row>
    <row r="20479" spans="1:2" x14ac:dyDescent="0.25">
      <c r="A20479" s="118"/>
      <c r="B20479" s="136"/>
    </row>
    <row r="20480" spans="1:2" x14ac:dyDescent="0.25">
      <c r="A20480" s="118"/>
      <c r="B20480" s="136"/>
    </row>
    <row r="20481" spans="1:2" x14ac:dyDescent="0.25">
      <c r="A20481" s="118"/>
      <c r="B20481" s="136"/>
    </row>
    <row r="20482" spans="1:2" x14ac:dyDescent="0.25">
      <c r="A20482" s="118"/>
      <c r="B20482" s="136"/>
    </row>
    <row r="20483" spans="1:2" x14ac:dyDescent="0.25">
      <c r="A20483" s="118"/>
      <c r="B20483" s="136"/>
    </row>
    <row r="20484" spans="1:2" x14ac:dyDescent="0.25">
      <c r="A20484" s="118"/>
      <c r="B20484" s="136"/>
    </row>
    <row r="20485" spans="1:2" x14ac:dyDescent="0.25">
      <c r="A20485" s="118"/>
      <c r="B20485" s="136"/>
    </row>
    <row r="20486" spans="1:2" x14ac:dyDescent="0.25">
      <c r="A20486" s="118"/>
      <c r="B20486" s="136"/>
    </row>
    <row r="20487" spans="1:2" x14ac:dyDescent="0.25">
      <c r="A20487" s="118"/>
      <c r="B20487" s="136"/>
    </row>
    <row r="20488" spans="1:2" x14ac:dyDescent="0.25">
      <c r="A20488" s="118"/>
      <c r="B20488" s="136"/>
    </row>
    <row r="20489" spans="1:2" x14ac:dyDescent="0.25">
      <c r="A20489" s="118"/>
      <c r="B20489" s="136"/>
    </row>
    <row r="20490" spans="1:2" x14ac:dyDescent="0.25">
      <c r="A20490" s="118"/>
      <c r="B20490" s="136"/>
    </row>
    <row r="20491" spans="1:2" x14ac:dyDescent="0.25">
      <c r="A20491" s="118"/>
      <c r="B20491" s="136"/>
    </row>
    <row r="20492" spans="1:2" x14ac:dyDescent="0.25">
      <c r="A20492" s="118"/>
      <c r="B20492" s="136"/>
    </row>
    <row r="20493" spans="1:2" x14ac:dyDescent="0.25">
      <c r="A20493" s="118"/>
      <c r="B20493" s="136"/>
    </row>
    <row r="20494" spans="1:2" x14ac:dyDescent="0.25">
      <c r="A20494" s="118"/>
      <c r="B20494" s="136"/>
    </row>
    <row r="20495" spans="1:2" x14ac:dyDescent="0.25">
      <c r="A20495" s="118"/>
      <c r="B20495" s="136"/>
    </row>
    <row r="20496" spans="1:2" x14ac:dyDescent="0.25">
      <c r="A20496" s="118"/>
      <c r="B20496" s="136"/>
    </row>
    <row r="20497" spans="1:2" x14ac:dyDescent="0.25">
      <c r="A20497" s="118"/>
      <c r="B20497" s="136"/>
    </row>
    <row r="20498" spans="1:2" x14ac:dyDescent="0.25">
      <c r="A20498" s="118"/>
      <c r="B20498" s="136"/>
    </row>
    <row r="20499" spans="1:2" x14ac:dyDescent="0.25">
      <c r="A20499" s="118"/>
      <c r="B20499" s="136"/>
    </row>
    <row r="20500" spans="1:2" x14ac:dyDescent="0.25">
      <c r="A20500" s="118"/>
      <c r="B20500" s="136"/>
    </row>
    <row r="20501" spans="1:2" x14ac:dyDescent="0.25">
      <c r="A20501" s="118"/>
      <c r="B20501" s="136"/>
    </row>
    <row r="20502" spans="1:2" x14ac:dyDescent="0.25">
      <c r="A20502" s="118"/>
      <c r="B20502" s="136"/>
    </row>
    <row r="20503" spans="1:2" x14ac:dyDescent="0.25">
      <c r="A20503" s="118"/>
      <c r="B20503" s="136"/>
    </row>
    <row r="20504" spans="1:2" x14ac:dyDescent="0.25">
      <c r="A20504" s="118"/>
      <c r="B20504" s="136"/>
    </row>
    <row r="20505" spans="1:2" x14ac:dyDescent="0.25">
      <c r="A20505" s="118"/>
      <c r="B20505" s="136"/>
    </row>
    <row r="20506" spans="1:2" x14ac:dyDescent="0.25">
      <c r="A20506" s="118"/>
      <c r="B20506" s="136"/>
    </row>
    <row r="20507" spans="1:2" x14ac:dyDescent="0.25">
      <c r="A20507" s="118"/>
      <c r="B20507" s="136"/>
    </row>
    <row r="20508" spans="1:2" x14ac:dyDescent="0.25">
      <c r="A20508" s="118"/>
      <c r="B20508" s="136"/>
    </row>
    <row r="20509" spans="1:2" x14ac:dyDescent="0.25">
      <c r="A20509" s="118"/>
      <c r="B20509" s="136"/>
    </row>
    <row r="20510" spans="1:2" x14ac:dyDescent="0.25">
      <c r="A20510" s="118"/>
      <c r="B20510" s="136"/>
    </row>
    <row r="20511" spans="1:2" x14ac:dyDescent="0.25">
      <c r="A20511" s="118"/>
      <c r="B20511" s="136"/>
    </row>
    <row r="20512" spans="1:2" x14ac:dyDescent="0.25">
      <c r="A20512" s="118"/>
      <c r="B20512" s="136"/>
    </row>
    <row r="20513" spans="1:2" x14ac:dyDescent="0.25">
      <c r="A20513" s="118"/>
      <c r="B20513" s="136"/>
    </row>
    <row r="20514" spans="1:2" x14ac:dyDescent="0.25">
      <c r="A20514" s="118"/>
      <c r="B20514" s="136"/>
    </row>
    <row r="20515" spans="1:2" x14ac:dyDescent="0.25">
      <c r="A20515" s="118"/>
      <c r="B20515" s="136"/>
    </row>
    <row r="20516" spans="1:2" x14ac:dyDescent="0.25">
      <c r="A20516" s="118"/>
      <c r="B20516" s="136"/>
    </row>
    <row r="20517" spans="1:2" x14ac:dyDescent="0.25">
      <c r="A20517" s="118"/>
      <c r="B20517" s="136"/>
    </row>
    <row r="20518" spans="1:2" x14ac:dyDescent="0.25">
      <c r="A20518" s="118"/>
      <c r="B20518" s="136"/>
    </row>
    <row r="20519" spans="1:2" x14ac:dyDescent="0.25">
      <c r="A20519" s="118"/>
      <c r="B20519" s="136"/>
    </row>
    <row r="20520" spans="1:2" x14ac:dyDescent="0.25">
      <c r="A20520" s="118"/>
      <c r="B20520" s="136"/>
    </row>
    <row r="20521" spans="1:2" x14ac:dyDescent="0.25">
      <c r="A20521" s="118"/>
      <c r="B20521" s="136"/>
    </row>
    <row r="20522" spans="1:2" x14ac:dyDescent="0.25">
      <c r="A20522" s="118"/>
      <c r="B20522" s="136"/>
    </row>
    <row r="20523" spans="1:2" x14ac:dyDescent="0.25">
      <c r="A20523" s="118"/>
      <c r="B20523" s="136"/>
    </row>
    <row r="20524" spans="1:2" x14ac:dyDescent="0.25">
      <c r="A20524" s="118"/>
      <c r="B20524" s="136"/>
    </row>
    <row r="20525" spans="1:2" x14ac:dyDescent="0.25">
      <c r="A20525" s="118"/>
      <c r="B20525" s="136"/>
    </row>
    <row r="20526" spans="1:2" x14ac:dyDescent="0.25">
      <c r="A20526" s="118"/>
      <c r="B20526" s="136"/>
    </row>
    <row r="20527" spans="1:2" x14ac:dyDescent="0.25">
      <c r="A20527" s="118"/>
      <c r="B20527" s="136"/>
    </row>
    <row r="20528" spans="1:2" x14ac:dyDescent="0.25">
      <c r="A20528" s="118"/>
      <c r="B20528" s="136"/>
    </row>
    <row r="20529" spans="1:2" x14ac:dyDescent="0.25">
      <c r="A20529" s="118"/>
      <c r="B20529" s="136"/>
    </row>
    <row r="20530" spans="1:2" x14ac:dyDescent="0.25">
      <c r="A20530" s="118"/>
      <c r="B20530" s="136"/>
    </row>
    <row r="20531" spans="1:2" x14ac:dyDescent="0.25">
      <c r="A20531" s="118"/>
      <c r="B20531" s="136"/>
    </row>
    <row r="20532" spans="1:2" x14ac:dyDescent="0.25">
      <c r="A20532" s="118"/>
      <c r="B20532" s="136"/>
    </row>
    <row r="20533" spans="1:2" x14ac:dyDescent="0.25">
      <c r="A20533" s="118"/>
      <c r="B20533" s="136"/>
    </row>
    <row r="20534" spans="1:2" x14ac:dyDescent="0.25">
      <c r="A20534" s="118"/>
      <c r="B20534" s="136"/>
    </row>
    <row r="20535" spans="1:2" x14ac:dyDescent="0.25">
      <c r="A20535" s="118"/>
      <c r="B20535" s="136"/>
    </row>
    <row r="20536" spans="1:2" x14ac:dyDescent="0.25">
      <c r="A20536" s="118"/>
      <c r="B20536" s="136"/>
    </row>
    <row r="20537" spans="1:2" x14ac:dyDescent="0.25">
      <c r="A20537" s="118"/>
      <c r="B20537" s="136"/>
    </row>
    <row r="20538" spans="1:2" x14ac:dyDescent="0.25">
      <c r="A20538" s="118"/>
      <c r="B20538" s="136"/>
    </row>
    <row r="20539" spans="1:2" x14ac:dyDescent="0.25">
      <c r="A20539" s="118"/>
      <c r="B20539" s="136"/>
    </row>
    <row r="20540" spans="1:2" x14ac:dyDescent="0.25">
      <c r="A20540" s="118"/>
      <c r="B20540" s="136"/>
    </row>
    <row r="20541" spans="1:2" x14ac:dyDescent="0.25">
      <c r="A20541" s="118"/>
      <c r="B20541" s="136"/>
    </row>
    <row r="20542" spans="1:2" x14ac:dyDescent="0.25">
      <c r="A20542" s="118"/>
      <c r="B20542" s="136"/>
    </row>
    <row r="20543" spans="1:2" x14ac:dyDescent="0.25">
      <c r="A20543" s="118"/>
      <c r="B20543" s="136"/>
    </row>
    <row r="20544" spans="1:2" x14ac:dyDescent="0.25">
      <c r="A20544" s="118"/>
      <c r="B20544" s="136"/>
    </row>
    <row r="20545" spans="1:2" x14ac:dyDescent="0.25">
      <c r="A20545" s="118"/>
      <c r="B20545" s="136"/>
    </row>
    <row r="20546" spans="1:2" x14ac:dyDescent="0.25">
      <c r="A20546" s="118"/>
      <c r="B20546" s="136"/>
    </row>
    <row r="20547" spans="1:2" x14ac:dyDescent="0.25">
      <c r="A20547" s="118"/>
      <c r="B20547" s="136"/>
    </row>
    <row r="20548" spans="1:2" x14ac:dyDescent="0.25">
      <c r="A20548" s="118"/>
      <c r="B20548" s="136"/>
    </row>
    <row r="20549" spans="1:2" x14ac:dyDescent="0.25">
      <c r="A20549" s="118"/>
      <c r="B20549" s="136"/>
    </row>
    <row r="20550" spans="1:2" x14ac:dyDescent="0.25">
      <c r="A20550" s="118"/>
      <c r="B20550" s="136"/>
    </row>
    <row r="20551" spans="1:2" x14ac:dyDescent="0.25">
      <c r="A20551" s="118"/>
      <c r="B20551" s="136"/>
    </row>
    <row r="20552" spans="1:2" x14ac:dyDescent="0.25">
      <c r="A20552" s="118"/>
      <c r="B20552" s="136"/>
    </row>
    <row r="20553" spans="1:2" x14ac:dyDescent="0.25">
      <c r="A20553" s="118"/>
      <c r="B20553" s="136"/>
    </row>
    <row r="20554" spans="1:2" x14ac:dyDescent="0.25">
      <c r="A20554" s="118"/>
      <c r="B20554" s="136"/>
    </row>
    <row r="20555" spans="1:2" x14ac:dyDescent="0.25">
      <c r="A20555" s="118"/>
      <c r="B20555" s="136"/>
    </row>
    <row r="20556" spans="1:2" x14ac:dyDescent="0.25">
      <c r="A20556" s="118"/>
      <c r="B20556" s="136"/>
    </row>
    <row r="20557" spans="1:2" x14ac:dyDescent="0.25">
      <c r="A20557" s="118"/>
      <c r="B20557" s="136"/>
    </row>
    <row r="20558" spans="1:2" x14ac:dyDescent="0.25">
      <c r="A20558" s="118"/>
      <c r="B20558" s="136"/>
    </row>
    <row r="20559" spans="1:2" x14ac:dyDescent="0.25">
      <c r="A20559" s="118"/>
      <c r="B20559" s="136"/>
    </row>
    <row r="20560" spans="1:2" x14ac:dyDescent="0.25">
      <c r="A20560" s="118"/>
      <c r="B20560" s="136"/>
    </row>
    <row r="20561" spans="1:2" x14ac:dyDescent="0.25">
      <c r="A20561" s="118"/>
      <c r="B20561" s="136"/>
    </row>
    <row r="20562" spans="1:2" x14ac:dyDescent="0.25">
      <c r="A20562" s="118"/>
      <c r="B20562" s="136"/>
    </row>
    <row r="20563" spans="1:2" x14ac:dyDescent="0.25">
      <c r="A20563" s="118"/>
      <c r="B20563" s="136"/>
    </row>
    <row r="20564" spans="1:2" x14ac:dyDescent="0.25">
      <c r="A20564" s="118"/>
      <c r="B20564" s="136"/>
    </row>
    <row r="20565" spans="1:2" x14ac:dyDescent="0.25">
      <c r="A20565" s="118"/>
      <c r="B20565" s="136"/>
    </row>
    <row r="20566" spans="1:2" x14ac:dyDescent="0.25">
      <c r="A20566" s="118"/>
      <c r="B20566" s="136"/>
    </row>
    <row r="20567" spans="1:2" x14ac:dyDescent="0.25">
      <c r="A20567" s="118"/>
      <c r="B20567" s="136"/>
    </row>
    <row r="20568" spans="1:2" x14ac:dyDescent="0.25">
      <c r="A20568" s="118"/>
      <c r="B20568" s="136"/>
    </row>
    <row r="20569" spans="1:2" x14ac:dyDescent="0.25">
      <c r="A20569" s="118"/>
      <c r="B20569" s="136"/>
    </row>
    <row r="20570" spans="1:2" x14ac:dyDescent="0.25">
      <c r="A20570" s="118"/>
      <c r="B20570" s="136"/>
    </row>
    <row r="20571" spans="1:2" x14ac:dyDescent="0.25">
      <c r="A20571" s="118"/>
      <c r="B20571" s="136"/>
    </row>
    <row r="20572" spans="1:2" x14ac:dyDescent="0.25">
      <c r="A20572" s="118"/>
      <c r="B20572" s="136"/>
    </row>
    <row r="20573" spans="1:2" x14ac:dyDescent="0.25">
      <c r="A20573" s="118"/>
      <c r="B20573" s="136"/>
    </row>
    <row r="20574" spans="1:2" x14ac:dyDescent="0.25">
      <c r="A20574" s="118"/>
      <c r="B20574" s="136"/>
    </row>
    <row r="20575" spans="1:2" x14ac:dyDescent="0.25">
      <c r="A20575" s="118"/>
      <c r="B20575" s="136"/>
    </row>
    <row r="20576" spans="1:2" x14ac:dyDescent="0.25">
      <c r="A20576" s="118"/>
      <c r="B20576" s="136"/>
    </row>
    <row r="20577" spans="1:2" x14ac:dyDescent="0.25">
      <c r="A20577" s="118"/>
      <c r="B20577" s="136"/>
    </row>
    <row r="20578" spans="1:2" x14ac:dyDescent="0.25">
      <c r="A20578" s="118"/>
      <c r="B20578" s="136"/>
    </row>
    <row r="20579" spans="1:2" x14ac:dyDescent="0.25">
      <c r="A20579" s="118"/>
      <c r="B20579" s="136"/>
    </row>
    <row r="20580" spans="1:2" x14ac:dyDescent="0.25">
      <c r="A20580" s="118"/>
      <c r="B20580" s="136"/>
    </row>
    <row r="20581" spans="1:2" x14ac:dyDescent="0.25">
      <c r="A20581" s="118"/>
      <c r="B20581" s="136"/>
    </row>
    <row r="20582" spans="1:2" x14ac:dyDescent="0.25">
      <c r="A20582" s="118"/>
      <c r="B20582" s="136"/>
    </row>
    <row r="20583" spans="1:2" x14ac:dyDescent="0.25">
      <c r="A20583" s="118"/>
      <c r="B20583" s="136"/>
    </row>
    <row r="20584" spans="1:2" x14ac:dyDescent="0.25">
      <c r="A20584" s="118"/>
      <c r="B20584" s="136"/>
    </row>
    <row r="20585" spans="1:2" x14ac:dyDescent="0.25">
      <c r="A20585" s="118"/>
      <c r="B20585" s="136"/>
    </row>
    <row r="20586" spans="1:2" x14ac:dyDescent="0.25">
      <c r="A20586" s="118"/>
      <c r="B20586" s="136"/>
    </row>
    <row r="20587" spans="1:2" x14ac:dyDescent="0.25">
      <c r="A20587" s="118"/>
      <c r="B20587" s="136"/>
    </row>
    <row r="20588" spans="1:2" x14ac:dyDescent="0.25">
      <c r="A20588" s="118"/>
      <c r="B20588" s="136"/>
    </row>
    <row r="20589" spans="1:2" x14ac:dyDescent="0.25">
      <c r="A20589" s="118"/>
      <c r="B20589" s="136"/>
    </row>
    <row r="20590" spans="1:2" x14ac:dyDescent="0.25">
      <c r="A20590" s="118"/>
      <c r="B20590" s="136"/>
    </row>
    <row r="20591" spans="1:2" x14ac:dyDescent="0.25">
      <c r="A20591" s="118"/>
      <c r="B20591" s="136"/>
    </row>
    <row r="20592" spans="1:2" x14ac:dyDescent="0.25">
      <c r="A20592" s="118"/>
      <c r="B20592" s="136"/>
    </row>
    <row r="20593" spans="1:2" x14ac:dyDescent="0.25">
      <c r="A20593" s="118"/>
      <c r="B20593" s="136"/>
    </row>
    <row r="20594" spans="1:2" x14ac:dyDescent="0.25">
      <c r="A20594" s="118"/>
      <c r="B20594" s="136"/>
    </row>
    <row r="20595" spans="1:2" x14ac:dyDescent="0.25">
      <c r="A20595" s="118"/>
      <c r="B20595" s="136"/>
    </row>
    <row r="20596" spans="1:2" x14ac:dyDescent="0.25">
      <c r="A20596" s="118"/>
      <c r="B20596" s="136"/>
    </row>
    <row r="20597" spans="1:2" x14ac:dyDescent="0.25">
      <c r="A20597" s="118"/>
      <c r="B20597" s="136"/>
    </row>
    <row r="20598" spans="1:2" x14ac:dyDescent="0.25">
      <c r="A20598" s="118"/>
      <c r="B20598" s="136"/>
    </row>
    <row r="20599" spans="1:2" x14ac:dyDescent="0.25">
      <c r="A20599" s="118"/>
      <c r="B20599" s="136"/>
    </row>
    <row r="20600" spans="1:2" x14ac:dyDescent="0.25">
      <c r="A20600" s="118"/>
      <c r="B20600" s="136"/>
    </row>
    <row r="20601" spans="1:2" x14ac:dyDescent="0.25">
      <c r="A20601" s="118"/>
      <c r="B20601" s="136"/>
    </row>
    <row r="20602" spans="1:2" x14ac:dyDescent="0.25">
      <c r="A20602" s="118"/>
      <c r="B20602" s="136"/>
    </row>
    <row r="20603" spans="1:2" x14ac:dyDescent="0.25">
      <c r="A20603" s="118"/>
      <c r="B20603" s="136"/>
    </row>
    <row r="20604" spans="1:2" x14ac:dyDescent="0.25">
      <c r="A20604" s="118"/>
      <c r="B20604" s="136"/>
    </row>
    <row r="20605" spans="1:2" x14ac:dyDescent="0.25">
      <c r="A20605" s="118"/>
      <c r="B20605" s="136"/>
    </row>
    <row r="20606" spans="1:2" x14ac:dyDescent="0.25">
      <c r="A20606" s="118"/>
      <c r="B20606" s="136"/>
    </row>
    <row r="20607" spans="1:2" x14ac:dyDescent="0.25">
      <c r="A20607" s="118"/>
      <c r="B20607" s="136"/>
    </row>
    <row r="20608" spans="1:2" x14ac:dyDescent="0.25">
      <c r="A20608" s="118"/>
      <c r="B20608" s="136"/>
    </row>
    <row r="20609" spans="1:2" x14ac:dyDescent="0.25">
      <c r="A20609" s="118"/>
      <c r="B20609" s="136"/>
    </row>
    <row r="20610" spans="1:2" x14ac:dyDescent="0.25">
      <c r="A20610" s="118"/>
      <c r="B20610" s="136"/>
    </row>
    <row r="20611" spans="1:2" x14ac:dyDescent="0.25">
      <c r="A20611" s="118"/>
      <c r="B20611" s="136"/>
    </row>
    <row r="20612" spans="1:2" x14ac:dyDescent="0.25">
      <c r="A20612" s="118"/>
      <c r="B20612" s="136"/>
    </row>
    <row r="20613" spans="1:2" x14ac:dyDescent="0.25">
      <c r="A20613" s="118"/>
      <c r="B20613" s="136"/>
    </row>
    <row r="20614" spans="1:2" x14ac:dyDescent="0.25">
      <c r="A20614" s="118"/>
      <c r="B20614" s="136"/>
    </row>
    <row r="20615" spans="1:2" x14ac:dyDescent="0.25">
      <c r="A20615" s="118"/>
      <c r="B20615" s="136"/>
    </row>
    <row r="20616" spans="1:2" x14ac:dyDescent="0.25">
      <c r="A20616" s="118"/>
      <c r="B20616" s="136"/>
    </row>
    <row r="20617" spans="1:2" x14ac:dyDescent="0.25">
      <c r="A20617" s="118"/>
      <c r="B20617" s="136"/>
    </row>
    <row r="20618" spans="1:2" x14ac:dyDescent="0.25">
      <c r="A20618" s="118"/>
      <c r="B20618" s="136"/>
    </row>
    <row r="20619" spans="1:2" x14ac:dyDescent="0.25">
      <c r="A20619" s="118"/>
      <c r="B20619" s="136"/>
    </row>
    <row r="20620" spans="1:2" x14ac:dyDescent="0.25">
      <c r="A20620" s="118"/>
      <c r="B20620" s="136"/>
    </row>
    <row r="20621" spans="1:2" x14ac:dyDescent="0.25">
      <c r="A20621" s="118"/>
      <c r="B20621" s="136"/>
    </row>
    <row r="20622" spans="1:2" x14ac:dyDescent="0.25">
      <c r="A20622" s="118"/>
      <c r="B20622" s="136"/>
    </row>
    <row r="20623" spans="1:2" x14ac:dyDescent="0.25">
      <c r="A20623" s="118"/>
      <c r="B20623" s="136"/>
    </row>
    <row r="20624" spans="1:2" x14ac:dyDescent="0.25">
      <c r="A20624" s="118"/>
      <c r="B20624" s="136"/>
    </row>
    <row r="20625" spans="1:2" x14ac:dyDescent="0.25">
      <c r="A20625" s="118"/>
      <c r="B20625" s="136"/>
    </row>
    <row r="20626" spans="1:2" x14ac:dyDescent="0.25">
      <c r="A20626" s="118"/>
      <c r="B20626" s="136"/>
    </row>
    <row r="20627" spans="1:2" x14ac:dyDescent="0.25">
      <c r="A20627" s="118"/>
      <c r="B20627" s="136"/>
    </row>
    <row r="20628" spans="1:2" x14ac:dyDescent="0.25">
      <c r="A20628" s="118"/>
      <c r="B20628" s="136"/>
    </row>
    <row r="20629" spans="1:2" x14ac:dyDescent="0.25">
      <c r="A20629" s="118"/>
      <c r="B20629" s="136"/>
    </row>
    <row r="20630" spans="1:2" x14ac:dyDescent="0.25">
      <c r="A20630" s="118"/>
      <c r="B20630" s="136"/>
    </row>
    <row r="20631" spans="1:2" x14ac:dyDescent="0.25">
      <c r="A20631" s="118"/>
      <c r="B20631" s="136"/>
    </row>
    <row r="20632" spans="1:2" x14ac:dyDescent="0.25">
      <c r="A20632" s="118"/>
      <c r="B20632" s="136"/>
    </row>
    <row r="20633" spans="1:2" x14ac:dyDescent="0.25">
      <c r="A20633" s="118"/>
      <c r="B20633" s="136"/>
    </row>
    <row r="20634" spans="1:2" x14ac:dyDescent="0.25">
      <c r="A20634" s="118"/>
      <c r="B20634" s="136"/>
    </row>
    <row r="20635" spans="1:2" x14ac:dyDescent="0.25">
      <c r="A20635" s="118"/>
      <c r="B20635" s="136"/>
    </row>
    <row r="20636" spans="1:2" x14ac:dyDescent="0.25">
      <c r="A20636" s="118"/>
      <c r="B20636" s="136"/>
    </row>
    <row r="20637" spans="1:2" x14ac:dyDescent="0.25">
      <c r="A20637" s="118"/>
      <c r="B20637" s="136"/>
    </row>
    <row r="20638" spans="1:2" x14ac:dyDescent="0.25">
      <c r="A20638" s="118"/>
      <c r="B20638" s="136"/>
    </row>
    <row r="20639" spans="1:2" x14ac:dyDescent="0.25">
      <c r="A20639" s="118"/>
      <c r="B20639" s="136"/>
    </row>
    <row r="20640" spans="1:2" x14ac:dyDescent="0.25">
      <c r="A20640" s="118"/>
      <c r="B20640" s="136"/>
    </row>
    <row r="20641" spans="1:2" x14ac:dyDescent="0.25">
      <c r="A20641" s="118"/>
      <c r="B20641" s="136"/>
    </row>
    <row r="20642" spans="1:2" x14ac:dyDescent="0.25">
      <c r="A20642" s="118"/>
      <c r="B20642" s="136"/>
    </row>
    <row r="20643" spans="1:2" x14ac:dyDescent="0.25">
      <c r="A20643" s="118"/>
      <c r="B20643" s="136"/>
    </row>
    <row r="20644" spans="1:2" x14ac:dyDescent="0.25">
      <c r="A20644" s="118"/>
      <c r="B20644" s="136"/>
    </row>
    <row r="20645" spans="1:2" x14ac:dyDescent="0.25">
      <c r="A20645" s="118"/>
      <c r="B20645" s="136"/>
    </row>
    <row r="20646" spans="1:2" x14ac:dyDescent="0.25">
      <c r="A20646" s="118"/>
      <c r="B20646" s="136"/>
    </row>
    <row r="20647" spans="1:2" x14ac:dyDescent="0.25">
      <c r="A20647" s="118"/>
      <c r="B20647" s="136"/>
    </row>
    <row r="20648" spans="1:2" x14ac:dyDescent="0.25">
      <c r="A20648" s="118"/>
      <c r="B20648" s="136"/>
    </row>
    <row r="20649" spans="1:2" x14ac:dyDescent="0.25">
      <c r="A20649" s="118"/>
      <c r="B20649" s="136"/>
    </row>
    <row r="20650" spans="1:2" x14ac:dyDescent="0.25">
      <c r="A20650" s="118"/>
      <c r="B20650" s="136"/>
    </row>
    <row r="20651" spans="1:2" x14ac:dyDescent="0.25">
      <c r="A20651" s="118"/>
      <c r="B20651" s="136"/>
    </row>
    <row r="20652" spans="1:2" x14ac:dyDescent="0.25">
      <c r="A20652" s="118"/>
      <c r="B20652" s="136"/>
    </row>
    <row r="20653" spans="1:2" x14ac:dyDescent="0.25">
      <c r="A20653" s="118"/>
      <c r="B20653" s="136"/>
    </row>
    <row r="20654" spans="1:2" x14ac:dyDescent="0.25">
      <c r="A20654" s="118"/>
      <c r="B20654" s="136"/>
    </row>
    <row r="20655" spans="1:2" x14ac:dyDescent="0.25">
      <c r="A20655" s="118"/>
      <c r="B20655" s="136"/>
    </row>
    <row r="20656" spans="1:2" x14ac:dyDescent="0.25">
      <c r="A20656" s="118"/>
      <c r="B20656" s="136"/>
    </row>
    <row r="20657" spans="1:2" x14ac:dyDescent="0.25">
      <c r="A20657" s="118"/>
      <c r="B20657" s="136"/>
    </row>
    <row r="20658" spans="1:2" x14ac:dyDescent="0.25">
      <c r="A20658" s="118"/>
      <c r="B20658" s="136"/>
    </row>
    <row r="20659" spans="1:2" x14ac:dyDescent="0.25">
      <c r="A20659" s="118"/>
      <c r="B20659" s="136"/>
    </row>
    <row r="20660" spans="1:2" x14ac:dyDescent="0.25">
      <c r="A20660" s="118"/>
      <c r="B20660" s="136"/>
    </row>
    <row r="20661" spans="1:2" x14ac:dyDescent="0.25">
      <c r="A20661" s="118"/>
      <c r="B20661" s="136"/>
    </row>
    <row r="20662" spans="1:2" x14ac:dyDescent="0.25">
      <c r="A20662" s="118"/>
      <c r="B20662" s="136"/>
    </row>
    <row r="20663" spans="1:2" x14ac:dyDescent="0.25">
      <c r="A20663" s="118"/>
      <c r="B20663" s="136"/>
    </row>
    <row r="20664" spans="1:2" x14ac:dyDescent="0.25">
      <c r="A20664" s="118"/>
      <c r="B20664" s="136"/>
    </row>
    <row r="20665" spans="1:2" x14ac:dyDescent="0.25">
      <c r="A20665" s="118"/>
      <c r="B20665" s="136"/>
    </row>
    <row r="20666" spans="1:2" x14ac:dyDescent="0.25">
      <c r="A20666" s="118"/>
      <c r="B20666" s="136"/>
    </row>
    <row r="20667" spans="1:2" x14ac:dyDescent="0.25">
      <c r="A20667" s="118"/>
      <c r="B20667" s="136"/>
    </row>
    <row r="20668" spans="1:2" x14ac:dyDescent="0.25">
      <c r="A20668" s="118"/>
      <c r="B20668" s="136"/>
    </row>
    <row r="20669" spans="1:2" x14ac:dyDescent="0.25">
      <c r="A20669" s="118"/>
      <c r="B20669" s="136"/>
    </row>
    <row r="20670" spans="1:2" x14ac:dyDescent="0.25">
      <c r="A20670" s="118"/>
      <c r="B20670" s="136"/>
    </row>
    <row r="20671" spans="1:2" x14ac:dyDescent="0.25">
      <c r="A20671" s="118"/>
      <c r="B20671" s="136"/>
    </row>
    <row r="20672" spans="1:2" x14ac:dyDescent="0.25">
      <c r="A20672" s="118"/>
      <c r="B20672" s="136"/>
    </row>
    <row r="20673" spans="1:2" x14ac:dyDescent="0.25">
      <c r="A20673" s="118"/>
      <c r="B20673" s="136"/>
    </row>
    <row r="20674" spans="1:2" x14ac:dyDescent="0.25">
      <c r="A20674" s="118"/>
      <c r="B20674" s="136"/>
    </row>
    <row r="20675" spans="1:2" x14ac:dyDescent="0.25">
      <c r="A20675" s="118"/>
      <c r="B20675" s="136"/>
    </row>
    <row r="20676" spans="1:2" x14ac:dyDescent="0.25">
      <c r="A20676" s="118"/>
      <c r="B20676" s="136"/>
    </row>
    <row r="20677" spans="1:2" x14ac:dyDescent="0.25">
      <c r="A20677" s="118"/>
      <c r="B20677" s="136"/>
    </row>
    <row r="20678" spans="1:2" x14ac:dyDescent="0.25">
      <c r="A20678" s="118"/>
      <c r="B20678" s="136"/>
    </row>
    <row r="20679" spans="1:2" x14ac:dyDescent="0.25">
      <c r="A20679" s="118"/>
      <c r="B20679" s="136"/>
    </row>
    <row r="20680" spans="1:2" x14ac:dyDescent="0.25">
      <c r="A20680" s="118"/>
      <c r="B20680" s="136"/>
    </row>
    <row r="20681" spans="1:2" x14ac:dyDescent="0.25">
      <c r="A20681" s="118"/>
      <c r="B20681" s="136"/>
    </row>
    <row r="20682" spans="1:2" x14ac:dyDescent="0.25">
      <c r="A20682" s="118"/>
      <c r="B20682" s="136"/>
    </row>
    <row r="20683" spans="1:2" x14ac:dyDescent="0.25">
      <c r="A20683" s="118"/>
      <c r="B20683" s="136"/>
    </row>
    <row r="20684" spans="1:2" x14ac:dyDescent="0.25">
      <c r="A20684" s="118"/>
      <c r="B20684" s="136"/>
    </row>
    <row r="20685" spans="1:2" x14ac:dyDescent="0.25">
      <c r="A20685" s="118"/>
      <c r="B20685" s="136"/>
    </row>
    <row r="20686" spans="1:2" x14ac:dyDescent="0.25">
      <c r="A20686" s="118"/>
      <c r="B20686" s="136"/>
    </row>
    <row r="20687" spans="1:2" x14ac:dyDescent="0.25">
      <c r="A20687" s="118"/>
      <c r="B20687" s="136"/>
    </row>
    <row r="20688" spans="1:2" x14ac:dyDescent="0.25">
      <c r="A20688" s="118"/>
      <c r="B20688" s="136"/>
    </row>
    <row r="20689" spans="1:2" x14ac:dyDescent="0.25">
      <c r="A20689" s="118"/>
      <c r="B20689" s="136"/>
    </row>
    <row r="20690" spans="1:2" x14ac:dyDescent="0.25">
      <c r="A20690" s="118"/>
      <c r="B20690" s="136"/>
    </row>
    <row r="20691" spans="1:2" x14ac:dyDescent="0.25">
      <c r="A20691" s="118"/>
      <c r="B20691" s="136"/>
    </row>
    <row r="20692" spans="1:2" x14ac:dyDescent="0.25">
      <c r="A20692" s="118"/>
      <c r="B20692" s="136"/>
    </row>
    <row r="20693" spans="1:2" x14ac:dyDescent="0.25">
      <c r="A20693" s="118"/>
      <c r="B20693" s="136"/>
    </row>
    <row r="20694" spans="1:2" x14ac:dyDescent="0.25">
      <c r="A20694" s="118"/>
      <c r="B20694" s="136"/>
    </row>
    <row r="20695" spans="1:2" x14ac:dyDescent="0.25">
      <c r="A20695" s="118"/>
      <c r="B20695" s="136"/>
    </row>
    <row r="20696" spans="1:2" x14ac:dyDescent="0.25">
      <c r="A20696" s="118"/>
      <c r="B20696" s="136"/>
    </row>
    <row r="20697" spans="1:2" x14ac:dyDescent="0.25">
      <c r="A20697" s="118"/>
      <c r="B20697" s="136"/>
    </row>
    <row r="20698" spans="1:2" x14ac:dyDescent="0.25">
      <c r="A20698" s="118"/>
      <c r="B20698" s="136"/>
    </row>
    <row r="20699" spans="1:2" x14ac:dyDescent="0.25">
      <c r="A20699" s="118"/>
      <c r="B20699" s="136"/>
    </row>
    <row r="20700" spans="1:2" x14ac:dyDescent="0.25">
      <c r="A20700" s="118"/>
      <c r="B20700" s="136"/>
    </row>
    <row r="20701" spans="1:2" x14ac:dyDescent="0.25">
      <c r="A20701" s="118"/>
      <c r="B20701" s="136"/>
    </row>
    <row r="20702" spans="1:2" x14ac:dyDescent="0.25">
      <c r="A20702" s="118"/>
      <c r="B20702" s="136"/>
    </row>
    <row r="20703" spans="1:2" x14ac:dyDescent="0.25">
      <c r="A20703" s="118"/>
      <c r="B20703" s="136"/>
    </row>
    <row r="20704" spans="1:2" x14ac:dyDescent="0.25">
      <c r="A20704" s="118"/>
      <c r="B20704" s="136"/>
    </row>
    <row r="20705" spans="1:2" x14ac:dyDescent="0.25">
      <c r="A20705" s="118"/>
      <c r="B20705" s="136"/>
    </row>
    <row r="20706" spans="1:2" x14ac:dyDescent="0.25">
      <c r="A20706" s="118"/>
      <c r="B20706" s="136"/>
    </row>
    <row r="20707" spans="1:2" x14ac:dyDescent="0.25">
      <c r="A20707" s="118"/>
      <c r="B20707" s="136"/>
    </row>
    <row r="20708" spans="1:2" x14ac:dyDescent="0.25">
      <c r="A20708" s="118"/>
      <c r="B20708" s="136"/>
    </row>
    <row r="20709" spans="1:2" x14ac:dyDescent="0.25">
      <c r="A20709" s="118"/>
      <c r="B20709" s="136"/>
    </row>
    <row r="20710" spans="1:2" x14ac:dyDescent="0.25">
      <c r="A20710" s="118"/>
      <c r="B20710" s="136"/>
    </row>
    <row r="20711" spans="1:2" x14ac:dyDescent="0.25">
      <c r="A20711" s="118"/>
      <c r="B20711" s="136"/>
    </row>
    <row r="20712" spans="1:2" x14ac:dyDescent="0.25">
      <c r="A20712" s="118"/>
      <c r="B20712" s="136"/>
    </row>
    <row r="20713" spans="1:2" x14ac:dyDescent="0.25">
      <c r="A20713" s="118"/>
      <c r="B20713" s="136"/>
    </row>
    <row r="20714" spans="1:2" x14ac:dyDescent="0.25">
      <c r="A20714" s="118"/>
      <c r="B20714" s="136"/>
    </row>
    <row r="20715" spans="1:2" x14ac:dyDescent="0.25">
      <c r="A20715" s="118"/>
      <c r="B20715" s="136"/>
    </row>
    <row r="20716" spans="1:2" x14ac:dyDescent="0.25">
      <c r="A20716" s="118"/>
      <c r="B20716" s="136"/>
    </row>
    <row r="20717" spans="1:2" x14ac:dyDescent="0.25">
      <c r="A20717" s="118"/>
      <c r="B20717" s="136"/>
    </row>
    <row r="20718" spans="1:2" x14ac:dyDescent="0.25">
      <c r="A20718" s="118"/>
      <c r="B20718" s="136"/>
    </row>
    <row r="20719" spans="1:2" x14ac:dyDescent="0.25">
      <c r="A20719" s="118"/>
      <c r="B20719" s="136"/>
    </row>
    <row r="20720" spans="1:2" x14ac:dyDescent="0.25">
      <c r="A20720" s="118"/>
      <c r="B20720" s="136"/>
    </row>
    <row r="20721" spans="1:2" x14ac:dyDescent="0.25">
      <c r="A20721" s="118"/>
      <c r="B20721" s="136"/>
    </row>
    <row r="20722" spans="1:2" x14ac:dyDescent="0.25">
      <c r="A20722" s="118"/>
      <c r="B20722" s="136"/>
    </row>
    <row r="20723" spans="1:2" x14ac:dyDescent="0.25">
      <c r="A20723" s="118"/>
      <c r="B20723" s="136"/>
    </row>
    <row r="20724" spans="1:2" x14ac:dyDescent="0.25">
      <c r="A20724" s="118"/>
      <c r="B20724" s="136"/>
    </row>
    <row r="20725" spans="1:2" x14ac:dyDescent="0.25">
      <c r="A20725" s="118"/>
      <c r="B20725" s="136"/>
    </row>
    <row r="20726" spans="1:2" x14ac:dyDescent="0.25">
      <c r="A20726" s="118"/>
      <c r="B20726" s="136"/>
    </row>
    <row r="20727" spans="1:2" x14ac:dyDescent="0.25">
      <c r="A20727" s="118"/>
      <c r="B20727" s="136"/>
    </row>
    <row r="20728" spans="1:2" x14ac:dyDescent="0.25">
      <c r="A20728" s="118"/>
      <c r="B20728" s="136"/>
    </row>
    <row r="20729" spans="1:2" x14ac:dyDescent="0.25">
      <c r="A20729" s="118"/>
      <c r="B20729" s="136"/>
    </row>
    <row r="20730" spans="1:2" x14ac:dyDescent="0.25">
      <c r="A20730" s="118"/>
      <c r="B20730" s="136"/>
    </row>
    <row r="20731" spans="1:2" x14ac:dyDescent="0.25">
      <c r="A20731" s="118"/>
      <c r="B20731" s="136"/>
    </row>
    <row r="20732" spans="1:2" x14ac:dyDescent="0.25">
      <c r="A20732" s="118"/>
      <c r="B20732" s="136"/>
    </row>
    <row r="20733" spans="1:2" x14ac:dyDescent="0.25">
      <c r="A20733" s="118"/>
      <c r="B20733" s="136"/>
    </row>
    <row r="20734" spans="1:2" x14ac:dyDescent="0.25">
      <c r="A20734" s="118"/>
      <c r="B20734" s="136"/>
    </row>
    <row r="20735" spans="1:2" x14ac:dyDescent="0.25">
      <c r="A20735" s="118"/>
      <c r="B20735" s="136"/>
    </row>
    <row r="20736" spans="1:2" x14ac:dyDescent="0.25">
      <c r="A20736" s="118"/>
      <c r="B20736" s="136"/>
    </row>
    <row r="20737" spans="1:2" x14ac:dyDescent="0.25">
      <c r="A20737" s="118"/>
      <c r="B20737" s="136"/>
    </row>
    <row r="20738" spans="1:2" x14ac:dyDescent="0.25">
      <c r="A20738" s="118"/>
      <c r="B20738" s="136"/>
    </row>
    <row r="20739" spans="1:2" x14ac:dyDescent="0.25">
      <c r="A20739" s="118"/>
      <c r="B20739" s="136"/>
    </row>
    <row r="20740" spans="1:2" x14ac:dyDescent="0.25">
      <c r="A20740" s="118"/>
      <c r="B20740" s="136"/>
    </row>
    <row r="20741" spans="1:2" x14ac:dyDescent="0.25">
      <c r="A20741" s="118"/>
      <c r="B20741" s="136"/>
    </row>
    <row r="20742" spans="1:2" x14ac:dyDescent="0.25">
      <c r="A20742" s="118"/>
      <c r="B20742" s="136"/>
    </row>
    <row r="20743" spans="1:2" x14ac:dyDescent="0.25">
      <c r="A20743" s="118"/>
      <c r="B20743" s="136"/>
    </row>
    <row r="20744" spans="1:2" x14ac:dyDescent="0.25">
      <c r="A20744" s="118"/>
      <c r="B20744" s="136"/>
    </row>
    <row r="20745" spans="1:2" x14ac:dyDescent="0.25">
      <c r="A20745" s="118"/>
      <c r="B20745" s="136"/>
    </row>
    <row r="20746" spans="1:2" x14ac:dyDescent="0.25">
      <c r="A20746" s="118"/>
      <c r="B20746" s="136"/>
    </row>
    <row r="20747" spans="1:2" x14ac:dyDescent="0.25">
      <c r="A20747" s="118"/>
      <c r="B20747" s="136"/>
    </row>
    <row r="20748" spans="1:2" x14ac:dyDescent="0.25">
      <c r="A20748" s="118"/>
      <c r="B20748" s="136"/>
    </row>
    <row r="20749" spans="1:2" x14ac:dyDescent="0.25">
      <c r="A20749" s="118"/>
      <c r="B20749" s="136"/>
    </row>
    <row r="20750" spans="1:2" x14ac:dyDescent="0.25">
      <c r="A20750" s="118"/>
      <c r="B20750" s="136"/>
    </row>
    <row r="20751" spans="1:2" x14ac:dyDescent="0.25">
      <c r="A20751" s="118"/>
      <c r="B20751" s="136"/>
    </row>
    <row r="20752" spans="1:2" x14ac:dyDescent="0.25">
      <c r="A20752" s="118"/>
      <c r="B20752" s="136"/>
    </row>
    <row r="20753" spans="1:2" x14ac:dyDescent="0.25">
      <c r="A20753" s="118"/>
      <c r="B20753" s="136"/>
    </row>
    <row r="20754" spans="1:2" x14ac:dyDescent="0.25">
      <c r="A20754" s="118"/>
      <c r="B20754" s="136"/>
    </row>
    <row r="20755" spans="1:2" x14ac:dyDescent="0.25">
      <c r="A20755" s="118"/>
      <c r="B20755" s="136"/>
    </row>
    <row r="20756" spans="1:2" x14ac:dyDescent="0.25">
      <c r="A20756" s="118"/>
      <c r="B20756" s="136"/>
    </row>
    <row r="20757" spans="1:2" x14ac:dyDescent="0.25">
      <c r="A20757" s="118"/>
      <c r="B20757" s="136"/>
    </row>
    <row r="20758" spans="1:2" x14ac:dyDescent="0.25">
      <c r="A20758" s="118"/>
      <c r="B20758" s="136"/>
    </row>
    <row r="20759" spans="1:2" x14ac:dyDescent="0.25">
      <c r="A20759" s="118"/>
      <c r="B20759" s="136"/>
    </row>
    <row r="20760" spans="1:2" x14ac:dyDescent="0.25">
      <c r="A20760" s="118"/>
      <c r="B20760" s="136"/>
    </row>
    <row r="20761" spans="1:2" x14ac:dyDescent="0.25">
      <c r="A20761" s="118"/>
      <c r="B20761" s="136"/>
    </row>
    <row r="20762" spans="1:2" x14ac:dyDescent="0.25">
      <c r="A20762" s="118"/>
      <c r="B20762" s="136"/>
    </row>
    <row r="20763" spans="1:2" x14ac:dyDescent="0.25">
      <c r="A20763" s="118"/>
      <c r="B20763" s="136"/>
    </row>
    <row r="20764" spans="1:2" x14ac:dyDescent="0.25">
      <c r="A20764" s="118"/>
      <c r="B20764" s="136"/>
    </row>
    <row r="20765" spans="1:2" x14ac:dyDescent="0.25">
      <c r="A20765" s="118"/>
      <c r="B20765" s="136"/>
    </row>
    <row r="20766" spans="1:2" x14ac:dyDescent="0.25">
      <c r="A20766" s="118"/>
      <c r="B20766" s="136"/>
    </row>
    <row r="20767" spans="1:2" x14ac:dyDescent="0.25">
      <c r="A20767" s="118"/>
      <c r="B20767" s="136"/>
    </row>
    <row r="20768" spans="1:2" x14ac:dyDescent="0.25">
      <c r="A20768" s="118"/>
      <c r="B20768" s="136"/>
    </row>
    <row r="20769" spans="1:2" x14ac:dyDescent="0.25">
      <c r="A20769" s="118"/>
      <c r="B20769" s="136"/>
    </row>
    <row r="20770" spans="1:2" x14ac:dyDescent="0.25">
      <c r="A20770" s="118"/>
      <c r="B20770" s="136"/>
    </row>
    <row r="20771" spans="1:2" x14ac:dyDescent="0.25">
      <c r="A20771" s="118"/>
      <c r="B20771" s="136"/>
    </row>
    <row r="20772" spans="1:2" x14ac:dyDescent="0.25">
      <c r="A20772" s="118"/>
      <c r="B20772" s="136"/>
    </row>
    <row r="20773" spans="1:2" x14ac:dyDescent="0.25">
      <c r="A20773" s="118"/>
      <c r="B20773" s="136"/>
    </row>
    <row r="20774" spans="1:2" x14ac:dyDescent="0.25">
      <c r="A20774" s="118"/>
      <c r="B20774" s="136"/>
    </row>
    <row r="20775" spans="1:2" x14ac:dyDescent="0.25">
      <c r="A20775" s="118"/>
      <c r="B20775" s="136"/>
    </row>
    <row r="20776" spans="1:2" x14ac:dyDescent="0.25">
      <c r="A20776" s="118"/>
      <c r="B20776" s="136"/>
    </row>
    <row r="20777" spans="1:2" x14ac:dyDescent="0.25">
      <c r="A20777" s="118"/>
      <c r="B20777" s="136"/>
    </row>
    <row r="20778" spans="1:2" x14ac:dyDescent="0.25">
      <c r="A20778" s="118"/>
      <c r="B20778" s="136"/>
    </row>
    <row r="20779" spans="1:2" x14ac:dyDescent="0.25">
      <c r="A20779" s="118"/>
      <c r="B20779" s="136"/>
    </row>
    <row r="20780" spans="1:2" x14ac:dyDescent="0.25">
      <c r="A20780" s="118"/>
      <c r="B20780" s="136"/>
    </row>
    <row r="20781" spans="1:2" x14ac:dyDescent="0.25">
      <c r="A20781" s="118"/>
      <c r="B20781" s="136"/>
    </row>
    <row r="20782" spans="1:2" x14ac:dyDescent="0.25">
      <c r="A20782" s="118"/>
      <c r="B20782" s="136"/>
    </row>
    <row r="20783" spans="1:2" x14ac:dyDescent="0.25">
      <c r="A20783" s="118"/>
      <c r="B20783" s="136"/>
    </row>
    <row r="20784" spans="1:2" x14ac:dyDescent="0.25">
      <c r="A20784" s="118"/>
      <c r="B20784" s="136"/>
    </row>
    <row r="20785" spans="1:2" x14ac:dyDescent="0.25">
      <c r="A20785" s="118"/>
      <c r="B20785" s="136"/>
    </row>
    <row r="20786" spans="1:2" x14ac:dyDescent="0.25">
      <c r="A20786" s="118"/>
      <c r="B20786" s="136"/>
    </row>
    <row r="20787" spans="1:2" x14ac:dyDescent="0.25">
      <c r="A20787" s="118"/>
      <c r="B20787" s="136"/>
    </row>
    <row r="20788" spans="1:2" x14ac:dyDescent="0.25">
      <c r="A20788" s="118"/>
      <c r="B20788" s="136"/>
    </row>
    <row r="20789" spans="1:2" x14ac:dyDescent="0.25">
      <c r="A20789" s="118"/>
      <c r="B20789" s="136"/>
    </row>
    <row r="20790" spans="1:2" x14ac:dyDescent="0.25">
      <c r="A20790" s="118"/>
      <c r="B20790" s="136"/>
    </row>
    <row r="20791" spans="1:2" x14ac:dyDescent="0.25">
      <c r="A20791" s="118"/>
      <c r="B20791" s="136"/>
    </row>
    <row r="20792" spans="1:2" x14ac:dyDescent="0.25">
      <c r="A20792" s="118"/>
      <c r="B20792" s="136"/>
    </row>
    <row r="20793" spans="1:2" x14ac:dyDescent="0.25">
      <c r="A20793" s="118"/>
      <c r="B20793" s="136"/>
    </row>
    <row r="20794" spans="1:2" x14ac:dyDescent="0.25">
      <c r="A20794" s="118"/>
      <c r="B20794" s="136"/>
    </row>
    <row r="20795" spans="1:2" x14ac:dyDescent="0.25">
      <c r="A20795" s="118"/>
      <c r="B20795" s="136"/>
    </row>
    <row r="20796" spans="1:2" x14ac:dyDescent="0.25">
      <c r="A20796" s="118"/>
      <c r="B20796" s="136"/>
    </row>
    <row r="20797" spans="1:2" x14ac:dyDescent="0.25">
      <c r="A20797" s="118"/>
      <c r="B20797" s="136"/>
    </row>
    <row r="20798" spans="1:2" x14ac:dyDescent="0.25">
      <c r="A20798" s="118"/>
      <c r="B20798" s="136"/>
    </row>
    <row r="20799" spans="1:2" x14ac:dyDescent="0.25">
      <c r="A20799" s="118"/>
      <c r="B20799" s="136"/>
    </row>
    <row r="20800" spans="1:2" x14ac:dyDescent="0.25">
      <c r="A20800" s="118"/>
      <c r="B20800" s="136"/>
    </row>
    <row r="20801" spans="1:2" x14ac:dyDescent="0.25">
      <c r="A20801" s="118"/>
      <c r="B20801" s="136"/>
    </row>
    <row r="20802" spans="1:2" x14ac:dyDescent="0.25">
      <c r="A20802" s="118"/>
      <c r="B20802" s="136"/>
    </row>
    <row r="20803" spans="1:2" x14ac:dyDescent="0.25">
      <c r="A20803" s="118"/>
      <c r="B20803" s="136"/>
    </row>
    <row r="20804" spans="1:2" x14ac:dyDescent="0.25">
      <c r="A20804" s="118"/>
      <c r="B20804" s="136"/>
    </row>
    <row r="20805" spans="1:2" x14ac:dyDescent="0.25">
      <c r="A20805" s="118"/>
      <c r="B20805" s="136"/>
    </row>
    <row r="20806" spans="1:2" x14ac:dyDescent="0.25">
      <c r="A20806" s="118"/>
      <c r="B20806" s="136"/>
    </row>
    <row r="20807" spans="1:2" x14ac:dyDescent="0.25">
      <c r="A20807" s="118"/>
      <c r="B20807" s="136"/>
    </row>
    <row r="20808" spans="1:2" x14ac:dyDescent="0.25">
      <c r="A20808" s="118"/>
      <c r="B20808" s="136"/>
    </row>
    <row r="20809" spans="1:2" x14ac:dyDescent="0.25">
      <c r="A20809" s="118"/>
      <c r="B20809" s="136"/>
    </row>
    <row r="20810" spans="1:2" x14ac:dyDescent="0.25">
      <c r="A20810" s="118"/>
      <c r="B20810" s="136"/>
    </row>
    <row r="20811" spans="1:2" x14ac:dyDescent="0.25">
      <c r="A20811" s="118"/>
      <c r="B20811" s="136"/>
    </row>
    <row r="20812" spans="1:2" x14ac:dyDescent="0.25">
      <c r="A20812" s="118"/>
      <c r="B20812" s="136"/>
    </row>
    <row r="20813" spans="1:2" x14ac:dyDescent="0.25">
      <c r="A20813" s="118"/>
      <c r="B20813" s="136"/>
    </row>
    <row r="20814" spans="1:2" x14ac:dyDescent="0.25">
      <c r="A20814" s="118"/>
      <c r="B20814" s="136"/>
    </row>
    <row r="20815" spans="1:2" x14ac:dyDescent="0.25">
      <c r="A20815" s="118"/>
      <c r="B20815" s="136"/>
    </row>
    <row r="20816" spans="1:2" x14ac:dyDescent="0.25">
      <c r="A20816" s="118"/>
      <c r="B20816" s="136"/>
    </row>
    <row r="20817" spans="1:2" x14ac:dyDescent="0.25">
      <c r="A20817" s="118"/>
      <c r="B20817" s="136"/>
    </row>
    <row r="20818" spans="1:2" x14ac:dyDescent="0.25">
      <c r="A20818" s="118"/>
      <c r="B20818" s="136"/>
    </row>
    <row r="20819" spans="1:2" x14ac:dyDescent="0.25">
      <c r="A20819" s="118"/>
      <c r="B20819" s="136"/>
    </row>
    <row r="20820" spans="1:2" x14ac:dyDescent="0.25">
      <c r="A20820" s="118"/>
      <c r="B20820" s="136"/>
    </row>
    <row r="20821" spans="1:2" x14ac:dyDescent="0.25">
      <c r="A20821" s="118"/>
      <c r="B20821" s="136"/>
    </row>
    <row r="20822" spans="1:2" x14ac:dyDescent="0.25">
      <c r="A20822" s="118"/>
      <c r="B20822" s="136"/>
    </row>
    <row r="20823" spans="1:2" x14ac:dyDescent="0.25">
      <c r="A20823" s="118"/>
      <c r="B20823" s="136"/>
    </row>
    <row r="20824" spans="1:2" x14ac:dyDescent="0.25">
      <c r="A20824" s="118"/>
      <c r="B20824" s="136"/>
    </row>
    <row r="20825" spans="1:2" x14ac:dyDescent="0.25">
      <c r="A20825" s="118"/>
      <c r="B20825" s="136"/>
    </row>
    <row r="20826" spans="1:2" x14ac:dyDescent="0.25">
      <c r="A20826" s="118"/>
      <c r="B20826" s="136"/>
    </row>
    <row r="20827" spans="1:2" x14ac:dyDescent="0.25">
      <c r="A20827" s="118"/>
      <c r="B20827" s="136"/>
    </row>
    <row r="20828" spans="1:2" x14ac:dyDescent="0.25">
      <c r="A20828" s="118"/>
      <c r="B20828" s="136"/>
    </row>
    <row r="20829" spans="1:2" x14ac:dyDescent="0.25">
      <c r="A20829" s="118"/>
      <c r="B20829" s="136"/>
    </row>
    <row r="20830" spans="1:2" x14ac:dyDescent="0.25">
      <c r="A20830" s="118"/>
      <c r="B20830" s="136"/>
    </row>
    <row r="20831" spans="1:2" x14ac:dyDescent="0.25">
      <c r="A20831" s="118"/>
      <c r="B20831" s="136"/>
    </row>
    <row r="20832" spans="1:2" x14ac:dyDescent="0.25">
      <c r="A20832" s="118"/>
      <c r="B20832" s="136"/>
    </row>
    <row r="20833" spans="1:2" x14ac:dyDescent="0.25">
      <c r="A20833" s="118"/>
      <c r="B20833" s="136"/>
    </row>
    <row r="20834" spans="1:2" x14ac:dyDescent="0.25">
      <c r="A20834" s="118"/>
      <c r="B20834" s="136"/>
    </row>
    <row r="20835" spans="1:2" x14ac:dyDescent="0.25">
      <c r="A20835" s="118"/>
      <c r="B20835" s="136"/>
    </row>
    <row r="20836" spans="1:2" x14ac:dyDescent="0.25">
      <c r="A20836" s="118"/>
      <c r="B20836" s="136"/>
    </row>
    <row r="20837" spans="1:2" x14ac:dyDescent="0.25">
      <c r="A20837" s="118"/>
      <c r="B20837" s="136"/>
    </row>
    <row r="20838" spans="1:2" x14ac:dyDescent="0.25">
      <c r="A20838" s="118"/>
      <c r="B20838" s="136"/>
    </row>
    <row r="20839" spans="1:2" x14ac:dyDescent="0.25">
      <c r="A20839" s="118"/>
      <c r="B20839" s="136"/>
    </row>
    <row r="20840" spans="1:2" x14ac:dyDescent="0.25">
      <c r="A20840" s="118"/>
      <c r="B20840" s="136"/>
    </row>
    <row r="20841" spans="1:2" x14ac:dyDescent="0.25">
      <c r="A20841" s="118"/>
      <c r="B20841" s="136"/>
    </row>
    <row r="20842" spans="1:2" x14ac:dyDescent="0.25">
      <c r="A20842" s="118"/>
      <c r="B20842" s="136"/>
    </row>
    <row r="20843" spans="1:2" x14ac:dyDescent="0.25">
      <c r="A20843" s="118"/>
      <c r="B20843" s="136"/>
    </row>
    <row r="20844" spans="1:2" x14ac:dyDescent="0.25">
      <c r="A20844" s="118"/>
      <c r="B20844" s="136"/>
    </row>
    <row r="20845" spans="1:2" x14ac:dyDescent="0.25">
      <c r="A20845" s="118"/>
      <c r="B20845" s="136"/>
    </row>
    <row r="20846" spans="1:2" x14ac:dyDescent="0.25">
      <c r="A20846" s="118"/>
      <c r="B20846" s="136"/>
    </row>
    <row r="20847" spans="1:2" x14ac:dyDescent="0.25">
      <c r="A20847" s="118"/>
      <c r="B20847" s="136"/>
    </row>
    <row r="20848" spans="1:2" x14ac:dyDescent="0.25">
      <c r="A20848" s="118"/>
      <c r="B20848" s="136"/>
    </row>
    <row r="20849" spans="1:2" x14ac:dyDescent="0.25">
      <c r="A20849" s="118"/>
      <c r="B20849" s="136"/>
    </row>
    <row r="20850" spans="1:2" x14ac:dyDescent="0.25">
      <c r="A20850" s="118"/>
      <c r="B20850" s="136"/>
    </row>
    <row r="20851" spans="1:2" x14ac:dyDescent="0.25">
      <c r="A20851" s="118"/>
      <c r="B20851" s="136"/>
    </row>
    <row r="20852" spans="1:2" x14ac:dyDescent="0.25">
      <c r="A20852" s="118"/>
      <c r="B20852" s="136"/>
    </row>
    <row r="20853" spans="1:2" x14ac:dyDescent="0.25">
      <c r="A20853" s="118"/>
      <c r="B20853" s="136"/>
    </row>
    <row r="20854" spans="1:2" x14ac:dyDescent="0.25">
      <c r="A20854" s="118"/>
      <c r="B20854" s="136"/>
    </row>
    <row r="20855" spans="1:2" x14ac:dyDescent="0.25">
      <c r="A20855" s="118"/>
      <c r="B20855" s="136"/>
    </row>
    <row r="20856" spans="1:2" x14ac:dyDescent="0.25">
      <c r="A20856" s="118"/>
      <c r="B20856" s="136"/>
    </row>
    <row r="20857" spans="1:2" x14ac:dyDescent="0.25">
      <c r="A20857" s="118"/>
      <c r="B20857" s="136"/>
    </row>
    <row r="20858" spans="1:2" x14ac:dyDescent="0.25">
      <c r="A20858" s="118"/>
      <c r="B20858" s="136"/>
    </row>
    <row r="20859" spans="1:2" x14ac:dyDescent="0.25">
      <c r="A20859" s="118"/>
      <c r="B20859" s="136"/>
    </row>
    <row r="20860" spans="1:2" x14ac:dyDescent="0.25">
      <c r="A20860" s="118"/>
      <c r="B20860" s="136"/>
    </row>
    <row r="20861" spans="1:2" x14ac:dyDescent="0.25">
      <c r="A20861" s="118"/>
      <c r="B20861" s="136"/>
    </row>
    <row r="20862" spans="1:2" x14ac:dyDescent="0.25">
      <c r="A20862" s="118"/>
      <c r="B20862" s="136"/>
    </row>
    <row r="20863" spans="1:2" x14ac:dyDescent="0.25">
      <c r="A20863" s="118"/>
      <c r="B20863" s="136"/>
    </row>
    <row r="20864" spans="1:2" x14ac:dyDescent="0.25">
      <c r="A20864" s="118"/>
      <c r="B20864" s="136"/>
    </row>
    <row r="20865" spans="1:2" x14ac:dyDescent="0.25">
      <c r="A20865" s="118"/>
      <c r="B20865" s="136"/>
    </row>
    <row r="20866" spans="1:2" x14ac:dyDescent="0.25">
      <c r="A20866" s="118"/>
      <c r="B20866" s="136"/>
    </row>
    <row r="20867" spans="1:2" x14ac:dyDescent="0.25">
      <c r="A20867" s="118"/>
      <c r="B20867" s="136"/>
    </row>
    <row r="20868" spans="1:2" x14ac:dyDescent="0.25">
      <c r="A20868" s="118"/>
      <c r="B20868" s="136"/>
    </row>
    <row r="20869" spans="1:2" x14ac:dyDescent="0.25">
      <c r="A20869" s="118"/>
      <c r="B20869" s="136"/>
    </row>
    <row r="20870" spans="1:2" x14ac:dyDescent="0.25">
      <c r="A20870" s="118"/>
      <c r="B20870" s="136"/>
    </row>
    <row r="20871" spans="1:2" x14ac:dyDescent="0.25">
      <c r="A20871" s="118"/>
      <c r="B20871" s="136"/>
    </row>
    <row r="20872" spans="1:2" x14ac:dyDescent="0.25">
      <c r="A20872" s="118"/>
      <c r="B20872" s="136"/>
    </row>
    <row r="20873" spans="1:2" x14ac:dyDescent="0.25">
      <c r="A20873" s="118"/>
      <c r="B20873" s="136"/>
    </row>
    <row r="20874" spans="1:2" x14ac:dyDescent="0.25">
      <c r="A20874" s="118"/>
      <c r="B20874" s="136"/>
    </row>
    <row r="20875" spans="1:2" x14ac:dyDescent="0.25">
      <c r="A20875" s="118"/>
      <c r="B20875" s="136"/>
    </row>
    <row r="20876" spans="1:2" x14ac:dyDescent="0.25">
      <c r="A20876" s="118"/>
      <c r="B20876" s="136"/>
    </row>
    <row r="20877" spans="1:2" x14ac:dyDescent="0.25">
      <c r="A20877" s="118"/>
      <c r="B20877" s="136"/>
    </row>
    <row r="20878" spans="1:2" x14ac:dyDescent="0.25">
      <c r="A20878" s="118"/>
      <c r="B20878" s="136"/>
    </row>
    <row r="20879" spans="1:2" x14ac:dyDescent="0.25">
      <c r="A20879" s="118"/>
      <c r="B20879" s="136"/>
    </row>
    <row r="20880" spans="1:2" x14ac:dyDescent="0.25">
      <c r="A20880" s="118"/>
      <c r="B20880" s="136"/>
    </row>
    <row r="20881" spans="1:2" x14ac:dyDescent="0.25">
      <c r="A20881" s="118"/>
      <c r="B20881" s="136"/>
    </row>
    <row r="20882" spans="1:2" x14ac:dyDescent="0.25">
      <c r="A20882" s="118"/>
      <c r="B20882" s="136"/>
    </row>
    <row r="20883" spans="1:2" x14ac:dyDescent="0.25">
      <c r="A20883" s="118"/>
      <c r="B20883" s="136"/>
    </row>
    <row r="20884" spans="1:2" x14ac:dyDescent="0.25">
      <c r="A20884" s="118"/>
      <c r="B20884" s="136"/>
    </row>
    <row r="20885" spans="1:2" x14ac:dyDescent="0.25">
      <c r="A20885" s="118"/>
      <c r="B20885" s="136"/>
    </row>
    <row r="20886" spans="1:2" x14ac:dyDescent="0.25">
      <c r="A20886" s="118"/>
      <c r="B20886" s="136"/>
    </row>
    <row r="20887" spans="1:2" x14ac:dyDescent="0.25">
      <c r="A20887" s="118"/>
      <c r="B20887" s="136"/>
    </row>
    <row r="20888" spans="1:2" x14ac:dyDescent="0.25">
      <c r="A20888" s="118"/>
      <c r="B20888" s="136"/>
    </row>
    <row r="20889" spans="1:2" x14ac:dyDescent="0.25">
      <c r="A20889" s="118"/>
      <c r="B20889" s="136"/>
    </row>
    <row r="20890" spans="1:2" x14ac:dyDescent="0.25">
      <c r="A20890" s="118"/>
      <c r="B20890" s="136"/>
    </row>
    <row r="20891" spans="1:2" x14ac:dyDescent="0.25">
      <c r="A20891" s="118"/>
      <c r="B20891" s="136"/>
    </row>
    <row r="20892" spans="1:2" x14ac:dyDescent="0.25">
      <c r="A20892" s="118"/>
      <c r="B20892" s="136"/>
    </row>
    <row r="20893" spans="1:2" x14ac:dyDescent="0.25">
      <c r="A20893" s="118"/>
      <c r="B20893" s="136"/>
    </row>
    <row r="20894" spans="1:2" x14ac:dyDescent="0.25">
      <c r="A20894" s="118"/>
      <c r="B20894" s="136"/>
    </row>
    <row r="20895" spans="1:2" x14ac:dyDescent="0.25">
      <c r="A20895" s="118"/>
      <c r="B20895" s="136"/>
    </row>
    <row r="20896" spans="1:2" x14ac:dyDescent="0.25">
      <c r="A20896" s="118"/>
      <c r="B20896" s="136"/>
    </row>
    <row r="20897" spans="1:2" x14ac:dyDescent="0.25">
      <c r="A20897" s="118"/>
      <c r="B20897" s="136"/>
    </row>
    <row r="20898" spans="1:2" x14ac:dyDescent="0.25">
      <c r="A20898" s="118"/>
      <c r="B20898" s="136"/>
    </row>
    <row r="20899" spans="1:2" x14ac:dyDescent="0.25">
      <c r="A20899" s="118"/>
      <c r="B20899" s="136"/>
    </row>
    <row r="20900" spans="1:2" x14ac:dyDescent="0.25">
      <c r="A20900" s="118"/>
      <c r="B20900" s="136"/>
    </row>
    <row r="20901" spans="1:2" x14ac:dyDescent="0.25">
      <c r="A20901" s="118"/>
      <c r="B20901" s="136"/>
    </row>
    <row r="20902" spans="1:2" x14ac:dyDescent="0.25">
      <c r="A20902" s="118"/>
      <c r="B20902" s="136"/>
    </row>
    <row r="20903" spans="1:2" x14ac:dyDescent="0.25">
      <c r="A20903" s="118"/>
      <c r="B20903" s="136"/>
    </row>
    <row r="20904" spans="1:2" x14ac:dyDescent="0.25">
      <c r="A20904" s="118"/>
      <c r="B20904" s="136"/>
    </row>
    <row r="20905" spans="1:2" x14ac:dyDescent="0.25">
      <c r="A20905" s="118"/>
      <c r="B20905" s="136"/>
    </row>
    <row r="20906" spans="1:2" x14ac:dyDescent="0.25">
      <c r="A20906" s="118"/>
      <c r="B20906" s="136"/>
    </row>
    <row r="20907" spans="1:2" x14ac:dyDescent="0.25">
      <c r="A20907" s="118"/>
      <c r="B20907" s="136"/>
    </row>
    <row r="20908" spans="1:2" x14ac:dyDescent="0.25">
      <c r="A20908" s="118"/>
      <c r="B20908" s="136"/>
    </row>
    <row r="20909" spans="1:2" x14ac:dyDescent="0.25">
      <c r="A20909" s="118"/>
      <c r="B20909" s="136"/>
    </row>
    <row r="20910" spans="1:2" x14ac:dyDescent="0.25">
      <c r="A20910" s="118"/>
      <c r="B20910" s="136"/>
    </row>
    <row r="20911" spans="1:2" x14ac:dyDescent="0.25">
      <c r="A20911" s="118"/>
      <c r="B20911" s="136"/>
    </row>
    <row r="20912" spans="1:2" x14ac:dyDescent="0.25">
      <c r="A20912" s="118"/>
      <c r="B20912" s="136"/>
    </row>
    <row r="20913" spans="1:2" x14ac:dyDescent="0.25">
      <c r="A20913" s="118"/>
      <c r="B20913" s="136"/>
    </row>
    <row r="20914" spans="1:2" x14ac:dyDescent="0.25">
      <c r="A20914" s="118"/>
      <c r="B20914" s="136"/>
    </row>
    <row r="20915" spans="1:2" x14ac:dyDescent="0.25">
      <c r="A20915" s="118"/>
      <c r="B20915" s="136"/>
    </row>
    <row r="20916" spans="1:2" x14ac:dyDescent="0.25">
      <c r="A20916" s="118"/>
      <c r="B20916" s="136"/>
    </row>
    <row r="20917" spans="1:2" x14ac:dyDescent="0.25">
      <c r="A20917" s="118"/>
      <c r="B20917" s="136"/>
    </row>
    <row r="20918" spans="1:2" x14ac:dyDescent="0.25">
      <c r="A20918" s="118"/>
      <c r="B20918" s="136"/>
    </row>
    <row r="20919" spans="1:2" x14ac:dyDescent="0.25">
      <c r="A20919" s="118"/>
      <c r="B20919" s="136"/>
    </row>
    <row r="20920" spans="1:2" x14ac:dyDescent="0.25">
      <c r="A20920" s="118"/>
      <c r="B20920" s="136"/>
    </row>
    <row r="20921" spans="1:2" x14ac:dyDescent="0.25">
      <c r="A20921" s="118"/>
      <c r="B20921" s="136"/>
    </row>
    <row r="20922" spans="1:2" x14ac:dyDescent="0.25">
      <c r="A20922" s="118"/>
      <c r="B20922" s="136"/>
    </row>
    <row r="20923" spans="1:2" x14ac:dyDescent="0.25">
      <c r="A20923" s="118"/>
      <c r="B20923" s="136"/>
    </row>
    <row r="20924" spans="1:2" x14ac:dyDescent="0.25">
      <c r="A20924" s="118"/>
      <c r="B20924" s="136"/>
    </row>
    <row r="20925" spans="1:2" x14ac:dyDescent="0.25">
      <c r="A20925" s="118"/>
      <c r="B20925" s="136"/>
    </row>
    <row r="20926" spans="1:2" x14ac:dyDescent="0.25">
      <c r="A20926" s="118"/>
      <c r="B20926" s="136"/>
    </row>
    <row r="20927" spans="1:2" x14ac:dyDescent="0.25">
      <c r="A20927" s="118"/>
      <c r="B20927" s="136"/>
    </row>
    <row r="20928" spans="1:2" x14ac:dyDescent="0.25">
      <c r="A20928" s="118"/>
      <c r="B20928" s="136"/>
    </row>
    <row r="20929" spans="1:2" x14ac:dyDescent="0.25">
      <c r="A20929" s="118"/>
      <c r="B20929" s="136"/>
    </row>
    <row r="20930" spans="1:2" x14ac:dyDescent="0.25">
      <c r="A20930" s="118"/>
      <c r="B20930" s="136"/>
    </row>
    <row r="20931" spans="1:2" x14ac:dyDescent="0.25">
      <c r="A20931" s="118"/>
      <c r="B20931" s="136"/>
    </row>
    <row r="20932" spans="1:2" x14ac:dyDescent="0.25">
      <c r="A20932" s="118"/>
      <c r="B20932" s="136"/>
    </row>
    <row r="20933" spans="1:2" x14ac:dyDescent="0.25">
      <c r="A20933" s="118"/>
      <c r="B20933" s="136"/>
    </row>
    <row r="20934" spans="1:2" x14ac:dyDescent="0.25">
      <c r="A20934" s="118"/>
      <c r="B20934" s="136"/>
    </row>
    <row r="20935" spans="1:2" x14ac:dyDescent="0.25">
      <c r="A20935" s="118"/>
      <c r="B20935" s="136"/>
    </row>
    <row r="20936" spans="1:2" x14ac:dyDescent="0.25">
      <c r="A20936" s="118"/>
      <c r="B20936" s="136"/>
    </row>
    <row r="20937" spans="1:2" x14ac:dyDescent="0.25">
      <c r="A20937" s="118"/>
      <c r="B20937" s="136"/>
    </row>
    <row r="20938" spans="1:2" x14ac:dyDescent="0.25">
      <c r="A20938" s="118"/>
      <c r="B20938" s="136"/>
    </row>
    <row r="20939" spans="1:2" x14ac:dyDescent="0.25">
      <c r="A20939" s="118"/>
      <c r="B20939" s="136"/>
    </row>
    <row r="20940" spans="1:2" x14ac:dyDescent="0.25">
      <c r="A20940" s="118"/>
      <c r="B20940" s="136"/>
    </row>
    <row r="20941" spans="1:2" x14ac:dyDescent="0.25">
      <c r="A20941" s="118"/>
      <c r="B20941" s="136"/>
    </row>
    <row r="20942" spans="1:2" x14ac:dyDescent="0.25">
      <c r="A20942" s="118"/>
      <c r="B20942" s="136"/>
    </row>
    <row r="20943" spans="1:2" x14ac:dyDescent="0.25">
      <c r="A20943" s="118"/>
      <c r="B20943" s="136"/>
    </row>
    <row r="20944" spans="1:2" x14ac:dyDescent="0.25">
      <c r="A20944" s="118"/>
      <c r="B20944" s="136"/>
    </row>
    <row r="20945" spans="1:2" x14ac:dyDescent="0.25">
      <c r="A20945" s="118"/>
      <c r="B20945" s="136"/>
    </row>
    <row r="20946" spans="1:2" x14ac:dyDescent="0.25">
      <c r="A20946" s="118"/>
      <c r="B20946" s="136"/>
    </row>
    <row r="20947" spans="1:2" x14ac:dyDescent="0.25">
      <c r="A20947" s="118"/>
      <c r="B20947" s="136"/>
    </row>
    <row r="20948" spans="1:2" x14ac:dyDescent="0.25">
      <c r="A20948" s="118"/>
      <c r="B20948" s="136"/>
    </row>
    <row r="20949" spans="1:2" x14ac:dyDescent="0.25">
      <c r="A20949" s="118"/>
      <c r="B20949" s="136"/>
    </row>
    <row r="20950" spans="1:2" x14ac:dyDescent="0.25">
      <c r="A20950" s="118"/>
      <c r="B20950" s="136"/>
    </row>
    <row r="20951" spans="1:2" x14ac:dyDescent="0.25">
      <c r="A20951" s="118"/>
      <c r="B20951" s="136"/>
    </row>
    <row r="20952" spans="1:2" x14ac:dyDescent="0.25">
      <c r="A20952" s="118"/>
      <c r="B20952" s="136"/>
    </row>
    <row r="20953" spans="1:2" x14ac:dyDescent="0.25">
      <c r="A20953" s="118"/>
      <c r="B20953" s="136"/>
    </row>
    <row r="20954" spans="1:2" x14ac:dyDescent="0.25">
      <c r="A20954" s="118"/>
      <c r="B20954" s="136"/>
    </row>
    <row r="20955" spans="1:2" x14ac:dyDescent="0.25">
      <c r="A20955" s="118"/>
      <c r="B20955" s="136"/>
    </row>
    <row r="20956" spans="1:2" x14ac:dyDescent="0.25">
      <c r="A20956" s="118"/>
      <c r="B20956" s="136"/>
    </row>
    <row r="20957" spans="1:2" x14ac:dyDescent="0.25">
      <c r="A20957" s="118"/>
      <c r="B20957" s="136"/>
    </row>
    <row r="20958" spans="1:2" x14ac:dyDescent="0.25">
      <c r="A20958" s="118"/>
      <c r="B20958" s="136"/>
    </row>
    <row r="20959" spans="1:2" x14ac:dyDescent="0.25">
      <c r="A20959" s="118"/>
      <c r="B20959" s="136"/>
    </row>
    <row r="20960" spans="1:2" x14ac:dyDescent="0.25">
      <c r="A20960" s="118"/>
      <c r="B20960" s="136"/>
    </row>
    <row r="20961" spans="1:2" x14ac:dyDescent="0.25">
      <c r="A20961" s="118"/>
      <c r="B20961" s="136"/>
    </row>
    <row r="20962" spans="1:2" x14ac:dyDescent="0.25">
      <c r="A20962" s="118"/>
      <c r="B20962" s="136"/>
    </row>
    <row r="20963" spans="1:2" x14ac:dyDescent="0.25">
      <c r="A20963" s="118"/>
      <c r="B20963" s="136"/>
    </row>
    <row r="20964" spans="1:2" x14ac:dyDescent="0.25">
      <c r="A20964" s="118"/>
      <c r="B20964" s="136"/>
    </row>
    <row r="20965" spans="1:2" x14ac:dyDescent="0.25">
      <c r="A20965" s="118"/>
      <c r="B20965" s="136"/>
    </row>
    <row r="20966" spans="1:2" x14ac:dyDescent="0.25">
      <c r="A20966" s="118"/>
      <c r="B20966" s="136"/>
    </row>
    <row r="20967" spans="1:2" x14ac:dyDescent="0.25">
      <c r="A20967" s="118"/>
      <c r="B20967" s="136"/>
    </row>
    <row r="20968" spans="1:2" x14ac:dyDescent="0.25">
      <c r="A20968" s="118"/>
      <c r="B20968" s="136"/>
    </row>
    <row r="20969" spans="1:2" x14ac:dyDescent="0.25">
      <c r="A20969" s="118"/>
      <c r="B20969" s="136"/>
    </row>
    <row r="20970" spans="1:2" x14ac:dyDescent="0.25">
      <c r="A20970" s="118"/>
      <c r="B20970" s="136"/>
    </row>
    <row r="20971" spans="1:2" x14ac:dyDescent="0.25">
      <c r="A20971" s="118"/>
      <c r="B20971" s="136"/>
    </row>
    <row r="20972" spans="1:2" x14ac:dyDescent="0.25">
      <c r="A20972" s="118"/>
      <c r="B20972" s="136"/>
    </row>
    <row r="20973" spans="1:2" x14ac:dyDescent="0.25">
      <c r="A20973" s="118"/>
      <c r="B20973" s="136"/>
    </row>
    <row r="20974" spans="1:2" x14ac:dyDescent="0.25">
      <c r="A20974" s="118"/>
      <c r="B20974" s="136"/>
    </row>
    <row r="20975" spans="1:2" x14ac:dyDescent="0.25">
      <c r="A20975" s="118"/>
      <c r="B20975" s="136"/>
    </row>
    <row r="20976" spans="1:2" x14ac:dyDescent="0.25">
      <c r="A20976" s="118"/>
      <c r="B20976" s="136"/>
    </row>
    <row r="20977" spans="1:2" x14ac:dyDescent="0.25">
      <c r="A20977" s="118"/>
      <c r="B20977" s="136"/>
    </row>
    <row r="20978" spans="1:2" x14ac:dyDescent="0.25">
      <c r="A20978" s="118"/>
      <c r="B20978" s="136"/>
    </row>
    <row r="20979" spans="1:2" x14ac:dyDescent="0.25">
      <c r="A20979" s="118"/>
      <c r="B20979" s="136"/>
    </row>
    <row r="20980" spans="1:2" x14ac:dyDescent="0.25">
      <c r="A20980" s="118"/>
      <c r="B20980" s="136"/>
    </row>
    <row r="20981" spans="1:2" x14ac:dyDescent="0.25">
      <c r="A20981" s="118"/>
      <c r="B20981" s="136"/>
    </row>
    <row r="20982" spans="1:2" x14ac:dyDescent="0.25">
      <c r="A20982" s="118"/>
      <c r="B20982" s="136"/>
    </row>
    <row r="20983" spans="1:2" x14ac:dyDescent="0.25">
      <c r="A20983" s="118"/>
      <c r="B20983" s="136"/>
    </row>
    <row r="20984" spans="1:2" x14ac:dyDescent="0.25">
      <c r="A20984" s="118"/>
      <c r="B20984" s="136"/>
    </row>
    <row r="20985" spans="1:2" x14ac:dyDescent="0.25">
      <c r="A20985" s="118"/>
      <c r="B20985" s="136"/>
    </row>
    <row r="20986" spans="1:2" x14ac:dyDescent="0.25">
      <c r="A20986" s="118"/>
      <c r="B20986" s="136"/>
    </row>
    <row r="20987" spans="1:2" x14ac:dyDescent="0.25">
      <c r="A20987" s="118"/>
      <c r="B20987" s="136"/>
    </row>
    <row r="20988" spans="1:2" x14ac:dyDescent="0.25">
      <c r="A20988" s="118"/>
      <c r="B20988" s="136"/>
    </row>
    <row r="20989" spans="1:2" x14ac:dyDescent="0.25">
      <c r="A20989" s="118"/>
      <c r="B20989" s="136"/>
    </row>
    <row r="20990" spans="1:2" x14ac:dyDescent="0.25">
      <c r="A20990" s="118"/>
      <c r="B20990" s="136"/>
    </row>
    <row r="20991" spans="1:2" x14ac:dyDescent="0.25">
      <c r="A20991" s="118"/>
      <c r="B20991" s="136"/>
    </row>
    <row r="20992" spans="1:2" x14ac:dyDescent="0.25">
      <c r="A20992" s="118"/>
      <c r="B20992" s="136"/>
    </row>
    <row r="20993" spans="1:2" x14ac:dyDescent="0.25">
      <c r="A20993" s="118"/>
      <c r="B20993" s="136"/>
    </row>
    <row r="20994" spans="1:2" x14ac:dyDescent="0.25">
      <c r="A20994" s="118"/>
      <c r="B20994" s="136"/>
    </row>
    <row r="20995" spans="1:2" x14ac:dyDescent="0.25">
      <c r="A20995" s="118"/>
      <c r="B20995" s="136"/>
    </row>
    <row r="20996" spans="1:2" x14ac:dyDescent="0.25">
      <c r="A20996" s="118"/>
      <c r="B20996" s="136"/>
    </row>
    <row r="20997" spans="1:2" x14ac:dyDescent="0.25">
      <c r="A20997" s="118"/>
      <c r="B20997" s="136"/>
    </row>
    <row r="20998" spans="1:2" x14ac:dyDescent="0.25">
      <c r="A20998" s="118"/>
      <c r="B20998" s="136"/>
    </row>
    <row r="20999" spans="1:2" x14ac:dyDescent="0.25">
      <c r="A20999" s="118"/>
      <c r="B20999" s="136"/>
    </row>
    <row r="21000" spans="1:2" x14ac:dyDescent="0.25">
      <c r="A21000" s="118"/>
      <c r="B21000" s="136"/>
    </row>
    <row r="21001" spans="1:2" x14ac:dyDescent="0.25">
      <c r="A21001" s="118"/>
      <c r="B21001" s="136"/>
    </row>
    <row r="21002" spans="1:2" x14ac:dyDescent="0.25">
      <c r="A21002" s="118"/>
      <c r="B21002" s="136"/>
    </row>
    <row r="21003" spans="1:2" x14ac:dyDescent="0.25">
      <c r="A21003" s="118"/>
      <c r="B21003" s="136"/>
    </row>
    <row r="21004" spans="1:2" x14ac:dyDescent="0.25">
      <c r="A21004" s="118"/>
      <c r="B21004" s="136"/>
    </row>
    <row r="21005" spans="1:2" x14ac:dyDescent="0.25">
      <c r="A21005" s="118"/>
      <c r="B21005" s="136"/>
    </row>
    <row r="21006" spans="1:2" x14ac:dyDescent="0.25">
      <c r="A21006" s="118"/>
      <c r="B21006" s="136"/>
    </row>
    <row r="21007" spans="1:2" x14ac:dyDescent="0.25">
      <c r="A21007" s="118"/>
      <c r="B21007" s="136"/>
    </row>
    <row r="21008" spans="1:2" x14ac:dyDescent="0.25">
      <c r="A21008" s="118"/>
      <c r="B21008" s="136"/>
    </row>
    <row r="21009" spans="1:2" x14ac:dyDescent="0.25">
      <c r="A21009" s="118"/>
      <c r="B21009" s="136"/>
    </row>
    <row r="21010" spans="1:2" x14ac:dyDescent="0.25">
      <c r="A21010" s="118"/>
      <c r="B21010" s="136"/>
    </row>
    <row r="21011" spans="1:2" x14ac:dyDescent="0.25">
      <c r="A21011" s="118"/>
      <c r="B21011" s="136"/>
    </row>
    <row r="21012" spans="1:2" x14ac:dyDescent="0.25">
      <c r="A21012" s="118"/>
      <c r="B21012" s="136"/>
    </row>
    <row r="21013" spans="1:2" x14ac:dyDescent="0.25">
      <c r="A21013" s="118"/>
      <c r="B21013" s="136"/>
    </row>
    <row r="21014" spans="1:2" x14ac:dyDescent="0.25">
      <c r="A21014" s="118"/>
      <c r="B21014" s="136"/>
    </row>
    <row r="21015" spans="1:2" x14ac:dyDescent="0.25">
      <c r="A21015" s="118"/>
      <c r="B21015" s="136"/>
    </row>
    <row r="21016" spans="1:2" x14ac:dyDescent="0.25">
      <c r="A21016" s="118"/>
      <c r="B21016" s="136"/>
    </row>
    <row r="21017" spans="1:2" x14ac:dyDescent="0.25">
      <c r="A21017" s="118"/>
      <c r="B21017" s="136"/>
    </row>
    <row r="21018" spans="1:2" x14ac:dyDescent="0.25">
      <c r="A21018" s="118"/>
      <c r="B21018" s="136"/>
    </row>
    <row r="21019" spans="1:2" x14ac:dyDescent="0.25">
      <c r="A21019" s="118"/>
      <c r="B21019" s="136"/>
    </row>
    <row r="21020" spans="1:2" x14ac:dyDescent="0.25">
      <c r="A21020" s="118"/>
      <c r="B21020" s="136"/>
    </row>
    <row r="21021" spans="1:2" x14ac:dyDescent="0.25">
      <c r="A21021" s="118"/>
      <c r="B21021" s="136"/>
    </row>
    <row r="21022" spans="1:2" x14ac:dyDescent="0.25">
      <c r="A21022" s="118"/>
      <c r="B21022" s="136"/>
    </row>
    <row r="21023" spans="1:2" x14ac:dyDescent="0.25">
      <c r="A21023" s="118"/>
      <c r="B21023" s="136"/>
    </row>
    <row r="21024" spans="1:2" x14ac:dyDescent="0.25">
      <c r="A21024" s="118"/>
      <c r="B21024" s="136"/>
    </row>
    <row r="21025" spans="1:2" x14ac:dyDescent="0.25">
      <c r="A21025" s="118"/>
      <c r="B21025" s="136"/>
    </row>
    <row r="21026" spans="1:2" x14ac:dyDescent="0.25">
      <c r="A21026" s="118"/>
      <c r="B21026" s="136"/>
    </row>
    <row r="21027" spans="1:2" x14ac:dyDescent="0.25">
      <c r="A21027" s="118"/>
      <c r="B21027" s="136"/>
    </row>
    <row r="21028" spans="1:2" x14ac:dyDescent="0.25">
      <c r="A21028" s="118"/>
      <c r="B21028" s="136"/>
    </row>
    <row r="21029" spans="1:2" x14ac:dyDescent="0.25">
      <c r="A21029" s="118"/>
      <c r="B21029" s="136"/>
    </row>
    <row r="21030" spans="1:2" x14ac:dyDescent="0.25">
      <c r="A21030" s="118"/>
      <c r="B21030" s="136"/>
    </row>
    <row r="21031" spans="1:2" x14ac:dyDescent="0.25">
      <c r="A21031" s="118"/>
      <c r="B21031" s="136"/>
    </row>
    <row r="21032" spans="1:2" x14ac:dyDescent="0.25">
      <c r="A21032" s="118"/>
      <c r="B21032" s="136"/>
    </row>
    <row r="21033" spans="1:2" x14ac:dyDescent="0.25">
      <c r="A21033" s="118"/>
      <c r="B21033" s="136"/>
    </row>
    <row r="21034" spans="1:2" x14ac:dyDescent="0.25">
      <c r="A21034" s="118"/>
      <c r="B21034" s="136"/>
    </row>
    <row r="21035" spans="1:2" x14ac:dyDescent="0.25">
      <c r="A21035" s="118"/>
      <c r="B21035" s="136"/>
    </row>
    <row r="21036" spans="1:2" x14ac:dyDescent="0.25">
      <c r="A21036" s="118"/>
      <c r="B21036" s="136"/>
    </row>
    <row r="21037" spans="1:2" x14ac:dyDescent="0.25">
      <c r="A21037" s="118"/>
      <c r="B21037" s="136"/>
    </row>
    <row r="21038" spans="1:2" x14ac:dyDescent="0.25">
      <c r="A21038" s="118"/>
      <c r="B21038" s="136"/>
    </row>
    <row r="21039" spans="1:2" x14ac:dyDescent="0.25">
      <c r="A21039" s="118"/>
      <c r="B21039" s="136"/>
    </row>
    <row r="21040" spans="1:2" x14ac:dyDescent="0.25">
      <c r="A21040" s="118"/>
      <c r="B21040" s="136"/>
    </row>
    <row r="21041" spans="1:2" x14ac:dyDescent="0.25">
      <c r="A21041" s="118"/>
      <c r="B21041" s="136"/>
    </row>
    <row r="21042" spans="1:2" x14ac:dyDescent="0.25">
      <c r="A21042" s="118"/>
      <c r="B21042" s="136"/>
    </row>
    <row r="21043" spans="1:2" x14ac:dyDescent="0.25">
      <c r="A21043" s="118"/>
      <c r="B21043" s="136"/>
    </row>
    <row r="21044" spans="1:2" x14ac:dyDescent="0.25">
      <c r="A21044" s="118"/>
      <c r="B21044" s="136"/>
    </row>
    <row r="21045" spans="1:2" x14ac:dyDescent="0.25">
      <c r="A21045" s="118"/>
      <c r="B21045" s="136"/>
    </row>
    <row r="21046" spans="1:2" x14ac:dyDescent="0.25">
      <c r="A21046" s="118"/>
      <c r="B21046" s="136"/>
    </row>
    <row r="21047" spans="1:2" x14ac:dyDescent="0.25">
      <c r="A21047" s="118"/>
      <c r="B21047" s="136"/>
    </row>
    <row r="21048" spans="1:2" x14ac:dyDescent="0.25">
      <c r="A21048" s="118"/>
      <c r="B21048" s="136"/>
    </row>
    <row r="21049" spans="1:2" x14ac:dyDescent="0.25">
      <c r="A21049" s="118"/>
      <c r="B21049" s="136"/>
    </row>
    <row r="21050" spans="1:2" x14ac:dyDescent="0.25">
      <c r="A21050" s="118"/>
      <c r="B21050" s="136"/>
    </row>
    <row r="21051" spans="1:2" x14ac:dyDescent="0.25">
      <c r="A21051" s="118"/>
      <c r="B21051" s="136"/>
    </row>
    <row r="21052" spans="1:2" x14ac:dyDescent="0.25">
      <c r="A21052" s="118"/>
      <c r="B21052" s="136"/>
    </row>
    <row r="21053" spans="1:2" x14ac:dyDescent="0.25">
      <c r="A21053" s="118"/>
      <c r="B21053" s="136"/>
    </row>
    <row r="21054" spans="1:2" x14ac:dyDescent="0.25">
      <c r="A21054" s="118"/>
      <c r="B21054" s="136"/>
    </row>
    <row r="21055" spans="1:2" x14ac:dyDescent="0.25">
      <c r="A21055" s="118"/>
      <c r="B21055" s="136"/>
    </row>
    <row r="21056" spans="1:2" x14ac:dyDescent="0.25">
      <c r="A21056" s="118"/>
      <c r="B21056" s="136"/>
    </row>
    <row r="21057" spans="1:2" x14ac:dyDescent="0.25">
      <c r="A21057" s="118"/>
      <c r="B21057" s="136"/>
    </row>
    <row r="21058" spans="1:2" x14ac:dyDescent="0.25">
      <c r="A21058" s="118"/>
      <c r="B21058" s="136"/>
    </row>
    <row r="21059" spans="1:2" x14ac:dyDescent="0.25">
      <c r="A21059" s="118"/>
      <c r="B21059" s="136"/>
    </row>
    <row r="21060" spans="1:2" x14ac:dyDescent="0.25">
      <c r="A21060" s="118"/>
      <c r="B21060" s="136"/>
    </row>
    <row r="21061" spans="1:2" x14ac:dyDescent="0.25">
      <c r="A21061" s="118"/>
      <c r="B21061" s="136"/>
    </row>
    <row r="21062" spans="1:2" x14ac:dyDescent="0.25">
      <c r="A21062" s="118"/>
      <c r="B21062" s="136"/>
    </row>
    <row r="21063" spans="1:2" x14ac:dyDescent="0.25">
      <c r="A21063" s="118"/>
      <c r="B21063" s="136"/>
    </row>
    <row r="21064" spans="1:2" x14ac:dyDescent="0.25">
      <c r="A21064" s="118"/>
      <c r="B21064" s="136"/>
    </row>
    <row r="21065" spans="1:2" x14ac:dyDescent="0.25">
      <c r="A21065" s="118"/>
      <c r="B21065" s="136"/>
    </row>
    <row r="21066" spans="1:2" x14ac:dyDescent="0.25">
      <c r="A21066" s="118"/>
      <c r="B21066" s="136"/>
    </row>
    <row r="21067" spans="1:2" x14ac:dyDescent="0.25">
      <c r="A21067" s="118"/>
      <c r="B21067" s="136"/>
    </row>
    <row r="21068" spans="1:2" x14ac:dyDescent="0.25">
      <c r="A21068" s="118"/>
      <c r="B21068" s="136"/>
    </row>
    <row r="21069" spans="1:2" x14ac:dyDescent="0.25">
      <c r="A21069" s="118"/>
      <c r="B21069" s="136"/>
    </row>
    <row r="21070" spans="1:2" x14ac:dyDescent="0.25">
      <c r="A21070" s="118"/>
      <c r="B21070" s="136"/>
    </row>
    <row r="21071" spans="1:2" x14ac:dyDescent="0.25">
      <c r="A21071" s="118"/>
      <c r="B21071" s="136"/>
    </row>
    <row r="21072" spans="1:2" x14ac:dyDescent="0.25">
      <c r="A21072" s="118"/>
      <c r="B21072" s="136"/>
    </row>
    <row r="21073" spans="1:2" x14ac:dyDescent="0.25">
      <c r="A21073" s="118"/>
      <c r="B21073" s="136"/>
    </row>
    <row r="21074" spans="1:2" x14ac:dyDescent="0.25">
      <c r="A21074" s="118"/>
      <c r="B21074" s="136"/>
    </row>
    <row r="21075" spans="1:2" x14ac:dyDescent="0.25">
      <c r="A21075" s="118"/>
      <c r="B21075" s="136"/>
    </row>
    <row r="21076" spans="1:2" x14ac:dyDescent="0.25">
      <c r="A21076" s="118"/>
      <c r="B21076" s="136"/>
    </row>
    <row r="21077" spans="1:2" x14ac:dyDescent="0.25">
      <c r="A21077" s="118"/>
      <c r="B21077" s="136"/>
    </row>
    <row r="21078" spans="1:2" x14ac:dyDescent="0.25">
      <c r="A21078" s="118"/>
      <c r="B21078" s="136"/>
    </row>
    <row r="21079" spans="1:2" x14ac:dyDescent="0.25">
      <c r="A21079" s="118"/>
      <c r="B21079" s="136"/>
    </row>
    <row r="21080" spans="1:2" x14ac:dyDescent="0.25">
      <c r="A21080" s="118"/>
      <c r="B21080" s="136"/>
    </row>
    <row r="21081" spans="1:2" x14ac:dyDescent="0.25">
      <c r="A21081" s="118"/>
      <c r="B21081" s="136"/>
    </row>
    <row r="21082" spans="1:2" x14ac:dyDescent="0.25">
      <c r="A21082" s="118"/>
      <c r="B21082" s="136"/>
    </row>
    <row r="21083" spans="1:2" x14ac:dyDescent="0.25">
      <c r="A21083" s="118"/>
      <c r="B21083" s="136"/>
    </row>
    <row r="21084" spans="1:2" x14ac:dyDescent="0.25">
      <c r="A21084" s="118"/>
      <c r="B21084" s="136"/>
    </row>
    <row r="21085" spans="1:2" x14ac:dyDescent="0.25">
      <c r="A21085" s="118"/>
      <c r="B21085" s="136"/>
    </row>
    <row r="21086" spans="1:2" x14ac:dyDescent="0.25">
      <c r="A21086" s="118"/>
      <c r="B21086" s="136"/>
    </row>
    <row r="21087" spans="1:2" x14ac:dyDescent="0.25">
      <c r="A21087" s="118"/>
      <c r="B21087" s="136"/>
    </row>
    <row r="21088" spans="1:2" x14ac:dyDescent="0.25">
      <c r="A21088" s="118"/>
      <c r="B21088" s="136"/>
    </row>
    <row r="21089" spans="1:2" x14ac:dyDescent="0.25">
      <c r="A21089" s="118"/>
      <c r="B21089" s="136"/>
    </row>
    <row r="21090" spans="1:2" x14ac:dyDescent="0.25">
      <c r="A21090" s="118"/>
      <c r="B21090" s="136"/>
    </row>
    <row r="21091" spans="1:2" x14ac:dyDescent="0.25">
      <c r="A21091" s="118"/>
      <c r="B21091" s="136"/>
    </row>
    <row r="21092" spans="1:2" x14ac:dyDescent="0.25">
      <c r="A21092" s="118"/>
      <c r="B21092" s="136"/>
    </row>
    <row r="21093" spans="1:2" x14ac:dyDescent="0.25">
      <c r="A21093" s="118"/>
      <c r="B21093" s="136"/>
    </row>
    <row r="21094" spans="1:2" x14ac:dyDescent="0.25">
      <c r="A21094" s="118"/>
      <c r="B21094" s="136"/>
    </row>
    <row r="21095" spans="1:2" x14ac:dyDescent="0.25">
      <c r="A21095" s="118"/>
      <c r="B21095" s="136"/>
    </row>
    <row r="21096" spans="1:2" x14ac:dyDescent="0.25">
      <c r="A21096" s="118"/>
      <c r="B21096" s="136"/>
    </row>
    <row r="21097" spans="1:2" x14ac:dyDescent="0.25">
      <c r="A21097" s="118"/>
      <c r="B21097" s="136"/>
    </row>
    <row r="21098" spans="1:2" x14ac:dyDescent="0.25">
      <c r="A21098" s="118"/>
      <c r="B21098" s="136"/>
    </row>
    <row r="21099" spans="1:2" x14ac:dyDescent="0.25">
      <c r="A21099" s="118"/>
      <c r="B21099" s="136"/>
    </row>
    <row r="21100" spans="1:2" x14ac:dyDescent="0.25">
      <c r="A21100" s="118"/>
      <c r="B21100" s="136"/>
    </row>
    <row r="21101" spans="1:2" x14ac:dyDescent="0.25">
      <c r="A21101" s="118"/>
      <c r="B21101" s="136"/>
    </row>
    <row r="21102" spans="1:2" x14ac:dyDescent="0.25">
      <c r="A21102" s="118"/>
      <c r="B21102" s="136"/>
    </row>
    <row r="21103" spans="1:2" x14ac:dyDescent="0.25">
      <c r="A21103" s="118"/>
      <c r="B21103" s="136"/>
    </row>
    <row r="21104" spans="1:2" x14ac:dyDescent="0.25">
      <c r="A21104" s="118"/>
      <c r="B21104" s="136"/>
    </row>
    <row r="21105" spans="1:2" x14ac:dyDescent="0.25">
      <c r="A21105" s="118"/>
      <c r="B21105" s="136"/>
    </row>
    <row r="21106" spans="1:2" x14ac:dyDescent="0.25">
      <c r="A21106" s="118"/>
      <c r="B21106" s="136"/>
    </row>
    <row r="21107" spans="1:2" x14ac:dyDescent="0.25">
      <c r="A21107" s="118"/>
      <c r="B21107" s="136"/>
    </row>
    <row r="21108" spans="1:2" x14ac:dyDescent="0.25">
      <c r="A21108" s="118"/>
      <c r="B21108" s="136"/>
    </row>
    <row r="21109" spans="1:2" x14ac:dyDescent="0.25">
      <c r="A21109" s="118"/>
      <c r="B21109" s="136"/>
    </row>
    <row r="21110" spans="1:2" x14ac:dyDescent="0.25">
      <c r="A21110" s="118"/>
      <c r="B21110" s="136"/>
    </row>
    <row r="21111" spans="1:2" x14ac:dyDescent="0.25">
      <c r="A21111" s="118"/>
      <c r="B21111" s="136"/>
    </row>
    <row r="21112" spans="1:2" x14ac:dyDescent="0.25">
      <c r="A21112" s="118"/>
      <c r="B21112" s="136"/>
    </row>
    <row r="21113" spans="1:2" x14ac:dyDescent="0.25">
      <c r="A21113" s="118"/>
      <c r="B21113" s="136"/>
    </row>
    <row r="21114" spans="1:2" x14ac:dyDescent="0.25">
      <c r="A21114" s="118"/>
      <c r="B21114" s="136"/>
    </row>
    <row r="21115" spans="1:2" x14ac:dyDescent="0.25">
      <c r="A21115" s="118"/>
      <c r="B21115" s="136"/>
    </row>
    <row r="21116" spans="1:2" x14ac:dyDescent="0.25">
      <c r="A21116" s="118"/>
      <c r="B21116" s="136"/>
    </row>
    <row r="21117" spans="1:2" x14ac:dyDescent="0.25">
      <c r="A21117" s="118"/>
      <c r="B21117" s="136"/>
    </row>
    <row r="21118" spans="1:2" x14ac:dyDescent="0.25">
      <c r="A21118" s="118"/>
      <c r="B21118" s="136"/>
    </row>
    <row r="21119" spans="1:2" x14ac:dyDescent="0.25">
      <c r="A21119" s="118"/>
      <c r="B21119" s="136"/>
    </row>
    <row r="21120" spans="1:2" x14ac:dyDescent="0.25">
      <c r="A21120" s="118"/>
      <c r="B21120" s="136"/>
    </row>
    <row r="21121" spans="1:2" x14ac:dyDescent="0.25">
      <c r="A21121" s="118"/>
      <c r="B21121" s="136"/>
    </row>
    <row r="21122" spans="1:2" x14ac:dyDescent="0.25">
      <c r="A21122" s="118"/>
      <c r="B21122" s="136"/>
    </row>
    <row r="21123" spans="1:2" x14ac:dyDescent="0.25">
      <c r="A21123" s="118"/>
      <c r="B21123" s="136"/>
    </row>
    <row r="21124" spans="1:2" x14ac:dyDescent="0.25">
      <c r="A21124" s="118"/>
      <c r="B21124" s="136"/>
    </row>
    <row r="21125" spans="1:2" x14ac:dyDescent="0.25">
      <c r="A21125" s="118"/>
      <c r="B21125" s="136"/>
    </row>
    <row r="21126" spans="1:2" x14ac:dyDescent="0.25">
      <c r="A21126" s="118"/>
      <c r="B21126" s="136"/>
    </row>
    <row r="21127" spans="1:2" x14ac:dyDescent="0.25">
      <c r="A21127" s="118"/>
      <c r="B21127" s="136"/>
    </row>
    <row r="21128" spans="1:2" x14ac:dyDescent="0.25">
      <c r="A21128" s="118"/>
      <c r="B21128" s="136"/>
    </row>
    <row r="21129" spans="1:2" x14ac:dyDescent="0.25">
      <c r="A21129" s="118"/>
      <c r="B21129" s="136"/>
    </row>
    <row r="21130" spans="1:2" x14ac:dyDescent="0.25">
      <c r="A21130" s="118"/>
      <c r="B21130" s="136"/>
    </row>
    <row r="21131" spans="1:2" x14ac:dyDescent="0.25">
      <c r="A21131" s="118"/>
      <c r="B21131" s="136"/>
    </row>
    <row r="21132" spans="1:2" x14ac:dyDescent="0.25">
      <c r="A21132" s="118"/>
      <c r="B21132" s="136"/>
    </row>
    <row r="21133" spans="1:2" x14ac:dyDescent="0.25">
      <c r="A21133" s="118"/>
      <c r="B21133" s="136"/>
    </row>
    <row r="21134" spans="1:2" x14ac:dyDescent="0.25">
      <c r="A21134" s="118"/>
      <c r="B21134" s="136"/>
    </row>
    <row r="21135" spans="1:2" x14ac:dyDescent="0.25">
      <c r="A21135" s="118"/>
      <c r="B21135" s="136"/>
    </row>
    <row r="21136" spans="1:2" x14ac:dyDescent="0.25">
      <c r="A21136" s="118"/>
      <c r="B21136" s="136"/>
    </row>
    <row r="21137" spans="1:2" x14ac:dyDescent="0.25">
      <c r="A21137" s="118"/>
      <c r="B21137" s="136"/>
    </row>
    <row r="21138" spans="1:2" x14ac:dyDescent="0.25">
      <c r="A21138" s="118"/>
      <c r="B21138" s="136"/>
    </row>
    <row r="21139" spans="1:2" x14ac:dyDescent="0.25">
      <c r="A21139" s="118"/>
      <c r="B21139" s="136"/>
    </row>
    <row r="21140" spans="1:2" x14ac:dyDescent="0.25">
      <c r="A21140" s="118"/>
      <c r="B21140" s="136"/>
    </row>
    <row r="21141" spans="1:2" x14ac:dyDescent="0.25">
      <c r="A21141" s="118"/>
      <c r="B21141" s="136"/>
    </row>
    <row r="21142" spans="1:2" x14ac:dyDescent="0.25">
      <c r="A21142" s="118"/>
      <c r="B21142" s="136"/>
    </row>
    <row r="21143" spans="1:2" x14ac:dyDescent="0.25">
      <c r="A21143" s="118"/>
      <c r="B21143" s="136"/>
    </row>
    <row r="21144" spans="1:2" x14ac:dyDescent="0.25">
      <c r="A21144" s="118"/>
      <c r="B21144" s="136"/>
    </row>
    <row r="21145" spans="1:2" x14ac:dyDescent="0.25">
      <c r="A21145" s="118"/>
      <c r="B21145" s="136"/>
    </row>
    <row r="21146" spans="1:2" x14ac:dyDescent="0.25">
      <c r="A21146" s="118"/>
      <c r="B21146" s="136"/>
    </row>
    <row r="21147" spans="1:2" x14ac:dyDescent="0.25">
      <c r="A21147" s="118"/>
      <c r="B21147" s="136"/>
    </row>
    <row r="21148" spans="1:2" x14ac:dyDescent="0.25">
      <c r="A21148" s="118"/>
      <c r="B21148" s="136"/>
    </row>
    <row r="21149" spans="1:2" x14ac:dyDescent="0.25">
      <c r="A21149" s="118"/>
      <c r="B21149" s="136"/>
    </row>
    <row r="21150" spans="1:2" x14ac:dyDescent="0.25">
      <c r="A21150" s="118"/>
      <c r="B21150" s="136"/>
    </row>
    <row r="21151" spans="1:2" x14ac:dyDescent="0.25">
      <c r="A21151" s="118"/>
      <c r="B21151" s="136"/>
    </row>
    <row r="21152" spans="1:2" x14ac:dyDescent="0.25">
      <c r="A21152" s="118"/>
      <c r="B21152" s="136"/>
    </row>
    <row r="21153" spans="1:2" x14ac:dyDescent="0.25">
      <c r="A21153" s="118"/>
      <c r="B21153" s="136"/>
    </row>
    <row r="21154" spans="1:2" x14ac:dyDescent="0.25">
      <c r="A21154" s="118"/>
      <c r="B21154" s="136"/>
    </row>
    <row r="21155" spans="1:2" x14ac:dyDescent="0.25">
      <c r="A21155" s="118"/>
      <c r="B21155" s="136"/>
    </row>
    <row r="21156" spans="1:2" x14ac:dyDescent="0.25">
      <c r="A21156" s="118"/>
      <c r="B21156" s="136"/>
    </row>
    <row r="21157" spans="1:2" x14ac:dyDescent="0.25">
      <c r="A21157" s="118"/>
      <c r="B21157" s="136"/>
    </row>
    <row r="21158" spans="1:2" x14ac:dyDescent="0.25">
      <c r="A21158" s="118"/>
      <c r="B21158" s="136"/>
    </row>
    <row r="21159" spans="1:2" x14ac:dyDescent="0.25">
      <c r="A21159" s="118"/>
      <c r="B21159" s="136"/>
    </row>
    <row r="21160" spans="1:2" x14ac:dyDescent="0.25">
      <c r="A21160" s="118"/>
      <c r="B21160" s="136"/>
    </row>
    <row r="21161" spans="1:2" x14ac:dyDescent="0.25">
      <c r="A21161" s="118"/>
      <c r="B21161" s="136"/>
    </row>
    <row r="21162" spans="1:2" x14ac:dyDescent="0.25">
      <c r="A21162" s="118"/>
      <c r="B21162" s="136"/>
    </row>
    <row r="21163" spans="1:2" x14ac:dyDescent="0.25">
      <c r="A21163" s="118"/>
      <c r="B21163" s="136"/>
    </row>
    <row r="21164" spans="1:2" x14ac:dyDescent="0.25">
      <c r="A21164" s="118"/>
      <c r="B21164" s="136"/>
    </row>
    <row r="21165" spans="1:2" x14ac:dyDescent="0.25">
      <c r="A21165" s="118"/>
      <c r="B21165" s="136"/>
    </row>
    <row r="21166" spans="1:2" x14ac:dyDescent="0.25">
      <c r="A21166" s="118"/>
      <c r="B21166" s="136"/>
    </row>
    <row r="21167" spans="1:2" x14ac:dyDescent="0.25">
      <c r="A21167" s="118"/>
      <c r="B21167" s="136"/>
    </row>
    <row r="21168" spans="1:2" x14ac:dyDescent="0.25">
      <c r="A21168" s="118"/>
      <c r="B21168" s="136"/>
    </row>
    <row r="21169" spans="1:2" x14ac:dyDescent="0.25">
      <c r="A21169" s="118"/>
      <c r="B21169" s="136"/>
    </row>
    <row r="21170" spans="1:2" x14ac:dyDescent="0.25">
      <c r="A21170" s="118"/>
      <c r="B21170" s="136"/>
    </row>
    <row r="21171" spans="1:2" x14ac:dyDescent="0.25">
      <c r="A21171" s="118"/>
      <c r="B21171" s="136"/>
    </row>
    <row r="21172" spans="1:2" x14ac:dyDescent="0.25">
      <c r="A21172" s="118"/>
      <c r="B21172" s="136"/>
    </row>
    <row r="21173" spans="1:2" x14ac:dyDescent="0.25">
      <c r="A21173" s="118"/>
      <c r="B21173" s="136"/>
    </row>
    <row r="21174" spans="1:2" x14ac:dyDescent="0.25">
      <c r="A21174" s="118"/>
      <c r="B21174" s="136"/>
    </row>
    <row r="21175" spans="1:2" x14ac:dyDescent="0.25">
      <c r="A21175" s="118"/>
      <c r="B21175" s="136"/>
    </row>
    <row r="21176" spans="1:2" x14ac:dyDescent="0.25">
      <c r="A21176" s="118"/>
      <c r="B21176" s="136"/>
    </row>
    <row r="21177" spans="1:2" x14ac:dyDescent="0.25">
      <c r="A21177" s="118"/>
      <c r="B21177" s="136"/>
    </row>
    <row r="21178" spans="1:2" x14ac:dyDescent="0.25">
      <c r="A21178" s="118"/>
      <c r="B21178" s="136"/>
    </row>
    <row r="21179" spans="1:2" x14ac:dyDescent="0.25">
      <c r="A21179" s="118"/>
      <c r="B21179" s="136"/>
    </row>
    <row r="21180" spans="1:2" x14ac:dyDescent="0.25">
      <c r="A21180" s="118"/>
      <c r="B21180" s="136"/>
    </row>
    <row r="21181" spans="1:2" x14ac:dyDescent="0.25">
      <c r="A21181" s="118"/>
      <c r="B21181" s="136"/>
    </row>
    <row r="21182" spans="1:2" x14ac:dyDescent="0.25">
      <c r="A21182" s="118"/>
      <c r="B21182" s="136"/>
    </row>
    <row r="21183" spans="1:2" x14ac:dyDescent="0.25">
      <c r="A21183" s="118"/>
      <c r="B21183" s="136"/>
    </row>
    <row r="21184" spans="1:2" x14ac:dyDescent="0.25">
      <c r="A21184" s="118"/>
      <c r="B21184" s="136"/>
    </row>
    <row r="21185" spans="1:2" x14ac:dyDescent="0.25">
      <c r="A21185" s="118"/>
      <c r="B21185" s="136"/>
    </row>
    <row r="21186" spans="1:2" x14ac:dyDescent="0.25">
      <c r="A21186" s="118"/>
      <c r="B21186" s="136"/>
    </row>
    <row r="21187" spans="1:2" x14ac:dyDescent="0.25">
      <c r="A21187" s="118"/>
      <c r="B21187" s="136"/>
    </row>
    <row r="21188" spans="1:2" x14ac:dyDescent="0.25">
      <c r="A21188" s="118"/>
      <c r="B21188" s="136"/>
    </row>
    <row r="21189" spans="1:2" x14ac:dyDescent="0.25">
      <c r="A21189" s="118"/>
      <c r="B21189" s="136"/>
    </row>
    <row r="21190" spans="1:2" x14ac:dyDescent="0.25">
      <c r="A21190" s="118"/>
      <c r="B21190" s="136"/>
    </row>
    <row r="21191" spans="1:2" x14ac:dyDescent="0.25">
      <c r="A21191" s="118"/>
      <c r="B21191" s="136"/>
    </row>
    <row r="21192" spans="1:2" x14ac:dyDescent="0.25">
      <c r="A21192" s="118"/>
      <c r="B21192" s="136"/>
    </row>
    <row r="21193" spans="1:2" x14ac:dyDescent="0.25">
      <c r="A21193" s="118"/>
      <c r="B21193" s="136"/>
    </row>
    <row r="21194" spans="1:2" x14ac:dyDescent="0.25">
      <c r="A21194" s="118"/>
      <c r="B21194" s="136"/>
    </row>
    <row r="21195" spans="1:2" x14ac:dyDescent="0.25">
      <c r="A21195" s="118"/>
      <c r="B21195" s="136"/>
    </row>
    <row r="21196" spans="1:2" x14ac:dyDescent="0.25">
      <c r="A21196" s="118"/>
      <c r="B21196" s="136"/>
    </row>
    <row r="21197" spans="1:2" x14ac:dyDescent="0.25">
      <c r="A21197" s="118"/>
      <c r="B21197" s="136"/>
    </row>
    <row r="21198" spans="1:2" x14ac:dyDescent="0.25">
      <c r="A21198" s="118"/>
      <c r="B21198" s="136"/>
    </row>
    <row r="21199" spans="1:2" x14ac:dyDescent="0.25">
      <c r="A21199" s="118"/>
      <c r="B21199" s="136"/>
    </row>
    <row r="21200" spans="1:2" x14ac:dyDescent="0.25">
      <c r="A21200" s="118"/>
      <c r="B21200" s="136"/>
    </row>
    <row r="21201" spans="1:2" x14ac:dyDescent="0.25">
      <c r="A21201" s="118"/>
      <c r="B21201" s="136"/>
    </row>
    <row r="21202" spans="1:2" x14ac:dyDescent="0.25">
      <c r="A21202" s="118"/>
      <c r="B21202" s="136"/>
    </row>
    <row r="21203" spans="1:2" x14ac:dyDescent="0.25">
      <c r="A21203" s="118"/>
      <c r="B21203" s="136"/>
    </row>
    <row r="21204" spans="1:2" x14ac:dyDescent="0.25">
      <c r="A21204" s="118"/>
      <c r="B21204" s="136"/>
    </row>
    <row r="21205" spans="1:2" x14ac:dyDescent="0.25">
      <c r="A21205" s="118"/>
      <c r="B21205" s="136"/>
    </row>
    <row r="21206" spans="1:2" x14ac:dyDescent="0.25">
      <c r="A21206" s="118"/>
      <c r="B21206" s="136"/>
    </row>
    <row r="21207" spans="1:2" x14ac:dyDescent="0.25">
      <c r="A21207" s="118"/>
      <c r="B21207" s="136"/>
    </row>
    <row r="21208" spans="1:2" x14ac:dyDescent="0.25">
      <c r="A21208" s="118"/>
      <c r="B21208" s="136"/>
    </row>
    <row r="21209" spans="1:2" x14ac:dyDescent="0.25">
      <c r="A21209" s="118"/>
      <c r="B21209" s="136"/>
    </row>
    <row r="21210" spans="1:2" x14ac:dyDescent="0.25">
      <c r="A21210" s="118"/>
      <c r="B21210" s="136"/>
    </row>
    <row r="21211" spans="1:2" x14ac:dyDescent="0.25">
      <c r="A21211" s="118"/>
      <c r="B21211" s="136"/>
    </row>
    <row r="21212" spans="1:2" x14ac:dyDescent="0.25">
      <c r="A21212" s="118"/>
      <c r="B21212" s="136"/>
    </row>
    <row r="21213" spans="1:2" x14ac:dyDescent="0.25">
      <c r="A21213" s="118"/>
      <c r="B21213" s="136"/>
    </row>
    <row r="21214" spans="1:2" x14ac:dyDescent="0.25">
      <c r="A21214" s="118"/>
      <c r="B21214" s="136"/>
    </row>
    <row r="21215" spans="1:2" x14ac:dyDescent="0.25">
      <c r="A21215" s="118"/>
      <c r="B21215" s="136"/>
    </row>
    <row r="21216" spans="1:2" x14ac:dyDescent="0.25">
      <c r="A21216" s="118"/>
      <c r="B21216" s="136"/>
    </row>
    <row r="21217" spans="1:2" x14ac:dyDescent="0.25">
      <c r="A21217" s="118"/>
      <c r="B21217" s="136"/>
    </row>
    <row r="21218" spans="1:2" x14ac:dyDescent="0.25">
      <c r="A21218" s="118"/>
      <c r="B21218" s="136"/>
    </row>
    <row r="21219" spans="1:2" x14ac:dyDescent="0.25">
      <c r="A21219" s="118"/>
      <c r="B21219" s="136"/>
    </row>
    <row r="21220" spans="1:2" x14ac:dyDescent="0.25">
      <c r="A21220" s="118"/>
      <c r="B21220" s="136"/>
    </row>
    <row r="21221" spans="1:2" x14ac:dyDescent="0.25">
      <c r="A21221" s="118"/>
      <c r="B21221" s="136"/>
    </row>
    <row r="21222" spans="1:2" x14ac:dyDescent="0.25">
      <c r="A21222" s="118"/>
      <c r="B21222" s="136"/>
    </row>
    <row r="21223" spans="1:2" x14ac:dyDescent="0.25">
      <c r="A21223" s="118"/>
      <c r="B21223" s="136"/>
    </row>
    <row r="21224" spans="1:2" x14ac:dyDescent="0.25">
      <c r="A21224" s="118"/>
      <c r="B21224" s="136"/>
    </row>
    <row r="21225" spans="1:2" x14ac:dyDescent="0.25">
      <c r="A21225" s="118"/>
      <c r="B21225" s="136"/>
    </row>
    <row r="21226" spans="1:2" x14ac:dyDescent="0.25">
      <c r="A21226" s="118"/>
      <c r="B21226" s="136"/>
    </row>
    <row r="21227" spans="1:2" x14ac:dyDescent="0.25">
      <c r="A21227" s="118"/>
      <c r="B21227" s="136"/>
    </row>
    <row r="21228" spans="1:2" x14ac:dyDescent="0.25">
      <c r="A21228" s="118"/>
      <c r="B21228" s="136"/>
    </row>
    <row r="21229" spans="1:2" x14ac:dyDescent="0.25">
      <c r="A21229" s="118"/>
      <c r="B21229" s="136"/>
    </row>
    <row r="21230" spans="1:2" x14ac:dyDescent="0.25">
      <c r="A21230" s="118"/>
      <c r="B21230" s="136"/>
    </row>
    <row r="21231" spans="1:2" x14ac:dyDescent="0.25">
      <c r="A21231" s="118"/>
      <c r="B21231" s="136"/>
    </row>
    <row r="21232" spans="1:2" x14ac:dyDescent="0.25">
      <c r="A21232" s="118"/>
      <c r="B21232" s="136"/>
    </row>
    <row r="21233" spans="1:2" x14ac:dyDescent="0.25">
      <c r="A21233" s="118"/>
      <c r="B21233" s="136"/>
    </row>
    <row r="21234" spans="1:2" x14ac:dyDescent="0.25">
      <c r="A21234" s="118"/>
      <c r="B21234" s="136"/>
    </row>
    <row r="21235" spans="1:2" x14ac:dyDescent="0.25">
      <c r="A21235" s="118"/>
      <c r="B21235" s="136"/>
    </row>
    <row r="21236" spans="1:2" x14ac:dyDescent="0.25">
      <c r="A21236" s="118"/>
      <c r="B21236" s="136"/>
    </row>
    <row r="21237" spans="1:2" x14ac:dyDescent="0.25">
      <c r="A21237" s="118"/>
      <c r="B21237" s="136"/>
    </row>
    <row r="21238" spans="1:2" x14ac:dyDescent="0.25">
      <c r="A21238" s="118"/>
      <c r="B21238" s="136"/>
    </row>
    <row r="21239" spans="1:2" x14ac:dyDescent="0.25">
      <c r="A21239" s="118"/>
      <c r="B21239" s="136"/>
    </row>
    <row r="21240" spans="1:2" x14ac:dyDescent="0.25">
      <c r="A21240" s="118"/>
      <c r="B21240" s="136"/>
    </row>
    <row r="21241" spans="1:2" x14ac:dyDescent="0.25">
      <c r="A21241" s="118"/>
      <c r="B21241" s="136"/>
    </row>
    <row r="21242" spans="1:2" x14ac:dyDescent="0.25">
      <c r="A21242" s="118"/>
      <c r="B21242" s="136"/>
    </row>
    <row r="21243" spans="1:2" x14ac:dyDescent="0.25">
      <c r="A21243" s="118"/>
      <c r="B21243" s="136"/>
    </row>
    <row r="21244" spans="1:2" x14ac:dyDescent="0.25">
      <c r="A21244" s="118"/>
      <c r="B21244" s="136"/>
    </row>
    <row r="21245" spans="1:2" x14ac:dyDescent="0.25">
      <c r="A21245" s="118"/>
      <c r="B21245" s="136"/>
    </row>
    <row r="21246" spans="1:2" x14ac:dyDescent="0.25">
      <c r="A21246" s="118"/>
      <c r="B21246" s="136"/>
    </row>
    <row r="21247" spans="1:2" x14ac:dyDescent="0.25">
      <c r="A21247" s="118"/>
      <c r="B21247" s="136"/>
    </row>
    <row r="21248" spans="1:2" x14ac:dyDescent="0.25">
      <c r="A21248" s="118"/>
      <c r="B21248" s="136"/>
    </row>
    <row r="21249" spans="1:2" x14ac:dyDescent="0.25">
      <c r="A21249" s="118"/>
      <c r="B21249" s="136"/>
    </row>
    <row r="21250" spans="1:2" x14ac:dyDescent="0.25">
      <c r="A21250" s="118"/>
      <c r="B21250" s="136"/>
    </row>
    <row r="21251" spans="1:2" x14ac:dyDescent="0.25">
      <c r="A21251" s="118"/>
      <c r="B21251" s="136"/>
    </row>
    <row r="21252" spans="1:2" x14ac:dyDescent="0.25">
      <c r="A21252" s="118"/>
      <c r="B21252" s="136"/>
    </row>
    <row r="21253" spans="1:2" x14ac:dyDescent="0.25">
      <c r="A21253" s="118"/>
      <c r="B21253" s="136"/>
    </row>
    <row r="21254" spans="1:2" x14ac:dyDescent="0.25">
      <c r="A21254" s="118"/>
      <c r="B21254" s="136"/>
    </row>
    <row r="21255" spans="1:2" x14ac:dyDescent="0.25">
      <c r="A21255" s="118"/>
      <c r="B21255" s="136"/>
    </row>
    <row r="21256" spans="1:2" x14ac:dyDescent="0.25">
      <c r="A21256" s="118"/>
      <c r="B21256" s="136"/>
    </row>
    <row r="21257" spans="1:2" x14ac:dyDescent="0.25">
      <c r="A21257" s="118"/>
      <c r="B21257" s="136"/>
    </row>
    <row r="21258" spans="1:2" x14ac:dyDescent="0.25">
      <c r="A21258" s="118"/>
      <c r="B21258" s="136"/>
    </row>
    <row r="21259" spans="1:2" x14ac:dyDescent="0.25">
      <c r="A21259" s="118"/>
      <c r="B21259" s="136"/>
    </row>
    <row r="21260" spans="1:2" x14ac:dyDescent="0.25">
      <c r="A21260" s="118"/>
      <c r="B21260" s="136"/>
    </row>
    <row r="21261" spans="1:2" x14ac:dyDescent="0.25">
      <c r="A21261" s="118"/>
      <c r="B21261" s="136"/>
    </row>
    <row r="21262" spans="1:2" x14ac:dyDescent="0.25">
      <c r="A21262" s="118"/>
      <c r="B21262" s="136"/>
    </row>
    <row r="21263" spans="1:2" x14ac:dyDescent="0.25">
      <c r="A21263" s="118"/>
      <c r="B21263" s="136"/>
    </row>
    <row r="21264" spans="1:2" x14ac:dyDescent="0.25">
      <c r="A21264" s="118"/>
      <c r="B21264" s="136"/>
    </row>
    <row r="21265" spans="1:2" x14ac:dyDescent="0.25">
      <c r="A21265" s="118"/>
      <c r="B21265" s="136"/>
    </row>
    <row r="21266" spans="1:2" x14ac:dyDescent="0.25">
      <c r="A21266" s="118"/>
      <c r="B21266" s="136"/>
    </row>
    <row r="21267" spans="1:2" x14ac:dyDescent="0.25">
      <c r="A21267" s="118"/>
      <c r="B21267" s="136"/>
    </row>
    <row r="21268" spans="1:2" x14ac:dyDescent="0.25">
      <c r="A21268" s="118"/>
      <c r="B21268" s="136"/>
    </row>
    <row r="21269" spans="1:2" x14ac:dyDescent="0.25">
      <c r="A21269" s="118"/>
      <c r="B21269" s="136"/>
    </row>
    <row r="21270" spans="1:2" x14ac:dyDescent="0.25">
      <c r="A21270" s="118"/>
      <c r="B21270" s="136"/>
    </row>
    <row r="21271" spans="1:2" x14ac:dyDescent="0.25">
      <c r="A21271" s="118"/>
      <c r="B21271" s="136"/>
    </row>
    <row r="21272" spans="1:2" x14ac:dyDescent="0.25">
      <c r="A21272" s="118"/>
      <c r="B21272" s="136"/>
    </row>
    <row r="21273" spans="1:2" x14ac:dyDescent="0.25">
      <c r="A21273" s="118"/>
      <c r="B21273" s="136"/>
    </row>
    <row r="21274" spans="1:2" x14ac:dyDescent="0.25">
      <c r="A21274" s="118"/>
      <c r="B21274" s="136"/>
    </row>
    <row r="21275" spans="1:2" x14ac:dyDescent="0.25">
      <c r="A21275" s="118"/>
      <c r="B21275" s="136"/>
    </row>
    <row r="21276" spans="1:2" x14ac:dyDescent="0.25">
      <c r="A21276" s="118"/>
      <c r="B21276" s="136"/>
    </row>
    <row r="21277" spans="1:2" x14ac:dyDescent="0.25">
      <c r="A21277" s="118"/>
      <c r="B21277" s="136"/>
    </row>
    <row r="21278" spans="1:2" x14ac:dyDescent="0.25">
      <c r="A21278" s="118"/>
      <c r="B21278" s="136"/>
    </row>
    <row r="21279" spans="1:2" x14ac:dyDescent="0.25">
      <c r="A21279" s="118"/>
      <c r="B21279" s="136"/>
    </row>
    <row r="21280" spans="1:2" x14ac:dyDescent="0.25">
      <c r="A21280" s="118"/>
      <c r="B21280" s="136"/>
    </row>
    <row r="21281" spans="1:2" x14ac:dyDescent="0.25">
      <c r="A21281" s="118"/>
      <c r="B21281" s="136"/>
    </row>
    <row r="21282" spans="1:2" x14ac:dyDescent="0.25">
      <c r="A21282" s="118"/>
      <c r="B21282" s="136"/>
    </row>
    <row r="21283" spans="1:2" x14ac:dyDescent="0.25">
      <c r="A21283" s="118"/>
      <c r="B21283" s="136"/>
    </row>
    <row r="21284" spans="1:2" x14ac:dyDescent="0.25">
      <c r="A21284" s="118"/>
      <c r="B21284" s="136"/>
    </row>
    <row r="21285" spans="1:2" x14ac:dyDescent="0.25">
      <c r="A21285" s="118"/>
      <c r="B21285" s="136"/>
    </row>
    <row r="21286" spans="1:2" x14ac:dyDescent="0.25">
      <c r="A21286" s="118"/>
      <c r="B21286" s="136"/>
    </row>
    <row r="21287" spans="1:2" x14ac:dyDescent="0.25">
      <c r="A21287" s="118"/>
      <c r="B21287" s="136"/>
    </row>
    <row r="21288" spans="1:2" x14ac:dyDescent="0.25">
      <c r="A21288" s="118"/>
      <c r="B21288" s="136"/>
    </row>
    <row r="21289" spans="1:2" x14ac:dyDescent="0.25">
      <c r="A21289" s="118"/>
      <c r="B21289" s="136"/>
    </row>
    <row r="21290" spans="1:2" x14ac:dyDescent="0.25">
      <c r="A21290" s="118"/>
      <c r="B21290" s="136"/>
    </row>
    <row r="21291" spans="1:2" x14ac:dyDescent="0.25">
      <c r="A21291" s="118"/>
      <c r="B21291" s="136"/>
    </row>
    <row r="21292" spans="1:2" x14ac:dyDescent="0.25">
      <c r="A21292" s="118"/>
      <c r="B21292" s="136"/>
    </row>
    <row r="21293" spans="1:2" x14ac:dyDescent="0.25">
      <c r="A21293" s="118"/>
      <c r="B21293" s="136"/>
    </row>
    <row r="21294" spans="1:2" x14ac:dyDescent="0.25">
      <c r="A21294" s="118"/>
      <c r="B21294" s="136"/>
    </row>
    <row r="21295" spans="1:2" x14ac:dyDescent="0.25">
      <c r="A21295" s="118"/>
      <c r="B21295" s="136"/>
    </row>
    <row r="21296" spans="1:2" x14ac:dyDescent="0.25">
      <c r="A21296" s="118"/>
      <c r="B21296" s="136"/>
    </row>
    <row r="21297" spans="1:2" x14ac:dyDescent="0.25">
      <c r="A21297" s="118"/>
      <c r="B21297" s="136"/>
    </row>
    <row r="21298" spans="1:2" x14ac:dyDescent="0.25">
      <c r="A21298" s="118"/>
      <c r="B21298" s="136"/>
    </row>
    <row r="21299" spans="1:2" x14ac:dyDescent="0.25">
      <c r="A21299" s="118"/>
      <c r="B21299" s="136"/>
    </row>
    <row r="21300" spans="1:2" x14ac:dyDescent="0.25">
      <c r="A21300" s="118"/>
      <c r="B21300" s="136"/>
    </row>
    <row r="21301" spans="1:2" x14ac:dyDescent="0.25">
      <c r="A21301" s="118"/>
      <c r="B21301" s="136"/>
    </row>
    <row r="21302" spans="1:2" x14ac:dyDescent="0.25">
      <c r="A21302" s="118"/>
      <c r="B21302" s="136"/>
    </row>
    <row r="21303" spans="1:2" x14ac:dyDescent="0.25">
      <c r="A21303" s="118"/>
      <c r="B21303" s="136"/>
    </row>
    <row r="21304" spans="1:2" x14ac:dyDescent="0.25">
      <c r="A21304" s="118"/>
      <c r="B21304" s="136"/>
    </row>
    <row r="21305" spans="1:2" x14ac:dyDescent="0.25">
      <c r="A21305" s="118"/>
      <c r="B21305" s="136"/>
    </row>
    <row r="21306" spans="1:2" x14ac:dyDescent="0.25">
      <c r="A21306" s="118"/>
      <c r="B21306" s="136"/>
    </row>
    <row r="21307" spans="1:2" x14ac:dyDescent="0.25">
      <c r="A21307" s="118"/>
      <c r="B21307" s="136"/>
    </row>
    <row r="21308" spans="1:2" x14ac:dyDescent="0.25">
      <c r="A21308" s="118"/>
      <c r="B21308" s="136"/>
    </row>
    <row r="21309" spans="1:2" x14ac:dyDescent="0.25">
      <c r="A21309" s="118"/>
      <c r="B21309" s="136"/>
    </row>
    <row r="21310" spans="1:2" x14ac:dyDescent="0.25">
      <c r="A21310" s="118"/>
      <c r="B21310" s="136"/>
    </row>
    <row r="21311" spans="1:2" x14ac:dyDescent="0.25">
      <c r="A21311" s="118"/>
      <c r="B21311" s="136"/>
    </row>
    <row r="21312" spans="1:2" x14ac:dyDescent="0.25">
      <c r="A21312" s="118"/>
      <c r="B21312" s="136"/>
    </row>
    <row r="21313" spans="1:2" x14ac:dyDescent="0.25">
      <c r="A21313" s="118"/>
      <c r="B21313" s="136"/>
    </row>
    <row r="21314" spans="1:2" x14ac:dyDescent="0.25">
      <c r="A21314" s="118"/>
      <c r="B21314" s="136"/>
    </row>
    <row r="21315" spans="1:2" x14ac:dyDescent="0.25">
      <c r="A21315" s="118"/>
      <c r="B21315" s="136"/>
    </row>
    <row r="21316" spans="1:2" x14ac:dyDescent="0.25">
      <c r="A21316" s="118"/>
      <c r="B21316" s="136"/>
    </row>
    <row r="21317" spans="1:2" x14ac:dyDescent="0.25">
      <c r="A21317" s="118"/>
      <c r="B21317" s="136"/>
    </row>
    <row r="21318" spans="1:2" x14ac:dyDescent="0.25">
      <c r="A21318" s="118"/>
      <c r="B21318" s="136"/>
    </row>
    <row r="21319" spans="1:2" x14ac:dyDescent="0.25">
      <c r="A21319" s="118"/>
      <c r="B21319" s="136"/>
    </row>
    <row r="21320" spans="1:2" x14ac:dyDescent="0.25">
      <c r="A21320" s="118"/>
      <c r="B21320" s="136"/>
    </row>
    <row r="21321" spans="1:2" x14ac:dyDescent="0.25">
      <c r="A21321" s="118"/>
      <c r="B21321" s="136"/>
    </row>
    <row r="21322" spans="1:2" x14ac:dyDescent="0.25">
      <c r="A21322" s="118"/>
      <c r="B21322" s="136"/>
    </row>
    <row r="21323" spans="1:2" x14ac:dyDescent="0.25">
      <c r="A21323" s="118"/>
      <c r="B21323" s="136"/>
    </row>
    <row r="21324" spans="1:2" x14ac:dyDescent="0.25">
      <c r="A21324" s="118"/>
      <c r="B21324" s="136"/>
    </row>
    <row r="21325" spans="1:2" x14ac:dyDescent="0.25">
      <c r="A21325" s="118"/>
      <c r="B21325" s="136"/>
    </row>
    <row r="21326" spans="1:2" x14ac:dyDescent="0.25">
      <c r="A21326" s="118"/>
      <c r="B21326" s="136"/>
    </row>
    <row r="21327" spans="1:2" x14ac:dyDescent="0.25">
      <c r="A21327" s="118"/>
      <c r="B21327" s="136"/>
    </row>
    <row r="21328" spans="1:2" x14ac:dyDescent="0.25">
      <c r="A21328" s="118"/>
      <c r="B21328" s="136"/>
    </row>
    <row r="21329" spans="1:2" x14ac:dyDescent="0.25">
      <c r="A21329" s="118"/>
      <c r="B21329" s="136"/>
    </row>
    <row r="21330" spans="1:2" x14ac:dyDescent="0.25">
      <c r="A21330" s="118"/>
      <c r="B21330" s="136"/>
    </row>
    <row r="21331" spans="1:2" x14ac:dyDescent="0.25">
      <c r="A21331" s="118"/>
      <c r="B21331" s="136"/>
    </row>
    <row r="21332" spans="1:2" x14ac:dyDescent="0.25">
      <c r="A21332" s="118"/>
      <c r="B21332" s="136"/>
    </row>
    <row r="21333" spans="1:2" x14ac:dyDescent="0.25">
      <c r="A21333" s="118"/>
      <c r="B21333" s="136"/>
    </row>
    <row r="21334" spans="1:2" x14ac:dyDescent="0.25">
      <c r="A21334" s="118"/>
      <c r="B21334" s="136"/>
    </row>
    <row r="21335" spans="1:2" x14ac:dyDescent="0.25">
      <c r="A21335" s="118"/>
      <c r="B21335" s="136"/>
    </row>
    <row r="21336" spans="1:2" x14ac:dyDescent="0.25">
      <c r="A21336" s="118"/>
      <c r="B21336" s="136"/>
    </row>
    <row r="21337" spans="1:2" x14ac:dyDescent="0.25">
      <c r="A21337" s="118"/>
      <c r="B21337" s="136"/>
    </row>
    <row r="21338" spans="1:2" x14ac:dyDescent="0.25">
      <c r="A21338" s="118"/>
      <c r="B21338" s="136"/>
    </row>
    <row r="21339" spans="1:2" x14ac:dyDescent="0.25">
      <c r="A21339" s="118"/>
      <c r="B21339" s="136"/>
    </row>
    <row r="21340" spans="1:2" x14ac:dyDescent="0.25">
      <c r="A21340" s="118"/>
      <c r="B21340" s="136"/>
    </row>
    <row r="21341" spans="1:2" x14ac:dyDescent="0.25">
      <c r="A21341" s="118"/>
      <c r="B21341" s="136"/>
    </row>
    <row r="21342" spans="1:2" x14ac:dyDescent="0.25">
      <c r="A21342" s="118"/>
      <c r="B21342" s="136"/>
    </row>
    <row r="21343" spans="1:2" x14ac:dyDescent="0.25">
      <c r="A21343" s="118"/>
      <c r="B21343" s="136"/>
    </row>
    <row r="21344" spans="1:2" x14ac:dyDescent="0.25">
      <c r="A21344" s="118"/>
      <c r="B21344" s="136"/>
    </row>
    <row r="21345" spans="1:2" x14ac:dyDescent="0.25">
      <c r="A21345" s="118"/>
      <c r="B21345" s="136"/>
    </row>
    <row r="21346" spans="1:2" x14ac:dyDescent="0.25">
      <c r="A21346" s="118"/>
      <c r="B21346" s="136"/>
    </row>
    <row r="21347" spans="1:2" x14ac:dyDescent="0.25">
      <c r="A21347" s="118"/>
      <c r="B21347" s="136"/>
    </row>
    <row r="21348" spans="1:2" x14ac:dyDescent="0.25">
      <c r="A21348" s="118"/>
      <c r="B21348" s="136"/>
    </row>
    <row r="21349" spans="1:2" x14ac:dyDescent="0.25">
      <c r="A21349" s="118"/>
      <c r="B21349" s="136"/>
    </row>
    <row r="21350" spans="1:2" x14ac:dyDescent="0.25">
      <c r="A21350" s="118"/>
      <c r="B21350" s="136"/>
    </row>
    <row r="21351" spans="1:2" x14ac:dyDescent="0.25">
      <c r="A21351" s="118"/>
      <c r="B21351" s="136"/>
    </row>
    <row r="21352" spans="1:2" x14ac:dyDescent="0.25">
      <c r="A21352" s="118"/>
      <c r="B21352" s="136"/>
    </row>
    <row r="21353" spans="1:2" x14ac:dyDescent="0.25">
      <c r="A21353" s="118"/>
      <c r="B21353" s="136"/>
    </row>
    <row r="21354" spans="1:2" x14ac:dyDescent="0.25">
      <c r="A21354" s="118"/>
      <c r="B21354" s="136"/>
    </row>
    <row r="21355" spans="1:2" x14ac:dyDescent="0.25">
      <c r="A21355" s="118"/>
      <c r="B21355" s="136"/>
    </row>
    <row r="21356" spans="1:2" x14ac:dyDescent="0.25">
      <c r="A21356" s="118"/>
      <c r="B21356" s="136"/>
    </row>
    <row r="21357" spans="1:2" x14ac:dyDescent="0.25">
      <c r="A21357" s="118"/>
      <c r="B21357" s="136"/>
    </row>
    <row r="21358" spans="1:2" x14ac:dyDescent="0.25">
      <c r="A21358" s="118"/>
      <c r="B21358" s="136"/>
    </row>
    <row r="21359" spans="1:2" x14ac:dyDescent="0.25">
      <c r="A21359" s="118"/>
      <c r="B21359" s="136"/>
    </row>
    <row r="21360" spans="1:2" x14ac:dyDescent="0.25">
      <c r="A21360" s="118"/>
      <c r="B21360" s="136"/>
    </row>
    <row r="21361" spans="1:2" x14ac:dyDescent="0.25">
      <c r="A21361" s="118"/>
      <c r="B21361" s="136"/>
    </row>
    <row r="21362" spans="1:2" x14ac:dyDescent="0.25">
      <c r="A21362" s="118"/>
      <c r="B21362" s="136"/>
    </row>
    <row r="21363" spans="1:2" x14ac:dyDescent="0.25">
      <c r="A21363" s="118"/>
      <c r="B21363" s="136"/>
    </row>
    <row r="21364" spans="1:2" x14ac:dyDescent="0.25">
      <c r="A21364" s="118"/>
      <c r="B21364" s="136"/>
    </row>
    <row r="21365" spans="1:2" x14ac:dyDescent="0.25">
      <c r="A21365" s="118"/>
      <c r="B21365" s="136"/>
    </row>
    <row r="21366" spans="1:2" x14ac:dyDescent="0.25">
      <c r="A21366" s="118"/>
      <c r="B21366" s="136"/>
    </row>
    <row r="21367" spans="1:2" x14ac:dyDescent="0.25">
      <c r="A21367" s="118"/>
      <c r="B21367" s="136"/>
    </row>
    <row r="21368" spans="1:2" x14ac:dyDescent="0.25">
      <c r="A21368" s="118"/>
      <c r="B21368" s="136"/>
    </row>
    <row r="21369" spans="1:2" x14ac:dyDescent="0.25">
      <c r="A21369" s="118"/>
      <c r="B21369" s="136"/>
    </row>
    <row r="21370" spans="1:2" x14ac:dyDescent="0.25">
      <c r="A21370" s="118"/>
      <c r="B21370" s="136"/>
    </row>
    <row r="21371" spans="1:2" x14ac:dyDescent="0.25">
      <c r="A21371" s="118"/>
      <c r="B21371" s="136"/>
    </row>
    <row r="21372" spans="1:2" x14ac:dyDescent="0.25">
      <c r="A21372" s="118"/>
      <c r="B21372" s="136"/>
    </row>
    <row r="21373" spans="1:2" x14ac:dyDescent="0.25">
      <c r="A21373" s="118"/>
      <c r="B21373" s="136"/>
    </row>
    <row r="21374" spans="1:2" x14ac:dyDescent="0.25">
      <c r="A21374" s="118"/>
      <c r="B21374" s="136"/>
    </row>
    <row r="21375" spans="1:2" x14ac:dyDescent="0.25">
      <c r="A21375" s="118"/>
      <c r="B21375" s="136"/>
    </row>
    <row r="21376" spans="1:2" x14ac:dyDescent="0.25">
      <c r="A21376" s="118"/>
      <c r="B21376" s="136"/>
    </row>
    <row r="21377" spans="1:2" x14ac:dyDescent="0.25">
      <c r="A21377" s="118"/>
      <c r="B21377" s="136"/>
    </row>
    <row r="21378" spans="1:2" x14ac:dyDescent="0.25">
      <c r="A21378" s="118"/>
      <c r="B21378" s="136"/>
    </row>
    <row r="21379" spans="1:2" x14ac:dyDescent="0.25">
      <c r="A21379" s="118"/>
      <c r="B21379" s="136"/>
    </row>
    <row r="21380" spans="1:2" x14ac:dyDescent="0.25">
      <c r="A21380" s="118"/>
      <c r="B21380" s="136"/>
    </row>
    <row r="21381" spans="1:2" x14ac:dyDescent="0.25">
      <c r="A21381" s="118"/>
      <c r="B21381" s="136"/>
    </row>
    <row r="21382" spans="1:2" x14ac:dyDescent="0.25">
      <c r="A21382" s="118"/>
      <c r="B21382" s="136"/>
    </row>
    <row r="21383" spans="1:2" x14ac:dyDescent="0.25">
      <c r="A21383" s="118"/>
      <c r="B21383" s="136"/>
    </row>
    <row r="21384" spans="1:2" x14ac:dyDescent="0.25">
      <c r="A21384" s="118"/>
      <c r="B21384" s="136"/>
    </row>
    <row r="21385" spans="1:2" x14ac:dyDescent="0.25">
      <c r="A21385" s="118"/>
      <c r="B21385" s="136"/>
    </row>
    <row r="21386" spans="1:2" x14ac:dyDescent="0.25">
      <c r="A21386" s="118"/>
      <c r="B21386" s="136"/>
    </row>
    <row r="21387" spans="1:2" x14ac:dyDescent="0.25">
      <c r="A21387" s="118"/>
      <c r="B21387" s="136"/>
    </row>
    <row r="21388" spans="1:2" x14ac:dyDescent="0.25">
      <c r="A21388" s="118"/>
      <c r="B21388" s="136"/>
    </row>
    <row r="21389" spans="1:2" x14ac:dyDescent="0.25">
      <c r="A21389" s="118"/>
      <c r="B21389" s="136"/>
    </row>
    <row r="21390" spans="1:2" x14ac:dyDescent="0.25">
      <c r="A21390" s="118"/>
      <c r="B21390" s="136"/>
    </row>
    <row r="21391" spans="1:2" x14ac:dyDescent="0.25">
      <c r="A21391" s="118"/>
      <c r="B21391" s="136"/>
    </row>
    <row r="21392" spans="1:2" x14ac:dyDescent="0.25">
      <c r="A21392" s="118"/>
      <c r="B21392" s="136"/>
    </row>
    <row r="21393" spans="1:2" x14ac:dyDescent="0.25">
      <c r="A21393" s="118"/>
      <c r="B21393" s="136"/>
    </row>
    <row r="21394" spans="1:2" x14ac:dyDescent="0.25">
      <c r="A21394" s="118"/>
      <c r="B21394" s="136"/>
    </row>
    <row r="21395" spans="1:2" x14ac:dyDescent="0.25">
      <c r="A21395" s="118"/>
      <c r="B21395" s="136"/>
    </row>
    <row r="21396" spans="1:2" x14ac:dyDescent="0.25">
      <c r="A21396" s="118"/>
      <c r="B21396" s="136"/>
    </row>
    <row r="21397" spans="1:2" x14ac:dyDescent="0.25">
      <c r="A21397" s="118"/>
      <c r="B21397" s="136"/>
    </row>
    <row r="21398" spans="1:2" x14ac:dyDescent="0.25">
      <c r="A21398" s="118"/>
      <c r="B21398" s="136"/>
    </row>
    <row r="21399" spans="1:2" x14ac:dyDescent="0.25">
      <c r="A21399" s="118"/>
      <c r="B21399" s="136"/>
    </row>
    <row r="21400" spans="1:2" x14ac:dyDescent="0.25">
      <c r="A21400" s="118"/>
      <c r="B21400" s="136"/>
    </row>
    <row r="21401" spans="1:2" x14ac:dyDescent="0.25">
      <c r="A21401" s="118"/>
      <c r="B21401" s="136"/>
    </row>
    <row r="21402" spans="1:2" x14ac:dyDescent="0.25">
      <c r="A21402" s="118"/>
      <c r="B21402" s="136"/>
    </row>
    <row r="21403" spans="1:2" x14ac:dyDescent="0.25">
      <c r="A21403" s="118"/>
      <c r="B21403" s="136"/>
    </row>
    <row r="21404" spans="1:2" x14ac:dyDescent="0.25">
      <c r="A21404" s="118"/>
      <c r="B21404" s="136"/>
    </row>
    <row r="21405" spans="1:2" x14ac:dyDescent="0.25">
      <c r="A21405" s="118"/>
      <c r="B21405" s="136"/>
    </row>
    <row r="21406" spans="1:2" x14ac:dyDescent="0.25">
      <c r="A21406" s="118"/>
      <c r="B21406" s="136"/>
    </row>
    <row r="21407" spans="1:2" x14ac:dyDescent="0.25">
      <c r="A21407" s="118"/>
      <c r="B21407" s="136"/>
    </row>
    <row r="21408" spans="1:2" x14ac:dyDescent="0.25">
      <c r="A21408" s="118"/>
      <c r="B21408" s="136"/>
    </row>
    <row r="21409" spans="1:2" x14ac:dyDescent="0.25">
      <c r="A21409" s="118"/>
      <c r="B21409" s="136"/>
    </row>
    <row r="21410" spans="1:2" x14ac:dyDescent="0.25">
      <c r="A21410" s="118"/>
      <c r="B21410" s="136"/>
    </row>
    <row r="21411" spans="1:2" x14ac:dyDescent="0.25">
      <c r="A21411" s="118"/>
      <c r="B21411" s="136"/>
    </row>
    <row r="21412" spans="1:2" x14ac:dyDescent="0.25">
      <c r="A21412" s="118"/>
      <c r="B21412" s="136"/>
    </row>
    <row r="21413" spans="1:2" x14ac:dyDescent="0.25">
      <c r="A21413" s="118"/>
      <c r="B21413" s="136"/>
    </row>
    <row r="21414" spans="1:2" x14ac:dyDescent="0.25">
      <c r="A21414" s="118"/>
      <c r="B21414" s="136"/>
    </row>
    <row r="21415" spans="1:2" x14ac:dyDescent="0.25">
      <c r="A21415" s="118"/>
      <c r="B21415" s="136"/>
    </row>
    <row r="21416" spans="1:2" x14ac:dyDescent="0.25">
      <c r="A21416" s="118"/>
      <c r="B21416" s="136"/>
    </row>
    <row r="21417" spans="1:2" x14ac:dyDescent="0.25">
      <c r="A21417" s="118"/>
      <c r="B21417" s="136"/>
    </row>
    <row r="21418" spans="1:2" x14ac:dyDescent="0.25">
      <c r="A21418" s="118"/>
      <c r="B21418" s="136"/>
    </row>
    <row r="21419" spans="1:2" x14ac:dyDescent="0.25">
      <c r="A21419" s="118"/>
      <c r="B21419" s="136"/>
    </row>
    <row r="21420" spans="1:2" x14ac:dyDescent="0.25">
      <c r="A21420" s="118"/>
      <c r="B21420" s="136"/>
    </row>
    <row r="21421" spans="1:2" x14ac:dyDescent="0.25">
      <c r="A21421" s="118"/>
      <c r="B21421" s="136"/>
    </row>
    <row r="21422" spans="1:2" x14ac:dyDescent="0.25">
      <c r="A21422" s="118"/>
      <c r="B21422" s="136"/>
    </row>
    <row r="21423" spans="1:2" x14ac:dyDescent="0.25">
      <c r="A21423" s="118"/>
      <c r="B21423" s="136"/>
    </row>
    <row r="21424" spans="1:2" x14ac:dyDescent="0.25">
      <c r="A21424" s="118"/>
      <c r="B21424" s="136"/>
    </row>
    <row r="21425" spans="1:2" x14ac:dyDescent="0.25">
      <c r="A21425" s="118"/>
      <c r="B21425" s="136"/>
    </row>
    <row r="21426" spans="1:2" x14ac:dyDescent="0.25">
      <c r="A21426" s="118"/>
      <c r="B21426" s="136"/>
    </row>
    <row r="21427" spans="1:2" x14ac:dyDescent="0.25">
      <c r="A21427" s="118"/>
      <c r="B21427" s="136"/>
    </row>
    <row r="21428" spans="1:2" x14ac:dyDescent="0.25">
      <c r="A21428" s="118"/>
      <c r="B21428" s="136"/>
    </row>
    <row r="21429" spans="1:2" x14ac:dyDescent="0.25">
      <c r="A21429" s="118"/>
      <c r="B21429" s="136"/>
    </row>
    <row r="21430" spans="1:2" x14ac:dyDescent="0.25">
      <c r="A21430" s="118"/>
      <c r="B21430" s="136"/>
    </row>
    <row r="21431" spans="1:2" x14ac:dyDescent="0.25">
      <c r="A21431" s="118"/>
      <c r="B21431" s="136"/>
    </row>
    <row r="21432" spans="1:2" x14ac:dyDescent="0.25">
      <c r="A21432" s="118"/>
      <c r="B21432" s="136"/>
    </row>
    <row r="21433" spans="1:2" x14ac:dyDescent="0.25">
      <c r="A21433" s="118"/>
      <c r="B21433" s="136"/>
    </row>
    <row r="21434" spans="1:2" x14ac:dyDescent="0.25">
      <c r="A21434" s="118"/>
      <c r="B21434" s="136"/>
    </row>
    <row r="21435" spans="1:2" x14ac:dyDescent="0.25">
      <c r="A21435" s="118"/>
      <c r="B21435" s="136"/>
    </row>
    <row r="21436" spans="1:2" x14ac:dyDescent="0.25">
      <c r="A21436" s="118"/>
      <c r="B21436" s="136"/>
    </row>
    <row r="21437" spans="1:2" x14ac:dyDescent="0.25">
      <c r="A21437" s="118"/>
      <c r="B21437" s="136"/>
    </row>
    <row r="21438" spans="1:2" x14ac:dyDescent="0.25">
      <c r="A21438" s="118"/>
      <c r="B21438" s="136"/>
    </row>
    <row r="21439" spans="1:2" x14ac:dyDescent="0.25">
      <c r="A21439" s="118"/>
      <c r="B21439" s="136"/>
    </row>
    <row r="21440" spans="1:2" x14ac:dyDescent="0.25">
      <c r="A21440" s="118"/>
      <c r="B21440" s="136"/>
    </row>
    <row r="21441" spans="1:2" x14ac:dyDescent="0.25">
      <c r="A21441" s="118"/>
      <c r="B21441" s="136"/>
    </row>
    <row r="21442" spans="1:2" x14ac:dyDescent="0.25">
      <c r="A21442" s="118"/>
      <c r="B21442" s="136"/>
    </row>
    <row r="21443" spans="1:2" x14ac:dyDescent="0.25">
      <c r="A21443" s="118"/>
      <c r="B21443" s="136"/>
    </row>
    <row r="21444" spans="1:2" x14ac:dyDescent="0.25">
      <c r="A21444" s="118"/>
      <c r="B21444" s="136"/>
    </row>
    <row r="21445" spans="1:2" x14ac:dyDescent="0.25">
      <c r="A21445" s="118"/>
      <c r="B21445" s="136"/>
    </row>
    <row r="21446" spans="1:2" x14ac:dyDescent="0.25">
      <c r="A21446" s="118"/>
      <c r="B21446" s="136"/>
    </row>
    <row r="21447" spans="1:2" x14ac:dyDescent="0.25">
      <c r="A21447" s="118"/>
      <c r="B21447" s="136"/>
    </row>
    <row r="21448" spans="1:2" x14ac:dyDescent="0.25">
      <c r="A21448" s="118"/>
      <c r="B21448" s="136"/>
    </row>
    <row r="21449" spans="1:2" x14ac:dyDescent="0.25">
      <c r="A21449" s="118"/>
      <c r="B21449" s="136"/>
    </row>
    <row r="21450" spans="1:2" x14ac:dyDescent="0.25">
      <c r="A21450" s="118"/>
      <c r="B21450" s="136"/>
    </row>
    <row r="21451" spans="1:2" x14ac:dyDescent="0.25">
      <c r="A21451" s="118"/>
      <c r="B21451" s="136"/>
    </row>
    <row r="21452" spans="1:2" x14ac:dyDescent="0.25">
      <c r="A21452" s="118"/>
      <c r="B21452" s="136"/>
    </row>
    <row r="21453" spans="1:2" x14ac:dyDescent="0.25">
      <c r="A21453" s="118"/>
      <c r="B21453" s="136"/>
    </row>
    <row r="21454" spans="1:2" x14ac:dyDescent="0.25">
      <c r="A21454" s="118"/>
      <c r="B21454" s="136"/>
    </row>
    <row r="21455" spans="1:2" x14ac:dyDescent="0.25">
      <c r="A21455" s="118"/>
      <c r="B21455" s="136"/>
    </row>
    <row r="21456" spans="1:2" x14ac:dyDescent="0.25">
      <c r="A21456" s="118"/>
      <c r="B21456" s="136"/>
    </row>
    <row r="21457" spans="1:2" x14ac:dyDescent="0.25">
      <c r="A21457" s="118"/>
      <c r="B21457" s="136"/>
    </row>
    <row r="21458" spans="1:2" x14ac:dyDescent="0.25">
      <c r="A21458" s="118"/>
      <c r="B21458" s="136"/>
    </row>
    <row r="21459" spans="1:2" x14ac:dyDescent="0.25">
      <c r="A21459" s="118"/>
      <c r="B21459" s="136"/>
    </row>
    <row r="21460" spans="1:2" x14ac:dyDescent="0.25">
      <c r="A21460" s="118"/>
      <c r="B21460" s="136"/>
    </row>
    <row r="21461" spans="1:2" x14ac:dyDescent="0.25">
      <c r="A21461" s="118"/>
      <c r="B21461" s="136"/>
    </row>
    <row r="21462" spans="1:2" x14ac:dyDescent="0.25">
      <c r="A21462" s="118"/>
      <c r="B21462" s="136"/>
    </row>
    <row r="21463" spans="1:2" x14ac:dyDescent="0.25">
      <c r="A21463" s="118"/>
      <c r="B21463" s="136"/>
    </row>
    <row r="21464" spans="1:2" x14ac:dyDescent="0.25">
      <c r="A21464" s="118"/>
      <c r="B21464" s="136"/>
    </row>
    <row r="21465" spans="1:2" x14ac:dyDescent="0.25">
      <c r="A21465" s="118"/>
      <c r="B21465" s="136"/>
    </row>
    <row r="21466" spans="1:2" x14ac:dyDescent="0.25">
      <c r="A21466" s="118"/>
      <c r="B21466" s="136"/>
    </row>
    <row r="21467" spans="1:2" x14ac:dyDescent="0.25">
      <c r="A21467" s="118"/>
      <c r="B21467" s="136"/>
    </row>
    <row r="21468" spans="1:2" x14ac:dyDescent="0.25">
      <c r="A21468" s="118"/>
      <c r="B21468" s="136"/>
    </row>
    <row r="21469" spans="1:2" x14ac:dyDescent="0.25">
      <c r="A21469" s="118"/>
      <c r="B21469" s="136"/>
    </row>
    <row r="21470" spans="1:2" x14ac:dyDescent="0.25">
      <c r="A21470" s="118"/>
      <c r="B21470" s="136"/>
    </row>
    <row r="21471" spans="1:2" x14ac:dyDescent="0.25">
      <c r="A21471" s="118"/>
      <c r="B21471" s="136"/>
    </row>
    <row r="21472" spans="1:2" x14ac:dyDescent="0.25">
      <c r="A21472" s="118"/>
      <c r="B21472" s="136"/>
    </row>
    <row r="21473" spans="1:2" x14ac:dyDescent="0.25">
      <c r="A21473" s="118"/>
      <c r="B21473" s="136"/>
    </row>
    <row r="21474" spans="1:2" x14ac:dyDescent="0.25">
      <c r="A21474" s="118"/>
      <c r="B21474" s="136"/>
    </row>
    <row r="21475" spans="1:2" x14ac:dyDescent="0.25">
      <c r="A21475" s="118"/>
      <c r="B21475" s="136"/>
    </row>
    <row r="21476" spans="1:2" x14ac:dyDescent="0.25">
      <c r="A21476" s="118"/>
      <c r="B21476" s="136"/>
    </row>
    <row r="21477" spans="1:2" x14ac:dyDescent="0.25">
      <c r="A21477" s="118"/>
      <c r="B21477" s="136"/>
    </row>
    <row r="21478" spans="1:2" x14ac:dyDescent="0.25">
      <c r="A21478" s="118"/>
      <c r="B21478" s="136"/>
    </row>
    <row r="21479" spans="1:2" x14ac:dyDescent="0.25">
      <c r="A21479" s="118"/>
      <c r="B21479" s="136"/>
    </row>
    <row r="21480" spans="1:2" x14ac:dyDescent="0.25">
      <c r="A21480" s="118"/>
      <c r="B21480" s="136"/>
    </row>
    <row r="21481" spans="1:2" x14ac:dyDescent="0.25">
      <c r="A21481" s="118"/>
      <c r="B21481" s="136"/>
    </row>
    <row r="21482" spans="1:2" x14ac:dyDescent="0.25">
      <c r="A21482" s="118"/>
      <c r="B21482" s="136"/>
    </row>
    <row r="21483" spans="1:2" x14ac:dyDescent="0.25">
      <c r="A21483" s="118"/>
      <c r="B21483" s="136"/>
    </row>
    <row r="21484" spans="1:2" x14ac:dyDescent="0.25">
      <c r="A21484" s="118"/>
      <c r="B21484" s="136"/>
    </row>
    <row r="21485" spans="1:2" x14ac:dyDescent="0.25">
      <c r="A21485" s="118"/>
      <c r="B21485" s="136"/>
    </row>
    <row r="21486" spans="1:2" x14ac:dyDescent="0.25">
      <c r="A21486" s="118"/>
      <c r="B21486" s="136"/>
    </row>
    <row r="21487" spans="1:2" x14ac:dyDescent="0.25">
      <c r="A21487" s="118"/>
      <c r="B21487" s="136"/>
    </row>
    <row r="21488" spans="1:2" x14ac:dyDescent="0.25">
      <c r="A21488" s="118"/>
      <c r="B21488" s="136"/>
    </row>
    <row r="21489" spans="1:2" x14ac:dyDescent="0.25">
      <c r="A21489" s="118"/>
      <c r="B21489" s="136"/>
    </row>
    <row r="21490" spans="1:2" x14ac:dyDescent="0.25">
      <c r="A21490" s="118"/>
      <c r="B21490" s="136"/>
    </row>
    <row r="21491" spans="1:2" x14ac:dyDescent="0.25">
      <c r="A21491" s="118"/>
      <c r="B21491" s="136"/>
    </row>
    <row r="21492" spans="1:2" x14ac:dyDescent="0.25">
      <c r="A21492" s="118"/>
      <c r="B21492" s="136"/>
    </row>
    <row r="21493" spans="1:2" x14ac:dyDescent="0.25">
      <c r="A21493" s="118"/>
      <c r="B21493" s="136"/>
    </row>
    <row r="21494" spans="1:2" x14ac:dyDescent="0.25">
      <c r="A21494" s="118"/>
      <c r="B21494" s="136"/>
    </row>
    <row r="21495" spans="1:2" x14ac:dyDescent="0.25">
      <c r="A21495" s="118"/>
      <c r="B21495" s="136"/>
    </row>
    <row r="21496" spans="1:2" x14ac:dyDescent="0.25">
      <c r="A21496" s="118"/>
      <c r="B21496" s="136"/>
    </row>
    <row r="21497" spans="1:2" x14ac:dyDescent="0.25">
      <c r="A21497" s="118"/>
      <c r="B21497" s="136"/>
    </row>
    <row r="21498" spans="1:2" x14ac:dyDescent="0.25">
      <c r="A21498" s="118"/>
      <c r="B21498" s="136"/>
    </row>
    <row r="21499" spans="1:2" x14ac:dyDescent="0.25">
      <c r="A21499" s="118"/>
      <c r="B21499" s="136"/>
    </row>
    <row r="21500" spans="1:2" x14ac:dyDescent="0.25">
      <c r="A21500" s="118"/>
      <c r="B21500" s="136"/>
    </row>
    <row r="21501" spans="1:2" x14ac:dyDescent="0.25">
      <c r="A21501" s="118"/>
      <c r="B21501" s="136"/>
    </row>
    <row r="21502" spans="1:2" x14ac:dyDescent="0.25">
      <c r="A21502" s="118"/>
      <c r="B21502" s="136"/>
    </row>
    <row r="21503" spans="1:2" x14ac:dyDescent="0.25">
      <c r="A21503" s="118"/>
      <c r="B21503" s="136"/>
    </row>
    <row r="21504" spans="1:2" x14ac:dyDescent="0.25">
      <c r="A21504" s="118"/>
      <c r="B21504" s="136"/>
    </row>
    <row r="21505" spans="1:2" x14ac:dyDescent="0.25">
      <c r="A21505" s="118"/>
      <c r="B21505" s="136"/>
    </row>
    <row r="21506" spans="1:2" x14ac:dyDescent="0.25">
      <c r="A21506" s="118"/>
      <c r="B21506" s="136"/>
    </row>
    <row r="21507" spans="1:2" x14ac:dyDescent="0.25">
      <c r="A21507" s="118"/>
      <c r="B21507" s="136"/>
    </row>
    <row r="21508" spans="1:2" x14ac:dyDescent="0.25">
      <c r="A21508" s="118"/>
      <c r="B21508" s="136"/>
    </row>
    <row r="21509" spans="1:2" x14ac:dyDescent="0.25">
      <c r="A21509" s="118"/>
      <c r="B21509" s="136"/>
    </row>
    <row r="21510" spans="1:2" x14ac:dyDescent="0.25">
      <c r="A21510" s="118"/>
      <c r="B21510" s="136"/>
    </row>
    <row r="21511" spans="1:2" x14ac:dyDescent="0.25">
      <c r="A21511" s="118"/>
      <c r="B21511" s="136"/>
    </row>
    <row r="21512" spans="1:2" x14ac:dyDescent="0.25">
      <c r="A21512" s="118"/>
      <c r="B21512" s="136"/>
    </row>
    <row r="21513" spans="1:2" x14ac:dyDescent="0.25">
      <c r="A21513" s="118"/>
      <c r="B21513" s="136"/>
    </row>
    <row r="21514" spans="1:2" x14ac:dyDescent="0.25">
      <c r="A21514" s="118"/>
      <c r="B21514" s="136"/>
    </row>
    <row r="21515" spans="1:2" x14ac:dyDescent="0.25">
      <c r="A21515" s="118"/>
      <c r="B21515" s="136"/>
    </row>
    <row r="21516" spans="1:2" x14ac:dyDescent="0.25">
      <c r="A21516" s="118"/>
      <c r="B21516" s="136"/>
    </row>
    <row r="21517" spans="1:2" x14ac:dyDescent="0.25">
      <c r="A21517" s="118"/>
      <c r="B21517" s="136"/>
    </row>
    <row r="21518" spans="1:2" x14ac:dyDescent="0.25">
      <c r="A21518" s="118"/>
      <c r="B21518" s="136"/>
    </row>
    <row r="21519" spans="1:2" x14ac:dyDescent="0.25">
      <c r="A21519" s="118"/>
      <c r="B21519" s="136"/>
    </row>
    <row r="21520" spans="1:2" x14ac:dyDescent="0.25">
      <c r="A21520" s="118"/>
      <c r="B21520" s="136"/>
    </row>
    <row r="21521" spans="1:2" x14ac:dyDescent="0.25">
      <c r="A21521" s="118"/>
      <c r="B21521" s="136"/>
    </row>
    <row r="21522" spans="1:2" x14ac:dyDescent="0.25">
      <c r="A21522" s="118"/>
      <c r="B21522" s="136"/>
    </row>
    <row r="21523" spans="1:2" x14ac:dyDescent="0.25">
      <c r="A21523" s="118"/>
      <c r="B21523" s="136"/>
    </row>
    <row r="21524" spans="1:2" x14ac:dyDescent="0.25">
      <c r="A21524" s="118"/>
      <c r="B21524" s="136"/>
    </row>
    <row r="21525" spans="1:2" x14ac:dyDescent="0.25">
      <c r="A21525" s="118"/>
      <c r="B21525" s="136"/>
    </row>
    <row r="21526" spans="1:2" x14ac:dyDescent="0.25">
      <c r="A21526" s="118"/>
      <c r="B21526" s="136"/>
    </row>
    <row r="21527" spans="1:2" x14ac:dyDescent="0.25">
      <c r="A21527" s="118"/>
      <c r="B21527" s="136"/>
    </row>
    <row r="21528" spans="1:2" x14ac:dyDescent="0.25">
      <c r="A21528" s="118"/>
      <c r="B21528" s="136"/>
    </row>
    <row r="21529" spans="1:2" x14ac:dyDescent="0.25">
      <c r="A21529" s="118"/>
      <c r="B21529" s="136"/>
    </row>
    <row r="21530" spans="1:2" x14ac:dyDescent="0.25">
      <c r="A21530" s="118"/>
      <c r="B21530" s="136"/>
    </row>
    <row r="21531" spans="1:2" x14ac:dyDescent="0.25">
      <c r="A21531" s="118"/>
      <c r="B21531" s="136"/>
    </row>
    <row r="21532" spans="1:2" x14ac:dyDescent="0.25">
      <c r="A21532" s="118"/>
      <c r="B21532" s="136"/>
    </row>
    <row r="21533" spans="1:2" x14ac:dyDescent="0.25">
      <c r="A21533" s="118"/>
      <c r="B21533" s="136"/>
    </row>
    <row r="21534" spans="1:2" x14ac:dyDescent="0.25">
      <c r="A21534" s="118"/>
      <c r="B21534" s="136"/>
    </row>
    <row r="21535" spans="1:2" x14ac:dyDescent="0.25">
      <c r="A21535" s="118"/>
      <c r="B21535" s="136"/>
    </row>
    <row r="21536" spans="1:2" x14ac:dyDescent="0.25">
      <c r="A21536" s="118"/>
      <c r="B21536" s="136"/>
    </row>
    <row r="21537" spans="1:2" x14ac:dyDescent="0.25">
      <c r="A21537" s="118"/>
      <c r="B21537" s="136"/>
    </row>
    <row r="21538" spans="1:2" x14ac:dyDescent="0.25">
      <c r="A21538" s="118"/>
      <c r="B21538" s="136"/>
    </row>
    <row r="21539" spans="1:2" x14ac:dyDescent="0.25">
      <c r="A21539" s="118"/>
      <c r="B21539" s="136"/>
    </row>
    <row r="21540" spans="1:2" x14ac:dyDescent="0.25">
      <c r="A21540" s="118"/>
      <c r="B21540" s="136"/>
    </row>
    <row r="21541" spans="1:2" x14ac:dyDescent="0.25">
      <c r="A21541" s="118"/>
      <c r="B21541" s="136"/>
    </row>
    <row r="21542" spans="1:2" x14ac:dyDescent="0.25">
      <c r="A21542" s="118"/>
      <c r="B21542" s="136"/>
    </row>
    <row r="21543" spans="1:2" x14ac:dyDescent="0.25">
      <c r="A21543" s="118"/>
      <c r="B21543" s="136"/>
    </row>
    <row r="21544" spans="1:2" x14ac:dyDescent="0.25">
      <c r="A21544" s="118"/>
      <c r="B21544" s="136"/>
    </row>
    <row r="21545" spans="1:2" x14ac:dyDescent="0.25">
      <c r="A21545" s="118"/>
      <c r="B21545" s="136"/>
    </row>
    <row r="21546" spans="1:2" x14ac:dyDescent="0.25">
      <c r="A21546" s="118"/>
      <c r="B21546" s="136"/>
    </row>
    <row r="21547" spans="1:2" x14ac:dyDescent="0.25">
      <c r="A21547" s="118"/>
      <c r="B21547" s="136"/>
    </row>
    <row r="21548" spans="1:2" x14ac:dyDescent="0.25">
      <c r="A21548" s="118"/>
      <c r="B21548" s="136"/>
    </row>
    <row r="21549" spans="1:2" x14ac:dyDescent="0.25">
      <c r="A21549" s="118"/>
      <c r="B21549" s="136"/>
    </row>
    <row r="21550" spans="1:2" x14ac:dyDescent="0.25">
      <c r="A21550" s="118"/>
      <c r="B21550" s="136"/>
    </row>
    <row r="21551" spans="1:2" x14ac:dyDescent="0.25">
      <c r="A21551" s="118"/>
      <c r="B21551" s="136"/>
    </row>
    <row r="21552" spans="1:2" x14ac:dyDescent="0.25">
      <c r="A21552" s="118"/>
      <c r="B21552" s="136"/>
    </row>
    <row r="21553" spans="1:2" x14ac:dyDescent="0.25">
      <c r="A21553" s="118"/>
      <c r="B21553" s="136"/>
    </row>
    <row r="21554" spans="1:2" x14ac:dyDescent="0.25">
      <c r="A21554" s="118"/>
      <c r="B21554" s="136"/>
    </row>
    <row r="21555" spans="1:2" x14ac:dyDescent="0.25">
      <c r="A21555" s="118"/>
      <c r="B21555" s="136"/>
    </row>
    <row r="21556" spans="1:2" x14ac:dyDescent="0.25">
      <c r="A21556" s="118"/>
      <c r="B21556" s="136"/>
    </row>
    <row r="21557" spans="1:2" x14ac:dyDescent="0.25">
      <c r="A21557" s="118"/>
      <c r="B21557" s="136"/>
    </row>
    <row r="21558" spans="1:2" x14ac:dyDescent="0.25">
      <c r="A21558" s="118"/>
      <c r="B21558" s="136"/>
    </row>
    <row r="21559" spans="1:2" x14ac:dyDescent="0.25">
      <c r="A21559" s="118"/>
      <c r="B21559" s="136"/>
    </row>
    <row r="21560" spans="1:2" x14ac:dyDescent="0.25">
      <c r="A21560" s="118"/>
      <c r="B21560" s="136"/>
    </row>
    <row r="21561" spans="1:2" x14ac:dyDescent="0.25">
      <c r="A21561" s="118"/>
      <c r="B21561" s="136"/>
    </row>
    <row r="21562" spans="1:2" x14ac:dyDescent="0.25">
      <c r="A21562" s="118"/>
      <c r="B21562" s="136"/>
    </row>
    <row r="21563" spans="1:2" x14ac:dyDescent="0.25">
      <c r="A21563" s="118"/>
      <c r="B21563" s="136"/>
    </row>
    <row r="21564" spans="1:2" x14ac:dyDescent="0.25">
      <c r="A21564" s="118"/>
      <c r="B21564" s="136"/>
    </row>
    <row r="21565" spans="1:2" x14ac:dyDescent="0.25">
      <c r="A21565" s="118"/>
      <c r="B21565" s="136"/>
    </row>
    <row r="21566" spans="1:2" x14ac:dyDescent="0.25">
      <c r="A21566" s="118"/>
      <c r="B21566" s="136"/>
    </row>
    <row r="21567" spans="1:2" x14ac:dyDescent="0.25">
      <c r="A21567" s="118"/>
      <c r="B21567" s="136"/>
    </row>
    <row r="21568" spans="1:2" x14ac:dyDescent="0.25">
      <c r="A21568" s="118"/>
      <c r="B21568" s="136"/>
    </row>
    <row r="21569" spans="1:2" x14ac:dyDescent="0.25">
      <c r="A21569" s="118"/>
      <c r="B21569" s="136"/>
    </row>
    <row r="21570" spans="1:2" x14ac:dyDescent="0.25">
      <c r="A21570" s="118"/>
      <c r="B21570" s="136"/>
    </row>
    <row r="21571" spans="1:2" x14ac:dyDescent="0.25">
      <c r="A21571" s="118"/>
      <c r="B21571" s="136"/>
    </row>
    <row r="21572" spans="1:2" x14ac:dyDescent="0.25">
      <c r="A21572" s="118"/>
      <c r="B21572" s="136"/>
    </row>
    <row r="21573" spans="1:2" x14ac:dyDescent="0.25">
      <c r="A21573" s="118"/>
      <c r="B21573" s="136"/>
    </row>
    <row r="21574" spans="1:2" x14ac:dyDescent="0.25">
      <c r="A21574" s="118"/>
      <c r="B21574" s="136"/>
    </row>
    <row r="21575" spans="1:2" x14ac:dyDescent="0.25">
      <c r="A21575" s="118"/>
      <c r="B21575" s="136"/>
    </row>
    <row r="21576" spans="1:2" x14ac:dyDescent="0.25">
      <c r="A21576" s="118"/>
      <c r="B21576" s="136"/>
    </row>
    <row r="21577" spans="1:2" x14ac:dyDescent="0.25">
      <c r="A21577" s="118"/>
      <c r="B21577" s="136"/>
    </row>
    <row r="21578" spans="1:2" x14ac:dyDescent="0.25">
      <c r="A21578" s="118"/>
      <c r="B21578" s="136"/>
    </row>
    <row r="21579" spans="1:2" x14ac:dyDescent="0.25">
      <c r="A21579" s="118"/>
      <c r="B21579" s="136"/>
    </row>
    <row r="21580" spans="1:2" x14ac:dyDescent="0.25">
      <c r="A21580" s="118"/>
      <c r="B21580" s="136"/>
    </row>
    <row r="21581" spans="1:2" x14ac:dyDescent="0.25">
      <c r="A21581" s="118"/>
      <c r="B21581" s="136"/>
    </row>
    <row r="21582" spans="1:2" x14ac:dyDescent="0.25">
      <c r="A21582" s="118"/>
      <c r="B21582" s="136"/>
    </row>
    <row r="21583" spans="1:2" x14ac:dyDescent="0.25">
      <c r="A21583" s="118"/>
      <c r="B21583" s="136"/>
    </row>
    <row r="21584" spans="1:2" x14ac:dyDescent="0.25">
      <c r="A21584" s="118"/>
      <c r="B21584" s="136"/>
    </row>
    <row r="21585" spans="1:2" x14ac:dyDescent="0.25">
      <c r="A21585" s="118"/>
      <c r="B21585" s="136"/>
    </row>
    <row r="21586" spans="1:2" x14ac:dyDescent="0.25">
      <c r="A21586" s="118"/>
      <c r="B21586" s="136"/>
    </row>
    <row r="21587" spans="1:2" x14ac:dyDescent="0.25">
      <c r="A21587" s="118"/>
      <c r="B21587" s="136"/>
    </row>
    <row r="21588" spans="1:2" x14ac:dyDescent="0.25">
      <c r="A21588" s="118"/>
      <c r="B21588" s="136"/>
    </row>
    <row r="21589" spans="1:2" x14ac:dyDescent="0.25">
      <c r="A21589" s="118"/>
      <c r="B21589" s="136"/>
    </row>
    <row r="21590" spans="1:2" x14ac:dyDescent="0.25">
      <c r="A21590" s="118"/>
      <c r="B21590" s="136"/>
    </row>
    <row r="21591" spans="1:2" x14ac:dyDescent="0.25">
      <c r="A21591" s="118"/>
      <c r="B21591" s="136"/>
    </row>
    <row r="21592" spans="1:2" x14ac:dyDescent="0.25">
      <c r="A21592" s="118"/>
      <c r="B21592" s="136"/>
    </row>
    <row r="21593" spans="1:2" x14ac:dyDescent="0.25">
      <c r="A21593" s="118"/>
      <c r="B21593" s="136"/>
    </row>
    <row r="21594" spans="1:2" x14ac:dyDescent="0.25">
      <c r="A21594" s="118"/>
      <c r="B21594" s="136"/>
    </row>
    <row r="21595" spans="1:2" x14ac:dyDescent="0.25">
      <c r="A21595" s="118"/>
      <c r="B21595" s="136"/>
    </row>
    <row r="21596" spans="1:2" x14ac:dyDescent="0.25">
      <c r="A21596" s="118"/>
      <c r="B21596" s="136"/>
    </row>
    <row r="21597" spans="1:2" x14ac:dyDescent="0.25">
      <c r="A21597" s="118"/>
      <c r="B21597" s="136"/>
    </row>
    <row r="21598" spans="1:2" x14ac:dyDescent="0.25">
      <c r="A21598" s="118"/>
      <c r="B21598" s="136"/>
    </row>
    <row r="21599" spans="1:2" x14ac:dyDescent="0.25">
      <c r="A21599" s="118"/>
      <c r="B21599" s="136"/>
    </row>
    <row r="21600" spans="1:2" x14ac:dyDescent="0.25">
      <c r="A21600" s="118"/>
      <c r="B21600" s="136"/>
    </row>
    <row r="21601" spans="1:2" x14ac:dyDescent="0.25">
      <c r="A21601" s="118"/>
      <c r="B21601" s="136"/>
    </row>
    <row r="21602" spans="1:2" x14ac:dyDescent="0.25">
      <c r="A21602" s="118"/>
      <c r="B21602" s="136"/>
    </row>
    <row r="21603" spans="1:2" x14ac:dyDescent="0.25">
      <c r="A21603" s="118"/>
      <c r="B21603" s="136"/>
    </row>
    <row r="21604" spans="1:2" x14ac:dyDescent="0.25">
      <c r="A21604" s="118"/>
      <c r="B21604" s="136"/>
    </row>
    <row r="21605" spans="1:2" x14ac:dyDescent="0.25">
      <c r="A21605" s="118"/>
      <c r="B21605" s="136"/>
    </row>
    <row r="21606" spans="1:2" x14ac:dyDescent="0.25">
      <c r="A21606" s="118"/>
      <c r="B21606" s="136"/>
    </row>
    <row r="21607" spans="1:2" x14ac:dyDescent="0.25">
      <c r="A21607" s="118"/>
      <c r="B21607" s="136"/>
    </row>
    <row r="21608" spans="1:2" x14ac:dyDescent="0.25">
      <c r="A21608" s="118"/>
      <c r="B21608" s="136"/>
    </row>
    <row r="21609" spans="1:2" x14ac:dyDescent="0.25">
      <c r="A21609" s="118"/>
      <c r="B21609" s="136"/>
    </row>
    <row r="21610" spans="1:2" x14ac:dyDescent="0.25">
      <c r="A21610" s="118"/>
      <c r="B21610" s="136"/>
    </row>
    <row r="21611" spans="1:2" x14ac:dyDescent="0.25">
      <c r="A21611" s="118"/>
      <c r="B21611" s="136"/>
    </row>
    <row r="21612" spans="1:2" x14ac:dyDescent="0.25">
      <c r="A21612" s="118"/>
      <c r="B21612" s="136"/>
    </row>
    <row r="21613" spans="1:2" x14ac:dyDescent="0.25">
      <c r="A21613" s="118"/>
      <c r="B21613" s="136"/>
    </row>
    <row r="21614" spans="1:2" x14ac:dyDescent="0.25">
      <c r="A21614" s="118"/>
      <c r="B21614" s="136"/>
    </row>
    <row r="21615" spans="1:2" x14ac:dyDescent="0.25">
      <c r="A21615" s="118"/>
      <c r="B21615" s="136"/>
    </row>
    <row r="21616" spans="1:2" x14ac:dyDescent="0.25">
      <c r="A21616" s="118"/>
      <c r="B21616" s="136"/>
    </row>
    <row r="21617" spans="1:2" x14ac:dyDescent="0.25">
      <c r="A21617" s="118"/>
      <c r="B21617" s="136"/>
    </row>
    <row r="21618" spans="1:2" x14ac:dyDescent="0.25">
      <c r="A21618" s="118"/>
      <c r="B21618" s="136"/>
    </row>
    <row r="21619" spans="1:2" x14ac:dyDescent="0.25">
      <c r="A21619" s="118"/>
      <c r="B21619" s="136"/>
    </row>
    <row r="21620" spans="1:2" x14ac:dyDescent="0.25">
      <c r="A21620" s="118"/>
      <c r="B21620" s="136"/>
    </row>
    <row r="21621" spans="1:2" x14ac:dyDescent="0.25">
      <c r="A21621" s="118"/>
      <c r="B21621" s="136"/>
    </row>
    <row r="21622" spans="1:2" x14ac:dyDescent="0.25">
      <c r="A21622" s="118"/>
      <c r="B21622" s="136"/>
    </row>
    <row r="21623" spans="1:2" x14ac:dyDescent="0.25">
      <c r="A21623" s="118"/>
      <c r="B21623" s="136"/>
    </row>
    <row r="21624" spans="1:2" x14ac:dyDescent="0.25">
      <c r="A21624" s="118"/>
      <c r="B21624" s="136"/>
    </row>
    <row r="21625" spans="1:2" x14ac:dyDescent="0.25">
      <c r="A21625" s="118"/>
      <c r="B21625" s="136"/>
    </row>
    <row r="21626" spans="1:2" x14ac:dyDescent="0.25">
      <c r="A21626" s="118"/>
      <c r="B21626" s="136"/>
    </row>
    <row r="21627" spans="1:2" x14ac:dyDescent="0.25">
      <c r="A21627" s="118"/>
      <c r="B21627" s="136"/>
    </row>
    <row r="21628" spans="1:2" x14ac:dyDescent="0.25">
      <c r="A21628" s="118"/>
      <c r="B21628" s="136"/>
    </row>
    <row r="21629" spans="1:2" x14ac:dyDescent="0.25">
      <c r="A21629" s="118"/>
      <c r="B21629" s="136"/>
    </row>
    <row r="21630" spans="1:2" x14ac:dyDescent="0.25">
      <c r="A21630" s="118"/>
      <c r="B21630" s="136"/>
    </row>
    <row r="21631" spans="1:2" x14ac:dyDescent="0.25">
      <c r="A21631" s="118"/>
      <c r="B21631" s="136"/>
    </row>
    <row r="21632" spans="1:2" x14ac:dyDescent="0.25">
      <c r="A21632" s="118"/>
      <c r="B21632" s="136"/>
    </row>
    <row r="21633" spans="1:2" x14ac:dyDescent="0.25">
      <c r="A21633" s="118"/>
      <c r="B21633" s="136"/>
    </row>
    <row r="21634" spans="1:2" x14ac:dyDescent="0.25">
      <c r="A21634" s="118"/>
      <c r="B21634" s="136"/>
    </row>
    <row r="21635" spans="1:2" x14ac:dyDescent="0.25">
      <c r="A21635" s="118"/>
      <c r="B21635" s="136"/>
    </row>
    <row r="21636" spans="1:2" x14ac:dyDescent="0.25">
      <c r="A21636" s="118"/>
      <c r="B21636" s="136"/>
    </row>
    <row r="21637" spans="1:2" x14ac:dyDescent="0.25">
      <c r="A21637" s="118"/>
      <c r="B21637" s="136"/>
    </row>
    <row r="21638" spans="1:2" x14ac:dyDescent="0.25">
      <c r="A21638" s="118"/>
      <c r="B21638" s="136"/>
    </row>
    <row r="21639" spans="1:2" x14ac:dyDescent="0.25">
      <c r="A21639" s="118"/>
      <c r="B21639" s="136"/>
    </row>
    <row r="21640" spans="1:2" x14ac:dyDescent="0.25">
      <c r="A21640" s="118"/>
      <c r="B21640" s="136"/>
    </row>
    <row r="21641" spans="1:2" x14ac:dyDescent="0.25">
      <c r="A21641" s="118"/>
      <c r="B21641" s="136"/>
    </row>
    <row r="21642" spans="1:2" x14ac:dyDescent="0.25">
      <c r="A21642" s="118"/>
      <c r="B21642" s="136"/>
    </row>
    <row r="21643" spans="1:2" x14ac:dyDescent="0.25">
      <c r="A21643" s="118"/>
      <c r="B21643" s="136"/>
    </row>
    <row r="21644" spans="1:2" x14ac:dyDescent="0.25">
      <c r="A21644" s="118"/>
      <c r="B21644" s="136"/>
    </row>
    <row r="21645" spans="1:2" x14ac:dyDescent="0.25">
      <c r="A21645" s="118"/>
      <c r="B21645" s="136"/>
    </row>
    <row r="21646" spans="1:2" x14ac:dyDescent="0.25">
      <c r="A21646" s="118"/>
      <c r="B21646" s="136"/>
    </row>
    <row r="21647" spans="1:2" x14ac:dyDescent="0.25">
      <c r="A21647" s="118"/>
      <c r="B21647" s="136"/>
    </row>
    <row r="21648" spans="1:2" x14ac:dyDescent="0.25">
      <c r="A21648" s="118"/>
      <c r="B21648" s="136"/>
    </row>
    <row r="21649" spans="1:2" x14ac:dyDescent="0.25">
      <c r="A21649" s="118"/>
      <c r="B21649" s="136"/>
    </row>
    <row r="21650" spans="1:2" x14ac:dyDescent="0.25">
      <c r="A21650" s="118"/>
      <c r="B21650" s="136"/>
    </row>
    <row r="21651" spans="1:2" x14ac:dyDescent="0.25">
      <c r="A21651" s="118"/>
      <c r="B21651" s="136"/>
    </row>
    <row r="21652" spans="1:2" x14ac:dyDescent="0.25">
      <c r="A21652" s="118"/>
      <c r="B21652" s="136"/>
    </row>
    <row r="21653" spans="1:2" x14ac:dyDescent="0.25">
      <c r="A21653" s="118"/>
      <c r="B21653" s="136"/>
    </row>
    <row r="21654" spans="1:2" x14ac:dyDescent="0.25">
      <c r="A21654" s="118"/>
      <c r="B21654" s="136"/>
    </row>
    <row r="21655" spans="1:2" x14ac:dyDescent="0.25">
      <c r="A21655" s="118"/>
      <c r="B21655" s="136"/>
    </row>
    <row r="21656" spans="1:2" x14ac:dyDescent="0.25">
      <c r="A21656" s="118"/>
      <c r="B21656" s="136"/>
    </row>
    <row r="21657" spans="1:2" x14ac:dyDescent="0.25">
      <c r="A21657" s="118"/>
      <c r="B21657" s="136"/>
    </row>
    <row r="21658" spans="1:2" x14ac:dyDescent="0.25">
      <c r="A21658" s="118"/>
      <c r="B21658" s="136"/>
    </row>
    <row r="21659" spans="1:2" x14ac:dyDescent="0.25">
      <c r="A21659" s="118"/>
      <c r="B21659" s="136"/>
    </row>
    <row r="21660" spans="1:2" x14ac:dyDescent="0.25">
      <c r="A21660" s="118"/>
      <c r="B21660" s="136"/>
    </row>
    <row r="21661" spans="1:2" x14ac:dyDescent="0.25">
      <c r="A21661" s="118"/>
      <c r="B21661" s="136"/>
    </row>
    <row r="21662" spans="1:2" x14ac:dyDescent="0.25">
      <c r="A21662" s="118"/>
      <c r="B21662" s="136"/>
    </row>
    <row r="21663" spans="1:2" x14ac:dyDescent="0.25">
      <c r="A21663" s="118"/>
      <c r="B21663" s="136"/>
    </row>
    <row r="21664" spans="1:2" x14ac:dyDescent="0.25">
      <c r="A21664" s="118"/>
      <c r="B21664" s="136"/>
    </row>
    <row r="21665" spans="1:2" x14ac:dyDescent="0.25">
      <c r="A21665" s="118"/>
      <c r="B21665" s="136"/>
    </row>
    <row r="21666" spans="1:2" x14ac:dyDescent="0.25">
      <c r="A21666" s="118"/>
      <c r="B21666" s="136"/>
    </row>
    <row r="21667" spans="1:2" x14ac:dyDescent="0.25">
      <c r="A21667" s="118"/>
      <c r="B21667" s="136"/>
    </row>
    <row r="21668" spans="1:2" x14ac:dyDescent="0.25">
      <c r="A21668" s="118"/>
      <c r="B21668" s="136"/>
    </row>
    <row r="21669" spans="1:2" x14ac:dyDescent="0.25">
      <c r="A21669" s="118"/>
      <c r="B21669" s="136"/>
    </row>
    <row r="21670" spans="1:2" x14ac:dyDescent="0.25">
      <c r="A21670" s="118"/>
      <c r="B21670" s="136"/>
    </row>
    <row r="21671" spans="1:2" x14ac:dyDescent="0.25">
      <c r="A21671" s="118"/>
      <c r="B21671" s="136"/>
    </row>
    <row r="21672" spans="1:2" x14ac:dyDescent="0.25">
      <c r="A21672" s="118"/>
      <c r="B21672" s="136"/>
    </row>
    <row r="21673" spans="1:2" x14ac:dyDescent="0.25">
      <c r="A21673" s="118"/>
      <c r="B21673" s="136"/>
    </row>
    <row r="21674" spans="1:2" x14ac:dyDescent="0.25">
      <c r="A21674" s="118"/>
      <c r="B21674" s="136"/>
    </row>
    <row r="21675" spans="1:2" x14ac:dyDescent="0.25">
      <c r="A21675" s="118"/>
      <c r="B21675" s="136"/>
    </row>
    <row r="21676" spans="1:2" x14ac:dyDescent="0.25">
      <c r="A21676" s="118"/>
      <c r="B21676" s="136"/>
    </row>
    <row r="21677" spans="1:2" x14ac:dyDescent="0.25">
      <c r="A21677" s="118"/>
      <c r="B21677" s="136"/>
    </row>
    <row r="21678" spans="1:2" x14ac:dyDescent="0.25">
      <c r="A21678" s="118"/>
      <c r="B21678" s="136"/>
    </row>
    <row r="21679" spans="1:2" x14ac:dyDescent="0.25">
      <c r="A21679" s="118"/>
      <c r="B21679" s="136"/>
    </row>
    <row r="21680" spans="1:2" x14ac:dyDescent="0.25">
      <c r="A21680" s="118"/>
      <c r="B21680" s="136"/>
    </row>
    <row r="21681" spans="1:2" x14ac:dyDescent="0.25">
      <c r="A21681" s="118"/>
      <c r="B21681" s="136"/>
    </row>
    <row r="21682" spans="1:2" x14ac:dyDescent="0.25">
      <c r="A21682" s="118"/>
      <c r="B21682" s="136"/>
    </row>
    <row r="21683" spans="1:2" x14ac:dyDescent="0.25">
      <c r="A21683" s="118"/>
      <c r="B21683" s="136"/>
    </row>
    <row r="21684" spans="1:2" x14ac:dyDescent="0.25">
      <c r="A21684" s="118"/>
      <c r="B21684" s="136"/>
    </row>
    <row r="21685" spans="1:2" x14ac:dyDescent="0.25">
      <c r="A21685" s="118"/>
      <c r="B21685" s="136"/>
    </row>
    <row r="21686" spans="1:2" x14ac:dyDescent="0.25">
      <c r="A21686" s="118"/>
      <c r="B21686" s="136"/>
    </row>
    <row r="21687" spans="1:2" x14ac:dyDescent="0.25">
      <c r="A21687" s="118"/>
      <c r="B21687" s="136"/>
    </row>
    <row r="21688" spans="1:2" x14ac:dyDescent="0.25">
      <c r="A21688" s="118"/>
      <c r="B21688" s="136"/>
    </row>
    <row r="21689" spans="1:2" x14ac:dyDescent="0.25">
      <c r="A21689" s="118"/>
      <c r="B21689" s="136"/>
    </row>
    <row r="21690" spans="1:2" x14ac:dyDescent="0.25">
      <c r="A21690" s="118"/>
      <c r="B21690" s="136"/>
    </row>
    <row r="21691" spans="1:2" x14ac:dyDescent="0.25">
      <c r="A21691" s="118"/>
      <c r="B21691" s="136"/>
    </row>
    <row r="21692" spans="1:2" x14ac:dyDescent="0.25">
      <c r="A21692" s="118"/>
      <c r="B21692" s="136"/>
    </row>
    <row r="21693" spans="1:2" x14ac:dyDescent="0.25">
      <c r="A21693" s="118"/>
      <c r="B21693" s="136"/>
    </row>
    <row r="21694" spans="1:2" x14ac:dyDescent="0.25">
      <c r="A21694" s="118"/>
      <c r="B21694" s="136"/>
    </row>
    <row r="21695" spans="1:2" x14ac:dyDescent="0.25">
      <c r="A21695" s="118"/>
      <c r="B21695" s="136"/>
    </row>
    <row r="21696" spans="1:2" x14ac:dyDescent="0.25">
      <c r="A21696" s="118"/>
      <c r="B21696" s="136"/>
    </row>
    <row r="21697" spans="1:2" x14ac:dyDescent="0.25">
      <c r="A21697" s="118"/>
      <c r="B21697" s="136"/>
    </row>
    <row r="21698" spans="1:2" x14ac:dyDescent="0.25">
      <c r="A21698" s="118"/>
      <c r="B21698" s="136"/>
    </row>
    <row r="21699" spans="1:2" x14ac:dyDescent="0.25">
      <c r="A21699" s="118"/>
      <c r="B21699" s="136"/>
    </row>
    <row r="21700" spans="1:2" x14ac:dyDescent="0.25">
      <c r="A21700" s="118"/>
      <c r="B21700" s="136"/>
    </row>
    <row r="21701" spans="1:2" x14ac:dyDescent="0.25">
      <c r="A21701" s="118"/>
      <c r="B21701" s="136"/>
    </row>
    <row r="21702" spans="1:2" x14ac:dyDescent="0.25">
      <c r="A21702" s="118"/>
      <c r="B21702" s="136"/>
    </row>
    <row r="21703" spans="1:2" x14ac:dyDescent="0.25">
      <c r="A21703" s="118"/>
      <c r="B21703" s="136"/>
    </row>
    <row r="21704" spans="1:2" x14ac:dyDescent="0.25">
      <c r="A21704" s="118"/>
      <c r="B21704" s="136"/>
    </row>
    <row r="21705" spans="1:2" x14ac:dyDescent="0.25">
      <c r="A21705" s="118"/>
      <c r="B21705" s="136"/>
    </row>
    <row r="21706" spans="1:2" x14ac:dyDescent="0.25">
      <c r="A21706" s="118"/>
      <c r="B21706" s="136"/>
    </row>
    <row r="21707" spans="1:2" x14ac:dyDescent="0.25">
      <c r="A21707" s="118"/>
      <c r="B21707" s="136"/>
    </row>
    <row r="21708" spans="1:2" x14ac:dyDescent="0.25">
      <c r="A21708" s="118"/>
      <c r="B21708" s="136"/>
    </row>
    <row r="21709" spans="1:2" x14ac:dyDescent="0.25">
      <c r="A21709" s="118"/>
      <c r="B21709" s="136"/>
    </row>
    <row r="21710" spans="1:2" x14ac:dyDescent="0.25">
      <c r="A21710" s="118"/>
      <c r="B21710" s="136"/>
    </row>
    <row r="21711" spans="1:2" x14ac:dyDescent="0.25">
      <c r="A21711" s="118"/>
      <c r="B21711" s="136"/>
    </row>
    <row r="21712" spans="1:2" x14ac:dyDescent="0.25">
      <c r="A21712" s="118"/>
      <c r="B21712" s="136"/>
    </row>
    <row r="21713" spans="1:2" x14ac:dyDescent="0.25">
      <c r="A21713" s="118"/>
      <c r="B21713" s="136"/>
    </row>
    <row r="21714" spans="1:2" x14ac:dyDescent="0.25">
      <c r="A21714" s="118"/>
      <c r="B21714" s="136"/>
    </row>
    <row r="21715" spans="1:2" x14ac:dyDescent="0.25">
      <c r="A21715" s="118"/>
      <c r="B21715" s="136"/>
    </row>
    <row r="21716" spans="1:2" x14ac:dyDescent="0.25">
      <c r="A21716" s="118"/>
      <c r="B21716" s="136"/>
    </row>
    <row r="21717" spans="1:2" x14ac:dyDescent="0.25">
      <c r="A21717" s="118"/>
      <c r="B21717" s="136"/>
    </row>
    <row r="21718" spans="1:2" x14ac:dyDescent="0.25">
      <c r="A21718" s="118"/>
      <c r="B21718" s="136"/>
    </row>
    <row r="21719" spans="1:2" x14ac:dyDescent="0.25">
      <c r="A21719" s="118"/>
      <c r="B21719" s="136"/>
    </row>
    <row r="21720" spans="1:2" x14ac:dyDescent="0.25">
      <c r="A21720" s="118"/>
      <c r="B21720" s="136"/>
    </row>
    <row r="21721" spans="1:2" x14ac:dyDescent="0.25">
      <c r="A21721" s="118"/>
      <c r="B21721" s="136"/>
    </row>
    <row r="21722" spans="1:2" x14ac:dyDescent="0.25">
      <c r="A21722" s="118"/>
      <c r="B21722" s="136"/>
    </row>
    <row r="21723" spans="1:2" x14ac:dyDescent="0.25">
      <c r="A21723" s="118"/>
      <c r="B21723" s="136"/>
    </row>
    <row r="21724" spans="1:2" x14ac:dyDescent="0.25">
      <c r="A21724" s="118"/>
      <c r="B21724" s="136"/>
    </row>
    <row r="21725" spans="1:2" x14ac:dyDescent="0.25">
      <c r="A21725" s="118"/>
      <c r="B21725" s="136"/>
    </row>
    <row r="21726" spans="1:2" x14ac:dyDescent="0.25">
      <c r="A21726" s="118"/>
      <c r="B21726" s="136"/>
    </row>
    <row r="21727" spans="1:2" x14ac:dyDescent="0.25">
      <c r="A21727" s="118"/>
      <c r="B21727" s="136"/>
    </row>
    <row r="21728" spans="1:2" x14ac:dyDescent="0.25">
      <c r="A21728" s="118"/>
      <c r="B21728" s="136"/>
    </row>
    <row r="21729" spans="1:2" x14ac:dyDescent="0.25">
      <c r="A21729" s="118"/>
      <c r="B21729" s="136"/>
    </row>
    <row r="21730" spans="1:2" x14ac:dyDescent="0.25">
      <c r="A21730" s="118"/>
      <c r="B21730" s="136"/>
    </row>
    <row r="21731" spans="1:2" x14ac:dyDescent="0.25">
      <c r="A21731" s="118"/>
      <c r="B21731" s="136"/>
    </row>
    <row r="21732" spans="1:2" x14ac:dyDescent="0.25">
      <c r="A21732" s="118"/>
      <c r="B21732" s="136"/>
    </row>
    <row r="21733" spans="1:2" x14ac:dyDescent="0.25">
      <c r="A21733" s="118"/>
      <c r="B21733" s="136"/>
    </row>
    <row r="21734" spans="1:2" x14ac:dyDescent="0.25">
      <c r="A21734" s="118"/>
      <c r="B21734" s="136"/>
    </row>
    <row r="21735" spans="1:2" x14ac:dyDescent="0.25">
      <c r="A21735" s="118"/>
      <c r="B21735" s="136"/>
    </row>
    <row r="21736" spans="1:2" x14ac:dyDescent="0.25">
      <c r="A21736" s="118"/>
      <c r="B21736" s="136"/>
    </row>
    <row r="21737" spans="1:2" x14ac:dyDescent="0.25">
      <c r="A21737" s="118"/>
      <c r="B21737" s="136"/>
    </row>
    <row r="21738" spans="1:2" x14ac:dyDescent="0.25">
      <c r="A21738" s="118"/>
      <c r="B21738" s="136"/>
    </row>
    <row r="21739" spans="1:2" x14ac:dyDescent="0.25">
      <c r="A21739" s="118"/>
      <c r="B21739" s="136"/>
    </row>
    <row r="21740" spans="1:2" x14ac:dyDescent="0.25">
      <c r="A21740" s="118"/>
      <c r="B21740" s="136"/>
    </row>
    <row r="21741" spans="1:2" x14ac:dyDescent="0.25">
      <c r="A21741" s="118"/>
      <c r="B21741" s="136"/>
    </row>
    <row r="21742" spans="1:2" x14ac:dyDescent="0.25">
      <c r="A21742" s="118"/>
      <c r="B21742" s="136"/>
    </row>
    <row r="21743" spans="1:2" x14ac:dyDescent="0.25">
      <c r="A21743" s="118"/>
      <c r="B21743" s="136"/>
    </row>
    <row r="21744" spans="1:2" x14ac:dyDescent="0.25">
      <c r="A21744" s="118"/>
      <c r="B21744" s="136"/>
    </row>
    <row r="21745" spans="1:2" x14ac:dyDescent="0.25">
      <c r="A21745" s="118"/>
      <c r="B21745" s="136"/>
    </row>
    <row r="21746" spans="1:2" x14ac:dyDescent="0.25">
      <c r="A21746" s="118"/>
      <c r="B21746" s="136"/>
    </row>
    <row r="21747" spans="1:2" x14ac:dyDescent="0.25">
      <c r="A21747" s="118"/>
      <c r="B21747" s="136"/>
    </row>
    <row r="21748" spans="1:2" x14ac:dyDescent="0.25">
      <c r="A21748" s="118"/>
      <c r="B21748" s="136"/>
    </row>
    <row r="21749" spans="1:2" x14ac:dyDescent="0.25">
      <c r="A21749" s="118"/>
      <c r="B21749" s="136"/>
    </row>
    <row r="21750" spans="1:2" x14ac:dyDescent="0.25">
      <c r="A21750" s="118"/>
      <c r="B21750" s="136"/>
    </row>
    <row r="21751" spans="1:2" x14ac:dyDescent="0.25">
      <c r="A21751" s="118"/>
      <c r="B21751" s="136"/>
    </row>
    <row r="21752" spans="1:2" x14ac:dyDescent="0.25">
      <c r="A21752" s="118"/>
      <c r="B21752" s="136"/>
    </row>
    <row r="21753" spans="1:2" x14ac:dyDescent="0.25">
      <c r="A21753" s="118"/>
      <c r="B21753" s="136"/>
    </row>
    <row r="21754" spans="1:2" x14ac:dyDescent="0.25">
      <c r="A21754" s="118"/>
      <c r="B21754" s="136"/>
    </row>
    <row r="21755" spans="1:2" x14ac:dyDescent="0.25">
      <c r="A21755" s="118"/>
      <c r="B21755" s="136"/>
    </row>
    <row r="21756" spans="1:2" x14ac:dyDescent="0.25">
      <c r="A21756" s="118"/>
      <c r="B21756" s="136"/>
    </row>
    <row r="21757" spans="1:2" x14ac:dyDescent="0.25">
      <c r="A21757" s="118"/>
      <c r="B21757" s="136"/>
    </row>
    <row r="21758" spans="1:2" x14ac:dyDescent="0.25">
      <c r="A21758" s="118"/>
      <c r="B21758" s="136"/>
    </row>
    <row r="21759" spans="1:2" x14ac:dyDescent="0.25">
      <c r="A21759" s="118"/>
      <c r="B21759" s="136"/>
    </row>
    <row r="21760" spans="1:2" x14ac:dyDescent="0.25">
      <c r="A21760" s="118"/>
      <c r="B21760" s="136"/>
    </row>
    <row r="21761" spans="1:2" x14ac:dyDescent="0.25">
      <c r="A21761" s="118"/>
      <c r="B21761" s="136"/>
    </row>
    <row r="21762" spans="1:2" x14ac:dyDescent="0.25">
      <c r="A21762" s="118"/>
      <c r="B21762" s="136"/>
    </row>
    <row r="21763" spans="1:2" x14ac:dyDescent="0.25">
      <c r="A21763" s="118"/>
      <c r="B21763" s="136"/>
    </row>
    <row r="21764" spans="1:2" x14ac:dyDescent="0.25">
      <c r="A21764" s="118"/>
      <c r="B21764" s="136"/>
    </row>
    <row r="21765" spans="1:2" x14ac:dyDescent="0.25">
      <c r="A21765" s="118"/>
      <c r="B21765" s="136"/>
    </row>
    <row r="21766" spans="1:2" x14ac:dyDescent="0.25">
      <c r="A21766" s="118"/>
      <c r="B21766" s="136"/>
    </row>
    <row r="21767" spans="1:2" x14ac:dyDescent="0.25">
      <c r="A21767" s="118"/>
      <c r="B21767" s="136"/>
    </row>
    <row r="21768" spans="1:2" x14ac:dyDescent="0.25">
      <c r="A21768" s="118"/>
      <c r="B21768" s="136"/>
    </row>
    <row r="21769" spans="1:2" x14ac:dyDescent="0.25">
      <c r="A21769" s="118"/>
      <c r="B21769" s="136"/>
    </row>
    <row r="21770" spans="1:2" x14ac:dyDescent="0.25">
      <c r="A21770" s="118"/>
      <c r="B21770" s="136"/>
    </row>
    <row r="21771" spans="1:2" x14ac:dyDescent="0.25">
      <c r="A21771" s="118"/>
      <c r="B21771" s="136"/>
    </row>
    <row r="21772" spans="1:2" x14ac:dyDescent="0.25">
      <c r="A21772" s="118"/>
      <c r="B21772" s="136"/>
    </row>
    <row r="21773" spans="1:2" x14ac:dyDescent="0.25">
      <c r="A21773" s="118"/>
      <c r="B21773" s="136"/>
    </row>
    <row r="21774" spans="1:2" x14ac:dyDescent="0.25">
      <c r="A21774" s="118"/>
      <c r="B21774" s="136"/>
    </row>
    <row r="21775" spans="1:2" x14ac:dyDescent="0.25">
      <c r="A21775" s="118"/>
      <c r="B21775" s="136"/>
    </row>
    <row r="21776" spans="1:2" x14ac:dyDescent="0.25">
      <c r="A21776" s="118"/>
      <c r="B21776" s="136"/>
    </row>
    <row r="21777" spans="1:2" x14ac:dyDescent="0.25">
      <c r="A21777" s="118"/>
      <c r="B21777" s="136"/>
    </row>
    <row r="21778" spans="1:2" x14ac:dyDescent="0.25">
      <c r="A21778" s="118"/>
      <c r="B21778" s="136"/>
    </row>
    <row r="21779" spans="1:2" x14ac:dyDescent="0.25">
      <c r="A21779" s="118"/>
      <c r="B21779" s="136"/>
    </row>
    <row r="21780" spans="1:2" x14ac:dyDescent="0.25">
      <c r="A21780" s="118"/>
      <c r="B21780" s="136"/>
    </row>
    <row r="21781" spans="1:2" x14ac:dyDescent="0.25">
      <c r="A21781" s="118"/>
      <c r="B21781" s="136"/>
    </row>
    <row r="21782" spans="1:2" x14ac:dyDescent="0.25">
      <c r="A21782" s="118"/>
      <c r="B21782" s="136"/>
    </row>
    <row r="21783" spans="1:2" x14ac:dyDescent="0.25">
      <c r="A21783" s="118"/>
      <c r="B21783" s="136"/>
    </row>
    <row r="21784" spans="1:2" x14ac:dyDescent="0.25">
      <c r="A21784" s="118"/>
      <c r="B21784" s="136"/>
    </row>
    <row r="21785" spans="1:2" x14ac:dyDescent="0.25">
      <c r="A21785" s="118"/>
      <c r="B21785" s="136"/>
    </row>
    <row r="21786" spans="1:2" x14ac:dyDescent="0.25">
      <c r="A21786" s="118"/>
      <c r="B21786" s="136"/>
    </row>
    <row r="21787" spans="1:2" x14ac:dyDescent="0.25">
      <c r="A21787" s="118"/>
      <c r="B21787" s="136"/>
    </row>
    <row r="21788" spans="1:2" x14ac:dyDescent="0.25">
      <c r="A21788" s="118"/>
      <c r="B21788" s="136"/>
    </row>
    <row r="21789" spans="1:2" x14ac:dyDescent="0.25">
      <c r="A21789" s="118"/>
      <c r="B21789" s="136"/>
    </row>
    <row r="21790" spans="1:2" x14ac:dyDescent="0.25">
      <c r="A21790" s="118"/>
      <c r="B21790" s="136"/>
    </row>
    <row r="21791" spans="1:2" x14ac:dyDescent="0.25">
      <c r="A21791" s="118"/>
      <c r="B21791" s="136"/>
    </row>
    <row r="21792" spans="1:2" x14ac:dyDescent="0.25">
      <c r="A21792" s="118"/>
      <c r="B21792" s="136"/>
    </row>
    <row r="21793" spans="1:2" x14ac:dyDescent="0.25">
      <c r="A21793" s="118"/>
      <c r="B21793" s="136"/>
    </row>
    <row r="21794" spans="1:2" x14ac:dyDescent="0.25">
      <c r="A21794" s="118"/>
      <c r="B21794" s="136"/>
    </row>
    <row r="21795" spans="1:2" x14ac:dyDescent="0.25">
      <c r="A21795" s="118"/>
      <c r="B21795" s="136"/>
    </row>
    <row r="21796" spans="1:2" x14ac:dyDescent="0.25">
      <c r="A21796" s="118"/>
      <c r="B21796" s="136"/>
    </row>
    <row r="21797" spans="1:2" x14ac:dyDescent="0.25">
      <c r="A21797" s="118"/>
      <c r="B21797" s="136"/>
    </row>
    <row r="21798" spans="1:2" x14ac:dyDescent="0.25">
      <c r="A21798" s="118"/>
      <c r="B21798" s="136"/>
    </row>
    <row r="21799" spans="1:2" x14ac:dyDescent="0.25">
      <c r="A21799" s="118"/>
      <c r="B21799" s="136"/>
    </row>
    <row r="21800" spans="1:2" x14ac:dyDescent="0.25">
      <c r="A21800" s="118"/>
      <c r="B21800" s="136"/>
    </row>
    <row r="21801" spans="1:2" x14ac:dyDescent="0.25">
      <c r="A21801" s="118"/>
      <c r="B21801" s="136"/>
    </row>
    <row r="21802" spans="1:2" x14ac:dyDescent="0.25">
      <c r="A21802" s="118"/>
      <c r="B21802" s="136"/>
    </row>
    <row r="21803" spans="1:2" x14ac:dyDescent="0.25">
      <c r="A21803" s="118"/>
      <c r="B21803" s="136"/>
    </row>
    <row r="21804" spans="1:2" x14ac:dyDescent="0.25">
      <c r="A21804" s="118"/>
      <c r="B21804" s="136"/>
    </row>
    <row r="21805" spans="1:2" x14ac:dyDescent="0.25">
      <c r="A21805" s="118"/>
      <c r="B21805" s="136"/>
    </row>
    <row r="21806" spans="1:2" x14ac:dyDescent="0.25">
      <c r="A21806" s="118"/>
      <c r="B21806" s="136"/>
    </row>
    <row r="21807" spans="1:2" x14ac:dyDescent="0.25">
      <c r="A21807" s="118"/>
      <c r="B21807" s="136"/>
    </row>
    <row r="21808" spans="1:2" x14ac:dyDescent="0.25">
      <c r="A21808" s="118"/>
      <c r="B21808" s="136"/>
    </row>
    <row r="21809" spans="1:2" x14ac:dyDescent="0.25">
      <c r="A21809" s="118"/>
      <c r="B21809" s="136"/>
    </row>
    <row r="21810" spans="1:2" x14ac:dyDescent="0.25">
      <c r="A21810" s="118"/>
      <c r="B21810" s="136"/>
    </row>
    <row r="21811" spans="1:2" x14ac:dyDescent="0.25">
      <c r="A21811" s="118"/>
      <c r="B21811" s="136"/>
    </row>
    <row r="21812" spans="1:2" x14ac:dyDescent="0.25">
      <c r="A21812" s="118"/>
      <c r="B21812" s="136"/>
    </row>
    <row r="21813" spans="1:2" x14ac:dyDescent="0.25">
      <c r="A21813" s="118"/>
      <c r="B21813" s="136"/>
    </row>
    <row r="21814" spans="1:2" x14ac:dyDescent="0.25">
      <c r="A21814" s="118"/>
      <c r="B21814" s="136"/>
    </row>
    <row r="21815" spans="1:2" x14ac:dyDescent="0.25">
      <c r="A21815" s="118"/>
      <c r="B21815" s="136"/>
    </row>
    <row r="21816" spans="1:2" x14ac:dyDescent="0.25">
      <c r="A21816" s="118"/>
      <c r="B21816" s="136"/>
    </row>
    <row r="21817" spans="1:2" x14ac:dyDescent="0.25">
      <c r="A21817" s="118"/>
      <c r="B21817" s="136"/>
    </row>
    <row r="21818" spans="1:2" x14ac:dyDescent="0.25">
      <c r="A21818" s="118"/>
      <c r="B21818" s="136"/>
    </row>
    <row r="21819" spans="1:2" x14ac:dyDescent="0.25">
      <c r="A21819" s="118"/>
      <c r="B21819" s="136"/>
    </row>
    <row r="21820" spans="1:2" x14ac:dyDescent="0.25">
      <c r="A21820" s="118"/>
      <c r="B21820" s="136"/>
    </row>
    <row r="21821" spans="1:2" x14ac:dyDescent="0.25">
      <c r="A21821" s="118"/>
      <c r="B21821" s="136"/>
    </row>
    <row r="21822" spans="1:2" x14ac:dyDescent="0.25">
      <c r="A21822" s="118"/>
      <c r="B21822" s="136"/>
    </row>
    <row r="21823" spans="1:2" x14ac:dyDescent="0.25">
      <c r="A21823" s="118"/>
      <c r="B21823" s="136"/>
    </row>
    <row r="21824" spans="1:2" x14ac:dyDescent="0.25">
      <c r="A21824" s="118"/>
      <c r="B21824" s="136"/>
    </row>
    <row r="21825" spans="1:2" x14ac:dyDescent="0.25">
      <c r="A21825" s="118"/>
      <c r="B21825" s="136"/>
    </row>
    <row r="21826" spans="1:2" x14ac:dyDescent="0.25">
      <c r="A21826" s="118"/>
      <c r="B21826" s="136"/>
    </row>
    <row r="21827" spans="1:2" x14ac:dyDescent="0.25">
      <c r="A21827" s="118"/>
      <c r="B21827" s="136"/>
    </row>
    <row r="21828" spans="1:2" x14ac:dyDescent="0.25">
      <c r="A21828" s="118"/>
      <c r="B21828" s="136"/>
    </row>
    <row r="21829" spans="1:2" x14ac:dyDescent="0.25">
      <c r="A21829" s="118"/>
      <c r="B21829" s="136"/>
    </row>
    <row r="21830" spans="1:2" x14ac:dyDescent="0.25">
      <c r="A21830" s="118"/>
      <c r="B21830" s="136"/>
    </row>
    <row r="21831" spans="1:2" x14ac:dyDescent="0.25">
      <c r="A21831" s="118"/>
      <c r="B21831" s="136"/>
    </row>
    <row r="21832" spans="1:2" x14ac:dyDescent="0.25">
      <c r="A21832" s="118"/>
      <c r="B21832" s="136"/>
    </row>
    <row r="21833" spans="1:2" x14ac:dyDescent="0.25">
      <c r="A21833" s="118"/>
      <c r="B21833" s="136"/>
    </row>
    <row r="21834" spans="1:2" x14ac:dyDescent="0.25">
      <c r="A21834" s="118"/>
      <c r="B21834" s="136"/>
    </row>
    <row r="21835" spans="1:2" x14ac:dyDescent="0.25">
      <c r="A21835" s="118"/>
      <c r="B21835" s="136"/>
    </row>
    <row r="21836" spans="1:2" x14ac:dyDescent="0.25">
      <c r="A21836" s="118"/>
      <c r="B21836" s="136"/>
    </row>
    <row r="21837" spans="1:2" x14ac:dyDescent="0.25">
      <c r="A21837" s="118"/>
      <c r="B21837" s="136"/>
    </row>
    <row r="21838" spans="1:2" x14ac:dyDescent="0.25">
      <c r="A21838" s="118"/>
      <c r="B21838" s="136"/>
    </row>
    <row r="21839" spans="1:2" x14ac:dyDescent="0.25">
      <c r="A21839" s="118"/>
      <c r="B21839" s="136"/>
    </row>
    <row r="21840" spans="1:2" x14ac:dyDescent="0.25">
      <c r="A21840" s="118"/>
      <c r="B21840" s="136"/>
    </row>
    <row r="21841" spans="1:2" x14ac:dyDescent="0.25">
      <c r="A21841" s="118"/>
      <c r="B21841" s="136"/>
    </row>
    <row r="21842" spans="1:2" x14ac:dyDescent="0.25">
      <c r="A21842" s="118"/>
      <c r="B21842" s="136"/>
    </row>
    <row r="21843" spans="1:2" x14ac:dyDescent="0.25">
      <c r="A21843" s="118"/>
      <c r="B21843" s="136"/>
    </row>
    <row r="21844" spans="1:2" x14ac:dyDescent="0.25">
      <c r="A21844" s="118"/>
      <c r="B21844" s="136"/>
    </row>
    <row r="21845" spans="1:2" x14ac:dyDescent="0.25">
      <c r="A21845" s="118"/>
      <c r="B21845" s="136"/>
    </row>
    <row r="21846" spans="1:2" x14ac:dyDescent="0.25">
      <c r="A21846" s="118"/>
      <c r="B21846" s="136"/>
    </row>
    <row r="21847" spans="1:2" x14ac:dyDescent="0.25">
      <c r="A21847" s="118"/>
      <c r="B21847" s="136"/>
    </row>
    <row r="21848" spans="1:2" x14ac:dyDescent="0.25">
      <c r="A21848" s="118"/>
      <c r="B21848" s="136"/>
    </row>
    <row r="21849" spans="1:2" x14ac:dyDescent="0.25">
      <c r="A21849" s="118"/>
      <c r="B21849" s="136"/>
    </row>
    <row r="21850" spans="1:2" x14ac:dyDescent="0.25">
      <c r="A21850" s="118"/>
      <c r="B21850" s="136"/>
    </row>
    <row r="21851" spans="1:2" x14ac:dyDescent="0.25">
      <c r="A21851" s="118"/>
      <c r="B21851" s="136"/>
    </row>
    <row r="21852" spans="1:2" x14ac:dyDescent="0.25">
      <c r="A21852" s="118"/>
      <c r="B21852" s="136"/>
    </row>
    <row r="21853" spans="1:2" x14ac:dyDescent="0.25">
      <c r="A21853" s="118"/>
      <c r="B21853" s="136"/>
    </row>
    <row r="21854" spans="1:2" x14ac:dyDescent="0.25">
      <c r="A21854" s="118"/>
      <c r="B21854" s="136"/>
    </row>
    <row r="21855" spans="1:2" x14ac:dyDescent="0.25">
      <c r="A21855" s="118"/>
      <c r="B21855" s="136"/>
    </row>
    <row r="21856" spans="1:2" x14ac:dyDescent="0.25">
      <c r="A21856" s="118"/>
      <c r="B21856" s="136"/>
    </row>
    <row r="21857" spans="1:2" x14ac:dyDescent="0.25">
      <c r="A21857" s="118"/>
      <c r="B21857" s="136"/>
    </row>
    <row r="21858" spans="1:2" x14ac:dyDescent="0.25">
      <c r="A21858" s="118"/>
      <c r="B21858" s="136"/>
    </row>
    <row r="21859" spans="1:2" x14ac:dyDescent="0.25">
      <c r="A21859" s="118"/>
      <c r="B21859" s="136"/>
    </row>
    <row r="21860" spans="1:2" x14ac:dyDescent="0.25">
      <c r="A21860" s="118"/>
      <c r="B21860" s="136"/>
    </row>
    <row r="21861" spans="1:2" x14ac:dyDescent="0.25">
      <c r="A21861" s="118"/>
      <c r="B21861" s="136"/>
    </row>
    <row r="21862" spans="1:2" x14ac:dyDescent="0.25">
      <c r="A21862" s="118"/>
      <c r="B21862" s="136"/>
    </row>
    <row r="21863" spans="1:2" x14ac:dyDescent="0.25">
      <c r="A21863" s="118"/>
      <c r="B21863" s="136"/>
    </row>
    <row r="21864" spans="1:2" x14ac:dyDescent="0.25">
      <c r="A21864" s="118"/>
      <c r="B21864" s="136"/>
    </row>
    <row r="21865" spans="1:2" x14ac:dyDescent="0.25">
      <c r="A21865" s="118"/>
      <c r="B21865" s="136"/>
    </row>
    <row r="21866" spans="1:2" x14ac:dyDescent="0.25">
      <c r="A21866" s="118"/>
      <c r="B21866" s="136"/>
    </row>
    <row r="21867" spans="1:2" x14ac:dyDescent="0.25">
      <c r="A21867" s="118"/>
      <c r="B21867" s="136"/>
    </row>
    <row r="21868" spans="1:2" x14ac:dyDescent="0.25">
      <c r="A21868" s="118"/>
      <c r="B21868" s="136"/>
    </row>
    <row r="21869" spans="1:2" x14ac:dyDescent="0.25">
      <c r="A21869" s="118"/>
      <c r="B21869" s="136"/>
    </row>
    <row r="21870" spans="1:2" x14ac:dyDescent="0.25">
      <c r="A21870" s="118"/>
      <c r="B21870" s="136"/>
    </row>
    <row r="21871" spans="1:2" x14ac:dyDescent="0.25">
      <c r="A21871" s="118"/>
      <c r="B21871" s="136"/>
    </row>
    <row r="21872" spans="1:2" x14ac:dyDescent="0.25">
      <c r="A21872" s="118"/>
      <c r="B21872" s="136"/>
    </row>
    <row r="21873" spans="1:2" x14ac:dyDescent="0.25">
      <c r="A21873" s="118"/>
      <c r="B21873" s="136"/>
    </row>
    <row r="21874" spans="1:2" x14ac:dyDescent="0.25">
      <c r="A21874" s="118"/>
      <c r="B21874" s="136"/>
    </row>
    <row r="21875" spans="1:2" x14ac:dyDescent="0.25">
      <c r="A21875" s="118"/>
      <c r="B21875" s="136"/>
    </row>
    <row r="21876" spans="1:2" x14ac:dyDescent="0.25">
      <c r="A21876" s="118"/>
      <c r="B21876" s="136"/>
    </row>
    <row r="21877" spans="1:2" x14ac:dyDescent="0.25">
      <c r="A21877" s="118"/>
      <c r="B21877" s="136"/>
    </row>
    <row r="21878" spans="1:2" x14ac:dyDescent="0.25">
      <c r="A21878" s="118"/>
      <c r="B21878" s="136"/>
    </row>
    <row r="21879" spans="1:2" x14ac:dyDescent="0.25">
      <c r="A21879" s="118"/>
      <c r="B21879" s="136"/>
    </row>
    <row r="21880" spans="1:2" x14ac:dyDescent="0.25">
      <c r="A21880" s="118"/>
      <c r="B21880" s="136"/>
    </row>
    <row r="21881" spans="1:2" x14ac:dyDescent="0.25">
      <c r="A21881" s="118"/>
      <c r="B21881" s="136"/>
    </row>
    <row r="21882" spans="1:2" x14ac:dyDescent="0.25">
      <c r="A21882" s="118"/>
      <c r="B21882" s="136"/>
    </row>
    <row r="21883" spans="1:2" x14ac:dyDescent="0.25">
      <c r="A21883" s="118"/>
      <c r="B21883" s="136"/>
    </row>
    <row r="21884" spans="1:2" x14ac:dyDescent="0.25">
      <c r="A21884" s="118"/>
      <c r="B21884" s="136"/>
    </row>
    <row r="21885" spans="1:2" x14ac:dyDescent="0.25">
      <c r="A21885" s="118"/>
      <c r="B21885" s="136"/>
    </row>
    <row r="21886" spans="1:2" x14ac:dyDescent="0.25">
      <c r="A21886" s="118"/>
      <c r="B21886" s="136"/>
    </row>
    <row r="21887" spans="1:2" x14ac:dyDescent="0.25">
      <c r="A21887" s="118"/>
      <c r="B21887" s="136"/>
    </row>
    <row r="21888" spans="1:2" x14ac:dyDescent="0.25">
      <c r="A21888" s="118"/>
      <c r="B21888" s="136"/>
    </row>
    <row r="21889" spans="1:2" x14ac:dyDescent="0.25">
      <c r="A21889" s="118"/>
      <c r="B21889" s="136"/>
    </row>
    <row r="21890" spans="1:2" x14ac:dyDescent="0.25">
      <c r="A21890" s="118"/>
      <c r="B21890" s="136"/>
    </row>
    <row r="21891" spans="1:2" x14ac:dyDescent="0.25">
      <c r="A21891" s="118"/>
      <c r="B21891" s="136"/>
    </row>
    <row r="21892" spans="1:2" x14ac:dyDescent="0.25">
      <c r="A21892" s="118"/>
      <c r="B21892" s="136"/>
    </row>
    <row r="21893" spans="1:2" x14ac:dyDescent="0.25">
      <c r="A21893" s="118"/>
      <c r="B21893" s="136"/>
    </row>
    <row r="21894" spans="1:2" x14ac:dyDescent="0.25">
      <c r="A21894" s="118"/>
      <c r="B21894" s="136"/>
    </row>
    <row r="21895" spans="1:2" x14ac:dyDescent="0.25">
      <c r="A21895" s="118"/>
      <c r="B21895" s="136"/>
    </row>
    <row r="21896" spans="1:2" x14ac:dyDescent="0.25">
      <c r="A21896" s="118"/>
      <c r="B21896" s="136"/>
    </row>
    <row r="21897" spans="1:2" x14ac:dyDescent="0.25">
      <c r="A21897" s="118"/>
      <c r="B21897" s="136"/>
    </row>
    <row r="21898" spans="1:2" x14ac:dyDescent="0.25">
      <c r="A21898" s="118"/>
      <c r="B21898" s="136"/>
    </row>
    <row r="21899" spans="1:2" x14ac:dyDescent="0.25">
      <c r="A21899" s="118"/>
      <c r="B21899" s="136"/>
    </row>
    <row r="21900" spans="1:2" x14ac:dyDescent="0.25">
      <c r="A21900" s="118"/>
      <c r="B21900" s="136"/>
    </row>
    <row r="21901" spans="1:2" x14ac:dyDescent="0.25">
      <c r="A21901" s="118"/>
      <c r="B21901" s="136"/>
    </row>
    <row r="21902" spans="1:2" x14ac:dyDescent="0.25">
      <c r="A21902" s="118"/>
      <c r="B21902" s="136"/>
    </row>
    <row r="21903" spans="1:2" x14ac:dyDescent="0.25">
      <c r="A21903" s="118"/>
      <c r="B21903" s="136"/>
    </row>
    <row r="21904" spans="1:2" x14ac:dyDescent="0.25">
      <c r="A21904" s="118"/>
      <c r="B21904" s="136"/>
    </row>
    <row r="21905" spans="1:2" x14ac:dyDescent="0.25">
      <c r="A21905" s="118"/>
      <c r="B21905" s="136"/>
    </row>
    <row r="21906" spans="1:2" x14ac:dyDescent="0.25">
      <c r="A21906" s="118"/>
      <c r="B21906" s="136"/>
    </row>
    <row r="21907" spans="1:2" x14ac:dyDescent="0.25">
      <c r="A21907" s="118"/>
      <c r="B21907" s="136"/>
    </row>
    <row r="21908" spans="1:2" x14ac:dyDescent="0.25">
      <c r="A21908" s="118"/>
      <c r="B21908" s="136"/>
    </row>
    <row r="21909" spans="1:2" x14ac:dyDescent="0.25">
      <c r="A21909" s="118"/>
      <c r="B21909" s="136"/>
    </row>
    <row r="21910" spans="1:2" x14ac:dyDescent="0.25">
      <c r="A21910" s="118"/>
      <c r="B21910" s="136"/>
    </row>
    <row r="21911" spans="1:2" x14ac:dyDescent="0.25">
      <c r="A21911" s="118"/>
      <c r="B21911" s="136"/>
    </row>
    <row r="21912" spans="1:2" x14ac:dyDescent="0.25">
      <c r="A21912" s="118"/>
      <c r="B21912" s="136"/>
    </row>
    <row r="21913" spans="1:2" x14ac:dyDescent="0.25">
      <c r="A21913" s="118"/>
      <c r="B21913" s="136"/>
    </row>
    <row r="21914" spans="1:2" x14ac:dyDescent="0.25">
      <c r="A21914" s="118"/>
      <c r="B21914" s="136"/>
    </row>
    <row r="21915" spans="1:2" x14ac:dyDescent="0.25">
      <c r="A21915" s="118"/>
      <c r="B21915" s="136"/>
    </row>
    <row r="21916" spans="1:2" x14ac:dyDescent="0.25">
      <c r="A21916" s="118"/>
      <c r="B21916" s="136"/>
    </row>
    <row r="21917" spans="1:2" x14ac:dyDescent="0.25">
      <c r="A21917" s="118"/>
      <c r="B21917" s="136"/>
    </row>
    <row r="21918" spans="1:2" x14ac:dyDescent="0.25">
      <c r="A21918" s="118"/>
      <c r="B21918" s="136"/>
    </row>
    <row r="21919" spans="1:2" x14ac:dyDescent="0.25">
      <c r="A21919" s="118"/>
      <c r="B21919" s="136"/>
    </row>
    <row r="21920" spans="1:2" x14ac:dyDescent="0.25">
      <c r="A21920" s="118"/>
      <c r="B21920" s="136"/>
    </row>
    <row r="21921" spans="1:2" x14ac:dyDescent="0.25">
      <c r="A21921" s="118"/>
      <c r="B21921" s="136"/>
    </row>
    <row r="21922" spans="1:2" x14ac:dyDescent="0.25">
      <c r="A21922" s="118"/>
      <c r="B21922" s="136"/>
    </row>
    <row r="21923" spans="1:2" x14ac:dyDescent="0.25">
      <c r="A21923" s="118"/>
      <c r="B21923" s="136"/>
    </row>
    <row r="21924" spans="1:2" x14ac:dyDescent="0.25">
      <c r="A21924" s="118"/>
      <c r="B21924" s="136"/>
    </row>
    <row r="21925" spans="1:2" x14ac:dyDescent="0.25">
      <c r="A21925" s="118"/>
      <c r="B21925" s="136"/>
    </row>
    <row r="21926" spans="1:2" x14ac:dyDescent="0.25">
      <c r="A21926" s="118"/>
      <c r="B21926" s="136"/>
    </row>
    <row r="21927" spans="1:2" x14ac:dyDescent="0.25">
      <c r="A21927" s="118"/>
      <c r="B21927" s="136"/>
    </row>
    <row r="21928" spans="1:2" x14ac:dyDescent="0.25">
      <c r="A21928" s="118"/>
      <c r="B21928" s="136"/>
    </row>
    <row r="21929" spans="1:2" x14ac:dyDescent="0.25">
      <c r="A21929" s="118"/>
      <c r="B21929" s="136"/>
    </row>
    <row r="21930" spans="1:2" x14ac:dyDescent="0.25">
      <c r="A21930" s="118"/>
      <c r="B21930" s="136"/>
    </row>
    <row r="21931" spans="1:2" x14ac:dyDescent="0.25">
      <c r="A21931" s="118"/>
      <c r="B21931" s="136"/>
    </row>
    <row r="21932" spans="1:2" x14ac:dyDescent="0.25">
      <c r="A21932" s="118"/>
      <c r="B21932" s="136"/>
    </row>
    <row r="21933" spans="1:2" x14ac:dyDescent="0.25">
      <c r="A21933" s="118"/>
      <c r="B21933" s="136"/>
    </row>
    <row r="21934" spans="1:2" x14ac:dyDescent="0.25">
      <c r="A21934" s="118"/>
      <c r="B21934" s="136"/>
    </row>
    <row r="21935" spans="1:2" x14ac:dyDescent="0.25">
      <c r="A21935" s="118"/>
      <c r="B21935" s="136"/>
    </row>
    <row r="21936" spans="1:2" x14ac:dyDescent="0.25">
      <c r="A21936" s="118"/>
      <c r="B21936" s="136"/>
    </row>
    <row r="21937" spans="1:2" x14ac:dyDescent="0.25">
      <c r="A21937" s="118"/>
      <c r="B21937" s="136"/>
    </row>
    <row r="21938" spans="1:2" x14ac:dyDescent="0.25">
      <c r="A21938" s="118"/>
      <c r="B21938" s="136"/>
    </row>
    <row r="21939" spans="1:2" x14ac:dyDescent="0.25">
      <c r="A21939" s="118"/>
      <c r="B21939" s="136"/>
    </row>
    <row r="21940" spans="1:2" x14ac:dyDescent="0.25">
      <c r="A21940" s="118"/>
      <c r="B21940" s="136"/>
    </row>
    <row r="21941" spans="1:2" x14ac:dyDescent="0.25">
      <c r="A21941" s="118"/>
      <c r="B21941" s="136"/>
    </row>
    <row r="21942" spans="1:2" x14ac:dyDescent="0.25">
      <c r="A21942" s="118"/>
      <c r="B21942" s="136"/>
    </row>
    <row r="21943" spans="1:2" x14ac:dyDescent="0.25">
      <c r="A21943" s="118"/>
      <c r="B21943" s="136"/>
    </row>
    <row r="21944" spans="1:2" x14ac:dyDescent="0.25">
      <c r="A21944" s="118"/>
      <c r="B21944" s="136"/>
    </row>
    <row r="21945" spans="1:2" x14ac:dyDescent="0.25">
      <c r="A21945" s="118"/>
      <c r="B21945" s="136"/>
    </row>
    <row r="21946" spans="1:2" x14ac:dyDescent="0.25">
      <c r="A21946" s="118"/>
      <c r="B21946" s="136"/>
    </row>
    <row r="21947" spans="1:2" x14ac:dyDescent="0.25">
      <c r="A21947" s="118"/>
      <c r="B21947" s="136"/>
    </row>
    <row r="21948" spans="1:2" x14ac:dyDescent="0.25">
      <c r="A21948" s="118"/>
      <c r="B21948" s="136"/>
    </row>
    <row r="21949" spans="1:2" x14ac:dyDescent="0.25">
      <c r="A21949" s="118"/>
      <c r="B21949" s="136"/>
    </row>
    <row r="21950" spans="1:2" x14ac:dyDescent="0.25">
      <c r="A21950" s="118"/>
      <c r="B21950" s="136"/>
    </row>
    <row r="21951" spans="1:2" x14ac:dyDescent="0.25">
      <c r="A21951" s="118"/>
      <c r="B21951" s="136"/>
    </row>
    <row r="21952" spans="1:2" x14ac:dyDescent="0.25">
      <c r="A21952" s="118"/>
      <c r="B21952" s="136"/>
    </row>
    <row r="21953" spans="1:2" x14ac:dyDescent="0.25">
      <c r="A21953" s="118"/>
      <c r="B21953" s="136"/>
    </row>
    <row r="21954" spans="1:2" x14ac:dyDescent="0.25">
      <c r="A21954" s="118"/>
      <c r="B21954" s="136"/>
    </row>
    <row r="21955" spans="1:2" x14ac:dyDescent="0.25">
      <c r="A21955" s="118"/>
      <c r="B21955" s="136"/>
    </row>
    <row r="21956" spans="1:2" x14ac:dyDescent="0.25">
      <c r="A21956" s="118"/>
      <c r="B21956" s="136"/>
    </row>
    <row r="21957" spans="1:2" x14ac:dyDescent="0.25">
      <c r="A21957" s="118"/>
      <c r="B21957" s="136"/>
    </row>
    <row r="21958" spans="1:2" x14ac:dyDescent="0.25">
      <c r="A21958" s="118"/>
      <c r="B21958" s="136"/>
    </row>
    <row r="21959" spans="1:2" x14ac:dyDescent="0.25">
      <c r="A21959" s="118"/>
      <c r="B21959" s="136"/>
    </row>
    <row r="21960" spans="1:2" x14ac:dyDescent="0.25">
      <c r="A21960" s="118"/>
      <c r="B21960" s="136"/>
    </row>
    <row r="21961" spans="1:2" x14ac:dyDescent="0.25">
      <c r="A21961" s="118"/>
      <c r="B21961" s="136"/>
    </row>
    <row r="21962" spans="1:2" x14ac:dyDescent="0.25">
      <c r="A21962" s="118"/>
      <c r="B21962" s="136"/>
    </row>
    <row r="21963" spans="1:2" x14ac:dyDescent="0.25">
      <c r="A21963" s="118"/>
      <c r="B21963" s="136"/>
    </row>
    <row r="21964" spans="1:2" x14ac:dyDescent="0.25">
      <c r="A21964" s="118"/>
      <c r="B21964" s="136"/>
    </row>
    <row r="21965" spans="1:2" x14ac:dyDescent="0.25">
      <c r="A21965" s="118"/>
      <c r="B21965" s="136"/>
    </row>
    <row r="21966" spans="1:2" x14ac:dyDescent="0.25">
      <c r="A21966" s="118"/>
      <c r="B21966" s="136"/>
    </row>
    <row r="21967" spans="1:2" x14ac:dyDescent="0.25">
      <c r="A21967" s="118"/>
      <c r="B21967" s="136"/>
    </row>
    <row r="21968" spans="1:2" x14ac:dyDescent="0.25">
      <c r="A21968" s="118"/>
      <c r="B21968" s="136"/>
    </row>
    <row r="21969" spans="1:2" x14ac:dyDescent="0.25">
      <c r="A21969" s="118"/>
      <c r="B21969" s="136"/>
    </row>
    <row r="21970" spans="1:2" x14ac:dyDescent="0.25">
      <c r="A21970" s="118"/>
      <c r="B21970" s="136"/>
    </row>
    <row r="21971" spans="1:2" x14ac:dyDescent="0.25">
      <c r="A21971" s="118"/>
      <c r="B21971" s="136"/>
    </row>
    <row r="21972" spans="1:2" x14ac:dyDescent="0.25">
      <c r="A21972" s="118"/>
      <c r="B21972" s="136"/>
    </row>
    <row r="21973" spans="1:2" x14ac:dyDescent="0.25">
      <c r="A21973" s="118"/>
      <c r="B21973" s="136"/>
    </row>
    <row r="21974" spans="1:2" x14ac:dyDescent="0.25">
      <c r="A21974" s="118"/>
      <c r="B21974" s="136"/>
    </row>
    <row r="21975" spans="1:2" x14ac:dyDescent="0.25">
      <c r="A21975" s="118"/>
      <c r="B21975" s="136"/>
    </row>
    <row r="21976" spans="1:2" x14ac:dyDescent="0.25">
      <c r="A21976" s="118"/>
      <c r="B21976" s="136"/>
    </row>
    <row r="21977" spans="1:2" x14ac:dyDescent="0.25">
      <c r="A21977" s="118"/>
      <c r="B21977" s="136"/>
    </row>
    <row r="21978" spans="1:2" x14ac:dyDescent="0.25">
      <c r="A21978" s="118"/>
      <c r="B21978" s="136"/>
    </row>
    <row r="21979" spans="1:2" x14ac:dyDescent="0.25">
      <c r="A21979" s="118"/>
      <c r="B21979" s="136"/>
    </row>
    <row r="21980" spans="1:2" x14ac:dyDescent="0.25">
      <c r="A21980" s="118"/>
      <c r="B21980" s="136"/>
    </row>
    <row r="21981" spans="1:2" x14ac:dyDescent="0.25">
      <c r="A21981" s="118"/>
      <c r="B21981" s="136"/>
    </row>
    <row r="21982" spans="1:2" x14ac:dyDescent="0.25">
      <c r="A21982" s="118"/>
      <c r="B21982" s="136"/>
    </row>
    <row r="21983" spans="1:2" x14ac:dyDescent="0.25">
      <c r="A21983" s="118"/>
      <c r="B21983" s="136"/>
    </row>
    <row r="21984" spans="1:2" x14ac:dyDescent="0.25">
      <c r="A21984" s="118"/>
      <c r="B21984" s="136"/>
    </row>
    <row r="21985" spans="1:2" x14ac:dyDescent="0.25">
      <c r="A21985" s="118"/>
      <c r="B21985" s="136"/>
    </row>
    <row r="21986" spans="1:2" x14ac:dyDescent="0.25">
      <c r="A21986" s="118"/>
      <c r="B21986" s="136"/>
    </row>
    <row r="21987" spans="1:2" x14ac:dyDescent="0.25">
      <c r="A21987" s="118"/>
      <c r="B21987" s="136"/>
    </row>
    <row r="21988" spans="1:2" x14ac:dyDescent="0.25">
      <c r="A21988" s="118"/>
      <c r="B21988" s="136"/>
    </row>
    <row r="21989" spans="1:2" x14ac:dyDescent="0.25">
      <c r="A21989" s="118"/>
      <c r="B21989" s="136"/>
    </row>
    <row r="21990" spans="1:2" x14ac:dyDescent="0.25">
      <c r="A21990" s="118"/>
      <c r="B21990" s="136"/>
    </row>
    <row r="21991" spans="1:2" x14ac:dyDescent="0.25">
      <c r="A21991" s="118"/>
      <c r="B21991" s="136"/>
    </row>
    <row r="21992" spans="1:2" x14ac:dyDescent="0.25">
      <c r="A21992" s="118"/>
      <c r="B21992" s="136"/>
    </row>
    <row r="21993" spans="1:2" x14ac:dyDescent="0.25">
      <c r="A21993" s="118"/>
      <c r="B21993" s="136"/>
    </row>
    <row r="21994" spans="1:2" x14ac:dyDescent="0.25">
      <c r="A21994" s="118"/>
      <c r="B21994" s="136"/>
    </row>
    <row r="21995" spans="1:2" x14ac:dyDescent="0.25">
      <c r="A21995" s="118"/>
      <c r="B21995" s="136"/>
    </row>
    <row r="21996" spans="1:2" x14ac:dyDescent="0.25">
      <c r="A21996" s="118"/>
      <c r="B21996" s="136"/>
    </row>
    <row r="21997" spans="1:2" x14ac:dyDescent="0.25">
      <c r="A21997" s="118"/>
      <c r="B21997" s="136"/>
    </row>
    <row r="21998" spans="1:2" x14ac:dyDescent="0.25">
      <c r="A21998" s="118"/>
      <c r="B21998" s="136"/>
    </row>
    <row r="21999" spans="1:2" x14ac:dyDescent="0.25">
      <c r="A21999" s="118"/>
      <c r="B21999" s="136"/>
    </row>
    <row r="22000" spans="1:2" x14ac:dyDescent="0.25">
      <c r="A22000" s="118"/>
      <c r="B22000" s="136"/>
    </row>
    <row r="22001" spans="1:2" x14ac:dyDescent="0.25">
      <c r="A22001" s="118"/>
      <c r="B22001" s="136"/>
    </row>
    <row r="22002" spans="1:2" x14ac:dyDescent="0.25">
      <c r="A22002" s="118"/>
      <c r="B22002" s="136"/>
    </row>
    <row r="22003" spans="1:2" x14ac:dyDescent="0.25">
      <c r="A22003" s="118"/>
      <c r="B22003" s="136"/>
    </row>
    <row r="22004" spans="1:2" x14ac:dyDescent="0.25">
      <c r="A22004" s="118"/>
      <c r="B22004" s="136"/>
    </row>
    <row r="22005" spans="1:2" x14ac:dyDescent="0.25">
      <c r="A22005" s="118"/>
      <c r="B22005" s="136"/>
    </row>
    <row r="22006" spans="1:2" x14ac:dyDescent="0.25">
      <c r="A22006" s="118"/>
      <c r="B22006" s="136"/>
    </row>
    <row r="22007" spans="1:2" x14ac:dyDescent="0.25">
      <c r="A22007" s="118"/>
      <c r="B22007" s="136"/>
    </row>
    <row r="22008" spans="1:2" x14ac:dyDescent="0.25">
      <c r="A22008" s="118"/>
      <c r="B22008" s="136"/>
    </row>
    <row r="22009" spans="1:2" x14ac:dyDescent="0.25">
      <c r="A22009" s="118"/>
      <c r="B22009" s="136"/>
    </row>
    <row r="22010" spans="1:2" x14ac:dyDescent="0.25">
      <c r="A22010" s="118"/>
      <c r="B22010" s="136"/>
    </row>
    <row r="22011" spans="1:2" x14ac:dyDescent="0.25">
      <c r="A22011" s="118"/>
      <c r="B22011" s="136"/>
    </row>
    <row r="22012" spans="1:2" x14ac:dyDescent="0.25">
      <c r="A22012" s="118"/>
      <c r="B22012" s="136"/>
    </row>
    <row r="22013" spans="1:2" x14ac:dyDescent="0.25">
      <c r="A22013" s="118"/>
      <c r="B22013" s="136"/>
    </row>
    <row r="22014" spans="1:2" x14ac:dyDescent="0.25">
      <c r="A22014" s="118"/>
      <c r="B22014" s="136"/>
    </row>
    <row r="22015" spans="1:2" x14ac:dyDescent="0.25">
      <c r="A22015" s="118"/>
      <c r="B22015" s="136"/>
    </row>
    <row r="22016" spans="1:2" x14ac:dyDescent="0.25">
      <c r="A22016" s="118"/>
      <c r="B22016" s="136"/>
    </row>
    <row r="22017" spans="1:2" x14ac:dyDescent="0.25">
      <c r="A22017" s="118"/>
      <c r="B22017" s="136"/>
    </row>
    <row r="22018" spans="1:2" x14ac:dyDescent="0.25">
      <c r="A22018" s="118"/>
      <c r="B22018" s="136"/>
    </row>
    <row r="22019" spans="1:2" x14ac:dyDescent="0.25">
      <c r="A22019" s="118"/>
      <c r="B22019" s="136"/>
    </row>
    <row r="22020" spans="1:2" x14ac:dyDescent="0.25">
      <c r="A22020" s="118"/>
      <c r="B22020" s="136"/>
    </row>
    <row r="22021" spans="1:2" x14ac:dyDescent="0.25">
      <c r="A22021" s="118"/>
      <c r="B22021" s="136"/>
    </row>
    <row r="22022" spans="1:2" x14ac:dyDescent="0.25">
      <c r="A22022" s="118"/>
      <c r="B22022" s="136"/>
    </row>
    <row r="22023" spans="1:2" x14ac:dyDescent="0.25">
      <c r="A22023" s="118"/>
      <c r="B22023" s="136"/>
    </row>
    <row r="22024" spans="1:2" x14ac:dyDescent="0.25">
      <c r="A22024" s="118"/>
      <c r="B22024" s="136"/>
    </row>
    <row r="22025" spans="1:2" x14ac:dyDescent="0.25">
      <c r="A22025" s="118"/>
      <c r="B22025" s="136"/>
    </row>
    <row r="22026" spans="1:2" x14ac:dyDescent="0.25">
      <c r="A22026" s="118"/>
      <c r="B22026" s="136"/>
    </row>
    <row r="22027" spans="1:2" x14ac:dyDescent="0.25">
      <c r="A22027" s="118"/>
      <c r="B22027" s="136"/>
    </row>
    <row r="22028" spans="1:2" x14ac:dyDescent="0.25">
      <c r="A22028" s="118"/>
      <c r="B22028" s="136"/>
    </row>
    <row r="22029" spans="1:2" x14ac:dyDescent="0.25">
      <c r="A22029" s="118"/>
      <c r="B22029" s="136"/>
    </row>
    <row r="22030" spans="1:2" x14ac:dyDescent="0.25">
      <c r="A22030" s="118"/>
      <c r="B22030" s="136"/>
    </row>
    <row r="22031" spans="1:2" x14ac:dyDescent="0.25">
      <c r="A22031" s="118"/>
      <c r="B22031" s="136"/>
    </row>
    <row r="22032" spans="1:2" x14ac:dyDescent="0.25">
      <c r="A22032" s="118"/>
      <c r="B22032" s="136"/>
    </row>
    <row r="22033" spans="1:2" x14ac:dyDescent="0.25">
      <c r="A22033" s="118"/>
      <c r="B22033" s="136"/>
    </row>
    <row r="22034" spans="1:2" x14ac:dyDescent="0.25">
      <c r="A22034" s="118"/>
      <c r="B22034" s="136"/>
    </row>
    <row r="22035" spans="1:2" x14ac:dyDescent="0.25">
      <c r="A22035" s="118"/>
      <c r="B22035" s="136"/>
    </row>
    <row r="22036" spans="1:2" x14ac:dyDescent="0.25">
      <c r="A22036" s="118"/>
      <c r="B22036" s="136"/>
    </row>
    <row r="22037" spans="1:2" x14ac:dyDescent="0.25">
      <c r="A22037" s="118"/>
      <c r="B22037" s="136"/>
    </row>
    <row r="22038" spans="1:2" x14ac:dyDescent="0.25">
      <c r="A22038" s="118"/>
      <c r="B22038" s="136"/>
    </row>
    <row r="22039" spans="1:2" x14ac:dyDescent="0.25">
      <c r="A22039" s="118"/>
      <c r="B22039" s="136"/>
    </row>
    <row r="22040" spans="1:2" x14ac:dyDescent="0.25">
      <c r="A22040" s="118"/>
      <c r="B22040" s="136"/>
    </row>
    <row r="22041" spans="1:2" x14ac:dyDescent="0.25">
      <c r="A22041" s="118"/>
      <c r="B22041" s="136"/>
    </row>
    <row r="22042" spans="1:2" x14ac:dyDescent="0.25">
      <c r="A22042" s="118"/>
      <c r="B22042" s="136"/>
    </row>
    <row r="22043" spans="1:2" x14ac:dyDescent="0.25">
      <c r="A22043" s="118"/>
      <c r="B22043" s="136"/>
    </row>
    <row r="22044" spans="1:2" x14ac:dyDescent="0.25">
      <c r="A22044" s="118"/>
      <c r="B22044" s="136"/>
    </row>
    <row r="22045" spans="1:2" x14ac:dyDescent="0.25">
      <c r="A22045" s="118"/>
      <c r="B22045" s="136"/>
    </row>
    <row r="22046" spans="1:2" x14ac:dyDescent="0.25">
      <c r="A22046" s="118"/>
      <c r="B22046" s="136"/>
    </row>
    <row r="22047" spans="1:2" x14ac:dyDescent="0.25">
      <c r="A22047" s="118"/>
      <c r="B22047" s="136"/>
    </row>
    <row r="22048" spans="1:2" x14ac:dyDescent="0.25">
      <c r="A22048" s="118"/>
      <c r="B22048" s="136"/>
    </row>
    <row r="22049" spans="1:2" x14ac:dyDescent="0.25">
      <c r="A22049" s="118"/>
      <c r="B22049" s="136"/>
    </row>
    <row r="22050" spans="1:2" x14ac:dyDescent="0.25">
      <c r="A22050" s="118"/>
      <c r="B22050" s="136"/>
    </row>
    <row r="22051" spans="1:2" x14ac:dyDescent="0.25">
      <c r="A22051" s="118"/>
      <c r="B22051" s="136"/>
    </row>
    <row r="22052" spans="1:2" x14ac:dyDescent="0.25">
      <c r="A22052" s="118"/>
      <c r="B22052" s="136"/>
    </row>
    <row r="22053" spans="1:2" x14ac:dyDescent="0.25">
      <c r="A22053" s="118"/>
      <c r="B22053" s="136"/>
    </row>
    <row r="22054" spans="1:2" x14ac:dyDescent="0.25">
      <c r="A22054" s="118"/>
      <c r="B22054" s="136"/>
    </row>
    <row r="22055" spans="1:2" x14ac:dyDescent="0.25">
      <c r="A22055" s="118"/>
      <c r="B22055" s="136"/>
    </row>
    <row r="22056" spans="1:2" x14ac:dyDescent="0.25">
      <c r="A22056" s="118"/>
      <c r="B22056" s="136"/>
    </row>
    <row r="22057" spans="1:2" x14ac:dyDescent="0.25">
      <c r="A22057" s="118"/>
      <c r="B22057" s="136"/>
    </row>
    <row r="22058" spans="1:2" x14ac:dyDescent="0.25">
      <c r="A22058" s="118"/>
      <c r="B22058" s="136"/>
    </row>
    <row r="22059" spans="1:2" x14ac:dyDescent="0.25">
      <c r="A22059" s="118"/>
      <c r="B22059" s="136"/>
    </row>
    <row r="22060" spans="1:2" x14ac:dyDescent="0.25">
      <c r="A22060" s="118"/>
      <c r="B22060" s="136"/>
    </row>
    <row r="22061" spans="1:2" x14ac:dyDescent="0.25">
      <c r="A22061" s="118"/>
      <c r="B22061" s="136"/>
    </row>
    <row r="22062" spans="1:2" x14ac:dyDescent="0.25">
      <c r="A22062" s="118"/>
      <c r="B22062" s="136"/>
    </row>
    <row r="22063" spans="1:2" x14ac:dyDescent="0.25">
      <c r="A22063" s="118"/>
      <c r="B22063" s="136"/>
    </row>
    <row r="22064" spans="1:2" x14ac:dyDescent="0.25">
      <c r="A22064" s="118"/>
      <c r="B22064" s="136"/>
    </row>
    <row r="22065" spans="1:2" x14ac:dyDescent="0.25">
      <c r="A22065" s="118"/>
      <c r="B22065" s="136"/>
    </row>
    <row r="22066" spans="1:2" x14ac:dyDescent="0.25">
      <c r="A22066" s="118"/>
      <c r="B22066" s="136"/>
    </row>
    <row r="22067" spans="1:2" x14ac:dyDescent="0.25">
      <c r="A22067" s="118"/>
      <c r="B22067" s="136"/>
    </row>
    <row r="22068" spans="1:2" x14ac:dyDescent="0.25">
      <c r="A22068" s="118"/>
      <c r="B22068" s="136"/>
    </row>
    <row r="22069" spans="1:2" x14ac:dyDescent="0.25">
      <c r="A22069" s="118"/>
      <c r="B22069" s="136"/>
    </row>
    <row r="22070" spans="1:2" x14ac:dyDescent="0.25">
      <c r="A22070" s="118"/>
      <c r="B22070" s="136"/>
    </row>
    <row r="22071" spans="1:2" x14ac:dyDescent="0.25">
      <c r="A22071" s="118"/>
      <c r="B22071" s="136"/>
    </row>
    <row r="22072" spans="1:2" x14ac:dyDescent="0.25">
      <c r="A22072" s="118"/>
      <c r="B22072" s="136"/>
    </row>
    <row r="22073" spans="1:2" x14ac:dyDescent="0.25">
      <c r="A22073" s="118"/>
      <c r="B22073" s="136"/>
    </row>
    <row r="22074" spans="1:2" x14ac:dyDescent="0.25">
      <c r="A22074" s="118"/>
      <c r="B22074" s="136"/>
    </row>
    <row r="22075" spans="1:2" x14ac:dyDescent="0.25">
      <c r="A22075" s="118"/>
      <c r="B22075" s="136"/>
    </row>
    <row r="22076" spans="1:2" x14ac:dyDescent="0.25">
      <c r="A22076" s="118"/>
      <c r="B22076" s="136"/>
    </row>
    <row r="22077" spans="1:2" x14ac:dyDescent="0.25">
      <c r="A22077" s="118"/>
      <c r="B22077" s="136"/>
    </row>
    <row r="22078" spans="1:2" x14ac:dyDescent="0.25">
      <c r="A22078" s="118"/>
      <c r="B22078" s="136"/>
    </row>
    <row r="22079" spans="1:2" x14ac:dyDescent="0.25">
      <c r="A22079" s="118"/>
      <c r="B22079" s="136"/>
    </row>
    <row r="22080" spans="1:2" x14ac:dyDescent="0.25">
      <c r="A22080" s="118"/>
      <c r="B22080" s="136"/>
    </row>
    <row r="22081" spans="1:2" x14ac:dyDescent="0.25">
      <c r="A22081" s="118"/>
      <c r="B22081" s="136"/>
    </row>
    <row r="22082" spans="1:2" x14ac:dyDescent="0.25">
      <c r="A22082" s="118"/>
      <c r="B22082" s="136"/>
    </row>
    <row r="22083" spans="1:2" x14ac:dyDescent="0.25">
      <c r="A22083" s="118"/>
      <c r="B22083" s="136"/>
    </row>
    <row r="22084" spans="1:2" x14ac:dyDescent="0.25">
      <c r="A22084" s="118"/>
      <c r="B22084" s="136"/>
    </row>
    <row r="22085" spans="1:2" x14ac:dyDescent="0.25">
      <c r="A22085" s="118"/>
      <c r="B22085" s="136"/>
    </row>
    <row r="22086" spans="1:2" x14ac:dyDescent="0.25">
      <c r="A22086" s="118"/>
      <c r="B22086" s="136"/>
    </row>
    <row r="22087" spans="1:2" x14ac:dyDescent="0.25">
      <c r="A22087" s="118"/>
      <c r="B22087" s="136"/>
    </row>
    <row r="22088" spans="1:2" x14ac:dyDescent="0.25">
      <c r="A22088" s="118"/>
      <c r="B22088" s="136"/>
    </row>
    <row r="22089" spans="1:2" x14ac:dyDescent="0.25">
      <c r="A22089" s="118"/>
      <c r="B22089" s="136"/>
    </row>
    <row r="22090" spans="1:2" x14ac:dyDescent="0.25">
      <c r="A22090" s="118"/>
      <c r="B22090" s="136"/>
    </row>
    <row r="22091" spans="1:2" x14ac:dyDescent="0.25">
      <c r="A22091" s="118"/>
      <c r="B22091" s="136"/>
    </row>
    <row r="22092" spans="1:2" x14ac:dyDescent="0.25">
      <c r="A22092" s="118"/>
      <c r="B22092" s="136"/>
    </row>
    <row r="22093" spans="1:2" x14ac:dyDescent="0.25">
      <c r="A22093" s="118"/>
      <c r="B22093" s="136"/>
    </row>
    <row r="22094" spans="1:2" x14ac:dyDescent="0.25">
      <c r="A22094" s="118"/>
      <c r="B22094" s="136"/>
    </row>
    <row r="22095" spans="1:2" x14ac:dyDescent="0.25">
      <c r="A22095" s="118"/>
      <c r="B22095" s="136"/>
    </row>
    <row r="22096" spans="1:2" x14ac:dyDescent="0.25">
      <c r="A22096" s="118"/>
      <c r="B22096" s="136"/>
    </row>
    <row r="22097" spans="1:2" x14ac:dyDescent="0.25">
      <c r="A22097" s="118"/>
      <c r="B22097" s="136"/>
    </row>
    <row r="22098" spans="1:2" x14ac:dyDescent="0.25">
      <c r="A22098" s="118"/>
      <c r="B22098" s="136"/>
    </row>
    <row r="22099" spans="1:2" x14ac:dyDescent="0.25">
      <c r="A22099" s="118"/>
      <c r="B22099" s="136"/>
    </row>
    <row r="22100" spans="1:2" x14ac:dyDescent="0.25">
      <c r="A22100" s="118"/>
      <c r="B22100" s="136"/>
    </row>
    <row r="22101" spans="1:2" x14ac:dyDescent="0.25">
      <c r="A22101" s="118"/>
      <c r="B22101" s="136"/>
    </row>
    <row r="22102" spans="1:2" x14ac:dyDescent="0.25">
      <c r="A22102" s="118"/>
      <c r="B22102" s="136"/>
    </row>
    <row r="22103" spans="1:2" x14ac:dyDescent="0.25">
      <c r="A22103" s="118"/>
      <c r="B22103" s="136"/>
    </row>
    <row r="22104" spans="1:2" x14ac:dyDescent="0.25">
      <c r="A22104" s="118"/>
      <c r="B22104" s="136"/>
    </row>
    <row r="22105" spans="1:2" x14ac:dyDescent="0.25">
      <c r="A22105" s="118"/>
      <c r="B22105" s="136"/>
    </row>
    <row r="22106" spans="1:2" x14ac:dyDescent="0.25">
      <c r="A22106" s="118"/>
      <c r="B22106" s="136"/>
    </row>
    <row r="22107" spans="1:2" x14ac:dyDescent="0.25">
      <c r="A22107" s="118"/>
      <c r="B22107" s="136"/>
    </row>
    <row r="22108" spans="1:2" x14ac:dyDescent="0.25">
      <c r="A22108" s="118"/>
      <c r="B22108" s="136"/>
    </row>
    <row r="22109" spans="1:2" x14ac:dyDescent="0.25">
      <c r="A22109" s="118"/>
      <c r="B22109" s="136"/>
    </row>
    <row r="22110" spans="1:2" x14ac:dyDescent="0.25">
      <c r="A22110" s="118"/>
      <c r="B22110" s="136"/>
    </row>
    <row r="22111" spans="1:2" x14ac:dyDescent="0.25">
      <c r="A22111" s="118"/>
      <c r="B22111" s="136"/>
    </row>
    <row r="22112" spans="1:2" x14ac:dyDescent="0.25">
      <c r="A22112" s="118"/>
      <c r="B22112" s="136"/>
    </row>
    <row r="22113" spans="1:2" x14ac:dyDescent="0.25">
      <c r="A22113" s="118"/>
      <c r="B22113" s="136"/>
    </row>
    <row r="22114" spans="1:2" x14ac:dyDescent="0.25">
      <c r="A22114" s="118"/>
      <c r="B22114" s="136"/>
    </row>
    <row r="22115" spans="1:2" x14ac:dyDescent="0.25">
      <c r="A22115" s="118"/>
      <c r="B22115" s="136"/>
    </row>
    <row r="22116" spans="1:2" x14ac:dyDescent="0.25">
      <c r="A22116" s="118"/>
      <c r="B22116" s="136"/>
    </row>
    <row r="22117" spans="1:2" x14ac:dyDescent="0.25">
      <c r="A22117" s="118"/>
      <c r="B22117" s="136"/>
    </row>
    <row r="22118" spans="1:2" x14ac:dyDescent="0.25">
      <c r="A22118" s="118"/>
      <c r="B22118" s="136"/>
    </row>
    <row r="22119" spans="1:2" x14ac:dyDescent="0.25">
      <c r="A22119" s="118"/>
      <c r="B22119" s="136"/>
    </row>
    <row r="22120" spans="1:2" x14ac:dyDescent="0.25">
      <c r="A22120" s="118"/>
      <c r="B22120" s="136"/>
    </row>
    <row r="22121" spans="1:2" x14ac:dyDescent="0.25">
      <c r="A22121" s="118"/>
      <c r="B22121" s="136"/>
    </row>
    <row r="22122" spans="1:2" x14ac:dyDescent="0.25">
      <c r="A22122" s="118"/>
      <c r="B22122" s="136"/>
    </row>
    <row r="22123" spans="1:2" x14ac:dyDescent="0.25">
      <c r="A22123" s="118"/>
      <c r="B22123" s="136"/>
    </row>
    <row r="22124" spans="1:2" x14ac:dyDescent="0.25">
      <c r="A22124" s="118"/>
      <c r="B22124" s="136"/>
    </row>
    <row r="22125" spans="1:2" x14ac:dyDescent="0.25">
      <c r="A22125" s="118"/>
      <c r="B22125" s="136"/>
    </row>
    <row r="22126" spans="1:2" x14ac:dyDescent="0.25">
      <c r="A22126" s="118"/>
      <c r="B22126" s="136"/>
    </row>
    <row r="22127" spans="1:2" x14ac:dyDescent="0.25">
      <c r="A22127" s="118"/>
      <c r="B22127" s="136"/>
    </row>
    <row r="22128" spans="1:2" x14ac:dyDescent="0.25">
      <c r="A22128" s="118"/>
      <c r="B22128" s="136"/>
    </row>
    <row r="22129" spans="1:2" x14ac:dyDescent="0.25">
      <c r="A22129" s="118"/>
      <c r="B22129" s="136"/>
    </row>
    <row r="22130" spans="1:2" x14ac:dyDescent="0.25">
      <c r="A22130" s="118"/>
      <c r="B22130" s="136"/>
    </row>
    <row r="22131" spans="1:2" x14ac:dyDescent="0.25">
      <c r="A22131" s="118"/>
      <c r="B22131" s="136"/>
    </row>
    <row r="22132" spans="1:2" x14ac:dyDescent="0.25">
      <c r="A22132" s="118"/>
      <c r="B22132" s="136"/>
    </row>
    <row r="22133" spans="1:2" x14ac:dyDescent="0.25">
      <c r="A22133" s="118"/>
      <c r="B22133" s="136"/>
    </row>
    <row r="22134" spans="1:2" x14ac:dyDescent="0.25">
      <c r="A22134" s="118"/>
      <c r="B22134" s="136"/>
    </row>
    <row r="22135" spans="1:2" x14ac:dyDescent="0.25">
      <c r="A22135" s="118"/>
      <c r="B22135" s="136"/>
    </row>
    <row r="22136" spans="1:2" x14ac:dyDescent="0.25">
      <c r="A22136" s="118"/>
      <c r="B22136" s="136"/>
    </row>
    <row r="22137" spans="1:2" x14ac:dyDescent="0.25">
      <c r="A22137" s="118"/>
      <c r="B22137" s="136"/>
    </row>
    <row r="22138" spans="1:2" x14ac:dyDescent="0.25">
      <c r="A22138" s="118"/>
      <c r="B22138" s="136"/>
    </row>
    <row r="22139" spans="1:2" x14ac:dyDescent="0.25">
      <c r="A22139" s="118"/>
      <c r="B22139" s="136"/>
    </row>
    <row r="22140" spans="1:2" x14ac:dyDescent="0.25">
      <c r="A22140" s="118"/>
      <c r="B22140" s="136"/>
    </row>
    <row r="22141" spans="1:2" x14ac:dyDescent="0.25">
      <c r="A22141" s="118"/>
      <c r="B22141" s="136"/>
    </row>
    <row r="22142" spans="1:2" x14ac:dyDescent="0.25">
      <c r="A22142" s="118"/>
      <c r="B22142" s="136"/>
    </row>
    <row r="22143" spans="1:2" x14ac:dyDescent="0.25">
      <c r="A22143" s="118"/>
      <c r="B22143" s="136"/>
    </row>
    <row r="22144" spans="1:2" x14ac:dyDescent="0.25">
      <c r="A22144" s="118"/>
      <c r="B22144" s="136"/>
    </row>
    <row r="22145" spans="1:2" x14ac:dyDescent="0.25">
      <c r="A22145" s="118"/>
      <c r="B22145" s="136"/>
    </row>
    <row r="22146" spans="1:2" x14ac:dyDescent="0.25">
      <c r="A22146" s="118"/>
      <c r="B22146" s="136"/>
    </row>
    <row r="22147" spans="1:2" x14ac:dyDescent="0.25">
      <c r="A22147" s="118"/>
      <c r="B22147" s="136"/>
    </row>
    <row r="22148" spans="1:2" x14ac:dyDescent="0.25">
      <c r="A22148" s="118"/>
      <c r="B22148" s="136"/>
    </row>
    <row r="22149" spans="1:2" x14ac:dyDescent="0.25">
      <c r="A22149" s="118"/>
      <c r="B22149" s="136"/>
    </row>
    <row r="22150" spans="1:2" x14ac:dyDescent="0.25">
      <c r="A22150" s="118"/>
      <c r="B22150" s="136"/>
    </row>
    <row r="22151" spans="1:2" x14ac:dyDescent="0.25">
      <c r="A22151" s="118"/>
      <c r="B22151" s="136"/>
    </row>
    <row r="22152" spans="1:2" x14ac:dyDescent="0.25">
      <c r="A22152" s="118"/>
      <c r="B22152" s="136"/>
    </row>
    <row r="22153" spans="1:2" x14ac:dyDescent="0.25">
      <c r="A22153" s="118"/>
      <c r="B22153" s="136"/>
    </row>
    <row r="22154" spans="1:2" x14ac:dyDescent="0.25">
      <c r="A22154" s="118"/>
      <c r="B22154" s="136"/>
    </row>
    <row r="22155" spans="1:2" x14ac:dyDescent="0.25">
      <c r="A22155" s="118"/>
      <c r="B22155" s="136"/>
    </row>
    <row r="22156" spans="1:2" x14ac:dyDescent="0.25">
      <c r="A22156" s="118"/>
      <c r="B22156" s="136"/>
    </row>
    <row r="22157" spans="1:2" x14ac:dyDescent="0.25">
      <c r="A22157" s="118"/>
      <c r="B22157" s="136"/>
    </row>
    <row r="22158" spans="1:2" x14ac:dyDescent="0.25">
      <c r="A22158" s="118"/>
      <c r="B22158" s="136"/>
    </row>
    <row r="22159" spans="1:2" x14ac:dyDescent="0.25">
      <c r="A22159" s="118"/>
      <c r="B22159" s="136"/>
    </row>
    <row r="22160" spans="1:2" x14ac:dyDescent="0.25">
      <c r="A22160" s="118"/>
      <c r="B22160" s="136"/>
    </row>
    <row r="22161" spans="1:2" x14ac:dyDescent="0.25">
      <c r="A22161" s="118"/>
      <c r="B22161" s="136"/>
    </row>
    <row r="22162" spans="1:2" x14ac:dyDescent="0.25">
      <c r="A22162" s="118"/>
      <c r="B22162" s="136"/>
    </row>
    <row r="22163" spans="1:2" x14ac:dyDescent="0.25">
      <c r="A22163" s="118"/>
      <c r="B22163" s="136"/>
    </row>
    <row r="22164" spans="1:2" x14ac:dyDescent="0.25">
      <c r="A22164" s="118"/>
      <c r="B22164" s="136"/>
    </row>
    <row r="22165" spans="1:2" x14ac:dyDescent="0.25">
      <c r="A22165" s="118"/>
      <c r="B22165" s="136"/>
    </row>
    <row r="22166" spans="1:2" x14ac:dyDescent="0.25">
      <c r="A22166" s="118"/>
      <c r="B22166" s="136"/>
    </row>
    <row r="22167" spans="1:2" x14ac:dyDescent="0.25">
      <c r="A22167" s="118"/>
      <c r="B22167" s="136"/>
    </row>
    <row r="22168" spans="1:2" x14ac:dyDescent="0.25">
      <c r="A22168" s="118"/>
      <c r="B22168" s="136"/>
    </row>
    <row r="22169" spans="1:2" x14ac:dyDescent="0.25">
      <c r="A22169" s="118"/>
      <c r="B22169" s="136"/>
    </row>
    <row r="22170" spans="1:2" x14ac:dyDescent="0.25">
      <c r="A22170" s="118"/>
      <c r="B22170" s="136"/>
    </row>
    <row r="22171" spans="1:2" x14ac:dyDescent="0.25">
      <c r="A22171" s="118"/>
      <c r="B22171" s="136"/>
    </row>
    <row r="22172" spans="1:2" x14ac:dyDescent="0.25">
      <c r="A22172" s="118"/>
      <c r="B22172" s="136"/>
    </row>
    <row r="22173" spans="1:2" x14ac:dyDescent="0.25">
      <c r="A22173" s="118"/>
      <c r="B22173" s="136"/>
    </row>
    <row r="22174" spans="1:2" x14ac:dyDescent="0.25">
      <c r="A22174" s="118"/>
      <c r="B22174" s="136"/>
    </row>
    <row r="22175" spans="1:2" x14ac:dyDescent="0.25">
      <c r="A22175" s="118"/>
      <c r="B22175" s="136"/>
    </row>
    <row r="22176" spans="1:2" x14ac:dyDescent="0.25">
      <c r="A22176" s="118"/>
      <c r="B22176" s="136"/>
    </row>
    <row r="22177" spans="1:2" x14ac:dyDescent="0.25">
      <c r="A22177" s="118"/>
      <c r="B22177" s="136"/>
    </row>
    <row r="22178" spans="1:2" x14ac:dyDescent="0.25">
      <c r="A22178" s="118"/>
      <c r="B22178" s="136"/>
    </row>
    <row r="22179" spans="1:2" x14ac:dyDescent="0.25">
      <c r="A22179" s="118"/>
      <c r="B22179" s="136"/>
    </row>
    <row r="22180" spans="1:2" x14ac:dyDescent="0.25">
      <c r="A22180" s="118"/>
      <c r="B22180" s="136"/>
    </row>
    <row r="22181" spans="1:2" x14ac:dyDescent="0.25">
      <c r="A22181" s="118"/>
      <c r="B22181" s="136"/>
    </row>
    <row r="22182" spans="1:2" x14ac:dyDescent="0.25">
      <c r="A22182" s="118"/>
      <c r="B22182" s="136"/>
    </row>
    <row r="22183" spans="1:2" x14ac:dyDescent="0.25">
      <c r="A22183" s="118"/>
      <c r="B22183" s="136"/>
    </row>
    <row r="22184" spans="1:2" x14ac:dyDescent="0.25">
      <c r="A22184" s="118"/>
      <c r="B22184" s="136"/>
    </row>
    <row r="22185" spans="1:2" x14ac:dyDescent="0.25">
      <c r="A22185" s="118"/>
      <c r="B22185" s="136"/>
    </row>
    <row r="22186" spans="1:2" x14ac:dyDescent="0.25">
      <c r="A22186" s="118"/>
      <c r="B22186" s="136"/>
    </row>
    <row r="22187" spans="1:2" x14ac:dyDescent="0.25">
      <c r="A22187" s="118"/>
      <c r="B22187" s="136"/>
    </row>
    <row r="22188" spans="1:2" x14ac:dyDescent="0.25">
      <c r="A22188" s="118"/>
      <c r="B22188" s="136"/>
    </row>
    <row r="22189" spans="1:2" x14ac:dyDescent="0.25">
      <c r="A22189" s="118"/>
      <c r="B22189" s="136"/>
    </row>
    <row r="22190" spans="1:2" x14ac:dyDescent="0.25">
      <c r="A22190" s="118"/>
      <c r="B22190" s="136"/>
    </row>
    <row r="22191" spans="1:2" x14ac:dyDescent="0.25">
      <c r="A22191" s="118"/>
      <c r="B22191" s="136"/>
    </row>
    <row r="22192" spans="1:2" x14ac:dyDescent="0.25">
      <c r="A22192" s="118"/>
      <c r="B22192" s="136"/>
    </row>
    <row r="22193" spans="1:2" x14ac:dyDescent="0.25">
      <c r="A22193" s="118"/>
      <c r="B22193" s="136"/>
    </row>
    <row r="22194" spans="1:2" x14ac:dyDescent="0.25">
      <c r="A22194" s="118"/>
      <c r="B22194" s="136"/>
    </row>
    <row r="22195" spans="1:2" x14ac:dyDescent="0.25">
      <c r="A22195" s="118"/>
      <c r="B22195" s="136"/>
    </row>
    <row r="22196" spans="1:2" x14ac:dyDescent="0.25">
      <c r="A22196" s="118"/>
      <c r="B22196" s="136"/>
    </row>
    <row r="22197" spans="1:2" x14ac:dyDescent="0.25">
      <c r="A22197" s="118"/>
      <c r="B22197" s="136"/>
    </row>
    <row r="22198" spans="1:2" x14ac:dyDescent="0.25">
      <c r="A22198" s="118"/>
      <c r="B22198" s="136"/>
    </row>
    <row r="22199" spans="1:2" x14ac:dyDescent="0.25">
      <c r="A22199" s="118"/>
      <c r="B22199" s="136"/>
    </row>
    <row r="22200" spans="1:2" x14ac:dyDescent="0.25">
      <c r="A22200" s="118"/>
      <c r="B22200" s="136"/>
    </row>
    <row r="22201" spans="1:2" x14ac:dyDescent="0.25">
      <c r="A22201" s="118"/>
      <c r="B22201" s="136"/>
    </row>
    <row r="22202" spans="1:2" x14ac:dyDescent="0.25">
      <c r="A22202" s="118"/>
      <c r="B22202" s="136"/>
    </row>
    <row r="22203" spans="1:2" x14ac:dyDescent="0.25">
      <c r="A22203" s="118"/>
      <c r="B22203" s="136"/>
    </row>
    <row r="22204" spans="1:2" x14ac:dyDescent="0.25">
      <c r="A22204" s="118"/>
      <c r="B22204" s="136"/>
    </row>
    <row r="22205" spans="1:2" x14ac:dyDescent="0.25">
      <c r="A22205" s="118"/>
      <c r="B22205" s="136"/>
    </row>
    <row r="22206" spans="1:2" x14ac:dyDescent="0.25">
      <c r="A22206" s="118"/>
      <c r="B22206" s="136"/>
    </row>
    <row r="22207" spans="1:2" x14ac:dyDescent="0.25">
      <c r="A22207" s="118"/>
      <c r="B22207" s="136"/>
    </row>
    <row r="22208" spans="1:2" x14ac:dyDescent="0.25">
      <c r="A22208" s="118"/>
      <c r="B22208" s="136"/>
    </row>
    <row r="22209" spans="1:2" x14ac:dyDescent="0.25">
      <c r="A22209" s="118"/>
      <c r="B22209" s="136"/>
    </row>
    <row r="22210" spans="1:2" x14ac:dyDescent="0.25">
      <c r="A22210" s="118"/>
      <c r="B22210" s="136"/>
    </row>
    <row r="22211" spans="1:2" x14ac:dyDescent="0.25">
      <c r="A22211" s="118"/>
      <c r="B22211" s="136"/>
    </row>
    <row r="22212" spans="1:2" x14ac:dyDescent="0.25">
      <c r="A22212" s="118"/>
      <c r="B22212" s="136"/>
    </row>
    <row r="22213" spans="1:2" x14ac:dyDescent="0.25">
      <c r="A22213" s="118"/>
      <c r="B22213" s="136"/>
    </row>
    <row r="22214" spans="1:2" x14ac:dyDescent="0.25">
      <c r="A22214" s="118"/>
      <c r="B22214" s="136"/>
    </row>
    <row r="22215" spans="1:2" x14ac:dyDescent="0.25">
      <c r="A22215" s="118"/>
      <c r="B22215" s="136"/>
    </row>
    <row r="22216" spans="1:2" x14ac:dyDescent="0.25">
      <c r="A22216" s="118"/>
      <c r="B22216" s="136"/>
    </row>
    <row r="22217" spans="1:2" x14ac:dyDescent="0.25">
      <c r="A22217" s="118"/>
      <c r="B22217" s="136"/>
    </row>
    <row r="22218" spans="1:2" x14ac:dyDescent="0.25">
      <c r="A22218" s="118"/>
      <c r="B22218" s="136"/>
    </row>
    <row r="22219" spans="1:2" x14ac:dyDescent="0.25">
      <c r="A22219" s="118"/>
      <c r="B22219" s="136"/>
    </row>
    <row r="22220" spans="1:2" x14ac:dyDescent="0.25">
      <c r="A22220" s="118"/>
      <c r="B22220" s="136"/>
    </row>
    <row r="22221" spans="1:2" x14ac:dyDescent="0.25">
      <c r="A22221" s="118"/>
      <c r="B22221" s="136"/>
    </row>
    <row r="22222" spans="1:2" x14ac:dyDescent="0.25">
      <c r="A22222" s="118"/>
      <c r="B22222" s="136"/>
    </row>
    <row r="22223" spans="1:2" x14ac:dyDescent="0.25">
      <c r="A22223" s="118"/>
      <c r="B22223" s="136"/>
    </row>
    <row r="22224" spans="1:2" x14ac:dyDescent="0.25">
      <c r="A22224" s="118"/>
      <c r="B22224" s="136"/>
    </row>
    <row r="22225" spans="1:2" x14ac:dyDescent="0.25">
      <c r="A22225" s="118"/>
      <c r="B22225" s="136"/>
    </row>
    <row r="22226" spans="1:2" x14ac:dyDescent="0.25">
      <c r="A22226" s="118"/>
      <c r="B22226" s="136"/>
    </row>
    <row r="22227" spans="1:2" x14ac:dyDescent="0.25">
      <c r="A22227" s="118"/>
      <c r="B22227" s="136"/>
    </row>
    <row r="22228" spans="1:2" x14ac:dyDescent="0.25">
      <c r="A22228" s="118"/>
      <c r="B22228" s="136"/>
    </row>
    <row r="22229" spans="1:2" x14ac:dyDescent="0.25">
      <c r="A22229" s="118"/>
      <c r="B22229" s="136"/>
    </row>
    <row r="22230" spans="1:2" x14ac:dyDescent="0.25">
      <c r="A22230" s="118"/>
      <c r="B22230" s="136"/>
    </row>
    <row r="22231" spans="1:2" x14ac:dyDescent="0.25">
      <c r="A22231" s="118"/>
      <c r="B22231" s="136"/>
    </row>
    <row r="22232" spans="1:2" x14ac:dyDescent="0.25">
      <c r="A22232" s="118"/>
      <c r="B22232" s="136"/>
    </row>
    <row r="22233" spans="1:2" x14ac:dyDescent="0.25">
      <c r="A22233" s="118"/>
      <c r="B22233" s="136"/>
    </row>
    <row r="22234" spans="1:2" x14ac:dyDescent="0.25">
      <c r="A22234" s="118"/>
      <c r="B22234" s="136"/>
    </row>
    <row r="22235" spans="1:2" x14ac:dyDescent="0.25">
      <c r="A22235" s="118"/>
      <c r="B22235" s="136"/>
    </row>
    <row r="22236" spans="1:2" x14ac:dyDescent="0.25">
      <c r="A22236" s="118"/>
      <c r="B22236" s="136"/>
    </row>
    <row r="22237" spans="1:2" x14ac:dyDescent="0.25">
      <c r="A22237" s="118"/>
      <c r="B22237" s="136"/>
    </row>
    <row r="22238" spans="1:2" x14ac:dyDescent="0.25">
      <c r="A22238" s="118"/>
      <c r="B22238" s="136"/>
    </row>
    <row r="22239" spans="1:2" x14ac:dyDescent="0.25">
      <c r="A22239" s="118"/>
      <c r="B22239" s="136"/>
    </row>
    <row r="22240" spans="1:2" x14ac:dyDescent="0.25">
      <c r="A22240" s="118"/>
      <c r="B22240" s="136"/>
    </row>
    <row r="22241" spans="1:2" x14ac:dyDescent="0.25">
      <c r="A22241" s="118"/>
      <c r="B22241" s="136"/>
    </row>
    <row r="22242" spans="1:2" x14ac:dyDescent="0.25">
      <c r="A22242" s="118"/>
      <c r="B22242" s="136"/>
    </row>
    <row r="22243" spans="1:2" x14ac:dyDescent="0.25">
      <c r="A22243" s="118"/>
      <c r="B22243" s="136"/>
    </row>
    <row r="22244" spans="1:2" x14ac:dyDescent="0.25">
      <c r="A22244" s="118"/>
      <c r="B22244" s="136"/>
    </row>
    <row r="22245" spans="1:2" x14ac:dyDescent="0.25">
      <c r="A22245" s="118"/>
      <c r="B22245" s="136"/>
    </row>
    <row r="22246" spans="1:2" x14ac:dyDescent="0.25">
      <c r="A22246" s="118"/>
      <c r="B22246" s="136"/>
    </row>
    <row r="22247" spans="1:2" x14ac:dyDescent="0.25">
      <c r="A22247" s="118"/>
      <c r="B22247" s="136"/>
    </row>
    <row r="22248" spans="1:2" x14ac:dyDescent="0.25">
      <c r="A22248" s="118"/>
      <c r="B22248" s="136"/>
    </row>
    <row r="22249" spans="1:2" x14ac:dyDescent="0.25">
      <c r="A22249" s="118"/>
      <c r="B22249" s="136"/>
    </row>
    <row r="22250" spans="1:2" x14ac:dyDescent="0.25">
      <c r="A22250" s="118"/>
      <c r="B22250" s="136"/>
    </row>
    <row r="22251" spans="1:2" x14ac:dyDescent="0.25">
      <c r="A22251" s="118"/>
      <c r="B22251" s="136"/>
    </row>
    <row r="22252" spans="1:2" x14ac:dyDescent="0.25">
      <c r="A22252" s="118"/>
      <c r="B22252" s="136"/>
    </row>
    <row r="22253" spans="1:2" x14ac:dyDescent="0.25">
      <c r="A22253" s="118"/>
      <c r="B22253" s="136"/>
    </row>
    <row r="22254" spans="1:2" x14ac:dyDescent="0.25">
      <c r="A22254" s="118"/>
      <c r="B22254" s="136"/>
    </row>
    <row r="22255" spans="1:2" x14ac:dyDescent="0.25">
      <c r="A22255" s="118"/>
      <c r="B22255" s="136"/>
    </row>
    <row r="22256" spans="1:2" x14ac:dyDescent="0.25">
      <c r="A22256" s="118"/>
      <c r="B22256" s="136"/>
    </row>
    <row r="22257" spans="1:2" x14ac:dyDescent="0.25">
      <c r="A22257" s="118"/>
      <c r="B22257" s="136"/>
    </row>
    <row r="22258" spans="1:2" x14ac:dyDescent="0.25">
      <c r="A22258" s="118"/>
      <c r="B22258" s="136"/>
    </row>
    <row r="22259" spans="1:2" x14ac:dyDescent="0.25">
      <c r="A22259" s="118"/>
      <c r="B22259" s="136"/>
    </row>
    <row r="22260" spans="1:2" x14ac:dyDescent="0.25">
      <c r="A22260" s="118"/>
      <c r="B22260" s="136"/>
    </row>
    <row r="22261" spans="1:2" x14ac:dyDescent="0.25">
      <c r="A22261" s="118"/>
      <c r="B22261" s="136"/>
    </row>
    <row r="22262" spans="1:2" x14ac:dyDescent="0.25">
      <c r="A22262" s="118"/>
      <c r="B22262" s="136"/>
    </row>
    <row r="22263" spans="1:2" x14ac:dyDescent="0.25">
      <c r="A22263" s="118"/>
      <c r="B22263" s="136"/>
    </row>
    <row r="22264" spans="1:2" x14ac:dyDescent="0.25">
      <c r="A22264" s="118"/>
      <c r="B22264" s="136"/>
    </row>
    <row r="22265" spans="1:2" x14ac:dyDescent="0.25">
      <c r="A22265" s="118"/>
      <c r="B22265" s="136"/>
    </row>
    <row r="22266" spans="1:2" x14ac:dyDescent="0.25">
      <c r="A22266" s="118"/>
      <c r="B22266" s="136"/>
    </row>
    <row r="22267" spans="1:2" x14ac:dyDescent="0.25">
      <c r="A22267" s="118"/>
      <c r="B22267" s="136"/>
    </row>
    <row r="22268" spans="1:2" x14ac:dyDescent="0.25">
      <c r="A22268" s="118"/>
      <c r="B22268" s="136"/>
    </row>
    <row r="22269" spans="1:2" x14ac:dyDescent="0.25">
      <c r="A22269" s="118"/>
      <c r="B22269" s="136"/>
    </row>
    <row r="22270" spans="1:2" x14ac:dyDescent="0.25">
      <c r="A22270" s="118"/>
      <c r="B22270" s="136"/>
    </row>
    <row r="22271" spans="1:2" x14ac:dyDescent="0.25">
      <c r="A22271" s="118"/>
      <c r="B22271" s="136"/>
    </row>
    <row r="22272" spans="1:2" x14ac:dyDescent="0.25">
      <c r="A22272" s="118"/>
      <c r="B22272" s="136"/>
    </row>
    <row r="22273" spans="1:2" x14ac:dyDescent="0.25">
      <c r="A22273" s="118"/>
      <c r="B22273" s="136"/>
    </row>
    <row r="22274" spans="1:2" x14ac:dyDescent="0.25">
      <c r="A22274" s="118"/>
      <c r="B22274" s="136"/>
    </row>
    <row r="22275" spans="1:2" x14ac:dyDescent="0.25">
      <c r="A22275" s="118"/>
      <c r="B22275" s="136"/>
    </row>
    <row r="22276" spans="1:2" x14ac:dyDescent="0.25">
      <c r="A22276" s="118"/>
      <c r="B22276" s="136"/>
    </row>
    <row r="22277" spans="1:2" x14ac:dyDescent="0.25">
      <c r="A22277" s="118"/>
      <c r="B22277" s="136"/>
    </row>
    <row r="22278" spans="1:2" x14ac:dyDescent="0.25">
      <c r="A22278" s="118"/>
      <c r="B22278" s="136"/>
    </row>
    <row r="22279" spans="1:2" x14ac:dyDescent="0.25">
      <c r="A22279" s="118"/>
      <c r="B22279" s="136"/>
    </row>
    <row r="22280" spans="1:2" x14ac:dyDescent="0.25">
      <c r="A22280" s="118"/>
      <c r="B22280" s="136"/>
    </row>
    <row r="22281" spans="1:2" x14ac:dyDescent="0.25">
      <c r="A22281" s="118"/>
      <c r="B22281" s="136"/>
    </row>
    <row r="22282" spans="1:2" x14ac:dyDescent="0.25">
      <c r="A22282" s="118"/>
      <c r="B22282" s="136"/>
    </row>
    <row r="22283" spans="1:2" x14ac:dyDescent="0.25">
      <c r="A22283" s="118"/>
      <c r="B22283" s="136"/>
    </row>
    <row r="22284" spans="1:2" x14ac:dyDescent="0.25">
      <c r="A22284" s="118"/>
      <c r="B22284" s="136"/>
    </row>
    <row r="22285" spans="1:2" x14ac:dyDescent="0.25">
      <c r="A22285" s="118"/>
      <c r="B22285" s="136"/>
    </row>
    <row r="22286" spans="1:2" x14ac:dyDescent="0.25">
      <c r="A22286" s="118"/>
      <c r="B22286" s="136"/>
    </row>
    <row r="22287" spans="1:2" x14ac:dyDescent="0.25">
      <c r="A22287" s="118"/>
      <c r="B22287" s="136"/>
    </row>
    <row r="22288" spans="1:2" x14ac:dyDescent="0.25">
      <c r="A22288" s="118"/>
      <c r="B22288" s="136"/>
    </row>
    <row r="22289" spans="1:2" x14ac:dyDescent="0.25">
      <c r="A22289" s="118"/>
      <c r="B22289" s="136"/>
    </row>
    <row r="22290" spans="1:2" x14ac:dyDescent="0.25">
      <c r="A22290" s="118"/>
      <c r="B22290" s="136"/>
    </row>
    <row r="22291" spans="1:2" x14ac:dyDescent="0.25">
      <c r="A22291" s="118"/>
      <c r="B22291" s="136"/>
    </row>
    <row r="22292" spans="1:2" x14ac:dyDescent="0.25">
      <c r="A22292" s="118"/>
      <c r="B22292" s="136"/>
    </row>
    <row r="22293" spans="1:2" x14ac:dyDescent="0.25">
      <c r="A22293" s="118"/>
      <c r="B22293" s="136"/>
    </row>
    <row r="22294" spans="1:2" x14ac:dyDescent="0.25">
      <c r="A22294" s="118"/>
      <c r="B22294" s="136"/>
    </row>
    <row r="22295" spans="1:2" x14ac:dyDescent="0.25">
      <c r="A22295" s="118"/>
      <c r="B22295" s="136"/>
    </row>
    <row r="22296" spans="1:2" x14ac:dyDescent="0.25">
      <c r="A22296" s="118"/>
      <c r="B22296" s="136"/>
    </row>
    <row r="22297" spans="1:2" x14ac:dyDescent="0.25">
      <c r="A22297" s="118"/>
      <c r="B22297" s="136"/>
    </row>
    <row r="22298" spans="1:2" x14ac:dyDescent="0.25">
      <c r="A22298" s="118"/>
      <c r="B22298" s="136"/>
    </row>
    <row r="22299" spans="1:2" x14ac:dyDescent="0.25">
      <c r="A22299" s="118"/>
      <c r="B22299" s="136"/>
    </row>
    <row r="22300" spans="1:2" x14ac:dyDescent="0.25">
      <c r="A22300" s="118"/>
      <c r="B22300" s="136"/>
    </row>
    <row r="22301" spans="1:2" x14ac:dyDescent="0.25">
      <c r="A22301" s="118"/>
      <c r="B22301" s="136"/>
    </row>
    <row r="22302" spans="1:2" x14ac:dyDescent="0.25">
      <c r="A22302" s="118"/>
      <c r="B22302" s="136"/>
    </row>
    <row r="22303" spans="1:2" x14ac:dyDescent="0.25">
      <c r="A22303" s="118"/>
      <c r="B22303" s="136"/>
    </row>
    <row r="22304" spans="1:2" x14ac:dyDescent="0.25">
      <c r="A22304" s="118"/>
      <c r="B22304" s="136"/>
    </row>
    <row r="22305" spans="1:2" x14ac:dyDescent="0.25">
      <c r="A22305" s="118"/>
      <c r="B22305" s="136"/>
    </row>
    <row r="22306" spans="1:2" x14ac:dyDescent="0.25">
      <c r="A22306" s="118"/>
      <c r="B22306" s="136"/>
    </row>
    <row r="22307" spans="1:2" x14ac:dyDescent="0.25">
      <c r="A22307" s="118"/>
      <c r="B22307" s="136"/>
    </row>
    <row r="22308" spans="1:2" x14ac:dyDescent="0.25">
      <c r="A22308" s="118"/>
      <c r="B22308" s="136"/>
    </row>
    <row r="22309" spans="1:2" x14ac:dyDescent="0.25">
      <c r="A22309" s="118"/>
      <c r="B22309" s="136"/>
    </row>
    <row r="22310" spans="1:2" x14ac:dyDescent="0.25">
      <c r="A22310" s="118"/>
      <c r="B22310" s="136"/>
    </row>
    <row r="22311" spans="1:2" x14ac:dyDescent="0.25">
      <c r="A22311" s="118"/>
      <c r="B22311" s="136"/>
    </row>
    <row r="22312" spans="1:2" x14ac:dyDescent="0.25">
      <c r="A22312" s="118"/>
      <c r="B22312" s="136"/>
    </row>
    <row r="22313" spans="1:2" x14ac:dyDescent="0.25">
      <c r="A22313" s="118"/>
      <c r="B22313" s="136"/>
    </row>
    <row r="22314" spans="1:2" x14ac:dyDescent="0.25">
      <c r="A22314" s="118"/>
      <c r="B22314" s="136"/>
    </row>
    <row r="22315" spans="1:2" x14ac:dyDescent="0.25">
      <c r="A22315" s="118"/>
      <c r="B22315" s="136"/>
    </row>
    <row r="22316" spans="1:2" x14ac:dyDescent="0.25">
      <c r="A22316" s="118"/>
      <c r="B22316" s="136"/>
    </row>
    <row r="22317" spans="1:2" x14ac:dyDescent="0.25">
      <c r="A22317" s="118"/>
      <c r="B22317" s="136"/>
    </row>
    <row r="22318" spans="1:2" x14ac:dyDescent="0.25">
      <c r="A22318" s="118"/>
      <c r="B22318" s="136"/>
    </row>
    <row r="22319" spans="1:2" x14ac:dyDescent="0.25">
      <c r="A22319" s="118"/>
      <c r="B22319" s="136"/>
    </row>
    <row r="22320" spans="1:2" x14ac:dyDescent="0.25">
      <c r="A22320" s="118"/>
      <c r="B22320" s="136"/>
    </row>
    <row r="22321" spans="1:2" x14ac:dyDescent="0.25">
      <c r="A22321" s="118"/>
      <c r="B22321" s="136"/>
    </row>
    <row r="22322" spans="1:2" x14ac:dyDescent="0.25">
      <c r="A22322" s="118"/>
      <c r="B22322" s="136"/>
    </row>
    <row r="22323" spans="1:2" x14ac:dyDescent="0.25">
      <c r="A22323" s="118"/>
      <c r="B22323" s="136"/>
    </row>
    <row r="22324" spans="1:2" x14ac:dyDescent="0.25">
      <c r="A22324" s="118"/>
      <c r="B22324" s="136"/>
    </row>
    <row r="22325" spans="1:2" x14ac:dyDescent="0.25">
      <c r="A22325" s="118"/>
      <c r="B22325" s="136"/>
    </row>
    <row r="22326" spans="1:2" x14ac:dyDescent="0.25">
      <c r="A22326" s="118"/>
      <c r="B22326" s="136"/>
    </row>
    <row r="22327" spans="1:2" x14ac:dyDescent="0.25">
      <c r="A22327" s="118"/>
      <c r="B22327" s="136"/>
    </row>
    <row r="22328" spans="1:2" x14ac:dyDescent="0.25">
      <c r="A22328" s="118"/>
      <c r="B22328" s="136"/>
    </row>
    <row r="22329" spans="1:2" x14ac:dyDescent="0.25">
      <c r="A22329" s="118"/>
      <c r="B22329" s="136"/>
    </row>
    <row r="22330" spans="1:2" x14ac:dyDescent="0.25">
      <c r="A22330" s="118"/>
      <c r="B22330" s="136"/>
    </row>
    <row r="22331" spans="1:2" x14ac:dyDescent="0.25">
      <c r="A22331" s="118"/>
      <c r="B22331" s="136"/>
    </row>
    <row r="22332" spans="1:2" x14ac:dyDescent="0.25">
      <c r="A22332" s="118"/>
      <c r="B22332" s="136"/>
    </row>
    <row r="22333" spans="1:2" x14ac:dyDescent="0.25">
      <c r="A22333" s="118"/>
      <c r="B22333" s="136"/>
    </row>
    <row r="22334" spans="1:2" x14ac:dyDescent="0.25">
      <c r="A22334" s="118"/>
      <c r="B22334" s="136"/>
    </row>
    <row r="22335" spans="1:2" x14ac:dyDescent="0.25">
      <c r="A22335" s="118"/>
      <c r="B22335" s="136"/>
    </row>
    <row r="22336" spans="1:2" x14ac:dyDescent="0.25">
      <c r="A22336" s="118"/>
      <c r="B22336" s="136"/>
    </row>
    <row r="22337" spans="1:2" x14ac:dyDescent="0.25">
      <c r="A22337" s="118"/>
      <c r="B22337" s="136"/>
    </row>
    <row r="22338" spans="1:2" x14ac:dyDescent="0.25">
      <c r="A22338" s="118"/>
      <c r="B22338" s="136"/>
    </row>
    <row r="22339" spans="1:2" x14ac:dyDescent="0.25">
      <c r="A22339" s="118"/>
      <c r="B22339" s="136"/>
    </row>
    <row r="22340" spans="1:2" x14ac:dyDescent="0.25">
      <c r="A22340" s="118"/>
      <c r="B22340" s="136"/>
    </row>
    <row r="22341" spans="1:2" x14ac:dyDescent="0.25">
      <c r="A22341" s="118"/>
      <c r="B22341" s="136"/>
    </row>
    <row r="22342" spans="1:2" x14ac:dyDescent="0.25">
      <c r="A22342" s="118"/>
      <c r="B22342" s="136"/>
    </row>
    <row r="22343" spans="1:2" x14ac:dyDescent="0.25">
      <c r="A22343" s="118"/>
      <c r="B22343" s="136"/>
    </row>
    <row r="22344" spans="1:2" x14ac:dyDescent="0.25">
      <c r="A22344" s="118"/>
      <c r="B22344" s="136"/>
    </row>
    <row r="22345" spans="1:2" x14ac:dyDescent="0.25">
      <c r="A22345" s="118"/>
      <c r="B22345" s="136"/>
    </row>
    <row r="22346" spans="1:2" x14ac:dyDescent="0.25">
      <c r="A22346" s="118"/>
      <c r="B22346" s="136"/>
    </row>
    <row r="22347" spans="1:2" x14ac:dyDescent="0.25">
      <c r="A22347" s="118"/>
      <c r="B22347" s="136"/>
    </row>
    <row r="22348" spans="1:2" x14ac:dyDescent="0.25">
      <c r="A22348" s="118"/>
      <c r="B22348" s="136"/>
    </row>
    <row r="22349" spans="1:2" x14ac:dyDescent="0.25">
      <c r="A22349" s="118"/>
      <c r="B22349" s="136"/>
    </row>
    <row r="22350" spans="1:2" x14ac:dyDescent="0.25">
      <c r="A22350" s="118"/>
      <c r="B22350" s="136"/>
    </row>
    <row r="22351" spans="1:2" x14ac:dyDescent="0.25">
      <c r="A22351" s="118"/>
      <c r="B22351" s="136"/>
    </row>
    <row r="22352" spans="1:2" x14ac:dyDescent="0.25">
      <c r="A22352" s="118"/>
      <c r="B22352" s="136"/>
    </row>
    <row r="22353" spans="1:2" x14ac:dyDescent="0.25">
      <c r="A22353" s="118"/>
      <c r="B22353" s="136"/>
    </row>
    <row r="22354" spans="1:2" x14ac:dyDescent="0.25">
      <c r="A22354" s="118"/>
      <c r="B22354" s="136"/>
    </row>
    <row r="22355" spans="1:2" x14ac:dyDescent="0.25">
      <c r="A22355" s="118"/>
      <c r="B22355" s="136"/>
    </row>
    <row r="22356" spans="1:2" x14ac:dyDescent="0.25">
      <c r="A22356" s="118"/>
      <c r="B22356" s="136"/>
    </row>
    <row r="22357" spans="1:2" x14ac:dyDescent="0.25">
      <c r="A22357" s="118"/>
      <c r="B22357" s="136"/>
    </row>
    <row r="22358" spans="1:2" x14ac:dyDescent="0.25">
      <c r="A22358" s="118"/>
      <c r="B22358" s="136"/>
    </row>
    <row r="22359" spans="1:2" x14ac:dyDescent="0.25">
      <c r="A22359" s="118"/>
      <c r="B22359" s="136"/>
    </row>
    <row r="22360" spans="1:2" x14ac:dyDescent="0.25">
      <c r="A22360" s="118"/>
      <c r="B22360" s="136"/>
    </row>
    <row r="22361" spans="1:2" x14ac:dyDescent="0.25">
      <c r="A22361" s="118"/>
      <c r="B22361" s="136"/>
    </row>
    <row r="22362" spans="1:2" x14ac:dyDescent="0.25">
      <c r="A22362" s="118"/>
      <c r="B22362" s="136"/>
    </row>
    <row r="22363" spans="1:2" x14ac:dyDescent="0.25">
      <c r="A22363" s="118"/>
      <c r="B22363" s="136"/>
    </row>
    <row r="22364" spans="1:2" x14ac:dyDescent="0.25">
      <c r="A22364" s="118"/>
      <c r="B22364" s="136"/>
    </row>
    <row r="22365" spans="1:2" x14ac:dyDescent="0.25">
      <c r="A22365" s="118"/>
      <c r="B22365" s="136"/>
    </row>
    <row r="22366" spans="1:2" x14ac:dyDescent="0.25">
      <c r="A22366" s="118"/>
      <c r="B22366" s="136"/>
    </row>
    <row r="22367" spans="1:2" x14ac:dyDescent="0.25">
      <c r="A22367" s="118"/>
      <c r="B22367" s="136"/>
    </row>
    <row r="22368" spans="1:2" x14ac:dyDescent="0.25">
      <c r="A22368" s="118"/>
      <c r="B22368" s="136"/>
    </row>
    <row r="22369" spans="1:2" x14ac:dyDescent="0.25">
      <c r="A22369" s="118"/>
      <c r="B22369" s="136"/>
    </row>
    <row r="22370" spans="1:2" x14ac:dyDescent="0.25">
      <c r="A22370" s="118"/>
      <c r="B22370" s="136"/>
    </row>
    <row r="22371" spans="1:2" x14ac:dyDescent="0.25">
      <c r="A22371" s="118"/>
      <c r="B22371" s="136"/>
    </row>
    <row r="22372" spans="1:2" x14ac:dyDescent="0.25">
      <c r="A22372" s="118"/>
      <c r="B22372" s="136"/>
    </row>
    <row r="22373" spans="1:2" x14ac:dyDescent="0.25">
      <c r="A22373" s="118"/>
      <c r="B22373" s="136"/>
    </row>
    <row r="22374" spans="1:2" x14ac:dyDescent="0.25">
      <c r="A22374" s="118"/>
      <c r="B22374" s="136"/>
    </row>
    <row r="22375" spans="1:2" x14ac:dyDescent="0.25">
      <c r="A22375" s="118"/>
      <c r="B22375" s="136"/>
    </row>
    <row r="22376" spans="1:2" x14ac:dyDescent="0.25">
      <c r="A22376" s="118"/>
      <c r="B22376" s="136"/>
    </row>
    <row r="22377" spans="1:2" x14ac:dyDescent="0.25">
      <c r="A22377" s="118"/>
      <c r="B22377" s="136"/>
    </row>
    <row r="22378" spans="1:2" x14ac:dyDescent="0.25">
      <c r="A22378" s="118"/>
      <c r="B22378" s="136"/>
    </row>
    <row r="22379" spans="1:2" x14ac:dyDescent="0.25">
      <c r="A22379" s="118"/>
      <c r="B22379" s="136"/>
    </row>
    <row r="22380" spans="1:2" x14ac:dyDescent="0.25">
      <c r="A22380" s="118"/>
      <c r="B22380" s="136"/>
    </row>
    <row r="22381" spans="1:2" x14ac:dyDescent="0.25">
      <c r="A22381" s="118"/>
      <c r="B22381" s="136"/>
    </row>
    <row r="22382" spans="1:2" x14ac:dyDescent="0.25">
      <c r="A22382" s="118"/>
      <c r="B22382" s="136"/>
    </row>
    <row r="22383" spans="1:2" x14ac:dyDescent="0.25">
      <c r="A22383" s="118"/>
      <c r="B22383" s="136"/>
    </row>
    <row r="22384" spans="1:2" x14ac:dyDescent="0.25">
      <c r="A22384" s="118"/>
      <c r="B22384" s="136"/>
    </row>
    <row r="22385" spans="1:2" x14ac:dyDescent="0.25">
      <c r="A22385" s="118"/>
      <c r="B22385" s="136"/>
    </row>
    <row r="22386" spans="1:2" x14ac:dyDescent="0.25">
      <c r="A22386" s="118"/>
      <c r="B22386" s="136"/>
    </row>
    <row r="22387" spans="1:2" x14ac:dyDescent="0.25">
      <c r="A22387" s="118"/>
      <c r="B22387" s="136"/>
    </row>
    <row r="22388" spans="1:2" x14ac:dyDescent="0.25">
      <c r="A22388" s="118"/>
      <c r="B22388" s="136"/>
    </row>
    <row r="22389" spans="1:2" x14ac:dyDescent="0.25">
      <c r="A22389" s="118"/>
      <c r="B22389" s="136"/>
    </row>
    <row r="22390" spans="1:2" x14ac:dyDescent="0.25">
      <c r="A22390" s="118"/>
      <c r="B22390" s="136"/>
    </row>
    <row r="22391" spans="1:2" x14ac:dyDescent="0.25">
      <c r="A22391" s="118"/>
      <c r="B22391" s="136"/>
    </row>
    <row r="22392" spans="1:2" x14ac:dyDescent="0.25">
      <c r="A22392" s="118"/>
      <c r="B22392" s="136"/>
    </row>
    <row r="22393" spans="1:2" x14ac:dyDescent="0.25">
      <c r="A22393" s="118"/>
      <c r="B22393" s="136"/>
    </row>
    <row r="22394" spans="1:2" x14ac:dyDescent="0.25">
      <c r="A22394" s="118"/>
      <c r="B22394" s="136"/>
    </row>
    <row r="22395" spans="1:2" x14ac:dyDescent="0.25">
      <c r="A22395" s="118"/>
      <c r="B22395" s="136"/>
    </row>
    <row r="22396" spans="1:2" x14ac:dyDescent="0.25">
      <c r="A22396" s="118"/>
      <c r="B22396" s="136"/>
    </row>
    <row r="22397" spans="1:2" x14ac:dyDescent="0.25">
      <c r="A22397" s="118"/>
      <c r="B22397" s="136"/>
    </row>
    <row r="22398" spans="1:2" x14ac:dyDescent="0.25">
      <c r="A22398" s="118"/>
      <c r="B22398" s="136"/>
    </row>
    <row r="22399" spans="1:2" x14ac:dyDescent="0.25">
      <c r="A22399" s="118"/>
      <c r="B22399" s="136"/>
    </row>
    <row r="22400" spans="1:2" x14ac:dyDescent="0.25">
      <c r="A22400" s="118"/>
      <c r="B22400" s="136"/>
    </row>
    <row r="22401" spans="1:2" x14ac:dyDescent="0.25">
      <c r="A22401" s="118"/>
      <c r="B22401" s="136"/>
    </row>
    <row r="22402" spans="1:2" x14ac:dyDescent="0.25">
      <c r="A22402" s="118"/>
      <c r="B22402" s="136"/>
    </row>
    <row r="22403" spans="1:2" x14ac:dyDescent="0.25">
      <c r="A22403" s="118"/>
      <c r="B22403" s="136"/>
    </row>
    <row r="22404" spans="1:2" x14ac:dyDescent="0.25">
      <c r="A22404" s="118"/>
      <c r="B22404" s="136"/>
    </row>
    <row r="22405" spans="1:2" x14ac:dyDescent="0.25">
      <c r="A22405" s="118"/>
      <c r="B22405" s="136"/>
    </row>
    <row r="22406" spans="1:2" x14ac:dyDescent="0.25">
      <c r="A22406" s="118"/>
      <c r="B22406" s="136"/>
    </row>
    <row r="22407" spans="1:2" x14ac:dyDescent="0.25">
      <c r="A22407" s="118"/>
      <c r="B22407" s="136"/>
    </row>
    <row r="22408" spans="1:2" x14ac:dyDescent="0.25">
      <c r="A22408" s="118"/>
      <c r="B22408" s="136"/>
    </row>
    <row r="22409" spans="1:2" x14ac:dyDescent="0.25">
      <c r="A22409" s="118"/>
      <c r="B22409" s="136"/>
    </row>
    <row r="22410" spans="1:2" x14ac:dyDescent="0.25">
      <c r="A22410" s="118"/>
      <c r="B22410" s="136"/>
    </row>
    <row r="22411" spans="1:2" x14ac:dyDescent="0.25">
      <c r="A22411" s="118"/>
      <c r="B22411" s="136"/>
    </row>
    <row r="22412" spans="1:2" x14ac:dyDescent="0.25">
      <c r="A22412" s="118"/>
      <c r="B22412" s="136"/>
    </row>
    <row r="22413" spans="1:2" x14ac:dyDescent="0.25">
      <c r="A22413" s="118"/>
      <c r="B22413" s="136"/>
    </row>
    <row r="22414" spans="1:2" x14ac:dyDescent="0.25">
      <c r="A22414" s="118"/>
      <c r="B22414" s="136"/>
    </row>
    <row r="22415" spans="1:2" x14ac:dyDescent="0.25">
      <c r="A22415" s="118"/>
      <c r="B22415" s="136"/>
    </row>
    <row r="22416" spans="1:2" x14ac:dyDescent="0.25">
      <c r="A22416" s="118"/>
      <c r="B22416" s="136"/>
    </row>
    <row r="22417" spans="1:2" x14ac:dyDescent="0.25">
      <c r="A22417" s="118"/>
      <c r="B22417" s="136"/>
    </row>
    <row r="22418" spans="1:2" x14ac:dyDescent="0.25">
      <c r="A22418" s="118"/>
      <c r="B22418" s="136"/>
    </row>
    <row r="22419" spans="1:2" x14ac:dyDescent="0.25">
      <c r="A22419" s="118"/>
      <c r="B22419" s="136"/>
    </row>
    <row r="22420" spans="1:2" x14ac:dyDescent="0.25">
      <c r="A22420" s="118"/>
      <c r="B22420" s="136"/>
    </row>
    <row r="22421" spans="1:2" x14ac:dyDescent="0.25">
      <c r="A22421" s="118"/>
      <c r="B22421" s="136"/>
    </row>
    <row r="22422" spans="1:2" x14ac:dyDescent="0.25">
      <c r="A22422" s="118"/>
      <c r="B22422" s="136"/>
    </row>
    <row r="22423" spans="1:2" x14ac:dyDescent="0.25">
      <c r="A22423" s="118"/>
      <c r="B22423" s="136"/>
    </row>
    <row r="22424" spans="1:2" x14ac:dyDescent="0.25">
      <c r="A22424" s="118"/>
      <c r="B22424" s="136"/>
    </row>
    <row r="22425" spans="1:2" x14ac:dyDescent="0.25">
      <c r="A22425" s="118"/>
      <c r="B22425" s="136"/>
    </row>
    <row r="22426" spans="1:2" x14ac:dyDescent="0.25">
      <c r="A22426" s="118"/>
      <c r="B22426" s="136"/>
    </row>
    <row r="22427" spans="1:2" x14ac:dyDescent="0.25">
      <c r="A22427" s="118"/>
      <c r="B22427" s="136"/>
    </row>
    <row r="22428" spans="1:2" x14ac:dyDescent="0.25">
      <c r="A22428" s="118"/>
      <c r="B22428" s="136"/>
    </row>
    <row r="22429" spans="1:2" x14ac:dyDescent="0.25">
      <c r="A22429" s="118"/>
      <c r="B22429" s="136"/>
    </row>
    <row r="22430" spans="1:2" x14ac:dyDescent="0.25">
      <c r="A22430" s="118"/>
      <c r="B22430" s="136"/>
    </row>
    <row r="22431" spans="1:2" x14ac:dyDescent="0.25">
      <c r="A22431" s="118"/>
      <c r="B22431" s="136"/>
    </row>
    <row r="22432" spans="1:2" x14ac:dyDescent="0.25">
      <c r="A22432" s="118"/>
      <c r="B22432" s="136"/>
    </row>
    <row r="22433" spans="1:2" x14ac:dyDescent="0.25">
      <c r="A22433" s="118"/>
      <c r="B22433" s="136"/>
    </row>
    <row r="22434" spans="1:2" x14ac:dyDescent="0.25">
      <c r="A22434" s="118"/>
      <c r="B22434" s="136"/>
    </row>
    <row r="22435" spans="1:2" x14ac:dyDescent="0.25">
      <c r="A22435" s="118"/>
      <c r="B22435" s="136"/>
    </row>
    <row r="22436" spans="1:2" x14ac:dyDescent="0.25">
      <c r="A22436" s="118"/>
      <c r="B22436" s="136"/>
    </row>
    <row r="22437" spans="1:2" x14ac:dyDescent="0.25">
      <c r="A22437" s="118"/>
      <c r="B22437" s="136"/>
    </row>
    <row r="22438" spans="1:2" x14ac:dyDescent="0.25">
      <c r="A22438" s="118"/>
      <c r="B22438" s="136"/>
    </row>
    <row r="22439" spans="1:2" x14ac:dyDescent="0.25">
      <c r="A22439" s="118"/>
      <c r="B22439" s="136"/>
    </row>
    <row r="22440" spans="1:2" x14ac:dyDescent="0.25">
      <c r="A22440" s="118"/>
      <c r="B22440" s="136"/>
    </row>
    <row r="22441" spans="1:2" x14ac:dyDescent="0.25">
      <c r="A22441" s="118"/>
      <c r="B22441" s="136"/>
    </row>
    <row r="22442" spans="1:2" x14ac:dyDescent="0.25">
      <c r="A22442" s="118"/>
      <c r="B22442" s="136"/>
    </row>
    <row r="22443" spans="1:2" x14ac:dyDescent="0.25">
      <c r="A22443" s="118"/>
      <c r="B22443" s="136"/>
    </row>
    <row r="22444" spans="1:2" x14ac:dyDescent="0.25">
      <c r="A22444" s="118"/>
      <c r="B22444" s="136"/>
    </row>
    <row r="22445" spans="1:2" x14ac:dyDescent="0.25">
      <c r="A22445" s="118"/>
      <c r="B22445" s="136"/>
    </row>
    <row r="22446" spans="1:2" x14ac:dyDescent="0.25">
      <c r="A22446" s="118"/>
      <c r="B22446" s="136"/>
    </row>
    <row r="22447" spans="1:2" x14ac:dyDescent="0.25">
      <c r="A22447" s="118"/>
      <c r="B22447" s="136"/>
    </row>
    <row r="22448" spans="1:2" x14ac:dyDescent="0.25">
      <c r="A22448" s="118"/>
      <c r="B22448" s="136"/>
    </row>
    <row r="22449" spans="1:2" x14ac:dyDescent="0.25">
      <c r="A22449" s="118"/>
      <c r="B22449" s="136"/>
    </row>
    <row r="22450" spans="1:2" x14ac:dyDescent="0.25">
      <c r="A22450" s="118"/>
      <c r="B22450" s="136"/>
    </row>
    <row r="22451" spans="1:2" x14ac:dyDescent="0.25">
      <c r="A22451" s="118"/>
      <c r="B22451" s="136"/>
    </row>
    <row r="22452" spans="1:2" x14ac:dyDescent="0.25">
      <c r="A22452" s="118"/>
      <c r="B22452" s="136"/>
    </row>
    <row r="22453" spans="1:2" x14ac:dyDescent="0.25">
      <c r="A22453" s="118"/>
      <c r="B22453" s="136"/>
    </row>
    <row r="22454" spans="1:2" x14ac:dyDescent="0.25">
      <c r="A22454" s="118"/>
      <c r="B22454" s="136"/>
    </row>
    <row r="22455" spans="1:2" x14ac:dyDescent="0.25">
      <c r="A22455" s="118"/>
      <c r="B22455" s="136"/>
    </row>
    <row r="22456" spans="1:2" x14ac:dyDescent="0.25">
      <c r="A22456" s="118"/>
      <c r="B22456" s="136"/>
    </row>
    <row r="22457" spans="1:2" x14ac:dyDescent="0.25">
      <c r="A22457" s="118"/>
      <c r="B22457" s="136"/>
    </row>
    <row r="22458" spans="1:2" x14ac:dyDescent="0.25">
      <c r="A22458" s="118"/>
      <c r="B22458" s="136"/>
    </row>
    <row r="22459" spans="1:2" x14ac:dyDescent="0.25">
      <c r="A22459" s="118"/>
      <c r="B22459" s="136"/>
    </row>
    <row r="22460" spans="1:2" x14ac:dyDescent="0.25">
      <c r="A22460" s="118"/>
      <c r="B22460" s="136"/>
    </row>
    <row r="22461" spans="1:2" x14ac:dyDescent="0.25">
      <c r="A22461" s="118"/>
      <c r="B22461" s="136"/>
    </row>
    <row r="22462" spans="1:2" x14ac:dyDescent="0.25">
      <c r="A22462" s="118"/>
      <c r="B22462" s="136"/>
    </row>
    <row r="22463" spans="1:2" x14ac:dyDescent="0.25">
      <c r="A22463" s="118"/>
      <c r="B22463" s="136"/>
    </row>
    <row r="22464" spans="1:2" x14ac:dyDescent="0.25">
      <c r="A22464" s="118"/>
      <c r="B22464" s="136"/>
    </row>
    <row r="22465" spans="1:2" x14ac:dyDescent="0.25">
      <c r="A22465" s="118"/>
      <c r="B22465" s="136"/>
    </row>
    <row r="22466" spans="1:2" x14ac:dyDescent="0.25">
      <c r="A22466" s="118"/>
      <c r="B22466" s="136"/>
    </row>
    <row r="22467" spans="1:2" x14ac:dyDescent="0.25">
      <c r="A22467" s="118"/>
      <c r="B22467" s="136"/>
    </row>
    <row r="22468" spans="1:2" x14ac:dyDescent="0.25">
      <c r="A22468" s="118"/>
      <c r="B22468" s="136"/>
    </row>
    <row r="22469" spans="1:2" x14ac:dyDescent="0.25">
      <c r="A22469" s="118"/>
      <c r="B22469" s="136"/>
    </row>
    <row r="22470" spans="1:2" x14ac:dyDescent="0.25">
      <c r="A22470" s="118"/>
      <c r="B22470" s="136"/>
    </row>
    <row r="22471" spans="1:2" x14ac:dyDescent="0.25">
      <c r="A22471" s="118"/>
      <c r="B22471" s="136"/>
    </row>
    <row r="22472" spans="1:2" x14ac:dyDescent="0.25">
      <c r="A22472" s="118"/>
      <c r="B22472" s="136"/>
    </row>
    <row r="22473" spans="1:2" x14ac:dyDescent="0.25">
      <c r="A22473" s="118"/>
      <c r="B22473" s="136"/>
    </row>
    <row r="22474" spans="1:2" x14ac:dyDescent="0.25">
      <c r="A22474" s="118"/>
      <c r="B22474" s="136"/>
    </row>
    <row r="22475" spans="1:2" x14ac:dyDescent="0.25">
      <c r="A22475" s="118"/>
      <c r="B22475" s="136"/>
    </row>
    <row r="22476" spans="1:2" x14ac:dyDescent="0.25">
      <c r="A22476" s="118"/>
      <c r="B22476" s="136"/>
    </row>
    <row r="22477" spans="1:2" x14ac:dyDescent="0.25">
      <c r="A22477" s="118"/>
      <c r="B22477" s="136"/>
    </row>
    <row r="22478" spans="1:2" x14ac:dyDescent="0.25">
      <c r="A22478" s="118"/>
      <c r="B22478" s="136"/>
    </row>
    <row r="22479" spans="1:2" x14ac:dyDescent="0.25">
      <c r="A22479" s="118"/>
      <c r="B22479" s="136"/>
    </row>
    <row r="22480" spans="1:2" x14ac:dyDescent="0.25">
      <c r="A22480" s="118"/>
      <c r="B22480" s="136"/>
    </row>
    <row r="22481" spans="1:2" x14ac:dyDescent="0.25">
      <c r="A22481" s="118"/>
      <c r="B22481" s="136"/>
    </row>
    <row r="22482" spans="1:2" x14ac:dyDescent="0.25">
      <c r="A22482" s="118"/>
      <c r="B22482" s="136"/>
    </row>
    <row r="22483" spans="1:2" x14ac:dyDescent="0.25">
      <c r="A22483" s="118"/>
      <c r="B22483" s="136"/>
    </row>
    <row r="22484" spans="1:2" x14ac:dyDescent="0.25">
      <c r="A22484" s="118"/>
      <c r="B22484" s="136"/>
    </row>
    <row r="22485" spans="1:2" x14ac:dyDescent="0.25">
      <c r="A22485" s="118"/>
      <c r="B22485" s="136"/>
    </row>
    <row r="22486" spans="1:2" x14ac:dyDescent="0.25">
      <c r="A22486" s="118"/>
      <c r="B22486" s="136"/>
    </row>
    <row r="22487" spans="1:2" x14ac:dyDescent="0.25">
      <c r="A22487" s="118"/>
      <c r="B22487" s="136"/>
    </row>
    <row r="22488" spans="1:2" x14ac:dyDescent="0.25">
      <c r="A22488" s="118"/>
      <c r="B22488" s="136"/>
    </row>
    <row r="22489" spans="1:2" x14ac:dyDescent="0.25">
      <c r="A22489" s="118"/>
      <c r="B22489" s="136"/>
    </row>
    <row r="22490" spans="1:2" x14ac:dyDescent="0.25">
      <c r="A22490" s="118"/>
      <c r="B22490" s="136"/>
    </row>
    <row r="22491" spans="1:2" x14ac:dyDescent="0.25">
      <c r="A22491" s="118"/>
      <c r="B22491" s="136"/>
    </row>
    <row r="22492" spans="1:2" x14ac:dyDescent="0.25">
      <c r="A22492" s="118"/>
      <c r="B22492" s="136"/>
    </row>
    <row r="22493" spans="1:2" x14ac:dyDescent="0.25">
      <c r="A22493" s="118"/>
      <c r="B22493" s="136"/>
    </row>
    <row r="22494" spans="1:2" x14ac:dyDescent="0.25">
      <c r="A22494" s="118"/>
      <c r="B22494" s="136"/>
    </row>
    <row r="22495" spans="1:2" x14ac:dyDescent="0.25">
      <c r="A22495" s="118"/>
      <c r="B22495" s="136"/>
    </row>
    <row r="22496" spans="1:2" x14ac:dyDescent="0.25">
      <c r="A22496" s="118"/>
      <c r="B22496" s="136"/>
    </row>
    <row r="22497" spans="1:2" x14ac:dyDescent="0.25">
      <c r="A22497" s="118"/>
      <c r="B22497" s="136"/>
    </row>
    <row r="22498" spans="1:2" x14ac:dyDescent="0.25">
      <c r="A22498" s="118"/>
      <c r="B22498" s="136"/>
    </row>
    <row r="22499" spans="1:2" x14ac:dyDescent="0.25">
      <c r="A22499" s="118"/>
      <c r="B22499" s="136"/>
    </row>
    <row r="22500" spans="1:2" x14ac:dyDescent="0.25">
      <c r="A22500" s="118"/>
      <c r="B22500" s="136"/>
    </row>
    <row r="22501" spans="1:2" x14ac:dyDescent="0.25">
      <c r="A22501" s="118"/>
      <c r="B22501" s="136"/>
    </row>
    <row r="22502" spans="1:2" x14ac:dyDescent="0.25">
      <c r="A22502" s="118"/>
      <c r="B22502" s="136"/>
    </row>
    <row r="22503" spans="1:2" x14ac:dyDescent="0.25">
      <c r="A22503" s="118"/>
      <c r="B22503" s="136"/>
    </row>
    <row r="22504" spans="1:2" x14ac:dyDescent="0.25">
      <c r="A22504" s="118"/>
      <c r="B22504" s="136"/>
    </row>
    <row r="22505" spans="1:2" x14ac:dyDescent="0.25">
      <c r="A22505" s="118"/>
      <c r="B22505" s="136"/>
    </row>
    <row r="22506" spans="1:2" x14ac:dyDescent="0.25">
      <c r="A22506" s="118"/>
      <c r="B22506" s="136"/>
    </row>
    <row r="22507" spans="1:2" x14ac:dyDescent="0.25">
      <c r="A22507" s="118"/>
      <c r="B22507" s="136"/>
    </row>
    <row r="22508" spans="1:2" x14ac:dyDescent="0.25">
      <c r="A22508" s="118"/>
      <c r="B22508" s="136"/>
    </row>
    <row r="22509" spans="1:2" x14ac:dyDescent="0.25">
      <c r="A22509" s="118"/>
      <c r="B22509" s="136"/>
    </row>
    <row r="22510" spans="1:2" x14ac:dyDescent="0.25">
      <c r="A22510" s="118"/>
      <c r="B22510" s="136"/>
    </row>
    <row r="22511" spans="1:2" x14ac:dyDescent="0.25">
      <c r="A22511" s="118"/>
      <c r="B22511" s="136"/>
    </row>
    <row r="22512" spans="1:2" x14ac:dyDescent="0.25">
      <c r="A22512" s="118"/>
      <c r="B22512" s="136"/>
    </row>
    <row r="22513" spans="1:2" x14ac:dyDescent="0.25">
      <c r="A22513" s="118"/>
      <c r="B22513" s="136"/>
    </row>
    <row r="22514" spans="1:2" x14ac:dyDescent="0.25">
      <c r="A22514" s="118"/>
      <c r="B22514" s="136"/>
    </row>
    <row r="22515" spans="1:2" x14ac:dyDescent="0.25">
      <c r="A22515" s="118"/>
      <c r="B22515" s="136"/>
    </row>
    <row r="22516" spans="1:2" x14ac:dyDescent="0.25">
      <c r="A22516" s="118"/>
      <c r="B22516" s="136"/>
    </row>
    <row r="22517" spans="1:2" x14ac:dyDescent="0.25">
      <c r="A22517" s="118"/>
      <c r="B22517" s="136"/>
    </row>
    <row r="22518" spans="1:2" x14ac:dyDescent="0.25">
      <c r="A22518" s="118"/>
      <c r="B22518" s="136"/>
    </row>
    <row r="22519" spans="1:2" x14ac:dyDescent="0.25">
      <c r="A22519" s="118"/>
      <c r="B22519" s="136"/>
    </row>
    <row r="22520" spans="1:2" x14ac:dyDescent="0.25">
      <c r="A22520" s="118"/>
      <c r="B22520" s="136"/>
    </row>
    <row r="22521" spans="1:2" x14ac:dyDescent="0.25">
      <c r="A22521" s="118"/>
      <c r="B22521" s="136"/>
    </row>
    <row r="22522" spans="1:2" x14ac:dyDescent="0.25">
      <c r="A22522" s="118"/>
      <c r="B22522" s="136"/>
    </row>
    <row r="22523" spans="1:2" x14ac:dyDescent="0.25">
      <c r="A22523" s="118"/>
      <c r="B22523" s="136"/>
    </row>
    <row r="22524" spans="1:2" x14ac:dyDescent="0.25">
      <c r="A22524" s="118"/>
      <c r="B22524" s="136"/>
    </row>
    <row r="22525" spans="1:2" x14ac:dyDescent="0.25">
      <c r="A22525" s="118"/>
      <c r="B22525" s="136"/>
    </row>
    <row r="22526" spans="1:2" x14ac:dyDescent="0.25">
      <c r="A22526" s="118"/>
      <c r="B22526" s="136"/>
    </row>
    <row r="22527" spans="1:2" x14ac:dyDescent="0.25">
      <c r="A22527" s="118"/>
      <c r="B22527" s="136"/>
    </row>
    <row r="22528" spans="1:2" x14ac:dyDescent="0.25">
      <c r="A22528" s="118"/>
      <c r="B22528" s="136"/>
    </row>
    <row r="22529" spans="1:2" x14ac:dyDescent="0.25">
      <c r="A22529" s="118"/>
      <c r="B22529" s="136"/>
    </row>
    <row r="22530" spans="1:2" x14ac:dyDescent="0.25">
      <c r="A22530" s="118"/>
      <c r="B22530" s="136"/>
    </row>
    <row r="22531" spans="1:2" x14ac:dyDescent="0.25">
      <c r="A22531" s="118"/>
      <c r="B22531" s="136"/>
    </row>
    <row r="22532" spans="1:2" x14ac:dyDescent="0.25">
      <c r="A22532" s="118"/>
      <c r="B22532" s="136"/>
    </row>
    <row r="22533" spans="1:2" x14ac:dyDescent="0.25">
      <c r="A22533" s="118"/>
      <c r="B22533" s="136"/>
    </row>
    <row r="22534" spans="1:2" x14ac:dyDescent="0.25">
      <c r="A22534" s="118"/>
      <c r="B22534" s="136"/>
    </row>
    <row r="22535" spans="1:2" x14ac:dyDescent="0.25">
      <c r="A22535" s="118"/>
      <c r="B22535" s="136"/>
    </row>
    <row r="22536" spans="1:2" x14ac:dyDescent="0.25">
      <c r="A22536" s="118"/>
      <c r="B22536" s="136"/>
    </row>
    <row r="22537" spans="1:2" x14ac:dyDescent="0.25">
      <c r="A22537" s="118"/>
      <c r="B22537" s="136"/>
    </row>
    <row r="22538" spans="1:2" x14ac:dyDescent="0.25">
      <c r="A22538" s="118"/>
      <c r="B22538" s="136"/>
    </row>
    <row r="22539" spans="1:2" x14ac:dyDescent="0.25">
      <c r="A22539" s="118"/>
      <c r="B22539" s="136"/>
    </row>
    <row r="22540" spans="1:2" x14ac:dyDescent="0.25">
      <c r="A22540" s="118"/>
      <c r="B22540" s="136"/>
    </row>
    <row r="22541" spans="1:2" x14ac:dyDescent="0.25">
      <c r="A22541" s="118"/>
      <c r="B22541" s="136"/>
    </row>
    <row r="22542" spans="1:2" x14ac:dyDescent="0.25">
      <c r="A22542" s="118"/>
      <c r="B22542" s="136"/>
    </row>
    <row r="22543" spans="1:2" x14ac:dyDescent="0.25">
      <c r="A22543" s="118"/>
      <c r="B22543" s="136"/>
    </row>
    <row r="22544" spans="1:2" x14ac:dyDescent="0.25">
      <c r="A22544" s="118"/>
      <c r="B22544" s="136"/>
    </row>
    <row r="22545" spans="1:2" x14ac:dyDescent="0.25">
      <c r="A22545" s="118"/>
      <c r="B22545" s="136"/>
    </row>
    <row r="22546" spans="1:2" x14ac:dyDescent="0.25">
      <c r="A22546" s="118"/>
      <c r="B22546" s="136"/>
    </row>
    <row r="22547" spans="1:2" x14ac:dyDescent="0.25">
      <c r="A22547" s="118"/>
      <c r="B22547" s="136"/>
    </row>
    <row r="22548" spans="1:2" x14ac:dyDescent="0.25">
      <c r="A22548" s="118"/>
      <c r="B22548" s="136"/>
    </row>
    <row r="22549" spans="1:2" x14ac:dyDescent="0.25">
      <c r="A22549" s="118"/>
      <c r="B22549" s="136"/>
    </row>
    <row r="22550" spans="1:2" x14ac:dyDescent="0.25">
      <c r="A22550" s="118"/>
      <c r="B22550" s="136"/>
    </row>
    <row r="22551" spans="1:2" x14ac:dyDescent="0.25">
      <c r="A22551" s="118"/>
      <c r="B22551" s="136"/>
    </row>
    <row r="22552" spans="1:2" x14ac:dyDescent="0.25">
      <c r="A22552" s="118"/>
      <c r="B22552" s="136"/>
    </row>
    <row r="22553" spans="1:2" x14ac:dyDescent="0.25">
      <c r="A22553" s="118"/>
      <c r="B22553" s="136"/>
    </row>
    <row r="22554" spans="1:2" x14ac:dyDescent="0.25">
      <c r="A22554" s="118"/>
      <c r="B22554" s="136"/>
    </row>
    <row r="22555" spans="1:2" x14ac:dyDescent="0.25">
      <c r="A22555" s="118"/>
      <c r="B22555" s="136"/>
    </row>
    <row r="22556" spans="1:2" x14ac:dyDescent="0.25">
      <c r="A22556" s="118"/>
      <c r="B22556" s="136"/>
    </row>
    <row r="22557" spans="1:2" x14ac:dyDescent="0.25">
      <c r="A22557" s="118"/>
      <c r="B22557" s="136"/>
    </row>
    <row r="22558" spans="1:2" x14ac:dyDescent="0.25">
      <c r="A22558" s="118"/>
      <c r="B22558" s="136"/>
    </row>
    <row r="22559" spans="1:2" x14ac:dyDescent="0.25">
      <c r="A22559" s="118"/>
      <c r="B22559" s="136"/>
    </row>
    <row r="22560" spans="1:2" x14ac:dyDescent="0.25">
      <c r="A22560" s="118"/>
      <c r="B22560" s="136"/>
    </row>
    <row r="22561" spans="1:2" x14ac:dyDescent="0.25">
      <c r="A22561" s="118"/>
      <c r="B22561" s="136"/>
    </row>
    <row r="22562" spans="1:2" x14ac:dyDescent="0.25">
      <c r="A22562" s="118"/>
      <c r="B22562" s="136"/>
    </row>
    <row r="22563" spans="1:2" x14ac:dyDescent="0.25">
      <c r="A22563" s="118"/>
      <c r="B22563" s="136"/>
    </row>
    <row r="22564" spans="1:2" x14ac:dyDescent="0.25">
      <c r="A22564" s="118"/>
      <c r="B22564" s="136"/>
    </row>
    <row r="22565" spans="1:2" x14ac:dyDescent="0.25">
      <c r="A22565" s="118"/>
      <c r="B22565" s="136"/>
    </row>
    <row r="22566" spans="1:2" x14ac:dyDescent="0.25">
      <c r="A22566" s="118"/>
      <c r="B22566" s="136"/>
    </row>
    <row r="22567" spans="1:2" x14ac:dyDescent="0.25">
      <c r="A22567" s="118"/>
      <c r="B22567" s="136"/>
    </row>
    <row r="22568" spans="1:2" x14ac:dyDescent="0.25">
      <c r="A22568" s="118"/>
      <c r="B22568" s="136"/>
    </row>
    <row r="22569" spans="1:2" x14ac:dyDescent="0.25">
      <c r="A22569" s="118"/>
      <c r="B22569" s="136"/>
    </row>
    <row r="22570" spans="1:2" x14ac:dyDescent="0.25">
      <c r="A22570" s="118"/>
      <c r="B22570" s="136"/>
    </row>
    <row r="22571" spans="1:2" x14ac:dyDescent="0.25">
      <c r="A22571" s="118"/>
      <c r="B22571" s="136"/>
    </row>
    <row r="22572" spans="1:2" x14ac:dyDescent="0.25">
      <c r="A22572" s="118"/>
      <c r="B22572" s="136"/>
    </row>
    <row r="22573" spans="1:2" x14ac:dyDescent="0.25">
      <c r="A22573" s="118"/>
      <c r="B22573" s="136"/>
    </row>
    <row r="22574" spans="1:2" x14ac:dyDescent="0.25">
      <c r="A22574" s="118"/>
      <c r="B22574" s="136"/>
    </row>
    <row r="22575" spans="1:2" x14ac:dyDescent="0.25">
      <c r="A22575" s="118"/>
      <c r="B22575" s="136"/>
    </row>
    <row r="22576" spans="1:2" x14ac:dyDescent="0.25">
      <c r="A22576" s="118"/>
      <c r="B22576" s="136"/>
    </row>
    <row r="22577" spans="1:2" x14ac:dyDescent="0.25">
      <c r="A22577" s="118"/>
      <c r="B22577" s="136"/>
    </row>
    <row r="22578" spans="1:2" x14ac:dyDescent="0.25">
      <c r="A22578" s="118"/>
      <c r="B22578" s="136"/>
    </row>
    <row r="22579" spans="1:2" x14ac:dyDescent="0.25">
      <c r="A22579" s="118"/>
      <c r="B22579" s="136"/>
    </row>
    <row r="22580" spans="1:2" x14ac:dyDescent="0.25">
      <c r="A22580" s="118"/>
      <c r="B22580" s="136"/>
    </row>
    <row r="22581" spans="1:2" x14ac:dyDescent="0.25">
      <c r="A22581" s="118"/>
      <c r="B22581" s="136"/>
    </row>
    <row r="22582" spans="1:2" x14ac:dyDescent="0.25">
      <c r="A22582" s="118"/>
      <c r="B22582" s="136"/>
    </row>
    <row r="22583" spans="1:2" x14ac:dyDescent="0.25">
      <c r="A22583" s="118"/>
      <c r="B22583" s="136"/>
    </row>
    <row r="22584" spans="1:2" x14ac:dyDescent="0.25">
      <c r="A22584" s="118"/>
      <c r="B22584" s="136"/>
    </row>
    <row r="22585" spans="1:2" x14ac:dyDescent="0.25">
      <c r="A22585" s="118"/>
      <c r="B22585" s="136"/>
    </row>
    <row r="22586" spans="1:2" x14ac:dyDescent="0.25">
      <c r="A22586" s="118"/>
      <c r="B22586" s="136"/>
    </row>
    <row r="22587" spans="1:2" x14ac:dyDescent="0.25">
      <c r="A22587" s="118"/>
      <c r="B22587" s="136"/>
    </row>
    <row r="22588" spans="1:2" x14ac:dyDescent="0.25">
      <c r="A22588" s="118"/>
      <c r="B22588" s="136"/>
    </row>
    <row r="22589" spans="1:2" x14ac:dyDescent="0.25">
      <c r="A22589" s="118"/>
      <c r="B22589" s="136"/>
    </row>
    <row r="22590" spans="1:2" x14ac:dyDescent="0.25">
      <c r="A22590" s="118"/>
      <c r="B22590" s="136"/>
    </row>
    <row r="22591" spans="1:2" x14ac:dyDescent="0.25">
      <c r="A22591" s="118"/>
      <c r="B22591" s="136"/>
    </row>
    <row r="22592" spans="1:2" x14ac:dyDescent="0.25">
      <c r="A22592" s="118"/>
      <c r="B22592" s="136"/>
    </row>
    <row r="22593" spans="1:2" x14ac:dyDescent="0.25">
      <c r="A22593" s="118"/>
      <c r="B22593" s="136"/>
    </row>
    <row r="22594" spans="1:2" x14ac:dyDescent="0.25">
      <c r="A22594" s="118"/>
      <c r="B22594" s="136"/>
    </row>
    <row r="22595" spans="1:2" x14ac:dyDescent="0.25">
      <c r="A22595" s="118"/>
      <c r="B22595" s="136"/>
    </row>
    <row r="22596" spans="1:2" x14ac:dyDescent="0.25">
      <c r="A22596" s="118"/>
      <c r="B22596" s="136"/>
    </row>
    <row r="22597" spans="1:2" x14ac:dyDescent="0.25">
      <c r="A22597" s="118"/>
      <c r="B22597" s="136"/>
    </row>
    <row r="22598" spans="1:2" x14ac:dyDescent="0.25">
      <c r="A22598" s="118"/>
      <c r="B22598" s="136"/>
    </row>
    <row r="22599" spans="1:2" x14ac:dyDescent="0.25">
      <c r="A22599" s="118"/>
      <c r="B22599" s="136"/>
    </row>
    <row r="22600" spans="1:2" x14ac:dyDescent="0.25">
      <c r="A22600" s="118"/>
      <c r="B22600" s="136"/>
    </row>
    <row r="22601" spans="1:2" x14ac:dyDescent="0.25">
      <c r="A22601" s="118"/>
      <c r="B22601" s="136"/>
    </row>
    <row r="22602" spans="1:2" x14ac:dyDescent="0.25">
      <c r="A22602" s="118"/>
      <c r="B22602" s="136"/>
    </row>
    <row r="22603" spans="1:2" x14ac:dyDescent="0.25">
      <c r="A22603" s="118"/>
      <c r="B22603" s="136"/>
    </row>
    <row r="22604" spans="1:2" x14ac:dyDescent="0.25">
      <c r="A22604" s="118"/>
      <c r="B22604" s="136"/>
    </row>
    <row r="22605" spans="1:2" x14ac:dyDescent="0.25">
      <c r="A22605" s="118"/>
      <c r="B22605" s="136"/>
    </row>
    <row r="22606" spans="1:2" x14ac:dyDescent="0.25">
      <c r="A22606" s="118"/>
      <c r="B22606" s="136"/>
    </row>
    <row r="22607" spans="1:2" x14ac:dyDescent="0.25">
      <c r="A22607" s="118"/>
      <c r="B22607" s="136"/>
    </row>
    <row r="22608" spans="1:2" x14ac:dyDescent="0.25">
      <c r="A22608" s="118"/>
      <c r="B22608" s="136"/>
    </row>
    <row r="22609" spans="1:2" x14ac:dyDescent="0.25">
      <c r="A22609" s="118"/>
      <c r="B22609" s="136"/>
    </row>
    <row r="22610" spans="1:2" x14ac:dyDescent="0.25">
      <c r="A22610" s="118"/>
      <c r="B22610" s="136"/>
    </row>
    <row r="22611" spans="1:2" x14ac:dyDescent="0.25">
      <c r="A22611" s="118"/>
      <c r="B22611" s="136"/>
    </row>
    <row r="22612" spans="1:2" x14ac:dyDescent="0.25">
      <c r="A22612" s="118"/>
      <c r="B22612" s="136"/>
    </row>
    <row r="22613" spans="1:2" x14ac:dyDescent="0.25">
      <c r="A22613" s="118"/>
      <c r="B22613" s="136"/>
    </row>
    <row r="22614" spans="1:2" x14ac:dyDescent="0.25">
      <c r="A22614" s="118"/>
      <c r="B22614" s="136"/>
    </row>
    <row r="22615" spans="1:2" x14ac:dyDescent="0.25">
      <c r="A22615" s="118"/>
      <c r="B22615" s="136"/>
    </row>
    <row r="22616" spans="1:2" x14ac:dyDescent="0.25">
      <c r="A22616" s="118"/>
      <c r="B22616" s="136"/>
    </row>
    <row r="22617" spans="1:2" x14ac:dyDescent="0.25">
      <c r="A22617" s="118"/>
      <c r="B22617" s="136"/>
    </row>
    <row r="22618" spans="1:2" x14ac:dyDescent="0.25">
      <c r="A22618" s="118"/>
      <c r="B22618" s="136"/>
    </row>
    <row r="22619" spans="1:2" x14ac:dyDescent="0.25">
      <c r="A22619" s="118"/>
      <c r="B22619" s="136"/>
    </row>
    <row r="22620" spans="1:2" x14ac:dyDescent="0.25">
      <c r="A22620" s="118"/>
      <c r="B22620" s="136"/>
    </row>
    <row r="22621" spans="1:2" x14ac:dyDescent="0.25">
      <c r="A22621" s="118"/>
      <c r="B22621" s="136"/>
    </row>
    <row r="22622" spans="1:2" x14ac:dyDescent="0.25">
      <c r="A22622" s="118"/>
      <c r="B22622" s="136"/>
    </row>
    <row r="22623" spans="1:2" x14ac:dyDescent="0.25">
      <c r="A22623" s="118"/>
      <c r="B22623" s="136"/>
    </row>
    <row r="22624" spans="1:2" x14ac:dyDescent="0.25">
      <c r="A22624" s="118"/>
      <c r="B22624" s="136"/>
    </row>
    <row r="22625" spans="1:2" x14ac:dyDescent="0.25">
      <c r="A22625" s="118"/>
      <c r="B22625" s="136"/>
    </row>
    <row r="22626" spans="1:2" x14ac:dyDescent="0.25">
      <c r="A22626" s="118"/>
      <c r="B22626" s="136"/>
    </row>
    <row r="22627" spans="1:2" x14ac:dyDescent="0.25">
      <c r="A22627" s="118"/>
      <c r="B22627" s="136"/>
    </row>
    <row r="22628" spans="1:2" x14ac:dyDescent="0.25">
      <c r="A22628" s="118"/>
      <c r="B22628" s="136"/>
    </row>
    <row r="22629" spans="1:2" x14ac:dyDescent="0.25">
      <c r="A22629" s="118"/>
      <c r="B22629" s="136"/>
    </row>
    <row r="22630" spans="1:2" x14ac:dyDescent="0.25">
      <c r="A22630" s="118"/>
      <c r="B22630" s="136"/>
    </row>
    <row r="22631" spans="1:2" x14ac:dyDescent="0.25">
      <c r="A22631" s="118"/>
      <c r="B22631" s="136"/>
    </row>
    <row r="22632" spans="1:2" x14ac:dyDescent="0.25">
      <c r="A22632" s="118"/>
      <c r="B22632" s="136"/>
    </row>
    <row r="22633" spans="1:2" x14ac:dyDescent="0.25">
      <c r="A22633" s="118"/>
      <c r="B22633" s="136"/>
    </row>
    <row r="22634" spans="1:2" x14ac:dyDescent="0.25">
      <c r="A22634" s="118"/>
      <c r="B22634" s="136"/>
    </row>
    <row r="22635" spans="1:2" x14ac:dyDescent="0.25">
      <c r="A22635" s="118"/>
      <c r="B22635" s="136"/>
    </row>
    <row r="22636" spans="1:2" x14ac:dyDescent="0.25">
      <c r="A22636" s="118"/>
      <c r="B22636" s="136"/>
    </row>
    <row r="22637" spans="1:2" x14ac:dyDescent="0.25">
      <c r="A22637" s="118"/>
      <c r="B22637" s="136"/>
    </row>
    <row r="22638" spans="1:2" x14ac:dyDescent="0.25">
      <c r="A22638" s="118"/>
      <c r="B22638" s="136"/>
    </row>
    <row r="22639" spans="1:2" x14ac:dyDescent="0.25">
      <c r="A22639" s="118"/>
      <c r="B22639" s="136"/>
    </row>
    <row r="22640" spans="1:2" x14ac:dyDescent="0.25">
      <c r="A22640" s="118"/>
      <c r="B22640" s="136"/>
    </row>
    <row r="22641" spans="1:2" x14ac:dyDescent="0.25">
      <c r="A22641" s="118"/>
      <c r="B22641" s="136"/>
    </row>
    <row r="22642" spans="1:2" x14ac:dyDescent="0.25">
      <c r="A22642" s="118"/>
      <c r="B22642" s="136"/>
    </row>
    <row r="22643" spans="1:2" x14ac:dyDescent="0.25">
      <c r="A22643" s="118"/>
      <c r="B22643" s="136"/>
    </row>
    <row r="22644" spans="1:2" x14ac:dyDescent="0.25">
      <c r="A22644" s="118"/>
      <c r="B22644" s="136"/>
    </row>
    <row r="22645" spans="1:2" x14ac:dyDescent="0.25">
      <c r="A22645" s="118"/>
      <c r="B22645" s="136"/>
    </row>
    <row r="22646" spans="1:2" x14ac:dyDescent="0.25">
      <c r="A22646" s="118"/>
      <c r="B22646" s="136"/>
    </row>
    <row r="22647" spans="1:2" x14ac:dyDescent="0.25">
      <c r="A22647" s="118"/>
      <c r="B22647" s="136"/>
    </row>
    <row r="22648" spans="1:2" x14ac:dyDescent="0.25">
      <c r="A22648" s="118"/>
      <c r="B22648" s="136"/>
    </row>
    <row r="22649" spans="1:2" x14ac:dyDescent="0.25">
      <c r="A22649" s="118"/>
      <c r="B22649" s="136"/>
    </row>
    <row r="22650" spans="1:2" x14ac:dyDescent="0.25">
      <c r="A22650" s="118"/>
      <c r="B22650" s="136"/>
    </row>
    <row r="22651" spans="1:2" x14ac:dyDescent="0.25">
      <c r="A22651" s="118"/>
      <c r="B22651" s="136"/>
    </row>
    <row r="22652" spans="1:2" x14ac:dyDescent="0.25">
      <c r="A22652" s="118"/>
      <c r="B22652" s="136"/>
    </row>
    <row r="22653" spans="1:2" x14ac:dyDescent="0.25">
      <c r="A22653" s="118"/>
      <c r="B22653" s="136"/>
    </row>
    <row r="22654" spans="1:2" x14ac:dyDescent="0.25">
      <c r="A22654" s="118"/>
      <c r="B22654" s="136"/>
    </row>
    <row r="22655" spans="1:2" x14ac:dyDescent="0.25">
      <c r="A22655" s="118"/>
      <c r="B22655" s="136"/>
    </row>
    <row r="22656" spans="1:2" x14ac:dyDescent="0.25">
      <c r="A22656" s="118"/>
      <c r="B22656" s="136"/>
    </row>
    <row r="22657" spans="1:2" x14ac:dyDescent="0.25">
      <c r="A22657" s="118"/>
      <c r="B22657" s="136"/>
    </row>
    <row r="22658" spans="1:2" x14ac:dyDescent="0.25">
      <c r="A22658" s="118"/>
      <c r="B22658" s="136"/>
    </row>
    <row r="22659" spans="1:2" x14ac:dyDescent="0.25">
      <c r="A22659" s="118"/>
      <c r="B22659" s="136"/>
    </row>
    <row r="22660" spans="1:2" x14ac:dyDescent="0.25">
      <c r="A22660" s="118"/>
      <c r="B22660" s="136"/>
    </row>
    <row r="22661" spans="1:2" x14ac:dyDescent="0.25">
      <c r="A22661" s="118"/>
      <c r="B22661" s="136"/>
    </row>
    <row r="22662" spans="1:2" x14ac:dyDescent="0.25">
      <c r="A22662" s="118"/>
      <c r="B22662" s="136"/>
    </row>
    <row r="22663" spans="1:2" x14ac:dyDescent="0.25">
      <c r="A22663" s="118"/>
      <c r="B22663" s="136"/>
    </row>
    <row r="22664" spans="1:2" x14ac:dyDescent="0.25">
      <c r="A22664" s="118"/>
      <c r="B22664" s="136"/>
    </row>
    <row r="22665" spans="1:2" x14ac:dyDescent="0.25">
      <c r="A22665" s="118"/>
      <c r="B22665" s="136"/>
    </row>
    <row r="22666" spans="1:2" x14ac:dyDescent="0.25">
      <c r="A22666" s="118"/>
      <c r="B22666" s="136"/>
    </row>
    <row r="22667" spans="1:2" x14ac:dyDescent="0.25">
      <c r="A22667" s="118"/>
      <c r="B22667" s="136"/>
    </row>
    <row r="22668" spans="1:2" x14ac:dyDescent="0.25">
      <c r="A22668" s="118"/>
      <c r="B22668" s="136"/>
    </row>
    <row r="22669" spans="1:2" x14ac:dyDescent="0.25">
      <c r="A22669" s="118"/>
      <c r="B22669" s="136"/>
    </row>
    <row r="22670" spans="1:2" x14ac:dyDescent="0.25">
      <c r="A22670" s="118"/>
      <c r="B22670" s="136"/>
    </row>
    <row r="22671" spans="1:2" x14ac:dyDescent="0.25">
      <c r="A22671" s="118"/>
      <c r="B22671" s="136"/>
    </row>
    <row r="22672" spans="1:2" x14ac:dyDescent="0.25">
      <c r="A22672" s="118"/>
      <c r="B22672" s="136"/>
    </row>
    <row r="22673" spans="1:2" x14ac:dyDescent="0.25">
      <c r="A22673" s="118"/>
      <c r="B22673" s="136"/>
    </row>
    <row r="22674" spans="1:2" x14ac:dyDescent="0.25">
      <c r="A22674" s="118"/>
      <c r="B22674" s="136"/>
    </row>
    <row r="22675" spans="1:2" x14ac:dyDescent="0.25">
      <c r="A22675" s="118"/>
      <c r="B22675" s="136"/>
    </row>
    <row r="22676" spans="1:2" x14ac:dyDescent="0.25">
      <c r="A22676" s="118"/>
      <c r="B22676" s="136"/>
    </row>
    <row r="22677" spans="1:2" x14ac:dyDescent="0.25">
      <c r="A22677" s="118"/>
      <c r="B22677" s="136"/>
    </row>
    <row r="22678" spans="1:2" x14ac:dyDescent="0.25">
      <c r="A22678" s="118"/>
      <c r="B22678" s="136"/>
    </row>
    <row r="22679" spans="1:2" x14ac:dyDescent="0.25">
      <c r="A22679" s="118"/>
      <c r="B22679" s="136"/>
    </row>
    <row r="22680" spans="1:2" x14ac:dyDescent="0.25">
      <c r="A22680" s="118"/>
      <c r="B22680" s="136"/>
    </row>
    <row r="22681" spans="1:2" x14ac:dyDescent="0.25">
      <c r="A22681" s="118"/>
      <c r="B22681" s="136"/>
    </row>
    <row r="22682" spans="1:2" x14ac:dyDescent="0.25">
      <c r="A22682" s="118"/>
      <c r="B22682" s="136"/>
    </row>
    <row r="22683" spans="1:2" x14ac:dyDescent="0.25">
      <c r="A22683" s="118"/>
      <c r="B22683" s="136"/>
    </row>
    <row r="22684" spans="1:2" x14ac:dyDescent="0.25">
      <c r="A22684" s="118"/>
      <c r="B22684" s="136"/>
    </row>
    <row r="22685" spans="1:2" x14ac:dyDescent="0.25">
      <c r="A22685" s="118"/>
      <c r="B22685" s="136"/>
    </row>
    <row r="22686" spans="1:2" x14ac:dyDescent="0.25">
      <c r="A22686" s="118"/>
      <c r="B22686" s="136"/>
    </row>
    <row r="22687" spans="1:2" x14ac:dyDescent="0.25">
      <c r="A22687" s="118"/>
      <c r="B22687" s="136"/>
    </row>
    <row r="22688" spans="1:2" x14ac:dyDescent="0.25">
      <c r="A22688" s="118"/>
      <c r="B22688" s="136"/>
    </row>
    <row r="22689" spans="1:2" x14ac:dyDescent="0.25">
      <c r="A22689" s="118"/>
      <c r="B22689" s="136"/>
    </row>
    <row r="22690" spans="1:2" x14ac:dyDescent="0.25">
      <c r="A22690" s="118"/>
      <c r="B22690" s="136"/>
    </row>
    <row r="22691" spans="1:2" x14ac:dyDescent="0.25">
      <c r="A22691" s="118"/>
      <c r="B22691" s="136"/>
    </row>
    <row r="22692" spans="1:2" x14ac:dyDescent="0.25">
      <c r="A22692" s="118"/>
      <c r="B22692" s="136"/>
    </row>
    <row r="22693" spans="1:2" x14ac:dyDescent="0.25">
      <c r="A22693" s="118"/>
      <c r="B22693" s="136"/>
    </row>
    <row r="22694" spans="1:2" x14ac:dyDescent="0.25">
      <c r="A22694" s="118"/>
      <c r="B22694" s="136"/>
    </row>
    <row r="22695" spans="1:2" x14ac:dyDescent="0.25">
      <c r="A22695" s="118"/>
      <c r="B22695" s="136"/>
    </row>
    <row r="22696" spans="1:2" x14ac:dyDescent="0.25">
      <c r="A22696" s="118"/>
      <c r="B22696" s="136"/>
    </row>
    <row r="22697" spans="1:2" x14ac:dyDescent="0.25">
      <c r="A22697" s="118"/>
      <c r="B22697" s="136"/>
    </row>
    <row r="22698" spans="1:2" x14ac:dyDescent="0.25">
      <c r="A22698" s="118"/>
      <c r="B22698" s="136"/>
    </row>
    <row r="22699" spans="1:2" x14ac:dyDescent="0.25">
      <c r="A22699" s="118"/>
      <c r="B22699" s="136"/>
    </row>
    <row r="22700" spans="1:2" x14ac:dyDescent="0.25">
      <c r="A22700" s="118"/>
      <c r="B22700" s="136"/>
    </row>
    <row r="22701" spans="1:2" x14ac:dyDescent="0.25">
      <c r="A22701" s="118"/>
      <c r="B22701" s="136"/>
    </row>
    <row r="22702" spans="1:2" x14ac:dyDescent="0.25">
      <c r="A22702" s="118"/>
      <c r="B22702" s="136"/>
    </row>
    <row r="22703" spans="1:2" x14ac:dyDescent="0.25">
      <c r="A22703" s="118"/>
      <c r="B22703" s="136"/>
    </row>
    <row r="22704" spans="1:2" x14ac:dyDescent="0.25">
      <c r="A22704" s="118"/>
      <c r="B22704" s="136"/>
    </row>
    <row r="22705" spans="1:2" x14ac:dyDescent="0.25">
      <c r="A22705" s="118"/>
      <c r="B22705" s="136"/>
    </row>
    <row r="22706" spans="1:2" x14ac:dyDescent="0.25">
      <c r="A22706" s="118"/>
      <c r="B22706" s="136"/>
    </row>
    <row r="22707" spans="1:2" x14ac:dyDescent="0.25">
      <c r="A22707" s="118"/>
      <c r="B22707" s="136"/>
    </row>
    <row r="22708" spans="1:2" x14ac:dyDescent="0.25">
      <c r="A22708" s="118"/>
      <c r="B22708" s="136"/>
    </row>
    <row r="22709" spans="1:2" x14ac:dyDescent="0.25">
      <c r="A22709" s="118"/>
      <c r="B22709" s="136"/>
    </row>
    <row r="22710" spans="1:2" x14ac:dyDescent="0.25">
      <c r="A22710" s="118"/>
      <c r="B22710" s="136"/>
    </row>
    <row r="22711" spans="1:2" x14ac:dyDescent="0.25">
      <c r="A22711" s="118"/>
      <c r="B22711" s="136"/>
    </row>
    <row r="22712" spans="1:2" x14ac:dyDescent="0.25">
      <c r="A22712" s="118"/>
      <c r="B22712" s="136"/>
    </row>
    <row r="22713" spans="1:2" x14ac:dyDescent="0.25">
      <c r="A22713" s="118"/>
      <c r="B22713" s="136"/>
    </row>
    <row r="22714" spans="1:2" x14ac:dyDescent="0.25">
      <c r="A22714" s="118"/>
      <c r="B22714" s="136"/>
    </row>
    <row r="22715" spans="1:2" x14ac:dyDescent="0.25">
      <c r="A22715" s="118"/>
      <c r="B22715" s="136"/>
    </row>
    <row r="22716" spans="1:2" x14ac:dyDescent="0.25">
      <c r="A22716" s="118"/>
      <c r="B22716" s="136"/>
    </row>
    <row r="22717" spans="1:2" x14ac:dyDescent="0.25">
      <c r="A22717" s="118"/>
      <c r="B22717" s="136"/>
    </row>
    <row r="22718" spans="1:2" x14ac:dyDescent="0.25">
      <c r="A22718" s="118"/>
      <c r="B22718" s="136"/>
    </row>
    <row r="22719" spans="1:2" x14ac:dyDescent="0.25">
      <c r="A22719" s="118"/>
      <c r="B22719" s="136"/>
    </row>
    <row r="22720" spans="1:2" x14ac:dyDescent="0.25">
      <c r="A22720" s="118"/>
      <c r="B22720" s="136"/>
    </row>
    <row r="22721" spans="1:2" x14ac:dyDescent="0.25">
      <c r="A22721" s="118"/>
      <c r="B22721" s="136"/>
    </row>
    <row r="22722" spans="1:2" x14ac:dyDescent="0.25">
      <c r="A22722" s="118"/>
      <c r="B22722" s="136"/>
    </row>
    <row r="22723" spans="1:2" x14ac:dyDescent="0.25">
      <c r="A22723" s="118"/>
      <c r="B22723" s="136"/>
    </row>
    <row r="22724" spans="1:2" x14ac:dyDescent="0.25">
      <c r="A22724" s="118"/>
      <c r="B22724" s="136"/>
    </row>
    <row r="22725" spans="1:2" x14ac:dyDescent="0.25">
      <c r="A22725" s="118"/>
      <c r="B22725" s="136"/>
    </row>
    <row r="22726" spans="1:2" x14ac:dyDescent="0.25">
      <c r="A22726" s="118"/>
      <c r="B22726" s="136"/>
    </row>
    <row r="22727" spans="1:2" x14ac:dyDescent="0.25">
      <c r="A22727" s="118"/>
      <c r="B22727" s="136"/>
    </row>
    <row r="22728" spans="1:2" x14ac:dyDescent="0.25">
      <c r="A22728" s="118"/>
      <c r="B22728" s="136"/>
    </row>
    <row r="22729" spans="1:2" x14ac:dyDescent="0.25">
      <c r="A22729" s="118"/>
      <c r="B22729" s="136"/>
    </row>
    <row r="22730" spans="1:2" x14ac:dyDescent="0.25">
      <c r="A22730" s="118"/>
      <c r="B22730" s="136"/>
    </row>
    <row r="22731" spans="1:2" x14ac:dyDescent="0.25">
      <c r="A22731" s="118"/>
      <c r="B22731" s="136"/>
    </row>
    <row r="22732" spans="1:2" x14ac:dyDescent="0.25">
      <c r="A22732" s="118"/>
      <c r="B22732" s="136"/>
    </row>
    <row r="22733" spans="1:2" x14ac:dyDescent="0.25">
      <c r="A22733" s="118"/>
      <c r="B22733" s="136"/>
    </row>
    <row r="22734" spans="1:2" x14ac:dyDescent="0.25">
      <c r="A22734" s="118"/>
      <c r="B22734" s="136"/>
    </row>
    <row r="22735" spans="1:2" x14ac:dyDescent="0.25">
      <c r="A22735" s="118"/>
      <c r="B22735" s="136"/>
    </row>
    <row r="22736" spans="1:2" x14ac:dyDescent="0.25">
      <c r="A22736" s="118"/>
      <c r="B22736" s="136"/>
    </row>
    <row r="22737" spans="1:2" x14ac:dyDescent="0.25">
      <c r="A22737" s="118"/>
      <c r="B22737" s="136"/>
    </row>
    <row r="22738" spans="1:2" x14ac:dyDescent="0.25">
      <c r="A22738" s="118"/>
      <c r="B22738" s="136"/>
    </row>
    <row r="22739" spans="1:2" x14ac:dyDescent="0.25">
      <c r="A22739" s="118"/>
      <c r="B22739" s="136"/>
    </row>
    <row r="22740" spans="1:2" x14ac:dyDescent="0.25">
      <c r="A22740" s="118"/>
      <c r="B22740" s="136"/>
    </row>
    <row r="22741" spans="1:2" x14ac:dyDescent="0.25">
      <c r="A22741" s="118"/>
      <c r="B22741" s="136"/>
    </row>
    <row r="22742" spans="1:2" x14ac:dyDescent="0.25">
      <c r="A22742" s="118"/>
      <c r="B22742" s="136"/>
    </row>
    <row r="22743" spans="1:2" x14ac:dyDescent="0.25">
      <c r="A22743" s="118"/>
      <c r="B22743" s="136"/>
    </row>
    <row r="22744" spans="1:2" x14ac:dyDescent="0.25">
      <c r="A22744" s="118"/>
      <c r="B22744" s="136"/>
    </row>
    <row r="22745" spans="1:2" x14ac:dyDescent="0.25">
      <c r="A22745" s="118"/>
      <c r="B22745" s="136"/>
    </row>
    <row r="22746" spans="1:2" x14ac:dyDescent="0.25">
      <c r="A22746" s="118"/>
      <c r="B22746" s="136"/>
    </row>
    <row r="22747" spans="1:2" x14ac:dyDescent="0.25">
      <c r="A22747" s="118"/>
      <c r="B22747" s="136"/>
    </row>
    <row r="22748" spans="1:2" x14ac:dyDescent="0.25">
      <c r="A22748" s="118"/>
      <c r="B22748" s="136"/>
    </row>
    <row r="22749" spans="1:2" x14ac:dyDescent="0.25">
      <c r="A22749" s="118"/>
      <c r="B22749" s="136"/>
    </row>
    <row r="22750" spans="1:2" x14ac:dyDescent="0.25">
      <c r="A22750" s="118"/>
      <c r="B22750" s="136"/>
    </row>
    <row r="22751" spans="1:2" x14ac:dyDescent="0.25">
      <c r="A22751" s="118"/>
      <c r="B22751" s="136"/>
    </row>
    <row r="22752" spans="1:2" x14ac:dyDescent="0.25">
      <c r="A22752" s="118"/>
      <c r="B22752" s="136"/>
    </row>
    <row r="22753" spans="1:2" x14ac:dyDescent="0.25">
      <c r="A22753" s="118"/>
      <c r="B22753" s="136"/>
    </row>
    <row r="22754" spans="1:2" x14ac:dyDescent="0.25">
      <c r="A22754" s="118"/>
      <c r="B22754" s="136"/>
    </row>
    <row r="22755" spans="1:2" x14ac:dyDescent="0.25">
      <c r="A22755" s="118"/>
      <c r="B22755" s="136"/>
    </row>
    <row r="22756" spans="1:2" x14ac:dyDescent="0.25">
      <c r="A22756" s="118"/>
      <c r="B22756" s="136"/>
    </row>
    <row r="22757" spans="1:2" x14ac:dyDescent="0.25">
      <c r="A22757" s="118"/>
      <c r="B22757" s="136"/>
    </row>
    <row r="22758" spans="1:2" x14ac:dyDescent="0.25">
      <c r="A22758" s="118"/>
      <c r="B22758" s="136"/>
    </row>
    <row r="22759" spans="1:2" x14ac:dyDescent="0.25">
      <c r="A22759" s="118"/>
      <c r="B22759" s="136"/>
    </row>
    <row r="22760" spans="1:2" x14ac:dyDescent="0.25">
      <c r="A22760" s="118"/>
      <c r="B22760" s="136"/>
    </row>
    <row r="22761" spans="1:2" x14ac:dyDescent="0.25">
      <c r="A22761" s="118"/>
      <c r="B22761" s="136"/>
    </row>
    <row r="22762" spans="1:2" x14ac:dyDescent="0.25">
      <c r="A22762" s="118"/>
      <c r="B22762" s="136"/>
    </row>
    <row r="22763" spans="1:2" x14ac:dyDescent="0.25">
      <c r="A22763" s="118"/>
      <c r="B22763" s="136"/>
    </row>
    <row r="22764" spans="1:2" x14ac:dyDescent="0.25">
      <c r="A22764" s="118"/>
      <c r="B22764" s="136"/>
    </row>
    <row r="22765" spans="1:2" x14ac:dyDescent="0.25">
      <c r="A22765" s="118"/>
      <c r="B22765" s="136"/>
    </row>
    <row r="22766" spans="1:2" x14ac:dyDescent="0.25">
      <c r="A22766" s="118"/>
      <c r="B22766" s="136"/>
    </row>
    <row r="22767" spans="1:2" x14ac:dyDescent="0.25">
      <c r="A22767" s="118"/>
      <c r="B22767" s="136"/>
    </row>
    <row r="22768" spans="1:2" x14ac:dyDescent="0.25">
      <c r="A22768" s="118"/>
      <c r="B22768" s="136"/>
    </row>
    <row r="22769" spans="1:2" x14ac:dyDescent="0.25">
      <c r="A22769" s="118"/>
      <c r="B22769" s="136"/>
    </row>
    <row r="22770" spans="1:2" x14ac:dyDescent="0.25">
      <c r="A22770" s="118"/>
      <c r="B22770" s="136"/>
    </row>
    <row r="22771" spans="1:2" x14ac:dyDescent="0.25">
      <c r="A22771" s="118"/>
      <c r="B22771" s="136"/>
    </row>
    <row r="22772" spans="1:2" x14ac:dyDescent="0.25">
      <c r="A22772" s="118"/>
      <c r="B22772" s="136"/>
    </row>
    <row r="22773" spans="1:2" x14ac:dyDescent="0.25">
      <c r="A22773" s="118"/>
      <c r="B22773" s="136"/>
    </row>
    <row r="22774" spans="1:2" x14ac:dyDescent="0.25">
      <c r="A22774" s="118"/>
      <c r="B22774" s="136"/>
    </row>
    <row r="22775" spans="1:2" x14ac:dyDescent="0.25">
      <c r="A22775" s="118"/>
      <c r="B22775" s="136"/>
    </row>
    <row r="22776" spans="1:2" x14ac:dyDescent="0.25">
      <c r="A22776" s="118"/>
      <c r="B22776" s="136"/>
    </row>
    <row r="22777" spans="1:2" x14ac:dyDescent="0.25">
      <c r="A22777" s="118"/>
      <c r="B22777" s="136"/>
    </row>
    <row r="22778" spans="1:2" x14ac:dyDescent="0.25">
      <c r="A22778" s="118"/>
      <c r="B22778" s="136"/>
    </row>
    <row r="22779" spans="1:2" x14ac:dyDescent="0.25">
      <c r="A22779" s="118"/>
      <c r="B22779" s="136"/>
    </row>
    <row r="22780" spans="1:2" x14ac:dyDescent="0.25">
      <c r="A22780" s="118"/>
      <c r="B22780" s="136"/>
    </row>
    <row r="22781" spans="1:2" x14ac:dyDescent="0.25">
      <c r="A22781" s="118"/>
      <c r="B22781" s="136"/>
    </row>
    <row r="22782" spans="1:2" x14ac:dyDescent="0.25">
      <c r="A22782" s="118"/>
      <c r="B22782" s="136"/>
    </row>
    <row r="22783" spans="1:2" x14ac:dyDescent="0.25">
      <c r="A22783" s="118"/>
      <c r="B22783" s="136"/>
    </row>
    <row r="22784" spans="1:2" x14ac:dyDescent="0.25">
      <c r="A22784" s="118"/>
      <c r="B22784" s="136"/>
    </row>
    <row r="22785" spans="1:2" x14ac:dyDescent="0.25">
      <c r="A22785" s="118"/>
      <c r="B22785" s="136"/>
    </row>
    <row r="22786" spans="1:2" x14ac:dyDescent="0.25">
      <c r="A22786" s="118"/>
      <c r="B22786" s="136"/>
    </row>
    <row r="22787" spans="1:2" x14ac:dyDescent="0.25">
      <c r="A22787" s="118"/>
      <c r="B22787" s="136"/>
    </row>
    <row r="22788" spans="1:2" x14ac:dyDescent="0.25">
      <c r="A22788" s="118"/>
      <c r="B22788" s="136"/>
    </row>
    <row r="22789" spans="1:2" x14ac:dyDescent="0.25">
      <c r="A22789" s="118"/>
      <c r="B22789" s="136"/>
    </row>
    <row r="22790" spans="1:2" x14ac:dyDescent="0.25">
      <c r="A22790" s="118"/>
      <c r="B22790" s="136"/>
    </row>
    <row r="22791" spans="1:2" x14ac:dyDescent="0.25">
      <c r="A22791" s="118"/>
      <c r="B22791" s="136"/>
    </row>
    <row r="22792" spans="1:2" x14ac:dyDescent="0.25">
      <c r="A22792" s="118"/>
      <c r="B22792" s="136"/>
    </row>
    <row r="22793" spans="1:2" x14ac:dyDescent="0.25">
      <c r="A22793" s="118"/>
      <c r="B22793" s="136"/>
    </row>
    <row r="22794" spans="1:2" x14ac:dyDescent="0.25">
      <c r="A22794" s="118"/>
      <c r="B22794" s="136"/>
    </row>
    <row r="22795" spans="1:2" x14ac:dyDescent="0.25">
      <c r="A22795" s="118"/>
      <c r="B22795" s="136"/>
    </row>
    <row r="22796" spans="1:2" x14ac:dyDescent="0.25">
      <c r="A22796" s="118"/>
      <c r="B22796" s="136"/>
    </row>
    <row r="22797" spans="1:2" x14ac:dyDescent="0.25">
      <c r="A22797" s="118"/>
      <c r="B22797" s="136"/>
    </row>
    <row r="22798" spans="1:2" x14ac:dyDescent="0.25">
      <c r="A22798" s="118"/>
      <c r="B22798" s="136"/>
    </row>
    <row r="22799" spans="1:2" x14ac:dyDescent="0.25">
      <c r="A22799" s="118"/>
      <c r="B22799" s="136"/>
    </row>
    <row r="22800" spans="1:2" x14ac:dyDescent="0.25">
      <c r="A22800" s="118"/>
      <c r="B22800" s="136"/>
    </row>
    <row r="22801" spans="1:2" x14ac:dyDescent="0.25">
      <c r="A22801" s="118"/>
      <c r="B22801" s="136"/>
    </row>
    <row r="22802" spans="1:2" x14ac:dyDescent="0.25">
      <c r="A22802" s="118"/>
      <c r="B22802" s="136"/>
    </row>
    <row r="22803" spans="1:2" x14ac:dyDescent="0.25">
      <c r="A22803" s="118"/>
      <c r="B22803" s="136"/>
    </row>
    <row r="22804" spans="1:2" x14ac:dyDescent="0.25">
      <c r="A22804" s="118"/>
      <c r="B22804" s="136"/>
    </row>
    <row r="22805" spans="1:2" x14ac:dyDescent="0.25">
      <c r="A22805" s="118"/>
      <c r="B22805" s="136"/>
    </row>
    <row r="22806" spans="1:2" x14ac:dyDescent="0.25">
      <c r="A22806" s="118"/>
      <c r="B22806" s="136"/>
    </row>
    <row r="22807" spans="1:2" x14ac:dyDescent="0.25">
      <c r="A22807" s="118"/>
      <c r="B22807" s="136"/>
    </row>
    <row r="22808" spans="1:2" x14ac:dyDescent="0.25">
      <c r="A22808" s="118"/>
      <c r="B22808" s="136"/>
    </row>
    <row r="22809" spans="1:2" x14ac:dyDescent="0.25">
      <c r="A22809" s="118"/>
      <c r="B22809" s="136"/>
    </row>
    <row r="22810" spans="1:2" x14ac:dyDescent="0.25">
      <c r="A22810" s="118"/>
      <c r="B22810" s="136"/>
    </row>
    <row r="22811" spans="1:2" x14ac:dyDescent="0.25">
      <c r="A22811" s="118"/>
      <c r="B22811" s="136"/>
    </row>
    <row r="22812" spans="1:2" x14ac:dyDescent="0.25">
      <c r="A22812" s="118"/>
      <c r="B22812" s="136"/>
    </row>
    <row r="22813" spans="1:2" x14ac:dyDescent="0.25">
      <c r="A22813" s="118"/>
      <c r="B22813" s="136"/>
    </row>
    <row r="22814" spans="1:2" x14ac:dyDescent="0.25">
      <c r="A22814" s="118"/>
      <c r="B22814" s="136"/>
    </row>
    <row r="22815" spans="1:2" x14ac:dyDescent="0.25">
      <c r="A22815" s="118"/>
      <c r="B22815" s="136"/>
    </row>
    <row r="22816" spans="1:2" x14ac:dyDescent="0.25">
      <c r="A22816" s="118"/>
      <c r="B22816" s="136"/>
    </row>
    <row r="22817" spans="1:2" x14ac:dyDescent="0.25">
      <c r="A22817" s="118"/>
      <c r="B22817" s="136"/>
    </row>
    <row r="22818" spans="1:2" x14ac:dyDescent="0.25">
      <c r="A22818" s="118"/>
      <c r="B22818" s="136"/>
    </row>
    <row r="22819" spans="1:2" x14ac:dyDescent="0.25">
      <c r="A22819" s="118"/>
      <c r="B22819" s="136"/>
    </row>
    <row r="22820" spans="1:2" x14ac:dyDescent="0.25">
      <c r="A22820" s="118"/>
      <c r="B22820" s="136"/>
    </row>
    <row r="22821" spans="1:2" x14ac:dyDescent="0.25">
      <c r="A22821" s="118"/>
      <c r="B22821" s="136"/>
    </row>
    <row r="22822" spans="1:2" x14ac:dyDescent="0.25">
      <c r="A22822" s="118"/>
      <c r="B22822" s="136"/>
    </row>
    <row r="22823" spans="1:2" x14ac:dyDescent="0.25">
      <c r="A22823" s="118"/>
      <c r="B22823" s="136"/>
    </row>
    <row r="22824" spans="1:2" x14ac:dyDescent="0.25">
      <c r="A22824" s="118"/>
      <c r="B22824" s="136"/>
    </row>
    <row r="22825" spans="1:2" x14ac:dyDescent="0.25">
      <c r="A22825" s="118"/>
      <c r="B22825" s="136"/>
    </row>
    <row r="22826" spans="1:2" x14ac:dyDescent="0.25">
      <c r="A22826" s="118"/>
      <c r="B22826" s="136"/>
    </row>
    <row r="22827" spans="1:2" x14ac:dyDescent="0.25">
      <c r="A22827" s="118"/>
      <c r="B22827" s="136"/>
    </row>
    <row r="22828" spans="1:2" x14ac:dyDescent="0.25">
      <c r="A22828" s="118"/>
      <c r="B22828" s="136"/>
    </row>
    <row r="22829" spans="1:2" x14ac:dyDescent="0.25">
      <c r="A22829" s="118"/>
      <c r="B22829" s="136"/>
    </row>
    <row r="22830" spans="1:2" x14ac:dyDescent="0.25">
      <c r="A22830" s="118"/>
      <c r="B22830" s="136"/>
    </row>
    <row r="22831" spans="1:2" x14ac:dyDescent="0.25">
      <c r="A22831" s="118"/>
      <c r="B22831" s="136"/>
    </row>
    <row r="22832" spans="1:2" x14ac:dyDescent="0.25">
      <c r="A22832" s="118"/>
      <c r="B22832" s="136"/>
    </row>
    <row r="22833" spans="1:2" x14ac:dyDescent="0.25">
      <c r="A22833" s="118"/>
      <c r="B22833" s="136"/>
    </row>
    <row r="22834" spans="1:2" x14ac:dyDescent="0.25">
      <c r="A22834" s="118"/>
      <c r="B22834" s="136"/>
    </row>
    <row r="22835" spans="1:2" x14ac:dyDescent="0.25">
      <c r="A22835" s="118"/>
      <c r="B22835" s="136"/>
    </row>
    <row r="22836" spans="1:2" x14ac:dyDescent="0.25">
      <c r="A22836" s="118"/>
      <c r="B22836" s="136"/>
    </row>
    <row r="22837" spans="1:2" x14ac:dyDescent="0.25">
      <c r="A22837" s="118"/>
      <c r="B22837" s="136"/>
    </row>
    <row r="22838" spans="1:2" x14ac:dyDescent="0.25">
      <c r="A22838" s="118"/>
      <c r="B22838" s="136"/>
    </row>
    <row r="22839" spans="1:2" x14ac:dyDescent="0.25">
      <c r="A22839" s="118"/>
      <c r="B22839" s="136"/>
    </row>
    <row r="22840" spans="1:2" x14ac:dyDescent="0.25">
      <c r="A22840" s="118"/>
      <c r="B22840" s="136"/>
    </row>
    <row r="22841" spans="1:2" x14ac:dyDescent="0.25">
      <c r="A22841" s="118"/>
      <c r="B22841" s="136"/>
    </row>
    <row r="22842" spans="1:2" x14ac:dyDescent="0.25">
      <c r="A22842" s="118"/>
      <c r="B22842" s="136"/>
    </row>
    <row r="22843" spans="1:2" x14ac:dyDescent="0.25">
      <c r="A22843" s="118"/>
      <c r="B22843" s="136"/>
    </row>
    <row r="22844" spans="1:2" x14ac:dyDescent="0.25">
      <c r="A22844" s="118"/>
      <c r="B22844" s="136"/>
    </row>
    <row r="22845" spans="1:2" x14ac:dyDescent="0.25">
      <c r="A22845" s="118"/>
      <c r="B22845" s="136"/>
    </row>
    <row r="22846" spans="1:2" x14ac:dyDescent="0.25">
      <c r="A22846" s="118"/>
      <c r="B22846" s="136"/>
    </row>
    <row r="22847" spans="1:2" x14ac:dyDescent="0.25">
      <c r="A22847" s="118"/>
      <c r="B22847" s="136"/>
    </row>
    <row r="22848" spans="1:2" x14ac:dyDescent="0.25">
      <c r="A22848" s="118"/>
      <c r="B22848" s="136"/>
    </row>
    <row r="22849" spans="1:2" x14ac:dyDescent="0.25">
      <c r="A22849" s="118"/>
      <c r="B22849" s="136"/>
    </row>
    <row r="22850" spans="1:2" x14ac:dyDescent="0.25">
      <c r="A22850" s="118"/>
      <c r="B22850" s="136"/>
    </row>
    <row r="22851" spans="1:2" x14ac:dyDescent="0.25">
      <c r="A22851" s="118"/>
      <c r="B22851" s="136"/>
    </row>
    <row r="22852" spans="1:2" x14ac:dyDescent="0.25">
      <c r="A22852" s="118"/>
      <c r="B22852" s="136"/>
    </row>
    <row r="22853" spans="1:2" x14ac:dyDescent="0.25">
      <c r="A22853" s="118"/>
      <c r="B22853" s="136"/>
    </row>
    <row r="22854" spans="1:2" x14ac:dyDescent="0.25">
      <c r="A22854" s="118"/>
      <c r="B22854" s="136"/>
    </row>
    <row r="22855" spans="1:2" x14ac:dyDescent="0.25">
      <c r="A22855" s="118"/>
      <c r="B22855" s="136"/>
    </row>
    <row r="22856" spans="1:2" x14ac:dyDescent="0.25">
      <c r="A22856" s="118"/>
      <c r="B22856" s="136"/>
    </row>
    <row r="22857" spans="1:2" x14ac:dyDescent="0.25">
      <c r="A22857" s="118"/>
      <c r="B22857" s="136"/>
    </row>
    <row r="22858" spans="1:2" x14ac:dyDescent="0.25">
      <c r="A22858" s="118"/>
      <c r="B22858" s="136"/>
    </row>
    <row r="22859" spans="1:2" x14ac:dyDescent="0.25">
      <c r="A22859" s="118"/>
      <c r="B22859" s="136"/>
    </row>
    <row r="22860" spans="1:2" x14ac:dyDescent="0.25">
      <c r="A22860" s="118"/>
      <c r="B22860" s="136"/>
    </row>
    <row r="22861" spans="1:2" x14ac:dyDescent="0.25">
      <c r="A22861" s="118"/>
      <c r="B22861" s="136"/>
    </row>
    <row r="22862" spans="1:2" x14ac:dyDescent="0.25">
      <c r="A22862" s="118"/>
      <c r="B22862" s="136"/>
    </row>
    <row r="22863" spans="1:2" x14ac:dyDescent="0.25">
      <c r="A22863" s="118"/>
      <c r="B22863" s="136"/>
    </row>
    <row r="22864" spans="1:2" x14ac:dyDescent="0.25">
      <c r="A22864" s="118"/>
      <c r="B22864" s="136"/>
    </row>
    <row r="22865" spans="1:2" x14ac:dyDescent="0.25">
      <c r="A22865" s="118"/>
      <c r="B22865" s="136"/>
    </row>
    <row r="22866" spans="1:2" x14ac:dyDescent="0.25">
      <c r="A22866" s="118"/>
      <c r="B22866" s="136"/>
    </row>
    <row r="22867" spans="1:2" x14ac:dyDescent="0.25">
      <c r="A22867" s="118"/>
      <c r="B22867" s="136"/>
    </row>
    <row r="22868" spans="1:2" x14ac:dyDescent="0.25">
      <c r="A22868" s="118"/>
      <c r="B22868" s="136"/>
    </row>
    <row r="22869" spans="1:2" x14ac:dyDescent="0.25">
      <c r="A22869" s="118"/>
      <c r="B22869" s="136"/>
    </row>
    <row r="22870" spans="1:2" x14ac:dyDescent="0.25">
      <c r="A22870" s="118"/>
      <c r="B22870" s="136"/>
    </row>
    <row r="22871" spans="1:2" x14ac:dyDescent="0.25">
      <c r="A22871" s="118"/>
      <c r="B22871" s="136"/>
    </row>
    <row r="22872" spans="1:2" x14ac:dyDescent="0.25">
      <c r="A22872" s="118"/>
      <c r="B22872" s="136"/>
    </row>
    <row r="22873" spans="1:2" x14ac:dyDescent="0.25">
      <c r="A22873" s="118"/>
      <c r="B22873" s="136"/>
    </row>
    <row r="22874" spans="1:2" x14ac:dyDescent="0.25">
      <c r="A22874" s="118"/>
      <c r="B22874" s="136"/>
    </row>
    <row r="22875" spans="1:2" x14ac:dyDescent="0.25">
      <c r="A22875" s="118"/>
      <c r="B22875" s="136"/>
    </row>
    <row r="22876" spans="1:2" x14ac:dyDescent="0.25">
      <c r="A22876" s="118"/>
      <c r="B22876" s="136"/>
    </row>
    <row r="22877" spans="1:2" x14ac:dyDescent="0.25">
      <c r="A22877" s="118"/>
      <c r="B22877" s="136"/>
    </row>
    <row r="22878" spans="1:2" x14ac:dyDescent="0.25">
      <c r="A22878" s="118"/>
      <c r="B22878" s="136"/>
    </row>
    <row r="22879" spans="1:2" x14ac:dyDescent="0.25">
      <c r="A22879" s="118"/>
      <c r="B22879" s="136"/>
    </row>
    <row r="22880" spans="1:2" x14ac:dyDescent="0.25">
      <c r="A22880" s="118"/>
      <c r="B22880" s="136"/>
    </row>
    <row r="22881" spans="1:2" x14ac:dyDescent="0.25">
      <c r="A22881" s="118"/>
      <c r="B22881" s="136"/>
    </row>
    <row r="22882" spans="1:2" x14ac:dyDescent="0.25">
      <c r="A22882" s="118"/>
      <c r="B22882" s="136"/>
    </row>
    <row r="22883" spans="1:2" x14ac:dyDescent="0.25">
      <c r="A22883" s="118"/>
      <c r="B22883" s="136"/>
    </row>
    <row r="22884" spans="1:2" x14ac:dyDescent="0.25">
      <c r="A22884" s="118"/>
      <c r="B22884" s="136"/>
    </row>
    <row r="22885" spans="1:2" x14ac:dyDescent="0.25">
      <c r="A22885" s="118"/>
      <c r="B22885" s="136"/>
    </row>
    <row r="22886" spans="1:2" x14ac:dyDescent="0.25">
      <c r="A22886" s="118"/>
      <c r="B22886" s="136"/>
    </row>
    <row r="22887" spans="1:2" x14ac:dyDescent="0.25">
      <c r="A22887" s="118"/>
      <c r="B22887" s="136"/>
    </row>
    <row r="22888" spans="1:2" x14ac:dyDescent="0.25">
      <c r="A22888" s="118"/>
      <c r="B22888" s="136"/>
    </row>
    <row r="22889" spans="1:2" x14ac:dyDescent="0.25">
      <c r="A22889" s="118"/>
      <c r="B22889" s="136"/>
    </row>
    <row r="22890" spans="1:2" x14ac:dyDescent="0.25">
      <c r="A22890" s="118"/>
      <c r="B22890" s="136"/>
    </row>
    <row r="22891" spans="1:2" x14ac:dyDescent="0.25">
      <c r="A22891" s="118"/>
      <c r="B22891" s="136"/>
    </row>
    <row r="22892" spans="1:2" x14ac:dyDescent="0.25">
      <c r="A22892" s="118"/>
      <c r="B22892" s="136"/>
    </row>
    <row r="22893" spans="1:2" x14ac:dyDescent="0.25">
      <c r="A22893" s="118"/>
      <c r="B22893" s="136"/>
    </row>
    <row r="22894" spans="1:2" x14ac:dyDescent="0.25">
      <c r="A22894" s="118"/>
      <c r="B22894" s="136"/>
    </row>
    <row r="22895" spans="1:2" x14ac:dyDescent="0.25">
      <c r="A22895" s="118"/>
      <c r="B22895" s="136"/>
    </row>
    <row r="22896" spans="1:2" x14ac:dyDescent="0.25">
      <c r="A22896" s="118"/>
      <c r="B22896" s="136"/>
    </row>
    <row r="22897" spans="1:2" x14ac:dyDescent="0.25">
      <c r="A22897" s="118"/>
      <c r="B22897" s="136"/>
    </row>
    <row r="22898" spans="1:2" x14ac:dyDescent="0.25">
      <c r="A22898" s="118"/>
      <c r="B22898" s="136"/>
    </row>
    <row r="22899" spans="1:2" x14ac:dyDescent="0.25">
      <c r="A22899" s="118"/>
      <c r="B22899" s="136"/>
    </row>
    <row r="22900" spans="1:2" x14ac:dyDescent="0.25">
      <c r="A22900" s="118"/>
      <c r="B22900" s="136"/>
    </row>
    <row r="22901" spans="1:2" x14ac:dyDescent="0.25">
      <c r="A22901" s="118"/>
      <c r="B22901" s="136"/>
    </row>
    <row r="22902" spans="1:2" x14ac:dyDescent="0.25">
      <c r="A22902" s="118"/>
      <c r="B22902" s="136"/>
    </row>
    <row r="22903" spans="1:2" x14ac:dyDescent="0.25">
      <c r="A22903" s="118"/>
      <c r="B22903" s="136"/>
    </row>
    <row r="22904" spans="1:2" x14ac:dyDescent="0.25">
      <c r="A22904" s="118"/>
      <c r="B22904" s="136"/>
    </row>
    <row r="22905" spans="1:2" x14ac:dyDescent="0.25">
      <c r="A22905" s="118"/>
      <c r="B22905" s="136"/>
    </row>
    <row r="22906" spans="1:2" x14ac:dyDescent="0.25">
      <c r="A22906" s="118"/>
      <c r="B22906" s="136"/>
    </row>
    <row r="22907" spans="1:2" x14ac:dyDescent="0.25">
      <c r="A22907" s="118"/>
      <c r="B22907" s="136"/>
    </row>
    <row r="22908" spans="1:2" x14ac:dyDescent="0.25">
      <c r="A22908" s="118"/>
      <c r="B22908" s="136"/>
    </row>
    <row r="22909" spans="1:2" x14ac:dyDescent="0.25">
      <c r="A22909" s="118"/>
      <c r="B22909" s="136"/>
    </row>
    <row r="22910" spans="1:2" x14ac:dyDescent="0.25">
      <c r="A22910" s="118"/>
      <c r="B22910" s="136"/>
    </row>
    <row r="22911" spans="1:2" x14ac:dyDescent="0.25">
      <c r="A22911" s="118"/>
      <c r="B22911" s="136"/>
    </row>
    <row r="22912" spans="1:2" x14ac:dyDescent="0.25">
      <c r="A22912" s="118"/>
      <c r="B22912" s="136"/>
    </row>
    <row r="22913" spans="1:2" x14ac:dyDescent="0.25">
      <c r="A22913" s="118"/>
      <c r="B22913" s="136"/>
    </row>
    <row r="22914" spans="1:2" x14ac:dyDescent="0.25">
      <c r="A22914" s="118"/>
      <c r="B22914" s="136"/>
    </row>
    <row r="22915" spans="1:2" x14ac:dyDescent="0.25">
      <c r="A22915" s="118"/>
      <c r="B22915" s="136"/>
    </row>
    <row r="22916" spans="1:2" x14ac:dyDescent="0.25">
      <c r="A22916" s="118"/>
      <c r="B22916" s="136"/>
    </row>
    <row r="22917" spans="1:2" x14ac:dyDescent="0.25">
      <c r="A22917" s="118"/>
      <c r="B22917" s="136"/>
    </row>
    <row r="22918" spans="1:2" x14ac:dyDescent="0.25">
      <c r="A22918" s="118"/>
      <c r="B22918" s="136"/>
    </row>
    <row r="22919" spans="1:2" x14ac:dyDescent="0.25">
      <c r="A22919" s="118"/>
      <c r="B22919" s="136"/>
    </row>
    <row r="22920" spans="1:2" x14ac:dyDescent="0.25">
      <c r="A22920" s="118"/>
      <c r="B22920" s="136"/>
    </row>
    <row r="22921" spans="1:2" x14ac:dyDescent="0.25">
      <c r="A22921" s="118"/>
      <c r="B22921" s="136"/>
    </row>
    <row r="22922" spans="1:2" x14ac:dyDescent="0.25">
      <c r="A22922" s="118"/>
      <c r="B22922" s="136"/>
    </row>
    <row r="22923" spans="1:2" x14ac:dyDescent="0.25">
      <c r="A22923" s="118"/>
      <c r="B22923" s="136"/>
    </row>
    <row r="22924" spans="1:2" x14ac:dyDescent="0.25">
      <c r="A22924" s="118"/>
      <c r="B22924" s="136"/>
    </row>
    <row r="22925" spans="1:2" x14ac:dyDescent="0.25">
      <c r="A22925" s="118"/>
      <c r="B22925" s="136"/>
    </row>
    <row r="22926" spans="1:2" x14ac:dyDescent="0.25">
      <c r="A22926" s="118"/>
      <c r="B22926" s="136"/>
    </row>
    <row r="22927" spans="1:2" x14ac:dyDescent="0.25">
      <c r="A22927" s="118"/>
      <c r="B22927" s="136"/>
    </row>
    <row r="22928" spans="1:2" x14ac:dyDescent="0.25">
      <c r="A22928" s="118"/>
      <c r="B22928" s="136"/>
    </row>
    <row r="22929" spans="1:2" x14ac:dyDescent="0.25">
      <c r="A22929" s="118"/>
      <c r="B22929" s="136"/>
    </row>
    <row r="22930" spans="1:2" x14ac:dyDescent="0.25">
      <c r="A22930" s="118"/>
      <c r="B22930" s="136"/>
    </row>
    <row r="22931" spans="1:2" x14ac:dyDescent="0.25">
      <c r="A22931" s="118"/>
      <c r="B22931" s="136"/>
    </row>
    <row r="22932" spans="1:2" x14ac:dyDescent="0.25">
      <c r="A22932" s="118"/>
      <c r="B22932" s="136"/>
    </row>
    <row r="22933" spans="1:2" x14ac:dyDescent="0.25">
      <c r="A22933" s="118"/>
      <c r="B22933" s="136"/>
    </row>
    <row r="22934" spans="1:2" x14ac:dyDescent="0.25">
      <c r="A22934" s="118"/>
      <c r="B22934" s="136"/>
    </row>
    <row r="22935" spans="1:2" x14ac:dyDescent="0.25">
      <c r="A22935" s="118"/>
      <c r="B22935" s="136"/>
    </row>
    <row r="22936" spans="1:2" x14ac:dyDescent="0.25">
      <c r="A22936" s="118"/>
      <c r="B22936" s="136"/>
    </row>
    <row r="22937" spans="1:2" x14ac:dyDescent="0.25">
      <c r="A22937" s="118"/>
      <c r="B22937" s="136"/>
    </row>
    <row r="22938" spans="1:2" x14ac:dyDescent="0.25">
      <c r="A22938" s="118"/>
      <c r="B22938" s="136"/>
    </row>
    <row r="22939" spans="1:2" x14ac:dyDescent="0.25">
      <c r="A22939" s="118"/>
      <c r="B22939" s="136"/>
    </row>
    <row r="22940" spans="1:2" x14ac:dyDescent="0.25">
      <c r="A22940" s="118"/>
      <c r="B22940" s="136"/>
    </row>
    <row r="22941" spans="1:2" x14ac:dyDescent="0.25">
      <c r="A22941" s="118"/>
      <c r="B22941" s="136"/>
    </row>
    <row r="22942" spans="1:2" x14ac:dyDescent="0.25">
      <c r="A22942" s="118"/>
      <c r="B22942" s="136"/>
    </row>
    <row r="22943" spans="1:2" x14ac:dyDescent="0.25">
      <c r="A22943" s="118"/>
      <c r="B22943" s="136"/>
    </row>
    <row r="22944" spans="1:2" x14ac:dyDescent="0.25">
      <c r="A22944" s="118"/>
      <c r="B22944" s="136"/>
    </row>
    <row r="22945" spans="1:2" x14ac:dyDescent="0.25">
      <c r="A22945" s="118"/>
      <c r="B22945" s="136"/>
    </row>
    <row r="22946" spans="1:2" x14ac:dyDescent="0.25">
      <c r="A22946" s="118"/>
      <c r="B22946" s="136"/>
    </row>
    <row r="22947" spans="1:2" x14ac:dyDescent="0.25">
      <c r="A22947" s="118"/>
      <c r="B22947" s="136"/>
    </row>
    <row r="22948" spans="1:2" x14ac:dyDescent="0.25">
      <c r="A22948" s="118"/>
      <c r="B22948" s="136"/>
    </row>
    <row r="22949" spans="1:2" x14ac:dyDescent="0.25">
      <c r="A22949" s="118"/>
      <c r="B22949" s="136"/>
    </row>
    <row r="22950" spans="1:2" x14ac:dyDescent="0.25">
      <c r="A22950" s="118"/>
      <c r="B22950" s="136"/>
    </row>
    <row r="22951" spans="1:2" x14ac:dyDescent="0.25">
      <c r="A22951" s="118"/>
      <c r="B22951" s="136"/>
    </row>
    <row r="22952" spans="1:2" x14ac:dyDescent="0.25">
      <c r="A22952" s="118"/>
      <c r="B22952" s="136"/>
    </row>
    <row r="22953" spans="1:2" x14ac:dyDescent="0.25">
      <c r="A22953" s="118"/>
      <c r="B22953" s="136"/>
    </row>
    <row r="22954" spans="1:2" x14ac:dyDescent="0.25">
      <c r="A22954" s="118"/>
      <c r="B22954" s="136"/>
    </row>
    <row r="22955" spans="1:2" x14ac:dyDescent="0.25">
      <c r="A22955" s="118"/>
      <c r="B22955" s="136"/>
    </row>
    <row r="22956" spans="1:2" x14ac:dyDescent="0.25">
      <c r="A22956" s="118"/>
      <c r="B22956" s="136"/>
    </row>
    <row r="22957" spans="1:2" x14ac:dyDescent="0.25">
      <c r="A22957" s="118"/>
      <c r="B22957" s="136"/>
    </row>
    <row r="22958" spans="1:2" x14ac:dyDescent="0.25">
      <c r="A22958" s="118"/>
      <c r="B22958" s="136"/>
    </row>
    <row r="22959" spans="1:2" x14ac:dyDescent="0.25">
      <c r="A22959" s="118"/>
      <c r="B22959" s="136"/>
    </row>
    <row r="22960" spans="1:2" x14ac:dyDescent="0.25">
      <c r="A22960" s="118"/>
      <c r="B22960" s="136"/>
    </row>
    <row r="22961" spans="1:2" x14ac:dyDescent="0.25">
      <c r="A22961" s="118"/>
      <c r="B22961" s="136"/>
    </row>
    <row r="22962" spans="1:2" x14ac:dyDescent="0.25">
      <c r="A22962" s="118"/>
      <c r="B22962" s="136"/>
    </row>
    <row r="22963" spans="1:2" x14ac:dyDescent="0.25">
      <c r="A22963" s="118"/>
      <c r="B22963" s="136"/>
    </row>
    <row r="22964" spans="1:2" x14ac:dyDescent="0.25">
      <c r="A22964" s="118"/>
      <c r="B22964" s="136"/>
    </row>
    <row r="22965" spans="1:2" x14ac:dyDescent="0.25">
      <c r="A22965" s="118"/>
      <c r="B22965" s="136"/>
    </row>
    <row r="22966" spans="1:2" x14ac:dyDescent="0.25">
      <c r="A22966" s="118"/>
      <c r="B22966" s="136"/>
    </row>
    <row r="22967" spans="1:2" x14ac:dyDescent="0.25">
      <c r="A22967" s="118"/>
      <c r="B22967" s="136"/>
    </row>
    <row r="22968" spans="1:2" x14ac:dyDescent="0.25">
      <c r="A22968" s="118"/>
      <c r="B22968" s="136"/>
    </row>
    <row r="22969" spans="1:2" x14ac:dyDescent="0.25">
      <c r="A22969" s="118"/>
      <c r="B22969" s="136"/>
    </row>
    <row r="22970" spans="1:2" x14ac:dyDescent="0.25">
      <c r="A22970" s="118"/>
      <c r="B22970" s="136"/>
    </row>
    <row r="22971" spans="1:2" x14ac:dyDescent="0.25">
      <c r="A22971" s="118"/>
      <c r="B22971" s="136"/>
    </row>
    <row r="22972" spans="1:2" x14ac:dyDescent="0.25">
      <c r="A22972" s="118"/>
      <c r="B22972" s="136"/>
    </row>
    <row r="22973" spans="1:2" x14ac:dyDescent="0.25">
      <c r="A22973" s="118"/>
      <c r="B22973" s="136"/>
    </row>
    <row r="22974" spans="1:2" x14ac:dyDescent="0.25">
      <c r="A22974" s="118"/>
      <c r="B22974" s="136"/>
    </row>
    <row r="22975" spans="1:2" x14ac:dyDescent="0.25">
      <c r="A22975" s="118"/>
      <c r="B22975" s="136"/>
    </row>
    <row r="22976" spans="1:2" x14ac:dyDescent="0.25">
      <c r="A22976" s="118"/>
      <c r="B22976" s="136"/>
    </row>
    <row r="22977" spans="1:2" x14ac:dyDescent="0.25">
      <c r="A22977" s="118"/>
      <c r="B22977" s="136"/>
    </row>
    <row r="22978" spans="1:2" x14ac:dyDescent="0.25">
      <c r="A22978" s="118"/>
      <c r="B22978" s="136"/>
    </row>
    <row r="22979" spans="1:2" x14ac:dyDescent="0.25">
      <c r="A22979" s="118"/>
      <c r="B22979" s="136"/>
    </row>
    <row r="22980" spans="1:2" x14ac:dyDescent="0.25">
      <c r="A22980" s="118"/>
      <c r="B22980" s="136"/>
    </row>
    <row r="22981" spans="1:2" x14ac:dyDescent="0.25">
      <c r="A22981" s="118"/>
      <c r="B22981" s="136"/>
    </row>
    <row r="22982" spans="1:2" x14ac:dyDescent="0.25">
      <c r="A22982" s="118"/>
      <c r="B22982" s="136"/>
    </row>
    <row r="22983" spans="1:2" x14ac:dyDescent="0.25">
      <c r="A22983" s="118"/>
      <c r="B22983" s="136"/>
    </row>
    <row r="22984" spans="1:2" x14ac:dyDescent="0.25">
      <c r="A22984" s="118"/>
      <c r="B22984" s="136"/>
    </row>
    <row r="22985" spans="1:2" x14ac:dyDescent="0.25">
      <c r="A22985" s="118"/>
      <c r="B22985" s="136"/>
    </row>
    <row r="22986" spans="1:2" x14ac:dyDescent="0.25">
      <c r="A22986" s="118"/>
      <c r="B22986" s="136"/>
    </row>
    <row r="22987" spans="1:2" x14ac:dyDescent="0.25">
      <c r="A22987" s="118"/>
      <c r="B22987" s="136"/>
    </row>
    <row r="22988" spans="1:2" x14ac:dyDescent="0.25">
      <c r="A22988" s="118"/>
      <c r="B22988" s="136"/>
    </row>
    <row r="22989" spans="1:2" x14ac:dyDescent="0.25">
      <c r="A22989" s="118"/>
      <c r="B22989" s="136"/>
    </row>
    <row r="22990" spans="1:2" x14ac:dyDescent="0.25">
      <c r="A22990" s="118"/>
      <c r="B22990" s="136"/>
    </row>
    <row r="22991" spans="1:2" x14ac:dyDescent="0.25">
      <c r="A22991" s="118"/>
      <c r="B22991" s="136"/>
    </row>
    <row r="22992" spans="1:2" x14ac:dyDescent="0.25">
      <c r="A22992" s="118"/>
      <c r="B22992" s="136"/>
    </row>
    <row r="22993" spans="1:2" x14ac:dyDescent="0.25">
      <c r="A22993" s="118"/>
      <c r="B22993" s="136"/>
    </row>
    <row r="22994" spans="1:2" x14ac:dyDescent="0.25">
      <c r="A22994" s="118"/>
      <c r="B22994" s="136"/>
    </row>
    <row r="22995" spans="1:2" x14ac:dyDescent="0.25">
      <c r="A22995" s="118"/>
      <c r="B22995" s="136"/>
    </row>
    <row r="22996" spans="1:2" x14ac:dyDescent="0.25">
      <c r="A22996" s="118"/>
      <c r="B22996" s="136"/>
    </row>
    <row r="22997" spans="1:2" x14ac:dyDescent="0.25">
      <c r="A22997" s="118"/>
      <c r="B22997" s="136"/>
    </row>
    <row r="22998" spans="1:2" x14ac:dyDescent="0.25">
      <c r="A22998" s="118"/>
      <c r="B22998" s="136"/>
    </row>
    <row r="22999" spans="1:2" x14ac:dyDescent="0.25">
      <c r="A22999" s="118"/>
      <c r="B22999" s="136"/>
    </row>
    <row r="23000" spans="1:2" x14ac:dyDescent="0.25">
      <c r="A23000" s="118"/>
      <c r="B23000" s="136"/>
    </row>
    <row r="23001" spans="1:2" x14ac:dyDescent="0.25">
      <c r="A23001" s="118"/>
      <c r="B23001" s="136"/>
    </row>
    <row r="23002" spans="1:2" x14ac:dyDescent="0.25">
      <c r="A23002" s="118"/>
      <c r="B23002" s="136"/>
    </row>
    <row r="23003" spans="1:2" x14ac:dyDescent="0.25">
      <c r="A23003" s="118"/>
      <c r="B23003" s="136"/>
    </row>
    <row r="23004" spans="1:2" x14ac:dyDescent="0.25">
      <c r="A23004" s="118"/>
      <c r="B23004" s="136"/>
    </row>
    <row r="23005" spans="1:2" x14ac:dyDescent="0.25">
      <c r="A23005" s="118"/>
      <c r="B23005" s="136"/>
    </row>
    <row r="23006" spans="1:2" x14ac:dyDescent="0.25">
      <c r="A23006" s="118"/>
      <c r="B23006" s="136"/>
    </row>
    <row r="23007" spans="1:2" x14ac:dyDescent="0.25">
      <c r="A23007" s="118"/>
      <c r="B23007" s="136"/>
    </row>
    <row r="23008" spans="1:2" x14ac:dyDescent="0.25">
      <c r="A23008" s="118"/>
      <c r="B23008" s="136"/>
    </row>
    <row r="23009" spans="1:2" x14ac:dyDescent="0.25">
      <c r="A23009" s="118"/>
      <c r="B23009" s="136"/>
    </row>
    <row r="23010" spans="1:2" x14ac:dyDescent="0.25">
      <c r="A23010" s="118"/>
      <c r="B23010" s="136"/>
    </row>
    <row r="23011" spans="1:2" x14ac:dyDescent="0.25">
      <c r="A23011" s="118"/>
      <c r="B23011" s="136"/>
    </row>
    <row r="23012" spans="1:2" x14ac:dyDescent="0.25">
      <c r="A23012" s="118"/>
      <c r="B23012" s="136"/>
    </row>
    <row r="23013" spans="1:2" x14ac:dyDescent="0.25">
      <c r="A23013" s="118"/>
      <c r="B23013" s="136"/>
    </row>
    <row r="23014" spans="1:2" x14ac:dyDescent="0.25">
      <c r="A23014" s="118"/>
      <c r="B23014" s="136"/>
    </row>
    <row r="23015" spans="1:2" x14ac:dyDescent="0.25">
      <c r="A23015" s="118"/>
      <c r="B23015" s="136"/>
    </row>
    <row r="23016" spans="1:2" x14ac:dyDescent="0.25">
      <c r="A23016" s="118"/>
      <c r="B23016" s="136"/>
    </row>
    <row r="23017" spans="1:2" x14ac:dyDescent="0.25">
      <c r="A23017" s="118"/>
      <c r="B23017" s="136"/>
    </row>
    <row r="23018" spans="1:2" x14ac:dyDescent="0.25">
      <c r="A23018" s="118"/>
      <c r="B23018" s="136"/>
    </row>
    <row r="23019" spans="1:2" x14ac:dyDescent="0.25">
      <c r="A23019" s="118"/>
      <c r="B23019" s="136"/>
    </row>
    <row r="23020" spans="1:2" x14ac:dyDescent="0.25">
      <c r="A23020" s="118"/>
      <c r="B23020" s="136"/>
    </row>
    <row r="23021" spans="1:2" x14ac:dyDescent="0.25">
      <c r="A23021" s="118"/>
      <c r="B23021" s="136"/>
    </row>
    <row r="23022" spans="1:2" x14ac:dyDescent="0.25">
      <c r="A23022" s="118"/>
      <c r="B23022" s="136"/>
    </row>
    <row r="23023" spans="1:2" x14ac:dyDescent="0.25">
      <c r="A23023" s="118"/>
      <c r="B23023" s="136"/>
    </row>
    <row r="23024" spans="1:2" x14ac:dyDescent="0.25">
      <c r="A23024" s="118"/>
      <c r="B23024" s="136"/>
    </row>
    <row r="23025" spans="1:2" x14ac:dyDescent="0.25">
      <c r="A23025" s="118"/>
      <c r="B23025" s="136"/>
    </row>
    <row r="23026" spans="1:2" x14ac:dyDescent="0.25">
      <c r="A23026" s="118"/>
      <c r="B23026" s="136"/>
    </row>
    <row r="23027" spans="1:2" x14ac:dyDescent="0.25">
      <c r="A23027" s="118"/>
      <c r="B23027" s="136"/>
    </row>
    <row r="23028" spans="1:2" x14ac:dyDescent="0.25">
      <c r="A23028" s="118"/>
      <c r="B23028" s="136"/>
    </row>
    <row r="23029" spans="1:2" x14ac:dyDescent="0.25">
      <c r="A23029" s="118"/>
      <c r="B23029" s="136"/>
    </row>
    <row r="23030" spans="1:2" x14ac:dyDescent="0.25">
      <c r="A23030" s="118"/>
      <c r="B23030" s="136"/>
    </row>
    <row r="23031" spans="1:2" x14ac:dyDescent="0.25">
      <c r="A23031" s="118"/>
      <c r="B23031" s="136"/>
    </row>
    <row r="23032" spans="1:2" x14ac:dyDescent="0.25">
      <c r="A23032" s="118"/>
      <c r="B23032" s="136"/>
    </row>
    <row r="23033" spans="1:2" x14ac:dyDescent="0.25">
      <c r="A23033" s="118"/>
      <c r="B23033" s="136"/>
    </row>
    <row r="23034" spans="1:2" x14ac:dyDescent="0.25">
      <c r="A23034" s="118"/>
      <c r="B23034" s="136"/>
    </row>
    <row r="23035" spans="1:2" x14ac:dyDescent="0.25">
      <c r="A23035" s="118"/>
      <c r="B23035" s="136"/>
    </row>
    <row r="23036" spans="1:2" x14ac:dyDescent="0.25">
      <c r="A23036" s="118"/>
      <c r="B23036" s="136"/>
    </row>
    <row r="23037" spans="1:2" x14ac:dyDescent="0.25">
      <c r="A23037" s="118"/>
      <c r="B23037" s="136"/>
    </row>
    <row r="23038" spans="1:2" x14ac:dyDescent="0.25">
      <c r="A23038" s="118"/>
      <c r="B23038" s="136"/>
    </row>
    <row r="23039" spans="1:2" x14ac:dyDescent="0.25">
      <c r="A23039" s="118"/>
      <c r="B23039" s="136"/>
    </row>
    <row r="23040" spans="1:2" x14ac:dyDescent="0.25">
      <c r="A23040" s="118"/>
      <c r="B23040" s="136"/>
    </row>
    <row r="23041" spans="1:2" x14ac:dyDescent="0.25">
      <c r="A23041" s="118"/>
      <c r="B23041" s="136"/>
    </row>
    <row r="23042" spans="1:2" x14ac:dyDescent="0.25">
      <c r="A23042" s="118"/>
      <c r="B23042" s="136"/>
    </row>
    <row r="23043" spans="1:2" x14ac:dyDescent="0.25">
      <c r="A23043" s="118"/>
      <c r="B23043" s="136"/>
    </row>
    <row r="23044" spans="1:2" x14ac:dyDescent="0.25">
      <c r="A23044" s="118"/>
      <c r="B23044" s="136"/>
    </row>
    <row r="23045" spans="1:2" x14ac:dyDescent="0.25">
      <c r="A23045" s="118"/>
      <c r="B23045" s="136"/>
    </row>
    <row r="23046" spans="1:2" x14ac:dyDescent="0.25">
      <c r="A23046" s="118"/>
      <c r="B23046" s="136"/>
    </row>
    <row r="23047" spans="1:2" x14ac:dyDescent="0.25">
      <c r="A23047" s="118"/>
      <c r="B23047" s="136"/>
    </row>
    <row r="23048" spans="1:2" x14ac:dyDescent="0.25">
      <c r="A23048" s="118"/>
      <c r="B23048" s="136"/>
    </row>
    <row r="23049" spans="1:2" x14ac:dyDescent="0.25">
      <c r="A23049" s="118"/>
      <c r="B23049" s="136"/>
    </row>
    <row r="23050" spans="1:2" x14ac:dyDescent="0.25">
      <c r="A23050" s="118"/>
      <c r="B23050" s="136"/>
    </row>
    <row r="23051" spans="1:2" x14ac:dyDescent="0.25">
      <c r="A23051" s="118"/>
      <c r="B23051" s="136"/>
    </row>
    <row r="23052" spans="1:2" x14ac:dyDescent="0.25">
      <c r="A23052" s="118"/>
      <c r="B23052" s="136"/>
    </row>
    <row r="23053" spans="1:2" x14ac:dyDescent="0.25">
      <c r="A23053" s="118"/>
      <c r="B23053" s="136"/>
    </row>
    <row r="23054" spans="1:2" x14ac:dyDescent="0.25">
      <c r="A23054" s="118"/>
      <c r="B23054" s="136"/>
    </row>
    <row r="23055" spans="1:2" x14ac:dyDescent="0.25">
      <c r="A23055" s="118"/>
      <c r="B23055" s="136"/>
    </row>
    <row r="23056" spans="1:2" x14ac:dyDescent="0.25">
      <c r="A23056" s="118"/>
      <c r="B23056" s="136"/>
    </row>
    <row r="23057" spans="1:2" x14ac:dyDescent="0.25">
      <c r="A23057" s="118"/>
      <c r="B23057" s="136"/>
    </row>
    <row r="23058" spans="1:2" x14ac:dyDescent="0.25">
      <c r="A23058" s="118"/>
      <c r="B23058" s="136"/>
    </row>
    <row r="23059" spans="1:2" x14ac:dyDescent="0.25">
      <c r="A23059" s="118"/>
      <c r="B23059" s="136"/>
    </row>
    <row r="23060" spans="1:2" x14ac:dyDescent="0.25">
      <c r="A23060" s="118"/>
      <c r="B23060" s="136"/>
    </row>
    <row r="23061" spans="1:2" x14ac:dyDescent="0.25">
      <c r="A23061" s="118"/>
      <c r="B23061" s="136"/>
    </row>
    <row r="23062" spans="1:2" x14ac:dyDescent="0.25">
      <c r="A23062" s="118"/>
      <c r="B23062" s="136"/>
    </row>
    <row r="23063" spans="1:2" x14ac:dyDescent="0.25">
      <c r="A23063" s="118"/>
      <c r="B23063" s="136"/>
    </row>
    <row r="23064" spans="1:2" x14ac:dyDescent="0.25">
      <c r="A23064" s="118"/>
      <c r="B23064" s="136"/>
    </row>
    <row r="23065" spans="1:2" x14ac:dyDescent="0.25">
      <c r="A23065" s="118"/>
      <c r="B23065" s="136"/>
    </row>
    <row r="23066" spans="1:2" x14ac:dyDescent="0.25">
      <c r="A23066" s="118"/>
      <c r="B23066" s="136"/>
    </row>
    <row r="23067" spans="1:2" x14ac:dyDescent="0.25">
      <c r="A23067" s="118"/>
      <c r="B23067" s="136"/>
    </row>
    <row r="23068" spans="1:2" x14ac:dyDescent="0.25">
      <c r="A23068" s="118"/>
      <c r="B23068" s="136"/>
    </row>
    <row r="23069" spans="1:2" x14ac:dyDescent="0.25">
      <c r="A23069" s="118"/>
      <c r="B23069" s="136"/>
    </row>
    <row r="23070" spans="1:2" x14ac:dyDescent="0.25">
      <c r="A23070" s="118"/>
      <c r="B23070" s="136"/>
    </row>
    <row r="23071" spans="1:2" x14ac:dyDescent="0.25">
      <c r="A23071" s="118"/>
      <c r="B23071" s="136"/>
    </row>
    <row r="23072" spans="1:2" x14ac:dyDescent="0.25">
      <c r="A23072" s="118"/>
      <c r="B23072" s="136"/>
    </row>
    <row r="23073" spans="1:2" x14ac:dyDescent="0.25">
      <c r="A23073" s="118"/>
      <c r="B23073" s="136"/>
    </row>
    <row r="23074" spans="1:2" x14ac:dyDescent="0.25">
      <c r="A23074" s="118"/>
      <c r="B23074" s="136"/>
    </row>
    <row r="23075" spans="1:2" x14ac:dyDescent="0.25">
      <c r="A23075" s="118"/>
      <c r="B23075" s="136"/>
    </row>
    <row r="23076" spans="1:2" x14ac:dyDescent="0.25">
      <c r="A23076" s="118"/>
      <c r="B23076" s="136"/>
    </row>
    <row r="23077" spans="1:2" x14ac:dyDescent="0.25">
      <c r="A23077" s="118"/>
      <c r="B23077" s="136"/>
    </row>
    <row r="23078" spans="1:2" x14ac:dyDescent="0.25">
      <c r="A23078" s="118"/>
      <c r="B23078" s="136"/>
    </row>
    <row r="23079" spans="1:2" x14ac:dyDescent="0.25">
      <c r="A23079" s="118"/>
      <c r="B23079" s="136"/>
    </row>
    <row r="23080" spans="1:2" x14ac:dyDescent="0.25">
      <c r="A23080" s="118"/>
      <c r="B23080" s="136"/>
    </row>
    <row r="23081" spans="1:2" x14ac:dyDescent="0.25">
      <c r="A23081" s="118"/>
      <c r="B23081" s="136"/>
    </row>
    <row r="23082" spans="1:2" x14ac:dyDescent="0.25">
      <c r="A23082" s="118"/>
      <c r="B23082" s="136"/>
    </row>
    <row r="23083" spans="1:2" x14ac:dyDescent="0.25">
      <c r="A23083" s="118"/>
      <c r="B23083" s="136"/>
    </row>
    <row r="23084" spans="1:2" x14ac:dyDescent="0.25">
      <c r="A23084" s="118"/>
      <c r="B23084" s="136"/>
    </row>
    <row r="23085" spans="1:2" x14ac:dyDescent="0.25">
      <c r="A23085" s="118"/>
      <c r="B23085" s="136"/>
    </row>
    <row r="23086" spans="1:2" x14ac:dyDescent="0.25">
      <c r="A23086" s="118"/>
      <c r="B23086" s="136"/>
    </row>
    <row r="23087" spans="1:2" x14ac:dyDescent="0.25">
      <c r="A23087" s="118"/>
      <c r="B23087" s="136"/>
    </row>
    <row r="23088" spans="1:2" x14ac:dyDescent="0.25">
      <c r="A23088" s="118"/>
      <c r="B23088" s="136"/>
    </row>
    <row r="23089" spans="1:2" x14ac:dyDescent="0.25">
      <c r="A23089" s="118"/>
      <c r="B23089" s="136"/>
    </row>
    <row r="23090" spans="1:2" x14ac:dyDescent="0.25">
      <c r="A23090" s="118"/>
      <c r="B23090" s="136"/>
    </row>
    <row r="23091" spans="1:2" x14ac:dyDescent="0.25">
      <c r="A23091" s="118"/>
      <c r="B23091" s="136"/>
    </row>
    <row r="23092" spans="1:2" x14ac:dyDescent="0.25">
      <c r="A23092" s="118"/>
      <c r="B23092" s="136"/>
    </row>
    <row r="23093" spans="1:2" x14ac:dyDescent="0.25">
      <c r="A23093" s="118"/>
      <c r="B23093" s="136"/>
    </row>
    <row r="23094" spans="1:2" x14ac:dyDescent="0.25">
      <c r="A23094" s="118"/>
      <c r="B23094" s="136"/>
    </row>
    <row r="23095" spans="1:2" x14ac:dyDescent="0.25">
      <c r="A23095" s="118"/>
      <c r="B23095" s="136"/>
    </row>
    <row r="23096" spans="1:2" x14ac:dyDescent="0.25">
      <c r="A23096" s="118"/>
      <c r="B23096" s="136"/>
    </row>
    <row r="23097" spans="1:2" x14ac:dyDescent="0.25">
      <c r="A23097" s="118"/>
      <c r="B23097" s="136"/>
    </row>
    <row r="23098" spans="1:2" x14ac:dyDescent="0.25">
      <c r="A23098" s="118"/>
      <c r="B23098" s="136"/>
    </row>
    <row r="23099" spans="1:2" x14ac:dyDescent="0.25">
      <c r="A23099" s="118"/>
      <c r="B23099" s="136"/>
    </row>
    <row r="23100" spans="1:2" x14ac:dyDescent="0.25">
      <c r="A23100" s="118"/>
      <c r="B23100" s="136"/>
    </row>
    <row r="23101" spans="1:2" x14ac:dyDescent="0.25">
      <c r="A23101" s="118"/>
      <c r="B23101" s="136"/>
    </row>
    <row r="23102" spans="1:2" x14ac:dyDescent="0.25">
      <c r="A23102" s="118"/>
      <c r="B23102" s="136"/>
    </row>
    <row r="23103" spans="1:2" x14ac:dyDescent="0.25">
      <c r="A23103" s="118"/>
      <c r="B23103" s="136"/>
    </row>
    <row r="23104" spans="1:2" x14ac:dyDescent="0.25">
      <c r="A23104" s="118"/>
      <c r="B23104" s="136"/>
    </row>
    <row r="23105" spans="1:2" x14ac:dyDescent="0.25">
      <c r="A23105" s="118"/>
      <c r="B23105" s="136"/>
    </row>
    <row r="23106" spans="1:2" x14ac:dyDescent="0.25">
      <c r="A23106" s="118"/>
      <c r="B23106" s="136"/>
    </row>
    <row r="23107" spans="1:2" x14ac:dyDescent="0.25">
      <c r="A23107" s="118"/>
      <c r="B23107" s="136"/>
    </row>
    <row r="23108" spans="1:2" x14ac:dyDescent="0.25">
      <c r="A23108" s="118"/>
      <c r="B23108" s="136"/>
    </row>
    <row r="23109" spans="1:2" x14ac:dyDescent="0.25">
      <c r="A23109" s="118"/>
      <c r="B23109" s="136"/>
    </row>
    <row r="23110" spans="1:2" x14ac:dyDescent="0.25">
      <c r="A23110" s="118"/>
      <c r="B23110" s="136"/>
    </row>
    <row r="23111" spans="1:2" x14ac:dyDescent="0.25">
      <c r="A23111" s="118"/>
      <c r="B23111" s="136"/>
    </row>
    <row r="23112" spans="1:2" x14ac:dyDescent="0.25">
      <c r="A23112" s="118"/>
      <c r="B23112" s="136"/>
    </row>
    <row r="23113" spans="1:2" x14ac:dyDescent="0.25">
      <c r="A23113" s="118"/>
      <c r="B23113" s="136"/>
    </row>
    <row r="23114" spans="1:2" x14ac:dyDescent="0.25">
      <c r="A23114" s="118"/>
      <c r="B23114" s="136"/>
    </row>
    <row r="23115" spans="1:2" x14ac:dyDescent="0.25">
      <c r="A23115" s="118"/>
      <c r="B23115" s="136"/>
    </row>
    <row r="23116" spans="1:2" x14ac:dyDescent="0.25">
      <c r="A23116" s="118"/>
      <c r="B23116" s="136"/>
    </row>
    <row r="23117" spans="1:2" x14ac:dyDescent="0.25">
      <c r="A23117" s="118"/>
      <c r="B23117" s="136"/>
    </row>
    <row r="23118" spans="1:2" x14ac:dyDescent="0.25">
      <c r="A23118" s="118"/>
      <c r="B23118" s="136"/>
    </row>
    <row r="23119" spans="1:2" x14ac:dyDescent="0.25">
      <c r="A23119" s="118"/>
      <c r="B23119" s="136"/>
    </row>
    <row r="23120" spans="1:2" x14ac:dyDescent="0.25">
      <c r="A23120" s="118"/>
      <c r="B23120" s="136"/>
    </row>
    <row r="23121" spans="1:2" x14ac:dyDescent="0.25">
      <c r="A23121" s="118"/>
      <c r="B23121" s="136"/>
    </row>
    <row r="23122" spans="1:2" x14ac:dyDescent="0.25">
      <c r="A23122" s="118"/>
      <c r="B23122" s="136"/>
    </row>
    <row r="23123" spans="1:2" x14ac:dyDescent="0.25">
      <c r="A23123" s="118"/>
      <c r="B23123" s="136"/>
    </row>
    <row r="23124" spans="1:2" x14ac:dyDescent="0.25">
      <c r="A23124" s="118"/>
      <c r="B23124" s="136"/>
    </row>
    <row r="23125" spans="1:2" x14ac:dyDescent="0.25">
      <c r="A23125" s="118"/>
      <c r="B23125" s="136"/>
    </row>
    <row r="23126" spans="1:2" x14ac:dyDescent="0.25">
      <c r="A23126" s="118"/>
      <c r="B23126" s="136"/>
    </row>
    <row r="23127" spans="1:2" x14ac:dyDescent="0.25">
      <c r="A23127" s="118"/>
      <c r="B23127" s="136"/>
    </row>
    <row r="23128" spans="1:2" x14ac:dyDescent="0.25">
      <c r="A23128" s="118"/>
      <c r="B23128" s="136"/>
    </row>
    <row r="23129" spans="1:2" x14ac:dyDescent="0.25">
      <c r="A23129" s="118"/>
      <c r="B23129" s="136"/>
    </row>
    <row r="23130" spans="1:2" x14ac:dyDescent="0.25">
      <c r="A23130" s="118"/>
      <c r="B23130" s="136"/>
    </row>
    <row r="23131" spans="1:2" x14ac:dyDescent="0.25">
      <c r="A23131" s="118"/>
      <c r="B23131" s="136"/>
    </row>
    <row r="23132" spans="1:2" x14ac:dyDescent="0.25">
      <c r="A23132" s="118"/>
      <c r="B23132" s="136"/>
    </row>
    <row r="23133" spans="1:2" x14ac:dyDescent="0.25">
      <c r="A23133" s="118"/>
      <c r="B23133" s="136"/>
    </row>
    <row r="23134" spans="1:2" x14ac:dyDescent="0.25">
      <c r="A23134" s="118"/>
      <c r="B23134" s="136"/>
    </row>
    <row r="23135" spans="1:2" x14ac:dyDescent="0.25">
      <c r="A23135" s="118"/>
      <c r="B23135" s="136"/>
    </row>
    <row r="23136" spans="1:2" x14ac:dyDescent="0.25">
      <c r="A23136" s="118"/>
      <c r="B23136" s="136"/>
    </row>
    <row r="23137" spans="1:2" x14ac:dyDescent="0.25">
      <c r="A23137" s="118"/>
      <c r="B23137" s="136"/>
    </row>
    <row r="23138" spans="1:2" x14ac:dyDescent="0.25">
      <c r="A23138" s="118"/>
      <c r="B23138" s="136"/>
    </row>
    <row r="23139" spans="1:2" x14ac:dyDescent="0.25">
      <c r="A23139" s="118"/>
      <c r="B23139" s="136"/>
    </row>
    <row r="23140" spans="1:2" x14ac:dyDescent="0.25">
      <c r="A23140" s="118"/>
      <c r="B23140" s="136"/>
    </row>
    <row r="23141" spans="1:2" x14ac:dyDescent="0.25">
      <c r="A23141" s="118"/>
      <c r="B23141" s="136"/>
    </row>
    <row r="23142" spans="1:2" x14ac:dyDescent="0.25">
      <c r="A23142" s="118"/>
      <c r="B23142" s="136"/>
    </row>
    <row r="23143" spans="1:2" x14ac:dyDescent="0.25">
      <c r="A23143" s="118"/>
      <c r="B23143" s="136"/>
    </row>
    <row r="23144" spans="1:2" x14ac:dyDescent="0.25">
      <c r="A23144" s="118"/>
      <c r="B23144" s="136"/>
    </row>
    <row r="23145" spans="1:2" x14ac:dyDescent="0.25">
      <c r="A23145" s="118"/>
      <c r="B23145" s="136"/>
    </row>
    <row r="23146" spans="1:2" x14ac:dyDescent="0.25">
      <c r="A23146" s="118"/>
      <c r="B23146" s="136"/>
    </row>
    <row r="23147" spans="1:2" x14ac:dyDescent="0.25">
      <c r="A23147" s="118"/>
      <c r="B23147" s="136"/>
    </row>
    <row r="23148" spans="1:2" x14ac:dyDescent="0.25">
      <c r="A23148" s="118"/>
      <c r="B23148" s="136"/>
    </row>
    <row r="23149" spans="1:2" x14ac:dyDescent="0.25">
      <c r="A23149" s="118"/>
      <c r="B23149" s="136"/>
    </row>
    <row r="23150" spans="1:2" x14ac:dyDescent="0.25">
      <c r="A23150" s="118"/>
      <c r="B23150" s="136"/>
    </row>
    <row r="23151" spans="1:2" x14ac:dyDescent="0.25">
      <c r="A23151" s="118"/>
      <c r="B23151" s="136"/>
    </row>
    <row r="23152" spans="1:2" x14ac:dyDescent="0.25">
      <c r="A23152" s="118"/>
      <c r="B23152" s="136"/>
    </row>
    <row r="23153" spans="1:2" x14ac:dyDescent="0.25">
      <c r="A23153" s="118"/>
      <c r="B23153" s="136"/>
    </row>
    <row r="23154" spans="1:2" x14ac:dyDescent="0.25">
      <c r="A23154" s="118"/>
      <c r="B23154" s="136"/>
    </row>
    <row r="23155" spans="1:2" x14ac:dyDescent="0.25">
      <c r="A23155" s="118"/>
      <c r="B23155" s="136"/>
    </row>
    <row r="23156" spans="1:2" x14ac:dyDescent="0.25">
      <c r="A23156" s="118"/>
      <c r="B23156" s="136"/>
    </row>
    <row r="23157" spans="1:2" x14ac:dyDescent="0.25">
      <c r="A23157" s="118"/>
      <c r="B23157" s="136"/>
    </row>
    <row r="23158" spans="1:2" x14ac:dyDescent="0.25">
      <c r="A23158" s="118"/>
      <c r="B23158" s="136"/>
    </row>
    <row r="23159" spans="1:2" x14ac:dyDescent="0.25">
      <c r="A23159" s="118"/>
      <c r="B23159" s="136"/>
    </row>
    <row r="23160" spans="1:2" x14ac:dyDescent="0.25">
      <c r="A23160" s="118"/>
      <c r="B23160" s="136"/>
    </row>
    <row r="23161" spans="1:2" x14ac:dyDescent="0.25">
      <c r="A23161" s="118"/>
      <c r="B23161" s="136"/>
    </row>
    <row r="23162" spans="1:2" x14ac:dyDescent="0.25">
      <c r="A23162" s="118"/>
      <c r="B23162" s="136"/>
    </row>
    <row r="23163" spans="1:2" x14ac:dyDescent="0.25">
      <c r="A23163" s="118"/>
      <c r="B23163" s="136"/>
    </row>
    <row r="23164" spans="1:2" x14ac:dyDescent="0.25">
      <c r="A23164" s="118"/>
      <c r="B23164" s="136"/>
    </row>
    <row r="23165" spans="1:2" x14ac:dyDescent="0.25">
      <c r="A23165" s="118"/>
      <c r="B23165" s="136"/>
    </row>
    <row r="23166" spans="1:2" x14ac:dyDescent="0.25">
      <c r="A23166" s="118"/>
      <c r="B23166" s="136"/>
    </row>
    <row r="23167" spans="1:2" x14ac:dyDescent="0.25">
      <c r="A23167" s="118"/>
      <c r="B23167" s="136"/>
    </row>
    <row r="23168" spans="1:2" x14ac:dyDescent="0.25">
      <c r="A23168" s="118"/>
      <c r="B23168" s="136"/>
    </row>
    <row r="23169" spans="1:2" x14ac:dyDescent="0.25">
      <c r="A23169" s="118"/>
      <c r="B23169" s="136"/>
    </row>
    <row r="23170" spans="1:2" x14ac:dyDescent="0.25">
      <c r="A23170" s="118"/>
      <c r="B23170" s="136"/>
    </row>
    <row r="23171" spans="1:2" x14ac:dyDescent="0.25">
      <c r="A23171" s="118"/>
      <c r="B23171" s="136"/>
    </row>
    <row r="23172" spans="1:2" x14ac:dyDescent="0.25">
      <c r="A23172" s="118"/>
      <c r="B23172" s="136"/>
    </row>
    <row r="23173" spans="1:2" x14ac:dyDescent="0.25">
      <c r="A23173" s="118"/>
      <c r="B23173" s="136"/>
    </row>
    <row r="23174" spans="1:2" x14ac:dyDescent="0.25">
      <c r="A23174" s="118"/>
      <c r="B23174" s="136"/>
    </row>
    <row r="23175" spans="1:2" x14ac:dyDescent="0.25">
      <c r="A23175" s="118"/>
      <c r="B23175" s="136"/>
    </row>
    <row r="23176" spans="1:2" x14ac:dyDescent="0.25">
      <c r="A23176" s="118"/>
      <c r="B23176" s="136"/>
    </row>
    <row r="23177" spans="1:2" x14ac:dyDescent="0.25">
      <c r="A23177" s="118"/>
      <c r="B23177" s="136"/>
    </row>
    <row r="23178" spans="1:2" x14ac:dyDescent="0.25">
      <c r="A23178" s="118"/>
      <c r="B23178" s="136"/>
    </row>
    <row r="23179" spans="1:2" x14ac:dyDescent="0.25">
      <c r="A23179" s="118"/>
      <c r="B23179" s="136"/>
    </row>
    <row r="23180" spans="1:2" x14ac:dyDescent="0.25">
      <c r="A23180" s="118"/>
      <c r="B23180" s="136"/>
    </row>
    <row r="23181" spans="1:2" x14ac:dyDescent="0.25">
      <c r="A23181" s="118"/>
      <c r="B23181" s="136"/>
    </row>
    <row r="23182" spans="1:2" x14ac:dyDescent="0.25">
      <c r="A23182" s="118"/>
      <c r="B23182" s="136"/>
    </row>
    <row r="23183" spans="1:2" x14ac:dyDescent="0.25">
      <c r="A23183" s="118"/>
      <c r="B23183" s="136"/>
    </row>
    <row r="23184" spans="1:2" x14ac:dyDescent="0.25">
      <c r="A23184" s="118"/>
      <c r="B23184" s="136"/>
    </row>
    <row r="23185" spans="1:2" x14ac:dyDescent="0.25">
      <c r="A23185" s="118"/>
      <c r="B23185" s="136"/>
    </row>
    <row r="23186" spans="1:2" x14ac:dyDescent="0.25">
      <c r="A23186" s="118"/>
      <c r="B23186" s="136"/>
    </row>
    <row r="23187" spans="1:2" x14ac:dyDescent="0.25">
      <c r="A23187" s="118"/>
      <c r="B23187" s="136"/>
    </row>
    <row r="23188" spans="1:2" x14ac:dyDescent="0.25">
      <c r="A23188" s="118"/>
      <c r="B23188" s="136"/>
    </row>
    <row r="23189" spans="1:2" x14ac:dyDescent="0.25">
      <c r="A23189" s="118"/>
      <c r="B23189" s="136"/>
    </row>
    <row r="23190" spans="1:2" x14ac:dyDescent="0.25">
      <c r="A23190" s="118"/>
      <c r="B23190" s="136"/>
    </row>
    <row r="23191" spans="1:2" x14ac:dyDescent="0.25">
      <c r="A23191" s="118"/>
      <c r="B23191" s="136"/>
    </row>
    <row r="23192" spans="1:2" x14ac:dyDescent="0.25">
      <c r="A23192" s="118"/>
      <c r="B23192" s="136"/>
    </row>
    <row r="23193" spans="1:2" x14ac:dyDescent="0.25">
      <c r="A23193" s="118"/>
      <c r="B23193" s="136"/>
    </row>
    <row r="23194" spans="1:2" x14ac:dyDescent="0.25">
      <c r="A23194" s="118"/>
      <c r="B23194" s="136"/>
    </row>
    <row r="23195" spans="1:2" x14ac:dyDescent="0.25">
      <c r="A23195" s="118"/>
      <c r="B23195" s="136"/>
    </row>
    <row r="23196" spans="1:2" x14ac:dyDescent="0.25">
      <c r="A23196" s="118"/>
      <c r="B23196" s="136"/>
    </row>
    <row r="23197" spans="1:2" x14ac:dyDescent="0.25">
      <c r="A23197" s="118"/>
      <c r="B23197" s="136"/>
    </row>
    <row r="23198" spans="1:2" x14ac:dyDescent="0.25">
      <c r="A23198" s="118"/>
      <c r="B23198" s="136"/>
    </row>
    <row r="23199" spans="1:2" x14ac:dyDescent="0.25">
      <c r="A23199" s="118"/>
      <c r="B23199" s="136"/>
    </row>
    <row r="23200" spans="1:2" x14ac:dyDescent="0.25">
      <c r="A23200" s="118"/>
      <c r="B23200" s="136"/>
    </row>
    <row r="23201" spans="1:2" x14ac:dyDescent="0.25">
      <c r="A23201" s="118"/>
      <c r="B23201" s="136"/>
    </row>
    <row r="23202" spans="1:2" x14ac:dyDescent="0.25">
      <c r="A23202" s="118"/>
      <c r="B23202" s="136"/>
    </row>
    <row r="23203" spans="1:2" x14ac:dyDescent="0.25">
      <c r="A23203" s="118"/>
      <c r="B23203" s="136"/>
    </row>
    <row r="23204" spans="1:2" x14ac:dyDescent="0.25">
      <c r="A23204" s="118"/>
      <c r="B23204" s="136"/>
    </row>
    <row r="23205" spans="1:2" x14ac:dyDescent="0.25">
      <c r="A23205" s="118"/>
      <c r="B23205" s="136"/>
    </row>
    <row r="23206" spans="1:2" x14ac:dyDescent="0.25">
      <c r="A23206" s="118"/>
      <c r="B23206" s="136"/>
    </row>
    <row r="23207" spans="1:2" x14ac:dyDescent="0.25">
      <c r="A23207" s="118"/>
      <c r="B23207" s="136"/>
    </row>
    <row r="23208" spans="1:2" x14ac:dyDescent="0.25">
      <c r="A23208" s="118"/>
      <c r="B23208" s="136"/>
    </row>
    <row r="23209" spans="1:2" x14ac:dyDescent="0.25">
      <c r="A23209" s="118"/>
      <c r="B23209" s="136"/>
    </row>
    <row r="23210" spans="1:2" x14ac:dyDescent="0.25">
      <c r="A23210" s="118"/>
      <c r="B23210" s="136"/>
    </row>
    <row r="23211" spans="1:2" x14ac:dyDescent="0.25">
      <c r="A23211" s="118"/>
      <c r="B23211" s="136"/>
    </row>
    <row r="23212" spans="1:2" x14ac:dyDescent="0.25">
      <c r="A23212" s="118"/>
      <c r="B23212" s="136"/>
    </row>
    <row r="23213" spans="1:2" x14ac:dyDescent="0.25">
      <c r="A23213" s="118"/>
      <c r="B23213" s="136"/>
    </row>
    <row r="23214" spans="1:2" x14ac:dyDescent="0.25">
      <c r="A23214" s="118"/>
      <c r="B23214" s="136"/>
    </row>
    <row r="23215" spans="1:2" x14ac:dyDescent="0.25">
      <c r="A23215" s="118"/>
      <c r="B23215" s="136"/>
    </row>
    <row r="23216" spans="1:2" x14ac:dyDescent="0.25">
      <c r="A23216" s="118"/>
      <c r="B23216" s="136"/>
    </row>
    <row r="23217" spans="1:2" x14ac:dyDescent="0.25">
      <c r="A23217" s="118"/>
      <c r="B23217" s="136"/>
    </row>
    <row r="23218" spans="1:2" x14ac:dyDescent="0.25">
      <c r="A23218" s="118"/>
      <c r="B23218" s="136"/>
    </row>
    <row r="23219" spans="1:2" x14ac:dyDescent="0.25">
      <c r="A23219" s="118"/>
      <c r="B23219" s="136"/>
    </row>
    <row r="23220" spans="1:2" x14ac:dyDescent="0.25">
      <c r="A23220" s="118"/>
      <c r="B23220" s="136"/>
    </row>
    <row r="23221" spans="1:2" x14ac:dyDescent="0.25">
      <c r="A23221" s="118"/>
      <c r="B23221" s="136"/>
    </row>
    <row r="23222" spans="1:2" x14ac:dyDescent="0.25">
      <c r="A23222" s="118"/>
      <c r="B23222" s="136"/>
    </row>
    <row r="23223" spans="1:2" x14ac:dyDescent="0.25">
      <c r="A23223" s="118"/>
      <c r="B23223" s="136"/>
    </row>
    <row r="23224" spans="1:2" x14ac:dyDescent="0.25">
      <c r="A23224" s="118"/>
      <c r="B23224" s="136"/>
    </row>
    <row r="23225" spans="1:2" x14ac:dyDescent="0.25">
      <c r="A23225" s="118"/>
      <c r="B23225" s="136"/>
    </row>
    <row r="23226" spans="1:2" x14ac:dyDescent="0.25">
      <c r="A23226" s="118"/>
      <c r="B23226" s="136"/>
    </row>
    <row r="23227" spans="1:2" x14ac:dyDescent="0.25">
      <c r="A23227" s="118"/>
      <c r="B23227" s="136"/>
    </row>
    <row r="23228" spans="1:2" x14ac:dyDescent="0.25">
      <c r="A23228" s="118"/>
      <c r="B23228" s="136"/>
    </row>
    <row r="23229" spans="1:2" x14ac:dyDescent="0.25">
      <c r="A23229" s="118"/>
      <c r="B23229" s="136"/>
    </row>
    <row r="23230" spans="1:2" x14ac:dyDescent="0.25">
      <c r="A23230" s="118"/>
      <c r="B23230" s="136"/>
    </row>
    <row r="23231" spans="1:2" x14ac:dyDescent="0.25">
      <c r="A23231" s="118"/>
      <c r="B23231" s="136"/>
    </row>
    <row r="23232" spans="1:2" x14ac:dyDescent="0.25">
      <c r="A23232" s="118"/>
      <c r="B23232" s="136"/>
    </row>
    <row r="23233" spans="1:2" x14ac:dyDescent="0.25">
      <c r="A23233" s="118"/>
      <c r="B23233" s="136"/>
    </row>
    <row r="23234" spans="1:2" x14ac:dyDescent="0.25">
      <c r="A23234" s="118"/>
      <c r="B23234" s="136"/>
    </row>
    <row r="23235" spans="1:2" x14ac:dyDescent="0.25">
      <c r="A23235" s="118"/>
      <c r="B23235" s="136"/>
    </row>
    <row r="23236" spans="1:2" x14ac:dyDescent="0.25">
      <c r="A23236" s="118"/>
      <c r="B23236" s="136"/>
    </row>
    <row r="23237" spans="1:2" x14ac:dyDescent="0.25">
      <c r="A23237" s="118"/>
      <c r="B23237" s="136"/>
    </row>
    <row r="23238" spans="1:2" x14ac:dyDescent="0.25">
      <c r="A23238" s="118"/>
      <c r="B23238" s="136"/>
    </row>
    <row r="23239" spans="1:2" x14ac:dyDescent="0.25">
      <c r="A23239" s="118"/>
      <c r="B23239" s="136"/>
    </row>
    <row r="23240" spans="1:2" x14ac:dyDescent="0.25">
      <c r="A23240" s="118"/>
      <c r="B23240" s="136"/>
    </row>
    <row r="23241" spans="1:2" x14ac:dyDescent="0.25">
      <c r="A23241" s="118"/>
      <c r="B23241" s="136"/>
    </row>
    <row r="23242" spans="1:2" x14ac:dyDescent="0.25">
      <c r="A23242" s="118"/>
      <c r="B23242" s="136"/>
    </row>
    <row r="23243" spans="1:2" x14ac:dyDescent="0.25">
      <c r="A23243" s="118"/>
      <c r="B23243" s="136"/>
    </row>
    <row r="23244" spans="1:2" x14ac:dyDescent="0.25">
      <c r="A23244" s="118"/>
      <c r="B23244" s="136"/>
    </row>
    <row r="23245" spans="1:2" x14ac:dyDescent="0.25">
      <c r="A23245" s="118"/>
      <c r="B23245" s="136"/>
    </row>
    <row r="23246" spans="1:2" x14ac:dyDescent="0.25">
      <c r="A23246" s="118"/>
      <c r="B23246" s="136"/>
    </row>
    <row r="23247" spans="1:2" x14ac:dyDescent="0.25">
      <c r="A23247" s="118"/>
      <c r="B23247" s="136"/>
    </row>
    <row r="23248" spans="1:2" x14ac:dyDescent="0.25">
      <c r="A23248" s="118"/>
      <c r="B23248" s="136"/>
    </row>
    <row r="23249" spans="1:2" x14ac:dyDescent="0.25">
      <c r="A23249" s="118"/>
      <c r="B23249" s="136"/>
    </row>
    <row r="23250" spans="1:2" x14ac:dyDescent="0.25">
      <c r="A23250" s="118"/>
      <c r="B23250" s="136"/>
    </row>
    <row r="23251" spans="1:2" x14ac:dyDescent="0.25">
      <c r="A23251" s="118"/>
      <c r="B23251" s="136"/>
    </row>
    <row r="23252" spans="1:2" x14ac:dyDescent="0.25">
      <c r="A23252" s="118"/>
      <c r="B23252" s="136"/>
    </row>
    <row r="23253" spans="1:2" x14ac:dyDescent="0.25">
      <c r="A23253" s="118"/>
      <c r="B23253" s="136"/>
    </row>
    <row r="23254" spans="1:2" x14ac:dyDescent="0.25">
      <c r="A23254" s="118"/>
      <c r="B23254" s="136"/>
    </row>
    <row r="23255" spans="1:2" x14ac:dyDescent="0.25">
      <c r="A23255" s="118"/>
      <c r="B23255" s="136"/>
    </row>
    <row r="23256" spans="1:2" x14ac:dyDescent="0.25">
      <c r="A23256" s="118"/>
      <c r="B23256" s="136"/>
    </row>
    <row r="23257" spans="1:2" x14ac:dyDescent="0.25">
      <c r="A23257" s="118"/>
      <c r="B23257" s="136"/>
    </row>
    <row r="23258" spans="1:2" x14ac:dyDescent="0.25">
      <c r="A23258" s="118"/>
      <c r="B23258" s="136"/>
    </row>
    <row r="23259" spans="1:2" x14ac:dyDescent="0.25">
      <c r="A23259" s="118"/>
      <c r="B23259" s="136"/>
    </row>
    <row r="23260" spans="1:2" x14ac:dyDescent="0.25">
      <c r="A23260" s="118"/>
      <c r="B23260" s="136"/>
    </row>
    <row r="23261" spans="1:2" x14ac:dyDescent="0.25">
      <c r="A23261" s="118"/>
      <c r="B23261" s="136"/>
    </row>
    <row r="23262" spans="1:2" x14ac:dyDescent="0.25">
      <c r="A23262" s="118"/>
      <c r="B23262" s="136"/>
    </row>
    <row r="23263" spans="1:2" x14ac:dyDescent="0.25">
      <c r="A23263" s="118"/>
      <c r="B23263" s="136"/>
    </row>
    <row r="23264" spans="1:2" x14ac:dyDescent="0.25">
      <c r="A23264" s="118"/>
      <c r="B23264" s="136"/>
    </row>
    <row r="23265" spans="1:2" x14ac:dyDescent="0.25">
      <c r="A23265" s="118"/>
      <c r="B23265" s="136"/>
    </row>
    <row r="23266" spans="1:2" x14ac:dyDescent="0.25">
      <c r="A23266" s="118"/>
      <c r="B23266" s="136"/>
    </row>
    <row r="23267" spans="1:2" x14ac:dyDescent="0.25">
      <c r="A23267" s="118"/>
      <c r="B23267" s="136"/>
    </row>
    <row r="23268" spans="1:2" x14ac:dyDescent="0.25">
      <c r="A23268" s="118"/>
      <c r="B23268" s="136"/>
    </row>
    <row r="23269" spans="1:2" x14ac:dyDescent="0.25">
      <c r="A23269" s="118"/>
      <c r="B23269" s="136"/>
    </row>
    <row r="23270" spans="1:2" x14ac:dyDescent="0.25">
      <c r="A23270" s="118"/>
      <c r="B23270" s="136"/>
    </row>
    <row r="23271" spans="1:2" x14ac:dyDescent="0.25">
      <c r="A23271" s="118"/>
      <c r="B23271" s="136"/>
    </row>
    <row r="23272" spans="1:2" x14ac:dyDescent="0.25">
      <c r="A23272" s="118"/>
      <c r="B23272" s="136"/>
    </row>
    <row r="23273" spans="1:2" x14ac:dyDescent="0.25">
      <c r="A23273" s="118"/>
      <c r="B23273" s="136"/>
    </row>
    <row r="23274" spans="1:2" x14ac:dyDescent="0.25">
      <c r="A23274" s="118"/>
      <c r="B23274" s="136"/>
    </row>
    <row r="23275" spans="1:2" x14ac:dyDescent="0.25">
      <c r="A23275" s="118"/>
      <c r="B23275" s="136"/>
    </row>
    <row r="23276" spans="1:2" x14ac:dyDescent="0.25">
      <c r="A23276" s="118"/>
      <c r="B23276" s="136"/>
    </row>
    <row r="23277" spans="1:2" x14ac:dyDescent="0.25">
      <c r="A23277" s="118"/>
      <c r="B23277" s="136"/>
    </row>
    <row r="23278" spans="1:2" x14ac:dyDescent="0.25">
      <c r="A23278" s="118"/>
      <c r="B23278" s="136"/>
    </row>
    <row r="23279" spans="1:2" x14ac:dyDescent="0.25">
      <c r="A23279" s="118"/>
      <c r="B23279" s="136"/>
    </row>
    <row r="23280" spans="1:2" x14ac:dyDescent="0.25">
      <c r="A23280" s="118"/>
      <c r="B23280" s="136"/>
    </row>
    <row r="23281" spans="1:2" x14ac:dyDescent="0.25">
      <c r="A23281" s="118"/>
      <c r="B23281" s="136"/>
    </row>
    <row r="23282" spans="1:2" x14ac:dyDescent="0.25">
      <c r="A23282" s="118"/>
      <c r="B23282" s="136"/>
    </row>
    <row r="23283" spans="1:2" x14ac:dyDescent="0.25">
      <c r="A23283" s="118"/>
      <c r="B23283" s="136"/>
    </row>
    <row r="23284" spans="1:2" x14ac:dyDescent="0.25">
      <c r="A23284" s="118"/>
      <c r="B23284" s="136"/>
    </row>
    <row r="23285" spans="1:2" x14ac:dyDescent="0.25">
      <c r="A23285" s="118"/>
      <c r="B23285" s="136"/>
    </row>
    <row r="23286" spans="1:2" x14ac:dyDescent="0.25">
      <c r="A23286" s="118"/>
      <c r="B23286" s="136"/>
    </row>
    <row r="23287" spans="1:2" x14ac:dyDescent="0.25">
      <c r="A23287" s="118"/>
      <c r="B23287" s="136"/>
    </row>
    <row r="23288" spans="1:2" x14ac:dyDescent="0.25">
      <c r="A23288" s="118"/>
      <c r="B23288" s="136"/>
    </row>
    <row r="23289" spans="1:2" x14ac:dyDescent="0.25">
      <c r="A23289" s="118"/>
      <c r="B23289" s="136"/>
    </row>
    <row r="23290" spans="1:2" x14ac:dyDescent="0.25">
      <c r="A23290" s="118"/>
      <c r="B23290" s="136"/>
    </row>
    <row r="23291" spans="1:2" x14ac:dyDescent="0.25">
      <c r="A23291" s="118"/>
      <c r="B23291" s="136"/>
    </row>
    <row r="23292" spans="1:2" x14ac:dyDescent="0.25">
      <c r="A23292" s="118"/>
      <c r="B23292" s="136"/>
    </row>
    <row r="23293" spans="1:2" x14ac:dyDescent="0.25">
      <c r="A23293" s="118"/>
      <c r="B23293" s="136"/>
    </row>
    <row r="23294" spans="1:2" x14ac:dyDescent="0.25">
      <c r="A23294" s="118"/>
      <c r="B23294" s="136"/>
    </row>
    <row r="23295" spans="1:2" x14ac:dyDescent="0.25">
      <c r="A23295" s="118"/>
      <c r="B23295" s="136"/>
    </row>
    <row r="23296" spans="1:2" x14ac:dyDescent="0.25">
      <c r="A23296" s="118"/>
      <c r="B23296" s="136"/>
    </row>
    <row r="23297" spans="1:2" x14ac:dyDescent="0.25">
      <c r="A23297" s="118"/>
      <c r="B23297" s="136"/>
    </row>
    <row r="23298" spans="1:2" x14ac:dyDescent="0.25">
      <c r="A23298" s="118"/>
      <c r="B23298" s="136"/>
    </row>
    <row r="23299" spans="1:2" x14ac:dyDescent="0.25">
      <c r="A23299" s="118"/>
      <c r="B23299" s="136"/>
    </row>
    <row r="23300" spans="1:2" x14ac:dyDescent="0.25">
      <c r="A23300" s="118"/>
      <c r="B23300" s="136"/>
    </row>
    <row r="23301" spans="1:2" x14ac:dyDescent="0.25">
      <c r="A23301" s="118"/>
      <c r="B23301" s="136"/>
    </row>
    <row r="23302" spans="1:2" x14ac:dyDescent="0.25">
      <c r="A23302" s="118"/>
      <c r="B23302" s="136"/>
    </row>
    <row r="23303" spans="1:2" x14ac:dyDescent="0.25">
      <c r="A23303" s="118"/>
      <c r="B23303" s="136"/>
    </row>
    <row r="23304" spans="1:2" x14ac:dyDescent="0.25">
      <c r="A23304" s="118"/>
      <c r="B23304" s="136"/>
    </row>
    <row r="23305" spans="1:2" x14ac:dyDescent="0.25">
      <c r="A23305" s="118"/>
      <c r="B23305" s="136"/>
    </row>
    <row r="23306" spans="1:2" x14ac:dyDescent="0.25">
      <c r="A23306" s="118"/>
      <c r="B23306" s="136"/>
    </row>
    <row r="23307" spans="1:2" x14ac:dyDescent="0.25">
      <c r="A23307" s="118"/>
      <c r="B23307" s="136"/>
    </row>
    <row r="23308" spans="1:2" x14ac:dyDescent="0.25">
      <c r="A23308" s="118"/>
      <c r="B23308" s="136"/>
    </row>
    <row r="23309" spans="1:2" x14ac:dyDescent="0.25">
      <c r="A23309" s="118"/>
      <c r="B23309" s="136"/>
    </row>
    <row r="23310" spans="1:2" x14ac:dyDescent="0.25">
      <c r="A23310" s="118"/>
      <c r="B23310" s="136"/>
    </row>
    <row r="23311" spans="1:2" x14ac:dyDescent="0.25">
      <c r="A23311" s="118"/>
      <c r="B23311" s="136"/>
    </row>
    <row r="23312" spans="1:2" x14ac:dyDescent="0.25">
      <c r="A23312" s="118"/>
      <c r="B23312" s="136"/>
    </row>
    <row r="23313" spans="1:2" x14ac:dyDescent="0.25">
      <c r="A23313" s="118"/>
      <c r="B23313" s="136"/>
    </row>
    <row r="23314" spans="1:2" x14ac:dyDescent="0.25">
      <c r="A23314" s="118"/>
      <c r="B23314" s="136"/>
    </row>
    <row r="23315" spans="1:2" x14ac:dyDescent="0.25">
      <c r="A23315" s="118"/>
      <c r="B23315" s="136"/>
    </row>
    <row r="23316" spans="1:2" x14ac:dyDescent="0.25">
      <c r="A23316" s="118"/>
      <c r="B23316" s="136"/>
    </row>
    <row r="23317" spans="1:2" x14ac:dyDescent="0.25">
      <c r="A23317" s="118"/>
      <c r="B23317" s="136"/>
    </row>
    <row r="23318" spans="1:2" x14ac:dyDescent="0.25">
      <c r="A23318" s="118"/>
      <c r="B23318" s="136"/>
    </row>
    <row r="23319" spans="1:2" x14ac:dyDescent="0.25">
      <c r="A23319" s="118"/>
      <c r="B23319" s="136"/>
    </row>
    <row r="23320" spans="1:2" x14ac:dyDescent="0.25">
      <c r="A23320" s="118"/>
      <c r="B23320" s="136"/>
    </row>
    <row r="23321" spans="1:2" x14ac:dyDescent="0.25">
      <c r="A23321" s="118"/>
      <c r="B23321" s="136"/>
    </row>
    <row r="23322" spans="1:2" x14ac:dyDescent="0.25">
      <c r="A23322" s="118"/>
      <c r="B23322" s="136"/>
    </row>
    <row r="23323" spans="1:2" x14ac:dyDescent="0.25">
      <c r="A23323" s="118"/>
      <c r="B23323" s="136"/>
    </row>
    <row r="23324" spans="1:2" x14ac:dyDescent="0.25">
      <c r="A23324" s="118"/>
      <c r="B23324" s="136"/>
    </row>
    <row r="23325" spans="1:2" x14ac:dyDescent="0.25">
      <c r="A23325" s="118"/>
      <c r="B23325" s="136"/>
    </row>
    <row r="23326" spans="1:2" x14ac:dyDescent="0.25">
      <c r="A23326" s="118"/>
      <c r="B23326" s="136"/>
    </row>
    <row r="23327" spans="1:2" x14ac:dyDescent="0.25">
      <c r="A23327" s="118"/>
      <c r="B23327" s="136"/>
    </row>
    <row r="23328" spans="1:2" x14ac:dyDescent="0.25">
      <c r="A23328" s="118"/>
      <c r="B23328" s="136"/>
    </row>
    <row r="23329" spans="1:2" x14ac:dyDescent="0.25">
      <c r="A23329" s="118"/>
      <c r="B23329" s="136"/>
    </row>
    <row r="23330" spans="1:2" x14ac:dyDescent="0.25">
      <c r="A23330" s="118"/>
      <c r="B23330" s="136"/>
    </row>
    <row r="23331" spans="1:2" x14ac:dyDescent="0.25">
      <c r="A23331" s="118"/>
      <c r="B23331" s="136"/>
    </row>
    <row r="23332" spans="1:2" x14ac:dyDescent="0.25">
      <c r="A23332" s="118"/>
      <c r="B23332" s="136"/>
    </row>
    <row r="23333" spans="1:2" x14ac:dyDescent="0.25">
      <c r="A23333" s="118"/>
      <c r="B23333" s="136"/>
    </row>
    <row r="23334" spans="1:2" x14ac:dyDescent="0.25">
      <c r="A23334" s="118"/>
      <c r="B23334" s="136"/>
    </row>
    <row r="23335" spans="1:2" x14ac:dyDescent="0.25">
      <c r="A23335" s="118"/>
      <c r="B23335" s="136"/>
    </row>
    <row r="23336" spans="1:2" x14ac:dyDescent="0.25">
      <c r="A23336" s="118"/>
      <c r="B23336" s="136"/>
    </row>
    <row r="23337" spans="1:2" x14ac:dyDescent="0.25">
      <c r="A23337" s="118"/>
      <c r="B23337" s="136"/>
    </row>
    <row r="23338" spans="1:2" x14ac:dyDescent="0.25">
      <c r="A23338" s="118"/>
      <c r="B23338" s="136"/>
    </row>
    <row r="23339" spans="1:2" x14ac:dyDescent="0.25">
      <c r="A23339" s="118"/>
      <c r="B23339" s="136"/>
    </row>
    <row r="23340" spans="1:2" x14ac:dyDescent="0.25">
      <c r="A23340" s="118"/>
      <c r="B23340" s="136"/>
    </row>
    <row r="23341" spans="1:2" x14ac:dyDescent="0.25">
      <c r="A23341" s="118"/>
      <c r="B23341" s="136"/>
    </row>
    <row r="23342" spans="1:2" x14ac:dyDescent="0.25">
      <c r="A23342" s="118"/>
      <c r="B23342" s="136"/>
    </row>
    <row r="23343" spans="1:2" x14ac:dyDescent="0.25">
      <c r="A23343" s="118"/>
      <c r="B23343" s="136"/>
    </row>
    <row r="23344" spans="1:2" x14ac:dyDescent="0.25">
      <c r="A23344" s="118"/>
      <c r="B23344" s="136"/>
    </row>
    <row r="23345" spans="1:2" x14ac:dyDescent="0.25">
      <c r="A23345" s="118"/>
      <c r="B23345" s="136"/>
    </row>
    <row r="23346" spans="1:2" x14ac:dyDescent="0.25">
      <c r="A23346" s="118"/>
      <c r="B23346" s="136"/>
    </row>
    <row r="23347" spans="1:2" x14ac:dyDescent="0.25">
      <c r="A23347" s="118"/>
      <c r="B23347" s="136"/>
    </row>
    <row r="23348" spans="1:2" x14ac:dyDescent="0.25">
      <c r="A23348" s="118"/>
      <c r="B23348" s="136"/>
    </row>
    <row r="23349" spans="1:2" x14ac:dyDescent="0.25">
      <c r="A23349" s="118"/>
      <c r="B23349" s="136"/>
    </row>
    <row r="23350" spans="1:2" x14ac:dyDescent="0.25">
      <c r="A23350" s="118"/>
      <c r="B23350" s="136"/>
    </row>
    <row r="23351" spans="1:2" x14ac:dyDescent="0.25">
      <c r="A23351" s="118"/>
      <c r="B23351" s="136"/>
    </row>
    <row r="23352" spans="1:2" x14ac:dyDescent="0.25">
      <c r="A23352" s="118"/>
      <c r="B23352" s="136"/>
    </row>
    <row r="23353" spans="1:2" x14ac:dyDescent="0.25">
      <c r="A23353" s="118"/>
      <c r="B23353" s="136"/>
    </row>
    <row r="23354" spans="1:2" x14ac:dyDescent="0.25">
      <c r="A23354" s="118"/>
      <c r="B23354" s="136"/>
    </row>
    <row r="23355" spans="1:2" x14ac:dyDescent="0.25">
      <c r="A23355" s="118"/>
      <c r="B23355" s="136"/>
    </row>
    <row r="23356" spans="1:2" x14ac:dyDescent="0.25">
      <c r="A23356" s="118"/>
      <c r="B23356" s="136"/>
    </row>
    <row r="23357" spans="1:2" x14ac:dyDescent="0.25">
      <c r="A23357" s="118"/>
      <c r="B23357" s="136"/>
    </row>
    <row r="23358" spans="1:2" x14ac:dyDescent="0.25">
      <c r="A23358" s="118"/>
      <c r="B23358" s="136"/>
    </row>
    <row r="23359" spans="1:2" x14ac:dyDescent="0.25">
      <c r="A23359" s="118"/>
      <c r="B23359" s="136"/>
    </row>
    <row r="23360" spans="1:2" x14ac:dyDescent="0.25">
      <c r="A23360" s="118"/>
      <c r="B23360" s="136"/>
    </row>
    <row r="23361" spans="1:2" x14ac:dyDescent="0.25">
      <c r="A23361" s="118"/>
      <c r="B23361" s="136"/>
    </row>
    <row r="23362" spans="1:2" x14ac:dyDescent="0.25">
      <c r="A23362" s="118"/>
      <c r="B23362" s="136"/>
    </row>
    <row r="23363" spans="1:2" x14ac:dyDescent="0.25">
      <c r="A23363" s="118"/>
      <c r="B23363" s="136"/>
    </row>
    <row r="23364" spans="1:2" x14ac:dyDescent="0.25">
      <c r="A23364" s="118"/>
      <c r="B23364" s="136"/>
    </row>
    <row r="23365" spans="1:2" x14ac:dyDescent="0.25">
      <c r="A23365" s="118"/>
      <c r="B23365" s="136"/>
    </row>
    <row r="23366" spans="1:2" x14ac:dyDescent="0.25">
      <c r="A23366" s="118"/>
      <c r="B23366" s="136"/>
    </row>
    <row r="23367" spans="1:2" x14ac:dyDescent="0.25">
      <c r="A23367" s="118"/>
      <c r="B23367" s="136"/>
    </row>
    <row r="23368" spans="1:2" x14ac:dyDescent="0.25">
      <c r="A23368" s="118"/>
      <c r="B23368" s="136"/>
    </row>
    <row r="23369" spans="1:2" x14ac:dyDescent="0.25">
      <c r="A23369" s="118"/>
      <c r="B23369" s="136"/>
    </row>
    <row r="23370" spans="1:2" x14ac:dyDescent="0.25">
      <c r="A23370" s="118"/>
      <c r="B23370" s="136"/>
    </row>
    <row r="23371" spans="1:2" x14ac:dyDescent="0.25">
      <c r="A23371" s="118"/>
      <c r="B23371" s="136"/>
    </row>
    <row r="23372" spans="1:2" x14ac:dyDescent="0.25">
      <c r="A23372" s="118"/>
      <c r="B23372" s="136"/>
    </row>
    <row r="23373" spans="1:2" x14ac:dyDescent="0.25">
      <c r="A23373" s="118"/>
      <c r="B23373" s="136"/>
    </row>
    <row r="23374" spans="1:2" x14ac:dyDescent="0.25">
      <c r="A23374" s="118"/>
      <c r="B23374" s="136"/>
    </row>
    <row r="23375" spans="1:2" x14ac:dyDescent="0.25">
      <c r="A23375" s="118"/>
      <c r="B23375" s="136"/>
    </row>
    <row r="23376" spans="1:2" x14ac:dyDescent="0.25">
      <c r="A23376" s="118"/>
      <c r="B23376" s="136"/>
    </row>
    <row r="23377" spans="1:2" x14ac:dyDescent="0.25">
      <c r="A23377" s="118"/>
      <c r="B23377" s="136"/>
    </row>
    <row r="23378" spans="1:2" x14ac:dyDescent="0.25">
      <c r="A23378" s="118"/>
      <c r="B23378" s="136"/>
    </row>
    <row r="23379" spans="1:2" x14ac:dyDescent="0.25">
      <c r="A23379" s="118"/>
      <c r="B23379" s="136"/>
    </row>
    <row r="23380" spans="1:2" x14ac:dyDescent="0.25">
      <c r="A23380" s="118"/>
      <c r="B23380" s="136"/>
    </row>
    <row r="23381" spans="1:2" x14ac:dyDescent="0.25">
      <c r="A23381" s="118"/>
      <c r="B23381" s="136"/>
    </row>
    <row r="23382" spans="1:2" x14ac:dyDescent="0.25">
      <c r="A23382" s="118"/>
      <c r="B23382" s="136"/>
    </row>
    <row r="23383" spans="1:2" x14ac:dyDescent="0.25">
      <c r="A23383" s="118"/>
      <c r="B23383" s="136"/>
    </row>
    <row r="23384" spans="1:2" x14ac:dyDescent="0.25">
      <c r="A23384" s="118"/>
      <c r="B23384" s="136"/>
    </row>
    <row r="23385" spans="1:2" x14ac:dyDescent="0.25">
      <c r="A23385" s="118"/>
      <c r="B23385" s="136"/>
    </row>
    <row r="23386" spans="1:2" x14ac:dyDescent="0.25">
      <c r="A23386" s="118"/>
      <c r="B23386" s="136"/>
    </row>
    <row r="23387" spans="1:2" x14ac:dyDescent="0.25">
      <c r="A23387" s="118"/>
      <c r="B23387" s="136"/>
    </row>
    <row r="23388" spans="1:2" x14ac:dyDescent="0.25">
      <c r="A23388" s="118"/>
      <c r="B23388" s="136"/>
    </row>
    <row r="23389" spans="1:2" x14ac:dyDescent="0.25">
      <c r="A23389" s="118"/>
      <c r="B23389" s="136"/>
    </row>
    <row r="23390" spans="1:2" x14ac:dyDescent="0.25">
      <c r="A23390" s="118"/>
      <c r="B23390" s="136"/>
    </row>
    <row r="23391" spans="1:2" x14ac:dyDescent="0.25">
      <c r="A23391" s="118"/>
      <c r="B23391" s="136"/>
    </row>
    <row r="23392" spans="1:2" x14ac:dyDescent="0.25">
      <c r="A23392" s="118"/>
      <c r="B23392" s="136"/>
    </row>
    <row r="23393" spans="1:2" x14ac:dyDescent="0.25">
      <c r="A23393" s="118"/>
      <c r="B23393" s="136"/>
    </row>
    <row r="23394" spans="1:2" x14ac:dyDescent="0.25">
      <c r="A23394" s="118"/>
      <c r="B23394" s="136"/>
    </row>
    <row r="23395" spans="1:2" x14ac:dyDescent="0.25">
      <c r="A23395" s="118"/>
      <c r="B23395" s="136"/>
    </row>
    <row r="23396" spans="1:2" x14ac:dyDescent="0.25">
      <c r="A23396" s="118"/>
      <c r="B23396" s="136"/>
    </row>
    <row r="23397" spans="1:2" x14ac:dyDescent="0.25">
      <c r="A23397" s="118"/>
      <c r="B23397" s="136"/>
    </row>
    <row r="23398" spans="1:2" x14ac:dyDescent="0.25">
      <c r="A23398" s="118"/>
      <c r="B23398" s="136"/>
    </row>
    <row r="23399" spans="1:2" x14ac:dyDescent="0.25">
      <c r="A23399" s="118"/>
      <c r="B23399" s="136"/>
    </row>
    <row r="23400" spans="1:2" x14ac:dyDescent="0.25">
      <c r="A23400" s="118"/>
      <c r="B23400" s="136"/>
    </row>
    <row r="23401" spans="1:2" x14ac:dyDescent="0.25">
      <c r="A23401" s="118"/>
      <c r="B23401" s="136"/>
    </row>
    <row r="23402" spans="1:2" x14ac:dyDescent="0.25">
      <c r="A23402" s="118"/>
      <c r="B23402" s="136"/>
    </row>
    <row r="23403" spans="1:2" x14ac:dyDescent="0.25">
      <c r="A23403" s="118"/>
      <c r="B23403" s="136"/>
    </row>
    <row r="23404" spans="1:2" x14ac:dyDescent="0.25">
      <c r="A23404" s="118"/>
      <c r="B23404" s="136"/>
    </row>
    <row r="23405" spans="1:2" x14ac:dyDescent="0.25">
      <c r="A23405" s="118"/>
      <c r="B23405" s="136"/>
    </row>
    <row r="23406" spans="1:2" x14ac:dyDescent="0.25">
      <c r="A23406" s="118"/>
      <c r="B23406" s="136"/>
    </row>
    <row r="23407" spans="1:2" x14ac:dyDescent="0.25">
      <c r="A23407" s="118"/>
      <c r="B23407" s="136"/>
    </row>
    <row r="23408" spans="1:2" x14ac:dyDescent="0.25">
      <c r="A23408" s="118"/>
      <c r="B23408" s="136"/>
    </row>
    <row r="23409" spans="1:2" x14ac:dyDescent="0.25">
      <c r="A23409" s="118"/>
      <c r="B23409" s="136"/>
    </row>
    <row r="23410" spans="1:2" x14ac:dyDescent="0.25">
      <c r="A23410" s="118"/>
      <c r="B23410" s="136"/>
    </row>
    <row r="23411" spans="1:2" x14ac:dyDescent="0.25">
      <c r="A23411" s="118"/>
      <c r="B23411" s="136"/>
    </row>
    <row r="23412" spans="1:2" x14ac:dyDescent="0.25">
      <c r="A23412" s="118"/>
      <c r="B23412" s="136"/>
    </row>
    <row r="23413" spans="1:2" x14ac:dyDescent="0.25">
      <c r="A23413" s="118"/>
      <c r="B23413" s="136"/>
    </row>
    <row r="23414" spans="1:2" x14ac:dyDescent="0.25">
      <c r="A23414" s="118"/>
      <c r="B23414" s="136"/>
    </row>
    <row r="23415" spans="1:2" x14ac:dyDescent="0.25">
      <c r="A23415" s="118"/>
      <c r="B23415" s="136"/>
    </row>
    <row r="23416" spans="1:2" x14ac:dyDescent="0.25">
      <c r="A23416" s="118"/>
      <c r="B23416" s="136"/>
    </row>
    <row r="23417" spans="1:2" x14ac:dyDescent="0.25">
      <c r="A23417" s="118"/>
      <c r="B23417" s="136"/>
    </row>
    <row r="23418" spans="1:2" x14ac:dyDescent="0.25">
      <c r="A23418" s="118"/>
      <c r="B23418" s="136"/>
    </row>
    <row r="23419" spans="1:2" x14ac:dyDescent="0.25">
      <c r="A23419" s="118"/>
      <c r="B23419" s="136"/>
    </row>
    <row r="23420" spans="1:2" x14ac:dyDescent="0.25">
      <c r="A23420" s="118"/>
      <c r="B23420" s="136"/>
    </row>
    <row r="23421" spans="1:2" x14ac:dyDescent="0.25">
      <c r="A23421" s="118"/>
      <c r="B23421" s="136"/>
    </row>
    <row r="23422" spans="1:2" x14ac:dyDescent="0.25">
      <c r="A23422" s="118"/>
      <c r="B23422" s="136"/>
    </row>
    <row r="23423" spans="1:2" x14ac:dyDescent="0.25">
      <c r="A23423" s="118"/>
      <c r="B23423" s="136"/>
    </row>
    <row r="23424" spans="1:2" x14ac:dyDescent="0.25">
      <c r="A23424" s="118"/>
      <c r="B23424" s="136"/>
    </row>
    <row r="23425" spans="1:2" x14ac:dyDescent="0.25">
      <c r="A23425" s="118"/>
      <c r="B23425" s="136"/>
    </row>
    <row r="23426" spans="1:2" x14ac:dyDescent="0.25">
      <c r="A23426" s="118"/>
      <c r="B23426" s="136"/>
    </row>
    <row r="23427" spans="1:2" x14ac:dyDescent="0.25">
      <c r="A23427" s="118"/>
      <c r="B23427" s="136"/>
    </row>
    <row r="23428" spans="1:2" x14ac:dyDescent="0.25">
      <c r="A23428" s="118"/>
      <c r="B23428" s="136"/>
    </row>
    <row r="23429" spans="1:2" x14ac:dyDescent="0.25">
      <c r="A23429" s="118"/>
      <c r="B23429" s="136"/>
    </row>
    <row r="23430" spans="1:2" x14ac:dyDescent="0.25">
      <c r="A23430" s="118"/>
      <c r="B23430" s="136"/>
    </row>
    <row r="23431" spans="1:2" x14ac:dyDescent="0.25">
      <c r="A23431" s="118"/>
      <c r="B23431" s="136"/>
    </row>
    <row r="23432" spans="1:2" x14ac:dyDescent="0.25">
      <c r="A23432" s="118"/>
      <c r="B23432" s="136"/>
    </row>
    <row r="23433" spans="1:2" x14ac:dyDescent="0.25">
      <c r="A23433" s="118"/>
      <c r="B23433" s="136"/>
    </row>
    <row r="23434" spans="1:2" x14ac:dyDescent="0.25">
      <c r="A23434" s="118"/>
      <c r="B23434" s="136"/>
    </row>
    <row r="23435" spans="1:2" x14ac:dyDescent="0.25">
      <c r="A23435" s="118"/>
      <c r="B23435" s="136"/>
    </row>
    <row r="23436" spans="1:2" x14ac:dyDescent="0.25">
      <c r="A23436" s="118"/>
      <c r="B23436" s="136"/>
    </row>
    <row r="23437" spans="1:2" x14ac:dyDescent="0.25">
      <c r="A23437" s="118"/>
      <c r="B23437" s="136"/>
    </row>
    <row r="23438" spans="1:2" x14ac:dyDescent="0.25">
      <c r="A23438" s="118"/>
      <c r="B23438" s="136"/>
    </row>
    <row r="23439" spans="1:2" x14ac:dyDescent="0.25">
      <c r="A23439" s="118"/>
      <c r="B23439" s="136"/>
    </row>
    <row r="23440" spans="1:2" x14ac:dyDescent="0.25">
      <c r="A23440" s="118"/>
      <c r="B23440" s="136"/>
    </row>
    <row r="23441" spans="1:2" x14ac:dyDescent="0.25">
      <c r="A23441" s="118"/>
      <c r="B23441" s="136"/>
    </row>
    <row r="23442" spans="1:2" x14ac:dyDescent="0.25">
      <c r="A23442" s="118"/>
      <c r="B23442" s="136"/>
    </row>
    <row r="23443" spans="1:2" x14ac:dyDescent="0.25">
      <c r="A23443" s="118"/>
      <c r="B23443" s="136"/>
    </row>
    <row r="23444" spans="1:2" x14ac:dyDescent="0.25">
      <c r="A23444" s="118"/>
      <c r="B23444" s="136"/>
    </row>
    <row r="23445" spans="1:2" x14ac:dyDescent="0.25">
      <c r="A23445" s="118"/>
      <c r="B23445" s="136"/>
    </row>
    <row r="23446" spans="1:2" x14ac:dyDescent="0.25">
      <c r="A23446" s="118"/>
      <c r="B23446" s="136"/>
    </row>
    <row r="23447" spans="1:2" x14ac:dyDescent="0.25">
      <c r="A23447" s="118"/>
      <c r="B23447" s="136"/>
    </row>
    <row r="23448" spans="1:2" x14ac:dyDescent="0.25">
      <c r="A23448" s="118"/>
      <c r="B23448" s="136"/>
    </row>
    <row r="23449" spans="1:2" x14ac:dyDescent="0.25">
      <c r="A23449" s="118"/>
      <c r="B23449" s="136"/>
    </row>
    <row r="23450" spans="1:2" x14ac:dyDescent="0.25">
      <c r="A23450" s="118"/>
      <c r="B23450" s="136"/>
    </row>
    <row r="23451" spans="1:2" x14ac:dyDescent="0.25">
      <c r="A23451" s="118"/>
      <c r="B23451" s="136"/>
    </row>
    <row r="23452" spans="1:2" x14ac:dyDescent="0.25">
      <c r="A23452" s="118"/>
      <c r="B23452" s="136"/>
    </row>
    <row r="23453" spans="1:2" x14ac:dyDescent="0.25">
      <c r="A23453" s="118"/>
      <c r="B23453" s="136"/>
    </row>
    <row r="23454" spans="1:2" x14ac:dyDescent="0.25">
      <c r="A23454" s="118"/>
      <c r="B23454" s="136"/>
    </row>
    <row r="23455" spans="1:2" x14ac:dyDescent="0.25">
      <c r="A23455" s="118"/>
      <c r="B23455" s="136"/>
    </row>
    <row r="23456" spans="1:2" x14ac:dyDescent="0.25">
      <c r="A23456" s="118"/>
      <c r="B23456" s="136"/>
    </row>
    <row r="23457" spans="1:2" x14ac:dyDescent="0.25">
      <c r="A23457" s="118"/>
      <c r="B23457" s="136"/>
    </row>
    <row r="23458" spans="1:2" x14ac:dyDescent="0.25">
      <c r="A23458" s="118"/>
      <c r="B23458" s="136"/>
    </row>
    <row r="23459" spans="1:2" x14ac:dyDescent="0.25">
      <c r="A23459" s="118"/>
      <c r="B23459" s="136"/>
    </row>
    <row r="23460" spans="1:2" x14ac:dyDescent="0.25">
      <c r="A23460" s="118"/>
      <c r="B23460" s="136"/>
    </row>
    <row r="23461" spans="1:2" x14ac:dyDescent="0.25">
      <c r="A23461" s="118"/>
      <c r="B23461" s="136"/>
    </row>
    <row r="23462" spans="1:2" x14ac:dyDescent="0.25">
      <c r="A23462" s="118"/>
      <c r="B23462" s="136"/>
    </row>
    <row r="23463" spans="1:2" x14ac:dyDescent="0.25">
      <c r="A23463" s="118"/>
      <c r="B23463" s="136"/>
    </row>
    <row r="23464" spans="1:2" x14ac:dyDescent="0.25">
      <c r="A23464" s="118"/>
      <c r="B23464" s="136"/>
    </row>
    <row r="23465" spans="1:2" x14ac:dyDescent="0.25">
      <c r="A23465" s="118"/>
      <c r="B23465" s="136"/>
    </row>
    <row r="23466" spans="1:2" x14ac:dyDescent="0.25">
      <c r="A23466" s="118"/>
      <c r="B23466" s="136"/>
    </row>
    <row r="23467" spans="1:2" x14ac:dyDescent="0.25">
      <c r="A23467" s="118"/>
      <c r="B23467" s="136"/>
    </row>
    <row r="23468" spans="1:2" x14ac:dyDescent="0.25">
      <c r="A23468" s="118"/>
      <c r="B23468" s="136"/>
    </row>
    <row r="23469" spans="1:2" x14ac:dyDescent="0.25">
      <c r="A23469" s="118"/>
      <c r="B23469" s="136"/>
    </row>
    <row r="23470" spans="1:2" x14ac:dyDescent="0.25">
      <c r="A23470" s="118"/>
      <c r="B23470" s="136"/>
    </row>
    <row r="23471" spans="1:2" x14ac:dyDescent="0.25">
      <c r="A23471" s="118"/>
      <c r="B23471" s="136"/>
    </row>
    <row r="23472" spans="1:2" x14ac:dyDescent="0.25">
      <c r="A23472" s="118"/>
      <c r="B23472" s="136"/>
    </row>
    <row r="23473" spans="1:2" x14ac:dyDescent="0.25">
      <c r="A23473" s="118"/>
      <c r="B23473" s="136"/>
    </row>
    <row r="23474" spans="1:2" x14ac:dyDescent="0.25">
      <c r="A23474" s="118"/>
      <c r="B23474" s="136"/>
    </row>
    <row r="23475" spans="1:2" x14ac:dyDescent="0.25">
      <c r="A23475" s="118"/>
      <c r="B23475" s="136"/>
    </row>
    <row r="23476" spans="1:2" x14ac:dyDescent="0.25">
      <c r="A23476" s="118"/>
      <c r="B23476" s="136"/>
    </row>
    <row r="23477" spans="1:2" x14ac:dyDescent="0.25">
      <c r="A23477" s="118"/>
      <c r="B23477" s="136"/>
    </row>
    <row r="23478" spans="1:2" x14ac:dyDescent="0.25">
      <c r="A23478" s="118"/>
      <c r="B23478" s="136"/>
    </row>
    <row r="23479" spans="1:2" x14ac:dyDescent="0.25">
      <c r="A23479" s="118"/>
      <c r="B23479" s="136"/>
    </row>
    <row r="23480" spans="1:2" x14ac:dyDescent="0.25">
      <c r="A23480" s="118"/>
      <c r="B23480" s="136"/>
    </row>
    <row r="23481" spans="1:2" x14ac:dyDescent="0.25">
      <c r="A23481" s="118"/>
      <c r="B23481" s="136"/>
    </row>
    <row r="23482" spans="1:2" x14ac:dyDescent="0.25">
      <c r="A23482" s="118"/>
      <c r="B23482" s="136"/>
    </row>
    <row r="23483" spans="1:2" x14ac:dyDescent="0.25">
      <c r="A23483" s="118"/>
      <c r="B23483" s="136"/>
    </row>
    <row r="23484" spans="1:2" x14ac:dyDescent="0.25">
      <c r="A23484" s="118"/>
      <c r="B23484" s="136"/>
    </row>
    <row r="23485" spans="1:2" x14ac:dyDescent="0.25">
      <c r="A23485" s="118"/>
      <c r="B23485" s="136"/>
    </row>
    <row r="23486" spans="1:2" x14ac:dyDescent="0.25">
      <c r="A23486" s="118"/>
      <c r="B23486" s="136"/>
    </row>
    <row r="23487" spans="1:2" x14ac:dyDescent="0.25">
      <c r="A23487" s="118"/>
      <c r="B23487" s="136"/>
    </row>
    <row r="23488" spans="1:2" x14ac:dyDescent="0.25">
      <c r="A23488" s="118"/>
      <c r="B23488" s="136"/>
    </row>
    <row r="23489" spans="1:2" x14ac:dyDescent="0.25">
      <c r="A23489" s="118"/>
      <c r="B23489" s="136"/>
    </row>
    <row r="23490" spans="1:2" x14ac:dyDescent="0.25">
      <c r="A23490" s="118"/>
      <c r="B23490" s="136"/>
    </row>
    <row r="23491" spans="1:2" x14ac:dyDescent="0.25">
      <c r="A23491" s="118"/>
      <c r="B23491" s="136"/>
    </row>
    <row r="23492" spans="1:2" x14ac:dyDescent="0.25">
      <c r="A23492" s="118"/>
      <c r="B23492" s="136"/>
    </row>
    <row r="23493" spans="1:2" x14ac:dyDescent="0.25">
      <c r="A23493" s="118"/>
      <c r="B23493" s="136"/>
    </row>
    <row r="23494" spans="1:2" x14ac:dyDescent="0.25">
      <c r="A23494" s="118"/>
      <c r="B23494" s="136"/>
    </row>
    <row r="23495" spans="1:2" x14ac:dyDescent="0.25">
      <c r="A23495" s="118"/>
      <c r="B23495" s="136"/>
    </row>
    <row r="23496" spans="1:2" x14ac:dyDescent="0.25">
      <c r="A23496" s="118"/>
      <c r="B23496" s="136"/>
    </row>
    <row r="23497" spans="1:2" x14ac:dyDescent="0.25">
      <c r="A23497" s="118"/>
      <c r="B23497" s="136"/>
    </row>
    <row r="23498" spans="1:2" x14ac:dyDescent="0.25">
      <c r="A23498" s="118"/>
      <c r="B23498" s="136"/>
    </row>
    <row r="23499" spans="1:2" x14ac:dyDescent="0.25">
      <c r="A23499" s="118"/>
      <c r="B23499" s="136"/>
    </row>
    <row r="23500" spans="1:2" x14ac:dyDescent="0.25">
      <c r="A23500" s="118"/>
      <c r="B23500" s="136"/>
    </row>
    <row r="23501" spans="1:2" x14ac:dyDescent="0.25">
      <c r="A23501" s="118"/>
      <c r="B23501" s="136"/>
    </row>
    <row r="23502" spans="1:2" x14ac:dyDescent="0.25">
      <c r="A23502" s="118"/>
      <c r="B23502" s="136"/>
    </row>
    <row r="23503" spans="1:2" x14ac:dyDescent="0.25">
      <c r="A23503" s="118"/>
      <c r="B23503" s="136"/>
    </row>
    <row r="23504" spans="1:2" x14ac:dyDescent="0.25">
      <c r="A23504" s="118"/>
      <c r="B23504" s="136"/>
    </row>
    <row r="23505" spans="1:2" x14ac:dyDescent="0.25">
      <c r="A23505" s="118"/>
      <c r="B23505" s="136"/>
    </row>
    <row r="23506" spans="1:2" x14ac:dyDescent="0.25">
      <c r="A23506" s="118"/>
      <c r="B23506" s="136"/>
    </row>
    <row r="23507" spans="1:2" x14ac:dyDescent="0.25">
      <c r="A23507" s="118"/>
      <c r="B23507" s="136"/>
    </row>
    <row r="23508" spans="1:2" x14ac:dyDescent="0.25">
      <c r="A23508" s="118"/>
      <c r="B23508" s="136"/>
    </row>
    <row r="23509" spans="1:2" x14ac:dyDescent="0.25">
      <c r="A23509" s="118"/>
      <c r="B23509" s="136"/>
    </row>
    <row r="23510" spans="1:2" x14ac:dyDescent="0.25">
      <c r="A23510" s="118"/>
      <c r="B23510" s="136"/>
    </row>
    <row r="23511" spans="1:2" x14ac:dyDescent="0.25">
      <c r="A23511" s="118"/>
      <c r="B23511" s="136"/>
    </row>
    <row r="23512" spans="1:2" x14ac:dyDescent="0.25">
      <c r="A23512" s="118"/>
      <c r="B23512" s="136"/>
    </row>
    <row r="23513" spans="1:2" x14ac:dyDescent="0.25">
      <c r="A23513" s="118"/>
      <c r="B23513" s="136"/>
    </row>
    <row r="23514" spans="1:2" x14ac:dyDescent="0.25">
      <c r="A23514" s="118"/>
      <c r="B23514" s="136"/>
    </row>
    <row r="23515" spans="1:2" x14ac:dyDescent="0.25">
      <c r="A23515" s="118"/>
      <c r="B23515" s="136"/>
    </row>
    <row r="23516" spans="1:2" x14ac:dyDescent="0.25">
      <c r="A23516" s="118"/>
      <c r="B23516" s="136"/>
    </row>
    <row r="23517" spans="1:2" x14ac:dyDescent="0.25">
      <c r="A23517" s="118"/>
      <c r="B23517" s="136"/>
    </row>
    <row r="23518" spans="1:2" x14ac:dyDescent="0.25">
      <c r="A23518" s="118"/>
      <c r="B23518" s="136"/>
    </row>
    <row r="23519" spans="1:2" x14ac:dyDescent="0.25">
      <c r="A23519" s="118"/>
      <c r="B23519" s="136"/>
    </row>
    <row r="23520" spans="1:2" x14ac:dyDescent="0.25">
      <c r="A23520" s="118"/>
      <c r="B23520" s="136"/>
    </row>
    <row r="23521" spans="1:2" x14ac:dyDescent="0.25">
      <c r="A23521" s="118"/>
      <c r="B23521" s="136"/>
    </row>
    <row r="23522" spans="1:2" x14ac:dyDescent="0.25">
      <c r="A23522" s="118"/>
      <c r="B23522" s="136"/>
    </row>
    <row r="23523" spans="1:2" x14ac:dyDescent="0.25">
      <c r="A23523" s="118"/>
      <c r="B23523" s="136"/>
    </row>
    <row r="23524" spans="1:2" x14ac:dyDescent="0.25">
      <c r="A23524" s="118"/>
      <c r="B23524" s="136"/>
    </row>
    <row r="23525" spans="1:2" x14ac:dyDescent="0.25">
      <c r="A23525" s="118"/>
      <c r="B23525" s="136"/>
    </row>
    <row r="23526" spans="1:2" x14ac:dyDescent="0.25">
      <c r="A23526" s="118"/>
      <c r="B23526" s="136"/>
    </row>
    <row r="23527" spans="1:2" x14ac:dyDescent="0.25">
      <c r="A23527" s="118"/>
      <c r="B23527" s="136"/>
    </row>
    <row r="23528" spans="1:2" x14ac:dyDescent="0.25">
      <c r="A23528" s="118"/>
      <c r="B23528" s="136"/>
    </row>
    <row r="23529" spans="1:2" x14ac:dyDescent="0.25">
      <c r="A23529" s="118"/>
      <c r="B23529" s="136"/>
    </row>
    <row r="23530" spans="1:2" x14ac:dyDescent="0.25">
      <c r="A23530" s="118"/>
      <c r="B23530" s="136"/>
    </row>
    <row r="23531" spans="1:2" x14ac:dyDescent="0.25">
      <c r="A23531" s="118"/>
      <c r="B23531" s="136"/>
    </row>
    <row r="23532" spans="1:2" x14ac:dyDescent="0.25">
      <c r="A23532" s="118"/>
      <c r="B23532" s="136"/>
    </row>
    <row r="23533" spans="1:2" x14ac:dyDescent="0.25">
      <c r="A23533" s="118"/>
      <c r="B23533" s="136"/>
    </row>
    <row r="23534" spans="1:2" x14ac:dyDescent="0.25">
      <c r="A23534" s="118"/>
      <c r="B23534" s="136"/>
    </row>
    <row r="23535" spans="1:2" x14ac:dyDescent="0.25">
      <c r="A23535" s="118"/>
      <c r="B23535" s="136"/>
    </row>
    <row r="23536" spans="1:2" x14ac:dyDescent="0.25">
      <c r="A23536" s="118"/>
      <c r="B23536" s="136"/>
    </row>
    <row r="23537" spans="1:2" x14ac:dyDescent="0.25">
      <c r="A23537" s="118"/>
      <c r="B23537" s="136"/>
    </row>
    <row r="23538" spans="1:2" x14ac:dyDescent="0.25">
      <c r="A23538" s="118"/>
      <c r="B23538" s="136"/>
    </row>
    <row r="23539" spans="1:2" x14ac:dyDescent="0.25">
      <c r="A23539" s="118"/>
      <c r="B23539" s="136"/>
    </row>
    <row r="23540" spans="1:2" x14ac:dyDescent="0.25">
      <c r="A23540" s="118"/>
      <c r="B23540" s="136"/>
    </row>
    <row r="23541" spans="1:2" x14ac:dyDescent="0.25">
      <c r="A23541" s="118"/>
      <c r="B23541" s="136"/>
    </row>
    <row r="23542" spans="1:2" x14ac:dyDescent="0.25">
      <c r="A23542" s="118"/>
      <c r="B23542" s="136"/>
    </row>
    <row r="23543" spans="1:2" x14ac:dyDescent="0.25">
      <c r="A23543" s="118"/>
      <c r="B23543" s="136"/>
    </row>
    <row r="23544" spans="1:2" x14ac:dyDescent="0.25">
      <c r="A23544" s="118"/>
      <c r="B23544" s="136"/>
    </row>
    <row r="23545" spans="1:2" x14ac:dyDescent="0.25">
      <c r="A23545" s="118"/>
      <c r="B23545" s="136"/>
    </row>
    <row r="23546" spans="1:2" x14ac:dyDescent="0.25">
      <c r="A23546" s="118"/>
      <c r="B23546" s="136"/>
    </row>
    <row r="23547" spans="1:2" x14ac:dyDescent="0.25">
      <c r="A23547" s="118"/>
      <c r="B23547" s="136"/>
    </row>
    <row r="23548" spans="1:2" x14ac:dyDescent="0.25">
      <c r="A23548" s="118"/>
      <c r="B23548" s="136"/>
    </row>
    <row r="23549" spans="1:2" x14ac:dyDescent="0.25">
      <c r="A23549" s="118"/>
      <c r="B23549" s="136"/>
    </row>
    <row r="23550" spans="1:2" x14ac:dyDescent="0.25">
      <c r="A23550" s="118"/>
      <c r="B23550" s="136"/>
    </row>
    <row r="23551" spans="1:2" x14ac:dyDescent="0.25">
      <c r="A23551" s="118"/>
      <c r="B23551" s="136"/>
    </row>
    <row r="23552" spans="1:2" x14ac:dyDescent="0.25">
      <c r="A23552" s="118"/>
      <c r="B23552" s="136"/>
    </row>
    <row r="23553" spans="1:2" x14ac:dyDescent="0.25">
      <c r="A23553" s="118"/>
      <c r="B23553" s="136"/>
    </row>
    <row r="23554" spans="1:2" x14ac:dyDescent="0.25">
      <c r="A23554" s="118"/>
      <c r="B23554" s="136"/>
    </row>
    <row r="23555" spans="1:2" x14ac:dyDescent="0.25">
      <c r="A23555" s="118"/>
      <c r="B23555" s="136"/>
    </row>
    <row r="23556" spans="1:2" x14ac:dyDescent="0.25">
      <c r="A23556" s="118"/>
      <c r="B23556" s="136"/>
    </row>
    <row r="23557" spans="1:2" x14ac:dyDescent="0.25">
      <c r="A23557" s="118"/>
      <c r="B23557" s="136"/>
    </row>
    <row r="23558" spans="1:2" x14ac:dyDescent="0.25">
      <c r="A23558" s="118"/>
      <c r="B23558" s="136"/>
    </row>
    <row r="23559" spans="1:2" x14ac:dyDescent="0.25">
      <c r="A23559" s="118"/>
      <c r="B23559" s="136"/>
    </row>
    <row r="23560" spans="1:2" x14ac:dyDescent="0.25">
      <c r="A23560" s="118"/>
      <c r="B23560" s="136"/>
    </row>
    <row r="23561" spans="1:2" x14ac:dyDescent="0.25">
      <c r="A23561" s="118"/>
      <c r="B23561" s="136"/>
    </row>
    <row r="23562" spans="1:2" x14ac:dyDescent="0.25">
      <c r="A23562" s="118"/>
      <c r="B23562" s="136"/>
    </row>
    <row r="23563" spans="1:2" x14ac:dyDescent="0.25">
      <c r="A23563" s="118"/>
      <c r="B23563" s="136"/>
    </row>
    <row r="23564" spans="1:2" x14ac:dyDescent="0.25">
      <c r="A23564" s="118"/>
      <c r="B23564" s="136"/>
    </row>
    <row r="23565" spans="1:2" x14ac:dyDescent="0.25">
      <c r="A23565" s="118"/>
      <c r="B23565" s="136"/>
    </row>
    <row r="23566" spans="1:2" x14ac:dyDescent="0.25">
      <c r="A23566" s="118"/>
      <c r="B23566" s="136"/>
    </row>
    <row r="23567" spans="1:2" x14ac:dyDescent="0.25">
      <c r="A23567" s="118"/>
      <c r="B23567" s="136"/>
    </row>
    <row r="23568" spans="1:2" x14ac:dyDescent="0.25">
      <c r="A23568" s="118"/>
      <c r="B23568" s="136"/>
    </row>
    <row r="23569" spans="1:2" x14ac:dyDescent="0.25">
      <c r="A23569" s="118"/>
      <c r="B23569" s="136"/>
    </row>
    <row r="23570" spans="1:2" x14ac:dyDescent="0.25">
      <c r="A23570" s="118"/>
      <c r="B23570" s="136"/>
    </row>
    <row r="23571" spans="1:2" x14ac:dyDescent="0.25">
      <c r="A23571" s="118"/>
      <c r="B23571" s="136"/>
    </row>
    <row r="23572" spans="1:2" x14ac:dyDescent="0.25">
      <c r="A23572" s="118"/>
      <c r="B23572" s="136"/>
    </row>
    <row r="23573" spans="1:2" x14ac:dyDescent="0.25">
      <c r="A23573" s="118"/>
      <c r="B23573" s="136"/>
    </row>
    <row r="23574" spans="1:2" x14ac:dyDescent="0.25">
      <c r="A23574" s="118"/>
      <c r="B23574" s="136"/>
    </row>
    <row r="23575" spans="1:2" x14ac:dyDescent="0.25">
      <c r="A23575" s="118"/>
      <c r="B23575" s="136"/>
    </row>
    <row r="23576" spans="1:2" x14ac:dyDescent="0.25">
      <c r="A23576" s="118"/>
      <c r="B23576" s="136"/>
    </row>
    <row r="23577" spans="1:2" x14ac:dyDescent="0.25">
      <c r="A23577" s="118"/>
      <c r="B23577" s="136"/>
    </row>
    <row r="23578" spans="1:2" x14ac:dyDescent="0.25">
      <c r="A23578" s="118"/>
      <c r="B23578" s="136"/>
    </row>
    <row r="23579" spans="1:2" x14ac:dyDescent="0.25">
      <c r="A23579" s="118"/>
      <c r="B23579" s="136"/>
    </row>
    <row r="23580" spans="1:2" x14ac:dyDescent="0.25">
      <c r="A23580" s="118"/>
      <c r="B23580" s="136"/>
    </row>
    <row r="23581" spans="1:2" x14ac:dyDescent="0.25">
      <c r="A23581" s="118"/>
      <c r="B23581" s="136"/>
    </row>
    <row r="23582" spans="1:2" x14ac:dyDescent="0.25">
      <c r="A23582" s="118"/>
      <c r="B23582" s="136"/>
    </row>
    <row r="23583" spans="1:2" x14ac:dyDescent="0.25">
      <c r="A23583" s="118"/>
      <c r="B23583" s="136"/>
    </row>
    <row r="23584" spans="1:2" x14ac:dyDescent="0.25">
      <c r="A23584" s="118"/>
      <c r="B23584" s="136"/>
    </row>
    <row r="23585" spans="1:2" x14ac:dyDescent="0.25">
      <c r="A23585" s="118"/>
      <c r="B23585" s="136"/>
    </row>
    <row r="23586" spans="1:2" x14ac:dyDescent="0.25">
      <c r="A23586" s="118"/>
      <c r="B23586" s="136"/>
    </row>
    <row r="23587" spans="1:2" x14ac:dyDescent="0.25">
      <c r="A23587" s="118"/>
      <c r="B23587" s="136"/>
    </row>
    <row r="23588" spans="1:2" x14ac:dyDescent="0.25">
      <c r="A23588" s="118"/>
      <c r="B23588" s="136"/>
    </row>
    <row r="23589" spans="1:2" x14ac:dyDescent="0.25">
      <c r="A23589" s="118"/>
      <c r="B23589" s="136"/>
    </row>
    <row r="23590" spans="1:2" x14ac:dyDescent="0.25">
      <c r="A23590" s="118"/>
      <c r="B23590" s="136"/>
    </row>
    <row r="23591" spans="1:2" x14ac:dyDescent="0.25">
      <c r="A23591" s="118"/>
      <c r="B23591" s="136"/>
    </row>
    <row r="23592" spans="1:2" x14ac:dyDescent="0.25">
      <c r="A23592" s="118"/>
      <c r="B23592" s="136"/>
    </row>
    <row r="23593" spans="1:2" x14ac:dyDescent="0.25">
      <c r="A23593" s="118"/>
      <c r="B23593" s="136"/>
    </row>
    <row r="23594" spans="1:2" x14ac:dyDescent="0.25">
      <c r="A23594" s="118"/>
      <c r="B23594" s="136"/>
    </row>
    <row r="23595" spans="1:2" x14ac:dyDescent="0.25">
      <c r="A23595" s="118"/>
      <c r="B23595" s="136"/>
    </row>
    <row r="23596" spans="1:2" x14ac:dyDescent="0.25">
      <c r="A23596" s="118"/>
      <c r="B23596" s="136"/>
    </row>
    <row r="23597" spans="1:2" x14ac:dyDescent="0.25">
      <c r="A23597" s="118"/>
      <c r="B23597" s="136"/>
    </row>
    <row r="23598" spans="1:2" x14ac:dyDescent="0.25">
      <c r="A23598" s="118"/>
      <c r="B23598" s="136"/>
    </row>
    <row r="23599" spans="1:2" x14ac:dyDescent="0.25">
      <c r="A23599" s="118"/>
      <c r="B23599" s="136"/>
    </row>
    <row r="23600" spans="1:2" x14ac:dyDescent="0.25">
      <c r="A23600" s="118"/>
      <c r="B23600" s="136"/>
    </row>
    <row r="23601" spans="1:2" x14ac:dyDescent="0.25">
      <c r="A23601" s="118"/>
      <c r="B23601" s="136"/>
    </row>
    <row r="23602" spans="1:2" x14ac:dyDescent="0.25">
      <c r="A23602" s="118"/>
      <c r="B23602" s="136"/>
    </row>
    <row r="23603" spans="1:2" x14ac:dyDescent="0.25">
      <c r="A23603" s="118"/>
      <c r="B23603" s="136"/>
    </row>
    <row r="23604" spans="1:2" x14ac:dyDescent="0.25">
      <c r="A23604" s="118"/>
      <c r="B23604" s="136"/>
    </row>
    <row r="23605" spans="1:2" x14ac:dyDescent="0.25">
      <c r="A23605" s="118"/>
      <c r="B23605" s="136"/>
    </row>
    <row r="23606" spans="1:2" x14ac:dyDescent="0.25">
      <c r="A23606" s="118"/>
      <c r="B23606" s="136"/>
    </row>
    <row r="23607" spans="1:2" x14ac:dyDescent="0.25">
      <c r="A23607" s="118"/>
      <c r="B23607" s="136"/>
    </row>
    <row r="23608" spans="1:2" x14ac:dyDescent="0.25">
      <c r="A23608" s="118"/>
      <c r="B23608" s="136"/>
    </row>
    <row r="23609" spans="1:2" x14ac:dyDescent="0.25">
      <c r="A23609" s="118"/>
      <c r="B23609" s="136"/>
    </row>
    <row r="23610" spans="1:2" x14ac:dyDescent="0.25">
      <c r="A23610" s="118"/>
      <c r="B23610" s="136"/>
    </row>
    <row r="23611" spans="1:2" x14ac:dyDescent="0.25">
      <c r="A23611" s="118"/>
      <c r="B23611" s="136"/>
    </row>
    <row r="23612" spans="1:2" x14ac:dyDescent="0.25">
      <c r="A23612" s="118"/>
      <c r="B23612" s="136"/>
    </row>
    <row r="23613" spans="1:2" x14ac:dyDescent="0.25">
      <c r="A23613" s="118"/>
      <c r="B23613" s="136"/>
    </row>
    <row r="23614" spans="1:2" x14ac:dyDescent="0.25">
      <c r="A23614" s="118"/>
      <c r="B23614" s="136"/>
    </row>
    <row r="23615" spans="1:2" x14ac:dyDescent="0.25">
      <c r="A23615" s="118"/>
      <c r="B23615" s="136"/>
    </row>
    <row r="23616" spans="1:2" x14ac:dyDescent="0.25">
      <c r="A23616" s="118"/>
      <c r="B23616" s="136"/>
    </row>
    <row r="23617" spans="1:2" x14ac:dyDescent="0.25">
      <c r="A23617" s="118"/>
      <c r="B23617" s="136"/>
    </row>
    <row r="23618" spans="1:2" x14ac:dyDescent="0.25">
      <c r="A23618" s="118"/>
      <c r="B23618" s="136"/>
    </row>
    <row r="23619" spans="1:2" x14ac:dyDescent="0.25">
      <c r="A23619" s="118"/>
      <c r="B23619" s="136"/>
    </row>
    <row r="23620" spans="1:2" x14ac:dyDescent="0.25">
      <c r="A23620" s="118"/>
      <c r="B23620" s="136"/>
    </row>
    <row r="23621" spans="1:2" x14ac:dyDescent="0.25">
      <c r="A23621" s="118"/>
      <c r="B23621" s="136"/>
    </row>
    <row r="23622" spans="1:2" x14ac:dyDescent="0.25">
      <c r="A23622" s="118"/>
      <c r="B23622" s="136"/>
    </row>
    <row r="23623" spans="1:2" x14ac:dyDescent="0.25">
      <c r="A23623" s="118"/>
      <c r="B23623" s="136"/>
    </row>
    <row r="23624" spans="1:2" x14ac:dyDescent="0.25">
      <c r="A23624" s="118"/>
      <c r="B23624" s="136"/>
    </row>
    <row r="23625" spans="1:2" x14ac:dyDescent="0.25">
      <c r="A23625" s="118"/>
      <c r="B23625" s="136"/>
    </row>
    <row r="23626" spans="1:2" x14ac:dyDescent="0.25">
      <c r="A23626" s="118"/>
      <c r="B23626" s="136"/>
    </row>
    <row r="23627" spans="1:2" x14ac:dyDescent="0.25">
      <c r="A23627" s="118"/>
      <c r="B23627" s="136"/>
    </row>
    <row r="23628" spans="1:2" x14ac:dyDescent="0.25">
      <c r="A23628" s="118"/>
      <c r="B23628" s="136"/>
    </row>
    <row r="23629" spans="1:2" x14ac:dyDescent="0.25">
      <c r="A23629" s="118"/>
      <c r="B23629" s="136"/>
    </row>
    <row r="23630" spans="1:2" x14ac:dyDescent="0.25">
      <c r="A23630" s="118"/>
      <c r="B23630" s="136"/>
    </row>
    <row r="23631" spans="1:2" x14ac:dyDescent="0.25">
      <c r="A23631" s="118"/>
      <c r="B23631" s="136"/>
    </row>
    <row r="23632" spans="1:2" x14ac:dyDescent="0.25">
      <c r="A23632" s="118"/>
      <c r="B23632" s="136"/>
    </row>
    <row r="23633" spans="1:2" x14ac:dyDescent="0.25">
      <c r="A23633" s="118"/>
      <c r="B23633" s="136"/>
    </row>
    <row r="23634" spans="1:2" x14ac:dyDescent="0.25">
      <c r="A23634" s="118"/>
      <c r="B23634" s="136"/>
    </row>
    <row r="23635" spans="1:2" x14ac:dyDescent="0.25">
      <c r="A23635" s="118"/>
      <c r="B23635" s="136"/>
    </row>
    <row r="23636" spans="1:2" x14ac:dyDescent="0.25">
      <c r="A23636" s="118"/>
      <c r="B23636" s="136"/>
    </row>
    <row r="23637" spans="1:2" x14ac:dyDescent="0.25">
      <c r="A23637" s="118"/>
      <c r="B23637" s="136"/>
    </row>
    <row r="23638" spans="1:2" x14ac:dyDescent="0.25">
      <c r="A23638" s="118"/>
      <c r="B23638" s="136"/>
    </row>
    <row r="23639" spans="1:2" x14ac:dyDescent="0.25">
      <c r="A23639" s="118"/>
      <c r="B23639" s="136"/>
    </row>
    <row r="23640" spans="1:2" x14ac:dyDescent="0.25">
      <c r="A23640" s="118"/>
      <c r="B23640" s="136"/>
    </row>
    <row r="23641" spans="1:2" x14ac:dyDescent="0.25">
      <c r="A23641" s="118"/>
      <c r="B23641" s="136"/>
    </row>
    <row r="23642" spans="1:2" x14ac:dyDescent="0.25">
      <c r="A23642" s="118"/>
      <c r="B23642" s="136"/>
    </row>
    <row r="23643" spans="1:2" x14ac:dyDescent="0.25">
      <c r="A23643" s="118"/>
      <c r="B23643" s="136"/>
    </row>
    <row r="23644" spans="1:2" x14ac:dyDescent="0.25">
      <c r="A23644" s="118"/>
      <c r="B23644" s="136"/>
    </row>
    <row r="23645" spans="1:2" x14ac:dyDescent="0.25">
      <c r="A23645" s="118"/>
      <c r="B23645" s="136"/>
    </row>
    <row r="23646" spans="1:2" x14ac:dyDescent="0.25">
      <c r="A23646" s="118"/>
      <c r="B23646" s="136"/>
    </row>
    <row r="23647" spans="1:2" x14ac:dyDescent="0.25">
      <c r="A23647" s="118"/>
      <c r="B23647" s="136"/>
    </row>
    <row r="23648" spans="1:2" x14ac:dyDescent="0.25">
      <c r="A23648" s="118"/>
      <c r="B23648" s="136"/>
    </row>
    <row r="23649" spans="1:2" x14ac:dyDescent="0.25">
      <c r="A23649" s="118"/>
      <c r="B23649" s="136"/>
    </row>
    <row r="23650" spans="1:2" x14ac:dyDescent="0.25">
      <c r="A23650" s="118"/>
      <c r="B23650" s="136"/>
    </row>
    <row r="23651" spans="1:2" x14ac:dyDescent="0.25">
      <c r="A23651" s="118"/>
      <c r="B23651" s="136"/>
    </row>
    <row r="23652" spans="1:2" x14ac:dyDescent="0.25">
      <c r="A23652" s="118"/>
      <c r="B23652" s="136"/>
    </row>
    <row r="23653" spans="1:2" x14ac:dyDescent="0.25">
      <c r="A23653" s="118"/>
      <c r="B23653" s="136"/>
    </row>
    <row r="23654" spans="1:2" x14ac:dyDescent="0.25">
      <c r="A23654" s="118"/>
      <c r="B23654" s="136"/>
    </row>
    <row r="23655" spans="1:2" x14ac:dyDescent="0.25">
      <c r="A23655" s="118"/>
      <c r="B23655" s="136"/>
    </row>
    <row r="23656" spans="1:2" x14ac:dyDescent="0.25">
      <c r="A23656" s="118"/>
      <c r="B23656" s="136"/>
    </row>
    <row r="23657" spans="1:2" x14ac:dyDescent="0.25">
      <c r="A23657" s="118"/>
      <c r="B23657" s="136"/>
    </row>
    <row r="23658" spans="1:2" x14ac:dyDescent="0.25">
      <c r="A23658" s="118"/>
      <c r="B23658" s="136"/>
    </row>
    <row r="23659" spans="1:2" x14ac:dyDescent="0.25">
      <c r="A23659" s="118"/>
      <c r="B23659" s="136"/>
    </row>
    <row r="23660" spans="1:2" x14ac:dyDescent="0.25">
      <c r="A23660" s="118"/>
      <c r="B23660" s="136"/>
    </row>
    <row r="23661" spans="1:2" x14ac:dyDescent="0.25">
      <c r="A23661" s="118"/>
      <c r="B23661" s="136"/>
    </row>
    <row r="23662" spans="1:2" x14ac:dyDescent="0.25">
      <c r="A23662" s="118"/>
      <c r="B23662" s="136"/>
    </row>
    <row r="23663" spans="1:2" x14ac:dyDescent="0.25">
      <c r="A23663" s="118"/>
      <c r="B23663" s="136"/>
    </row>
    <row r="23664" spans="1:2" x14ac:dyDescent="0.25">
      <c r="A23664" s="118"/>
      <c r="B23664" s="136"/>
    </row>
    <row r="23665" spans="1:2" x14ac:dyDescent="0.25">
      <c r="A23665" s="118"/>
      <c r="B23665" s="136"/>
    </row>
    <row r="23666" spans="1:2" x14ac:dyDescent="0.25">
      <c r="A23666" s="118"/>
      <c r="B23666" s="136"/>
    </row>
    <row r="23667" spans="1:2" x14ac:dyDescent="0.25">
      <c r="A23667" s="118"/>
      <c r="B23667" s="136"/>
    </row>
    <row r="23668" spans="1:2" x14ac:dyDescent="0.25">
      <c r="A23668" s="118"/>
      <c r="B23668" s="136"/>
    </row>
    <row r="23669" spans="1:2" x14ac:dyDescent="0.25">
      <c r="A23669" s="118"/>
      <c r="B23669" s="136"/>
    </row>
    <row r="23670" spans="1:2" x14ac:dyDescent="0.25">
      <c r="A23670" s="118"/>
      <c r="B23670" s="136"/>
    </row>
    <row r="23671" spans="1:2" x14ac:dyDescent="0.25">
      <c r="A23671" s="118"/>
      <c r="B23671" s="136"/>
    </row>
    <row r="23672" spans="1:2" x14ac:dyDescent="0.25">
      <c r="A23672" s="118"/>
      <c r="B23672" s="136"/>
    </row>
    <row r="23673" spans="1:2" x14ac:dyDescent="0.25">
      <c r="A23673" s="118"/>
      <c r="B23673" s="136"/>
    </row>
    <row r="23674" spans="1:2" x14ac:dyDescent="0.25">
      <c r="A23674" s="118"/>
      <c r="B23674" s="136"/>
    </row>
    <row r="23675" spans="1:2" x14ac:dyDescent="0.25">
      <c r="A23675" s="118"/>
      <c r="B23675" s="136"/>
    </row>
    <row r="23676" spans="1:2" x14ac:dyDescent="0.25">
      <c r="A23676" s="118"/>
      <c r="B23676" s="136"/>
    </row>
    <row r="23677" spans="1:2" x14ac:dyDescent="0.25">
      <c r="A23677" s="118"/>
      <c r="B23677" s="136"/>
    </row>
    <row r="23678" spans="1:2" x14ac:dyDescent="0.25">
      <c r="A23678" s="118"/>
      <c r="B23678" s="136"/>
    </row>
    <row r="23679" spans="1:2" x14ac:dyDescent="0.25">
      <c r="A23679" s="118"/>
      <c r="B23679" s="136"/>
    </row>
    <row r="23680" spans="1:2" x14ac:dyDescent="0.25">
      <c r="A23680" s="118"/>
      <c r="B23680" s="136"/>
    </row>
    <row r="23681" spans="1:2" x14ac:dyDescent="0.25">
      <c r="A23681" s="118"/>
      <c r="B23681" s="136"/>
    </row>
    <row r="23682" spans="1:2" x14ac:dyDescent="0.25">
      <c r="A23682" s="118"/>
      <c r="B23682" s="136"/>
    </row>
    <row r="23683" spans="1:2" x14ac:dyDescent="0.25">
      <c r="A23683" s="118"/>
      <c r="B23683" s="136"/>
    </row>
    <row r="23684" spans="1:2" x14ac:dyDescent="0.25">
      <c r="A23684" s="118"/>
      <c r="B23684" s="136"/>
    </row>
    <row r="23685" spans="1:2" x14ac:dyDescent="0.25">
      <c r="A23685" s="118"/>
      <c r="B23685" s="136"/>
    </row>
    <row r="23686" spans="1:2" x14ac:dyDescent="0.25">
      <c r="A23686" s="118"/>
      <c r="B23686" s="136"/>
    </row>
    <row r="23687" spans="1:2" x14ac:dyDescent="0.25">
      <c r="A23687" s="118"/>
      <c r="B23687" s="136"/>
    </row>
    <row r="23688" spans="1:2" x14ac:dyDescent="0.25">
      <c r="A23688" s="118"/>
      <c r="B23688" s="136"/>
    </row>
    <row r="23689" spans="1:2" x14ac:dyDescent="0.25">
      <c r="A23689" s="118"/>
      <c r="B23689" s="136"/>
    </row>
    <row r="23690" spans="1:2" x14ac:dyDescent="0.25">
      <c r="A23690" s="118"/>
      <c r="B23690" s="136"/>
    </row>
    <row r="23691" spans="1:2" x14ac:dyDescent="0.25">
      <c r="A23691" s="118"/>
      <c r="B23691" s="136"/>
    </row>
    <row r="23692" spans="1:2" x14ac:dyDescent="0.25">
      <c r="A23692" s="118"/>
      <c r="B23692" s="136"/>
    </row>
    <row r="23693" spans="1:2" x14ac:dyDescent="0.25">
      <c r="A23693" s="118"/>
      <c r="B23693" s="136"/>
    </row>
    <row r="23694" spans="1:2" x14ac:dyDescent="0.25">
      <c r="A23694" s="118"/>
      <c r="B23694" s="136"/>
    </row>
    <row r="23695" spans="1:2" x14ac:dyDescent="0.25">
      <c r="A23695" s="118"/>
      <c r="B23695" s="136"/>
    </row>
    <row r="23696" spans="1:2" x14ac:dyDescent="0.25">
      <c r="A23696" s="118"/>
      <c r="B23696" s="136"/>
    </row>
    <row r="23697" spans="1:2" x14ac:dyDescent="0.25">
      <c r="A23697" s="118"/>
      <c r="B23697" s="136"/>
    </row>
    <row r="23698" spans="1:2" x14ac:dyDescent="0.25">
      <c r="A23698" s="118"/>
      <c r="B23698" s="136"/>
    </row>
    <row r="23699" spans="1:2" x14ac:dyDescent="0.25">
      <c r="A23699" s="118"/>
      <c r="B23699" s="136"/>
    </row>
    <row r="23700" spans="1:2" x14ac:dyDescent="0.25">
      <c r="A23700" s="118"/>
      <c r="B23700" s="136"/>
    </row>
    <row r="23701" spans="1:2" x14ac:dyDescent="0.25">
      <c r="A23701" s="118"/>
      <c r="B23701" s="136"/>
    </row>
    <row r="23702" spans="1:2" x14ac:dyDescent="0.25">
      <c r="A23702" s="118"/>
      <c r="B23702" s="136"/>
    </row>
    <row r="23703" spans="1:2" x14ac:dyDescent="0.25">
      <c r="A23703" s="118"/>
      <c r="B23703" s="136"/>
    </row>
    <row r="23704" spans="1:2" x14ac:dyDescent="0.25">
      <c r="A23704" s="118"/>
      <c r="B23704" s="136"/>
    </row>
    <row r="23705" spans="1:2" x14ac:dyDescent="0.25">
      <c r="A23705" s="118"/>
      <c r="B23705" s="136"/>
    </row>
    <row r="23706" spans="1:2" x14ac:dyDescent="0.25">
      <c r="A23706" s="118"/>
      <c r="B23706" s="136"/>
    </row>
    <row r="23707" spans="1:2" x14ac:dyDescent="0.25">
      <c r="A23707" s="118"/>
      <c r="B23707" s="136"/>
    </row>
    <row r="23708" spans="1:2" x14ac:dyDescent="0.25">
      <c r="A23708" s="118"/>
      <c r="B23708" s="136"/>
    </row>
    <row r="23709" spans="1:2" x14ac:dyDescent="0.25">
      <c r="A23709" s="118"/>
      <c r="B23709" s="136"/>
    </row>
    <row r="23710" spans="1:2" x14ac:dyDescent="0.25">
      <c r="A23710" s="118"/>
      <c r="B23710" s="136"/>
    </row>
    <row r="23711" spans="1:2" x14ac:dyDescent="0.25">
      <c r="A23711" s="118"/>
      <c r="B23711" s="136"/>
    </row>
    <row r="23712" spans="1:2" x14ac:dyDescent="0.25">
      <c r="A23712" s="118"/>
      <c r="B23712" s="136"/>
    </row>
    <row r="23713" spans="1:2" x14ac:dyDescent="0.25">
      <c r="A23713" s="118"/>
      <c r="B23713" s="136"/>
    </row>
    <row r="23714" spans="1:2" x14ac:dyDescent="0.25">
      <c r="A23714" s="118"/>
      <c r="B23714" s="136"/>
    </row>
    <row r="23715" spans="1:2" x14ac:dyDescent="0.25">
      <c r="A23715" s="118"/>
      <c r="B23715" s="136"/>
    </row>
    <row r="23716" spans="1:2" x14ac:dyDescent="0.25">
      <c r="A23716" s="118"/>
      <c r="B23716" s="136"/>
    </row>
    <row r="23717" spans="1:2" x14ac:dyDescent="0.25">
      <c r="A23717" s="118"/>
      <c r="B23717" s="136"/>
    </row>
    <row r="23718" spans="1:2" x14ac:dyDescent="0.25">
      <c r="A23718" s="118"/>
      <c r="B23718" s="136"/>
    </row>
    <row r="23719" spans="1:2" x14ac:dyDescent="0.25">
      <c r="A23719" s="118"/>
      <c r="B23719" s="136"/>
    </row>
    <row r="23720" spans="1:2" x14ac:dyDescent="0.25">
      <c r="A23720" s="118"/>
      <c r="B23720" s="136"/>
    </row>
    <row r="23721" spans="1:2" x14ac:dyDescent="0.25">
      <c r="A23721" s="118"/>
      <c r="B23721" s="136"/>
    </row>
    <row r="23722" spans="1:2" x14ac:dyDescent="0.25">
      <c r="A23722" s="118"/>
      <c r="B23722" s="136"/>
    </row>
    <row r="23723" spans="1:2" x14ac:dyDescent="0.25">
      <c r="A23723" s="118"/>
      <c r="B23723" s="136"/>
    </row>
    <row r="23724" spans="1:2" x14ac:dyDescent="0.25">
      <c r="A23724" s="118"/>
      <c r="B23724" s="136"/>
    </row>
    <row r="23725" spans="1:2" x14ac:dyDescent="0.25">
      <c r="A23725" s="118"/>
      <c r="B23725" s="136"/>
    </row>
    <row r="23726" spans="1:2" x14ac:dyDescent="0.25">
      <c r="A23726" s="118"/>
      <c r="B23726" s="136"/>
    </row>
    <row r="23727" spans="1:2" x14ac:dyDescent="0.25">
      <c r="A23727" s="118"/>
      <c r="B23727" s="136"/>
    </row>
    <row r="23728" spans="1:2" x14ac:dyDescent="0.25">
      <c r="A23728" s="118"/>
      <c r="B23728" s="136"/>
    </row>
    <row r="23729" spans="1:2" x14ac:dyDescent="0.25">
      <c r="A23729" s="118"/>
      <c r="B23729" s="136"/>
    </row>
    <row r="23730" spans="1:2" x14ac:dyDescent="0.25">
      <c r="A23730" s="118"/>
      <c r="B23730" s="136"/>
    </row>
    <row r="23731" spans="1:2" x14ac:dyDescent="0.25">
      <c r="A23731" s="118"/>
      <c r="B23731" s="136"/>
    </row>
    <row r="23732" spans="1:2" x14ac:dyDescent="0.25">
      <c r="A23732" s="118"/>
      <c r="B23732" s="136"/>
    </row>
    <row r="23733" spans="1:2" x14ac:dyDescent="0.25">
      <c r="A23733" s="118"/>
      <c r="B23733" s="136"/>
    </row>
    <row r="23734" spans="1:2" x14ac:dyDescent="0.25">
      <c r="A23734" s="118"/>
      <c r="B23734" s="136"/>
    </row>
    <row r="23735" spans="1:2" x14ac:dyDescent="0.25">
      <c r="A23735" s="118"/>
      <c r="B23735" s="136"/>
    </row>
    <row r="23736" spans="1:2" x14ac:dyDescent="0.25">
      <c r="A23736" s="118"/>
      <c r="B23736" s="136"/>
    </row>
    <row r="23737" spans="1:2" x14ac:dyDescent="0.25">
      <c r="A23737" s="118"/>
      <c r="B23737" s="136"/>
    </row>
    <row r="23738" spans="1:2" x14ac:dyDescent="0.25">
      <c r="A23738" s="118"/>
      <c r="B23738" s="136"/>
    </row>
    <row r="23739" spans="1:2" x14ac:dyDescent="0.25">
      <c r="A23739" s="118"/>
      <c r="B23739" s="136"/>
    </row>
    <row r="23740" spans="1:2" x14ac:dyDescent="0.25">
      <c r="A23740" s="118"/>
      <c r="B23740" s="136"/>
    </row>
    <row r="23741" spans="1:2" x14ac:dyDescent="0.25">
      <c r="A23741" s="118"/>
      <c r="B23741" s="136"/>
    </row>
    <row r="23742" spans="1:2" x14ac:dyDescent="0.25">
      <c r="A23742" s="118"/>
      <c r="B23742" s="136"/>
    </row>
    <row r="23743" spans="1:2" x14ac:dyDescent="0.25">
      <c r="A23743" s="118"/>
      <c r="B23743" s="136"/>
    </row>
    <row r="23744" spans="1:2" x14ac:dyDescent="0.25">
      <c r="A23744" s="118"/>
      <c r="B23744" s="136"/>
    </row>
    <row r="23745" spans="1:2" x14ac:dyDescent="0.25">
      <c r="A23745" s="118"/>
      <c r="B23745" s="136"/>
    </row>
    <row r="23746" spans="1:2" x14ac:dyDescent="0.25">
      <c r="A23746" s="118"/>
      <c r="B23746" s="136"/>
    </row>
    <row r="23747" spans="1:2" x14ac:dyDescent="0.25">
      <c r="A23747" s="118"/>
      <c r="B23747" s="136"/>
    </row>
    <row r="23748" spans="1:2" x14ac:dyDescent="0.25">
      <c r="A23748" s="118"/>
      <c r="B23748" s="136"/>
    </row>
    <row r="23749" spans="1:2" x14ac:dyDescent="0.25">
      <c r="A23749" s="118"/>
      <c r="B23749" s="136"/>
    </row>
    <row r="23750" spans="1:2" x14ac:dyDescent="0.25">
      <c r="A23750" s="118"/>
      <c r="B23750" s="136"/>
    </row>
    <row r="23751" spans="1:2" x14ac:dyDescent="0.25">
      <c r="A23751" s="118"/>
      <c r="B23751" s="136"/>
    </row>
    <row r="23752" spans="1:2" x14ac:dyDescent="0.25">
      <c r="A23752" s="118"/>
      <c r="B23752" s="136"/>
    </row>
    <row r="23753" spans="1:2" x14ac:dyDescent="0.25">
      <c r="A23753" s="118"/>
      <c r="B23753" s="136"/>
    </row>
    <row r="23754" spans="1:2" x14ac:dyDescent="0.25">
      <c r="A23754" s="118"/>
      <c r="B23754" s="136"/>
    </row>
    <row r="23755" spans="1:2" x14ac:dyDescent="0.25">
      <c r="A23755" s="118"/>
      <c r="B23755" s="136"/>
    </row>
    <row r="23756" spans="1:2" x14ac:dyDescent="0.25">
      <c r="A23756" s="118"/>
      <c r="B23756" s="136"/>
    </row>
    <row r="23757" spans="1:2" x14ac:dyDescent="0.25">
      <c r="A23757" s="118"/>
      <c r="B23757" s="136"/>
    </row>
    <row r="23758" spans="1:2" x14ac:dyDescent="0.25">
      <c r="A23758" s="118"/>
      <c r="B23758" s="136"/>
    </row>
    <row r="23759" spans="1:2" x14ac:dyDescent="0.25">
      <c r="A23759" s="118"/>
      <c r="B23759" s="136"/>
    </row>
    <row r="23760" spans="1:2" x14ac:dyDescent="0.25">
      <c r="A23760" s="118"/>
      <c r="B23760" s="136"/>
    </row>
    <row r="23761" spans="1:2" x14ac:dyDescent="0.25">
      <c r="A23761" s="118"/>
      <c r="B23761" s="136"/>
    </row>
    <row r="23762" spans="1:2" x14ac:dyDescent="0.25">
      <c r="A23762" s="118"/>
      <c r="B23762" s="136"/>
    </row>
    <row r="23763" spans="1:2" x14ac:dyDescent="0.25">
      <c r="A23763" s="118"/>
      <c r="B23763" s="136"/>
    </row>
    <row r="23764" spans="1:2" x14ac:dyDescent="0.25">
      <c r="A23764" s="118"/>
      <c r="B23764" s="136"/>
    </row>
    <row r="23765" spans="1:2" x14ac:dyDescent="0.25">
      <c r="A23765" s="118"/>
      <c r="B23765" s="136"/>
    </row>
    <row r="23766" spans="1:2" x14ac:dyDescent="0.25">
      <c r="A23766" s="118"/>
      <c r="B23766" s="136"/>
    </row>
    <row r="23767" spans="1:2" x14ac:dyDescent="0.25">
      <c r="A23767" s="118"/>
      <c r="B23767" s="136"/>
    </row>
    <row r="23768" spans="1:2" x14ac:dyDescent="0.25">
      <c r="A23768" s="118"/>
      <c r="B23768" s="136"/>
    </row>
    <row r="23769" spans="1:2" x14ac:dyDescent="0.25">
      <c r="A23769" s="118"/>
      <c r="B23769" s="136"/>
    </row>
    <row r="23770" spans="1:2" x14ac:dyDescent="0.25">
      <c r="A23770" s="118"/>
      <c r="B23770" s="136"/>
    </row>
    <row r="23771" spans="1:2" x14ac:dyDescent="0.25">
      <c r="A23771" s="118"/>
      <c r="B23771" s="136"/>
    </row>
    <row r="23772" spans="1:2" x14ac:dyDescent="0.25">
      <c r="A23772" s="118"/>
      <c r="B23772" s="136"/>
    </row>
    <row r="23773" spans="1:2" x14ac:dyDescent="0.25">
      <c r="A23773" s="118"/>
      <c r="B23773" s="136"/>
    </row>
    <row r="23774" spans="1:2" x14ac:dyDescent="0.25">
      <c r="A23774" s="118"/>
      <c r="B23774" s="136"/>
    </row>
    <row r="23775" spans="1:2" x14ac:dyDescent="0.25">
      <c r="A23775" s="118"/>
      <c r="B23775" s="136"/>
    </row>
    <row r="23776" spans="1:2" x14ac:dyDescent="0.25">
      <c r="A23776" s="118"/>
      <c r="B23776" s="136"/>
    </row>
    <row r="23777" spans="1:2" x14ac:dyDescent="0.25">
      <c r="A23777" s="118"/>
      <c r="B23777" s="136"/>
    </row>
    <row r="23778" spans="1:2" x14ac:dyDescent="0.25">
      <c r="A23778" s="118"/>
      <c r="B23778" s="136"/>
    </row>
    <row r="23779" spans="1:2" x14ac:dyDescent="0.25">
      <c r="A23779" s="118"/>
      <c r="B23779" s="136"/>
    </row>
    <row r="23780" spans="1:2" x14ac:dyDescent="0.25">
      <c r="A23780" s="118"/>
      <c r="B23780" s="136"/>
    </row>
    <row r="23781" spans="1:2" x14ac:dyDescent="0.25">
      <c r="A23781" s="118"/>
      <c r="B23781" s="136"/>
    </row>
    <row r="23782" spans="1:2" x14ac:dyDescent="0.25">
      <c r="A23782" s="118"/>
      <c r="B23782" s="136"/>
    </row>
    <row r="23783" spans="1:2" x14ac:dyDescent="0.25">
      <c r="A23783" s="118"/>
      <c r="B23783" s="136"/>
    </row>
    <row r="23784" spans="1:2" x14ac:dyDescent="0.25">
      <c r="A23784" s="118"/>
      <c r="B23784" s="136"/>
    </row>
    <row r="23785" spans="1:2" x14ac:dyDescent="0.25">
      <c r="A23785" s="118"/>
      <c r="B23785" s="136"/>
    </row>
    <row r="23786" spans="1:2" x14ac:dyDescent="0.25">
      <c r="A23786" s="118"/>
      <c r="B23786" s="136"/>
    </row>
    <row r="23787" spans="1:2" x14ac:dyDescent="0.25">
      <c r="A23787" s="118"/>
      <c r="B23787" s="136"/>
    </row>
    <row r="23788" spans="1:2" x14ac:dyDescent="0.25">
      <c r="A23788" s="118"/>
      <c r="B23788" s="136"/>
    </row>
    <row r="23789" spans="1:2" x14ac:dyDescent="0.25">
      <c r="A23789" s="118"/>
      <c r="B23789" s="136"/>
    </row>
    <row r="23790" spans="1:2" x14ac:dyDescent="0.25">
      <c r="A23790" s="118"/>
      <c r="B23790" s="136"/>
    </row>
    <row r="23791" spans="1:2" x14ac:dyDescent="0.25">
      <c r="A23791" s="118"/>
      <c r="B23791" s="136"/>
    </row>
    <row r="23792" spans="1:2" x14ac:dyDescent="0.25">
      <c r="A23792" s="118"/>
      <c r="B23792" s="136"/>
    </row>
    <row r="23793" spans="1:2" x14ac:dyDescent="0.25">
      <c r="A23793" s="118"/>
      <c r="B23793" s="136"/>
    </row>
    <row r="23794" spans="1:2" x14ac:dyDescent="0.25">
      <c r="A23794" s="118"/>
      <c r="B23794" s="136"/>
    </row>
    <row r="23795" spans="1:2" x14ac:dyDescent="0.25">
      <c r="A23795" s="118"/>
      <c r="B23795" s="136"/>
    </row>
    <row r="23796" spans="1:2" x14ac:dyDescent="0.25">
      <c r="A23796" s="118"/>
      <c r="B23796" s="136"/>
    </row>
    <row r="23797" spans="1:2" x14ac:dyDescent="0.25">
      <c r="A23797" s="118"/>
      <c r="B23797" s="136"/>
    </row>
    <row r="23798" spans="1:2" x14ac:dyDescent="0.25">
      <c r="A23798" s="118"/>
      <c r="B23798" s="136"/>
    </row>
    <row r="23799" spans="1:2" x14ac:dyDescent="0.25">
      <c r="A23799" s="118"/>
      <c r="B23799" s="136"/>
    </row>
    <row r="23800" spans="1:2" x14ac:dyDescent="0.25">
      <c r="A23800" s="118"/>
      <c r="B23800" s="136"/>
    </row>
    <row r="23801" spans="1:2" x14ac:dyDescent="0.25">
      <c r="A23801" s="118"/>
      <c r="B23801" s="136"/>
    </row>
    <row r="23802" spans="1:2" x14ac:dyDescent="0.25">
      <c r="A23802" s="118"/>
      <c r="B23802" s="136"/>
    </row>
    <row r="23803" spans="1:2" x14ac:dyDescent="0.25">
      <c r="A23803" s="118"/>
      <c r="B23803" s="136"/>
    </row>
    <row r="23804" spans="1:2" x14ac:dyDescent="0.25">
      <c r="A23804" s="118"/>
      <c r="B23804" s="136"/>
    </row>
    <row r="23805" spans="1:2" x14ac:dyDescent="0.25">
      <c r="A23805" s="118"/>
      <c r="B23805" s="136"/>
    </row>
    <row r="23806" spans="1:2" x14ac:dyDescent="0.25">
      <c r="A23806" s="118"/>
      <c r="B23806" s="136"/>
    </row>
    <row r="23807" spans="1:2" x14ac:dyDescent="0.25">
      <c r="A23807" s="118"/>
      <c r="B23807" s="136"/>
    </row>
    <row r="23808" spans="1:2" x14ac:dyDescent="0.25">
      <c r="A23808" s="118"/>
      <c r="B23808" s="136"/>
    </row>
    <row r="23809" spans="1:2" x14ac:dyDescent="0.25">
      <c r="A23809" s="118"/>
      <c r="B23809" s="136"/>
    </row>
    <row r="23810" spans="1:2" x14ac:dyDescent="0.25">
      <c r="A23810" s="118"/>
      <c r="B23810" s="136"/>
    </row>
    <row r="23811" spans="1:2" x14ac:dyDescent="0.25">
      <c r="A23811" s="118"/>
      <c r="B23811" s="136"/>
    </row>
    <row r="23812" spans="1:2" x14ac:dyDescent="0.25">
      <c r="A23812" s="118"/>
      <c r="B23812" s="136"/>
    </row>
    <row r="23813" spans="1:2" x14ac:dyDescent="0.25">
      <c r="A23813" s="118"/>
      <c r="B23813" s="136"/>
    </row>
    <row r="23814" spans="1:2" x14ac:dyDescent="0.25">
      <c r="A23814" s="118"/>
      <c r="B23814" s="136"/>
    </row>
    <row r="23815" spans="1:2" x14ac:dyDescent="0.25">
      <c r="A23815" s="118"/>
      <c r="B23815" s="136"/>
    </row>
    <row r="23816" spans="1:2" x14ac:dyDescent="0.25">
      <c r="A23816" s="118"/>
      <c r="B23816" s="136"/>
    </row>
    <row r="23817" spans="1:2" x14ac:dyDescent="0.25">
      <c r="A23817" s="118"/>
      <c r="B23817" s="136"/>
    </row>
    <row r="23818" spans="1:2" x14ac:dyDescent="0.25">
      <c r="A23818" s="118"/>
      <c r="B23818" s="136"/>
    </row>
    <row r="23819" spans="1:2" x14ac:dyDescent="0.25">
      <c r="A23819" s="118"/>
      <c r="B23819" s="136"/>
    </row>
    <row r="23820" spans="1:2" x14ac:dyDescent="0.25">
      <c r="A23820" s="118"/>
      <c r="B23820" s="136"/>
    </row>
    <row r="23821" spans="1:2" x14ac:dyDescent="0.25">
      <c r="A23821" s="118"/>
      <c r="B23821" s="136"/>
    </row>
    <row r="23822" spans="1:2" x14ac:dyDescent="0.25">
      <c r="A23822" s="118"/>
      <c r="B23822" s="136"/>
    </row>
    <row r="23823" spans="1:2" x14ac:dyDescent="0.25">
      <c r="A23823" s="118"/>
      <c r="B23823" s="136"/>
    </row>
    <row r="23824" spans="1:2" x14ac:dyDescent="0.25">
      <c r="A23824" s="118"/>
      <c r="B23824" s="136"/>
    </row>
    <row r="23825" spans="1:2" x14ac:dyDescent="0.25">
      <c r="A23825" s="118"/>
      <c r="B23825" s="136"/>
    </row>
    <row r="23826" spans="1:2" x14ac:dyDescent="0.25">
      <c r="A23826" s="118"/>
      <c r="B23826" s="136"/>
    </row>
    <row r="23827" spans="1:2" x14ac:dyDescent="0.25">
      <c r="A23827" s="118"/>
      <c r="B23827" s="136"/>
    </row>
    <row r="23828" spans="1:2" x14ac:dyDescent="0.25">
      <c r="A23828" s="118"/>
      <c r="B23828" s="136"/>
    </row>
    <row r="23829" spans="1:2" x14ac:dyDescent="0.25">
      <c r="A23829" s="118"/>
      <c r="B23829" s="136"/>
    </row>
    <row r="23830" spans="1:2" x14ac:dyDescent="0.25">
      <c r="A23830" s="118"/>
      <c r="B23830" s="136"/>
    </row>
    <row r="23831" spans="1:2" x14ac:dyDescent="0.25">
      <c r="A23831" s="118"/>
      <c r="B23831" s="136"/>
    </row>
    <row r="23832" spans="1:2" x14ac:dyDescent="0.25">
      <c r="A23832" s="118"/>
      <c r="B23832" s="136"/>
    </row>
    <row r="23833" spans="1:2" x14ac:dyDescent="0.25">
      <c r="A23833" s="118"/>
      <c r="B23833" s="136"/>
    </row>
    <row r="23834" spans="1:2" x14ac:dyDescent="0.25">
      <c r="A23834" s="118"/>
      <c r="B23834" s="136"/>
    </row>
    <row r="23835" spans="1:2" x14ac:dyDescent="0.25">
      <c r="A23835" s="118"/>
      <c r="B23835" s="136"/>
    </row>
    <row r="23836" spans="1:2" x14ac:dyDescent="0.25">
      <c r="A23836" s="118"/>
      <c r="B23836" s="136"/>
    </row>
    <row r="23837" spans="1:2" x14ac:dyDescent="0.25">
      <c r="A23837" s="118"/>
      <c r="B23837" s="136"/>
    </row>
    <row r="23838" spans="1:2" x14ac:dyDescent="0.25">
      <c r="A23838" s="118"/>
      <c r="B23838" s="136"/>
    </row>
    <row r="23839" spans="1:2" x14ac:dyDescent="0.25">
      <c r="A23839" s="118"/>
      <c r="B23839" s="136"/>
    </row>
    <row r="23840" spans="1:2" x14ac:dyDescent="0.25">
      <c r="A23840" s="118"/>
      <c r="B23840" s="136"/>
    </row>
    <row r="23841" spans="1:2" x14ac:dyDescent="0.25">
      <c r="A23841" s="118"/>
      <c r="B23841" s="136"/>
    </row>
    <row r="23842" spans="1:2" x14ac:dyDescent="0.25">
      <c r="A23842" s="118"/>
      <c r="B23842" s="136"/>
    </row>
    <row r="23843" spans="1:2" x14ac:dyDescent="0.25">
      <c r="A23843" s="118"/>
      <c r="B23843" s="136"/>
    </row>
    <row r="23844" spans="1:2" x14ac:dyDescent="0.25">
      <c r="A23844" s="118"/>
      <c r="B23844" s="136"/>
    </row>
    <row r="23845" spans="1:2" x14ac:dyDescent="0.25">
      <c r="A23845" s="118"/>
      <c r="B23845" s="136"/>
    </row>
    <row r="23846" spans="1:2" x14ac:dyDescent="0.25">
      <c r="A23846" s="118"/>
      <c r="B23846" s="136"/>
    </row>
    <row r="23847" spans="1:2" x14ac:dyDescent="0.25">
      <c r="A23847" s="118"/>
      <c r="B23847" s="136"/>
    </row>
    <row r="23848" spans="1:2" x14ac:dyDescent="0.25">
      <c r="A23848" s="118"/>
      <c r="B23848" s="136"/>
    </row>
    <row r="23849" spans="1:2" x14ac:dyDescent="0.25">
      <c r="A23849" s="118"/>
      <c r="B23849" s="136"/>
    </row>
    <row r="23850" spans="1:2" x14ac:dyDescent="0.25">
      <c r="A23850" s="118"/>
      <c r="B23850" s="136"/>
    </row>
    <row r="23851" spans="1:2" x14ac:dyDescent="0.25">
      <c r="A23851" s="118"/>
      <c r="B23851" s="136"/>
    </row>
    <row r="23852" spans="1:2" x14ac:dyDescent="0.25">
      <c r="A23852" s="118"/>
      <c r="B23852" s="136"/>
    </row>
    <row r="23853" spans="1:2" x14ac:dyDescent="0.25">
      <c r="A23853" s="118"/>
      <c r="B23853" s="136"/>
    </row>
    <row r="23854" spans="1:2" x14ac:dyDescent="0.25">
      <c r="A23854" s="118"/>
      <c r="B23854" s="136"/>
    </row>
    <row r="23855" spans="1:2" x14ac:dyDescent="0.25">
      <c r="A23855" s="118"/>
      <c r="B23855" s="136"/>
    </row>
    <row r="23856" spans="1:2" x14ac:dyDescent="0.25">
      <c r="A23856" s="118"/>
      <c r="B23856" s="136"/>
    </row>
    <row r="23857" spans="1:2" x14ac:dyDescent="0.25">
      <c r="A23857" s="118"/>
      <c r="B23857" s="136"/>
    </row>
    <row r="23858" spans="1:2" x14ac:dyDescent="0.25">
      <c r="A23858" s="118"/>
      <c r="B23858" s="136"/>
    </row>
    <row r="23859" spans="1:2" x14ac:dyDescent="0.25">
      <c r="A23859" s="118"/>
      <c r="B23859" s="136"/>
    </row>
    <row r="23860" spans="1:2" x14ac:dyDescent="0.25">
      <c r="A23860" s="118"/>
      <c r="B23860" s="136"/>
    </row>
    <row r="23861" spans="1:2" x14ac:dyDescent="0.25">
      <c r="A23861" s="118"/>
      <c r="B23861" s="136"/>
    </row>
    <row r="23862" spans="1:2" x14ac:dyDescent="0.25">
      <c r="A23862" s="118"/>
      <c r="B23862" s="136"/>
    </row>
    <row r="23863" spans="1:2" x14ac:dyDescent="0.25">
      <c r="A23863" s="118"/>
      <c r="B23863" s="136"/>
    </row>
    <row r="23864" spans="1:2" x14ac:dyDescent="0.25">
      <c r="A23864" s="118"/>
      <c r="B23864" s="136"/>
    </row>
    <row r="23865" spans="1:2" x14ac:dyDescent="0.25">
      <c r="A23865" s="118"/>
      <c r="B23865" s="136"/>
    </row>
    <row r="23866" spans="1:2" x14ac:dyDescent="0.25">
      <c r="A23866" s="118"/>
      <c r="B23866" s="136"/>
    </row>
    <row r="23867" spans="1:2" x14ac:dyDescent="0.25">
      <c r="A23867" s="118"/>
      <c r="B23867" s="136"/>
    </row>
    <row r="23868" spans="1:2" x14ac:dyDescent="0.25">
      <c r="A23868" s="118"/>
      <c r="B23868" s="136"/>
    </row>
    <row r="23869" spans="1:2" x14ac:dyDescent="0.25">
      <c r="A23869" s="118"/>
      <c r="B23869" s="136"/>
    </row>
    <row r="23870" spans="1:2" x14ac:dyDescent="0.25">
      <c r="A23870" s="118"/>
      <c r="B23870" s="136"/>
    </row>
    <row r="23871" spans="1:2" x14ac:dyDescent="0.25">
      <c r="A23871" s="118"/>
      <c r="B23871" s="136"/>
    </row>
    <row r="23872" spans="1:2" x14ac:dyDescent="0.25">
      <c r="A23872" s="118"/>
      <c r="B23872" s="136"/>
    </row>
    <row r="23873" spans="1:2" x14ac:dyDescent="0.25">
      <c r="A23873" s="118"/>
      <c r="B23873" s="136"/>
    </row>
    <row r="23874" spans="1:2" x14ac:dyDescent="0.25">
      <c r="A23874" s="118"/>
      <c r="B23874" s="136"/>
    </row>
    <row r="23875" spans="1:2" x14ac:dyDescent="0.25">
      <c r="A23875" s="118"/>
      <c r="B23875" s="136"/>
    </row>
    <row r="23876" spans="1:2" x14ac:dyDescent="0.25">
      <c r="A23876" s="118"/>
      <c r="B23876" s="136"/>
    </row>
    <row r="23877" spans="1:2" x14ac:dyDescent="0.25">
      <c r="A23877" s="118"/>
      <c r="B23877" s="136"/>
    </row>
    <row r="23878" spans="1:2" x14ac:dyDescent="0.25">
      <c r="A23878" s="118"/>
      <c r="B23878" s="136"/>
    </row>
    <row r="23879" spans="1:2" x14ac:dyDescent="0.25">
      <c r="A23879" s="118"/>
      <c r="B23879" s="136"/>
    </row>
    <row r="23880" spans="1:2" x14ac:dyDescent="0.25">
      <c r="A23880" s="118"/>
      <c r="B23880" s="136"/>
    </row>
    <row r="23881" spans="1:2" x14ac:dyDescent="0.25">
      <c r="A23881" s="118"/>
      <c r="B23881" s="136"/>
    </row>
    <row r="23882" spans="1:2" x14ac:dyDescent="0.25">
      <c r="A23882" s="118"/>
      <c r="B23882" s="136"/>
    </row>
    <row r="23883" spans="1:2" x14ac:dyDescent="0.25">
      <c r="A23883" s="118"/>
      <c r="B23883" s="136"/>
    </row>
    <row r="23884" spans="1:2" x14ac:dyDescent="0.25">
      <c r="A23884" s="118"/>
      <c r="B23884" s="136"/>
    </row>
    <row r="23885" spans="1:2" x14ac:dyDescent="0.25">
      <c r="A23885" s="118"/>
      <c r="B23885" s="136"/>
    </row>
    <row r="23886" spans="1:2" x14ac:dyDescent="0.25">
      <c r="A23886" s="118"/>
      <c r="B23886" s="136"/>
    </row>
    <row r="23887" spans="1:2" x14ac:dyDescent="0.25">
      <c r="A23887" s="118"/>
      <c r="B23887" s="136"/>
    </row>
    <row r="23888" spans="1:2" x14ac:dyDescent="0.25">
      <c r="A23888" s="118"/>
      <c r="B23888" s="136"/>
    </row>
    <row r="23889" spans="1:2" x14ac:dyDescent="0.25">
      <c r="A23889" s="118"/>
      <c r="B23889" s="136"/>
    </row>
    <row r="23890" spans="1:2" x14ac:dyDescent="0.25">
      <c r="A23890" s="118"/>
      <c r="B23890" s="136"/>
    </row>
    <row r="23891" spans="1:2" x14ac:dyDescent="0.25">
      <c r="A23891" s="118"/>
      <c r="B23891" s="136"/>
    </row>
    <row r="23892" spans="1:2" x14ac:dyDescent="0.25">
      <c r="A23892" s="118"/>
      <c r="B23892" s="136"/>
    </row>
    <row r="23893" spans="1:2" x14ac:dyDescent="0.25">
      <c r="A23893" s="118"/>
      <c r="B23893" s="136"/>
    </row>
    <row r="23894" spans="1:2" x14ac:dyDescent="0.25">
      <c r="A23894" s="118"/>
      <c r="B23894" s="136"/>
    </row>
    <row r="23895" spans="1:2" x14ac:dyDescent="0.25">
      <c r="A23895" s="118"/>
      <c r="B23895" s="136"/>
    </row>
    <row r="23896" spans="1:2" x14ac:dyDescent="0.25">
      <c r="A23896" s="118"/>
      <c r="B23896" s="136"/>
    </row>
    <row r="23897" spans="1:2" x14ac:dyDescent="0.25">
      <c r="A23897" s="118"/>
      <c r="B23897" s="136"/>
    </row>
    <row r="23898" spans="1:2" x14ac:dyDescent="0.25">
      <c r="A23898" s="118"/>
      <c r="B23898" s="136"/>
    </row>
    <row r="23899" spans="1:2" x14ac:dyDescent="0.25">
      <c r="A23899" s="118"/>
      <c r="B23899" s="136"/>
    </row>
    <row r="23900" spans="1:2" x14ac:dyDescent="0.25">
      <c r="A23900" s="118"/>
      <c r="B23900" s="136"/>
    </row>
    <row r="23901" spans="1:2" x14ac:dyDescent="0.25">
      <c r="A23901" s="118"/>
      <c r="B23901" s="136"/>
    </row>
    <row r="23902" spans="1:2" x14ac:dyDescent="0.25">
      <c r="A23902" s="118"/>
      <c r="B23902" s="136"/>
    </row>
    <row r="23903" spans="1:2" x14ac:dyDescent="0.25">
      <c r="A23903" s="118"/>
      <c r="B23903" s="136"/>
    </row>
    <row r="23904" spans="1:2" x14ac:dyDescent="0.25">
      <c r="A23904" s="118"/>
      <c r="B23904" s="136"/>
    </row>
    <row r="23905" spans="1:2" x14ac:dyDescent="0.25">
      <c r="A23905" s="118"/>
      <c r="B23905" s="136"/>
    </row>
    <row r="23906" spans="1:2" x14ac:dyDescent="0.25">
      <c r="A23906" s="118"/>
      <c r="B23906" s="136"/>
    </row>
    <row r="23907" spans="1:2" x14ac:dyDescent="0.25">
      <c r="A23907" s="118"/>
      <c r="B23907" s="136"/>
    </row>
    <row r="23908" spans="1:2" x14ac:dyDescent="0.25">
      <c r="A23908" s="118"/>
      <c r="B23908" s="136"/>
    </row>
    <row r="23909" spans="1:2" x14ac:dyDescent="0.25">
      <c r="A23909" s="118"/>
      <c r="B23909" s="136"/>
    </row>
    <row r="23910" spans="1:2" x14ac:dyDescent="0.25">
      <c r="A23910" s="118"/>
      <c r="B23910" s="136"/>
    </row>
    <row r="23911" spans="1:2" x14ac:dyDescent="0.25">
      <c r="A23911" s="118"/>
      <c r="B23911" s="136"/>
    </row>
    <row r="23912" spans="1:2" x14ac:dyDescent="0.25">
      <c r="A23912" s="118"/>
      <c r="B23912" s="136"/>
    </row>
    <row r="23913" spans="1:2" x14ac:dyDescent="0.25">
      <c r="A23913" s="118"/>
      <c r="B23913" s="136"/>
    </row>
    <row r="23914" spans="1:2" x14ac:dyDescent="0.25">
      <c r="A23914" s="118"/>
      <c r="B23914" s="136"/>
    </row>
    <row r="23915" spans="1:2" x14ac:dyDescent="0.25">
      <c r="A23915" s="118"/>
      <c r="B23915" s="136"/>
    </row>
    <row r="23916" spans="1:2" x14ac:dyDescent="0.25">
      <c r="A23916" s="118"/>
      <c r="B23916" s="136"/>
    </row>
    <row r="23917" spans="1:2" x14ac:dyDescent="0.25">
      <c r="A23917" s="118"/>
      <c r="B23917" s="136"/>
    </row>
    <row r="23918" spans="1:2" x14ac:dyDescent="0.25">
      <c r="A23918" s="118"/>
      <c r="B23918" s="136"/>
    </row>
    <row r="23919" spans="1:2" x14ac:dyDescent="0.25">
      <c r="A23919" s="118"/>
      <c r="B23919" s="136"/>
    </row>
    <row r="23920" spans="1:2" x14ac:dyDescent="0.25">
      <c r="A23920" s="118"/>
      <c r="B23920" s="136"/>
    </row>
    <row r="23921" spans="1:2" x14ac:dyDescent="0.25">
      <c r="A23921" s="118"/>
      <c r="B23921" s="136"/>
    </row>
    <row r="23922" spans="1:2" x14ac:dyDescent="0.25">
      <c r="A23922" s="118"/>
      <c r="B23922" s="136"/>
    </row>
    <row r="23923" spans="1:2" x14ac:dyDescent="0.25">
      <c r="A23923" s="118"/>
      <c r="B23923" s="136"/>
    </row>
    <row r="23924" spans="1:2" x14ac:dyDescent="0.25">
      <c r="A23924" s="118"/>
      <c r="B23924" s="136"/>
    </row>
    <row r="23925" spans="1:2" x14ac:dyDescent="0.25">
      <c r="A23925" s="118"/>
      <c r="B23925" s="136"/>
    </row>
    <row r="23926" spans="1:2" x14ac:dyDescent="0.25">
      <c r="A23926" s="118"/>
      <c r="B23926" s="136"/>
    </row>
    <row r="23927" spans="1:2" x14ac:dyDescent="0.25">
      <c r="A23927" s="118"/>
      <c r="B23927" s="136"/>
    </row>
    <row r="23928" spans="1:2" x14ac:dyDescent="0.25">
      <c r="A23928" s="118"/>
      <c r="B23928" s="136"/>
    </row>
    <row r="23929" spans="1:2" x14ac:dyDescent="0.25">
      <c r="A23929" s="118"/>
      <c r="B23929" s="136"/>
    </row>
    <row r="23930" spans="1:2" x14ac:dyDescent="0.25">
      <c r="A23930" s="118"/>
      <c r="B23930" s="136"/>
    </row>
    <row r="23931" spans="1:2" x14ac:dyDescent="0.25">
      <c r="A23931" s="118"/>
      <c r="B23931" s="136"/>
    </row>
    <row r="23932" spans="1:2" x14ac:dyDescent="0.25">
      <c r="A23932" s="118"/>
      <c r="B23932" s="136"/>
    </row>
    <row r="23933" spans="1:2" x14ac:dyDescent="0.25">
      <c r="A23933" s="118"/>
      <c r="B23933" s="136"/>
    </row>
    <row r="23934" spans="1:2" x14ac:dyDescent="0.25">
      <c r="A23934" s="118"/>
      <c r="B23934" s="136"/>
    </row>
    <row r="23935" spans="1:2" x14ac:dyDescent="0.25">
      <c r="A23935" s="118"/>
      <c r="B23935" s="136"/>
    </row>
    <row r="23936" spans="1:2" x14ac:dyDescent="0.25">
      <c r="A23936" s="118"/>
      <c r="B23936" s="136"/>
    </row>
    <row r="23937" spans="1:2" x14ac:dyDescent="0.25">
      <c r="A23937" s="118"/>
      <c r="B23937" s="136"/>
    </row>
    <row r="23938" spans="1:2" x14ac:dyDescent="0.25">
      <c r="A23938" s="118"/>
      <c r="B23938" s="136"/>
    </row>
    <row r="23939" spans="1:2" x14ac:dyDescent="0.25">
      <c r="A23939" s="118"/>
      <c r="B23939" s="136"/>
    </row>
    <row r="23940" spans="1:2" x14ac:dyDescent="0.25">
      <c r="A23940" s="118"/>
      <c r="B23940" s="136"/>
    </row>
    <row r="23941" spans="1:2" x14ac:dyDescent="0.25">
      <c r="A23941" s="118"/>
      <c r="B23941" s="136"/>
    </row>
    <row r="23942" spans="1:2" x14ac:dyDescent="0.25">
      <c r="A23942" s="118"/>
      <c r="B23942" s="136"/>
    </row>
    <row r="23943" spans="1:2" x14ac:dyDescent="0.25">
      <c r="A23943" s="118"/>
      <c r="B23943" s="136"/>
    </row>
    <row r="23944" spans="1:2" x14ac:dyDescent="0.25">
      <c r="A23944" s="118"/>
      <c r="B23944" s="136"/>
    </row>
    <row r="23945" spans="1:2" x14ac:dyDescent="0.25">
      <c r="A23945" s="118"/>
      <c r="B23945" s="136"/>
    </row>
    <row r="23946" spans="1:2" x14ac:dyDescent="0.25">
      <c r="A23946" s="118"/>
      <c r="B23946" s="136"/>
    </row>
    <row r="23947" spans="1:2" x14ac:dyDescent="0.25">
      <c r="A23947" s="118"/>
      <c r="B23947" s="136"/>
    </row>
    <row r="23948" spans="1:2" x14ac:dyDescent="0.25">
      <c r="A23948" s="118"/>
      <c r="B23948" s="136"/>
    </row>
    <row r="23949" spans="1:2" x14ac:dyDescent="0.25">
      <c r="A23949" s="118"/>
      <c r="B23949" s="136"/>
    </row>
    <row r="23950" spans="1:2" x14ac:dyDescent="0.25">
      <c r="A23950" s="118"/>
      <c r="B23950" s="136"/>
    </row>
    <row r="23951" spans="1:2" x14ac:dyDescent="0.25">
      <c r="A23951" s="118"/>
      <c r="B23951" s="136"/>
    </row>
    <row r="23952" spans="1:2" x14ac:dyDescent="0.25">
      <c r="A23952" s="118"/>
      <c r="B23952" s="136"/>
    </row>
    <row r="23953" spans="1:2" x14ac:dyDescent="0.25">
      <c r="A23953" s="118"/>
      <c r="B23953" s="136"/>
    </row>
    <row r="23954" spans="1:2" x14ac:dyDescent="0.25">
      <c r="A23954" s="118"/>
      <c r="B23954" s="136"/>
    </row>
    <row r="23955" spans="1:2" x14ac:dyDescent="0.25">
      <c r="A23955" s="118"/>
      <c r="B23955" s="136"/>
    </row>
    <row r="23956" spans="1:2" x14ac:dyDescent="0.25">
      <c r="A23956" s="118"/>
      <c r="B23956" s="136"/>
    </row>
    <row r="23957" spans="1:2" x14ac:dyDescent="0.25">
      <c r="A23957" s="118"/>
      <c r="B23957" s="136"/>
    </row>
    <row r="23958" spans="1:2" x14ac:dyDescent="0.25">
      <c r="A23958" s="118"/>
      <c r="B23958" s="136"/>
    </row>
    <row r="23959" spans="1:2" x14ac:dyDescent="0.25">
      <c r="A23959" s="118"/>
      <c r="B23959" s="136"/>
    </row>
    <row r="23960" spans="1:2" x14ac:dyDescent="0.25">
      <c r="A23960" s="118"/>
      <c r="B23960" s="136"/>
    </row>
    <row r="23961" spans="1:2" x14ac:dyDescent="0.25">
      <c r="A23961" s="118"/>
      <c r="B23961" s="136"/>
    </row>
    <row r="23962" spans="1:2" x14ac:dyDescent="0.25">
      <c r="A23962" s="118"/>
      <c r="B23962" s="136"/>
    </row>
    <row r="23963" spans="1:2" x14ac:dyDescent="0.25">
      <c r="A23963" s="118"/>
      <c r="B23963" s="136"/>
    </row>
    <row r="23964" spans="1:2" x14ac:dyDescent="0.25">
      <c r="A23964" s="118"/>
      <c r="B23964" s="136"/>
    </row>
    <row r="23965" spans="1:2" x14ac:dyDescent="0.25">
      <c r="A23965" s="118"/>
      <c r="B23965" s="136"/>
    </row>
    <row r="23966" spans="1:2" x14ac:dyDescent="0.25">
      <c r="A23966" s="118"/>
      <c r="B23966" s="136"/>
    </row>
    <row r="23967" spans="1:2" x14ac:dyDescent="0.25">
      <c r="A23967" s="118"/>
      <c r="B23967" s="136"/>
    </row>
    <row r="23968" spans="1:2" x14ac:dyDescent="0.25">
      <c r="A23968" s="118"/>
      <c r="B23968" s="136"/>
    </row>
    <row r="23969" spans="1:2" x14ac:dyDescent="0.25">
      <c r="A23969" s="118"/>
      <c r="B23969" s="136"/>
    </row>
    <row r="23970" spans="1:2" x14ac:dyDescent="0.25">
      <c r="A23970" s="118"/>
      <c r="B23970" s="136"/>
    </row>
    <row r="23971" spans="1:2" x14ac:dyDescent="0.25">
      <c r="A23971" s="118"/>
      <c r="B23971" s="136"/>
    </row>
    <row r="23972" spans="1:2" x14ac:dyDescent="0.25">
      <c r="A23972" s="118"/>
      <c r="B23972" s="136"/>
    </row>
    <row r="23973" spans="1:2" x14ac:dyDescent="0.25">
      <c r="A23973" s="118"/>
      <c r="B23973" s="136"/>
    </row>
    <row r="23974" spans="1:2" x14ac:dyDescent="0.25">
      <c r="A23974" s="118"/>
      <c r="B23974" s="136"/>
    </row>
    <row r="23975" spans="1:2" x14ac:dyDescent="0.25">
      <c r="A23975" s="118"/>
      <c r="B23975" s="136"/>
    </row>
    <row r="23976" spans="1:2" x14ac:dyDescent="0.25">
      <c r="A23976" s="118"/>
      <c r="B23976" s="136"/>
    </row>
    <row r="23977" spans="1:2" x14ac:dyDescent="0.25">
      <c r="A23977" s="118"/>
      <c r="B23977" s="136"/>
    </row>
    <row r="23978" spans="1:2" x14ac:dyDescent="0.25">
      <c r="A23978" s="118"/>
      <c r="B23978" s="136"/>
    </row>
    <row r="23979" spans="1:2" x14ac:dyDescent="0.25">
      <c r="A23979" s="118"/>
      <c r="B23979" s="136"/>
    </row>
    <row r="23980" spans="1:2" x14ac:dyDescent="0.25">
      <c r="A23980" s="118"/>
      <c r="B23980" s="136"/>
    </row>
    <row r="23981" spans="1:2" x14ac:dyDescent="0.25">
      <c r="A23981" s="118"/>
      <c r="B23981" s="136"/>
    </row>
    <row r="23982" spans="1:2" x14ac:dyDescent="0.25">
      <c r="A23982" s="118"/>
      <c r="B23982" s="136"/>
    </row>
    <row r="23983" spans="1:2" x14ac:dyDescent="0.25">
      <c r="A23983" s="118"/>
      <c r="B23983" s="136"/>
    </row>
    <row r="23984" spans="1:2" x14ac:dyDescent="0.25">
      <c r="A23984" s="118"/>
      <c r="B23984" s="136"/>
    </row>
    <row r="23985" spans="1:2" x14ac:dyDescent="0.25">
      <c r="A23985" s="118"/>
      <c r="B23985" s="136"/>
    </row>
    <row r="23986" spans="1:2" x14ac:dyDescent="0.25">
      <c r="A23986" s="118"/>
      <c r="B23986" s="136"/>
    </row>
    <row r="23987" spans="1:2" x14ac:dyDescent="0.25">
      <c r="A23987" s="118"/>
      <c r="B23987" s="136"/>
    </row>
    <row r="23988" spans="1:2" x14ac:dyDescent="0.25">
      <c r="A23988" s="118"/>
      <c r="B23988" s="136"/>
    </row>
    <row r="23989" spans="1:2" x14ac:dyDescent="0.25">
      <c r="A23989" s="118"/>
      <c r="B23989" s="136"/>
    </row>
    <row r="23990" spans="1:2" x14ac:dyDescent="0.25">
      <c r="A23990" s="118"/>
      <c r="B23990" s="136"/>
    </row>
    <row r="23991" spans="1:2" x14ac:dyDescent="0.25">
      <c r="A23991" s="118"/>
      <c r="B23991" s="136"/>
    </row>
    <row r="23992" spans="1:2" x14ac:dyDescent="0.25">
      <c r="A23992" s="118"/>
      <c r="B23992" s="136"/>
    </row>
    <row r="23993" spans="1:2" x14ac:dyDescent="0.25">
      <c r="A23993" s="118"/>
      <c r="B23993" s="136"/>
    </row>
    <row r="23994" spans="1:2" x14ac:dyDescent="0.25">
      <c r="A23994" s="118"/>
      <c r="B23994" s="136"/>
    </row>
    <row r="23995" spans="1:2" x14ac:dyDescent="0.25">
      <c r="A23995" s="118"/>
      <c r="B23995" s="136"/>
    </row>
    <row r="23996" spans="1:2" x14ac:dyDescent="0.25">
      <c r="A23996" s="118"/>
      <c r="B23996" s="136"/>
    </row>
    <row r="23997" spans="1:2" x14ac:dyDescent="0.25">
      <c r="A23997" s="118"/>
      <c r="B23997" s="136"/>
    </row>
    <row r="23998" spans="1:2" x14ac:dyDescent="0.25">
      <c r="A23998" s="118"/>
      <c r="B23998" s="136"/>
    </row>
    <row r="23999" spans="1:2" x14ac:dyDescent="0.25">
      <c r="A23999" s="118"/>
      <c r="B23999" s="136"/>
    </row>
    <row r="24000" spans="1:2" x14ac:dyDescent="0.25">
      <c r="A24000" s="118"/>
      <c r="B24000" s="136"/>
    </row>
    <row r="24001" spans="1:2" x14ac:dyDescent="0.25">
      <c r="A24001" s="118"/>
      <c r="B24001" s="136"/>
    </row>
    <row r="24002" spans="1:2" x14ac:dyDescent="0.25">
      <c r="A24002" s="118"/>
      <c r="B24002" s="136"/>
    </row>
    <row r="24003" spans="1:2" x14ac:dyDescent="0.25">
      <c r="A24003" s="118"/>
      <c r="B24003" s="136"/>
    </row>
    <row r="24004" spans="1:2" x14ac:dyDescent="0.25">
      <c r="A24004" s="118"/>
      <c r="B24004" s="136"/>
    </row>
    <row r="24005" spans="1:2" x14ac:dyDescent="0.25">
      <c r="A24005" s="118"/>
      <c r="B24005" s="136"/>
    </row>
    <row r="24006" spans="1:2" x14ac:dyDescent="0.25">
      <c r="A24006" s="118"/>
      <c r="B24006" s="136"/>
    </row>
    <row r="24007" spans="1:2" x14ac:dyDescent="0.25">
      <c r="A24007" s="118"/>
      <c r="B24007" s="136"/>
    </row>
    <row r="24008" spans="1:2" x14ac:dyDescent="0.25">
      <c r="A24008" s="118"/>
      <c r="B24008" s="136"/>
    </row>
    <row r="24009" spans="1:2" x14ac:dyDescent="0.25">
      <c r="A24009" s="118"/>
      <c r="B24009" s="136"/>
    </row>
    <row r="24010" spans="1:2" x14ac:dyDescent="0.25">
      <c r="A24010" s="118"/>
      <c r="B24010" s="136"/>
    </row>
    <row r="24011" spans="1:2" x14ac:dyDescent="0.25">
      <c r="A24011" s="118"/>
      <c r="B24011" s="136"/>
    </row>
    <row r="24012" spans="1:2" x14ac:dyDescent="0.25">
      <c r="A24012" s="118"/>
      <c r="B24012" s="136"/>
    </row>
    <row r="24013" spans="1:2" x14ac:dyDescent="0.25">
      <c r="A24013" s="118"/>
      <c r="B24013" s="136"/>
    </row>
    <row r="24014" spans="1:2" x14ac:dyDescent="0.25">
      <c r="A24014" s="118"/>
      <c r="B24014" s="136"/>
    </row>
    <row r="24015" spans="1:2" x14ac:dyDescent="0.25">
      <c r="A24015" s="118"/>
      <c r="B24015" s="136"/>
    </row>
    <row r="24016" spans="1:2" x14ac:dyDescent="0.25">
      <c r="A24016" s="118"/>
      <c r="B24016" s="136"/>
    </row>
    <row r="24017" spans="1:2" x14ac:dyDescent="0.25">
      <c r="A24017" s="118"/>
      <c r="B24017" s="136"/>
    </row>
    <row r="24018" spans="1:2" x14ac:dyDescent="0.25">
      <c r="A24018" s="118"/>
      <c r="B24018" s="136"/>
    </row>
    <row r="24019" spans="1:2" x14ac:dyDescent="0.25">
      <c r="A24019" s="118"/>
      <c r="B24019" s="136"/>
    </row>
    <row r="24020" spans="1:2" x14ac:dyDescent="0.25">
      <c r="A24020" s="118"/>
      <c r="B24020" s="136"/>
    </row>
    <row r="24021" spans="1:2" x14ac:dyDescent="0.25">
      <c r="A24021" s="118"/>
      <c r="B24021" s="136"/>
    </row>
    <row r="24022" spans="1:2" x14ac:dyDescent="0.25">
      <c r="A24022" s="118"/>
      <c r="B24022" s="136"/>
    </row>
    <row r="24023" spans="1:2" x14ac:dyDescent="0.25">
      <c r="A24023" s="118"/>
      <c r="B24023" s="136"/>
    </row>
    <row r="24024" spans="1:2" x14ac:dyDescent="0.25">
      <c r="A24024" s="118"/>
      <c r="B24024" s="136"/>
    </row>
    <row r="24025" spans="1:2" x14ac:dyDescent="0.25">
      <c r="A24025" s="118"/>
      <c r="B24025" s="136"/>
    </row>
    <row r="24026" spans="1:2" x14ac:dyDescent="0.25">
      <c r="A24026" s="118"/>
      <c r="B24026" s="136"/>
    </row>
    <row r="24027" spans="1:2" x14ac:dyDescent="0.25">
      <c r="A24027" s="118"/>
      <c r="B24027" s="136"/>
    </row>
    <row r="24028" spans="1:2" x14ac:dyDescent="0.25">
      <c r="A24028" s="118"/>
      <c r="B24028" s="136"/>
    </row>
    <row r="24029" spans="1:2" x14ac:dyDescent="0.25">
      <c r="A24029" s="118"/>
      <c r="B24029" s="136"/>
    </row>
    <row r="24030" spans="1:2" x14ac:dyDescent="0.25">
      <c r="A24030" s="118"/>
      <c r="B24030" s="136"/>
    </row>
    <row r="24031" spans="1:2" x14ac:dyDescent="0.25">
      <c r="A24031" s="118"/>
      <c r="B24031" s="136"/>
    </row>
    <row r="24032" spans="1:2" x14ac:dyDescent="0.25">
      <c r="A24032" s="118"/>
      <c r="B24032" s="136"/>
    </row>
    <row r="24033" spans="1:2" x14ac:dyDescent="0.25">
      <c r="A24033" s="118"/>
      <c r="B24033" s="136"/>
    </row>
    <row r="24034" spans="1:2" x14ac:dyDescent="0.25">
      <c r="A24034" s="118"/>
      <c r="B24034" s="136"/>
    </row>
    <row r="24035" spans="1:2" x14ac:dyDescent="0.25">
      <c r="A24035" s="118"/>
      <c r="B24035" s="136"/>
    </row>
    <row r="24036" spans="1:2" x14ac:dyDescent="0.25">
      <c r="A24036" s="118"/>
      <c r="B24036" s="136"/>
    </row>
    <row r="24037" spans="1:2" x14ac:dyDescent="0.25">
      <c r="A24037" s="118"/>
      <c r="B24037" s="136"/>
    </row>
    <row r="24038" spans="1:2" x14ac:dyDescent="0.25">
      <c r="A24038" s="118"/>
      <c r="B24038" s="136"/>
    </row>
    <row r="24039" spans="1:2" x14ac:dyDescent="0.25">
      <c r="A24039" s="118"/>
      <c r="B24039" s="136"/>
    </row>
    <row r="24040" spans="1:2" x14ac:dyDescent="0.25">
      <c r="A24040" s="118"/>
      <c r="B24040" s="136"/>
    </row>
    <row r="24041" spans="1:2" x14ac:dyDescent="0.25">
      <c r="A24041" s="118"/>
      <c r="B24041" s="136"/>
    </row>
    <row r="24042" spans="1:2" x14ac:dyDescent="0.25">
      <c r="A24042" s="118"/>
      <c r="B24042" s="136"/>
    </row>
    <row r="24043" spans="1:2" x14ac:dyDescent="0.25">
      <c r="A24043" s="118"/>
      <c r="B24043" s="136"/>
    </row>
    <row r="24044" spans="1:2" x14ac:dyDescent="0.25">
      <c r="A24044" s="118"/>
      <c r="B24044" s="136"/>
    </row>
    <row r="24045" spans="1:2" x14ac:dyDescent="0.25">
      <c r="A24045" s="118"/>
      <c r="B24045" s="136"/>
    </row>
    <row r="24046" spans="1:2" x14ac:dyDescent="0.25">
      <c r="A24046" s="118"/>
      <c r="B24046" s="136"/>
    </row>
    <row r="24047" spans="1:2" x14ac:dyDescent="0.25">
      <c r="A24047" s="118"/>
      <c r="B24047" s="136"/>
    </row>
    <row r="24048" spans="1:2" x14ac:dyDescent="0.25">
      <c r="A24048" s="118"/>
      <c r="B24048" s="136"/>
    </row>
    <row r="24049" spans="1:2" x14ac:dyDescent="0.25">
      <c r="A24049" s="118"/>
      <c r="B24049" s="136"/>
    </row>
    <row r="24050" spans="1:2" x14ac:dyDescent="0.25">
      <c r="A24050" s="118"/>
      <c r="B24050" s="136"/>
    </row>
    <row r="24051" spans="1:2" x14ac:dyDescent="0.25">
      <c r="A24051" s="118"/>
      <c r="B24051" s="136"/>
    </row>
    <row r="24052" spans="1:2" x14ac:dyDescent="0.25">
      <c r="A24052" s="118"/>
      <c r="B24052" s="136"/>
    </row>
    <row r="24053" spans="1:2" x14ac:dyDescent="0.25">
      <c r="A24053" s="118"/>
      <c r="B24053" s="136"/>
    </row>
    <row r="24054" spans="1:2" x14ac:dyDescent="0.25">
      <c r="A24054" s="118"/>
      <c r="B24054" s="136"/>
    </row>
    <row r="24055" spans="1:2" x14ac:dyDescent="0.25">
      <c r="A24055" s="118"/>
      <c r="B24055" s="136"/>
    </row>
    <row r="24056" spans="1:2" x14ac:dyDescent="0.25">
      <c r="A24056" s="118"/>
      <c r="B24056" s="136"/>
    </row>
    <row r="24057" spans="1:2" x14ac:dyDescent="0.25">
      <c r="A24057" s="118"/>
      <c r="B24057" s="136"/>
    </row>
    <row r="24058" spans="1:2" x14ac:dyDescent="0.25">
      <c r="A24058" s="118"/>
      <c r="B24058" s="136"/>
    </row>
    <row r="24059" spans="1:2" x14ac:dyDescent="0.25">
      <c r="A24059" s="118"/>
      <c r="B24059" s="136"/>
    </row>
    <row r="24060" spans="1:2" x14ac:dyDescent="0.25">
      <c r="A24060" s="118"/>
      <c r="B24060" s="136"/>
    </row>
    <row r="24061" spans="1:2" x14ac:dyDescent="0.25">
      <c r="A24061" s="118"/>
      <c r="B24061" s="136"/>
    </row>
    <row r="24062" spans="1:2" x14ac:dyDescent="0.25">
      <c r="A24062" s="118"/>
      <c r="B24062" s="136"/>
    </row>
    <row r="24063" spans="1:2" x14ac:dyDescent="0.25">
      <c r="A24063" s="118"/>
      <c r="B24063" s="136"/>
    </row>
    <row r="24064" spans="1:2" x14ac:dyDescent="0.25">
      <c r="A24064" s="118"/>
      <c r="B24064" s="136"/>
    </row>
    <row r="24065" spans="1:2" x14ac:dyDescent="0.25">
      <c r="A24065" s="118"/>
      <c r="B24065" s="136"/>
    </row>
    <row r="24066" spans="1:2" x14ac:dyDescent="0.25">
      <c r="A24066" s="118"/>
      <c r="B24066" s="136"/>
    </row>
    <row r="24067" spans="1:2" x14ac:dyDescent="0.25">
      <c r="A24067" s="118"/>
      <c r="B24067" s="136"/>
    </row>
    <row r="24068" spans="1:2" x14ac:dyDescent="0.25">
      <c r="A24068" s="118"/>
      <c r="B24068" s="136"/>
    </row>
    <row r="24069" spans="1:2" x14ac:dyDescent="0.25">
      <c r="A24069" s="118"/>
      <c r="B24069" s="136"/>
    </row>
    <row r="24070" spans="1:2" x14ac:dyDescent="0.25">
      <c r="A24070" s="118"/>
      <c r="B24070" s="136"/>
    </row>
    <row r="24071" spans="1:2" x14ac:dyDescent="0.25">
      <c r="A24071" s="118"/>
      <c r="B24071" s="136"/>
    </row>
    <row r="24072" spans="1:2" x14ac:dyDescent="0.25">
      <c r="A24072" s="118"/>
      <c r="B24072" s="136"/>
    </row>
    <row r="24073" spans="1:2" x14ac:dyDescent="0.25">
      <c r="A24073" s="118"/>
      <c r="B24073" s="136"/>
    </row>
    <row r="24074" spans="1:2" x14ac:dyDescent="0.25">
      <c r="A24074" s="118"/>
      <c r="B24074" s="136"/>
    </row>
    <row r="24075" spans="1:2" x14ac:dyDescent="0.25">
      <c r="A24075" s="118"/>
      <c r="B24075" s="136"/>
    </row>
    <row r="24076" spans="1:2" x14ac:dyDescent="0.25">
      <c r="A24076" s="118"/>
      <c r="B24076" s="136"/>
    </row>
    <row r="24077" spans="1:2" x14ac:dyDescent="0.25">
      <c r="A24077" s="118"/>
      <c r="B24077" s="136"/>
    </row>
    <row r="24078" spans="1:2" x14ac:dyDescent="0.25">
      <c r="A24078" s="118"/>
      <c r="B24078" s="136"/>
    </row>
    <row r="24079" spans="1:2" x14ac:dyDescent="0.25">
      <c r="A24079" s="118"/>
      <c r="B24079" s="136"/>
    </row>
    <row r="24080" spans="1:2" x14ac:dyDescent="0.25">
      <c r="A24080" s="118"/>
      <c r="B24080" s="136"/>
    </row>
    <row r="24081" spans="1:2" x14ac:dyDescent="0.25">
      <c r="A24081" s="118"/>
      <c r="B24081" s="136"/>
    </row>
    <row r="24082" spans="1:2" x14ac:dyDescent="0.25">
      <c r="A24082" s="118"/>
      <c r="B24082" s="136"/>
    </row>
    <row r="24083" spans="1:2" x14ac:dyDescent="0.25">
      <c r="A24083" s="118"/>
      <c r="B24083" s="136"/>
    </row>
    <row r="24084" spans="1:2" x14ac:dyDescent="0.25">
      <c r="A24084" s="118"/>
      <c r="B24084" s="136"/>
    </row>
    <row r="24085" spans="1:2" x14ac:dyDescent="0.25">
      <c r="A24085" s="118"/>
      <c r="B24085" s="136"/>
    </row>
    <row r="24086" spans="1:2" x14ac:dyDescent="0.25">
      <c r="A24086" s="118"/>
      <c r="B24086" s="136"/>
    </row>
    <row r="24087" spans="1:2" x14ac:dyDescent="0.25">
      <c r="A24087" s="118"/>
      <c r="B24087" s="136"/>
    </row>
    <row r="24088" spans="1:2" x14ac:dyDescent="0.25">
      <c r="A24088" s="118"/>
      <c r="B24088" s="136"/>
    </row>
    <row r="24089" spans="1:2" x14ac:dyDescent="0.25">
      <c r="A24089" s="118"/>
      <c r="B24089" s="136"/>
    </row>
    <row r="24090" spans="1:2" x14ac:dyDescent="0.25">
      <c r="A24090" s="118"/>
      <c r="B24090" s="136"/>
    </row>
    <row r="24091" spans="1:2" x14ac:dyDescent="0.25">
      <c r="A24091" s="118"/>
      <c r="B24091" s="136"/>
    </row>
    <row r="24092" spans="1:2" x14ac:dyDescent="0.25">
      <c r="A24092" s="118"/>
      <c r="B24092" s="136"/>
    </row>
    <row r="24093" spans="1:2" x14ac:dyDescent="0.25">
      <c r="A24093" s="118"/>
      <c r="B24093" s="136"/>
    </row>
    <row r="24094" spans="1:2" x14ac:dyDescent="0.25">
      <c r="A24094" s="118"/>
      <c r="B24094" s="136"/>
    </row>
    <row r="24095" spans="1:2" x14ac:dyDescent="0.25">
      <c r="A24095" s="118"/>
      <c r="B24095" s="136"/>
    </row>
    <row r="24096" spans="1:2" x14ac:dyDescent="0.25">
      <c r="A24096" s="118"/>
      <c r="B24096" s="136"/>
    </row>
    <row r="24097" spans="1:2" x14ac:dyDescent="0.25">
      <c r="A24097" s="118"/>
      <c r="B24097" s="136"/>
    </row>
    <row r="24098" spans="1:2" x14ac:dyDescent="0.25">
      <c r="A24098" s="118"/>
      <c r="B24098" s="136"/>
    </row>
    <row r="24099" spans="1:2" x14ac:dyDescent="0.25">
      <c r="A24099" s="118"/>
      <c r="B24099" s="136"/>
    </row>
    <row r="24100" spans="1:2" x14ac:dyDescent="0.25">
      <c r="A24100" s="118"/>
      <c r="B24100" s="136"/>
    </row>
    <row r="24101" spans="1:2" x14ac:dyDescent="0.25">
      <c r="A24101" s="118"/>
      <c r="B24101" s="136"/>
    </row>
    <row r="24102" spans="1:2" x14ac:dyDescent="0.25">
      <c r="A24102" s="118"/>
      <c r="B24102" s="136"/>
    </row>
    <row r="24103" spans="1:2" x14ac:dyDescent="0.25">
      <c r="A24103" s="118"/>
      <c r="B24103" s="136"/>
    </row>
    <row r="24104" spans="1:2" x14ac:dyDescent="0.25">
      <c r="A24104" s="118"/>
      <c r="B24104" s="136"/>
    </row>
    <row r="24105" spans="1:2" x14ac:dyDescent="0.25">
      <c r="A24105" s="118"/>
      <c r="B24105" s="136"/>
    </row>
    <row r="24106" spans="1:2" x14ac:dyDescent="0.25">
      <c r="A24106" s="118"/>
      <c r="B24106" s="136"/>
    </row>
    <row r="24107" spans="1:2" x14ac:dyDescent="0.25">
      <c r="A24107" s="118"/>
      <c r="B24107" s="136"/>
    </row>
    <row r="24108" spans="1:2" x14ac:dyDescent="0.25">
      <c r="A24108" s="118"/>
      <c r="B24108" s="136"/>
    </row>
    <row r="24109" spans="1:2" x14ac:dyDescent="0.25">
      <c r="A24109" s="118"/>
      <c r="B24109" s="136"/>
    </row>
    <row r="24110" spans="1:2" x14ac:dyDescent="0.25">
      <c r="A24110" s="118"/>
      <c r="B24110" s="136"/>
    </row>
    <row r="24111" spans="1:2" x14ac:dyDescent="0.25">
      <c r="A24111" s="118"/>
      <c r="B24111" s="136"/>
    </row>
    <row r="24112" spans="1:2" x14ac:dyDescent="0.25">
      <c r="A24112" s="118"/>
      <c r="B24112" s="136"/>
    </row>
    <row r="24113" spans="1:2" x14ac:dyDescent="0.25">
      <c r="A24113" s="118"/>
      <c r="B24113" s="136"/>
    </row>
    <row r="24114" spans="1:2" x14ac:dyDescent="0.25">
      <c r="A24114" s="118"/>
      <c r="B24114" s="136"/>
    </row>
    <row r="24115" spans="1:2" x14ac:dyDescent="0.25">
      <c r="A24115" s="118"/>
      <c r="B24115" s="136"/>
    </row>
    <row r="24116" spans="1:2" x14ac:dyDescent="0.25">
      <c r="A24116" s="118"/>
      <c r="B24116" s="136"/>
    </row>
    <row r="24117" spans="1:2" x14ac:dyDescent="0.25">
      <c r="A24117" s="118"/>
      <c r="B24117" s="136"/>
    </row>
    <row r="24118" spans="1:2" x14ac:dyDescent="0.25">
      <c r="A24118" s="118"/>
      <c r="B24118" s="136"/>
    </row>
    <row r="24119" spans="1:2" x14ac:dyDescent="0.25">
      <c r="A24119" s="118"/>
      <c r="B24119" s="136"/>
    </row>
    <row r="24120" spans="1:2" x14ac:dyDescent="0.25">
      <c r="A24120" s="118"/>
      <c r="B24120" s="136"/>
    </row>
    <row r="24121" spans="1:2" x14ac:dyDescent="0.25">
      <c r="A24121" s="118"/>
      <c r="B24121" s="136"/>
    </row>
    <row r="24122" spans="1:2" x14ac:dyDescent="0.25">
      <c r="A24122" s="118"/>
      <c r="B24122" s="136"/>
    </row>
    <row r="24123" spans="1:2" x14ac:dyDescent="0.25">
      <c r="A24123" s="118"/>
      <c r="B24123" s="136"/>
    </row>
    <row r="24124" spans="1:2" x14ac:dyDescent="0.25">
      <c r="A24124" s="118"/>
      <c r="B24124" s="136"/>
    </row>
    <row r="24125" spans="1:2" x14ac:dyDescent="0.25">
      <c r="A24125" s="118"/>
      <c r="B24125" s="136"/>
    </row>
    <row r="24126" spans="1:2" x14ac:dyDescent="0.25">
      <c r="A24126" s="118"/>
      <c r="B24126" s="136"/>
    </row>
    <row r="24127" spans="1:2" x14ac:dyDescent="0.25">
      <c r="A24127" s="118"/>
      <c r="B24127" s="136"/>
    </row>
    <row r="24128" spans="1:2" x14ac:dyDescent="0.25">
      <c r="A24128" s="118"/>
      <c r="B24128" s="136"/>
    </row>
    <row r="24129" spans="1:2" x14ac:dyDescent="0.25">
      <c r="A24129" s="118"/>
      <c r="B24129" s="136"/>
    </row>
    <row r="24130" spans="1:2" x14ac:dyDescent="0.25">
      <c r="A24130" s="118"/>
      <c r="B24130" s="136"/>
    </row>
    <row r="24131" spans="1:2" x14ac:dyDescent="0.25">
      <c r="A24131" s="118"/>
      <c r="B24131" s="136"/>
    </row>
    <row r="24132" spans="1:2" x14ac:dyDescent="0.25">
      <c r="A24132" s="118"/>
      <c r="B24132" s="136"/>
    </row>
    <row r="24133" spans="1:2" x14ac:dyDescent="0.25">
      <c r="A24133" s="118"/>
      <c r="B24133" s="136"/>
    </row>
    <row r="24134" spans="1:2" x14ac:dyDescent="0.25">
      <c r="A24134" s="118"/>
      <c r="B24134" s="136"/>
    </row>
    <row r="24135" spans="1:2" x14ac:dyDescent="0.25">
      <c r="A24135" s="118"/>
      <c r="B24135" s="136"/>
    </row>
    <row r="24136" spans="1:2" x14ac:dyDescent="0.25">
      <c r="A24136" s="118"/>
      <c r="B24136" s="136"/>
    </row>
    <row r="24137" spans="1:2" x14ac:dyDescent="0.25">
      <c r="A24137" s="118"/>
      <c r="B24137" s="136"/>
    </row>
    <row r="24138" spans="1:2" x14ac:dyDescent="0.25">
      <c r="A24138" s="118"/>
      <c r="B24138" s="136"/>
    </row>
    <row r="24139" spans="1:2" x14ac:dyDescent="0.25">
      <c r="A24139" s="118"/>
      <c r="B24139" s="136"/>
    </row>
    <row r="24140" spans="1:2" x14ac:dyDescent="0.25">
      <c r="A24140" s="118"/>
      <c r="B24140" s="136"/>
    </row>
    <row r="24141" spans="1:2" x14ac:dyDescent="0.25">
      <c r="A24141" s="118"/>
      <c r="B24141" s="136"/>
    </row>
    <row r="24142" spans="1:2" x14ac:dyDescent="0.25">
      <c r="A24142" s="118"/>
      <c r="B24142" s="136"/>
    </row>
    <row r="24143" spans="1:2" x14ac:dyDescent="0.25">
      <c r="A24143" s="118"/>
      <c r="B24143" s="136"/>
    </row>
    <row r="24144" spans="1:2" x14ac:dyDescent="0.25">
      <c r="A24144" s="118"/>
      <c r="B24144" s="136"/>
    </row>
    <row r="24145" spans="1:2" x14ac:dyDescent="0.25">
      <c r="A24145" s="118"/>
      <c r="B24145" s="136"/>
    </row>
    <row r="24146" spans="1:2" x14ac:dyDescent="0.25">
      <c r="A24146" s="118"/>
      <c r="B24146" s="136"/>
    </row>
    <row r="24147" spans="1:2" x14ac:dyDescent="0.25">
      <c r="A24147" s="118"/>
      <c r="B24147" s="136"/>
    </row>
    <row r="24148" spans="1:2" x14ac:dyDescent="0.25">
      <c r="A24148" s="118"/>
      <c r="B24148" s="136"/>
    </row>
    <row r="24149" spans="1:2" x14ac:dyDescent="0.25">
      <c r="A24149" s="118"/>
      <c r="B24149" s="136"/>
    </row>
    <row r="24150" spans="1:2" x14ac:dyDescent="0.25">
      <c r="A24150" s="118"/>
      <c r="B24150" s="136"/>
    </row>
    <row r="24151" spans="1:2" x14ac:dyDescent="0.25">
      <c r="A24151" s="118"/>
      <c r="B24151" s="136"/>
    </row>
    <row r="24152" spans="1:2" x14ac:dyDescent="0.25">
      <c r="A24152" s="118"/>
      <c r="B24152" s="136"/>
    </row>
    <row r="24153" spans="1:2" x14ac:dyDescent="0.25">
      <c r="A24153" s="118"/>
      <c r="B24153" s="136"/>
    </row>
    <row r="24154" spans="1:2" x14ac:dyDescent="0.25">
      <c r="A24154" s="118"/>
      <c r="B24154" s="136"/>
    </row>
    <row r="24155" spans="1:2" x14ac:dyDescent="0.25">
      <c r="A24155" s="118"/>
      <c r="B24155" s="136"/>
    </row>
    <row r="24156" spans="1:2" x14ac:dyDescent="0.25">
      <c r="A24156" s="118"/>
      <c r="B24156" s="136"/>
    </row>
    <row r="24157" spans="1:2" x14ac:dyDescent="0.25">
      <c r="A24157" s="118"/>
      <c r="B24157" s="136"/>
    </row>
    <row r="24158" spans="1:2" x14ac:dyDescent="0.25">
      <c r="A24158" s="118"/>
      <c r="B24158" s="136"/>
    </row>
    <row r="24159" spans="1:2" x14ac:dyDescent="0.25">
      <c r="A24159" s="118"/>
      <c r="B24159" s="136"/>
    </row>
    <row r="24160" spans="1:2" x14ac:dyDescent="0.25">
      <c r="A24160" s="118"/>
      <c r="B24160" s="136"/>
    </row>
    <row r="24161" spans="1:2" x14ac:dyDescent="0.25">
      <c r="A24161" s="118"/>
      <c r="B24161" s="136"/>
    </row>
    <row r="24162" spans="1:2" x14ac:dyDescent="0.25">
      <c r="A24162" s="118"/>
      <c r="B24162" s="136"/>
    </row>
    <row r="24163" spans="1:2" x14ac:dyDescent="0.25">
      <c r="A24163" s="118"/>
      <c r="B24163" s="136"/>
    </row>
    <row r="24164" spans="1:2" x14ac:dyDescent="0.25">
      <c r="A24164" s="118"/>
      <c r="B24164" s="136"/>
    </row>
    <row r="24165" spans="1:2" x14ac:dyDescent="0.25">
      <c r="A24165" s="118"/>
      <c r="B24165" s="136"/>
    </row>
    <row r="24166" spans="1:2" x14ac:dyDescent="0.25">
      <c r="A24166" s="118"/>
      <c r="B24166" s="136"/>
    </row>
    <row r="24167" spans="1:2" x14ac:dyDescent="0.25">
      <c r="A24167" s="118"/>
      <c r="B24167" s="136"/>
    </row>
    <row r="24168" spans="1:2" x14ac:dyDescent="0.25">
      <c r="A24168" s="118"/>
      <c r="B24168" s="136"/>
    </row>
    <row r="24169" spans="1:2" x14ac:dyDescent="0.25">
      <c r="A24169" s="118"/>
      <c r="B24169" s="136"/>
    </row>
    <row r="24170" spans="1:2" x14ac:dyDescent="0.25">
      <c r="A24170" s="118"/>
      <c r="B24170" s="136"/>
    </row>
    <row r="24171" spans="1:2" x14ac:dyDescent="0.25">
      <c r="A24171" s="118"/>
      <c r="B24171" s="136"/>
    </row>
    <row r="24172" spans="1:2" x14ac:dyDescent="0.25">
      <c r="A24172" s="118"/>
      <c r="B24172" s="136"/>
    </row>
    <row r="24173" spans="1:2" x14ac:dyDescent="0.25">
      <c r="A24173" s="118"/>
      <c r="B24173" s="136"/>
    </row>
    <row r="24174" spans="1:2" x14ac:dyDescent="0.25">
      <c r="A24174" s="118"/>
      <c r="B24174" s="136"/>
    </row>
    <row r="24175" spans="1:2" x14ac:dyDescent="0.25">
      <c r="A24175" s="118"/>
      <c r="B24175" s="136"/>
    </row>
    <row r="24176" spans="1:2" x14ac:dyDescent="0.25">
      <c r="A24176" s="118"/>
      <c r="B24176" s="136"/>
    </row>
    <row r="24177" spans="1:2" x14ac:dyDescent="0.25">
      <c r="A24177" s="118"/>
      <c r="B24177" s="136"/>
    </row>
    <row r="24178" spans="1:2" x14ac:dyDescent="0.25">
      <c r="A24178" s="118"/>
      <c r="B24178" s="136"/>
    </row>
    <row r="24179" spans="1:2" x14ac:dyDescent="0.25">
      <c r="A24179" s="118"/>
      <c r="B24179" s="136"/>
    </row>
    <row r="24180" spans="1:2" x14ac:dyDescent="0.25">
      <c r="A24180" s="118"/>
      <c r="B24180" s="136"/>
    </row>
    <row r="24181" spans="1:2" x14ac:dyDescent="0.25">
      <c r="A24181" s="118"/>
      <c r="B24181" s="136"/>
    </row>
    <row r="24182" spans="1:2" x14ac:dyDescent="0.25">
      <c r="A24182" s="118"/>
      <c r="B24182" s="136"/>
    </row>
    <row r="24183" spans="1:2" x14ac:dyDescent="0.25">
      <c r="A24183" s="118"/>
      <c r="B24183" s="136"/>
    </row>
    <row r="24184" spans="1:2" x14ac:dyDescent="0.25">
      <c r="A24184" s="118"/>
      <c r="B24184" s="136"/>
    </row>
    <row r="24185" spans="1:2" x14ac:dyDescent="0.25">
      <c r="A24185" s="118"/>
      <c r="B24185" s="136"/>
    </row>
    <row r="24186" spans="1:2" x14ac:dyDescent="0.25">
      <c r="A24186" s="118"/>
      <c r="B24186" s="136"/>
    </row>
    <row r="24187" spans="1:2" x14ac:dyDescent="0.25">
      <c r="A24187" s="118"/>
      <c r="B24187" s="136"/>
    </row>
    <row r="24188" spans="1:2" x14ac:dyDescent="0.25">
      <c r="A24188" s="118"/>
      <c r="B24188" s="136"/>
    </row>
    <row r="24189" spans="1:2" x14ac:dyDescent="0.25">
      <c r="A24189" s="118"/>
      <c r="B24189" s="136"/>
    </row>
    <row r="24190" spans="1:2" x14ac:dyDescent="0.25">
      <c r="A24190" s="118"/>
      <c r="B24190" s="136"/>
    </row>
    <row r="24191" spans="1:2" x14ac:dyDescent="0.25">
      <c r="A24191" s="118"/>
      <c r="B24191" s="136"/>
    </row>
    <row r="24192" spans="1:2" x14ac:dyDescent="0.25">
      <c r="A24192" s="118"/>
      <c r="B24192" s="136"/>
    </row>
    <row r="24193" spans="1:2" x14ac:dyDescent="0.25">
      <c r="A24193" s="118"/>
      <c r="B24193" s="136"/>
    </row>
    <row r="24194" spans="1:2" x14ac:dyDescent="0.25">
      <c r="A24194" s="118"/>
      <c r="B24194" s="136"/>
    </row>
    <row r="24195" spans="1:2" x14ac:dyDescent="0.25">
      <c r="A24195" s="118"/>
      <c r="B24195" s="136"/>
    </row>
    <row r="24196" spans="1:2" x14ac:dyDescent="0.25">
      <c r="A24196" s="118"/>
      <c r="B24196" s="136"/>
    </row>
    <row r="24197" spans="1:2" x14ac:dyDescent="0.25">
      <c r="A24197" s="118"/>
      <c r="B24197" s="136"/>
    </row>
    <row r="24198" spans="1:2" x14ac:dyDescent="0.25">
      <c r="A24198" s="118"/>
      <c r="B24198" s="136"/>
    </row>
    <row r="24199" spans="1:2" x14ac:dyDescent="0.25">
      <c r="A24199" s="118"/>
      <c r="B24199" s="136"/>
    </row>
    <row r="24200" spans="1:2" x14ac:dyDescent="0.25">
      <c r="A24200" s="118"/>
      <c r="B24200" s="136"/>
    </row>
    <row r="24201" spans="1:2" x14ac:dyDescent="0.25">
      <c r="A24201" s="118"/>
      <c r="B24201" s="136"/>
    </row>
    <row r="24202" spans="1:2" x14ac:dyDescent="0.25">
      <c r="A24202" s="118"/>
      <c r="B24202" s="136"/>
    </row>
    <row r="24203" spans="1:2" x14ac:dyDescent="0.25">
      <c r="A24203" s="118"/>
      <c r="B24203" s="136"/>
    </row>
    <row r="24204" spans="1:2" x14ac:dyDescent="0.25">
      <c r="A24204" s="118"/>
      <c r="B24204" s="136"/>
    </row>
    <row r="24205" spans="1:2" x14ac:dyDescent="0.25">
      <c r="A24205" s="118"/>
      <c r="B24205" s="136"/>
    </row>
    <row r="24206" spans="1:2" x14ac:dyDescent="0.25">
      <c r="A24206" s="118"/>
      <c r="B24206" s="136"/>
    </row>
    <row r="24207" spans="1:2" x14ac:dyDescent="0.25">
      <c r="A24207" s="118"/>
      <c r="B24207" s="136"/>
    </row>
    <row r="24208" spans="1:2" x14ac:dyDescent="0.25">
      <c r="A24208" s="118"/>
      <c r="B24208" s="136"/>
    </row>
    <row r="24209" spans="1:2" x14ac:dyDescent="0.25">
      <c r="A24209" s="118"/>
      <c r="B24209" s="136"/>
    </row>
    <row r="24210" spans="1:2" x14ac:dyDescent="0.25">
      <c r="A24210" s="118"/>
      <c r="B24210" s="136"/>
    </row>
    <row r="24211" spans="1:2" x14ac:dyDescent="0.25">
      <c r="A24211" s="118"/>
      <c r="B24211" s="136"/>
    </row>
    <row r="24212" spans="1:2" x14ac:dyDescent="0.25">
      <c r="A24212" s="118"/>
      <c r="B24212" s="136"/>
    </row>
    <row r="24213" spans="1:2" x14ac:dyDescent="0.25">
      <c r="A24213" s="118"/>
      <c r="B24213" s="136"/>
    </row>
    <row r="24214" spans="1:2" x14ac:dyDescent="0.25">
      <c r="A24214" s="118"/>
      <c r="B24214" s="136"/>
    </row>
    <row r="24215" spans="1:2" x14ac:dyDescent="0.25">
      <c r="A24215" s="118"/>
      <c r="B24215" s="136"/>
    </row>
    <row r="24216" spans="1:2" x14ac:dyDescent="0.25">
      <c r="A24216" s="118"/>
      <c r="B24216" s="136"/>
    </row>
    <row r="24217" spans="1:2" x14ac:dyDescent="0.25">
      <c r="A24217" s="118"/>
      <c r="B24217" s="136"/>
    </row>
    <row r="24218" spans="1:2" x14ac:dyDescent="0.25">
      <c r="A24218" s="118"/>
      <c r="B24218" s="136"/>
    </row>
    <row r="24219" spans="1:2" x14ac:dyDescent="0.25">
      <c r="A24219" s="118"/>
      <c r="B24219" s="136"/>
    </row>
    <row r="24220" spans="1:2" x14ac:dyDescent="0.25">
      <c r="A24220" s="118"/>
      <c r="B24220" s="136"/>
    </row>
    <row r="24221" spans="1:2" x14ac:dyDescent="0.25">
      <c r="A24221" s="118"/>
      <c r="B24221" s="136"/>
    </row>
    <row r="24222" spans="1:2" x14ac:dyDescent="0.25">
      <c r="A24222" s="118"/>
      <c r="B24222" s="136"/>
    </row>
    <row r="24223" spans="1:2" x14ac:dyDescent="0.25">
      <c r="A24223" s="118"/>
      <c r="B24223" s="136"/>
    </row>
    <row r="24224" spans="1:2" x14ac:dyDescent="0.25">
      <c r="A24224" s="118"/>
      <c r="B24224" s="136"/>
    </row>
    <row r="24225" spans="1:2" x14ac:dyDescent="0.25">
      <c r="A24225" s="118"/>
      <c r="B24225" s="136"/>
    </row>
    <row r="24226" spans="1:2" x14ac:dyDescent="0.25">
      <c r="A24226" s="118"/>
      <c r="B24226" s="136"/>
    </row>
    <row r="24227" spans="1:2" x14ac:dyDescent="0.25">
      <c r="A24227" s="118"/>
      <c r="B24227" s="136"/>
    </row>
    <row r="24228" spans="1:2" x14ac:dyDescent="0.25">
      <c r="A24228" s="118"/>
      <c r="B24228" s="136"/>
    </row>
    <row r="24229" spans="1:2" x14ac:dyDescent="0.25">
      <c r="A24229" s="118"/>
      <c r="B24229" s="136"/>
    </row>
    <row r="24230" spans="1:2" x14ac:dyDescent="0.25">
      <c r="A24230" s="118"/>
      <c r="B24230" s="136"/>
    </row>
    <row r="24231" spans="1:2" x14ac:dyDescent="0.25">
      <c r="A24231" s="118"/>
      <c r="B24231" s="136"/>
    </row>
    <row r="24232" spans="1:2" x14ac:dyDescent="0.25">
      <c r="A24232" s="118"/>
      <c r="B24232" s="136"/>
    </row>
    <row r="24233" spans="1:2" x14ac:dyDescent="0.25">
      <c r="A24233" s="118"/>
      <c r="B24233" s="136"/>
    </row>
    <row r="24234" spans="1:2" x14ac:dyDescent="0.25">
      <c r="A24234" s="118"/>
      <c r="B24234" s="136"/>
    </row>
    <row r="24235" spans="1:2" x14ac:dyDescent="0.25">
      <c r="A24235" s="118"/>
      <c r="B24235" s="136"/>
    </row>
    <row r="24236" spans="1:2" x14ac:dyDescent="0.25">
      <c r="A24236" s="118"/>
      <c r="B24236" s="136"/>
    </row>
    <row r="24237" spans="1:2" x14ac:dyDescent="0.25">
      <c r="A24237" s="118"/>
      <c r="B24237" s="136"/>
    </row>
    <row r="24238" spans="1:2" x14ac:dyDescent="0.25">
      <c r="A24238" s="118"/>
      <c r="B24238" s="136"/>
    </row>
    <row r="24239" spans="1:2" x14ac:dyDescent="0.25">
      <c r="A24239" s="118"/>
      <c r="B24239" s="136"/>
    </row>
    <row r="24240" spans="1:2" x14ac:dyDescent="0.25">
      <c r="A24240" s="118"/>
      <c r="B24240" s="136"/>
    </row>
    <row r="24241" spans="1:2" x14ac:dyDescent="0.25">
      <c r="A24241" s="118"/>
      <c r="B24241" s="136"/>
    </row>
    <row r="24242" spans="1:2" x14ac:dyDescent="0.25">
      <c r="A24242" s="118"/>
      <c r="B24242" s="136"/>
    </row>
    <row r="24243" spans="1:2" x14ac:dyDescent="0.25">
      <c r="A24243" s="118"/>
      <c r="B24243" s="136"/>
    </row>
    <row r="24244" spans="1:2" x14ac:dyDescent="0.25">
      <c r="A24244" s="118"/>
      <c r="B24244" s="136"/>
    </row>
    <row r="24245" spans="1:2" x14ac:dyDescent="0.25">
      <c r="A24245" s="118"/>
      <c r="B24245" s="136"/>
    </row>
    <row r="24246" spans="1:2" x14ac:dyDescent="0.25">
      <c r="A24246" s="118"/>
      <c r="B24246" s="136"/>
    </row>
    <row r="24247" spans="1:2" x14ac:dyDescent="0.25">
      <c r="A24247" s="118"/>
      <c r="B24247" s="136"/>
    </row>
    <row r="24248" spans="1:2" x14ac:dyDescent="0.25">
      <c r="A24248" s="118"/>
      <c r="B24248" s="136"/>
    </row>
    <row r="24249" spans="1:2" x14ac:dyDescent="0.25">
      <c r="A24249" s="118"/>
      <c r="B24249" s="136"/>
    </row>
    <row r="24250" spans="1:2" x14ac:dyDescent="0.25">
      <c r="A24250" s="118"/>
      <c r="B24250" s="136"/>
    </row>
    <row r="24251" spans="1:2" x14ac:dyDescent="0.25">
      <c r="A24251" s="118"/>
      <c r="B24251" s="136"/>
    </row>
    <row r="24252" spans="1:2" x14ac:dyDescent="0.25">
      <c r="A24252" s="118"/>
      <c r="B24252" s="136"/>
    </row>
    <row r="24253" spans="1:2" x14ac:dyDescent="0.25">
      <c r="A24253" s="118"/>
      <c r="B24253" s="136"/>
    </row>
    <row r="24254" spans="1:2" x14ac:dyDescent="0.25">
      <c r="A24254" s="118"/>
      <c r="B24254" s="136"/>
    </row>
    <row r="24255" spans="1:2" x14ac:dyDescent="0.25">
      <c r="A24255" s="118"/>
      <c r="B24255" s="136"/>
    </row>
    <row r="24256" spans="1:2" x14ac:dyDescent="0.25">
      <c r="A24256" s="118"/>
      <c r="B24256" s="136"/>
    </row>
    <row r="24257" spans="1:2" x14ac:dyDescent="0.25">
      <c r="A24257" s="118"/>
      <c r="B24257" s="136"/>
    </row>
    <row r="24258" spans="1:2" x14ac:dyDescent="0.25">
      <c r="A24258" s="118"/>
      <c r="B24258" s="136"/>
    </row>
    <row r="24259" spans="1:2" x14ac:dyDescent="0.25">
      <c r="A24259" s="118"/>
      <c r="B24259" s="136"/>
    </row>
    <row r="24260" spans="1:2" x14ac:dyDescent="0.25">
      <c r="A24260" s="118"/>
      <c r="B24260" s="136"/>
    </row>
    <row r="24261" spans="1:2" x14ac:dyDescent="0.25">
      <c r="A24261" s="118"/>
      <c r="B24261" s="136"/>
    </row>
    <row r="24262" spans="1:2" x14ac:dyDescent="0.25">
      <c r="A24262" s="118"/>
      <c r="B24262" s="136"/>
    </row>
    <row r="24263" spans="1:2" x14ac:dyDescent="0.25">
      <c r="A24263" s="118"/>
      <c r="B24263" s="136"/>
    </row>
    <row r="24264" spans="1:2" x14ac:dyDescent="0.25">
      <c r="A24264" s="118"/>
      <c r="B24264" s="136"/>
    </row>
    <row r="24265" spans="1:2" x14ac:dyDescent="0.25">
      <c r="A24265" s="118"/>
      <c r="B24265" s="136"/>
    </row>
    <row r="24266" spans="1:2" x14ac:dyDescent="0.25">
      <c r="A24266" s="118"/>
      <c r="B24266" s="136"/>
    </row>
    <row r="24267" spans="1:2" x14ac:dyDescent="0.25">
      <c r="A24267" s="118"/>
      <c r="B24267" s="136"/>
    </row>
    <row r="24268" spans="1:2" x14ac:dyDescent="0.25">
      <c r="A24268" s="118"/>
      <c r="B24268" s="136"/>
    </row>
    <row r="24269" spans="1:2" x14ac:dyDescent="0.25">
      <c r="A24269" s="118"/>
      <c r="B24269" s="136"/>
    </row>
    <row r="24270" spans="1:2" x14ac:dyDescent="0.25">
      <c r="A24270" s="118"/>
      <c r="B24270" s="136"/>
    </row>
    <row r="24271" spans="1:2" x14ac:dyDescent="0.25">
      <c r="A24271" s="118"/>
      <c r="B24271" s="136"/>
    </row>
    <row r="24272" spans="1:2" x14ac:dyDescent="0.25">
      <c r="A24272" s="118"/>
      <c r="B24272" s="136"/>
    </row>
    <row r="24273" spans="1:2" x14ac:dyDescent="0.25">
      <c r="A24273" s="118"/>
      <c r="B24273" s="136"/>
    </row>
    <row r="24274" spans="1:2" x14ac:dyDescent="0.25">
      <c r="A24274" s="118"/>
      <c r="B24274" s="136"/>
    </row>
    <row r="24275" spans="1:2" x14ac:dyDescent="0.25">
      <c r="A24275" s="118"/>
      <c r="B24275" s="136"/>
    </row>
    <row r="24276" spans="1:2" x14ac:dyDescent="0.25">
      <c r="A24276" s="118"/>
      <c r="B24276" s="136"/>
    </row>
    <row r="24277" spans="1:2" x14ac:dyDescent="0.25">
      <c r="A24277" s="118"/>
      <c r="B24277" s="136"/>
    </row>
    <row r="24278" spans="1:2" x14ac:dyDescent="0.25">
      <c r="A24278" s="118"/>
      <c r="B24278" s="136"/>
    </row>
    <row r="24279" spans="1:2" x14ac:dyDescent="0.25">
      <c r="A24279" s="118"/>
      <c r="B24279" s="136"/>
    </row>
    <row r="24280" spans="1:2" x14ac:dyDescent="0.25">
      <c r="A24280" s="118"/>
      <c r="B24280" s="136"/>
    </row>
    <row r="24281" spans="1:2" x14ac:dyDescent="0.25">
      <c r="A24281" s="118"/>
      <c r="B24281" s="136"/>
    </row>
    <row r="24282" spans="1:2" x14ac:dyDescent="0.25">
      <c r="A24282" s="118"/>
      <c r="B24282" s="136"/>
    </row>
    <row r="24283" spans="1:2" x14ac:dyDescent="0.25">
      <c r="A24283" s="118"/>
      <c r="B24283" s="136"/>
    </row>
    <row r="24284" spans="1:2" x14ac:dyDescent="0.25">
      <c r="A24284" s="118"/>
      <c r="B24284" s="136"/>
    </row>
    <row r="24285" spans="1:2" x14ac:dyDescent="0.25">
      <c r="A24285" s="118"/>
      <c r="B24285" s="136"/>
    </row>
    <row r="24286" spans="1:2" x14ac:dyDescent="0.25">
      <c r="A24286" s="118"/>
      <c r="B24286" s="136"/>
    </row>
    <row r="24287" spans="1:2" x14ac:dyDescent="0.25">
      <c r="A24287" s="118"/>
      <c r="B24287" s="136"/>
    </row>
    <row r="24288" spans="1:2" x14ac:dyDescent="0.25">
      <c r="A24288" s="118"/>
      <c r="B24288" s="136"/>
    </row>
    <row r="24289" spans="1:2" x14ac:dyDescent="0.25">
      <c r="A24289" s="118"/>
      <c r="B24289" s="136"/>
    </row>
    <row r="24290" spans="1:2" x14ac:dyDescent="0.25">
      <c r="A24290" s="118"/>
      <c r="B24290" s="136"/>
    </row>
    <row r="24291" spans="1:2" x14ac:dyDescent="0.25">
      <c r="A24291" s="118"/>
      <c r="B24291" s="136"/>
    </row>
    <row r="24292" spans="1:2" x14ac:dyDescent="0.25">
      <c r="A24292" s="118"/>
      <c r="B24292" s="136"/>
    </row>
    <row r="24293" spans="1:2" x14ac:dyDescent="0.25">
      <c r="A24293" s="118"/>
      <c r="B24293" s="136"/>
    </row>
    <row r="24294" spans="1:2" x14ac:dyDescent="0.25">
      <c r="A24294" s="118"/>
      <c r="B24294" s="136"/>
    </row>
    <row r="24295" spans="1:2" x14ac:dyDescent="0.25">
      <c r="A24295" s="118"/>
      <c r="B24295" s="136"/>
    </row>
    <row r="24296" spans="1:2" x14ac:dyDescent="0.25">
      <c r="A24296" s="118"/>
      <c r="B24296" s="136"/>
    </row>
    <row r="24297" spans="1:2" x14ac:dyDescent="0.25">
      <c r="A24297" s="118"/>
      <c r="B24297" s="136"/>
    </row>
    <row r="24298" spans="1:2" x14ac:dyDescent="0.25">
      <c r="A24298" s="118"/>
      <c r="B24298" s="136"/>
    </row>
    <row r="24299" spans="1:2" x14ac:dyDescent="0.25">
      <c r="A24299" s="118"/>
      <c r="B24299" s="136"/>
    </row>
    <row r="24300" spans="1:2" x14ac:dyDescent="0.25">
      <c r="A24300" s="118"/>
      <c r="B24300" s="136"/>
    </row>
    <row r="24301" spans="1:2" x14ac:dyDescent="0.25">
      <c r="A24301" s="118"/>
      <c r="B24301" s="136"/>
    </row>
    <row r="24302" spans="1:2" x14ac:dyDescent="0.25">
      <c r="A24302" s="118"/>
      <c r="B24302" s="136"/>
    </row>
    <row r="24303" spans="1:2" x14ac:dyDescent="0.25">
      <c r="A24303" s="118"/>
      <c r="B24303" s="136"/>
    </row>
    <row r="24304" spans="1:2" x14ac:dyDescent="0.25">
      <c r="A24304" s="118"/>
      <c r="B24304" s="136"/>
    </row>
    <row r="24305" spans="1:2" x14ac:dyDescent="0.25">
      <c r="A24305" s="118"/>
      <c r="B24305" s="136"/>
    </row>
    <row r="24306" spans="1:2" x14ac:dyDescent="0.25">
      <c r="A24306" s="118"/>
      <c r="B24306" s="136"/>
    </row>
    <row r="24307" spans="1:2" x14ac:dyDescent="0.25">
      <c r="A24307" s="118"/>
      <c r="B24307" s="136"/>
    </row>
    <row r="24308" spans="1:2" x14ac:dyDescent="0.25">
      <c r="A24308" s="118"/>
      <c r="B24308" s="136"/>
    </row>
    <row r="24309" spans="1:2" x14ac:dyDescent="0.25">
      <c r="A24309" s="118"/>
      <c r="B24309" s="136"/>
    </row>
    <row r="24310" spans="1:2" x14ac:dyDescent="0.25">
      <c r="A24310" s="118"/>
      <c r="B24310" s="136"/>
    </row>
    <row r="24311" spans="1:2" x14ac:dyDescent="0.25">
      <c r="A24311" s="118"/>
      <c r="B24311" s="136"/>
    </row>
    <row r="24312" spans="1:2" x14ac:dyDescent="0.25">
      <c r="A24312" s="118"/>
      <c r="B24312" s="136"/>
    </row>
    <row r="24313" spans="1:2" x14ac:dyDescent="0.25">
      <c r="A24313" s="118"/>
      <c r="B24313" s="136"/>
    </row>
    <row r="24314" spans="1:2" x14ac:dyDescent="0.25">
      <c r="A24314" s="118"/>
      <c r="B24314" s="136"/>
    </row>
    <row r="24315" spans="1:2" x14ac:dyDescent="0.25">
      <c r="A24315" s="118"/>
      <c r="B24315" s="136"/>
    </row>
    <row r="24316" spans="1:2" x14ac:dyDescent="0.25">
      <c r="A24316" s="118"/>
      <c r="B24316" s="136"/>
    </row>
    <row r="24317" spans="1:2" x14ac:dyDescent="0.25">
      <c r="A24317" s="118"/>
      <c r="B24317" s="136"/>
    </row>
    <row r="24318" spans="1:2" x14ac:dyDescent="0.25">
      <c r="A24318" s="118"/>
      <c r="B24318" s="136"/>
    </row>
    <row r="24319" spans="1:2" x14ac:dyDescent="0.25">
      <c r="A24319" s="118"/>
      <c r="B24319" s="136"/>
    </row>
    <row r="24320" spans="1:2" x14ac:dyDescent="0.25">
      <c r="A24320" s="118"/>
      <c r="B24320" s="136"/>
    </row>
    <row r="24321" spans="1:2" x14ac:dyDescent="0.25">
      <c r="A24321" s="118"/>
      <c r="B24321" s="136"/>
    </row>
    <row r="24322" spans="1:2" x14ac:dyDescent="0.25">
      <c r="A24322" s="118"/>
      <c r="B24322" s="136"/>
    </row>
    <row r="24323" spans="1:2" x14ac:dyDescent="0.25">
      <c r="A24323" s="118"/>
      <c r="B24323" s="136"/>
    </row>
    <row r="24324" spans="1:2" x14ac:dyDescent="0.25">
      <c r="A24324" s="118"/>
      <c r="B24324" s="136"/>
    </row>
    <row r="24325" spans="1:2" x14ac:dyDescent="0.25">
      <c r="A24325" s="118"/>
      <c r="B24325" s="136"/>
    </row>
    <row r="24326" spans="1:2" x14ac:dyDescent="0.25">
      <c r="A24326" s="118"/>
      <c r="B24326" s="136"/>
    </row>
    <row r="24327" spans="1:2" x14ac:dyDescent="0.25">
      <c r="A24327" s="118"/>
      <c r="B24327" s="136"/>
    </row>
    <row r="24328" spans="1:2" x14ac:dyDescent="0.25">
      <c r="A24328" s="118"/>
      <c r="B24328" s="136"/>
    </row>
    <row r="24329" spans="1:2" x14ac:dyDescent="0.25">
      <c r="A24329" s="118"/>
      <c r="B24329" s="136"/>
    </row>
    <row r="24330" spans="1:2" x14ac:dyDescent="0.25">
      <c r="A24330" s="118"/>
      <c r="B24330" s="136"/>
    </row>
    <row r="24331" spans="1:2" x14ac:dyDescent="0.25">
      <c r="A24331" s="118"/>
      <c r="B24331" s="136"/>
    </row>
    <row r="24332" spans="1:2" x14ac:dyDescent="0.25">
      <c r="A24332" s="118"/>
      <c r="B24332" s="136"/>
    </row>
    <row r="24333" spans="1:2" x14ac:dyDescent="0.25">
      <c r="A24333" s="118"/>
      <c r="B24333" s="136"/>
    </row>
    <row r="24334" spans="1:2" x14ac:dyDescent="0.25">
      <c r="A24334" s="118"/>
      <c r="B24334" s="136"/>
    </row>
    <row r="24335" spans="1:2" x14ac:dyDescent="0.25">
      <c r="A24335" s="118"/>
      <c r="B24335" s="136"/>
    </row>
    <row r="24336" spans="1:2" x14ac:dyDescent="0.25">
      <c r="A24336" s="118"/>
      <c r="B24336" s="136"/>
    </row>
    <row r="24337" spans="1:2" x14ac:dyDescent="0.25">
      <c r="A24337" s="118"/>
      <c r="B24337" s="136"/>
    </row>
    <row r="24338" spans="1:2" x14ac:dyDescent="0.25">
      <c r="A24338" s="118"/>
      <c r="B24338" s="136"/>
    </row>
    <row r="24339" spans="1:2" x14ac:dyDescent="0.25">
      <c r="A24339" s="118"/>
      <c r="B24339" s="136"/>
    </row>
    <row r="24340" spans="1:2" x14ac:dyDescent="0.25">
      <c r="A24340" s="118"/>
      <c r="B24340" s="136"/>
    </row>
    <row r="24341" spans="1:2" x14ac:dyDescent="0.25">
      <c r="A24341" s="118"/>
      <c r="B24341" s="136"/>
    </row>
    <row r="24342" spans="1:2" x14ac:dyDescent="0.25">
      <c r="A24342" s="118"/>
      <c r="B24342" s="136"/>
    </row>
    <row r="24343" spans="1:2" x14ac:dyDescent="0.25">
      <c r="A24343" s="118"/>
      <c r="B24343" s="136"/>
    </row>
    <row r="24344" spans="1:2" x14ac:dyDescent="0.25">
      <c r="A24344" s="118"/>
      <c r="B24344" s="136"/>
    </row>
    <row r="24345" spans="1:2" x14ac:dyDescent="0.25">
      <c r="A24345" s="118"/>
      <c r="B24345" s="136"/>
    </row>
    <row r="24346" spans="1:2" x14ac:dyDescent="0.25">
      <c r="A24346" s="118"/>
      <c r="B24346" s="136"/>
    </row>
    <row r="24347" spans="1:2" x14ac:dyDescent="0.25">
      <c r="A24347" s="118"/>
      <c r="B24347" s="136"/>
    </row>
    <row r="24348" spans="1:2" x14ac:dyDescent="0.25">
      <c r="A24348" s="118"/>
      <c r="B24348" s="136"/>
    </row>
    <row r="24349" spans="1:2" x14ac:dyDescent="0.25">
      <c r="A24349" s="118"/>
      <c r="B24349" s="136"/>
    </row>
    <row r="24350" spans="1:2" x14ac:dyDescent="0.25">
      <c r="A24350" s="118"/>
      <c r="B24350" s="136"/>
    </row>
    <row r="24351" spans="1:2" x14ac:dyDescent="0.25">
      <c r="A24351" s="118"/>
      <c r="B24351" s="136"/>
    </row>
    <row r="24352" spans="1:2" x14ac:dyDescent="0.25">
      <c r="A24352" s="118"/>
      <c r="B24352" s="136"/>
    </row>
    <row r="24353" spans="1:2" x14ac:dyDescent="0.25">
      <c r="A24353" s="118"/>
      <c r="B24353" s="136"/>
    </row>
    <row r="24354" spans="1:2" x14ac:dyDescent="0.25">
      <c r="A24354" s="118"/>
      <c r="B24354" s="136"/>
    </row>
    <row r="24355" spans="1:2" x14ac:dyDescent="0.25">
      <c r="A24355" s="118"/>
      <c r="B24355" s="136"/>
    </row>
    <row r="24356" spans="1:2" x14ac:dyDescent="0.25">
      <c r="A24356" s="118"/>
      <c r="B24356" s="136"/>
    </row>
    <row r="24357" spans="1:2" x14ac:dyDescent="0.25">
      <c r="A24357" s="118"/>
      <c r="B24357" s="136"/>
    </row>
    <row r="24358" spans="1:2" x14ac:dyDescent="0.25">
      <c r="A24358" s="118"/>
      <c r="B24358" s="136"/>
    </row>
    <row r="24359" spans="1:2" x14ac:dyDescent="0.25">
      <c r="A24359" s="118"/>
      <c r="B24359" s="136"/>
    </row>
    <row r="24360" spans="1:2" x14ac:dyDescent="0.25">
      <c r="A24360" s="118"/>
      <c r="B24360" s="136"/>
    </row>
    <row r="24361" spans="1:2" x14ac:dyDescent="0.25">
      <c r="A24361" s="118"/>
      <c r="B24361" s="136"/>
    </row>
    <row r="24362" spans="1:2" x14ac:dyDescent="0.25">
      <c r="A24362" s="118"/>
      <c r="B24362" s="136"/>
    </row>
    <row r="24363" spans="1:2" x14ac:dyDescent="0.25">
      <c r="A24363" s="118"/>
      <c r="B24363" s="136"/>
    </row>
    <row r="24364" spans="1:2" x14ac:dyDescent="0.25">
      <c r="A24364" s="118"/>
      <c r="B24364" s="136"/>
    </row>
    <row r="24365" spans="1:2" x14ac:dyDescent="0.25">
      <c r="A24365" s="118"/>
      <c r="B24365" s="136"/>
    </row>
    <row r="24366" spans="1:2" x14ac:dyDescent="0.25">
      <c r="A24366" s="118"/>
      <c r="B24366" s="136"/>
    </row>
    <row r="24367" spans="1:2" x14ac:dyDescent="0.25">
      <c r="A24367" s="118"/>
      <c r="B24367" s="136"/>
    </row>
    <row r="24368" spans="1:2" x14ac:dyDescent="0.25">
      <c r="A24368" s="118"/>
      <c r="B24368" s="136"/>
    </row>
    <row r="24369" spans="1:2" x14ac:dyDescent="0.25">
      <c r="A24369" s="118"/>
      <c r="B24369" s="136"/>
    </row>
    <row r="24370" spans="1:2" x14ac:dyDescent="0.25">
      <c r="A24370" s="118"/>
      <c r="B24370" s="136"/>
    </row>
    <row r="24371" spans="1:2" x14ac:dyDescent="0.25">
      <c r="A24371" s="118"/>
      <c r="B24371" s="136"/>
    </row>
    <row r="24372" spans="1:2" x14ac:dyDescent="0.25">
      <c r="A24372" s="118"/>
      <c r="B24372" s="136"/>
    </row>
    <row r="24373" spans="1:2" x14ac:dyDescent="0.25">
      <c r="A24373" s="118"/>
      <c r="B24373" s="136"/>
    </row>
    <row r="24374" spans="1:2" x14ac:dyDescent="0.25">
      <c r="A24374" s="118"/>
      <c r="B24374" s="136"/>
    </row>
    <row r="24375" spans="1:2" x14ac:dyDescent="0.25">
      <c r="A24375" s="118"/>
      <c r="B24375" s="136"/>
    </row>
    <row r="24376" spans="1:2" x14ac:dyDescent="0.25">
      <c r="A24376" s="118"/>
      <c r="B24376" s="136"/>
    </row>
    <row r="24377" spans="1:2" x14ac:dyDescent="0.25">
      <c r="A24377" s="118"/>
      <c r="B24377" s="136"/>
    </row>
    <row r="24378" spans="1:2" x14ac:dyDescent="0.25">
      <c r="A24378" s="118"/>
      <c r="B24378" s="136"/>
    </row>
    <row r="24379" spans="1:2" x14ac:dyDescent="0.25">
      <c r="A24379" s="118"/>
      <c r="B24379" s="136"/>
    </row>
    <row r="24380" spans="1:2" x14ac:dyDescent="0.25">
      <c r="A24380" s="118"/>
      <c r="B24380" s="136"/>
    </row>
    <row r="24381" spans="1:2" x14ac:dyDescent="0.25">
      <c r="A24381" s="118"/>
      <c r="B24381" s="136"/>
    </row>
    <row r="24382" spans="1:2" x14ac:dyDescent="0.25">
      <c r="A24382" s="118"/>
      <c r="B24382" s="136"/>
    </row>
    <row r="24383" spans="1:2" x14ac:dyDescent="0.25">
      <c r="A24383" s="118"/>
      <c r="B24383" s="136"/>
    </row>
    <row r="24384" spans="1:2" x14ac:dyDescent="0.25">
      <c r="A24384" s="118"/>
      <c r="B24384" s="136"/>
    </row>
    <row r="24385" spans="1:2" x14ac:dyDescent="0.25">
      <c r="A24385" s="118"/>
      <c r="B24385" s="136"/>
    </row>
    <row r="24386" spans="1:2" x14ac:dyDescent="0.25">
      <c r="A24386" s="118"/>
      <c r="B24386" s="136"/>
    </row>
    <row r="24387" spans="1:2" x14ac:dyDescent="0.25">
      <c r="A24387" s="118"/>
      <c r="B24387" s="136"/>
    </row>
    <row r="24388" spans="1:2" x14ac:dyDescent="0.25">
      <c r="A24388" s="118"/>
      <c r="B24388" s="136"/>
    </row>
    <row r="24389" spans="1:2" x14ac:dyDescent="0.25">
      <c r="A24389" s="118"/>
      <c r="B24389" s="136"/>
    </row>
    <row r="24390" spans="1:2" x14ac:dyDescent="0.25">
      <c r="A24390" s="118"/>
      <c r="B24390" s="136"/>
    </row>
    <row r="24391" spans="1:2" x14ac:dyDescent="0.25">
      <c r="A24391" s="118"/>
      <c r="B24391" s="136"/>
    </row>
    <row r="24392" spans="1:2" x14ac:dyDescent="0.25">
      <c r="A24392" s="118"/>
      <c r="B24392" s="136"/>
    </row>
    <row r="24393" spans="1:2" x14ac:dyDescent="0.25">
      <c r="A24393" s="118"/>
      <c r="B24393" s="136"/>
    </row>
    <row r="24394" spans="1:2" x14ac:dyDescent="0.25">
      <c r="A24394" s="118"/>
      <c r="B24394" s="136"/>
    </row>
    <row r="24395" spans="1:2" x14ac:dyDescent="0.25">
      <c r="A24395" s="118"/>
      <c r="B24395" s="136"/>
    </row>
    <row r="24396" spans="1:2" x14ac:dyDescent="0.25">
      <c r="A24396" s="118"/>
      <c r="B24396" s="136"/>
    </row>
    <row r="24397" spans="1:2" x14ac:dyDescent="0.25">
      <c r="A24397" s="118"/>
      <c r="B24397" s="136"/>
    </row>
    <row r="24398" spans="1:2" x14ac:dyDescent="0.25">
      <c r="A24398" s="118"/>
      <c r="B24398" s="136"/>
    </row>
    <row r="24399" spans="1:2" x14ac:dyDescent="0.25">
      <c r="A24399" s="118"/>
      <c r="B24399" s="136"/>
    </row>
    <row r="24400" spans="1:2" x14ac:dyDescent="0.25">
      <c r="A24400" s="118"/>
      <c r="B24400" s="136"/>
    </row>
    <row r="24401" spans="1:2" x14ac:dyDescent="0.25">
      <c r="A24401" s="118"/>
      <c r="B24401" s="136"/>
    </row>
    <row r="24402" spans="1:2" x14ac:dyDescent="0.25">
      <c r="A24402" s="118"/>
      <c r="B24402" s="136"/>
    </row>
    <row r="24403" spans="1:2" x14ac:dyDescent="0.25">
      <c r="A24403" s="118"/>
      <c r="B24403" s="136"/>
    </row>
    <row r="24404" spans="1:2" x14ac:dyDescent="0.25">
      <c r="A24404" s="118"/>
      <c r="B24404" s="136"/>
    </row>
    <row r="24405" spans="1:2" x14ac:dyDescent="0.25">
      <c r="A24405" s="118"/>
      <c r="B24405" s="136"/>
    </row>
    <row r="24406" spans="1:2" x14ac:dyDescent="0.25">
      <c r="A24406" s="118"/>
      <c r="B24406" s="136"/>
    </row>
    <row r="24407" spans="1:2" x14ac:dyDescent="0.25">
      <c r="A24407" s="118"/>
      <c r="B24407" s="136"/>
    </row>
    <row r="24408" spans="1:2" x14ac:dyDescent="0.25">
      <c r="A24408" s="118"/>
      <c r="B24408" s="136"/>
    </row>
    <row r="24409" spans="1:2" x14ac:dyDescent="0.25">
      <c r="A24409" s="118"/>
      <c r="B24409" s="136"/>
    </row>
    <row r="24410" spans="1:2" x14ac:dyDescent="0.25">
      <c r="A24410" s="118"/>
      <c r="B24410" s="136"/>
    </row>
    <row r="24411" spans="1:2" x14ac:dyDescent="0.25">
      <c r="A24411" s="118"/>
      <c r="B24411" s="136"/>
    </row>
    <row r="24412" spans="1:2" x14ac:dyDescent="0.25">
      <c r="A24412" s="118"/>
      <c r="B24412" s="136"/>
    </row>
    <row r="24413" spans="1:2" x14ac:dyDescent="0.25">
      <c r="A24413" s="118"/>
      <c r="B24413" s="136"/>
    </row>
    <row r="24414" spans="1:2" x14ac:dyDescent="0.25">
      <c r="A24414" s="118"/>
      <c r="B24414" s="136"/>
    </row>
    <row r="24415" spans="1:2" x14ac:dyDescent="0.25">
      <c r="A24415" s="118"/>
      <c r="B24415" s="136"/>
    </row>
    <row r="24416" spans="1:2" x14ac:dyDescent="0.25">
      <c r="A24416" s="118"/>
      <c r="B24416" s="136"/>
    </row>
    <row r="24417" spans="1:2" x14ac:dyDescent="0.25">
      <c r="A24417" s="118"/>
      <c r="B24417" s="136"/>
    </row>
    <row r="24418" spans="1:2" x14ac:dyDescent="0.25">
      <c r="A24418" s="118"/>
      <c r="B24418" s="136"/>
    </row>
    <row r="24419" spans="1:2" x14ac:dyDescent="0.25">
      <c r="A24419" s="118"/>
      <c r="B24419" s="136"/>
    </row>
    <row r="24420" spans="1:2" x14ac:dyDescent="0.25">
      <c r="A24420" s="118"/>
      <c r="B24420" s="136"/>
    </row>
    <row r="24421" spans="1:2" x14ac:dyDescent="0.25">
      <c r="A24421" s="118"/>
      <c r="B24421" s="136"/>
    </row>
    <row r="24422" spans="1:2" x14ac:dyDescent="0.25">
      <c r="A24422" s="118"/>
      <c r="B24422" s="136"/>
    </row>
    <row r="24423" spans="1:2" x14ac:dyDescent="0.25">
      <c r="A24423" s="118"/>
      <c r="B24423" s="136"/>
    </row>
    <row r="24424" spans="1:2" x14ac:dyDescent="0.25">
      <c r="A24424" s="118"/>
      <c r="B24424" s="136"/>
    </row>
    <row r="24425" spans="1:2" x14ac:dyDescent="0.25">
      <c r="A24425" s="118"/>
      <c r="B24425" s="136"/>
    </row>
    <row r="24426" spans="1:2" x14ac:dyDescent="0.25">
      <c r="A24426" s="118"/>
      <c r="B24426" s="136"/>
    </row>
    <row r="24427" spans="1:2" x14ac:dyDescent="0.25">
      <c r="A24427" s="118"/>
      <c r="B24427" s="136"/>
    </row>
    <row r="24428" spans="1:2" x14ac:dyDescent="0.25">
      <c r="A24428" s="118"/>
      <c r="B24428" s="136"/>
    </row>
    <row r="24429" spans="1:2" x14ac:dyDescent="0.25">
      <c r="A24429" s="118"/>
      <c r="B24429" s="136"/>
    </row>
    <row r="24430" spans="1:2" x14ac:dyDescent="0.25">
      <c r="A24430" s="118"/>
      <c r="B24430" s="136"/>
    </row>
    <row r="24431" spans="1:2" x14ac:dyDescent="0.25">
      <c r="A24431" s="118"/>
      <c r="B24431" s="136"/>
    </row>
    <row r="24432" spans="1:2" x14ac:dyDescent="0.25">
      <c r="A24432" s="118"/>
      <c r="B24432" s="136"/>
    </row>
    <row r="24433" spans="1:2" x14ac:dyDescent="0.25">
      <c r="A24433" s="118"/>
      <c r="B24433" s="136"/>
    </row>
    <row r="24434" spans="1:2" x14ac:dyDescent="0.25">
      <c r="A24434" s="118"/>
      <c r="B24434" s="136"/>
    </row>
    <row r="24435" spans="1:2" x14ac:dyDescent="0.25">
      <c r="A24435" s="118"/>
      <c r="B24435" s="136"/>
    </row>
    <row r="24436" spans="1:2" x14ac:dyDescent="0.25">
      <c r="A24436" s="118"/>
      <c r="B24436" s="136"/>
    </row>
    <row r="24437" spans="1:2" x14ac:dyDescent="0.25">
      <c r="A24437" s="118"/>
      <c r="B24437" s="136"/>
    </row>
    <row r="24438" spans="1:2" x14ac:dyDescent="0.25">
      <c r="A24438" s="118"/>
      <c r="B24438" s="136"/>
    </row>
    <row r="24439" spans="1:2" x14ac:dyDescent="0.25">
      <c r="A24439" s="118"/>
      <c r="B24439" s="136"/>
    </row>
    <row r="24440" spans="1:2" x14ac:dyDescent="0.25">
      <c r="A24440" s="118"/>
      <c r="B24440" s="136"/>
    </row>
    <row r="24441" spans="1:2" x14ac:dyDescent="0.25">
      <c r="A24441" s="118"/>
      <c r="B24441" s="136"/>
    </row>
    <row r="24442" spans="1:2" x14ac:dyDescent="0.25">
      <c r="A24442" s="118"/>
      <c r="B24442" s="136"/>
    </row>
    <row r="24443" spans="1:2" x14ac:dyDescent="0.25">
      <c r="A24443" s="118"/>
      <c r="B24443" s="136"/>
    </row>
    <row r="24444" spans="1:2" x14ac:dyDescent="0.25">
      <c r="A24444" s="118"/>
      <c r="B24444" s="136"/>
    </row>
    <row r="24445" spans="1:2" x14ac:dyDescent="0.25">
      <c r="A24445" s="118"/>
      <c r="B24445" s="136"/>
    </row>
    <row r="24446" spans="1:2" x14ac:dyDescent="0.25">
      <c r="A24446" s="118"/>
      <c r="B24446" s="136"/>
    </row>
    <row r="24447" spans="1:2" x14ac:dyDescent="0.25">
      <c r="A24447" s="118"/>
      <c r="B24447" s="136"/>
    </row>
    <row r="24448" spans="1:2" x14ac:dyDescent="0.25">
      <c r="A24448" s="118"/>
      <c r="B24448" s="136"/>
    </row>
    <row r="24449" spans="1:2" x14ac:dyDescent="0.25">
      <c r="A24449" s="118"/>
      <c r="B24449" s="136"/>
    </row>
    <row r="24450" spans="1:2" x14ac:dyDescent="0.25">
      <c r="A24450" s="118"/>
      <c r="B24450" s="136"/>
    </row>
    <row r="24451" spans="1:2" x14ac:dyDescent="0.25">
      <c r="A24451" s="118"/>
      <c r="B24451" s="136"/>
    </row>
    <row r="24452" spans="1:2" x14ac:dyDescent="0.25">
      <c r="A24452" s="118"/>
      <c r="B24452" s="136"/>
    </row>
    <row r="24453" spans="1:2" x14ac:dyDescent="0.25">
      <c r="A24453" s="118"/>
      <c r="B24453" s="136"/>
    </row>
    <row r="24454" spans="1:2" x14ac:dyDescent="0.25">
      <c r="A24454" s="118"/>
      <c r="B24454" s="136"/>
    </row>
    <row r="24455" spans="1:2" x14ac:dyDescent="0.25">
      <c r="A24455" s="118"/>
      <c r="B24455" s="136"/>
    </row>
    <row r="24456" spans="1:2" x14ac:dyDescent="0.25">
      <c r="A24456" s="118"/>
      <c r="B24456" s="136"/>
    </row>
    <row r="24457" spans="1:2" x14ac:dyDescent="0.25">
      <c r="A24457" s="118"/>
      <c r="B24457" s="136"/>
    </row>
    <row r="24458" spans="1:2" x14ac:dyDescent="0.25">
      <c r="A24458" s="118"/>
      <c r="B24458" s="136"/>
    </row>
    <row r="24459" spans="1:2" x14ac:dyDescent="0.25">
      <c r="A24459" s="118"/>
      <c r="B24459" s="136"/>
    </row>
    <row r="24460" spans="1:2" x14ac:dyDescent="0.25">
      <c r="A24460" s="118"/>
      <c r="B24460" s="136"/>
    </row>
    <row r="24461" spans="1:2" x14ac:dyDescent="0.25">
      <c r="A24461" s="118"/>
      <c r="B24461" s="136"/>
    </row>
    <row r="24462" spans="1:2" x14ac:dyDescent="0.25">
      <c r="A24462" s="118"/>
      <c r="B24462" s="136"/>
    </row>
    <row r="24463" spans="1:2" x14ac:dyDescent="0.25">
      <c r="A24463" s="118"/>
      <c r="B24463" s="136"/>
    </row>
    <row r="24464" spans="1:2" x14ac:dyDescent="0.25">
      <c r="A24464" s="118"/>
      <c r="B24464" s="136"/>
    </row>
    <row r="24465" spans="1:2" x14ac:dyDescent="0.25">
      <c r="A24465" s="118"/>
      <c r="B24465" s="136"/>
    </row>
    <row r="24466" spans="1:2" x14ac:dyDescent="0.25">
      <c r="A24466" s="118"/>
      <c r="B24466" s="136"/>
    </row>
    <row r="24467" spans="1:2" x14ac:dyDescent="0.25">
      <c r="A24467" s="118"/>
      <c r="B24467" s="136"/>
    </row>
    <row r="24468" spans="1:2" x14ac:dyDescent="0.25">
      <c r="A24468" s="118"/>
      <c r="B24468" s="136"/>
    </row>
    <row r="24469" spans="1:2" x14ac:dyDescent="0.25">
      <c r="A24469" s="118"/>
      <c r="B24469" s="136"/>
    </row>
    <row r="24470" spans="1:2" x14ac:dyDescent="0.25">
      <c r="A24470" s="118"/>
      <c r="B24470" s="136"/>
    </row>
    <row r="24471" spans="1:2" x14ac:dyDescent="0.25">
      <c r="A24471" s="118"/>
      <c r="B24471" s="136"/>
    </row>
    <row r="24472" spans="1:2" x14ac:dyDescent="0.25">
      <c r="A24472" s="118"/>
      <c r="B24472" s="136"/>
    </row>
    <row r="24473" spans="1:2" x14ac:dyDescent="0.25">
      <c r="A24473" s="118"/>
      <c r="B24473" s="136"/>
    </row>
    <row r="24474" spans="1:2" x14ac:dyDescent="0.25">
      <c r="A24474" s="118"/>
      <c r="B24474" s="136"/>
    </row>
    <row r="24475" spans="1:2" x14ac:dyDescent="0.25">
      <c r="A24475" s="118"/>
      <c r="B24475" s="136"/>
    </row>
    <row r="24476" spans="1:2" x14ac:dyDescent="0.25">
      <c r="A24476" s="118"/>
      <c r="B24476" s="136"/>
    </row>
    <row r="24477" spans="1:2" x14ac:dyDescent="0.25">
      <c r="A24477" s="118"/>
      <c r="B24477" s="136"/>
    </row>
    <row r="24478" spans="1:2" x14ac:dyDescent="0.25">
      <c r="A24478" s="118"/>
      <c r="B24478" s="136"/>
    </row>
    <row r="24479" spans="1:2" x14ac:dyDescent="0.25">
      <c r="A24479" s="118"/>
      <c r="B24479" s="136"/>
    </row>
    <row r="24480" spans="1:2" x14ac:dyDescent="0.25">
      <c r="A24480" s="118"/>
      <c r="B24480" s="136"/>
    </row>
    <row r="24481" spans="1:2" x14ac:dyDescent="0.25">
      <c r="A24481" s="118"/>
      <c r="B24481" s="136"/>
    </row>
    <row r="24482" spans="1:2" x14ac:dyDescent="0.25">
      <c r="A24482" s="118"/>
      <c r="B24482" s="136"/>
    </row>
    <row r="24483" spans="1:2" x14ac:dyDescent="0.25">
      <c r="A24483" s="118"/>
      <c r="B24483" s="136"/>
    </row>
    <row r="24484" spans="1:2" x14ac:dyDescent="0.25">
      <c r="A24484" s="118"/>
      <c r="B24484" s="136"/>
    </row>
    <row r="24485" spans="1:2" x14ac:dyDescent="0.25">
      <c r="A24485" s="118"/>
      <c r="B24485" s="136"/>
    </row>
    <row r="24486" spans="1:2" x14ac:dyDescent="0.25">
      <c r="A24486" s="118"/>
      <c r="B24486" s="136"/>
    </row>
    <row r="24487" spans="1:2" x14ac:dyDescent="0.25">
      <c r="A24487" s="118"/>
      <c r="B24487" s="136"/>
    </row>
    <row r="24488" spans="1:2" x14ac:dyDescent="0.25">
      <c r="A24488" s="118"/>
      <c r="B24488" s="136"/>
    </row>
    <row r="24489" spans="1:2" x14ac:dyDescent="0.25">
      <c r="A24489" s="118"/>
      <c r="B24489" s="136"/>
    </row>
    <row r="24490" spans="1:2" x14ac:dyDescent="0.25">
      <c r="A24490" s="118"/>
      <c r="B24490" s="136"/>
    </row>
    <row r="24491" spans="1:2" x14ac:dyDescent="0.25">
      <c r="A24491" s="118"/>
      <c r="B24491" s="136"/>
    </row>
    <row r="24492" spans="1:2" x14ac:dyDescent="0.25">
      <c r="A24492" s="118"/>
      <c r="B24492" s="136"/>
    </row>
    <row r="24493" spans="1:2" x14ac:dyDescent="0.25">
      <c r="A24493" s="118"/>
      <c r="B24493" s="136"/>
    </row>
    <row r="24494" spans="1:2" x14ac:dyDescent="0.25">
      <c r="A24494" s="118"/>
      <c r="B24494" s="136"/>
    </row>
    <row r="24495" spans="1:2" x14ac:dyDescent="0.25">
      <c r="A24495" s="118"/>
      <c r="B24495" s="136"/>
    </row>
    <row r="24496" spans="1:2" x14ac:dyDescent="0.25">
      <c r="A24496" s="118"/>
      <c r="B24496" s="136"/>
    </row>
    <row r="24497" spans="1:2" x14ac:dyDescent="0.25">
      <c r="A24497" s="118"/>
      <c r="B24497" s="136"/>
    </row>
    <row r="24498" spans="1:2" x14ac:dyDescent="0.25">
      <c r="A24498" s="118"/>
      <c r="B24498" s="136"/>
    </row>
    <row r="24499" spans="1:2" x14ac:dyDescent="0.25">
      <c r="A24499" s="118"/>
      <c r="B24499" s="136"/>
    </row>
    <row r="24500" spans="1:2" x14ac:dyDescent="0.25">
      <c r="A24500" s="118"/>
      <c r="B24500" s="136"/>
    </row>
    <row r="24501" spans="1:2" x14ac:dyDescent="0.25">
      <c r="A24501" s="118"/>
      <c r="B24501" s="136"/>
    </row>
    <row r="24502" spans="1:2" x14ac:dyDescent="0.25">
      <c r="A24502" s="118"/>
      <c r="B24502" s="136"/>
    </row>
    <row r="24503" spans="1:2" x14ac:dyDescent="0.25">
      <c r="A24503" s="118"/>
      <c r="B24503" s="136"/>
    </row>
    <row r="24504" spans="1:2" x14ac:dyDescent="0.25">
      <c r="A24504" s="118"/>
      <c r="B24504" s="136"/>
    </row>
    <row r="24505" spans="1:2" x14ac:dyDescent="0.25">
      <c r="A24505" s="118"/>
      <c r="B24505" s="136"/>
    </row>
    <row r="24506" spans="1:2" x14ac:dyDescent="0.25">
      <c r="A24506" s="118"/>
      <c r="B24506" s="136"/>
    </row>
    <row r="24507" spans="1:2" x14ac:dyDescent="0.25">
      <c r="A24507" s="118"/>
      <c r="B24507" s="136"/>
    </row>
    <row r="24508" spans="1:2" x14ac:dyDescent="0.25">
      <c r="A24508" s="118"/>
      <c r="B24508" s="136"/>
    </row>
    <row r="24509" spans="1:2" x14ac:dyDescent="0.25">
      <c r="A24509" s="118"/>
      <c r="B24509" s="136"/>
    </row>
    <row r="24510" spans="1:2" x14ac:dyDescent="0.25">
      <c r="A24510" s="118"/>
      <c r="B24510" s="136"/>
    </row>
    <row r="24511" spans="1:2" x14ac:dyDescent="0.25">
      <c r="A24511" s="118"/>
      <c r="B24511" s="136"/>
    </row>
    <row r="24512" spans="1:2" x14ac:dyDescent="0.25">
      <c r="A24512" s="118"/>
      <c r="B24512" s="136"/>
    </row>
    <row r="24513" spans="1:2" x14ac:dyDescent="0.25">
      <c r="A24513" s="118"/>
      <c r="B24513" s="136"/>
    </row>
    <row r="24514" spans="1:2" x14ac:dyDescent="0.25">
      <c r="A24514" s="118"/>
      <c r="B24514" s="136"/>
    </row>
    <row r="24515" spans="1:2" x14ac:dyDescent="0.25">
      <c r="A24515" s="118"/>
      <c r="B24515" s="136"/>
    </row>
    <row r="24516" spans="1:2" x14ac:dyDescent="0.25">
      <c r="A24516" s="118"/>
      <c r="B24516" s="136"/>
    </row>
    <row r="24517" spans="1:2" x14ac:dyDescent="0.25">
      <c r="A24517" s="118"/>
      <c r="B24517" s="136"/>
    </row>
    <row r="24518" spans="1:2" x14ac:dyDescent="0.25">
      <c r="A24518" s="118"/>
      <c r="B24518" s="136"/>
    </row>
    <row r="24519" spans="1:2" x14ac:dyDescent="0.25">
      <c r="A24519" s="118"/>
      <c r="B24519" s="136"/>
    </row>
    <row r="24520" spans="1:2" x14ac:dyDescent="0.25">
      <c r="A24520" s="118"/>
      <c r="B24520" s="136"/>
    </row>
    <row r="24521" spans="1:2" x14ac:dyDescent="0.25">
      <c r="A24521" s="118"/>
      <c r="B24521" s="136"/>
    </row>
    <row r="24522" spans="1:2" x14ac:dyDescent="0.25">
      <c r="A24522" s="118"/>
      <c r="B24522" s="136"/>
    </row>
    <row r="24523" spans="1:2" x14ac:dyDescent="0.25">
      <c r="A24523" s="118"/>
      <c r="B24523" s="136"/>
    </row>
    <row r="24524" spans="1:2" x14ac:dyDescent="0.25">
      <c r="A24524" s="118"/>
      <c r="B24524" s="136"/>
    </row>
    <row r="24525" spans="1:2" x14ac:dyDescent="0.25">
      <c r="A24525" s="118"/>
      <c r="B24525" s="136"/>
    </row>
    <row r="24526" spans="1:2" x14ac:dyDescent="0.25">
      <c r="A24526" s="118"/>
      <c r="B24526" s="136"/>
    </row>
    <row r="24527" spans="1:2" x14ac:dyDescent="0.25">
      <c r="A24527" s="118"/>
      <c r="B24527" s="136"/>
    </row>
    <row r="24528" spans="1:2" x14ac:dyDescent="0.25">
      <c r="A24528" s="118"/>
      <c r="B24528" s="136"/>
    </row>
    <row r="24529" spans="1:2" x14ac:dyDescent="0.25">
      <c r="A24529" s="118"/>
      <c r="B24529" s="136"/>
    </row>
    <row r="24530" spans="1:2" x14ac:dyDescent="0.25">
      <c r="A24530" s="118"/>
      <c r="B24530" s="136"/>
    </row>
    <row r="24531" spans="1:2" x14ac:dyDescent="0.25">
      <c r="A24531" s="118"/>
      <c r="B24531" s="136"/>
    </row>
    <row r="24532" spans="1:2" x14ac:dyDescent="0.25">
      <c r="A24532" s="118"/>
      <c r="B24532" s="136"/>
    </row>
    <row r="24533" spans="1:2" x14ac:dyDescent="0.25">
      <c r="A24533" s="118"/>
      <c r="B24533" s="136"/>
    </row>
    <row r="24534" spans="1:2" x14ac:dyDescent="0.25">
      <c r="A24534" s="118"/>
      <c r="B24534" s="136"/>
    </row>
    <row r="24535" spans="1:2" x14ac:dyDescent="0.25">
      <c r="A24535" s="118"/>
      <c r="B24535" s="136"/>
    </row>
    <row r="24536" spans="1:2" x14ac:dyDescent="0.25">
      <c r="A24536" s="118"/>
      <c r="B24536" s="136"/>
    </row>
    <row r="24537" spans="1:2" x14ac:dyDescent="0.25">
      <c r="A24537" s="118"/>
      <c r="B24537" s="136"/>
    </row>
    <row r="24538" spans="1:2" x14ac:dyDescent="0.25">
      <c r="A24538" s="118"/>
      <c r="B24538" s="136"/>
    </row>
    <row r="24539" spans="1:2" x14ac:dyDescent="0.25">
      <c r="A24539" s="118"/>
      <c r="B24539" s="136"/>
    </row>
    <row r="24540" spans="1:2" x14ac:dyDescent="0.25">
      <c r="A24540" s="118"/>
      <c r="B24540" s="136"/>
    </row>
    <row r="24541" spans="1:2" x14ac:dyDescent="0.25">
      <c r="A24541" s="118"/>
      <c r="B24541" s="136"/>
    </row>
    <row r="24542" spans="1:2" x14ac:dyDescent="0.25">
      <c r="A24542" s="118"/>
      <c r="B24542" s="136"/>
    </row>
    <row r="24543" spans="1:2" x14ac:dyDescent="0.25">
      <c r="A24543" s="118"/>
      <c r="B24543" s="136"/>
    </row>
    <row r="24544" spans="1:2" x14ac:dyDescent="0.25">
      <c r="A24544" s="118"/>
      <c r="B24544" s="136"/>
    </row>
    <row r="24545" spans="1:2" x14ac:dyDescent="0.25">
      <c r="A24545" s="118"/>
      <c r="B24545" s="136"/>
    </row>
    <row r="24546" spans="1:2" x14ac:dyDescent="0.25">
      <c r="A24546" s="118"/>
      <c r="B24546" s="136"/>
    </row>
    <row r="24547" spans="1:2" x14ac:dyDescent="0.25">
      <c r="A24547" s="118"/>
      <c r="B24547" s="136"/>
    </row>
    <row r="24548" spans="1:2" x14ac:dyDescent="0.25">
      <c r="A24548" s="118"/>
      <c r="B24548" s="136"/>
    </row>
    <row r="24549" spans="1:2" x14ac:dyDescent="0.25">
      <c r="A24549" s="118"/>
      <c r="B24549" s="136"/>
    </row>
    <row r="24550" spans="1:2" x14ac:dyDescent="0.25">
      <c r="A24550" s="118"/>
      <c r="B24550" s="136"/>
    </row>
    <row r="24551" spans="1:2" x14ac:dyDescent="0.25">
      <c r="A24551" s="118"/>
      <c r="B24551" s="136"/>
    </row>
    <row r="24552" spans="1:2" x14ac:dyDescent="0.25">
      <c r="A24552" s="118"/>
      <c r="B24552" s="136"/>
    </row>
    <row r="24553" spans="1:2" x14ac:dyDescent="0.25">
      <c r="A24553" s="118"/>
      <c r="B24553" s="136"/>
    </row>
    <row r="24554" spans="1:2" x14ac:dyDescent="0.25">
      <c r="A24554" s="118"/>
      <c r="B24554" s="136"/>
    </row>
    <row r="24555" spans="1:2" x14ac:dyDescent="0.25">
      <c r="A24555" s="118"/>
      <c r="B24555" s="136"/>
    </row>
    <row r="24556" spans="1:2" x14ac:dyDescent="0.25">
      <c r="A24556" s="118"/>
      <c r="B24556" s="136"/>
    </row>
    <row r="24557" spans="1:2" x14ac:dyDescent="0.25">
      <c r="A24557" s="118"/>
      <c r="B24557" s="136"/>
    </row>
    <row r="24558" spans="1:2" x14ac:dyDescent="0.25">
      <c r="A24558" s="118"/>
      <c r="B24558" s="136"/>
    </row>
    <row r="24559" spans="1:2" x14ac:dyDescent="0.25">
      <c r="A24559" s="118"/>
      <c r="B24559" s="136"/>
    </row>
    <row r="24560" spans="1:2" x14ac:dyDescent="0.25">
      <c r="A24560" s="118"/>
      <c r="B24560" s="136"/>
    </row>
    <row r="24561" spans="1:2" x14ac:dyDescent="0.25">
      <c r="A24561" s="118"/>
      <c r="B24561" s="136"/>
    </row>
    <row r="24562" spans="1:2" x14ac:dyDescent="0.25">
      <c r="A24562" s="118"/>
      <c r="B24562" s="136"/>
    </row>
    <row r="24563" spans="1:2" x14ac:dyDescent="0.25">
      <c r="A24563" s="118"/>
      <c r="B24563" s="136"/>
    </row>
    <row r="24564" spans="1:2" x14ac:dyDescent="0.25">
      <c r="A24564" s="118"/>
      <c r="B24564" s="136"/>
    </row>
    <row r="24565" spans="1:2" x14ac:dyDescent="0.25">
      <c r="A24565" s="118"/>
      <c r="B24565" s="136"/>
    </row>
    <row r="24566" spans="1:2" x14ac:dyDescent="0.25">
      <c r="A24566" s="118"/>
      <c r="B24566" s="136"/>
    </row>
    <row r="24567" spans="1:2" x14ac:dyDescent="0.25">
      <c r="A24567" s="118"/>
      <c r="B24567" s="136"/>
    </row>
    <row r="24568" spans="1:2" x14ac:dyDescent="0.25">
      <c r="A24568" s="118"/>
      <c r="B24568" s="136"/>
    </row>
    <row r="24569" spans="1:2" x14ac:dyDescent="0.25">
      <c r="A24569" s="118"/>
      <c r="B24569" s="136"/>
    </row>
    <row r="24570" spans="1:2" x14ac:dyDescent="0.25">
      <c r="A24570" s="118"/>
      <c r="B24570" s="136"/>
    </row>
    <row r="24571" spans="1:2" x14ac:dyDescent="0.25">
      <c r="A24571" s="118"/>
      <c r="B24571" s="136"/>
    </row>
    <row r="24572" spans="1:2" x14ac:dyDescent="0.25">
      <c r="A24572" s="118"/>
      <c r="B24572" s="136"/>
    </row>
    <row r="24573" spans="1:2" x14ac:dyDescent="0.25">
      <c r="A24573" s="118"/>
      <c r="B24573" s="136"/>
    </row>
    <row r="24574" spans="1:2" x14ac:dyDescent="0.25">
      <c r="A24574" s="118"/>
      <c r="B24574" s="136"/>
    </row>
    <row r="24575" spans="1:2" x14ac:dyDescent="0.25">
      <c r="A24575" s="118"/>
      <c r="B24575" s="136"/>
    </row>
    <row r="24576" spans="1:2" x14ac:dyDescent="0.25">
      <c r="A24576" s="118"/>
      <c r="B24576" s="136"/>
    </row>
    <row r="24577" spans="1:2" x14ac:dyDescent="0.25">
      <c r="A24577" s="118"/>
      <c r="B24577" s="136"/>
    </row>
    <row r="24578" spans="1:2" x14ac:dyDescent="0.25">
      <c r="A24578" s="118"/>
      <c r="B24578" s="136"/>
    </row>
    <row r="24579" spans="1:2" x14ac:dyDescent="0.25">
      <c r="A24579" s="118"/>
      <c r="B24579" s="136"/>
    </row>
    <row r="24580" spans="1:2" x14ac:dyDescent="0.25">
      <c r="A24580" s="118"/>
      <c r="B24580" s="136"/>
    </row>
    <row r="24581" spans="1:2" x14ac:dyDescent="0.25">
      <c r="A24581" s="118"/>
      <c r="B24581" s="136"/>
    </row>
    <row r="24582" spans="1:2" x14ac:dyDescent="0.25">
      <c r="A24582" s="118"/>
      <c r="B24582" s="136"/>
    </row>
    <row r="24583" spans="1:2" x14ac:dyDescent="0.25">
      <c r="A24583" s="118"/>
      <c r="B24583" s="136"/>
    </row>
    <row r="24584" spans="1:2" x14ac:dyDescent="0.25">
      <c r="A24584" s="118"/>
      <c r="B24584" s="136"/>
    </row>
    <row r="24585" spans="1:2" x14ac:dyDescent="0.25">
      <c r="A24585" s="118"/>
      <c r="B24585" s="136"/>
    </row>
    <row r="24586" spans="1:2" x14ac:dyDescent="0.25">
      <c r="A24586" s="118"/>
      <c r="B24586" s="136"/>
    </row>
    <row r="24587" spans="1:2" x14ac:dyDescent="0.25">
      <c r="A24587" s="118"/>
      <c r="B24587" s="136"/>
    </row>
    <row r="24588" spans="1:2" x14ac:dyDescent="0.25">
      <c r="A24588" s="118"/>
      <c r="B24588" s="136"/>
    </row>
    <row r="24589" spans="1:2" x14ac:dyDescent="0.25">
      <c r="A24589" s="118"/>
      <c r="B24589" s="136"/>
    </row>
    <row r="24590" spans="1:2" x14ac:dyDescent="0.25">
      <c r="A24590" s="118"/>
      <c r="B24590" s="136"/>
    </row>
    <row r="24591" spans="1:2" x14ac:dyDescent="0.25">
      <c r="A24591" s="118"/>
      <c r="B24591" s="136"/>
    </row>
    <row r="24592" spans="1:2" x14ac:dyDescent="0.25">
      <c r="A24592" s="118"/>
      <c r="B24592" s="136"/>
    </row>
    <row r="24593" spans="1:2" x14ac:dyDescent="0.25">
      <c r="A24593" s="118"/>
      <c r="B24593" s="136"/>
    </row>
    <row r="24594" spans="1:2" x14ac:dyDescent="0.25">
      <c r="A24594" s="118"/>
      <c r="B24594" s="136"/>
    </row>
    <row r="24595" spans="1:2" x14ac:dyDescent="0.25">
      <c r="A24595" s="118"/>
      <c r="B24595" s="136"/>
    </row>
    <row r="24596" spans="1:2" x14ac:dyDescent="0.25">
      <c r="A24596" s="118"/>
      <c r="B24596" s="136"/>
    </row>
    <row r="24597" spans="1:2" x14ac:dyDescent="0.25">
      <c r="A24597" s="118"/>
      <c r="B24597" s="136"/>
    </row>
    <row r="24598" spans="1:2" x14ac:dyDescent="0.25">
      <c r="A24598" s="118"/>
      <c r="B24598" s="136"/>
    </row>
    <row r="24599" spans="1:2" x14ac:dyDescent="0.25">
      <c r="A24599" s="118"/>
      <c r="B24599" s="136"/>
    </row>
    <row r="24600" spans="1:2" x14ac:dyDescent="0.25">
      <c r="A24600" s="118"/>
      <c r="B24600" s="136"/>
    </row>
    <row r="24601" spans="1:2" x14ac:dyDescent="0.25">
      <c r="A24601" s="118"/>
      <c r="B24601" s="136"/>
    </row>
    <row r="24602" spans="1:2" x14ac:dyDescent="0.25">
      <c r="A24602" s="118"/>
      <c r="B24602" s="136"/>
    </row>
    <row r="24603" spans="1:2" x14ac:dyDescent="0.25">
      <c r="A24603" s="118"/>
      <c r="B24603" s="136"/>
    </row>
    <row r="24604" spans="1:2" x14ac:dyDescent="0.25">
      <c r="A24604" s="118"/>
      <c r="B24604" s="136"/>
    </row>
    <row r="24605" spans="1:2" x14ac:dyDescent="0.25">
      <c r="A24605" s="118"/>
      <c r="B24605" s="136"/>
    </row>
    <row r="24606" spans="1:2" x14ac:dyDescent="0.25">
      <c r="A24606" s="118"/>
      <c r="B24606" s="136"/>
    </row>
    <row r="24607" spans="1:2" x14ac:dyDescent="0.25">
      <c r="A24607" s="118"/>
      <c r="B24607" s="136"/>
    </row>
    <row r="24608" spans="1:2" x14ac:dyDescent="0.25">
      <c r="A24608" s="118"/>
      <c r="B24608" s="136"/>
    </row>
    <row r="24609" spans="1:2" x14ac:dyDescent="0.25">
      <c r="A24609" s="118"/>
      <c r="B24609" s="136"/>
    </row>
    <row r="24610" spans="1:2" x14ac:dyDescent="0.25">
      <c r="A24610" s="118"/>
      <c r="B24610" s="136"/>
    </row>
    <row r="24611" spans="1:2" x14ac:dyDescent="0.25">
      <c r="A24611" s="118"/>
      <c r="B24611" s="136"/>
    </row>
    <row r="24612" spans="1:2" x14ac:dyDescent="0.25">
      <c r="A24612" s="118"/>
      <c r="B24612" s="136"/>
    </row>
    <row r="24613" spans="1:2" x14ac:dyDescent="0.25">
      <c r="A24613" s="118"/>
      <c r="B24613" s="136"/>
    </row>
    <row r="24614" spans="1:2" x14ac:dyDescent="0.25">
      <c r="A24614" s="118"/>
      <c r="B24614" s="136"/>
    </row>
    <row r="24615" spans="1:2" x14ac:dyDescent="0.25">
      <c r="A24615" s="118"/>
      <c r="B24615" s="136"/>
    </row>
    <row r="24616" spans="1:2" x14ac:dyDescent="0.25">
      <c r="A24616" s="118"/>
      <c r="B24616" s="136"/>
    </row>
    <row r="24617" spans="1:2" x14ac:dyDescent="0.25">
      <c r="A24617" s="118"/>
      <c r="B24617" s="136"/>
    </row>
    <row r="24618" spans="1:2" x14ac:dyDescent="0.25">
      <c r="A24618" s="118"/>
      <c r="B24618" s="136"/>
    </row>
    <row r="24619" spans="1:2" x14ac:dyDescent="0.25">
      <c r="A24619" s="118"/>
      <c r="B24619" s="136"/>
    </row>
    <row r="24620" spans="1:2" x14ac:dyDescent="0.25">
      <c r="A24620" s="118"/>
      <c r="B24620" s="136"/>
    </row>
    <row r="24621" spans="1:2" x14ac:dyDescent="0.25">
      <c r="A24621" s="118"/>
      <c r="B24621" s="136"/>
    </row>
    <row r="24622" spans="1:2" x14ac:dyDescent="0.25">
      <c r="A24622" s="118"/>
      <c r="B24622" s="136"/>
    </row>
    <row r="24623" spans="1:2" x14ac:dyDescent="0.25">
      <c r="A24623" s="118"/>
      <c r="B24623" s="136"/>
    </row>
    <row r="24624" spans="1:2" x14ac:dyDescent="0.25">
      <c r="A24624" s="118"/>
      <c r="B24624" s="136"/>
    </row>
    <row r="24625" spans="1:2" x14ac:dyDescent="0.25">
      <c r="A24625" s="118"/>
      <c r="B24625" s="136"/>
    </row>
    <row r="24626" spans="1:2" x14ac:dyDescent="0.25">
      <c r="A24626" s="118"/>
      <c r="B24626" s="136"/>
    </row>
    <row r="24627" spans="1:2" x14ac:dyDescent="0.25">
      <c r="A24627" s="118"/>
      <c r="B24627" s="136"/>
    </row>
    <row r="24628" spans="1:2" x14ac:dyDescent="0.25">
      <c r="A24628" s="118"/>
      <c r="B24628" s="136"/>
    </row>
    <row r="24629" spans="1:2" x14ac:dyDescent="0.25">
      <c r="A24629" s="118"/>
      <c r="B24629" s="136"/>
    </row>
    <row r="24630" spans="1:2" x14ac:dyDescent="0.25">
      <c r="A24630" s="118"/>
      <c r="B24630" s="136"/>
    </row>
    <row r="24631" spans="1:2" x14ac:dyDescent="0.25">
      <c r="A24631" s="118"/>
      <c r="B24631" s="136"/>
    </row>
    <row r="24632" spans="1:2" x14ac:dyDescent="0.25">
      <c r="A24632" s="118"/>
      <c r="B24632" s="136"/>
    </row>
    <row r="24633" spans="1:2" x14ac:dyDescent="0.25">
      <c r="A24633" s="118"/>
      <c r="B24633" s="136"/>
    </row>
    <row r="24634" spans="1:2" x14ac:dyDescent="0.25">
      <c r="A24634" s="118"/>
      <c r="B24634" s="136"/>
    </row>
    <row r="24635" spans="1:2" x14ac:dyDescent="0.25">
      <c r="A24635" s="118"/>
      <c r="B24635" s="136"/>
    </row>
    <row r="24636" spans="1:2" x14ac:dyDescent="0.25">
      <c r="A24636" s="118"/>
      <c r="B24636" s="136"/>
    </row>
    <row r="24637" spans="1:2" x14ac:dyDescent="0.25">
      <c r="A24637" s="118"/>
      <c r="B24637" s="136"/>
    </row>
    <row r="24638" spans="1:2" x14ac:dyDescent="0.25">
      <c r="A24638" s="118"/>
      <c r="B24638" s="136"/>
    </row>
    <row r="24639" spans="1:2" x14ac:dyDescent="0.25">
      <c r="A24639" s="118"/>
      <c r="B24639" s="136"/>
    </row>
    <row r="24640" spans="1:2" x14ac:dyDescent="0.25">
      <c r="A24640" s="118"/>
      <c r="B24640" s="136"/>
    </row>
    <row r="24641" spans="1:2" x14ac:dyDescent="0.25">
      <c r="A24641" s="118"/>
      <c r="B24641" s="136"/>
    </row>
    <row r="24642" spans="1:2" x14ac:dyDescent="0.25">
      <c r="A24642" s="118"/>
      <c r="B24642" s="136"/>
    </row>
    <row r="24643" spans="1:2" x14ac:dyDescent="0.25">
      <c r="A24643" s="118"/>
      <c r="B24643" s="136"/>
    </row>
    <row r="24644" spans="1:2" x14ac:dyDescent="0.25">
      <c r="A24644" s="118"/>
      <c r="B24644" s="136"/>
    </row>
    <row r="24645" spans="1:2" x14ac:dyDescent="0.25">
      <c r="A24645" s="118"/>
      <c r="B24645" s="136"/>
    </row>
    <row r="24646" spans="1:2" x14ac:dyDescent="0.25">
      <c r="A24646" s="118"/>
      <c r="B24646" s="136"/>
    </row>
    <row r="24647" spans="1:2" x14ac:dyDescent="0.25">
      <c r="A24647" s="118"/>
      <c r="B24647" s="136"/>
    </row>
    <row r="24648" spans="1:2" x14ac:dyDescent="0.25">
      <c r="A24648" s="118"/>
      <c r="B24648" s="136"/>
    </row>
    <row r="24649" spans="1:2" x14ac:dyDescent="0.25">
      <c r="A24649" s="118"/>
      <c r="B24649" s="136"/>
    </row>
    <row r="24650" spans="1:2" x14ac:dyDescent="0.25">
      <c r="A24650" s="118"/>
      <c r="B24650" s="136"/>
    </row>
    <row r="24651" spans="1:2" x14ac:dyDescent="0.25">
      <c r="A24651" s="118"/>
      <c r="B24651" s="136"/>
    </row>
    <row r="24652" spans="1:2" x14ac:dyDescent="0.25">
      <c r="A24652" s="118"/>
      <c r="B24652" s="136"/>
    </row>
    <row r="24653" spans="1:2" x14ac:dyDescent="0.25">
      <c r="A24653" s="118"/>
      <c r="B24653" s="136"/>
    </row>
    <row r="24654" spans="1:2" x14ac:dyDescent="0.25">
      <c r="A24654" s="118"/>
      <c r="B24654" s="136"/>
    </row>
    <row r="24655" spans="1:2" x14ac:dyDescent="0.25">
      <c r="A24655" s="118"/>
      <c r="B24655" s="136"/>
    </row>
    <row r="24656" spans="1:2" x14ac:dyDescent="0.25">
      <c r="A24656" s="118"/>
      <c r="B24656" s="136"/>
    </row>
    <row r="24657" spans="1:2" x14ac:dyDescent="0.25">
      <c r="A24657" s="118"/>
      <c r="B24657" s="136"/>
    </row>
    <row r="24658" spans="1:2" x14ac:dyDescent="0.25">
      <c r="A24658" s="118"/>
      <c r="B24658" s="136"/>
    </row>
    <row r="24659" spans="1:2" x14ac:dyDescent="0.25">
      <c r="A24659" s="118"/>
      <c r="B24659" s="136"/>
    </row>
    <row r="24660" spans="1:2" x14ac:dyDescent="0.25">
      <c r="A24660" s="118"/>
      <c r="B24660" s="136"/>
    </row>
    <row r="24661" spans="1:2" x14ac:dyDescent="0.25">
      <c r="A24661" s="118"/>
      <c r="B24661" s="136"/>
    </row>
    <row r="24662" spans="1:2" x14ac:dyDescent="0.25">
      <c r="A24662" s="118"/>
      <c r="B24662" s="136"/>
    </row>
    <row r="24663" spans="1:2" x14ac:dyDescent="0.25">
      <c r="A24663" s="118"/>
      <c r="B24663" s="136"/>
    </row>
    <row r="24664" spans="1:2" x14ac:dyDescent="0.25">
      <c r="A24664" s="118"/>
      <c r="B24664" s="136"/>
    </row>
    <row r="24665" spans="1:2" x14ac:dyDescent="0.25">
      <c r="A24665" s="118"/>
      <c r="B24665" s="136"/>
    </row>
    <row r="24666" spans="1:2" x14ac:dyDescent="0.25">
      <c r="A24666" s="118"/>
      <c r="B24666" s="136"/>
    </row>
    <row r="24667" spans="1:2" x14ac:dyDescent="0.25">
      <c r="A24667" s="118"/>
      <c r="B24667" s="136"/>
    </row>
    <row r="24668" spans="1:2" x14ac:dyDescent="0.25">
      <c r="A24668" s="118"/>
      <c r="B24668" s="136"/>
    </row>
    <row r="24669" spans="1:2" x14ac:dyDescent="0.25">
      <c r="A24669" s="118"/>
      <c r="B24669" s="136"/>
    </row>
    <row r="24670" spans="1:2" x14ac:dyDescent="0.25">
      <c r="A24670" s="118"/>
      <c r="B24670" s="136"/>
    </row>
    <row r="24671" spans="1:2" x14ac:dyDescent="0.25">
      <c r="A24671" s="118"/>
      <c r="B24671" s="136"/>
    </row>
    <row r="24672" spans="1:2" x14ac:dyDescent="0.25">
      <c r="A24672" s="118"/>
      <c r="B24672" s="136"/>
    </row>
    <row r="24673" spans="1:2" x14ac:dyDescent="0.25">
      <c r="A24673" s="118"/>
      <c r="B24673" s="136"/>
    </row>
    <row r="24674" spans="1:2" x14ac:dyDescent="0.25">
      <c r="A24674" s="118"/>
      <c r="B24674" s="136"/>
    </row>
    <row r="24675" spans="1:2" x14ac:dyDescent="0.25">
      <c r="A24675" s="118"/>
      <c r="B24675" s="136"/>
    </row>
    <row r="24676" spans="1:2" x14ac:dyDescent="0.25">
      <c r="A24676" s="118"/>
      <c r="B24676" s="136"/>
    </row>
    <row r="24677" spans="1:2" x14ac:dyDescent="0.25">
      <c r="A24677" s="118"/>
      <c r="B24677" s="136"/>
    </row>
    <row r="24678" spans="1:2" x14ac:dyDescent="0.25">
      <c r="A24678" s="118"/>
      <c r="B24678" s="136"/>
    </row>
    <row r="24679" spans="1:2" x14ac:dyDescent="0.25">
      <c r="A24679" s="118"/>
      <c r="B24679" s="136"/>
    </row>
    <row r="24680" spans="1:2" x14ac:dyDescent="0.25">
      <c r="A24680" s="118"/>
      <c r="B24680" s="136"/>
    </row>
    <row r="24681" spans="1:2" x14ac:dyDescent="0.25">
      <c r="A24681" s="118"/>
      <c r="B24681" s="136"/>
    </row>
    <row r="24682" spans="1:2" x14ac:dyDescent="0.25">
      <c r="A24682" s="118"/>
      <c r="B24682" s="136"/>
    </row>
    <row r="24683" spans="1:2" x14ac:dyDescent="0.25">
      <c r="A24683" s="118"/>
      <c r="B24683" s="136"/>
    </row>
    <row r="24684" spans="1:2" x14ac:dyDescent="0.25">
      <c r="A24684" s="118"/>
      <c r="B24684" s="136"/>
    </row>
    <row r="24685" spans="1:2" x14ac:dyDescent="0.25">
      <c r="A24685" s="118"/>
      <c r="B24685" s="136"/>
    </row>
    <row r="24686" spans="1:2" x14ac:dyDescent="0.25">
      <c r="A24686" s="118"/>
      <c r="B24686" s="136"/>
    </row>
    <row r="24687" spans="1:2" x14ac:dyDescent="0.25">
      <c r="A24687" s="118"/>
      <c r="B24687" s="136"/>
    </row>
    <row r="24688" spans="1:2" x14ac:dyDescent="0.25">
      <c r="A24688" s="118"/>
      <c r="B24688" s="136"/>
    </row>
    <row r="24689" spans="1:2" x14ac:dyDescent="0.25">
      <c r="A24689" s="118"/>
      <c r="B24689" s="136"/>
    </row>
    <row r="24690" spans="1:2" x14ac:dyDescent="0.25">
      <c r="A24690" s="118"/>
      <c r="B24690" s="136"/>
    </row>
    <row r="24691" spans="1:2" x14ac:dyDescent="0.25">
      <c r="A24691" s="118"/>
      <c r="B24691" s="136"/>
    </row>
    <row r="24692" spans="1:2" x14ac:dyDescent="0.25">
      <c r="A24692" s="118"/>
      <c r="B24692" s="136"/>
    </row>
    <row r="24693" spans="1:2" x14ac:dyDescent="0.25">
      <c r="A24693" s="118"/>
      <c r="B24693" s="136"/>
    </row>
    <row r="24694" spans="1:2" x14ac:dyDescent="0.25">
      <c r="A24694" s="118"/>
      <c r="B24694" s="136"/>
    </row>
    <row r="24695" spans="1:2" x14ac:dyDescent="0.25">
      <c r="A24695" s="118"/>
      <c r="B24695" s="136"/>
    </row>
    <row r="24696" spans="1:2" x14ac:dyDescent="0.25">
      <c r="A24696" s="118"/>
      <c r="B24696" s="136"/>
    </row>
    <row r="24697" spans="1:2" x14ac:dyDescent="0.25">
      <c r="A24697" s="118"/>
      <c r="B24697" s="136"/>
    </row>
    <row r="24698" spans="1:2" x14ac:dyDescent="0.25">
      <c r="A24698" s="118"/>
      <c r="B24698" s="136"/>
    </row>
    <row r="24699" spans="1:2" x14ac:dyDescent="0.25">
      <c r="A24699" s="118"/>
      <c r="B24699" s="136"/>
    </row>
    <row r="24700" spans="1:2" x14ac:dyDescent="0.25">
      <c r="A24700" s="118"/>
      <c r="B24700" s="136"/>
    </row>
    <row r="24701" spans="1:2" x14ac:dyDescent="0.25">
      <c r="A24701" s="118"/>
      <c r="B24701" s="136"/>
    </row>
    <row r="24702" spans="1:2" x14ac:dyDescent="0.25">
      <c r="A24702" s="118"/>
      <c r="B24702" s="136"/>
    </row>
    <row r="24703" spans="1:2" x14ac:dyDescent="0.25">
      <c r="A24703" s="118"/>
      <c r="B24703" s="136"/>
    </row>
    <row r="24704" spans="1:2" x14ac:dyDescent="0.25">
      <c r="A24704" s="118"/>
      <c r="B24704" s="136"/>
    </row>
    <row r="24705" spans="1:2" x14ac:dyDescent="0.25">
      <c r="A24705" s="118"/>
      <c r="B24705" s="136"/>
    </row>
    <row r="24706" spans="1:2" x14ac:dyDescent="0.25">
      <c r="A24706" s="118"/>
      <c r="B24706" s="136"/>
    </row>
    <row r="24707" spans="1:2" x14ac:dyDescent="0.25">
      <c r="A24707" s="118"/>
      <c r="B24707" s="136"/>
    </row>
    <row r="24708" spans="1:2" x14ac:dyDescent="0.25">
      <c r="A24708" s="118"/>
      <c r="B24708" s="136"/>
    </row>
    <row r="24709" spans="1:2" x14ac:dyDescent="0.25">
      <c r="A24709" s="118"/>
      <c r="B24709" s="136"/>
    </row>
    <row r="24710" spans="1:2" x14ac:dyDescent="0.25">
      <c r="A24710" s="118"/>
      <c r="B24710" s="136"/>
    </row>
    <row r="24711" spans="1:2" x14ac:dyDescent="0.25">
      <c r="A24711" s="118"/>
      <c r="B24711" s="136"/>
    </row>
    <row r="24712" spans="1:2" x14ac:dyDescent="0.25">
      <c r="A24712" s="118"/>
      <c r="B24712" s="136"/>
    </row>
    <row r="24713" spans="1:2" x14ac:dyDescent="0.25">
      <c r="A24713" s="118"/>
      <c r="B24713" s="136"/>
    </row>
    <row r="24714" spans="1:2" x14ac:dyDescent="0.25">
      <c r="A24714" s="118"/>
      <c r="B24714" s="136"/>
    </row>
    <row r="24715" spans="1:2" x14ac:dyDescent="0.25">
      <c r="A24715" s="118"/>
      <c r="B24715" s="136"/>
    </row>
    <row r="24716" spans="1:2" x14ac:dyDescent="0.25">
      <c r="A24716" s="118"/>
      <c r="B24716" s="136"/>
    </row>
    <row r="24717" spans="1:2" x14ac:dyDescent="0.25">
      <c r="A24717" s="118"/>
      <c r="B24717" s="136"/>
    </row>
    <row r="24718" spans="1:2" x14ac:dyDescent="0.25">
      <c r="A24718" s="118"/>
      <c r="B24718" s="136"/>
    </row>
    <row r="24719" spans="1:2" x14ac:dyDescent="0.25">
      <c r="A24719" s="118"/>
      <c r="B24719" s="136"/>
    </row>
    <row r="24720" spans="1:2" x14ac:dyDescent="0.25">
      <c r="A24720" s="118"/>
      <c r="B24720" s="136"/>
    </row>
    <row r="24721" spans="1:2" x14ac:dyDescent="0.25">
      <c r="A24721" s="118"/>
      <c r="B24721" s="136"/>
    </row>
    <row r="24722" spans="1:2" x14ac:dyDescent="0.25">
      <c r="A24722" s="118"/>
      <c r="B24722" s="136"/>
    </row>
    <row r="24723" spans="1:2" x14ac:dyDescent="0.25">
      <c r="A24723" s="118"/>
      <c r="B24723" s="136"/>
    </row>
    <row r="24724" spans="1:2" x14ac:dyDescent="0.25">
      <c r="A24724" s="118"/>
      <c r="B24724" s="136"/>
    </row>
    <row r="24725" spans="1:2" x14ac:dyDescent="0.25">
      <c r="A24725" s="118"/>
      <c r="B24725" s="136"/>
    </row>
    <row r="24726" spans="1:2" x14ac:dyDescent="0.25">
      <c r="A24726" s="118"/>
      <c r="B24726" s="136"/>
    </row>
    <row r="24727" spans="1:2" x14ac:dyDescent="0.25">
      <c r="A24727" s="118"/>
      <c r="B24727" s="136"/>
    </row>
    <row r="24728" spans="1:2" x14ac:dyDescent="0.25">
      <c r="A24728" s="118"/>
      <c r="B24728" s="136"/>
    </row>
    <row r="24729" spans="1:2" x14ac:dyDescent="0.25">
      <c r="A24729" s="118"/>
      <c r="B24729" s="136"/>
    </row>
    <row r="24730" spans="1:2" x14ac:dyDescent="0.25">
      <c r="A24730" s="118"/>
      <c r="B24730" s="136"/>
    </row>
    <row r="24731" spans="1:2" x14ac:dyDescent="0.25">
      <c r="A24731" s="118"/>
      <c r="B24731" s="136"/>
    </row>
    <row r="24732" spans="1:2" x14ac:dyDescent="0.25">
      <c r="A24732" s="118"/>
      <c r="B24732" s="136"/>
    </row>
    <row r="24733" spans="1:2" x14ac:dyDescent="0.25">
      <c r="A24733" s="118"/>
      <c r="B24733" s="136"/>
    </row>
    <row r="24734" spans="1:2" x14ac:dyDescent="0.25">
      <c r="A24734" s="118"/>
      <c r="B24734" s="136"/>
    </row>
    <row r="24735" spans="1:2" x14ac:dyDescent="0.25">
      <c r="A24735" s="118"/>
      <c r="B24735" s="136"/>
    </row>
    <row r="24736" spans="1:2" x14ac:dyDescent="0.25">
      <c r="A24736" s="118"/>
      <c r="B24736" s="136"/>
    </row>
    <row r="24737" spans="1:2" x14ac:dyDescent="0.25">
      <c r="A24737" s="118"/>
      <c r="B24737" s="136"/>
    </row>
    <row r="24738" spans="1:2" x14ac:dyDescent="0.25">
      <c r="A24738" s="118"/>
      <c r="B24738" s="136"/>
    </row>
    <row r="24739" spans="1:2" x14ac:dyDescent="0.25">
      <c r="A24739" s="118"/>
      <c r="B24739" s="136"/>
    </row>
    <row r="24740" spans="1:2" x14ac:dyDescent="0.25">
      <c r="A24740" s="118"/>
      <c r="B24740" s="136"/>
    </row>
    <row r="24741" spans="1:2" x14ac:dyDescent="0.25">
      <c r="A24741" s="118"/>
      <c r="B24741" s="136"/>
    </row>
    <row r="24742" spans="1:2" x14ac:dyDescent="0.25">
      <c r="A24742" s="118"/>
      <c r="B24742" s="136"/>
    </row>
    <row r="24743" spans="1:2" x14ac:dyDescent="0.25">
      <c r="A24743" s="118"/>
      <c r="B24743" s="136"/>
    </row>
    <row r="24744" spans="1:2" x14ac:dyDescent="0.25">
      <c r="A24744" s="118"/>
      <c r="B24744" s="136"/>
    </row>
    <row r="24745" spans="1:2" x14ac:dyDescent="0.25">
      <c r="A24745" s="118"/>
      <c r="B24745" s="136"/>
    </row>
    <row r="24746" spans="1:2" x14ac:dyDescent="0.25">
      <c r="A24746" s="118"/>
      <c r="B24746" s="136"/>
    </row>
    <row r="24747" spans="1:2" x14ac:dyDescent="0.25">
      <c r="A24747" s="118"/>
      <c r="B24747" s="136"/>
    </row>
    <row r="24748" spans="1:2" x14ac:dyDescent="0.25">
      <c r="A24748" s="118"/>
      <c r="B24748" s="136"/>
    </row>
    <row r="24749" spans="1:2" x14ac:dyDescent="0.25">
      <c r="A24749" s="118"/>
      <c r="B24749" s="136"/>
    </row>
    <row r="24750" spans="1:2" x14ac:dyDescent="0.25">
      <c r="A24750" s="118"/>
      <c r="B24750" s="136"/>
    </row>
    <row r="24751" spans="1:2" x14ac:dyDescent="0.25">
      <c r="A24751" s="118"/>
      <c r="B24751" s="136"/>
    </row>
    <row r="24752" spans="1:2" x14ac:dyDescent="0.25">
      <c r="A24752" s="118"/>
      <c r="B24752" s="136"/>
    </row>
    <row r="24753" spans="1:2" x14ac:dyDescent="0.25">
      <c r="A24753" s="118"/>
      <c r="B24753" s="136"/>
    </row>
    <row r="24754" spans="1:2" x14ac:dyDescent="0.25">
      <c r="A24754" s="118"/>
      <c r="B24754" s="136"/>
    </row>
    <row r="24755" spans="1:2" x14ac:dyDescent="0.25">
      <c r="A24755" s="118"/>
      <c r="B24755" s="136"/>
    </row>
    <row r="24756" spans="1:2" x14ac:dyDescent="0.25">
      <c r="A24756" s="118"/>
      <c r="B24756" s="136"/>
    </row>
    <row r="24757" spans="1:2" x14ac:dyDescent="0.25">
      <c r="A24757" s="118"/>
      <c r="B24757" s="136"/>
    </row>
    <row r="24758" spans="1:2" x14ac:dyDescent="0.25">
      <c r="A24758" s="118"/>
      <c r="B24758" s="136"/>
    </row>
    <row r="24759" spans="1:2" x14ac:dyDescent="0.25">
      <c r="A24759" s="118"/>
      <c r="B24759" s="136"/>
    </row>
    <row r="24760" spans="1:2" x14ac:dyDescent="0.25">
      <c r="A24760" s="118"/>
      <c r="B24760" s="136"/>
    </row>
    <row r="24761" spans="1:2" x14ac:dyDescent="0.25">
      <c r="A24761" s="118"/>
      <c r="B24761" s="136"/>
    </row>
    <row r="24762" spans="1:2" x14ac:dyDescent="0.25">
      <c r="A24762" s="118"/>
      <c r="B24762" s="136"/>
    </row>
    <row r="24763" spans="1:2" x14ac:dyDescent="0.25">
      <c r="A24763" s="118"/>
      <c r="B24763" s="136"/>
    </row>
    <row r="24764" spans="1:2" x14ac:dyDescent="0.25">
      <c r="A24764" s="118"/>
      <c r="B24764" s="136"/>
    </row>
    <row r="24765" spans="1:2" x14ac:dyDescent="0.25">
      <c r="A24765" s="118"/>
      <c r="B24765" s="136"/>
    </row>
    <row r="24766" spans="1:2" x14ac:dyDescent="0.25">
      <c r="A24766" s="118"/>
      <c r="B24766" s="136"/>
    </row>
    <row r="24767" spans="1:2" x14ac:dyDescent="0.25">
      <c r="A24767" s="118"/>
      <c r="B24767" s="136"/>
    </row>
    <row r="24768" spans="1:2" x14ac:dyDescent="0.25">
      <c r="A24768" s="118"/>
      <c r="B24768" s="136"/>
    </row>
    <row r="24769" spans="1:2" x14ac:dyDescent="0.25">
      <c r="A24769" s="118"/>
      <c r="B24769" s="136"/>
    </row>
    <row r="24770" spans="1:2" x14ac:dyDescent="0.25">
      <c r="A24770" s="118"/>
      <c r="B24770" s="136"/>
    </row>
    <row r="24771" spans="1:2" x14ac:dyDescent="0.25">
      <c r="A24771" s="118"/>
      <c r="B24771" s="136"/>
    </row>
    <row r="24772" spans="1:2" x14ac:dyDescent="0.25">
      <c r="A24772" s="118"/>
      <c r="B24772" s="136"/>
    </row>
    <row r="24773" spans="1:2" x14ac:dyDescent="0.25">
      <c r="A24773" s="118"/>
      <c r="B24773" s="136"/>
    </row>
    <row r="24774" spans="1:2" x14ac:dyDescent="0.25">
      <c r="A24774" s="118"/>
      <c r="B24774" s="136"/>
    </row>
    <row r="24775" spans="1:2" x14ac:dyDescent="0.25">
      <c r="A24775" s="118"/>
      <c r="B24775" s="136"/>
    </row>
    <row r="24776" spans="1:2" x14ac:dyDescent="0.25">
      <c r="A24776" s="118"/>
      <c r="B24776" s="136"/>
    </row>
    <row r="24777" spans="1:2" x14ac:dyDescent="0.25">
      <c r="A24777" s="118"/>
      <c r="B24777" s="136"/>
    </row>
    <row r="24778" spans="1:2" x14ac:dyDescent="0.25">
      <c r="A24778" s="118"/>
      <c r="B24778" s="136"/>
    </row>
    <row r="24779" spans="1:2" x14ac:dyDescent="0.25">
      <c r="A24779" s="118"/>
      <c r="B24779" s="136"/>
    </row>
    <row r="24780" spans="1:2" x14ac:dyDescent="0.25">
      <c r="A24780" s="118"/>
      <c r="B24780" s="136"/>
    </row>
    <row r="24781" spans="1:2" x14ac:dyDescent="0.25">
      <c r="A24781" s="118"/>
      <c r="B24781" s="136"/>
    </row>
    <row r="24782" spans="1:2" x14ac:dyDescent="0.25">
      <c r="A24782" s="118"/>
      <c r="B24782" s="136"/>
    </row>
    <row r="24783" spans="1:2" x14ac:dyDescent="0.25">
      <c r="A24783" s="118"/>
      <c r="B24783" s="136"/>
    </row>
    <row r="24784" spans="1:2" x14ac:dyDescent="0.25">
      <c r="A24784" s="118"/>
      <c r="B24784" s="136"/>
    </row>
    <row r="24785" spans="1:2" x14ac:dyDescent="0.25">
      <c r="A24785" s="118"/>
      <c r="B24785" s="136"/>
    </row>
    <row r="24786" spans="1:2" x14ac:dyDescent="0.25">
      <c r="A24786" s="118"/>
      <c r="B24786" s="136"/>
    </row>
    <row r="24787" spans="1:2" x14ac:dyDescent="0.25">
      <c r="A24787" s="118"/>
      <c r="B24787" s="136"/>
    </row>
    <row r="24788" spans="1:2" x14ac:dyDescent="0.25">
      <c r="A24788" s="118"/>
      <c r="B24788" s="136"/>
    </row>
    <row r="24789" spans="1:2" x14ac:dyDescent="0.25">
      <c r="A24789" s="118"/>
      <c r="B24789" s="136"/>
    </row>
    <row r="24790" spans="1:2" x14ac:dyDescent="0.25">
      <c r="A24790" s="118"/>
      <c r="B24790" s="136"/>
    </row>
    <row r="24791" spans="1:2" x14ac:dyDescent="0.25">
      <c r="A24791" s="118"/>
      <c r="B24791" s="136"/>
    </row>
    <row r="24792" spans="1:2" x14ac:dyDescent="0.25">
      <c r="A24792" s="118"/>
      <c r="B24792" s="136"/>
    </row>
    <row r="24793" spans="1:2" x14ac:dyDescent="0.25">
      <c r="A24793" s="118"/>
      <c r="B24793" s="136"/>
    </row>
    <row r="24794" spans="1:2" x14ac:dyDescent="0.25">
      <c r="A24794" s="118"/>
      <c r="B24794" s="136"/>
    </row>
    <row r="24795" spans="1:2" x14ac:dyDescent="0.25">
      <c r="A24795" s="118"/>
      <c r="B24795" s="136"/>
    </row>
    <row r="24796" spans="1:2" x14ac:dyDescent="0.25">
      <c r="A24796" s="118"/>
      <c r="B24796" s="136"/>
    </row>
    <row r="24797" spans="1:2" x14ac:dyDescent="0.25">
      <c r="A24797" s="118"/>
      <c r="B24797" s="136"/>
    </row>
    <row r="24798" spans="1:2" x14ac:dyDescent="0.25">
      <c r="A24798" s="118"/>
      <c r="B24798" s="136"/>
    </row>
    <row r="24799" spans="1:2" x14ac:dyDescent="0.25">
      <c r="A24799" s="118"/>
      <c r="B24799" s="136"/>
    </row>
    <row r="24800" spans="1:2" x14ac:dyDescent="0.25">
      <c r="A24800" s="118"/>
      <c r="B24800" s="136"/>
    </row>
    <row r="24801" spans="1:2" x14ac:dyDescent="0.25">
      <c r="A24801" s="118"/>
      <c r="B24801" s="136"/>
    </row>
    <row r="24802" spans="1:2" x14ac:dyDescent="0.25">
      <c r="A24802" s="118"/>
      <c r="B24802" s="136"/>
    </row>
    <row r="24803" spans="1:2" x14ac:dyDescent="0.25">
      <c r="A24803" s="118"/>
      <c r="B24803" s="136"/>
    </row>
    <row r="24804" spans="1:2" x14ac:dyDescent="0.25">
      <c r="A24804" s="118"/>
      <c r="B24804" s="136"/>
    </row>
    <row r="24805" spans="1:2" x14ac:dyDescent="0.25">
      <c r="A24805" s="118"/>
      <c r="B24805" s="136"/>
    </row>
    <row r="24806" spans="1:2" x14ac:dyDescent="0.25">
      <c r="A24806" s="118"/>
      <c r="B24806" s="136"/>
    </row>
    <row r="24807" spans="1:2" x14ac:dyDescent="0.25">
      <c r="A24807" s="118"/>
      <c r="B24807" s="136"/>
    </row>
    <row r="24808" spans="1:2" x14ac:dyDescent="0.25">
      <c r="A24808" s="118"/>
      <c r="B24808" s="136"/>
    </row>
    <row r="24809" spans="1:2" x14ac:dyDescent="0.25">
      <c r="A24809" s="118"/>
      <c r="B24809" s="136"/>
    </row>
    <row r="24810" spans="1:2" x14ac:dyDescent="0.25">
      <c r="A24810" s="118"/>
      <c r="B24810" s="136"/>
    </row>
    <row r="24811" spans="1:2" x14ac:dyDescent="0.25">
      <c r="A24811" s="118"/>
      <c r="B24811" s="136"/>
    </row>
    <row r="24812" spans="1:2" x14ac:dyDescent="0.25">
      <c r="A24812" s="118"/>
      <c r="B24812" s="136"/>
    </row>
    <row r="24813" spans="1:2" x14ac:dyDescent="0.25">
      <c r="A24813" s="118"/>
      <c r="B24813" s="136"/>
    </row>
    <row r="24814" spans="1:2" x14ac:dyDescent="0.25">
      <c r="A24814" s="118"/>
      <c r="B24814" s="136"/>
    </row>
    <row r="24815" spans="1:2" x14ac:dyDescent="0.25">
      <c r="A24815" s="118"/>
      <c r="B24815" s="136"/>
    </row>
    <row r="24816" spans="1:2" x14ac:dyDescent="0.25">
      <c r="A24816" s="118"/>
      <c r="B24816" s="136"/>
    </row>
    <row r="24817" spans="1:2" x14ac:dyDescent="0.25">
      <c r="A24817" s="118"/>
      <c r="B24817" s="136"/>
    </row>
    <row r="24818" spans="1:2" x14ac:dyDescent="0.25">
      <c r="A24818" s="118"/>
      <c r="B24818" s="136"/>
    </row>
    <row r="24819" spans="1:2" x14ac:dyDescent="0.25">
      <c r="A24819" s="118"/>
      <c r="B24819" s="136"/>
    </row>
    <row r="24820" spans="1:2" x14ac:dyDescent="0.25">
      <c r="A24820" s="118"/>
      <c r="B24820" s="136"/>
    </row>
    <row r="24821" spans="1:2" x14ac:dyDescent="0.25">
      <c r="A24821" s="118"/>
      <c r="B24821" s="136"/>
    </row>
    <row r="24822" spans="1:2" x14ac:dyDescent="0.25">
      <c r="A24822" s="118"/>
      <c r="B24822" s="136"/>
    </row>
    <row r="24823" spans="1:2" x14ac:dyDescent="0.25">
      <c r="A24823" s="118"/>
      <c r="B24823" s="136"/>
    </row>
    <row r="24824" spans="1:2" x14ac:dyDescent="0.25">
      <c r="A24824" s="118"/>
      <c r="B24824" s="136"/>
    </row>
    <row r="24825" spans="1:2" x14ac:dyDescent="0.25">
      <c r="A24825" s="118"/>
      <c r="B24825" s="136"/>
    </row>
    <row r="24826" spans="1:2" x14ac:dyDescent="0.25">
      <c r="A24826" s="118"/>
      <c r="B24826" s="136"/>
    </row>
    <row r="24827" spans="1:2" x14ac:dyDescent="0.25">
      <c r="A24827" s="118"/>
      <c r="B24827" s="136"/>
    </row>
    <row r="24828" spans="1:2" x14ac:dyDescent="0.25">
      <c r="A24828" s="118"/>
      <c r="B24828" s="136"/>
    </row>
    <row r="24829" spans="1:2" x14ac:dyDescent="0.25">
      <c r="A24829" s="118"/>
      <c r="B24829" s="136"/>
    </row>
    <row r="24830" spans="1:2" x14ac:dyDescent="0.25">
      <c r="A24830" s="118"/>
      <c r="B24830" s="136"/>
    </row>
    <row r="24831" spans="1:2" x14ac:dyDescent="0.25">
      <c r="A24831" s="118"/>
      <c r="B24831" s="136"/>
    </row>
    <row r="24832" spans="1:2" x14ac:dyDescent="0.25">
      <c r="A24832" s="118"/>
      <c r="B24832" s="136"/>
    </row>
    <row r="24833" spans="1:2" x14ac:dyDescent="0.25">
      <c r="A24833" s="118"/>
      <c r="B24833" s="136"/>
    </row>
    <row r="24834" spans="1:2" x14ac:dyDescent="0.25">
      <c r="A24834" s="118"/>
      <c r="B24834" s="136"/>
    </row>
    <row r="24835" spans="1:2" x14ac:dyDescent="0.25">
      <c r="A24835" s="118"/>
      <c r="B24835" s="136"/>
    </row>
    <row r="24836" spans="1:2" x14ac:dyDescent="0.25">
      <c r="A24836" s="118"/>
      <c r="B24836" s="136"/>
    </row>
    <row r="24837" spans="1:2" x14ac:dyDescent="0.25">
      <c r="A24837" s="118"/>
      <c r="B24837" s="136"/>
    </row>
    <row r="24838" spans="1:2" x14ac:dyDescent="0.25">
      <c r="A24838" s="118"/>
      <c r="B24838" s="136"/>
    </row>
    <row r="24839" spans="1:2" x14ac:dyDescent="0.25">
      <c r="A24839" s="118"/>
      <c r="B24839" s="136"/>
    </row>
    <row r="24840" spans="1:2" x14ac:dyDescent="0.25">
      <c r="A24840" s="118"/>
      <c r="B24840" s="136"/>
    </row>
    <row r="24841" spans="1:2" x14ac:dyDescent="0.25">
      <c r="A24841" s="118"/>
      <c r="B24841" s="136"/>
    </row>
    <row r="24842" spans="1:2" x14ac:dyDescent="0.25">
      <c r="A24842" s="118"/>
      <c r="B24842" s="136"/>
    </row>
    <row r="24843" spans="1:2" x14ac:dyDescent="0.25">
      <c r="A24843" s="118"/>
      <c r="B24843" s="136"/>
    </row>
    <row r="24844" spans="1:2" x14ac:dyDescent="0.25">
      <c r="A24844" s="118"/>
      <c r="B24844" s="136"/>
    </row>
    <row r="24845" spans="1:2" x14ac:dyDescent="0.25">
      <c r="A24845" s="118"/>
      <c r="B24845" s="136"/>
    </row>
    <row r="24846" spans="1:2" x14ac:dyDescent="0.25">
      <c r="A24846" s="118"/>
      <c r="B24846" s="136"/>
    </row>
    <row r="24847" spans="1:2" x14ac:dyDescent="0.25">
      <c r="A24847" s="118"/>
      <c r="B24847" s="136"/>
    </row>
    <row r="24848" spans="1:2" x14ac:dyDescent="0.25">
      <c r="A24848" s="118"/>
      <c r="B24848" s="136"/>
    </row>
    <row r="24849" spans="1:2" x14ac:dyDescent="0.25">
      <c r="A24849" s="118"/>
      <c r="B24849" s="136"/>
    </row>
    <row r="24850" spans="1:2" x14ac:dyDescent="0.25">
      <c r="A24850" s="118"/>
      <c r="B24850" s="136"/>
    </row>
    <row r="24851" spans="1:2" x14ac:dyDescent="0.25">
      <c r="A24851" s="118"/>
      <c r="B24851" s="136"/>
    </row>
    <row r="24852" spans="1:2" x14ac:dyDescent="0.25">
      <c r="A24852" s="118"/>
      <c r="B24852" s="136"/>
    </row>
    <row r="24853" spans="1:2" x14ac:dyDescent="0.25">
      <c r="A24853" s="118"/>
      <c r="B24853" s="136"/>
    </row>
    <row r="24854" spans="1:2" x14ac:dyDescent="0.25">
      <c r="A24854" s="118"/>
      <c r="B24854" s="136"/>
    </row>
    <row r="24855" spans="1:2" x14ac:dyDescent="0.25">
      <c r="A24855" s="118"/>
      <c r="B24855" s="136"/>
    </row>
    <row r="24856" spans="1:2" x14ac:dyDescent="0.25">
      <c r="A24856" s="118"/>
      <c r="B24856" s="136"/>
    </row>
    <row r="24857" spans="1:2" x14ac:dyDescent="0.25">
      <c r="A24857" s="118"/>
      <c r="B24857" s="136"/>
    </row>
    <row r="24858" spans="1:2" x14ac:dyDescent="0.25">
      <c r="A24858" s="118"/>
      <c r="B24858" s="136"/>
    </row>
    <row r="24859" spans="1:2" x14ac:dyDescent="0.25">
      <c r="A24859" s="118"/>
      <c r="B24859" s="136"/>
    </row>
    <row r="24860" spans="1:2" x14ac:dyDescent="0.25">
      <c r="A24860" s="118"/>
      <c r="B24860" s="136"/>
    </row>
    <row r="24861" spans="1:2" x14ac:dyDescent="0.25">
      <c r="A24861" s="118"/>
      <c r="B24861" s="136"/>
    </row>
    <row r="24862" spans="1:2" x14ac:dyDescent="0.25">
      <c r="A24862" s="118"/>
      <c r="B24862" s="136"/>
    </row>
    <row r="24863" spans="1:2" x14ac:dyDescent="0.25">
      <c r="A24863" s="118"/>
      <c r="B24863" s="136"/>
    </row>
    <row r="24864" spans="1:2" x14ac:dyDescent="0.25">
      <c r="A24864" s="118"/>
      <c r="B24864" s="136"/>
    </row>
    <row r="24865" spans="1:2" x14ac:dyDescent="0.25">
      <c r="A24865" s="118"/>
      <c r="B24865" s="136"/>
    </row>
    <row r="24866" spans="1:2" x14ac:dyDescent="0.25">
      <c r="A24866" s="118"/>
      <c r="B24866" s="136"/>
    </row>
    <row r="24867" spans="1:2" x14ac:dyDescent="0.25">
      <c r="A24867" s="118"/>
      <c r="B24867" s="136"/>
    </row>
    <row r="24868" spans="1:2" x14ac:dyDescent="0.25">
      <c r="A24868" s="118"/>
      <c r="B24868" s="136"/>
    </row>
    <row r="24869" spans="1:2" x14ac:dyDescent="0.25">
      <c r="A24869" s="118"/>
      <c r="B24869" s="136"/>
    </row>
    <row r="24870" spans="1:2" x14ac:dyDescent="0.25">
      <c r="A24870" s="118"/>
      <c r="B24870" s="136"/>
    </row>
    <row r="24871" spans="1:2" x14ac:dyDescent="0.25">
      <c r="A24871" s="118"/>
      <c r="B24871" s="136"/>
    </row>
    <row r="24872" spans="1:2" x14ac:dyDescent="0.25">
      <c r="A24872" s="118"/>
      <c r="B24872" s="136"/>
    </row>
    <row r="24873" spans="1:2" x14ac:dyDescent="0.25">
      <c r="A24873" s="118"/>
      <c r="B24873" s="136"/>
    </row>
    <row r="24874" spans="1:2" x14ac:dyDescent="0.25">
      <c r="A24874" s="118"/>
      <c r="B24874" s="136"/>
    </row>
    <row r="24875" spans="1:2" x14ac:dyDescent="0.25">
      <c r="A24875" s="118"/>
      <c r="B24875" s="136"/>
    </row>
    <row r="24876" spans="1:2" x14ac:dyDescent="0.25">
      <c r="A24876" s="118"/>
      <c r="B24876" s="136"/>
    </row>
    <row r="24877" spans="1:2" x14ac:dyDescent="0.25">
      <c r="A24877" s="118"/>
      <c r="B24877" s="136"/>
    </row>
    <row r="24878" spans="1:2" x14ac:dyDescent="0.25">
      <c r="A24878" s="118"/>
      <c r="B24878" s="136"/>
    </row>
    <row r="24879" spans="1:2" x14ac:dyDescent="0.25">
      <c r="A24879" s="118"/>
      <c r="B24879" s="136"/>
    </row>
    <row r="24880" spans="1:2" x14ac:dyDescent="0.25">
      <c r="A24880" s="118"/>
      <c r="B24880" s="136"/>
    </row>
    <row r="24881" spans="1:2" x14ac:dyDescent="0.25">
      <c r="A24881" s="118"/>
      <c r="B24881" s="136"/>
    </row>
    <row r="24882" spans="1:2" x14ac:dyDescent="0.25">
      <c r="A24882" s="118"/>
      <c r="B24882" s="136"/>
    </row>
    <row r="24883" spans="1:2" x14ac:dyDescent="0.25">
      <c r="A24883" s="118"/>
      <c r="B24883" s="136"/>
    </row>
    <row r="24884" spans="1:2" x14ac:dyDescent="0.25">
      <c r="A24884" s="118"/>
      <c r="B24884" s="136"/>
    </row>
    <row r="24885" spans="1:2" x14ac:dyDescent="0.25">
      <c r="A24885" s="118"/>
      <c r="B24885" s="136"/>
    </row>
    <row r="24886" spans="1:2" x14ac:dyDescent="0.25">
      <c r="A24886" s="118"/>
      <c r="B24886" s="136"/>
    </row>
    <row r="24887" spans="1:2" x14ac:dyDescent="0.25">
      <c r="A24887" s="118"/>
      <c r="B24887" s="136"/>
    </row>
    <row r="24888" spans="1:2" x14ac:dyDescent="0.25">
      <c r="A24888" s="118"/>
      <c r="B24888" s="136"/>
    </row>
    <row r="24889" spans="1:2" x14ac:dyDescent="0.25">
      <c r="A24889" s="118"/>
      <c r="B24889" s="136"/>
    </row>
    <row r="24890" spans="1:2" x14ac:dyDescent="0.25">
      <c r="A24890" s="118"/>
      <c r="B24890" s="136"/>
    </row>
    <row r="24891" spans="1:2" x14ac:dyDescent="0.25">
      <c r="A24891" s="118"/>
      <c r="B24891" s="136"/>
    </row>
    <row r="24892" spans="1:2" x14ac:dyDescent="0.25">
      <c r="A24892" s="118"/>
      <c r="B24892" s="136"/>
    </row>
    <row r="24893" spans="1:2" x14ac:dyDescent="0.25">
      <c r="A24893" s="118"/>
      <c r="B24893" s="136"/>
    </row>
    <row r="24894" spans="1:2" x14ac:dyDescent="0.25">
      <c r="A24894" s="118"/>
      <c r="B24894" s="136"/>
    </row>
    <row r="24895" spans="1:2" x14ac:dyDescent="0.25">
      <c r="A24895" s="118"/>
      <c r="B24895" s="136"/>
    </row>
    <row r="24896" spans="1:2" x14ac:dyDescent="0.25">
      <c r="A24896" s="118"/>
      <c r="B24896" s="136"/>
    </row>
    <row r="24897" spans="1:2" x14ac:dyDescent="0.25">
      <c r="A24897" s="118"/>
      <c r="B24897" s="136"/>
    </row>
    <row r="24898" spans="1:2" x14ac:dyDescent="0.25">
      <c r="A24898" s="118"/>
      <c r="B24898" s="136"/>
    </row>
    <row r="24899" spans="1:2" x14ac:dyDescent="0.25">
      <c r="A24899" s="118"/>
      <c r="B24899" s="136"/>
    </row>
    <row r="24900" spans="1:2" x14ac:dyDescent="0.25">
      <c r="A24900" s="118"/>
      <c r="B24900" s="136"/>
    </row>
    <row r="24901" spans="1:2" x14ac:dyDescent="0.25">
      <c r="A24901" s="118"/>
      <c r="B24901" s="136"/>
    </row>
    <row r="24902" spans="1:2" x14ac:dyDescent="0.25">
      <c r="A24902" s="118"/>
      <c r="B24902" s="136"/>
    </row>
    <row r="24903" spans="1:2" x14ac:dyDescent="0.25">
      <c r="A24903" s="118"/>
      <c r="B24903" s="136"/>
    </row>
    <row r="24904" spans="1:2" x14ac:dyDescent="0.25">
      <c r="A24904" s="118"/>
      <c r="B24904" s="136"/>
    </row>
    <row r="24905" spans="1:2" x14ac:dyDescent="0.25">
      <c r="A24905" s="118"/>
      <c r="B24905" s="136"/>
    </row>
    <row r="24906" spans="1:2" x14ac:dyDescent="0.25">
      <c r="A24906" s="118"/>
      <c r="B24906" s="136"/>
    </row>
    <row r="24907" spans="1:2" x14ac:dyDescent="0.25">
      <c r="A24907" s="118"/>
      <c r="B24907" s="136"/>
    </row>
    <row r="24908" spans="1:2" x14ac:dyDescent="0.25">
      <c r="A24908" s="118"/>
      <c r="B24908" s="136"/>
    </row>
    <row r="24909" spans="1:2" x14ac:dyDescent="0.25">
      <c r="A24909" s="118"/>
      <c r="B24909" s="136"/>
    </row>
    <row r="24910" spans="1:2" x14ac:dyDescent="0.25">
      <c r="A24910" s="118"/>
      <c r="B24910" s="136"/>
    </row>
    <row r="24911" spans="1:2" x14ac:dyDescent="0.25">
      <c r="A24911" s="118"/>
      <c r="B24911" s="136"/>
    </row>
    <row r="24912" spans="1:2" x14ac:dyDescent="0.25">
      <c r="A24912" s="118"/>
      <c r="B24912" s="136"/>
    </row>
    <row r="24913" spans="1:2" x14ac:dyDescent="0.25">
      <c r="A24913" s="118"/>
      <c r="B24913" s="136"/>
    </row>
    <row r="24914" spans="1:2" x14ac:dyDescent="0.25">
      <c r="A24914" s="118"/>
      <c r="B24914" s="136"/>
    </row>
    <row r="24915" spans="1:2" x14ac:dyDescent="0.25">
      <c r="A24915" s="118"/>
      <c r="B24915" s="136"/>
    </row>
    <row r="24916" spans="1:2" x14ac:dyDescent="0.25">
      <c r="A24916" s="118"/>
      <c r="B24916" s="136"/>
    </row>
    <row r="24917" spans="1:2" x14ac:dyDescent="0.25">
      <c r="A24917" s="118"/>
      <c r="B24917" s="136"/>
    </row>
    <row r="24918" spans="1:2" x14ac:dyDescent="0.25">
      <c r="A24918" s="118"/>
      <c r="B24918" s="136"/>
    </row>
    <row r="24919" spans="1:2" x14ac:dyDescent="0.25">
      <c r="A24919" s="118"/>
      <c r="B24919" s="136"/>
    </row>
    <row r="24920" spans="1:2" x14ac:dyDescent="0.25">
      <c r="A24920" s="118"/>
      <c r="B24920" s="136"/>
    </row>
    <row r="24921" spans="1:2" x14ac:dyDescent="0.25">
      <c r="A24921" s="118"/>
      <c r="B24921" s="136"/>
    </row>
    <row r="24922" spans="1:2" x14ac:dyDescent="0.25">
      <c r="A24922" s="118"/>
      <c r="B24922" s="136"/>
    </row>
    <row r="24923" spans="1:2" x14ac:dyDescent="0.25">
      <c r="A24923" s="118"/>
      <c r="B24923" s="136"/>
    </row>
    <row r="24924" spans="1:2" x14ac:dyDescent="0.25">
      <c r="A24924" s="118"/>
      <c r="B24924" s="136"/>
    </row>
    <row r="24925" spans="1:2" x14ac:dyDescent="0.25">
      <c r="A24925" s="118"/>
      <c r="B24925" s="136"/>
    </row>
    <row r="24926" spans="1:2" x14ac:dyDescent="0.25">
      <c r="A24926" s="118"/>
      <c r="B24926" s="136"/>
    </row>
    <row r="24927" spans="1:2" x14ac:dyDescent="0.25">
      <c r="A24927" s="118"/>
      <c r="B24927" s="136"/>
    </row>
    <row r="24928" spans="1:2" x14ac:dyDescent="0.25">
      <c r="A24928" s="118"/>
      <c r="B24928" s="136"/>
    </row>
    <row r="24929" spans="1:2" x14ac:dyDescent="0.25">
      <c r="A24929" s="118"/>
      <c r="B24929" s="136"/>
    </row>
    <row r="24930" spans="1:2" x14ac:dyDescent="0.25">
      <c r="A24930" s="118"/>
      <c r="B24930" s="136"/>
    </row>
    <row r="24931" spans="1:2" x14ac:dyDescent="0.25">
      <c r="A24931" s="118"/>
      <c r="B24931" s="136"/>
    </row>
    <row r="24932" spans="1:2" x14ac:dyDescent="0.25">
      <c r="A24932" s="118"/>
      <c r="B24932" s="136"/>
    </row>
    <row r="24933" spans="1:2" x14ac:dyDescent="0.25">
      <c r="A24933" s="118"/>
      <c r="B24933" s="136"/>
    </row>
    <row r="24934" spans="1:2" x14ac:dyDescent="0.25">
      <c r="A24934" s="118"/>
      <c r="B24934" s="136"/>
    </row>
    <row r="24935" spans="1:2" x14ac:dyDescent="0.25">
      <c r="A24935" s="118"/>
      <c r="B24935" s="136"/>
    </row>
    <row r="24936" spans="1:2" x14ac:dyDescent="0.25">
      <c r="A24936" s="118"/>
      <c r="B24936" s="136"/>
    </row>
    <row r="24937" spans="1:2" x14ac:dyDescent="0.25">
      <c r="A24937" s="118"/>
      <c r="B24937" s="136"/>
    </row>
    <row r="24938" spans="1:2" x14ac:dyDescent="0.25">
      <c r="A24938" s="118"/>
      <c r="B24938" s="136"/>
    </row>
    <row r="24939" spans="1:2" x14ac:dyDescent="0.25">
      <c r="A24939" s="118"/>
      <c r="B24939" s="136"/>
    </row>
    <row r="24940" spans="1:2" x14ac:dyDescent="0.25">
      <c r="A24940" s="118"/>
      <c r="B24940" s="136"/>
    </row>
    <row r="24941" spans="1:2" x14ac:dyDescent="0.25">
      <c r="A24941" s="118"/>
      <c r="B24941" s="136"/>
    </row>
    <row r="24942" spans="1:2" x14ac:dyDescent="0.25">
      <c r="A24942" s="118"/>
      <c r="B24942" s="136"/>
    </row>
    <row r="24943" spans="1:2" x14ac:dyDescent="0.25">
      <c r="A24943" s="118"/>
      <c r="B24943" s="136"/>
    </row>
    <row r="24944" spans="1:2" x14ac:dyDescent="0.25">
      <c r="A24944" s="118"/>
      <c r="B24944" s="136"/>
    </row>
    <row r="24945" spans="1:2" x14ac:dyDescent="0.25">
      <c r="A24945" s="118"/>
      <c r="B24945" s="136"/>
    </row>
    <row r="24946" spans="1:2" x14ac:dyDescent="0.25">
      <c r="A24946" s="118"/>
      <c r="B24946" s="136"/>
    </row>
    <row r="24947" spans="1:2" x14ac:dyDescent="0.25">
      <c r="A24947" s="118"/>
      <c r="B24947" s="136"/>
    </row>
    <row r="24948" spans="1:2" x14ac:dyDescent="0.25">
      <c r="A24948" s="118"/>
      <c r="B24948" s="136"/>
    </row>
    <row r="24949" spans="1:2" x14ac:dyDescent="0.25">
      <c r="A24949" s="118"/>
      <c r="B24949" s="136"/>
    </row>
    <row r="24950" spans="1:2" x14ac:dyDescent="0.25">
      <c r="A24950" s="118"/>
      <c r="B24950" s="136"/>
    </row>
    <row r="24951" spans="1:2" x14ac:dyDescent="0.25">
      <c r="A24951" s="118"/>
      <c r="B24951" s="136"/>
    </row>
    <row r="24952" spans="1:2" x14ac:dyDescent="0.25">
      <c r="A24952" s="118"/>
      <c r="B24952" s="136"/>
    </row>
    <row r="24953" spans="1:2" x14ac:dyDescent="0.25">
      <c r="A24953" s="118"/>
      <c r="B24953" s="136"/>
    </row>
    <row r="24954" spans="1:2" x14ac:dyDescent="0.25">
      <c r="A24954" s="118"/>
      <c r="B24954" s="136"/>
    </row>
    <row r="24955" spans="1:2" x14ac:dyDescent="0.25">
      <c r="A24955" s="118"/>
      <c r="B24955" s="136"/>
    </row>
    <row r="24956" spans="1:2" x14ac:dyDescent="0.25">
      <c r="A24956" s="118"/>
      <c r="B24956" s="136"/>
    </row>
    <row r="24957" spans="1:2" x14ac:dyDescent="0.25">
      <c r="A24957" s="118"/>
      <c r="B24957" s="136"/>
    </row>
    <row r="24958" spans="1:2" x14ac:dyDescent="0.25">
      <c r="A24958" s="118"/>
      <c r="B24958" s="136"/>
    </row>
    <row r="24959" spans="1:2" x14ac:dyDescent="0.25">
      <c r="A24959" s="118"/>
      <c r="B24959" s="136"/>
    </row>
    <row r="24960" spans="1:2" x14ac:dyDescent="0.25">
      <c r="A24960" s="118"/>
      <c r="B24960" s="136"/>
    </row>
    <row r="24961" spans="1:2" x14ac:dyDescent="0.25">
      <c r="A24961" s="118"/>
      <c r="B24961" s="136"/>
    </row>
    <row r="24962" spans="1:2" x14ac:dyDescent="0.25">
      <c r="A24962" s="118"/>
      <c r="B24962" s="136"/>
    </row>
    <row r="24963" spans="1:2" x14ac:dyDescent="0.25">
      <c r="A24963" s="118"/>
      <c r="B24963" s="136"/>
    </row>
    <row r="24964" spans="1:2" x14ac:dyDescent="0.25">
      <c r="A24964" s="118"/>
      <c r="B24964" s="136"/>
    </row>
    <row r="24965" spans="1:2" x14ac:dyDescent="0.25">
      <c r="A24965" s="118"/>
      <c r="B24965" s="136"/>
    </row>
    <row r="24966" spans="1:2" x14ac:dyDescent="0.25">
      <c r="A24966" s="118"/>
      <c r="B24966" s="136"/>
    </row>
    <row r="24967" spans="1:2" x14ac:dyDescent="0.25">
      <c r="A24967" s="118"/>
      <c r="B24967" s="136"/>
    </row>
    <row r="24968" spans="1:2" x14ac:dyDescent="0.25">
      <c r="A24968" s="118"/>
      <c r="B24968" s="136"/>
    </row>
    <row r="24969" spans="1:2" x14ac:dyDescent="0.25">
      <c r="A24969" s="118"/>
      <c r="B24969" s="136"/>
    </row>
    <row r="24970" spans="1:2" x14ac:dyDescent="0.25">
      <c r="A24970" s="118"/>
      <c r="B24970" s="136"/>
    </row>
    <row r="24971" spans="1:2" x14ac:dyDescent="0.25">
      <c r="A24971" s="118"/>
      <c r="B24971" s="136"/>
    </row>
    <row r="24972" spans="1:2" x14ac:dyDescent="0.25">
      <c r="A24972" s="118"/>
      <c r="B24972" s="136"/>
    </row>
    <row r="24973" spans="1:2" x14ac:dyDescent="0.25">
      <c r="A24973" s="118"/>
      <c r="B24973" s="136"/>
    </row>
    <row r="24974" spans="1:2" x14ac:dyDescent="0.25">
      <c r="A24974" s="118"/>
      <c r="B24974" s="136"/>
    </row>
    <row r="24975" spans="1:2" x14ac:dyDescent="0.25">
      <c r="A24975" s="118"/>
      <c r="B24975" s="136"/>
    </row>
    <row r="24976" spans="1:2" x14ac:dyDescent="0.25">
      <c r="A24976" s="118"/>
      <c r="B24976" s="136"/>
    </row>
    <row r="24977" spans="1:2" x14ac:dyDescent="0.25">
      <c r="A24977" s="118"/>
      <c r="B24977" s="136"/>
    </row>
    <row r="24978" spans="1:2" x14ac:dyDescent="0.25">
      <c r="A24978" s="118"/>
      <c r="B24978" s="136"/>
    </row>
    <row r="24979" spans="1:2" x14ac:dyDescent="0.25">
      <c r="A24979" s="118"/>
      <c r="B24979" s="136"/>
    </row>
    <row r="24980" spans="1:2" x14ac:dyDescent="0.25">
      <c r="A24980" s="118"/>
      <c r="B24980" s="136"/>
    </row>
    <row r="24981" spans="1:2" x14ac:dyDescent="0.25">
      <c r="A24981" s="118"/>
      <c r="B24981" s="136"/>
    </row>
    <row r="24982" spans="1:2" x14ac:dyDescent="0.25">
      <c r="A24982" s="118"/>
      <c r="B24982" s="136"/>
    </row>
    <row r="24983" spans="1:2" x14ac:dyDescent="0.25">
      <c r="A24983" s="118"/>
      <c r="B24983" s="136"/>
    </row>
    <row r="24984" spans="1:2" x14ac:dyDescent="0.25">
      <c r="A24984" s="118"/>
      <c r="B24984" s="136"/>
    </row>
    <row r="24985" spans="1:2" x14ac:dyDescent="0.25">
      <c r="A24985" s="118"/>
      <c r="B24985" s="136"/>
    </row>
    <row r="24986" spans="1:2" x14ac:dyDescent="0.25">
      <c r="A24986" s="118"/>
      <c r="B24986" s="136"/>
    </row>
    <row r="24987" spans="1:2" x14ac:dyDescent="0.25">
      <c r="A24987" s="118"/>
      <c r="B24987" s="136"/>
    </row>
    <row r="24988" spans="1:2" x14ac:dyDescent="0.25">
      <c r="A24988" s="118"/>
      <c r="B24988" s="136"/>
    </row>
    <row r="24989" spans="1:2" x14ac:dyDescent="0.25">
      <c r="A24989" s="118"/>
      <c r="B24989" s="136"/>
    </row>
    <row r="24990" spans="1:2" x14ac:dyDescent="0.25">
      <c r="A24990" s="118"/>
      <c r="B24990" s="136"/>
    </row>
    <row r="24991" spans="1:2" x14ac:dyDescent="0.25">
      <c r="A24991" s="118"/>
      <c r="B24991" s="136"/>
    </row>
    <row r="24992" spans="1:2" x14ac:dyDescent="0.25">
      <c r="A24992" s="118"/>
      <c r="B24992" s="136"/>
    </row>
    <row r="24993" spans="1:2" x14ac:dyDescent="0.25">
      <c r="A24993" s="118"/>
      <c r="B24993" s="136"/>
    </row>
    <row r="24994" spans="1:2" x14ac:dyDescent="0.25">
      <c r="A24994" s="118"/>
      <c r="B24994" s="136"/>
    </row>
    <row r="24995" spans="1:2" x14ac:dyDescent="0.25">
      <c r="A24995" s="118"/>
      <c r="B24995" s="136"/>
    </row>
    <row r="24996" spans="1:2" x14ac:dyDescent="0.25">
      <c r="A24996" s="118"/>
      <c r="B24996" s="136"/>
    </row>
    <row r="24997" spans="1:2" x14ac:dyDescent="0.25">
      <c r="A24997" s="118"/>
      <c r="B24997" s="136"/>
    </row>
    <row r="24998" spans="1:2" x14ac:dyDescent="0.25">
      <c r="A24998" s="118"/>
      <c r="B24998" s="136"/>
    </row>
    <row r="24999" spans="1:2" x14ac:dyDescent="0.25">
      <c r="A24999" s="118"/>
      <c r="B24999" s="136"/>
    </row>
    <row r="25000" spans="1:2" x14ac:dyDescent="0.25">
      <c r="A25000" s="118"/>
      <c r="B25000" s="136"/>
    </row>
    <row r="25001" spans="1:2" x14ac:dyDescent="0.25">
      <c r="A25001" s="118"/>
      <c r="B25001" s="136"/>
    </row>
    <row r="25002" spans="1:2" x14ac:dyDescent="0.25">
      <c r="A25002" s="118"/>
      <c r="B25002" s="136"/>
    </row>
    <row r="25003" spans="1:2" x14ac:dyDescent="0.25">
      <c r="A25003" s="118"/>
      <c r="B25003" s="136"/>
    </row>
    <row r="25004" spans="1:2" x14ac:dyDescent="0.25">
      <c r="A25004" s="118"/>
      <c r="B25004" s="136"/>
    </row>
    <row r="25005" spans="1:2" x14ac:dyDescent="0.25">
      <c r="A25005" s="118"/>
      <c r="B25005" s="136"/>
    </row>
    <row r="25006" spans="1:2" x14ac:dyDescent="0.25">
      <c r="A25006" s="118"/>
      <c r="B25006" s="136"/>
    </row>
    <row r="25007" spans="1:2" x14ac:dyDescent="0.25">
      <c r="A25007" s="118"/>
      <c r="B25007" s="136"/>
    </row>
    <row r="25008" spans="1:2" x14ac:dyDescent="0.25">
      <c r="A25008" s="118"/>
      <c r="B25008" s="136"/>
    </row>
    <row r="25009" spans="1:2" x14ac:dyDescent="0.25">
      <c r="A25009" s="118"/>
      <c r="B25009" s="136"/>
    </row>
    <row r="25010" spans="1:2" x14ac:dyDescent="0.25">
      <c r="A25010" s="118"/>
      <c r="B25010" s="136"/>
    </row>
    <row r="25011" spans="1:2" x14ac:dyDescent="0.25">
      <c r="A25011" s="118"/>
      <c r="B25011" s="136"/>
    </row>
    <row r="25012" spans="1:2" x14ac:dyDescent="0.25">
      <c r="A25012" s="118"/>
      <c r="B25012" s="136"/>
    </row>
    <row r="25013" spans="1:2" x14ac:dyDescent="0.25">
      <c r="A25013" s="118"/>
      <c r="B25013" s="136"/>
    </row>
    <row r="25014" spans="1:2" x14ac:dyDescent="0.25">
      <c r="A25014" s="118"/>
      <c r="B25014" s="136"/>
    </row>
    <row r="25015" spans="1:2" x14ac:dyDescent="0.25">
      <c r="A25015" s="118"/>
      <c r="B25015" s="136"/>
    </row>
    <row r="25016" spans="1:2" x14ac:dyDescent="0.25">
      <c r="A25016" s="118"/>
      <c r="B25016" s="136"/>
    </row>
    <row r="25017" spans="1:2" x14ac:dyDescent="0.25">
      <c r="A25017" s="118"/>
      <c r="B25017" s="136"/>
    </row>
    <row r="25018" spans="1:2" x14ac:dyDescent="0.25">
      <c r="A25018" s="118"/>
      <c r="B25018" s="136"/>
    </row>
    <row r="25019" spans="1:2" x14ac:dyDescent="0.25">
      <c r="A25019" s="118"/>
      <c r="B25019" s="136"/>
    </row>
    <row r="25020" spans="1:2" x14ac:dyDescent="0.25">
      <c r="A25020" s="118"/>
      <c r="B25020" s="136"/>
    </row>
    <row r="25021" spans="1:2" x14ac:dyDescent="0.25">
      <c r="A25021" s="118"/>
      <c r="B25021" s="136"/>
    </row>
    <row r="25022" spans="1:2" x14ac:dyDescent="0.25">
      <c r="A25022" s="118"/>
      <c r="B25022" s="136"/>
    </row>
    <row r="25023" spans="1:2" x14ac:dyDescent="0.25">
      <c r="A25023" s="118"/>
      <c r="B25023" s="136"/>
    </row>
    <row r="25024" spans="1:2" x14ac:dyDescent="0.25">
      <c r="A25024" s="118"/>
      <c r="B25024" s="136"/>
    </row>
    <row r="25025" spans="1:2" x14ac:dyDescent="0.25">
      <c r="A25025" s="118"/>
      <c r="B25025" s="136"/>
    </row>
    <row r="25026" spans="1:2" x14ac:dyDescent="0.25">
      <c r="A25026" s="118"/>
      <c r="B25026" s="136"/>
    </row>
    <row r="25027" spans="1:2" x14ac:dyDescent="0.25">
      <c r="A25027" s="118"/>
      <c r="B25027" s="136"/>
    </row>
    <row r="25028" spans="1:2" x14ac:dyDescent="0.25">
      <c r="A25028" s="118"/>
      <c r="B25028" s="136"/>
    </row>
    <row r="25029" spans="1:2" x14ac:dyDescent="0.25">
      <c r="A25029" s="118"/>
      <c r="B25029" s="136"/>
    </row>
    <row r="25030" spans="1:2" x14ac:dyDescent="0.25">
      <c r="A25030" s="118"/>
      <c r="B25030" s="136"/>
    </row>
    <row r="25031" spans="1:2" x14ac:dyDescent="0.25">
      <c r="A25031" s="118"/>
      <c r="B25031" s="136"/>
    </row>
    <row r="25032" spans="1:2" x14ac:dyDescent="0.25">
      <c r="A25032" s="118"/>
      <c r="B25032" s="136"/>
    </row>
    <row r="25033" spans="1:2" x14ac:dyDescent="0.25">
      <c r="A25033" s="118"/>
      <c r="B25033" s="136"/>
    </row>
    <row r="25034" spans="1:2" x14ac:dyDescent="0.25">
      <c r="A25034" s="118"/>
      <c r="B25034" s="136"/>
    </row>
    <row r="25035" spans="1:2" x14ac:dyDescent="0.25">
      <c r="A25035" s="118"/>
      <c r="B25035" s="136"/>
    </row>
    <row r="25036" spans="1:2" x14ac:dyDescent="0.25">
      <c r="A25036" s="118"/>
      <c r="B25036" s="136"/>
    </row>
    <row r="25037" spans="1:2" x14ac:dyDescent="0.25">
      <c r="A25037" s="118"/>
      <c r="B25037" s="136"/>
    </row>
    <row r="25038" spans="1:2" x14ac:dyDescent="0.25">
      <c r="A25038" s="118"/>
      <c r="B25038" s="136"/>
    </row>
    <row r="25039" spans="1:2" x14ac:dyDescent="0.25">
      <c r="A25039" s="118"/>
      <c r="B25039" s="136"/>
    </row>
    <row r="25040" spans="1:2" x14ac:dyDescent="0.25">
      <c r="A25040" s="118"/>
      <c r="B25040" s="136"/>
    </row>
    <row r="25041" spans="1:2" x14ac:dyDescent="0.25">
      <c r="A25041" s="118"/>
      <c r="B25041" s="136"/>
    </row>
    <row r="25042" spans="1:2" x14ac:dyDescent="0.25">
      <c r="A25042" s="118"/>
      <c r="B25042" s="136"/>
    </row>
    <row r="25043" spans="1:2" x14ac:dyDescent="0.25">
      <c r="A25043" s="118"/>
      <c r="B25043" s="136"/>
    </row>
    <row r="25044" spans="1:2" x14ac:dyDescent="0.25">
      <c r="A25044" s="118"/>
      <c r="B25044" s="136"/>
    </row>
    <row r="25045" spans="1:2" x14ac:dyDescent="0.25">
      <c r="A25045" s="118"/>
      <c r="B25045" s="136"/>
    </row>
    <row r="25046" spans="1:2" x14ac:dyDescent="0.25">
      <c r="A25046" s="118"/>
      <c r="B25046" s="136"/>
    </row>
    <row r="25047" spans="1:2" x14ac:dyDescent="0.25">
      <c r="A25047" s="118"/>
      <c r="B25047" s="136"/>
    </row>
    <row r="25048" spans="1:2" x14ac:dyDescent="0.25">
      <c r="A25048" s="118"/>
      <c r="B25048" s="136"/>
    </row>
    <row r="25049" spans="1:2" x14ac:dyDescent="0.25">
      <c r="A25049" s="118"/>
      <c r="B25049" s="136"/>
    </row>
    <row r="25050" spans="1:2" x14ac:dyDescent="0.25">
      <c r="A25050" s="118"/>
      <c r="B25050" s="136"/>
    </row>
    <row r="25051" spans="1:2" x14ac:dyDescent="0.25">
      <c r="A25051" s="118"/>
      <c r="B25051" s="136"/>
    </row>
    <row r="25052" spans="1:2" x14ac:dyDescent="0.25">
      <c r="A25052" s="118"/>
      <c r="B25052" s="136"/>
    </row>
    <row r="25053" spans="1:2" x14ac:dyDescent="0.25">
      <c r="A25053" s="118"/>
      <c r="B25053" s="136"/>
    </row>
    <row r="25054" spans="1:2" x14ac:dyDescent="0.25">
      <c r="A25054" s="118"/>
      <c r="B25054" s="136"/>
    </row>
    <row r="25055" spans="1:2" x14ac:dyDescent="0.25">
      <c r="A25055" s="118"/>
      <c r="B25055" s="136"/>
    </row>
    <row r="25056" spans="1:2" x14ac:dyDescent="0.25">
      <c r="A25056" s="118"/>
      <c r="B25056" s="136"/>
    </row>
    <row r="25057" spans="1:2" x14ac:dyDescent="0.25">
      <c r="A25057" s="118"/>
      <c r="B25057" s="136"/>
    </row>
    <row r="25058" spans="1:2" x14ac:dyDescent="0.25">
      <c r="A25058" s="118"/>
      <c r="B25058" s="136"/>
    </row>
    <row r="25059" spans="1:2" x14ac:dyDescent="0.25">
      <c r="A25059" s="118"/>
      <c r="B25059" s="136"/>
    </row>
    <row r="25060" spans="1:2" x14ac:dyDescent="0.25">
      <c r="A25060" s="118"/>
      <c r="B25060" s="136"/>
    </row>
    <row r="25061" spans="1:2" x14ac:dyDescent="0.25">
      <c r="A25061" s="118"/>
      <c r="B25061" s="136"/>
    </row>
    <row r="25062" spans="1:2" x14ac:dyDescent="0.25">
      <c r="A25062" s="118"/>
      <c r="B25062" s="136"/>
    </row>
    <row r="25063" spans="1:2" x14ac:dyDescent="0.25">
      <c r="A25063" s="118"/>
      <c r="B25063" s="136"/>
    </row>
    <row r="25064" spans="1:2" x14ac:dyDescent="0.25">
      <c r="A25064" s="118"/>
      <c r="B25064" s="136"/>
    </row>
    <row r="25065" spans="1:2" x14ac:dyDescent="0.25">
      <c r="A25065" s="118"/>
      <c r="B25065" s="136"/>
    </row>
    <row r="25066" spans="1:2" x14ac:dyDescent="0.25">
      <c r="A25066" s="118"/>
      <c r="B25066" s="136"/>
    </row>
    <row r="25067" spans="1:2" x14ac:dyDescent="0.25">
      <c r="A25067" s="118"/>
      <c r="B25067" s="136"/>
    </row>
    <row r="25068" spans="1:2" x14ac:dyDescent="0.25">
      <c r="A25068" s="118"/>
      <c r="B25068" s="136"/>
    </row>
    <row r="25069" spans="1:2" x14ac:dyDescent="0.25">
      <c r="A25069" s="118"/>
      <c r="B25069" s="136"/>
    </row>
    <row r="25070" spans="1:2" x14ac:dyDescent="0.25">
      <c r="A25070" s="118"/>
      <c r="B25070" s="136"/>
    </row>
    <row r="25071" spans="1:2" x14ac:dyDescent="0.25">
      <c r="A25071" s="118"/>
      <c r="B25071" s="136"/>
    </row>
    <row r="25072" spans="1:2" x14ac:dyDescent="0.25">
      <c r="A25072" s="118"/>
      <c r="B25072" s="136"/>
    </row>
    <row r="25073" spans="1:2" x14ac:dyDescent="0.25">
      <c r="A25073" s="118"/>
      <c r="B25073" s="136"/>
    </row>
    <row r="25074" spans="1:2" x14ac:dyDescent="0.25">
      <c r="A25074" s="118"/>
      <c r="B25074" s="136"/>
    </row>
    <row r="25075" spans="1:2" x14ac:dyDescent="0.25">
      <c r="A25075" s="118"/>
      <c r="B25075" s="136"/>
    </row>
    <row r="25076" spans="1:2" x14ac:dyDescent="0.25">
      <c r="A25076" s="118"/>
      <c r="B25076" s="136"/>
    </row>
    <row r="25077" spans="1:2" x14ac:dyDescent="0.25">
      <c r="A25077" s="118"/>
      <c r="B25077" s="136"/>
    </row>
    <row r="25078" spans="1:2" x14ac:dyDescent="0.25">
      <c r="A25078" s="118"/>
      <c r="B25078" s="136"/>
    </row>
    <row r="25079" spans="1:2" x14ac:dyDescent="0.25">
      <c r="A25079" s="118"/>
      <c r="B25079" s="136"/>
    </row>
    <row r="25080" spans="1:2" x14ac:dyDescent="0.25">
      <c r="A25080" s="118"/>
      <c r="B25080" s="136"/>
    </row>
    <row r="25081" spans="1:2" x14ac:dyDescent="0.25">
      <c r="A25081" s="118"/>
      <c r="B25081" s="136"/>
    </row>
    <row r="25082" spans="1:2" x14ac:dyDescent="0.25">
      <c r="A25082" s="118"/>
      <c r="B25082" s="136"/>
    </row>
    <row r="25083" spans="1:2" x14ac:dyDescent="0.25">
      <c r="A25083" s="118"/>
      <c r="B25083" s="136"/>
    </row>
    <row r="25084" spans="1:2" x14ac:dyDescent="0.25">
      <c r="A25084" s="118"/>
      <c r="B25084" s="136"/>
    </row>
    <row r="25085" spans="1:2" x14ac:dyDescent="0.25">
      <c r="A25085" s="118"/>
      <c r="B25085" s="136"/>
    </row>
    <row r="25086" spans="1:2" x14ac:dyDescent="0.25">
      <c r="A25086" s="118"/>
      <c r="B25086" s="136"/>
    </row>
    <row r="25087" spans="1:2" x14ac:dyDescent="0.25">
      <c r="A25087" s="118"/>
      <c r="B25087" s="136"/>
    </row>
    <row r="25088" spans="1:2" x14ac:dyDescent="0.25">
      <c r="A25088" s="118"/>
      <c r="B25088" s="136"/>
    </row>
    <row r="25089" spans="1:2" x14ac:dyDescent="0.25">
      <c r="A25089" s="118"/>
      <c r="B25089" s="136"/>
    </row>
    <row r="25090" spans="1:2" x14ac:dyDescent="0.25">
      <c r="A25090" s="118"/>
      <c r="B25090" s="136"/>
    </row>
    <row r="25091" spans="1:2" x14ac:dyDescent="0.25">
      <c r="A25091" s="118"/>
      <c r="B25091" s="136"/>
    </row>
    <row r="25092" spans="1:2" x14ac:dyDescent="0.25">
      <c r="A25092" s="118"/>
      <c r="B25092" s="136"/>
    </row>
    <row r="25093" spans="1:2" x14ac:dyDescent="0.25">
      <c r="A25093" s="118"/>
      <c r="B25093" s="136"/>
    </row>
    <row r="25094" spans="1:2" x14ac:dyDescent="0.25">
      <c r="A25094" s="118"/>
      <c r="B25094" s="136"/>
    </row>
    <row r="25095" spans="1:2" x14ac:dyDescent="0.25">
      <c r="A25095" s="118"/>
      <c r="B25095" s="136"/>
    </row>
    <row r="25096" spans="1:2" x14ac:dyDescent="0.25">
      <c r="A25096" s="118"/>
      <c r="B25096" s="136"/>
    </row>
    <row r="25097" spans="1:2" x14ac:dyDescent="0.25">
      <c r="A25097" s="118"/>
      <c r="B25097" s="136"/>
    </row>
    <row r="25098" spans="1:2" x14ac:dyDescent="0.25">
      <c r="A25098" s="118"/>
      <c r="B25098" s="136"/>
    </row>
    <row r="25099" spans="1:2" x14ac:dyDescent="0.25">
      <c r="A25099" s="118"/>
      <c r="B25099" s="136"/>
    </row>
    <row r="25100" spans="1:2" x14ac:dyDescent="0.25">
      <c r="A25100" s="118"/>
      <c r="B25100" s="136"/>
    </row>
    <row r="25101" spans="1:2" x14ac:dyDescent="0.25">
      <c r="A25101" s="118"/>
      <c r="B25101" s="136"/>
    </row>
    <row r="25102" spans="1:2" x14ac:dyDescent="0.25">
      <c r="A25102" s="118"/>
      <c r="B25102" s="136"/>
    </row>
    <row r="25103" spans="1:2" x14ac:dyDescent="0.25">
      <c r="A25103" s="118"/>
      <c r="B25103" s="136"/>
    </row>
    <row r="25104" spans="1:2" x14ac:dyDescent="0.25">
      <c r="A25104" s="118"/>
      <c r="B25104" s="136"/>
    </row>
    <row r="25105" spans="1:2" x14ac:dyDescent="0.25">
      <c r="A25105" s="118"/>
      <c r="B25105" s="136"/>
    </row>
    <row r="25106" spans="1:2" x14ac:dyDescent="0.25">
      <c r="A25106" s="118"/>
      <c r="B25106" s="136"/>
    </row>
    <row r="25107" spans="1:2" x14ac:dyDescent="0.25">
      <c r="A25107" s="118"/>
      <c r="B25107" s="136"/>
    </row>
    <row r="25108" spans="1:2" x14ac:dyDescent="0.25">
      <c r="A25108" s="118"/>
      <c r="B25108" s="136"/>
    </row>
    <row r="25109" spans="1:2" x14ac:dyDescent="0.25">
      <c r="A25109" s="118"/>
      <c r="B25109" s="136"/>
    </row>
    <row r="25110" spans="1:2" x14ac:dyDescent="0.25">
      <c r="A25110" s="118"/>
      <c r="B25110" s="136"/>
    </row>
    <row r="25111" spans="1:2" x14ac:dyDescent="0.25">
      <c r="A25111" s="118"/>
      <c r="B25111" s="136"/>
    </row>
    <row r="25112" spans="1:2" x14ac:dyDescent="0.25">
      <c r="A25112" s="118"/>
      <c r="B25112" s="136"/>
    </row>
    <row r="25113" spans="1:2" x14ac:dyDescent="0.25">
      <c r="A25113" s="118"/>
      <c r="B25113" s="136"/>
    </row>
    <row r="25114" spans="1:2" x14ac:dyDescent="0.25">
      <c r="A25114" s="118"/>
      <c r="B25114" s="136"/>
    </row>
    <row r="25115" spans="1:2" x14ac:dyDescent="0.25">
      <c r="A25115" s="118"/>
      <c r="B25115" s="136"/>
    </row>
    <row r="25116" spans="1:2" x14ac:dyDescent="0.25">
      <c r="A25116" s="118"/>
      <c r="B25116" s="136"/>
    </row>
    <row r="25117" spans="1:2" x14ac:dyDescent="0.25">
      <c r="A25117" s="118"/>
      <c r="B25117" s="136"/>
    </row>
    <row r="25118" spans="1:2" x14ac:dyDescent="0.25">
      <c r="A25118" s="118"/>
      <c r="B25118" s="136"/>
    </row>
    <row r="25119" spans="1:2" x14ac:dyDescent="0.25">
      <c r="A25119" s="118"/>
      <c r="B25119" s="136"/>
    </row>
    <row r="25120" spans="1:2" x14ac:dyDescent="0.25">
      <c r="A25120" s="118"/>
      <c r="B25120" s="136"/>
    </row>
    <row r="25121" spans="1:2" x14ac:dyDescent="0.25">
      <c r="A25121" s="118"/>
      <c r="B25121" s="136"/>
    </row>
    <row r="25122" spans="1:2" x14ac:dyDescent="0.25">
      <c r="A25122" s="118"/>
      <c r="B25122" s="136"/>
    </row>
    <row r="25123" spans="1:2" x14ac:dyDescent="0.25">
      <c r="A25123" s="118"/>
      <c r="B25123" s="136"/>
    </row>
    <row r="25124" spans="1:2" x14ac:dyDescent="0.25">
      <c r="A25124" s="118"/>
      <c r="B25124" s="136"/>
    </row>
    <row r="25125" spans="1:2" x14ac:dyDescent="0.25">
      <c r="A25125" s="118"/>
      <c r="B25125" s="136"/>
    </row>
    <row r="25126" spans="1:2" x14ac:dyDescent="0.25">
      <c r="A25126" s="118"/>
      <c r="B25126" s="136"/>
    </row>
    <row r="25127" spans="1:2" x14ac:dyDescent="0.25">
      <c r="A25127" s="118"/>
      <c r="B25127" s="136"/>
    </row>
    <row r="25128" spans="1:2" x14ac:dyDescent="0.25">
      <c r="A25128" s="118"/>
      <c r="B25128" s="136"/>
    </row>
    <row r="25129" spans="1:2" x14ac:dyDescent="0.25">
      <c r="A25129" s="118"/>
      <c r="B25129" s="136"/>
    </row>
    <row r="25130" spans="1:2" x14ac:dyDescent="0.25">
      <c r="A25130" s="118"/>
      <c r="B25130" s="136"/>
    </row>
    <row r="25131" spans="1:2" x14ac:dyDescent="0.25">
      <c r="A25131" s="118"/>
      <c r="B25131" s="136"/>
    </row>
    <row r="25132" spans="1:2" x14ac:dyDescent="0.25">
      <c r="A25132" s="118"/>
      <c r="B25132" s="136"/>
    </row>
    <row r="25133" spans="1:2" x14ac:dyDescent="0.25">
      <c r="A25133" s="118"/>
      <c r="B25133" s="136"/>
    </row>
    <row r="25134" spans="1:2" x14ac:dyDescent="0.25">
      <c r="A25134" s="118"/>
      <c r="B25134" s="136"/>
    </row>
    <row r="25135" spans="1:2" x14ac:dyDescent="0.25">
      <c r="A25135" s="118"/>
      <c r="B25135" s="136"/>
    </row>
    <row r="25136" spans="1:2" x14ac:dyDescent="0.25">
      <c r="A25136" s="118"/>
      <c r="B25136" s="136"/>
    </row>
    <row r="25137" spans="1:2" x14ac:dyDescent="0.25">
      <c r="A25137" s="118"/>
      <c r="B25137" s="136"/>
    </row>
    <row r="25138" spans="1:2" x14ac:dyDescent="0.25">
      <c r="A25138" s="118"/>
      <c r="B25138" s="136"/>
    </row>
    <row r="25139" spans="1:2" x14ac:dyDescent="0.25">
      <c r="A25139" s="118"/>
      <c r="B25139" s="136"/>
    </row>
    <row r="25140" spans="1:2" x14ac:dyDescent="0.25">
      <c r="A25140" s="118"/>
      <c r="B25140" s="136"/>
    </row>
    <row r="25141" spans="1:2" x14ac:dyDescent="0.25">
      <c r="A25141" s="118"/>
      <c r="B25141" s="136"/>
    </row>
    <row r="25142" spans="1:2" x14ac:dyDescent="0.25">
      <c r="A25142" s="118"/>
      <c r="B25142" s="136"/>
    </row>
    <row r="25143" spans="1:2" x14ac:dyDescent="0.25">
      <c r="A25143" s="118"/>
      <c r="B25143" s="136"/>
    </row>
    <row r="25144" spans="1:2" x14ac:dyDescent="0.25">
      <c r="A25144" s="118"/>
      <c r="B25144" s="136"/>
    </row>
    <row r="25145" spans="1:2" x14ac:dyDescent="0.25">
      <c r="A25145" s="118"/>
      <c r="B25145" s="136"/>
    </row>
    <row r="25146" spans="1:2" x14ac:dyDescent="0.25">
      <c r="A25146" s="118"/>
      <c r="B25146" s="136"/>
    </row>
    <row r="25147" spans="1:2" x14ac:dyDescent="0.25">
      <c r="A25147" s="118"/>
      <c r="B25147" s="136"/>
    </row>
    <row r="25148" spans="1:2" x14ac:dyDescent="0.25">
      <c r="A25148" s="118"/>
      <c r="B25148" s="136"/>
    </row>
    <row r="25149" spans="1:2" x14ac:dyDescent="0.25">
      <c r="A25149" s="118"/>
      <c r="B25149" s="136"/>
    </row>
    <row r="25150" spans="1:2" x14ac:dyDescent="0.25">
      <c r="A25150" s="118"/>
      <c r="B25150" s="136"/>
    </row>
    <row r="25151" spans="1:2" x14ac:dyDescent="0.25">
      <c r="A25151" s="118"/>
      <c r="B25151" s="136"/>
    </row>
    <row r="25152" spans="1:2" x14ac:dyDescent="0.25">
      <c r="A25152" s="118"/>
      <c r="B25152" s="136"/>
    </row>
    <row r="25153" spans="1:2" x14ac:dyDescent="0.25">
      <c r="A25153" s="118"/>
      <c r="B25153" s="136"/>
    </row>
    <row r="25154" spans="1:2" x14ac:dyDescent="0.25">
      <c r="A25154" s="118"/>
      <c r="B25154" s="136"/>
    </row>
    <row r="25155" spans="1:2" x14ac:dyDescent="0.25">
      <c r="A25155" s="118"/>
      <c r="B25155" s="136"/>
    </row>
    <row r="25156" spans="1:2" x14ac:dyDescent="0.25">
      <c r="A25156" s="118"/>
      <c r="B25156" s="136"/>
    </row>
    <row r="25157" spans="1:2" x14ac:dyDescent="0.25">
      <c r="A25157" s="118"/>
      <c r="B25157" s="136"/>
    </row>
    <row r="25158" spans="1:2" x14ac:dyDescent="0.25">
      <c r="A25158" s="118"/>
      <c r="B25158" s="136"/>
    </row>
    <row r="25159" spans="1:2" x14ac:dyDescent="0.25">
      <c r="A25159" s="118"/>
      <c r="B25159" s="136"/>
    </row>
    <row r="25160" spans="1:2" x14ac:dyDescent="0.25">
      <c r="A25160" s="118"/>
      <c r="B25160" s="136"/>
    </row>
    <row r="25161" spans="1:2" x14ac:dyDescent="0.25">
      <c r="A25161" s="118"/>
      <c r="B25161" s="136"/>
    </row>
    <row r="25162" spans="1:2" x14ac:dyDescent="0.25">
      <c r="A25162" s="118"/>
      <c r="B25162" s="136"/>
    </row>
    <row r="25163" spans="1:2" x14ac:dyDescent="0.25">
      <c r="A25163" s="118"/>
      <c r="B25163" s="136"/>
    </row>
    <row r="25164" spans="1:2" x14ac:dyDescent="0.25">
      <c r="A25164" s="118"/>
      <c r="B25164" s="136"/>
    </row>
    <row r="25165" spans="1:2" x14ac:dyDescent="0.25">
      <c r="A25165" s="118"/>
      <c r="B25165" s="136"/>
    </row>
    <row r="25166" spans="1:2" x14ac:dyDescent="0.25">
      <c r="A25166" s="118"/>
      <c r="B25166" s="136"/>
    </row>
    <row r="25167" spans="1:2" x14ac:dyDescent="0.25">
      <c r="A25167" s="118"/>
      <c r="B25167" s="136"/>
    </row>
    <row r="25168" spans="1:2" x14ac:dyDescent="0.25">
      <c r="A25168" s="118"/>
      <c r="B25168" s="136"/>
    </row>
    <row r="25169" spans="1:2" x14ac:dyDescent="0.25">
      <c r="A25169" s="118"/>
      <c r="B25169" s="136"/>
    </row>
    <row r="25170" spans="1:2" x14ac:dyDescent="0.25">
      <c r="A25170" s="118"/>
      <c r="B25170" s="136"/>
    </row>
    <row r="25171" spans="1:2" x14ac:dyDescent="0.25">
      <c r="A25171" s="118"/>
      <c r="B25171" s="136"/>
    </row>
    <row r="25172" spans="1:2" x14ac:dyDescent="0.25">
      <c r="A25172" s="118"/>
      <c r="B25172" s="136"/>
    </row>
    <row r="25173" spans="1:2" x14ac:dyDescent="0.25">
      <c r="A25173" s="118"/>
      <c r="B25173" s="136"/>
    </row>
    <row r="25174" spans="1:2" x14ac:dyDescent="0.25">
      <c r="A25174" s="118"/>
      <c r="B25174" s="136"/>
    </row>
    <row r="25175" spans="1:2" x14ac:dyDescent="0.25">
      <c r="A25175" s="118"/>
      <c r="B25175" s="136"/>
    </row>
    <row r="25176" spans="1:2" x14ac:dyDescent="0.25">
      <c r="A25176" s="118"/>
      <c r="B25176" s="136"/>
    </row>
    <row r="25177" spans="1:2" x14ac:dyDescent="0.25">
      <c r="A25177" s="118"/>
      <c r="B25177" s="136"/>
    </row>
    <row r="25178" spans="1:2" x14ac:dyDescent="0.25">
      <c r="A25178" s="118"/>
      <c r="B25178" s="136"/>
    </row>
    <row r="25179" spans="1:2" x14ac:dyDescent="0.25">
      <c r="A25179" s="118"/>
      <c r="B25179" s="136"/>
    </row>
    <row r="25180" spans="1:2" x14ac:dyDescent="0.25">
      <c r="A25180" s="118"/>
      <c r="B25180" s="136"/>
    </row>
    <row r="25181" spans="1:2" x14ac:dyDescent="0.25">
      <c r="A25181" s="118"/>
      <c r="B25181" s="136"/>
    </row>
    <row r="25182" spans="1:2" x14ac:dyDescent="0.25">
      <c r="A25182" s="118"/>
      <c r="B25182" s="136"/>
    </row>
    <row r="25183" spans="1:2" x14ac:dyDescent="0.25">
      <c r="A25183" s="118"/>
      <c r="B25183" s="136"/>
    </row>
    <row r="25184" spans="1:2" x14ac:dyDescent="0.25">
      <c r="A25184" s="118"/>
      <c r="B25184" s="136"/>
    </row>
    <row r="25185" spans="1:2" x14ac:dyDescent="0.25">
      <c r="A25185" s="118"/>
      <c r="B25185" s="136"/>
    </row>
    <row r="25186" spans="1:2" x14ac:dyDescent="0.25">
      <c r="A25186" s="118"/>
      <c r="B25186" s="136"/>
    </row>
    <row r="25187" spans="1:2" x14ac:dyDescent="0.25">
      <c r="A25187" s="118"/>
      <c r="B25187" s="136"/>
    </row>
    <row r="25188" spans="1:2" x14ac:dyDescent="0.25">
      <c r="A25188" s="118"/>
      <c r="B25188" s="136"/>
    </row>
    <row r="25189" spans="1:2" x14ac:dyDescent="0.25">
      <c r="A25189" s="118"/>
      <c r="B25189" s="136"/>
    </row>
    <row r="25190" spans="1:2" x14ac:dyDescent="0.25">
      <c r="A25190" s="118"/>
      <c r="B25190" s="136"/>
    </row>
    <row r="25191" spans="1:2" x14ac:dyDescent="0.25">
      <c r="A25191" s="118"/>
      <c r="B25191" s="136"/>
    </row>
    <row r="25192" spans="1:2" x14ac:dyDescent="0.25">
      <c r="A25192" s="118"/>
      <c r="B25192" s="136"/>
    </row>
    <row r="25193" spans="1:2" x14ac:dyDescent="0.25">
      <c r="A25193" s="118"/>
      <c r="B25193" s="136"/>
    </row>
    <row r="25194" spans="1:2" x14ac:dyDescent="0.25">
      <c r="A25194" s="118"/>
      <c r="B25194" s="136"/>
    </row>
    <row r="25195" spans="1:2" x14ac:dyDescent="0.25">
      <c r="A25195" s="118"/>
      <c r="B25195" s="136"/>
    </row>
    <row r="25196" spans="1:2" x14ac:dyDescent="0.25">
      <c r="A25196" s="118"/>
      <c r="B25196" s="136"/>
    </row>
    <row r="25197" spans="1:2" x14ac:dyDescent="0.25">
      <c r="A25197" s="118"/>
      <c r="B25197" s="136"/>
    </row>
    <row r="25198" spans="1:2" x14ac:dyDescent="0.25">
      <c r="A25198" s="118"/>
      <c r="B25198" s="136"/>
    </row>
    <row r="25199" spans="1:2" x14ac:dyDescent="0.25">
      <c r="A25199" s="118"/>
      <c r="B25199" s="136"/>
    </row>
    <row r="25200" spans="1:2" x14ac:dyDescent="0.25">
      <c r="A25200" s="118"/>
      <c r="B25200" s="136"/>
    </row>
    <row r="25201" spans="1:2" x14ac:dyDescent="0.25">
      <c r="A25201" s="118"/>
      <c r="B25201" s="136"/>
    </row>
    <row r="25202" spans="1:2" x14ac:dyDescent="0.25">
      <c r="A25202" s="118"/>
      <c r="B25202" s="136"/>
    </row>
    <row r="25203" spans="1:2" x14ac:dyDescent="0.25">
      <c r="A25203" s="118"/>
      <c r="B25203" s="136"/>
    </row>
    <row r="25204" spans="1:2" x14ac:dyDescent="0.25">
      <c r="A25204" s="118"/>
      <c r="B25204" s="136"/>
    </row>
    <row r="25205" spans="1:2" x14ac:dyDescent="0.25">
      <c r="A25205" s="118"/>
      <c r="B25205" s="136"/>
    </row>
    <row r="25206" spans="1:2" x14ac:dyDescent="0.25">
      <c r="A25206" s="118"/>
      <c r="B25206" s="136"/>
    </row>
    <row r="25207" spans="1:2" x14ac:dyDescent="0.25">
      <c r="A25207" s="118"/>
      <c r="B25207" s="136"/>
    </row>
    <row r="25208" spans="1:2" x14ac:dyDescent="0.25">
      <c r="A25208" s="118"/>
      <c r="B25208" s="136"/>
    </row>
    <row r="25209" spans="1:2" x14ac:dyDescent="0.25">
      <c r="A25209" s="118"/>
      <c r="B25209" s="136"/>
    </row>
    <row r="25210" spans="1:2" x14ac:dyDescent="0.25">
      <c r="A25210" s="118"/>
      <c r="B25210" s="136"/>
    </row>
    <row r="25211" spans="1:2" x14ac:dyDescent="0.25">
      <c r="A25211" s="118"/>
      <c r="B25211" s="136"/>
    </row>
    <row r="25212" spans="1:2" x14ac:dyDescent="0.25">
      <c r="A25212" s="118"/>
      <c r="B25212" s="136"/>
    </row>
    <row r="25213" spans="1:2" x14ac:dyDescent="0.25">
      <c r="A25213" s="118"/>
      <c r="B25213" s="136"/>
    </row>
    <row r="25214" spans="1:2" x14ac:dyDescent="0.25">
      <c r="A25214" s="118"/>
      <c r="B25214" s="136"/>
    </row>
    <row r="25215" spans="1:2" x14ac:dyDescent="0.25">
      <c r="A25215" s="118"/>
      <c r="B25215" s="136"/>
    </row>
    <row r="25216" spans="1:2" x14ac:dyDescent="0.25">
      <c r="A25216" s="118"/>
      <c r="B25216" s="136"/>
    </row>
    <row r="25217" spans="1:2" x14ac:dyDescent="0.25">
      <c r="A25217" s="118"/>
      <c r="B25217" s="136"/>
    </row>
    <row r="25218" spans="1:2" x14ac:dyDescent="0.25">
      <c r="A25218" s="118"/>
      <c r="B25218" s="136"/>
    </row>
    <row r="25219" spans="1:2" x14ac:dyDescent="0.25">
      <c r="A25219" s="118"/>
      <c r="B25219" s="136"/>
    </row>
    <row r="25220" spans="1:2" x14ac:dyDescent="0.25">
      <c r="A25220" s="118"/>
      <c r="B25220" s="136"/>
    </row>
    <row r="25221" spans="1:2" x14ac:dyDescent="0.25">
      <c r="A25221" s="118"/>
      <c r="B25221" s="136"/>
    </row>
    <row r="25222" spans="1:2" x14ac:dyDescent="0.25">
      <c r="A25222" s="118"/>
      <c r="B25222" s="136"/>
    </row>
    <row r="25223" spans="1:2" x14ac:dyDescent="0.25">
      <c r="A25223" s="118"/>
      <c r="B25223" s="136"/>
    </row>
    <row r="25224" spans="1:2" x14ac:dyDescent="0.25">
      <c r="A25224" s="118"/>
      <c r="B25224" s="136"/>
    </row>
    <row r="25225" spans="1:2" x14ac:dyDescent="0.25">
      <c r="A25225" s="118"/>
      <c r="B25225" s="136"/>
    </row>
    <row r="25226" spans="1:2" x14ac:dyDescent="0.25">
      <c r="A25226" s="118"/>
      <c r="B25226" s="136"/>
    </row>
    <row r="25227" spans="1:2" x14ac:dyDescent="0.25">
      <c r="A25227" s="118"/>
      <c r="B25227" s="136"/>
    </row>
    <row r="25228" spans="1:2" x14ac:dyDescent="0.25">
      <c r="A25228" s="118"/>
      <c r="B25228" s="136"/>
    </row>
    <row r="25229" spans="1:2" x14ac:dyDescent="0.25">
      <c r="A25229" s="118"/>
      <c r="B25229" s="136"/>
    </row>
    <row r="25230" spans="1:2" x14ac:dyDescent="0.25">
      <c r="A25230" s="118"/>
      <c r="B25230" s="136"/>
    </row>
    <row r="25231" spans="1:2" x14ac:dyDescent="0.25">
      <c r="A25231" s="118"/>
      <c r="B25231" s="136"/>
    </row>
    <row r="25232" spans="1:2" x14ac:dyDescent="0.25">
      <c r="A25232" s="118"/>
      <c r="B25232" s="136"/>
    </row>
    <row r="25233" spans="1:2" x14ac:dyDescent="0.25">
      <c r="A25233" s="118"/>
      <c r="B25233" s="136"/>
    </row>
    <row r="25234" spans="1:2" x14ac:dyDescent="0.25">
      <c r="A25234" s="118"/>
      <c r="B25234" s="136"/>
    </row>
    <row r="25235" spans="1:2" x14ac:dyDescent="0.25">
      <c r="A25235" s="118"/>
      <c r="B25235" s="136"/>
    </row>
    <row r="25236" spans="1:2" x14ac:dyDescent="0.25">
      <c r="A25236" s="118"/>
      <c r="B25236" s="136"/>
    </row>
    <row r="25237" spans="1:2" x14ac:dyDescent="0.25">
      <c r="A25237" s="118"/>
      <c r="B25237" s="136"/>
    </row>
    <row r="25238" spans="1:2" x14ac:dyDescent="0.25">
      <c r="A25238" s="118"/>
      <c r="B25238" s="136"/>
    </row>
    <row r="25239" spans="1:2" x14ac:dyDescent="0.25">
      <c r="A25239" s="118"/>
      <c r="B25239" s="136"/>
    </row>
    <row r="25240" spans="1:2" x14ac:dyDescent="0.25">
      <c r="A25240" s="118"/>
      <c r="B25240" s="136"/>
    </row>
    <row r="25241" spans="1:2" x14ac:dyDescent="0.25">
      <c r="A25241" s="118"/>
      <c r="B25241" s="136"/>
    </row>
    <row r="25242" spans="1:2" x14ac:dyDescent="0.25">
      <c r="A25242" s="118"/>
      <c r="B25242" s="136"/>
    </row>
    <row r="25243" spans="1:2" x14ac:dyDescent="0.25">
      <c r="A25243" s="118"/>
      <c r="B25243" s="136"/>
    </row>
    <row r="25244" spans="1:2" x14ac:dyDescent="0.25">
      <c r="A25244" s="118"/>
      <c r="B25244" s="136"/>
    </row>
    <row r="25245" spans="1:2" x14ac:dyDescent="0.25">
      <c r="A25245" s="118"/>
      <c r="B25245" s="136"/>
    </row>
    <row r="25246" spans="1:2" x14ac:dyDescent="0.25">
      <c r="A25246" s="118"/>
      <c r="B25246" s="136"/>
    </row>
    <row r="25247" spans="1:2" x14ac:dyDescent="0.25">
      <c r="A25247" s="118"/>
      <c r="B25247" s="136"/>
    </row>
    <row r="25248" spans="1:2" x14ac:dyDescent="0.25">
      <c r="A25248" s="118"/>
      <c r="B25248" s="136"/>
    </row>
    <row r="25249" spans="1:2" x14ac:dyDescent="0.25">
      <c r="A25249" s="118"/>
      <c r="B25249" s="136"/>
    </row>
    <row r="25250" spans="1:2" x14ac:dyDescent="0.25">
      <c r="A25250" s="118"/>
      <c r="B25250" s="136"/>
    </row>
    <row r="25251" spans="1:2" x14ac:dyDescent="0.25">
      <c r="A25251" s="118"/>
      <c r="B25251" s="136"/>
    </row>
    <row r="25252" spans="1:2" x14ac:dyDescent="0.25">
      <c r="A25252" s="118"/>
      <c r="B25252" s="136"/>
    </row>
    <row r="25253" spans="1:2" x14ac:dyDescent="0.25">
      <c r="A25253" s="118"/>
      <c r="B25253" s="136"/>
    </row>
    <row r="25254" spans="1:2" x14ac:dyDescent="0.25">
      <c r="A25254" s="118"/>
      <c r="B25254" s="136"/>
    </row>
    <row r="25255" spans="1:2" x14ac:dyDescent="0.25">
      <c r="A25255" s="118"/>
      <c r="B25255" s="136"/>
    </row>
    <row r="25256" spans="1:2" x14ac:dyDescent="0.25">
      <c r="A25256" s="118"/>
      <c r="B25256" s="136"/>
    </row>
    <row r="25257" spans="1:2" x14ac:dyDescent="0.25">
      <c r="A25257" s="118"/>
      <c r="B25257" s="136"/>
    </row>
    <row r="25258" spans="1:2" x14ac:dyDescent="0.25">
      <c r="A25258" s="118"/>
      <c r="B25258" s="136"/>
    </row>
    <row r="25259" spans="1:2" x14ac:dyDescent="0.25">
      <c r="A25259" s="118"/>
      <c r="B25259" s="136"/>
    </row>
    <row r="25260" spans="1:2" x14ac:dyDescent="0.25">
      <c r="A25260" s="118"/>
      <c r="B25260" s="136"/>
    </row>
    <row r="25261" spans="1:2" x14ac:dyDescent="0.25">
      <c r="A25261" s="118"/>
      <c r="B25261" s="136"/>
    </row>
    <row r="25262" spans="1:2" x14ac:dyDescent="0.25">
      <c r="A25262" s="118"/>
      <c r="B25262" s="136"/>
    </row>
    <row r="25263" spans="1:2" x14ac:dyDescent="0.25">
      <c r="A25263" s="118"/>
      <c r="B25263" s="136"/>
    </row>
    <row r="25264" spans="1:2" x14ac:dyDescent="0.25">
      <c r="A25264" s="118"/>
      <c r="B25264" s="136"/>
    </row>
    <row r="25265" spans="1:2" x14ac:dyDescent="0.25">
      <c r="A25265" s="118"/>
      <c r="B25265" s="136"/>
    </row>
    <row r="25266" spans="1:2" x14ac:dyDescent="0.25">
      <c r="A25266" s="118"/>
      <c r="B25266" s="136"/>
    </row>
    <row r="25267" spans="1:2" x14ac:dyDescent="0.25">
      <c r="A25267" s="118"/>
      <c r="B25267" s="136"/>
    </row>
    <row r="25268" spans="1:2" x14ac:dyDescent="0.25">
      <c r="A25268" s="118"/>
      <c r="B25268" s="136"/>
    </row>
    <row r="25269" spans="1:2" x14ac:dyDescent="0.25">
      <c r="A25269" s="118"/>
      <c r="B25269" s="136"/>
    </row>
    <row r="25270" spans="1:2" x14ac:dyDescent="0.25">
      <c r="A25270" s="118"/>
      <c r="B25270" s="136"/>
    </row>
    <row r="25271" spans="1:2" x14ac:dyDescent="0.25">
      <c r="A25271" s="118"/>
      <c r="B25271" s="136"/>
    </row>
    <row r="25272" spans="1:2" x14ac:dyDescent="0.25">
      <c r="A25272" s="118"/>
      <c r="B25272" s="136"/>
    </row>
    <row r="25273" spans="1:2" x14ac:dyDescent="0.25">
      <c r="A25273" s="118"/>
      <c r="B25273" s="136"/>
    </row>
    <row r="25274" spans="1:2" x14ac:dyDescent="0.25">
      <c r="A25274" s="118"/>
      <c r="B25274" s="136"/>
    </row>
    <row r="25275" spans="1:2" x14ac:dyDescent="0.25">
      <c r="A25275" s="118"/>
      <c r="B25275" s="136"/>
    </row>
    <row r="25276" spans="1:2" x14ac:dyDescent="0.25">
      <c r="A25276" s="118"/>
      <c r="B25276" s="136"/>
    </row>
    <row r="25277" spans="1:2" x14ac:dyDescent="0.25">
      <c r="A25277" s="118"/>
      <c r="B25277" s="136"/>
    </row>
    <row r="25278" spans="1:2" x14ac:dyDescent="0.25">
      <c r="A25278" s="118"/>
      <c r="B25278" s="136"/>
    </row>
    <row r="25279" spans="1:2" x14ac:dyDescent="0.25">
      <c r="A25279" s="118"/>
      <c r="B25279" s="136"/>
    </row>
    <row r="25280" spans="1:2" x14ac:dyDescent="0.25">
      <c r="A25280" s="118"/>
      <c r="B25280" s="136"/>
    </row>
    <row r="25281" spans="1:2" x14ac:dyDescent="0.25">
      <c r="A25281" s="118"/>
      <c r="B25281" s="136"/>
    </row>
    <row r="25282" spans="1:2" x14ac:dyDescent="0.25">
      <c r="A25282" s="118"/>
      <c r="B25282" s="136"/>
    </row>
    <row r="25283" spans="1:2" x14ac:dyDescent="0.25">
      <c r="A25283" s="118"/>
      <c r="B25283" s="136"/>
    </row>
    <row r="25284" spans="1:2" x14ac:dyDescent="0.25">
      <c r="A25284" s="118"/>
      <c r="B25284" s="136"/>
    </row>
    <row r="25285" spans="1:2" x14ac:dyDescent="0.25">
      <c r="A25285" s="118"/>
      <c r="B25285" s="136"/>
    </row>
    <row r="25286" spans="1:2" x14ac:dyDescent="0.25">
      <c r="A25286" s="118"/>
      <c r="B25286" s="136"/>
    </row>
    <row r="25287" spans="1:2" x14ac:dyDescent="0.25">
      <c r="A25287" s="118"/>
      <c r="B25287" s="136"/>
    </row>
    <row r="25288" spans="1:2" x14ac:dyDescent="0.25">
      <c r="A25288" s="118"/>
      <c r="B25288" s="136"/>
    </row>
    <row r="25289" spans="1:2" x14ac:dyDescent="0.25">
      <c r="A25289" s="118"/>
      <c r="B25289" s="136"/>
    </row>
    <row r="25290" spans="1:2" x14ac:dyDescent="0.25">
      <c r="A25290" s="118"/>
      <c r="B25290" s="136"/>
    </row>
    <row r="25291" spans="1:2" x14ac:dyDescent="0.25">
      <c r="A25291" s="118"/>
      <c r="B25291" s="136"/>
    </row>
    <row r="25292" spans="1:2" x14ac:dyDescent="0.25">
      <c r="A25292" s="118"/>
      <c r="B25292" s="136"/>
    </row>
    <row r="25293" spans="1:2" x14ac:dyDescent="0.25">
      <c r="A25293" s="118"/>
      <c r="B25293" s="136"/>
    </row>
    <row r="25294" spans="1:2" x14ac:dyDescent="0.25">
      <c r="A25294" s="118"/>
      <c r="B25294" s="136"/>
    </row>
    <row r="25295" spans="1:2" x14ac:dyDescent="0.25">
      <c r="A25295" s="118"/>
      <c r="B25295" s="136"/>
    </row>
    <row r="25296" spans="1:2" x14ac:dyDescent="0.25">
      <c r="A25296" s="118"/>
      <c r="B25296" s="136"/>
    </row>
    <row r="25297" spans="1:2" x14ac:dyDescent="0.25">
      <c r="A25297" s="118"/>
      <c r="B25297" s="136"/>
    </row>
    <row r="25298" spans="1:2" x14ac:dyDescent="0.25">
      <c r="A25298" s="118"/>
      <c r="B25298" s="136"/>
    </row>
    <row r="25299" spans="1:2" x14ac:dyDescent="0.25">
      <c r="A25299" s="118"/>
      <c r="B25299" s="136"/>
    </row>
    <row r="25300" spans="1:2" x14ac:dyDescent="0.25">
      <c r="A25300" s="118"/>
      <c r="B25300" s="136"/>
    </row>
    <row r="25301" spans="1:2" x14ac:dyDescent="0.25">
      <c r="A25301" s="118"/>
      <c r="B25301" s="136"/>
    </row>
    <row r="25302" spans="1:2" x14ac:dyDescent="0.25">
      <c r="A25302" s="118"/>
      <c r="B25302" s="136"/>
    </row>
    <row r="25303" spans="1:2" x14ac:dyDescent="0.25">
      <c r="A25303" s="118"/>
      <c r="B25303" s="136"/>
    </row>
    <row r="25304" spans="1:2" x14ac:dyDescent="0.25">
      <c r="A25304" s="118"/>
      <c r="B25304" s="136"/>
    </row>
    <row r="25305" spans="1:2" x14ac:dyDescent="0.25">
      <c r="A25305" s="118"/>
      <c r="B25305" s="136"/>
    </row>
    <row r="25306" spans="1:2" x14ac:dyDescent="0.25">
      <c r="A25306" s="118"/>
      <c r="B25306" s="136"/>
    </row>
    <row r="25307" spans="1:2" x14ac:dyDescent="0.25">
      <c r="A25307" s="118"/>
      <c r="B25307" s="136"/>
    </row>
    <row r="25308" spans="1:2" x14ac:dyDescent="0.25">
      <c r="A25308" s="118"/>
      <c r="B25308" s="136"/>
    </row>
    <row r="25309" spans="1:2" x14ac:dyDescent="0.25">
      <c r="A25309" s="118"/>
      <c r="B25309" s="136"/>
    </row>
    <row r="25310" spans="1:2" x14ac:dyDescent="0.25">
      <c r="A25310" s="118"/>
      <c r="B25310" s="136"/>
    </row>
    <row r="25311" spans="1:2" x14ac:dyDescent="0.25">
      <c r="A25311" s="118"/>
      <c r="B25311" s="136"/>
    </row>
    <row r="25312" spans="1:2" x14ac:dyDescent="0.25">
      <c r="A25312" s="118"/>
      <c r="B25312" s="136"/>
    </row>
    <row r="25313" spans="1:2" x14ac:dyDescent="0.25">
      <c r="A25313" s="118"/>
      <c r="B25313" s="136"/>
    </row>
    <row r="25314" spans="1:2" x14ac:dyDescent="0.25">
      <c r="A25314" s="118"/>
      <c r="B25314" s="136"/>
    </row>
    <row r="25315" spans="1:2" x14ac:dyDescent="0.25">
      <c r="A25315" s="118"/>
      <c r="B25315" s="136"/>
    </row>
    <row r="25316" spans="1:2" x14ac:dyDescent="0.25">
      <c r="A25316" s="118"/>
      <c r="B25316" s="136"/>
    </row>
    <row r="25317" spans="1:2" x14ac:dyDescent="0.25">
      <c r="A25317" s="118"/>
      <c r="B25317" s="136"/>
    </row>
    <row r="25318" spans="1:2" x14ac:dyDescent="0.25">
      <c r="A25318" s="118"/>
      <c r="B25318" s="136"/>
    </row>
    <row r="25319" spans="1:2" x14ac:dyDescent="0.25">
      <c r="A25319" s="118"/>
      <c r="B25319" s="136"/>
    </row>
    <row r="25320" spans="1:2" x14ac:dyDescent="0.25">
      <c r="A25320" s="118"/>
      <c r="B25320" s="136"/>
    </row>
    <row r="25321" spans="1:2" x14ac:dyDescent="0.25">
      <c r="A25321" s="118"/>
      <c r="B25321" s="136"/>
    </row>
    <row r="25322" spans="1:2" x14ac:dyDescent="0.25">
      <c r="A25322" s="118"/>
      <c r="B25322" s="136"/>
    </row>
    <row r="25323" spans="1:2" x14ac:dyDescent="0.25">
      <c r="A25323" s="118"/>
      <c r="B25323" s="136"/>
    </row>
    <row r="25324" spans="1:2" x14ac:dyDescent="0.25">
      <c r="A25324" s="118"/>
      <c r="B25324" s="136"/>
    </row>
    <row r="25325" spans="1:2" x14ac:dyDescent="0.25">
      <c r="A25325" s="118"/>
      <c r="B25325" s="136"/>
    </row>
    <row r="25326" spans="1:2" x14ac:dyDescent="0.25">
      <c r="A25326" s="118"/>
      <c r="B25326" s="136"/>
    </row>
    <row r="25327" spans="1:2" x14ac:dyDescent="0.25">
      <c r="A25327" s="118"/>
      <c r="B25327" s="136"/>
    </row>
    <row r="25328" spans="1:2" x14ac:dyDescent="0.25">
      <c r="A25328" s="118"/>
      <c r="B25328" s="136"/>
    </row>
    <row r="25329" spans="1:2" x14ac:dyDescent="0.25">
      <c r="A25329" s="118"/>
      <c r="B25329" s="136"/>
    </row>
    <row r="25330" spans="1:2" x14ac:dyDescent="0.25">
      <c r="A25330" s="118"/>
      <c r="B25330" s="136"/>
    </row>
    <row r="25331" spans="1:2" x14ac:dyDescent="0.25">
      <c r="A25331" s="118"/>
      <c r="B25331" s="136"/>
    </row>
    <row r="25332" spans="1:2" x14ac:dyDescent="0.25">
      <c r="A25332" s="118"/>
      <c r="B25332" s="136"/>
    </row>
    <row r="25333" spans="1:2" x14ac:dyDescent="0.25">
      <c r="A25333" s="118"/>
      <c r="B25333" s="136"/>
    </row>
    <row r="25334" spans="1:2" x14ac:dyDescent="0.25">
      <c r="A25334" s="118"/>
      <c r="B25334" s="136"/>
    </row>
    <row r="25335" spans="1:2" x14ac:dyDescent="0.25">
      <c r="A25335" s="118"/>
      <c r="B25335" s="136"/>
    </row>
    <row r="25336" spans="1:2" x14ac:dyDescent="0.25">
      <c r="A25336" s="118"/>
      <c r="B25336" s="136"/>
    </row>
    <row r="25337" spans="1:2" x14ac:dyDescent="0.25">
      <c r="A25337" s="118"/>
      <c r="B25337" s="136"/>
    </row>
    <row r="25338" spans="1:2" x14ac:dyDescent="0.25">
      <c r="A25338" s="118"/>
      <c r="B25338" s="136"/>
    </row>
    <row r="25339" spans="1:2" x14ac:dyDescent="0.25">
      <c r="A25339" s="118"/>
      <c r="B25339" s="136"/>
    </row>
    <row r="25340" spans="1:2" x14ac:dyDescent="0.25">
      <c r="A25340" s="118"/>
      <c r="B25340" s="136"/>
    </row>
    <row r="25341" spans="1:2" x14ac:dyDescent="0.25">
      <c r="A25341" s="118"/>
      <c r="B25341" s="136"/>
    </row>
    <row r="25342" spans="1:2" x14ac:dyDescent="0.25">
      <c r="A25342" s="118"/>
      <c r="B25342" s="136"/>
    </row>
    <row r="25343" spans="1:2" x14ac:dyDescent="0.25">
      <c r="A25343" s="118"/>
      <c r="B25343" s="136"/>
    </row>
    <row r="25344" spans="1:2" x14ac:dyDescent="0.25">
      <c r="A25344" s="118"/>
      <c r="B25344" s="136"/>
    </row>
    <row r="25345" spans="1:2" x14ac:dyDescent="0.25">
      <c r="A25345" s="118"/>
      <c r="B25345" s="136"/>
    </row>
    <row r="25346" spans="1:2" x14ac:dyDescent="0.25">
      <c r="A25346" s="118"/>
      <c r="B25346" s="136"/>
    </row>
    <row r="25347" spans="1:2" x14ac:dyDescent="0.25">
      <c r="A25347" s="118"/>
      <c r="B25347" s="136"/>
    </row>
    <row r="25348" spans="1:2" x14ac:dyDescent="0.25">
      <c r="A25348" s="118"/>
      <c r="B25348" s="136"/>
    </row>
    <row r="25349" spans="1:2" x14ac:dyDescent="0.25">
      <c r="A25349" s="118"/>
      <c r="B25349" s="136"/>
    </row>
    <row r="25350" spans="1:2" x14ac:dyDescent="0.25">
      <c r="A25350" s="118"/>
      <c r="B25350" s="136"/>
    </row>
    <row r="25351" spans="1:2" x14ac:dyDescent="0.25">
      <c r="A25351" s="118"/>
      <c r="B25351" s="136"/>
    </row>
    <row r="25352" spans="1:2" x14ac:dyDescent="0.25">
      <c r="A25352" s="118"/>
      <c r="B25352" s="136"/>
    </row>
    <row r="25353" spans="1:2" x14ac:dyDescent="0.25">
      <c r="A25353" s="118"/>
      <c r="B25353" s="136"/>
    </row>
    <row r="25354" spans="1:2" x14ac:dyDescent="0.25">
      <c r="A25354" s="118"/>
      <c r="B25354" s="136"/>
    </row>
    <row r="25355" spans="1:2" x14ac:dyDescent="0.25">
      <c r="A25355" s="118"/>
      <c r="B25355" s="136"/>
    </row>
    <row r="25356" spans="1:2" x14ac:dyDescent="0.25">
      <c r="A25356" s="118"/>
      <c r="B25356" s="136"/>
    </row>
    <row r="25357" spans="1:2" x14ac:dyDescent="0.25">
      <c r="A25357" s="118"/>
      <c r="B25357" s="136"/>
    </row>
    <row r="25358" spans="1:2" x14ac:dyDescent="0.25">
      <c r="A25358" s="118"/>
      <c r="B25358" s="136"/>
    </row>
    <row r="25359" spans="1:2" x14ac:dyDescent="0.25">
      <c r="A25359" s="118"/>
      <c r="B25359" s="136"/>
    </row>
    <row r="25360" spans="1:2" x14ac:dyDescent="0.25">
      <c r="A25360" s="118"/>
      <c r="B25360" s="136"/>
    </row>
    <row r="25361" spans="1:2" x14ac:dyDescent="0.25">
      <c r="A25361" s="118"/>
      <c r="B25361" s="136"/>
    </row>
    <row r="25362" spans="1:2" x14ac:dyDescent="0.25">
      <c r="A25362" s="118"/>
      <c r="B25362" s="136"/>
    </row>
    <row r="25363" spans="1:2" x14ac:dyDescent="0.25">
      <c r="A25363" s="118"/>
      <c r="B25363" s="136"/>
    </row>
    <row r="25364" spans="1:2" x14ac:dyDescent="0.25">
      <c r="A25364" s="118"/>
      <c r="B25364" s="136"/>
    </row>
    <row r="25365" spans="1:2" x14ac:dyDescent="0.25">
      <c r="A25365" s="118"/>
      <c r="B25365" s="136"/>
    </row>
    <row r="25366" spans="1:2" x14ac:dyDescent="0.25">
      <c r="A25366" s="118"/>
      <c r="B25366" s="136"/>
    </row>
    <row r="25367" spans="1:2" x14ac:dyDescent="0.25">
      <c r="A25367" s="118"/>
      <c r="B25367" s="136"/>
    </row>
    <row r="25368" spans="1:2" x14ac:dyDescent="0.25">
      <c r="A25368" s="118"/>
      <c r="B25368" s="136"/>
    </row>
    <row r="25369" spans="1:2" x14ac:dyDescent="0.25">
      <c r="A25369" s="118"/>
      <c r="B25369" s="136"/>
    </row>
    <row r="25370" spans="1:2" x14ac:dyDescent="0.25">
      <c r="A25370" s="118"/>
      <c r="B25370" s="136"/>
    </row>
    <row r="25371" spans="1:2" x14ac:dyDescent="0.25">
      <c r="A25371" s="118"/>
      <c r="B25371" s="136"/>
    </row>
    <row r="25372" spans="1:2" x14ac:dyDescent="0.25">
      <c r="A25372" s="118"/>
      <c r="B25372" s="136"/>
    </row>
    <row r="25373" spans="1:2" x14ac:dyDescent="0.25">
      <c r="A25373" s="118"/>
      <c r="B25373" s="136"/>
    </row>
    <row r="25374" spans="1:2" x14ac:dyDescent="0.25">
      <c r="A25374" s="118"/>
      <c r="B25374" s="136"/>
    </row>
    <row r="25375" spans="1:2" x14ac:dyDescent="0.25">
      <c r="A25375" s="118"/>
      <c r="B25375" s="136"/>
    </row>
    <row r="25376" spans="1:2" x14ac:dyDescent="0.25">
      <c r="A25376" s="118"/>
      <c r="B25376" s="136"/>
    </row>
    <row r="25377" spans="1:2" x14ac:dyDescent="0.25">
      <c r="A25377" s="118"/>
      <c r="B25377" s="136"/>
    </row>
    <row r="25378" spans="1:2" x14ac:dyDescent="0.25">
      <c r="A25378" s="118"/>
      <c r="B25378" s="136"/>
    </row>
    <row r="25379" spans="1:2" x14ac:dyDescent="0.25">
      <c r="A25379" s="118"/>
      <c r="B25379" s="136"/>
    </row>
    <row r="25380" spans="1:2" x14ac:dyDescent="0.25">
      <c r="A25380" s="118"/>
      <c r="B25380" s="136"/>
    </row>
    <row r="25381" spans="1:2" x14ac:dyDescent="0.25">
      <c r="A25381" s="118"/>
      <c r="B25381" s="136"/>
    </row>
    <row r="25382" spans="1:2" x14ac:dyDescent="0.25">
      <c r="A25382" s="118"/>
      <c r="B25382" s="136"/>
    </row>
    <row r="25383" spans="1:2" x14ac:dyDescent="0.25">
      <c r="A25383" s="118"/>
      <c r="B25383" s="136"/>
    </row>
    <row r="25384" spans="1:2" x14ac:dyDescent="0.25">
      <c r="A25384" s="118"/>
      <c r="B25384" s="136"/>
    </row>
    <row r="25385" spans="1:2" x14ac:dyDescent="0.25">
      <c r="A25385" s="118"/>
      <c r="B25385" s="136"/>
    </row>
    <row r="25386" spans="1:2" x14ac:dyDescent="0.25">
      <c r="A25386" s="118"/>
      <c r="B25386" s="136"/>
    </row>
    <row r="25387" spans="1:2" x14ac:dyDescent="0.25">
      <c r="A25387" s="118"/>
      <c r="B25387" s="136"/>
    </row>
    <row r="25388" spans="1:2" x14ac:dyDescent="0.25">
      <c r="A25388" s="118"/>
      <c r="B25388" s="136"/>
    </row>
    <row r="25389" spans="1:2" x14ac:dyDescent="0.25">
      <c r="A25389" s="118"/>
      <c r="B25389" s="136"/>
    </row>
    <row r="25390" spans="1:2" x14ac:dyDescent="0.25">
      <c r="A25390" s="118"/>
      <c r="B25390" s="136"/>
    </row>
    <row r="25391" spans="1:2" x14ac:dyDescent="0.25">
      <c r="A25391" s="118"/>
      <c r="B25391" s="136"/>
    </row>
    <row r="25392" spans="1:2" x14ac:dyDescent="0.25">
      <c r="A25392" s="118"/>
      <c r="B25392" s="136"/>
    </row>
    <row r="25393" spans="1:2" x14ac:dyDescent="0.25">
      <c r="A25393" s="118"/>
      <c r="B25393" s="136"/>
    </row>
    <row r="25394" spans="1:2" x14ac:dyDescent="0.25">
      <c r="A25394" s="118"/>
      <c r="B25394" s="136"/>
    </row>
    <row r="25395" spans="1:2" x14ac:dyDescent="0.25">
      <c r="A25395" s="118"/>
      <c r="B25395" s="136"/>
    </row>
    <row r="25396" spans="1:2" x14ac:dyDescent="0.25">
      <c r="A25396" s="118"/>
      <c r="B25396" s="136"/>
    </row>
    <row r="25397" spans="1:2" x14ac:dyDescent="0.25">
      <c r="A25397" s="118"/>
      <c r="B25397" s="136"/>
    </row>
    <row r="25398" spans="1:2" x14ac:dyDescent="0.25">
      <c r="A25398" s="118"/>
      <c r="B25398" s="136"/>
    </row>
    <row r="25399" spans="1:2" x14ac:dyDescent="0.25">
      <c r="A25399" s="118"/>
      <c r="B25399" s="136"/>
    </row>
    <row r="25400" spans="1:2" x14ac:dyDescent="0.25">
      <c r="A25400" s="118"/>
      <c r="B25400" s="136"/>
    </row>
    <row r="25401" spans="1:2" x14ac:dyDescent="0.25">
      <c r="A25401" s="118"/>
      <c r="B25401" s="136"/>
    </row>
    <row r="25402" spans="1:2" x14ac:dyDescent="0.25">
      <c r="A25402" s="118"/>
      <c r="B25402" s="136"/>
    </row>
    <row r="25403" spans="1:2" x14ac:dyDescent="0.25">
      <c r="A25403" s="118"/>
      <c r="B25403" s="136"/>
    </row>
    <row r="25404" spans="1:2" x14ac:dyDescent="0.25">
      <c r="A25404" s="118"/>
      <c r="B25404" s="136"/>
    </row>
    <row r="25405" spans="1:2" x14ac:dyDescent="0.25">
      <c r="A25405" s="118"/>
      <c r="B25405" s="136"/>
    </row>
    <row r="25406" spans="1:2" x14ac:dyDescent="0.25">
      <c r="A25406" s="118"/>
      <c r="B25406" s="136"/>
    </row>
    <row r="25407" spans="1:2" x14ac:dyDescent="0.25">
      <c r="A25407" s="118"/>
      <c r="B25407" s="136"/>
    </row>
    <row r="25408" spans="1:2" x14ac:dyDescent="0.25">
      <c r="A25408" s="118"/>
      <c r="B25408" s="136"/>
    </row>
    <row r="25409" spans="1:2" x14ac:dyDescent="0.25">
      <c r="A25409" s="118"/>
      <c r="B25409" s="136"/>
    </row>
    <row r="25410" spans="1:2" x14ac:dyDescent="0.25">
      <c r="A25410" s="118"/>
      <c r="B25410" s="136"/>
    </row>
    <row r="25411" spans="1:2" x14ac:dyDescent="0.25">
      <c r="A25411" s="118"/>
      <c r="B25411" s="136"/>
    </row>
    <row r="25412" spans="1:2" x14ac:dyDescent="0.25">
      <c r="A25412" s="118"/>
      <c r="B25412" s="136"/>
    </row>
    <row r="25413" spans="1:2" x14ac:dyDescent="0.25">
      <c r="A25413" s="118"/>
      <c r="B25413" s="136"/>
    </row>
    <row r="25414" spans="1:2" x14ac:dyDescent="0.25">
      <c r="A25414" s="118"/>
      <c r="B25414" s="136"/>
    </row>
    <row r="25415" spans="1:2" x14ac:dyDescent="0.25">
      <c r="A25415" s="118"/>
      <c r="B25415" s="136"/>
    </row>
    <row r="25416" spans="1:2" x14ac:dyDescent="0.25">
      <c r="A25416" s="118"/>
      <c r="B25416" s="136"/>
    </row>
    <row r="25417" spans="1:2" x14ac:dyDescent="0.25">
      <c r="A25417" s="118"/>
      <c r="B25417" s="136"/>
    </row>
    <row r="25418" spans="1:2" x14ac:dyDescent="0.25">
      <c r="A25418" s="118"/>
      <c r="B25418" s="136"/>
    </row>
    <row r="25419" spans="1:2" x14ac:dyDescent="0.25">
      <c r="A25419" s="118"/>
      <c r="B25419" s="136"/>
    </row>
    <row r="25420" spans="1:2" x14ac:dyDescent="0.25">
      <c r="A25420" s="118"/>
      <c r="B25420" s="136"/>
    </row>
    <row r="25421" spans="1:2" x14ac:dyDescent="0.25">
      <c r="A25421" s="118"/>
      <c r="B25421" s="136"/>
    </row>
    <row r="25422" spans="1:2" x14ac:dyDescent="0.25">
      <c r="A25422" s="118"/>
      <c r="B25422" s="136"/>
    </row>
    <row r="25423" spans="1:2" x14ac:dyDescent="0.25">
      <c r="A25423" s="118"/>
      <c r="B25423" s="136"/>
    </row>
    <row r="25424" spans="1:2" x14ac:dyDescent="0.25">
      <c r="A25424" s="118"/>
      <c r="B25424" s="136"/>
    </row>
    <row r="25425" spans="1:2" x14ac:dyDescent="0.25">
      <c r="A25425" s="118"/>
      <c r="B25425" s="136"/>
    </row>
    <row r="25426" spans="1:2" x14ac:dyDescent="0.25">
      <c r="A25426" s="118"/>
      <c r="B25426" s="136"/>
    </row>
    <row r="25427" spans="1:2" x14ac:dyDescent="0.25">
      <c r="A25427" s="118"/>
      <c r="B25427" s="136"/>
    </row>
    <row r="25428" spans="1:2" x14ac:dyDescent="0.25">
      <c r="A25428" s="118"/>
      <c r="B25428" s="136"/>
    </row>
    <row r="25429" spans="1:2" x14ac:dyDescent="0.25">
      <c r="A25429" s="118"/>
      <c r="B25429" s="136"/>
    </row>
    <row r="25430" spans="1:2" x14ac:dyDescent="0.25">
      <c r="A25430" s="118"/>
      <c r="B25430" s="136"/>
    </row>
    <row r="25431" spans="1:2" x14ac:dyDescent="0.25">
      <c r="A25431" s="118"/>
      <c r="B25431" s="136"/>
    </row>
    <row r="25432" spans="1:2" x14ac:dyDescent="0.25">
      <c r="A25432" s="118"/>
      <c r="B25432" s="136"/>
    </row>
    <row r="25433" spans="1:2" x14ac:dyDescent="0.25">
      <c r="A25433" s="118"/>
      <c r="B25433" s="136"/>
    </row>
    <row r="25434" spans="1:2" x14ac:dyDescent="0.25">
      <c r="A25434" s="118"/>
      <c r="B25434" s="136"/>
    </row>
    <row r="25435" spans="1:2" x14ac:dyDescent="0.25">
      <c r="A25435" s="118"/>
      <c r="B25435" s="136"/>
    </row>
    <row r="25436" spans="1:2" x14ac:dyDescent="0.25">
      <c r="A25436" s="118"/>
      <c r="B25436" s="136"/>
    </row>
    <row r="25437" spans="1:2" x14ac:dyDescent="0.25">
      <c r="A25437" s="118"/>
      <c r="B25437" s="136"/>
    </row>
    <row r="25438" spans="1:2" x14ac:dyDescent="0.25">
      <c r="A25438" s="118"/>
      <c r="B25438" s="136"/>
    </row>
    <row r="25439" spans="1:2" x14ac:dyDescent="0.25">
      <c r="A25439" s="118"/>
      <c r="B25439" s="136"/>
    </row>
    <row r="25440" spans="1:2" x14ac:dyDescent="0.25">
      <c r="A25440" s="118"/>
      <c r="B25440" s="136"/>
    </row>
    <row r="25441" spans="1:2" x14ac:dyDescent="0.25">
      <c r="A25441" s="118"/>
      <c r="B25441" s="136"/>
    </row>
    <row r="25442" spans="1:2" x14ac:dyDescent="0.25">
      <c r="A25442" s="118"/>
      <c r="B25442" s="136"/>
    </row>
    <row r="25443" spans="1:2" x14ac:dyDescent="0.25">
      <c r="A25443" s="118"/>
      <c r="B25443" s="136"/>
    </row>
    <row r="25444" spans="1:2" x14ac:dyDescent="0.25">
      <c r="A25444" s="118"/>
      <c r="B25444" s="136"/>
    </row>
    <row r="25445" spans="1:2" x14ac:dyDescent="0.25">
      <c r="A25445" s="118"/>
      <c r="B25445" s="136"/>
    </row>
    <row r="25446" spans="1:2" x14ac:dyDescent="0.25">
      <c r="A25446" s="118"/>
      <c r="B25446" s="136"/>
    </row>
    <row r="25447" spans="1:2" x14ac:dyDescent="0.25">
      <c r="A25447" s="118"/>
      <c r="B25447" s="136"/>
    </row>
    <row r="25448" spans="1:2" x14ac:dyDescent="0.25">
      <c r="A25448" s="118"/>
      <c r="B25448" s="136"/>
    </row>
    <row r="25449" spans="1:2" x14ac:dyDescent="0.25">
      <c r="A25449" s="118"/>
      <c r="B25449" s="136"/>
    </row>
    <row r="25450" spans="1:2" x14ac:dyDescent="0.25">
      <c r="A25450" s="118"/>
      <c r="B25450" s="136"/>
    </row>
    <row r="25451" spans="1:2" x14ac:dyDescent="0.25">
      <c r="A25451" s="118"/>
      <c r="B25451" s="136"/>
    </row>
    <row r="25452" spans="1:2" x14ac:dyDescent="0.25">
      <c r="A25452" s="118"/>
      <c r="B25452" s="136"/>
    </row>
    <row r="25453" spans="1:2" x14ac:dyDescent="0.25">
      <c r="A25453" s="118"/>
      <c r="B25453" s="136"/>
    </row>
    <row r="25454" spans="1:2" x14ac:dyDescent="0.25">
      <c r="A25454" s="118"/>
      <c r="B25454" s="136"/>
    </row>
    <row r="25455" spans="1:2" x14ac:dyDescent="0.25">
      <c r="A25455" s="118"/>
      <c r="B25455" s="136"/>
    </row>
    <row r="25456" spans="1:2" x14ac:dyDescent="0.25">
      <c r="A25456" s="118"/>
      <c r="B25456" s="136"/>
    </row>
    <row r="25457" spans="1:2" x14ac:dyDescent="0.25">
      <c r="A25457" s="118"/>
      <c r="B25457" s="136"/>
    </row>
    <row r="25458" spans="1:2" x14ac:dyDescent="0.25">
      <c r="A25458" s="118"/>
      <c r="B25458" s="136"/>
    </row>
    <row r="25459" spans="1:2" x14ac:dyDescent="0.25">
      <c r="A25459" s="118"/>
      <c r="B25459" s="136"/>
    </row>
    <row r="25460" spans="1:2" x14ac:dyDescent="0.25">
      <c r="A25460" s="118"/>
      <c r="B25460" s="136"/>
    </row>
    <row r="25461" spans="1:2" x14ac:dyDescent="0.25">
      <c r="A25461" s="118"/>
      <c r="B25461" s="136"/>
    </row>
    <row r="25462" spans="1:2" x14ac:dyDescent="0.25">
      <c r="A25462" s="118"/>
      <c r="B25462" s="136"/>
    </row>
    <row r="25463" spans="1:2" x14ac:dyDescent="0.25">
      <c r="A25463" s="118"/>
      <c r="B25463" s="136"/>
    </row>
    <row r="25464" spans="1:2" x14ac:dyDescent="0.25">
      <c r="A25464" s="118"/>
      <c r="B25464" s="136"/>
    </row>
    <row r="25465" spans="1:2" x14ac:dyDescent="0.25">
      <c r="A25465" s="118"/>
      <c r="B25465" s="136"/>
    </row>
    <row r="25466" spans="1:2" x14ac:dyDescent="0.25">
      <c r="A25466" s="118"/>
      <c r="B25466" s="136"/>
    </row>
    <row r="25467" spans="1:2" x14ac:dyDescent="0.25">
      <c r="A25467" s="118"/>
      <c r="B25467" s="136"/>
    </row>
    <row r="25468" spans="1:2" x14ac:dyDescent="0.25">
      <c r="A25468" s="118"/>
      <c r="B25468" s="136"/>
    </row>
    <row r="25469" spans="1:2" x14ac:dyDescent="0.25">
      <c r="A25469" s="118"/>
      <c r="B25469" s="136"/>
    </row>
    <row r="25470" spans="1:2" x14ac:dyDescent="0.25">
      <c r="A25470" s="118"/>
      <c r="B25470" s="136"/>
    </row>
    <row r="25471" spans="1:2" x14ac:dyDescent="0.25">
      <c r="A25471" s="118"/>
      <c r="B25471" s="136"/>
    </row>
    <row r="25472" spans="1:2" x14ac:dyDescent="0.25">
      <c r="A25472" s="118"/>
      <c r="B25472" s="136"/>
    </row>
    <row r="25473" spans="1:2" x14ac:dyDescent="0.25">
      <c r="A25473" s="118"/>
      <c r="B25473" s="136"/>
    </row>
    <row r="25474" spans="1:2" x14ac:dyDescent="0.25">
      <c r="A25474" s="118"/>
      <c r="B25474" s="136"/>
    </row>
    <row r="25475" spans="1:2" x14ac:dyDescent="0.25">
      <c r="A25475" s="118"/>
      <c r="B25475" s="136"/>
    </row>
    <row r="25476" spans="1:2" x14ac:dyDescent="0.25">
      <c r="A25476" s="118"/>
      <c r="B25476" s="136"/>
    </row>
    <row r="25477" spans="1:2" x14ac:dyDescent="0.25">
      <c r="A25477" s="118"/>
      <c r="B25477" s="136"/>
    </row>
    <row r="25478" spans="1:2" x14ac:dyDescent="0.25">
      <c r="A25478" s="118"/>
      <c r="B25478" s="136"/>
    </row>
    <row r="25479" spans="1:2" x14ac:dyDescent="0.25">
      <c r="A25479" s="118"/>
      <c r="B25479" s="136"/>
    </row>
    <row r="25480" spans="1:2" x14ac:dyDescent="0.25">
      <c r="A25480" s="118"/>
      <c r="B25480" s="136"/>
    </row>
    <row r="25481" spans="1:2" x14ac:dyDescent="0.25">
      <c r="A25481" s="118"/>
      <c r="B25481" s="136"/>
    </row>
    <row r="25482" spans="1:2" x14ac:dyDescent="0.25">
      <c r="A25482" s="118"/>
      <c r="B25482" s="136"/>
    </row>
    <row r="25483" spans="1:2" x14ac:dyDescent="0.25">
      <c r="A25483" s="118"/>
      <c r="B25483" s="136"/>
    </row>
    <row r="25484" spans="1:2" x14ac:dyDescent="0.25">
      <c r="A25484" s="118"/>
      <c r="B25484" s="136"/>
    </row>
    <row r="25485" spans="1:2" x14ac:dyDescent="0.25">
      <c r="A25485" s="118"/>
      <c r="B25485" s="136"/>
    </row>
    <row r="25486" spans="1:2" x14ac:dyDescent="0.25">
      <c r="A25486" s="118"/>
      <c r="B25486" s="136"/>
    </row>
    <row r="25487" spans="1:2" x14ac:dyDescent="0.25">
      <c r="A25487" s="118"/>
      <c r="B25487" s="136"/>
    </row>
    <row r="25488" spans="1:2" x14ac:dyDescent="0.25">
      <c r="A25488" s="118"/>
      <c r="B25488" s="136"/>
    </row>
    <row r="25489" spans="1:2" x14ac:dyDescent="0.25">
      <c r="A25489" s="118"/>
      <c r="B25489" s="136"/>
    </row>
    <row r="25490" spans="1:2" x14ac:dyDescent="0.25">
      <c r="A25490" s="118"/>
      <c r="B25490" s="136"/>
    </row>
    <row r="25491" spans="1:2" x14ac:dyDescent="0.25">
      <c r="A25491" s="118"/>
      <c r="B25491" s="136"/>
    </row>
    <row r="25492" spans="1:2" x14ac:dyDescent="0.25">
      <c r="A25492" s="118"/>
      <c r="B25492" s="136"/>
    </row>
    <row r="25493" spans="1:2" x14ac:dyDescent="0.25">
      <c r="A25493" s="118"/>
      <c r="B25493" s="136"/>
    </row>
    <row r="25494" spans="1:2" x14ac:dyDescent="0.25">
      <c r="A25494" s="118"/>
      <c r="B25494" s="136"/>
    </row>
    <row r="25495" spans="1:2" x14ac:dyDescent="0.25">
      <c r="A25495" s="118"/>
      <c r="B25495" s="136"/>
    </row>
    <row r="25496" spans="1:2" x14ac:dyDescent="0.25">
      <c r="A25496" s="118"/>
      <c r="B25496" s="136"/>
    </row>
    <row r="25497" spans="1:2" x14ac:dyDescent="0.25">
      <c r="A25497" s="118"/>
      <c r="B25497" s="136"/>
    </row>
    <row r="25498" spans="1:2" x14ac:dyDescent="0.25">
      <c r="A25498" s="118"/>
      <c r="B25498" s="136"/>
    </row>
    <row r="25499" spans="1:2" x14ac:dyDescent="0.25">
      <c r="A25499" s="118"/>
      <c r="B25499" s="136"/>
    </row>
    <row r="25500" spans="1:2" x14ac:dyDescent="0.25">
      <c r="A25500" s="118"/>
      <c r="B25500" s="136"/>
    </row>
    <row r="25501" spans="1:2" x14ac:dyDescent="0.25">
      <c r="A25501" s="118"/>
      <c r="B25501" s="136"/>
    </row>
    <row r="25502" spans="1:2" x14ac:dyDescent="0.25">
      <c r="A25502" s="118"/>
      <c r="B25502" s="136"/>
    </row>
    <row r="25503" spans="1:2" x14ac:dyDescent="0.25">
      <c r="A25503" s="118"/>
      <c r="B25503" s="136"/>
    </row>
    <row r="25504" spans="1:2" x14ac:dyDescent="0.25">
      <c r="A25504" s="118"/>
      <c r="B25504" s="136"/>
    </row>
    <row r="25505" spans="1:2" x14ac:dyDescent="0.25">
      <c r="A25505" s="118"/>
      <c r="B25505" s="136"/>
    </row>
    <row r="25506" spans="1:2" x14ac:dyDescent="0.25">
      <c r="A25506" s="118"/>
      <c r="B25506" s="136"/>
    </row>
    <row r="25507" spans="1:2" x14ac:dyDescent="0.25">
      <c r="A25507" s="118"/>
      <c r="B25507" s="136"/>
    </row>
    <row r="25508" spans="1:2" x14ac:dyDescent="0.25">
      <c r="A25508" s="118"/>
      <c r="B25508" s="136"/>
    </row>
    <row r="25509" spans="1:2" x14ac:dyDescent="0.25">
      <c r="A25509" s="118"/>
      <c r="B25509" s="136"/>
    </row>
    <row r="25510" spans="1:2" x14ac:dyDescent="0.25">
      <c r="A25510" s="118"/>
      <c r="B25510" s="136"/>
    </row>
    <row r="25511" spans="1:2" x14ac:dyDescent="0.25">
      <c r="A25511" s="118"/>
      <c r="B25511" s="136"/>
    </row>
    <row r="25512" spans="1:2" x14ac:dyDescent="0.25">
      <c r="A25512" s="118"/>
      <c r="B25512" s="136"/>
    </row>
    <row r="25513" spans="1:2" x14ac:dyDescent="0.25">
      <c r="A25513" s="118"/>
      <c r="B25513" s="136"/>
    </row>
    <row r="25514" spans="1:2" x14ac:dyDescent="0.25">
      <c r="A25514" s="118"/>
      <c r="B25514" s="136"/>
    </row>
    <row r="25515" spans="1:2" x14ac:dyDescent="0.25">
      <c r="A25515" s="118"/>
      <c r="B25515" s="136"/>
    </row>
    <row r="25516" spans="1:2" x14ac:dyDescent="0.25">
      <c r="A25516" s="118"/>
      <c r="B25516" s="136"/>
    </row>
    <row r="25517" spans="1:2" x14ac:dyDescent="0.25">
      <c r="A25517" s="118"/>
      <c r="B25517" s="136"/>
    </row>
    <row r="25518" spans="1:2" x14ac:dyDescent="0.25">
      <c r="A25518" s="118"/>
      <c r="B25518" s="136"/>
    </row>
    <row r="25519" spans="1:2" x14ac:dyDescent="0.25">
      <c r="A25519" s="118"/>
      <c r="B25519" s="136"/>
    </row>
    <row r="25520" spans="1:2" x14ac:dyDescent="0.25">
      <c r="A25520" s="118"/>
      <c r="B25520" s="136"/>
    </row>
    <row r="25521" spans="1:2" x14ac:dyDescent="0.25">
      <c r="A25521" s="118"/>
      <c r="B25521" s="136"/>
    </row>
    <row r="25522" spans="1:2" x14ac:dyDescent="0.25">
      <c r="A25522" s="118"/>
      <c r="B25522" s="136"/>
    </row>
    <row r="25523" spans="1:2" x14ac:dyDescent="0.25">
      <c r="A25523" s="118"/>
      <c r="B25523" s="136"/>
    </row>
    <row r="25524" spans="1:2" x14ac:dyDescent="0.25">
      <c r="A25524" s="118"/>
      <c r="B25524" s="136"/>
    </row>
    <row r="25525" spans="1:2" x14ac:dyDescent="0.25">
      <c r="A25525" s="118"/>
      <c r="B25525" s="136"/>
    </row>
    <row r="25526" spans="1:2" x14ac:dyDescent="0.25">
      <c r="A25526" s="118"/>
      <c r="B25526" s="136"/>
    </row>
    <row r="25527" spans="1:2" x14ac:dyDescent="0.25">
      <c r="A25527" s="118"/>
      <c r="B25527" s="136"/>
    </row>
    <row r="25528" spans="1:2" x14ac:dyDescent="0.25">
      <c r="A25528" s="118"/>
      <c r="B25528" s="136"/>
    </row>
    <row r="25529" spans="1:2" x14ac:dyDescent="0.25">
      <c r="A25529" s="118"/>
      <c r="B25529" s="136"/>
    </row>
    <row r="25530" spans="1:2" x14ac:dyDescent="0.25">
      <c r="A25530" s="118"/>
      <c r="B25530" s="136"/>
    </row>
    <row r="25531" spans="1:2" x14ac:dyDescent="0.25">
      <c r="A25531" s="118"/>
      <c r="B25531" s="136"/>
    </row>
    <row r="25532" spans="1:2" x14ac:dyDescent="0.25">
      <c r="A25532" s="118"/>
      <c r="B25532" s="136"/>
    </row>
    <row r="25533" spans="1:2" x14ac:dyDescent="0.25">
      <c r="A25533" s="118"/>
      <c r="B25533" s="136"/>
    </row>
    <row r="25534" spans="1:2" x14ac:dyDescent="0.25">
      <c r="A25534" s="118"/>
      <c r="B25534" s="136"/>
    </row>
    <row r="25535" spans="1:2" x14ac:dyDescent="0.25">
      <c r="A25535" s="118"/>
      <c r="B25535" s="136"/>
    </row>
    <row r="25536" spans="1:2" x14ac:dyDescent="0.25">
      <c r="A25536" s="118"/>
      <c r="B25536" s="136"/>
    </row>
    <row r="25537" spans="1:2" x14ac:dyDescent="0.25">
      <c r="A25537" s="118"/>
      <c r="B25537" s="136"/>
    </row>
    <row r="25538" spans="1:2" x14ac:dyDescent="0.25">
      <c r="A25538" s="118"/>
      <c r="B25538" s="136"/>
    </row>
    <row r="25539" spans="1:2" x14ac:dyDescent="0.25">
      <c r="A25539" s="118"/>
      <c r="B25539" s="136"/>
    </row>
    <row r="25540" spans="1:2" x14ac:dyDescent="0.25">
      <c r="A25540" s="118"/>
      <c r="B25540" s="136"/>
    </row>
    <row r="25541" spans="1:2" x14ac:dyDescent="0.25">
      <c r="A25541" s="118"/>
      <c r="B25541" s="136"/>
    </row>
    <row r="25542" spans="1:2" x14ac:dyDescent="0.25">
      <c r="A25542" s="118"/>
      <c r="B25542" s="136"/>
    </row>
    <row r="25543" spans="1:2" x14ac:dyDescent="0.25">
      <c r="A25543" s="118"/>
      <c r="B25543" s="136"/>
    </row>
    <row r="25544" spans="1:2" x14ac:dyDescent="0.25">
      <c r="A25544" s="118"/>
      <c r="B25544" s="136"/>
    </row>
    <row r="25545" spans="1:2" x14ac:dyDescent="0.25">
      <c r="A25545" s="118"/>
      <c r="B25545" s="136"/>
    </row>
    <row r="25546" spans="1:2" x14ac:dyDescent="0.25">
      <c r="A25546" s="118"/>
      <c r="B25546" s="136"/>
    </row>
    <row r="25547" spans="1:2" x14ac:dyDescent="0.25">
      <c r="A25547" s="118"/>
      <c r="B25547" s="136"/>
    </row>
    <row r="25548" spans="1:2" x14ac:dyDescent="0.25">
      <c r="A25548" s="118"/>
      <c r="B25548" s="136"/>
    </row>
    <row r="25549" spans="1:2" x14ac:dyDescent="0.25">
      <c r="A25549" s="118"/>
      <c r="B25549" s="136"/>
    </row>
    <row r="25550" spans="1:2" x14ac:dyDescent="0.25">
      <c r="A25550" s="118"/>
      <c r="B25550" s="136"/>
    </row>
    <row r="25551" spans="1:2" x14ac:dyDescent="0.25">
      <c r="A25551" s="118"/>
      <c r="B25551" s="136"/>
    </row>
    <row r="25552" spans="1:2" x14ac:dyDescent="0.25">
      <c r="A25552" s="118"/>
      <c r="B25552" s="136"/>
    </row>
    <row r="25553" spans="1:2" x14ac:dyDescent="0.25">
      <c r="A25553" s="118"/>
      <c r="B25553" s="136"/>
    </row>
    <row r="25554" spans="1:2" x14ac:dyDescent="0.25">
      <c r="A25554" s="118"/>
      <c r="B25554" s="136"/>
    </row>
    <row r="25555" spans="1:2" x14ac:dyDescent="0.25">
      <c r="A25555" s="118"/>
      <c r="B25555" s="136"/>
    </row>
    <row r="25556" spans="1:2" x14ac:dyDescent="0.25">
      <c r="A25556" s="118"/>
      <c r="B25556" s="136"/>
    </row>
    <row r="25557" spans="1:2" x14ac:dyDescent="0.25">
      <c r="A25557" s="118"/>
      <c r="B25557" s="136"/>
    </row>
    <row r="25558" spans="1:2" x14ac:dyDescent="0.25">
      <c r="A25558" s="118"/>
      <c r="B25558" s="136"/>
    </row>
    <row r="25559" spans="1:2" x14ac:dyDescent="0.25">
      <c r="A25559" s="118"/>
      <c r="B25559" s="136"/>
    </row>
    <row r="25560" spans="1:2" x14ac:dyDescent="0.25">
      <c r="A25560" s="118"/>
      <c r="B25560" s="136"/>
    </row>
    <row r="25561" spans="1:2" x14ac:dyDescent="0.25">
      <c r="A25561" s="118"/>
      <c r="B25561" s="136"/>
    </row>
    <row r="25562" spans="1:2" x14ac:dyDescent="0.25">
      <c r="A25562" s="118"/>
      <c r="B25562" s="136"/>
    </row>
    <row r="25563" spans="1:2" x14ac:dyDescent="0.25">
      <c r="A25563" s="118"/>
      <c r="B25563" s="136"/>
    </row>
    <row r="25564" spans="1:2" x14ac:dyDescent="0.25">
      <c r="A25564" s="118"/>
      <c r="B25564" s="136"/>
    </row>
    <row r="25565" spans="1:2" x14ac:dyDescent="0.25">
      <c r="A25565" s="118"/>
      <c r="B25565" s="136"/>
    </row>
    <row r="25566" spans="1:2" x14ac:dyDescent="0.25">
      <c r="A25566" s="118"/>
      <c r="B25566" s="136"/>
    </row>
    <row r="25567" spans="1:2" x14ac:dyDescent="0.25">
      <c r="A25567" s="118"/>
      <c r="B25567" s="136"/>
    </row>
    <row r="25568" spans="1:2" x14ac:dyDescent="0.25">
      <c r="A25568" s="118"/>
      <c r="B25568" s="136"/>
    </row>
    <row r="25569" spans="1:2" x14ac:dyDescent="0.25">
      <c r="A25569" s="118"/>
      <c r="B25569" s="136"/>
    </row>
    <row r="25570" spans="1:2" x14ac:dyDescent="0.25">
      <c r="A25570" s="118"/>
      <c r="B25570" s="136"/>
    </row>
    <row r="25571" spans="1:2" x14ac:dyDescent="0.25">
      <c r="A25571" s="118"/>
      <c r="B25571" s="136"/>
    </row>
    <row r="25572" spans="1:2" x14ac:dyDescent="0.25">
      <c r="A25572" s="118"/>
      <c r="B25572" s="136"/>
    </row>
    <row r="25573" spans="1:2" x14ac:dyDescent="0.25">
      <c r="A25573" s="118"/>
      <c r="B25573" s="136"/>
    </row>
    <row r="25574" spans="1:2" x14ac:dyDescent="0.25">
      <c r="A25574" s="118"/>
      <c r="B25574" s="136"/>
    </row>
    <row r="25575" spans="1:2" x14ac:dyDescent="0.25">
      <c r="A25575" s="118"/>
      <c r="B25575" s="136"/>
    </row>
    <row r="25576" spans="1:2" x14ac:dyDescent="0.25">
      <c r="A25576" s="118"/>
      <c r="B25576" s="136"/>
    </row>
    <row r="25577" spans="1:2" x14ac:dyDescent="0.25">
      <c r="A25577" s="118"/>
      <c r="B25577" s="136"/>
    </row>
    <row r="25578" spans="1:2" x14ac:dyDescent="0.25">
      <c r="A25578" s="118"/>
      <c r="B25578" s="136"/>
    </row>
    <row r="25579" spans="1:2" x14ac:dyDescent="0.25">
      <c r="A25579" s="118"/>
      <c r="B25579" s="136"/>
    </row>
    <row r="25580" spans="1:2" x14ac:dyDescent="0.25">
      <c r="A25580" s="118"/>
      <c r="B25580" s="136"/>
    </row>
    <row r="25581" spans="1:2" x14ac:dyDescent="0.25">
      <c r="A25581" s="118"/>
      <c r="B25581" s="136"/>
    </row>
    <row r="25582" spans="1:2" x14ac:dyDescent="0.25">
      <c r="A25582" s="118"/>
      <c r="B25582" s="136"/>
    </row>
    <row r="25583" spans="1:2" x14ac:dyDescent="0.25">
      <c r="A25583" s="118"/>
      <c r="B25583" s="136"/>
    </row>
    <row r="25584" spans="1:2" x14ac:dyDescent="0.25">
      <c r="A25584" s="118"/>
      <c r="B25584" s="136"/>
    </row>
    <row r="25585" spans="1:2" x14ac:dyDescent="0.25">
      <c r="A25585" s="118"/>
      <c r="B25585" s="136"/>
    </row>
    <row r="25586" spans="1:2" x14ac:dyDescent="0.25">
      <c r="A25586" s="118"/>
      <c r="B25586" s="136"/>
    </row>
    <row r="25587" spans="1:2" x14ac:dyDescent="0.25">
      <c r="A25587" s="118"/>
      <c r="B25587" s="136"/>
    </row>
    <row r="25588" spans="1:2" x14ac:dyDescent="0.25">
      <c r="A25588" s="118"/>
      <c r="B25588" s="136"/>
    </row>
    <row r="25589" spans="1:2" x14ac:dyDescent="0.25">
      <c r="A25589" s="118"/>
      <c r="B25589" s="136"/>
    </row>
    <row r="25590" spans="1:2" x14ac:dyDescent="0.25">
      <c r="A25590" s="118"/>
      <c r="B25590" s="136"/>
    </row>
    <row r="25591" spans="1:2" x14ac:dyDescent="0.25">
      <c r="A25591" s="118"/>
      <c r="B25591" s="136"/>
    </row>
    <row r="25592" spans="1:2" x14ac:dyDescent="0.25">
      <c r="A25592" s="118"/>
      <c r="B25592" s="136"/>
    </row>
    <row r="25593" spans="1:2" x14ac:dyDescent="0.25">
      <c r="A25593" s="118"/>
      <c r="B25593" s="136"/>
    </row>
    <row r="25594" spans="1:2" x14ac:dyDescent="0.25">
      <c r="A25594" s="118"/>
      <c r="B25594" s="136"/>
    </row>
    <row r="25595" spans="1:2" x14ac:dyDescent="0.25">
      <c r="A25595" s="118"/>
      <c r="B25595" s="136"/>
    </row>
    <row r="25596" spans="1:2" x14ac:dyDescent="0.25">
      <c r="A25596" s="118"/>
      <c r="B25596" s="136"/>
    </row>
    <row r="25597" spans="1:2" x14ac:dyDescent="0.25">
      <c r="A25597" s="118"/>
      <c r="B25597" s="136"/>
    </row>
    <row r="25598" spans="1:2" x14ac:dyDescent="0.25">
      <c r="A25598" s="118"/>
      <c r="B25598" s="136"/>
    </row>
    <row r="25599" spans="1:2" x14ac:dyDescent="0.25">
      <c r="A25599" s="118"/>
      <c r="B25599" s="136"/>
    </row>
    <row r="25600" spans="1:2" x14ac:dyDescent="0.25">
      <c r="A25600" s="118"/>
      <c r="B25600" s="136"/>
    </row>
    <row r="25601" spans="1:2" x14ac:dyDescent="0.25">
      <c r="A25601" s="118"/>
      <c r="B25601" s="136"/>
    </row>
    <row r="25602" spans="1:2" x14ac:dyDescent="0.25">
      <c r="A25602" s="118"/>
      <c r="B25602" s="136"/>
    </row>
    <row r="25603" spans="1:2" x14ac:dyDescent="0.25">
      <c r="A25603" s="118"/>
      <c r="B25603" s="136"/>
    </row>
    <row r="25604" spans="1:2" x14ac:dyDescent="0.25">
      <c r="A25604" s="118"/>
      <c r="B25604" s="136"/>
    </row>
    <row r="25605" spans="1:2" x14ac:dyDescent="0.25">
      <c r="A25605" s="118"/>
      <c r="B25605" s="136"/>
    </row>
    <row r="25606" spans="1:2" x14ac:dyDescent="0.25">
      <c r="A25606" s="118"/>
      <c r="B25606" s="136"/>
    </row>
    <row r="25607" spans="1:2" x14ac:dyDescent="0.25">
      <c r="A25607" s="118"/>
      <c r="B25607" s="136"/>
    </row>
    <row r="25608" spans="1:2" x14ac:dyDescent="0.25">
      <c r="A25608" s="118"/>
      <c r="B25608" s="136"/>
    </row>
    <row r="25609" spans="1:2" x14ac:dyDescent="0.25">
      <c r="A25609" s="118"/>
      <c r="B25609" s="136"/>
    </row>
    <row r="25610" spans="1:2" x14ac:dyDescent="0.25">
      <c r="A25610" s="118"/>
      <c r="B25610" s="136"/>
    </row>
    <row r="25611" spans="1:2" x14ac:dyDescent="0.25">
      <c r="A25611" s="118"/>
      <c r="B25611" s="136"/>
    </row>
    <row r="25612" spans="1:2" x14ac:dyDescent="0.25">
      <c r="A25612" s="118"/>
      <c r="B25612" s="136"/>
    </row>
    <row r="25613" spans="1:2" x14ac:dyDescent="0.25">
      <c r="A25613" s="118"/>
      <c r="B25613" s="136"/>
    </row>
    <row r="25614" spans="1:2" x14ac:dyDescent="0.25">
      <c r="A25614" s="118"/>
      <c r="B25614" s="136"/>
    </row>
    <row r="25615" spans="1:2" x14ac:dyDescent="0.25">
      <c r="A25615" s="118"/>
      <c r="B25615" s="136"/>
    </row>
    <row r="25616" spans="1:2" x14ac:dyDescent="0.25">
      <c r="A25616" s="118"/>
      <c r="B25616" s="136"/>
    </row>
    <row r="25617" spans="1:2" x14ac:dyDescent="0.25">
      <c r="A25617" s="118"/>
      <c r="B25617" s="136"/>
    </row>
    <row r="25618" spans="1:2" x14ac:dyDescent="0.25">
      <c r="A25618" s="118"/>
      <c r="B25618" s="136"/>
    </row>
    <row r="25619" spans="1:2" x14ac:dyDescent="0.25">
      <c r="A25619" s="118"/>
      <c r="B25619" s="136"/>
    </row>
    <row r="25620" spans="1:2" x14ac:dyDescent="0.25">
      <c r="A25620" s="118"/>
      <c r="B25620" s="136"/>
    </row>
    <row r="25621" spans="1:2" x14ac:dyDescent="0.25">
      <c r="A25621" s="118"/>
      <c r="B25621" s="136"/>
    </row>
    <row r="25622" spans="1:2" x14ac:dyDescent="0.25">
      <c r="A25622" s="118"/>
      <c r="B25622" s="136"/>
    </row>
    <row r="25623" spans="1:2" x14ac:dyDescent="0.25">
      <c r="A25623" s="118"/>
      <c r="B25623" s="136"/>
    </row>
    <row r="25624" spans="1:2" x14ac:dyDescent="0.25">
      <c r="A25624" s="118"/>
      <c r="B25624" s="136"/>
    </row>
    <row r="25625" spans="1:2" x14ac:dyDescent="0.25">
      <c r="A25625" s="118"/>
      <c r="B25625" s="136"/>
    </row>
    <row r="25626" spans="1:2" x14ac:dyDescent="0.25">
      <c r="A25626" s="118"/>
      <c r="B25626" s="136"/>
    </row>
    <row r="25627" spans="1:2" x14ac:dyDescent="0.25">
      <c r="A25627" s="118"/>
      <c r="B25627" s="136"/>
    </row>
    <row r="25628" spans="1:2" x14ac:dyDescent="0.25">
      <c r="A25628" s="118"/>
      <c r="B25628" s="136"/>
    </row>
    <row r="25629" spans="1:2" x14ac:dyDescent="0.25">
      <c r="A25629" s="118"/>
      <c r="B25629" s="136"/>
    </row>
    <row r="25630" spans="1:2" x14ac:dyDescent="0.25">
      <c r="A25630" s="118"/>
      <c r="B25630" s="136"/>
    </row>
    <row r="25631" spans="1:2" x14ac:dyDescent="0.25">
      <c r="A25631" s="118"/>
      <c r="B25631" s="136"/>
    </row>
    <row r="25632" spans="1:2" x14ac:dyDescent="0.25">
      <c r="A25632" s="118"/>
      <c r="B25632" s="136"/>
    </row>
    <row r="25633" spans="1:2" x14ac:dyDescent="0.25">
      <c r="A25633" s="118"/>
      <c r="B25633" s="136"/>
    </row>
    <row r="25634" spans="1:2" x14ac:dyDescent="0.25">
      <c r="A25634" s="118"/>
      <c r="B25634" s="136"/>
    </row>
    <row r="25635" spans="1:2" x14ac:dyDescent="0.25">
      <c r="A25635" s="118"/>
      <c r="B25635" s="136"/>
    </row>
    <row r="25636" spans="1:2" x14ac:dyDescent="0.25">
      <c r="A25636" s="118"/>
      <c r="B25636" s="136"/>
    </row>
    <row r="25637" spans="1:2" x14ac:dyDescent="0.25">
      <c r="A25637" s="118"/>
      <c r="B25637" s="136"/>
    </row>
    <row r="25638" spans="1:2" x14ac:dyDescent="0.25">
      <c r="A25638" s="118"/>
      <c r="B25638" s="136"/>
    </row>
    <row r="25639" spans="1:2" x14ac:dyDescent="0.25">
      <c r="A25639" s="118"/>
      <c r="B25639" s="136"/>
    </row>
    <row r="25640" spans="1:2" x14ac:dyDescent="0.25">
      <c r="A25640" s="118"/>
      <c r="B25640" s="136"/>
    </row>
    <row r="25641" spans="1:2" x14ac:dyDescent="0.25">
      <c r="A25641" s="118"/>
      <c r="B25641" s="136"/>
    </row>
    <row r="25642" spans="1:2" x14ac:dyDescent="0.25">
      <c r="A25642" s="118"/>
      <c r="B25642" s="136"/>
    </row>
    <row r="25643" spans="1:2" x14ac:dyDescent="0.25">
      <c r="A25643" s="118"/>
      <c r="B25643" s="136"/>
    </row>
    <row r="25644" spans="1:2" x14ac:dyDescent="0.25">
      <c r="A25644" s="118"/>
      <c r="B25644" s="136"/>
    </row>
    <row r="25645" spans="1:2" x14ac:dyDescent="0.25">
      <c r="A25645" s="118"/>
      <c r="B25645" s="136"/>
    </row>
    <row r="25646" spans="1:2" x14ac:dyDescent="0.25">
      <c r="A25646" s="118"/>
      <c r="B25646" s="136"/>
    </row>
    <row r="25647" spans="1:2" x14ac:dyDescent="0.25">
      <c r="A25647" s="118"/>
      <c r="B25647" s="136"/>
    </row>
    <row r="25648" spans="1:2" x14ac:dyDescent="0.25">
      <c r="A25648" s="118"/>
      <c r="B25648" s="136"/>
    </row>
    <row r="25649" spans="1:2" x14ac:dyDescent="0.25">
      <c r="A25649" s="118"/>
      <c r="B25649" s="136"/>
    </row>
    <row r="25650" spans="1:2" x14ac:dyDescent="0.25">
      <c r="A25650" s="118"/>
      <c r="B25650" s="136"/>
    </row>
    <row r="25651" spans="1:2" x14ac:dyDescent="0.25">
      <c r="A25651" s="118"/>
      <c r="B25651" s="136"/>
    </row>
    <row r="25652" spans="1:2" x14ac:dyDescent="0.25">
      <c r="A25652" s="118"/>
      <c r="B25652" s="136"/>
    </row>
    <row r="25653" spans="1:2" x14ac:dyDescent="0.25">
      <c r="A25653" s="118"/>
      <c r="B25653" s="136"/>
    </row>
    <row r="25654" spans="1:2" x14ac:dyDescent="0.25">
      <c r="A25654" s="118"/>
      <c r="B25654" s="136"/>
    </row>
    <row r="25655" spans="1:2" x14ac:dyDescent="0.25">
      <c r="A25655" s="118"/>
      <c r="B25655" s="136"/>
    </row>
    <row r="25656" spans="1:2" x14ac:dyDescent="0.25">
      <c r="A25656" s="118"/>
      <c r="B25656" s="136"/>
    </row>
    <row r="25657" spans="1:2" x14ac:dyDescent="0.25">
      <c r="A25657" s="118"/>
      <c r="B25657" s="136"/>
    </row>
    <row r="25658" spans="1:2" x14ac:dyDescent="0.25">
      <c r="A25658" s="118"/>
      <c r="B25658" s="136"/>
    </row>
    <row r="25659" spans="1:2" x14ac:dyDescent="0.25">
      <c r="A25659" s="118"/>
      <c r="B25659" s="136"/>
    </row>
    <row r="25660" spans="1:2" x14ac:dyDescent="0.25">
      <c r="A25660" s="118"/>
      <c r="B25660" s="136"/>
    </row>
    <row r="25661" spans="1:2" x14ac:dyDescent="0.25">
      <c r="A25661" s="118"/>
      <c r="B25661" s="136"/>
    </row>
    <row r="25662" spans="1:2" x14ac:dyDescent="0.25">
      <c r="A25662" s="118"/>
      <c r="B25662" s="136"/>
    </row>
    <row r="25663" spans="1:2" x14ac:dyDescent="0.25">
      <c r="A25663" s="118"/>
      <c r="B25663" s="136"/>
    </row>
    <row r="25664" spans="1:2" x14ac:dyDescent="0.25">
      <c r="A25664" s="118"/>
      <c r="B25664" s="136"/>
    </row>
    <row r="25665" spans="1:2" x14ac:dyDescent="0.25">
      <c r="A25665" s="118"/>
      <c r="B25665" s="136"/>
    </row>
    <row r="25666" spans="1:2" x14ac:dyDescent="0.25">
      <c r="A25666" s="118"/>
      <c r="B25666" s="136"/>
    </row>
    <row r="25667" spans="1:2" x14ac:dyDescent="0.25">
      <c r="A25667" s="118"/>
      <c r="B25667" s="136"/>
    </row>
    <row r="25668" spans="1:2" x14ac:dyDescent="0.25">
      <c r="A25668" s="118"/>
      <c r="B25668" s="136"/>
    </row>
    <row r="25669" spans="1:2" x14ac:dyDescent="0.25">
      <c r="A25669" s="118"/>
      <c r="B25669" s="136"/>
    </row>
    <row r="25670" spans="1:2" x14ac:dyDescent="0.25">
      <c r="A25670" s="118"/>
      <c r="B25670" s="136"/>
    </row>
    <row r="25671" spans="1:2" x14ac:dyDescent="0.25">
      <c r="A25671" s="118"/>
      <c r="B25671" s="136"/>
    </row>
    <row r="25672" spans="1:2" x14ac:dyDescent="0.25">
      <c r="A25672" s="118"/>
      <c r="B25672" s="136"/>
    </row>
    <row r="25673" spans="1:2" x14ac:dyDescent="0.25">
      <c r="A25673" s="118"/>
      <c r="B25673" s="136"/>
    </row>
    <row r="25674" spans="1:2" x14ac:dyDescent="0.25">
      <c r="A25674" s="118"/>
      <c r="B25674" s="136"/>
    </row>
    <row r="25675" spans="1:2" x14ac:dyDescent="0.25">
      <c r="A25675" s="118"/>
      <c r="B25675" s="136"/>
    </row>
    <row r="25676" spans="1:2" x14ac:dyDescent="0.25">
      <c r="A25676" s="118"/>
      <c r="B25676" s="136"/>
    </row>
    <row r="25677" spans="1:2" x14ac:dyDescent="0.25">
      <c r="A25677" s="118"/>
      <c r="B25677" s="136"/>
    </row>
    <row r="25678" spans="1:2" x14ac:dyDescent="0.25">
      <c r="A25678" s="118"/>
      <c r="B25678" s="136"/>
    </row>
    <row r="25679" spans="1:2" x14ac:dyDescent="0.25">
      <c r="A25679" s="118"/>
      <c r="B25679" s="136"/>
    </row>
    <row r="25680" spans="1:2" x14ac:dyDescent="0.25">
      <c r="A25680" s="118"/>
      <c r="B25680" s="136"/>
    </row>
    <row r="25681" spans="1:2" x14ac:dyDescent="0.25">
      <c r="A25681" s="118"/>
      <c r="B25681" s="136"/>
    </row>
    <row r="25682" spans="1:2" x14ac:dyDescent="0.25">
      <c r="A25682" s="118"/>
      <c r="B25682" s="136"/>
    </row>
    <row r="25683" spans="1:2" x14ac:dyDescent="0.25">
      <c r="A25683" s="118"/>
      <c r="B25683" s="136"/>
    </row>
    <row r="25684" spans="1:2" x14ac:dyDescent="0.25">
      <c r="A25684" s="118"/>
      <c r="B25684" s="136"/>
    </row>
    <row r="25685" spans="1:2" x14ac:dyDescent="0.25">
      <c r="A25685" s="118"/>
      <c r="B25685" s="136"/>
    </row>
    <row r="25686" spans="1:2" x14ac:dyDescent="0.25">
      <c r="A25686" s="118"/>
      <c r="B25686" s="136"/>
    </row>
    <row r="25687" spans="1:2" x14ac:dyDescent="0.25">
      <c r="A25687" s="118"/>
      <c r="B25687" s="136"/>
    </row>
    <row r="25688" spans="1:2" x14ac:dyDescent="0.25">
      <c r="A25688" s="118"/>
      <c r="B25688" s="136"/>
    </row>
    <row r="25689" spans="1:2" x14ac:dyDescent="0.25">
      <c r="A25689" s="118"/>
      <c r="B25689" s="136"/>
    </row>
    <row r="25690" spans="1:2" x14ac:dyDescent="0.25">
      <c r="A25690" s="118"/>
      <c r="B25690" s="136"/>
    </row>
    <row r="25691" spans="1:2" x14ac:dyDescent="0.25">
      <c r="A25691" s="118"/>
      <c r="B25691" s="136"/>
    </row>
    <row r="25692" spans="1:2" x14ac:dyDescent="0.25">
      <c r="A25692" s="118"/>
      <c r="B25692" s="136"/>
    </row>
    <row r="25693" spans="1:2" x14ac:dyDescent="0.25">
      <c r="A25693" s="118"/>
      <c r="B25693" s="136"/>
    </row>
    <row r="25694" spans="1:2" x14ac:dyDescent="0.25">
      <c r="A25694" s="118"/>
      <c r="B25694" s="136"/>
    </row>
    <row r="25695" spans="1:2" x14ac:dyDescent="0.25">
      <c r="A25695" s="118"/>
      <c r="B25695" s="136"/>
    </row>
    <row r="25696" spans="1:2" x14ac:dyDescent="0.25">
      <c r="A25696" s="118"/>
      <c r="B25696" s="136"/>
    </row>
    <row r="25697" spans="1:2" x14ac:dyDescent="0.25">
      <c r="A25697" s="118"/>
      <c r="B25697" s="136"/>
    </row>
    <row r="25698" spans="1:2" x14ac:dyDescent="0.25">
      <c r="A25698" s="118"/>
      <c r="B25698" s="136"/>
    </row>
    <row r="25699" spans="1:2" x14ac:dyDescent="0.25">
      <c r="A25699" s="118"/>
      <c r="B25699" s="136"/>
    </row>
    <row r="25700" spans="1:2" x14ac:dyDescent="0.25">
      <c r="A25700" s="118"/>
      <c r="B25700" s="136"/>
    </row>
    <row r="25701" spans="1:2" x14ac:dyDescent="0.25">
      <c r="A25701" s="118"/>
      <c r="B25701" s="136"/>
    </row>
    <row r="25702" spans="1:2" x14ac:dyDescent="0.25">
      <c r="A25702" s="118"/>
      <c r="B25702" s="136"/>
    </row>
    <row r="25703" spans="1:2" x14ac:dyDescent="0.25">
      <c r="A25703" s="118"/>
      <c r="B25703" s="136"/>
    </row>
    <row r="25704" spans="1:2" x14ac:dyDescent="0.25">
      <c r="A25704" s="118"/>
      <c r="B25704" s="136"/>
    </row>
    <row r="25705" spans="1:2" x14ac:dyDescent="0.25">
      <c r="A25705" s="118"/>
      <c r="B25705" s="136"/>
    </row>
    <row r="25706" spans="1:2" x14ac:dyDescent="0.25">
      <c r="A25706" s="118"/>
      <c r="B25706" s="136"/>
    </row>
    <row r="25707" spans="1:2" x14ac:dyDescent="0.25">
      <c r="A25707" s="118"/>
      <c r="B25707" s="136"/>
    </row>
    <row r="25708" spans="1:2" x14ac:dyDescent="0.25">
      <c r="A25708" s="118"/>
      <c r="B25708" s="136"/>
    </row>
    <row r="25709" spans="1:2" x14ac:dyDescent="0.25">
      <c r="A25709" s="118"/>
      <c r="B25709" s="136"/>
    </row>
    <row r="25710" spans="1:2" x14ac:dyDescent="0.25">
      <c r="A25710" s="118"/>
      <c r="B25710" s="136"/>
    </row>
    <row r="25711" spans="1:2" x14ac:dyDescent="0.25">
      <c r="A25711" s="118"/>
      <c r="B25711" s="136"/>
    </row>
    <row r="25712" spans="1:2" x14ac:dyDescent="0.25">
      <c r="A25712" s="118"/>
      <c r="B25712" s="136"/>
    </row>
    <row r="25713" spans="1:2" x14ac:dyDescent="0.25">
      <c r="A25713" s="118"/>
      <c r="B25713" s="136"/>
    </row>
    <row r="25714" spans="1:2" x14ac:dyDescent="0.25">
      <c r="A25714" s="118"/>
      <c r="B25714" s="136"/>
    </row>
    <row r="25715" spans="1:2" x14ac:dyDescent="0.25">
      <c r="A25715" s="118"/>
      <c r="B25715" s="136"/>
    </row>
    <row r="25716" spans="1:2" x14ac:dyDescent="0.25">
      <c r="A25716" s="118"/>
      <c r="B25716" s="136"/>
    </row>
    <row r="25717" spans="1:2" x14ac:dyDescent="0.25">
      <c r="A25717" s="118"/>
      <c r="B25717" s="136"/>
    </row>
    <row r="25718" spans="1:2" x14ac:dyDescent="0.25">
      <c r="A25718" s="118"/>
      <c r="B25718" s="136"/>
    </row>
    <row r="25719" spans="1:2" x14ac:dyDescent="0.25">
      <c r="A25719" s="118"/>
      <c r="B25719" s="136"/>
    </row>
    <row r="25720" spans="1:2" x14ac:dyDescent="0.25">
      <c r="A25720" s="118"/>
      <c r="B25720" s="136"/>
    </row>
    <row r="25721" spans="1:2" x14ac:dyDescent="0.25">
      <c r="A25721" s="118"/>
      <c r="B25721" s="136"/>
    </row>
    <row r="25722" spans="1:2" x14ac:dyDescent="0.25">
      <c r="A25722" s="118"/>
      <c r="B25722" s="136"/>
    </row>
    <row r="25723" spans="1:2" x14ac:dyDescent="0.25">
      <c r="A25723" s="118"/>
      <c r="B25723" s="136"/>
    </row>
    <row r="25724" spans="1:2" x14ac:dyDescent="0.25">
      <c r="A25724" s="118"/>
      <c r="B25724" s="136"/>
    </row>
    <row r="25725" spans="1:2" x14ac:dyDescent="0.25">
      <c r="A25725" s="118"/>
      <c r="B25725" s="136"/>
    </row>
    <row r="25726" spans="1:2" x14ac:dyDescent="0.25">
      <c r="A25726" s="118"/>
      <c r="B25726" s="136"/>
    </row>
    <row r="25727" spans="1:2" x14ac:dyDescent="0.25">
      <c r="A25727" s="118"/>
      <c r="B25727" s="136"/>
    </row>
    <row r="25728" spans="1:2" x14ac:dyDescent="0.25">
      <c r="A25728" s="118"/>
      <c r="B25728" s="136"/>
    </row>
    <row r="25729" spans="1:2" x14ac:dyDescent="0.25">
      <c r="A25729" s="118"/>
      <c r="B25729" s="136"/>
    </row>
    <row r="25730" spans="1:2" x14ac:dyDescent="0.25">
      <c r="A25730" s="118"/>
      <c r="B25730" s="136"/>
    </row>
    <row r="25731" spans="1:2" x14ac:dyDescent="0.25">
      <c r="A25731" s="118"/>
      <c r="B25731" s="136"/>
    </row>
    <row r="25732" spans="1:2" x14ac:dyDescent="0.25">
      <c r="A25732" s="118"/>
      <c r="B25732" s="136"/>
    </row>
    <row r="25733" spans="1:2" x14ac:dyDescent="0.25">
      <c r="A25733" s="118"/>
      <c r="B25733" s="136"/>
    </row>
    <row r="25734" spans="1:2" x14ac:dyDescent="0.25">
      <c r="A25734" s="118"/>
      <c r="B25734" s="136"/>
    </row>
    <row r="25735" spans="1:2" x14ac:dyDescent="0.25">
      <c r="A25735" s="118"/>
      <c r="B25735" s="136"/>
    </row>
    <row r="25736" spans="1:2" x14ac:dyDescent="0.25">
      <c r="A25736" s="118"/>
      <c r="B25736" s="136"/>
    </row>
    <row r="25737" spans="1:2" x14ac:dyDescent="0.25">
      <c r="A25737" s="118"/>
      <c r="B25737" s="136"/>
    </row>
    <row r="25738" spans="1:2" x14ac:dyDescent="0.25">
      <c r="A25738" s="118"/>
      <c r="B25738" s="136"/>
    </row>
    <row r="25739" spans="1:2" x14ac:dyDescent="0.25">
      <c r="A25739" s="118"/>
      <c r="B25739" s="136"/>
    </row>
    <row r="25740" spans="1:2" x14ac:dyDescent="0.25">
      <c r="A25740" s="118"/>
      <c r="B25740" s="136"/>
    </row>
    <row r="25741" spans="1:2" x14ac:dyDescent="0.25">
      <c r="A25741" s="118"/>
      <c r="B25741" s="136"/>
    </row>
    <row r="25742" spans="1:2" x14ac:dyDescent="0.25">
      <c r="A25742" s="118"/>
      <c r="B25742" s="136"/>
    </row>
    <row r="25743" spans="1:2" x14ac:dyDescent="0.25">
      <c r="A25743" s="118"/>
      <c r="B25743" s="136"/>
    </row>
    <row r="25744" spans="1:2" x14ac:dyDescent="0.25">
      <c r="A25744" s="118"/>
      <c r="B25744" s="136"/>
    </row>
    <row r="25745" spans="1:2" x14ac:dyDescent="0.25">
      <c r="A25745" s="118"/>
      <c r="B25745" s="136"/>
    </row>
    <row r="25746" spans="1:2" x14ac:dyDescent="0.25">
      <c r="A25746" s="118"/>
      <c r="B25746" s="136"/>
    </row>
    <row r="25747" spans="1:2" x14ac:dyDescent="0.25">
      <c r="A25747" s="118"/>
      <c r="B25747" s="136"/>
    </row>
    <row r="25748" spans="1:2" x14ac:dyDescent="0.25">
      <c r="A25748" s="118"/>
      <c r="B25748" s="136"/>
    </row>
    <row r="25749" spans="1:2" x14ac:dyDescent="0.25">
      <c r="A25749" s="118"/>
      <c r="B25749" s="136"/>
    </row>
    <row r="25750" spans="1:2" x14ac:dyDescent="0.25">
      <c r="A25750" s="118"/>
      <c r="B25750" s="136"/>
    </row>
    <row r="25751" spans="1:2" x14ac:dyDescent="0.25">
      <c r="A25751" s="118"/>
      <c r="B25751" s="136"/>
    </row>
    <row r="25752" spans="1:2" x14ac:dyDescent="0.25">
      <c r="A25752" s="118"/>
      <c r="B25752" s="136"/>
    </row>
    <row r="25753" spans="1:2" x14ac:dyDescent="0.25">
      <c r="A25753" s="118"/>
      <c r="B25753" s="136"/>
    </row>
    <row r="25754" spans="1:2" x14ac:dyDescent="0.25">
      <c r="A25754" s="118"/>
      <c r="B25754" s="136"/>
    </row>
    <row r="25755" spans="1:2" x14ac:dyDescent="0.25">
      <c r="A25755" s="118"/>
      <c r="B25755" s="136"/>
    </row>
    <row r="25756" spans="1:2" x14ac:dyDescent="0.25">
      <c r="A25756" s="118"/>
      <c r="B25756" s="136"/>
    </row>
    <row r="25757" spans="1:2" x14ac:dyDescent="0.25">
      <c r="A25757" s="118"/>
      <c r="B25757" s="136"/>
    </row>
    <row r="25758" spans="1:2" x14ac:dyDescent="0.25">
      <c r="A25758" s="118"/>
      <c r="B25758" s="136"/>
    </row>
    <row r="25759" spans="1:2" x14ac:dyDescent="0.25">
      <c r="A25759" s="118"/>
      <c r="B25759" s="136"/>
    </row>
    <row r="25760" spans="1:2" x14ac:dyDescent="0.25">
      <c r="A25760" s="118"/>
      <c r="B25760" s="136"/>
    </row>
    <row r="25761" spans="1:2" x14ac:dyDescent="0.25">
      <c r="A25761" s="118"/>
      <c r="B25761" s="136"/>
    </row>
    <row r="25762" spans="1:2" x14ac:dyDescent="0.25">
      <c r="A25762" s="118"/>
      <c r="B25762" s="136"/>
    </row>
    <row r="25763" spans="1:2" x14ac:dyDescent="0.25">
      <c r="A25763" s="118"/>
      <c r="B25763" s="136"/>
    </row>
    <row r="25764" spans="1:2" x14ac:dyDescent="0.25">
      <c r="A25764" s="118"/>
      <c r="B25764" s="136"/>
    </row>
    <row r="25765" spans="1:2" x14ac:dyDescent="0.25">
      <c r="A25765" s="118"/>
      <c r="B25765" s="136"/>
    </row>
    <row r="25766" spans="1:2" x14ac:dyDescent="0.25">
      <c r="A25766" s="118"/>
      <c r="B25766" s="136"/>
    </row>
    <row r="25767" spans="1:2" x14ac:dyDescent="0.25">
      <c r="A25767" s="118"/>
      <c r="B25767" s="136"/>
    </row>
    <row r="25768" spans="1:2" x14ac:dyDescent="0.25">
      <c r="A25768" s="118"/>
      <c r="B25768" s="136"/>
    </row>
    <row r="25769" spans="1:2" x14ac:dyDescent="0.25">
      <c r="A25769" s="118"/>
      <c r="B25769" s="136"/>
    </row>
    <row r="25770" spans="1:2" x14ac:dyDescent="0.25">
      <c r="A25770" s="118"/>
      <c r="B25770" s="136"/>
    </row>
    <row r="25771" spans="1:2" x14ac:dyDescent="0.25">
      <c r="A25771" s="118"/>
      <c r="B25771" s="136"/>
    </row>
    <row r="25772" spans="1:2" x14ac:dyDescent="0.25">
      <c r="A25772" s="118"/>
      <c r="B25772" s="136"/>
    </row>
    <row r="25773" spans="1:2" x14ac:dyDescent="0.25">
      <c r="A25773" s="118"/>
      <c r="B25773" s="136"/>
    </row>
    <row r="25774" spans="1:2" x14ac:dyDescent="0.25">
      <c r="A25774" s="118"/>
      <c r="B25774" s="136"/>
    </row>
    <row r="25775" spans="1:2" x14ac:dyDescent="0.25">
      <c r="A25775" s="118"/>
      <c r="B25775" s="136"/>
    </row>
    <row r="25776" spans="1:2" x14ac:dyDescent="0.25">
      <c r="A25776" s="118"/>
      <c r="B25776" s="136"/>
    </row>
    <row r="25777" spans="1:2" x14ac:dyDescent="0.25">
      <c r="A25777" s="118"/>
      <c r="B25777" s="136"/>
    </row>
    <row r="25778" spans="1:2" x14ac:dyDescent="0.25">
      <c r="A25778" s="118"/>
      <c r="B25778" s="136"/>
    </row>
    <row r="25779" spans="1:2" x14ac:dyDescent="0.25">
      <c r="A25779" s="118"/>
      <c r="B25779" s="136"/>
    </row>
    <row r="25780" spans="1:2" x14ac:dyDescent="0.25">
      <c r="A25780" s="118"/>
      <c r="B25780" s="136"/>
    </row>
    <row r="25781" spans="1:2" x14ac:dyDescent="0.25">
      <c r="A25781" s="118"/>
      <c r="B25781" s="136"/>
    </row>
    <row r="25782" spans="1:2" x14ac:dyDescent="0.25">
      <c r="A25782" s="118"/>
      <c r="B25782" s="136"/>
    </row>
    <row r="25783" spans="1:2" x14ac:dyDescent="0.25">
      <c r="A25783" s="118"/>
      <c r="B25783" s="136"/>
    </row>
    <row r="25784" spans="1:2" x14ac:dyDescent="0.25">
      <c r="A25784" s="118"/>
      <c r="B25784" s="136"/>
    </row>
    <row r="25785" spans="1:2" x14ac:dyDescent="0.25">
      <c r="A25785" s="118"/>
      <c r="B25785" s="136"/>
    </row>
    <row r="25786" spans="1:2" x14ac:dyDescent="0.25">
      <c r="A25786" s="118"/>
      <c r="B25786" s="136"/>
    </row>
    <row r="25787" spans="1:2" x14ac:dyDescent="0.25">
      <c r="A25787" s="118"/>
      <c r="B25787" s="136"/>
    </row>
    <row r="25788" spans="1:2" x14ac:dyDescent="0.25">
      <c r="A25788" s="118"/>
      <c r="B25788" s="136"/>
    </row>
    <row r="25789" spans="1:2" x14ac:dyDescent="0.25">
      <c r="A25789" s="118"/>
      <c r="B25789" s="136"/>
    </row>
    <row r="25790" spans="1:2" x14ac:dyDescent="0.25">
      <c r="A25790" s="118"/>
      <c r="B25790" s="136"/>
    </row>
    <row r="25791" spans="1:2" x14ac:dyDescent="0.25">
      <c r="A25791" s="118"/>
      <c r="B25791" s="136"/>
    </row>
    <row r="25792" spans="1:2" x14ac:dyDescent="0.25">
      <c r="A25792" s="118"/>
      <c r="B25792" s="136"/>
    </row>
    <row r="25793" spans="1:2" x14ac:dyDescent="0.25">
      <c r="A25793" s="118"/>
      <c r="B25793" s="136"/>
    </row>
    <row r="25794" spans="1:2" x14ac:dyDescent="0.25">
      <c r="A25794" s="118"/>
      <c r="B25794" s="136"/>
    </row>
    <row r="25795" spans="1:2" x14ac:dyDescent="0.25">
      <c r="A25795" s="118"/>
      <c r="B25795" s="136"/>
    </row>
    <row r="25796" spans="1:2" x14ac:dyDescent="0.25">
      <c r="A25796" s="118"/>
      <c r="B25796" s="136"/>
    </row>
    <row r="25797" spans="1:2" x14ac:dyDescent="0.25">
      <c r="A25797" s="118"/>
      <c r="B25797" s="136"/>
    </row>
    <row r="25798" spans="1:2" x14ac:dyDescent="0.25">
      <c r="A25798" s="118"/>
      <c r="B25798" s="136"/>
    </row>
    <row r="25799" spans="1:2" x14ac:dyDescent="0.25">
      <c r="A25799" s="118"/>
      <c r="B25799" s="136"/>
    </row>
    <row r="25800" spans="1:2" x14ac:dyDescent="0.25">
      <c r="A25800" s="118"/>
      <c r="B25800" s="136"/>
    </row>
    <row r="25801" spans="1:2" x14ac:dyDescent="0.25">
      <c r="A25801" s="118"/>
      <c r="B25801" s="136"/>
    </row>
    <row r="25802" spans="1:2" x14ac:dyDescent="0.25">
      <c r="A25802" s="118"/>
      <c r="B25802" s="136"/>
    </row>
    <row r="25803" spans="1:2" x14ac:dyDescent="0.25">
      <c r="A25803" s="118"/>
      <c r="B25803" s="136"/>
    </row>
    <row r="25804" spans="1:2" x14ac:dyDescent="0.25">
      <c r="A25804" s="118"/>
      <c r="B25804" s="136"/>
    </row>
    <row r="25805" spans="1:2" x14ac:dyDescent="0.25">
      <c r="A25805" s="118"/>
      <c r="B25805" s="136"/>
    </row>
    <row r="25806" spans="1:2" x14ac:dyDescent="0.25">
      <c r="A25806" s="118"/>
      <c r="B25806" s="136"/>
    </row>
    <row r="25807" spans="1:2" x14ac:dyDescent="0.25">
      <c r="A25807" s="118"/>
      <c r="B25807" s="136"/>
    </row>
    <row r="25808" spans="1:2" x14ac:dyDescent="0.25">
      <c r="A25808" s="118"/>
      <c r="B25808" s="136"/>
    </row>
    <row r="25809" spans="1:2" x14ac:dyDescent="0.25">
      <c r="A25809" s="118"/>
      <c r="B25809" s="136"/>
    </row>
    <row r="25810" spans="1:2" x14ac:dyDescent="0.25">
      <c r="A25810" s="118"/>
      <c r="B25810" s="136"/>
    </row>
    <row r="25811" spans="1:2" x14ac:dyDescent="0.25">
      <c r="A25811" s="118"/>
      <c r="B25811" s="136"/>
    </row>
    <row r="25812" spans="1:2" x14ac:dyDescent="0.25">
      <c r="A25812" s="118"/>
      <c r="B25812" s="136"/>
    </row>
    <row r="25813" spans="1:2" x14ac:dyDescent="0.25">
      <c r="A25813" s="118"/>
      <c r="B25813" s="136"/>
    </row>
    <row r="25814" spans="1:2" x14ac:dyDescent="0.25">
      <c r="A25814" s="118"/>
      <c r="B25814" s="136"/>
    </row>
    <row r="25815" spans="1:2" x14ac:dyDescent="0.25">
      <c r="A25815" s="118"/>
      <c r="B25815" s="136"/>
    </row>
    <row r="25816" spans="1:2" x14ac:dyDescent="0.25">
      <c r="A25816" s="118"/>
      <c r="B25816" s="136"/>
    </row>
    <row r="25817" spans="1:2" x14ac:dyDescent="0.25">
      <c r="A25817" s="118"/>
      <c r="B25817" s="136"/>
    </row>
    <row r="25818" spans="1:2" x14ac:dyDescent="0.25">
      <c r="A25818" s="118"/>
      <c r="B25818" s="136"/>
    </row>
    <row r="25819" spans="1:2" x14ac:dyDescent="0.25">
      <c r="A25819" s="118"/>
      <c r="B25819" s="136"/>
    </row>
    <row r="25820" spans="1:2" x14ac:dyDescent="0.25">
      <c r="A25820" s="118"/>
      <c r="B25820" s="136"/>
    </row>
    <row r="25821" spans="1:2" x14ac:dyDescent="0.25">
      <c r="A25821" s="118"/>
      <c r="B25821" s="136"/>
    </row>
    <row r="25822" spans="1:2" x14ac:dyDescent="0.25">
      <c r="A25822" s="118"/>
      <c r="B25822" s="136"/>
    </row>
    <row r="25823" spans="1:2" x14ac:dyDescent="0.25">
      <c r="A25823" s="118"/>
      <c r="B25823" s="136"/>
    </row>
    <row r="25824" spans="1:2" x14ac:dyDescent="0.25">
      <c r="A25824" s="118"/>
      <c r="B25824" s="136"/>
    </row>
    <row r="25825" spans="1:2" x14ac:dyDescent="0.25">
      <c r="A25825" s="118"/>
      <c r="B25825" s="136"/>
    </row>
    <row r="25826" spans="1:2" x14ac:dyDescent="0.25">
      <c r="A25826" s="118"/>
      <c r="B25826" s="136"/>
    </row>
    <row r="25827" spans="1:2" x14ac:dyDescent="0.25">
      <c r="A25827" s="118"/>
      <c r="B25827" s="136"/>
    </row>
    <row r="25828" spans="1:2" x14ac:dyDescent="0.25">
      <c r="A25828" s="118"/>
      <c r="B25828" s="136"/>
    </row>
    <row r="25829" spans="1:2" x14ac:dyDescent="0.25">
      <c r="A25829" s="118"/>
      <c r="B25829" s="136"/>
    </row>
    <row r="25830" spans="1:2" x14ac:dyDescent="0.25">
      <c r="A25830" s="118"/>
      <c r="B25830" s="136"/>
    </row>
    <row r="25831" spans="1:2" x14ac:dyDescent="0.25">
      <c r="A25831" s="118"/>
      <c r="B25831" s="136"/>
    </row>
    <row r="25832" spans="1:2" x14ac:dyDescent="0.25">
      <c r="A25832" s="118"/>
      <c r="B25832" s="136"/>
    </row>
    <row r="25833" spans="1:2" x14ac:dyDescent="0.25">
      <c r="A25833" s="118"/>
      <c r="B25833" s="136"/>
    </row>
    <row r="25834" spans="1:2" x14ac:dyDescent="0.25">
      <c r="A25834" s="118"/>
      <c r="B25834" s="136"/>
    </row>
    <row r="25835" spans="1:2" x14ac:dyDescent="0.25">
      <c r="A25835" s="118"/>
      <c r="B25835" s="136"/>
    </row>
    <row r="25836" spans="1:2" x14ac:dyDescent="0.25">
      <c r="A25836" s="118"/>
      <c r="B25836" s="136"/>
    </row>
    <row r="25837" spans="1:2" x14ac:dyDescent="0.25">
      <c r="A25837" s="118"/>
      <c r="B25837" s="136"/>
    </row>
    <row r="25838" spans="1:2" x14ac:dyDescent="0.25">
      <c r="A25838" s="118"/>
      <c r="B25838" s="136"/>
    </row>
    <row r="25839" spans="1:2" x14ac:dyDescent="0.25">
      <c r="A25839" s="118"/>
      <c r="B25839" s="136"/>
    </row>
    <row r="25840" spans="1:2" x14ac:dyDescent="0.25">
      <c r="A25840" s="118"/>
      <c r="B25840" s="136"/>
    </row>
    <row r="25841" spans="1:2" x14ac:dyDescent="0.25">
      <c r="A25841" s="118"/>
      <c r="B25841" s="136"/>
    </row>
    <row r="25842" spans="1:2" x14ac:dyDescent="0.25">
      <c r="A25842" s="118"/>
      <c r="B25842" s="136"/>
    </row>
    <row r="25843" spans="1:2" x14ac:dyDescent="0.25">
      <c r="A25843" s="118"/>
      <c r="B25843" s="136"/>
    </row>
    <row r="25844" spans="1:2" x14ac:dyDescent="0.25">
      <c r="A25844" s="118"/>
      <c r="B25844" s="136"/>
    </row>
    <row r="25845" spans="1:2" x14ac:dyDescent="0.25">
      <c r="A25845" s="118"/>
      <c r="B25845" s="136"/>
    </row>
    <row r="25846" spans="1:2" x14ac:dyDescent="0.25">
      <c r="A25846" s="118"/>
      <c r="B25846" s="136"/>
    </row>
    <row r="25847" spans="1:2" x14ac:dyDescent="0.25">
      <c r="A25847" s="118"/>
      <c r="B25847" s="136"/>
    </row>
    <row r="25848" spans="1:2" x14ac:dyDescent="0.25">
      <c r="A25848" s="118"/>
      <c r="B25848" s="136"/>
    </row>
    <row r="25849" spans="1:2" x14ac:dyDescent="0.25">
      <c r="A25849" s="118"/>
      <c r="B25849" s="136"/>
    </row>
    <row r="25850" spans="1:2" x14ac:dyDescent="0.25">
      <c r="A25850" s="118"/>
      <c r="B25850" s="136"/>
    </row>
    <row r="25851" spans="1:2" x14ac:dyDescent="0.25">
      <c r="A25851" s="118"/>
      <c r="B25851" s="136"/>
    </row>
    <row r="25852" spans="1:2" x14ac:dyDescent="0.25">
      <c r="A25852" s="118"/>
      <c r="B25852" s="136"/>
    </row>
    <row r="25853" spans="1:2" x14ac:dyDescent="0.25">
      <c r="A25853" s="118"/>
      <c r="B25853" s="136"/>
    </row>
    <row r="25854" spans="1:2" x14ac:dyDescent="0.25">
      <c r="A25854" s="118"/>
      <c r="B25854" s="136"/>
    </row>
    <row r="25855" spans="1:2" x14ac:dyDescent="0.25">
      <c r="A25855" s="118"/>
      <c r="B25855" s="136"/>
    </row>
    <row r="25856" spans="1:2" x14ac:dyDescent="0.25">
      <c r="A25856" s="118"/>
      <c r="B25856" s="136"/>
    </row>
    <row r="25857" spans="1:2" x14ac:dyDescent="0.25">
      <c r="A25857" s="118"/>
      <c r="B25857" s="136"/>
    </row>
    <row r="25858" spans="1:2" x14ac:dyDescent="0.25">
      <c r="A25858" s="118"/>
      <c r="B25858" s="136"/>
    </row>
    <row r="25859" spans="1:2" x14ac:dyDescent="0.25">
      <c r="A25859" s="118"/>
      <c r="B25859" s="136"/>
    </row>
    <row r="25860" spans="1:2" x14ac:dyDescent="0.25">
      <c r="A25860" s="118"/>
      <c r="B25860" s="136"/>
    </row>
    <row r="25861" spans="1:2" x14ac:dyDescent="0.25">
      <c r="A25861" s="118"/>
      <c r="B25861" s="136"/>
    </row>
    <row r="25862" spans="1:2" x14ac:dyDescent="0.25">
      <c r="A25862" s="118"/>
      <c r="B25862" s="136"/>
    </row>
    <row r="25863" spans="1:2" x14ac:dyDescent="0.25">
      <c r="A25863" s="118"/>
      <c r="B25863" s="136"/>
    </row>
    <row r="25864" spans="1:2" x14ac:dyDescent="0.25">
      <c r="A25864" s="118"/>
      <c r="B25864" s="136"/>
    </row>
    <row r="25865" spans="1:2" x14ac:dyDescent="0.25">
      <c r="A25865" s="118"/>
      <c r="B25865" s="136"/>
    </row>
    <row r="25866" spans="1:2" x14ac:dyDescent="0.25">
      <c r="A25866" s="118"/>
      <c r="B25866" s="136"/>
    </row>
    <row r="25867" spans="1:2" x14ac:dyDescent="0.25">
      <c r="A25867" s="118"/>
      <c r="B25867" s="136"/>
    </row>
    <row r="25868" spans="1:2" x14ac:dyDescent="0.25">
      <c r="A25868" s="118"/>
      <c r="B25868" s="136"/>
    </row>
    <row r="25869" spans="1:2" x14ac:dyDescent="0.25">
      <c r="A25869" s="118"/>
      <c r="B25869" s="136"/>
    </row>
    <row r="25870" spans="1:2" x14ac:dyDescent="0.25">
      <c r="A25870" s="118"/>
      <c r="B25870" s="136"/>
    </row>
    <row r="25871" spans="1:2" x14ac:dyDescent="0.25">
      <c r="A25871" s="118"/>
      <c r="B25871" s="136"/>
    </row>
    <row r="25872" spans="1:2" x14ac:dyDescent="0.25">
      <c r="A25872" s="118"/>
      <c r="B25872" s="136"/>
    </row>
    <row r="25873" spans="1:2" x14ac:dyDescent="0.25">
      <c r="A25873" s="118"/>
      <c r="B25873" s="136"/>
    </row>
    <row r="25874" spans="1:2" x14ac:dyDescent="0.25">
      <c r="A25874" s="118"/>
      <c r="B25874" s="136"/>
    </row>
    <row r="25875" spans="1:2" x14ac:dyDescent="0.25">
      <c r="A25875" s="118"/>
      <c r="B25875" s="136"/>
    </row>
    <row r="25876" spans="1:2" x14ac:dyDescent="0.25">
      <c r="A25876" s="118"/>
      <c r="B25876" s="136"/>
    </row>
    <row r="25877" spans="1:2" x14ac:dyDescent="0.25">
      <c r="A25877" s="118"/>
      <c r="B25877" s="136"/>
    </row>
    <row r="25878" spans="1:2" x14ac:dyDescent="0.25">
      <c r="A25878" s="118"/>
      <c r="B25878" s="136"/>
    </row>
    <row r="25879" spans="1:2" x14ac:dyDescent="0.25">
      <c r="A25879" s="118"/>
      <c r="B25879" s="136"/>
    </row>
    <row r="25880" spans="1:2" x14ac:dyDescent="0.25">
      <c r="A25880" s="118"/>
      <c r="B25880" s="136"/>
    </row>
    <row r="25881" spans="1:2" x14ac:dyDescent="0.25">
      <c r="A25881" s="118"/>
      <c r="B25881" s="136"/>
    </row>
    <row r="25882" spans="1:2" x14ac:dyDescent="0.25">
      <c r="A25882" s="118"/>
      <c r="B25882" s="136"/>
    </row>
    <row r="25883" spans="1:2" x14ac:dyDescent="0.25">
      <c r="A25883" s="118"/>
      <c r="B25883" s="136"/>
    </row>
    <row r="25884" spans="1:2" x14ac:dyDescent="0.25">
      <c r="A25884" s="118"/>
      <c r="B25884" s="136"/>
    </row>
    <row r="25885" spans="1:2" x14ac:dyDescent="0.25">
      <c r="A25885" s="118"/>
      <c r="B25885" s="136"/>
    </row>
    <row r="25886" spans="1:2" x14ac:dyDescent="0.25">
      <c r="A25886" s="118"/>
      <c r="B25886" s="136"/>
    </row>
    <row r="25887" spans="1:2" x14ac:dyDescent="0.25">
      <c r="A25887" s="118"/>
      <c r="B25887" s="136"/>
    </row>
    <row r="25888" spans="1:2" x14ac:dyDescent="0.25">
      <c r="A25888" s="118"/>
      <c r="B25888" s="136"/>
    </row>
    <row r="25889" spans="1:2" x14ac:dyDescent="0.25">
      <c r="A25889" s="118"/>
      <c r="B25889" s="136"/>
    </row>
    <row r="25890" spans="1:2" x14ac:dyDescent="0.25">
      <c r="A25890" s="118"/>
      <c r="B25890" s="136"/>
    </row>
    <row r="25891" spans="1:2" x14ac:dyDescent="0.25">
      <c r="A25891" s="118"/>
      <c r="B25891" s="136"/>
    </row>
    <row r="25892" spans="1:2" x14ac:dyDescent="0.25">
      <c r="A25892" s="118"/>
      <c r="B25892" s="136"/>
    </row>
    <row r="25893" spans="1:2" x14ac:dyDescent="0.25">
      <c r="A25893" s="118"/>
      <c r="B25893" s="136"/>
    </row>
    <row r="25894" spans="1:2" x14ac:dyDescent="0.25">
      <c r="A25894" s="118"/>
      <c r="B25894" s="136"/>
    </row>
    <row r="25895" spans="1:2" x14ac:dyDescent="0.25">
      <c r="A25895" s="118"/>
      <c r="B25895" s="136"/>
    </row>
    <row r="25896" spans="1:2" x14ac:dyDescent="0.25">
      <c r="A25896" s="118"/>
      <c r="B25896" s="136"/>
    </row>
    <row r="25897" spans="1:2" x14ac:dyDescent="0.25">
      <c r="A25897" s="118"/>
      <c r="B25897" s="136"/>
    </row>
    <row r="25898" spans="1:2" x14ac:dyDescent="0.25">
      <c r="A25898" s="118"/>
      <c r="B25898" s="136"/>
    </row>
    <row r="25899" spans="1:2" x14ac:dyDescent="0.25">
      <c r="A25899" s="118"/>
      <c r="B25899" s="136"/>
    </row>
    <row r="25900" spans="1:2" x14ac:dyDescent="0.25">
      <c r="A25900" s="118"/>
      <c r="B25900" s="136"/>
    </row>
    <row r="25901" spans="1:2" x14ac:dyDescent="0.25">
      <c r="A25901" s="118"/>
      <c r="B25901" s="136"/>
    </row>
    <row r="25902" spans="1:2" x14ac:dyDescent="0.25">
      <c r="A25902" s="118"/>
      <c r="B25902" s="136"/>
    </row>
    <row r="25903" spans="1:2" x14ac:dyDescent="0.25">
      <c r="A25903" s="118"/>
      <c r="B25903" s="136"/>
    </row>
    <row r="25904" spans="1:2" x14ac:dyDescent="0.25">
      <c r="A25904" s="118"/>
      <c r="B25904" s="136"/>
    </row>
    <row r="25905" spans="1:2" x14ac:dyDescent="0.25">
      <c r="A25905" s="118"/>
      <c r="B25905" s="136"/>
    </row>
    <row r="25906" spans="1:2" x14ac:dyDescent="0.25">
      <c r="A25906" s="118"/>
      <c r="B25906" s="136"/>
    </row>
    <row r="25907" spans="1:2" x14ac:dyDescent="0.25">
      <c r="A25907" s="118"/>
      <c r="B25907" s="136"/>
    </row>
    <row r="25908" spans="1:2" x14ac:dyDescent="0.25">
      <c r="A25908" s="118"/>
      <c r="B25908" s="136"/>
    </row>
    <row r="25909" spans="1:2" x14ac:dyDescent="0.25">
      <c r="A25909" s="118"/>
      <c r="B25909" s="136"/>
    </row>
    <row r="25910" spans="1:2" x14ac:dyDescent="0.25">
      <c r="A25910" s="118"/>
      <c r="B25910" s="136"/>
    </row>
    <row r="25911" spans="1:2" x14ac:dyDescent="0.25">
      <c r="A25911" s="118"/>
      <c r="B25911" s="136"/>
    </row>
    <row r="25912" spans="1:2" x14ac:dyDescent="0.25">
      <c r="A25912" s="118"/>
      <c r="B25912" s="136"/>
    </row>
    <row r="25913" spans="1:2" x14ac:dyDescent="0.25">
      <c r="A25913" s="118"/>
      <c r="B25913" s="136"/>
    </row>
    <row r="25914" spans="1:2" x14ac:dyDescent="0.25">
      <c r="A25914" s="118"/>
      <c r="B25914" s="136"/>
    </row>
    <row r="25915" spans="1:2" x14ac:dyDescent="0.25">
      <c r="A25915" s="118"/>
      <c r="B25915" s="136"/>
    </row>
    <row r="25916" spans="1:2" x14ac:dyDescent="0.25">
      <c r="A25916" s="118"/>
      <c r="B25916" s="136"/>
    </row>
    <row r="25917" spans="1:2" x14ac:dyDescent="0.25">
      <c r="A25917" s="118"/>
      <c r="B25917" s="136"/>
    </row>
    <row r="25918" spans="1:2" x14ac:dyDescent="0.25">
      <c r="A25918" s="118"/>
      <c r="B25918" s="136"/>
    </row>
    <row r="25919" spans="1:2" x14ac:dyDescent="0.25">
      <c r="A25919" s="118"/>
      <c r="B25919" s="136"/>
    </row>
    <row r="25920" spans="1:2" x14ac:dyDescent="0.25">
      <c r="A25920" s="118"/>
      <c r="B25920" s="136"/>
    </row>
    <row r="25921" spans="1:2" x14ac:dyDescent="0.25">
      <c r="A25921" s="118"/>
      <c r="B25921" s="136"/>
    </row>
    <row r="25922" spans="1:2" x14ac:dyDescent="0.25">
      <c r="A25922" s="118"/>
      <c r="B25922" s="136"/>
    </row>
    <row r="25923" spans="1:2" x14ac:dyDescent="0.25">
      <c r="A25923" s="118"/>
      <c r="B25923" s="136"/>
    </row>
    <row r="25924" spans="1:2" x14ac:dyDescent="0.25">
      <c r="A25924" s="118"/>
      <c r="B25924" s="136"/>
    </row>
    <row r="25925" spans="1:2" x14ac:dyDescent="0.25">
      <c r="A25925" s="118"/>
      <c r="B25925" s="136"/>
    </row>
    <row r="25926" spans="1:2" x14ac:dyDescent="0.25">
      <c r="A25926" s="118"/>
      <c r="B25926" s="136"/>
    </row>
    <row r="25927" spans="1:2" x14ac:dyDescent="0.25">
      <c r="A25927" s="118"/>
      <c r="B25927" s="136"/>
    </row>
    <row r="25928" spans="1:2" x14ac:dyDescent="0.25">
      <c r="A25928" s="118"/>
      <c r="B25928" s="136"/>
    </row>
    <row r="25929" spans="1:2" x14ac:dyDescent="0.25">
      <c r="A25929" s="118"/>
      <c r="B25929" s="136"/>
    </row>
    <row r="25930" spans="1:2" x14ac:dyDescent="0.25">
      <c r="A25930" s="118"/>
      <c r="B25930" s="136"/>
    </row>
    <row r="25931" spans="1:2" x14ac:dyDescent="0.25">
      <c r="A25931" s="118"/>
      <c r="B25931" s="136"/>
    </row>
    <row r="25932" spans="1:2" x14ac:dyDescent="0.25">
      <c r="A25932" s="118"/>
      <c r="B25932" s="136"/>
    </row>
    <row r="25933" spans="1:2" x14ac:dyDescent="0.25">
      <c r="A25933" s="118"/>
      <c r="B25933" s="136"/>
    </row>
    <row r="25934" spans="1:2" x14ac:dyDescent="0.25">
      <c r="A25934" s="118"/>
      <c r="B25934" s="136"/>
    </row>
    <row r="25935" spans="1:2" x14ac:dyDescent="0.25">
      <c r="A25935" s="118"/>
      <c r="B25935" s="136"/>
    </row>
    <row r="25936" spans="1:2" x14ac:dyDescent="0.25">
      <c r="A25936" s="118"/>
      <c r="B25936" s="136"/>
    </row>
    <row r="25937" spans="1:2" x14ac:dyDescent="0.25">
      <c r="A25937" s="118"/>
      <c r="B25937" s="136"/>
    </row>
    <row r="25938" spans="1:2" x14ac:dyDescent="0.25">
      <c r="A25938" s="118"/>
      <c r="B25938" s="136"/>
    </row>
    <row r="25939" spans="1:2" x14ac:dyDescent="0.25">
      <c r="A25939" s="118"/>
      <c r="B25939" s="136"/>
    </row>
    <row r="25940" spans="1:2" x14ac:dyDescent="0.25">
      <c r="A25940" s="118"/>
      <c r="B25940" s="136"/>
    </row>
    <row r="25941" spans="1:2" x14ac:dyDescent="0.25">
      <c r="A25941" s="118"/>
      <c r="B25941" s="136"/>
    </row>
    <row r="25942" spans="1:2" x14ac:dyDescent="0.25">
      <c r="A25942" s="118"/>
      <c r="B25942" s="136"/>
    </row>
    <row r="25943" spans="1:2" x14ac:dyDescent="0.25">
      <c r="A25943" s="118"/>
      <c r="B25943" s="136"/>
    </row>
    <row r="25944" spans="1:2" x14ac:dyDescent="0.25">
      <c r="A25944" s="118"/>
      <c r="B25944" s="136"/>
    </row>
    <row r="25945" spans="1:2" x14ac:dyDescent="0.25">
      <c r="A25945" s="118"/>
      <c r="B25945" s="136"/>
    </row>
    <row r="25946" spans="1:2" x14ac:dyDescent="0.25">
      <c r="A25946" s="118"/>
      <c r="B25946" s="136"/>
    </row>
    <row r="25947" spans="1:2" x14ac:dyDescent="0.25">
      <c r="A25947" s="118"/>
      <c r="B25947" s="136"/>
    </row>
    <row r="25948" spans="1:2" x14ac:dyDescent="0.25">
      <c r="A25948" s="118"/>
      <c r="B25948" s="136"/>
    </row>
    <row r="25949" spans="1:2" x14ac:dyDescent="0.25">
      <c r="A25949" s="118"/>
      <c r="B25949" s="136"/>
    </row>
    <row r="25950" spans="1:2" x14ac:dyDescent="0.25">
      <c r="A25950" s="118"/>
      <c r="B25950" s="136"/>
    </row>
    <row r="25951" spans="1:2" x14ac:dyDescent="0.25">
      <c r="A25951" s="118"/>
      <c r="B25951" s="136"/>
    </row>
    <row r="25952" spans="1:2" x14ac:dyDescent="0.25">
      <c r="A25952" s="118"/>
      <c r="B25952" s="136"/>
    </row>
    <row r="25953" spans="1:2" x14ac:dyDescent="0.25">
      <c r="A25953" s="118"/>
      <c r="B25953" s="136"/>
    </row>
    <row r="25954" spans="1:2" x14ac:dyDescent="0.25">
      <c r="A25954" s="118"/>
      <c r="B25954" s="136"/>
    </row>
    <row r="25955" spans="1:2" x14ac:dyDescent="0.25">
      <c r="A25955" s="118"/>
      <c r="B25955" s="136"/>
    </row>
    <row r="25956" spans="1:2" x14ac:dyDescent="0.25">
      <c r="A25956" s="118"/>
      <c r="B25956" s="136"/>
    </row>
    <row r="25957" spans="1:2" x14ac:dyDescent="0.25">
      <c r="A25957" s="118"/>
      <c r="B25957" s="136"/>
    </row>
    <row r="25958" spans="1:2" x14ac:dyDescent="0.25">
      <c r="A25958" s="118"/>
      <c r="B25958" s="136"/>
    </row>
    <row r="25959" spans="1:2" x14ac:dyDescent="0.25">
      <c r="A25959" s="118"/>
      <c r="B25959" s="136"/>
    </row>
    <row r="25960" spans="1:2" x14ac:dyDescent="0.25">
      <c r="A25960" s="118"/>
      <c r="B25960" s="136"/>
    </row>
    <row r="25961" spans="1:2" x14ac:dyDescent="0.25">
      <c r="A25961" s="118"/>
      <c r="B25961" s="136"/>
    </row>
    <row r="25962" spans="1:2" x14ac:dyDescent="0.25">
      <c r="A25962" s="118"/>
      <c r="B25962" s="136"/>
    </row>
    <row r="25963" spans="1:2" x14ac:dyDescent="0.25">
      <c r="A25963" s="118"/>
      <c r="B25963" s="136"/>
    </row>
    <row r="25964" spans="1:2" x14ac:dyDescent="0.25">
      <c r="A25964" s="118"/>
      <c r="B25964" s="136"/>
    </row>
    <row r="25965" spans="1:2" x14ac:dyDescent="0.25">
      <c r="A25965" s="118"/>
      <c r="B25965" s="136"/>
    </row>
    <row r="25966" spans="1:2" x14ac:dyDescent="0.25">
      <c r="A25966" s="118"/>
      <c r="B25966" s="136"/>
    </row>
    <row r="25967" spans="1:2" x14ac:dyDescent="0.25">
      <c r="A25967" s="118"/>
      <c r="B25967" s="136"/>
    </row>
    <row r="25968" spans="1:2" x14ac:dyDescent="0.25">
      <c r="A25968" s="118"/>
      <c r="B25968" s="136"/>
    </row>
    <row r="25969" spans="1:2" x14ac:dyDescent="0.25">
      <c r="A25969" s="118"/>
      <c r="B25969" s="136"/>
    </row>
    <row r="25970" spans="1:2" x14ac:dyDescent="0.25">
      <c r="A25970" s="118"/>
      <c r="B25970" s="136"/>
    </row>
    <row r="25971" spans="1:2" x14ac:dyDescent="0.25">
      <c r="A25971" s="118"/>
      <c r="B25971" s="136"/>
    </row>
    <row r="25972" spans="1:2" x14ac:dyDescent="0.25">
      <c r="A25972" s="118"/>
      <c r="B25972" s="136"/>
    </row>
    <row r="25973" spans="1:2" x14ac:dyDescent="0.25">
      <c r="A25973" s="118"/>
      <c r="B25973" s="136"/>
    </row>
    <row r="25974" spans="1:2" x14ac:dyDescent="0.25">
      <c r="A25974" s="118"/>
      <c r="B25974" s="136"/>
    </row>
    <row r="25975" spans="1:2" x14ac:dyDescent="0.25">
      <c r="A25975" s="118"/>
      <c r="B25975" s="136"/>
    </row>
    <row r="25976" spans="1:2" x14ac:dyDescent="0.25">
      <c r="A25976" s="118"/>
      <c r="B25976" s="136"/>
    </row>
    <row r="25977" spans="1:2" x14ac:dyDescent="0.25">
      <c r="A25977" s="118"/>
      <c r="B25977" s="136"/>
    </row>
    <row r="25978" spans="1:2" x14ac:dyDescent="0.25">
      <c r="A25978" s="118"/>
      <c r="B25978" s="136"/>
    </row>
    <row r="25979" spans="1:2" x14ac:dyDescent="0.25">
      <c r="A25979" s="118"/>
      <c r="B25979" s="136"/>
    </row>
    <row r="25980" spans="1:2" x14ac:dyDescent="0.25">
      <c r="A25980" s="118"/>
      <c r="B25980" s="136"/>
    </row>
    <row r="25981" spans="1:2" x14ac:dyDescent="0.25">
      <c r="A25981" s="118"/>
      <c r="B25981" s="136"/>
    </row>
    <row r="25982" spans="1:2" x14ac:dyDescent="0.25">
      <c r="A25982" s="118"/>
      <c r="B25982" s="136"/>
    </row>
    <row r="25983" spans="1:2" x14ac:dyDescent="0.25">
      <c r="A25983" s="118"/>
      <c r="B25983" s="136"/>
    </row>
    <row r="25984" spans="1:2" x14ac:dyDescent="0.25">
      <c r="A25984" s="118"/>
      <c r="B25984" s="136"/>
    </row>
    <row r="25985" spans="1:2" x14ac:dyDescent="0.25">
      <c r="A25985" s="118"/>
      <c r="B25985" s="136"/>
    </row>
    <row r="25986" spans="1:2" x14ac:dyDescent="0.25">
      <c r="A25986" s="118"/>
      <c r="B25986" s="136"/>
    </row>
    <row r="25987" spans="1:2" x14ac:dyDescent="0.25">
      <c r="A25987" s="118"/>
      <c r="B25987" s="136"/>
    </row>
    <row r="25988" spans="1:2" x14ac:dyDescent="0.25">
      <c r="A25988" s="118"/>
      <c r="B25988" s="136"/>
    </row>
    <row r="25989" spans="1:2" x14ac:dyDescent="0.25">
      <c r="A25989" s="118"/>
      <c r="B25989" s="136"/>
    </row>
    <row r="25990" spans="1:2" x14ac:dyDescent="0.25">
      <c r="A25990" s="118"/>
      <c r="B25990" s="136"/>
    </row>
    <row r="25991" spans="1:2" x14ac:dyDescent="0.25">
      <c r="A25991" s="118"/>
      <c r="B25991" s="136"/>
    </row>
    <row r="25992" spans="1:2" x14ac:dyDescent="0.25">
      <c r="A25992" s="118"/>
      <c r="B25992" s="136"/>
    </row>
    <row r="25993" spans="1:2" x14ac:dyDescent="0.25">
      <c r="A25993" s="118"/>
      <c r="B25993" s="136"/>
    </row>
    <row r="25994" spans="1:2" x14ac:dyDescent="0.25">
      <c r="A25994" s="118"/>
      <c r="B25994" s="136"/>
    </row>
    <row r="25995" spans="1:2" x14ac:dyDescent="0.25">
      <c r="A25995" s="118"/>
      <c r="B25995" s="136"/>
    </row>
    <row r="25996" spans="1:2" x14ac:dyDescent="0.25">
      <c r="A25996" s="118"/>
      <c r="B25996" s="136"/>
    </row>
    <row r="25997" spans="1:2" x14ac:dyDescent="0.25">
      <c r="A25997" s="118"/>
      <c r="B25997" s="136"/>
    </row>
    <row r="25998" spans="1:2" x14ac:dyDescent="0.25">
      <c r="A25998" s="118"/>
      <c r="B25998" s="136"/>
    </row>
    <row r="25999" spans="1:2" x14ac:dyDescent="0.25">
      <c r="A25999" s="118"/>
      <c r="B25999" s="136"/>
    </row>
    <row r="26000" spans="1:2" x14ac:dyDescent="0.25">
      <c r="A26000" s="118"/>
      <c r="B26000" s="136"/>
    </row>
    <row r="26001" spans="1:2" x14ac:dyDescent="0.25">
      <c r="A26001" s="118"/>
      <c r="B26001" s="136"/>
    </row>
    <row r="26002" spans="1:2" x14ac:dyDescent="0.25">
      <c r="A26002" s="118"/>
      <c r="B26002" s="136"/>
    </row>
    <row r="26003" spans="1:2" x14ac:dyDescent="0.25">
      <c r="A26003" s="118"/>
      <c r="B26003" s="136"/>
    </row>
    <row r="26004" spans="1:2" x14ac:dyDescent="0.25">
      <c r="A26004" s="118"/>
      <c r="B26004" s="136"/>
    </row>
    <row r="26005" spans="1:2" x14ac:dyDescent="0.25">
      <c r="A26005" s="118"/>
      <c r="B26005" s="136"/>
    </row>
    <row r="26006" spans="1:2" x14ac:dyDescent="0.25">
      <c r="A26006" s="118"/>
      <c r="B26006" s="136"/>
    </row>
    <row r="26007" spans="1:2" x14ac:dyDescent="0.25">
      <c r="A26007" s="118"/>
      <c r="B26007" s="136"/>
    </row>
    <row r="26008" spans="1:2" x14ac:dyDescent="0.25">
      <c r="A26008" s="118"/>
      <c r="B26008" s="136"/>
    </row>
    <row r="26009" spans="1:2" x14ac:dyDescent="0.25">
      <c r="A26009" s="118"/>
      <c r="B26009" s="136"/>
    </row>
    <row r="26010" spans="1:2" x14ac:dyDescent="0.25">
      <c r="A26010" s="118"/>
      <c r="B26010" s="136"/>
    </row>
    <row r="26011" spans="1:2" x14ac:dyDescent="0.25">
      <c r="A26011" s="118"/>
      <c r="B26011" s="136"/>
    </row>
    <row r="26012" spans="1:2" x14ac:dyDescent="0.25">
      <c r="A26012" s="118"/>
      <c r="B26012" s="136"/>
    </row>
    <row r="26013" spans="1:2" x14ac:dyDescent="0.25">
      <c r="A26013" s="118"/>
      <c r="B26013" s="136"/>
    </row>
    <row r="26014" spans="1:2" x14ac:dyDescent="0.25">
      <c r="A26014" s="118"/>
      <c r="B26014" s="136"/>
    </row>
    <row r="26015" spans="1:2" x14ac:dyDescent="0.25">
      <c r="A26015" s="118"/>
      <c r="B26015" s="136"/>
    </row>
    <row r="26016" spans="1:2" x14ac:dyDescent="0.25">
      <c r="A26016" s="118"/>
      <c r="B26016" s="136"/>
    </row>
    <row r="26017" spans="1:2" x14ac:dyDescent="0.25">
      <c r="A26017" s="118"/>
      <c r="B26017" s="136"/>
    </row>
    <row r="26018" spans="1:2" x14ac:dyDescent="0.25">
      <c r="A26018" s="118"/>
      <c r="B26018" s="136"/>
    </row>
    <row r="26019" spans="1:2" x14ac:dyDescent="0.25">
      <c r="A26019" s="118"/>
      <c r="B26019" s="136"/>
    </row>
    <row r="26020" spans="1:2" x14ac:dyDescent="0.25">
      <c r="A26020" s="118"/>
      <c r="B26020" s="136"/>
    </row>
    <row r="26021" spans="1:2" x14ac:dyDescent="0.25">
      <c r="A26021" s="118"/>
      <c r="B26021" s="136"/>
    </row>
    <row r="26022" spans="1:2" x14ac:dyDescent="0.25">
      <c r="A26022" s="118"/>
      <c r="B26022" s="136"/>
    </row>
    <row r="26023" spans="1:2" x14ac:dyDescent="0.25">
      <c r="A26023" s="118"/>
      <c r="B26023" s="136"/>
    </row>
    <row r="26024" spans="1:2" x14ac:dyDescent="0.25">
      <c r="A26024" s="118"/>
      <c r="B26024" s="136"/>
    </row>
    <row r="26025" spans="1:2" x14ac:dyDescent="0.25">
      <c r="A26025" s="118"/>
      <c r="B26025" s="136"/>
    </row>
    <row r="26026" spans="1:2" x14ac:dyDescent="0.25">
      <c r="A26026" s="118"/>
      <c r="B26026" s="136"/>
    </row>
    <row r="26027" spans="1:2" x14ac:dyDescent="0.25">
      <c r="A26027" s="118"/>
      <c r="B26027" s="136"/>
    </row>
    <row r="26028" spans="1:2" x14ac:dyDescent="0.25">
      <c r="A26028" s="118"/>
      <c r="B26028" s="136"/>
    </row>
    <row r="26029" spans="1:2" x14ac:dyDescent="0.25">
      <c r="A26029" s="118"/>
      <c r="B26029" s="136"/>
    </row>
    <row r="26030" spans="1:2" x14ac:dyDescent="0.25">
      <c r="A26030" s="118"/>
      <c r="B26030" s="136"/>
    </row>
    <row r="26031" spans="1:2" x14ac:dyDescent="0.25">
      <c r="A26031" s="118"/>
      <c r="B26031" s="136"/>
    </row>
    <row r="26032" spans="1:2" x14ac:dyDescent="0.25">
      <c r="A26032" s="118"/>
      <c r="B26032" s="136"/>
    </row>
    <row r="26033" spans="1:2" x14ac:dyDescent="0.25">
      <c r="A26033" s="118"/>
      <c r="B26033" s="136"/>
    </row>
    <row r="26034" spans="1:2" x14ac:dyDescent="0.25">
      <c r="A26034" s="118"/>
      <c r="B26034" s="136"/>
    </row>
    <row r="26035" spans="1:2" x14ac:dyDescent="0.25">
      <c r="A26035" s="118"/>
      <c r="B26035" s="136"/>
    </row>
    <row r="26036" spans="1:2" x14ac:dyDescent="0.25">
      <c r="A26036" s="118"/>
      <c r="B26036" s="136"/>
    </row>
    <row r="26037" spans="1:2" x14ac:dyDescent="0.25">
      <c r="A26037" s="118"/>
      <c r="B26037" s="136"/>
    </row>
    <row r="26038" spans="1:2" x14ac:dyDescent="0.25">
      <c r="A26038" s="118"/>
      <c r="B26038" s="136"/>
    </row>
    <row r="26039" spans="1:2" x14ac:dyDescent="0.25">
      <c r="A26039" s="118"/>
      <c r="B26039" s="136"/>
    </row>
    <row r="26040" spans="1:2" x14ac:dyDescent="0.25">
      <c r="A26040" s="118"/>
      <c r="B26040" s="136"/>
    </row>
    <row r="26041" spans="1:2" x14ac:dyDescent="0.25">
      <c r="A26041" s="118"/>
      <c r="B26041" s="136"/>
    </row>
    <row r="26042" spans="1:2" x14ac:dyDescent="0.25">
      <c r="A26042" s="118"/>
      <c r="B26042" s="136"/>
    </row>
    <row r="26043" spans="1:2" x14ac:dyDescent="0.25">
      <c r="A26043" s="118"/>
      <c r="B26043" s="136"/>
    </row>
    <row r="26044" spans="1:2" x14ac:dyDescent="0.25">
      <c r="A26044" s="118"/>
      <c r="B26044" s="136"/>
    </row>
    <row r="26045" spans="1:2" x14ac:dyDescent="0.25">
      <c r="A26045" s="118"/>
      <c r="B26045" s="136"/>
    </row>
    <row r="26046" spans="1:2" x14ac:dyDescent="0.25">
      <c r="A26046" s="118"/>
      <c r="B26046" s="136"/>
    </row>
    <row r="26047" spans="1:2" x14ac:dyDescent="0.25">
      <c r="A26047" s="118"/>
      <c r="B26047" s="136"/>
    </row>
    <row r="26048" spans="1:2" x14ac:dyDescent="0.25">
      <c r="A26048" s="118"/>
      <c r="B26048" s="136"/>
    </row>
    <row r="26049" spans="1:2" x14ac:dyDescent="0.25">
      <c r="A26049" s="118"/>
      <c r="B26049" s="136"/>
    </row>
    <row r="26050" spans="1:2" x14ac:dyDescent="0.25">
      <c r="A26050" s="118"/>
      <c r="B26050" s="136"/>
    </row>
    <row r="26051" spans="1:2" x14ac:dyDescent="0.25">
      <c r="A26051" s="118"/>
      <c r="B26051" s="136"/>
    </row>
    <row r="26052" spans="1:2" x14ac:dyDescent="0.25">
      <c r="A26052" s="118"/>
      <c r="B26052" s="136"/>
    </row>
    <row r="26053" spans="1:2" x14ac:dyDescent="0.25">
      <c r="A26053" s="118"/>
      <c r="B26053" s="136"/>
    </row>
    <row r="26054" spans="1:2" x14ac:dyDescent="0.25">
      <c r="A26054" s="118"/>
      <c r="B26054" s="136"/>
    </row>
    <row r="26055" spans="1:2" x14ac:dyDescent="0.25">
      <c r="A26055" s="118"/>
      <c r="B26055" s="136"/>
    </row>
    <row r="26056" spans="1:2" x14ac:dyDescent="0.25">
      <c r="A26056" s="118"/>
      <c r="B26056" s="136"/>
    </row>
    <row r="26057" spans="1:2" x14ac:dyDescent="0.25">
      <c r="A26057" s="118"/>
      <c r="B26057" s="136"/>
    </row>
    <row r="26058" spans="1:2" x14ac:dyDescent="0.25">
      <c r="A26058" s="118"/>
      <c r="B26058" s="136"/>
    </row>
    <row r="26059" spans="1:2" x14ac:dyDescent="0.25">
      <c r="A26059" s="118"/>
      <c r="B26059" s="136"/>
    </row>
    <row r="26060" spans="1:2" x14ac:dyDescent="0.25">
      <c r="A26060" s="118"/>
      <c r="B26060" s="136"/>
    </row>
    <row r="26061" spans="1:2" x14ac:dyDescent="0.25">
      <c r="A26061" s="118"/>
      <c r="B26061" s="136"/>
    </row>
    <row r="26062" spans="1:2" x14ac:dyDescent="0.25">
      <c r="A26062" s="118"/>
      <c r="B26062" s="136"/>
    </row>
    <row r="26063" spans="1:2" x14ac:dyDescent="0.25">
      <c r="A26063" s="118"/>
      <c r="B26063" s="136"/>
    </row>
    <row r="26064" spans="1:2" x14ac:dyDescent="0.25">
      <c r="A26064" s="118"/>
      <c r="B26064" s="136"/>
    </row>
    <row r="26065" spans="1:2" x14ac:dyDescent="0.25">
      <c r="A26065" s="118"/>
      <c r="B26065" s="136"/>
    </row>
    <row r="26066" spans="1:2" x14ac:dyDescent="0.25">
      <c r="A26066" s="118"/>
      <c r="B26066" s="136"/>
    </row>
    <row r="26067" spans="1:2" x14ac:dyDescent="0.25">
      <c r="A26067" s="118"/>
      <c r="B26067" s="136"/>
    </row>
    <row r="26068" spans="1:2" x14ac:dyDescent="0.25">
      <c r="A26068" s="118"/>
      <c r="B26068" s="136"/>
    </row>
    <row r="26069" spans="1:2" x14ac:dyDescent="0.25">
      <c r="A26069" s="118"/>
      <c r="B26069" s="136"/>
    </row>
    <row r="26070" spans="1:2" x14ac:dyDescent="0.25">
      <c r="A26070" s="118"/>
      <c r="B26070" s="136"/>
    </row>
    <row r="26071" spans="1:2" x14ac:dyDescent="0.25">
      <c r="A26071" s="118"/>
      <c r="B26071" s="136"/>
    </row>
    <row r="26072" spans="1:2" x14ac:dyDescent="0.25">
      <c r="A26072" s="118"/>
      <c r="B26072" s="136"/>
    </row>
    <row r="26073" spans="1:2" x14ac:dyDescent="0.25">
      <c r="A26073" s="118"/>
      <c r="B26073" s="136"/>
    </row>
    <row r="26074" spans="1:2" x14ac:dyDescent="0.25">
      <c r="A26074" s="118"/>
      <c r="B26074" s="136"/>
    </row>
    <row r="26075" spans="1:2" x14ac:dyDescent="0.25">
      <c r="A26075" s="118"/>
      <c r="B26075" s="136"/>
    </row>
    <row r="26076" spans="1:2" x14ac:dyDescent="0.25">
      <c r="A26076" s="118"/>
      <c r="B26076" s="136"/>
    </row>
    <row r="26077" spans="1:2" x14ac:dyDescent="0.25">
      <c r="A26077" s="118"/>
      <c r="B26077" s="136"/>
    </row>
    <row r="26078" spans="1:2" x14ac:dyDescent="0.25">
      <c r="A26078" s="118"/>
      <c r="B26078" s="136"/>
    </row>
    <row r="26079" spans="1:2" x14ac:dyDescent="0.25">
      <c r="A26079" s="118"/>
      <c r="B26079" s="136"/>
    </row>
    <row r="26080" spans="1:2" x14ac:dyDescent="0.25">
      <c r="A26080" s="118"/>
      <c r="B26080" s="136"/>
    </row>
    <row r="26081" spans="1:2" x14ac:dyDescent="0.25">
      <c r="A26081" s="118"/>
      <c r="B26081" s="136"/>
    </row>
    <row r="26082" spans="1:2" x14ac:dyDescent="0.25">
      <c r="A26082" s="118"/>
      <c r="B26082" s="136"/>
    </row>
    <row r="26083" spans="1:2" x14ac:dyDescent="0.25">
      <c r="A26083" s="118"/>
      <c r="B26083" s="136"/>
    </row>
    <row r="26084" spans="1:2" x14ac:dyDescent="0.25">
      <c r="A26084" s="118"/>
      <c r="B26084" s="136"/>
    </row>
    <row r="26085" spans="1:2" x14ac:dyDescent="0.25">
      <c r="A26085" s="118"/>
      <c r="B26085" s="136"/>
    </row>
    <row r="26086" spans="1:2" x14ac:dyDescent="0.25">
      <c r="A26086" s="118"/>
      <c r="B26086" s="136"/>
    </row>
    <row r="26087" spans="1:2" x14ac:dyDescent="0.25">
      <c r="A26087" s="118"/>
      <c r="B26087" s="136"/>
    </row>
    <row r="26088" spans="1:2" x14ac:dyDescent="0.25">
      <c r="A26088" s="118"/>
      <c r="B26088" s="136"/>
    </row>
    <row r="26089" spans="1:2" x14ac:dyDescent="0.25">
      <c r="A26089" s="118"/>
      <c r="B26089" s="136"/>
    </row>
    <row r="26090" spans="1:2" x14ac:dyDescent="0.25">
      <c r="A26090" s="118"/>
      <c r="B26090" s="136"/>
    </row>
    <row r="26091" spans="1:2" x14ac:dyDescent="0.25">
      <c r="A26091" s="118"/>
      <c r="B26091" s="136"/>
    </row>
    <row r="26092" spans="1:2" x14ac:dyDescent="0.25">
      <c r="A26092" s="118"/>
      <c r="B26092" s="136"/>
    </row>
    <row r="26093" spans="1:2" x14ac:dyDescent="0.25">
      <c r="A26093" s="118"/>
      <c r="B26093" s="136"/>
    </row>
    <row r="26094" spans="1:2" x14ac:dyDescent="0.25">
      <c r="A26094" s="118"/>
      <c r="B26094" s="136"/>
    </row>
    <row r="26095" spans="1:2" x14ac:dyDescent="0.25">
      <c r="A26095" s="118"/>
      <c r="B26095" s="136"/>
    </row>
    <row r="26096" spans="1:2" x14ac:dyDescent="0.25">
      <c r="A26096" s="118"/>
      <c r="B26096" s="136"/>
    </row>
    <row r="26097" spans="1:2" x14ac:dyDescent="0.25">
      <c r="A26097" s="118"/>
      <c r="B26097" s="136"/>
    </row>
    <row r="26098" spans="1:2" x14ac:dyDescent="0.25">
      <c r="A26098" s="118"/>
      <c r="B26098" s="136"/>
    </row>
    <row r="26099" spans="1:2" x14ac:dyDescent="0.25">
      <c r="A26099" s="118"/>
      <c r="B26099" s="136"/>
    </row>
    <row r="26100" spans="1:2" x14ac:dyDescent="0.25">
      <c r="A26100" s="118"/>
      <c r="B26100" s="136"/>
    </row>
    <row r="26101" spans="1:2" x14ac:dyDescent="0.25">
      <c r="A26101" s="118"/>
      <c r="B26101" s="136"/>
    </row>
    <row r="26102" spans="1:2" x14ac:dyDescent="0.25">
      <c r="A26102" s="118"/>
      <c r="B26102" s="136"/>
    </row>
    <row r="26103" spans="1:2" x14ac:dyDescent="0.25">
      <c r="A26103" s="118"/>
      <c r="B26103" s="136"/>
    </row>
    <row r="26104" spans="1:2" x14ac:dyDescent="0.25">
      <c r="A26104" s="118"/>
      <c r="B26104" s="136"/>
    </row>
    <row r="26105" spans="1:2" x14ac:dyDescent="0.25">
      <c r="A26105" s="118"/>
      <c r="B26105" s="136"/>
    </row>
    <row r="26106" spans="1:2" x14ac:dyDescent="0.25">
      <c r="A26106" s="118"/>
      <c r="B26106" s="136"/>
    </row>
    <row r="26107" spans="1:2" x14ac:dyDescent="0.25">
      <c r="A26107" s="118"/>
      <c r="B26107" s="136"/>
    </row>
    <row r="26108" spans="1:2" x14ac:dyDescent="0.25">
      <c r="A26108" s="118"/>
      <c r="B26108" s="136"/>
    </row>
    <row r="26109" spans="1:2" x14ac:dyDescent="0.25">
      <c r="A26109" s="118"/>
      <c r="B26109" s="136"/>
    </row>
    <row r="26110" spans="1:2" x14ac:dyDescent="0.25">
      <c r="A26110" s="118"/>
      <c r="B26110" s="136"/>
    </row>
    <row r="26111" spans="1:2" x14ac:dyDescent="0.25">
      <c r="A26111" s="118"/>
      <c r="B26111" s="136"/>
    </row>
    <row r="26112" spans="1:2" x14ac:dyDescent="0.25">
      <c r="A26112" s="118"/>
      <c r="B26112" s="136"/>
    </row>
    <row r="26113" spans="1:2" x14ac:dyDescent="0.25">
      <c r="A26113" s="118"/>
      <c r="B26113" s="136"/>
    </row>
    <row r="26114" spans="1:2" x14ac:dyDescent="0.25">
      <c r="A26114" s="118"/>
      <c r="B26114" s="136"/>
    </row>
    <row r="26115" spans="1:2" x14ac:dyDescent="0.25">
      <c r="A26115" s="118"/>
      <c r="B26115" s="136"/>
    </row>
    <row r="26116" spans="1:2" x14ac:dyDescent="0.25">
      <c r="A26116" s="118"/>
      <c r="B26116" s="136"/>
    </row>
    <row r="26117" spans="1:2" x14ac:dyDescent="0.25">
      <c r="A26117" s="118"/>
      <c r="B26117" s="136"/>
    </row>
    <row r="26118" spans="1:2" x14ac:dyDescent="0.25">
      <c r="A26118" s="118"/>
      <c r="B26118" s="136"/>
    </row>
    <row r="26119" spans="1:2" x14ac:dyDescent="0.25">
      <c r="A26119" s="118"/>
      <c r="B26119" s="136"/>
    </row>
    <row r="26120" spans="1:2" x14ac:dyDescent="0.25">
      <c r="A26120" s="118"/>
      <c r="B26120" s="136"/>
    </row>
    <row r="26121" spans="1:2" x14ac:dyDescent="0.25">
      <c r="A26121" s="118"/>
      <c r="B26121" s="136"/>
    </row>
    <row r="26122" spans="1:2" x14ac:dyDescent="0.25">
      <c r="A26122" s="118"/>
      <c r="B26122" s="136"/>
    </row>
    <row r="26123" spans="1:2" x14ac:dyDescent="0.25">
      <c r="A26123" s="118"/>
      <c r="B26123" s="136"/>
    </row>
    <row r="26124" spans="1:2" x14ac:dyDescent="0.25">
      <c r="A26124" s="118"/>
      <c r="B26124" s="136"/>
    </row>
    <row r="26125" spans="1:2" x14ac:dyDescent="0.25">
      <c r="A26125" s="118"/>
      <c r="B26125" s="136"/>
    </row>
    <row r="26126" spans="1:2" x14ac:dyDescent="0.25">
      <c r="A26126" s="118"/>
      <c r="B26126" s="136"/>
    </row>
    <row r="26127" spans="1:2" x14ac:dyDescent="0.25">
      <c r="A26127" s="118"/>
      <c r="B26127" s="136"/>
    </row>
    <row r="26128" spans="1:2" x14ac:dyDescent="0.25">
      <c r="A26128" s="118"/>
      <c r="B26128" s="136"/>
    </row>
    <row r="26129" spans="1:2" x14ac:dyDescent="0.25">
      <c r="A26129" s="118"/>
      <c r="B26129" s="136"/>
    </row>
    <row r="26130" spans="1:2" x14ac:dyDescent="0.25">
      <c r="A26130" s="118"/>
      <c r="B26130" s="136"/>
    </row>
    <row r="26131" spans="1:2" x14ac:dyDescent="0.25">
      <c r="A26131" s="118"/>
      <c r="B26131" s="136"/>
    </row>
    <row r="26132" spans="1:2" x14ac:dyDescent="0.25">
      <c r="A26132" s="118"/>
      <c r="B26132" s="136"/>
    </row>
    <row r="26133" spans="1:2" x14ac:dyDescent="0.25">
      <c r="A26133" s="118"/>
      <c r="B26133" s="136"/>
    </row>
    <row r="26134" spans="1:2" x14ac:dyDescent="0.25">
      <c r="A26134" s="118"/>
      <c r="B26134" s="136"/>
    </row>
    <row r="26135" spans="1:2" x14ac:dyDescent="0.25">
      <c r="A26135" s="118"/>
      <c r="B26135" s="136"/>
    </row>
    <row r="26136" spans="1:2" x14ac:dyDescent="0.25">
      <c r="A26136" s="118"/>
      <c r="B26136" s="136"/>
    </row>
    <row r="26137" spans="1:2" x14ac:dyDescent="0.25">
      <c r="A26137" s="118"/>
      <c r="B26137" s="136"/>
    </row>
    <row r="26138" spans="1:2" x14ac:dyDescent="0.25">
      <c r="A26138" s="118"/>
      <c r="B26138" s="136"/>
    </row>
    <row r="26139" spans="1:2" x14ac:dyDescent="0.25">
      <c r="A26139" s="118"/>
      <c r="B26139" s="136"/>
    </row>
    <row r="26140" spans="1:2" x14ac:dyDescent="0.25">
      <c r="A26140" s="118"/>
      <c r="B26140" s="136"/>
    </row>
    <row r="26141" spans="1:2" x14ac:dyDescent="0.25">
      <c r="A26141" s="118"/>
      <c r="B26141" s="136"/>
    </row>
    <row r="26142" spans="1:2" x14ac:dyDescent="0.25">
      <c r="A26142" s="118"/>
      <c r="B26142" s="136"/>
    </row>
    <row r="26143" spans="1:2" x14ac:dyDescent="0.25">
      <c r="A26143" s="118"/>
      <c r="B26143" s="136"/>
    </row>
    <row r="26144" spans="1:2" x14ac:dyDescent="0.25">
      <c r="A26144" s="118"/>
      <c r="B26144" s="136"/>
    </row>
    <row r="26145" spans="1:2" x14ac:dyDescent="0.25">
      <c r="A26145" s="118"/>
      <c r="B26145" s="136"/>
    </row>
    <row r="26146" spans="1:2" x14ac:dyDescent="0.25">
      <c r="A26146" s="118"/>
      <c r="B26146" s="136"/>
    </row>
    <row r="26147" spans="1:2" x14ac:dyDescent="0.25">
      <c r="A26147" s="118"/>
      <c r="B26147" s="136"/>
    </row>
    <row r="26148" spans="1:2" x14ac:dyDescent="0.25">
      <c r="A26148" s="118"/>
      <c r="B26148" s="136"/>
    </row>
    <row r="26149" spans="1:2" x14ac:dyDescent="0.25">
      <c r="A26149" s="118"/>
      <c r="B26149" s="136"/>
    </row>
    <row r="26150" spans="1:2" x14ac:dyDescent="0.25">
      <c r="A26150" s="118"/>
      <c r="B26150" s="136"/>
    </row>
    <row r="26151" spans="1:2" x14ac:dyDescent="0.25">
      <c r="A26151" s="118"/>
      <c r="B26151" s="136"/>
    </row>
    <row r="26152" spans="1:2" x14ac:dyDescent="0.25">
      <c r="A26152" s="118"/>
      <c r="B26152" s="136"/>
    </row>
    <row r="26153" spans="1:2" x14ac:dyDescent="0.25">
      <c r="A26153" s="118"/>
      <c r="B26153" s="136"/>
    </row>
    <row r="26154" spans="1:2" x14ac:dyDescent="0.25">
      <c r="A26154" s="118"/>
      <c r="B26154" s="136"/>
    </row>
    <row r="26155" spans="1:2" x14ac:dyDescent="0.25">
      <c r="A26155" s="118"/>
      <c r="B26155" s="136"/>
    </row>
    <row r="26156" spans="1:2" x14ac:dyDescent="0.25">
      <c r="A26156" s="118"/>
      <c r="B26156" s="136"/>
    </row>
    <row r="26157" spans="1:2" x14ac:dyDescent="0.25">
      <c r="A26157" s="118"/>
      <c r="B26157" s="136"/>
    </row>
    <row r="26158" spans="1:2" x14ac:dyDescent="0.25">
      <c r="A26158" s="118"/>
      <c r="B26158" s="136"/>
    </row>
    <row r="26159" spans="1:2" x14ac:dyDescent="0.25">
      <c r="A26159" s="118"/>
      <c r="B26159" s="136"/>
    </row>
    <row r="26160" spans="1:2" x14ac:dyDescent="0.25">
      <c r="A26160" s="118"/>
      <c r="B26160" s="136"/>
    </row>
    <row r="26161" spans="1:2" x14ac:dyDescent="0.25">
      <c r="A26161" s="118"/>
      <c r="B26161" s="136"/>
    </row>
    <row r="26162" spans="1:2" x14ac:dyDescent="0.25">
      <c r="A26162" s="118"/>
      <c r="B26162" s="136"/>
    </row>
    <row r="26163" spans="1:2" x14ac:dyDescent="0.25">
      <c r="A26163" s="118"/>
      <c r="B26163" s="136"/>
    </row>
    <row r="26164" spans="1:2" x14ac:dyDescent="0.25">
      <c r="A26164" s="118"/>
      <c r="B26164" s="136"/>
    </row>
    <row r="26165" spans="1:2" x14ac:dyDescent="0.25">
      <c r="A26165" s="118"/>
      <c r="B26165" s="136"/>
    </row>
    <row r="26166" spans="1:2" x14ac:dyDescent="0.25">
      <c r="A26166" s="118"/>
      <c r="B26166" s="136"/>
    </row>
    <row r="26167" spans="1:2" x14ac:dyDescent="0.25">
      <c r="A26167" s="118"/>
      <c r="B26167" s="136"/>
    </row>
    <row r="26168" spans="1:2" x14ac:dyDescent="0.25">
      <c r="A26168" s="118"/>
      <c r="B26168" s="136"/>
    </row>
    <row r="26169" spans="1:2" x14ac:dyDescent="0.25">
      <c r="A26169" s="118"/>
      <c r="B26169" s="136"/>
    </row>
    <row r="26170" spans="1:2" x14ac:dyDescent="0.25">
      <c r="A26170" s="118"/>
      <c r="B26170" s="136"/>
    </row>
    <row r="26171" spans="1:2" x14ac:dyDescent="0.25">
      <c r="A26171" s="118"/>
      <c r="B26171" s="136"/>
    </row>
    <row r="26172" spans="1:2" x14ac:dyDescent="0.25">
      <c r="A26172" s="118"/>
      <c r="B26172" s="136"/>
    </row>
    <row r="26173" spans="1:2" x14ac:dyDescent="0.25">
      <c r="A26173" s="118"/>
      <c r="B26173" s="136"/>
    </row>
    <row r="26174" spans="1:2" x14ac:dyDescent="0.25">
      <c r="A26174" s="118"/>
      <c r="B26174" s="136"/>
    </row>
    <row r="26175" spans="1:2" x14ac:dyDescent="0.25">
      <c r="A26175" s="118"/>
      <c r="B26175" s="136"/>
    </row>
    <row r="26176" spans="1:2" x14ac:dyDescent="0.25">
      <c r="A26176" s="118"/>
      <c r="B26176" s="136"/>
    </row>
    <row r="26177" spans="1:2" x14ac:dyDescent="0.25">
      <c r="A26177" s="118"/>
      <c r="B26177" s="136"/>
    </row>
    <row r="26178" spans="1:2" x14ac:dyDescent="0.25">
      <c r="A26178" s="118"/>
      <c r="B26178" s="136"/>
    </row>
    <row r="26179" spans="1:2" x14ac:dyDescent="0.25">
      <c r="A26179" s="118"/>
      <c r="B26179" s="136"/>
    </row>
    <row r="26180" spans="1:2" x14ac:dyDescent="0.25">
      <c r="A26180" s="118"/>
      <c r="B26180" s="136"/>
    </row>
    <row r="26181" spans="1:2" x14ac:dyDescent="0.25">
      <c r="A26181" s="118"/>
      <c r="B26181" s="136"/>
    </row>
    <row r="26182" spans="1:2" x14ac:dyDescent="0.25">
      <c r="A26182" s="118"/>
      <c r="B26182" s="136"/>
    </row>
    <row r="26183" spans="1:2" x14ac:dyDescent="0.25">
      <c r="A26183" s="118"/>
      <c r="B26183" s="136"/>
    </row>
    <row r="26184" spans="1:2" x14ac:dyDescent="0.25">
      <c r="A26184" s="118"/>
      <c r="B26184" s="136"/>
    </row>
    <row r="26185" spans="1:2" x14ac:dyDescent="0.25">
      <c r="A26185" s="118"/>
      <c r="B26185" s="136"/>
    </row>
    <row r="26186" spans="1:2" x14ac:dyDescent="0.25">
      <c r="A26186" s="118"/>
      <c r="B26186" s="136"/>
    </row>
    <row r="26187" spans="1:2" x14ac:dyDescent="0.25">
      <c r="A26187" s="118"/>
      <c r="B26187" s="136"/>
    </row>
    <row r="26188" spans="1:2" x14ac:dyDescent="0.25">
      <c r="A26188" s="118"/>
      <c r="B26188" s="136"/>
    </row>
    <row r="26189" spans="1:2" x14ac:dyDescent="0.25">
      <c r="A26189" s="118"/>
      <c r="B26189" s="136"/>
    </row>
    <row r="26190" spans="1:2" x14ac:dyDescent="0.25">
      <c r="A26190" s="118"/>
      <c r="B26190" s="136"/>
    </row>
    <row r="26191" spans="1:2" x14ac:dyDescent="0.25">
      <c r="A26191" s="118"/>
      <c r="B26191" s="136"/>
    </row>
    <row r="26192" spans="1:2" x14ac:dyDescent="0.25">
      <c r="A26192" s="118"/>
      <c r="B26192" s="136"/>
    </row>
    <row r="26193" spans="1:2" x14ac:dyDescent="0.25">
      <c r="A26193" s="118"/>
      <c r="B26193" s="136"/>
    </row>
    <row r="26194" spans="1:2" x14ac:dyDescent="0.25">
      <c r="A26194" s="118"/>
      <c r="B26194" s="136"/>
    </row>
    <row r="26195" spans="1:2" x14ac:dyDescent="0.25">
      <c r="A26195" s="118"/>
      <c r="B26195" s="136"/>
    </row>
    <row r="26196" spans="1:2" x14ac:dyDescent="0.25">
      <c r="A26196" s="118"/>
      <c r="B26196" s="136"/>
    </row>
    <row r="26197" spans="1:2" x14ac:dyDescent="0.25">
      <c r="A26197" s="118"/>
      <c r="B26197" s="136"/>
    </row>
    <row r="26198" spans="1:2" x14ac:dyDescent="0.25">
      <c r="A26198" s="118"/>
      <c r="B26198" s="136"/>
    </row>
    <row r="26199" spans="1:2" x14ac:dyDescent="0.25">
      <c r="A26199" s="118"/>
      <c r="B26199" s="136"/>
    </row>
    <row r="26200" spans="1:2" x14ac:dyDescent="0.25">
      <c r="A26200" s="118"/>
      <c r="B26200" s="136"/>
    </row>
    <row r="26201" spans="1:2" x14ac:dyDescent="0.25">
      <c r="A26201" s="118"/>
      <c r="B26201" s="136"/>
    </row>
    <row r="26202" spans="1:2" x14ac:dyDescent="0.25">
      <c r="A26202" s="118"/>
      <c r="B26202" s="136"/>
    </row>
    <row r="26203" spans="1:2" x14ac:dyDescent="0.25">
      <c r="A26203" s="118"/>
      <c r="B26203" s="136"/>
    </row>
    <row r="26204" spans="1:2" x14ac:dyDescent="0.25">
      <c r="A26204" s="118"/>
      <c r="B26204" s="136"/>
    </row>
    <row r="26205" spans="1:2" x14ac:dyDescent="0.25">
      <c r="A26205" s="118"/>
      <c r="B26205" s="136"/>
    </row>
    <row r="26206" spans="1:2" x14ac:dyDescent="0.25">
      <c r="A26206" s="118"/>
      <c r="B26206" s="136"/>
    </row>
    <row r="26207" spans="1:2" x14ac:dyDescent="0.25">
      <c r="A26207" s="118"/>
      <c r="B26207" s="136"/>
    </row>
    <row r="26208" spans="1:2" x14ac:dyDescent="0.25">
      <c r="A26208" s="118"/>
      <c r="B26208" s="136"/>
    </row>
    <row r="26209" spans="1:2" x14ac:dyDescent="0.25">
      <c r="A26209" s="118"/>
      <c r="B26209" s="136"/>
    </row>
    <row r="26210" spans="1:2" x14ac:dyDescent="0.25">
      <c r="A26210" s="118"/>
      <c r="B26210" s="136"/>
    </row>
    <row r="26211" spans="1:2" x14ac:dyDescent="0.25">
      <c r="A26211" s="118"/>
      <c r="B26211" s="136"/>
    </row>
    <row r="26212" spans="1:2" x14ac:dyDescent="0.25">
      <c r="A26212" s="118"/>
      <c r="B26212" s="136"/>
    </row>
    <row r="26213" spans="1:2" x14ac:dyDescent="0.25">
      <c r="A26213" s="118"/>
      <c r="B26213" s="136"/>
    </row>
    <row r="26214" spans="1:2" x14ac:dyDescent="0.25">
      <c r="A26214" s="118"/>
      <c r="B26214" s="136"/>
    </row>
    <row r="26215" spans="1:2" x14ac:dyDescent="0.25">
      <c r="A26215" s="118"/>
      <c r="B26215" s="136"/>
    </row>
    <row r="26216" spans="1:2" x14ac:dyDescent="0.25">
      <c r="A26216" s="118"/>
      <c r="B26216" s="136"/>
    </row>
    <row r="26217" spans="1:2" x14ac:dyDescent="0.25">
      <c r="A26217" s="118"/>
      <c r="B26217" s="136"/>
    </row>
    <row r="26218" spans="1:2" x14ac:dyDescent="0.25">
      <c r="A26218" s="118"/>
      <c r="B26218" s="136"/>
    </row>
    <row r="26219" spans="1:2" x14ac:dyDescent="0.25">
      <c r="A26219" s="118"/>
      <c r="B26219" s="136"/>
    </row>
    <row r="26220" spans="1:2" x14ac:dyDescent="0.25">
      <c r="A26220" s="118"/>
      <c r="B26220" s="136"/>
    </row>
    <row r="26221" spans="1:2" x14ac:dyDescent="0.25">
      <c r="A26221" s="118"/>
      <c r="B26221" s="136"/>
    </row>
    <row r="26222" spans="1:2" x14ac:dyDescent="0.25">
      <c r="A26222" s="118"/>
      <c r="B26222" s="136"/>
    </row>
    <row r="26223" spans="1:2" x14ac:dyDescent="0.25">
      <c r="A26223" s="118"/>
      <c r="B26223" s="136"/>
    </row>
    <row r="26224" spans="1:2" x14ac:dyDescent="0.25">
      <c r="A26224" s="118"/>
      <c r="B26224" s="136"/>
    </row>
    <row r="26225" spans="1:2" x14ac:dyDescent="0.25">
      <c r="A26225" s="118"/>
      <c r="B26225" s="136"/>
    </row>
    <row r="26226" spans="1:2" x14ac:dyDescent="0.25">
      <c r="A26226" s="118"/>
      <c r="B26226" s="136"/>
    </row>
    <row r="26227" spans="1:2" x14ac:dyDescent="0.25">
      <c r="A26227" s="118"/>
      <c r="B26227" s="136"/>
    </row>
    <row r="26228" spans="1:2" x14ac:dyDescent="0.25">
      <c r="A26228" s="118"/>
      <c r="B26228" s="136"/>
    </row>
    <row r="26229" spans="1:2" x14ac:dyDescent="0.25">
      <c r="A26229" s="118"/>
      <c r="B26229" s="136"/>
    </row>
    <row r="26230" spans="1:2" x14ac:dyDescent="0.25">
      <c r="A26230" s="118"/>
      <c r="B26230" s="136"/>
    </row>
    <row r="26231" spans="1:2" x14ac:dyDescent="0.25">
      <c r="A26231" s="118"/>
      <c r="B26231" s="136"/>
    </row>
    <row r="26232" spans="1:2" x14ac:dyDescent="0.25">
      <c r="A26232" s="118"/>
      <c r="B26232" s="136"/>
    </row>
    <row r="26233" spans="1:2" x14ac:dyDescent="0.25">
      <c r="A26233" s="118"/>
      <c r="B26233" s="136"/>
    </row>
    <row r="26234" spans="1:2" x14ac:dyDescent="0.25">
      <c r="A26234" s="118"/>
      <c r="B26234" s="136"/>
    </row>
    <row r="26235" spans="1:2" x14ac:dyDescent="0.25">
      <c r="A26235" s="118"/>
      <c r="B26235" s="136"/>
    </row>
    <row r="26236" spans="1:2" x14ac:dyDescent="0.25">
      <c r="A26236" s="118"/>
      <c r="B26236" s="136"/>
    </row>
    <row r="26237" spans="1:2" x14ac:dyDescent="0.25">
      <c r="A26237" s="118"/>
      <c r="B26237" s="136"/>
    </row>
    <row r="26238" spans="1:2" x14ac:dyDescent="0.25">
      <c r="A26238" s="118"/>
      <c r="B26238" s="136"/>
    </row>
    <row r="26239" spans="1:2" x14ac:dyDescent="0.25">
      <c r="A26239" s="118"/>
      <c r="B26239" s="136"/>
    </row>
    <row r="26240" spans="1:2" x14ac:dyDescent="0.25">
      <c r="A26240" s="118"/>
      <c r="B26240" s="136"/>
    </row>
    <row r="26241" spans="1:2" x14ac:dyDescent="0.25">
      <c r="A26241" s="118"/>
      <c r="B26241" s="136"/>
    </row>
    <row r="26242" spans="1:2" x14ac:dyDescent="0.25">
      <c r="A26242" s="118"/>
      <c r="B26242" s="136"/>
    </row>
    <row r="26243" spans="1:2" x14ac:dyDescent="0.25">
      <c r="A26243" s="118"/>
      <c r="B26243" s="136"/>
    </row>
    <row r="26244" spans="1:2" x14ac:dyDescent="0.25">
      <c r="A26244" s="118"/>
      <c r="B26244" s="136"/>
    </row>
    <row r="26245" spans="1:2" x14ac:dyDescent="0.25">
      <c r="A26245" s="118"/>
      <c r="B26245" s="136"/>
    </row>
    <row r="26246" spans="1:2" x14ac:dyDescent="0.25">
      <c r="A26246" s="118"/>
      <c r="B26246" s="136"/>
    </row>
    <row r="26247" spans="1:2" x14ac:dyDescent="0.25">
      <c r="A26247" s="118"/>
      <c r="B26247" s="136"/>
    </row>
    <row r="26248" spans="1:2" x14ac:dyDescent="0.25">
      <c r="A26248" s="118"/>
      <c r="B26248" s="136"/>
    </row>
    <row r="26249" spans="1:2" x14ac:dyDescent="0.25">
      <c r="A26249" s="118"/>
      <c r="B26249" s="136"/>
    </row>
    <row r="26250" spans="1:2" x14ac:dyDescent="0.25">
      <c r="A26250" s="118"/>
      <c r="B26250" s="136"/>
    </row>
    <row r="26251" spans="1:2" x14ac:dyDescent="0.25">
      <c r="A26251" s="118"/>
      <c r="B26251" s="136"/>
    </row>
    <row r="26252" spans="1:2" x14ac:dyDescent="0.25">
      <c r="A26252" s="118"/>
      <c r="B26252" s="136"/>
    </row>
    <row r="26253" spans="1:2" x14ac:dyDescent="0.25">
      <c r="A26253" s="118"/>
      <c r="B26253" s="136"/>
    </row>
    <row r="26254" spans="1:2" x14ac:dyDescent="0.25">
      <c r="A26254" s="118"/>
      <c r="B26254" s="136"/>
    </row>
    <row r="26255" spans="1:2" x14ac:dyDescent="0.25">
      <c r="A26255" s="118"/>
      <c r="B26255" s="136"/>
    </row>
    <row r="26256" spans="1:2" x14ac:dyDescent="0.25">
      <c r="A26256" s="118"/>
      <c r="B26256" s="136"/>
    </row>
    <row r="26257" spans="1:2" x14ac:dyDescent="0.25">
      <c r="A26257" s="118"/>
      <c r="B26257" s="136"/>
    </row>
    <row r="26258" spans="1:2" x14ac:dyDescent="0.25">
      <c r="A26258" s="118"/>
      <c r="B26258" s="136"/>
    </row>
    <row r="26259" spans="1:2" x14ac:dyDescent="0.25">
      <c r="A26259" s="118"/>
      <c r="B26259" s="136"/>
    </row>
    <row r="26260" spans="1:2" x14ac:dyDescent="0.25">
      <c r="A26260" s="118"/>
      <c r="B26260" s="136"/>
    </row>
    <row r="26261" spans="1:2" x14ac:dyDescent="0.25">
      <c r="A26261" s="118"/>
      <c r="B26261" s="136"/>
    </row>
    <row r="26262" spans="1:2" x14ac:dyDescent="0.25">
      <c r="A26262" s="118"/>
      <c r="B26262" s="136"/>
    </row>
    <row r="26263" spans="1:2" x14ac:dyDescent="0.25">
      <c r="A26263" s="118"/>
      <c r="B26263" s="136"/>
    </row>
    <row r="26264" spans="1:2" x14ac:dyDescent="0.25">
      <c r="A26264" s="118"/>
      <c r="B26264" s="136"/>
    </row>
    <row r="26265" spans="1:2" x14ac:dyDescent="0.25">
      <c r="A26265" s="118"/>
      <c r="B26265" s="136"/>
    </row>
    <row r="26266" spans="1:2" x14ac:dyDescent="0.25">
      <c r="A26266" s="118"/>
      <c r="B26266" s="136"/>
    </row>
    <row r="26267" spans="1:2" x14ac:dyDescent="0.25">
      <c r="A26267" s="118"/>
      <c r="B26267" s="136"/>
    </row>
    <row r="26268" spans="1:2" x14ac:dyDescent="0.25">
      <c r="A26268" s="118"/>
      <c r="B26268" s="136"/>
    </row>
    <row r="26269" spans="1:2" x14ac:dyDescent="0.25">
      <c r="A26269" s="118"/>
      <c r="B26269" s="136"/>
    </row>
    <row r="26270" spans="1:2" x14ac:dyDescent="0.25">
      <c r="A26270" s="118"/>
      <c r="B26270" s="136"/>
    </row>
    <row r="26271" spans="1:2" x14ac:dyDescent="0.25">
      <c r="A26271" s="118"/>
      <c r="B26271" s="136"/>
    </row>
    <row r="26272" spans="1:2" x14ac:dyDescent="0.25">
      <c r="A26272" s="118"/>
      <c r="B26272" s="136"/>
    </row>
    <row r="26273" spans="1:2" x14ac:dyDescent="0.25">
      <c r="A26273" s="118"/>
      <c r="B26273" s="136"/>
    </row>
    <row r="26274" spans="1:2" x14ac:dyDescent="0.25">
      <c r="A26274" s="118"/>
      <c r="B26274" s="136"/>
    </row>
    <row r="26275" spans="1:2" x14ac:dyDescent="0.25">
      <c r="A26275" s="118"/>
      <c r="B26275" s="136"/>
    </row>
    <row r="26276" spans="1:2" x14ac:dyDescent="0.25">
      <c r="A26276" s="118"/>
      <c r="B26276" s="136"/>
    </row>
    <row r="26277" spans="1:2" x14ac:dyDescent="0.25">
      <c r="A26277" s="118"/>
      <c r="B26277" s="136"/>
    </row>
    <row r="26278" spans="1:2" x14ac:dyDescent="0.25">
      <c r="A26278" s="118"/>
      <c r="B26278" s="136"/>
    </row>
    <row r="26279" spans="1:2" x14ac:dyDescent="0.25">
      <c r="A26279" s="118"/>
      <c r="B26279" s="136"/>
    </row>
    <row r="26280" spans="1:2" x14ac:dyDescent="0.25">
      <c r="A26280" s="118"/>
      <c r="B26280" s="136"/>
    </row>
    <row r="26281" spans="1:2" x14ac:dyDescent="0.25">
      <c r="A26281" s="118"/>
      <c r="B26281" s="136"/>
    </row>
    <row r="26282" spans="1:2" x14ac:dyDescent="0.25">
      <c r="A26282" s="118"/>
      <c r="B26282" s="136"/>
    </row>
    <row r="26283" spans="1:2" x14ac:dyDescent="0.25">
      <c r="A26283" s="118"/>
      <c r="B26283" s="136"/>
    </row>
    <row r="26284" spans="1:2" x14ac:dyDescent="0.25">
      <c r="A26284" s="118"/>
      <c r="B26284" s="136"/>
    </row>
    <row r="26285" spans="1:2" x14ac:dyDescent="0.25">
      <c r="A26285" s="118"/>
      <c r="B26285" s="136"/>
    </row>
    <row r="26286" spans="1:2" x14ac:dyDescent="0.25">
      <c r="A26286" s="118"/>
      <c r="B26286" s="136"/>
    </row>
    <row r="26287" spans="1:2" x14ac:dyDescent="0.25">
      <c r="A26287" s="118"/>
      <c r="B26287" s="136"/>
    </row>
    <row r="26288" spans="1:2" x14ac:dyDescent="0.25">
      <c r="A26288" s="118"/>
      <c r="B26288" s="136"/>
    </row>
    <row r="26289" spans="1:2" x14ac:dyDescent="0.25">
      <c r="A26289" s="118"/>
      <c r="B26289" s="136"/>
    </row>
    <row r="26290" spans="1:2" x14ac:dyDescent="0.25">
      <c r="A26290" s="118"/>
      <c r="B26290" s="136"/>
    </row>
    <row r="26291" spans="1:2" x14ac:dyDescent="0.25">
      <c r="A26291" s="118"/>
      <c r="B26291" s="136"/>
    </row>
    <row r="26292" spans="1:2" x14ac:dyDescent="0.25">
      <c r="A26292" s="118"/>
      <c r="B26292" s="136"/>
    </row>
    <row r="26293" spans="1:2" x14ac:dyDescent="0.25">
      <c r="A26293" s="118"/>
      <c r="B26293" s="136"/>
    </row>
    <row r="26294" spans="1:2" x14ac:dyDescent="0.25">
      <c r="A26294" s="118"/>
      <c r="B26294" s="136"/>
    </row>
    <row r="26295" spans="1:2" x14ac:dyDescent="0.25">
      <c r="A26295" s="118"/>
      <c r="B26295" s="136"/>
    </row>
    <row r="26296" spans="1:2" x14ac:dyDescent="0.25">
      <c r="A26296" s="118"/>
      <c r="B26296" s="136"/>
    </row>
    <row r="26297" spans="1:2" x14ac:dyDescent="0.25">
      <c r="A26297" s="118"/>
      <c r="B26297" s="136"/>
    </row>
    <row r="26298" spans="1:2" x14ac:dyDescent="0.25">
      <c r="A26298" s="118"/>
      <c r="B26298" s="136"/>
    </row>
    <row r="26299" spans="1:2" x14ac:dyDescent="0.25">
      <c r="A26299" s="118"/>
      <c r="B26299" s="136"/>
    </row>
    <row r="26300" spans="1:2" x14ac:dyDescent="0.25">
      <c r="A26300" s="118"/>
      <c r="B26300" s="136"/>
    </row>
    <row r="26301" spans="1:2" x14ac:dyDescent="0.25">
      <c r="A26301" s="118"/>
      <c r="B26301" s="136"/>
    </row>
    <row r="26302" spans="1:2" x14ac:dyDescent="0.25">
      <c r="A26302" s="118"/>
      <c r="B26302" s="136"/>
    </row>
    <row r="26303" spans="1:2" x14ac:dyDescent="0.25">
      <c r="A26303" s="118"/>
      <c r="B26303" s="136"/>
    </row>
    <row r="26304" spans="1:2" x14ac:dyDescent="0.25">
      <c r="A26304" s="118"/>
      <c r="B26304" s="136"/>
    </row>
    <row r="26305" spans="1:2" x14ac:dyDescent="0.25">
      <c r="A26305" s="118"/>
      <c r="B26305" s="136"/>
    </row>
    <row r="26306" spans="1:2" x14ac:dyDescent="0.25">
      <c r="A26306" s="118"/>
      <c r="B26306" s="136"/>
    </row>
    <row r="26307" spans="1:2" x14ac:dyDescent="0.25">
      <c r="A26307" s="118"/>
      <c r="B26307" s="136"/>
    </row>
    <row r="26308" spans="1:2" x14ac:dyDescent="0.25">
      <c r="A26308" s="118"/>
      <c r="B26308" s="136"/>
    </row>
    <row r="26309" spans="1:2" x14ac:dyDescent="0.25">
      <c r="A26309" s="118"/>
      <c r="B26309" s="136"/>
    </row>
    <row r="26310" spans="1:2" x14ac:dyDescent="0.25">
      <c r="A26310" s="118"/>
      <c r="B26310" s="136"/>
    </row>
    <row r="26311" spans="1:2" x14ac:dyDescent="0.25">
      <c r="A26311" s="118"/>
      <c r="B26311" s="136"/>
    </row>
    <row r="26312" spans="1:2" x14ac:dyDescent="0.25">
      <c r="A26312" s="118"/>
      <c r="B26312" s="136"/>
    </row>
    <row r="26313" spans="1:2" x14ac:dyDescent="0.25">
      <c r="A26313" s="118"/>
      <c r="B26313" s="136"/>
    </row>
    <row r="26314" spans="1:2" x14ac:dyDescent="0.25">
      <c r="A26314" s="118"/>
      <c r="B26314" s="136"/>
    </row>
    <row r="26315" spans="1:2" x14ac:dyDescent="0.25">
      <c r="A26315" s="118"/>
      <c r="B26315" s="136"/>
    </row>
    <row r="26316" spans="1:2" x14ac:dyDescent="0.25">
      <c r="A26316" s="118"/>
      <c r="B26316" s="136"/>
    </row>
    <row r="26317" spans="1:2" x14ac:dyDescent="0.25">
      <c r="A26317" s="118"/>
      <c r="B26317" s="136"/>
    </row>
    <row r="26318" spans="1:2" x14ac:dyDescent="0.25">
      <c r="A26318" s="118"/>
      <c r="B26318" s="136"/>
    </row>
    <row r="26319" spans="1:2" x14ac:dyDescent="0.25">
      <c r="A26319" s="118"/>
      <c r="B26319" s="136"/>
    </row>
    <row r="26320" spans="1:2" x14ac:dyDescent="0.25">
      <c r="A26320" s="118"/>
      <c r="B26320" s="136"/>
    </row>
    <row r="26321" spans="1:2" x14ac:dyDescent="0.25">
      <c r="A26321" s="118"/>
      <c r="B26321" s="136"/>
    </row>
    <row r="26322" spans="1:2" x14ac:dyDescent="0.25">
      <c r="A26322" s="118"/>
      <c r="B26322" s="136"/>
    </row>
    <row r="26323" spans="1:2" x14ac:dyDescent="0.25">
      <c r="A26323" s="118"/>
      <c r="B26323" s="136"/>
    </row>
    <row r="26324" spans="1:2" x14ac:dyDescent="0.25">
      <c r="A26324" s="118"/>
      <c r="B26324" s="136"/>
    </row>
    <row r="26325" spans="1:2" x14ac:dyDescent="0.25">
      <c r="A26325" s="118"/>
      <c r="B26325" s="136"/>
    </row>
    <row r="26326" spans="1:2" x14ac:dyDescent="0.25">
      <c r="A26326" s="118"/>
      <c r="B26326" s="136"/>
    </row>
    <row r="26327" spans="1:2" x14ac:dyDescent="0.25">
      <c r="A26327" s="118"/>
      <c r="B26327" s="136"/>
    </row>
    <row r="26328" spans="1:2" x14ac:dyDescent="0.25">
      <c r="A26328" s="118"/>
      <c r="B26328" s="136"/>
    </row>
    <row r="26329" spans="1:2" x14ac:dyDescent="0.25">
      <c r="A26329" s="118"/>
      <c r="B26329" s="136"/>
    </row>
    <row r="26330" spans="1:2" x14ac:dyDescent="0.25">
      <c r="A26330" s="118"/>
      <c r="B26330" s="136"/>
    </row>
    <row r="26331" spans="1:2" x14ac:dyDescent="0.25">
      <c r="A26331" s="118"/>
      <c r="B26331" s="136"/>
    </row>
    <row r="26332" spans="1:2" x14ac:dyDescent="0.25">
      <c r="A26332" s="118"/>
      <c r="B26332" s="136"/>
    </row>
    <row r="26333" spans="1:2" x14ac:dyDescent="0.25">
      <c r="A26333" s="118"/>
      <c r="B26333" s="136"/>
    </row>
    <row r="26334" spans="1:2" x14ac:dyDescent="0.25">
      <c r="A26334" s="118"/>
      <c r="B26334" s="136"/>
    </row>
    <row r="26335" spans="1:2" x14ac:dyDescent="0.25">
      <c r="A26335" s="118"/>
      <c r="B26335" s="136"/>
    </row>
    <row r="26336" spans="1:2" x14ac:dyDescent="0.25">
      <c r="A26336" s="118"/>
      <c r="B26336" s="136"/>
    </row>
    <row r="26337" spans="1:2" x14ac:dyDescent="0.25">
      <c r="A26337" s="118"/>
      <c r="B26337" s="136"/>
    </row>
    <row r="26338" spans="1:2" x14ac:dyDescent="0.25">
      <c r="A26338" s="118"/>
      <c r="B26338" s="136"/>
    </row>
    <row r="26339" spans="1:2" x14ac:dyDescent="0.25">
      <c r="A26339" s="118"/>
      <c r="B26339" s="136"/>
    </row>
    <row r="26340" spans="1:2" x14ac:dyDescent="0.25">
      <c r="A26340" s="118"/>
      <c r="B26340" s="136"/>
    </row>
    <row r="26341" spans="1:2" x14ac:dyDescent="0.25">
      <c r="A26341" s="118"/>
      <c r="B26341" s="136"/>
    </row>
    <row r="26342" spans="1:2" x14ac:dyDescent="0.25">
      <c r="A26342" s="118"/>
      <c r="B26342" s="136"/>
    </row>
    <row r="26343" spans="1:2" x14ac:dyDescent="0.25">
      <c r="A26343" s="118"/>
      <c r="B26343" s="136"/>
    </row>
    <row r="26344" spans="1:2" x14ac:dyDescent="0.25">
      <c r="A26344" s="118"/>
      <c r="B26344" s="136"/>
    </row>
    <row r="26345" spans="1:2" x14ac:dyDescent="0.25">
      <c r="A26345" s="118"/>
      <c r="B26345" s="136"/>
    </row>
    <row r="26346" spans="1:2" x14ac:dyDescent="0.25">
      <c r="A26346" s="118"/>
      <c r="B26346" s="136"/>
    </row>
    <row r="26347" spans="1:2" x14ac:dyDescent="0.25">
      <c r="A26347" s="118"/>
      <c r="B26347" s="136"/>
    </row>
    <row r="26348" spans="1:2" x14ac:dyDescent="0.25">
      <c r="A26348" s="118"/>
      <c r="B26348" s="136"/>
    </row>
    <row r="26349" spans="1:2" x14ac:dyDescent="0.25">
      <c r="A26349" s="118"/>
      <c r="B26349" s="136"/>
    </row>
    <row r="26350" spans="1:2" x14ac:dyDescent="0.25">
      <c r="A26350" s="118"/>
      <c r="B26350" s="136"/>
    </row>
    <row r="26351" spans="1:2" x14ac:dyDescent="0.25">
      <c r="A26351" s="118"/>
      <c r="B26351" s="136"/>
    </row>
    <row r="26352" spans="1:2" x14ac:dyDescent="0.25">
      <c r="A26352" s="118"/>
      <c r="B26352" s="136"/>
    </row>
    <row r="26353" spans="1:2" x14ac:dyDescent="0.25">
      <c r="A26353" s="118"/>
      <c r="B26353" s="136"/>
    </row>
    <row r="26354" spans="1:2" x14ac:dyDescent="0.25">
      <c r="A26354" s="118"/>
      <c r="B26354" s="136"/>
    </row>
    <row r="26355" spans="1:2" x14ac:dyDescent="0.25">
      <c r="A26355" s="118"/>
      <c r="B26355" s="136"/>
    </row>
    <row r="26356" spans="1:2" x14ac:dyDescent="0.25">
      <c r="A26356" s="118"/>
      <c r="B26356" s="136"/>
    </row>
    <row r="26357" spans="1:2" x14ac:dyDescent="0.25">
      <c r="A26357" s="118"/>
      <c r="B26357" s="136"/>
    </row>
    <row r="26358" spans="1:2" x14ac:dyDescent="0.25">
      <c r="A26358" s="118"/>
      <c r="B26358" s="136"/>
    </row>
    <row r="26359" spans="1:2" x14ac:dyDescent="0.25">
      <c r="A26359" s="118"/>
      <c r="B26359" s="136"/>
    </row>
    <row r="26360" spans="1:2" x14ac:dyDescent="0.25">
      <c r="A26360" s="118"/>
      <c r="B26360" s="136"/>
    </row>
    <row r="26361" spans="1:2" x14ac:dyDescent="0.25">
      <c r="A26361" s="118"/>
      <c r="B26361" s="136"/>
    </row>
    <row r="26362" spans="1:2" x14ac:dyDescent="0.25">
      <c r="A26362" s="118"/>
      <c r="B26362" s="136"/>
    </row>
    <row r="26363" spans="1:2" x14ac:dyDescent="0.25">
      <c r="A26363" s="118"/>
      <c r="B26363" s="136"/>
    </row>
    <row r="26364" spans="1:2" x14ac:dyDescent="0.25">
      <c r="A26364" s="118"/>
      <c r="B26364" s="136"/>
    </row>
    <row r="26365" spans="1:2" x14ac:dyDescent="0.25">
      <c r="A26365" s="118"/>
      <c r="B26365" s="136"/>
    </row>
    <row r="26366" spans="1:2" x14ac:dyDescent="0.25">
      <c r="A26366" s="118"/>
      <c r="B26366" s="136"/>
    </row>
    <row r="26367" spans="1:2" x14ac:dyDescent="0.25">
      <c r="A26367" s="118"/>
      <c r="B26367" s="136"/>
    </row>
    <row r="26368" spans="1:2" x14ac:dyDescent="0.25">
      <c r="A26368" s="118"/>
      <c r="B26368" s="136"/>
    </row>
    <row r="26369" spans="1:2" x14ac:dyDescent="0.25">
      <c r="A26369" s="118"/>
      <c r="B26369" s="136"/>
    </row>
    <row r="26370" spans="1:2" x14ac:dyDescent="0.25">
      <c r="A26370" s="118"/>
      <c r="B26370" s="136"/>
    </row>
    <row r="26371" spans="1:2" x14ac:dyDescent="0.25">
      <c r="A26371" s="118"/>
      <c r="B26371" s="136"/>
    </row>
    <row r="26372" spans="1:2" x14ac:dyDescent="0.25">
      <c r="A26372" s="118"/>
      <c r="B26372" s="136"/>
    </row>
    <row r="26373" spans="1:2" x14ac:dyDescent="0.25">
      <c r="A26373" s="118"/>
      <c r="B26373" s="136"/>
    </row>
    <row r="26374" spans="1:2" x14ac:dyDescent="0.25">
      <c r="A26374" s="118"/>
      <c r="B26374" s="136"/>
    </row>
    <row r="26375" spans="1:2" x14ac:dyDescent="0.25">
      <c r="A26375" s="118"/>
      <c r="B26375" s="136"/>
    </row>
    <row r="26376" spans="1:2" x14ac:dyDescent="0.25">
      <c r="A26376" s="118"/>
      <c r="B26376" s="136"/>
    </row>
    <row r="26377" spans="1:2" x14ac:dyDescent="0.25">
      <c r="A26377" s="118"/>
      <c r="B26377" s="136"/>
    </row>
    <row r="26378" spans="1:2" x14ac:dyDescent="0.25">
      <c r="A26378" s="118"/>
      <c r="B26378" s="136"/>
    </row>
    <row r="26379" spans="1:2" x14ac:dyDescent="0.25">
      <c r="A26379" s="118"/>
      <c r="B26379" s="136"/>
    </row>
    <row r="26380" spans="1:2" x14ac:dyDescent="0.25">
      <c r="A26380" s="118"/>
      <c r="B26380" s="136"/>
    </row>
    <row r="26381" spans="1:2" x14ac:dyDescent="0.25">
      <c r="A26381" s="118"/>
      <c r="B26381" s="136"/>
    </row>
    <row r="26382" spans="1:2" x14ac:dyDescent="0.25">
      <c r="A26382" s="118"/>
      <c r="B26382" s="136"/>
    </row>
    <row r="26383" spans="1:2" x14ac:dyDescent="0.25">
      <c r="A26383" s="118"/>
      <c r="B26383" s="136"/>
    </row>
    <row r="26384" spans="1:2" x14ac:dyDescent="0.25">
      <c r="A26384" s="118"/>
      <c r="B26384" s="136"/>
    </row>
    <row r="26385" spans="1:2" x14ac:dyDescent="0.25">
      <c r="A26385" s="118"/>
      <c r="B26385" s="136"/>
    </row>
    <row r="26386" spans="1:2" x14ac:dyDescent="0.25">
      <c r="A26386" s="118"/>
      <c r="B26386" s="136"/>
    </row>
    <row r="26387" spans="1:2" x14ac:dyDescent="0.25">
      <c r="A26387" s="118"/>
      <c r="B26387" s="136"/>
    </row>
    <row r="26388" spans="1:2" x14ac:dyDescent="0.25">
      <c r="A26388" s="118"/>
      <c r="B26388" s="136"/>
    </row>
    <row r="26389" spans="1:2" x14ac:dyDescent="0.25">
      <c r="A26389" s="118"/>
      <c r="B26389" s="136"/>
    </row>
    <row r="26390" spans="1:2" x14ac:dyDescent="0.25">
      <c r="A26390" s="118"/>
      <c r="B26390" s="136"/>
    </row>
    <row r="26391" spans="1:2" x14ac:dyDescent="0.25">
      <c r="A26391" s="118"/>
      <c r="B26391" s="136"/>
    </row>
    <row r="26392" spans="1:2" x14ac:dyDescent="0.25">
      <c r="A26392" s="118"/>
      <c r="B26392" s="136"/>
    </row>
    <row r="26393" spans="1:2" x14ac:dyDescent="0.25">
      <c r="A26393" s="118"/>
      <c r="B26393" s="136"/>
    </row>
    <row r="26394" spans="1:2" x14ac:dyDescent="0.25">
      <c r="A26394" s="118"/>
      <c r="B26394" s="136"/>
    </row>
    <row r="26395" spans="1:2" x14ac:dyDescent="0.25">
      <c r="A26395" s="118"/>
      <c r="B26395" s="136"/>
    </row>
    <row r="26396" spans="1:2" x14ac:dyDescent="0.25">
      <c r="A26396" s="118"/>
      <c r="B26396" s="136"/>
    </row>
    <row r="26397" spans="1:2" x14ac:dyDescent="0.25">
      <c r="A26397" s="118"/>
      <c r="B26397" s="136"/>
    </row>
    <row r="26398" spans="1:2" x14ac:dyDescent="0.25">
      <c r="A26398" s="118"/>
      <c r="B26398" s="136"/>
    </row>
    <row r="26399" spans="1:2" x14ac:dyDescent="0.25">
      <c r="A26399" s="118"/>
      <c r="B26399" s="136"/>
    </row>
    <row r="26400" spans="1:2" x14ac:dyDescent="0.25">
      <c r="A26400" s="118"/>
      <c r="B26400" s="136"/>
    </row>
    <row r="26401" spans="1:2" x14ac:dyDescent="0.25">
      <c r="A26401" s="118"/>
      <c r="B26401" s="136"/>
    </row>
    <row r="26402" spans="1:2" x14ac:dyDescent="0.25">
      <c r="A26402" s="118"/>
      <c r="B26402" s="136"/>
    </row>
    <row r="26403" spans="1:2" x14ac:dyDescent="0.25">
      <c r="A26403" s="118"/>
      <c r="B26403" s="136"/>
    </row>
    <row r="26404" spans="1:2" x14ac:dyDescent="0.25">
      <c r="A26404" s="118"/>
      <c r="B26404" s="136"/>
    </row>
    <row r="26405" spans="1:2" x14ac:dyDescent="0.25">
      <c r="A26405" s="118"/>
      <c r="B26405" s="136"/>
    </row>
    <row r="26406" spans="1:2" x14ac:dyDescent="0.25">
      <c r="A26406" s="118"/>
      <c r="B26406" s="136"/>
    </row>
    <row r="26407" spans="1:2" x14ac:dyDescent="0.25">
      <c r="A26407" s="118"/>
      <c r="B26407" s="136"/>
    </row>
    <row r="26408" spans="1:2" x14ac:dyDescent="0.25">
      <c r="A26408" s="118"/>
      <c r="B26408" s="136"/>
    </row>
    <row r="26409" spans="1:2" x14ac:dyDescent="0.25">
      <c r="A26409" s="118"/>
      <c r="B26409" s="136"/>
    </row>
    <row r="26410" spans="1:2" x14ac:dyDescent="0.25">
      <c r="A26410" s="118"/>
      <c r="B26410" s="136"/>
    </row>
    <row r="26411" spans="1:2" x14ac:dyDescent="0.25">
      <c r="A26411" s="118"/>
      <c r="B26411" s="136"/>
    </row>
    <row r="26412" spans="1:2" x14ac:dyDescent="0.25">
      <c r="A26412" s="118"/>
      <c r="B26412" s="136"/>
    </row>
    <row r="26413" spans="1:2" x14ac:dyDescent="0.25">
      <c r="A26413" s="118"/>
      <c r="B26413" s="136"/>
    </row>
    <row r="26414" spans="1:2" x14ac:dyDescent="0.25">
      <c r="A26414" s="118"/>
      <c r="B26414" s="136"/>
    </row>
    <row r="26415" spans="1:2" x14ac:dyDescent="0.25">
      <c r="A26415" s="118"/>
      <c r="B26415" s="136"/>
    </row>
    <row r="26416" spans="1:2" x14ac:dyDescent="0.25">
      <c r="A26416" s="118"/>
      <c r="B26416" s="136"/>
    </row>
    <row r="26417" spans="1:2" x14ac:dyDescent="0.25">
      <c r="A26417" s="118"/>
      <c r="B26417" s="136"/>
    </row>
    <row r="26418" spans="1:2" x14ac:dyDescent="0.25">
      <c r="A26418" s="118"/>
      <c r="B26418" s="136"/>
    </row>
    <row r="26419" spans="1:2" x14ac:dyDescent="0.25">
      <c r="A26419" s="118"/>
      <c r="B26419" s="136"/>
    </row>
    <row r="26420" spans="1:2" x14ac:dyDescent="0.25">
      <c r="A26420" s="118"/>
      <c r="B26420" s="136"/>
    </row>
    <row r="26421" spans="1:2" x14ac:dyDescent="0.25">
      <c r="A26421" s="118"/>
      <c r="B26421" s="136"/>
    </row>
    <row r="26422" spans="1:2" x14ac:dyDescent="0.25">
      <c r="A26422" s="118"/>
      <c r="B26422" s="136"/>
    </row>
    <row r="26423" spans="1:2" x14ac:dyDescent="0.25">
      <c r="A26423" s="118"/>
      <c r="B26423" s="136"/>
    </row>
    <row r="26424" spans="1:2" x14ac:dyDescent="0.25">
      <c r="A26424" s="118"/>
      <c r="B26424" s="136"/>
    </row>
    <row r="26425" spans="1:2" x14ac:dyDescent="0.25">
      <c r="A26425" s="118"/>
      <c r="B26425" s="136"/>
    </row>
    <row r="26426" spans="1:2" x14ac:dyDescent="0.25">
      <c r="A26426" s="118"/>
      <c r="B26426" s="136"/>
    </row>
    <row r="26427" spans="1:2" x14ac:dyDescent="0.25">
      <c r="A26427" s="118"/>
      <c r="B26427" s="136"/>
    </row>
    <row r="26428" spans="1:2" x14ac:dyDescent="0.25">
      <c r="A26428" s="118"/>
      <c r="B26428" s="136"/>
    </row>
    <row r="26429" spans="1:2" x14ac:dyDescent="0.25">
      <c r="A26429" s="118"/>
      <c r="B26429" s="136"/>
    </row>
    <row r="26430" spans="1:2" x14ac:dyDescent="0.25">
      <c r="A26430" s="118"/>
      <c r="B26430" s="136"/>
    </row>
    <row r="26431" spans="1:2" x14ac:dyDescent="0.25">
      <c r="A26431" s="118"/>
      <c r="B26431" s="136"/>
    </row>
    <row r="26432" spans="1:2" x14ac:dyDescent="0.25">
      <c r="A26432" s="118"/>
      <c r="B26432" s="136"/>
    </row>
    <row r="26433" spans="1:2" x14ac:dyDescent="0.25">
      <c r="A26433" s="118"/>
      <c r="B26433" s="136"/>
    </row>
    <row r="26434" spans="1:2" x14ac:dyDescent="0.25">
      <c r="A26434" s="118"/>
      <c r="B26434" s="136"/>
    </row>
    <row r="26435" spans="1:2" x14ac:dyDescent="0.25">
      <c r="A26435" s="118"/>
      <c r="B26435" s="136"/>
    </row>
    <row r="26436" spans="1:2" x14ac:dyDescent="0.25">
      <c r="A26436" s="118"/>
      <c r="B26436" s="136"/>
    </row>
    <row r="26437" spans="1:2" x14ac:dyDescent="0.25">
      <c r="A26437" s="118"/>
      <c r="B26437" s="136"/>
    </row>
    <row r="26438" spans="1:2" x14ac:dyDescent="0.25">
      <c r="A26438" s="118"/>
      <c r="B26438" s="136"/>
    </row>
    <row r="26439" spans="1:2" x14ac:dyDescent="0.25">
      <c r="A26439" s="118"/>
      <c r="B26439" s="136"/>
    </row>
    <row r="26440" spans="1:2" x14ac:dyDescent="0.25">
      <c r="A26440" s="118"/>
      <c r="B26440" s="136"/>
    </row>
    <row r="26441" spans="1:2" x14ac:dyDescent="0.25">
      <c r="A26441" s="118"/>
      <c r="B26441" s="136"/>
    </row>
    <row r="26442" spans="1:2" x14ac:dyDescent="0.25">
      <c r="A26442" s="118"/>
      <c r="B26442" s="136"/>
    </row>
    <row r="26443" spans="1:2" x14ac:dyDescent="0.25">
      <c r="A26443" s="118"/>
      <c r="B26443" s="136"/>
    </row>
    <row r="26444" spans="1:2" x14ac:dyDescent="0.25">
      <c r="A26444" s="118"/>
      <c r="B26444" s="136"/>
    </row>
    <row r="26445" spans="1:2" x14ac:dyDescent="0.25">
      <c r="A26445" s="118"/>
      <c r="B26445" s="136"/>
    </row>
    <row r="26446" spans="1:2" x14ac:dyDescent="0.25">
      <c r="A26446" s="118"/>
      <c r="B26446" s="136"/>
    </row>
    <row r="26447" spans="1:2" x14ac:dyDescent="0.25">
      <c r="A26447" s="118"/>
      <c r="B26447" s="136"/>
    </row>
    <row r="26448" spans="1:2" x14ac:dyDescent="0.25">
      <c r="A26448" s="118"/>
      <c r="B26448" s="136"/>
    </row>
    <row r="26449" spans="1:2" x14ac:dyDescent="0.25">
      <c r="A26449" s="118"/>
      <c r="B26449" s="136"/>
    </row>
    <row r="26450" spans="1:2" x14ac:dyDescent="0.25">
      <c r="A26450" s="118"/>
      <c r="B26450" s="136"/>
    </row>
    <row r="26451" spans="1:2" x14ac:dyDescent="0.25">
      <c r="A26451" s="118"/>
      <c r="B26451" s="136"/>
    </row>
    <row r="26452" spans="1:2" x14ac:dyDescent="0.25">
      <c r="A26452" s="118"/>
      <c r="B26452" s="136"/>
    </row>
    <row r="26453" spans="1:2" x14ac:dyDescent="0.25">
      <c r="A26453" s="118"/>
      <c r="B26453" s="136"/>
    </row>
    <row r="26454" spans="1:2" x14ac:dyDescent="0.25">
      <c r="A26454" s="118"/>
      <c r="B26454" s="136"/>
    </row>
    <row r="26455" spans="1:2" x14ac:dyDescent="0.25">
      <c r="A26455" s="118"/>
      <c r="B26455" s="136"/>
    </row>
    <row r="26456" spans="1:2" x14ac:dyDescent="0.25">
      <c r="A26456" s="118"/>
      <c r="B26456" s="136"/>
    </row>
    <row r="26457" spans="1:2" x14ac:dyDescent="0.25">
      <c r="A26457" s="118"/>
      <c r="B26457" s="136"/>
    </row>
    <row r="26458" spans="1:2" x14ac:dyDescent="0.25">
      <c r="A26458" s="118"/>
      <c r="B26458" s="136"/>
    </row>
    <row r="26459" spans="1:2" x14ac:dyDescent="0.25">
      <c r="A26459" s="118"/>
      <c r="B26459" s="136"/>
    </row>
    <row r="26460" spans="1:2" x14ac:dyDescent="0.25">
      <c r="A26460" s="118"/>
      <c r="B26460" s="136"/>
    </row>
    <row r="26461" spans="1:2" x14ac:dyDescent="0.25">
      <c r="A26461" s="118"/>
      <c r="B26461" s="136"/>
    </row>
    <row r="26462" spans="1:2" x14ac:dyDescent="0.25">
      <c r="A26462" s="118"/>
      <c r="B26462" s="136"/>
    </row>
    <row r="26463" spans="1:2" x14ac:dyDescent="0.25">
      <c r="A26463" s="118"/>
      <c r="B26463" s="136"/>
    </row>
    <row r="26464" spans="1:2" x14ac:dyDescent="0.25">
      <c r="A26464" s="118"/>
      <c r="B26464" s="136"/>
    </row>
    <row r="26465" spans="1:2" x14ac:dyDescent="0.25">
      <c r="A26465" s="118"/>
      <c r="B26465" s="136"/>
    </row>
    <row r="26466" spans="1:2" x14ac:dyDescent="0.25">
      <c r="A26466" s="118"/>
      <c r="B26466" s="136"/>
    </row>
    <row r="26467" spans="1:2" x14ac:dyDescent="0.25">
      <c r="A26467" s="118"/>
      <c r="B26467" s="136"/>
    </row>
    <row r="26468" spans="1:2" x14ac:dyDescent="0.25">
      <c r="A26468" s="118"/>
      <c r="B26468" s="136"/>
    </row>
    <row r="26469" spans="1:2" x14ac:dyDescent="0.25">
      <c r="A26469" s="118"/>
      <c r="B26469" s="136"/>
    </row>
    <row r="26470" spans="1:2" x14ac:dyDescent="0.25">
      <c r="A26470" s="118"/>
      <c r="B26470" s="136"/>
    </row>
    <row r="26471" spans="1:2" x14ac:dyDescent="0.25">
      <c r="A26471" s="118"/>
      <c r="B26471" s="136"/>
    </row>
    <row r="26472" spans="1:2" x14ac:dyDescent="0.25">
      <c r="A26472" s="118"/>
      <c r="B26472" s="136"/>
    </row>
    <row r="26473" spans="1:2" x14ac:dyDescent="0.25">
      <c r="A26473" s="118"/>
      <c r="B26473" s="136"/>
    </row>
    <row r="26474" spans="1:2" x14ac:dyDescent="0.25">
      <c r="A26474" s="118"/>
      <c r="B26474" s="136"/>
    </row>
    <row r="26475" spans="1:2" x14ac:dyDescent="0.25">
      <c r="A26475" s="118"/>
      <c r="B26475" s="136"/>
    </row>
    <row r="26476" spans="1:2" x14ac:dyDescent="0.25">
      <c r="A26476" s="118"/>
      <c r="B26476" s="136"/>
    </row>
    <row r="26477" spans="1:2" x14ac:dyDescent="0.25">
      <c r="A26477" s="118"/>
      <c r="B26477" s="136"/>
    </row>
    <row r="26478" spans="1:2" x14ac:dyDescent="0.25">
      <c r="A26478" s="118"/>
      <c r="B26478" s="136"/>
    </row>
    <row r="26479" spans="1:2" x14ac:dyDescent="0.25">
      <c r="A26479" s="118"/>
      <c r="B26479" s="136"/>
    </row>
    <row r="26480" spans="1:2" x14ac:dyDescent="0.25">
      <c r="A26480" s="118"/>
      <c r="B26480" s="136"/>
    </row>
    <row r="26481" spans="1:2" x14ac:dyDescent="0.25">
      <c r="A26481" s="118"/>
      <c r="B26481" s="136"/>
    </row>
    <row r="26482" spans="1:2" x14ac:dyDescent="0.25">
      <c r="A26482" s="118"/>
      <c r="B26482" s="136"/>
    </row>
    <row r="26483" spans="1:2" x14ac:dyDescent="0.25">
      <c r="A26483" s="118"/>
      <c r="B26483" s="136"/>
    </row>
    <row r="26484" spans="1:2" x14ac:dyDescent="0.25">
      <c r="A26484" s="118"/>
      <c r="B26484" s="136"/>
    </row>
    <row r="26485" spans="1:2" x14ac:dyDescent="0.25">
      <c r="A26485" s="118"/>
      <c r="B26485" s="136"/>
    </row>
    <row r="26486" spans="1:2" x14ac:dyDescent="0.25">
      <c r="A26486" s="118"/>
      <c r="B26486" s="136"/>
    </row>
    <row r="26487" spans="1:2" x14ac:dyDescent="0.25">
      <c r="A26487" s="118"/>
      <c r="B26487" s="136"/>
    </row>
    <row r="26488" spans="1:2" x14ac:dyDescent="0.25">
      <c r="A26488" s="118"/>
      <c r="B26488" s="136"/>
    </row>
    <row r="26489" spans="1:2" x14ac:dyDescent="0.25">
      <c r="A26489" s="118"/>
      <c r="B26489" s="136"/>
    </row>
    <row r="26490" spans="1:2" x14ac:dyDescent="0.25">
      <c r="A26490" s="118"/>
      <c r="B26490" s="136"/>
    </row>
    <row r="26491" spans="1:2" x14ac:dyDescent="0.25">
      <c r="A26491" s="118"/>
      <c r="B26491" s="136"/>
    </row>
    <row r="26492" spans="1:2" x14ac:dyDescent="0.25">
      <c r="A26492" s="118"/>
      <c r="B26492" s="136"/>
    </row>
    <row r="26493" spans="1:2" x14ac:dyDescent="0.25">
      <c r="A26493" s="118"/>
      <c r="B26493" s="136"/>
    </row>
    <row r="26494" spans="1:2" x14ac:dyDescent="0.25">
      <c r="A26494" s="118"/>
      <c r="B26494" s="136"/>
    </row>
    <row r="26495" spans="1:2" x14ac:dyDescent="0.25">
      <c r="A26495" s="118"/>
      <c r="B26495" s="136"/>
    </row>
    <row r="26496" spans="1:2" x14ac:dyDescent="0.25">
      <c r="A26496" s="118"/>
      <c r="B26496" s="136"/>
    </row>
    <row r="26497" spans="1:2" x14ac:dyDescent="0.25">
      <c r="A26497" s="118"/>
      <c r="B26497" s="136"/>
    </row>
    <row r="26498" spans="1:2" x14ac:dyDescent="0.25">
      <c r="A26498" s="118"/>
      <c r="B26498" s="136"/>
    </row>
    <row r="26499" spans="1:2" x14ac:dyDescent="0.25">
      <c r="A26499" s="118"/>
      <c r="B26499" s="136"/>
    </row>
    <row r="26500" spans="1:2" x14ac:dyDescent="0.25">
      <c r="A26500" s="118"/>
      <c r="B26500" s="136"/>
    </row>
    <row r="26501" spans="1:2" x14ac:dyDescent="0.25">
      <c r="A26501" s="118"/>
      <c r="B26501" s="136"/>
    </row>
    <row r="26502" spans="1:2" x14ac:dyDescent="0.25">
      <c r="A26502" s="118"/>
      <c r="B26502" s="136"/>
    </row>
    <row r="26503" spans="1:2" x14ac:dyDescent="0.25">
      <c r="A26503" s="118"/>
      <c r="B26503" s="136"/>
    </row>
    <row r="26504" spans="1:2" x14ac:dyDescent="0.25">
      <c r="A26504" s="118"/>
      <c r="B26504" s="136"/>
    </row>
    <row r="26505" spans="1:2" x14ac:dyDescent="0.25">
      <c r="A26505" s="118"/>
      <c r="B26505" s="136"/>
    </row>
    <row r="26506" spans="1:2" x14ac:dyDescent="0.25">
      <c r="A26506" s="118"/>
      <c r="B26506" s="136"/>
    </row>
    <row r="26507" spans="1:2" x14ac:dyDescent="0.25">
      <c r="A26507" s="118"/>
      <c r="B26507" s="136"/>
    </row>
    <row r="26508" spans="1:2" x14ac:dyDescent="0.25">
      <c r="A26508" s="118"/>
      <c r="B26508" s="136"/>
    </row>
    <row r="26509" spans="1:2" x14ac:dyDescent="0.25">
      <c r="A26509" s="118"/>
      <c r="B26509" s="136"/>
    </row>
    <row r="26510" spans="1:2" x14ac:dyDescent="0.25">
      <c r="A26510" s="118"/>
      <c r="B26510" s="136"/>
    </row>
    <row r="26511" spans="1:2" x14ac:dyDescent="0.25">
      <c r="A26511" s="118"/>
      <c r="B26511" s="136"/>
    </row>
    <row r="26512" spans="1:2" x14ac:dyDescent="0.25">
      <c r="A26512" s="118"/>
      <c r="B26512" s="136"/>
    </row>
    <row r="26513" spans="1:2" x14ac:dyDescent="0.25">
      <c r="A26513" s="118"/>
      <c r="B26513" s="136"/>
    </row>
    <row r="26514" spans="1:2" x14ac:dyDescent="0.25">
      <c r="A26514" s="118"/>
      <c r="B26514" s="136"/>
    </row>
    <row r="26515" spans="1:2" x14ac:dyDescent="0.25">
      <c r="A26515" s="118"/>
      <c r="B26515" s="136"/>
    </row>
    <row r="26516" spans="1:2" x14ac:dyDescent="0.25">
      <c r="A26516" s="118"/>
      <c r="B26516" s="136"/>
    </row>
    <row r="26517" spans="1:2" x14ac:dyDescent="0.25">
      <c r="A26517" s="118"/>
      <c r="B26517" s="136"/>
    </row>
    <row r="26518" spans="1:2" x14ac:dyDescent="0.25">
      <c r="A26518" s="118"/>
      <c r="B26518" s="136"/>
    </row>
    <row r="26519" spans="1:2" x14ac:dyDescent="0.25">
      <c r="A26519" s="118"/>
      <c r="B26519" s="136"/>
    </row>
    <row r="26520" spans="1:2" x14ac:dyDescent="0.25">
      <c r="A26520" s="118"/>
      <c r="B26520" s="136"/>
    </row>
    <row r="26521" spans="1:2" x14ac:dyDescent="0.25">
      <c r="A26521" s="118"/>
      <c r="B26521" s="136"/>
    </row>
    <row r="26522" spans="1:2" x14ac:dyDescent="0.25">
      <c r="A26522" s="118"/>
      <c r="B26522" s="136"/>
    </row>
    <row r="26523" spans="1:2" x14ac:dyDescent="0.25">
      <c r="A26523" s="118"/>
      <c r="B26523" s="136"/>
    </row>
    <row r="26524" spans="1:2" x14ac:dyDescent="0.25">
      <c r="A26524" s="118"/>
      <c r="B26524" s="136"/>
    </row>
    <row r="26525" spans="1:2" x14ac:dyDescent="0.25">
      <c r="A26525" s="118"/>
      <c r="B26525" s="136"/>
    </row>
    <row r="26526" spans="1:2" x14ac:dyDescent="0.25">
      <c r="A26526" s="118"/>
      <c r="B26526" s="136"/>
    </row>
    <row r="26527" spans="1:2" x14ac:dyDescent="0.25">
      <c r="A26527" s="118"/>
      <c r="B26527" s="136"/>
    </row>
    <row r="26528" spans="1:2" x14ac:dyDescent="0.25">
      <c r="A26528" s="118"/>
      <c r="B26528" s="136"/>
    </row>
    <row r="26529" spans="1:2" x14ac:dyDescent="0.25">
      <c r="A26529" s="118"/>
      <c r="B26529" s="136"/>
    </row>
    <row r="26530" spans="1:2" x14ac:dyDescent="0.25">
      <c r="A26530" s="118"/>
      <c r="B26530" s="136"/>
    </row>
    <row r="26531" spans="1:2" x14ac:dyDescent="0.25">
      <c r="A26531" s="118"/>
      <c r="B26531" s="136"/>
    </row>
    <row r="26532" spans="1:2" x14ac:dyDescent="0.25">
      <c r="A26532" s="118"/>
      <c r="B26532" s="136"/>
    </row>
    <row r="26533" spans="1:2" x14ac:dyDescent="0.25">
      <c r="A26533" s="118"/>
      <c r="B26533" s="136"/>
    </row>
    <row r="26534" spans="1:2" x14ac:dyDescent="0.25">
      <c r="A26534" s="118"/>
      <c r="B26534" s="136"/>
    </row>
    <row r="26535" spans="1:2" x14ac:dyDescent="0.25">
      <c r="A26535" s="118"/>
      <c r="B26535" s="136"/>
    </row>
    <row r="26536" spans="1:2" x14ac:dyDescent="0.25">
      <c r="A26536" s="118"/>
      <c r="B26536" s="136"/>
    </row>
    <row r="26537" spans="1:2" x14ac:dyDescent="0.25">
      <c r="A26537" s="118"/>
      <c r="B26537" s="136"/>
    </row>
    <row r="26538" spans="1:2" x14ac:dyDescent="0.25">
      <c r="A26538" s="118"/>
      <c r="B26538" s="136"/>
    </row>
    <row r="26539" spans="1:2" x14ac:dyDescent="0.25">
      <c r="A26539" s="118"/>
      <c r="B26539" s="136"/>
    </row>
    <row r="26540" spans="1:2" x14ac:dyDescent="0.25">
      <c r="A26540" s="118"/>
      <c r="B26540" s="136"/>
    </row>
    <row r="26541" spans="1:2" x14ac:dyDescent="0.25">
      <c r="A26541" s="118"/>
      <c r="B26541" s="136"/>
    </row>
    <row r="26542" spans="1:2" x14ac:dyDescent="0.25">
      <c r="A26542" s="118"/>
      <c r="B26542" s="136"/>
    </row>
    <row r="26543" spans="1:2" x14ac:dyDescent="0.25">
      <c r="A26543" s="118"/>
      <c r="B26543" s="136"/>
    </row>
    <row r="26544" spans="1:2" x14ac:dyDescent="0.25">
      <c r="A26544" s="118"/>
      <c r="B26544" s="136"/>
    </row>
    <row r="26545" spans="1:2" x14ac:dyDescent="0.25">
      <c r="A26545" s="118"/>
      <c r="B26545" s="136"/>
    </row>
    <row r="26546" spans="1:2" x14ac:dyDescent="0.25">
      <c r="A26546" s="118"/>
      <c r="B26546" s="136"/>
    </row>
    <row r="26547" spans="1:2" x14ac:dyDescent="0.25">
      <c r="A26547" s="118"/>
      <c r="B26547" s="136"/>
    </row>
    <row r="26548" spans="1:2" x14ac:dyDescent="0.25">
      <c r="A26548" s="118"/>
      <c r="B26548" s="136"/>
    </row>
    <row r="26549" spans="1:2" x14ac:dyDescent="0.25">
      <c r="A26549" s="118"/>
      <c r="B26549" s="136"/>
    </row>
    <row r="26550" spans="1:2" x14ac:dyDescent="0.25">
      <c r="A26550" s="118"/>
      <c r="B26550" s="136"/>
    </row>
    <row r="26551" spans="1:2" x14ac:dyDescent="0.25">
      <c r="A26551" s="118"/>
      <c r="B26551" s="136"/>
    </row>
    <row r="26552" spans="1:2" x14ac:dyDescent="0.25">
      <c r="A26552" s="118"/>
      <c r="B26552" s="136"/>
    </row>
    <row r="26553" spans="1:2" x14ac:dyDescent="0.25">
      <c r="A26553" s="118"/>
      <c r="B26553" s="136"/>
    </row>
    <row r="26554" spans="1:2" x14ac:dyDescent="0.25">
      <c r="A26554" s="118"/>
      <c r="B26554" s="136"/>
    </row>
    <row r="26555" spans="1:2" x14ac:dyDescent="0.25">
      <c r="A26555" s="118"/>
      <c r="B26555" s="136"/>
    </row>
    <row r="26556" spans="1:2" x14ac:dyDescent="0.25">
      <c r="A26556" s="118"/>
      <c r="B26556" s="136"/>
    </row>
    <row r="26557" spans="1:2" x14ac:dyDescent="0.25">
      <c r="A26557" s="118"/>
      <c r="B26557" s="136"/>
    </row>
    <row r="26558" spans="1:2" x14ac:dyDescent="0.25">
      <c r="A26558" s="118"/>
      <c r="B26558" s="136"/>
    </row>
    <row r="26559" spans="1:2" x14ac:dyDescent="0.25">
      <c r="A26559" s="118"/>
      <c r="B26559" s="136"/>
    </row>
    <row r="26560" spans="1:2" x14ac:dyDescent="0.25">
      <c r="A26560" s="118"/>
      <c r="B26560" s="136"/>
    </row>
    <row r="26561" spans="1:2" x14ac:dyDescent="0.25">
      <c r="A26561" s="118"/>
      <c r="B26561" s="136"/>
    </row>
    <row r="26562" spans="1:2" x14ac:dyDescent="0.25">
      <c r="A26562" s="118"/>
      <c r="B26562" s="136"/>
    </row>
    <row r="26563" spans="1:2" x14ac:dyDescent="0.25">
      <c r="A26563" s="118"/>
      <c r="B26563" s="136"/>
    </row>
    <row r="26564" spans="1:2" x14ac:dyDescent="0.25">
      <c r="A26564" s="118"/>
      <c r="B26564" s="136"/>
    </row>
    <row r="26565" spans="1:2" x14ac:dyDescent="0.25">
      <c r="A26565" s="118"/>
      <c r="B26565" s="136"/>
    </row>
    <row r="26566" spans="1:2" x14ac:dyDescent="0.25">
      <c r="A26566" s="118"/>
      <c r="B26566" s="136"/>
    </row>
    <row r="26567" spans="1:2" x14ac:dyDescent="0.25">
      <c r="A26567" s="118"/>
      <c r="B26567" s="136"/>
    </row>
    <row r="26568" spans="1:2" x14ac:dyDescent="0.25">
      <c r="A26568" s="118"/>
      <c r="B26568" s="136"/>
    </row>
    <row r="26569" spans="1:2" x14ac:dyDescent="0.25">
      <c r="A26569" s="118"/>
      <c r="B26569" s="136"/>
    </row>
    <row r="26570" spans="1:2" x14ac:dyDescent="0.25">
      <c r="A26570" s="118"/>
      <c r="B26570" s="136"/>
    </row>
    <row r="26571" spans="1:2" x14ac:dyDescent="0.25">
      <c r="A26571" s="118"/>
      <c r="B26571" s="136"/>
    </row>
    <row r="26572" spans="1:2" x14ac:dyDescent="0.25">
      <c r="A26572" s="118"/>
      <c r="B26572" s="136"/>
    </row>
    <row r="26573" spans="1:2" x14ac:dyDescent="0.25">
      <c r="A26573" s="118"/>
      <c r="B26573" s="136"/>
    </row>
    <row r="26574" spans="1:2" x14ac:dyDescent="0.25">
      <c r="A26574" s="118"/>
      <c r="B26574" s="136"/>
    </row>
    <row r="26575" spans="1:2" x14ac:dyDescent="0.25">
      <c r="A26575" s="118"/>
      <c r="B26575" s="136"/>
    </row>
    <row r="26576" spans="1:2" x14ac:dyDescent="0.25">
      <c r="A26576" s="118"/>
      <c r="B26576" s="136"/>
    </row>
    <row r="26577" spans="1:2" x14ac:dyDescent="0.25">
      <c r="A26577" s="118"/>
      <c r="B26577" s="136"/>
    </row>
    <row r="26578" spans="1:2" x14ac:dyDescent="0.25">
      <c r="A26578" s="118"/>
      <c r="B26578" s="136"/>
    </row>
    <row r="26579" spans="1:2" x14ac:dyDescent="0.25">
      <c r="A26579" s="118"/>
      <c r="B26579" s="136"/>
    </row>
    <row r="26580" spans="1:2" x14ac:dyDescent="0.25">
      <c r="A26580" s="118"/>
      <c r="B26580" s="136"/>
    </row>
    <row r="26581" spans="1:2" x14ac:dyDescent="0.25">
      <c r="A26581" s="118"/>
      <c r="B26581" s="136"/>
    </row>
    <row r="26582" spans="1:2" x14ac:dyDescent="0.25">
      <c r="A26582" s="118"/>
      <c r="B26582" s="136"/>
    </row>
    <row r="26583" spans="1:2" x14ac:dyDescent="0.25">
      <c r="A26583" s="118"/>
      <c r="B26583" s="136"/>
    </row>
    <row r="26584" spans="1:2" x14ac:dyDescent="0.25">
      <c r="A26584" s="118"/>
      <c r="B26584" s="136"/>
    </row>
    <row r="26585" spans="1:2" x14ac:dyDescent="0.25">
      <c r="A26585" s="118"/>
      <c r="B26585" s="136"/>
    </row>
    <row r="26586" spans="1:2" x14ac:dyDescent="0.25">
      <c r="A26586" s="118"/>
      <c r="B26586" s="136"/>
    </row>
    <row r="26587" spans="1:2" x14ac:dyDescent="0.25">
      <c r="A26587" s="118"/>
      <c r="B26587" s="136"/>
    </row>
    <row r="26588" spans="1:2" x14ac:dyDescent="0.25">
      <c r="A26588" s="118"/>
      <c r="B26588" s="136"/>
    </row>
    <row r="26589" spans="1:2" x14ac:dyDescent="0.25">
      <c r="A26589" s="118"/>
      <c r="B26589" s="136"/>
    </row>
    <row r="26590" spans="1:2" x14ac:dyDescent="0.25">
      <c r="A26590" s="118"/>
      <c r="B26590" s="136"/>
    </row>
    <row r="26591" spans="1:2" x14ac:dyDescent="0.25">
      <c r="A26591" s="118"/>
      <c r="B26591" s="136"/>
    </row>
    <row r="26592" spans="1:2" x14ac:dyDescent="0.25">
      <c r="A26592" s="118"/>
      <c r="B26592" s="136"/>
    </row>
    <row r="26593" spans="1:2" x14ac:dyDescent="0.25">
      <c r="A26593" s="118"/>
      <c r="B26593" s="136"/>
    </row>
    <row r="26594" spans="1:2" x14ac:dyDescent="0.25">
      <c r="A26594" s="118"/>
      <c r="B26594" s="136"/>
    </row>
    <row r="26595" spans="1:2" x14ac:dyDescent="0.25">
      <c r="A26595" s="118"/>
      <c r="B26595" s="136"/>
    </row>
    <row r="26596" spans="1:2" x14ac:dyDescent="0.25">
      <c r="A26596" s="118"/>
      <c r="B26596" s="136"/>
    </row>
    <row r="26597" spans="1:2" x14ac:dyDescent="0.25">
      <c r="A26597" s="118"/>
      <c r="B26597" s="136"/>
    </row>
    <row r="26598" spans="1:2" x14ac:dyDescent="0.25">
      <c r="A26598" s="118"/>
      <c r="B26598" s="136"/>
    </row>
    <row r="26599" spans="1:2" x14ac:dyDescent="0.25">
      <c r="A26599" s="118"/>
      <c r="B26599" s="136"/>
    </row>
    <row r="26600" spans="1:2" x14ac:dyDescent="0.25">
      <c r="A26600" s="118"/>
      <c r="B26600" s="136"/>
    </row>
    <row r="26601" spans="1:2" x14ac:dyDescent="0.25">
      <c r="A26601" s="118"/>
      <c r="B26601" s="136"/>
    </row>
    <row r="26602" spans="1:2" x14ac:dyDescent="0.25">
      <c r="A26602" s="118"/>
      <c r="B26602" s="136"/>
    </row>
    <row r="26603" spans="1:2" x14ac:dyDescent="0.25">
      <c r="A26603" s="118"/>
      <c r="B26603" s="136"/>
    </row>
    <row r="26604" spans="1:2" x14ac:dyDescent="0.25">
      <c r="A26604" s="118"/>
      <c r="B26604" s="136"/>
    </row>
    <row r="26605" spans="1:2" x14ac:dyDescent="0.25">
      <c r="A26605" s="118"/>
      <c r="B26605" s="136"/>
    </row>
    <row r="26606" spans="1:2" x14ac:dyDescent="0.25">
      <c r="A26606" s="118"/>
      <c r="B26606" s="136"/>
    </row>
    <row r="26607" spans="1:2" x14ac:dyDescent="0.25">
      <c r="A26607" s="118"/>
      <c r="B26607" s="136"/>
    </row>
    <row r="26608" spans="1:2" x14ac:dyDescent="0.25">
      <c r="A26608" s="118"/>
      <c r="B26608" s="136"/>
    </row>
    <row r="26609" spans="1:2" x14ac:dyDescent="0.25">
      <c r="A26609" s="118"/>
      <c r="B26609" s="136"/>
    </row>
    <row r="26610" spans="1:2" x14ac:dyDescent="0.25">
      <c r="A26610" s="118"/>
      <c r="B26610" s="136"/>
    </row>
    <row r="26611" spans="1:2" x14ac:dyDescent="0.25">
      <c r="A26611" s="118"/>
      <c r="B26611" s="136"/>
    </row>
    <row r="26612" spans="1:2" x14ac:dyDescent="0.25">
      <c r="A26612" s="118"/>
      <c r="B26612" s="136"/>
    </row>
    <row r="26613" spans="1:2" x14ac:dyDescent="0.25">
      <c r="A26613" s="118"/>
      <c r="B26613" s="136"/>
    </row>
    <row r="26614" spans="1:2" x14ac:dyDescent="0.25">
      <c r="A26614" s="118"/>
      <c r="B26614" s="136"/>
    </row>
    <row r="26615" spans="1:2" x14ac:dyDescent="0.25">
      <c r="A26615" s="118"/>
      <c r="B26615" s="136"/>
    </row>
    <row r="26616" spans="1:2" x14ac:dyDescent="0.25">
      <c r="A26616" s="118"/>
      <c r="B26616" s="136"/>
    </row>
    <row r="26617" spans="1:2" x14ac:dyDescent="0.25">
      <c r="A26617" s="118"/>
      <c r="B26617" s="136"/>
    </row>
    <row r="26618" spans="1:2" x14ac:dyDescent="0.25">
      <c r="A26618" s="118"/>
      <c r="B26618" s="136"/>
    </row>
    <row r="26619" spans="1:2" x14ac:dyDescent="0.25">
      <c r="A26619" s="118"/>
      <c r="B26619" s="136"/>
    </row>
    <row r="26620" spans="1:2" x14ac:dyDescent="0.25">
      <c r="A26620" s="118"/>
      <c r="B26620" s="136"/>
    </row>
    <row r="26621" spans="1:2" x14ac:dyDescent="0.25">
      <c r="A26621" s="118"/>
      <c r="B26621" s="136"/>
    </row>
    <row r="26622" spans="1:2" x14ac:dyDescent="0.25">
      <c r="A26622" s="118"/>
      <c r="B26622" s="136"/>
    </row>
    <row r="26623" spans="1:2" x14ac:dyDescent="0.25">
      <c r="A26623" s="118"/>
      <c r="B26623" s="136"/>
    </row>
    <row r="26624" spans="1:2" x14ac:dyDescent="0.25">
      <c r="A26624" s="118"/>
      <c r="B26624" s="136"/>
    </row>
    <row r="26625" spans="1:2" x14ac:dyDescent="0.25">
      <c r="A26625" s="118"/>
      <c r="B26625" s="136"/>
    </row>
    <row r="26626" spans="1:2" x14ac:dyDescent="0.25">
      <c r="A26626" s="118"/>
      <c r="B26626" s="136"/>
    </row>
    <row r="26627" spans="1:2" x14ac:dyDescent="0.25">
      <c r="A26627" s="118"/>
      <c r="B26627" s="136"/>
    </row>
    <row r="26628" spans="1:2" x14ac:dyDescent="0.25">
      <c r="A26628" s="118"/>
      <c r="B26628" s="136"/>
    </row>
    <row r="26629" spans="1:2" x14ac:dyDescent="0.25">
      <c r="A26629" s="118"/>
      <c r="B26629" s="136"/>
    </row>
    <row r="26630" spans="1:2" x14ac:dyDescent="0.25">
      <c r="A26630" s="118"/>
      <c r="B26630" s="136"/>
    </row>
    <row r="26631" spans="1:2" x14ac:dyDescent="0.25">
      <c r="A26631" s="118"/>
      <c r="B26631" s="136"/>
    </row>
    <row r="26632" spans="1:2" x14ac:dyDescent="0.25">
      <c r="A26632" s="118"/>
      <c r="B26632" s="136"/>
    </row>
    <row r="26633" spans="1:2" x14ac:dyDescent="0.25">
      <c r="A26633" s="118"/>
      <c r="B26633" s="136"/>
    </row>
    <row r="26634" spans="1:2" x14ac:dyDescent="0.25">
      <c r="A26634" s="118"/>
      <c r="B26634" s="136"/>
    </row>
    <row r="26635" spans="1:2" x14ac:dyDescent="0.25">
      <c r="A26635" s="118"/>
      <c r="B26635" s="136"/>
    </row>
    <row r="26636" spans="1:2" x14ac:dyDescent="0.25">
      <c r="A26636" s="118"/>
      <c r="B26636" s="136"/>
    </row>
    <row r="26637" spans="1:2" x14ac:dyDescent="0.25">
      <c r="A26637" s="118"/>
      <c r="B26637" s="136"/>
    </row>
    <row r="26638" spans="1:2" x14ac:dyDescent="0.25">
      <c r="A26638" s="118"/>
      <c r="B26638" s="136"/>
    </row>
    <row r="26639" spans="1:2" x14ac:dyDescent="0.25">
      <c r="A26639" s="118"/>
      <c r="B26639" s="136"/>
    </row>
    <row r="26640" spans="1:2" x14ac:dyDescent="0.25">
      <c r="A26640" s="118"/>
      <c r="B26640" s="136"/>
    </row>
    <row r="26641" spans="1:2" x14ac:dyDescent="0.25">
      <c r="A26641" s="118"/>
      <c r="B26641" s="136"/>
    </row>
    <row r="26642" spans="1:2" x14ac:dyDescent="0.25">
      <c r="A26642" s="118"/>
      <c r="B26642" s="136"/>
    </row>
    <row r="26643" spans="1:2" x14ac:dyDescent="0.25">
      <c r="A26643" s="118"/>
      <c r="B26643" s="136"/>
    </row>
    <row r="26644" spans="1:2" x14ac:dyDescent="0.25">
      <c r="A26644" s="118"/>
      <c r="B26644" s="136"/>
    </row>
    <row r="26645" spans="1:2" x14ac:dyDescent="0.25">
      <c r="A26645" s="118"/>
      <c r="B26645" s="136"/>
    </row>
    <row r="26646" spans="1:2" x14ac:dyDescent="0.25">
      <c r="A26646" s="118"/>
      <c r="B26646" s="136"/>
    </row>
    <row r="26647" spans="1:2" x14ac:dyDescent="0.25">
      <c r="A26647" s="118"/>
      <c r="B26647" s="136"/>
    </row>
    <row r="26648" spans="1:2" x14ac:dyDescent="0.25">
      <c r="A26648" s="118"/>
      <c r="B26648" s="136"/>
    </row>
    <row r="26649" spans="1:2" x14ac:dyDescent="0.25">
      <c r="A26649" s="118"/>
      <c r="B26649" s="136"/>
    </row>
    <row r="26650" spans="1:2" x14ac:dyDescent="0.25">
      <c r="A26650" s="118"/>
      <c r="B26650" s="136"/>
    </row>
    <row r="26651" spans="1:2" x14ac:dyDescent="0.25">
      <c r="A26651" s="118"/>
      <c r="B26651" s="136"/>
    </row>
    <row r="26652" spans="1:2" x14ac:dyDescent="0.25">
      <c r="A26652" s="118"/>
      <c r="B26652" s="136"/>
    </row>
    <row r="26653" spans="1:2" x14ac:dyDescent="0.25">
      <c r="A26653" s="118"/>
      <c r="B26653" s="136"/>
    </row>
    <row r="26654" spans="1:2" x14ac:dyDescent="0.25">
      <c r="A26654" s="118"/>
      <c r="B26654" s="136"/>
    </row>
    <row r="26655" spans="1:2" x14ac:dyDescent="0.25">
      <c r="A26655" s="118"/>
      <c r="B26655" s="136"/>
    </row>
    <row r="26656" spans="1:2" x14ac:dyDescent="0.25">
      <c r="A26656" s="118"/>
      <c r="B26656" s="136"/>
    </row>
    <row r="26657" spans="1:2" x14ac:dyDescent="0.25">
      <c r="A26657" s="118"/>
      <c r="B26657" s="136"/>
    </row>
    <row r="26658" spans="1:2" x14ac:dyDescent="0.25">
      <c r="A26658" s="118"/>
      <c r="B26658" s="136"/>
    </row>
    <row r="26659" spans="1:2" x14ac:dyDescent="0.25">
      <c r="A26659" s="118"/>
      <c r="B26659" s="136"/>
    </row>
    <row r="26660" spans="1:2" x14ac:dyDescent="0.25">
      <c r="A26660" s="118"/>
      <c r="B26660" s="136"/>
    </row>
    <row r="26661" spans="1:2" x14ac:dyDescent="0.25">
      <c r="A26661" s="118"/>
      <c r="B26661" s="136"/>
    </row>
    <row r="26662" spans="1:2" x14ac:dyDescent="0.25">
      <c r="A26662" s="118"/>
      <c r="B26662" s="136"/>
    </row>
    <row r="26663" spans="1:2" x14ac:dyDescent="0.25">
      <c r="A26663" s="118"/>
      <c r="B26663" s="136"/>
    </row>
    <row r="26664" spans="1:2" x14ac:dyDescent="0.25">
      <c r="A26664" s="118"/>
      <c r="B26664" s="136"/>
    </row>
    <row r="26665" spans="1:2" x14ac:dyDescent="0.25">
      <c r="A26665" s="118"/>
      <c r="B26665" s="136"/>
    </row>
    <row r="26666" spans="1:2" x14ac:dyDescent="0.25">
      <c r="A26666" s="118"/>
      <c r="B26666" s="136"/>
    </row>
    <row r="26667" spans="1:2" x14ac:dyDescent="0.25">
      <c r="A26667" s="118"/>
      <c r="B26667" s="136"/>
    </row>
    <row r="26668" spans="1:2" x14ac:dyDescent="0.25">
      <c r="A26668" s="118"/>
      <c r="B26668" s="136"/>
    </row>
    <row r="26669" spans="1:2" x14ac:dyDescent="0.25">
      <c r="A26669" s="118"/>
      <c r="B26669" s="136"/>
    </row>
    <row r="26670" spans="1:2" x14ac:dyDescent="0.25">
      <c r="A26670" s="118"/>
      <c r="B26670" s="136"/>
    </row>
    <row r="26671" spans="1:2" x14ac:dyDescent="0.25">
      <c r="A26671" s="118"/>
      <c r="B26671" s="136"/>
    </row>
    <row r="26672" spans="1:2" x14ac:dyDescent="0.25">
      <c r="A26672" s="118"/>
      <c r="B26672" s="136"/>
    </row>
    <row r="26673" spans="1:2" x14ac:dyDescent="0.25">
      <c r="A26673" s="118"/>
      <c r="B26673" s="136"/>
    </row>
    <row r="26674" spans="1:2" x14ac:dyDescent="0.25">
      <c r="A26674" s="118"/>
      <c r="B26674" s="136"/>
    </row>
    <row r="26675" spans="1:2" x14ac:dyDescent="0.25">
      <c r="A26675" s="118"/>
      <c r="B26675" s="136"/>
    </row>
    <row r="26676" spans="1:2" x14ac:dyDescent="0.25">
      <c r="A26676" s="118"/>
      <c r="B26676" s="136"/>
    </row>
    <row r="26677" spans="1:2" x14ac:dyDescent="0.25">
      <c r="A26677" s="118"/>
      <c r="B26677" s="136"/>
    </row>
    <row r="26678" spans="1:2" x14ac:dyDescent="0.25">
      <c r="A26678" s="118"/>
      <c r="B26678" s="136"/>
    </row>
    <row r="26679" spans="1:2" x14ac:dyDescent="0.25">
      <c r="A26679" s="118"/>
      <c r="B26679" s="136"/>
    </row>
    <row r="26680" spans="1:2" x14ac:dyDescent="0.25">
      <c r="A26680" s="118"/>
      <c r="B26680" s="136"/>
    </row>
    <row r="26681" spans="1:2" x14ac:dyDescent="0.25">
      <c r="A26681" s="118"/>
      <c r="B26681" s="136"/>
    </row>
    <row r="26682" spans="1:2" x14ac:dyDescent="0.25">
      <c r="A26682" s="118"/>
      <c r="B26682" s="136"/>
    </row>
    <row r="26683" spans="1:2" x14ac:dyDescent="0.25">
      <c r="A26683" s="118"/>
      <c r="B26683" s="136"/>
    </row>
    <row r="26684" spans="1:2" x14ac:dyDescent="0.25">
      <c r="A26684" s="118"/>
      <c r="B26684" s="136"/>
    </row>
    <row r="26685" spans="1:2" x14ac:dyDescent="0.25">
      <c r="A26685" s="118"/>
      <c r="B26685" s="136"/>
    </row>
    <row r="26686" spans="1:2" x14ac:dyDescent="0.25">
      <c r="A26686" s="118"/>
      <c r="B26686" s="136"/>
    </row>
    <row r="26687" spans="1:2" x14ac:dyDescent="0.25">
      <c r="A26687" s="118"/>
      <c r="B26687" s="136"/>
    </row>
    <row r="26688" spans="1:2" x14ac:dyDescent="0.25">
      <c r="A26688" s="118"/>
      <c r="B26688" s="136"/>
    </row>
    <row r="26689" spans="1:2" x14ac:dyDescent="0.25">
      <c r="A26689" s="118"/>
      <c r="B26689" s="136"/>
    </row>
    <row r="26690" spans="1:2" x14ac:dyDescent="0.25">
      <c r="A26690" s="118"/>
      <c r="B26690" s="136"/>
    </row>
    <row r="26691" spans="1:2" x14ac:dyDescent="0.25">
      <c r="A26691" s="118"/>
      <c r="B26691" s="136"/>
    </row>
    <row r="26692" spans="1:2" x14ac:dyDescent="0.25">
      <c r="A26692" s="118"/>
      <c r="B26692" s="136"/>
    </row>
    <row r="26693" spans="1:2" x14ac:dyDescent="0.25">
      <c r="A26693" s="118"/>
      <c r="B26693" s="136"/>
    </row>
    <row r="26694" spans="1:2" x14ac:dyDescent="0.25">
      <c r="A26694" s="118"/>
      <c r="B26694" s="136"/>
    </row>
    <row r="26695" spans="1:2" x14ac:dyDescent="0.25">
      <c r="A26695" s="118"/>
      <c r="B26695" s="136"/>
    </row>
    <row r="26696" spans="1:2" x14ac:dyDescent="0.25">
      <c r="A26696" s="118"/>
      <c r="B26696" s="136"/>
    </row>
    <row r="26697" spans="1:2" x14ac:dyDescent="0.25">
      <c r="A26697" s="118"/>
      <c r="B26697" s="136"/>
    </row>
    <row r="26698" spans="1:2" x14ac:dyDescent="0.25">
      <c r="A26698" s="118"/>
      <c r="B26698" s="136"/>
    </row>
    <row r="26699" spans="1:2" x14ac:dyDescent="0.25">
      <c r="A26699" s="118"/>
      <c r="B26699" s="136"/>
    </row>
    <row r="26700" spans="1:2" x14ac:dyDescent="0.25">
      <c r="A26700" s="118"/>
      <c r="B26700" s="136"/>
    </row>
    <row r="26701" spans="1:2" x14ac:dyDescent="0.25">
      <c r="A26701" s="118"/>
      <c r="B26701" s="136"/>
    </row>
    <row r="26702" spans="1:2" x14ac:dyDescent="0.25">
      <c r="A26702" s="118"/>
      <c r="B26702" s="136"/>
    </row>
    <row r="26703" spans="1:2" x14ac:dyDescent="0.25">
      <c r="A26703" s="118"/>
      <c r="B26703" s="136"/>
    </row>
    <row r="26704" spans="1:2" x14ac:dyDescent="0.25">
      <c r="A26704" s="118"/>
      <c r="B26704" s="136"/>
    </row>
    <row r="26705" spans="1:2" x14ac:dyDescent="0.25">
      <c r="A26705" s="118"/>
      <c r="B26705" s="136"/>
    </row>
    <row r="26706" spans="1:2" x14ac:dyDescent="0.25">
      <c r="A26706" s="118"/>
      <c r="B26706" s="136"/>
    </row>
    <row r="26707" spans="1:2" x14ac:dyDescent="0.25">
      <c r="A26707" s="118"/>
      <c r="B26707" s="136"/>
    </row>
    <row r="26708" spans="1:2" x14ac:dyDescent="0.25">
      <c r="A26708" s="118"/>
      <c r="B26708" s="136"/>
    </row>
    <row r="26709" spans="1:2" x14ac:dyDescent="0.25">
      <c r="A26709" s="118"/>
      <c r="B26709" s="136"/>
    </row>
    <row r="26710" spans="1:2" x14ac:dyDescent="0.25">
      <c r="A26710" s="118"/>
      <c r="B26710" s="136"/>
    </row>
    <row r="26711" spans="1:2" x14ac:dyDescent="0.25">
      <c r="A26711" s="118"/>
      <c r="B26711" s="136"/>
    </row>
    <row r="26712" spans="1:2" x14ac:dyDescent="0.25">
      <c r="A26712" s="118"/>
      <c r="B26712" s="136"/>
    </row>
    <row r="26713" spans="1:2" x14ac:dyDescent="0.25">
      <c r="A26713" s="118"/>
      <c r="B26713" s="136"/>
    </row>
    <row r="26714" spans="1:2" x14ac:dyDescent="0.25">
      <c r="A26714" s="118"/>
      <c r="B26714" s="136"/>
    </row>
    <row r="26715" spans="1:2" x14ac:dyDescent="0.25">
      <c r="A26715" s="118"/>
      <c r="B26715" s="136"/>
    </row>
    <row r="26716" spans="1:2" x14ac:dyDescent="0.25">
      <c r="A26716" s="118"/>
      <c r="B26716" s="136"/>
    </row>
    <row r="26717" spans="1:2" x14ac:dyDescent="0.25">
      <c r="A26717" s="118"/>
      <c r="B26717" s="136"/>
    </row>
    <row r="26718" spans="1:2" x14ac:dyDescent="0.25">
      <c r="A26718" s="118"/>
      <c r="B26718" s="136"/>
    </row>
    <row r="26719" spans="1:2" x14ac:dyDescent="0.25">
      <c r="A26719" s="118"/>
      <c r="B26719" s="136"/>
    </row>
    <row r="26720" spans="1:2" x14ac:dyDescent="0.25">
      <c r="A26720" s="118"/>
      <c r="B26720" s="136"/>
    </row>
    <row r="26721" spans="1:2" x14ac:dyDescent="0.25">
      <c r="A26721" s="118"/>
      <c r="B26721" s="136"/>
    </row>
    <row r="26722" spans="1:2" x14ac:dyDescent="0.25">
      <c r="A26722" s="118"/>
      <c r="B26722" s="136"/>
    </row>
    <row r="26723" spans="1:2" x14ac:dyDescent="0.25">
      <c r="A26723" s="118"/>
      <c r="B26723" s="136"/>
    </row>
    <row r="26724" spans="1:2" x14ac:dyDescent="0.25">
      <c r="A26724" s="118"/>
      <c r="B26724" s="136"/>
    </row>
    <row r="26725" spans="1:2" x14ac:dyDescent="0.25">
      <c r="A26725" s="118"/>
      <c r="B26725" s="136"/>
    </row>
    <row r="26726" spans="1:2" x14ac:dyDescent="0.25">
      <c r="A26726" s="118"/>
      <c r="B26726" s="136"/>
    </row>
    <row r="26727" spans="1:2" x14ac:dyDescent="0.25">
      <c r="A26727" s="118"/>
      <c r="B26727" s="136"/>
    </row>
    <row r="26728" spans="1:2" x14ac:dyDescent="0.25">
      <c r="A26728" s="118"/>
      <c r="B26728" s="136"/>
    </row>
    <row r="26729" spans="1:2" x14ac:dyDescent="0.25">
      <c r="A26729" s="118"/>
      <c r="B26729" s="136"/>
    </row>
    <row r="26730" spans="1:2" x14ac:dyDescent="0.25">
      <c r="A26730" s="118"/>
      <c r="B26730" s="136"/>
    </row>
    <row r="26731" spans="1:2" x14ac:dyDescent="0.25">
      <c r="A26731" s="118"/>
      <c r="B26731" s="136"/>
    </row>
    <row r="26732" spans="1:2" x14ac:dyDescent="0.25">
      <c r="A26732" s="118"/>
      <c r="B26732" s="136"/>
    </row>
    <row r="26733" spans="1:2" x14ac:dyDescent="0.25">
      <c r="A26733" s="118"/>
      <c r="B26733" s="136"/>
    </row>
    <row r="26734" spans="1:2" x14ac:dyDescent="0.25">
      <c r="A26734" s="118"/>
      <c r="B26734" s="136"/>
    </row>
    <row r="26735" spans="1:2" x14ac:dyDescent="0.25">
      <c r="A26735" s="118"/>
      <c r="B26735" s="136"/>
    </row>
    <row r="26736" spans="1:2" x14ac:dyDescent="0.25">
      <c r="A26736" s="118"/>
      <c r="B26736" s="136"/>
    </row>
    <row r="26737" spans="1:2" x14ac:dyDescent="0.25">
      <c r="A26737" s="118"/>
      <c r="B26737" s="136"/>
    </row>
    <row r="26738" spans="1:2" x14ac:dyDescent="0.25">
      <c r="A26738" s="118"/>
      <c r="B26738" s="136"/>
    </row>
    <row r="26739" spans="1:2" x14ac:dyDescent="0.25">
      <c r="A26739" s="118"/>
      <c r="B26739" s="136"/>
    </row>
    <row r="26740" spans="1:2" x14ac:dyDescent="0.25">
      <c r="A26740" s="118"/>
      <c r="B26740" s="136"/>
    </row>
    <row r="26741" spans="1:2" x14ac:dyDescent="0.25">
      <c r="A26741" s="118"/>
      <c r="B26741" s="136"/>
    </row>
    <row r="26742" spans="1:2" x14ac:dyDescent="0.25">
      <c r="A26742" s="118"/>
      <c r="B26742" s="136"/>
    </row>
    <row r="26743" spans="1:2" x14ac:dyDescent="0.25">
      <c r="A26743" s="118"/>
      <c r="B26743" s="136"/>
    </row>
    <row r="26744" spans="1:2" x14ac:dyDescent="0.25">
      <c r="A26744" s="118"/>
      <c r="B26744" s="136"/>
    </row>
    <row r="26745" spans="1:2" x14ac:dyDescent="0.25">
      <c r="A26745" s="118"/>
      <c r="B26745" s="136"/>
    </row>
    <row r="26746" spans="1:2" x14ac:dyDescent="0.25">
      <c r="A26746" s="118"/>
      <c r="B26746" s="136"/>
    </row>
    <row r="26747" spans="1:2" x14ac:dyDescent="0.25">
      <c r="A26747" s="118"/>
      <c r="B26747" s="136"/>
    </row>
    <row r="26748" spans="1:2" x14ac:dyDescent="0.25">
      <c r="A26748" s="118"/>
      <c r="B26748" s="136"/>
    </row>
    <row r="26749" spans="1:2" x14ac:dyDescent="0.25">
      <c r="A26749" s="118"/>
      <c r="B26749" s="136"/>
    </row>
    <row r="26750" spans="1:2" x14ac:dyDescent="0.25">
      <c r="A26750" s="118"/>
      <c r="B26750" s="136"/>
    </row>
    <row r="26751" spans="1:2" x14ac:dyDescent="0.25">
      <c r="A26751" s="118"/>
      <c r="B26751" s="136"/>
    </row>
    <row r="26752" spans="1:2" x14ac:dyDescent="0.25">
      <c r="A26752" s="118"/>
      <c r="B26752" s="136"/>
    </row>
    <row r="26753" spans="1:2" x14ac:dyDescent="0.25">
      <c r="A26753" s="118"/>
      <c r="B26753" s="136"/>
    </row>
    <row r="26754" spans="1:2" x14ac:dyDescent="0.25">
      <c r="A26754" s="118"/>
      <c r="B26754" s="136"/>
    </row>
    <row r="26755" spans="1:2" x14ac:dyDescent="0.25">
      <c r="A26755" s="118"/>
      <c r="B26755" s="136"/>
    </row>
    <row r="26756" spans="1:2" x14ac:dyDescent="0.25">
      <c r="A26756" s="118"/>
      <c r="B26756" s="136"/>
    </row>
    <row r="26757" spans="1:2" x14ac:dyDescent="0.25">
      <c r="A26757" s="118"/>
      <c r="B26757" s="136"/>
    </row>
    <row r="26758" spans="1:2" x14ac:dyDescent="0.25">
      <c r="A26758" s="118"/>
      <c r="B26758" s="136"/>
    </row>
    <row r="26759" spans="1:2" x14ac:dyDescent="0.25">
      <c r="A26759" s="118"/>
      <c r="B26759" s="136"/>
    </row>
    <row r="26760" spans="1:2" x14ac:dyDescent="0.25">
      <c r="A26760" s="118"/>
      <c r="B26760" s="136"/>
    </row>
    <row r="26761" spans="1:2" x14ac:dyDescent="0.25">
      <c r="A26761" s="118"/>
      <c r="B26761" s="136"/>
    </row>
    <row r="26762" spans="1:2" x14ac:dyDescent="0.25">
      <c r="A26762" s="118"/>
      <c r="B26762" s="136"/>
    </row>
    <row r="26763" spans="1:2" x14ac:dyDescent="0.25">
      <c r="A26763" s="118"/>
      <c r="B26763" s="136"/>
    </row>
    <row r="26764" spans="1:2" x14ac:dyDescent="0.25">
      <c r="A26764" s="118"/>
      <c r="B26764" s="136"/>
    </row>
    <row r="26765" spans="1:2" x14ac:dyDescent="0.25">
      <c r="A26765" s="118"/>
      <c r="B26765" s="136"/>
    </row>
    <row r="26766" spans="1:2" x14ac:dyDescent="0.25">
      <c r="A26766" s="118"/>
      <c r="B26766" s="136"/>
    </row>
    <row r="26767" spans="1:2" x14ac:dyDescent="0.25">
      <c r="A26767" s="118"/>
      <c r="B26767" s="136"/>
    </row>
    <row r="26768" spans="1:2" x14ac:dyDescent="0.25">
      <c r="A26768" s="118"/>
      <c r="B26768" s="136"/>
    </row>
    <row r="26769" spans="1:2" x14ac:dyDescent="0.25">
      <c r="A26769" s="118"/>
      <c r="B26769" s="136"/>
    </row>
    <row r="26770" spans="1:2" x14ac:dyDescent="0.25">
      <c r="A26770" s="118"/>
      <c r="B26770" s="136"/>
    </row>
    <row r="26771" spans="1:2" x14ac:dyDescent="0.25">
      <c r="A26771" s="118"/>
      <c r="B26771" s="136"/>
    </row>
    <row r="26772" spans="1:2" x14ac:dyDescent="0.25">
      <c r="A26772" s="118"/>
      <c r="B26772" s="136"/>
    </row>
    <row r="26773" spans="1:2" x14ac:dyDescent="0.25">
      <c r="A26773" s="118"/>
      <c r="B26773" s="136"/>
    </row>
    <row r="26774" spans="1:2" x14ac:dyDescent="0.25">
      <c r="A26774" s="118"/>
      <c r="B26774" s="136"/>
    </row>
    <row r="26775" spans="1:2" x14ac:dyDescent="0.25">
      <c r="A26775" s="118"/>
      <c r="B26775" s="136"/>
    </row>
    <row r="26776" spans="1:2" x14ac:dyDescent="0.25">
      <c r="A26776" s="118"/>
      <c r="B26776" s="136"/>
    </row>
    <row r="26777" spans="1:2" x14ac:dyDescent="0.25">
      <c r="A26777" s="118"/>
      <c r="B26777" s="136"/>
    </row>
    <row r="26778" spans="1:2" x14ac:dyDescent="0.25">
      <c r="A26778" s="118"/>
      <c r="B26778" s="136"/>
    </row>
    <row r="26779" spans="1:2" x14ac:dyDescent="0.25">
      <c r="A26779" s="118"/>
      <c r="B26779" s="136"/>
    </row>
    <row r="26780" spans="1:2" x14ac:dyDescent="0.25">
      <c r="A26780" s="118"/>
      <c r="B26780" s="136"/>
    </row>
    <row r="26781" spans="1:2" x14ac:dyDescent="0.25">
      <c r="A26781" s="118"/>
      <c r="B26781" s="136"/>
    </row>
    <row r="26782" spans="1:2" x14ac:dyDescent="0.25">
      <c r="A26782" s="118"/>
      <c r="B26782" s="136"/>
    </row>
    <row r="26783" spans="1:2" x14ac:dyDescent="0.25">
      <c r="A26783" s="118"/>
      <c r="B26783" s="136"/>
    </row>
    <row r="26784" spans="1:2" x14ac:dyDescent="0.25">
      <c r="A26784" s="118"/>
      <c r="B26784" s="136"/>
    </row>
    <row r="26785" spans="1:2" x14ac:dyDescent="0.25">
      <c r="A26785" s="118"/>
      <c r="B26785" s="136"/>
    </row>
    <row r="26786" spans="1:2" x14ac:dyDescent="0.25">
      <c r="A26786" s="118"/>
      <c r="B26786" s="136"/>
    </row>
    <row r="26787" spans="1:2" x14ac:dyDescent="0.25">
      <c r="A26787" s="118"/>
      <c r="B26787" s="136"/>
    </row>
    <row r="26788" spans="1:2" x14ac:dyDescent="0.25">
      <c r="A26788" s="118"/>
      <c r="B26788" s="136"/>
    </row>
    <row r="26789" spans="1:2" x14ac:dyDescent="0.25">
      <c r="A26789" s="118"/>
      <c r="B26789" s="136"/>
    </row>
    <row r="26790" spans="1:2" x14ac:dyDescent="0.25">
      <c r="A26790" s="118"/>
      <c r="B26790" s="136"/>
    </row>
    <row r="26791" spans="1:2" x14ac:dyDescent="0.25">
      <c r="A26791" s="118"/>
      <c r="B26791" s="136"/>
    </row>
    <row r="26792" spans="1:2" x14ac:dyDescent="0.25">
      <c r="A26792" s="118"/>
      <c r="B26792" s="136"/>
    </row>
    <row r="26793" spans="1:2" x14ac:dyDescent="0.25">
      <c r="A26793" s="118"/>
      <c r="B26793" s="136"/>
    </row>
    <row r="26794" spans="1:2" x14ac:dyDescent="0.25">
      <c r="A26794" s="118"/>
      <c r="B26794" s="136"/>
    </row>
    <row r="26795" spans="1:2" x14ac:dyDescent="0.25">
      <c r="A26795" s="118"/>
      <c r="B26795" s="136"/>
    </row>
    <row r="26796" spans="1:2" x14ac:dyDescent="0.25">
      <c r="A26796" s="118"/>
      <c r="B26796" s="136"/>
    </row>
    <row r="26797" spans="1:2" x14ac:dyDescent="0.25">
      <c r="A26797" s="118"/>
      <c r="B26797" s="136"/>
    </row>
    <row r="26798" spans="1:2" x14ac:dyDescent="0.25">
      <c r="A26798" s="118"/>
      <c r="B26798" s="136"/>
    </row>
    <row r="26799" spans="1:2" x14ac:dyDescent="0.25">
      <c r="A26799" s="118"/>
      <c r="B26799" s="136"/>
    </row>
    <row r="26800" spans="1:2" x14ac:dyDescent="0.25">
      <c r="A26800" s="118"/>
      <c r="B26800" s="136"/>
    </row>
    <row r="26801" spans="1:2" x14ac:dyDescent="0.25">
      <c r="A26801" s="118"/>
      <c r="B26801" s="136"/>
    </row>
    <row r="26802" spans="1:2" x14ac:dyDescent="0.25">
      <c r="A26802" s="118"/>
      <c r="B26802" s="136"/>
    </row>
    <row r="26803" spans="1:2" x14ac:dyDescent="0.25">
      <c r="A26803" s="118"/>
      <c r="B26803" s="136"/>
    </row>
    <row r="26804" spans="1:2" x14ac:dyDescent="0.25">
      <c r="A26804" s="118"/>
      <c r="B26804" s="136"/>
    </row>
    <row r="26805" spans="1:2" x14ac:dyDescent="0.25">
      <c r="A26805" s="118"/>
      <c r="B26805" s="136"/>
    </row>
    <row r="26806" spans="1:2" x14ac:dyDescent="0.25">
      <c r="A26806" s="118"/>
      <c r="B26806" s="136"/>
    </row>
    <row r="26807" spans="1:2" x14ac:dyDescent="0.25">
      <c r="A26807" s="118"/>
      <c r="B26807" s="136"/>
    </row>
    <row r="26808" spans="1:2" x14ac:dyDescent="0.25">
      <c r="A26808" s="118"/>
      <c r="B26808" s="136"/>
    </row>
    <row r="26809" spans="1:2" x14ac:dyDescent="0.25">
      <c r="A26809" s="118"/>
      <c r="B26809" s="136"/>
    </row>
    <row r="26810" spans="1:2" x14ac:dyDescent="0.25">
      <c r="A26810" s="118"/>
      <c r="B26810" s="136"/>
    </row>
    <row r="26811" spans="1:2" x14ac:dyDescent="0.25">
      <c r="A26811" s="118"/>
      <c r="B26811" s="136"/>
    </row>
    <row r="26812" spans="1:2" x14ac:dyDescent="0.25">
      <c r="A26812" s="118"/>
      <c r="B26812" s="136"/>
    </row>
    <row r="26813" spans="1:2" x14ac:dyDescent="0.25">
      <c r="A26813" s="118"/>
      <c r="B26813" s="136"/>
    </row>
    <row r="26814" spans="1:2" x14ac:dyDescent="0.25">
      <c r="A26814" s="118"/>
      <c r="B26814" s="136"/>
    </row>
    <row r="26815" spans="1:2" x14ac:dyDescent="0.25">
      <c r="A26815" s="118"/>
      <c r="B26815" s="136"/>
    </row>
    <row r="26816" spans="1:2" x14ac:dyDescent="0.25">
      <c r="A26816" s="118"/>
      <c r="B26816" s="136"/>
    </row>
    <row r="26817" spans="1:2" x14ac:dyDescent="0.25">
      <c r="A26817" s="118"/>
      <c r="B26817" s="136"/>
    </row>
    <row r="26818" spans="1:2" x14ac:dyDescent="0.25">
      <c r="A26818" s="118"/>
      <c r="B26818" s="136"/>
    </row>
    <row r="26819" spans="1:2" x14ac:dyDescent="0.25">
      <c r="A26819" s="118"/>
      <c r="B26819" s="136"/>
    </row>
    <row r="26820" spans="1:2" x14ac:dyDescent="0.25">
      <c r="A26820" s="118"/>
      <c r="B26820" s="136"/>
    </row>
    <row r="26821" spans="1:2" x14ac:dyDescent="0.25">
      <c r="A26821" s="118"/>
      <c r="B26821" s="136"/>
    </row>
    <row r="26822" spans="1:2" x14ac:dyDescent="0.25">
      <c r="A26822" s="118"/>
      <c r="B26822" s="136"/>
    </row>
    <row r="26823" spans="1:2" x14ac:dyDescent="0.25">
      <c r="A26823" s="118"/>
      <c r="B26823" s="136"/>
    </row>
    <row r="26824" spans="1:2" x14ac:dyDescent="0.25">
      <c r="A26824" s="118"/>
      <c r="B26824" s="136"/>
    </row>
    <row r="26825" spans="1:2" x14ac:dyDescent="0.25">
      <c r="A26825" s="118"/>
      <c r="B26825" s="136"/>
    </row>
    <row r="26826" spans="1:2" x14ac:dyDescent="0.25">
      <c r="A26826" s="118"/>
      <c r="B26826" s="136"/>
    </row>
    <row r="26827" spans="1:2" x14ac:dyDescent="0.25">
      <c r="A26827" s="118"/>
      <c r="B26827" s="136"/>
    </row>
    <row r="26828" spans="1:2" x14ac:dyDescent="0.25">
      <c r="A26828" s="118"/>
      <c r="B26828" s="136"/>
    </row>
    <row r="26829" spans="1:2" x14ac:dyDescent="0.25">
      <c r="A26829" s="118"/>
      <c r="B26829" s="136"/>
    </row>
    <row r="26830" spans="1:2" x14ac:dyDescent="0.25">
      <c r="A26830" s="118"/>
      <c r="B26830" s="136"/>
    </row>
    <row r="26831" spans="1:2" x14ac:dyDescent="0.25">
      <c r="A26831" s="118"/>
      <c r="B26831" s="136"/>
    </row>
    <row r="26832" spans="1:2" x14ac:dyDescent="0.25">
      <c r="A26832" s="118"/>
      <c r="B26832" s="136"/>
    </row>
    <row r="26833" spans="1:2" x14ac:dyDescent="0.25">
      <c r="A26833" s="118"/>
      <c r="B26833" s="136"/>
    </row>
    <row r="26834" spans="1:2" x14ac:dyDescent="0.25">
      <c r="A26834" s="118"/>
      <c r="B26834" s="136"/>
    </row>
    <row r="26835" spans="1:2" x14ac:dyDescent="0.25">
      <c r="A26835" s="118"/>
      <c r="B26835" s="136"/>
    </row>
    <row r="26836" spans="1:2" x14ac:dyDescent="0.25">
      <c r="A26836" s="118"/>
      <c r="B26836" s="136"/>
    </row>
    <row r="26837" spans="1:2" x14ac:dyDescent="0.25">
      <c r="A26837" s="118"/>
      <c r="B26837" s="136"/>
    </row>
    <row r="26838" spans="1:2" x14ac:dyDescent="0.25">
      <c r="A26838" s="118"/>
      <c r="B26838" s="136"/>
    </row>
    <row r="26839" spans="1:2" x14ac:dyDescent="0.25">
      <c r="A26839" s="118"/>
      <c r="B26839" s="136"/>
    </row>
    <row r="26840" spans="1:2" x14ac:dyDescent="0.25">
      <c r="A26840" s="118"/>
      <c r="B26840" s="136"/>
    </row>
    <row r="26841" spans="1:2" x14ac:dyDescent="0.25">
      <c r="A26841" s="118"/>
      <c r="B26841" s="136"/>
    </row>
    <row r="26842" spans="1:2" x14ac:dyDescent="0.25">
      <c r="A26842" s="118"/>
      <c r="B26842" s="136"/>
    </row>
    <row r="26843" spans="1:2" x14ac:dyDescent="0.25">
      <c r="A26843" s="118"/>
      <c r="B26843" s="136"/>
    </row>
    <row r="26844" spans="1:2" x14ac:dyDescent="0.25">
      <c r="A26844" s="118"/>
      <c r="B26844" s="136"/>
    </row>
    <row r="26845" spans="1:2" x14ac:dyDescent="0.25">
      <c r="A26845" s="118"/>
      <c r="B26845" s="136"/>
    </row>
    <row r="26846" spans="1:2" x14ac:dyDescent="0.25">
      <c r="A26846" s="118"/>
      <c r="B26846" s="136"/>
    </row>
    <row r="26847" spans="1:2" x14ac:dyDescent="0.25">
      <c r="A26847" s="118"/>
      <c r="B26847" s="136"/>
    </row>
    <row r="26848" spans="1:2" x14ac:dyDescent="0.25">
      <c r="A26848" s="118"/>
      <c r="B26848" s="136"/>
    </row>
    <row r="26849" spans="1:2" x14ac:dyDescent="0.25">
      <c r="A26849" s="118"/>
      <c r="B26849" s="136"/>
    </row>
    <row r="26850" spans="1:2" x14ac:dyDescent="0.25">
      <c r="A26850" s="118"/>
      <c r="B26850" s="136"/>
    </row>
    <row r="26851" spans="1:2" x14ac:dyDescent="0.25">
      <c r="A26851" s="118"/>
      <c r="B26851" s="136"/>
    </row>
    <row r="26852" spans="1:2" x14ac:dyDescent="0.25">
      <c r="A26852" s="118"/>
      <c r="B26852" s="136"/>
    </row>
    <row r="26853" spans="1:2" x14ac:dyDescent="0.25">
      <c r="A26853" s="118"/>
      <c r="B26853" s="136"/>
    </row>
    <row r="26854" spans="1:2" x14ac:dyDescent="0.25">
      <c r="A26854" s="118"/>
      <c r="B26854" s="136"/>
    </row>
    <row r="26855" spans="1:2" x14ac:dyDescent="0.25">
      <c r="A26855" s="118"/>
      <c r="B26855" s="136"/>
    </row>
    <row r="26856" spans="1:2" x14ac:dyDescent="0.25">
      <c r="A26856" s="118"/>
      <c r="B26856" s="136"/>
    </row>
    <row r="26857" spans="1:2" x14ac:dyDescent="0.25">
      <c r="A26857" s="118"/>
      <c r="B26857" s="136"/>
    </row>
    <row r="26858" spans="1:2" x14ac:dyDescent="0.25">
      <c r="A26858" s="118"/>
      <c r="B26858" s="136"/>
    </row>
    <row r="26859" spans="1:2" x14ac:dyDescent="0.25">
      <c r="A26859" s="118"/>
      <c r="B26859" s="136"/>
    </row>
    <row r="26860" spans="1:2" x14ac:dyDescent="0.25">
      <c r="A26860" s="118"/>
      <c r="B26860" s="136"/>
    </row>
    <row r="26861" spans="1:2" x14ac:dyDescent="0.25">
      <c r="A26861" s="118"/>
      <c r="B26861" s="136"/>
    </row>
    <row r="26862" spans="1:2" x14ac:dyDescent="0.25">
      <c r="A26862" s="118"/>
      <c r="B26862" s="136"/>
    </row>
    <row r="26863" spans="1:2" x14ac:dyDescent="0.25">
      <c r="A26863" s="118"/>
      <c r="B26863" s="136"/>
    </row>
    <row r="26864" spans="1:2" x14ac:dyDescent="0.25">
      <c r="A26864" s="118"/>
      <c r="B26864" s="136"/>
    </row>
    <row r="26865" spans="1:2" x14ac:dyDescent="0.25">
      <c r="A26865" s="118"/>
      <c r="B26865" s="136"/>
    </row>
    <row r="26866" spans="1:2" x14ac:dyDescent="0.25">
      <c r="A26866" s="118"/>
      <c r="B26866" s="136"/>
    </row>
    <row r="26867" spans="1:2" x14ac:dyDescent="0.25">
      <c r="A26867" s="118"/>
      <c r="B26867" s="136"/>
    </row>
    <row r="26868" spans="1:2" x14ac:dyDescent="0.25">
      <c r="A26868" s="118"/>
      <c r="B26868" s="136"/>
    </row>
    <row r="26869" spans="1:2" x14ac:dyDescent="0.25">
      <c r="A26869" s="118"/>
      <c r="B26869" s="136"/>
    </row>
    <row r="26870" spans="1:2" x14ac:dyDescent="0.25">
      <c r="A26870" s="118"/>
      <c r="B26870" s="136"/>
    </row>
    <row r="26871" spans="1:2" x14ac:dyDescent="0.25">
      <c r="A26871" s="118"/>
      <c r="B26871" s="136"/>
    </row>
    <row r="26872" spans="1:2" x14ac:dyDescent="0.25">
      <c r="A26872" s="118"/>
      <c r="B26872" s="136"/>
    </row>
    <row r="26873" spans="1:2" x14ac:dyDescent="0.25">
      <c r="A26873" s="118"/>
      <c r="B26873" s="136"/>
    </row>
    <row r="26874" spans="1:2" x14ac:dyDescent="0.25">
      <c r="A26874" s="118"/>
      <c r="B26874" s="136"/>
    </row>
    <row r="26875" spans="1:2" x14ac:dyDescent="0.25">
      <c r="A26875" s="118"/>
      <c r="B26875" s="136"/>
    </row>
    <row r="26876" spans="1:2" x14ac:dyDescent="0.25">
      <c r="A26876" s="118"/>
      <c r="B26876" s="136"/>
    </row>
    <row r="26877" spans="1:2" x14ac:dyDescent="0.25">
      <c r="A26877" s="118"/>
      <c r="B26877" s="136"/>
    </row>
    <row r="26878" spans="1:2" x14ac:dyDescent="0.25">
      <c r="A26878" s="118"/>
      <c r="B26878" s="136"/>
    </row>
    <row r="26879" spans="1:2" x14ac:dyDescent="0.25">
      <c r="A26879" s="118"/>
      <c r="B26879" s="136"/>
    </row>
    <row r="26880" spans="1:2" x14ac:dyDescent="0.25">
      <c r="A26880" s="118"/>
      <c r="B26880" s="136"/>
    </row>
    <row r="26881" spans="1:2" x14ac:dyDescent="0.25">
      <c r="A26881" s="118"/>
      <c r="B26881" s="136"/>
    </row>
    <row r="26882" spans="1:2" x14ac:dyDescent="0.25">
      <c r="A26882" s="118"/>
      <c r="B26882" s="136"/>
    </row>
    <row r="26883" spans="1:2" x14ac:dyDescent="0.25">
      <c r="A26883" s="118"/>
      <c r="B26883" s="136"/>
    </row>
    <row r="26884" spans="1:2" x14ac:dyDescent="0.25">
      <c r="A26884" s="118"/>
      <c r="B26884" s="136"/>
    </row>
    <row r="26885" spans="1:2" x14ac:dyDescent="0.25">
      <c r="A26885" s="118"/>
      <c r="B26885" s="136"/>
    </row>
    <row r="26886" spans="1:2" x14ac:dyDescent="0.25">
      <c r="A26886" s="118"/>
      <c r="B26886" s="136"/>
    </row>
    <row r="26887" spans="1:2" x14ac:dyDescent="0.25">
      <c r="A26887" s="118"/>
      <c r="B26887" s="136"/>
    </row>
    <row r="26888" spans="1:2" x14ac:dyDescent="0.25">
      <c r="A26888" s="118"/>
      <c r="B26888" s="136"/>
    </row>
    <row r="26889" spans="1:2" x14ac:dyDescent="0.25">
      <c r="A26889" s="118"/>
      <c r="B26889" s="136"/>
    </row>
    <row r="26890" spans="1:2" x14ac:dyDescent="0.25">
      <c r="A26890" s="118"/>
      <c r="B26890" s="136"/>
    </row>
    <row r="26891" spans="1:2" x14ac:dyDescent="0.25">
      <c r="A26891" s="118"/>
      <c r="B26891" s="136"/>
    </row>
    <row r="26892" spans="1:2" x14ac:dyDescent="0.25">
      <c r="A26892" s="118"/>
      <c r="B26892" s="136"/>
    </row>
    <row r="26893" spans="1:2" x14ac:dyDescent="0.25">
      <c r="A26893" s="118"/>
      <c r="B26893" s="136"/>
    </row>
    <row r="26894" spans="1:2" x14ac:dyDescent="0.25">
      <c r="A26894" s="118"/>
      <c r="B26894" s="136"/>
    </row>
    <row r="26895" spans="1:2" x14ac:dyDescent="0.25">
      <c r="A26895" s="118"/>
      <c r="B26895" s="136"/>
    </row>
    <row r="26896" spans="1:2" x14ac:dyDescent="0.25">
      <c r="A26896" s="118"/>
      <c r="B26896" s="136"/>
    </row>
    <row r="26897" spans="1:2" x14ac:dyDescent="0.25">
      <c r="A26897" s="118"/>
      <c r="B26897" s="136"/>
    </row>
    <row r="26898" spans="1:2" x14ac:dyDescent="0.25">
      <c r="A26898" s="118"/>
      <c r="B26898" s="136"/>
    </row>
    <row r="26899" spans="1:2" x14ac:dyDescent="0.25">
      <c r="A26899" s="118"/>
      <c r="B26899" s="136"/>
    </row>
    <row r="26900" spans="1:2" x14ac:dyDescent="0.25">
      <c r="A26900" s="118"/>
      <c r="B26900" s="136"/>
    </row>
    <row r="26901" spans="1:2" x14ac:dyDescent="0.25">
      <c r="A26901" s="118"/>
      <c r="B26901" s="136"/>
    </row>
    <row r="26902" spans="1:2" x14ac:dyDescent="0.25">
      <c r="A26902" s="118"/>
      <c r="B26902" s="136"/>
    </row>
    <row r="26903" spans="1:2" x14ac:dyDescent="0.25">
      <c r="A26903" s="118"/>
      <c r="B26903" s="136"/>
    </row>
    <row r="26904" spans="1:2" x14ac:dyDescent="0.25">
      <c r="A26904" s="118"/>
      <c r="B26904" s="136"/>
    </row>
    <row r="26905" spans="1:2" x14ac:dyDescent="0.25">
      <c r="A26905" s="118"/>
      <c r="B26905" s="136"/>
    </row>
    <row r="26906" spans="1:2" x14ac:dyDescent="0.25">
      <c r="A26906" s="118"/>
      <c r="B26906" s="136"/>
    </row>
    <row r="26907" spans="1:2" x14ac:dyDescent="0.25">
      <c r="A26907" s="118"/>
      <c r="B26907" s="136"/>
    </row>
    <row r="26908" spans="1:2" x14ac:dyDescent="0.25">
      <c r="A26908" s="118"/>
      <c r="B26908" s="136"/>
    </row>
    <row r="26909" spans="1:2" x14ac:dyDescent="0.25">
      <c r="A26909" s="118"/>
      <c r="B26909" s="136"/>
    </row>
    <row r="26910" spans="1:2" x14ac:dyDescent="0.25">
      <c r="A26910" s="118"/>
      <c r="B26910" s="136"/>
    </row>
    <row r="26911" spans="1:2" x14ac:dyDescent="0.25">
      <c r="A26911" s="118"/>
      <c r="B26911" s="136"/>
    </row>
    <row r="26912" spans="1:2" x14ac:dyDescent="0.25">
      <c r="A26912" s="118"/>
      <c r="B26912" s="136"/>
    </row>
    <row r="26913" spans="1:2" x14ac:dyDescent="0.25">
      <c r="A26913" s="118"/>
      <c r="B26913" s="136"/>
    </row>
    <row r="26914" spans="1:2" x14ac:dyDescent="0.25">
      <c r="A26914" s="118"/>
      <c r="B26914" s="136"/>
    </row>
    <row r="26915" spans="1:2" x14ac:dyDescent="0.25">
      <c r="A26915" s="118"/>
      <c r="B26915" s="136"/>
    </row>
    <row r="26916" spans="1:2" x14ac:dyDescent="0.25">
      <c r="A26916" s="118"/>
      <c r="B26916" s="136"/>
    </row>
    <row r="26917" spans="1:2" x14ac:dyDescent="0.25">
      <c r="A26917" s="118"/>
      <c r="B26917" s="136"/>
    </row>
    <row r="26918" spans="1:2" x14ac:dyDescent="0.25">
      <c r="A26918" s="118"/>
      <c r="B26918" s="136"/>
    </row>
    <row r="26919" spans="1:2" x14ac:dyDescent="0.25">
      <c r="A26919" s="118"/>
      <c r="B26919" s="136"/>
    </row>
    <row r="26920" spans="1:2" x14ac:dyDescent="0.25">
      <c r="A26920" s="118"/>
      <c r="B26920" s="136"/>
    </row>
    <row r="26921" spans="1:2" x14ac:dyDescent="0.25">
      <c r="A26921" s="118"/>
      <c r="B26921" s="136"/>
    </row>
    <row r="26922" spans="1:2" x14ac:dyDescent="0.25">
      <c r="A26922" s="118"/>
      <c r="B26922" s="136"/>
    </row>
    <row r="26923" spans="1:2" x14ac:dyDescent="0.25">
      <c r="A26923" s="118"/>
      <c r="B26923" s="136"/>
    </row>
    <row r="26924" spans="1:2" x14ac:dyDescent="0.25">
      <c r="A26924" s="118"/>
      <c r="B26924" s="136"/>
    </row>
    <row r="26925" spans="1:2" x14ac:dyDescent="0.25">
      <c r="A26925" s="118"/>
      <c r="B26925" s="136"/>
    </row>
    <row r="26926" spans="1:2" x14ac:dyDescent="0.25">
      <c r="A26926" s="118"/>
      <c r="B26926" s="136"/>
    </row>
    <row r="26927" spans="1:2" x14ac:dyDescent="0.25">
      <c r="A26927" s="118"/>
      <c r="B26927" s="136"/>
    </row>
    <row r="26928" spans="1:2" x14ac:dyDescent="0.25">
      <c r="A26928" s="118"/>
      <c r="B26928" s="136"/>
    </row>
    <row r="26929" spans="1:2" x14ac:dyDescent="0.25">
      <c r="A26929" s="118"/>
      <c r="B26929" s="136"/>
    </row>
    <row r="26930" spans="1:2" x14ac:dyDescent="0.25">
      <c r="A26930" s="118"/>
      <c r="B26930" s="136"/>
    </row>
    <row r="26931" spans="1:2" x14ac:dyDescent="0.25">
      <c r="A26931" s="118"/>
      <c r="B26931" s="136"/>
    </row>
    <row r="26932" spans="1:2" x14ac:dyDescent="0.25">
      <c r="A26932" s="118"/>
      <c r="B26932" s="136"/>
    </row>
    <row r="26933" spans="1:2" x14ac:dyDescent="0.25">
      <c r="A26933" s="118"/>
      <c r="B26933" s="136"/>
    </row>
    <row r="26934" spans="1:2" x14ac:dyDescent="0.25">
      <c r="A26934" s="118"/>
      <c r="B26934" s="136"/>
    </row>
    <row r="26935" spans="1:2" x14ac:dyDescent="0.25">
      <c r="A26935" s="118"/>
      <c r="B26935" s="136"/>
    </row>
    <row r="26936" spans="1:2" x14ac:dyDescent="0.25">
      <c r="A26936" s="118"/>
      <c r="B26936" s="136"/>
    </row>
    <row r="26937" spans="1:2" x14ac:dyDescent="0.25">
      <c r="A26937" s="118"/>
      <c r="B26937" s="136"/>
    </row>
    <row r="26938" spans="1:2" x14ac:dyDescent="0.25">
      <c r="A26938" s="118"/>
      <c r="B26938" s="136"/>
    </row>
    <row r="26939" spans="1:2" x14ac:dyDescent="0.25">
      <c r="A26939" s="118"/>
      <c r="B26939" s="136"/>
    </row>
    <row r="26940" spans="1:2" x14ac:dyDescent="0.25">
      <c r="A26940" s="118"/>
      <c r="B26940" s="136"/>
    </row>
    <row r="26941" spans="1:2" x14ac:dyDescent="0.25">
      <c r="A26941" s="118"/>
      <c r="B26941" s="136"/>
    </row>
    <row r="26942" spans="1:2" x14ac:dyDescent="0.25">
      <c r="A26942" s="118"/>
      <c r="B26942" s="136"/>
    </row>
    <row r="26943" spans="1:2" x14ac:dyDescent="0.25">
      <c r="A26943" s="118"/>
      <c r="B26943" s="136"/>
    </row>
    <row r="26944" spans="1:2" x14ac:dyDescent="0.25">
      <c r="A26944" s="118"/>
      <c r="B26944" s="136"/>
    </row>
    <row r="26945" spans="1:2" x14ac:dyDescent="0.25">
      <c r="A26945" s="118"/>
      <c r="B26945" s="136"/>
    </row>
    <row r="26946" spans="1:2" x14ac:dyDescent="0.25">
      <c r="A26946" s="118"/>
      <c r="B26946" s="136"/>
    </row>
    <row r="26947" spans="1:2" x14ac:dyDescent="0.25">
      <c r="A26947" s="118"/>
      <c r="B26947" s="136"/>
    </row>
    <row r="26948" spans="1:2" x14ac:dyDescent="0.25">
      <c r="A26948" s="118"/>
      <c r="B26948" s="136"/>
    </row>
    <row r="26949" spans="1:2" x14ac:dyDescent="0.25">
      <c r="A26949" s="118"/>
      <c r="B26949" s="136"/>
    </row>
    <row r="26950" spans="1:2" x14ac:dyDescent="0.25">
      <c r="A26950" s="118"/>
      <c r="B26950" s="136"/>
    </row>
    <row r="26951" spans="1:2" x14ac:dyDescent="0.25">
      <c r="A26951" s="118"/>
      <c r="B26951" s="136"/>
    </row>
    <row r="26952" spans="1:2" x14ac:dyDescent="0.25">
      <c r="A26952" s="118"/>
      <c r="B26952" s="136"/>
    </row>
    <row r="26953" spans="1:2" x14ac:dyDescent="0.25">
      <c r="A26953" s="118"/>
      <c r="B26953" s="136"/>
    </row>
    <row r="26954" spans="1:2" x14ac:dyDescent="0.25">
      <c r="A26954" s="118"/>
      <c r="B26954" s="136"/>
    </row>
    <row r="26955" spans="1:2" x14ac:dyDescent="0.25">
      <c r="A26955" s="118"/>
      <c r="B26955" s="136"/>
    </row>
    <row r="26956" spans="1:2" x14ac:dyDescent="0.25">
      <c r="A26956" s="118"/>
      <c r="B26956" s="136"/>
    </row>
    <row r="26957" spans="1:2" x14ac:dyDescent="0.25">
      <c r="A26957" s="118"/>
      <c r="B26957" s="136"/>
    </row>
    <row r="26958" spans="1:2" x14ac:dyDescent="0.25">
      <c r="A26958" s="118"/>
      <c r="B26958" s="136"/>
    </row>
    <row r="26959" spans="1:2" x14ac:dyDescent="0.25">
      <c r="A26959" s="118"/>
      <c r="B26959" s="136"/>
    </row>
    <row r="26960" spans="1:2" x14ac:dyDescent="0.25">
      <c r="A26960" s="118"/>
      <c r="B26960" s="136"/>
    </row>
    <row r="26961" spans="1:2" x14ac:dyDescent="0.25">
      <c r="A26961" s="118"/>
      <c r="B26961" s="136"/>
    </row>
    <row r="26962" spans="1:2" x14ac:dyDescent="0.25">
      <c r="A26962" s="118"/>
      <c r="B26962" s="136"/>
    </row>
    <row r="26963" spans="1:2" x14ac:dyDescent="0.25">
      <c r="A26963" s="118"/>
      <c r="B26963" s="136"/>
    </row>
    <row r="26964" spans="1:2" x14ac:dyDescent="0.25">
      <c r="A26964" s="118"/>
      <c r="B26964" s="136"/>
    </row>
    <row r="26965" spans="1:2" x14ac:dyDescent="0.25">
      <c r="A26965" s="118"/>
      <c r="B26965" s="136"/>
    </row>
    <row r="26966" spans="1:2" x14ac:dyDescent="0.25">
      <c r="A26966" s="118"/>
      <c r="B26966" s="136"/>
    </row>
    <row r="26967" spans="1:2" x14ac:dyDescent="0.25">
      <c r="A26967" s="118"/>
      <c r="B26967" s="136"/>
    </row>
    <row r="26968" spans="1:2" x14ac:dyDescent="0.25">
      <c r="A26968" s="118"/>
      <c r="B26968" s="136"/>
    </row>
    <row r="26969" spans="1:2" x14ac:dyDescent="0.25">
      <c r="A26969" s="118"/>
      <c r="B26969" s="136"/>
    </row>
    <row r="26970" spans="1:2" x14ac:dyDescent="0.25">
      <c r="A26970" s="118"/>
      <c r="B26970" s="136"/>
    </row>
    <row r="26971" spans="1:2" x14ac:dyDescent="0.25">
      <c r="A26971" s="118"/>
      <c r="B26971" s="136"/>
    </row>
    <row r="26972" spans="1:2" x14ac:dyDescent="0.25">
      <c r="A26972" s="118"/>
      <c r="B26972" s="136"/>
    </row>
    <row r="26973" spans="1:2" x14ac:dyDescent="0.25">
      <c r="A26973" s="118"/>
      <c r="B26973" s="136"/>
    </row>
    <row r="26974" spans="1:2" x14ac:dyDescent="0.25">
      <c r="A26974" s="118"/>
      <c r="B26974" s="136"/>
    </row>
    <row r="26975" spans="1:2" x14ac:dyDescent="0.25">
      <c r="A26975" s="118"/>
      <c r="B26975" s="136"/>
    </row>
    <row r="26976" spans="1:2" x14ac:dyDescent="0.25">
      <c r="A26976" s="118"/>
      <c r="B26976" s="136"/>
    </row>
    <row r="26977" spans="1:2" x14ac:dyDescent="0.25">
      <c r="A26977" s="118"/>
      <c r="B26977" s="136"/>
    </row>
    <row r="26978" spans="1:2" x14ac:dyDescent="0.25">
      <c r="A26978" s="118"/>
      <c r="B26978" s="136"/>
    </row>
    <row r="26979" spans="1:2" x14ac:dyDescent="0.25">
      <c r="A26979" s="118"/>
      <c r="B26979" s="136"/>
    </row>
    <row r="26980" spans="1:2" x14ac:dyDescent="0.25">
      <c r="A26980" s="118"/>
      <c r="B26980" s="136"/>
    </row>
    <row r="26981" spans="1:2" x14ac:dyDescent="0.25">
      <c r="A26981" s="118"/>
      <c r="B26981" s="136"/>
    </row>
    <row r="26982" spans="1:2" x14ac:dyDescent="0.25">
      <c r="A26982" s="118"/>
      <c r="B26982" s="136"/>
    </row>
    <row r="26983" spans="1:2" x14ac:dyDescent="0.25">
      <c r="A26983" s="118"/>
      <c r="B26983" s="136"/>
    </row>
    <row r="26984" spans="1:2" x14ac:dyDescent="0.25">
      <c r="A26984" s="118"/>
      <c r="B26984" s="136"/>
    </row>
    <row r="26985" spans="1:2" x14ac:dyDescent="0.25">
      <c r="A26985" s="118"/>
      <c r="B26985" s="136"/>
    </row>
    <row r="26986" spans="1:2" x14ac:dyDescent="0.25">
      <c r="A26986" s="118"/>
      <c r="B26986" s="136"/>
    </row>
    <row r="26987" spans="1:2" x14ac:dyDescent="0.25">
      <c r="A26987" s="118"/>
      <c r="B26987" s="136"/>
    </row>
    <row r="26988" spans="1:2" x14ac:dyDescent="0.25">
      <c r="A26988" s="118"/>
      <c r="B26988" s="136"/>
    </row>
    <row r="26989" spans="1:2" x14ac:dyDescent="0.25">
      <c r="A26989" s="118"/>
      <c r="B26989" s="136"/>
    </row>
    <row r="26990" spans="1:2" x14ac:dyDescent="0.25">
      <c r="A26990" s="118"/>
      <c r="B26990" s="136"/>
    </row>
    <row r="26991" spans="1:2" x14ac:dyDescent="0.25">
      <c r="A26991" s="118"/>
      <c r="B26991" s="136"/>
    </row>
    <row r="26992" spans="1:2" x14ac:dyDescent="0.25">
      <c r="A26992" s="118"/>
      <c r="B26992" s="136"/>
    </row>
    <row r="26993" spans="1:2" x14ac:dyDescent="0.25">
      <c r="A26993" s="118"/>
      <c r="B26993" s="136"/>
    </row>
    <row r="26994" spans="1:2" x14ac:dyDescent="0.25">
      <c r="A26994" s="118"/>
      <c r="B26994" s="136"/>
    </row>
    <row r="26995" spans="1:2" x14ac:dyDescent="0.25">
      <c r="A26995" s="118"/>
      <c r="B26995" s="136"/>
    </row>
    <row r="26996" spans="1:2" x14ac:dyDescent="0.25">
      <c r="A26996" s="118"/>
      <c r="B26996" s="136"/>
    </row>
    <row r="26997" spans="1:2" x14ac:dyDescent="0.25">
      <c r="A26997" s="118"/>
      <c r="B26997" s="136"/>
    </row>
    <row r="26998" spans="1:2" x14ac:dyDescent="0.25">
      <c r="A26998" s="118"/>
      <c r="B26998" s="136"/>
    </row>
    <row r="26999" spans="1:2" x14ac:dyDescent="0.25">
      <c r="A26999" s="118"/>
      <c r="B26999" s="136"/>
    </row>
    <row r="27000" spans="1:2" x14ac:dyDescent="0.25">
      <c r="A27000" s="118"/>
      <c r="B27000" s="136"/>
    </row>
    <row r="27001" spans="1:2" x14ac:dyDescent="0.25">
      <c r="A27001" s="118"/>
      <c r="B27001" s="136"/>
    </row>
    <row r="27002" spans="1:2" x14ac:dyDescent="0.25">
      <c r="A27002" s="118"/>
      <c r="B27002" s="136"/>
    </row>
    <row r="27003" spans="1:2" x14ac:dyDescent="0.25">
      <c r="A27003" s="118"/>
      <c r="B27003" s="136"/>
    </row>
    <row r="27004" spans="1:2" x14ac:dyDescent="0.25">
      <c r="A27004" s="118"/>
      <c r="B27004" s="136"/>
    </row>
    <row r="27005" spans="1:2" x14ac:dyDescent="0.25">
      <c r="A27005" s="118"/>
      <c r="B27005" s="136"/>
    </row>
    <row r="27006" spans="1:2" x14ac:dyDescent="0.25">
      <c r="A27006" s="118"/>
      <c r="B27006" s="136"/>
    </row>
    <row r="27007" spans="1:2" x14ac:dyDescent="0.25">
      <c r="A27007" s="118"/>
      <c r="B27007" s="136"/>
    </row>
    <row r="27008" spans="1:2" x14ac:dyDescent="0.25">
      <c r="A27008" s="118"/>
      <c r="B27008" s="136"/>
    </row>
    <row r="27009" spans="1:2" x14ac:dyDescent="0.25">
      <c r="A27009" s="118"/>
      <c r="B27009" s="136"/>
    </row>
    <row r="27010" spans="1:2" x14ac:dyDescent="0.25">
      <c r="A27010" s="118"/>
      <c r="B27010" s="136"/>
    </row>
    <row r="27011" spans="1:2" x14ac:dyDescent="0.25">
      <c r="A27011" s="118"/>
      <c r="B27011" s="136"/>
    </row>
    <row r="27012" spans="1:2" x14ac:dyDescent="0.25">
      <c r="A27012" s="118"/>
      <c r="B27012" s="136"/>
    </row>
    <row r="27013" spans="1:2" x14ac:dyDescent="0.25">
      <c r="A27013" s="118"/>
      <c r="B27013" s="136"/>
    </row>
    <row r="27014" spans="1:2" x14ac:dyDescent="0.25">
      <c r="A27014" s="118"/>
      <c r="B27014" s="136"/>
    </row>
    <row r="27015" spans="1:2" x14ac:dyDescent="0.25">
      <c r="A27015" s="118"/>
      <c r="B27015" s="136"/>
    </row>
    <row r="27016" spans="1:2" x14ac:dyDescent="0.25">
      <c r="A27016" s="118"/>
      <c r="B27016" s="136"/>
    </row>
    <row r="27017" spans="1:2" x14ac:dyDescent="0.25">
      <c r="A27017" s="118"/>
      <c r="B27017" s="136"/>
    </row>
    <row r="27018" spans="1:2" x14ac:dyDescent="0.25">
      <c r="A27018" s="118"/>
      <c r="B27018" s="136"/>
    </row>
    <row r="27019" spans="1:2" x14ac:dyDescent="0.25">
      <c r="A27019" s="118"/>
      <c r="B27019" s="136"/>
    </row>
    <row r="27020" spans="1:2" x14ac:dyDescent="0.25">
      <c r="A27020" s="118"/>
      <c r="B27020" s="136"/>
    </row>
    <row r="27021" spans="1:2" x14ac:dyDescent="0.25">
      <c r="A27021" s="118"/>
      <c r="B27021" s="136"/>
    </row>
    <row r="27022" spans="1:2" x14ac:dyDescent="0.25">
      <c r="A27022" s="118"/>
      <c r="B27022" s="136"/>
    </row>
    <row r="27023" spans="1:2" x14ac:dyDescent="0.25">
      <c r="A27023" s="118"/>
      <c r="B27023" s="136"/>
    </row>
    <row r="27024" spans="1:2" x14ac:dyDescent="0.25">
      <c r="A27024" s="118"/>
      <c r="B27024" s="136"/>
    </row>
    <row r="27025" spans="1:2" x14ac:dyDescent="0.25">
      <c r="A27025" s="118"/>
      <c r="B27025" s="136"/>
    </row>
    <row r="27026" spans="1:2" x14ac:dyDescent="0.25">
      <c r="A27026" s="118"/>
      <c r="B27026" s="136"/>
    </row>
    <row r="27027" spans="1:2" x14ac:dyDescent="0.25">
      <c r="A27027" s="118"/>
      <c r="B27027" s="136"/>
    </row>
    <row r="27028" spans="1:2" x14ac:dyDescent="0.25">
      <c r="A27028" s="118"/>
      <c r="B27028" s="136"/>
    </row>
    <row r="27029" spans="1:2" x14ac:dyDescent="0.25">
      <c r="A27029" s="118"/>
      <c r="B27029" s="136"/>
    </row>
    <row r="27030" spans="1:2" x14ac:dyDescent="0.25">
      <c r="A27030" s="118"/>
      <c r="B27030" s="136"/>
    </row>
    <row r="27031" spans="1:2" x14ac:dyDescent="0.25">
      <c r="A27031" s="118"/>
      <c r="B27031" s="136"/>
    </row>
    <row r="27032" spans="1:2" x14ac:dyDescent="0.25">
      <c r="A27032" s="118"/>
      <c r="B27032" s="136"/>
    </row>
    <row r="27033" spans="1:2" x14ac:dyDescent="0.25">
      <c r="A27033" s="118"/>
      <c r="B27033" s="136"/>
    </row>
    <row r="27034" spans="1:2" x14ac:dyDescent="0.25">
      <c r="A27034" s="118"/>
      <c r="B27034" s="136"/>
    </row>
    <row r="27035" spans="1:2" x14ac:dyDescent="0.25">
      <c r="A27035" s="118"/>
      <c r="B27035" s="136"/>
    </row>
    <row r="27036" spans="1:2" x14ac:dyDescent="0.25">
      <c r="A27036" s="118"/>
      <c r="B27036" s="136"/>
    </row>
    <row r="27037" spans="1:2" x14ac:dyDescent="0.25">
      <c r="A27037" s="118"/>
      <c r="B27037" s="136"/>
    </row>
    <row r="27038" spans="1:2" x14ac:dyDescent="0.25">
      <c r="A27038" s="118"/>
      <c r="B27038" s="136"/>
    </row>
    <row r="27039" spans="1:2" x14ac:dyDescent="0.25">
      <c r="A27039" s="118"/>
      <c r="B27039" s="136"/>
    </row>
    <row r="27040" spans="1:2" x14ac:dyDescent="0.25">
      <c r="A27040" s="118"/>
      <c r="B27040" s="136"/>
    </row>
    <row r="27041" spans="1:2" x14ac:dyDescent="0.25">
      <c r="A27041" s="118"/>
      <c r="B27041" s="136"/>
    </row>
    <row r="27042" spans="1:2" x14ac:dyDescent="0.25">
      <c r="A27042" s="118"/>
      <c r="B27042" s="136"/>
    </row>
    <row r="27043" spans="1:2" x14ac:dyDescent="0.25">
      <c r="A27043" s="118"/>
      <c r="B27043" s="136"/>
    </row>
    <row r="27044" spans="1:2" x14ac:dyDescent="0.25">
      <c r="A27044" s="118"/>
      <c r="B27044" s="136"/>
    </row>
    <row r="27045" spans="1:2" x14ac:dyDescent="0.25">
      <c r="A27045" s="118"/>
      <c r="B27045" s="136"/>
    </row>
    <row r="27046" spans="1:2" x14ac:dyDescent="0.25">
      <c r="A27046" s="118"/>
      <c r="B27046" s="136"/>
    </row>
    <row r="27047" spans="1:2" x14ac:dyDescent="0.25">
      <c r="A27047" s="118"/>
      <c r="B27047" s="136"/>
    </row>
    <row r="27048" spans="1:2" x14ac:dyDescent="0.25">
      <c r="A27048" s="118"/>
      <c r="B27048" s="136"/>
    </row>
    <row r="27049" spans="1:2" x14ac:dyDescent="0.25">
      <c r="A27049" s="118"/>
      <c r="B27049" s="136"/>
    </row>
    <row r="27050" spans="1:2" x14ac:dyDescent="0.25">
      <c r="A27050" s="118"/>
      <c r="B27050" s="136"/>
    </row>
    <row r="27051" spans="1:2" x14ac:dyDescent="0.25">
      <c r="A27051" s="118"/>
      <c r="B27051" s="136"/>
    </row>
    <row r="27052" spans="1:2" x14ac:dyDescent="0.25">
      <c r="A27052" s="118"/>
      <c r="B27052" s="136"/>
    </row>
    <row r="27053" spans="1:2" x14ac:dyDescent="0.25">
      <c r="A27053" s="118"/>
      <c r="B27053" s="136"/>
    </row>
    <row r="27054" spans="1:2" x14ac:dyDescent="0.25">
      <c r="A27054" s="118"/>
      <c r="B27054" s="136"/>
    </row>
    <row r="27055" spans="1:2" x14ac:dyDescent="0.25">
      <c r="A27055" s="118"/>
      <c r="B27055" s="136"/>
    </row>
    <row r="27056" spans="1:2" x14ac:dyDescent="0.25">
      <c r="A27056" s="118"/>
      <c r="B27056" s="136"/>
    </row>
    <row r="27057" spans="1:2" x14ac:dyDescent="0.25">
      <c r="A27057" s="118"/>
      <c r="B27057" s="136"/>
    </row>
    <row r="27058" spans="1:2" x14ac:dyDescent="0.25">
      <c r="A27058" s="118"/>
      <c r="B27058" s="136"/>
    </row>
    <row r="27059" spans="1:2" x14ac:dyDescent="0.25">
      <c r="A27059" s="118"/>
      <c r="B27059" s="136"/>
    </row>
    <row r="27060" spans="1:2" x14ac:dyDescent="0.25">
      <c r="A27060" s="118"/>
      <c r="B27060" s="136"/>
    </row>
    <row r="27061" spans="1:2" x14ac:dyDescent="0.25">
      <c r="A27061" s="118"/>
      <c r="B27061" s="136"/>
    </row>
    <row r="27062" spans="1:2" x14ac:dyDescent="0.25">
      <c r="A27062" s="118"/>
      <c r="B27062" s="136"/>
    </row>
    <row r="27063" spans="1:2" x14ac:dyDescent="0.25">
      <c r="A27063" s="118"/>
      <c r="B27063" s="136"/>
    </row>
    <row r="27064" spans="1:2" x14ac:dyDescent="0.25">
      <c r="A27064" s="118"/>
      <c r="B27064" s="136"/>
    </row>
    <row r="27065" spans="1:2" x14ac:dyDescent="0.25">
      <c r="A27065" s="118"/>
      <c r="B27065" s="136"/>
    </row>
    <row r="27066" spans="1:2" x14ac:dyDescent="0.25">
      <c r="A27066" s="118"/>
      <c r="B27066" s="136"/>
    </row>
    <row r="27067" spans="1:2" x14ac:dyDescent="0.25">
      <c r="A27067" s="118"/>
      <c r="B27067" s="136"/>
    </row>
    <row r="27068" spans="1:2" x14ac:dyDescent="0.25">
      <c r="A27068" s="118"/>
      <c r="B27068" s="136"/>
    </row>
    <row r="27069" spans="1:2" x14ac:dyDescent="0.25">
      <c r="A27069" s="118"/>
      <c r="B27069" s="136"/>
    </row>
    <row r="27070" spans="1:2" x14ac:dyDescent="0.25">
      <c r="A27070" s="118"/>
      <c r="B27070" s="136"/>
    </row>
    <row r="27071" spans="1:2" x14ac:dyDescent="0.25">
      <c r="A27071" s="118"/>
      <c r="B27071" s="136"/>
    </row>
    <row r="27072" spans="1:2" x14ac:dyDescent="0.25">
      <c r="A27072" s="118"/>
      <c r="B27072" s="136"/>
    </row>
    <row r="27073" spans="1:2" x14ac:dyDescent="0.25">
      <c r="A27073" s="118"/>
      <c r="B27073" s="136"/>
    </row>
    <row r="27074" spans="1:2" x14ac:dyDescent="0.25">
      <c r="A27074" s="118"/>
      <c r="B27074" s="136"/>
    </row>
    <row r="27075" spans="1:2" x14ac:dyDescent="0.25">
      <c r="A27075" s="118"/>
      <c r="B27075" s="136"/>
    </row>
    <row r="27076" spans="1:2" x14ac:dyDescent="0.25">
      <c r="A27076" s="118"/>
      <c r="B27076" s="136"/>
    </row>
    <row r="27077" spans="1:2" x14ac:dyDescent="0.25">
      <c r="A27077" s="118"/>
      <c r="B27077" s="136"/>
    </row>
    <row r="27078" spans="1:2" x14ac:dyDescent="0.25">
      <c r="A27078" s="118"/>
      <c r="B27078" s="136"/>
    </row>
    <row r="27079" spans="1:2" x14ac:dyDescent="0.25">
      <c r="A27079" s="118"/>
      <c r="B27079" s="136"/>
    </row>
    <row r="27080" spans="1:2" x14ac:dyDescent="0.25">
      <c r="A27080" s="118"/>
      <c r="B27080" s="136"/>
    </row>
    <row r="27081" spans="1:2" x14ac:dyDescent="0.25">
      <c r="A27081" s="118"/>
      <c r="B27081" s="136"/>
    </row>
    <row r="27082" spans="1:2" x14ac:dyDescent="0.25">
      <c r="A27082" s="118"/>
      <c r="B27082" s="136"/>
    </row>
    <row r="27083" spans="1:2" x14ac:dyDescent="0.25">
      <c r="A27083" s="118"/>
      <c r="B27083" s="136"/>
    </row>
    <row r="27084" spans="1:2" x14ac:dyDescent="0.25">
      <c r="A27084" s="118"/>
      <c r="B27084" s="136"/>
    </row>
    <row r="27085" spans="1:2" x14ac:dyDescent="0.25">
      <c r="A27085" s="118"/>
      <c r="B27085" s="136"/>
    </row>
    <row r="27086" spans="1:2" x14ac:dyDescent="0.25">
      <c r="A27086" s="118"/>
      <c r="B27086" s="136"/>
    </row>
    <row r="27087" spans="1:2" x14ac:dyDescent="0.25">
      <c r="A27087" s="118"/>
      <c r="B27087" s="136"/>
    </row>
    <row r="27088" spans="1:2" x14ac:dyDescent="0.25">
      <c r="A27088" s="118"/>
      <c r="B27088" s="136"/>
    </row>
    <row r="27089" spans="1:2" x14ac:dyDescent="0.25">
      <c r="A27089" s="118"/>
      <c r="B27089" s="136"/>
    </row>
    <row r="27090" spans="1:2" x14ac:dyDescent="0.25">
      <c r="A27090" s="118"/>
      <c r="B27090" s="136"/>
    </row>
    <row r="27091" spans="1:2" x14ac:dyDescent="0.25">
      <c r="A27091" s="118"/>
      <c r="B27091" s="136"/>
    </row>
    <row r="27092" spans="1:2" x14ac:dyDescent="0.25">
      <c r="A27092" s="118"/>
      <c r="B27092" s="136"/>
    </row>
    <row r="27093" spans="1:2" x14ac:dyDescent="0.25">
      <c r="A27093" s="118"/>
      <c r="B27093" s="136"/>
    </row>
    <row r="27094" spans="1:2" x14ac:dyDescent="0.25">
      <c r="A27094" s="118"/>
      <c r="B27094" s="136"/>
    </row>
    <row r="27095" spans="1:2" x14ac:dyDescent="0.25">
      <c r="A27095" s="118"/>
      <c r="B27095" s="136"/>
    </row>
    <row r="27096" spans="1:2" x14ac:dyDescent="0.25">
      <c r="A27096" s="118"/>
      <c r="B27096" s="136"/>
    </row>
    <row r="27097" spans="1:2" x14ac:dyDescent="0.25">
      <c r="A27097" s="118"/>
      <c r="B27097" s="136"/>
    </row>
    <row r="27098" spans="1:2" x14ac:dyDescent="0.25">
      <c r="A27098" s="118"/>
      <c r="B27098" s="136"/>
    </row>
    <row r="27099" spans="1:2" x14ac:dyDescent="0.25">
      <c r="A27099" s="118"/>
      <c r="B27099" s="136"/>
    </row>
    <row r="27100" spans="1:2" x14ac:dyDescent="0.25">
      <c r="A27100" s="118"/>
      <c r="B27100" s="136"/>
    </row>
    <row r="27101" spans="1:2" x14ac:dyDescent="0.25">
      <c r="A27101" s="118"/>
      <c r="B27101" s="136"/>
    </row>
    <row r="27102" spans="1:2" x14ac:dyDescent="0.25">
      <c r="A27102" s="118"/>
      <c r="B27102" s="136"/>
    </row>
    <row r="27103" spans="1:2" x14ac:dyDescent="0.25">
      <c r="A27103" s="118"/>
      <c r="B27103" s="136"/>
    </row>
    <row r="27104" spans="1:2" x14ac:dyDescent="0.25">
      <c r="A27104" s="118"/>
      <c r="B27104" s="136"/>
    </row>
    <row r="27105" spans="1:2" x14ac:dyDescent="0.25">
      <c r="A27105" s="118"/>
      <c r="B27105" s="136"/>
    </row>
    <row r="27106" spans="1:2" x14ac:dyDescent="0.25">
      <c r="A27106" s="118"/>
      <c r="B27106" s="136"/>
    </row>
    <row r="27107" spans="1:2" x14ac:dyDescent="0.25">
      <c r="A27107" s="118"/>
      <c r="B27107" s="136"/>
    </row>
    <row r="27108" spans="1:2" x14ac:dyDescent="0.25">
      <c r="A27108" s="118"/>
      <c r="B27108" s="136"/>
    </row>
    <row r="27109" spans="1:2" x14ac:dyDescent="0.25">
      <c r="A27109" s="118"/>
      <c r="B27109" s="136"/>
    </row>
    <row r="27110" spans="1:2" x14ac:dyDescent="0.25">
      <c r="A27110" s="118"/>
      <c r="B27110" s="136"/>
    </row>
    <row r="27111" spans="1:2" x14ac:dyDescent="0.25">
      <c r="A27111" s="118"/>
      <c r="B27111" s="136"/>
    </row>
    <row r="27112" spans="1:2" x14ac:dyDescent="0.25">
      <c r="A27112" s="118"/>
      <c r="B27112" s="136"/>
    </row>
    <row r="27113" spans="1:2" x14ac:dyDescent="0.25">
      <c r="A27113" s="118"/>
      <c r="B27113" s="136"/>
    </row>
    <row r="27114" spans="1:2" x14ac:dyDescent="0.25">
      <c r="A27114" s="118"/>
      <c r="B27114" s="136"/>
    </row>
    <row r="27115" spans="1:2" x14ac:dyDescent="0.25">
      <c r="A27115" s="118"/>
      <c r="B27115" s="136"/>
    </row>
    <row r="27116" spans="1:2" x14ac:dyDescent="0.25">
      <c r="A27116" s="118"/>
      <c r="B27116" s="136"/>
    </row>
    <row r="27117" spans="1:2" x14ac:dyDescent="0.25">
      <c r="A27117" s="118"/>
      <c r="B27117" s="136"/>
    </row>
    <row r="27118" spans="1:2" x14ac:dyDescent="0.25">
      <c r="A27118" s="118"/>
      <c r="B27118" s="136"/>
    </row>
    <row r="27119" spans="1:2" x14ac:dyDescent="0.25">
      <c r="A27119" s="118"/>
      <c r="B27119" s="136"/>
    </row>
    <row r="27120" spans="1:2" x14ac:dyDescent="0.25">
      <c r="A27120" s="118"/>
      <c r="B27120" s="136"/>
    </row>
    <row r="27121" spans="1:2" x14ac:dyDescent="0.25">
      <c r="A27121" s="118"/>
      <c r="B27121" s="136"/>
    </row>
    <row r="27122" spans="1:2" x14ac:dyDescent="0.25">
      <c r="A27122" s="118"/>
      <c r="B27122" s="136"/>
    </row>
    <row r="27123" spans="1:2" x14ac:dyDescent="0.25">
      <c r="A27123" s="118"/>
      <c r="B27123" s="136"/>
    </row>
    <row r="27124" spans="1:2" x14ac:dyDescent="0.25">
      <c r="A27124" s="118"/>
      <c r="B27124" s="136"/>
    </row>
    <row r="27125" spans="1:2" x14ac:dyDescent="0.25">
      <c r="A27125" s="118"/>
      <c r="B27125" s="136"/>
    </row>
    <row r="27126" spans="1:2" x14ac:dyDescent="0.25">
      <c r="A27126" s="118"/>
      <c r="B27126" s="136"/>
    </row>
    <row r="27127" spans="1:2" x14ac:dyDescent="0.25">
      <c r="A27127" s="118"/>
      <c r="B27127" s="136"/>
    </row>
    <row r="27128" spans="1:2" x14ac:dyDescent="0.25">
      <c r="A27128" s="118"/>
      <c r="B27128" s="136"/>
    </row>
    <row r="27129" spans="1:2" x14ac:dyDescent="0.25">
      <c r="A27129" s="118"/>
      <c r="B27129" s="136"/>
    </row>
    <row r="27130" spans="1:2" x14ac:dyDescent="0.25">
      <c r="A27130" s="118"/>
      <c r="B27130" s="136"/>
    </row>
    <row r="27131" spans="1:2" x14ac:dyDescent="0.25">
      <c r="A27131" s="118"/>
      <c r="B27131" s="136"/>
    </row>
    <row r="27132" spans="1:2" x14ac:dyDescent="0.25">
      <c r="A27132" s="118"/>
      <c r="B27132" s="136"/>
    </row>
    <row r="27133" spans="1:2" x14ac:dyDescent="0.25">
      <c r="A27133" s="118"/>
      <c r="B27133" s="136"/>
    </row>
    <row r="27134" spans="1:2" x14ac:dyDescent="0.25">
      <c r="A27134" s="118"/>
      <c r="B27134" s="136"/>
    </row>
    <row r="27135" spans="1:2" x14ac:dyDescent="0.25">
      <c r="A27135" s="118"/>
      <c r="B27135" s="136"/>
    </row>
    <row r="27136" spans="1:2" x14ac:dyDescent="0.25">
      <c r="A27136" s="118"/>
      <c r="B27136" s="136"/>
    </row>
    <row r="27137" spans="1:2" x14ac:dyDescent="0.25">
      <c r="A27137" s="118"/>
      <c r="B27137" s="136"/>
    </row>
    <row r="27138" spans="1:2" x14ac:dyDescent="0.25">
      <c r="A27138" s="118"/>
      <c r="B27138" s="136"/>
    </row>
    <row r="27139" spans="1:2" x14ac:dyDescent="0.25">
      <c r="A27139" s="118"/>
      <c r="B27139" s="136"/>
    </row>
    <row r="27140" spans="1:2" x14ac:dyDescent="0.25">
      <c r="A27140" s="118"/>
      <c r="B27140" s="136"/>
    </row>
    <row r="27141" spans="1:2" x14ac:dyDescent="0.25">
      <c r="A27141" s="118"/>
      <c r="B27141" s="136"/>
    </row>
    <row r="27142" spans="1:2" x14ac:dyDescent="0.25">
      <c r="A27142" s="118"/>
      <c r="B27142" s="136"/>
    </row>
    <row r="27143" spans="1:2" x14ac:dyDescent="0.25">
      <c r="A27143" s="118"/>
      <c r="B27143" s="136"/>
    </row>
    <row r="27144" spans="1:2" x14ac:dyDescent="0.25">
      <c r="A27144" s="118"/>
      <c r="B27144" s="136"/>
    </row>
    <row r="27145" spans="1:2" x14ac:dyDescent="0.25">
      <c r="A27145" s="118"/>
      <c r="B27145" s="136"/>
    </row>
    <row r="27146" spans="1:2" x14ac:dyDescent="0.25">
      <c r="A27146" s="118"/>
      <c r="B27146" s="136"/>
    </row>
    <row r="27147" spans="1:2" x14ac:dyDescent="0.25">
      <c r="A27147" s="118"/>
      <c r="B27147" s="136"/>
    </row>
    <row r="27148" spans="1:2" x14ac:dyDescent="0.25">
      <c r="A27148" s="118"/>
      <c r="B27148" s="136"/>
    </row>
    <row r="27149" spans="1:2" x14ac:dyDescent="0.25">
      <c r="A27149" s="118"/>
      <c r="B27149" s="136"/>
    </row>
    <row r="27150" spans="1:2" x14ac:dyDescent="0.25">
      <c r="A27150" s="118"/>
      <c r="B27150" s="136"/>
    </row>
    <row r="27151" spans="1:2" x14ac:dyDescent="0.25">
      <c r="A27151" s="118"/>
      <c r="B27151" s="136"/>
    </row>
    <row r="27152" spans="1:2" x14ac:dyDescent="0.25">
      <c r="A27152" s="118"/>
      <c r="B27152" s="136"/>
    </row>
    <row r="27153" spans="1:2" x14ac:dyDescent="0.25">
      <c r="A27153" s="118"/>
      <c r="B27153" s="136"/>
    </row>
    <row r="27154" spans="1:2" x14ac:dyDescent="0.25">
      <c r="A27154" s="118"/>
      <c r="B27154" s="136"/>
    </row>
    <row r="27155" spans="1:2" x14ac:dyDescent="0.25">
      <c r="A27155" s="118"/>
      <c r="B27155" s="136"/>
    </row>
    <row r="27156" spans="1:2" x14ac:dyDescent="0.25">
      <c r="A27156" s="118"/>
      <c r="B27156" s="136"/>
    </row>
    <row r="27157" spans="1:2" x14ac:dyDescent="0.25">
      <c r="A27157" s="118"/>
      <c r="B27157" s="136"/>
    </row>
    <row r="27158" spans="1:2" x14ac:dyDescent="0.25">
      <c r="A27158" s="118"/>
      <c r="B27158" s="136"/>
    </row>
    <row r="27159" spans="1:2" x14ac:dyDescent="0.25">
      <c r="A27159" s="118"/>
      <c r="B27159" s="136"/>
    </row>
    <row r="27160" spans="1:2" x14ac:dyDescent="0.25">
      <c r="A27160" s="118"/>
      <c r="B27160" s="136"/>
    </row>
    <row r="27161" spans="1:2" x14ac:dyDescent="0.25">
      <c r="A27161" s="118"/>
      <c r="B27161" s="136"/>
    </row>
    <row r="27162" spans="1:2" x14ac:dyDescent="0.25">
      <c r="A27162" s="118"/>
      <c r="B27162" s="136"/>
    </row>
    <row r="27163" spans="1:2" x14ac:dyDescent="0.25">
      <c r="A27163" s="118"/>
      <c r="B27163" s="136"/>
    </row>
    <row r="27164" spans="1:2" x14ac:dyDescent="0.25">
      <c r="A27164" s="118"/>
      <c r="B27164" s="136"/>
    </row>
    <row r="27165" spans="1:2" x14ac:dyDescent="0.25">
      <c r="A27165" s="118"/>
      <c r="B27165" s="136"/>
    </row>
    <row r="27166" spans="1:2" x14ac:dyDescent="0.25">
      <c r="A27166" s="118"/>
      <c r="B27166" s="136"/>
    </row>
    <row r="27167" spans="1:2" x14ac:dyDescent="0.25">
      <c r="A27167" s="118"/>
      <c r="B27167" s="136"/>
    </row>
    <row r="27168" spans="1:2" x14ac:dyDescent="0.25">
      <c r="A27168" s="118"/>
      <c r="B27168" s="136"/>
    </row>
    <row r="27169" spans="1:2" x14ac:dyDescent="0.25">
      <c r="A27169" s="118"/>
      <c r="B27169" s="136"/>
    </row>
    <row r="27170" spans="1:2" x14ac:dyDescent="0.25">
      <c r="A27170" s="118"/>
      <c r="B27170" s="136"/>
    </row>
    <row r="27171" spans="1:2" x14ac:dyDescent="0.25">
      <c r="A27171" s="118"/>
      <c r="B27171" s="136"/>
    </row>
    <row r="27172" spans="1:2" x14ac:dyDescent="0.25">
      <c r="A27172" s="118"/>
      <c r="B27172" s="136"/>
    </row>
    <row r="27173" spans="1:2" x14ac:dyDescent="0.25">
      <c r="A27173" s="118"/>
      <c r="B27173" s="136"/>
    </row>
    <row r="27174" spans="1:2" x14ac:dyDescent="0.25">
      <c r="A27174" s="118"/>
      <c r="B27174" s="136"/>
    </row>
    <row r="27175" spans="1:2" x14ac:dyDescent="0.25">
      <c r="A27175" s="118"/>
      <c r="B27175" s="136"/>
    </row>
    <row r="27176" spans="1:2" x14ac:dyDescent="0.25">
      <c r="A27176" s="118"/>
      <c r="B27176" s="136"/>
    </row>
    <row r="27177" spans="1:2" x14ac:dyDescent="0.25">
      <c r="A27177" s="118"/>
      <c r="B27177" s="136"/>
    </row>
    <row r="27178" spans="1:2" x14ac:dyDescent="0.25">
      <c r="A27178" s="118"/>
      <c r="B27178" s="136"/>
    </row>
    <row r="27179" spans="1:2" x14ac:dyDescent="0.25">
      <c r="A27179" s="118"/>
      <c r="B27179" s="136"/>
    </row>
    <row r="27180" spans="1:2" x14ac:dyDescent="0.25">
      <c r="A27180" s="118"/>
      <c r="B27180" s="136"/>
    </row>
    <row r="27181" spans="1:2" x14ac:dyDescent="0.25">
      <c r="A27181" s="118"/>
      <c r="B27181" s="136"/>
    </row>
    <row r="27182" spans="1:2" x14ac:dyDescent="0.25">
      <c r="A27182" s="118"/>
      <c r="B27182" s="136"/>
    </row>
    <row r="27183" spans="1:2" x14ac:dyDescent="0.25">
      <c r="A27183" s="118"/>
      <c r="B27183" s="136"/>
    </row>
    <row r="27184" spans="1:2" x14ac:dyDescent="0.25">
      <c r="A27184" s="118"/>
      <c r="B27184" s="136"/>
    </row>
    <row r="27185" spans="1:2" x14ac:dyDescent="0.25">
      <c r="A27185" s="118"/>
      <c r="B27185" s="136"/>
    </row>
    <row r="27186" spans="1:2" x14ac:dyDescent="0.25">
      <c r="A27186" s="118"/>
      <c r="B27186" s="136"/>
    </row>
    <row r="27187" spans="1:2" x14ac:dyDescent="0.25">
      <c r="A27187" s="118"/>
      <c r="B27187" s="136"/>
    </row>
    <row r="27188" spans="1:2" x14ac:dyDescent="0.25">
      <c r="A27188" s="118"/>
      <c r="B27188" s="136"/>
    </row>
    <row r="27189" spans="1:2" x14ac:dyDescent="0.25">
      <c r="A27189" s="118"/>
      <c r="B27189" s="136"/>
    </row>
    <row r="27190" spans="1:2" x14ac:dyDescent="0.25">
      <c r="A27190" s="118"/>
      <c r="B27190" s="136"/>
    </row>
    <row r="27191" spans="1:2" x14ac:dyDescent="0.25">
      <c r="A27191" s="118"/>
      <c r="B27191" s="136"/>
    </row>
    <row r="27192" spans="1:2" x14ac:dyDescent="0.25">
      <c r="A27192" s="118"/>
      <c r="B27192" s="136"/>
    </row>
    <row r="27193" spans="1:2" x14ac:dyDescent="0.25">
      <c r="A27193" s="118"/>
      <c r="B27193" s="136"/>
    </row>
    <row r="27194" spans="1:2" x14ac:dyDescent="0.25">
      <c r="A27194" s="118"/>
      <c r="B27194" s="136"/>
    </row>
    <row r="27195" spans="1:2" x14ac:dyDescent="0.25">
      <c r="A27195" s="118"/>
      <c r="B27195" s="136"/>
    </row>
    <row r="27196" spans="1:2" x14ac:dyDescent="0.25">
      <c r="A27196" s="118"/>
      <c r="B27196" s="136"/>
    </row>
    <row r="27197" spans="1:2" x14ac:dyDescent="0.25">
      <c r="A27197" s="118"/>
      <c r="B27197" s="136"/>
    </row>
    <row r="27198" spans="1:2" x14ac:dyDescent="0.25">
      <c r="A27198" s="118"/>
      <c r="B27198" s="136"/>
    </row>
    <row r="27199" spans="1:2" x14ac:dyDescent="0.25">
      <c r="A27199" s="118"/>
      <c r="B27199" s="136"/>
    </row>
    <row r="27200" spans="1:2" x14ac:dyDescent="0.25">
      <c r="A27200" s="118"/>
      <c r="B27200" s="136"/>
    </row>
    <row r="27201" spans="1:2" x14ac:dyDescent="0.25">
      <c r="A27201" s="118"/>
      <c r="B27201" s="136"/>
    </row>
    <row r="27202" spans="1:2" x14ac:dyDescent="0.25">
      <c r="A27202" s="118"/>
      <c r="B27202" s="136"/>
    </row>
    <row r="27203" spans="1:2" x14ac:dyDescent="0.25">
      <c r="A27203" s="118"/>
      <c r="B27203" s="136"/>
    </row>
    <row r="27204" spans="1:2" x14ac:dyDescent="0.25">
      <c r="A27204" s="118"/>
      <c r="B27204" s="136"/>
    </row>
    <row r="27205" spans="1:2" x14ac:dyDescent="0.25">
      <c r="A27205" s="118"/>
      <c r="B27205" s="136"/>
    </row>
    <row r="27206" spans="1:2" x14ac:dyDescent="0.25">
      <c r="A27206" s="118"/>
      <c r="B27206" s="136"/>
    </row>
    <row r="27207" spans="1:2" x14ac:dyDescent="0.25">
      <c r="A27207" s="118"/>
      <c r="B27207" s="136"/>
    </row>
    <row r="27208" spans="1:2" x14ac:dyDescent="0.25">
      <c r="A27208" s="118"/>
      <c r="B27208" s="136"/>
    </row>
    <row r="27209" spans="1:2" x14ac:dyDescent="0.25">
      <c r="A27209" s="118"/>
      <c r="B27209" s="136"/>
    </row>
    <row r="27210" spans="1:2" x14ac:dyDescent="0.25">
      <c r="A27210" s="118"/>
      <c r="B27210" s="136"/>
    </row>
    <row r="27211" spans="1:2" x14ac:dyDescent="0.25">
      <c r="A27211" s="118"/>
      <c r="B27211" s="136"/>
    </row>
    <row r="27212" spans="1:2" x14ac:dyDescent="0.25">
      <c r="A27212" s="118"/>
      <c r="B27212" s="136"/>
    </row>
    <row r="27213" spans="1:2" x14ac:dyDescent="0.25">
      <c r="A27213" s="118"/>
      <c r="B27213" s="136"/>
    </row>
    <row r="27214" spans="1:2" x14ac:dyDescent="0.25">
      <c r="A27214" s="118"/>
      <c r="B27214" s="136"/>
    </row>
    <row r="27215" spans="1:2" x14ac:dyDescent="0.25">
      <c r="A27215" s="118"/>
      <c r="B27215" s="136"/>
    </row>
    <row r="27216" spans="1:2" x14ac:dyDescent="0.25">
      <c r="A27216" s="118"/>
      <c r="B27216" s="136"/>
    </row>
    <row r="27217" spans="1:2" x14ac:dyDescent="0.25">
      <c r="A27217" s="118"/>
      <c r="B27217" s="136"/>
    </row>
    <row r="27218" spans="1:2" x14ac:dyDescent="0.25">
      <c r="A27218" s="118"/>
      <c r="B27218" s="136"/>
    </row>
    <row r="27219" spans="1:2" x14ac:dyDescent="0.25">
      <c r="A27219" s="118"/>
      <c r="B27219" s="136"/>
    </row>
    <row r="27220" spans="1:2" x14ac:dyDescent="0.25">
      <c r="A27220" s="118"/>
      <c r="B27220" s="136"/>
    </row>
    <row r="27221" spans="1:2" x14ac:dyDescent="0.25">
      <c r="A27221" s="118"/>
      <c r="B27221" s="136"/>
    </row>
    <row r="27222" spans="1:2" x14ac:dyDescent="0.25">
      <c r="A27222" s="118"/>
      <c r="B27222" s="136"/>
    </row>
    <row r="27223" spans="1:2" x14ac:dyDescent="0.25">
      <c r="A27223" s="118"/>
      <c r="B27223" s="136"/>
    </row>
    <row r="27224" spans="1:2" x14ac:dyDescent="0.25">
      <c r="A27224" s="118"/>
      <c r="B27224" s="136"/>
    </row>
    <row r="27225" spans="1:2" x14ac:dyDescent="0.25">
      <c r="A27225" s="118"/>
      <c r="B27225" s="136"/>
    </row>
    <row r="27226" spans="1:2" x14ac:dyDescent="0.25">
      <c r="A27226" s="118"/>
      <c r="B27226" s="136"/>
    </row>
    <row r="27227" spans="1:2" x14ac:dyDescent="0.25">
      <c r="A27227" s="118"/>
      <c r="B27227" s="136"/>
    </row>
    <row r="27228" spans="1:2" x14ac:dyDescent="0.25">
      <c r="A27228" s="118"/>
      <c r="B27228" s="136"/>
    </row>
    <row r="27229" spans="1:2" x14ac:dyDescent="0.25">
      <c r="A27229" s="118"/>
      <c r="B27229" s="136"/>
    </row>
    <row r="27230" spans="1:2" x14ac:dyDescent="0.25">
      <c r="A27230" s="118"/>
      <c r="B27230" s="136"/>
    </row>
    <row r="27231" spans="1:2" x14ac:dyDescent="0.25">
      <c r="A27231" s="118"/>
      <c r="B27231" s="136"/>
    </row>
    <row r="27232" spans="1:2" x14ac:dyDescent="0.25">
      <c r="A27232" s="118"/>
      <c r="B27232" s="136"/>
    </row>
    <row r="27233" spans="1:2" x14ac:dyDescent="0.25">
      <c r="A27233" s="118"/>
      <c r="B27233" s="136"/>
    </row>
    <row r="27234" spans="1:2" x14ac:dyDescent="0.25">
      <c r="A27234" s="118"/>
      <c r="B27234" s="136"/>
    </row>
    <row r="27235" spans="1:2" x14ac:dyDescent="0.25">
      <c r="A27235" s="118"/>
      <c r="B27235" s="136"/>
    </row>
    <row r="27236" spans="1:2" x14ac:dyDescent="0.25">
      <c r="A27236" s="118"/>
      <c r="B27236" s="136"/>
    </row>
    <row r="27237" spans="1:2" x14ac:dyDescent="0.25">
      <c r="A27237" s="118"/>
      <c r="B27237" s="136"/>
    </row>
    <row r="27238" spans="1:2" x14ac:dyDescent="0.25">
      <c r="A27238" s="118"/>
      <c r="B27238" s="136"/>
    </row>
    <row r="27239" spans="1:2" x14ac:dyDescent="0.25">
      <c r="A27239" s="118"/>
      <c r="B27239" s="136"/>
    </row>
    <row r="27240" spans="1:2" x14ac:dyDescent="0.25">
      <c r="A27240" s="118"/>
      <c r="B27240" s="136"/>
    </row>
    <row r="27241" spans="1:2" x14ac:dyDescent="0.25">
      <c r="A27241" s="118"/>
      <c r="B27241" s="136"/>
    </row>
    <row r="27242" spans="1:2" x14ac:dyDescent="0.25">
      <c r="A27242" s="118"/>
      <c r="B27242" s="136"/>
    </row>
    <row r="27243" spans="1:2" x14ac:dyDescent="0.25">
      <c r="A27243" s="118"/>
      <c r="B27243" s="136"/>
    </row>
    <row r="27244" spans="1:2" x14ac:dyDescent="0.25">
      <c r="A27244" s="118"/>
      <c r="B27244" s="136"/>
    </row>
    <row r="27245" spans="1:2" x14ac:dyDescent="0.25">
      <c r="A27245" s="118"/>
      <c r="B27245" s="136"/>
    </row>
    <row r="27246" spans="1:2" x14ac:dyDescent="0.25">
      <c r="A27246" s="118"/>
      <c r="B27246" s="136"/>
    </row>
    <row r="27247" spans="1:2" x14ac:dyDescent="0.25">
      <c r="A27247" s="118"/>
      <c r="B27247" s="136"/>
    </row>
    <row r="27248" spans="1:2" x14ac:dyDescent="0.25">
      <c r="A27248" s="118"/>
      <c r="B27248" s="136"/>
    </row>
    <row r="27249" spans="1:2" x14ac:dyDescent="0.25">
      <c r="A27249" s="118"/>
      <c r="B27249" s="136"/>
    </row>
    <row r="27250" spans="1:2" x14ac:dyDescent="0.25">
      <c r="A27250" s="118"/>
      <c r="B27250" s="136"/>
    </row>
    <row r="27251" spans="1:2" x14ac:dyDescent="0.25">
      <c r="A27251" s="118"/>
      <c r="B27251" s="136"/>
    </row>
    <row r="27252" spans="1:2" x14ac:dyDescent="0.25">
      <c r="A27252" s="118"/>
      <c r="B27252" s="136"/>
    </row>
    <row r="27253" spans="1:2" x14ac:dyDescent="0.25">
      <c r="A27253" s="118"/>
      <c r="B27253" s="136"/>
    </row>
    <row r="27254" spans="1:2" x14ac:dyDescent="0.25">
      <c r="A27254" s="118"/>
      <c r="B27254" s="136"/>
    </row>
    <row r="27255" spans="1:2" x14ac:dyDescent="0.25">
      <c r="A27255" s="118"/>
      <c r="B27255" s="136"/>
    </row>
    <row r="27256" spans="1:2" x14ac:dyDescent="0.25">
      <c r="A27256" s="118"/>
      <c r="B27256" s="136"/>
    </row>
    <row r="27257" spans="1:2" x14ac:dyDescent="0.25">
      <c r="A27257" s="118"/>
      <c r="B27257" s="136"/>
    </row>
    <row r="27258" spans="1:2" x14ac:dyDescent="0.25">
      <c r="A27258" s="118"/>
      <c r="B27258" s="136"/>
    </row>
    <row r="27259" spans="1:2" x14ac:dyDescent="0.25">
      <c r="A27259" s="118"/>
      <c r="B27259" s="136"/>
    </row>
    <row r="27260" spans="1:2" x14ac:dyDescent="0.25">
      <c r="A27260" s="118"/>
      <c r="B27260" s="136"/>
    </row>
    <row r="27261" spans="1:2" x14ac:dyDescent="0.25">
      <c r="A27261" s="118"/>
      <c r="B27261" s="136"/>
    </row>
    <row r="27262" spans="1:2" x14ac:dyDescent="0.25">
      <c r="A27262" s="118"/>
      <c r="B27262" s="136"/>
    </row>
    <row r="27263" spans="1:2" x14ac:dyDescent="0.25">
      <c r="A27263" s="118"/>
      <c r="B27263" s="136"/>
    </row>
    <row r="27264" spans="1:2" x14ac:dyDescent="0.25">
      <c r="A27264" s="118"/>
      <c r="B27264" s="136"/>
    </row>
    <row r="27265" spans="1:2" x14ac:dyDescent="0.25">
      <c r="A27265" s="118"/>
      <c r="B27265" s="136"/>
    </row>
    <row r="27266" spans="1:2" x14ac:dyDescent="0.25">
      <c r="A27266" s="118"/>
      <c r="B27266" s="136"/>
    </row>
    <row r="27267" spans="1:2" x14ac:dyDescent="0.25">
      <c r="A27267" s="118"/>
      <c r="B27267" s="136"/>
    </row>
    <row r="27268" spans="1:2" x14ac:dyDescent="0.25">
      <c r="A27268" s="118"/>
      <c r="B27268" s="136"/>
    </row>
    <row r="27269" spans="1:2" x14ac:dyDescent="0.25">
      <c r="A27269" s="118"/>
      <c r="B27269" s="136"/>
    </row>
    <row r="27270" spans="1:2" x14ac:dyDescent="0.25">
      <c r="A27270" s="118"/>
      <c r="B27270" s="136"/>
    </row>
    <row r="27271" spans="1:2" x14ac:dyDescent="0.25">
      <c r="A27271" s="118"/>
      <c r="B27271" s="136"/>
    </row>
    <row r="27272" spans="1:2" x14ac:dyDescent="0.25">
      <c r="A27272" s="118"/>
      <c r="B27272" s="136"/>
    </row>
    <row r="27273" spans="1:2" x14ac:dyDescent="0.25">
      <c r="A27273" s="118"/>
      <c r="B27273" s="136"/>
    </row>
    <row r="27274" spans="1:2" x14ac:dyDescent="0.25">
      <c r="A27274" s="118"/>
      <c r="B27274" s="136"/>
    </row>
    <row r="27275" spans="1:2" x14ac:dyDescent="0.25">
      <c r="A27275" s="118"/>
      <c r="B27275" s="136"/>
    </row>
    <row r="27276" spans="1:2" x14ac:dyDescent="0.25">
      <c r="A27276" s="118"/>
      <c r="B27276" s="136"/>
    </row>
    <row r="27277" spans="1:2" x14ac:dyDescent="0.25">
      <c r="A27277" s="118"/>
      <c r="B27277" s="136"/>
    </row>
    <row r="27278" spans="1:2" x14ac:dyDescent="0.25">
      <c r="A27278" s="118"/>
      <c r="B27278" s="136"/>
    </row>
    <row r="27279" spans="1:2" x14ac:dyDescent="0.25">
      <c r="A27279" s="118"/>
      <c r="B27279" s="136"/>
    </row>
    <row r="27280" spans="1:2" x14ac:dyDescent="0.25">
      <c r="A27280" s="118"/>
      <c r="B27280" s="136"/>
    </row>
    <row r="27281" spans="1:2" x14ac:dyDescent="0.25">
      <c r="A27281" s="118"/>
      <c r="B27281" s="136"/>
    </row>
    <row r="27282" spans="1:2" x14ac:dyDescent="0.25">
      <c r="A27282" s="118"/>
      <c r="B27282" s="136"/>
    </row>
    <row r="27283" spans="1:2" x14ac:dyDescent="0.25">
      <c r="A27283" s="118"/>
      <c r="B27283" s="136"/>
    </row>
    <row r="27284" spans="1:2" x14ac:dyDescent="0.25">
      <c r="A27284" s="118"/>
      <c r="B27284" s="136"/>
    </row>
    <row r="27285" spans="1:2" x14ac:dyDescent="0.25">
      <c r="A27285" s="118"/>
      <c r="B27285" s="136"/>
    </row>
    <row r="27286" spans="1:2" x14ac:dyDescent="0.25">
      <c r="A27286" s="118"/>
      <c r="B27286" s="136"/>
    </row>
    <row r="27287" spans="1:2" x14ac:dyDescent="0.25">
      <c r="A27287" s="118"/>
      <c r="B27287" s="136"/>
    </row>
    <row r="27288" spans="1:2" x14ac:dyDescent="0.25">
      <c r="A27288" s="118"/>
      <c r="B27288" s="136"/>
    </row>
    <row r="27289" spans="1:2" x14ac:dyDescent="0.25">
      <c r="A27289" s="118"/>
      <c r="B27289" s="136"/>
    </row>
    <row r="27290" spans="1:2" x14ac:dyDescent="0.25">
      <c r="A27290" s="118"/>
      <c r="B27290" s="136"/>
    </row>
    <row r="27291" spans="1:2" x14ac:dyDescent="0.25">
      <c r="A27291" s="118"/>
      <c r="B27291" s="136"/>
    </row>
    <row r="27292" spans="1:2" x14ac:dyDescent="0.25">
      <c r="A27292" s="118"/>
      <c r="B27292" s="136"/>
    </row>
    <row r="27293" spans="1:2" x14ac:dyDescent="0.25">
      <c r="A27293" s="118"/>
      <c r="B27293" s="136"/>
    </row>
    <row r="27294" spans="1:2" x14ac:dyDescent="0.25">
      <c r="A27294" s="118"/>
      <c r="B27294" s="136"/>
    </row>
    <row r="27295" spans="1:2" x14ac:dyDescent="0.25">
      <c r="A27295" s="118"/>
      <c r="B27295" s="136"/>
    </row>
    <row r="27296" spans="1:2" x14ac:dyDescent="0.25">
      <c r="A27296" s="118"/>
      <c r="B27296" s="136"/>
    </row>
    <row r="27297" spans="1:2" x14ac:dyDescent="0.25">
      <c r="A27297" s="118"/>
      <c r="B27297" s="136"/>
    </row>
    <row r="27298" spans="1:2" x14ac:dyDescent="0.25">
      <c r="A27298" s="118"/>
      <c r="B27298" s="136"/>
    </row>
    <row r="27299" spans="1:2" x14ac:dyDescent="0.25">
      <c r="A27299" s="118"/>
      <c r="B27299" s="136"/>
    </row>
    <row r="27300" spans="1:2" x14ac:dyDescent="0.25">
      <c r="A27300" s="118"/>
      <c r="B27300" s="136"/>
    </row>
    <row r="27301" spans="1:2" x14ac:dyDescent="0.25">
      <c r="A27301" s="118"/>
      <c r="B27301" s="136"/>
    </row>
    <row r="27302" spans="1:2" x14ac:dyDescent="0.25">
      <c r="A27302" s="118"/>
      <c r="B27302" s="136"/>
    </row>
    <row r="27303" spans="1:2" x14ac:dyDescent="0.25">
      <c r="A27303" s="118"/>
      <c r="B27303" s="136"/>
    </row>
    <row r="27304" spans="1:2" x14ac:dyDescent="0.25">
      <c r="A27304" s="118"/>
      <c r="B27304" s="136"/>
    </row>
    <row r="27305" spans="1:2" x14ac:dyDescent="0.25">
      <c r="A27305" s="118"/>
      <c r="B27305" s="136"/>
    </row>
    <row r="27306" spans="1:2" x14ac:dyDescent="0.25">
      <c r="A27306" s="118"/>
      <c r="B27306" s="136"/>
    </row>
    <row r="27307" spans="1:2" x14ac:dyDescent="0.25">
      <c r="A27307" s="118"/>
      <c r="B27307" s="136"/>
    </row>
    <row r="27308" spans="1:2" x14ac:dyDescent="0.25">
      <c r="A27308" s="118"/>
      <c r="B27308" s="136"/>
    </row>
    <row r="27309" spans="1:2" x14ac:dyDescent="0.25">
      <c r="A27309" s="118"/>
      <c r="B27309" s="136"/>
    </row>
    <row r="27310" spans="1:2" x14ac:dyDescent="0.25">
      <c r="A27310" s="118"/>
      <c r="B27310" s="136"/>
    </row>
    <row r="27311" spans="1:2" x14ac:dyDescent="0.25">
      <c r="A27311" s="118"/>
      <c r="B27311" s="136"/>
    </row>
    <row r="27312" spans="1:2" x14ac:dyDescent="0.25">
      <c r="A27312" s="118"/>
      <c r="B27312" s="136"/>
    </row>
    <row r="27313" spans="1:2" x14ac:dyDescent="0.25">
      <c r="A27313" s="118"/>
      <c r="B27313" s="136"/>
    </row>
    <row r="27314" spans="1:2" x14ac:dyDescent="0.25">
      <c r="A27314" s="118"/>
      <c r="B27314" s="136"/>
    </row>
    <row r="27315" spans="1:2" x14ac:dyDescent="0.25">
      <c r="A27315" s="118"/>
      <c r="B27315" s="136"/>
    </row>
    <row r="27316" spans="1:2" x14ac:dyDescent="0.25">
      <c r="A27316" s="118"/>
      <c r="B27316" s="136"/>
    </row>
    <row r="27317" spans="1:2" x14ac:dyDescent="0.25">
      <c r="A27317" s="118"/>
      <c r="B27317" s="136"/>
    </row>
    <row r="27318" spans="1:2" x14ac:dyDescent="0.25">
      <c r="A27318" s="118"/>
      <c r="B27318" s="136"/>
    </row>
    <row r="27319" spans="1:2" x14ac:dyDescent="0.25">
      <c r="A27319" s="118"/>
      <c r="B27319" s="136"/>
    </row>
    <row r="27320" spans="1:2" x14ac:dyDescent="0.25">
      <c r="A27320" s="118"/>
      <c r="B27320" s="136"/>
    </row>
    <row r="27321" spans="1:2" x14ac:dyDescent="0.25">
      <c r="A27321" s="118"/>
      <c r="B27321" s="136"/>
    </row>
    <row r="27322" spans="1:2" x14ac:dyDescent="0.25">
      <c r="A27322" s="118"/>
      <c r="B27322" s="136"/>
    </row>
    <row r="27323" spans="1:2" x14ac:dyDescent="0.25">
      <c r="A27323" s="118"/>
      <c r="B27323" s="136"/>
    </row>
    <row r="27324" spans="1:2" x14ac:dyDescent="0.25">
      <c r="A27324" s="118"/>
      <c r="B27324" s="136"/>
    </row>
    <row r="27325" spans="1:2" x14ac:dyDescent="0.25">
      <c r="A27325" s="118"/>
      <c r="B27325" s="136"/>
    </row>
    <row r="27326" spans="1:2" x14ac:dyDescent="0.25">
      <c r="A27326" s="118"/>
      <c r="B27326" s="136"/>
    </row>
    <row r="27327" spans="1:2" x14ac:dyDescent="0.25">
      <c r="A27327" s="118"/>
      <c r="B27327" s="136"/>
    </row>
    <row r="27328" spans="1:2" x14ac:dyDescent="0.25">
      <c r="A27328" s="118"/>
      <c r="B27328" s="136"/>
    </row>
    <row r="27329" spans="1:2" x14ac:dyDescent="0.25">
      <c r="A27329" s="118"/>
      <c r="B27329" s="136"/>
    </row>
    <row r="27330" spans="1:2" x14ac:dyDescent="0.25">
      <c r="A27330" s="118"/>
      <c r="B27330" s="136"/>
    </row>
    <row r="27331" spans="1:2" x14ac:dyDescent="0.25">
      <c r="A27331" s="118"/>
      <c r="B27331" s="136"/>
    </row>
    <row r="27332" spans="1:2" x14ac:dyDescent="0.25">
      <c r="A27332" s="118"/>
      <c r="B27332" s="136"/>
    </row>
    <row r="27333" spans="1:2" x14ac:dyDescent="0.25">
      <c r="A27333" s="118"/>
      <c r="B27333" s="136"/>
    </row>
    <row r="27334" spans="1:2" x14ac:dyDescent="0.25">
      <c r="A27334" s="118"/>
      <c r="B27334" s="136"/>
    </row>
    <row r="27335" spans="1:2" x14ac:dyDescent="0.25">
      <c r="A27335" s="118"/>
      <c r="B27335" s="136"/>
    </row>
    <row r="27336" spans="1:2" x14ac:dyDescent="0.25">
      <c r="A27336" s="118"/>
      <c r="B27336" s="136"/>
    </row>
    <row r="27337" spans="1:2" x14ac:dyDescent="0.25">
      <c r="A27337" s="118"/>
      <c r="B27337" s="136"/>
    </row>
    <row r="27338" spans="1:2" x14ac:dyDescent="0.25">
      <c r="A27338" s="118"/>
      <c r="B27338" s="136"/>
    </row>
    <row r="27339" spans="1:2" x14ac:dyDescent="0.25">
      <c r="A27339" s="118"/>
      <c r="B27339" s="136"/>
    </row>
    <row r="27340" spans="1:2" x14ac:dyDescent="0.25">
      <c r="A27340" s="118"/>
      <c r="B27340" s="136"/>
    </row>
    <row r="27341" spans="1:2" x14ac:dyDescent="0.25">
      <c r="A27341" s="118"/>
      <c r="B27341" s="136"/>
    </row>
    <row r="27342" spans="1:2" x14ac:dyDescent="0.25">
      <c r="A27342" s="118"/>
      <c r="B27342" s="136"/>
    </row>
    <row r="27343" spans="1:2" x14ac:dyDescent="0.25">
      <c r="A27343" s="118"/>
      <c r="B27343" s="136"/>
    </row>
    <row r="27344" spans="1:2" x14ac:dyDescent="0.25">
      <c r="A27344" s="118"/>
      <c r="B27344" s="136"/>
    </row>
    <row r="27345" spans="1:2" x14ac:dyDescent="0.25">
      <c r="A27345" s="118"/>
      <c r="B27345" s="136"/>
    </row>
    <row r="27346" spans="1:2" x14ac:dyDescent="0.25">
      <c r="A27346" s="118"/>
      <c r="B27346" s="136"/>
    </row>
    <row r="27347" spans="1:2" x14ac:dyDescent="0.25">
      <c r="A27347" s="118"/>
      <c r="B27347" s="136"/>
    </row>
    <row r="27348" spans="1:2" x14ac:dyDescent="0.25">
      <c r="A27348" s="118"/>
      <c r="B27348" s="136"/>
    </row>
    <row r="27349" spans="1:2" x14ac:dyDescent="0.25">
      <c r="A27349" s="118"/>
      <c r="B27349" s="136"/>
    </row>
    <row r="27350" spans="1:2" x14ac:dyDescent="0.25">
      <c r="A27350" s="118"/>
      <c r="B27350" s="136"/>
    </row>
    <row r="27351" spans="1:2" x14ac:dyDescent="0.25">
      <c r="A27351" s="118"/>
      <c r="B27351" s="136"/>
    </row>
    <row r="27352" spans="1:2" x14ac:dyDescent="0.25">
      <c r="A27352" s="118"/>
      <c r="B27352" s="136"/>
    </row>
    <row r="27353" spans="1:2" x14ac:dyDescent="0.25">
      <c r="A27353" s="118"/>
      <c r="B27353" s="136"/>
    </row>
    <row r="27354" spans="1:2" x14ac:dyDescent="0.25">
      <c r="A27354" s="118"/>
      <c r="B27354" s="136"/>
    </row>
    <row r="27355" spans="1:2" x14ac:dyDescent="0.25">
      <c r="A27355" s="118"/>
      <c r="B27355" s="136"/>
    </row>
    <row r="27356" spans="1:2" x14ac:dyDescent="0.25">
      <c r="A27356" s="118"/>
      <c r="B27356" s="136"/>
    </row>
    <row r="27357" spans="1:2" x14ac:dyDescent="0.25">
      <c r="A27357" s="118"/>
      <c r="B27357" s="136"/>
    </row>
    <row r="27358" spans="1:2" x14ac:dyDescent="0.25">
      <c r="A27358" s="118"/>
      <c r="B27358" s="136"/>
    </row>
    <row r="27359" spans="1:2" x14ac:dyDescent="0.25">
      <c r="A27359" s="118"/>
      <c r="B27359" s="136"/>
    </row>
    <row r="27360" spans="1:2" x14ac:dyDescent="0.25">
      <c r="A27360" s="118"/>
      <c r="B27360" s="136"/>
    </row>
    <row r="27361" spans="1:2" x14ac:dyDescent="0.25">
      <c r="A27361" s="118"/>
      <c r="B27361" s="136"/>
    </row>
    <row r="27362" spans="1:2" x14ac:dyDescent="0.25">
      <c r="A27362" s="118"/>
      <c r="B27362" s="136"/>
    </row>
    <row r="27363" spans="1:2" x14ac:dyDescent="0.25">
      <c r="A27363" s="118"/>
      <c r="B27363" s="136"/>
    </row>
    <row r="27364" spans="1:2" x14ac:dyDescent="0.25">
      <c r="A27364" s="118"/>
      <c r="B27364" s="136"/>
    </row>
    <row r="27365" spans="1:2" x14ac:dyDescent="0.25">
      <c r="A27365" s="118"/>
      <c r="B27365" s="136"/>
    </row>
    <row r="27366" spans="1:2" x14ac:dyDescent="0.25">
      <c r="A27366" s="118"/>
      <c r="B27366" s="136"/>
    </row>
    <row r="27367" spans="1:2" x14ac:dyDescent="0.25">
      <c r="A27367" s="118"/>
      <c r="B27367" s="136"/>
    </row>
    <row r="27368" spans="1:2" x14ac:dyDescent="0.25">
      <c r="A27368" s="118"/>
      <c r="B27368" s="136"/>
    </row>
    <row r="27369" spans="1:2" x14ac:dyDescent="0.25">
      <c r="A27369" s="118"/>
      <c r="B27369" s="136"/>
    </row>
    <row r="27370" spans="1:2" x14ac:dyDescent="0.25">
      <c r="A27370" s="118"/>
      <c r="B27370" s="136"/>
    </row>
    <row r="27371" spans="1:2" x14ac:dyDescent="0.25">
      <c r="A27371" s="118"/>
      <c r="B27371" s="136"/>
    </row>
    <row r="27372" spans="1:2" x14ac:dyDescent="0.25">
      <c r="A27372" s="118"/>
      <c r="B27372" s="136"/>
    </row>
    <row r="27373" spans="1:2" x14ac:dyDescent="0.25">
      <c r="A27373" s="118"/>
      <c r="B27373" s="136"/>
    </row>
    <row r="27374" spans="1:2" x14ac:dyDescent="0.25">
      <c r="A27374" s="118"/>
      <c r="B27374" s="136"/>
    </row>
    <row r="27375" spans="1:2" x14ac:dyDescent="0.25">
      <c r="A27375" s="118"/>
      <c r="B27375" s="136"/>
    </row>
    <row r="27376" spans="1:2" x14ac:dyDescent="0.25">
      <c r="A27376" s="118"/>
      <c r="B27376" s="136"/>
    </row>
    <row r="27377" spans="1:2" x14ac:dyDescent="0.25">
      <c r="A27377" s="118"/>
      <c r="B27377" s="136"/>
    </row>
    <row r="27378" spans="1:2" x14ac:dyDescent="0.25">
      <c r="A27378" s="118"/>
      <c r="B27378" s="136"/>
    </row>
    <row r="27379" spans="1:2" x14ac:dyDescent="0.25">
      <c r="A27379" s="118"/>
      <c r="B27379" s="136"/>
    </row>
    <row r="27380" spans="1:2" x14ac:dyDescent="0.25">
      <c r="A27380" s="118"/>
      <c r="B27380" s="136"/>
    </row>
    <row r="27381" spans="1:2" x14ac:dyDescent="0.25">
      <c r="A27381" s="118"/>
      <c r="B27381" s="136"/>
    </row>
    <row r="27382" spans="1:2" x14ac:dyDescent="0.25">
      <c r="A27382" s="118"/>
      <c r="B27382" s="136"/>
    </row>
    <row r="27383" spans="1:2" x14ac:dyDescent="0.25">
      <c r="A27383" s="118"/>
      <c r="B27383" s="136"/>
    </row>
    <row r="27384" spans="1:2" x14ac:dyDescent="0.25">
      <c r="A27384" s="118"/>
      <c r="B27384" s="136"/>
    </row>
    <row r="27385" spans="1:2" x14ac:dyDescent="0.25">
      <c r="A27385" s="118"/>
      <c r="B27385" s="136"/>
    </row>
    <row r="27386" spans="1:2" x14ac:dyDescent="0.25">
      <c r="A27386" s="118"/>
      <c r="B27386" s="136"/>
    </row>
    <row r="27387" spans="1:2" x14ac:dyDescent="0.25">
      <c r="A27387" s="118"/>
      <c r="B27387" s="136"/>
    </row>
    <row r="27388" spans="1:2" x14ac:dyDescent="0.25">
      <c r="A27388" s="118"/>
      <c r="B27388" s="136"/>
    </row>
    <row r="27389" spans="1:2" x14ac:dyDescent="0.25">
      <c r="A27389" s="118"/>
      <c r="B27389" s="136"/>
    </row>
    <row r="27390" spans="1:2" x14ac:dyDescent="0.25">
      <c r="A27390" s="118"/>
      <c r="B27390" s="136"/>
    </row>
    <row r="27391" spans="1:2" x14ac:dyDescent="0.25">
      <c r="A27391" s="118"/>
      <c r="B27391" s="136"/>
    </row>
    <row r="27392" spans="1:2" x14ac:dyDescent="0.25">
      <c r="A27392" s="118"/>
      <c r="B27392" s="136"/>
    </row>
    <row r="27393" spans="1:2" x14ac:dyDescent="0.25">
      <c r="A27393" s="118"/>
      <c r="B27393" s="136"/>
    </row>
    <row r="27394" spans="1:2" x14ac:dyDescent="0.25">
      <c r="A27394" s="118"/>
      <c r="B27394" s="136"/>
    </row>
    <row r="27395" spans="1:2" x14ac:dyDescent="0.25">
      <c r="A27395" s="118"/>
      <c r="B27395" s="136"/>
    </row>
    <row r="27396" spans="1:2" x14ac:dyDescent="0.25">
      <c r="A27396" s="118"/>
      <c r="B27396" s="136"/>
    </row>
    <row r="27397" spans="1:2" x14ac:dyDescent="0.25">
      <c r="A27397" s="118"/>
      <c r="B27397" s="136"/>
    </row>
    <row r="27398" spans="1:2" x14ac:dyDescent="0.25">
      <c r="A27398" s="118"/>
      <c r="B27398" s="136"/>
    </row>
    <row r="27399" spans="1:2" x14ac:dyDescent="0.25">
      <c r="A27399" s="118"/>
      <c r="B27399" s="136"/>
    </row>
    <row r="27400" spans="1:2" x14ac:dyDescent="0.25">
      <c r="A27400" s="118"/>
      <c r="B27400" s="136"/>
    </row>
    <row r="27401" spans="1:2" x14ac:dyDescent="0.25">
      <c r="A27401" s="118"/>
      <c r="B27401" s="136"/>
    </row>
    <row r="27402" spans="1:2" x14ac:dyDescent="0.25">
      <c r="A27402" s="118"/>
      <c r="B27402" s="136"/>
    </row>
    <row r="27403" spans="1:2" x14ac:dyDescent="0.25">
      <c r="A27403" s="118"/>
      <c r="B27403" s="136"/>
    </row>
    <row r="27404" spans="1:2" x14ac:dyDescent="0.25">
      <c r="A27404" s="118"/>
      <c r="B27404" s="136"/>
    </row>
    <row r="27405" spans="1:2" x14ac:dyDescent="0.25">
      <c r="A27405" s="118"/>
      <c r="B27405" s="136"/>
    </row>
    <row r="27406" spans="1:2" x14ac:dyDescent="0.25">
      <c r="A27406" s="118"/>
      <c r="B27406" s="136"/>
    </row>
    <row r="27407" spans="1:2" x14ac:dyDescent="0.25">
      <c r="A27407" s="118"/>
      <c r="B27407" s="136"/>
    </row>
    <row r="27408" spans="1:2" x14ac:dyDescent="0.25">
      <c r="A27408" s="118"/>
      <c r="B27408" s="136"/>
    </row>
    <row r="27409" spans="1:2" x14ac:dyDescent="0.25">
      <c r="A27409" s="118"/>
      <c r="B27409" s="136"/>
    </row>
    <row r="27410" spans="1:2" x14ac:dyDescent="0.25">
      <c r="A27410" s="118"/>
      <c r="B27410" s="136"/>
    </row>
    <row r="27411" spans="1:2" x14ac:dyDescent="0.25">
      <c r="A27411" s="118"/>
      <c r="B27411" s="136"/>
    </row>
    <row r="27412" spans="1:2" x14ac:dyDescent="0.25">
      <c r="A27412" s="118"/>
      <c r="B27412" s="136"/>
    </row>
    <row r="27413" spans="1:2" x14ac:dyDescent="0.25">
      <c r="A27413" s="118"/>
      <c r="B27413" s="136"/>
    </row>
    <row r="27414" spans="1:2" x14ac:dyDescent="0.25">
      <c r="A27414" s="118"/>
      <c r="B27414" s="136"/>
    </row>
    <row r="27415" spans="1:2" x14ac:dyDescent="0.25">
      <c r="A27415" s="118"/>
      <c r="B27415" s="136"/>
    </row>
    <row r="27416" spans="1:2" x14ac:dyDescent="0.25">
      <c r="A27416" s="118"/>
      <c r="B27416" s="136"/>
    </row>
    <row r="27417" spans="1:2" x14ac:dyDescent="0.25">
      <c r="A27417" s="118"/>
      <c r="B27417" s="136"/>
    </row>
    <row r="27418" spans="1:2" x14ac:dyDescent="0.25">
      <c r="A27418" s="118"/>
      <c r="B27418" s="136"/>
    </row>
    <row r="27419" spans="1:2" x14ac:dyDescent="0.25">
      <c r="A27419" s="118"/>
      <c r="B27419" s="136"/>
    </row>
    <row r="27420" spans="1:2" x14ac:dyDescent="0.25">
      <c r="A27420" s="118"/>
      <c r="B27420" s="136"/>
    </row>
    <row r="27421" spans="1:2" x14ac:dyDescent="0.25">
      <c r="A27421" s="118"/>
      <c r="B27421" s="136"/>
    </row>
    <row r="27422" spans="1:2" x14ac:dyDescent="0.25">
      <c r="A27422" s="118"/>
      <c r="B27422" s="136"/>
    </row>
    <row r="27423" spans="1:2" x14ac:dyDescent="0.25">
      <c r="A27423" s="118"/>
      <c r="B27423" s="136"/>
    </row>
    <row r="27424" spans="1:2" x14ac:dyDescent="0.25">
      <c r="A27424" s="118"/>
      <c r="B27424" s="136"/>
    </row>
    <row r="27425" spans="1:2" x14ac:dyDescent="0.25">
      <c r="A27425" s="118"/>
      <c r="B27425" s="136"/>
    </row>
    <row r="27426" spans="1:2" x14ac:dyDescent="0.25">
      <c r="A27426" s="118"/>
      <c r="B27426" s="136"/>
    </row>
    <row r="27427" spans="1:2" x14ac:dyDescent="0.25">
      <c r="A27427" s="118"/>
      <c r="B27427" s="136"/>
    </row>
    <row r="27428" spans="1:2" x14ac:dyDescent="0.25">
      <c r="A27428" s="118"/>
      <c r="B27428" s="136"/>
    </row>
    <row r="27429" spans="1:2" x14ac:dyDescent="0.25">
      <c r="A27429" s="118"/>
      <c r="B27429" s="136"/>
    </row>
    <row r="27430" spans="1:2" x14ac:dyDescent="0.25">
      <c r="A27430" s="118"/>
      <c r="B27430" s="136"/>
    </row>
    <row r="27431" spans="1:2" x14ac:dyDescent="0.25">
      <c r="A27431" s="118"/>
      <c r="B27431" s="136"/>
    </row>
    <row r="27432" spans="1:2" x14ac:dyDescent="0.25">
      <c r="A27432" s="118"/>
      <c r="B27432" s="136"/>
    </row>
    <row r="27433" spans="1:2" x14ac:dyDescent="0.25">
      <c r="A27433" s="118"/>
      <c r="B27433" s="136"/>
    </row>
    <row r="27434" spans="1:2" x14ac:dyDescent="0.25">
      <c r="A27434" s="118"/>
      <c r="B27434" s="136"/>
    </row>
    <row r="27435" spans="1:2" x14ac:dyDescent="0.25">
      <c r="A27435" s="118"/>
      <c r="B27435" s="136"/>
    </row>
    <row r="27436" spans="1:2" x14ac:dyDescent="0.25">
      <c r="A27436" s="118"/>
      <c r="B27436" s="136"/>
    </row>
    <row r="27437" spans="1:2" x14ac:dyDescent="0.25">
      <c r="A27437" s="118"/>
      <c r="B27437" s="136"/>
    </row>
    <row r="27438" spans="1:2" x14ac:dyDescent="0.25">
      <c r="A27438" s="118"/>
      <c r="B27438" s="136"/>
    </row>
    <row r="27439" spans="1:2" x14ac:dyDescent="0.25">
      <c r="A27439" s="118"/>
      <c r="B27439" s="136"/>
    </row>
    <row r="27440" spans="1:2" x14ac:dyDescent="0.25">
      <c r="A27440" s="118"/>
      <c r="B27440" s="136"/>
    </row>
    <row r="27441" spans="1:2" x14ac:dyDescent="0.25">
      <c r="A27441" s="118"/>
      <c r="B27441" s="136"/>
    </row>
    <row r="27442" spans="1:2" x14ac:dyDescent="0.25">
      <c r="A27442" s="118"/>
      <c r="B27442" s="136"/>
    </row>
    <row r="27443" spans="1:2" x14ac:dyDescent="0.25">
      <c r="A27443" s="118"/>
      <c r="B27443" s="136"/>
    </row>
    <row r="27444" spans="1:2" x14ac:dyDescent="0.25">
      <c r="A27444" s="118"/>
      <c r="B27444" s="136"/>
    </row>
    <row r="27445" spans="1:2" x14ac:dyDescent="0.25">
      <c r="A27445" s="118"/>
      <c r="B27445" s="136"/>
    </row>
    <row r="27446" spans="1:2" x14ac:dyDescent="0.25">
      <c r="A27446" s="118"/>
      <c r="B27446" s="136"/>
    </row>
    <row r="27447" spans="1:2" x14ac:dyDescent="0.25">
      <c r="A27447" s="118"/>
      <c r="B27447" s="136"/>
    </row>
    <row r="27448" spans="1:2" x14ac:dyDescent="0.25">
      <c r="A27448" s="118"/>
      <c r="B27448" s="136"/>
    </row>
    <row r="27449" spans="1:2" x14ac:dyDescent="0.25">
      <c r="A27449" s="118"/>
      <c r="B27449" s="136"/>
    </row>
    <row r="27450" spans="1:2" x14ac:dyDescent="0.25">
      <c r="A27450" s="118"/>
      <c r="B27450" s="136"/>
    </row>
    <row r="27451" spans="1:2" x14ac:dyDescent="0.25">
      <c r="A27451" s="118"/>
      <c r="B27451" s="136"/>
    </row>
    <row r="27452" spans="1:2" x14ac:dyDescent="0.25">
      <c r="A27452" s="118"/>
      <c r="B27452" s="136"/>
    </row>
    <row r="27453" spans="1:2" x14ac:dyDescent="0.25">
      <c r="A27453" s="118"/>
      <c r="B27453" s="136"/>
    </row>
    <row r="27454" spans="1:2" x14ac:dyDescent="0.25">
      <c r="A27454" s="118"/>
      <c r="B27454" s="136"/>
    </row>
    <row r="27455" spans="1:2" x14ac:dyDescent="0.25">
      <c r="A27455" s="118"/>
      <c r="B27455" s="136"/>
    </row>
    <row r="27456" spans="1:2" x14ac:dyDescent="0.25">
      <c r="A27456" s="118"/>
      <c r="B27456" s="136"/>
    </row>
    <row r="27457" spans="1:2" x14ac:dyDescent="0.25">
      <c r="A27457" s="118"/>
      <c r="B27457" s="136"/>
    </row>
    <row r="27458" spans="1:2" x14ac:dyDescent="0.25">
      <c r="A27458" s="118"/>
      <c r="B27458" s="136"/>
    </row>
    <row r="27459" spans="1:2" x14ac:dyDescent="0.25">
      <c r="A27459" s="118"/>
      <c r="B27459" s="136"/>
    </row>
    <row r="27460" spans="1:2" x14ac:dyDescent="0.25">
      <c r="A27460" s="118"/>
      <c r="B27460" s="136"/>
    </row>
    <row r="27461" spans="1:2" x14ac:dyDescent="0.25">
      <c r="A27461" s="118"/>
      <c r="B27461" s="136"/>
    </row>
    <row r="27462" spans="1:2" x14ac:dyDescent="0.25">
      <c r="A27462" s="118"/>
      <c r="B27462" s="136"/>
    </row>
    <row r="27463" spans="1:2" x14ac:dyDescent="0.25">
      <c r="A27463" s="118"/>
      <c r="B27463" s="136"/>
    </row>
    <row r="27464" spans="1:2" x14ac:dyDescent="0.25">
      <c r="A27464" s="118"/>
      <c r="B27464" s="136"/>
    </row>
    <row r="27465" spans="1:2" x14ac:dyDescent="0.25">
      <c r="A27465" s="118"/>
      <c r="B27465" s="136"/>
    </row>
    <row r="27466" spans="1:2" x14ac:dyDescent="0.25">
      <c r="A27466" s="118"/>
      <c r="B27466" s="136"/>
    </row>
    <row r="27467" spans="1:2" x14ac:dyDescent="0.25">
      <c r="A27467" s="118"/>
      <c r="B27467" s="136"/>
    </row>
    <row r="27468" spans="1:2" x14ac:dyDescent="0.25">
      <c r="A27468" s="118"/>
      <c r="B27468" s="136"/>
    </row>
    <row r="27469" spans="1:2" x14ac:dyDescent="0.25">
      <c r="A27469" s="118"/>
      <c r="B27469" s="136"/>
    </row>
    <row r="27470" spans="1:2" x14ac:dyDescent="0.25">
      <c r="A27470" s="118"/>
      <c r="B27470" s="136"/>
    </row>
    <row r="27471" spans="1:2" x14ac:dyDescent="0.25">
      <c r="A27471" s="118"/>
      <c r="B27471" s="136"/>
    </row>
    <row r="27472" spans="1:2" x14ac:dyDescent="0.25">
      <c r="A27472" s="118"/>
      <c r="B27472" s="136"/>
    </row>
    <row r="27473" spans="1:2" x14ac:dyDescent="0.25">
      <c r="A27473" s="118"/>
      <c r="B27473" s="136"/>
    </row>
    <row r="27474" spans="1:2" x14ac:dyDescent="0.25">
      <c r="A27474" s="118"/>
      <c r="B27474" s="136"/>
    </row>
    <row r="27475" spans="1:2" x14ac:dyDescent="0.25">
      <c r="A27475" s="118"/>
      <c r="B27475" s="136"/>
    </row>
    <row r="27476" spans="1:2" x14ac:dyDescent="0.25">
      <c r="A27476" s="118"/>
      <c r="B27476" s="136"/>
    </row>
    <row r="27477" spans="1:2" x14ac:dyDescent="0.25">
      <c r="A27477" s="118"/>
      <c r="B27477" s="136"/>
    </row>
    <row r="27478" spans="1:2" x14ac:dyDescent="0.25">
      <c r="A27478" s="118"/>
      <c r="B27478" s="136"/>
    </row>
    <row r="27479" spans="1:2" x14ac:dyDescent="0.25">
      <c r="A27479" s="118"/>
      <c r="B27479" s="136"/>
    </row>
    <row r="27480" spans="1:2" x14ac:dyDescent="0.25">
      <c r="A27480" s="118"/>
      <c r="B27480" s="136"/>
    </row>
    <row r="27481" spans="1:2" x14ac:dyDescent="0.25">
      <c r="A27481" s="118"/>
      <c r="B27481" s="136"/>
    </row>
    <row r="27482" spans="1:2" x14ac:dyDescent="0.25">
      <c r="A27482" s="118"/>
      <c r="B27482" s="136"/>
    </row>
    <row r="27483" spans="1:2" x14ac:dyDescent="0.25">
      <c r="A27483" s="118"/>
      <c r="B27483" s="136"/>
    </row>
    <row r="27484" spans="1:2" x14ac:dyDescent="0.25">
      <c r="A27484" s="118"/>
      <c r="B27484" s="136"/>
    </row>
    <row r="27485" spans="1:2" x14ac:dyDescent="0.25">
      <c r="A27485" s="118"/>
      <c r="B27485" s="136"/>
    </row>
    <row r="27486" spans="1:2" x14ac:dyDescent="0.25">
      <c r="A27486" s="118"/>
      <c r="B27486" s="136"/>
    </row>
    <row r="27487" spans="1:2" x14ac:dyDescent="0.25">
      <c r="A27487" s="118"/>
      <c r="B27487" s="136"/>
    </row>
    <row r="27488" spans="1:2" x14ac:dyDescent="0.25">
      <c r="A27488" s="118"/>
      <c r="B27488" s="136"/>
    </row>
    <row r="27489" spans="1:2" x14ac:dyDescent="0.25">
      <c r="A27489" s="118"/>
      <c r="B27489" s="136"/>
    </row>
    <row r="27490" spans="1:2" x14ac:dyDescent="0.25">
      <c r="A27490" s="118"/>
      <c r="B27490" s="136"/>
    </row>
    <row r="27491" spans="1:2" x14ac:dyDescent="0.25">
      <c r="A27491" s="118"/>
      <c r="B27491" s="136"/>
    </row>
    <row r="27492" spans="1:2" x14ac:dyDescent="0.25">
      <c r="A27492" s="118"/>
      <c r="B27492" s="136"/>
    </row>
    <row r="27493" spans="1:2" x14ac:dyDescent="0.25">
      <c r="A27493" s="118"/>
      <c r="B27493" s="136"/>
    </row>
    <row r="27494" spans="1:2" x14ac:dyDescent="0.25">
      <c r="A27494" s="118"/>
      <c r="B27494" s="136"/>
    </row>
    <row r="27495" spans="1:2" x14ac:dyDescent="0.25">
      <c r="A27495" s="118"/>
      <c r="B27495" s="136"/>
    </row>
    <row r="27496" spans="1:2" x14ac:dyDescent="0.25">
      <c r="A27496" s="118"/>
      <c r="B27496" s="136"/>
    </row>
    <row r="27497" spans="1:2" x14ac:dyDescent="0.25">
      <c r="A27497" s="118"/>
      <c r="B27497" s="136"/>
    </row>
    <row r="27498" spans="1:2" x14ac:dyDescent="0.25">
      <c r="A27498" s="118"/>
      <c r="B27498" s="136"/>
    </row>
    <row r="27499" spans="1:2" x14ac:dyDescent="0.25">
      <c r="A27499" s="118"/>
      <c r="B27499" s="136"/>
    </row>
    <row r="27500" spans="1:2" x14ac:dyDescent="0.25">
      <c r="A27500" s="118"/>
      <c r="B27500" s="136"/>
    </row>
    <row r="27501" spans="1:2" x14ac:dyDescent="0.25">
      <c r="A27501" s="118"/>
      <c r="B27501" s="136"/>
    </row>
    <row r="27502" spans="1:2" x14ac:dyDescent="0.25">
      <c r="A27502" s="118"/>
      <c r="B27502" s="136"/>
    </row>
    <row r="27503" spans="1:2" x14ac:dyDescent="0.25">
      <c r="A27503" s="118"/>
      <c r="B27503" s="136"/>
    </row>
    <row r="27504" spans="1:2" x14ac:dyDescent="0.25">
      <c r="A27504" s="118"/>
      <c r="B27504" s="136"/>
    </row>
    <row r="27505" spans="1:2" x14ac:dyDescent="0.25">
      <c r="A27505" s="118"/>
      <c r="B27505" s="136"/>
    </row>
    <row r="27506" spans="1:2" x14ac:dyDescent="0.25">
      <c r="A27506" s="118"/>
      <c r="B27506" s="136"/>
    </row>
    <row r="27507" spans="1:2" x14ac:dyDescent="0.25">
      <c r="A27507" s="118"/>
      <c r="B27507" s="136"/>
    </row>
    <row r="27508" spans="1:2" x14ac:dyDescent="0.25">
      <c r="A27508" s="118"/>
      <c r="B27508" s="136"/>
    </row>
    <row r="27509" spans="1:2" x14ac:dyDescent="0.25">
      <c r="A27509" s="118"/>
      <c r="B27509" s="136"/>
    </row>
    <row r="27510" spans="1:2" x14ac:dyDescent="0.25">
      <c r="A27510" s="118"/>
      <c r="B27510" s="136"/>
    </row>
    <row r="27511" spans="1:2" x14ac:dyDescent="0.25">
      <c r="A27511" s="118"/>
      <c r="B27511" s="136"/>
    </row>
    <row r="27512" spans="1:2" x14ac:dyDescent="0.25">
      <c r="A27512" s="118"/>
      <c r="B27512" s="136"/>
    </row>
    <row r="27513" spans="1:2" x14ac:dyDescent="0.25">
      <c r="A27513" s="118"/>
      <c r="B27513" s="136"/>
    </row>
    <row r="27514" spans="1:2" x14ac:dyDescent="0.25">
      <c r="A27514" s="118"/>
      <c r="B27514" s="136"/>
    </row>
    <row r="27515" spans="1:2" x14ac:dyDescent="0.25">
      <c r="A27515" s="118"/>
      <c r="B27515" s="136"/>
    </row>
    <row r="27516" spans="1:2" x14ac:dyDescent="0.25">
      <c r="A27516" s="118"/>
      <c r="B27516" s="136"/>
    </row>
    <row r="27517" spans="1:2" x14ac:dyDescent="0.25">
      <c r="A27517" s="118"/>
      <c r="B27517" s="136"/>
    </row>
    <row r="27518" spans="1:2" x14ac:dyDescent="0.25">
      <c r="A27518" s="118"/>
      <c r="B27518" s="136"/>
    </row>
    <row r="27519" spans="1:2" x14ac:dyDescent="0.25">
      <c r="A27519" s="118"/>
      <c r="B27519" s="136"/>
    </row>
    <row r="27520" spans="1:2" x14ac:dyDescent="0.25">
      <c r="A27520" s="118"/>
      <c r="B27520" s="136"/>
    </row>
    <row r="27521" spans="1:2" x14ac:dyDescent="0.25">
      <c r="A27521" s="118"/>
      <c r="B27521" s="136"/>
    </row>
    <row r="27522" spans="1:2" x14ac:dyDescent="0.25">
      <c r="A27522" s="118"/>
      <c r="B27522" s="136"/>
    </row>
    <row r="27523" spans="1:2" x14ac:dyDescent="0.25">
      <c r="A27523" s="118"/>
      <c r="B27523" s="136"/>
    </row>
    <row r="27524" spans="1:2" x14ac:dyDescent="0.25">
      <c r="A27524" s="118"/>
      <c r="B27524" s="136"/>
    </row>
    <row r="27525" spans="1:2" x14ac:dyDescent="0.25">
      <c r="A27525" s="118"/>
      <c r="B27525" s="136"/>
    </row>
    <row r="27526" spans="1:2" x14ac:dyDescent="0.25">
      <c r="A27526" s="118"/>
      <c r="B27526" s="136"/>
    </row>
    <row r="27527" spans="1:2" x14ac:dyDescent="0.25">
      <c r="A27527" s="118"/>
      <c r="B27527" s="136"/>
    </row>
    <row r="27528" spans="1:2" x14ac:dyDescent="0.25">
      <c r="A27528" s="118"/>
      <c r="B27528" s="136"/>
    </row>
    <row r="27529" spans="1:2" x14ac:dyDescent="0.25">
      <c r="A27529" s="118"/>
      <c r="B27529" s="136"/>
    </row>
    <row r="27530" spans="1:2" x14ac:dyDescent="0.25">
      <c r="A27530" s="118"/>
      <c r="B27530" s="136"/>
    </row>
    <row r="27531" spans="1:2" x14ac:dyDescent="0.25">
      <c r="A27531" s="118"/>
      <c r="B27531" s="136"/>
    </row>
    <row r="27532" spans="1:2" x14ac:dyDescent="0.25">
      <c r="A27532" s="118"/>
      <c r="B27532" s="136"/>
    </row>
    <row r="27533" spans="1:2" x14ac:dyDescent="0.25">
      <c r="A27533" s="118"/>
      <c r="B27533" s="136"/>
    </row>
    <row r="27534" spans="1:2" x14ac:dyDescent="0.25">
      <c r="A27534" s="118"/>
      <c r="B27534" s="136"/>
    </row>
    <row r="27535" spans="1:2" x14ac:dyDescent="0.25">
      <c r="A27535" s="118"/>
      <c r="B27535" s="136"/>
    </row>
    <row r="27536" spans="1:2" x14ac:dyDescent="0.25">
      <c r="A27536" s="118"/>
      <c r="B27536" s="136"/>
    </row>
    <row r="27537" spans="1:2" x14ac:dyDescent="0.25">
      <c r="A27537" s="118"/>
      <c r="B27537" s="136"/>
    </row>
    <row r="27538" spans="1:2" x14ac:dyDescent="0.25">
      <c r="A27538" s="118"/>
      <c r="B27538" s="136"/>
    </row>
    <row r="27539" spans="1:2" x14ac:dyDescent="0.25">
      <c r="A27539" s="118"/>
      <c r="B27539" s="136"/>
    </row>
    <row r="27540" spans="1:2" x14ac:dyDescent="0.25">
      <c r="A27540" s="118"/>
      <c r="B27540" s="136"/>
    </row>
    <row r="27541" spans="1:2" x14ac:dyDescent="0.25">
      <c r="A27541" s="118"/>
      <c r="B27541" s="136"/>
    </row>
    <row r="27542" spans="1:2" x14ac:dyDescent="0.25">
      <c r="A27542" s="118"/>
      <c r="B27542" s="136"/>
    </row>
    <row r="27543" spans="1:2" x14ac:dyDescent="0.25">
      <c r="A27543" s="118"/>
      <c r="B27543" s="136"/>
    </row>
    <row r="27544" spans="1:2" x14ac:dyDescent="0.25">
      <c r="A27544" s="118"/>
      <c r="B27544" s="136"/>
    </row>
    <row r="27545" spans="1:2" x14ac:dyDescent="0.25">
      <c r="A27545" s="118"/>
      <c r="B27545" s="136"/>
    </row>
    <row r="27546" spans="1:2" x14ac:dyDescent="0.25">
      <c r="A27546" s="118"/>
      <c r="B27546" s="136"/>
    </row>
    <row r="27547" spans="1:2" x14ac:dyDescent="0.25">
      <c r="A27547" s="118"/>
      <c r="B27547" s="136"/>
    </row>
    <row r="27548" spans="1:2" x14ac:dyDescent="0.25">
      <c r="A27548" s="118"/>
      <c r="B27548" s="136"/>
    </row>
    <row r="27549" spans="1:2" x14ac:dyDescent="0.25">
      <c r="A27549" s="118"/>
      <c r="B27549" s="136"/>
    </row>
    <row r="27550" spans="1:2" x14ac:dyDescent="0.25">
      <c r="A27550" s="118"/>
      <c r="B27550" s="136"/>
    </row>
    <row r="27551" spans="1:2" x14ac:dyDescent="0.25">
      <c r="A27551" s="118"/>
      <c r="B27551" s="136"/>
    </row>
    <row r="27552" spans="1:2" x14ac:dyDescent="0.25">
      <c r="A27552" s="118"/>
      <c r="B27552" s="136"/>
    </row>
    <row r="27553" spans="1:2" x14ac:dyDescent="0.25">
      <c r="A27553" s="118"/>
      <c r="B27553" s="136"/>
    </row>
    <row r="27554" spans="1:2" x14ac:dyDescent="0.25">
      <c r="A27554" s="118"/>
      <c r="B27554" s="136"/>
    </row>
    <row r="27555" spans="1:2" x14ac:dyDescent="0.25">
      <c r="A27555" s="118"/>
      <c r="B27555" s="136"/>
    </row>
    <row r="27556" spans="1:2" x14ac:dyDescent="0.25">
      <c r="A27556" s="118"/>
      <c r="B27556" s="136"/>
    </row>
    <row r="27557" spans="1:2" x14ac:dyDescent="0.25">
      <c r="A27557" s="118"/>
      <c r="B27557" s="136"/>
    </row>
    <row r="27558" spans="1:2" x14ac:dyDescent="0.25">
      <c r="A27558" s="118"/>
      <c r="B27558" s="136"/>
    </row>
    <row r="27559" spans="1:2" x14ac:dyDescent="0.25">
      <c r="A27559" s="118"/>
      <c r="B27559" s="136"/>
    </row>
    <row r="27560" spans="1:2" x14ac:dyDescent="0.25">
      <c r="A27560" s="118"/>
      <c r="B27560" s="136"/>
    </row>
    <row r="27561" spans="1:2" x14ac:dyDescent="0.25">
      <c r="A27561" s="118"/>
      <c r="B27561" s="136"/>
    </row>
    <row r="27562" spans="1:2" x14ac:dyDescent="0.25">
      <c r="A27562" s="118"/>
      <c r="B27562" s="136"/>
    </row>
    <row r="27563" spans="1:2" x14ac:dyDescent="0.25">
      <c r="A27563" s="118"/>
      <c r="B27563" s="136"/>
    </row>
    <row r="27564" spans="1:2" x14ac:dyDescent="0.25">
      <c r="A27564" s="118"/>
      <c r="B27564" s="136"/>
    </row>
    <row r="27565" spans="1:2" x14ac:dyDescent="0.25">
      <c r="A27565" s="118"/>
      <c r="B27565" s="136"/>
    </row>
    <row r="27566" spans="1:2" x14ac:dyDescent="0.25">
      <c r="A27566" s="118"/>
      <c r="B27566" s="136"/>
    </row>
    <row r="27567" spans="1:2" x14ac:dyDescent="0.25">
      <c r="A27567" s="118"/>
      <c r="B27567" s="136"/>
    </row>
    <row r="27568" spans="1:2" x14ac:dyDescent="0.25">
      <c r="A27568" s="118"/>
      <c r="B27568" s="136"/>
    </row>
    <row r="27569" spans="1:2" x14ac:dyDescent="0.25">
      <c r="A27569" s="118"/>
      <c r="B27569" s="136"/>
    </row>
    <row r="27570" spans="1:2" x14ac:dyDescent="0.25">
      <c r="A27570" s="118"/>
      <c r="B27570" s="136"/>
    </row>
    <row r="27571" spans="1:2" x14ac:dyDescent="0.25">
      <c r="A27571" s="118"/>
      <c r="B27571" s="136"/>
    </row>
    <row r="27572" spans="1:2" x14ac:dyDescent="0.25">
      <c r="A27572" s="118"/>
      <c r="B27572" s="136"/>
    </row>
    <row r="27573" spans="1:2" x14ac:dyDescent="0.25">
      <c r="A27573" s="118"/>
      <c r="B27573" s="136"/>
    </row>
    <row r="27574" spans="1:2" x14ac:dyDescent="0.25">
      <c r="A27574" s="118"/>
      <c r="B27574" s="136"/>
    </row>
    <row r="27575" spans="1:2" x14ac:dyDescent="0.25">
      <c r="A27575" s="118"/>
      <c r="B27575" s="136"/>
    </row>
    <row r="27576" spans="1:2" x14ac:dyDescent="0.25">
      <c r="A27576" s="118"/>
      <c r="B27576" s="136"/>
    </row>
    <row r="27577" spans="1:2" x14ac:dyDescent="0.25">
      <c r="A27577" s="118"/>
      <c r="B27577" s="136"/>
    </row>
    <row r="27578" spans="1:2" x14ac:dyDescent="0.25">
      <c r="A27578" s="118"/>
      <c r="B27578" s="136"/>
    </row>
    <row r="27579" spans="1:2" x14ac:dyDescent="0.25">
      <c r="A27579" s="118"/>
      <c r="B27579" s="136"/>
    </row>
    <row r="27580" spans="1:2" x14ac:dyDescent="0.25">
      <c r="A27580" s="118"/>
      <c r="B27580" s="136"/>
    </row>
    <row r="27581" spans="1:2" x14ac:dyDescent="0.25">
      <c r="A27581" s="118"/>
      <c r="B27581" s="136"/>
    </row>
    <row r="27582" spans="1:2" x14ac:dyDescent="0.25">
      <c r="A27582" s="118"/>
      <c r="B27582" s="136"/>
    </row>
    <row r="27583" spans="1:2" x14ac:dyDescent="0.25">
      <c r="A27583" s="118"/>
      <c r="B27583" s="136"/>
    </row>
    <row r="27584" spans="1:2" x14ac:dyDescent="0.25">
      <c r="A27584" s="118"/>
      <c r="B27584" s="136"/>
    </row>
    <row r="27585" spans="1:2" x14ac:dyDescent="0.25">
      <c r="A27585" s="118"/>
      <c r="B27585" s="136"/>
    </row>
    <row r="27586" spans="1:2" x14ac:dyDescent="0.25">
      <c r="A27586" s="118"/>
      <c r="B27586" s="136"/>
    </row>
    <row r="27587" spans="1:2" x14ac:dyDescent="0.25">
      <c r="A27587" s="118"/>
      <c r="B27587" s="136"/>
    </row>
    <row r="27588" spans="1:2" x14ac:dyDescent="0.25">
      <c r="A27588" s="118"/>
      <c r="B27588" s="136"/>
    </row>
    <row r="27589" spans="1:2" x14ac:dyDescent="0.25">
      <c r="A27589" s="118"/>
      <c r="B27589" s="136"/>
    </row>
    <row r="27590" spans="1:2" x14ac:dyDescent="0.25">
      <c r="A27590" s="118"/>
      <c r="B27590" s="136"/>
    </row>
    <row r="27591" spans="1:2" x14ac:dyDescent="0.25">
      <c r="A27591" s="118"/>
      <c r="B27591" s="136"/>
    </row>
    <row r="27592" spans="1:2" x14ac:dyDescent="0.25">
      <c r="A27592" s="118"/>
      <c r="B27592" s="136"/>
    </row>
    <row r="27593" spans="1:2" x14ac:dyDescent="0.25">
      <c r="A27593" s="118"/>
      <c r="B27593" s="136"/>
    </row>
    <row r="27594" spans="1:2" x14ac:dyDescent="0.25">
      <c r="A27594" s="118"/>
      <c r="B27594" s="136"/>
    </row>
    <row r="27595" spans="1:2" x14ac:dyDescent="0.25">
      <c r="A27595" s="118"/>
      <c r="B27595" s="136"/>
    </row>
    <row r="27596" spans="1:2" x14ac:dyDescent="0.25">
      <c r="A27596" s="118"/>
      <c r="B27596" s="136"/>
    </row>
    <row r="27597" spans="1:2" x14ac:dyDescent="0.25">
      <c r="A27597" s="118"/>
      <c r="B27597" s="136"/>
    </row>
    <row r="27598" spans="1:2" x14ac:dyDescent="0.25">
      <c r="A27598" s="118"/>
      <c r="B27598" s="136"/>
    </row>
    <row r="27599" spans="1:2" x14ac:dyDescent="0.25">
      <c r="A27599" s="118"/>
      <c r="B27599" s="136"/>
    </row>
    <row r="27600" spans="1:2" x14ac:dyDescent="0.25">
      <c r="A27600" s="118"/>
      <c r="B27600" s="136"/>
    </row>
    <row r="27601" spans="1:2" x14ac:dyDescent="0.25">
      <c r="A27601" s="118"/>
      <c r="B27601" s="136"/>
    </row>
    <row r="27602" spans="1:2" x14ac:dyDescent="0.25">
      <c r="A27602" s="118"/>
      <c r="B27602" s="136"/>
    </row>
    <row r="27603" spans="1:2" x14ac:dyDescent="0.25">
      <c r="A27603" s="118"/>
      <c r="B27603" s="136"/>
    </row>
    <row r="27604" spans="1:2" x14ac:dyDescent="0.25">
      <c r="A27604" s="118"/>
      <c r="B27604" s="136"/>
    </row>
    <row r="27605" spans="1:2" x14ac:dyDescent="0.25">
      <c r="A27605" s="118"/>
      <c r="B27605" s="136"/>
    </row>
    <row r="27606" spans="1:2" x14ac:dyDescent="0.25">
      <c r="A27606" s="118"/>
      <c r="B27606" s="136"/>
    </row>
    <row r="27607" spans="1:2" x14ac:dyDescent="0.25">
      <c r="A27607" s="118"/>
      <c r="B27607" s="136"/>
    </row>
    <row r="27608" spans="1:2" x14ac:dyDescent="0.25">
      <c r="A27608" s="118"/>
      <c r="B27608" s="136"/>
    </row>
    <row r="27609" spans="1:2" x14ac:dyDescent="0.25">
      <c r="A27609" s="118"/>
      <c r="B27609" s="136"/>
    </row>
    <row r="27610" spans="1:2" x14ac:dyDescent="0.25">
      <c r="A27610" s="118"/>
      <c r="B27610" s="136"/>
    </row>
    <row r="27611" spans="1:2" x14ac:dyDescent="0.25">
      <c r="A27611" s="118"/>
      <c r="B27611" s="136"/>
    </row>
    <row r="27612" spans="1:2" x14ac:dyDescent="0.25">
      <c r="A27612" s="118"/>
      <c r="B27612" s="136"/>
    </row>
    <row r="27613" spans="1:2" x14ac:dyDescent="0.25">
      <c r="A27613" s="118"/>
      <c r="B27613" s="136"/>
    </row>
    <row r="27614" spans="1:2" x14ac:dyDescent="0.25">
      <c r="A27614" s="118"/>
      <c r="B27614" s="136"/>
    </row>
    <row r="27615" spans="1:2" x14ac:dyDescent="0.25">
      <c r="A27615" s="118"/>
      <c r="B27615" s="136"/>
    </row>
    <row r="27616" spans="1:2" x14ac:dyDescent="0.25">
      <c r="A27616" s="118"/>
      <c r="B27616" s="136"/>
    </row>
    <row r="27617" spans="1:2" x14ac:dyDescent="0.25">
      <c r="A27617" s="118"/>
      <c r="B27617" s="136"/>
    </row>
    <row r="27618" spans="1:2" x14ac:dyDescent="0.25">
      <c r="A27618" s="118"/>
      <c r="B27618" s="136"/>
    </row>
    <row r="27619" spans="1:2" x14ac:dyDescent="0.25">
      <c r="A27619" s="118"/>
      <c r="B27619" s="136"/>
    </row>
    <row r="27620" spans="1:2" x14ac:dyDescent="0.25">
      <c r="A27620" s="118"/>
      <c r="B27620" s="136"/>
    </row>
    <row r="27621" spans="1:2" x14ac:dyDescent="0.25">
      <c r="A27621" s="118"/>
      <c r="B27621" s="136"/>
    </row>
    <row r="27622" spans="1:2" x14ac:dyDescent="0.25">
      <c r="A27622" s="118"/>
      <c r="B27622" s="136"/>
    </row>
    <row r="27623" spans="1:2" x14ac:dyDescent="0.25">
      <c r="A27623" s="118"/>
      <c r="B27623" s="136"/>
    </row>
    <row r="27624" spans="1:2" x14ac:dyDescent="0.25">
      <c r="A27624" s="118"/>
      <c r="B27624" s="136"/>
    </row>
    <row r="27625" spans="1:2" x14ac:dyDescent="0.25">
      <c r="A27625" s="118"/>
      <c r="B27625" s="136"/>
    </row>
    <row r="27626" spans="1:2" x14ac:dyDescent="0.25">
      <c r="A27626" s="118"/>
      <c r="B27626" s="136"/>
    </row>
    <row r="27627" spans="1:2" x14ac:dyDescent="0.25">
      <c r="A27627" s="118"/>
      <c r="B27627" s="136"/>
    </row>
    <row r="27628" spans="1:2" x14ac:dyDescent="0.25">
      <c r="A27628" s="118"/>
      <c r="B27628" s="136"/>
    </row>
    <row r="27629" spans="1:2" x14ac:dyDescent="0.25">
      <c r="A27629" s="118"/>
      <c r="B27629" s="136"/>
    </row>
    <row r="27630" spans="1:2" x14ac:dyDescent="0.25">
      <c r="A27630" s="118"/>
      <c r="B27630" s="136"/>
    </row>
    <row r="27631" spans="1:2" x14ac:dyDescent="0.25">
      <c r="A27631" s="118"/>
      <c r="B27631" s="136"/>
    </row>
    <row r="27632" spans="1:2" x14ac:dyDescent="0.25">
      <c r="A27632" s="118"/>
      <c r="B27632" s="136"/>
    </row>
    <row r="27633" spans="1:2" x14ac:dyDescent="0.25">
      <c r="A27633" s="118"/>
      <c r="B27633" s="136"/>
    </row>
    <row r="27634" spans="1:2" x14ac:dyDescent="0.25">
      <c r="A27634" s="118"/>
      <c r="B27634" s="136"/>
    </row>
    <row r="27635" spans="1:2" x14ac:dyDescent="0.25">
      <c r="A27635" s="118"/>
      <c r="B27635" s="136"/>
    </row>
    <row r="27636" spans="1:2" x14ac:dyDescent="0.25">
      <c r="A27636" s="118"/>
      <c r="B27636" s="136"/>
    </row>
    <row r="27637" spans="1:2" x14ac:dyDescent="0.25">
      <c r="A27637" s="118"/>
      <c r="B27637" s="136"/>
    </row>
    <row r="27638" spans="1:2" x14ac:dyDescent="0.25">
      <c r="A27638" s="118"/>
      <c r="B27638" s="136"/>
    </row>
    <row r="27639" spans="1:2" x14ac:dyDescent="0.25">
      <c r="A27639" s="118"/>
      <c r="B27639" s="136"/>
    </row>
    <row r="27640" spans="1:2" x14ac:dyDescent="0.25">
      <c r="A27640" s="118"/>
      <c r="B27640" s="136"/>
    </row>
    <row r="27641" spans="1:2" x14ac:dyDescent="0.25">
      <c r="A27641" s="118"/>
      <c r="B27641" s="136"/>
    </row>
    <row r="27642" spans="1:2" x14ac:dyDescent="0.25">
      <c r="A27642" s="118"/>
      <c r="B27642" s="136"/>
    </row>
    <row r="27643" spans="1:2" x14ac:dyDescent="0.25">
      <c r="A27643" s="118"/>
      <c r="B27643" s="136"/>
    </row>
    <row r="27644" spans="1:2" x14ac:dyDescent="0.25">
      <c r="A27644" s="118"/>
      <c r="B27644" s="136"/>
    </row>
    <row r="27645" spans="1:2" x14ac:dyDescent="0.25">
      <c r="A27645" s="118"/>
      <c r="B27645" s="136"/>
    </row>
    <row r="27646" spans="1:2" x14ac:dyDescent="0.25">
      <c r="A27646" s="118"/>
      <c r="B27646" s="136"/>
    </row>
    <row r="27647" spans="1:2" x14ac:dyDescent="0.25">
      <c r="A27647" s="118"/>
      <c r="B27647" s="136"/>
    </row>
    <row r="27648" spans="1:2" x14ac:dyDescent="0.25">
      <c r="A27648" s="118"/>
      <c r="B27648" s="136"/>
    </row>
    <row r="27649" spans="1:2" x14ac:dyDescent="0.25">
      <c r="A27649" s="118"/>
      <c r="B27649" s="136"/>
    </row>
    <row r="27650" spans="1:2" x14ac:dyDescent="0.25">
      <c r="A27650" s="118"/>
      <c r="B27650" s="136"/>
    </row>
    <row r="27651" spans="1:2" x14ac:dyDescent="0.25">
      <c r="A27651" s="118"/>
      <c r="B27651" s="136"/>
    </row>
    <row r="27652" spans="1:2" x14ac:dyDescent="0.25">
      <c r="A27652" s="118"/>
      <c r="B27652" s="136"/>
    </row>
    <row r="27653" spans="1:2" x14ac:dyDescent="0.25">
      <c r="A27653" s="118"/>
      <c r="B27653" s="136"/>
    </row>
    <row r="27654" spans="1:2" x14ac:dyDescent="0.25">
      <c r="A27654" s="118"/>
      <c r="B27654" s="136"/>
    </row>
    <row r="27655" spans="1:2" x14ac:dyDescent="0.25">
      <c r="A27655" s="118"/>
      <c r="B27655" s="136"/>
    </row>
    <row r="27656" spans="1:2" x14ac:dyDescent="0.25">
      <c r="A27656" s="118"/>
      <c r="B27656" s="136"/>
    </row>
    <row r="27657" spans="1:2" x14ac:dyDescent="0.25">
      <c r="A27657" s="118"/>
      <c r="B27657" s="136"/>
    </row>
    <row r="27658" spans="1:2" x14ac:dyDescent="0.25">
      <c r="A27658" s="118"/>
      <c r="B27658" s="136"/>
    </row>
    <row r="27659" spans="1:2" x14ac:dyDescent="0.25">
      <c r="A27659" s="118"/>
      <c r="B27659" s="136"/>
    </row>
    <row r="27660" spans="1:2" x14ac:dyDescent="0.25">
      <c r="A27660" s="118"/>
      <c r="B27660" s="136"/>
    </row>
    <row r="27661" spans="1:2" x14ac:dyDescent="0.25">
      <c r="A27661" s="118"/>
      <c r="B27661" s="136"/>
    </row>
    <row r="27662" spans="1:2" x14ac:dyDescent="0.25">
      <c r="A27662" s="118"/>
      <c r="B27662" s="136"/>
    </row>
    <row r="27663" spans="1:2" x14ac:dyDescent="0.25">
      <c r="A27663" s="118"/>
      <c r="B27663" s="136"/>
    </row>
    <row r="27664" spans="1:2" x14ac:dyDescent="0.25">
      <c r="A27664" s="118"/>
      <c r="B27664" s="136"/>
    </row>
    <row r="27665" spans="1:2" x14ac:dyDescent="0.25">
      <c r="A27665" s="118"/>
      <c r="B27665" s="136"/>
    </row>
    <row r="27666" spans="1:2" x14ac:dyDescent="0.25">
      <c r="A27666" s="118"/>
      <c r="B27666" s="136"/>
    </row>
    <row r="27667" spans="1:2" x14ac:dyDescent="0.25">
      <c r="A27667" s="118"/>
      <c r="B27667" s="136"/>
    </row>
    <row r="27668" spans="1:2" x14ac:dyDescent="0.25">
      <c r="A27668" s="118"/>
      <c r="B27668" s="136"/>
    </row>
    <row r="27669" spans="1:2" x14ac:dyDescent="0.25">
      <c r="A27669" s="118"/>
      <c r="B27669" s="136"/>
    </row>
    <row r="27670" spans="1:2" x14ac:dyDescent="0.25">
      <c r="A27670" s="118"/>
      <c r="B27670" s="136"/>
    </row>
    <row r="27671" spans="1:2" x14ac:dyDescent="0.25">
      <c r="A27671" s="118"/>
      <c r="B27671" s="136"/>
    </row>
    <row r="27672" spans="1:2" x14ac:dyDescent="0.25">
      <c r="A27672" s="118"/>
      <c r="B27672" s="136"/>
    </row>
    <row r="27673" spans="1:2" x14ac:dyDescent="0.25">
      <c r="A27673" s="118"/>
      <c r="B27673" s="136"/>
    </row>
    <row r="27674" spans="1:2" x14ac:dyDescent="0.25">
      <c r="A27674" s="118"/>
      <c r="B27674" s="136"/>
    </row>
    <row r="27675" spans="1:2" x14ac:dyDescent="0.25">
      <c r="A27675" s="118"/>
      <c r="B27675" s="136"/>
    </row>
    <row r="27676" spans="1:2" x14ac:dyDescent="0.25">
      <c r="A27676" s="118"/>
      <c r="B27676" s="136"/>
    </row>
    <row r="27677" spans="1:2" x14ac:dyDescent="0.25">
      <c r="A27677" s="118"/>
      <c r="B27677" s="136"/>
    </row>
    <row r="27678" spans="1:2" x14ac:dyDescent="0.25">
      <c r="A27678" s="118"/>
      <c r="B27678" s="136"/>
    </row>
    <row r="27679" spans="1:2" x14ac:dyDescent="0.25">
      <c r="A27679" s="118"/>
      <c r="B27679" s="136"/>
    </row>
    <row r="27680" spans="1:2" x14ac:dyDescent="0.25">
      <c r="A27680" s="118"/>
      <c r="B27680" s="136"/>
    </row>
    <row r="27681" spans="1:2" x14ac:dyDescent="0.25">
      <c r="A27681" s="118"/>
      <c r="B27681" s="136"/>
    </row>
    <row r="27682" spans="1:2" x14ac:dyDescent="0.25">
      <c r="A27682" s="118"/>
      <c r="B27682" s="136"/>
    </row>
    <row r="27683" spans="1:2" x14ac:dyDescent="0.25">
      <c r="A27683" s="118"/>
      <c r="B27683" s="136"/>
    </row>
    <row r="27684" spans="1:2" x14ac:dyDescent="0.25">
      <c r="A27684" s="118"/>
      <c r="B27684" s="136"/>
    </row>
    <row r="27685" spans="1:2" x14ac:dyDescent="0.25">
      <c r="A27685" s="118"/>
      <c r="B27685" s="136"/>
    </row>
    <row r="27686" spans="1:2" x14ac:dyDescent="0.25">
      <c r="A27686" s="118"/>
      <c r="B27686" s="136"/>
    </row>
    <row r="27687" spans="1:2" x14ac:dyDescent="0.25">
      <c r="A27687" s="118"/>
      <c r="B27687" s="136"/>
    </row>
    <row r="27688" spans="1:2" x14ac:dyDescent="0.25">
      <c r="A27688" s="118"/>
      <c r="B27688" s="136"/>
    </row>
    <row r="27689" spans="1:2" x14ac:dyDescent="0.25">
      <c r="A27689" s="118"/>
      <c r="B27689" s="136"/>
    </row>
    <row r="27690" spans="1:2" x14ac:dyDescent="0.25">
      <c r="A27690" s="118"/>
      <c r="B27690" s="136"/>
    </row>
    <row r="27691" spans="1:2" x14ac:dyDescent="0.25">
      <c r="A27691" s="118"/>
      <c r="B27691" s="136"/>
    </row>
    <row r="27692" spans="1:2" x14ac:dyDescent="0.25">
      <c r="A27692" s="118"/>
      <c r="B27692" s="136"/>
    </row>
    <row r="27693" spans="1:2" x14ac:dyDescent="0.25">
      <c r="A27693" s="118"/>
      <c r="B27693" s="136"/>
    </row>
    <row r="27694" spans="1:2" x14ac:dyDescent="0.25">
      <c r="A27694" s="118"/>
      <c r="B27694" s="136"/>
    </row>
    <row r="27695" spans="1:2" x14ac:dyDescent="0.25">
      <c r="A27695" s="118"/>
      <c r="B27695" s="136"/>
    </row>
    <row r="27696" spans="1:2" x14ac:dyDescent="0.25">
      <c r="A27696" s="118"/>
      <c r="B27696" s="136"/>
    </row>
    <row r="27697" spans="1:2" x14ac:dyDescent="0.25">
      <c r="A27697" s="118"/>
      <c r="B27697" s="136"/>
    </row>
    <row r="27698" spans="1:2" x14ac:dyDescent="0.25">
      <c r="A27698" s="118"/>
      <c r="B27698" s="136"/>
    </row>
    <row r="27699" spans="1:2" x14ac:dyDescent="0.25">
      <c r="A27699" s="118"/>
      <c r="B27699" s="136"/>
    </row>
    <row r="27700" spans="1:2" x14ac:dyDescent="0.25">
      <c r="A27700" s="118"/>
      <c r="B27700" s="136"/>
    </row>
    <row r="27701" spans="1:2" x14ac:dyDescent="0.25">
      <c r="A27701" s="118"/>
      <c r="B27701" s="136"/>
    </row>
    <row r="27702" spans="1:2" x14ac:dyDescent="0.25">
      <c r="A27702" s="118"/>
      <c r="B27702" s="136"/>
    </row>
    <row r="27703" spans="1:2" x14ac:dyDescent="0.25">
      <c r="A27703" s="118"/>
      <c r="B27703" s="136"/>
    </row>
    <row r="27704" spans="1:2" x14ac:dyDescent="0.25">
      <c r="A27704" s="118"/>
      <c r="B27704" s="136"/>
    </row>
    <row r="27705" spans="1:2" x14ac:dyDescent="0.25">
      <c r="A27705" s="118"/>
      <c r="B27705" s="136"/>
    </row>
    <row r="27706" spans="1:2" x14ac:dyDescent="0.25">
      <c r="A27706" s="118"/>
      <c r="B27706" s="136"/>
    </row>
    <row r="27707" spans="1:2" x14ac:dyDescent="0.25">
      <c r="A27707" s="118"/>
      <c r="B27707" s="136"/>
    </row>
    <row r="27708" spans="1:2" x14ac:dyDescent="0.25">
      <c r="A27708" s="118"/>
      <c r="B27708" s="136"/>
    </row>
    <row r="27709" spans="1:2" x14ac:dyDescent="0.25">
      <c r="A27709" s="118"/>
      <c r="B27709" s="136"/>
    </row>
    <row r="27710" spans="1:2" x14ac:dyDescent="0.25">
      <c r="A27710" s="118"/>
      <c r="B27710" s="136"/>
    </row>
    <row r="27711" spans="1:2" x14ac:dyDescent="0.25">
      <c r="A27711" s="118"/>
      <c r="B27711" s="136"/>
    </row>
    <row r="27712" spans="1:2" x14ac:dyDescent="0.25">
      <c r="A27712" s="118"/>
      <c r="B27712" s="136"/>
    </row>
    <row r="27713" spans="1:2" x14ac:dyDescent="0.25">
      <c r="A27713" s="118"/>
      <c r="B27713" s="136"/>
    </row>
    <row r="27714" spans="1:2" x14ac:dyDescent="0.25">
      <c r="A27714" s="118"/>
      <c r="B27714" s="136"/>
    </row>
    <row r="27715" spans="1:2" x14ac:dyDescent="0.25">
      <c r="A27715" s="118"/>
      <c r="B27715" s="136"/>
    </row>
    <row r="27716" spans="1:2" x14ac:dyDescent="0.25">
      <c r="A27716" s="118"/>
      <c r="B27716" s="136"/>
    </row>
    <row r="27717" spans="1:2" x14ac:dyDescent="0.25">
      <c r="A27717" s="118"/>
      <c r="B27717" s="136"/>
    </row>
    <row r="27718" spans="1:2" x14ac:dyDescent="0.25">
      <c r="A27718" s="118"/>
      <c r="B27718" s="136"/>
    </row>
    <row r="27719" spans="1:2" x14ac:dyDescent="0.25">
      <c r="A27719" s="118"/>
      <c r="B27719" s="136"/>
    </row>
    <row r="27720" spans="1:2" x14ac:dyDescent="0.25">
      <c r="A27720" s="118"/>
      <c r="B27720" s="136"/>
    </row>
    <row r="27721" spans="1:2" x14ac:dyDescent="0.25">
      <c r="A27721" s="118"/>
      <c r="B27721" s="136"/>
    </row>
    <row r="27722" spans="1:2" x14ac:dyDescent="0.25">
      <c r="A27722" s="118"/>
      <c r="B27722" s="136"/>
    </row>
    <row r="27723" spans="1:2" x14ac:dyDescent="0.25">
      <c r="A27723" s="118"/>
      <c r="B27723" s="136"/>
    </row>
    <row r="27724" spans="1:2" x14ac:dyDescent="0.25">
      <c r="A27724" s="118"/>
      <c r="B27724" s="136"/>
    </row>
    <row r="27725" spans="1:2" x14ac:dyDescent="0.25">
      <c r="A27725" s="118"/>
      <c r="B27725" s="136"/>
    </row>
    <row r="27726" spans="1:2" x14ac:dyDescent="0.25">
      <c r="A27726" s="118"/>
      <c r="B27726" s="136"/>
    </row>
    <row r="27727" spans="1:2" x14ac:dyDescent="0.25">
      <c r="A27727" s="118"/>
      <c r="B27727" s="136"/>
    </row>
    <row r="27728" spans="1:2" x14ac:dyDescent="0.25">
      <c r="A27728" s="118"/>
      <c r="B27728" s="136"/>
    </row>
    <row r="27729" spans="1:2" x14ac:dyDescent="0.25">
      <c r="A27729" s="118"/>
      <c r="B27729" s="136"/>
    </row>
    <row r="27730" spans="1:2" x14ac:dyDescent="0.25">
      <c r="A27730" s="118"/>
      <c r="B27730" s="136"/>
    </row>
    <row r="27731" spans="1:2" x14ac:dyDescent="0.25">
      <c r="A27731" s="118"/>
      <c r="B27731" s="136"/>
    </row>
    <row r="27732" spans="1:2" x14ac:dyDescent="0.25">
      <c r="A27732" s="118"/>
      <c r="B27732" s="136"/>
    </row>
    <row r="27733" spans="1:2" x14ac:dyDescent="0.25">
      <c r="A27733" s="118"/>
      <c r="B27733" s="136"/>
    </row>
    <row r="27734" spans="1:2" x14ac:dyDescent="0.25">
      <c r="A27734" s="118"/>
      <c r="B27734" s="136"/>
    </row>
    <row r="27735" spans="1:2" x14ac:dyDescent="0.25">
      <c r="A27735" s="118"/>
      <c r="B27735" s="136"/>
    </row>
    <row r="27736" spans="1:2" x14ac:dyDescent="0.25">
      <c r="A27736" s="118"/>
      <c r="B27736" s="136"/>
    </row>
    <row r="27737" spans="1:2" x14ac:dyDescent="0.25">
      <c r="A27737" s="118"/>
      <c r="B27737" s="136"/>
    </row>
    <row r="27738" spans="1:2" x14ac:dyDescent="0.25">
      <c r="A27738" s="118"/>
      <c r="B27738" s="136"/>
    </row>
    <row r="27739" spans="1:2" x14ac:dyDescent="0.25">
      <c r="A27739" s="118"/>
      <c r="B27739" s="136"/>
    </row>
    <row r="27740" spans="1:2" x14ac:dyDescent="0.25">
      <c r="A27740" s="118"/>
      <c r="B27740" s="136"/>
    </row>
    <row r="27741" spans="1:2" x14ac:dyDescent="0.25">
      <c r="A27741" s="118"/>
      <c r="B27741" s="136"/>
    </row>
    <row r="27742" spans="1:2" x14ac:dyDescent="0.25">
      <c r="A27742" s="118"/>
      <c r="B27742" s="136"/>
    </row>
    <row r="27743" spans="1:2" x14ac:dyDescent="0.25">
      <c r="A27743" s="118"/>
      <c r="B27743" s="136"/>
    </row>
    <row r="27744" spans="1:2" x14ac:dyDescent="0.25">
      <c r="A27744" s="118"/>
      <c r="B27744" s="136"/>
    </row>
    <row r="27745" spans="1:2" x14ac:dyDescent="0.25">
      <c r="A27745" s="118"/>
      <c r="B27745" s="136"/>
    </row>
    <row r="27746" spans="1:2" x14ac:dyDescent="0.25">
      <c r="A27746" s="118"/>
      <c r="B27746" s="136"/>
    </row>
    <row r="27747" spans="1:2" x14ac:dyDescent="0.25">
      <c r="A27747" s="118"/>
      <c r="B27747" s="136"/>
    </row>
    <row r="27748" spans="1:2" x14ac:dyDescent="0.25">
      <c r="A27748" s="118"/>
      <c r="B27748" s="136"/>
    </row>
    <row r="27749" spans="1:2" x14ac:dyDescent="0.25">
      <c r="A27749" s="118"/>
      <c r="B27749" s="136"/>
    </row>
    <row r="27750" spans="1:2" x14ac:dyDescent="0.25">
      <c r="A27750" s="118"/>
      <c r="B27750" s="136"/>
    </row>
    <row r="27751" spans="1:2" x14ac:dyDescent="0.25">
      <c r="A27751" s="118"/>
      <c r="B27751" s="136"/>
    </row>
    <row r="27752" spans="1:2" x14ac:dyDescent="0.25">
      <c r="A27752" s="118"/>
      <c r="B27752" s="136"/>
    </row>
    <row r="27753" spans="1:2" x14ac:dyDescent="0.25">
      <c r="A27753" s="118"/>
      <c r="B27753" s="136"/>
    </row>
    <row r="27754" spans="1:2" x14ac:dyDescent="0.25">
      <c r="A27754" s="118"/>
      <c r="B27754" s="136"/>
    </row>
    <row r="27755" spans="1:2" x14ac:dyDescent="0.25">
      <c r="A27755" s="118"/>
      <c r="B27755" s="136"/>
    </row>
    <row r="27756" spans="1:2" x14ac:dyDescent="0.25">
      <c r="A27756" s="118"/>
      <c r="B27756" s="136"/>
    </row>
    <row r="27757" spans="1:2" x14ac:dyDescent="0.25">
      <c r="A27757" s="118"/>
      <c r="B27757" s="136"/>
    </row>
    <row r="27758" spans="1:2" x14ac:dyDescent="0.25">
      <c r="A27758" s="118"/>
      <c r="B27758" s="136"/>
    </row>
    <row r="27759" spans="1:2" x14ac:dyDescent="0.25">
      <c r="A27759" s="118"/>
      <c r="B27759" s="136"/>
    </row>
    <row r="27760" spans="1:2" x14ac:dyDescent="0.25">
      <c r="A27760" s="118"/>
      <c r="B27760" s="136"/>
    </row>
    <row r="27761" spans="1:2" x14ac:dyDescent="0.25">
      <c r="A27761" s="118"/>
      <c r="B27761" s="136"/>
    </row>
    <row r="27762" spans="1:2" x14ac:dyDescent="0.25">
      <c r="A27762" s="118"/>
      <c r="B27762" s="136"/>
    </row>
    <row r="27763" spans="1:2" x14ac:dyDescent="0.25">
      <c r="A27763" s="118"/>
      <c r="B27763" s="136"/>
    </row>
    <row r="27764" spans="1:2" x14ac:dyDescent="0.25">
      <c r="A27764" s="118"/>
      <c r="B27764" s="136"/>
    </row>
    <row r="27765" spans="1:2" x14ac:dyDescent="0.25">
      <c r="A27765" s="118"/>
      <c r="B27765" s="136"/>
    </row>
    <row r="27766" spans="1:2" x14ac:dyDescent="0.25">
      <c r="A27766" s="118"/>
      <c r="B27766" s="136"/>
    </row>
    <row r="27767" spans="1:2" x14ac:dyDescent="0.25">
      <c r="A27767" s="118"/>
      <c r="B27767" s="136"/>
    </row>
    <row r="27768" spans="1:2" x14ac:dyDescent="0.25">
      <c r="A27768" s="118"/>
      <c r="B27768" s="136"/>
    </row>
    <row r="27769" spans="1:2" x14ac:dyDescent="0.25">
      <c r="A27769" s="118"/>
      <c r="B27769" s="136"/>
    </row>
    <row r="27770" spans="1:2" x14ac:dyDescent="0.25">
      <c r="A27770" s="118"/>
      <c r="B27770" s="136"/>
    </row>
    <row r="27771" spans="1:2" x14ac:dyDescent="0.25">
      <c r="A27771" s="118"/>
      <c r="B27771" s="136"/>
    </row>
    <row r="27772" spans="1:2" x14ac:dyDescent="0.25">
      <c r="A27772" s="118"/>
      <c r="B27772" s="136"/>
    </row>
    <row r="27773" spans="1:2" x14ac:dyDescent="0.25">
      <c r="A27773" s="118"/>
      <c r="B27773" s="136"/>
    </row>
    <row r="27774" spans="1:2" x14ac:dyDescent="0.25">
      <c r="A27774" s="118"/>
      <c r="B27774" s="136"/>
    </row>
    <row r="27775" spans="1:2" x14ac:dyDescent="0.25">
      <c r="A27775" s="118"/>
      <c r="B27775" s="136"/>
    </row>
    <row r="27776" spans="1:2" x14ac:dyDescent="0.25">
      <c r="A27776" s="118"/>
      <c r="B27776" s="136"/>
    </row>
    <row r="27777" spans="1:2" x14ac:dyDescent="0.25">
      <c r="A27777" s="118"/>
      <c r="B27777" s="136"/>
    </row>
    <row r="27778" spans="1:2" x14ac:dyDescent="0.25">
      <c r="A27778" s="118"/>
      <c r="B27778" s="136"/>
    </row>
    <row r="27779" spans="1:2" x14ac:dyDescent="0.25">
      <c r="A27779" s="118"/>
      <c r="B27779" s="136"/>
    </row>
    <row r="27780" spans="1:2" x14ac:dyDescent="0.25">
      <c r="A27780" s="118"/>
      <c r="B27780" s="136"/>
    </row>
    <row r="27781" spans="1:2" x14ac:dyDescent="0.25">
      <c r="A27781" s="118"/>
      <c r="B27781" s="136"/>
    </row>
    <row r="27782" spans="1:2" x14ac:dyDescent="0.25">
      <c r="A27782" s="118"/>
      <c r="B27782" s="136"/>
    </row>
    <row r="27783" spans="1:2" x14ac:dyDescent="0.25">
      <c r="A27783" s="118"/>
      <c r="B27783" s="136"/>
    </row>
    <row r="27784" spans="1:2" x14ac:dyDescent="0.25">
      <c r="A27784" s="118"/>
      <c r="B27784" s="136"/>
    </row>
    <row r="27785" spans="1:2" x14ac:dyDescent="0.25">
      <c r="A27785" s="118"/>
      <c r="B27785" s="136"/>
    </row>
    <row r="27786" spans="1:2" x14ac:dyDescent="0.25">
      <c r="A27786" s="118"/>
      <c r="B27786" s="136"/>
    </row>
    <row r="27787" spans="1:2" x14ac:dyDescent="0.25">
      <c r="A27787" s="118"/>
      <c r="B27787" s="136"/>
    </row>
    <row r="27788" spans="1:2" x14ac:dyDescent="0.25">
      <c r="A27788" s="118"/>
      <c r="B27788" s="136"/>
    </row>
    <row r="27789" spans="1:2" x14ac:dyDescent="0.25">
      <c r="A27789" s="118"/>
      <c r="B27789" s="136"/>
    </row>
    <row r="27790" spans="1:2" x14ac:dyDescent="0.25">
      <c r="A27790" s="118"/>
      <c r="B27790" s="136"/>
    </row>
    <row r="27791" spans="1:2" x14ac:dyDescent="0.25">
      <c r="A27791" s="118"/>
      <c r="B27791" s="136"/>
    </row>
    <row r="27792" spans="1:2" x14ac:dyDescent="0.25">
      <c r="A27792" s="118"/>
      <c r="B27792" s="136"/>
    </row>
    <row r="27793" spans="1:2" x14ac:dyDescent="0.25">
      <c r="A27793" s="118"/>
      <c r="B27793" s="136"/>
    </row>
    <row r="27794" spans="1:2" x14ac:dyDescent="0.25">
      <c r="A27794" s="118"/>
      <c r="B27794" s="136"/>
    </row>
    <row r="27795" spans="1:2" x14ac:dyDescent="0.25">
      <c r="A27795" s="118"/>
      <c r="B27795" s="136"/>
    </row>
    <row r="27796" spans="1:2" x14ac:dyDescent="0.25">
      <c r="A27796" s="118"/>
      <c r="B27796" s="136"/>
    </row>
    <row r="27797" spans="1:2" x14ac:dyDescent="0.25">
      <c r="A27797" s="118"/>
      <c r="B27797" s="136"/>
    </row>
    <row r="27798" spans="1:2" x14ac:dyDescent="0.25">
      <c r="A27798" s="118"/>
      <c r="B27798" s="136"/>
    </row>
    <row r="27799" spans="1:2" x14ac:dyDescent="0.25">
      <c r="A27799" s="118"/>
      <c r="B27799" s="136"/>
    </row>
    <row r="27800" spans="1:2" x14ac:dyDescent="0.25">
      <c r="A27800" s="118"/>
      <c r="B27800" s="136"/>
    </row>
    <row r="27801" spans="1:2" x14ac:dyDescent="0.25">
      <c r="A27801" s="118"/>
      <c r="B27801" s="136"/>
    </row>
    <row r="27802" spans="1:2" x14ac:dyDescent="0.25">
      <c r="A27802" s="118"/>
      <c r="B27802" s="136"/>
    </row>
    <row r="27803" spans="1:2" x14ac:dyDescent="0.25">
      <c r="A27803" s="118"/>
      <c r="B27803" s="136"/>
    </row>
    <row r="27804" spans="1:2" x14ac:dyDescent="0.25">
      <c r="A27804" s="118"/>
      <c r="B27804" s="136"/>
    </row>
    <row r="27805" spans="1:2" x14ac:dyDescent="0.25">
      <c r="A27805" s="118"/>
      <c r="B27805" s="136"/>
    </row>
    <row r="27806" spans="1:2" x14ac:dyDescent="0.25">
      <c r="A27806" s="118"/>
      <c r="B27806" s="136"/>
    </row>
    <row r="27807" spans="1:2" x14ac:dyDescent="0.25">
      <c r="A27807" s="118"/>
      <c r="B27807" s="136"/>
    </row>
    <row r="27808" spans="1:2" x14ac:dyDescent="0.25">
      <c r="A27808" s="118"/>
      <c r="B27808" s="136"/>
    </row>
    <row r="27809" spans="1:2" x14ac:dyDescent="0.25">
      <c r="A27809" s="118"/>
      <c r="B27809" s="136"/>
    </row>
    <row r="27810" spans="1:2" x14ac:dyDescent="0.25">
      <c r="A27810" s="118"/>
      <c r="B27810" s="136"/>
    </row>
    <row r="27811" spans="1:2" x14ac:dyDescent="0.25">
      <c r="A27811" s="118"/>
      <c r="B27811" s="136"/>
    </row>
    <row r="27812" spans="1:2" x14ac:dyDescent="0.25">
      <c r="A27812" s="118"/>
      <c r="B27812" s="136"/>
    </row>
    <row r="27813" spans="1:2" x14ac:dyDescent="0.25">
      <c r="A27813" s="118"/>
      <c r="B27813" s="136"/>
    </row>
    <row r="27814" spans="1:2" x14ac:dyDescent="0.25">
      <c r="A27814" s="118"/>
      <c r="B27814" s="136"/>
    </row>
    <row r="27815" spans="1:2" x14ac:dyDescent="0.25">
      <c r="A27815" s="118"/>
      <c r="B27815" s="136"/>
    </row>
    <row r="27816" spans="1:2" x14ac:dyDescent="0.25">
      <c r="A27816" s="118"/>
      <c r="B27816" s="136"/>
    </row>
    <row r="27817" spans="1:2" x14ac:dyDescent="0.25">
      <c r="A27817" s="118"/>
      <c r="B27817" s="136"/>
    </row>
    <row r="27818" spans="1:2" x14ac:dyDescent="0.25">
      <c r="A27818" s="118"/>
      <c r="B27818" s="136"/>
    </row>
    <row r="27819" spans="1:2" x14ac:dyDescent="0.25">
      <c r="A27819" s="118"/>
      <c r="B27819" s="136"/>
    </row>
    <row r="27820" spans="1:2" x14ac:dyDescent="0.25">
      <c r="A27820" s="118"/>
      <c r="B27820" s="136"/>
    </row>
    <row r="27821" spans="1:2" x14ac:dyDescent="0.25">
      <c r="A27821" s="118"/>
      <c r="B27821" s="136"/>
    </row>
    <row r="27822" spans="1:2" x14ac:dyDescent="0.25">
      <c r="A27822" s="118"/>
      <c r="B27822" s="136"/>
    </row>
    <row r="27823" spans="1:2" x14ac:dyDescent="0.25">
      <c r="A27823" s="118"/>
      <c r="B27823" s="136"/>
    </row>
    <row r="27824" spans="1:2" x14ac:dyDescent="0.25">
      <c r="A27824" s="118"/>
      <c r="B27824" s="136"/>
    </row>
    <row r="27825" spans="1:2" x14ac:dyDescent="0.25">
      <c r="A27825" s="118"/>
      <c r="B27825" s="136"/>
    </row>
    <row r="27826" spans="1:2" x14ac:dyDescent="0.25">
      <c r="A27826" s="118"/>
      <c r="B27826" s="136"/>
    </row>
    <row r="27827" spans="1:2" x14ac:dyDescent="0.25">
      <c r="A27827" s="118"/>
      <c r="B27827" s="136"/>
    </row>
    <row r="27828" spans="1:2" x14ac:dyDescent="0.25">
      <c r="A27828" s="118"/>
      <c r="B27828" s="136"/>
    </row>
    <row r="27829" spans="1:2" x14ac:dyDescent="0.25">
      <c r="A27829" s="118"/>
      <c r="B27829" s="136"/>
    </row>
    <row r="27830" spans="1:2" x14ac:dyDescent="0.25">
      <c r="A27830" s="118"/>
      <c r="B27830" s="136"/>
    </row>
    <row r="27831" spans="1:2" x14ac:dyDescent="0.25">
      <c r="A27831" s="118"/>
      <c r="B27831" s="136"/>
    </row>
    <row r="27832" spans="1:2" x14ac:dyDescent="0.25">
      <c r="A27832" s="118"/>
      <c r="B27832" s="136"/>
    </row>
    <row r="27833" spans="1:2" x14ac:dyDescent="0.25">
      <c r="A27833" s="118"/>
      <c r="B27833" s="136"/>
    </row>
    <row r="27834" spans="1:2" x14ac:dyDescent="0.25">
      <c r="A27834" s="118"/>
      <c r="B27834" s="136"/>
    </row>
    <row r="27835" spans="1:2" x14ac:dyDescent="0.25">
      <c r="A27835" s="118"/>
      <c r="B27835" s="136"/>
    </row>
    <row r="27836" spans="1:2" x14ac:dyDescent="0.25">
      <c r="A27836" s="118"/>
      <c r="B27836" s="136"/>
    </row>
    <row r="27837" spans="1:2" x14ac:dyDescent="0.25">
      <c r="A27837" s="118"/>
      <c r="B27837" s="136"/>
    </row>
    <row r="27838" spans="1:2" x14ac:dyDescent="0.25">
      <c r="A27838" s="118"/>
      <c r="B27838" s="136"/>
    </row>
    <row r="27839" spans="1:2" x14ac:dyDescent="0.25">
      <c r="A27839" s="118"/>
      <c r="B27839" s="136"/>
    </row>
    <row r="27840" spans="1:2" x14ac:dyDescent="0.25">
      <c r="A27840" s="118"/>
      <c r="B27840" s="136"/>
    </row>
    <row r="27841" spans="1:2" x14ac:dyDescent="0.25">
      <c r="A27841" s="118"/>
      <c r="B27841" s="136"/>
    </row>
    <row r="27842" spans="1:2" x14ac:dyDescent="0.25">
      <c r="A27842" s="118"/>
      <c r="B27842" s="136"/>
    </row>
    <row r="27843" spans="1:2" x14ac:dyDescent="0.25">
      <c r="A27843" s="118"/>
      <c r="B27843" s="136"/>
    </row>
    <row r="27844" spans="1:2" x14ac:dyDescent="0.25">
      <c r="A27844" s="118"/>
      <c r="B27844" s="136"/>
    </row>
    <row r="27845" spans="1:2" x14ac:dyDescent="0.25">
      <c r="A27845" s="118"/>
      <c r="B27845" s="136"/>
    </row>
    <row r="27846" spans="1:2" x14ac:dyDescent="0.25">
      <c r="A27846" s="118"/>
      <c r="B27846" s="136"/>
    </row>
    <row r="27847" spans="1:2" x14ac:dyDescent="0.25">
      <c r="A27847" s="118"/>
      <c r="B27847" s="136"/>
    </row>
    <row r="27848" spans="1:2" x14ac:dyDescent="0.25">
      <c r="A27848" s="118"/>
      <c r="B27848" s="136"/>
    </row>
    <row r="27849" spans="1:2" x14ac:dyDescent="0.25">
      <c r="A27849" s="118"/>
      <c r="B27849" s="136"/>
    </row>
    <row r="27850" spans="1:2" x14ac:dyDescent="0.25">
      <c r="A27850" s="118"/>
      <c r="B27850" s="136"/>
    </row>
    <row r="27851" spans="1:2" x14ac:dyDescent="0.25">
      <c r="A27851" s="118"/>
      <c r="B27851" s="136"/>
    </row>
    <row r="27852" spans="1:2" x14ac:dyDescent="0.25">
      <c r="A27852" s="118"/>
      <c r="B27852" s="136"/>
    </row>
    <row r="27853" spans="1:2" x14ac:dyDescent="0.25">
      <c r="A27853" s="118"/>
      <c r="B27853" s="136"/>
    </row>
    <row r="27854" spans="1:2" x14ac:dyDescent="0.25">
      <c r="A27854" s="118"/>
      <c r="B27854" s="136"/>
    </row>
    <row r="27855" spans="1:2" x14ac:dyDescent="0.25">
      <c r="A27855" s="118"/>
      <c r="B27855" s="136"/>
    </row>
    <row r="27856" spans="1:2" x14ac:dyDescent="0.25">
      <c r="A27856" s="118"/>
      <c r="B27856" s="136"/>
    </row>
    <row r="27857" spans="1:2" x14ac:dyDescent="0.25">
      <c r="A27857" s="118"/>
      <c r="B27857" s="136"/>
    </row>
    <row r="27858" spans="1:2" x14ac:dyDescent="0.25">
      <c r="A27858" s="118"/>
      <c r="B27858" s="136"/>
    </row>
    <row r="27859" spans="1:2" x14ac:dyDescent="0.25">
      <c r="A27859" s="118"/>
      <c r="B27859" s="136"/>
    </row>
    <row r="27860" spans="1:2" x14ac:dyDescent="0.25">
      <c r="A27860" s="118"/>
      <c r="B27860" s="136"/>
    </row>
    <row r="27861" spans="1:2" x14ac:dyDescent="0.25">
      <c r="A27861" s="118"/>
      <c r="B27861" s="136"/>
    </row>
    <row r="27862" spans="1:2" x14ac:dyDescent="0.25">
      <c r="A27862" s="118"/>
      <c r="B27862" s="136"/>
    </row>
    <row r="27863" spans="1:2" x14ac:dyDescent="0.25">
      <c r="A27863" s="118"/>
      <c r="B27863" s="136"/>
    </row>
    <row r="27864" spans="1:2" x14ac:dyDescent="0.25">
      <c r="A27864" s="118"/>
      <c r="B27864" s="136"/>
    </row>
    <row r="27865" spans="1:2" x14ac:dyDescent="0.25">
      <c r="A27865" s="118"/>
      <c r="B27865" s="136"/>
    </row>
    <row r="27866" spans="1:2" x14ac:dyDescent="0.25">
      <c r="A27866" s="118"/>
      <c r="B27866" s="136"/>
    </row>
    <row r="27867" spans="1:2" x14ac:dyDescent="0.25">
      <c r="A27867" s="118"/>
      <c r="B27867" s="136"/>
    </row>
    <row r="27868" spans="1:2" x14ac:dyDescent="0.25">
      <c r="A27868" s="118"/>
      <c r="B27868" s="136"/>
    </row>
    <row r="27869" spans="1:2" x14ac:dyDescent="0.25">
      <c r="A27869" s="118"/>
      <c r="B27869" s="136"/>
    </row>
    <row r="27870" spans="1:2" x14ac:dyDescent="0.25">
      <c r="A27870" s="118"/>
      <c r="B27870" s="136"/>
    </row>
    <row r="27871" spans="1:2" x14ac:dyDescent="0.25">
      <c r="A27871" s="118"/>
      <c r="B27871" s="136"/>
    </row>
    <row r="27872" spans="1:2" x14ac:dyDescent="0.25">
      <c r="A27872" s="118"/>
      <c r="B27872" s="136"/>
    </row>
    <row r="27873" spans="1:2" x14ac:dyDescent="0.25">
      <c r="A27873" s="118"/>
      <c r="B27873" s="136"/>
    </row>
    <row r="27874" spans="1:2" x14ac:dyDescent="0.25">
      <c r="A27874" s="118"/>
      <c r="B27874" s="136"/>
    </row>
    <row r="27875" spans="1:2" x14ac:dyDescent="0.25">
      <c r="A27875" s="118"/>
      <c r="B27875" s="136"/>
    </row>
    <row r="27876" spans="1:2" x14ac:dyDescent="0.25">
      <c r="A27876" s="118"/>
      <c r="B27876" s="136"/>
    </row>
    <row r="27877" spans="1:2" x14ac:dyDescent="0.25">
      <c r="A27877" s="118"/>
      <c r="B27877" s="136"/>
    </row>
    <row r="27878" spans="1:2" x14ac:dyDescent="0.25">
      <c r="A27878" s="118"/>
      <c r="B27878" s="136"/>
    </row>
    <row r="27879" spans="1:2" x14ac:dyDescent="0.25">
      <c r="A27879" s="118"/>
      <c r="B27879" s="136"/>
    </row>
    <row r="27880" spans="1:2" x14ac:dyDescent="0.25">
      <c r="A27880" s="118"/>
      <c r="B27880" s="136"/>
    </row>
    <row r="27881" spans="1:2" x14ac:dyDescent="0.25">
      <c r="A27881" s="118"/>
      <c r="B27881" s="136"/>
    </row>
    <row r="27882" spans="1:2" x14ac:dyDescent="0.25">
      <c r="A27882" s="118"/>
      <c r="B27882" s="136"/>
    </row>
    <row r="27883" spans="1:2" x14ac:dyDescent="0.25">
      <c r="A27883" s="118"/>
      <c r="B27883" s="136"/>
    </row>
    <row r="27884" spans="1:2" x14ac:dyDescent="0.25">
      <c r="A27884" s="118"/>
      <c r="B27884" s="136"/>
    </row>
    <row r="27885" spans="1:2" x14ac:dyDescent="0.25">
      <c r="A27885" s="118"/>
      <c r="B27885" s="136"/>
    </row>
    <row r="27886" spans="1:2" x14ac:dyDescent="0.25">
      <c r="A27886" s="118"/>
      <c r="B27886" s="136"/>
    </row>
    <row r="27887" spans="1:2" x14ac:dyDescent="0.25">
      <c r="A27887" s="118"/>
      <c r="B27887" s="136"/>
    </row>
    <row r="27888" spans="1:2" x14ac:dyDescent="0.25">
      <c r="A27888" s="118"/>
      <c r="B27888" s="136"/>
    </row>
    <row r="27889" spans="1:2" x14ac:dyDescent="0.25">
      <c r="A27889" s="118"/>
      <c r="B27889" s="136"/>
    </row>
    <row r="27890" spans="1:2" x14ac:dyDescent="0.25">
      <c r="A27890" s="118"/>
      <c r="B27890" s="136"/>
    </row>
    <row r="27891" spans="1:2" x14ac:dyDescent="0.25">
      <c r="A27891" s="118"/>
      <c r="B27891" s="136"/>
    </row>
    <row r="27892" spans="1:2" x14ac:dyDescent="0.25">
      <c r="A27892" s="118"/>
      <c r="B27892" s="136"/>
    </row>
    <row r="27893" spans="1:2" x14ac:dyDescent="0.25">
      <c r="A27893" s="118"/>
      <c r="B27893" s="136"/>
    </row>
    <row r="27894" spans="1:2" x14ac:dyDescent="0.25">
      <c r="A27894" s="118"/>
      <c r="B27894" s="136"/>
    </row>
    <row r="27895" spans="1:2" x14ac:dyDescent="0.25">
      <c r="A27895" s="118"/>
      <c r="B27895" s="136"/>
    </row>
    <row r="27896" spans="1:2" x14ac:dyDescent="0.25">
      <c r="A27896" s="118"/>
      <c r="B27896" s="136"/>
    </row>
    <row r="27897" spans="1:2" x14ac:dyDescent="0.25">
      <c r="A27897" s="118"/>
      <c r="B27897" s="136"/>
    </row>
    <row r="27898" spans="1:2" x14ac:dyDescent="0.25">
      <c r="A27898" s="118"/>
      <c r="B27898" s="136"/>
    </row>
    <row r="27899" spans="1:2" x14ac:dyDescent="0.25">
      <c r="A27899" s="118"/>
      <c r="B27899" s="136"/>
    </row>
    <row r="27900" spans="1:2" x14ac:dyDescent="0.25">
      <c r="A27900" s="118"/>
      <c r="B27900" s="136"/>
    </row>
    <row r="27901" spans="1:2" x14ac:dyDescent="0.25">
      <c r="A27901" s="118"/>
      <c r="B27901" s="136"/>
    </row>
    <row r="27902" spans="1:2" x14ac:dyDescent="0.25">
      <c r="A27902" s="118"/>
      <c r="B27902" s="136"/>
    </row>
    <row r="27903" spans="1:2" x14ac:dyDescent="0.25">
      <c r="A27903" s="118"/>
      <c r="B27903" s="136"/>
    </row>
    <row r="27904" spans="1:2" x14ac:dyDescent="0.25">
      <c r="A27904" s="118"/>
      <c r="B27904" s="136"/>
    </row>
    <row r="27905" spans="1:2" x14ac:dyDescent="0.25">
      <c r="A27905" s="118"/>
      <c r="B27905" s="136"/>
    </row>
    <row r="27906" spans="1:2" x14ac:dyDescent="0.25">
      <c r="A27906" s="118"/>
      <c r="B27906" s="136"/>
    </row>
    <row r="27907" spans="1:2" x14ac:dyDescent="0.25">
      <c r="A27907" s="118"/>
      <c r="B27907" s="136"/>
    </row>
    <row r="27908" spans="1:2" x14ac:dyDescent="0.25">
      <c r="A27908" s="118"/>
      <c r="B27908" s="136"/>
    </row>
    <row r="27909" spans="1:2" x14ac:dyDescent="0.25">
      <c r="A27909" s="118"/>
      <c r="B27909" s="136"/>
    </row>
    <row r="27910" spans="1:2" x14ac:dyDescent="0.25">
      <c r="A27910" s="118"/>
      <c r="B27910" s="136"/>
    </row>
    <row r="27911" spans="1:2" x14ac:dyDescent="0.25">
      <c r="A27911" s="118"/>
      <c r="B27911" s="136"/>
    </row>
    <row r="27912" spans="1:2" x14ac:dyDescent="0.25">
      <c r="A27912" s="118"/>
      <c r="B27912" s="136"/>
    </row>
    <row r="27913" spans="1:2" x14ac:dyDescent="0.25">
      <c r="A27913" s="118"/>
      <c r="B27913" s="136"/>
    </row>
    <row r="27914" spans="1:2" x14ac:dyDescent="0.25">
      <c r="A27914" s="118"/>
      <c r="B27914" s="136"/>
    </row>
    <row r="27915" spans="1:2" x14ac:dyDescent="0.25">
      <c r="A27915" s="118"/>
      <c r="B27915" s="136"/>
    </row>
    <row r="27916" spans="1:2" x14ac:dyDescent="0.25">
      <c r="A27916" s="118"/>
      <c r="B27916" s="136"/>
    </row>
    <row r="27917" spans="1:2" x14ac:dyDescent="0.25">
      <c r="A27917" s="118"/>
      <c r="B27917" s="136"/>
    </row>
    <row r="27918" spans="1:2" x14ac:dyDescent="0.25">
      <c r="A27918" s="118"/>
      <c r="B27918" s="136"/>
    </row>
    <row r="27919" spans="1:2" x14ac:dyDescent="0.25">
      <c r="A27919" s="118"/>
      <c r="B27919" s="136"/>
    </row>
    <row r="27920" spans="1:2" x14ac:dyDescent="0.25">
      <c r="A27920" s="118"/>
      <c r="B27920" s="136"/>
    </row>
    <row r="27921" spans="1:2" x14ac:dyDescent="0.25">
      <c r="A27921" s="118"/>
      <c r="B27921" s="136"/>
    </row>
    <row r="27922" spans="1:2" x14ac:dyDescent="0.25">
      <c r="A27922" s="118"/>
      <c r="B27922" s="136"/>
    </row>
    <row r="27923" spans="1:2" x14ac:dyDescent="0.25">
      <c r="A27923" s="118"/>
      <c r="B27923" s="136"/>
    </row>
    <row r="27924" spans="1:2" x14ac:dyDescent="0.25">
      <c r="A27924" s="118"/>
      <c r="B27924" s="136"/>
    </row>
    <row r="27925" spans="1:2" x14ac:dyDescent="0.25">
      <c r="A27925" s="118"/>
      <c r="B27925" s="136"/>
    </row>
    <row r="27926" spans="1:2" x14ac:dyDescent="0.25">
      <c r="A27926" s="118"/>
      <c r="B27926" s="136"/>
    </row>
    <row r="27927" spans="1:2" x14ac:dyDescent="0.25">
      <c r="A27927" s="118"/>
      <c r="B27927" s="136"/>
    </row>
    <row r="27928" spans="1:2" x14ac:dyDescent="0.25">
      <c r="A27928" s="118"/>
      <c r="B27928" s="136"/>
    </row>
    <row r="27929" spans="1:2" x14ac:dyDescent="0.25">
      <c r="A27929" s="118"/>
      <c r="B27929" s="136"/>
    </row>
    <row r="27930" spans="1:2" x14ac:dyDescent="0.25">
      <c r="A27930" s="118"/>
      <c r="B27930" s="136"/>
    </row>
    <row r="27931" spans="1:2" x14ac:dyDescent="0.25">
      <c r="A27931" s="118"/>
      <c r="B27931" s="136"/>
    </row>
    <row r="27932" spans="1:2" x14ac:dyDescent="0.25">
      <c r="A27932" s="118"/>
      <c r="B27932" s="136"/>
    </row>
    <row r="27933" spans="1:2" x14ac:dyDescent="0.25">
      <c r="A27933" s="118"/>
      <c r="B27933" s="136"/>
    </row>
    <row r="27934" spans="1:2" x14ac:dyDescent="0.25">
      <c r="A27934" s="118"/>
      <c r="B27934" s="136"/>
    </row>
    <row r="27935" spans="1:2" x14ac:dyDescent="0.25">
      <c r="A27935" s="118"/>
      <c r="B27935" s="136"/>
    </row>
    <row r="27936" spans="1:2" x14ac:dyDescent="0.25">
      <c r="A27936" s="118"/>
      <c r="B27936" s="136"/>
    </row>
    <row r="27937" spans="1:2" x14ac:dyDescent="0.25">
      <c r="A27937" s="118"/>
      <c r="B27937" s="136"/>
    </row>
    <row r="27938" spans="1:2" x14ac:dyDescent="0.25">
      <c r="A27938" s="118"/>
      <c r="B27938" s="136"/>
    </row>
    <row r="27939" spans="1:2" x14ac:dyDescent="0.25">
      <c r="A27939" s="118"/>
      <c r="B27939" s="136"/>
    </row>
    <row r="27940" spans="1:2" x14ac:dyDescent="0.25">
      <c r="A27940" s="118"/>
      <c r="B27940" s="136"/>
    </row>
    <row r="27941" spans="1:2" x14ac:dyDescent="0.25">
      <c r="A27941" s="118"/>
      <c r="B27941" s="136"/>
    </row>
    <row r="27942" spans="1:2" x14ac:dyDescent="0.25">
      <c r="A27942" s="118"/>
      <c r="B27942" s="136"/>
    </row>
    <row r="27943" spans="1:2" x14ac:dyDescent="0.25">
      <c r="A27943" s="118"/>
      <c r="B27943" s="136"/>
    </row>
    <row r="27944" spans="1:2" x14ac:dyDescent="0.25">
      <c r="A27944" s="118"/>
      <c r="B27944" s="136"/>
    </row>
    <row r="27945" spans="1:2" x14ac:dyDescent="0.25">
      <c r="A27945" s="118"/>
      <c r="B27945" s="136"/>
    </row>
    <row r="27946" spans="1:2" x14ac:dyDescent="0.25">
      <c r="A27946" s="118"/>
      <c r="B27946" s="136"/>
    </row>
    <row r="27947" spans="1:2" x14ac:dyDescent="0.25">
      <c r="A27947" s="118"/>
      <c r="B27947" s="136"/>
    </row>
    <row r="27948" spans="1:2" x14ac:dyDescent="0.25">
      <c r="A27948" s="118"/>
      <c r="B27948" s="136"/>
    </row>
    <row r="27949" spans="1:2" x14ac:dyDescent="0.25">
      <c r="A27949" s="118"/>
      <c r="B27949" s="136"/>
    </row>
    <row r="27950" spans="1:2" x14ac:dyDescent="0.25">
      <c r="A27950" s="118"/>
      <c r="B27950" s="136"/>
    </row>
    <row r="27951" spans="1:2" x14ac:dyDescent="0.25">
      <c r="A27951" s="118"/>
      <c r="B27951" s="136"/>
    </row>
    <row r="27952" spans="1:2" x14ac:dyDescent="0.25">
      <c r="A27952" s="118"/>
      <c r="B27952" s="136"/>
    </row>
    <row r="27953" spans="1:2" x14ac:dyDescent="0.25">
      <c r="A27953" s="118"/>
      <c r="B27953" s="136"/>
    </row>
    <row r="27954" spans="1:2" x14ac:dyDescent="0.25">
      <c r="A27954" s="118"/>
      <c r="B27954" s="136"/>
    </row>
    <row r="27955" spans="1:2" x14ac:dyDescent="0.25">
      <c r="A27955" s="118"/>
      <c r="B27955" s="136"/>
    </row>
    <row r="27956" spans="1:2" x14ac:dyDescent="0.25">
      <c r="A27956" s="118"/>
      <c r="B27956" s="136"/>
    </row>
    <row r="27957" spans="1:2" x14ac:dyDescent="0.25">
      <c r="A27957" s="118"/>
      <c r="B27957" s="136"/>
    </row>
    <row r="27958" spans="1:2" x14ac:dyDescent="0.25">
      <c r="A27958" s="118"/>
      <c r="B27958" s="136"/>
    </row>
    <row r="27959" spans="1:2" x14ac:dyDescent="0.25">
      <c r="A27959" s="118"/>
      <c r="B27959" s="136"/>
    </row>
    <row r="27960" spans="1:2" x14ac:dyDescent="0.25">
      <c r="A27960" s="118"/>
      <c r="B27960" s="136"/>
    </row>
    <row r="27961" spans="1:2" x14ac:dyDescent="0.25">
      <c r="A27961" s="118"/>
      <c r="B27961" s="136"/>
    </row>
    <row r="27962" spans="1:2" x14ac:dyDescent="0.25">
      <c r="A27962" s="118"/>
      <c r="B27962" s="136"/>
    </row>
    <row r="27963" spans="1:2" x14ac:dyDescent="0.25">
      <c r="A27963" s="118"/>
      <c r="B27963" s="136"/>
    </row>
    <row r="27964" spans="1:2" x14ac:dyDescent="0.25">
      <c r="A27964" s="118"/>
      <c r="B27964" s="136"/>
    </row>
    <row r="27965" spans="1:2" x14ac:dyDescent="0.25">
      <c r="A27965" s="118"/>
      <c r="B27965" s="136"/>
    </row>
    <row r="27966" spans="1:2" x14ac:dyDescent="0.25">
      <c r="A27966" s="118"/>
      <c r="B27966" s="136"/>
    </row>
    <row r="27967" spans="1:2" x14ac:dyDescent="0.25">
      <c r="A27967" s="118"/>
      <c r="B27967" s="136"/>
    </row>
    <row r="27968" spans="1:2" x14ac:dyDescent="0.25">
      <c r="A27968" s="118"/>
      <c r="B27968" s="136"/>
    </row>
    <row r="27969" spans="1:2" x14ac:dyDescent="0.25">
      <c r="A27969" s="118"/>
      <c r="B27969" s="136"/>
    </row>
    <row r="27970" spans="1:2" x14ac:dyDescent="0.25">
      <c r="A27970" s="118"/>
      <c r="B27970" s="136"/>
    </row>
    <row r="27971" spans="1:2" x14ac:dyDescent="0.25">
      <c r="A27971" s="118"/>
      <c r="B27971" s="136"/>
    </row>
    <row r="27972" spans="1:2" x14ac:dyDescent="0.25">
      <c r="A27972" s="118"/>
      <c r="B27972" s="136"/>
    </row>
    <row r="27973" spans="1:2" x14ac:dyDescent="0.25">
      <c r="A27973" s="118"/>
      <c r="B27973" s="136"/>
    </row>
    <row r="27974" spans="1:2" x14ac:dyDescent="0.25">
      <c r="A27974" s="118"/>
      <c r="B27974" s="136"/>
    </row>
    <row r="27975" spans="1:2" x14ac:dyDescent="0.25">
      <c r="A27975" s="118"/>
      <c r="B27975" s="136"/>
    </row>
    <row r="27976" spans="1:2" x14ac:dyDescent="0.25">
      <c r="A27976" s="118"/>
      <c r="B27976" s="136"/>
    </row>
    <row r="27977" spans="1:2" x14ac:dyDescent="0.25">
      <c r="A27977" s="118"/>
      <c r="B27977" s="136"/>
    </row>
    <row r="27978" spans="1:2" x14ac:dyDescent="0.25">
      <c r="A27978" s="118"/>
      <c r="B27978" s="136"/>
    </row>
    <row r="27979" spans="1:2" x14ac:dyDescent="0.25">
      <c r="A27979" s="118"/>
      <c r="B27979" s="136"/>
    </row>
    <row r="27980" spans="1:2" x14ac:dyDescent="0.25">
      <c r="A27980" s="118"/>
      <c r="B27980" s="136"/>
    </row>
    <row r="27981" spans="1:2" x14ac:dyDescent="0.25">
      <c r="A27981" s="118"/>
      <c r="B27981" s="136"/>
    </row>
    <row r="27982" spans="1:2" x14ac:dyDescent="0.25">
      <c r="A27982" s="118"/>
      <c r="B27982" s="136"/>
    </row>
    <row r="27983" spans="1:2" x14ac:dyDescent="0.25">
      <c r="A27983" s="118"/>
      <c r="B27983" s="136"/>
    </row>
    <row r="27984" spans="1:2" x14ac:dyDescent="0.25">
      <c r="A27984" s="118"/>
      <c r="B27984" s="136"/>
    </row>
    <row r="27985" spans="1:2" x14ac:dyDescent="0.25">
      <c r="A27985" s="118"/>
      <c r="B27985" s="136"/>
    </row>
    <row r="27986" spans="1:2" x14ac:dyDescent="0.25">
      <c r="A27986" s="118"/>
      <c r="B27986" s="136"/>
    </row>
    <row r="27987" spans="1:2" x14ac:dyDescent="0.25">
      <c r="A27987" s="118"/>
      <c r="B27987" s="136"/>
    </row>
    <row r="27988" spans="1:2" x14ac:dyDescent="0.25">
      <c r="A27988" s="118"/>
      <c r="B27988" s="136"/>
    </row>
    <row r="27989" spans="1:2" x14ac:dyDescent="0.25">
      <c r="A27989" s="118"/>
      <c r="B27989" s="136"/>
    </row>
    <row r="27990" spans="1:2" x14ac:dyDescent="0.25">
      <c r="A27990" s="118"/>
      <c r="B27990" s="136"/>
    </row>
    <row r="27991" spans="1:2" x14ac:dyDescent="0.25">
      <c r="A27991" s="118"/>
      <c r="B27991" s="136"/>
    </row>
    <row r="27992" spans="1:2" x14ac:dyDescent="0.25">
      <c r="A27992" s="118"/>
      <c r="B27992" s="136"/>
    </row>
    <row r="27993" spans="1:2" x14ac:dyDescent="0.25">
      <c r="A27993" s="118"/>
      <c r="B27993" s="136"/>
    </row>
    <row r="27994" spans="1:2" x14ac:dyDescent="0.25">
      <c r="A27994" s="118"/>
      <c r="B27994" s="136"/>
    </row>
    <row r="27995" spans="1:2" x14ac:dyDescent="0.25">
      <c r="A27995" s="118"/>
      <c r="B27995" s="136"/>
    </row>
    <row r="27996" spans="1:2" x14ac:dyDescent="0.25">
      <c r="A27996" s="118"/>
      <c r="B27996" s="136"/>
    </row>
    <row r="27997" spans="1:2" x14ac:dyDescent="0.25">
      <c r="A27997" s="118"/>
      <c r="B27997" s="136"/>
    </row>
    <row r="27998" spans="1:2" x14ac:dyDescent="0.25">
      <c r="A27998" s="118"/>
      <c r="B27998" s="136"/>
    </row>
    <row r="27999" spans="1:2" x14ac:dyDescent="0.25">
      <c r="A27999" s="118"/>
      <c r="B27999" s="136"/>
    </row>
    <row r="28000" spans="1:2" x14ac:dyDescent="0.25">
      <c r="A28000" s="118"/>
      <c r="B28000" s="136"/>
    </row>
    <row r="28001" spans="1:2" x14ac:dyDescent="0.25">
      <c r="A28001" s="118"/>
      <c r="B28001" s="136"/>
    </row>
    <row r="28002" spans="1:2" x14ac:dyDescent="0.25">
      <c r="A28002" s="118"/>
      <c r="B28002" s="136"/>
    </row>
    <row r="28003" spans="1:2" x14ac:dyDescent="0.25">
      <c r="A28003" s="118"/>
      <c r="B28003" s="136"/>
    </row>
    <row r="28004" spans="1:2" x14ac:dyDescent="0.25">
      <c r="A28004" s="118"/>
      <c r="B28004" s="136"/>
    </row>
    <row r="28005" spans="1:2" x14ac:dyDescent="0.25">
      <c r="A28005" s="118"/>
      <c r="B28005" s="136"/>
    </row>
    <row r="28006" spans="1:2" x14ac:dyDescent="0.25">
      <c r="A28006" s="118"/>
      <c r="B28006" s="136"/>
    </row>
    <row r="28007" spans="1:2" x14ac:dyDescent="0.25">
      <c r="A28007" s="118"/>
      <c r="B28007" s="136"/>
    </row>
    <row r="28008" spans="1:2" x14ac:dyDescent="0.25">
      <c r="A28008" s="118"/>
      <c r="B28008" s="136"/>
    </row>
    <row r="28009" spans="1:2" x14ac:dyDescent="0.25">
      <c r="A28009" s="118"/>
      <c r="B28009" s="136"/>
    </row>
    <row r="28010" spans="1:2" x14ac:dyDescent="0.25">
      <c r="A28010" s="118"/>
      <c r="B28010" s="136"/>
    </row>
    <row r="28011" spans="1:2" x14ac:dyDescent="0.25">
      <c r="A28011" s="118"/>
      <c r="B28011" s="136"/>
    </row>
    <row r="28012" spans="1:2" x14ac:dyDescent="0.25">
      <c r="A28012" s="118"/>
      <c r="B28012" s="136"/>
    </row>
    <row r="28013" spans="1:2" x14ac:dyDescent="0.25">
      <c r="A28013" s="118"/>
      <c r="B28013" s="136"/>
    </row>
    <row r="28014" spans="1:2" x14ac:dyDescent="0.25">
      <c r="A28014" s="118"/>
      <c r="B28014" s="136"/>
    </row>
    <row r="28015" spans="1:2" x14ac:dyDescent="0.25">
      <c r="A28015" s="118"/>
      <c r="B28015" s="136"/>
    </row>
    <row r="28016" spans="1:2" x14ac:dyDescent="0.25">
      <c r="A28016" s="118"/>
      <c r="B28016" s="136"/>
    </row>
    <row r="28017" spans="1:2" x14ac:dyDescent="0.25">
      <c r="A28017" s="118"/>
      <c r="B28017" s="136"/>
    </row>
    <row r="28018" spans="1:2" x14ac:dyDescent="0.25">
      <c r="A28018" s="118"/>
      <c r="B28018" s="136"/>
    </row>
    <row r="28019" spans="1:2" x14ac:dyDescent="0.25">
      <c r="A28019" s="118"/>
      <c r="B28019" s="136"/>
    </row>
    <row r="28020" spans="1:2" x14ac:dyDescent="0.25">
      <c r="A28020" s="118"/>
      <c r="B28020" s="136"/>
    </row>
    <row r="28021" spans="1:2" x14ac:dyDescent="0.25">
      <c r="A28021" s="118"/>
      <c r="B28021" s="136"/>
    </row>
    <row r="28022" spans="1:2" x14ac:dyDescent="0.25">
      <c r="A28022" s="118"/>
      <c r="B28022" s="136"/>
    </row>
    <row r="28023" spans="1:2" x14ac:dyDescent="0.25">
      <c r="A28023" s="118"/>
      <c r="B28023" s="136"/>
    </row>
    <row r="28024" spans="1:2" x14ac:dyDescent="0.25">
      <c r="A28024" s="118"/>
      <c r="B28024" s="136"/>
    </row>
    <row r="28025" spans="1:2" x14ac:dyDescent="0.25">
      <c r="A28025" s="118"/>
      <c r="B28025" s="136"/>
    </row>
    <row r="28026" spans="1:2" x14ac:dyDescent="0.25">
      <c r="A28026" s="118"/>
      <c r="B28026" s="136"/>
    </row>
    <row r="28027" spans="1:2" x14ac:dyDescent="0.25">
      <c r="A28027" s="118"/>
      <c r="B28027" s="136"/>
    </row>
    <row r="28028" spans="1:2" x14ac:dyDescent="0.25">
      <c r="A28028" s="118"/>
      <c r="B28028" s="136"/>
    </row>
    <row r="28029" spans="1:2" x14ac:dyDescent="0.25">
      <c r="A28029" s="118"/>
      <c r="B28029" s="136"/>
    </row>
    <row r="28030" spans="1:2" x14ac:dyDescent="0.25">
      <c r="A28030" s="118"/>
      <c r="B28030" s="136"/>
    </row>
    <row r="28031" spans="1:2" x14ac:dyDescent="0.25">
      <c r="A28031" s="118"/>
      <c r="B28031" s="136"/>
    </row>
    <row r="28032" spans="1:2" x14ac:dyDescent="0.25">
      <c r="A28032" s="118"/>
      <c r="B28032" s="136"/>
    </row>
    <row r="28033" spans="1:2" x14ac:dyDescent="0.25">
      <c r="A28033" s="118"/>
      <c r="B28033" s="136"/>
    </row>
    <row r="28034" spans="1:2" x14ac:dyDescent="0.25">
      <c r="A28034" s="118"/>
      <c r="B28034" s="136"/>
    </row>
    <row r="28035" spans="1:2" x14ac:dyDescent="0.25">
      <c r="A28035" s="118"/>
      <c r="B28035" s="136"/>
    </row>
    <row r="28036" spans="1:2" x14ac:dyDescent="0.25">
      <c r="A28036" s="118"/>
      <c r="B28036" s="136"/>
    </row>
    <row r="28037" spans="1:2" x14ac:dyDescent="0.25">
      <c r="A28037" s="118"/>
      <c r="B28037" s="136"/>
    </row>
    <row r="28038" spans="1:2" x14ac:dyDescent="0.25">
      <c r="A28038" s="118"/>
      <c r="B28038" s="136"/>
    </row>
    <row r="28039" spans="1:2" x14ac:dyDescent="0.25">
      <c r="A28039" s="118"/>
      <c r="B28039" s="136"/>
    </row>
    <row r="28040" spans="1:2" x14ac:dyDescent="0.25">
      <c r="A28040" s="118"/>
      <c r="B28040" s="136"/>
    </row>
    <row r="28041" spans="1:2" x14ac:dyDescent="0.25">
      <c r="A28041" s="118"/>
      <c r="B28041" s="136"/>
    </row>
    <row r="28042" spans="1:2" x14ac:dyDescent="0.25">
      <c r="A28042" s="118"/>
      <c r="B28042" s="136"/>
    </row>
    <row r="28043" spans="1:2" x14ac:dyDescent="0.25">
      <c r="A28043" s="118"/>
      <c r="B28043" s="136"/>
    </row>
    <row r="28044" spans="1:2" x14ac:dyDescent="0.25">
      <c r="A28044" s="118"/>
      <c r="B28044" s="136"/>
    </row>
    <row r="28045" spans="1:2" x14ac:dyDescent="0.25">
      <c r="A28045" s="118"/>
      <c r="B28045" s="136"/>
    </row>
    <row r="28046" spans="1:2" x14ac:dyDescent="0.25">
      <c r="A28046" s="118"/>
      <c r="B28046" s="136"/>
    </row>
    <row r="28047" spans="1:2" x14ac:dyDescent="0.25">
      <c r="A28047" s="118"/>
      <c r="B28047" s="136"/>
    </row>
    <row r="28048" spans="1:2" x14ac:dyDescent="0.25">
      <c r="A28048" s="118"/>
      <c r="B28048" s="136"/>
    </row>
    <row r="28049" spans="1:2" x14ac:dyDescent="0.25">
      <c r="A28049" s="118"/>
      <c r="B28049" s="136"/>
    </row>
    <row r="28050" spans="1:2" x14ac:dyDescent="0.25">
      <c r="A28050" s="118"/>
      <c r="B28050" s="136"/>
    </row>
    <row r="28051" spans="1:2" x14ac:dyDescent="0.25">
      <c r="A28051" s="118"/>
      <c r="B28051" s="136"/>
    </row>
    <row r="28052" spans="1:2" x14ac:dyDescent="0.25">
      <c r="A28052" s="118"/>
      <c r="B28052" s="136"/>
    </row>
    <row r="28053" spans="1:2" x14ac:dyDescent="0.25">
      <c r="A28053" s="118"/>
      <c r="B28053" s="136"/>
    </row>
    <row r="28054" spans="1:2" x14ac:dyDescent="0.25">
      <c r="A28054" s="118"/>
      <c r="B28054" s="136"/>
    </row>
    <row r="28055" spans="1:2" x14ac:dyDescent="0.25">
      <c r="A28055" s="118"/>
      <c r="B28055" s="136"/>
    </row>
    <row r="28056" spans="1:2" x14ac:dyDescent="0.25">
      <c r="A28056" s="118"/>
      <c r="B28056" s="136"/>
    </row>
    <row r="28057" spans="1:2" x14ac:dyDescent="0.25">
      <c r="A28057" s="118"/>
      <c r="B28057" s="136"/>
    </row>
    <row r="28058" spans="1:2" x14ac:dyDescent="0.25">
      <c r="A28058" s="118"/>
      <c r="B28058" s="136"/>
    </row>
    <row r="28059" spans="1:2" x14ac:dyDescent="0.25">
      <c r="A28059" s="118"/>
      <c r="B28059" s="136"/>
    </row>
    <row r="28060" spans="1:2" x14ac:dyDescent="0.25">
      <c r="A28060" s="118"/>
      <c r="B28060" s="136"/>
    </row>
    <row r="28061" spans="1:2" x14ac:dyDescent="0.25">
      <c r="A28061" s="118"/>
      <c r="B28061" s="136"/>
    </row>
    <row r="28062" spans="1:2" x14ac:dyDescent="0.25">
      <c r="A28062" s="118"/>
      <c r="B28062" s="136"/>
    </row>
    <row r="28063" spans="1:2" x14ac:dyDescent="0.25">
      <c r="A28063" s="118"/>
      <c r="B28063" s="136"/>
    </row>
    <row r="28064" spans="1:2" x14ac:dyDescent="0.25">
      <c r="A28064" s="118"/>
      <c r="B28064" s="136"/>
    </row>
    <row r="28065" spans="1:2" x14ac:dyDescent="0.25">
      <c r="A28065" s="118"/>
      <c r="B28065" s="136"/>
    </row>
    <row r="28066" spans="1:2" x14ac:dyDescent="0.25">
      <c r="A28066" s="118"/>
      <c r="B28066" s="136"/>
    </row>
    <row r="28067" spans="1:2" x14ac:dyDescent="0.25">
      <c r="A28067" s="118"/>
      <c r="B28067" s="136"/>
    </row>
    <row r="28068" spans="1:2" x14ac:dyDescent="0.25">
      <c r="A28068" s="118"/>
      <c r="B28068" s="136"/>
    </row>
    <row r="28069" spans="1:2" x14ac:dyDescent="0.25">
      <c r="A28069" s="118"/>
      <c r="B28069" s="136"/>
    </row>
    <row r="28070" spans="1:2" x14ac:dyDescent="0.25">
      <c r="A28070" s="118"/>
      <c r="B28070" s="136"/>
    </row>
    <row r="28071" spans="1:2" x14ac:dyDescent="0.25">
      <c r="A28071" s="118"/>
      <c r="B28071" s="136"/>
    </row>
    <row r="28072" spans="1:2" x14ac:dyDescent="0.25">
      <c r="A28072" s="118"/>
      <c r="B28072" s="136"/>
    </row>
    <row r="28073" spans="1:2" x14ac:dyDescent="0.25">
      <c r="A28073" s="118"/>
      <c r="B28073" s="136"/>
    </row>
    <row r="28074" spans="1:2" x14ac:dyDescent="0.25">
      <c r="A28074" s="118"/>
      <c r="B28074" s="136"/>
    </row>
    <row r="28075" spans="1:2" x14ac:dyDescent="0.25">
      <c r="A28075" s="118"/>
      <c r="B28075" s="136"/>
    </row>
    <row r="28076" spans="1:2" x14ac:dyDescent="0.25">
      <c r="A28076" s="118"/>
      <c r="B28076" s="136"/>
    </row>
    <row r="28077" spans="1:2" x14ac:dyDescent="0.25">
      <c r="A28077" s="118"/>
      <c r="B28077" s="136"/>
    </row>
    <row r="28078" spans="1:2" x14ac:dyDescent="0.25">
      <c r="A28078" s="118"/>
      <c r="B28078" s="136"/>
    </row>
    <row r="28079" spans="1:2" x14ac:dyDescent="0.25">
      <c r="A28079" s="118"/>
      <c r="B28079" s="136"/>
    </row>
    <row r="28080" spans="1:2" x14ac:dyDescent="0.25">
      <c r="A28080" s="118"/>
      <c r="B28080" s="136"/>
    </row>
    <row r="28081" spans="1:2" x14ac:dyDescent="0.25">
      <c r="A28081" s="118"/>
      <c r="B28081" s="136"/>
    </row>
    <row r="28082" spans="1:2" x14ac:dyDescent="0.25">
      <c r="A28082" s="118"/>
      <c r="B28082" s="136"/>
    </row>
    <row r="28083" spans="1:2" x14ac:dyDescent="0.25">
      <c r="A28083" s="118"/>
      <c r="B28083" s="136"/>
    </row>
    <row r="28084" spans="1:2" x14ac:dyDescent="0.25">
      <c r="A28084" s="118"/>
      <c r="B28084" s="136"/>
    </row>
    <row r="28085" spans="1:2" x14ac:dyDescent="0.25">
      <c r="A28085" s="118"/>
      <c r="B28085" s="136"/>
    </row>
    <row r="28086" spans="1:2" x14ac:dyDescent="0.25">
      <c r="A28086" s="118"/>
      <c r="B28086" s="136"/>
    </row>
    <row r="28087" spans="1:2" x14ac:dyDescent="0.25">
      <c r="A28087" s="118"/>
      <c r="B28087" s="136"/>
    </row>
    <row r="28088" spans="1:2" x14ac:dyDescent="0.25">
      <c r="A28088" s="118"/>
      <c r="B28088" s="136"/>
    </row>
    <row r="28089" spans="1:2" x14ac:dyDescent="0.25">
      <c r="A28089" s="118"/>
      <c r="B28089" s="136"/>
    </row>
    <row r="28090" spans="1:2" x14ac:dyDescent="0.25">
      <c r="A28090" s="118"/>
      <c r="B28090" s="136"/>
    </row>
    <row r="28091" spans="1:2" x14ac:dyDescent="0.25">
      <c r="A28091" s="118"/>
      <c r="B28091" s="136"/>
    </row>
    <row r="28092" spans="1:2" x14ac:dyDescent="0.25">
      <c r="A28092" s="118"/>
      <c r="B28092" s="136"/>
    </row>
    <row r="28093" spans="1:2" x14ac:dyDescent="0.25">
      <c r="A28093" s="118"/>
      <c r="B28093" s="136"/>
    </row>
    <row r="28094" spans="1:2" x14ac:dyDescent="0.25">
      <c r="A28094" s="118"/>
      <c r="B28094" s="136"/>
    </row>
    <row r="28095" spans="1:2" x14ac:dyDescent="0.25">
      <c r="A28095" s="118"/>
      <c r="B28095" s="136"/>
    </row>
    <row r="28096" spans="1:2" x14ac:dyDescent="0.25">
      <c r="A28096" s="118"/>
      <c r="B28096" s="136"/>
    </row>
    <row r="28097" spans="1:2" x14ac:dyDescent="0.25">
      <c r="A28097" s="118"/>
      <c r="B28097" s="136"/>
    </row>
    <row r="28098" spans="1:2" x14ac:dyDescent="0.25">
      <c r="A28098" s="118"/>
      <c r="B28098" s="136"/>
    </row>
    <row r="28099" spans="1:2" x14ac:dyDescent="0.25">
      <c r="A28099" s="118"/>
      <c r="B28099" s="136"/>
    </row>
    <row r="28100" spans="1:2" x14ac:dyDescent="0.25">
      <c r="A28100" s="118"/>
      <c r="B28100" s="136"/>
    </row>
    <row r="28101" spans="1:2" x14ac:dyDescent="0.25">
      <c r="A28101" s="118"/>
      <c r="B28101" s="136"/>
    </row>
    <row r="28102" spans="1:2" x14ac:dyDescent="0.25">
      <c r="A28102" s="118"/>
      <c r="B28102" s="136"/>
    </row>
    <row r="28103" spans="1:2" x14ac:dyDescent="0.25">
      <c r="A28103" s="118"/>
      <c r="B28103" s="136"/>
    </row>
    <row r="28104" spans="1:2" x14ac:dyDescent="0.25">
      <c r="A28104" s="118"/>
      <c r="B28104" s="136"/>
    </row>
    <row r="28105" spans="1:2" x14ac:dyDescent="0.25">
      <c r="A28105" s="118"/>
      <c r="B28105" s="136"/>
    </row>
    <row r="28106" spans="1:2" x14ac:dyDescent="0.25">
      <c r="A28106" s="118"/>
      <c r="B28106" s="136"/>
    </row>
    <row r="28107" spans="1:2" x14ac:dyDescent="0.25">
      <c r="A28107" s="118"/>
      <c r="B28107" s="136"/>
    </row>
    <row r="28108" spans="1:2" x14ac:dyDescent="0.25">
      <c r="A28108" s="118"/>
      <c r="B28108" s="136"/>
    </row>
    <row r="28109" spans="1:2" x14ac:dyDescent="0.25">
      <c r="A28109" s="118"/>
      <c r="B28109" s="136"/>
    </row>
    <row r="28110" spans="1:2" x14ac:dyDescent="0.25">
      <c r="A28110" s="118"/>
      <c r="B28110" s="136"/>
    </row>
    <row r="28111" spans="1:2" x14ac:dyDescent="0.25">
      <c r="A28111" s="118"/>
      <c r="B28111" s="136"/>
    </row>
    <row r="28112" spans="1:2" x14ac:dyDescent="0.25">
      <c r="A28112" s="118"/>
      <c r="B28112" s="136"/>
    </row>
    <row r="28113" spans="1:2" x14ac:dyDescent="0.25">
      <c r="A28113" s="118"/>
      <c r="B28113" s="136"/>
    </row>
    <row r="28114" spans="1:2" x14ac:dyDescent="0.25">
      <c r="A28114" s="118"/>
      <c r="B28114" s="136"/>
    </row>
    <row r="28115" spans="1:2" x14ac:dyDescent="0.25">
      <c r="A28115" s="118"/>
      <c r="B28115" s="136"/>
    </row>
    <row r="28116" spans="1:2" x14ac:dyDescent="0.25">
      <c r="A28116" s="118"/>
      <c r="B28116" s="136"/>
    </row>
    <row r="28117" spans="1:2" x14ac:dyDescent="0.25">
      <c r="A28117" s="118"/>
      <c r="B28117" s="136"/>
    </row>
    <row r="28118" spans="1:2" x14ac:dyDescent="0.25">
      <c r="A28118" s="118"/>
      <c r="B28118" s="136"/>
    </row>
    <row r="28119" spans="1:2" x14ac:dyDescent="0.25">
      <c r="A28119" s="118"/>
      <c r="B28119" s="136"/>
    </row>
    <row r="28120" spans="1:2" x14ac:dyDescent="0.25">
      <c r="A28120" s="118"/>
      <c r="B28120" s="136"/>
    </row>
    <row r="28121" spans="1:2" x14ac:dyDescent="0.25">
      <c r="A28121" s="118"/>
      <c r="B28121" s="136"/>
    </row>
    <row r="28122" spans="1:2" x14ac:dyDescent="0.25">
      <c r="A28122" s="118"/>
      <c r="B28122" s="136"/>
    </row>
    <row r="28123" spans="1:2" x14ac:dyDescent="0.25">
      <c r="A28123" s="118"/>
      <c r="B28123" s="136"/>
    </row>
    <row r="28124" spans="1:2" x14ac:dyDescent="0.25">
      <c r="A28124" s="118"/>
      <c r="B28124" s="136"/>
    </row>
    <row r="28125" spans="1:2" x14ac:dyDescent="0.25">
      <c r="A28125" s="118"/>
      <c r="B28125" s="136"/>
    </row>
    <row r="28126" spans="1:2" x14ac:dyDescent="0.25">
      <c r="A28126" s="118"/>
      <c r="B28126" s="136"/>
    </row>
    <row r="28127" spans="1:2" x14ac:dyDescent="0.25">
      <c r="A28127" s="118"/>
      <c r="B28127" s="136"/>
    </row>
    <row r="28128" spans="1:2" x14ac:dyDescent="0.25">
      <c r="A28128" s="118"/>
      <c r="B28128" s="136"/>
    </row>
    <row r="28129" spans="1:2" x14ac:dyDescent="0.25">
      <c r="A28129" s="118"/>
      <c r="B28129" s="136"/>
    </row>
    <row r="28130" spans="1:2" x14ac:dyDescent="0.25">
      <c r="A28130" s="118"/>
      <c r="B28130" s="136"/>
    </row>
    <row r="28131" spans="1:2" x14ac:dyDescent="0.25">
      <c r="A28131" s="118"/>
      <c r="B28131" s="136"/>
    </row>
    <row r="28132" spans="1:2" x14ac:dyDescent="0.25">
      <c r="A28132" s="118"/>
      <c r="B28132" s="136"/>
    </row>
    <row r="28133" spans="1:2" x14ac:dyDescent="0.25">
      <c r="A28133" s="118"/>
      <c r="B28133" s="136"/>
    </row>
    <row r="28134" spans="1:2" x14ac:dyDescent="0.25">
      <c r="A28134" s="118"/>
      <c r="B28134" s="136"/>
    </row>
    <row r="28135" spans="1:2" x14ac:dyDescent="0.25">
      <c r="A28135" s="118"/>
      <c r="B28135" s="136"/>
    </row>
    <row r="28136" spans="1:2" x14ac:dyDescent="0.25">
      <c r="A28136" s="118"/>
      <c r="B28136" s="136"/>
    </row>
    <row r="28137" spans="1:2" x14ac:dyDescent="0.25">
      <c r="A28137" s="118"/>
      <c r="B28137" s="136"/>
    </row>
    <row r="28138" spans="1:2" x14ac:dyDescent="0.25">
      <c r="A28138" s="118"/>
      <c r="B28138" s="136"/>
    </row>
    <row r="28139" spans="1:2" x14ac:dyDescent="0.25">
      <c r="A28139" s="118"/>
      <c r="B28139" s="136"/>
    </row>
    <row r="28140" spans="1:2" x14ac:dyDescent="0.25">
      <c r="A28140" s="118"/>
      <c r="B28140" s="136"/>
    </row>
    <row r="28141" spans="1:2" x14ac:dyDescent="0.25">
      <c r="A28141" s="118"/>
      <c r="B28141" s="136"/>
    </row>
    <row r="28142" spans="1:2" x14ac:dyDescent="0.25">
      <c r="A28142" s="118"/>
      <c r="B28142" s="136"/>
    </row>
    <row r="28143" spans="1:2" x14ac:dyDescent="0.25">
      <c r="A28143" s="118"/>
      <c r="B28143" s="136"/>
    </row>
    <row r="28144" spans="1:2" x14ac:dyDescent="0.25">
      <c r="A28144" s="118"/>
      <c r="B28144" s="136"/>
    </row>
    <row r="28145" spans="1:2" x14ac:dyDescent="0.25">
      <c r="A28145" s="118"/>
      <c r="B28145" s="136"/>
    </row>
    <row r="28146" spans="1:2" x14ac:dyDescent="0.25">
      <c r="A28146" s="118"/>
      <c r="B28146" s="136"/>
    </row>
    <row r="28147" spans="1:2" x14ac:dyDescent="0.25">
      <c r="A28147" s="118"/>
      <c r="B28147" s="136"/>
    </row>
    <row r="28148" spans="1:2" x14ac:dyDescent="0.25">
      <c r="A28148" s="118"/>
      <c r="B28148" s="136"/>
    </row>
    <row r="28149" spans="1:2" x14ac:dyDescent="0.25">
      <c r="A28149" s="118"/>
      <c r="B28149" s="136"/>
    </row>
    <row r="28150" spans="1:2" x14ac:dyDescent="0.25">
      <c r="A28150" s="118"/>
      <c r="B28150" s="136"/>
    </row>
    <row r="28151" spans="1:2" x14ac:dyDescent="0.25">
      <c r="A28151" s="118"/>
      <c r="B28151" s="136"/>
    </row>
    <row r="28152" spans="1:2" x14ac:dyDescent="0.25">
      <c r="A28152" s="118"/>
      <c r="B28152" s="136"/>
    </row>
    <row r="28153" spans="1:2" x14ac:dyDescent="0.25">
      <c r="A28153" s="118"/>
      <c r="B28153" s="136"/>
    </row>
    <row r="28154" spans="1:2" x14ac:dyDescent="0.25">
      <c r="A28154" s="118"/>
      <c r="B28154" s="136"/>
    </row>
    <row r="28155" spans="1:2" x14ac:dyDescent="0.25">
      <c r="A28155" s="118"/>
      <c r="B28155" s="136"/>
    </row>
    <row r="28156" spans="1:2" x14ac:dyDescent="0.25">
      <c r="A28156" s="118"/>
      <c r="B28156" s="136"/>
    </row>
    <row r="28157" spans="1:2" x14ac:dyDescent="0.25">
      <c r="A28157" s="118"/>
      <c r="B28157" s="136"/>
    </row>
    <row r="28158" spans="1:2" x14ac:dyDescent="0.25">
      <c r="A28158" s="118"/>
      <c r="B28158" s="136"/>
    </row>
    <row r="28159" spans="1:2" x14ac:dyDescent="0.25">
      <c r="A28159" s="118"/>
      <c r="B28159" s="136"/>
    </row>
    <row r="28160" spans="1:2" x14ac:dyDescent="0.25">
      <c r="A28160" s="118"/>
      <c r="B28160" s="136"/>
    </row>
    <row r="28161" spans="1:2" x14ac:dyDescent="0.25">
      <c r="A28161" s="118"/>
      <c r="B28161" s="136"/>
    </row>
    <row r="28162" spans="1:2" x14ac:dyDescent="0.25">
      <c r="A28162" s="118"/>
      <c r="B28162" s="136"/>
    </row>
    <row r="28163" spans="1:2" x14ac:dyDescent="0.25">
      <c r="A28163" s="118"/>
      <c r="B28163" s="136"/>
    </row>
    <row r="28164" spans="1:2" x14ac:dyDescent="0.25">
      <c r="A28164" s="118"/>
      <c r="B28164" s="136"/>
    </row>
    <row r="28165" spans="1:2" x14ac:dyDescent="0.25">
      <c r="A28165" s="118"/>
      <c r="B28165" s="136"/>
    </row>
    <row r="28166" spans="1:2" x14ac:dyDescent="0.25">
      <c r="A28166" s="118"/>
      <c r="B28166" s="136"/>
    </row>
    <row r="28167" spans="1:2" x14ac:dyDescent="0.25">
      <c r="A28167" s="118"/>
      <c r="B28167" s="136"/>
    </row>
    <row r="28168" spans="1:2" x14ac:dyDescent="0.25">
      <c r="A28168" s="118"/>
      <c r="B28168" s="136"/>
    </row>
    <row r="28169" spans="1:2" x14ac:dyDescent="0.25">
      <c r="A28169" s="118"/>
      <c r="B28169" s="136"/>
    </row>
    <row r="28170" spans="1:2" x14ac:dyDescent="0.25">
      <c r="A28170" s="118"/>
      <c r="B28170" s="136"/>
    </row>
    <row r="28171" spans="1:2" x14ac:dyDescent="0.25">
      <c r="A28171" s="118"/>
      <c r="B28171" s="136"/>
    </row>
    <row r="28172" spans="1:2" x14ac:dyDescent="0.25">
      <c r="A28172" s="118"/>
      <c r="B28172" s="136"/>
    </row>
    <row r="28173" spans="1:2" x14ac:dyDescent="0.25">
      <c r="A28173" s="118"/>
      <c r="B28173" s="136"/>
    </row>
    <row r="28174" spans="1:2" x14ac:dyDescent="0.25">
      <c r="A28174" s="118"/>
      <c r="B28174" s="136"/>
    </row>
    <row r="28175" spans="1:2" x14ac:dyDescent="0.25">
      <c r="A28175" s="118"/>
      <c r="B28175" s="136"/>
    </row>
    <row r="28176" spans="1:2" x14ac:dyDescent="0.25">
      <c r="A28176" s="118"/>
      <c r="B28176" s="136"/>
    </row>
    <row r="28177" spans="1:2" x14ac:dyDescent="0.25">
      <c r="A28177" s="118"/>
      <c r="B28177" s="136"/>
    </row>
    <row r="28178" spans="1:2" x14ac:dyDescent="0.25">
      <c r="A28178" s="118"/>
      <c r="B28178" s="136"/>
    </row>
    <row r="28179" spans="1:2" x14ac:dyDescent="0.25">
      <c r="A28179" s="118"/>
      <c r="B28179" s="136"/>
    </row>
    <row r="28180" spans="1:2" x14ac:dyDescent="0.25">
      <c r="A28180" s="118"/>
      <c r="B28180" s="136"/>
    </row>
    <row r="28181" spans="1:2" x14ac:dyDescent="0.25">
      <c r="A28181" s="118"/>
      <c r="B28181" s="136"/>
    </row>
    <row r="28182" spans="1:2" x14ac:dyDescent="0.25">
      <c r="A28182" s="118"/>
      <c r="B28182" s="136"/>
    </row>
    <row r="28183" spans="1:2" x14ac:dyDescent="0.25">
      <c r="A28183" s="118"/>
      <c r="B28183" s="136"/>
    </row>
    <row r="28184" spans="1:2" x14ac:dyDescent="0.25">
      <c r="A28184" s="118"/>
      <c r="B28184" s="136"/>
    </row>
    <row r="28185" spans="1:2" x14ac:dyDescent="0.25">
      <c r="A28185" s="118"/>
      <c r="B28185" s="136"/>
    </row>
    <row r="28186" spans="1:2" x14ac:dyDescent="0.25">
      <c r="A28186" s="118"/>
      <c r="B28186" s="136"/>
    </row>
    <row r="28187" spans="1:2" x14ac:dyDescent="0.25">
      <c r="A28187" s="118"/>
      <c r="B28187" s="136"/>
    </row>
    <row r="28188" spans="1:2" x14ac:dyDescent="0.25">
      <c r="A28188" s="118"/>
      <c r="B28188" s="136"/>
    </row>
    <row r="28189" spans="1:2" x14ac:dyDescent="0.25">
      <c r="A28189" s="118"/>
      <c r="B28189" s="136"/>
    </row>
    <row r="28190" spans="1:2" x14ac:dyDescent="0.25">
      <c r="A28190" s="118"/>
      <c r="B28190" s="136"/>
    </row>
    <row r="28191" spans="1:2" x14ac:dyDescent="0.25">
      <c r="A28191" s="118"/>
      <c r="B28191" s="136"/>
    </row>
    <row r="28192" spans="1:2" x14ac:dyDescent="0.25">
      <c r="A28192" s="118"/>
      <c r="B28192" s="136"/>
    </row>
    <row r="28193" spans="1:2" x14ac:dyDescent="0.25">
      <c r="A28193" s="118"/>
      <c r="B28193" s="136"/>
    </row>
    <row r="28194" spans="1:2" x14ac:dyDescent="0.25">
      <c r="A28194" s="118"/>
      <c r="B28194" s="136"/>
    </row>
    <row r="28195" spans="1:2" x14ac:dyDescent="0.25">
      <c r="A28195" s="118"/>
      <c r="B28195" s="136"/>
    </row>
    <row r="28196" spans="1:2" x14ac:dyDescent="0.25">
      <c r="A28196" s="118"/>
      <c r="B28196" s="136"/>
    </row>
    <row r="28197" spans="1:2" x14ac:dyDescent="0.25">
      <c r="A28197" s="118"/>
      <c r="B28197" s="136"/>
    </row>
    <row r="28198" spans="1:2" x14ac:dyDescent="0.25">
      <c r="A28198" s="118"/>
      <c r="B28198" s="136"/>
    </row>
    <row r="28199" spans="1:2" x14ac:dyDescent="0.25">
      <c r="A28199" s="118"/>
      <c r="B28199" s="136"/>
    </row>
    <row r="28200" spans="1:2" x14ac:dyDescent="0.25">
      <c r="A28200" s="118"/>
      <c r="B28200" s="136"/>
    </row>
    <row r="28201" spans="1:2" x14ac:dyDescent="0.25">
      <c r="A28201" s="118"/>
      <c r="B28201" s="136"/>
    </row>
    <row r="28202" spans="1:2" x14ac:dyDescent="0.25">
      <c r="A28202" s="118"/>
      <c r="B28202" s="136"/>
    </row>
    <row r="28203" spans="1:2" x14ac:dyDescent="0.25">
      <c r="A28203" s="118"/>
      <c r="B28203" s="136"/>
    </row>
    <row r="28204" spans="1:2" x14ac:dyDescent="0.25">
      <c r="A28204" s="118"/>
      <c r="B28204" s="136"/>
    </row>
    <row r="28205" spans="1:2" x14ac:dyDescent="0.25">
      <c r="A28205" s="118"/>
      <c r="B28205" s="136"/>
    </row>
    <row r="28206" spans="1:2" x14ac:dyDescent="0.25">
      <c r="A28206" s="118"/>
      <c r="B28206" s="136"/>
    </row>
    <row r="28207" spans="1:2" x14ac:dyDescent="0.25">
      <c r="A28207" s="118"/>
      <c r="B28207" s="136"/>
    </row>
    <row r="28208" spans="1:2" x14ac:dyDescent="0.25">
      <c r="A28208" s="118"/>
      <c r="B28208" s="136"/>
    </row>
    <row r="28209" spans="1:2" x14ac:dyDescent="0.25">
      <c r="A28209" s="118"/>
      <c r="B28209" s="136"/>
    </row>
    <row r="28210" spans="1:2" x14ac:dyDescent="0.25">
      <c r="A28210" s="118"/>
      <c r="B28210" s="136"/>
    </row>
    <row r="28211" spans="1:2" x14ac:dyDescent="0.25">
      <c r="A28211" s="118"/>
      <c r="B28211" s="136"/>
    </row>
    <row r="28212" spans="1:2" x14ac:dyDescent="0.25">
      <c r="A28212" s="118"/>
      <c r="B28212" s="136"/>
    </row>
    <row r="28213" spans="1:2" x14ac:dyDescent="0.25">
      <c r="A28213" s="118"/>
      <c r="B28213" s="136"/>
    </row>
    <row r="28214" spans="1:2" x14ac:dyDescent="0.25">
      <c r="A28214" s="118"/>
      <c r="B28214" s="136"/>
    </row>
    <row r="28215" spans="1:2" x14ac:dyDescent="0.25">
      <c r="A28215" s="118"/>
      <c r="B28215" s="136"/>
    </row>
    <row r="28216" spans="1:2" x14ac:dyDescent="0.25">
      <c r="A28216" s="118"/>
      <c r="B28216" s="136"/>
    </row>
    <row r="28217" spans="1:2" x14ac:dyDescent="0.25">
      <c r="A28217" s="118"/>
      <c r="B28217" s="136"/>
    </row>
    <row r="28218" spans="1:2" x14ac:dyDescent="0.25">
      <c r="A28218" s="118"/>
      <c r="B28218" s="136"/>
    </row>
    <row r="28219" spans="1:2" x14ac:dyDescent="0.25">
      <c r="A28219" s="118"/>
      <c r="B28219" s="136"/>
    </row>
    <row r="28220" spans="1:2" x14ac:dyDescent="0.25">
      <c r="A28220" s="118"/>
      <c r="B28220" s="136"/>
    </row>
    <row r="28221" spans="1:2" x14ac:dyDescent="0.25">
      <c r="A28221" s="118"/>
      <c r="B28221" s="136"/>
    </row>
    <row r="28222" spans="1:2" x14ac:dyDescent="0.25">
      <c r="A28222" s="118"/>
      <c r="B28222" s="136"/>
    </row>
    <row r="28223" spans="1:2" x14ac:dyDescent="0.25">
      <c r="A28223" s="118"/>
      <c r="B28223" s="136"/>
    </row>
    <row r="28224" spans="1:2" x14ac:dyDescent="0.25">
      <c r="A28224" s="118"/>
      <c r="B28224" s="136"/>
    </row>
    <row r="28225" spans="1:2" x14ac:dyDescent="0.25">
      <c r="A28225" s="118"/>
      <c r="B28225" s="136"/>
    </row>
    <row r="28226" spans="1:2" x14ac:dyDescent="0.25">
      <c r="A28226" s="118"/>
      <c r="B28226" s="136"/>
    </row>
    <row r="28227" spans="1:2" x14ac:dyDescent="0.25">
      <c r="A28227" s="118"/>
      <c r="B28227" s="136"/>
    </row>
    <row r="28228" spans="1:2" x14ac:dyDescent="0.25">
      <c r="A28228" s="118"/>
      <c r="B28228" s="136"/>
    </row>
    <row r="28229" spans="1:2" x14ac:dyDescent="0.25">
      <c r="A28229" s="118"/>
      <c r="B28229" s="136"/>
    </row>
    <row r="28230" spans="1:2" x14ac:dyDescent="0.25">
      <c r="A28230" s="118"/>
      <c r="B28230" s="136"/>
    </row>
    <row r="28231" spans="1:2" x14ac:dyDescent="0.25">
      <c r="A28231" s="118"/>
      <c r="B28231" s="136"/>
    </row>
    <row r="28232" spans="1:2" x14ac:dyDescent="0.25">
      <c r="A28232" s="118"/>
      <c r="B28232" s="136"/>
    </row>
    <row r="28233" spans="1:2" x14ac:dyDescent="0.25">
      <c r="A28233" s="118"/>
      <c r="B28233" s="136"/>
    </row>
    <row r="28234" spans="1:2" x14ac:dyDescent="0.25">
      <c r="A28234" s="118"/>
      <c r="B28234" s="136"/>
    </row>
    <row r="28235" spans="1:2" x14ac:dyDescent="0.25">
      <c r="A28235" s="118"/>
      <c r="B28235" s="136"/>
    </row>
    <row r="28236" spans="1:2" x14ac:dyDescent="0.25">
      <c r="A28236" s="118"/>
      <c r="B28236" s="136"/>
    </row>
    <row r="28237" spans="1:2" x14ac:dyDescent="0.25">
      <c r="A28237" s="118"/>
      <c r="B28237" s="136"/>
    </row>
    <row r="28238" spans="1:2" x14ac:dyDescent="0.25">
      <c r="A28238" s="118"/>
      <c r="B28238" s="136"/>
    </row>
    <row r="28239" spans="1:2" x14ac:dyDescent="0.25">
      <c r="A28239" s="118"/>
      <c r="B28239" s="136"/>
    </row>
    <row r="28240" spans="1:2" x14ac:dyDescent="0.25">
      <c r="A28240" s="118"/>
      <c r="B28240" s="136"/>
    </row>
    <row r="28241" spans="1:2" x14ac:dyDescent="0.25">
      <c r="A28241" s="118"/>
      <c r="B28241" s="136"/>
    </row>
    <row r="28242" spans="1:2" x14ac:dyDescent="0.25">
      <c r="A28242" s="118"/>
      <c r="B28242" s="136"/>
    </row>
    <row r="28243" spans="1:2" x14ac:dyDescent="0.25">
      <c r="A28243" s="118"/>
      <c r="B28243" s="136"/>
    </row>
    <row r="28244" spans="1:2" x14ac:dyDescent="0.25">
      <c r="A28244" s="118"/>
      <c r="B28244" s="136"/>
    </row>
    <row r="28245" spans="1:2" x14ac:dyDescent="0.25">
      <c r="A28245" s="118"/>
      <c r="B28245" s="136"/>
    </row>
    <row r="28246" spans="1:2" x14ac:dyDescent="0.25">
      <c r="A28246" s="118"/>
      <c r="B28246" s="136"/>
    </row>
    <row r="28247" spans="1:2" x14ac:dyDescent="0.25">
      <c r="A28247" s="118"/>
      <c r="B28247" s="136"/>
    </row>
    <row r="28248" spans="1:2" x14ac:dyDescent="0.25">
      <c r="A28248" s="118"/>
      <c r="B28248" s="136"/>
    </row>
    <row r="28249" spans="1:2" x14ac:dyDescent="0.25">
      <c r="A28249" s="118"/>
      <c r="B28249" s="136"/>
    </row>
    <row r="28250" spans="1:2" x14ac:dyDescent="0.25">
      <c r="A28250" s="118"/>
      <c r="B28250" s="136"/>
    </row>
    <row r="28251" spans="1:2" x14ac:dyDescent="0.25">
      <c r="A28251" s="118"/>
      <c r="B28251" s="136"/>
    </row>
    <row r="28252" spans="1:2" x14ac:dyDescent="0.25">
      <c r="A28252" s="118"/>
      <c r="B28252" s="136"/>
    </row>
    <row r="28253" spans="1:2" x14ac:dyDescent="0.25">
      <c r="A28253" s="118"/>
      <c r="B28253" s="136"/>
    </row>
    <row r="28254" spans="1:2" x14ac:dyDescent="0.25">
      <c r="A28254" s="118"/>
      <c r="B28254" s="136"/>
    </row>
    <row r="28255" spans="1:2" x14ac:dyDescent="0.25">
      <c r="A28255" s="118"/>
      <c r="B28255" s="136"/>
    </row>
    <row r="28256" spans="1:2" x14ac:dyDescent="0.25">
      <c r="A28256" s="118"/>
      <c r="B28256" s="136"/>
    </row>
    <row r="28257" spans="1:2" x14ac:dyDescent="0.25">
      <c r="A28257" s="118"/>
      <c r="B28257" s="136"/>
    </row>
    <row r="28258" spans="1:2" x14ac:dyDescent="0.25">
      <c r="A28258" s="118"/>
      <c r="B28258" s="136"/>
    </row>
    <row r="28259" spans="1:2" x14ac:dyDescent="0.25">
      <c r="A28259" s="118"/>
      <c r="B28259" s="136"/>
    </row>
    <row r="28260" spans="1:2" x14ac:dyDescent="0.25">
      <c r="A28260" s="118"/>
      <c r="B28260" s="136"/>
    </row>
    <row r="28261" spans="1:2" x14ac:dyDescent="0.25">
      <c r="A28261" s="118"/>
      <c r="B28261" s="136"/>
    </row>
    <row r="28262" spans="1:2" x14ac:dyDescent="0.25">
      <c r="A28262" s="118"/>
      <c r="B28262" s="136"/>
    </row>
    <row r="28263" spans="1:2" x14ac:dyDescent="0.25">
      <c r="A28263" s="118"/>
      <c r="B28263" s="136"/>
    </row>
    <row r="28264" spans="1:2" x14ac:dyDescent="0.25">
      <c r="A28264" s="118"/>
      <c r="B28264" s="136"/>
    </row>
    <row r="28265" spans="1:2" x14ac:dyDescent="0.25">
      <c r="A28265" s="118"/>
      <c r="B28265" s="136"/>
    </row>
    <row r="28266" spans="1:2" x14ac:dyDescent="0.25">
      <c r="A28266" s="118"/>
      <c r="B28266" s="136"/>
    </row>
    <row r="28267" spans="1:2" x14ac:dyDescent="0.25">
      <c r="A28267" s="118"/>
      <c r="B28267" s="136"/>
    </row>
    <row r="28268" spans="1:2" x14ac:dyDescent="0.25">
      <c r="A28268" s="118"/>
      <c r="B28268" s="136"/>
    </row>
    <row r="28269" spans="1:2" x14ac:dyDescent="0.25">
      <c r="A28269" s="118"/>
      <c r="B28269" s="136"/>
    </row>
    <row r="28270" spans="1:2" x14ac:dyDescent="0.25">
      <c r="A28270" s="118"/>
      <c r="B28270" s="136"/>
    </row>
    <row r="28271" spans="1:2" x14ac:dyDescent="0.25">
      <c r="A28271" s="118"/>
      <c r="B28271" s="136"/>
    </row>
    <row r="28272" spans="1:2" x14ac:dyDescent="0.25">
      <c r="A28272" s="118"/>
      <c r="B28272" s="136"/>
    </row>
    <row r="28273" spans="1:2" x14ac:dyDescent="0.25">
      <c r="A28273" s="118"/>
      <c r="B28273" s="136"/>
    </row>
    <row r="28274" spans="1:2" x14ac:dyDescent="0.25">
      <c r="A28274" s="118"/>
      <c r="B28274" s="136"/>
    </row>
    <row r="28275" spans="1:2" x14ac:dyDescent="0.25">
      <c r="A28275" s="118"/>
      <c r="B28275" s="136"/>
    </row>
    <row r="28276" spans="1:2" x14ac:dyDescent="0.25">
      <c r="A28276" s="118"/>
      <c r="B28276" s="136"/>
    </row>
    <row r="28277" spans="1:2" x14ac:dyDescent="0.25">
      <c r="A28277" s="118"/>
      <c r="B28277" s="136"/>
    </row>
    <row r="28278" spans="1:2" x14ac:dyDescent="0.25">
      <c r="A28278" s="118"/>
      <c r="B28278" s="136"/>
    </row>
    <row r="28279" spans="1:2" x14ac:dyDescent="0.25">
      <c r="A28279" s="118"/>
      <c r="B28279" s="136"/>
    </row>
    <row r="28280" spans="1:2" x14ac:dyDescent="0.25">
      <c r="A28280" s="118"/>
      <c r="B28280" s="136"/>
    </row>
    <row r="28281" spans="1:2" x14ac:dyDescent="0.25">
      <c r="A28281" s="118"/>
      <c r="B28281" s="136"/>
    </row>
    <row r="28282" spans="1:2" x14ac:dyDescent="0.25">
      <c r="A28282" s="118"/>
      <c r="B28282" s="136"/>
    </row>
    <row r="28283" spans="1:2" x14ac:dyDescent="0.25">
      <c r="A28283" s="118"/>
      <c r="B28283" s="136"/>
    </row>
    <row r="28284" spans="1:2" x14ac:dyDescent="0.25">
      <c r="A28284" s="118"/>
      <c r="B28284" s="136"/>
    </row>
    <row r="28285" spans="1:2" x14ac:dyDescent="0.25">
      <c r="A28285" s="118"/>
      <c r="B28285" s="136"/>
    </row>
    <row r="28286" spans="1:2" x14ac:dyDescent="0.25">
      <c r="A28286" s="118"/>
      <c r="B28286" s="136"/>
    </row>
    <row r="28287" spans="1:2" x14ac:dyDescent="0.25">
      <c r="A28287" s="118"/>
      <c r="B28287" s="136"/>
    </row>
    <row r="28288" spans="1:2" x14ac:dyDescent="0.25">
      <c r="A28288" s="118"/>
      <c r="B28288" s="136"/>
    </row>
    <row r="28289" spans="1:2" x14ac:dyDescent="0.25">
      <c r="A28289" s="118"/>
      <c r="B28289" s="136"/>
    </row>
    <row r="28290" spans="1:2" x14ac:dyDescent="0.25">
      <c r="A28290" s="118"/>
      <c r="B28290" s="136"/>
    </row>
    <row r="28291" spans="1:2" x14ac:dyDescent="0.25">
      <c r="A28291" s="118"/>
      <c r="B28291" s="136"/>
    </row>
    <row r="28292" spans="1:2" x14ac:dyDescent="0.25">
      <c r="A28292" s="118"/>
      <c r="B28292" s="136"/>
    </row>
    <row r="28293" spans="1:2" x14ac:dyDescent="0.25">
      <c r="A28293" s="118"/>
      <c r="B28293" s="136"/>
    </row>
    <row r="28294" spans="1:2" x14ac:dyDescent="0.25">
      <c r="A28294" s="118"/>
      <c r="B28294" s="136"/>
    </row>
    <row r="28295" spans="1:2" x14ac:dyDescent="0.25">
      <c r="A28295" s="118"/>
      <c r="B28295" s="136"/>
    </row>
    <row r="28296" spans="1:2" x14ac:dyDescent="0.25">
      <c r="A28296" s="118"/>
      <c r="B28296" s="136"/>
    </row>
    <row r="28297" spans="1:2" x14ac:dyDescent="0.25">
      <c r="A28297" s="118"/>
      <c r="B28297" s="136"/>
    </row>
    <row r="28298" spans="1:2" x14ac:dyDescent="0.25">
      <c r="A28298" s="118"/>
      <c r="B28298" s="136"/>
    </row>
    <row r="28299" spans="1:2" x14ac:dyDescent="0.25">
      <c r="A28299" s="118"/>
      <c r="B28299" s="136"/>
    </row>
    <row r="28300" spans="1:2" x14ac:dyDescent="0.25">
      <c r="A28300" s="118"/>
      <c r="B28300" s="136"/>
    </row>
    <row r="28301" spans="1:2" x14ac:dyDescent="0.25">
      <c r="A28301" s="118"/>
      <c r="B28301" s="136"/>
    </row>
    <row r="28302" spans="1:2" x14ac:dyDescent="0.25">
      <c r="A28302" s="118"/>
      <c r="B28302" s="136"/>
    </row>
    <row r="28303" spans="1:2" x14ac:dyDescent="0.25">
      <c r="A28303" s="118"/>
      <c r="B28303" s="136"/>
    </row>
    <row r="28304" spans="1:2" x14ac:dyDescent="0.25">
      <c r="A28304" s="118"/>
      <c r="B28304" s="136"/>
    </row>
    <row r="28305" spans="1:2" x14ac:dyDescent="0.25">
      <c r="A28305" s="118"/>
      <c r="B28305" s="136"/>
    </row>
    <row r="28306" spans="1:2" x14ac:dyDescent="0.25">
      <c r="A28306" s="118"/>
      <c r="B28306" s="136"/>
    </row>
    <row r="28307" spans="1:2" x14ac:dyDescent="0.25">
      <c r="A28307" s="118"/>
      <c r="B28307" s="136"/>
    </row>
    <row r="28308" spans="1:2" x14ac:dyDescent="0.25">
      <c r="A28308" s="118"/>
      <c r="B28308" s="136"/>
    </row>
    <row r="28309" spans="1:2" x14ac:dyDescent="0.25">
      <c r="A28309" s="118"/>
      <c r="B28309" s="136"/>
    </row>
    <row r="28310" spans="1:2" x14ac:dyDescent="0.25">
      <c r="A28310" s="118"/>
      <c r="B28310" s="136"/>
    </row>
    <row r="28311" spans="1:2" x14ac:dyDescent="0.25">
      <c r="A28311" s="118"/>
      <c r="B28311" s="136"/>
    </row>
    <row r="28312" spans="1:2" x14ac:dyDescent="0.25">
      <c r="A28312" s="118"/>
      <c r="B28312" s="136"/>
    </row>
    <row r="28313" spans="1:2" x14ac:dyDescent="0.25">
      <c r="A28313" s="118"/>
      <c r="B28313" s="136"/>
    </row>
    <row r="28314" spans="1:2" x14ac:dyDescent="0.25">
      <c r="A28314" s="118"/>
      <c r="B28314" s="136"/>
    </row>
    <row r="28315" spans="1:2" x14ac:dyDescent="0.25">
      <c r="A28315" s="118"/>
      <c r="B28315" s="136"/>
    </row>
    <row r="28316" spans="1:2" x14ac:dyDescent="0.25">
      <c r="A28316" s="118"/>
      <c r="B28316" s="136"/>
    </row>
    <row r="28317" spans="1:2" x14ac:dyDescent="0.25">
      <c r="A28317" s="118"/>
      <c r="B28317" s="136"/>
    </row>
    <row r="28318" spans="1:2" x14ac:dyDescent="0.25">
      <c r="A28318" s="118"/>
      <c r="B28318" s="136"/>
    </row>
    <row r="28319" spans="1:2" x14ac:dyDescent="0.25">
      <c r="A28319" s="118"/>
      <c r="B28319" s="136"/>
    </row>
    <row r="28320" spans="1:2" x14ac:dyDescent="0.25">
      <c r="A28320" s="118"/>
      <c r="B28320" s="136"/>
    </row>
    <row r="28321" spans="1:2" x14ac:dyDescent="0.25">
      <c r="A28321" s="118"/>
      <c r="B28321" s="136"/>
    </row>
    <row r="28322" spans="1:2" x14ac:dyDescent="0.25">
      <c r="A28322" s="118"/>
      <c r="B28322" s="136"/>
    </row>
    <row r="28323" spans="1:2" x14ac:dyDescent="0.25">
      <c r="A28323" s="118"/>
      <c r="B28323" s="136"/>
    </row>
    <row r="28324" spans="1:2" x14ac:dyDescent="0.25">
      <c r="A28324" s="118"/>
      <c r="B28324" s="136"/>
    </row>
    <row r="28325" spans="1:2" x14ac:dyDescent="0.25">
      <c r="A28325" s="118"/>
      <c r="B28325" s="136"/>
    </row>
    <row r="28326" spans="1:2" x14ac:dyDescent="0.25">
      <c r="A28326" s="118"/>
      <c r="B28326" s="136"/>
    </row>
    <row r="28327" spans="1:2" x14ac:dyDescent="0.25">
      <c r="A28327" s="118"/>
      <c r="B28327" s="136"/>
    </row>
    <row r="28328" spans="1:2" x14ac:dyDescent="0.25">
      <c r="A28328" s="118"/>
      <c r="B28328" s="136"/>
    </row>
    <row r="28329" spans="1:2" x14ac:dyDescent="0.25">
      <c r="A28329" s="118"/>
      <c r="B28329" s="136"/>
    </row>
    <row r="28330" spans="1:2" x14ac:dyDescent="0.25">
      <c r="A28330" s="118"/>
      <c r="B28330" s="136"/>
    </row>
    <row r="28331" spans="1:2" x14ac:dyDescent="0.25">
      <c r="A28331" s="118"/>
      <c r="B28331" s="136"/>
    </row>
    <row r="28332" spans="1:2" x14ac:dyDescent="0.25">
      <c r="A28332" s="118"/>
      <c r="B28332" s="136"/>
    </row>
    <row r="28333" spans="1:2" x14ac:dyDescent="0.25">
      <c r="A28333" s="118"/>
      <c r="B28333" s="136"/>
    </row>
    <row r="28334" spans="1:2" x14ac:dyDescent="0.25">
      <c r="A28334" s="118"/>
      <c r="B28334" s="136"/>
    </row>
    <row r="28335" spans="1:2" x14ac:dyDescent="0.25">
      <c r="A28335" s="118"/>
      <c r="B28335" s="136"/>
    </row>
    <row r="28336" spans="1:2" x14ac:dyDescent="0.25">
      <c r="A28336" s="118"/>
      <c r="B28336" s="136"/>
    </row>
    <row r="28337" spans="1:2" x14ac:dyDescent="0.25">
      <c r="A28337" s="118"/>
      <c r="B28337" s="136"/>
    </row>
    <row r="28338" spans="1:2" x14ac:dyDescent="0.25">
      <c r="A28338" s="118"/>
      <c r="B28338" s="136"/>
    </row>
    <row r="28339" spans="1:2" x14ac:dyDescent="0.25">
      <c r="A28339" s="118"/>
      <c r="B28339" s="136"/>
    </row>
    <row r="28340" spans="1:2" x14ac:dyDescent="0.25">
      <c r="A28340" s="118"/>
      <c r="B28340" s="136"/>
    </row>
    <row r="28341" spans="1:2" x14ac:dyDescent="0.25">
      <c r="A28341" s="118"/>
      <c r="B28341" s="136"/>
    </row>
    <row r="28342" spans="1:2" x14ac:dyDescent="0.25">
      <c r="A28342" s="118"/>
      <c r="B28342" s="136"/>
    </row>
    <row r="28343" spans="1:2" x14ac:dyDescent="0.25">
      <c r="A28343" s="118"/>
      <c r="B28343" s="136"/>
    </row>
    <row r="28344" spans="1:2" x14ac:dyDescent="0.25">
      <c r="A28344" s="118"/>
      <c r="B28344" s="136"/>
    </row>
    <row r="28345" spans="1:2" x14ac:dyDescent="0.25">
      <c r="A28345" s="118"/>
      <c r="B28345" s="136"/>
    </row>
    <row r="28346" spans="1:2" x14ac:dyDescent="0.25">
      <c r="A28346" s="118"/>
      <c r="B28346" s="136"/>
    </row>
    <row r="28347" spans="1:2" x14ac:dyDescent="0.25">
      <c r="A28347" s="118"/>
      <c r="B28347" s="136"/>
    </row>
    <row r="28348" spans="1:2" x14ac:dyDescent="0.25">
      <c r="A28348" s="118"/>
      <c r="B28348" s="136"/>
    </row>
    <row r="28349" spans="1:2" x14ac:dyDescent="0.25">
      <c r="A28349" s="118"/>
      <c r="B28349" s="136"/>
    </row>
    <row r="28350" spans="1:2" x14ac:dyDescent="0.25">
      <c r="A28350" s="118"/>
      <c r="B28350" s="136"/>
    </row>
    <row r="28351" spans="1:2" x14ac:dyDescent="0.25">
      <c r="A28351" s="118"/>
      <c r="B28351" s="136"/>
    </row>
    <row r="28352" spans="1:2" x14ac:dyDescent="0.25">
      <c r="A28352" s="118"/>
      <c r="B28352" s="136"/>
    </row>
    <row r="28353" spans="1:2" x14ac:dyDescent="0.25">
      <c r="A28353" s="118"/>
      <c r="B28353" s="136"/>
    </row>
    <row r="28354" spans="1:2" x14ac:dyDescent="0.25">
      <c r="A28354" s="118"/>
      <c r="B28354" s="136"/>
    </row>
    <row r="28355" spans="1:2" x14ac:dyDescent="0.25">
      <c r="A28355" s="118"/>
      <c r="B28355" s="136"/>
    </row>
    <row r="28356" spans="1:2" x14ac:dyDescent="0.25">
      <c r="A28356" s="118"/>
      <c r="B28356" s="136"/>
    </row>
    <row r="28357" spans="1:2" x14ac:dyDescent="0.25">
      <c r="A28357" s="118"/>
      <c r="B28357" s="136"/>
    </row>
    <row r="28358" spans="1:2" x14ac:dyDescent="0.25">
      <c r="A28358" s="118"/>
      <c r="B28358" s="136"/>
    </row>
    <row r="28359" spans="1:2" x14ac:dyDescent="0.25">
      <c r="A28359" s="118"/>
      <c r="B28359" s="136"/>
    </row>
    <row r="28360" spans="1:2" x14ac:dyDescent="0.25">
      <c r="A28360" s="118"/>
      <c r="B28360" s="136"/>
    </row>
    <row r="28361" spans="1:2" x14ac:dyDescent="0.25">
      <c r="A28361" s="118"/>
      <c r="B28361" s="136"/>
    </row>
    <row r="28362" spans="1:2" x14ac:dyDescent="0.25">
      <c r="A28362" s="118"/>
      <c r="B28362" s="136"/>
    </row>
    <row r="28363" spans="1:2" x14ac:dyDescent="0.25">
      <c r="A28363" s="118"/>
      <c r="B28363" s="136"/>
    </row>
    <row r="28364" spans="1:2" x14ac:dyDescent="0.25">
      <c r="A28364" s="118"/>
      <c r="B28364" s="136"/>
    </row>
    <row r="28365" spans="1:2" x14ac:dyDescent="0.25">
      <c r="A28365" s="118"/>
      <c r="B28365" s="136"/>
    </row>
    <row r="28366" spans="1:2" x14ac:dyDescent="0.25">
      <c r="A28366" s="118"/>
      <c r="B28366" s="136"/>
    </row>
    <row r="28367" spans="1:2" x14ac:dyDescent="0.25">
      <c r="A28367" s="118"/>
      <c r="B28367" s="136"/>
    </row>
    <row r="28368" spans="1:2" x14ac:dyDescent="0.25">
      <c r="A28368" s="118"/>
      <c r="B28368" s="136"/>
    </row>
    <row r="28369" spans="1:2" x14ac:dyDescent="0.25">
      <c r="A28369" s="118"/>
      <c r="B28369" s="136"/>
    </row>
    <row r="28370" spans="1:2" x14ac:dyDescent="0.25">
      <c r="A28370" s="118"/>
      <c r="B28370" s="136"/>
    </row>
    <row r="28371" spans="1:2" x14ac:dyDescent="0.25">
      <c r="A28371" s="118"/>
      <c r="B28371" s="136"/>
    </row>
    <row r="28372" spans="1:2" x14ac:dyDescent="0.25">
      <c r="A28372" s="118"/>
      <c r="B28372" s="136"/>
    </row>
    <row r="28373" spans="1:2" x14ac:dyDescent="0.25">
      <c r="A28373" s="118"/>
      <c r="B28373" s="136"/>
    </row>
    <row r="28374" spans="1:2" x14ac:dyDescent="0.25">
      <c r="A28374" s="118"/>
      <c r="B28374" s="136"/>
    </row>
    <row r="28375" spans="1:2" x14ac:dyDescent="0.25">
      <c r="A28375" s="118"/>
      <c r="B28375" s="136"/>
    </row>
    <row r="28376" spans="1:2" x14ac:dyDescent="0.25">
      <c r="A28376" s="118"/>
      <c r="B28376" s="136"/>
    </row>
    <row r="28377" spans="1:2" x14ac:dyDescent="0.25">
      <c r="A28377" s="118"/>
      <c r="B28377" s="136"/>
    </row>
    <row r="28378" spans="1:2" x14ac:dyDescent="0.25">
      <c r="A28378" s="118"/>
      <c r="B28378" s="136"/>
    </row>
    <row r="28379" spans="1:2" x14ac:dyDescent="0.25">
      <c r="A28379" s="118"/>
      <c r="B28379" s="136"/>
    </row>
    <row r="28380" spans="1:2" x14ac:dyDescent="0.25">
      <c r="A28380" s="118"/>
      <c r="B28380" s="136"/>
    </row>
    <row r="28381" spans="1:2" x14ac:dyDescent="0.25">
      <c r="A28381" s="118"/>
      <c r="B28381" s="136"/>
    </row>
    <row r="28382" spans="1:2" x14ac:dyDescent="0.25">
      <c r="A28382" s="118"/>
      <c r="B28382" s="136"/>
    </row>
    <row r="28383" spans="1:2" x14ac:dyDescent="0.25">
      <c r="A28383" s="118"/>
      <c r="B28383" s="136"/>
    </row>
    <row r="28384" spans="1:2" x14ac:dyDescent="0.25">
      <c r="A28384" s="118"/>
      <c r="B28384" s="136"/>
    </row>
    <row r="28385" spans="1:2" x14ac:dyDescent="0.25">
      <c r="A28385" s="118"/>
      <c r="B28385" s="136"/>
    </row>
    <row r="28386" spans="1:2" x14ac:dyDescent="0.25">
      <c r="A28386" s="118"/>
      <c r="B28386" s="136"/>
    </row>
    <row r="28387" spans="1:2" x14ac:dyDescent="0.25">
      <c r="A28387" s="118"/>
      <c r="B28387" s="136"/>
    </row>
    <row r="28388" spans="1:2" x14ac:dyDescent="0.25">
      <c r="A28388" s="118"/>
      <c r="B28388" s="136"/>
    </row>
    <row r="28389" spans="1:2" x14ac:dyDescent="0.25">
      <c r="A28389" s="118"/>
      <c r="B28389" s="136"/>
    </row>
    <row r="28390" spans="1:2" x14ac:dyDescent="0.25">
      <c r="A28390" s="118"/>
      <c r="B28390" s="136"/>
    </row>
    <row r="28391" spans="1:2" x14ac:dyDescent="0.25">
      <c r="A28391" s="118"/>
      <c r="B28391" s="136"/>
    </row>
    <row r="28392" spans="1:2" x14ac:dyDescent="0.25">
      <c r="A28392" s="118"/>
      <c r="B28392" s="136"/>
    </row>
    <row r="28393" spans="1:2" x14ac:dyDescent="0.25">
      <c r="A28393" s="118"/>
      <c r="B28393" s="136"/>
    </row>
    <row r="28394" spans="1:2" x14ac:dyDescent="0.25">
      <c r="A28394" s="118"/>
      <c r="B28394" s="136"/>
    </row>
    <row r="28395" spans="1:2" x14ac:dyDescent="0.25">
      <c r="A28395" s="118"/>
      <c r="B28395" s="136"/>
    </row>
    <row r="28396" spans="1:2" x14ac:dyDescent="0.25">
      <c r="A28396" s="118"/>
      <c r="B28396" s="136"/>
    </row>
    <row r="28397" spans="1:2" x14ac:dyDescent="0.25">
      <c r="A28397" s="118"/>
      <c r="B28397" s="136"/>
    </row>
    <row r="28398" spans="1:2" x14ac:dyDescent="0.25">
      <c r="A28398" s="118"/>
      <c r="B28398" s="136"/>
    </row>
    <row r="28399" spans="1:2" x14ac:dyDescent="0.25">
      <c r="A28399" s="118"/>
      <c r="B28399" s="136"/>
    </row>
    <row r="28400" spans="1:2" x14ac:dyDescent="0.25">
      <c r="A28400" s="118"/>
      <c r="B28400" s="136"/>
    </row>
    <row r="28401" spans="1:2" x14ac:dyDescent="0.25">
      <c r="A28401" s="118"/>
      <c r="B28401" s="136"/>
    </row>
    <row r="28402" spans="1:2" x14ac:dyDescent="0.25">
      <c r="A28402" s="118"/>
      <c r="B28402" s="136"/>
    </row>
    <row r="28403" spans="1:2" x14ac:dyDescent="0.25">
      <c r="A28403" s="118"/>
      <c r="B28403" s="136"/>
    </row>
    <row r="28404" spans="1:2" x14ac:dyDescent="0.25">
      <c r="A28404" s="118"/>
      <c r="B28404" s="136"/>
    </row>
    <row r="28405" spans="1:2" x14ac:dyDescent="0.25">
      <c r="A28405" s="118"/>
      <c r="B28405" s="136"/>
    </row>
    <row r="28406" spans="1:2" x14ac:dyDescent="0.25">
      <c r="A28406" s="118"/>
      <c r="B28406" s="136"/>
    </row>
    <row r="28407" spans="1:2" x14ac:dyDescent="0.25">
      <c r="A28407" s="118"/>
      <c r="B28407" s="136"/>
    </row>
    <row r="28408" spans="1:2" x14ac:dyDescent="0.25">
      <c r="A28408" s="118"/>
      <c r="B28408" s="136"/>
    </row>
    <row r="28409" spans="1:2" x14ac:dyDescent="0.25">
      <c r="A28409" s="118"/>
      <c r="B28409" s="136"/>
    </row>
    <row r="28410" spans="1:2" x14ac:dyDescent="0.25">
      <c r="A28410" s="118"/>
      <c r="B28410" s="136"/>
    </row>
    <row r="28411" spans="1:2" x14ac:dyDescent="0.25">
      <c r="A28411" s="118"/>
      <c r="B28411" s="136"/>
    </row>
    <row r="28412" spans="1:2" x14ac:dyDescent="0.25">
      <c r="A28412" s="118"/>
      <c r="B28412" s="136"/>
    </row>
    <row r="28413" spans="1:2" x14ac:dyDescent="0.25">
      <c r="A28413" s="118"/>
      <c r="B28413" s="136"/>
    </row>
    <row r="28414" spans="1:2" x14ac:dyDescent="0.25">
      <c r="A28414" s="118"/>
      <c r="B28414" s="136"/>
    </row>
    <row r="28415" spans="1:2" x14ac:dyDescent="0.25">
      <c r="A28415" s="118"/>
      <c r="B28415" s="136"/>
    </row>
    <row r="28416" spans="1:2" x14ac:dyDescent="0.25">
      <c r="A28416" s="118"/>
      <c r="B28416" s="136"/>
    </row>
    <row r="28417" spans="1:2" x14ac:dyDescent="0.25">
      <c r="A28417" s="118"/>
      <c r="B28417" s="136"/>
    </row>
    <row r="28418" spans="1:2" x14ac:dyDescent="0.25">
      <c r="A28418" s="118"/>
      <c r="B28418" s="136"/>
    </row>
    <row r="28419" spans="1:2" x14ac:dyDescent="0.25">
      <c r="A28419" s="118"/>
      <c r="B28419" s="136"/>
    </row>
    <row r="28420" spans="1:2" x14ac:dyDescent="0.25">
      <c r="A28420" s="118"/>
      <c r="B28420" s="136"/>
    </row>
    <row r="28421" spans="1:2" x14ac:dyDescent="0.25">
      <c r="A28421" s="118"/>
      <c r="B28421" s="136"/>
    </row>
    <row r="28422" spans="1:2" x14ac:dyDescent="0.25">
      <c r="A28422" s="118"/>
      <c r="B28422" s="136"/>
    </row>
    <row r="28423" spans="1:2" x14ac:dyDescent="0.25">
      <c r="A28423" s="118"/>
      <c r="B28423" s="136"/>
    </row>
    <row r="28424" spans="1:2" x14ac:dyDescent="0.25">
      <c r="A28424" s="118"/>
      <c r="B28424" s="136"/>
    </row>
    <row r="28425" spans="1:2" x14ac:dyDescent="0.25">
      <c r="A28425" s="118"/>
      <c r="B28425" s="136"/>
    </row>
    <row r="28426" spans="1:2" x14ac:dyDescent="0.25">
      <c r="A28426" s="118"/>
      <c r="B28426" s="136"/>
    </row>
    <row r="28427" spans="1:2" x14ac:dyDescent="0.25">
      <c r="A28427" s="118"/>
      <c r="B28427" s="136"/>
    </row>
    <row r="28428" spans="1:2" x14ac:dyDescent="0.25">
      <c r="A28428" s="118"/>
      <c r="B28428" s="136"/>
    </row>
    <row r="28429" spans="1:2" x14ac:dyDescent="0.25">
      <c r="A28429" s="118"/>
      <c r="B28429" s="136"/>
    </row>
    <row r="28430" spans="1:2" x14ac:dyDescent="0.25">
      <c r="A28430" s="118"/>
      <c r="B28430" s="136"/>
    </row>
    <row r="28431" spans="1:2" x14ac:dyDescent="0.25">
      <c r="A28431" s="118"/>
      <c r="B28431" s="136"/>
    </row>
    <row r="28432" spans="1:2" x14ac:dyDescent="0.25">
      <c r="A28432" s="118"/>
      <c r="B28432" s="136"/>
    </row>
    <row r="28433" spans="1:2" x14ac:dyDescent="0.25">
      <c r="A28433" s="118"/>
      <c r="B28433" s="136"/>
    </row>
    <row r="28434" spans="1:2" x14ac:dyDescent="0.25">
      <c r="A28434" s="118"/>
      <c r="B28434" s="136"/>
    </row>
    <row r="28435" spans="1:2" x14ac:dyDescent="0.25">
      <c r="A28435" s="118"/>
      <c r="B28435" s="136"/>
    </row>
    <row r="28436" spans="1:2" x14ac:dyDescent="0.25">
      <c r="A28436" s="118"/>
      <c r="B28436" s="136"/>
    </row>
    <row r="28437" spans="1:2" x14ac:dyDescent="0.25">
      <c r="A28437" s="118"/>
      <c r="B28437" s="136"/>
    </row>
    <row r="28438" spans="1:2" x14ac:dyDescent="0.25">
      <c r="A28438" s="118"/>
      <c r="B28438" s="136"/>
    </row>
    <row r="28439" spans="1:2" x14ac:dyDescent="0.25">
      <c r="A28439" s="118"/>
      <c r="B28439" s="136"/>
    </row>
    <row r="28440" spans="1:2" x14ac:dyDescent="0.25">
      <c r="A28440" s="118"/>
      <c r="B28440" s="136"/>
    </row>
    <row r="28441" spans="1:2" x14ac:dyDescent="0.25">
      <c r="A28441" s="118"/>
      <c r="B28441" s="136"/>
    </row>
    <row r="28442" spans="1:2" x14ac:dyDescent="0.25">
      <c r="A28442" s="118"/>
      <c r="B28442" s="136"/>
    </row>
    <row r="28443" spans="1:2" x14ac:dyDescent="0.25">
      <c r="A28443" s="118"/>
      <c r="B28443" s="136"/>
    </row>
    <row r="28444" spans="1:2" x14ac:dyDescent="0.25">
      <c r="A28444" s="118"/>
      <c r="B28444" s="136"/>
    </row>
    <row r="28445" spans="1:2" x14ac:dyDescent="0.25">
      <c r="A28445" s="118"/>
      <c r="B28445" s="136"/>
    </row>
    <row r="28446" spans="1:2" x14ac:dyDescent="0.25">
      <c r="A28446" s="118"/>
      <c r="B28446" s="136"/>
    </row>
    <row r="28447" spans="1:2" x14ac:dyDescent="0.25">
      <c r="A28447" s="118"/>
      <c r="B28447" s="136"/>
    </row>
    <row r="28448" spans="1:2" x14ac:dyDescent="0.25">
      <c r="A28448" s="118"/>
      <c r="B28448" s="136"/>
    </row>
    <row r="28449" spans="1:2" x14ac:dyDescent="0.25">
      <c r="A28449" s="118"/>
      <c r="B28449" s="136"/>
    </row>
    <row r="28450" spans="1:2" x14ac:dyDescent="0.25">
      <c r="A28450" s="118"/>
      <c r="B28450" s="136"/>
    </row>
    <row r="28451" spans="1:2" x14ac:dyDescent="0.25">
      <c r="A28451" s="118"/>
      <c r="B28451" s="136"/>
    </row>
    <row r="28452" spans="1:2" x14ac:dyDescent="0.25">
      <c r="A28452" s="118"/>
      <c r="B28452" s="136"/>
    </row>
    <row r="28453" spans="1:2" x14ac:dyDescent="0.25">
      <c r="A28453" s="118"/>
      <c r="B28453" s="136"/>
    </row>
    <row r="28454" spans="1:2" x14ac:dyDescent="0.25">
      <c r="A28454" s="118"/>
      <c r="B28454" s="136"/>
    </row>
    <row r="28455" spans="1:2" x14ac:dyDescent="0.25">
      <c r="A28455" s="118"/>
      <c r="B28455" s="136"/>
    </row>
    <row r="28456" spans="1:2" x14ac:dyDescent="0.25">
      <c r="A28456" s="118"/>
      <c r="B28456" s="136"/>
    </row>
    <row r="28457" spans="1:2" x14ac:dyDescent="0.25">
      <c r="A28457" s="118"/>
      <c r="B28457" s="136"/>
    </row>
    <row r="28458" spans="1:2" x14ac:dyDescent="0.25">
      <c r="A28458" s="118"/>
      <c r="B28458" s="136"/>
    </row>
    <row r="28459" spans="1:2" x14ac:dyDescent="0.25">
      <c r="A28459" s="118"/>
      <c r="B28459" s="136"/>
    </row>
    <row r="28460" spans="1:2" x14ac:dyDescent="0.25">
      <c r="A28460" s="118"/>
      <c r="B28460" s="136"/>
    </row>
    <row r="28461" spans="1:2" x14ac:dyDescent="0.25">
      <c r="A28461" s="118"/>
      <c r="B28461" s="136"/>
    </row>
    <row r="28462" spans="1:2" x14ac:dyDescent="0.25">
      <c r="A28462" s="118"/>
      <c r="B28462" s="136"/>
    </row>
    <row r="28463" spans="1:2" x14ac:dyDescent="0.25">
      <c r="A28463" s="118"/>
      <c r="B28463" s="136"/>
    </row>
    <row r="28464" spans="1:2" x14ac:dyDescent="0.25">
      <c r="A28464" s="118"/>
      <c r="B28464" s="136"/>
    </row>
    <row r="28465" spans="1:2" x14ac:dyDescent="0.25">
      <c r="A28465" s="118"/>
      <c r="B28465" s="136"/>
    </row>
    <row r="28466" spans="1:2" x14ac:dyDescent="0.25">
      <c r="A28466" s="118"/>
      <c r="B28466" s="136"/>
    </row>
    <row r="28467" spans="1:2" x14ac:dyDescent="0.25">
      <c r="A28467" s="118"/>
      <c r="B28467" s="136"/>
    </row>
    <row r="28468" spans="1:2" x14ac:dyDescent="0.25">
      <c r="A28468" s="118"/>
      <c r="B28468" s="136"/>
    </row>
    <row r="28469" spans="1:2" x14ac:dyDescent="0.25">
      <c r="A28469" s="118"/>
      <c r="B28469" s="136"/>
    </row>
    <row r="28470" spans="1:2" x14ac:dyDescent="0.25">
      <c r="A28470" s="118"/>
      <c r="B28470" s="136"/>
    </row>
    <row r="28471" spans="1:2" x14ac:dyDescent="0.25">
      <c r="A28471" s="118"/>
      <c r="B28471" s="136"/>
    </row>
    <row r="28472" spans="1:2" x14ac:dyDescent="0.25">
      <c r="A28472" s="118"/>
      <c r="B28472" s="136"/>
    </row>
    <row r="28473" spans="1:2" x14ac:dyDescent="0.25">
      <c r="A28473" s="118"/>
      <c r="B28473" s="136"/>
    </row>
    <row r="28474" spans="1:2" x14ac:dyDescent="0.25">
      <c r="A28474" s="118"/>
      <c r="B28474" s="136"/>
    </row>
    <row r="28475" spans="1:2" x14ac:dyDescent="0.25">
      <c r="A28475" s="118"/>
      <c r="B28475" s="136"/>
    </row>
    <row r="28476" spans="1:2" x14ac:dyDescent="0.25">
      <c r="A28476" s="118"/>
      <c r="B28476" s="136"/>
    </row>
    <row r="28477" spans="1:2" x14ac:dyDescent="0.25">
      <c r="A28477" s="118"/>
      <c r="B28477" s="136"/>
    </row>
    <row r="28478" spans="1:2" x14ac:dyDescent="0.25">
      <c r="A28478" s="118"/>
      <c r="B28478" s="136"/>
    </row>
    <row r="28479" spans="1:2" x14ac:dyDescent="0.25">
      <c r="A28479" s="118"/>
      <c r="B28479" s="136"/>
    </row>
    <row r="28480" spans="1:2" x14ac:dyDescent="0.25">
      <c r="A28480" s="118"/>
      <c r="B28480" s="136"/>
    </row>
    <row r="28481" spans="1:2" x14ac:dyDescent="0.25">
      <c r="A28481" s="118"/>
      <c r="B28481" s="136"/>
    </row>
    <row r="28482" spans="1:2" x14ac:dyDescent="0.25">
      <c r="A28482" s="118"/>
      <c r="B28482" s="136"/>
    </row>
    <row r="28483" spans="1:2" x14ac:dyDescent="0.25">
      <c r="A28483" s="118"/>
      <c r="B28483" s="136"/>
    </row>
    <row r="28484" spans="1:2" x14ac:dyDescent="0.25">
      <c r="A28484" s="118"/>
      <c r="B28484" s="136"/>
    </row>
    <row r="28485" spans="1:2" x14ac:dyDescent="0.25">
      <c r="A28485" s="118"/>
      <c r="B28485" s="136"/>
    </row>
    <row r="28486" spans="1:2" x14ac:dyDescent="0.25">
      <c r="A28486" s="118"/>
      <c r="B28486" s="136"/>
    </row>
    <row r="28487" spans="1:2" x14ac:dyDescent="0.25">
      <c r="A28487" s="118"/>
      <c r="B28487" s="136"/>
    </row>
    <row r="28488" spans="1:2" x14ac:dyDescent="0.25">
      <c r="A28488" s="118"/>
      <c r="B28488" s="136"/>
    </row>
    <row r="28489" spans="1:2" x14ac:dyDescent="0.25">
      <c r="A28489" s="118"/>
      <c r="B28489" s="136"/>
    </row>
    <row r="28490" spans="1:2" x14ac:dyDescent="0.25">
      <c r="A28490" s="118"/>
      <c r="B28490" s="136"/>
    </row>
    <row r="28491" spans="1:2" x14ac:dyDescent="0.25">
      <c r="A28491" s="118"/>
      <c r="B28491" s="136"/>
    </row>
    <row r="28492" spans="1:2" x14ac:dyDescent="0.25">
      <c r="A28492" s="118"/>
      <c r="B28492" s="136"/>
    </row>
    <row r="28493" spans="1:2" x14ac:dyDescent="0.25">
      <c r="A28493" s="118"/>
      <c r="B28493" s="136"/>
    </row>
    <row r="28494" spans="1:2" x14ac:dyDescent="0.25">
      <c r="A28494" s="118"/>
      <c r="B28494" s="136"/>
    </row>
    <row r="28495" spans="1:2" x14ac:dyDescent="0.25">
      <c r="A28495" s="118"/>
      <c r="B28495" s="136"/>
    </row>
    <row r="28496" spans="1:2" x14ac:dyDescent="0.25">
      <c r="A28496" s="118"/>
      <c r="B28496" s="136"/>
    </row>
    <row r="28497" spans="1:2" x14ac:dyDescent="0.25">
      <c r="A28497" s="118"/>
      <c r="B28497" s="136"/>
    </row>
    <row r="28498" spans="1:2" x14ac:dyDescent="0.25">
      <c r="A28498" s="118"/>
      <c r="B28498" s="136"/>
    </row>
    <row r="28499" spans="1:2" x14ac:dyDescent="0.25">
      <c r="A28499" s="118"/>
      <c r="B28499" s="136"/>
    </row>
    <row r="28500" spans="1:2" x14ac:dyDescent="0.25">
      <c r="A28500" s="118"/>
      <c r="B28500" s="136"/>
    </row>
    <row r="28501" spans="1:2" x14ac:dyDescent="0.25">
      <c r="A28501" s="118"/>
      <c r="B28501" s="136"/>
    </row>
    <row r="28502" spans="1:2" x14ac:dyDescent="0.25">
      <c r="A28502" s="118"/>
      <c r="B28502" s="136"/>
    </row>
    <row r="28503" spans="1:2" x14ac:dyDescent="0.25">
      <c r="A28503" s="118"/>
      <c r="B28503" s="136"/>
    </row>
    <row r="28504" spans="1:2" x14ac:dyDescent="0.25">
      <c r="A28504" s="118"/>
      <c r="B28504" s="136"/>
    </row>
    <row r="28505" spans="1:2" x14ac:dyDescent="0.25">
      <c r="A28505" s="118"/>
      <c r="B28505" s="136"/>
    </row>
    <row r="28506" spans="1:2" x14ac:dyDescent="0.25">
      <c r="A28506" s="118"/>
      <c r="B28506" s="136"/>
    </row>
    <row r="28507" spans="1:2" x14ac:dyDescent="0.25">
      <c r="A28507" s="118"/>
      <c r="B28507" s="136"/>
    </row>
    <row r="28508" spans="1:2" x14ac:dyDescent="0.25">
      <c r="A28508" s="118"/>
      <c r="B28508" s="136"/>
    </row>
    <row r="28509" spans="1:2" x14ac:dyDescent="0.25">
      <c r="A28509" s="118"/>
      <c r="B28509" s="136"/>
    </row>
    <row r="28510" spans="1:2" x14ac:dyDescent="0.25">
      <c r="A28510" s="118"/>
      <c r="B28510" s="136"/>
    </row>
    <row r="28511" spans="1:2" x14ac:dyDescent="0.25">
      <c r="A28511" s="118"/>
      <c r="B28511" s="136"/>
    </row>
    <row r="28512" spans="1:2" x14ac:dyDescent="0.25">
      <c r="A28512" s="118"/>
      <c r="B28512" s="136"/>
    </row>
    <row r="28513" spans="1:2" x14ac:dyDescent="0.25">
      <c r="A28513" s="118"/>
      <c r="B28513" s="136"/>
    </row>
    <row r="28514" spans="1:2" x14ac:dyDescent="0.25">
      <c r="A28514" s="118"/>
      <c r="B28514" s="136"/>
    </row>
    <row r="28515" spans="1:2" x14ac:dyDescent="0.25">
      <c r="A28515" s="118"/>
      <c r="B28515" s="136"/>
    </row>
    <row r="28516" spans="1:2" x14ac:dyDescent="0.25">
      <c r="A28516" s="118"/>
      <c r="B28516" s="136"/>
    </row>
    <row r="28517" spans="1:2" x14ac:dyDescent="0.25">
      <c r="A28517" s="118"/>
      <c r="B28517" s="136"/>
    </row>
    <row r="28518" spans="1:2" x14ac:dyDescent="0.25">
      <c r="A28518" s="118"/>
      <c r="B28518" s="136"/>
    </row>
    <row r="28519" spans="1:2" x14ac:dyDescent="0.25">
      <c r="A28519" s="118"/>
      <c r="B28519" s="136"/>
    </row>
    <row r="28520" spans="1:2" x14ac:dyDescent="0.25">
      <c r="A28520" s="118"/>
      <c r="B28520" s="136"/>
    </row>
    <row r="28521" spans="1:2" x14ac:dyDescent="0.25">
      <c r="A28521" s="118"/>
      <c r="B28521" s="136"/>
    </row>
    <row r="28522" spans="1:2" x14ac:dyDescent="0.25">
      <c r="A28522" s="118"/>
      <c r="B28522" s="136"/>
    </row>
    <row r="28523" spans="1:2" x14ac:dyDescent="0.25">
      <c r="A28523" s="118"/>
      <c r="B28523" s="136"/>
    </row>
    <row r="28524" spans="1:2" x14ac:dyDescent="0.25">
      <c r="A28524" s="118"/>
      <c r="B28524" s="136"/>
    </row>
    <row r="28525" spans="1:2" x14ac:dyDescent="0.25">
      <c r="A28525" s="118"/>
      <c r="B28525" s="136"/>
    </row>
    <row r="28526" spans="1:2" x14ac:dyDescent="0.25">
      <c r="A28526" s="118"/>
      <c r="B28526" s="136"/>
    </row>
    <row r="28527" spans="1:2" x14ac:dyDescent="0.25">
      <c r="A28527" s="118"/>
      <c r="B28527" s="136"/>
    </row>
    <row r="28528" spans="1:2" x14ac:dyDescent="0.25">
      <c r="A28528" s="118"/>
      <c r="B28528" s="136"/>
    </row>
    <row r="28529" spans="1:2" x14ac:dyDescent="0.25">
      <c r="A28529" s="118"/>
      <c r="B28529" s="136"/>
    </row>
    <row r="28530" spans="1:2" x14ac:dyDescent="0.25">
      <c r="A28530" s="118"/>
      <c r="B28530" s="136"/>
    </row>
    <row r="28531" spans="1:2" x14ac:dyDescent="0.25">
      <c r="A28531" s="118"/>
      <c r="B28531" s="136"/>
    </row>
    <row r="28532" spans="1:2" x14ac:dyDescent="0.25">
      <c r="A28532" s="118"/>
      <c r="B28532" s="136"/>
    </row>
    <row r="28533" spans="1:2" x14ac:dyDescent="0.25">
      <c r="A28533" s="118"/>
      <c r="B28533" s="136"/>
    </row>
    <row r="28534" spans="1:2" x14ac:dyDescent="0.25">
      <c r="A28534" s="118"/>
      <c r="B28534" s="136"/>
    </row>
    <row r="28535" spans="1:2" x14ac:dyDescent="0.25">
      <c r="A28535" s="118"/>
      <c r="B28535" s="136"/>
    </row>
    <row r="28536" spans="1:2" x14ac:dyDescent="0.25">
      <c r="A28536" s="118"/>
      <c r="B28536" s="136"/>
    </row>
    <row r="28537" spans="1:2" x14ac:dyDescent="0.25">
      <c r="A28537" s="118"/>
      <c r="B28537" s="136"/>
    </row>
    <row r="28538" spans="1:2" x14ac:dyDescent="0.25">
      <c r="A28538" s="118"/>
      <c r="B28538" s="136"/>
    </row>
    <row r="28539" spans="1:2" x14ac:dyDescent="0.25">
      <c r="A28539" s="118"/>
      <c r="B28539" s="136"/>
    </row>
    <row r="28540" spans="1:2" x14ac:dyDescent="0.25">
      <c r="A28540" s="118"/>
      <c r="B28540" s="136"/>
    </row>
    <row r="28541" spans="1:2" x14ac:dyDescent="0.25">
      <c r="A28541" s="118"/>
      <c r="B28541" s="136"/>
    </row>
    <row r="28542" spans="1:2" x14ac:dyDescent="0.25">
      <c r="A28542" s="118"/>
      <c r="B28542" s="136"/>
    </row>
    <row r="28543" spans="1:2" x14ac:dyDescent="0.25">
      <c r="A28543" s="118"/>
      <c r="B28543" s="136"/>
    </row>
    <row r="28544" spans="1:2" x14ac:dyDescent="0.25">
      <c r="A28544" s="118"/>
      <c r="B28544" s="136"/>
    </row>
    <row r="28545" spans="1:2" x14ac:dyDescent="0.25">
      <c r="A28545" s="118"/>
      <c r="B28545" s="136"/>
    </row>
    <row r="28546" spans="1:2" x14ac:dyDescent="0.25">
      <c r="A28546" s="118"/>
      <c r="B28546" s="136"/>
    </row>
    <row r="28547" spans="1:2" x14ac:dyDescent="0.25">
      <c r="A28547" s="118"/>
      <c r="B28547" s="136"/>
    </row>
    <row r="28548" spans="1:2" x14ac:dyDescent="0.25">
      <c r="A28548" s="118"/>
      <c r="B28548" s="136"/>
    </row>
    <row r="28549" spans="1:2" x14ac:dyDescent="0.25">
      <c r="A28549" s="118"/>
      <c r="B28549" s="136"/>
    </row>
    <row r="28550" spans="1:2" x14ac:dyDescent="0.25">
      <c r="A28550" s="118"/>
      <c r="B28550" s="136"/>
    </row>
    <row r="28551" spans="1:2" x14ac:dyDescent="0.25">
      <c r="A28551" s="118"/>
      <c r="B28551" s="136"/>
    </row>
    <row r="28552" spans="1:2" x14ac:dyDescent="0.25">
      <c r="A28552" s="118"/>
      <c r="B28552" s="136"/>
    </row>
    <row r="28553" spans="1:2" x14ac:dyDescent="0.25">
      <c r="A28553" s="118"/>
      <c r="B28553" s="136"/>
    </row>
    <row r="28554" spans="1:2" x14ac:dyDescent="0.25">
      <c r="A28554" s="118"/>
      <c r="B28554" s="136"/>
    </row>
    <row r="28555" spans="1:2" x14ac:dyDescent="0.25">
      <c r="A28555" s="118"/>
      <c r="B28555" s="136"/>
    </row>
    <row r="28556" spans="1:2" x14ac:dyDescent="0.25">
      <c r="A28556" s="118"/>
      <c r="B28556" s="136"/>
    </row>
    <row r="28557" spans="1:2" x14ac:dyDescent="0.25">
      <c r="A28557" s="118"/>
      <c r="B28557" s="136"/>
    </row>
    <row r="28558" spans="1:2" x14ac:dyDescent="0.25">
      <c r="A28558" s="118"/>
      <c r="B28558" s="136"/>
    </row>
    <row r="28559" spans="1:2" x14ac:dyDescent="0.25">
      <c r="A28559" s="118"/>
      <c r="B28559" s="136"/>
    </row>
    <row r="28560" spans="1:2" x14ac:dyDescent="0.25">
      <c r="A28560" s="118"/>
      <c r="B28560" s="136"/>
    </row>
    <row r="28561" spans="1:2" x14ac:dyDescent="0.25">
      <c r="A28561" s="118"/>
      <c r="B28561" s="136"/>
    </row>
    <row r="28562" spans="1:2" x14ac:dyDescent="0.25">
      <c r="A28562" s="118"/>
      <c r="B28562" s="136"/>
    </row>
    <row r="28563" spans="1:2" x14ac:dyDescent="0.25">
      <c r="A28563" s="118"/>
      <c r="B28563" s="136"/>
    </row>
    <row r="28564" spans="1:2" x14ac:dyDescent="0.25">
      <c r="A28564" s="118"/>
      <c r="B28564" s="136"/>
    </row>
    <row r="28565" spans="1:2" x14ac:dyDescent="0.25">
      <c r="A28565" s="118"/>
      <c r="B28565" s="136"/>
    </row>
    <row r="28566" spans="1:2" x14ac:dyDescent="0.25">
      <c r="A28566" s="118"/>
      <c r="B28566" s="136"/>
    </row>
    <row r="28567" spans="1:2" x14ac:dyDescent="0.25">
      <c r="A28567" s="118"/>
      <c r="B28567" s="136"/>
    </row>
    <row r="28568" spans="1:2" x14ac:dyDescent="0.25">
      <c r="A28568" s="118"/>
      <c r="B28568" s="136"/>
    </row>
    <row r="28569" spans="1:2" x14ac:dyDescent="0.25">
      <c r="A28569" s="118"/>
      <c r="B28569" s="136"/>
    </row>
    <row r="28570" spans="1:2" x14ac:dyDescent="0.25">
      <c r="A28570" s="118"/>
      <c r="B28570" s="136"/>
    </row>
    <row r="28571" spans="1:2" x14ac:dyDescent="0.25">
      <c r="A28571" s="118"/>
      <c r="B28571" s="136"/>
    </row>
    <row r="28572" spans="1:2" x14ac:dyDescent="0.25">
      <c r="A28572" s="118"/>
      <c r="B28572" s="136"/>
    </row>
    <row r="28573" spans="1:2" x14ac:dyDescent="0.25">
      <c r="A28573" s="118"/>
      <c r="B28573" s="136"/>
    </row>
    <row r="28574" spans="1:2" x14ac:dyDescent="0.25">
      <c r="A28574" s="118"/>
      <c r="B28574" s="136"/>
    </row>
    <row r="28575" spans="1:2" x14ac:dyDescent="0.25">
      <c r="A28575" s="118"/>
      <c r="B28575" s="136"/>
    </row>
    <row r="28576" spans="1:2" x14ac:dyDescent="0.25">
      <c r="A28576" s="118"/>
      <c r="B28576" s="136"/>
    </row>
    <row r="28577" spans="1:2" x14ac:dyDescent="0.25">
      <c r="A28577" s="118"/>
      <c r="B28577" s="136"/>
    </row>
    <row r="28578" spans="1:2" x14ac:dyDescent="0.25">
      <c r="A28578" s="118"/>
      <c r="B28578" s="136"/>
    </row>
    <row r="28579" spans="1:2" x14ac:dyDescent="0.25">
      <c r="A28579" s="118"/>
      <c r="B28579" s="136"/>
    </row>
    <row r="28580" spans="1:2" x14ac:dyDescent="0.25">
      <c r="A28580" s="118"/>
      <c r="B28580" s="136"/>
    </row>
    <row r="28581" spans="1:2" x14ac:dyDescent="0.25">
      <c r="A28581" s="118"/>
      <c r="B28581" s="136"/>
    </row>
    <row r="28582" spans="1:2" x14ac:dyDescent="0.25">
      <c r="A28582" s="118"/>
      <c r="B28582" s="136"/>
    </row>
    <row r="28583" spans="1:2" x14ac:dyDescent="0.25">
      <c r="A28583" s="118"/>
      <c r="B28583" s="136"/>
    </row>
    <row r="28584" spans="1:2" x14ac:dyDescent="0.25">
      <c r="A28584" s="118"/>
      <c r="B28584" s="136"/>
    </row>
    <row r="28585" spans="1:2" x14ac:dyDescent="0.25">
      <c r="A28585" s="118"/>
      <c r="B28585" s="136"/>
    </row>
    <row r="28586" spans="1:2" x14ac:dyDescent="0.25">
      <c r="A28586" s="118"/>
      <c r="B28586" s="136"/>
    </row>
    <row r="28587" spans="1:2" x14ac:dyDescent="0.25">
      <c r="A28587" s="118"/>
      <c r="B28587" s="136"/>
    </row>
    <row r="28588" spans="1:2" x14ac:dyDescent="0.25">
      <c r="A28588" s="118"/>
      <c r="B28588" s="136"/>
    </row>
    <row r="28589" spans="1:2" x14ac:dyDescent="0.25">
      <c r="A28589" s="118"/>
      <c r="B28589" s="136"/>
    </row>
    <row r="28590" spans="1:2" x14ac:dyDescent="0.25">
      <c r="A28590" s="118"/>
      <c r="B28590" s="136"/>
    </row>
    <row r="28591" spans="1:2" x14ac:dyDescent="0.25">
      <c r="A28591" s="118"/>
      <c r="B28591" s="136"/>
    </row>
    <row r="28592" spans="1:2" x14ac:dyDescent="0.25">
      <c r="A28592" s="118"/>
      <c r="B28592" s="136"/>
    </row>
    <row r="28593" spans="1:2" x14ac:dyDescent="0.25">
      <c r="A28593" s="118"/>
      <c r="B28593" s="136"/>
    </row>
    <row r="28594" spans="1:2" x14ac:dyDescent="0.25">
      <c r="A28594" s="118"/>
      <c r="B28594" s="136"/>
    </row>
    <row r="28595" spans="1:2" x14ac:dyDescent="0.25">
      <c r="A28595" s="118"/>
      <c r="B28595" s="136"/>
    </row>
    <row r="28596" spans="1:2" x14ac:dyDescent="0.25">
      <c r="A28596" s="118"/>
      <c r="B28596" s="136"/>
    </row>
    <row r="28597" spans="1:2" x14ac:dyDescent="0.25">
      <c r="A28597" s="118"/>
      <c r="B28597" s="136"/>
    </row>
    <row r="28598" spans="1:2" x14ac:dyDescent="0.25">
      <c r="A28598" s="118"/>
      <c r="B28598" s="136"/>
    </row>
    <row r="28599" spans="1:2" x14ac:dyDescent="0.25">
      <c r="A28599" s="118"/>
      <c r="B28599" s="136"/>
    </row>
    <row r="28600" spans="1:2" x14ac:dyDescent="0.25">
      <c r="A28600" s="118"/>
      <c r="B28600" s="136"/>
    </row>
    <row r="28601" spans="1:2" x14ac:dyDescent="0.25">
      <c r="A28601" s="118"/>
      <c r="B28601" s="136"/>
    </row>
    <row r="28602" spans="1:2" x14ac:dyDescent="0.25">
      <c r="A28602" s="118"/>
      <c r="B28602" s="136"/>
    </row>
    <row r="28603" spans="1:2" x14ac:dyDescent="0.25">
      <c r="A28603" s="118"/>
      <c r="B28603" s="136"/>
    </row>
    <row r="28604" spans="1:2" x14ac:dyDescent="0.25">
      <c r="A28604" s="118"/>
      <c r="B28604" s="136"/>
    </row>
    <row r="28605" spans="1:2" x14ac:dyDescent="0.25">
      <c r="A28605" s="118"/>
      <c r="B28605" s="136"/>
    </row>
    <row r="28606" spans="1:2" x14ac:dyDescent="0.25">
      <c r="A28606" s="118"/>
      <c r="B28606" s="136"/>
    </row>
    <row r="28607" spans="1:2" x14ac:dyDescent="0.25">
      <c r="A28607" s="118"/>
      <c r="B28607" s="136"/>
    </row>
    <row r="28608" spans="1:2" x14ac:dyDescent="0.25">
      <c r="A28608" s="118"/>
      <c r="B28608" s="136"/>
    </row>
    <row r="28609" spans="1:2" x14ac:dyDescent="0.25">
      <c r="A28609" s="118"/>
      <c r="B28609" s="136"/>
    </row>
    <row r="28610" spans="1:2" x14ac:dyDescent="0.25">
      <c r="A28610" s="118"/>
      <c r="B28610" s="136"/>
    </row>
    <row r="28611" spans="1:2" x14ac:dyDescent="0.25">
      <c r="A28611" s="118"/>
      <c r="B28611" s="136"/>
    </row>
    <row r="28612" spans="1:2" x14ac:dyDescent="0.25">
      <c r="A28612" s="118"/>
      <c r="B28612" s="136"/>
    </row>
    <row r="28613" spans="1:2" x14ac:dyDescent="0.25">
      <c r="A28613" s="118"/>
      <c r="B28613" s="136"/>
    </row>
    <row r="28614" spans="1:2" x14ac:dyDescent="0.25">
      <c r="A28614" s="118"/>
      <c r="B28614" s="136"/>
    </row>
    <row r="28615" spans="1:2" x14ac:dyDescent="0.25">
      <c r="A28615" s="118"/>
      <c r="B28615" s="136"/>
    </row>
    <row r="28616" spans="1:2" x14ac:dyDescent="0.25">
      <c r="A28616" s="118"/>
      <c r="B28616" s="136"/>
    </row>
    <row r="28617" spans="1:2" x14ac:dyDescent="0.25">
      <c r="A28617" s="118"/>
      <c r="B28617" s="136"/>
    </row>
    <row r="28618" spans="1:2" x14ac:dyDescent="0.25">
      <c r="A28618" s="118"/>
      <c r="B28618" s="136"/>
    </row>
    <row r="28619" spans="1:2" x14ac:dyDescent="0.25">
      <c r="A28619" s="118"/>
      <c r="B28619" s="136"/>
    </row>
    <row r="28620" spans="1:2" x14ac:dyDescent="0.25">
      <c r="A28620" s="118"/>
      <c r="B28620" s="136"/>
    </row>
    <row r="28621" spans="1:2" x14ac:dyDescent="0.25">
      <c r="A28621" s="118"/>
      <c r="B28621" s="136"/>
    </row>
    <row r="28622" spans="1:2" x14ac:dyDescent="0.25">
      <c r="A28622" s="118"/>
      <c r="B28622" s="136"/>
    </row>
    <row r="28623" spans="1:2" x14ac:dyDescent="0.25">
      <c r="A28623" s="118"/>
      <c r="B28623" s="136"/>
    </row>
    <row r="28624" spans="1:2" x14ac:dyDescent="0.25">
      <c r="A28624" s="118"/>
      <c r="B28624" s="136"/>
    </row>
    <row r="28625" spans="1:2" x14ac:dyDescent="0.25">
      <c r="A28625" s="118"/>
      <c r="B28625" s="136"/>
    </row>
    <row r="28626" spans="1:2" x14ac:dyDescent="0.25">
      <c r="A28626" s="118"/>
      <c r="B28626" s="136"/>
    </row>
    <row r="28627" spans="1:2" x14ac:dyDescent="0.25">
      <c r="A28627" s="118"/>
      <c r="B28627" s="136"/>
    </row>
    <row r="28628" spans="1:2" x14ac:dyDescent="0.25">
      <c r="A28628" s="118"/>
      <c r="B28628" s="136"/>
    </row>
    <row r="28629" spans="1:2" x14ac:dyDescent="0.25">
      <c r="A28629" s="118"/>
      <c r="B28629" s="136"/>
    </row>
    <row r="28630" spans="1:2" x14ac:dyDescent="0.25">
      <c r="A28630" s="118"/>
      <c r="B28630" s="136"/>
    </row>
    <row r="28631" spans="1:2" x14ac:dyDescent="0.25">
      <c r="A28631" s="118"/>
      <c r="B28631" s="136"/>
    </row>
    <row r="28632" spans="1:2" x14ac:dyDescent="0.25">
      <c r="A28632" s="118"/>
      <c r="B28632" s="136"/>
    </row>
    <row r="28633" spans="1:2" x14ac:dyDescent="0.25">
      <c r="A28633" s="118"/>
      <c r="B28633" s="136"/>
    </row>
    <row r="28634" spans="1:2" x14ac:dyDescent="0.25">
      <c r="A28634" s="118"/>
      <c r="B28634" s="136"/>
    </row>
    <row r="28635" spans="1:2" x14ac:dyDescent="0.25">
      <c r="A28635" s="118"/>
      <c r="B28635" s="136"/>
    </row>
    <row r="28636" spans="1:2" x14ac:dyDescent="0.25">
      <c r="A28636" s="118"/>
      <c r="B28636" s="136"/>
    </row>
    <row r="28637" spans="1:2" x14ac:dyDescent="0.25">
      <c r="A28637" s="118"/>
      <c r="B28637" s="136"/>
    </row>
    <row r="28638" spans="1:2" x14ac:dyDescent="0.25">
      <c r="A28638" s="118"/>
      <c r="B28638" s="136"/>
    </row>
    <row r="28639" spans="1:2" x14ac:dyDescent="0.25">
      <c r="A28639" s="118"/>
      <c r="B28639" s="136"/>
    </row>
    <row r="28640" spans="1:2" x14ac:dyDescent="0.25">
      <c r="A28640" s="118"/>
      <c r="B28640" s="136"/>
    </row>
    <row r="28641" spans="1:2" x14ac:dyDescent="0.25">
      <c r="A28641" s="118"/>
      <c r="B28641" s="136"/>
    </row>
    <row r="28642" spans="1:2" x14ac:dyDescent="0.25">
      <c r="A28642" s="118"/>
      <c r="B28642" s="136"/>
    </row>
    <row r="28643" spans="1:2" x14ac:dyDescent="0.25">
      <c r="A28643" s="118"/>
      <c r="B28643" s="136"/>
    </row>
    <row r="28644" spans="1:2" x14ac:dyDescent="0.25">
      <c r="A28644" s="118"/>
      <c r="B28644" s="136"/>
    </row>
    <row r="28645" spans="1:2" x14ac:dyDescent="0.25">
      <c r="A28645" s="118"/>
      <c r="B28645" s="136"/>
    </row>
    <row r="28646" spans="1:2" x14ac:dyDescent="0.25">
      <c r="A28646" s="118"/>
      <c r="B28646" s="136"/>
    </row>
    <row r="28647" spans="1:2" x14ac:dyDescent="0.25">
      <c r="A28647" s="118"/>
      <c r="B28647" s="136"/>
    </row>
    <row r="28648" spans="1:2" x14ac:dyDescent="0.25">
      <c r="A28648" s="118"/>
      <c r="B28648" s="136"/>
    </row>
    <row r="28649" spans="1:2" x14ac:dyDescent="0.25">
      <c r="A28649" s="118"/>
      <c r="B28649" s="136"/>
    </row>
    <row r="28650" spans="1:2" x14ac:dyDescent="0.25">
      <c r="A28650" s="118"/>
      <c r="B28650" s="136"/>
    </row>
    <row r="28651" spans="1:2" x14ac:dyDescent="0.25">
      <c r="A28651" s="118"/>
      <c r="B28651" s="136"/>
    </row>
    <row r="28652" spans="1:2" x14ac:dyDescent="0.25">
      <c r="A28652" s="118"/>
      <c r="B28652" s="136"/>
    </row>
    <row r="28653" spans="1:2" x14ac:dyDescent="0.25">
      <c r="A28653" s="118"/>
      <c r="B28653" s="136"/>
    </row>
    <row r="28654" spans="1:2" x14ac:dyDescent="0.25">
      <c r="A28654" s="118"/>
      <c r="B28654" s="136"/>
    </row>
    <row r="28655" spans="1:2" x14ac:dyDescent="0.25">
      <c r="A28655" s="118"/>
      <c r="B28655" s="136"/>
    </row>
    <row r="28656" spans="1:2" x14ac:dyDescent="0.25">
      <c r="A28656" s="118"/>
      <c r="B28656" s="136"/>
    </row>
    <row r="28657" spans="1:2" x14ac:dyDescent="0.25">
      <c r="A28657" s="118"/>
      <c r="B28657" s="136"/>
    </row>
    <row r="28658" spans="1:2" x14ac:dyDescent="0.25">
      <c r="A28658" s="118"/>
      <c r="B28658" s="136"/>
    </row>
    <row r="28659" spans="1:2" x14ac:dyDescent="0.25">
      <c r="A28659" s="118"/>
      <c r="B28659" s="136"/>
    </row>
    <row r="28660" spans="1:2" x14ac:dyDescent="0.25">
      <c r="A28660" s="118"/>
      <c r="B28660" s="136"/>
    </row>
    <row r="28661" spans="1:2" x14ac:dyDescent="0.25">
      <c r="A28661" s="118"/>
      <c r="B28661" s="136"/>
    </row>
    <row r="28662" spans="1:2" x14ac:dyDescent="0.25">
      <c r="A28662" s="118"/>
      <c r="B28662" s="136"/>
    </row>
    <row r="28663" spans="1:2" x14ac:dyDescent="0.25">
      <c r="A28663" s="118"/>
      <c r="B28663" s="136"/>
    </row>
    <row r="28664" spans="1:2" x14ac:dyDescent="0.25">
      <c r="A28664" s="118"/>
      <c r="B28664" s="136"/>
    </row>
    <row r="28665" spans="1:2" x14ac:dyDescent="0.25">
      <c r="A28665" s="118"/>
      <c r="B28665" s="136"/>
    </row>
    <row r="28666" spans="1:2" x14ac:dyDescent="0.25">
      <c r="A28666" s="118"/>
      <c r="B28666" s="136"/>
    </row>
    <row r="28667" spans="1:2" x14ac:dyDescent="0.25">
      <c r="A28667" s="118"/>
      <c r="B28667" s="136"/>
    </row>
    <row r="28668" spans="1:2" x14ac:dyDescent="0.25">
      <c r="A28668" s="118"/>
      <c r="B28668" s="136"/>
    </row>
    <row r="28669" spans="1:2" x14ac:dyDescent="0.25">
      <c r="A28669" s="118"/>
      <c r="B28669" s="136"/>
    </row>
    <row r="28670" spans="1:2" x14ac:dyDescent="0.25">
      <c r="A28670" s="118"/>
      <c r="B28670" s="136"/>
    </row>
    <row r="28671" spans="1:2" x14ac:dyDescent="0.25">
      <c r="A28671" s="118"/>
      <c r="B28671" s="136"/>
    </row>
    <row r="28672" spans="1:2" x14ac:dyDescent="0.25">
      <c r="A28672" s="118"/>
      <c r="B28672" s="136"/>
    </row>
    <row r="28673" spans="1:2" x14ac:dyDescent="0.25">
      <c r="A28673" s="118"/>
      <c r="B28673" s="136"/>
    </row>
    <row r="28674" spans="1:2" x14ac:dyDescent="0.25">
      <c r="A28674" s="118"/>
      <c r="B28674" s="136"/>
    </row>
    <row r="28675" spans="1:2" x14ac:dyDescent="0.25">
      <c r="A28675" s="118"/>
      <c r="B28675" s="136"/>
    </row>
    <row r="28676" spans="1:2" x14ac:dyDescent="0.25">
      <c r="A28676" s="118"/>
      <c r="B28676" s="136"/>
    </row>
    <row r="28677" spans="1:2" x14ac:dyDescent="0.25">
      <c r="A28677" s="118"/>
      <c r="B28677" s="136"/>
    </row>
    <row r="28678" spans="1:2" x14ac:dyDescent="0.25">
      <c r="A28678" s="118"/>
      <c r="B28678" s="136"/>
    </row>
    <row r="28679" spans="1:2" x14ac:dyDescent="0.25">
      <c r="A28679" s="118"/>
      <c r="B28679" s="136"/>
    </row>
    <row r="28680" spans="1:2" x14ac:dyDescent="0.25">
      <c r="A28680" s="118"/>
      <c r="B28680" s="136"/>
    </row>
    <row r="28681" spans="1:2" x14ac:dyDescent="0.25">
      <c r="A28681" s="118"/>
      <c r="B28681" s="136"/>
    </row>
    <row r="28682" spans="1:2" x14ac:dyDescent="0.25">
      <c r="A28682" s="118"/>
      <c r="B28682" s="136"/>
    </row>
    <row r="28683" spans="1:2" x14ac:dyDescent="0.25">
      <c r="A28683" s="118"/>
      <c r="B28683" s="136"/>
    </row>
    <row r="28684" spans="1:2" x14ac:dyDescent="0.25">
      <c r="A28684" s="118"/>
      <c r="B28684" s="136"/>
    </row>
    <row r="28685" spans="1:2" x14ac:dyDescent="0.25">
      <c r="A28685" s="118"/>
      <c r="B28685" s="136"/>
    </row>
    <row r="28686" spans="1:2" x14ac:dyDescent="0.25">
      <c r="A28686" s="118"/>
      <c r="B28686" s="136"/>
    </row>
    <row r="28687" spans="1:2" x14ac:dyDescent="0.25">
      <c r="A28687" s="118"/>
      <c r="B28687" s="136"/>
    </row>
    <row r="28688" spans="1:2" x14ac:dyDescent="0.25">
      <c r="A28688" s="118"/>
      <c r="B28688" s="136"/>
    </row>
    <row r="28689" spans="1:2" x14ac:dyDescent="0.25">
      <c r="A28689" s="118"/>
      <c r="B28689" s="136"/>
    </row>
    <row r="28690" spans="1:2" x14ac:dyDescent="0.25">
      <c r="A28690" s="118"/>
      <c r="B28690" s="136"/>
    </row>
    <row r="28691" spans="1:2" x14ac:dyDescent="0.25">
      <c r="A28691" s="118"/>
      <c r="B28691" s="136"/>
    </row>
    <row r="28692" spans="1:2" x14ac:dyDescent="0.25">
      <c r="A28692" s="118"/>
      <c r="B28692" s="136"/>
    </row>
    <row r="28693" spans="1:2" x14ac:dyDescent="0.25">
      <c r="A28693" s="118"/>
      <c r="B28693" s="136"/>
    </row>
    <row r="28694" spans="1:2" x14ac:dyDescent="0.25">
      <c r="A28694" s="118"/>
      <c r="B28694" s="136"/>
    </row>
    <row r="28695" spans="1:2" x14ac:dyDescent="0.25">
      <c r="A28695" s="118"/>
      <c r="B28695" s="136"/>
    </row>
    <row r="28696" spans="1:2" x14ac:dyDescent="0.25">
      <c r="A28696" s="118"/>
      <c r="B28696" s="136"/>
    </row>
    <row r="28697" spans="1:2" x14ac:dyDescent="0.25">
      <c r="A28697" s="118"/>
      <c r="B28697" s="136"/>
    </row>
    <row r="28698" spans="1:2" x14ac:dyDescent="0.25">
      <c r="A28698" s="118"/>
      <c r="B28698" s="136"/>
    </row>
    <row r="28699" spans="1:2" x14ac:dyDescent="0.25">
      <c r="A28699" s="118"/>
      <c r="B28699" s="136"/>
    </row>
    <row r="28700" spans="1:2" x14ac:dyDescent="0.25">
      <c r="A28700" s="118"/>
      <c r="B28700" s="136"/>
    </row>
    <row r="28701" spans="1:2" x14ac:dyDescent="0.25">
      <c r="A28701" s="118"/>
      <c r="B28701" s="136"/>
    </row>
    <row r="28702" spans="1:2" x14ac:dyDescent="0.25">
      <c r="A28702" s="118"/>
      <c r="B28702" s="136"/>
    </row>
    <row r="28703" spans="1:2" x14ac:dyDescent="0.25">
      <c r="A28703" s="118"/>
      <c r="B28703" s="136"/>
    </row>
    <row r="28704" spans="1:2" x14ac:dyDescent="0.25">
      <c r="A28704" s="118"/>
      <c r="B28704" s="136"/>
    </row>
    <row r="28705" spans="1:2" x14ac:dyDescent="0.25">
      <c r="A28705" s="118"/>
      <c r="B28705" s="136"/>
    </row>
    <row r="28706" spans="1:2" x14ac:dyDescent="0.25">
      <c r="A28706" s="118"/>
      <c r="B28706" s="136"/>
    </row>
    <row r="28707" spans="1:2" x14ac:dyDescent="0.25">
      <c r="A28707" s="118"/>
      <c r="B28707" s="136"/>
    </row>
    <row r="28708" spans="1:2" x14ac:dyDescent="0.25">
      <c r="A28708" s="118"/>
      <c r="B28708" s="136"/>
    </row>
    <row r="28709" spans="1:2" x14ac:dyDescent="0.25">
      <c r="A28709" s="118"/>
      <c r="B28709" s="136"/>
    </row>
    <row r="28710" spans="1:2" x14ac:dyDescent="0.25">
      <c r="A28710" s="118"/>
      <c r="B28710" s="136"/>
    </row>
    <row r="28711" spans="1:2" x14ac:dyDescent="0.25">
      <c r="A28711" s="118"/>
      <c r="B28711" s="136"/>
    </row>
    <row r="28712" spans="1:2" x14ac:dyDescent="0.25">
      <c r="A28712" s="118"/>
      <c r="B28712" s="136"/>
    </row>
    <row r="28713" spans="1:2" x14ac:dyDescent="0.25">
      <c r="A28713" s="118"/>
      <c r="B28713" s="136"/>
    </row>
    <row r="28714" spans="1:2" x14ac:dyDescent="0.25">
      <c r="A28714" s="118"/>
      <c r="B28714" s="136"/>
    </row>
    <row r="28715" spans="1:2" x14ac:dyDescent="0.25">
      <c r="A28715" s="118"/>
      <c r="B28715" s="136"/>
    </row>
    <row r="28716" spans="1:2" x14ac:dyDescent="0.25">
      <c r="A28716" s="118"/>
      <c r="B28716" s="136"/>
    </row>
    <row r="28717" spans="1:2" x14ac:dyDescent="0.25">
      <c r="A28717" s="118"/>
      <c r="B28717" s="136"/>
    </row>
    <row r="28718" spans="1:2" x14ac:dyDescent="0.25">
      <c r="A28718" s="118"/>
      <c r="B28718" s="136"/>
    </row>
    <row r="28719" spans="1:2" x14ac:dyDescent="0.25">
      <c r="A28719" s="118"/>
      <c r="B28719" s="136"/>
    </row>
    <row r="28720" spans="1:2" x14ac:dyDescent="0.25">
      <c r="A28720" s="118"/>
      <c r="B28720" s="136"/>
    </row>
    <row r="28721" spans="1:2" x14ac:dyDescent="0.25">
      <c r="A28721" s="118"/>
      <c r="B28721" s="136"/>
    </row>
    <row r="28722" spans="1:2" x14ac:dyDescent="0.25">
      <c r="A28722" s="118"/>
      <c r="B28722" s="136"/>
    </row>
    <row r="28723" spans="1:2" x14ac:dyDescent="0.25">
      <c r="A28723" s="118"/>
      <c r="B28723" s="136"/>
    </row>
    <row r="28724" spans="1:2" x14ac:dyDescent="0.25">
      <c r="A28724" s="118"/>
      <c r="B28724" s="136"/>
    </row>
    <row r="28725" spans="1:2" x14ac:dyDescent="0.25">
      <c r="A28725" s="118"/>
      <c r="B28725" s="136"/>
    </row>
    <row r="28726" spans="1:2" x14ac:dyDescent="0.25">
      <c r="A28726" s="118"/>
      <c r="B28726" s="136"/>
    </row>
    <row r="28727" spans="1:2" x14ac:dyDescent="0.25">
      <c r="A28727" s="118"/>
      <c r="B28727" s="136"/>
    </row>
    <row r="28728" spans="1:2" x14ac:dyDescent="0.25">
      <c r="A28728" s="118"/>
      <c r="B28728" s="136"/>
    </row>
    <row r="28729" spans="1:2" x14ac:dyDescent="0.25">
      <c r="A28729" s="118"/>
      <c r="B28729" s="136"/>
    </row>
    <row r="28730" spans="1:2" x14ac:dyDescent="0.25">
      <c r="A28730" s="118"/>
      <c r="B28730" s="136"/>
    </row>
    <row r="28731" spans="1:2" x14ac:dyDescent="0.25">
      <c r="A28731" s="118"/>
      <c r="B28731" s="136"/>
    </row>
    <row r="28732" spans="1:2" x14ac:dyDescent="0.25">
      <c r="A28732" s="118"/>
      <c r="B28732" s="136"/>
    </row>
    <row r="28733" spans="1:2" x14ac:dyDescent="0.25">
      <c r="A28733" s="118"/>
      <c r="B28733" s="136"/>
    </row>
    <row r="28734" spans="1:2" x14ac:dyDescent="0.25">
      <c r="A28734" s="118"/>
      <c r="B28734" s="136"/>
    </row>
    <row r="28735" spans="1:2" x14ac:dyDescent="0.25">
      <c r="A28735" s="118"/>
      <c r="B28735" s="136"/>
    </row>
    <row r="28736" spans="1:2" x14ac:dyDescent="0.25">
      <c r="A28736" s="118"/>
      <c r="B28736" s="136"/>
    </row>
    <row r="28737" spans="1:2" x14ac:dyDescent="0.25">
      <c r="A28737" s="118"/>
      <c r="B28737" s="136"/>
    </row>
    <row r="28738" spans="1:2" x14ac:dyDescent="0.25">
      <c r="A28738" s="118"/>
      <c r="B28738" s="136"/>
    </row>
    <row r="28739" spans="1:2" x14ac:dyDescent="0.25">
      <c r="A28739" s="118"/>
      <c r="B28739" s="136"/>
    </row>
    <row r="28740" spans="1:2" x14ac:dyDescent="0.25">
      <c r="A28740" s="118"/>
      <c r="B28740" s="136"/>
    </row>
    <row r="28741" spans="1:2" x14ac:dyDescent="0.25">
      <c r="A28741" s="118"/>
      <c r="B28741" s="136"/>
    </row>
    <row r="28742" spans="1:2" x14ac:dyDescent="0.25">
      <c r="A28742" s="118"/>
      <c r="B28742" s="136"/>
    </row>
    <row r="28743" spans="1:2" x14ac:dyDescent="0.25">
      <c r="A28743" s="118"/>
      <c r="B28743" s="136"/>
    </row>
    <row r="28744" spans="1:2" x14ac:dyDescent="0.25">
      <c r="A28744" s="118"/>
      <c r="B28744" s="136"/>
    </row>
    <row r="28745" spans="1:2" x14ac:dyDescent="0.25">
      <c r="A28745" s="118"/>
      <c r="B28745" s="136"/>
    </row>
    <row r="28746" spans="1:2" x14ac:dyDescent="0.25">
      <c r="A28746" s="118"/>
      <c r="B28746" s="136"/>
    </row>
    <row r="28747" spans="1:2" x14ac:dyDescent="0.25">
      <c r="A28747" s="118"/>
      <c r="B28747" s="136"/>
    </row>
    <row r="28748" spans="1:2" x14ac:dyDescent="0.25">
      <c r="A28748" s="118"/>
      <c r="B28748" s="136"/>
    </row>
    <row r="28749" spans="1:2" x14ac:dyDescent="0.25">
      <c r="A28749" s="118"/>
      <c r="B28749" s="136"/>
    </row>
    <row r="28750" spans="1:2" x14ac:dyDescent="0.25">
      <c r="A28750" s="118"/>
      <c r="B28750" s="136"/>
    </row>
    <row r="28751" spans="1:2" x14ac:dyDescent="0.25">
      <c r="A28751" s="118"/>
      <c r="B28751" s="136"/>
    </row>
    <row r="28752" spans="1:2" x14ac:dyDescent="0.25">
      <c r="A28752" s="118"/>
      <c r="B28752" s="136"/>
    </row>
    <row r="28753" spans="1:2" x14ac:dyDescent="0.25">
      <c r="A28753" s="118"/>
      <c r="B28753" s="136"/>
    </row>
    <row r="28754" spans="1:2" x14ac:dyDescent="0.25">
      <c r="A28754" s="118"/>
      <c r="B28754" s="136"/>
    </row>
    <row r="28755" spans="1:2" x14ac:dyDescent="0.25">
      <c r="A28755" s="118"/>
      <c r="B28755" s="136"/>
    </row>
    <row r="28756" spans="1:2" x14ac:dyDescent="0.25">
      <c r="A28756" s="118"/>
      <c r="B28756" s="136"/>
    </row>
    <row r="28757" spans="1:2" x14ac:dyDescent="0.25">
      <c r="A28757" s="118"/>
      <c r="B28757" s="136"/>
    </row>
    <row r="28758" spans="1:2" x14ac:dyDescent="0.25">
      <c r="A28758" s="118"/>
      <c r="B28758" s="136"/>
    </row>
    <row r="28759" spans="1:2" x14ac:dyDescent="0.25">
      <c r="A28759" s="118"/>
      <c r="B28759" s="136"/>
    </row>
    <row r="28760" spans="1:2" x14ac:dyDescent="0.25">
      <c r="A28760" s="118"/>
      <c r="B28760" s="136"/>
    </row>
    <row r="28761" spans="1:2" x14ac:dyDescent="0.25">
      <c r="A28761" s="118"/>
      <c r="B28761" s="136"/>
    </row>
    <row r="28762" spans="1:2" x14ac:dyDescent="0.25">
      <c r="A28762" s="118"/>
      <c r="B28762" s="136"/>
    </row>
    <row r="28763" spans="1:2" x14ac:dyDescent="0.25">
      <c r="A28763" s="118"/>
      <c r="B28763" s="136"/>
    </row>
    <row r="28764" spans="1:2" x14ac:dyDescent="0.25">
      <c r="A28764" s="118"/>
      <c r="B28764" s="136"/>
    </row>
    <row r="28765" spans="1:2" x14ac:dyDescent="0.25">
      <c r="A28765" s="118"/>
      <c r="B28765" s="136"/>
    </row>
    <row r="28766" spans="1:2" x14ac:dyDescent="0.25">
      <c r="A28766" s="118"/>
      <c r="B28766" s="136"/>
    </row>
    <row r="28767" spans="1:2" x14ac:dyDescent="0.25">
      <c r="A28767" s="118"/>
      <c r="B28767" s="136"/>
    </row>
    <row r="28768" spans="1:2" x14ac:dyDescent="0.25">
      <c r="A28768" s="118"/>
      <c r="B28768" s="136"/>
    </row>
    <row r="28769" spans="1:2" x14ac:dyDescent="0.25">
      <c r="A28769" s="118"/>
      <c r="B28769" s="136"/>
    </row>
    <row r="28770" spans="1:2" x14ac:dyDescent="0.25">
      <c r="A28770" s="118"/>
      <c r="B28770" s="136"/>
    </row>
    <row r="28771" spans="1:2" x14ac:dyDescent="0.25">
      <c r="A28771" s="118"/>
      <c r="B28771" s="136"/>
    </row>
    <row r="28772" spans="1:2" x14ac:dyDescent="0.25">
      <c r="A28772" s="118"/>
      <c r="B28772" s="136"/>
    </row>
    <row r="28773" spans="1:2" x14ac:dyDescent="0.25">
      <c r="A28773" s="118"/>
      <c r="B28773" s="136"/>
    </row>
    <row r="28774" spans="1:2" x14ac:dyDescent="0.25">
      <c r="A28774" s="118"/>
      <c r="B28774" s="136"/>
    </row>
    <row r="28775" spans="1:2" x14ac:dyDescent="0.25">
      <c r="A28775" s="118"/>
      <c r="B28775" s="136"/>
    </row>
    <row r="28776" spans="1:2" x14ac:dyDescent="0.25">
      <c r="A28776" s="118"/>
      <c r="B28776" s="136"/>
    </row>
    <row r="28777" spans="1:2" x14ac:dyDescent="0.25">
      <c r="A28777" s="118"/>
      <c r="B28777" s="136"/>
    </row>
    <row r="28778" spans="1:2" x14ac:dyDescent="0.25">
      <c r="A28778" s="118"/>
      <c r="B28778" s="136"/>
    </row>
    <row r="28779" spans="1:2" x14ac:dyDescent="0.25">
      <c r="A28779" s="118"/>
      <c r="B28779" s="136"/>
    </row>
    <row r="28780" spans="1:2" x14ac:dyDescent="0.25">
      <c r="A28780" s="118"/>
      <c r="B28780" s="136"/>
    </row>
    <row r="28781" spans="1:2" x14ac:dyDescent="0.25">
      <c r="A28781" s="118"/>
      <c r="B28781" s="136"/>
    </row>
    <row r="28782" spans="1:2" x14ac:dyDescent="0.25">
      <c r="A28782" s="118"/>
      <c r="B28782" s="136"/>
    </row>
    <row r="28783" spans="1:2" x14ac:dyDescent="0.25">
      <c r="A28783" s="118"/>
      <c r="B28783" s="136"/>
    </row>
    <row r="28784" spans="1:2" x14ac:dyDescent="0.25">
      <c r="A28784" s="118"/>
      <c r="B28784" s="136"/>
    </row>
    <row r="28785" spans="1:2" x14ac:dyDescent="0.25">
      <c r="A28785" s="118"/>
      <c r="B28785" s="136"/>
    </row>
    <row r="28786" spans="1:2" x14ac:dyDescent="0.25">
      <c r="A28786" s="118"/>
      <c r="B28786" s="136"/>
    </row>
    <row r="28787" spans="1:2" x14ac:dyDescent="0.25">
      <c r="A28787" s="118"/>
      <c r="B28787" s="136"/>
    </row>
    <row r="28788" spans="1:2" x14ac:dyDescent="0.25">
      <c r="A28788" s="118"/>
      <c r="B28788" s="136"/>
    </row>
    <row r="28789" spans="1:2" x14ac:dyDescent="0.25">
      <c r="A28789" s="118"/>
      <c r="B28789" s="136"/>
    </row>
    <row r="28790" spans="1:2" x14ac:dyDescent="0.25">
      <c r="A28790" s="118"/>
      <c r="B28790" s="136"/>
    </row>
    <row r="28791" spans="1:2" x14ac:dyDescent="0.25">
      <c r="A28791" s="118"/>
      <c r="B28791" s="136"/>
    </row>
    <row r="28792" spans="1:2" x14ac:dyDescent="0.25">
      <c r="A28792" s="118"/>
      <c r="B28792" s="136"/>
    </row>
    <row r="28793" spans="1:2" x14ac:dyDescent="0.25">
      <c r="A28793" s="118"/>
      <c r="B28793" s="136"/>
    </row>
    <row r="28794" spans="1:2" x14ac:dyDescent="0.25">
      <c r="A28794" s="118"/>
      <c r="B28794" s="136"/>
    </row>
    <row r="28795" spans="1:2" x14ac:dyDescent="0.25">
      <c r="A28795" s="118"/>
      <c r="B28795" s="136"/>
    </row>
    <row r="28796" spans="1:2" x14ac:dyDescent="0.25">
      <c r="A28796" s="118"/>
      <c r="B28796" s="136"/>
    </row>
    <row r="28797" spans="1:2" x14ac:dyDescent="0.25">
      <c r="A28797" s="118"/>
      <c r="B28797" s="136"/>
    </row>
    <row r="28798" spans="1:2" x14ac:dyDescent="0.25">
      <c r="A28798" s="118"/>
      <c r="B28798" s="136"/>
    </row>
    <row r="28799" spans="1:2" x14ac:dyDescent="0.25">
      <c r="A28799" s="118"/>
      <c r="B28799" s="136"/>
    </row>
    <row r="28800" spans="1:2" x14ac:dyDescent="0.25">
      <c r="A28800" s="118"/>
      <c r="B28800" s="136"/>
    </row>
    <row r="28801" spans="1:2" x14ac:dyDescent="0.25">
      <c r="A28801" s="118"/>
      <c r="B28801" s="136"/>
    </row>
    <row r="28802" spans="1:2" x14ac:dyDescent="0.25">
      <c r="A28802" s="118"/>
      <c r="B28802" s="136"/>
    </row>
    <row r="28803" spans="1:2" x14ac:dyDescent="0.25">
      <c r="A28803" s="118"/>
      <c r="B28803" s="136"/>
    </row>
    <row r="28804" spans="1:2" x14ac:dyDescent="0.25">
      <c r="A28804" s="118"/>
      <c r="B28804" s="136"/>
    </row>
    <row r="28805" spans="1:2" x14ac:dyDescent="0.25">
      <c r="A28805" s="118"/>
      <c r="B28805" s="136"/>
    </row>
    <row r="28806" spans="1:2" x14ac:dyDescent="0.25">
      <c r="A28806" s="118"/>
      <c r="B28806" s="136"/>
    </row>
    <row r="28807" spans="1:2" x14ac:dyDescent="0.25">
      <c r="A28807" s="118"/>
      <c r="B28807" s="136"/>
    </row>
    <row r="28808" spans="1:2" x14ac:dyDescent="0.25">
      <c r="A28808" s="118"/>
      <c r="B28808" s="136"/>
    </row>
    <row r="28809" spans="1:2" x14ac:dyDescent="0.25">
      <c r="A28809" s="118"/>
      <c r="B28809" s="136"/>
    </row>
    <row r="28810" spans="1:2" x14ac:dyDescent="0.25">
      <c r="A28810" s="118"/>
      <c r="B28810" s="136"/>
    </row>
    <row r="28811" spans="1:2" x14ac:dyDescent="0.25">
      <c r="A28811" s="118"/>
      <c r="B28811" s="136"/>
    </row>
    <row r="28812" spans="1:2" x14ac:dyDescent="0.25">
      <c r="A28812" s="118"/>
      <c r="B28812" s="136"/>
    </row>
    <row r="28813" spans="1:2" x14ac:dyDescent="0.25">
      <c r="A28813" s="118"/>
      <c r="B28813" s="136"/>
    </row>
    <row r="28814" spans="1:2" x14ac:dyDescent="0.25">
      <c r="A28814" s="118"/>
      <c r="B28814" s="136"/>
    </row>
    <row r="28815" spans="1:2" x14ac:dyDescent="0.25">
      <c r="A28815" s="118"/>
      <c r="B28815" s="136"/>
    </row>
    <row r="28816" spans="1:2" x14ac:dyDescent="0.25">
      <c r="A28816" s="118"/>
      <c r="B28816" s="136"/>
    </row>
    <row r="28817" spans="1:2" x14ac:dyDescent="0.25">
      <c r="A28817" s="118"/>
      <c r="B28817" s="136"/>
    </row>
    <row r="28818" spans="1:2" x14ac:dyDescent="0.25">
      <c r="A28818" s="118"/>
      <c r="B28818" s="136"/>
    </row>
    <row r="28819" spans="1:2" x14ac:dyDescent="0.25">
      <c r="A28819" s="118"/>
      <c r="B28819" s="136"/>
    </row>
    <row r="28820" spans="1:2" x14ac:dyDescent="0.25">
      <c r="A28820" s="118"/>
      <c r="B28820" s="136"/>
    </row>
    <row r="28821" spans="1:2" x14ac:dyDescent="0.25">
      <c r="A28821" s="118"/>
      <c r="B28821" s="136"/>
    </row>
    <row r="28822" spans="1:2" x14ac:dyDescent="0.25">
      <c r="A28822" s="118"/>
      <c r="B28822" s="136"/>
    </row>
    <row r="28823" spans="1:2" x14ac:dyDescent="0.25">
      <c r="A28823" s="118"/>
      <c r="B28823" s="136"/>
    </row>
    <row r="28824" spans="1:2" x14ac:dyDescent="0.25">
      <c r="A28824" s="118"/>
      <c r="B28824" s="136"/>
    </row>
    <row r="28825" spans="1:2" x14ac:dyDescent="0.25">
      <c r="A28825" s="118"/>
      <c r="B28825" s="136"/>
    </row>
    <row r="28826" spans="1:2" x14ac:dyDescent="0.25">
      <c r="A28826" s="118"/>
      <c r="B28826" s="136"/>
    </row>
    <row r="28827" spans="1:2" x14ac:dyDescent="0.25">
      <c r="A28827" s="118"/>
      <c r="B28827" s="136"/>
    </row>
    <row r="28828" spans="1:2" x14ac:dyDescent="0.25">
      <c r="A28828" s="118"/>
      <c r="B28828" s="136"/>
    </row>
    <row r="28829" spans="1:2" x14ac:dyDescent="0.25">
      <c r="A28829" s="118"/>
      <c r="B28829" s="136"/>
    </row>
    <row r="28830" spans="1:2" x14ac:dyDescent="0.25">
      <c r="A28830" s="118"/>
      <c r="B28830" s="136"/>
    </row>
    <row r="28831" spans="1:2" x14ac:dyDescent="0.25">
      <c r="A28831" s="118"/>
      <c r="B28831" s="136"/>
    </row>
    <row r="28832" spans="1:2" x14ac:dyDescent="0.25">
      <c r="A28832" s="118"/>
      <c r="B28832" s="136"/>
    </row>
    <row r="28833" spans="1:2" x14ac:dyDescent="0.25">
      <c r="A28833" s="118"/>
      <c r="B28833" s="136"/>
    </row>
    <row r="28834" spans="1:2" x14ac:dyDescent="0.25">
      <c r="A28834" s="118"/>
      <c r="B28834" s="136"/>
    </row>
    <row r="28835" spans="1:2" x14ac:dyDescent="0.25">
      <c r="A28835" s="118"/>
      <c r="B28835" s="136"/>
    </row>
    <row r="28836" spans="1:2" x14ac:dyDescent="0.25">
      <c r="A28836" s="118"/>
      <c r="B28836" s="136"/>
    </row>
    <row r="28837" spans="1:2" x14ac:dyDescent="0.25">
      <c r="A28837" s="118"/>
      <c r="B28837" s="136"/>
    </row>
    <row r="28838" spans="1:2" x14ac:dyDescent="0.25">
      <c r="A28838" s="118"/>
      <c r="B28838" s="136"/>
    </row>
    <row r="28839" spans="1:2" x14ac:dyDescent="0.25">
      <c r="A28839" s="118"/>
      <c r="B28839" s="136"/>
    </row>
    <row r="28840" spans="1:2" x14ac:dyDescent="0.25">
      <c r="A28840" s="118"/>
      <c r="B28840" s="136"/>
    </row>
    <row r="28841" spans="1:2" x14ac:dyDescent="0.25">
      <c r="A28841" s="118"/>
      <c r="B28841" s="136"/>
    </row>
    <row r="28842" spans="1:2" x14ac:dyDescent="0.25">
      <c r="A28842" s="118"/>
      <c r="B28842" s="136"/>
    </row>
    <row r="28843" spans="1:2" x14ac:dyDescent="0.25">
      <c r="A28843" s="118"/>
      <c r="B28843" s="136"/>
    </row>
    <row r="28844" spans="1:2" x14ac:dyDescent="0.25">
      <c r="A28844" s="118"/>
      <c r="B28844" s="136"/>
    </row>
    <row r="28845" spans="1:2" x14ac:dyDescent="0.25">
      <c r="A28845" s="118"/>
      <c r="B28845" s="136"/>
    </row>
    <row r="28846" spans="1:2" x14ac:dyDescent="0.25">
      <c r="A28846" s="118"/>
      <c r="B28846" s="136"/>
    </row>
    <row r="28847" spans="1:2" x14ac:dyDescent="0.25">
      <c r="A28847" s="118"/>
      <c r="B28847" s="136"/>
    </row>
    <row r="28848" spans="1:2" x14ac:dyDescent="0.25">
      <c r="A28848" s="118"/>
      <c r="B28848" s="136"/>
    </row>
    <row r="28849" spans="1:2" x14ac:dyDescent="0.25">
      <c r="A28849" s="118"/>
      <c r="B28849" s="136"/>
    </row>
    <row r="28850" spans="1:2" x14ac:dyDescent="0.25">
      <c r="A28850" s="118"/>
      <c r="B28850" s="136"/>
    </row>
    <row r="28851" spans="1:2" x14ac:dyDescent="0.25">
      <c r="A28851" s="118"/>
      <c r="B28851" s="136"/>
    </row>
    <row r="28852" spans="1:2" x14ac:dyDescent="0.25">
      <c r="A28852" s="118"/>
      <c r="B28852" s="136"/>
    </row>
    <row r="28853" spans="1:2" x14ac:dyDescent="0.25">
      <c r="A28853" s="118"/>
      <c r="B28853" s="136"/>
    </row>
    <row r="28854" spans="1:2" x14ac:dyDescent="0.25">
      <c r="A28854" s="118"/>
      <c r="B28854" s="136"/>
    </row>
    <row r="28855" spans="1:2" x14ac:dyDescent="0.25">
      <c r="A28855" s="118"/>
      <c r="B28855" s="136"/>
    </row>
    <row r="28856" spans="1:2" x14ac:dyDescent="0.25">
      <c r="A28856" s="118"/>
      <c r="B28856" s="136"/>
    </row>
    <row r="28857" spans="1:2" x14ac:dyDescent="0.25">
      <c r="A28857" s="118"/>
      <c r="B28857" s="136"/>
    </row>
    <row r="28858" spans="1:2" x14ac:dyDescent="0.25">
      <c r="A28858" s="118"/>
      <c r="B28858" s="136"/>
    </row>
    <row r="28859" spans="1:2" x14ac:dyDescent="0.25">
      <c r="A28859" s="118"/>
      <c r="B28859" s="136"/>
    </row>
    <row r="28860" spans="1:2" x14ac:dyDescent="0.25">
      <c r="A28860" s="118"/>
      <c r="B28860" s="136"/>
    </row>
    <row r="28861" spans="1:2" x14ac:dyDescent="0.25">
      <c r="A28861" s="118"/>
      <c r="B28861" s="136"/>
    </row>
    <row r="28862" spans="1:2" x14ac:dyDescent="0.25">
      <c r="A28862" s="118"/>
      <c r="B28862" s="136"/>
    </row>
    <row r="28863" spans="1:2" x14ac:dyDescent="0.25">
      <c r="A28863" s="118"/>
      <c r="B28863" s="136"/>
    </row>
    <row r="28864" spans="1:2" x14ac:dyDescent="0.25">
      <c r="A28864" s="118"/>
      <c r="B28864" s="136"/>
    </row>
    <row r="28865" spans="1:2" x14ac:dyDescent="0.25">
      <c r="A28865" s="118"/>
      <c r="B28865" s="136"/>
    </row>
    <row r="28866" spans="1:2" x14ac:dyDescent="0.25">
      <c r="A28866" s="118"/>
      <c r="B28866" s="136"/>
    </row>
    <row r="28867" spans="1:2" x14ac:dyDescent="0.25">
      <c r="A28867" s="118"/>
      <c r="B28867" s="136"/>
    </row>
    <row r="28868" spans="1:2" x14ac:dyDescent="0.25">
      <c r="A28868" s="118"/>
      <c r="B28868" s="136"/>
    </row>
    <row r="28869" spans="1:2" x14ac:dyDescent="0.25">
      <c r="A28869" s="118"/>
      <c r="B28869" s="136"/>
    </row>
    <row r="28870" spans="1:2" x14ac:dyDescent="0.25">
      <c r="A28870" s="118"/>
      <c r="B28870" s="136"/>
    </row>
    <row r="28871" spans="1:2" x14ac:dyDescent="0.25">
      <c r="A28871" s="118"/>
      <c r="B28871" s="136"/>
    </row>
    <row r="28872" spans="1:2" x14ac:dyDescent="0.25">
      <c r="A28872" s="118"/>
      <c r="B28872" s="136"/>
    </row>
    <row r="28873" spans="1:2" x14ac:dyDescent="0.25">
      <c r="A28873" s="118"/>
      <c r="B28873" s="136"/>
    </row>
    <row r="28874" spans="1:2" x14ac:dyDescent="0.25">
      <c r="A28874" s="118"/>
      <c r="B28874" s="136"/>
    </row>
    <row r="28875" spans="1:2" x14ac:dyDescent="0.25">
      <c r="A28875" s="118"/>
      <c r="B28875" s="136"/>
    </row>
    <row r="28876" spans="1:2" x14ac:dyDescent="0.25">
      <c r="A28876" s="118"/>
      <c r="B28876" s="136"/>
    </row>
    <row r="28877" spans="1:2" x14ac:dyDescent="0.25">
      <c r="A28877" s="118"/>
      <c r="B28877" s="136"/>
    </row>
    <row r="28878" spans="1:2" x14ac:dyDescent="0.25">
      <c r="A28878" s="118"/>
      <c r="B28878" s="136"/>
    </row>
    <row r="28879" spans="1:2" x14ac:dyDescent="0.25">
      <c r="A28879" s="118"/>
      <c r="B28879" s="136"/>
    </row>
    <row r="28880" spans="1:2" x14ac:dyDescent="0.25">
      <c r="A28880" s="118"/>
      <c r="B28880" s="136"/>
    </row>
    <row r="28881" spans="1:2" x14ac:dyDescent="0.25">
      <c r="A28881" s="118"/>
      <c r="B28881" s="136"/>
    </row>
    <row r="28882" spans="1:2" x14ac:dyDescent="0.25">
      <c r="A28882" s="118"/>
      <c r="B28882" s="136"/>
    </row>
    <row r="28883" spans="1:2" x14ac:dyDescent="0.25">
      <c r="A28883" s="118"/>
      <c r="B28883" s="136"/>
    </row>
    <row r="28884" spans="1:2" x14ac:dyDescent="0.25">
      <c r="A28884" s="118"/>
      <c r="B28884" s="136"/>
    </row>
    <row r="28885" spans="1:2" x14ac:dyDescent="0.25">
      <c r="A28885" s="118"/>
      <c r="B28885" s="136"/>
    </row>
    <row r="28886" spans="1:2" x14ac:dyDescent="0.25">
      <c r="A28886" s="118"/>
      <c r="B28886" s="136"/>
    </row>
    <row r="28887" spans="1:2" x14ac:dyDescent="0.25">
      <c r="A28887" s="118"/>
      <c r="B28887" s="136"/>
    </row>
    <row r="28888" spans="1:2" x14ac:dyDescent="0.25">
      <c r="A28888" s="118"/>
      <c r="B28888" s="136"/>
    </row>
    <row r="28889" spans="1:2" x14ac:dyDescent="0.25">
      <c r="A28889" s="118"/>
      <c r="B28889" s="136"/>
    </row>
    <row r="28890" spans="1:2" x14ac:dyDescent="0.25">
      <c r="A28890" s="118"/>
      <c r="B28890" s="136"/>
    </row>
    <row r="28891" spans="1:2" x14ac:dyDescent="0.25">
      <c r="A28891" s="118"/>
      <c r="B28891" s="136"/>
    </row>
    <row r="28892" spans="1:2" x14ac:dyDescent="0.25">
      <c r="A28892" s="118"/>
      <c r="B28892" s="136"/>
    </row>
    <row r="28893" spans="1:2" x14ac:dyDescent="0.25">
      <c r="A28893" s="118"/>
      <c r="B28893" s="136"/>
    </row>
    <row r="28894" spans="1:2" x14ac:dyDescent="0.25">
      <c r="A28894" s="118"/>
      <c r="B28894" s="136"/>
    </row>
    <row r="28895" spans="1:2" x14ac:dyDescent="0.25">
      <c r="A28895" s="118"/>
      <c r="B28895" s="136"/>
    </row>
    <row r="28896" spans="1:2" x14ac:dyDescent="0.25">
      <c r="A28896" s="118"/>
      <c r="B28896" s="136"/>
    </row>
    <row r="28897" spans="1:2" x14ac:dyDescent="0.25">
      <c r="A28897" s="118"/>
      <c r="B28897" s="136"/>
    </row>
    <row r="28898" spans="1:2" x14ac:dyDescent="0.25">
      <c r="A28898" s="118"/>
      <c r="B28898" s="136"/>
    </row>
    <row r="28899" spans="1:2" x14ac:dyDescent="0.25">
      <c r="A28899" s="118"/>
      <c r="B28899" s="136"/>
    </row>
    <row r="28900" spans="1:2" x14ac:dyDescent="0.25">
      <c r="A28900" s="118"/>
      <c r="B28900" s="136"/>
    </row>
    <row r="28901" spans="1:2" x14ac:dyDescent="0.25">
      <c r="A28901" s="118"/>
      <c r="B28901" s="136"/>
    </row>
    <row r="28902" spans="1:2" x14ac:dyDescent="0.25">
      <c r="A28902" s="118"/>
      <c r="B28902" s="136"/>
    </row>
    <row r="28903" spans="1:2" x14ac:dyDescent="0.25">
      <c r="A28903" s="118"/>
      <c r="B28903" s="136"/>
    </row>
    <row r="28904" spans="1:2" x14ac:dyDescent="0.25">
      <c r="A28904" s="118"/>
      <c r="B28904" s="136"/>
    </row>
    <row r="28905" spans="1:2" x14ac:dyDescent="0.25">
      <c r="A28905" s="118"/>
      <c r="B28905" s="136"/>
    </row>
    <row r="28906" spans="1:2" x14ac:dyDescent="0.25">
      <c r="A28906" s="118"/>
      <c r="B28906" s="136"/>
    </row>
    <row r="28907" spans="1:2" x14ac:dyDescent="0.25">
      <c r="A28907" s="118"/>
      <c r="B28907" s="136"/>
    </row>
    <row r="28908" spans="1:2" x14ac:dyDescent="0.25">
      <c r="A28908" s="118"/>
      <c r="B28908" s="136"/>
    </row>
    <row r="28909" spans="1:2" x14ac:dyDescent="0.25">
      <c r="A28909" s="118"/>
      <c r="B28909" s="136"/>
    </row>
    <row r="28910" spans="1:2" x14ac:dyDescent="0.25">
      <c r="A28910" s="118"/>
      <c r="B28910" s="136"/>
    </row>
    <row r="28911" spans="1:2" x14ac:dyDescent="0.25">
      <c r="A28911" s="118"/>
      <c r="B28911" s="136"/>
    </row>
    <row r="28912" spans="1:2" x14ac:dyDescent="0.25">
      <c r="A28912" s="118"/>
      <c r="B28912" s="136"/>
    </row>
    <row r="28913" spans="1:2" x14ac:dyDescent="0.25">
      <c r="A28913" s="118"/>
      <c r="B28913" s="136"/>
    </row>
    <row r="28914" spans="1:2" x14ac:dyDescent="0.25">
      <c r="A28914" s="118"/>
      <c r="B28914" s="136"/>
    </row>
    <row r="28915" spans="1:2" x14ac:dyDescent="0.25">
      <c r="A28915" s="118"/>
      <c r="B28915" s="136"/>
    </row>
    <row r="28916" spans="1:2" x14ac:dyDescent="0.25">
      <c r="A28916" s="118"/>
      <c r="B28916" s="136"/>
    </row>
    <row r="28917" spans="1:2" x14ac:dyDescent="0.25">
      <c r="A28917" s="118"/>
      <c r="B28917" s="136"/>
    </row>
    <row r="28918" spans="1:2" x14ac:dyDescent="0.25">
      <c r="A28918" s="118"/>
      <c r="B28918" s="136"/>
    </row>
    <row r="28919" spans="1:2" x14ac:dyDescent="0.25">
      <c r="A28919" s="118"/>
      <c r="B28919" s="136"/>
    </row>
    <row r="28920" spans="1:2" x14ac:dyDescent="0.25">
      <c r="A28920" s="118"/>
      <c r="B28920" s="136"/>
    </row>
    <row r="28921" spans="1:2" x14ac:dyDescent="0.25">
      <c r="A28921" s="118"/>
      <c r="B28921" s="136"/>
    </row>
    <row r="28922" spans="1:2" x14ac:dyDescent="0.25">
      <c r="A28922" s="118"/>
      <c r="B28922" s="136"/>
    </row>
    <row r="28923" spans="1:2" x14ac:dyDescent="0.25">
      <c r="A28923" s="118"/>
      <c r="B28923" s="136"/>
    </row>
    <row r="28924" spans="1:2" x14ac:dyDescent="0.25">
      <c r="A28924" s="118"/>
      <c r="B28924" s="136"/>
    </row>
    <row r="28925" spans="1:2" x14ac:dyDescent="0.25">
      <c r="A28925" s="118"/>
      <c r="B28925" s="136"/>
    </row>
    <row r="28926" spans="1:2" x14ac:dyDescent="0.25">
      <c r="A28926" s="118"/>
      <c r="B28926" s="136"/>
    </row>
    <row r="28927" spans="1:2" x14ac:dyDescent="0.25">
      <c r="A28927" s="118"/>
      <c r="B28927" s="136"/>
    </row>
    <row r="28928" spans="1:2" x14ac:dyDescent="0.25">
      <c r="A28928" s="118"/>
      <c r="B28928" s="136"/>
    </row>
    <row r="28929" spans="1:2" x14ac:dyDescent="0.25">
      <c r="A28929" s="118"/>
      <c r="B28929" s="136"/>
    </row>
    <row r="28930" spans="1:2" x14ac:dyDescent="0.25">
      <c r="A28930" s="118"/>
      <c r="B28930" s="136"/>
    </row>
    <row r="28931" spans="1:2" x14ac:dyDescent="0.25">
      <c r="A28931" s="118"/>
      <c r="B28931" s="136"/>
    </row>
    <row r="28932" spans="1:2" x14ac:dyDescent="0.25">
      <c r="A28932" s="118"/>
      <c r="B28932" s="136"/>
    </row>
    <row r="28933" spans="1:2" x14ac:dyDescent="0.25">
      <c r="A28933" s="118"/>
      <c r="B28933" s="136"/>
    </row>
    <row r="28934" spans="1:2" x14ac:dyDescent="0.25">
      <c r="A28934" s="118"/>
      <c r="B28934" s="136"/>
    </row>
    <row r="28935" spans="1:2" x14ac:dyDescent="0.25">
      <c r="A28935" s="118"/>
      <c r="B28935" s="136"/>
    </row>
    <row r="28936" spans="1:2" x14ac:dyDescent="0.25">
      <c r="A28936" s="118"/>
      <c r="B28936" s="136"/>
    </row>
    <row r="28937" spans="1:2" x14ac:dyDescent="0.25">
      <c r="A28937" s="118"/>
      <c r="B28937" s="136"/>
    </row>
    <row r="28938" spans="1:2" x14ac:dyDescent="0.25">
      <c r="A28938" s="118"/>
      <c r="B28938" s="136"/>
    </row>
    <row r="28939" spans="1:2" x14ac:dyDescent="0.25">
      <c r="A28939" s="118"/>
      <c r="B28939" s="136"/>
    </row>
    <row r="28940" spans="1:2" x14ac:dyDescent="0.25">
      <c r="A28940" s="118"/>
      <c r="B28940" s="136"/>
    </row>
    <row r="28941" spans="1:2" x14ac:dyDescent="0.25">
      <c r="A28941" s="118"/>
      <c r="B28941" s="136"/>
    </row>
    <row r="28942" spans="1:2" x14ac:dyDescent="0.25">
      <c r="A28942" s="118"/>
      <c r="B28942" s="136"/>
    </row>
    <row r="28943" spans="1:2" x14ac:dyDescent="0.25">
      <c r="A28943" s="118"/>
      <c r="B28943" s="136"/>
    </row>
    <row r="28944" spans="1:2" x14ac:dyDescent="0.25">
      <c r="A28944" s="118"/>
      <c r="B28944" s="136"/>
    </row>
    <row r="28945" spans="1:2" x14ac:dyDescent="0.25">
      <c r="A28945" s="118"/>
      <c r="B28945" s="136"/>
    </row>
    <row r="28946" spans="1:2" x14ac:dyDescent="0.25">
      <c r="A28946" s="118"/>
      <c r="B28946" s="136"/>
    </row>
    <row r="28947" spans="1:2" x14ac:dyDescent="0.25">
      <c r="A28947" s="118"/>
      <c r="B28947" s="136"/>
    </row>
    <row r="28948" spans="1:2" x14ac:dyDescent="0.25">
      <c r="A28948" s="118"/>
      <c r="B28948" s="136"/>
    </row>
    <row r="28949" spans="1:2" x14ac:dyDescent="0.25">
      <c r="A28949" s="118"/>
      <c r="B28949" s="136"/>
    </row>
    <row r="28950" spans="1:2" x14ac:dyDescent="0.25">
      <c r="A28950" s="118"/>
      <c r="B28950" s="136"/>
    </row>
    <row r="28951" spans="1:2" x14ac:dyDescent="0.25">
      <c r="A28951" s="118"/>
      <c r="B28951" s="136"/>
    </row>
    <row r="28952" spans="1:2" x14ac:dyDescent="0.25">
      <c r="A28952" s="118"/>
      <c r="B28952" s="136"/>
    </row>
    <row r="28953" spans="1:2" x14ac:dyDescent="0.25">
      <c r="A28953" s="118"/>
      <c r="B28953" s="136"/>
    </row>
    <row r="28954" spans="1:2" x14ac:dyDescent="0.25">
      <c r="A28954" s="118"/>
      <c r="B28954" s="136"/>
    </row>
    <row r="28955" spans="1:2" x14ac:dyDescent="0.25">
      <c r="A28955" s="118"/>
      <c r="B28955" s="136"/>
    </row>
    <row r="28956" spans="1:2" x14ac:dyDescent="0.25">
      <c r="A28956" s="118"/>
      <c r="B28956" s="136"/>
    </row>
    <row r="28957" spans="1:2" x14ac:dyDescent="0.25">
      <c r="A28957" s="118"/>
      <c r="B28957" s="136"/>
    </row>
    <row r="28958" spans="1:2" x14ac:dyDescent="0.25">
      <c r="A28958" s="118"/>
      <c r="B28958" s="136"/>
    </row>
    <row r="28959" spans="1:2" x14ac:dyDescent="0.25">
      <c r="A28959" s="118"/>
      <c r="B28959" s="136"/>
    </row>
    <row r="28960" spans="1:2" x14ac:dyDescent="0.25">
      <c r="A28960" s="118"/>
      <c r="B28960" s="136"/>
    </row>
    <row r="28961" spans="1:2" x14ac:dyDescent="0.25">
      <c r="A28961" s="118"/>
      <c r="B28961" s="136"/>
    </row>
    <row r="28962" spans="1:2" x14ac:dyDescent="0.25">
      <c r="A28962" s="118"/>
      <c r="B28962" s="136"/>
    </row>
    <row r="28963" spans="1:2" x14ac:dyDescent="0.25">
      <c r="A28963" s="118"/>
      <c r="B28963" s="136"/>
    </row>
    <row r="28964" spans="1:2" x14ac:dyDescent="0.25">
      <c r="A28964" s="118"/>
      <c r="B28964" s="136"/>
    </row>
    <row r="28965" spans="1:2" x14ac:dyDescent="0.25">
      <c r="A28965" s="118"/>
      <c r="B28965" s="136"/>
    </row>
    <row r="28966" spans="1:2" x14ac:dyDescent="0.25">
      <c r="A28966" s="118"/>
      <c r="B28966" s="136"/>
    </row>
    <row r="28967" spans="1:2" x14ac:dyDescent="0.25">
      <c r="A28967" s="118"/>
      <c r="B28967" s="136"/>
    </row>
    <row r="28968" spans="1:2" x14ac:dyDescent="0.25">
      <c r="A28968" s="118"/>
      <c r="B28968" s="136"/>
    </row>
    <row r="28969" spans="1:2" x14ac:dyDescent="0.25">
      <c r="A28969" s="118"/>
      <c r="B28969" s="136"/>
    </row>
    <row r="28970" spans="1:2" x14ac:dyDescent="0.25">
      <c r="A28970" s="118"/>
      <c r="B28970" s="136"/>
    </row>
    <row r="28971" spans="1:2" x14ac:dyDescent="0.25">
      <c r="A28971" s="118"/>
      <c r="B28971" s="136"/>
    </row>
    <row r="28972" spans="1:2" x14ac:dyDescent="0.25">
      <c r="A28972" s="118"/>
      <c r="B28972" s="136"/>
    </row>
    <row r="28973" spans="1:2" x14ac:dyDescent="0.25">
      <c r="A28973" s="118"/>
      <c r="B28973" s="136"/>
    </row>
    <row r="28974" spans="1:2" x14ac:dyDescent="0.25">
      <c r="A28974" s="118"/>
      <c r="B28974" s="136"/>
    </row>
    <row r="28975" spans="1:2" x14ac:dyDescent="0.25">
      <c r="A28975" s="118"/>
      <c r="B28975" s="136"/>
    </row>
    <row r="28976" spans="1:2" x14ac:dyDescent="0.25">
      <c r="A28976" s="118"/>
      <c r="B28976" s="136"/>
    </row>
    <row r="28977" spans="1:2" x14ac:dyDescent="0.25">
      <c r="A28977" s="118"/>
      <c r="B28977" s="136"/>
    </row>
    <row r="28978" spans="1:2" x14ac:dyDescent="0.25">
      <c r="A28978" s="118"/>
      <c r="B28978" s="136"/>
    </row>
    <row r="28979" spans="1:2" x14ac:dyDescent="0.25">
      <c r="A28979" s="118"/>
      <c r="B28979" s="136"/>
    </row>
    <row r="28980" spans="1:2" x14ac:dyDescent="0.25">
      <c r="A28980" s="118"/>
      <c r="B28980" s="136"/>
    </row>
    <row r="28981" spans="1:2" x14ac:dyDescent="0.25">
      <c r="A28981" s="118"/>
      <c r="B28981" s="136"/>
    </row>
    <row r="28982" spans="1:2" x14ac:dyDescent="0.25">
      <c r="A28982" s="118"/>
      <c r="B28982" s="136"/>
    </row>
    <row r="28983" spans="1:2" x14ac:dyDescent="0.25">
      <c r="A28983" s="118"/>
      <c r="B28983" s="136"/>
    </row>
    <row r="28984" spans="1:2" x14ac:dyDescent="0.25">
      <c r="A28984" s="118"/>
      <c r="B28984" s="136"/>
    </row>
    <row r="28985" spans="1:2" x14ac:dyDescent="0.25">
      <c r="A28985" s="118"/>
      <c r="B28985" s="136"/>
    </row>
    <row r="28986" spans="1:2" x14ac:dyDescent="0.25">
      <c r="A28986" s="118"/>
      <c r="B28986" s="136"/>
    </row>
    <row r="28987" spans="1:2" x14ac:dyDescent="0.25">
      <c r="A28987" s="118"/>
      <c r="B28987" s="136"/>
    </row>
    <row r="28988" spans="1:2" x14ac:dyDescent="0.25">
      <c r="A28988" s="118"/>
      <c r="B28988" s="136"/>
    </row>
    <row r="28989" spans="1:2" x14ac:dyDescent="0.25">
      <c r="A28989" s="118"/>
      <c r="B28989" s="136"/>
    </row>
    <row r="28990" spans="1:2" x14ac:dyDescent="0.25">
      <c r="A28990" s="118"/>
      <c r="B28990" s="136"/>
    </row>
    <row r="28991" spans="1:2" x14ac:dyDescent="0.25">
      <c r="A28991" s="118"/>
      <c r="B28991" s="136"/>
    </row>
    <row r="28992" spans="1:2" x14ac:dyDescent="0.25">
      <c r="A28992" s="118"/>
      <c r="B28992" s="136"/>
    </row>
    <row r="28993" spans="1:2" x14ac:dyDescent="0.25">
      <c r="A28993" s="118"/>
      <c r="B28993" s="136"/>
    </row>
    <row r="28994" spans="1:2" x14ac:dyDescent="0.25">
      <c r="A28994" s="118"/>
      <c r="B28994" s="136"/>
    </row>
    <row r="28995" spans="1:2" x14ac:dyDescent="0.25">
      <c r="A28995" s="118"/>
      <c r="B28995" s="136"/>
    </row>
    <row r="28996" spans="1:2" x14ac:dyDescent="0.25">
      <c r="A28996" s="118"/>
      <c r="B28996" s="136"/>
    </row>
    <row r="28997" spans="1:2" x14ac:dyDescent="0.25">
      <c r="A28997" s="118"/>
      <c r="B28997" s="136"/>
    </row>
    <row r="28998" spans="1:2" x14ac:dyDescent="0.25">
      <c r="A28998" s="118"/>
      <c r="B28998" s="136"/>
    </row>
    <row r="28999" spans="1:2" x14ac:dyDescent="0.25">
      <c r="A28999" s="118"/>
      <c r="B28999" s="136"/>
    </row>
    <row r="29000" spans="1:2" x14ac:dyDescent="0.25">
      <c r="A29000" s="118"/>
      <c r="B29000" s="136"/>
    </row>
    <row r="29001" spans="1:2" x14ac:dyDescent="0.25">
      <c r="A29001" s="118"/>
      <c r="B29001" s="136"/>
    </row>
    <row r="29002" spans="1:2" x14ac:dyDescent="0.25">
      <c r="A29002" s="118"/>
      <c r="B29002" s="136"/>
    </row>
    <row r="29003" spans="1:2" x14ac:dyDescent="0.25">
      <c r="A29003" s="118"/>
      <c r="B29003" s="136"/>
    </row>
    <row r="29004" spans="1:2" x14ac:dyDescent="0.25">
      <c r="A29004" s="118"/>
      <c r="B29004" s="136"/>
    </row>
    <row r="29005" spans="1:2" x14ac:dyDescent="0.25">
      <c r="A29005" s="118"/>
      <c r="B29005" s="136"/>
    </row>
    <row r="29006" spans="1:2" x14ac:dyDescent="0.25">
      <c r="A29006" s="118"/>
      <c r="B29006" s="136"/>
    </row>
    <row r="29007" spans="1:2" x14ac:dyDescent="0.25">
      <c r="A29007" s="118"/>
      <c r="B29007" s="136"/>
    </row>
    <row r="29008" spans="1:2" x14ac:dyDescent="0.25">
      <c r="A29008" s="118"/>
      <c r="B29008" s="136"/>
    </row>
    <row r="29009" spans="1:2" x14ac:dyDescent="0.25">
      <c r="A29009" s="118"/>
      <c r="B29009" s="136"/>
    </row>
    <row r="29010" spans="1:2" x14ac:dyDescent="0.25">
      <c r="A29010" s="118"/>
      <c r="B29010" s="136"/>
    </row>
    <row r="29011" spans="1:2" x14ac:dyDescent="0.25">
      <c r="A29011" s="118"/>
      <c r="B29011" s="136"/>
    </row>
    <row r="29012" spans="1:2" x14ac:dyDescent="0.25">
      <c r="A29012" s="118"/>
      <c r="B29012" s="136"/>
    </row>
    <row r="29013" spans="1:2" x14ac:dyDescent="0.25">
      <c r="A29013" s="118"/>
      <c r="B29013" s="136"/>
    </row>
    <row r="29014" spans="1:2" x14ac:dyDescent="0.25">
      <c r="A29014" s="118"/>
      <c r="B29014" s="136"/>
    </row>
    <row r="29015" spans="1:2" x14ac:dyDescent="0.25">
      <c r="A29015" s="118"/>
      <c r="B29015" s="136"/>
    </row>
    <row r="29016" spans="1:2" x14ac:dyDescent="0.25">
      <c r="A29016" s="118"/>
      <c r="B29016" s="136"/>
    </row>
    <row r="29017" spans="1:2" x14ac:dyDescent="0.25">
      <c r="A29017" s="118"/>
      <c r="B29017" s="136"/>
    </row>
    <row r="29018" spans="1:2" x14ac:dyDescent="0.25">
      <c r="A29018" s="118"/>
      <c r="B29018" s="136"/>
    </row>
    <row r="29019" spans="1:2" x14ac:dyDescent="0.25">
      <c r="A29019" s="118"/>
      <c r="B29019" s="136"/>
    </row>
    <row r="29020" spans="1:2" x14ac:dyDescent="0.25">
      <c r="A29020" s="118"/>
      <c r="B29020" s="136"/>
    </row>
    <row r="29021" spans="1:2" x14ac:dyDescent="0.25">
      <c r="A29021" s="118"/>
      <c r="B29021" s="136"/>
    </row>
    <row r="29022" spans="1:2" x14ac:dyDescent="0.25">
      <c r="A29022" s="118"/>
      <c r="B29022" s="136"/>
    </row>
    <row r="29023" spans="1:2" x14ac:dyDescent="0.25">
      <c r="A29023" s="118"/>
      <c r="B29023" s="136"/>
    </row>
    <row r="29024" spans="1:2" x14ac:dyDescent="0.25">
      <c r="A29024" s="118"/>
      <c r="B29024" s="136"/>
    </row>
    <row r="29025" spans="1:2" x14ac:dyDescent="0.25">
      <c r="A29025" s="118"/>
      <c r="B29025" s="136"/>
    </row>
    <row r="29026" spans="1:2" x14ac:dyDescent="0.25">
      <c r="A29026" s="118"/>
      <c r="B29026" s="136"/>
    </row>
    <row r="29027" spans="1:2" x14ac:dyDescent="0.25">
      <c r="A29027" s="118"/>
      <c r="B29027" s="136"/>
    </row>
    <row r="29028" spans="1:2" x14ac:dyDescent="0.25">
      <c r="A29028" s="118"/>
      <c r="B29028" s="136"/>
    </row>
    <row r="29029" spans="1:2" x14ac:dyDescent="0.25">
      <c r="A29029" s="118"/>
      <c r="B29029" s="136"/>
    </row>
    <row r="29030" spans="1:2" x14ac:dyDescent="0.25">
      <c r="A29030" s="118"/>
      <c r="B29030" s="136"/>
    </row>
    <row r="29031" spans="1:2" x14ac:dyDescent="0.25">
      <c r="A29031" s="118"/>
      <c r="B29031" s="136"/>
    </row>
    <row r="29032" spans="1:2" x14ac:dyDescent="0.25">
      <c r="A29032" s="118"/>
      <c r="B29032" s="136"/>
    </row>
    <row r="29033" spans="1:2" x14ac:dyDescent="0.25">
      <c r="A29033" s="118"/>
      <c r="B29033" s="136"/>
    </row>
    <row r="29034" spans="1:2" x14ac:dyDescent="0.25">
      <c r="A29034" s="118"/>
      <c r="B29034" s="136"/>
    </row>
    <row r="29035" spans="1:2" x14ac:dyDescent="0.25">
      <c r="A29035" s="118"/>
      <c r="B29035" s="136"/>
    </row>
    <row r="29036" spans="1:2" x14ac:dyDescent="0.25">
      <c r="A29036" s="118"/>
      <c r="B29036" s="136"/>
    </row>
    <row r="29037" spans="1:2" x14ac:dyDescent="0.25">
      <c r="A29037" s="118"/>
      <c r="B29037" s="136"/>
    </row>
    <row r="29038" spans="1:2" x14ac:dyDescent="0.25">
      <c r="A29038" s="118"/>
      <c r="B29038" s="136"/>
    </row>
    <row r="29039" spans="1:2" x14ac:dyDescent="0.25">
      <c r="A29039" s="118"/>
      <c r="B29039" s="136"/>
    </row>
    <row r="29040" spans="1:2" x14ac:dyDescent="0.25">
      <c r="A29040" s="118"/>
      <c r="B29040" s="136"/>
    </row>
    <row r="29041" spans="1:2" x14ac:dyDescent="0.25">
      <c r="A29041" s="118"/>
      <c r="B29041" s="136"/>
    </row>
    <row r="29042" spans="1:2" x14ac:dyDescent="0.25">
      <c r="A29042" s="118"/>
      <c r="B29042" s="136"/>
    </row>
    <row r="29043" spans="1:2" x14ac:dyDescent="0.25">
      <c r="A29043" s="118"/>
      <c r="B29043" s="136"/>
    </row>
    <row r="29044" spans="1:2" x14ac:dyDescent="0.25">
      <c r="A29044" s="118"/>
      <c r="B29044" s="136"/>
    </row>
    <row r="29045" spans="1:2" x14ac:dyDescent="0.25">
      <c r="A29045" s="118"/>
      <c r="B29045" s="136"/>
    </row>
    <row r="29046" spans="1:2" x14ac:dyDescent="0.25">
      <c r="A29046" s="118"/>
      <c r="B29046" s="136"/>
    </row>
    <row r="29047" spans="1:2" x14ac:dyDescent="0.25">
      <c r="A29047" s="118"/>
      <c r="B29047" s="136"/>
    </row>
    <row r="29048" spans="1:2" x14ac:dyDescent="0.25">
      <c r="A29048" s="118"/>
      <c r="B29048" s="136"/>
    </row>
    <row r="29049" spans="1:2" x14ac:dyDescent="0.25">
      <c r="A29049" s="118"/>
      <c r="B29049" s="136"/>
    </row>
    <row r="29050" spans="1:2" x14ac:dyDescent="0.25">
      <c r="A29050" s="118"/>
      <c r="B29050" s="136"/>
    </row>
    <row r="29051" spans="1:2" x14ac:dyDescent="0.25">
      <c r="A29051" s="118"/>
      <c r="B29051" s="136"/>
    </row>
    <row r="29052" spans="1:2" x14ac:dyDescent="0.25">
      <c r="A29052" s="118"/>
      <c r="B29052" s="136"/>
    </row>
    <row r="29053" spans="1:2" x14ac:dyDescent="0.25">
      <c r="A29053" s="118"/>
      <c r="B29053" s="136"/>
    </row>
    <row r="29054" spans="1:2" x14ac:dyDescent="0.25">
      <c r="A29054" s="118"/>
      <c r="B29054" s="136"/>
    </row>
    <row r="29055" spans="1:2" x14ac:dyDescent="0.25">
      <c r="A29055" s="118"/>
      <c r="B29055" s="136"/>
    </row>
    <row r="29056" spans="1:2" x14ac:dyDescent="0.25">
      <c r="A29056" s="118"/>
      <c r="B29056" s="136"/>
    </row>
    <row r="29057" spans="1:2" x14ac:dyDescent="0.25">
      <c r="A29057" s="118"/>
      <c r="B29057" s="136"/>
    </row>
    <row r="29058" spans="1:2" x14ac:dyDescent="0.25">
      <c r="A29058" s="118"/>
      <c r="B29058" s="136"/>
    </row>
    <row r="29059" spans="1:2" x14ac:dyDescent="0.25">
      <c r="A29059" s="118"/>
      <c r="B29059" s="136"/>
    </row>
    <row r="29060" spans="1:2" x14ac:dyDescent="0.25">
      <c r="A29060" s="118"/>
      <c r="B29060" s="136"/>
    </row>
    <row r="29061" spans="1:2" x14ac:dyDescent="0.25">
      <c r="A29061" s="118"/>
      <c r="B29061" s="136"/>
    </row>
    <row r="29062" spans="1:2" x14ac:dyDescent="0.25">
      <c r="A29062" s="118"/>
      <c r="B29062" s="136"/>
    </row>
    <row r="29063" spans="1:2" x14ac:dyDescent="0.25">
      <c r="A29063" s="118"/>
      <c r="B29063" s="136"/>
    </row>
    <row r="29064" spans="1:2" x14ac:dyDescent="0.25">
      <c r="A29064" s="118"/>
      <c r="B29064" s="136"/>
    </row>
    <row r="29065" spans="1:2" x14ac:dyDescent="0.25">
      <c r="A29065" s="118"/>
      <c r="B29065" s="136"/>
    </row>
    <row r="29066" spans="1:2" x14ac:dyDescent="0.25">
      <c r="A29066" s="118"/>
      <c r="B29066" s="136"/>
    </row>
    <row r="29067" spans="1:2" x14ac:dyDescent="0.25">
      <c r="A29067" s="118"/>
      <c r="B29067" s="136"/>
    </row>
    <row r="29068" spans="1:2" x14ac:dyDescent="0.25">
      <c r="A29068" s="118"/>
      <c r="B29068" s="136"/>
    </row>
    <row r="29069" spans="1:2" x14ac:dyDescent="0.25">
      <c r="A29069" s="118"/>
      <c r="B29069" s="136"/>
    </row>
    <row r="29070" spans="1:2" x14ac:dyDescent="0.25">
      <c r="A29070" s="118"/>
      <c r="B29070" s="136"/>
    </row>
    <row r="29071" spans="1:2" x14ac:dyDescent="0.25">
      <c r="A29071" s="118"/>
      <c r="B29071" s="136"/>
    </row>
    <row r="29072" spans="1:2" x14ac:dyDescent="0.25">
      <c r="A29072" s="118"/>
      <c r="B29072" s="136"/>
    </row>
    <row r="29073" spans="1:2" x14ac:dyDescent="0.25">
      <c r="A29073" s="118"/>
      <c r="B29073" s="136"/>
    </row>
    <row r="29074" spans="1:2" x14ac:dyDescent="0.25">
      <c r="A29074" s="118"/>
      <c r="B29074" s="136"/>
    </row>
    <row r="29075" spans="1:2" x14ac:dyDescent="0.25">
      <c r="A29075" s="118"/>
      <c r="B29075" s="136"/>
    </row>
    <row r="29076" spans="1:2" x14ac:dyDescent="0.25">
      <c r="A29076" s="118"/>
      <c r="B29076" s="136"/>
    </row>
    <row r="29077" spans="1:2" x14ac:dyDescent="0.25">
      <c r="A29077" s="118"/>
      <c r="B29077" s="136"/>
    </row>
    <row r="29078" spans="1:2" x14ac:dyDescent="0.25">
      <c r="A29078" s="118"/>
      <c r="B29078" s="136"/>
    </row>
    <row r="29079" spans="1:2" x14ac:dyDescent="0.25">
      <c r="A29079" s="118"/>
      <c r="B29079" s="136"/>
    </row>
    <row r="29080" spans="1:2" x14ac:dyDescent="0.25">
      <c r="A29080" s="118"/>
      <c r="B29080" s="136"/>
    </row>
    <row r="29081" spans="1:2" x14ac:dyDescent="0.25">
      <c r="A29081" s="118"/>
      <c r="B29081" s="136"/>
    </row>
    <row r="29082" spans="1:2" x14ac:dyDescent="0.25">
      <c r="A29082" s="118"/>
      <c r="B29082" s="136"/>
    </row>
    <row r="29083" spans="1:2" x14ac:dyDescent="0.25">
      <c r="A29083" s="118"/>
      <c r="B29083" s="136"/>
    </row>
    <row r="29084" spans="1:2" x14ac:dyDescent="0.25">
      <c r="A29084" s="118"/>
      <c r="B29084" s="136"/>
    </row>
    <row r="29085" spans="1:2" x14ac:dyDescent="0.25">
      <c r="A29085" s="118"/>
      <c r="B29085" s="136"/>
    </row>
    <row r="29086" spans="1:2" x14ac:dyDescent="0.25">
      <c r="A29086" s="118"/>
      <c r="B29086" s="136"/>
    </row>
    <row r="29087" spans="1:2" x14ac:dyDescent="0.25">
      <c r="A29087" s="118"/>
      <c r="B29087" s="136"/>
    </row>
    <row r="29088" spans="1:2" x14ac:dyDescent="0.25">
      <c r="A29088" s="118"/>
      <c r="B29088" s="136"/>
    </row>
    <row r="29089" spans="1:2" x14ac:dyDescent="0.25">
      <c r="A29089" s="118"/>
      <c r="B29089" s="136"/>
    </row>
    <row r="29090" spans="1:2" x14ac:dyDescent="0.25">
      <c r="A29090" s="118"/>
      <c r="B29090" s="136"/>
    </row>
    <row r="29091" spans="1:2" x14ac:dyDescent="0.25">
      <c r="A29091" s="118"/>
      <c r="B29091" s="136"/>
    </row>
    <row r="29092" spans="1:2" x14ac:dyDescent="0.25">
      <c r="A29092" s="118"/>
      <c r="B29092" s="136"/>
    </row>
    <row r="29093" spans="1:2" x14ac:dyDescent="0.25">
      <c r="A29093" s="118"/>
      <c r="B29093" s="136"/>
    </row>
    <row r="29094" spans="1:2" x14ac:dyDescent="0.25">
      <c r="A29094" s="118"/>
      <c r="B29094" s="136"/>
    </row>
    <row r="29095" spans="1:2" x14ac:dyDescent="0.25">
      <c r="A29095" s="118"/>
      <c r="B29095" s="136"/>
    </row>
    <row r="29096" spans="1:2" x14ac:dyDescent="0.25">
      <c r="A29096" s="118"/>
      <c r="B29096" s="136"/>
    </row>
    <row r="29097" spans="1:2" x14ac:dyDescent="0.25">
      <c r="A29097" s="118"/>
      <c r="B29097" s="136"/>
    </row>
    <row r="29098" spans="1:2" x14ac:dyDescent="0.25">
      <c r="A29098" s="118"/>
      <c r="B29098" s="136"/>
    </row>
    <row r="29099" spans="1:2" x14ac:dyDescent="0.25">
      <c r="A29099" s="118"/>
      <c r="B29099" s="136"/>
    </row>
    <row r="29100" spans="1:2" x14ac:dyDescent="0.25">
      <c r="A29100" s="118"/>
      <c r="B29100" s="136"/>
    </row>
    <row r="29101" spans="1:2" x14ac:dyDescent="0.25">
      <c r="A29101" s="118"/>
      <c r="B29101" s="136"/>
    </row>
    <row r="29102" spans="1:2" x14ac:dyDescent="0.25">
      <c r="A29102" s="118"/>
      <c r="B29102" s="136"/>
    </row>
    <row r="29103" spans="1:2" x14ac:dyDescent="0.25">
      <c r="A29103" s="118"/>
      <c r="B29103" s="136"/>
    </row>
    <row r="29104" spans="1:2" x14ac:dyDescent="0.25">
      <c r="A29104" s="118"/>
      <c r="B29104" s="136"/>
    </row>
    <row r="29105" spans="1:2" x14ac:dyDescent="0.25">
      <c r="A29105" s="118"/>
      <c r="B29105" s="136"/>
    </row>
    <row r="29106" spans="1:2" x14ac:dyDescent="0.25">
      <c r="A29106" s="118"/>
      <c r="B29106" s="136"/>
    </row>
    <row r="29107" spans="1:2" x14ac:dyDescent="0.25">
      <c r="A29107" s="118"/>
      <c r="B29107" s="136"/>
    </row>
    <row r="29108" spans="1:2" x14ac:dyDescent="0.25">
      <c r="A29108" s="118"/>
      <c r="B29108" s="136"/>
    </row>
    <row r="29109" spans="1:2" x14ac:dyDescent="0.25">
      <c r="A29109" s="118"/>
      <c r="B29109" s="136"/>
    </row>
    <row r="29110" spans="1:2" x14ac:dyDescent="0.25">
      <c r="A29110" s="118"/>
      <c r="B29110" s="136"/>
    </row>
    <row r="29111" spans="1:2" x14ac:dyDescent="0.25">
      <c r="A29111" s="118"/>
      <c r="B29111" s="136"/>
    </row>
    <row r="29112" spans="1:2" x14ac:dyDescent="0.25">
      <c r="A29112" s="118"/>
      <c r="B29112" s="136"/>
    </row>
    <row r="29113" spans="1:2" x14ac:dyDescent="0.25">
      <c r="A29113" s="118"/>
      <c r="B29113" s="136"/>
    </row>
    <row r="29114" spans="1:2" x14ac:dyDescent="0.25">
      <c r="A29114" s="118"/>
      <c r="B29114" s="136"/>
    </row>
    <row r="29115" spans="1:2" x14ac:dyDescent="0.25">
      <c r="A29115" s="118"/>
      <c r="B29115" s="136"/>
    </row>
    <row r="29116" spans="1:2" x14ac:dyDescent="0.25">
      <c r="A29116" s="118"/>
      <c r="B29116" s="136"/>
    </row>
    <row r="29117" spans="1:2" x14ac:dyDescent="0.25">
      <c r="A29117" s="118"/>
      <c r="B29117" s="136"/>
    </row>
    <row r="29118" spans="1:2" x14ac:dyDescent="0.25">
      <c r="A29118" s="118"/>
      <c r="B29118" s="136"/>
    </row>
    <row r="29119" spans="1:2" x14ac:dyDescent="0.25">
      <c r="A29119" s="118"/>
      <c r="B29119" s="136"/>
    </row>
    <row r="29120" spans="1:2" x14ac:dyDescent="0.25">
      <c r="A29120" s="118"/>
      <c r="B29120" s="136"/>
    </row>
    <row r="29121" spans="1:2" x14ac:dyDescent="0.25">
      <c r="A29121" s="118"/>
      <c r="B29121" s="136"/>
    </row>
    <row r="29122" spans="1:2" x14ac:dyDescent="0.25">
      <c r="A29122" s="118"/>
      <c r="B29122" s="136"/>
    </row>
    <row r="29123" spans="1:2" x14ac:dyDescent="0.25">
      <c r="A29123" s="118"/>
      <c r="B29123" s="136"/>
    </row>
    <row r="29124" spans="1:2" x14ac:dyDescent="0.25">
      <c r="A29124" s="118"/>
      <c r="B29124" s="136"/>
    </row>
    <row r="29125" spans="1:2" x14ac:dyDescent="0.25">
      <c r="A29125" s="118"/>
      <c r="B29125" s="136"/>
    </row>
    <row r="29126" spans="1:2" x14ac:dyDescent="0.25">
      <c r="A29126" s="118"/>
      <c r="B29126" s="136"/>
    </row>
    <row r="29127" spans="1:2" x14ac:dyDescent="0.25">
      <c r="A29127" s="118"/>
      <c r="B29127" s="136"/>
    </row>
    <row r="29128" spans="1:2" x14ac:dyDescent="0.25">
      <c r="A29128" s="118"/>
      <c r="B29128" s="136"/>
    </row>
    <row r="29129" spans="1:2" x14ac:dyDescent="0.25">
      <c r="A29129" s="118"/>
      <c r="B29129" s="136"/>
    </row>
    <row r="29130" spans="1:2" x14ac:dyDescent="0.25">
      <c r="A29130" s="118"/>
      <c r="B29130" s="136"/>
    </row>
    <row r="29131" spans="1:2" x14ac:dyDescent="0.25">
      <c r="A29131" s="118"/>
      <c r="B29131" s="136"/>
    </row>
    <row r="29132" spans="1:2" x14ac:dyDescent="0.25">
      <c r="A29132" s="118"/>
      <c r="B29132" s="136"/>
    </row>
    <row r="29133" spans="1:2" x14ac:dyDescent="0.25">
      <c r="A29133" s="118"/>
      <c r="B29133" s="136"/>
    </row>
    <row r="29134" spans="1:2" x14ac:dyDescent="0.25">
      <c r="A29134" s="118"/>
      <c r="B29134" s="136"/>
    </row>
    <row r="29135" spans="1:2" x14ac:dyDescent="0.25">
      <c r="A29135" s="118"/>
      <c r="B29135" s="136"/>
    </row>
    <row r="29136" spans="1:2" x14ac:dyDescent="0.25">
      <c r="A29136" s="118"/>
      <c r="B29136" s="136"/>
    </row>
    <row r="29137" spans="1:2" x14ac:dyDescent="0.25">
      <c r="A29137" s="118"/>
      <c r="B29137" s="136"/>
    </row>
    <row r="29138" spans="1:2" x14ac:dyDescent="0.25">
      <c r="A29138" s="118"/>
      <c r="B29138" s="136"/>
    </row>
    <row r="29139" spans="1:2" x14ac:dyDescent="0.25">
      <c r="A29139" s="118"/>
      <c r="B29139" s="136"/>
    </row>
    <row r="29140" spans="1:2" x14ac:dyDescent="0.25">
      <c r="A29140" s="118"/>
      <c r="B29140" s="136"/>
    </row>
    <row r="29141" spans="1:2" x14ac:dyDescent="0.25">
      <c r="A29141" s="118"/>
      <c r="B29141" s="136"/>
    </row>
    <row r="29142" spans="1:2" x14ac:dyDescent="0.25">
      <c r="A29142" s="118"/>
      <c r="B29142" s="136"/>
    </row>
    <row r="29143" spans="1:2" x14ac:dyDescent="0.25">
      <c r="A29143" s="118"/>
      <c r="B29143" s="136"/>
    </row>
    <row r="29144" spans="1:2" x14ac:dyDescent="0.25">
      <c r="A29144" s="118"/>
      <c r="B29144" s="136"/>
    </row>
    <row r="29145" spans="1:2" x14ac:dyDescent="0.25">
      <c r="A29145" s="118"/>
      <c r="B29145" s="136"/>
    </row>
    <row r="29146" spans="1:2" x14ac:dyDescent="0.25">
      <c r="A29146" s="118"/>
      <c r="B29146" s="136"/>
    </row>
    <row r="29147" spans="1:2" x14ac:dyDescent="0.25">
      <c r="A29147" s="118"/>
      <c r="B29147" s="136"/>
    </row>
    <row r="29148" spans="1:2" x14ac:dyDescent="0.25">
      <c r="A29148" s="118"/>
      <c r="B29148" s="136"/>
    </row>
    <row r="29149" spans="1:2" x14ac:dyDescent="0.25">
      <c r="A29149" s="118"/>
      <c r="B29149" s="136"/>
    </row>
    <row r="29150" spans="1:2" x14ac:dyDescent="0.25">
      <c r="A29150" s="118"/>
      <c r="B29150" s="136"/>
    </row>
    <row r="29151" spans="1:2" x14ac:dyDescent="0.25">
      <c r="A29151" s="118"/>
      <c r="B29151" s="136"/>
    </row>
    <row r="29152" spans="1:2" x14ac:dyDescent="0.25">
      <c r="A29152" s="118"/>
      <c r="B29152" s="136"/>
    </row>
    <row r="29153" spans="1:2" x14ac:dyDescent="0.25">
      <c r="A29153" s="118"/>
      <c r="B29153" s="136"/>
    </row>
    <row r="29154" spans="1:2" x14ac:dyDescent="0.25">
      <c r="A29154" s="118"/>
      <c r="B29154" s="136"/>
    </row>
    <row r="29155" spans="1:2" x14ac:dyDescent="0.25">
      <c r="A29155" s="118"/>
      <c r="B29155" s="136"/>
    </row>
    <row r="29156" spans="1:2" x14ac:dyDescent="0.25">
      <c r="A29156" s="118"/>
      <c r="B29156" s="136"/>
    </row>
    <row r="29157" spans="1:2" x14ac:dyDescent="0.25">
      <c r="A29157" s="118"/>
      <c r="B29157" s="136"/>
    </row>
    <row r="29158" spans="1:2" x14ac:dyDescent="0.25">
      <c r="A29158" s="118"/>
      <c r="B29158" s="136"/>
    </row>
    <row r="29159" spans="1:2" x14ac:dyDescent="0.25">
      <c r="A29159" s="118"/>
      <c r="B29159" s="136"/>
    </row>
    <row r="29160" spans="1:2" x14ac:dyDescent="0.25">
      <c r="A29160" s="118"/>
      <c r="B29160" s="136"/>
    </row>
    <row r="29161" spans="1:2" x14ac:dyDescent="0.25">
      <c r="A29161" s="118"/>
      <c r="B29161" s="136"/>
    </row>
    <row r="29162" spans="1:2" x14ac:dyDescent="0.25">
      <c r="A29162" s="118"/>
      <c r="B29162" s="136"/>
    </row>
    <row r="29163" spans="1:2" x14ac:dyDescent="0.25">
      <c r="A29163" s="118"/>
      <c r="B29163" s="136"/>
    </row>
    <row r="29164" spans="1:2" x14ac:dyDescent="0.25">
      <c r="A29164" s="118"/>
      <c r="B29164" s="136"/>
    </row>
    <row r="29165" spans="1:2" x14ac:dyDescent="0.25">
      <c r="A29165" s="118"/>
      <c r="B29165" s="136"/>
    </row>
    <row r="29166" spans="1:2" x14ac:dyDescent="0.25">
      <c r="A29166" s="118"/>
      <c r="B29166" s="136"/>
    </row>
    <row r="29167" spans="1:2" x14ac:dyDescent="0.25">
      <c r="A29167" s="118"/>
      <c r="B29167" s="136"/>
    </row>
    <row r="29168" spans="1:2" x14ac:dyDescent="0.25">
      <c r="A29168" s="118"/>
      <c r="B29168" s="136"/>
    </row>
    <row r="29169" spans="1:2" x14ac:dyDescent="0.25">
      <c r="A29169" s="118"/>
      <c r="B29169" s="136"/>
    </row>
    <row r="29170" spans="1:2" x14ac:dyDescent="0.25">
      <c r="A29170" s="118"/>
      <c r="B29170" s="136"/>
    </row>
    <row r="29171" spans="1:2" x14ac:dyDescent="0.25">
      <c r="A29171" s="118"/>
      <c r="B29171" s="136"/>
    </row>
    <row r="29172" spans="1:2" x14ac:dyDescent="0.25">
      <c r="A29172" s="118"/>
      <c r="B29172" s="136"/>
    </row>
    <row r="29173" spans="1:2" x14ac:dyDescent="0.25">
      <c r="A29173" s="118"/>
      <c r="B29173" s="136"/>
    </row>
    <row r="29174" spans="1:2" x14ac:dyDescent="0.25">
      <c r="A29174" s="118"/>
      <c r="B29174" s="136"/>
    </row>
    <row r="29175" spans="1:2" x14ac:dyDescent="0.25">
      <c r="A29175" s="118"/>
      <c r="B29175" s="136"/>
    </row>
    <row r="29176" spans="1:2" x14ac:dyDescent="0.25">
      <c r="A29176" s="118"/>
      <c r="B29176" s="136"/>
    </row>
    <row r="29177" spans="1:2" x14ac:dyDescent="0.25">
      <c r="A29177" s="118"/>
      <c r="B29177" s="136"/>
    </row>
    <row r="29178" spans="1:2" x14ac:dyDescent="0.25">
      <c r="A29178" s="118"/>
      <c r="B29178" s="136"/>
    </row>
    <row r="29179" spans="1:2" x14ac:dyDescent="0.25">
      <c r="A29179" s="118"/>
      <c r="B29179" s="136"/>
    </row>
    <row r="29180" spans="1:2" x14ac:dyDescent="0.25">
      <c r="A29180" s="118"/>
      <c r="B29180" s="136"/>
    </row>
    <row r="29181" spans="1:2" x14ac:dyDescent="0.25">
      <c r="A29181" s="118"/>
      <c r="B29181" s="136"/>
    </row>
    <row r="29182" spans="1:2" x14ac:dyDescent="0.25">
      <c r="A29182" s="118"/>
      <c r="B29182" s="136"/>
    </row>
    <row r="29183" spans="1:2" x14ac:dyDescent="0.25">
      <c r="A29183" s="118"/>
      <c r="B29183" s="136"/>
    </row>
    <row r="29184" spans="1:2" x14ac:dyDescent="0.25">
      <c r="A29184" s="118"/>
      <c r="B29184" s="136"/>
    </row>
    <row r="29185" spans="1:2" x14ac:dyDescent="0.25">
      <c r="A29185" s="118"/>
      <c r="B29185" s="136"/>
    </row>
    <row r="29186" spans="1:2" x14ac:dyDescent="0.25">
      <c r="A29186" s="118"/>
      <c r="B29186" s="136"/>
    </row>
    <row r="29187" spans="1:2" x14ac:dyDescent="0.25">
      <c r="A29187" s="118"/>
      <c r="B29187" s="136"/>
    </row>
    <row r="29188" spans="1:2" x14ac:dyDescent="0.25">
      <c r="A29188" s="118"/>
      <c r="B29188" s="136"/>
    </row>
    <row r="29189" spans="1:2" x14ac:dyDescent="0.25">
      <c r="A29189" s="118"/>
      <c r="B29189" s="136"/>
    </row>
    <row r="29190" spans="1:2" x14ac:dyDescent="0.25">
      <c r="A29190" s="118"/>
      <c r="B29190" s="136"/>
    </row>
    <row r="29191" spans="1:2" x14ac:dyDescent="0.25">
      <c r="A29191" s="118"/>
      <c r="B29191" s="136"/>
    </row>
    <row r="29192" spans="1:2" x14ac:dyDescent="0.25">
      <c r="A29192" s="118"/>
      <c r="B29192" s="136"/>
    </row>
    <row r="29193" spans="1:2" x14ac:dyDescent="0.25">
      <c r="A29193" s="118"/>
      <c r="B29193" s="136"/>
    </row>
    <row r="29194" spans="1:2" x14ac:dyDescent="0.25">
      <c r="A29194" s="118"/>
      <c r="B29194" s="136"/>
    </row>
    <row r="29195" spans="1:2" x14ac:dyDescent="0.25">
      <c r="A29195" s="118"/>
      <c r="B29195" s="136"/>
    </row>
    <row r="29196" spans="1:2" x14ac:dyDescent="0.25">
      <c r="A29196" s="118"/>
      <c r="B29196" s="136"/>
    </row>
    <row r="29197" spans="1:2" x14ac:dyDescent="0.25">
      <c r="A29197" s="118"/>
      <c r="B29197" s="136"/>
    </row>
    <row r="29198" spans="1:2" x14ac:dyDescent="0.25">
      <c r="A29198" s="118"/>
      <c r="B29198" s="136"/>
    </row>
    <row r="29199" spans="1:2" x14ac:dyDescent="0.25">
      <c r="A29199" s="118"/>
      <c r="B29199" s="136"/>
    </row>
    <row r="29200" spans="1:2" x14ac:dyDescent="0.25">
      <c r="A29200" s="118"/>
      <c r="B29200" s="136"/>
    </row>
    <row r="29201" spans="1:2" x14ac:dyDescent="0.25">
      <c r="A29201" s="118"/>
      <c r="B29201" s="136"/>
    </row>
    <row r="29202" spans="1:2" x14ac:dyDescent="0.25">
      <c r="A29202" s="118"/>
      <c r="B29202" s="136"/>
    </row>
    <row r="29203" spans="1:2" x14ac:dyDescent="0.25">
      <c r="A29203" s="118"/>
      <c r="B29203" s="136"/>
    </row>
    <row r="29204" spans="1:2" x14ac:dyDescent="0.25">
      <c r="A29204" s="118"/>
      <c r="B29204" s="136"/>
    </row>
    <row r="29205" spans="1:2" x14ac:dyDescent="0.25">
      <c r="A29205" s="118"/>
      <c r="B29205" s="136"/>
    </row>
    <row r="29206" spans="1:2" x14ac:dyDescent="0.25">
      <c r="A29206" s="118"/>
      <c r="B29206" s="136"/>
    </row>
    <row r="29207" spans="1:2" x14ac:dyDescent="0.25">
      <c r="A29207" s="118"/>
      <c r="B29207" s="136"/>
    </row>
    <row r="29208" spans="1:2" x14ac:dyDescent="0.25">
      <c r="A29208" s="118"/>
      <c r="B29208" s="136"/>
    </row>
    <row r="29209" spans="1:2" x14ac:dyDescent="0.25">
      <c r="A29209" s="118"/>
      <c r="B29209" s="136"/>
    </row>
    <row r="29210" spans="1:2" x14ac:dyDescent="0.25">
      <c r="A29210" s="118"/>
      <c r="B29210" s="136"/>
    </row>
    <row r="29211" spans="1:2" x14ac:dyDescent="0.25">
      <c r="A29211" s="118"/>
      <c r="B29211" s="136"/>
    </row>
    <row r="29212" spans="1:2" x14ac:dyDescent="0.25">
      <c r="A29212" s="118"/>
      <c r="B29212" s="136"/>
    </row>
    <row r="29213" spans="1:2" x14ac:dyDescent="0.25">
      <c r="A29213" s="118"/>
      <c r="B29213" s="136"/>
    </row>
    <row r="29214" spans="1:2" x14ac:dyDescent="0.25">
      <c r="A29214" s="118"/>
      <c r="B29214" s="136"/>
    </row>
    <row r="29215" spans="1:2" x14ac:dyDescent="0.25">
      <c r="A29215" s="118"/>
      <c r="B29215" s="136"/>
    </row>
    <row r="29216" spans="1:2" x14ac:dyDescent="0.25">
      <c r="A29216" s="118"/>
      <c r="B29216" s="136"/>
    </row>
    <row r="29217" spans="1:2" x14ac:dyDescent="0.25">
      <c r="A29217" s="118"/>
      <c r="B29217" s="136"/>
    </row>
    <row r="29218" spans="1:2" x14ac:dyDescent="0.25">
      <c r="A29218" s="118"/>
      <c r="B29218" s="136"/>
    </row>
    <row r="29219" spans="1:2" x14ac:dyDescent="0.25">
      <c r="A29219" s="118"/>
      <c r="B29219" s="136"/>
    </row>
    <row r="29220" spans="1:2" x14ac:dyDescent="0.25">
      <c r="A29220" s="118"/>
      <c r="B29220" s="136"/>
    </row>
    <row r="29221" spans="1:2" x14ac:dyDescent="0.25">
      <c r="A29221" s="118"/>
      <c r="B29221" s="136"/>
    </row>
    <row r="29222" spans="1:2" x14ac:dyDescent="0.25">
      <c r="A29222" s="118"/>
      <c r="B29222" s="136"/>
    </row>
    <row r="29223" spans="1:2" x14ac:dyDescent="0.25">
      <c r="A29223" s="118"/>
      <c r="B29223" s="136"/>
    </row>
    <row r="29224" spans="1:2" x14ac:dyDescent="0.25">
      <c r="A29224" s="118"/>
      <c r="B29224" s="136"/>
    </row>
    <row r="29225" spans="1:2" x14ac:dyDescent="0.25">
      <c r="A29225" s="118"/>
      <c r="B29225" s="136"/>
    </row>
    <row r="29226" spans="1:2" x14ac:dyDescent="0.25">
      <c r="A29226" s="118"/>
      <c r="B29226" s="136"/>
    </row>
    <row r="29227" spans="1:2" x14ac:dyDescent="0.25">
      <c r="A29227" s="118"/>
      <c r="B29227" s="136"/>
    </row>
    <row r="29228" spans="1:2" x14ac:dyDescent="0.25">
      <c r="A29228" s="118"/>
      <c r="B29228" s="136"/>
    </row>
    <row r="29229" spans="1:2" x14ac:dyDescent="0.25">
      <c r="A29229" s="118"/>
      <c r="B29229" s="136"/>
    </row>
    <row r="29230" spans="1:2" x14ac:dyDescent="0.25">
      <c r="A29230" s="118"/>
      <c r="B29230" s="136"/>
    </row>
    <row r="29231" spans="1:2" x14ac:dyDescent="0.25">
      <c r="A29231" s="118"/>
      <c r="B29231" s="136"/>
    </row>
    <row r="29232" spans="1:2" x14ac:dyDescent="0.25">
      <c r="A29232" s="118"/>
      <c r="B29232" s="136"/>
    </row>
    <row r="29233" spans="1:2" x14ac:dyDescent="0.25">
      <c r="A29233" s="118"/>
      <c r="B29233" s="136"/>
    </row>
    <row r="29234" spans="1:2" x14ac:dyDescent="0.25">
      <c r="A29234" s="118"/>
      <c r="B29234" s="136"/>
    </row>
    <row r="29235" spans="1:2" x14ac:dyDescent="0.25">
      <c r="A29235" s="118"/>
      <c r="B29235" s="136"/>
    </row>
    <row r="29236" spans="1:2" x14ac:dyDescent="0.25">
      <c r="A29236" s="118"/>
      <c r="B29236" s="136"/>
    </row>
    <row r="29237" spans="1:2" x14ac:dyDescent="0.25">
      <c r="A29237" s="118"/>
      <c r="B29237" s="136"/>
    </row>
    <row r="29238" spans="1:2" x14ac:dyDescent="0.25">
      <c r="A29238" s="118"/>
      <c r="B29238" s="136"/>
    </row>
    <row r="29239" spans="1:2" x14ac:dyDescent="0.25">
      <c r="A29239" s="118"/>
      <c r="B29239" s="136"/>
    </row>
    <row r="29240" spans="1:2" x14ac:dyDescent="0.25">
      <c r="A29240" s="118"/>
      <c r="B29240" s="136"/>
    </row>
    <row r="29241" spans="1:2" x14ac:dyDescent="0.25">
      <c r="A29241" s="118"/>
      <c r="B29241" s="136"/>
    </row>
    <row r="29242" spans="1:2" x14ac:dyDescent="0.25">
      <c r="A29242" s="118"/>
      <c r="B29242" s="136"/>
    </row>
    <row r="29243" spans="1:2" x14ac:dyDescent="0.25">
      <c r="A29243" s="118"/>
      <c r="B29243" s="136"/>
    </row>
    <row r="29244" spans="1:2" x14ac:dyDescent="0.25">
      <c r="A29244" s="118"/>
      <c r="B29244" s="136"/>
    </row>
    <row r="29245" spans="1:2" x14ac:dyDescent="0.25">
      <c r="A29245" s="118"/>
      <c r="B29245" s="136"/>
    </row>
    <row r="29246" spans="1:2" x14ac:dyDescent="0.25">
      <c r="A29246" s="118"/>
      <c r="B29246" s="136"/>
    </row>
    <row r="29247" spans="1:2" x14ac:dyDescent="0.25">
      <c r="A29247" s="118"/>
      <c r="B29247" s="136"/>
    </row>
    <row r="29248" spans="1:2" x14ac:dyDescent="0.25">
      <c r="A29248" s="118"/>
      <c r="B29248" s="136"/>
    </row>
    <row r="29249" spans="1:2" x14ac:dyDescent="0.25">
      <c r="A29249" s="118"/>
      <c r="B29249" s="136"/>
    </row>
    <row r="29250" spans="1:2" x14ac:dyDescent="0.25">
      <c r="A29250" s="118"/>
      <c r="B29250" s="136"/>
    </row>
    <row r="29251" spans="1:2" x14ac:dyDescent="0.25">
      <c r="A29251" s="118"/>
      <c r="B29251" s="136"/>
    </row>
    <row r="29252" spans="1:2" x14ac:dyDescent="0.25">
      <c r="A29252" s="118"/>
      <c r="B29252" s="136"/>
    </row>
    <row r="29253" spans="1:2" x14ac:dyDescent="0.25">
      <c r="A29253" s="118"/>
      <c r="B29253" s="136"/>
    </row>
    <row r="29254" spans="1:2" x14ac:dyDescent="0.25">
      <c r="A29254" s="118"/>
      <c r="B29254" s="136"/>
    </row>
    <row r="29255" spans="1:2" x14ac:dyDescent="0.25">
      <c r="A29255" s="118"/>
      <c r="B29255" s="136"/>
    </row>
    <row r="29256" spans="1:2" x14ac:dyDescent="0.25">
      <c r="A29256" s="118"/>
      <c r="B29256" s="136"/>
    </row>
    <row r="29257" spans="1:2" x14ac:dyDescent="0.25">
      <c r="A29257" s="118"/>
      <c r="B29257" s="136"/>
    </row>
    <row r="29258" spans="1:2" x14ac:dyDescent="0.25">
      <c r="A29258" s="118"/>
      <c r="B29258" s="136"/>
    </row>
    <row r="29259" spans="1:2" x14ac:dyDescent="0.25">
      <c r="A29259" s="118"/>
      <c r="B29259" s="136"/>
    </row>
    <row r="29260" spans="1:2" x14ac:dyDescent="0.25">
      <c r="A29260" s="118"/>
      <c r="B29260" s="136"/>
    </row>
    <row r="29261" spans="1:2" x14ac:dyDescent="0.25">
      <c r="A29261" s="118"/>
      <c r="B29261" s="136"/>
    </row>
    <row r="29262" spans="1:2" x14ac:dyDescent="0.25">
      <c r="A29262" s="118"/>
      <c r="B29262" s="136"/>
    </row>
    <row r="29263" spans="1:2" x14ac:dyDescent="0.25">
      <c r="A29263" s="118"/>
      <c r="B29263" s="136"/>
    </row>
    <row r="29264" spans="1:2" x14ac:dyDescent="0.25">
      <c r="A29264" s="118"/>
      <c r="B29264" s="136"/>
    </row>
    <row r="29265" spans="1:2" x14ac:dyDescent="0.25">
      <c r="A29265" s="118"/>
      <c r="B29265" s="136"/>
    </row>
    <row r="29266" spans="1:2" x14ac:dyDescent="0.25">
      <c r="A29266" s="118"/>
      <c r="B29266" s="136"/>
    </row>
    <row r="29267" spans="1:2" x14ac:dyDescent="0.25">
      <c r="A29267" s="118"/>
      <c r="B29267" s="136"/>
    </row>
    <row r="29268" spans="1:2" x14ac:dyDescent="0.25">
      <c r="A29268" s="118"/>
      <c r="B29268" s="136"/>
    </row>
    <row r="29269" spans="1:2" x14ac:dyDescent="0.25">
      <c r="A29269" s="118"/>
      <c r="B29269" s="136"/>
    </row>
    <row r="29270" spans="1:2" x14ac:dyDescent="0.25">
      <c r="A29270" s="118"/>
      <c r="B29270" s="136"/>
    </row>
    <row r="29271" spans="1:2" x14ac:dyDescent="0.25">
      <c r="A29271" s="118"/>
      <c r="B29271" s="136"/>
    </row>
    <row r="29272" spans="1:2" x14ac:dyDescent="0.25">
      <c r="A29272" s="118"/>
      <c r="B29272" s="136"/>
    </row>
    <row r="29273" spans="1:2" x14ac:dyDescent="0.25">
      <c r="A29273" s="118"/>
      <c r="B29273" s="136"/>
    </row>
    <row r="29274" spans="1:2" x14ac:dyDescent="0.25">
      <c r="A29274" s="118"/>
      <c r="B29274" s="136"/>
    </row>
    <row r="29275" spans="1:2" x14ac:dyDescent="0.25">
      <c r="A29275" s="118"/>
      <c r="B29275" s="136"/>
    </row>
    <row r="29276" spans="1:2" x14ac:dyDescent="0.25">
      <c r="A29276" s="118"/>
      <c r="B29276" s="136"/>
    </row>
    <row r="29277" spans="1:2" x14ac:dyDescent="0.25">
      <c r="A29277" s="118"/>
      <c r="B29277" s="136"/>
    </row>
    <row r="29278" spans="1:2" x14ac:dyDescent="0.25">
      <c r="A29278" s="118"/>
      <c r="B29278" s="136"/>
    </row>
    <row r="29279" spans="1:2" x14ac:dyDescent="0.25">
      <c r="A29279" s="118"/>
      <c r="B29279" s="136"/>
    </row>
    <row r="29280" spans="1:2" x14ac:dyDescent="0.25">
      <c r="A29280" s="118"/>
      <c r="B29280" s="136"/>
    </row>
    <row r="29281" spans="1:2" x14ac:dyDescent="0.25">
      <c r="A29281" s="118"/>
      <c r="B29281" s="136"/>
    </row>
    <row r="29282" spans="1:2" x14ac:dyDescent="0.25">
      <c r="A29282" s="118"/>
      <c r="B29282" s="136"/>
    </row>
    <row r="29283" spans="1:2" x14ac:dyDescent="0.25">
      <c r="A29283" s="118"/>
      <c r="B29283" s="136"/>
    </row>
    <row r="29284" spans="1:2" x14ac:dyDescent="0.25">
      <c r="A29284" s="118"/>
      <c r="B29284" s="136"/>
    </row>
    <row r="29285" spans="1:2" x14ac:dyDescent="0.25">
      <c r="A29285" s="118"/>
      <c r="B29285" s="136"/>
    </row>
    <row r="29286" spans="1:2" x14ac:dyDescent="0.25">
      <c r="A29286" s="118"/>
      <c r="B29286" s="136"/>
    </row>
    <row r="29287" spans="1:2" x14ac:dyDescent="0.25">
      <c r="A29287" s="118"/>
      <c r="B29287" s="136"/>
    </row>
    <row r="29288" spans="1:2" x14ac:dyDescent="0.25">
      <c r="A29288" s="118"/>
      <c r="B29288" s="136"/>
    </row>
    <row r="29289" spans="1:2" x14ac:dyDescent="0.25">
      <c r="A29289" s="118"/>
      <c r="B29289" s="136"/>
    </row>
    <row r="29290" spans="1:2" x14ac:dyDescent="0.25">
      <c r="A29290" s="118"/>
      <c r="B29290" s="136"/>
    </row>
    <row r="29291" spans="1:2" x14ac:dyDescent="0.25">
      <c r="A29291" s="118"/>
      <c r="B29291" s="136"/>
    </row>
    <row r="29292" spans="1:2" x14ac:dyDescent="0.25">
      <c r="A29292" s="118"/>
      <c r="B29292" s="136"/>
    </row>
    <row r="29293" spans="1:2" x14ac:dyDescent="0.25">
      <c r="A29293" s="118"/>
      <c r="B29293" s="136"/>
    </row>
    <row r="29294" spans="1:2" x14ac:dyDescent="0.25">
      <c r="A29294" s="118"/>
      <c r="B29294" s="136"/>
    </row>
    <row r="29295" spans="1:2" x14ac:dyDescent="0.25">
      <c r="A29295" s="118"/>
      <c r="B29295" s="136"/>
    </row>
    <row r="29296" spans="1:2" x14ac:dyDescent="0.25">
      <c r="A29296" s="118"/>
      <c r="B29296" s="136"/>
    </row>
    <row r="29297" spans="1:2" x14ac:dyDescent="0.25">
      <c r="A29297" s="118"/>
      <c r="B29297" s="136"/>
    </row>
    <row r="29298" spans="1:2" x14ac:dyDescent="0.25">
      <c r="A29298" s="118"/>
      <c r="B29298" s="136"/>
    </row>
    <row r="29299" spans="1:2" x14ac:dyDescent="0.25">
      <c r="A29299" s="118"/>
      <c r="B29299" s="136"/>
    </row>
    <row r="29300" spans="1:2" x14ac:dyDescent="0.25">
      <c r="A29300" s="118"/>
      <c r="B29300" s="136"/>
    </row>
    <row r="29301" spans="1:2" x14ac:dyDescent="0.25">
      <c r="A29301" s="118"/>
      <c r="B29301" s="136"/>
    </row>
    <row r="29302" spans="1:2" x14ac:dyDescent="0.25">
      <c r="A29302" s="118"/>
      <c r="B29302" s="136"/>
    </row>
    <row r="29303" spans="1:2" x14ac:dyDescent="0.25">
      <c r="A29303" s="118"/>
      <c r="B29303" s="136"/>
    </row>
    <row r="29304" spans="1:2" x14ac:dyDescent="0.25">
      <c r="A29304" s="118"/>
      <c r="B29304" s="136"/>
    </row>
    <row r="29305" spans="1:2" x14ac:dyDescent="0.25">
      <c r="A29305" s="118"/>
      <c r="B29305" s="136"/>
    </row>
    <row r="29306" spans="1:2" x14ac:dyDescent="0.25">
      <c r="A29306" s="118"/>
      <c r="B29306" s="136"/>
    </row>
    <row r="29307" spans="1:2" x14ac:dyDescent="0.25">
      <c r="A29307" s="118"/>
      <c r="B29307" s="136"/>
    </row>
    <row r="29308" spans="1:2" x14ac:dyDescent="0.25">
      <c r="A29308" s="118"/>
      <c r="B29308" s="136"/>
    </row>
    <row r="29309" spans="1:2" x14ac:dyDescent="0.25">
      <c r="A29309" s="118"/>
      <c r="B29309" s="136"/>
    </row>
    <row r="29310" spans="1:2" x14ac:dyDescent="0.25">
      <c r="A29310" s="118"/>
      <c r="B29310" s="136"/>
    </row>
    <row r="29311" spans="1:2" x14ac:dyDescent="0.25">
      <c r="A29311" s="118"/>
      <c r="B29311" s="136"/>
    </row>
    <row r="29312" spans="1:2" x14ac:dyDescent="0.25">
      <c r="A29312" s="118"/>
      <c r="B29312" s="136"/>
    </row>
    <row r="29313" spans="1:2" x14ac:dyDescent="0.25">
      <c r="A29313" s="118"/>
      <c r="B29313" s="136"/>
    </row>
    <row r="29314" spans="1:2" x14ac:dyDescent="0.25">
      <c r="A29314" s="118"/>
      <c r="B29314" s="136"/>
    </row>
    <row r="29315" spans="1:2" x14ac:dyDescent="0.25">
      <c r="A29315" s="118"/>
      <c r="B29315" s="136"/>
    </row>
    <row r="29316" spans="1:2" x14ac:dyDescent="0.25">
      <c r="A29316" s="118"/>
      <c r="B29316" s="136"/>
    </row>
    <row r="29317" spans="1:2" x14ac:dyDescent="0.25">
      <c r="A29317" s="118"/>
      <c r="B29317" s="136"/>
    </row>
    <row r="29318" spans="1:2" x14ac:dyDescent="0.25">
      <c r="A29318" s="118"/>
      <c r="B29318" s="136"/>
    </row>
    <row r="29319" spans="1:2" x14ac:dyDescent="0.25">
      <c r="A29319" s="118"/>
      <c r="B29319" s="136"/>
    </row>
    <row r="29320" spans="1:2" x14ac:dyDescent="0.25">
      <c r="A29320" s="118"/>
      <c r="B29320" s="136"/>
    </row>
    <row r="29321" spans="1:2" x14ac:dyDescent="0.25">
      <c r="A29321" s="118"/>
      <c r="B29321" s="136"/>
    </row>
    <row r="29322" spans="1:2" x14ac:dyDescent="0.25">
      <c r="A29322" s="118"/>
      <c r="B29322" s="136"/>
    </row>
    <row r="29323" spans="1:2" x14ac:dyDescent="0.25">
      <c r="A29323" s="118"/>
      <c r="B29323" s="136"/>
    </row>
    <row r="29324" spans="1:2" x14ac:dyDescent="0.25">
      <c r="A29324" s="118"/>
      <c r="B29324" s="136"/>
    </row>
    <row r="29325" spans="1:2" x14ac:dyDescent="0.25">
      <c r="A29325" s="118"/>
      <c r="B29325" s="136"/>
    </row>
    <row r="29326" spans="1:2" x14ac:dyDescent="0.25">
      <c r="A29326" s="118"/>
      <c r="B29326" s="136"/>
    </row>
    <row r="29327" spans="1:2" x14ac:dyDescent="0.25">
      <c r="A29327" s="118"/>
      <c r="B29327" s="136"/>
    </row>
    <row r="29328" spans="1:2" x14ac:dyDescent="0.25">
      <c r="A29328" s="118"/>
      <c r="B29328" s="136"/>
    </row>
    <row r="29329" spans="1:2" x14ac:dyDescent="0.25">
      <c r="A29329" s="118"/>
      <c r="B29329" s="136"/>
    </row>
    <row r="29330" spans="1:2" x14ac:dyDescent="0.25">
      <c r="A29330" s="118"/>
      <c r="B29330" s="136"/>
    </row>
    <row r="29331" spans="1:2" x14ac:dyDescent="0.25">
      <c r="A29331" s="118"/>
      <c r="B29331" s="136"/>
    </row>
    <row r="29332" spans="1:2" x14ac:dyDescent="0.25">
      <c r="A29332" s="118"/>
      <c r="B29332" s="136"/>
    </row>
    <row r="29333" spans="1:2" x14ac:dyDescent="0.25">
      <c r="A29333" s="118"/>
      <c r="B29333" s="136"/>
    </row>
    <row r="29334" spans="1:2" x14ac:dyDescent="0.25">
      <c r="A29334" s="118"/>
      <c r="B29334" s="136"/>
    </row>
    <row r="29335" spans="1:2" x14ac:dyDescent="0.25">
      <c r="A29335" s="118"/>
      <c r="B29335" s="136"/>
    </row>
    <row r="29336" spans="1:2" x14ac:dyDescent="0.25">
      <c r="A29336" s="118"/>
      <c r="B29336" s="136"/>
    </row>
    <row r="29337" spans="1:2" x14ac:dyDescent="0.25">
      <c r="A29337" s="118"/>
      <c r="B29337" s="136"/>
    </row>
    <row r="29338" spans="1:2" x14ac:dyDescent="0.25">
      <c r="A29338" s="118"/>
      <c r="B29338" s="136"/>
    </row>
    <row r="29339" spans="1:2" x14ac:dyDescent="0.25">
      <c r="A29339" s="118"/>
      <c r="B29339" s="136"/>
    </row>
    <row r="29340" spans="1:2" x14ac:dyDescent="0.25">
      <c r="A29340" s="118"/>
      <c r="B29340" s="136"/>
    </row>
    <row r="29341" spans="1:2" x14ac:dyDescent="0.25">
      <c r="A29341" s="118"/>
      <c r="B29341" s="136"/>
    </row>
    <row r="29342" spans="1:2" x14ac:dyDescent="0.25">
      <c r="A29342" s="118"/>
      <c r="B29342" s="136"/>
    </row>
    <row r="29343" spans="1:2" x14ac:dyDescent="0.25">
      <c r="A29343" s="118"/>
      <c r="B29343" s="136"/>
    </row>
    <row r="29344" spans="1:2" x14ac:dyDescent="0.25">
      <c r="A29344" s="118"/>
      <c r="B29344" s="136"/>
    </row>
    <row r="29345" spans="1:2" x14ac:dyDescent="0.25">
      <c r="A29345" s="118"/>
      <c r="B29345" s="136"/>
    </row>
    <row r="29346" spans="1:2" x14ac:dyDescent="0.25">
      <c r="A29346" s="118"/>
      <c r="B29346" s="136"/>
    </row>
    <row r="29347" spans="1:2" x14ac:dyDescent="0.25">
      <c r="A29347" s="118"/>
      <c r="B29347" s="136"/>
    </row>
    <row r="29348" spans="1:2" x14ac:dyDescent="0.25">
      <c r="A29348" s="118"/>
      <c r="B29348" s="136"/>
    </row>
    <row r="29349" spans="1:2" x14ac:dyDescent="0.25">
      <c r="A29349" s="118"/>
      <c r="B29349" s="136"/>
    </row>
    <row r="29350" spans="1:2" x14ac:dyDescent="0.25">
      <c r="A29350" s="118"/>
      <c r="B29350" s="136"/>
    </row>
    <row r="29351" spans="1:2" x14ac:dyDescent="0.25">
      <c r="A29351" s="118"/>
      <c r="B29351" s="136"/>
    </row>
    <row r="29352" spans="1:2" x14ac:dyDescent="0.25">
      <c r="A29352" s="118"/>
      <c r="B29352" s="136"/>
    </row>
    <row r="29353" spans="1:2" x14ac:dyDescent="0.25">
      <c r="A29353" s="118"/>
      <c r="B29353" s="136"/>
    </row>
    <row r="29354" spans="1:2" x14ac:dyDescent="0.25">
      <c r="A29354" s="118"/>
      <c r="B29354" s="136"/>
    </row>
    <row r="29355" spans="1:2" x14ac:dyDescent="0.25">
      <c r="A29355" s="118"/>
      <c r="B29355" s="136"/>
    </row>
    <row r="29356" spans="1:2" x14ac:dyDescent="0.25">
      <c r="A29356" s="118"/>
      <c r="B29356" s="136"/>
    </row>
    <row r="29357" spans="1:2" x14ac:dyDescent="0.25">
      <c r="A29357" s="118"/>
      <c r="B29357" s="136"/>
    </row>
    <row r="29358" spans="1:2" x14ac:dyDescent="0.25">
      <c r="A29358" s="118"/>
      <c r="B29358" s="136"/>
    </row>
    <row r="29359" spans="1:2" x14ac:dyDescent="0.25">
      <c r="A29359" s="118"/>
      <c r="B29359" s="136"/>
    </row>
    <row r="29360" spans="1:2" x14ac:dyDescent="0.25">
      <c r="A29360" s="118"/>
      <c r="B29360" s="136"/>
    </row>
    <row r="29361" spans="1:2" x14ac:dyDescent="0.25">
      <c r="A29361" s="118"/>
      <c r="B29361" s="136"/>
    </row>
    <row r="29362" spans="1:2" x14ac:dyDescent="0.25">
      <c r="A29362" s="118"/>
      <c r="B29362" s="136"/>
    </row>
    <row r="29363" spans="1:2" x14ac:dyDescent="0.25">
      <c r="A29363" s="118"/>
      <c r="B29363" s="136"/>
    </row>
    <row r="29364" spans="1:2" x14ac:dyDescent="0.25">
      <c r="A29364" s="118"/>
      <c r="B29364" s="136"/>
    </row>
    <row r="29365" spans="1:2" x14ac:dyDescent="0.25">
      <c r="A29365" s="118"/>
      <c r="B29365" s="136"/>
    </row>
    <row r="29366" spans="1:2" x14ac:dyDescent="0.25">
      <c r="A29366" s="118"/>
      <c r="B29366" s="136"/>
    </row>
    <row r="29367" spans="1:2" x14ac:dyDescent="0.25">
      <c r="A29367" s="118"/>
      <c r="B29367" s="136"/>
    </row>
    <row r="29368" spans="1:2" x14ac:dyDescent="0.25">
      <c r="A29368" s="118"/>
      <c r="B29368" s="136"/>
    </row>
    <row r="29369" spans="1:2" x14ac:dyDescent="0.25">
      <c r="A29369" s="118"/>
      <c r="B29369" s="136"/>
    </row>
    <row r="29370" spans="1:2" x14ac:dyDescent="0.25">
      <c r="A29370" s="118"/>
      <c r="B29370" s="136"/>
    </row>
    <row r="29371" spans="1:2" x14ac:dyDescent="0.25">
      <c r="A29371" s="118"/>
      <c r="B29371" s="136"/>
    </row>
    <row r="29372" spans="1:2" x14ac:dyDescent="0.25">
      <c r="A29372" s="118"/>
      <c r="B29372" s="136"/>
    </row>
    <row r="29373" spans="1:2" x14ac:dyDescent="0.25">
      <c r="A29373" s="118"/>
      <c r="B29373" s="136"/>
    </row>
    <row r="29374" spans="1:2" x14ac:dyDescent="0.25">
      <c r="A29374" s="118"/>
      <c r="B29374" s="136"/>
    </row>
    <row r="29375" spans="1:2" x14ac:dyDescent="0.25">
      <c r="A29375" s="118"/>
      <c r="B29375" s="136"/>
    </row>
    <row r="29376" spans="1:2" x14ac:dyDescent="0.25">
      <c r="A29376" s="118"/>
      <c r="B29376" s="136"/>
    </row>
    <row r="29377" spans="1:2" x14ac:dyDescent="0.25">
      <c r="A29377" s="118"/>
      <c r="B29377" s="136"/>
    </row>
    <row r="29378" spans="1:2" x14ac:dyDescent="0.25">
      <c r="A29378" s="118"/>
      <c r="B29378" s="136"/>
    </row>
    <row r="29379" spans="1:2" x14ac:dyDescent="0.25">
      <c r="A29379" s="118"/>
      <c r="B29379" s="136"/>
    </row>
    <row r="29380" spans="1:2" x14ac:dyDescent="0.25">
      <c r="A29380" s="118"/>
      <c r="B29380" s="136"/>
    </row>
    <row r="29381" spans="1:2" x14ac:dyDescent="0.25">
      <c r="A29381" s="118"/>
      <c r="B29381" s="136"/>
    </row>
    <row r="29382" spans="1:2" x14ac:dyDescent="0.25">
      <c r="A29382" s="118"/>
      <c r="B29382" s="136"/>
    </row>
    <row r="29383" spans="1:2" x14ac:dyDescent="0.25">
      <c r="A29383" s="118"/>
      <c r="B29383" s="136"/>
    </row>
    <row r="29384" spans="1:2" x14ac:dyDescent="0.25">
      <c r="A29384" s="118"/>
      <c r="B29384" s="136"/>
    </row>
    <row r="29385" spans="1:2" x14ac:dyDescent="0.25">
      <c r="A29385" s="118"/>
      <c r="B29385" s="136"/>
    </row>
    <row r="29386" spans="1:2" x14ac:dyDescent="0.25">
      <c r="A29386" s="118"/>
      <c r="B29386" s="136"/>
    </row>
    <row r="29387" spans="1:2" x14ac:dyDescent="0.25">
      <c r="A29387" s="118"/>
      <c r="B29387" s="136"/>
    </row>
    <row r="29388" spans="1:2" x14ac:dyDescent="0.25">
      <c r="A29388" s="118"/>
      <c r="B29388" s="136"/>
    </row>
    <row r="29389" spans="1:2" x14ac:dyDescent="0.25">
      <c r="A29389" s="118"/>
      <c r="B29389" s="136"/>
    </row>
    <row r="29390" spans="1:2" x14ac:dyDescent="0.25">
      <c r="A29390" s="118"/>
      <c r="B29390" s="136"/>
    </row>
    <row r="29391" spans="1:2" x14ac:dyDescent="0.25">
      <c r="A29391" s="118"/>
      <c r="B29391" s="136"/>
    </row>
    <row r="29392" spans="1:2" x14ac:dyDescent="0.25">
      <c r="A29392" s="118"/>
      <c r="B29392" s="136"/>
    </row>
    <row r="29393" spans="1:2" x14ac:dyDescent="0.25">
      <c r="A29393" s="118"/>
      <c r="B29393" s="136"/>
    </row>
    <row r="29394" spans="1:2" x14ac:dyDescent="0.25">
      <c r="A29394" s="118"/>
      <c r="B29394" s="136"/>
    </row>
    <row r="29395" spans="1:2" x14ac:dyDescent="0.25">
      <c r="A29395" s="118"/>
      <c r="B29395" s="136"/>
    </row>
    <row r="29396" spans="1:2" x14ac:dyDescent="0.25">
      <c r="A29396" s="118"/>
      <c r="B29396" s="136"/>
    </row>
    <row r="29397" spans="1:2" x14ac:dyDescent="0.25">
      <c r="A29397" s="118"/>
      <c r="B29397" s="136"/>
    </row>
    <row r="29398" spans="1:2" x14ac:dyDescent="0.25">
      <c r="A29398" s="118"/>
      <c r="B29398" s="136"/>
    </row>
    <row r="29399" spans="1:2" x14ac:dyDescent="0.25">
      <c r="A29399" s="118"/>
      <c r="B29399" s="136"/>
    </row>
    <row r="29400" spans="1:2" x14ac:dyDescent="0.25">
      <c r="A29400" s="118"/>
      <c r="B29400" s="136"/>
    </row>
    <row r="29401" spans="1:2" x14ac:dyDescent="0.25">
      <c r="A29401" s="118"/>
      <c r="B29401" s="136"/>
    </row>
    <row r="29402" spans="1:2" x14ac:dyDescent="0.25">
      <c r="A29402" s="118"/>
      <c r="B29402" s="136"/>
    </row>
    <row r="29403" spans="1:2" x14ac:dyDescent="0.25">
      <c r="A29403" s="118"/>
      <c r="B29403" s="136"/>
    </row>
    <row r="29404" spans="1:2" x14ac:dyDescent="0.25">
      <c r="A29404" s="118"/>
      <c r="B29404" s="136"/>
    </row>
    <row r="29405" spans="1:2" x14ac:dyDescent="0.25">
      <c r="A29405" s="118"/>
      <c r="B29405" s="136"/>
    </row>
    <row r="29406" spans="1:2" x14ac:dyDescent="0.25">
      <c r="A29406" s="118"/>
      <c r="B29406" s="136"/>
    </row>
    <row r="29407" spans="1:2" x14ac:dyDescent="0.25">
      <c r="A29407" s="118"/>
      <c r="B29407" s="136"/>
    </row>
    <row r="29408" spans="1:2" x14ac:dyDescent="0.25">
      <c r="A29408" s="118"/>
      <c r="B29408" s="136"/>
    </row>
    <row r="29409" spans="1:2" x14ac:dyDescent="0.25">
      <c r="A29409" s="118"/>
      <c r="B29409" s="136"/>
    </row>
    <row r="29410" spans="1:2" x14ac:dyDescent="0.25">
      <c r="A29410" s="118"/>
      <c r="B29410" s="136"/>
    </row>
    <row r="29411" spans="1:2" x14ac:dyDescent="0.25">
      <c r="A29411" s="118"/>
      <c r="B29411" s="136"/>
    </row>
    <row r="29412" spans="1:2" x14ac:dyDescent="0.25">
      <c r="A29412" s="118"/>
      <c r="B29412" s="136"/>
    </row>
    <row r="29413" spans="1:2" x14ac:dyDescent="0.25">
      <c r="A29413" s="118"/>
      <c r="B29413" s="136"/>
    </row>
    <row r="29414" spans="1:2" x14ac:dyDescent="0.25">
      <c r="A29414" s="118"/>
      <c r="B29414" s="136"/>
    </row>
    <row r="29415" spans="1:2" x14ac:dyDescent="0.25">
      <c r="A29415" s="118"/>
      <c r="B29415" s="136"/>
    </row>
    <row r="29416" spans="1:2" x14ac:dyDescent="0.25">
      <c r="A29416" s="118"/>
      <c r="B29416" s="136"/>
    </row>
    <row r="29417" spans="1:2" x14ac:dyDescent="0.25">
      <c r="A29417" s="118"/>
      <c r="B29417" s="136"/>
    </row>
    <row r="29418" spans="1:2" x14ac:dyDescent="0.25">
      <c r="A29418" s="118"/>
      <c r="B29418" s="136"/>
    </row>
    <row r="29419" spans="1:2" x14ac:dyDescent="0.25">
      <c r="A29419" s="118"/>
      <c r="B29419" s="136"/>
    </row>
    <row r="29420" spans="1:2" x14ac:dyDescent="0.25">
      <c r="A29420" s="118"/>
      <c r="B29420" s="136"/>
    </row>
    <row r="29421" spans="1:2" x14ac:dyDescent="0.25">
      <c r="A29421" s="118"/>
      <c r="B29421" s="136"/>
    </row>
    <row r="29422" spans="1:2" x14ac:dyDescent="0.25">
      <c r="A29422" s="118"/>
      <c r="B29422" s="136"/>
    </row>
    <row r="29423" spans="1:2" x14ac:dyDescent="0.25">
      <c r="A29423" s="118"/>
      <c r="B29423" s="136"/>
    </row>
    <row r="29424" spans="1:2" x14ac:dyDescent="0.25">
      <c r="A29424" s="118"/>
      <c r="B29424" s="136"/>
    </row>
    <row r="29425" spans="1:2" x14ac:dyDescent="0.25">
      <c r="A29425" s="118"/>
      <c r="B29425" s="136"/>
    </row>
    <row r="29426" spans="1:2" x14ac:dyDescent="0.25">
      <c r="A29426" s="118"/>
      <c r="B29426" s="136"/>
    </row>
    <row r="29427" spans="1:2" x14ac:dyDescent="0.25">
      <c r="A29427" s="118"/>
      <c r="B29427" s="136"/>
    </row>
    <row r="29428" spans="1:2" x14ac:dyDescent="0.25">
      <c r="A29428" s="118"/>
      <c r="B29428" s="136"/>
    </row>
    <row r="29429" spans="1:2" x14ac:dyDescent="0.25">
      <c r="A29429" s="118"/>
      <c r="B29429" s="136"/>
    </row>
    <row r="29430" spans="1:2" x14ac:dyDescent="0.25">
      <c r="A29430" s="118"/>
      <c r="B29430" s="136"/>
    </row>
    <row r="29431" spans="1:2" x14ac:dyDescent="0.25">
      <c r="A29431" s="118"/>
      <c r="B29431" s="136"/>
    </row>
    <row r="29432" spans="1:2" x14ac:dyDescent="0.25">
      <c r="A29432" s="118"/>
      <c r="B29432" s="136"/>
    </row>
    <row r="29433" spans="1:2" x14ac:dyDescent="0.25">
      <c r="A29433" s="118"/>
      <c r="B29433" s="136"/>
    </row>
    <row r="29434" spans="1:2" x14ac:dyDescent="0.25">
      <c r="A29434" s="118"/>
      <c r="B29434" s="136"/>
    </row>
    <row r="29435" spans="1:2" x14ac:dyDescent="0.25">
      <c r="A29435" s="118"/>
      <c r="B29435" s="136"/>
    </row>
    <row r="29436" spans="1:2" x14ac:dyDescent="0.25">
      <c r="A29436" s="118"/>
      <c r="B29436" s="136"/>
    </row>
    <row r="29437" spans="1:2" x14ac:dyDescent="0.25">
      <c r="A29437" s="118"/>
      <c r="B29437" s="136"/>
    </row>
    <row r="29438" spans="1:2" x14ac:dyDescent="0.25">
      <c r="A29438" s="118"/>
      <c r="B29438" s="136"/>
    </row>
    <row r="29439" spans="1:2" x14ac:dyDescent="0.25">
      <c r="A29439" s="118"/>
      <c r="B29439" s="136"/>
    </row>
    <row r="29440" spans="1:2" x14ac:dyDescent="0.25">
      <c r="A29440" s="118"/>
      <c r="B29440" s="136"/>
    </row>
    <row r="29441" spans="1:2" x14ac:dyDescent="0.25">
      <c r="A29441" s="118"/>
      <c r="B29441" s="136"/>
    </row>
    <row r="29442" spans="1:2" x14ac:dyDescent="0.25">
      <c r="A29442" s="118"/>
      <c r="B29442" s="136"/>
    </row>
    <row r="29443" spans="1:2" x14ac:dyDescent="0.25">
      <c r="A29443" s="118"/>
      <c r="B29443" s="136"/>
    </row>
    <row r="29444" spans="1:2" x14ac:dyDescent="0.25">
      <c r="A29444" s="118"/>
      <c r="B29444" s="136"/>
    </row>
    <row r="29445" spans="1:2" x14ac:dyDescent="0.25">
      <c r="A29445" s="118"/>
      <c r="B29445" s="136"/>
    </row>
    <row r="29446" spans="1:2" x14ac:dyDescent="0.25">
      <c r="A29446" s="118"/>
      <c r="B29446" s="136"/>
    </row>
    <row r="29447" spans="1:2" x14ac:dyDescent="0.25">
      <c r="A29447" s="118"/>
      <c r="B29447" s="136"/>
    </row>
    <row r="29448" spans="1:2" x14ac:dyDescent="0.25">
      <c r="A29448" s="118"/>
      <c r="B29448" s="136"/>
    </row>
    <row r="29449" spans="1:2" x14ac:dyDescent="0.25">
      <c r="A29449" s="118"/>
      <c r="B29449" s="136"/>
    </row>
    <row r="29450" spans="1:2" x14ac:dyDescent="0.25">
      <c r="A29450" s="118"/>
      <c r="B29450" s="136"/>
    </row>
    <row r="29451" spans="1:2" x14ac:dyDescent="0.25">
      <c r="A29451" s="118"/>
      <c r="B29451" s="136"/>
    </row>
    <row r="29452" spans="1:2" x14ac:dyDescent="0.25">
      <c r="A29452" s="118"/>
      <c r="B29452" s="136"/>
    </row>
    <row r="29453" spans="1:2" x14ac:dyDescent="0.25">
      <c r="A29453" s="118"/>
      <c r="B29453" s="136"/>
    </row>
    <row r="29454" spans="1:2" x14ac:dyDescent="0.25">
      <c r="A29454" s="118"/>
      <c r="B29454" s="136"/>
    </row>
    <row r="29455" spans="1:2" x14ac:dyDescent="0.25">
      <c r="A29455" s="118"/>
      <c r="B29455" s="136"/>
    </row>
    <row r="29456" spans="1:2" x14ac:dyDescent="0.25">
      <c r="A29456" s="118"/>
      <c r="B29456" s="136"/>
    </row>
    <row r="29457" spans="1:2" x14ac:dyDescent="0.25">
      <c r="A29457" s="118"/>
      <c r="B29457" s="136"/>
    </row>
    <row r="29458" spans="1:2" x14ac:dyDescent="0.25">
      <c r="A29458" s="118"/>
      <c r="B29458" s="136"/>
    </row>
    <row r="29459" spans="1:2" x14ac:dyDescent="0.25">
      <c r="A29459" s="118"/>
      <c r="B29459" s="136"/>
    </row>
    <row r="29460" spans="1:2" x14ac:dyDescent="0.25">
      <c r="A29460" s="118"/>
      <c r="B29460" s="136"/>
    </row>
    <row r="29461" spans="1:2" x14ac:dyDescent="0.25">
      <c r="A29461" s="118"/>
      <c r="B29461" s="136"/>
    </row>
    <row r="29462" spans="1:2" x14ac:dyDescent="0.25">
      <c r="A29462" s="118"/>
      <c r="B29462" s="136"/>
    </row>
    <row r="29463" spans="1:2" x14ac:dyDescent="0.25">
      <c r="A29463" s="118"/>
      <c r="B29463" s="136"/>
    </row>
    <row r="29464" spans="1:2" x14ac:dyDescent="0.25">
      <c r="A29464" s="118"/>
      <c r="B29464" s="136"/>
    </row>
    <row r="29465" spans="1:2" x14ac:dyDescent="0.25">
      <c r="A29465" s="118"/>
      <c r="B29465" s="136"/>
    </row>
    <row r="29466" spans="1:2" x14ac:dyDescent="0.25">
      <c r="A29466" s="118"/>
      <c r="B29466" s="136"/>
    </row>
    <row r="29467" spans="1:2" x14ac:dyDescent="0.25">
      <c r="A29467" s="118"/>
      <c r="B29467" s="136"/>
    </row>
    <row r="29468" spans="1:2" x14ac:dyDescent="0.25">
      <c r="A29468" s="118"/>
      <c r="B29468" s="136"/>
    </row>
    <row r="29469" spans="1:2" x14ac:dyDescent="0.25">
      <c r="A29469" s="118"/>
      <c r="B29469" s="136"/>
    </row>
    <row r="29470" spans="1:2" x14ac:dyDescent="0.25">
      <c r="A29470" s="118"/>
      <c r="B29470" s="136"/>
    </row>
    <row r="29471" spans="1:2" x14ac:dyDescent="0.25">
      <c r="A29471" s="118"/>
      <c r="B29471" s="136"/>
    </row>
    <row r="29472" spans="1:2" x14ac:dyDescent="0.25">
      <c r="A29472" s="118"/>
      <c r="B29472" s="136"/>
    </row>
    <row r="29473" spans="1:2" x14ac:dyDescent="0.25">
      <c r="A29473" s="118"/>
      <c r="B29473" s="136"/>
    </row>
    <row r="29474" spans="1:2" x14ac:dyDescent="0.25">
      <c r="A29474" s="118"/>
      <c r="B29474" s="136"/>
    </row>
    <row r="29475" spans="1:2" x14ac:dyDescent="0.25">
      <c r="A29475" s="118"/>
      <c r="B29475" s="136"/>
    </row>
    <row r="29476" spans="1:2" x14ac:dyDescent="0.25">
      <c r="A29476" s="118"/>
      <c r="B29476" s="136"/>
    </row>
    <row r="29477" spans="1:2" x14ac:dyDescent="0.25">
      <c r="A29477" s="118"/>
      <c r="B29477" s="136"/>
    </row>
    <row r="29478" spans="1:2" x14ac:dyDescent="0.25">
      <c r="A29478" s="118"/>
      <c r="B29478" s="136"/>
    </row>
    <row r="29479" spans="1:2" x14ac:dyDescent="0.25">
      <c r="A29479" s="118"/>
      <c r="B29479" s="136"/>
    </row>
    <row r="29480" spans="1:2" x14ac:dyDescent="0.25">
      <c r="A29480" s="118"/>
      <c r="B29480" s="136"/>
    </row>
    <row r="29481" spans="1:2" x14ac:dyDescent="0.25">
      <c r="A29481" s="118"/>
      <c r="B29481" s="136"/>
    </row>
    <row r="29482" spans="1:2" x14ac:dyDescent="0.25">
      <c r="A29482" s="118"/>
      <c r="B29482" s="136"/>
    </row>
    <row r="29483" spans="1:2" x14ac:dyDescent="0.25">
      <c r="A29483" s="118"/>
      <c r="B29483" s="136"/>
    </row>
    <row r="29484" spans="1:2" x14ac:dyDescent="0.25">
      <c r="A29484" s="118"/>
      <c r="B29484" s="136"/>
    </row>
    <row r="29485" spans="1:2" x14ac:dyDescent="0.25">
      <c r="A29485" s="118"/>
      <c r="B29485" s="136"/>
    </row>
    <row r="29486" spans="1:2" x14ac:dyDescent="0.25">
      <c r="A29486" s="118"/>
      <c r="B29486" s="136"/>
    </row>
    <row r="29487" spans="1:2" x14ac:dyDescent="0.25">
      <c r="A29487" s="118"/>
      <c r="B29487" s="136"/>
    </row>
    <row r="29488" spans="1:2" x14ac:dyDescent="0.25">
      <c r="A29488" s="118"/>
      <c r="B29488" s="136"/>
    </row>
    <row r="29489" spans="1:2" x14ac:dyDescent="0.25">
      <c r="A29489" s="118"/>
      <c r="B29489" s="136"/>
    </row>
    <row r="29490" spans="1:2" x14ac:dyDescent="0.25">
      <c r="A29490" s="118"/>
      <c r="B29490" s="136"/>
    </row>
    <row r="29491" spans="1:2" x14ac:dyDescent="0.25">
      <c r="A29491" s="118"/>
      <c r="B29491" s="136"/>
    </row>
    <row r="29492" spans="1:2" x14ac:dyDescent="0.25">
      <c r="A29492" s="118"/>
      <c r="B29492" s="136"/>
    </row>
    <row r="29493" spans="1:2" x14ac:dyDescent="0.25">
      <c r="A29493" s="118"/>
      <c r="B29493" s="136"/>
    </row>
    <row r="29494" spans="1:2" x14ac:dyDescent="0.25">
      <c r="A29494" s="118"/>
      <c r="B29494" s="136"/>
    </row>
    <row r="29495" spans="1:2" x14ac:dyDescent="0.25">
      <c r="A29495" s="118"/>
      <c r="B29495" s="136"/>
    </row>
    <row r="29496" spans="1:2" x14ac:dyDescent="0.25">
      <c r="A29496" s="118"/>
      <c r="B29496" s="136"/>
    </row>
    <row r="29497" spans="1:2" x14ac:dyDescent="0.25">
      <c r="A29497" s="118"/>
      <c r="B29497" s="136"/>
    </row>
    <row r="29498" spans="1:2" x14ac:dyDescent="0.25">
      <c r="A29498" s="118"/>
      <c r="B29498" s="136"/>
    </row>
    <row r="29499" spans="1:2" x14ac:dyDescent="0.25">
      <c r="A29499" s="118"/>
      <c r="B29499" s="136"/>
    </row>
    <row r="29500" spans="1:2" x14ac:dyDescent="0.25">
      <c r="A29500" s="118"/>
      <c r="B29500" s="136"/>
    </row>
    <row r="29501" spans="1:2" x14ac:dyDescent="0.25">
      <c r="A29501" s="118"/>
      <c r="B29501" s="136"/>
    </row>
    <row r="29502" spans="1:2" x14ac:dyDescent="0.25">
      <c r="A29502" s="118"/>
      <c r="B29502" s="136"/>
    </row>
    <row r="29503" spans="1:2" x14ac:dyDescent="0.25">
      <c r="A29503" s="118"/>
      <c r="B29503" s="136"/>
    </row>
    <row r="29504" spans="1:2" x14ac:dyDescent="0.25">
      <c r="A29504" s="118"/>
      <c r="B29504" s="136"/>
    </row>
    <row r="29505" spans="1:2" x14ac:dyDescent="0.25">
      <c r="A29505" s="118"/>
      <c r="B29505" s="136"/>
    </row>
    <row r="29506" spans="1:2" x14ac:dyDescent="0.25">
      <c r="A29506" s="118"/>
      <c r="B29506" s="136"/>
    </row>
    <row r="29507" spans="1:2" x14ac:dyDescent="0.25">
      <c r="A29507" s="118"/>
      <c r="B29507" s="136"/>
    </row>
    <row r="29508" spans="1:2" x14ac:dyDescent="0.25">
      <c r="A29508" s="118"/>
      <c r="B29508" s="136"/>
    </row>
    <row r="29509" spans="1:2" x14ac:dyDescent="0.25">
      <c r="A29509" s="118"/>
      <c r="B29509" s="136"/>
    </row>
    <row r="29510" spans="1:2" x14ac:dyDescent="0.25">
      <c r="A29510" s="118"/>
      <c r="B29510" s="136"/>
    </row>
    <row r="29511" spans="1:2" x14ac:dyDescent="0.25">
      <c r="A29511" s="118"/>
      <c r="B29511" s="136"/>
    </row>
    <row r="29512" spans="1:2" x14ac:dyDescent="0.25">
      <c r="A29512" s="118"/>
      <c r="B29512" s="136"/>
    </row>
    <row r="29513" spans="1:2" x14ac:dyDescent="0.25">
      <c r="A29513" s="118"/>
      <c r="B29513" s="136"/>
    </row>
    <row r="29514" spans="1:2" x14ac:dyDescent="0.25">
      <c r="A29514" s="118"/>
      <c r="B29514" s="136"/>
    </row>
    <row r="29515" spans="1:2" x14ac:dyDescent="0.25">
      <c r="A29515" s="118"/>
      <c r="B29515" s="136"/>
    </row>
    <row r="29516" spans="1:2" x14ac:dyDescent="0.25">
      <c r="A29516" s="118"/>
      <c r="B29516" s="136"/>
    </row>
    <row r="29517" spans="1:2" x14ac:dyDescent="0.25">
      <c r="A29517" s="118"/>
      <c r="B29517" s="136"/>
    </row>
    <row r="29518" spans="1:2" x14ac:dyDescent="0.25">
      <c r="A29518" s="118"/>
      <c r="B29518" s="136"/>
    </row>
    <row r="29519" spans="1:2" x14ac:dyDescent="0.25">
      <c r="A29519" s="118"/>
      <c r="B29519" s="136"/>
    </row>
    <row r="29520" spans="1:2" x14ac:dyDescent="0.25">
      <c r="A29520" s="118"/>
      <c r="B29520" s="136"/>
    </row>
    <row r="29521" spans="1:2" x14ac:dyDescent="0.25">
      <c r="A29521" s="118"/>
      <c r="B29521" s="136"/>
    </row>
    <row r="29522" spans="1:2" x14ac:dyDescent="0.25">
      <c r="A29522" s="118"/>
      <c r="B29522" s="136"/>
    </row>
    <row r="29523" spans="1:2" x14ac:dyDescent="0.25">
      <c r="A29523" s="118"/>
      <c r="B29523" s="136"/>
    </row>
    <row r="29524" spans="1:2" x14ac:dyDescent="0.25">
      <c r="A29524" s="118"/>
      <c r="B29524" s="136"/>
    </row>
    <row r="29525" spans="1:2" x14ac:dyDescent="0.25">
      <c r="A29525" s="118"/>
      <c r="B29525" s="136"/>
    </row>
    <row r="29526" spans="1:2" x14ac:dyDescent="0.25">
      <c r="A29526" s="118"/>
      <c r="B29526" s="136"/>
    </row>
    <row r="29527" spans="1:2" x14ac:dyDescent="0.25">
      <c r="A29527" s="118"/>
      <c r="B29527" s="136"/>
    </row>
    <row r="29528" spans="1:2" x14ac:dyDescent="0.25">
      <c r="A29528" s="118"/>
      <c r="B29528" s="136"/>
    </row>
    <row r="29529" spans="1:2" x14ac:dyDescent="0.25">
      <c r="A29529" s="118"/>
      <c r="B29529" s="136"/>
    </row>
    <row r="29530" spans="1:2" x14ac:dyDescent="0.25">
      <c r="A29530" s="118"/>
      <c r="B29530" s="136"/>
    </row>
    <row r="29531" spans="1:2" x14ac:dyDescent="0.25">
      <c r="A29531" s="118"/>
      <c r="B29531" s="136"/>
    </row>
    <row r="29532" spans="1:2" x14ac:dyDescent="0.25">
      <c r="A29532" s="118"/>
      <c r="B29532" s="136"/>
    </row>
    <row r="29533" spans="1:2" x14ac:dyDescent="0.25">
      <c r="A29533" s="118"/>
      <c r="B29533" s="136"/>
    </row>
    <row r="29534" spans="1:2" x14ac:dyDescent="0.25">
      <c r="A29534" s="118"/>
      <c r="B29534" s="136"/>
    </row>
    <row r="29535" spans="1:2" x14ac:dyDescent="0.25">
      <c r="A29535" s="118"/>
      <c r="B29535" s="136"/>
    </row>
    <row r="29536" spans="1:2" x14ac:dyDescent="0.25">
      <c r="A29536" s="118"/>
      <c r="B29536" s="136"/>
    </row>
    <row r="29537" spans="1:2" x14ac:dyDescent="0.25">
      <c r="A29537" s="118"/>
      <c r="B29537" s="136"/>
    </row>
    <row r="29538" spans="1:2" x14ac:dyDescent="0.25">
      <c r="A29538" s="118"/>
      <c r="B29538" s="136"/>
    </row>
    <row r="29539" spans="1:2" x14ac:dyDescent="0.25">
      <c r="A29539" s="118"/>
      <c r="B29539" s="136"/>
    </row>
    <row r="29540" spans="1:2" x14ac:dyDescent="0.25">
      <c r="A29540" s="118"/>
      <c r="B29540" s="136"/>
    </row>
    <row r="29541" spans="1:2" x14ac:dyDescent="0.25">
      <c r="A29541" s="118"/>
      <c r="B29541" s="136"/>
    </row>
    <row r="29542" spans="1:2" x14ac:dyDescent="0.25">
      <c r="A29542" s="118"/>
      <c r="B29542" s="136"/>
    </row>
    <row r="29543" spans="1:2" x14ac:dyDescent="0.25">
      <c r="A29543" s="118"/>
      <c r="B29543" s="136"/>
    </row>
    <row r="29544" spans="1:2" x14ac:dyDescent="0.25">
      <c r="A29544" s="118"/>
      <c r="B29544" s="136"/>
    </row>
    <row r="29545" spans="1:2" x14ac:dyDescent="0.25">
      <c r="A29545" s="118"/>
      <c r="B29545" s="136"/>
    </row>
    <row r="29546" spans="1:2" x14ac:dyDescent="0.25">
      <c r="A29546" s="118"/>
      <c r="B29546" s="136"/>
    </row>
    <row r="29547" spans="1:2" x14ac:dyDescent="0.25">
      <c r="A29547" s="118"/>
      <c r="B29547" s="136"/>
    </row>
    <row r="29548" spans="1:2" x14ac:dyDescent="0.25">
      <c r="A29548" s="118"/>
      <c r="B29548" s="136"/>
    </row>
    <row r="29549" spans="1:2" x14ac:dyDescent="0.25">
      <c r="A29549" s="118"/>
      <c r="B29549" s="136"/>
    </row>
    <row r="29550" spans="1:2" x14ac:dyDescent="0.25">
      <c r="A29550" s="118"/>
      <c r="B29550" s="136"/>
    </row>
    <row r="29551" spans="1:2" x14ac:dyDescent="0.25">
      <c r="A29551" s="118"/>
      <c r="B29551" s="136"/>
    </row>
    <row r="29552" spans="1:2" x14ac:dyDescent="0.25">
      <c r="A29552" s="118"/>
      <c r="B29552" s="136"/>
    </row>
    <row r="29553" spans="1:2" x14ac:dyDescent="0.25">
      <c r="A29553" s="118"/>
      <c r="B29553" s="136"/>
    </row>
    <row r="29554" spans="1:2" x14ac:dyDescent="0.25">
      <c r="A29554" s="118"/>
      <c r="B29554" s="136"/>
    </row>
    <row r="29555" spans="1:2" x14ac:dyDescent="0.25">
      <c r="A29555" s="118"/>
      <c r="B29555" s="136"/>
    </row>
    <row r="29556" spans="1:2" x14ac:dyDescent="0.25">
      <c r="A29556" s="118"/>
      <c r="B29556" s="136"/>
    </row>
    <row r="29557" spans="1:2" x14ac:dyDescent="0.25">
      <c r="A29557" s="118"/>
      <c r="B29557" s="136"/>
    </row>
    <row r="29558" spans="1:2" x14ac:dyDescent="0.25">
      <c r="A29558" s="118"/>
      <c r="B29558" s="136"/>
    </row>
    <row r="29559" spans="1:2" x14ac:dyDescent="0.25">
      <c r="A29559" s="118"/>
      <c r="B29559" s="136"/>
    </row>
    <row r="29560" spans="1:2" x14ac:dyDescent="0.25">
      <c r="A29560" s="118"/>
      <c r="B29560" s="136"/>
    </row>
    <row r="29561" spans="1:2" x14ac:dyDescent="0.25">
      <c r="A29561" s="118"/>
      <c r="B29561" s="136"/>
    </row>
    <row r="29562" spans="1:2" x14ac:dyDescent="0.25">
      <c r="A29562" s="118"/>
      <c r="B29562" s="136"/>
    </row>
    <row r="29563" spans="1:2" x14ac:dyDescent="0.25">
      <c r="A29563" s="118"/>
      <c r="B29563" s="136"/>
    </row>
    <row r="29564" spans="1:2" x14ac:dyDescent="0.25">
      <c r="A29564" s="118"/>
      <c r="B29564" s="136"/>
    </row>
    <row r="29565" spans="1:2" x14ac:dyDescent="0.25">
      <c r="A29565" s="118"/>
      <c r="B29565" s="136"/>
    </row>
    <row r="29566" spans="1:2" x14ac:dyDescent="0.25">
      <c r="A29566" s="118"/>
      <c r="B29566" s="136"/>
    </row>
    <row r="29567" spans="1:2" x14ac:dyDescent="0.25">
      <c r="A29567" s="118"/>
      <c r="B29567" s="136"/>
    </row>
    <row r="29568" spans="1:2" x14ac:dyDescent="0.25">
      <c r="A29568" s="118"/>
      <c r="B29568" s="136"/>
    </row>
    <row r="29569" spans="1:2" x14ac:dyDescent="0.25">
      <c r="A29569" s="118"/>
      <c r="B29569" s="136"/>
    </row>
    <row r="29570" spans="1:2" x14ac:dyDescent="0.25">
      <c r="A29570" s="118"/>
      <c r="B29570" s="136"/>
    </row>
    <row r="29571" spans="1:2" x14ac:dyDescent="0.25">
      <c r="A29571" s="118"/>
      <c r="B29571" s="136"/>
    </row>
    <row r="29572" spans="1:2" x14ac:dyDescent="0.25">
      <c r="A29572" s="118"/>
      <c r="B29572" s="136"/>
    </row>
    <row r="29573" spans="1:2" x14ac:dyDescent="0.25">
      <c r="A29573" s="118"/>
      <c r="B29573" s="136"/>
    </row>
    <row r="29574" spans="1:2" x14ac:dyDescent="0.25">
      <c r="A29574" s="118"/>
      <c r="B29574" s="136"/>
    </row>
    <row r="29575" spans="1:2" x14ac:dyDescent="0.25">
      <c r="A29575" s="118"/>
      <c r="B29575" s="136"/>
    </row>
    <row r="29576" spans="1:2" x14ac:dyDescent="0.25">
      <c r="A29576" s="118"/>
      <c r="B29576" s="136"/>
    </row>
    <row r="29577" spans="1:2" x14ac:dyDescent="0.25">
      <c r="A29577" s="118"/>
      <c r="B29577" s="136"/>
    </row>
    <row r="29578" spans="1:2" x14ac:dyDescent="0.25">
      <c r="A29578" s="118"/>
      <c r="B29578" s="136"/>
    </row>
    <row r="29579" spans="1:2" x14ac:dyDescent="0.25">
      <c r="A29579" s="118"/>
      <c r="B29579" s="136"/>
    </row>
    <row r="29580" spans="1:2" x14ac:dyDescent="0.25">
      <c r="A29580" s="118"/>
      <c r="B29580" s="136"/>
    </row>
    <row r="29581" spans="1:2" x14ac:dyDescent="0.25">
      <c r="A29581" s="118"/>
      <c r="B29581" s="136"/>
    </row>
    <row r="29582" spans="1:2" x14ac:dyDescent="0.25">
      <c r="A29582" s="118"/>
      <c r="B29582" s="136"/>
    </row>
    <row r="29583" spans="1:2" x14ac:dyDescent="0.25">
      <c r="A29583" s="118"/>
      <c r="B29583" s="136"/>
    </row>
    <row r="29584" spans="1:2" x14ac:dyDescent="0.25">
      <c r="A29584" s="118"/>
      <c r="B29584" s="136"/>
    </row>
    <row r="29585" spans="1:2" x14ac:dyDescent="0.25">
      <c r="A29585" s="118"/>
      <c r="B29585" s="136"/>
    </row>
    <row r="29586" spans="1:2" x14ac:dyDescent="0.25">
      <c r="A29586" s="118"/>
      <c r="B29586" s="136"/>
    </row>
    <row r="29587" spans="1:2" x14ac:dyDescent="0.25">
      <c r="A29587" s="118"/>
      <c r="B29587" s="136"/>
    </row>
    <row r="29588" spans="1:2" x14ac:dyDescent="0.25">
      <c r="A29588" s="118"/>
      <c r="B29588" s="136"/>
    </row>
    <row r="29589" spans="1:2" x14ac:dyDescent="0.25">
      <c r="A29589" s="118"/>
      <c r="B29589" s="136"/>
    </row>
    <row r="29590" spans="1:2" x14ac:dyDescent="0.25">
      <c r="A29590" s="118"/>
      <c r="B29590" s="136"/>
    </row>
    <row r="29591" spans="1:2" x14ac:dyDescent="0.25">
      <c r="A29591" s="118"/>
      <c r="B29591" s="136"/>
    </row>
    <row r="29592" spans="1:2" x14ac:dyDescent="0.25">
      <c r="A29592" s="118"/>
      <c r="B29592" s="136"/>
    </row>
    <row r="29593" spans="1:2" x14ac:dyDescent="0.25">
      <c r="A29593" s="118"/>
      <c r="B29593" s="136"/>
    </row>
    <row r="29594" spans="1:2" x14ac:dyDescent="0.25">
      <c r="A29594" s="118"/>
      <c r="B29594" s="136"/>
    </row>
    <row r="29595" spans="1:2" x14ac:dyDescent="0.25">
      <c r="A29595" s="118"/>
      <c r="B29595" s="136"/>
    </row>
    <row r="29596" spans="1:2" x14ac:dyDescent="0.25">
      <c r="A29596" s="118"/>
      <c r="B29596" s="136"/>
    </row>
    <row r="29597" spans="1:2" x14ac:dyDescent="0.25">
      <c r="A29597" s="118"/>
      <c r="B29597" s="136"/>
    </row>
    <row r="29598" spans="1:2" x14ac:dyDescent="0.25">
      <c r="A29598" s="118"/>
      <c r="B29598" s="136"/>
    </row>
    <row r="29599" spans="1:2" x14ac:dyDescent="0.25">
      <c r="A29599" s="118"/>
      <c r="B29599" s="136"/>
    </row>
    <row r="29600" spans="1:2" x14ac:dyDescent="0.25">
      <c r="A29600" s="118"/>
      <c r="B29600" s="136"/>
    </row>
    <row r="29601" spans="1:2" x14ac:dyDescent="0.25">
      <c r="A29601" s="118"/>
      <c r="B29601" s="136"/>
    </row>
    <row r="29602" spans="1:2" x14ac:dyDescent="0.25">
      <c r="A29602" s="118"/>
      <c r="B29602" s="136"/>
    </row>
    <row r="29603" spans="1:2" x14ac:dyDescent="0.25">
      <c r="A29603" s="118"/>
      <c r="B29603" s="136"/>
    </row>
    <row r="29604" spans="1:2" x14ac:dyDescent="0.25">
      <c r="A29604" s="118"/>
      <c r="B29604" s="136"/>
    </row>
    <row r="29605" spans="1:2" x14ac:dyDescent="0.25">
      <c r="A29605" s="118"/>
      <c r="B29605" s="136"/>
    </row>
    <row r="29606" spans="1:2" x14ac:dyDescent="0.25">
      <c r="A29606" s="118"/>
      <c r="B29606" s="136"/>
    </row>
    <row r="29607" spans="1:2" x14ac:dyDescent="0.25">
      <c r="A29607" s="118"/>
      <c r="B29607" s="136"/>
    </row>
    <row r="29608" spans="1:2" x14ac:dyDescent="0.25">
      <c r="A29608" s="118"/>
      <c r="B29608" s="136"/>
    </row>
    <row r="29609" spans="1:2" x14ac:dyDescent="0.25">
      <c r="A29609" s="118"/>
      <c r="B29609" s="136"/>
    </row>
    <row r="29610" spans="1:2" x14ac:dyDescent="0.25">
      <c r="A29610" s="118"/>
      <c r="B29610" s="136"/>
    </row>
    <row r="29611" spans="1:2" x14ac:dyDescent="0.25">
      <c r="A29611" s="118"/>
      <c r="B29611" s="136"/>
    </row>
    <row r="29612" spans="1:2" x14ac:dyDescent="0.25">
      <c r="A29612" s="118"/>
      <c r="B29612" s="136"/>
    </row>
    <row r="29613" spans="1:2" x14ac:dyDescent="0.25">
      <c r="A29613" s="118"/>
      <c r="B29613" s="136"/>
    </row>
    <row r="29614" spans="1:2" x14ac:dyDescent="0.25">
      <c r="A29614" s="118"/>
      <c r="B29614" s="136"/>
    </row>
    <row r="29615" spans="1:2" x14ac:dyDescent="0.25">
      <c r="A29615" s="118"/>
      <c r="B29615" s="136"/>
    </row>
    <row r="29616" spans="1:2" x14ac:dyDescent="0.25">
      <c r="A29616" s="118"/>
      <c r="B29616" s="136"/>
    </row>
    <row r="29617" spans="1:2" x14ac:dyDescent="0.25">
      <c r="A29617" s="118"/>
      <c r="B29617" s="136"/>
    </row>
    <row r="29618" spans="1:2" x14ac:dyDescent="0.25">
      <c r="A29618" s="118"/>
      <c r="B29618" s="136"/>
    </row>
    <row r="29619" spans="1:2" x14ac:dyDescent="0.25">
      <c r="A29619" s="118"/>
      <c r="B29619" s="136"/>
    </row>
    <row r="29620" spans="1:2" x14ac:dyDescent="0.25">
      <c r="A29620" s="118"/>
      <c r="B29620" s="136"/>
    </row>
    <row r="29621" spans="1:2" x14ac:dyDescent="0.25">
      <c r="A29621" s="118"/>
      <c r="B29621" s="136"/>
    </row>
    <row r="29622" spans="1:2" x14ac:dyDescent="0.25">
      <c r="A29622" s="118"/>
      <c r="B29622" s="136"/>
    </row>
    <row r="29623" spans="1:2" x14ac:dyDescent="0.25">
      <c r="A29623" s="118"/>
      <c r="B29623" s="136"/>
    </row>
    <row r="29624" spans="1:2" x14ac:dyDescent="0.25">
      <c r="A29624" s="118"/>
      <c r="B29624" s="136"/>
    </row>
    <row r="29625" spans="1:2" x14ac:dyDescent="0.25">
      <c r="A29625" s="118"/>
      <c r="B29625" s="136"/>
    </row>
    <row r="29626" spans="1:2" x14ac:dyDescent="0.25">
      <c r="A29626" s="118"/>
      <c r="B29626" s="136"/>
    </row>
    <row r="29627" spans="1:2" x14ac:dyDescent="0.25">
      <c r="A29627" s="118"/>
      <c r="B29627" s="136"/>
    </row>
    <row r="29628" spans="1:2" x14ac:dyDescent="0.25">
      <c r="A29628" s="118"/>
      <c r="B29628" s="136"/>
    </row>
    <row r="29629" spans="1:2" x14ac:dyDescent="0.25">
      <c r="A29629" s="118"/>
      <c r="B29629" s="136"/>
    </row>
    <row r="29630" spans="1:2" x14ac:dyDescent="0.25">
      <c r="A29630" s="118"/>
      <c r="B29630" s="136"/>
    </row>
    <row r="29631" spans="1:2" x14ac:dyDescent="0.25">
      <c r="A29631" s="118"/>
      <c r="B29631" s="136"/>
    </row>
    <row r="29632" spans="1:2" x14ac:dyDescent="0.25">
      <c r="A29632" s="118"/>
      <c r="B29632" s="136"/>
    </row>
    <row r="29633" spans="1:2" x14ac:dyDescent="0.25">
      <c r="A29633" s="118"/>
      <c r="B29633" s="136"/>
    </row>
    <row r="29634" spans="1:2" x14ac:dyDescent="0.25">
      <c r="A29634" s="118"/>
      <c r="B29634" s="136"/>
    </row>
    <row r="29635" spans="1:2" x14ac:dyDescent="0.25">
      <c r="A29635" s="118"/>
      <c r="B29635" s="136"/>
    </row>
    <row r="29636" spans="1:2" x14ac:dyDescent="0.25">
      <c r="A29636" s="118"/>
      <c r="B29636" s="136"/>
    </row>
    <row r="29637" spans="1:2" x14ac:dyDescent="0.25">
      <c r="A29637" s="118"/>
      <c r="B29637" s="136"/>
    </row>
    <row r="29638" spans="1:2" x14ac:dyDescent="0.25">
      <c r="A29638" s="118"/>
      <c r="B29638" s="136"/>
    </row>
    <row r="29639" spans="1:2" x14ac:dyDescent="0.25">
      <c r="A29639" s="118"/>
      <c r="B29639" s="136"/>
    </row>
    <row r="29640" spans="1:2" x14ac:dyDescent="0.25">
      <c r="A29640" s="118"/>
      <c r="B29640" s="136"/>
    </row>
    <row r="29641" spans="1:2" x14ac:dyDescent="0.25">
      <c r="A29641" s="118"/>
      <c r="B29641" s="136"/>
    </row>
    <row r="29642" spans="1:2" x14ac:dyDescent="0.25">
      <c r="A29642" s="118"/>
      <c r="B29642" s="136"/>
    </row>
    <row r="29643" spans="1:2" x14ac:dyDescent="0.25">
      <c r="A29643" s="118"/>
      <c r="B29643" s="136"/>
    </row>
    <row r="29644" spans="1:2" x14ac:dyDescent="0.25">
      <c r="A29644" s="118"/>
      <c r="B29644" s="136"/>
    </row>
    <row r="29645" spans="1:2" x14ac:dyDescent="0.25">
      <c r="A29645" s="118"/>
      <c r="B29645" s="136"/>
    </row>
    <row r="29646" spans="1:2" x14ac:dyDescent="0.25">
      <c r="A29646" s="118"/>
      <c r="B29646" s="136"/>
    </row>
    <row r="29647" spans="1:2" x14ac:dyDescent="0.25">
      <c r="A29647" s="118"/>
      <c r="B29647" s="136"/>
    </row>
    <row r="29648" spans="1:2" x14ac:dyDescent="0.25">
      <c r="A29648" s="118"/>
      <c r="B29648" s="136"/>
    </row>
    <row r="29649" spans="1:2" x14ac:dyDescent="0.25">
      <c r="A29649" s="118"/>
      <c r="B29649" s="136"/>
    </row>
    <row r="29650" spans="1:2" x14ac:dyDescent="0.25">
      <c r="A29650" s="118"/>
      <c r="B29650" s="136"/>
    </row>
    <row r="29651" spans="1:2" x14ac:dyDescent="0.25">
      <c r="A29651" s="118"/>
      <c r="B29651" s="136"/>
    </row>
    <row r="29652" spans="1:2" x14ac:dyDescent="0.25">
      <c r="A29652" s="118"/>
      <c r="B29652" s="136"/>
    </row>
    <row r="29653" spans="1:2" x14ac:dyDescent="0.25">
      <c r="A29653" s="118"/>
      <c r="B29653" s="136"/>
    </row>
    <row r="29654" spans="1:2" x14ac:dyDescent="0.25">
      <c r="A29654" s="118"/>
      <c r="B29654" s="136"/>
    </row>
    <row r="29655" spans="1:2" x14ac:dyDescent="0.25">
      <c r="A29655" s="118"/>
      <c r="B29655" s="136"/>
    </row>
    <row r="29656" spans="1:2" x14ac:dyDescent="0.25">
      <c r="A29656" s="118"/>
      <c r="B29656" s="136"/>
    </row>
    <row r="29657" spans="1:2" x14ac:dyDescent="0.25">
      <c r="A29657" s="118"/>
      <c r="B29657" s="136"/>
    </row>
    <row r="29658" spans="1:2" x14ac:dyDescent="0.25">
      <c r="A29658" s="118"/>
      <c r="B29658" s="136"/>
    </row>
    <row r="29659" spans="1:2" x14ac:dyDescent="0.25">
      <c r="A29659" s="118"/>
      <c r="B29659" s="136"/>
    </row>
    <row r="29660" spans="1:2" x14ac:dyDescent="0.25">
      <c r="A29660" s="118"/>
      <c r="B29660" s="136"/>
    </row>
    <row r="29661" spans="1:2" x14ac:dyDescent="0.25">
      <c r="A29661" s="118"/>
      <c r="B29661" s="136"/>
    </row>
    <row r="29662" spans="1:2" x14ac:dyDescent="0.25">
      <c r="A29662" s="118"/>
      <c r="B29662" s="136"/>
    </row>
    <row r="29663" spans="1:2" x14ac:dyDescent="0.25">
      <c r="A29663" s="118"/>
      <c r="B29663" s="136"/>
    </row>
    <row r="29664" spans="1:2" x14ac:dyDescent="0.25">
      <c r="A29664" s="118"/>
      <c r="B29664" s="136"/>
    </row>
    <row r="29665" spans="1:2" x14ac:dyDescent="0.25">
      <c r="A29665" s="118"/>
      <c r="B29665" s="136"/>
    </row>
    <row r="29666" spans="1:2" x14ac:dyDescent="0.25">
      <c r="A29666" s="118"/>
      <c r="B29666" s="136"/>
    </row>
    <row r="29667" spans="1:2" x14ac:dyDescent="0.25">
      <c r="A29667" s="118"/>
      <c r="B29667" s="136"/>
    </row>
    <row r="29668" spans="1:2" x14ac:dyDescent="0.25">
      <c r="A29668" s="118"/>
      <c r="B29668" s="136"/>
    </row>
    <row r="29669" spans="1:2" x14ac:dyDescent="0.25">
      <c r="A29669" s="118"/>
      <c r="B29669" s="136"/>
    </row>
    <row r="29670" spans="1:2" x14ac:dyDescent="0.25">
      <c r="A29670" s="118"/>
      <c r="B29670" s="136"/>
    </row>
    <row r="29671" spans="1:2" x14ac:dyDescent="0.25">
      <c r="A29671" s="118"/>
      <c r="B29671" s="136"/>
    </row>
    <row r="29672" spans="1:2" x14ac:dyDescent="0.25">
      <c r="A29672" s="118"/>
      <c r="B29672" s="136"/>
    </row>
    <row r="29673" spans="1:2" x14ac:dyDescent="0.25">
      <c r="A29673" s="118"/>
      <c r="B29673" s="136"/>
    </row>
    <row r="29674" spans="1:2" x14ac:dyDescent="0.25">
      <c r="A29674" s="118"/>
      <c r="B29674" s="136"/>
    </row>
    <row r="29675" spans="1:2" x14ac:dyDescent="0.25">
      <c r="A29675" s="118"/>
      <c r="B29675" s="136"/>
    </row>
    <row r="29676" spans="1:2" x14ac:dyDescent="0.25">
      <c r="A29676" s="118"/>
      <c r="B29676" s="136"/>
    </row>
    <row r="29677" spans="1:2" x14ac:dyDescent="0.25">
      <c r="A29677" s="118"/>
      <c r="B29677" s="136"/>
    </row>
    <row r="29678" spans="1:2" x14ac:dyDescent="0.25">
      <c r="A29678" s="118"/>
      <c r="B29678" s="136"/>
    </row>
    <row r="29679" spans="1:2" x14ac:dyDescent="0.25">
      <c r="A29679" s="118"/>
      <c r="B29679" s="136"/>
    </row>
    <row r="29680" spans="1:2" x14ac:dyDescent="0.25">
      <c r="A29680" s="118"/>
      <c r="B29680" s="136"/>
    </row>
    <row r="29681" spans="1:2" x14ac:dyDescent="0.25">
      <c r="A29681" s="118"/>
      <c r="B29681" s="136"/>
    </row>
    <row r="29682" spans="1:2" x14ac:dyDescent="0.25">
      <c r="A29682" s="118"/>
      <c r="B29682" s="136"/>
    </row>
    <row r="29683" spans="1:2" x14ac:dyDescent="0.25">
      <c r="A29683" s="118"/>
      <c r="B29683" s="136"/>
    </row>
    <row r="29684" spans="1:2" x14ac:dyDescent="0.25">
      <c r="A29684" s="118"/>
      <c r="B29684" s="136"/>
    </row>
    <row r="29685" spans="1:2" x14ac:dyDescent="0.25">
      <c r="A29685" s="118"/>
      <c r="B29685" s="136"/>
    </row>
    <row r="29686" spans="1:2" x14ac:dyDescent="0.25">
      <c r="A29686" s="118"/>
      <c r="B29686" s="136"/>
    </row>
    <row r="29687" spans="1:2" x14ac:dyDescent="0.25">
      <c r="A29687" s="118"/>
      <c r="B29687" s="136"/>
    </row>
    <row r="29688" spans="1:2" x14ac:dyDescent="0.25">
      <c r="A29688" s="118"/>
      <c r="B29688" s="136"/>
    </row>
    <row r="29689" spans="1:2" x14ac:dyDescent="0.25">
      <c r="A29689" s="118"/>
      <c r="B29689" s="136"/>
    </row>
    <row r="29690" spans="1:2" x14ac:dyDescent="0.25">
      <c r="A29690" s="118"/>
      <c r="B29690" s="136"/>
    </row>
    <row r="29691" spans="1:2" x14ac:dyDescent="0.25">
      <c r="A29691" s="118"/>
      <c r="B29691" s="136"/>
    </row>
    <row r="29692" spans="1:2" x14ac:dyDescent="0.25">
      <c r="A29692" s="118"/>
      <c r="B29692" s="136"/>
    </row>
    <row r="29693" spans="1:2" x14ac:dyDescent="0.25">
      <c r="A29693" s="118"/>
      <c r="B29693" s="136"/>
    </row>
    <row r="29694" spans="1:2" x14ac:dyDescent="0.25">
      <c r="A29694" s="118"/>
      <c r="B29694" s="136"/>
    </row>
    <row r="29695" spans="1:2" x14ac:dyDescent="0.25">
      <c r="A29695" s="118"/>
      <c r="B29695" s="136"/>
    </row>
    <row r="29696" spans="1:2" x14ac:dyDescent="0.25">
      <c r="A29696" s="118"/>
      <c r="B29696" s="136"/>
    </row>
    <row r="29697" spans="1:2" x14ac:dyDescent="0.25">
      <c r="A29697" s="118"/>
      <c r="B29697" s="136"/>
    </row>
    <row r="29698" spans="1:2" x14ac:dyDescent="0.25">
      <c r="A29698" s="118"/>
      <c r="B29698" s="136"/>
    </row>
    <row r="29699" spans="1:2" x14ac:dyDescent="0.25">
      <c r="A29699" s="118"/>
      <c r="B29699" s="136"/>
    </row>
    <row r="29700" spans="1:2" x14ac:dyDescent="0.25">
      <c r="A29700" s="118"/>
      <c r="B29700" s="136"/>
    </row>
    <row r="29701" spans="1:2" x14ac:dyDescent="0.25">
      <c r="A29701" s="118"/>
      <c r="B29701" s="136"/>
    </row>
    <row r="29702" spans="1:2" x14ac:dyDescent="0.25">
      <c r="A29702" s="118"/>
      <c r="B29702" s="136"/>
    </row>
    <row r="29703" spans="1:2" x14ac:dyDescent="0.25">
      <c r="A29703" s="118"/>
      <c r="B29703" s="136"/>
    </row>
    <row r="29704" spans="1:2" x14ac:dyDescent="0.25">
      <c r="A29704" s="118"/>
      <c r="B29704" s="136"/>
    </row>
    <row r="29705" spans="1:2" x14ac:dyDescent="0.25">
      <c r="A29705" s="118"/>
      <c r="B29705" s="136"/>
    </row>
    <row r="29706" spans="1:2" x14ac:dyDescent="0.25">
      <c r="A29706" s="118"/>
      <c r="B29706" s="136"/>
    </row>
    <row r="29707" spans="1:2" x14ac:dyDescent="0.25">
      <c r="A29707" s="118"/>
      <c r="B29707" s="136"/>
    </row>
    <row r="29708" spans="1:2" x14ac:dyDescent="0.25">
      <c r="A29708" s="118"/>
      <c r="B29708" s="136"/>
    </row>
    <row r="29709" spans="1:2" x14ac:dyDescent="0.25">
      <c r="A29709" s="118"/>
      <c r="B29709" s="136"/>
    </row>
    <row r="29710" spans="1:2" x14ac:dyDescent="0.25">
      <c r="A29710" s="118"/>
      <c r="B29710" s="136"/>
    </row>
    <row r="29711" spans="1:2" x14ac:dyDescent="0.25">
      <c r="A29711" s="118"/>
      <c r="B29711" s="136"/>
    </row>
    <row r="29712" spans="1:2" x14ac:dyDescent="0.25">
      <c r="A29712" s="118"/>
      <c r="B29712" s="136"/>
    </row>
    <row r="29713" spans="1:2" x14ac:dyDescent="0.25">
      <c r="A29713" s="118"/>
      <c r="B29713" s="136"/>
    </row>
    <row r="29714" spans="1:2" x14ac:dyDescent="0.25">
      <c r="A29714" s="118"/>
      <c r="B29714" s="136"/>
    </row>
    <row r="29715" spans="1:2" x14ac:dyDescent="0.25">
      <c r="A29715" s="118"/>
      <c r="B29715" s="136"/>
    </row>
    <row r="29716" spans="1:2" x14ac:dyDescent="0.25">
      <c r="A29716" s="118"/>
      <c r="B29716" s="136"/>
    </row>
    <row r="29717" spans="1:2" x14ac:dyDescent="0.25">
      <c r="A29717" s="118"/>
      <c r="B29717" s="136"/>
    </row>
    <row r="29718" spans="1:2" x14ac:dyDescent="0.25">
      <c r="A29718" s="118"/>
      <c r="B29718" s="136"/>
    </row>
    <row r="29719" spans="1:2" x14ac:dyDescent="0.25">
      <c r="A29719" s="118"/>
      <c r="B29719" s="136"/>
    </row>
    <row r="29720" spans="1:2" x14ac:dyDescent="0.25">
      <c r="A29720" s="118"/>
      <c r="B29720" s="136"/>
    </row>
    <row r="29721" spans="1:2" x14ac:dyDescent="0.25">
      <c r="A29721" s="118"/>
      <c r="B29721" s="136"/>
    </row>
    <row r="29722" spans="1:2" x14ac:dyDescent="0.25">
      <c r="A29722" s="118"/>
      <c r="B29722" s="136"/>
    </row>
    <row r="29723" spans="1:2" x14ac:dyDescent="0.25">
      <c r="A29723" s="118"/>
      <c r="B29723" s="136"/>
    </row>
    <row r="29724" spans="1:2" x14ac:dyDescent="0.25">
      <c r="A29724" s="118"/>
      <c r="B29724" s="136"/>
    </row>
    <row r="29725" spans="1:2" x14ac:dyDescent="0.25">
      <c r="A29725" s="118"/>
      <c r="B29725" s="136"/>
    </row>
    <row r="29726" spans="1:2" x14ac:dyDescent="0.25">
      <c r="A29726" s="118"/>
      <c r="B29726" s="136"/>
    </row>
    <row r="29727" spans="1:2" x14ac:dyDescent="0.25">
      <c r="A29727" s="118"/>
      <c r="B29727" s="136"/>
    </row>
    <row r="29728" spans="1:2" x14ac:dyDescent="0.25">
      <c r="A29728" s="118"/>
      <c r="B29728" s="136"/>
    </row>
    <row r="29729" spans="1:2" x14ac:dyDescent="0.25">
      <c r="A29729" s="118"/>
      <c r="B29729" s="136"/>
    </row>
    <row r="29730" spans="1:2" x14ac:dyDescent="0.25">
      <c r="A29730" s="118"/>
      <c r="B29730" s="136"/>
    </row>
    <row r="29731" spans="1:2" x14ac:dyDescent="0.25">
      <c r="A29731" s="118"/>
      <c r="B29731" s="136"/>
    </row>
    <row r="29732" spans="1:2" x14ac:dyDescent="0.25">
      <c r="A29732" s="118"/>
      <c r="B29732" s="136"/>
    </row>
    <row r="29733" spans="1:2" x14ac:dyDescent="0.25">
      <c r="A29733" s="118"/>
      <c r="B29733" s="136"/>
    </row>
    <row r="29734" spans="1:2" x14ac:dyDescent="0.25">
      <c r="A29734" s="118"/>
      <c r="B29734" s="136"/>
    </row>
    <row r="29735" spans="1:2" x14ac:dyDescent="0.25">
      <c r="A29735" s="118"/>
      <c r="B29735" s="136"/>
    </row>
    <row r="29736" spans="1:2" x14ac:dyDescent="0.25">
      <c r="A29736" s="118"/>
      <c r="B29736" s="136"/>
    </row>
    <row r="29737" spans="1:2" x14ac:dyDescent="0.25">
      <c r="A29737" s="118"/>
      <c r="B29737" s="136"/>
    </row>
    <row r="29738" spans="1:2" x14ac:dyDescent="0.25">
      <c r="A29738" s="118"/>
      <c r="B29738" s="136"/>
    </row>
    <row r="29739" spans="1:2" x14ac:dyDescent="0.25">
      <c r="A29739" s="118"/>
      <c r="B29739" s="136"/>
    </row>
    <row r="29740" spans="1:2" x14ac:dyDescent="0.25">
      <c r="A29740" s="118"/>
      <c r="B29740" s="136"/>
    </row>
    <row r="29741" spans="1:2" x14ac:dyDescent="0.25">
      <c r="A29741" s="118"/>
      <c r="B29741" s="136"/>
    </row>
    <row r="29742" spans="1:2" x14ac:dyDescent="0.25">
      <c r="A29742" s="118"/>
      <c r="B29742" s="136"/>
    </row>
    <row r="29743" spans="1:2" x14ac:dyDescent="0.25">
      <c r="A29743" s="118"/>
      <c r="B29743" s="136"/>
    </row>
    <row r="29744" spans="1:2" x14ac:dyDescent="0.25">
      <c r="A29744" s="118"/>
      <c r="B29744" s="136"/>
    </row>
    <row r="29745" spans="1:2" x14ac:dyDescent="0.25">
      <c r="A29745" s="118"/>
      <c r="B29745" s="136"/>
    </row>
    <row r="29746" spans="1:2" x14ac:dyDescent="0.25">
      <c r="A29746" s="118"/>
      <c r="B29746" s="136"/>
    </row>
    <row r="29747" spans="1:2" x14ac:dyDescent="0.25">
      <c r="A29747" s="118"/>
      <c r="B29747" s="136"/>
    </row>
    <row r="29748" spans="1:2" x14ac:dyDescent="0.25">
      <c r="A29748" s="118"/>
      <c r="B29748" s="136"/>
    </row>
    <row r="29749" spans="1:2" x14ac:dyDescent="0.25">
      <c r="A29749" s="118"/>
      <c r="B29749" s="136"/>
    </row>
    <row r="29750" spans="1:2" x14ac:dyDescent="0.25">
      <c r="A29750" s="118"/>
      <c r="B29750" s="136"/>
    </row>
    <row r="29751" spans="1:2" x14ac:dyDescent="0.25">
      <c r="A29751" s="118"/>
      <c r="B29751" s="136"/>
    </row>
    <row r="29752" spans="1:2" x14ac:dyDescent="0.25">
      <c r="A29752" s="118"/>
      <c r="B29752" s="136"/>
    </row>
    <row r="29753" spans="1:2" x14ac:dyDescent="0.25">
      <c r="A29753" s="118"/>
      <c r="B29753" s="136"/>
    </row>
    <row r="29754" spans="1:2" x14ac:dyDescent="0.25">
      <c r="A29754" s="118"/>
      <c r="B29754" s="136"/>
    </row>
    <row r="29755" spans="1:2" x14ac:dyDescent="0.25">
      <c r="A29755" s="118"/>
      <c r="B29755" s="136"/>
    </row>
    <row r="29756" spans="1:2" x14ac:dyDescent="0.25">
      <c r="A29756" s="118"/>
      <c r="B29756" s="136"/>
    </row>
    <row r="29757" spans="1:2" x14ac:dyDescent="0.25">
      <c r="A29757" s="118"/>
      <c r="B29757" s="136"/>
    </row>
    <row r="29758" spans="1:2" x14ac:dyDescent="0.25">
      <c r="A29758" s="118"/>
      <c r="B29758" s="136"/>
    </row>
    <row r="29759" spans="1:2" x14ac:dyDescent="0.25">
      <c r="A29759" s="118"/>
      <c r="B29759" s="136"/>
    </row>
    <row r="29760" spans="1:2" x14ac:dyDescent="0.25">
      <c r="A29760" s="118"/>
      <c r="B29760" s="136"/>
    </row>
    <row r="29761" spans="1:2" x14ac:dyDescent="0.25">
      <c r="A29761" s="118"/>
      <c r="B29761" s="136"/>
    </row>
    <row r="29762" spans="1:2" x14ac:dyDescent="0.25">
      <c r="A29762" s="118"/>
      <c r="B29762" s="136"/>
    </row>
    <row r="29763" spans="1:2" x14ac:dyDescent="0.25">
      <c r="A29763" s="118"/>
      <c r="B29763" s="136"/>
    </row>
    <row r="29764" spans="1:2" x14ac:dyDescent="0.25">
      <c r="A29764" s="118"/>
      <c r="B29764" s="136"/>
    </row>
    <row r="29765" spans="1:2" x14ac:dyDescent="0.25">
      <c r="A29765" s="118"/>
      <c r="B29765" s="136"/>
    </row>
    <row r="29766" spans="1:2" x14ac:dyDescent="0.25">
      <c r="A29766" s="118"/>
      <c r="B29766" s="136"/>
    </row>
    <row r="29767" spans="1:2" x14ac:dyDescent="0.25">
      <c r="A29767" s="118"/>
      <c r="B29767" s="136"/>
    </row>
    <row r="29768" spans="1:2" x14ac:dyDescent="0.25">
      <c r="A29768" s="118"/>
      <c r="B29768" s="136"/>
    </row>
    <row r="29769" spans="1:2" x14ac:dyDescent="0.25">
      <c r="A29769" s="118"/>
      <c r="B29769" s="136"/>
    </row>
    <row r="29770" spans="1:2" x14ac:dyDescent="0.25">
      <c r="A29770" s="118"/>
      <c r="B29770" s="136"/>
    </row>
    <row r="29771" spans="1:2" x14ac:dyDescent="0.25">
      <c r="A29771" s="118"/>
      <c r="B29771" s="136"/>
    </row>
    <row r="29772" spans="1:2" x14ac:dyDescent="0.25">
      <c r="A29772" s="118"/>
      <c r="B29772" s="136"/>
    </row>
    <row r="29773" spans="1:2" x14ac:dyDescent="0.25">
      <c r="A29773" s="118"/>
      <c r="B29773" s="136"/>
    </row>
    <row r="29774" spans="1:2" x14ac:dyDescent="0.25">
      <c r="A29774" s="118"/>
      <c r="B29774" s="136"/>
    </row>
    <row r="29775" spans="1:2" x14ac:dyDescent="0.25">
      <c r="A29775" s="118"/>
      <c r="B29775" s="136"/>
    </row>
    <row r="29776" spans="1:2" x14ac:dyDescent="0.25">
      <c r="A29776" s="118"/>
      <c r="B29776" s="136"/>
    </row>
    <row r="29777" spans="1:2" x14ac:dyDescent="0.25">
      <c r="A29777" s="118"/>
      <c r="B29777" s="136"/>
    </row>
    <row r="29778" spans="1:2" x14ac:dyDescent="0.25">
      <c r="A29778" s="118"/>
      <c r="B29778" s="136"/>
    </row>
    <row r="29779" spans="1:2" x14ac:dyDescent="0.25">
      <c r="A29779" s="118"/>
      <c r="B29779" s="136"/>
    </row>
    <row r="29780" spans="1:2" x14ac:dyDescent="0.25">
      <c r="A29780" s="118"/>
      <c r="B29780" s="136"/>
    </row>
    <row r="29781" spans="1:2" x14ac:dyDescent="0.25">
      <c r="A29781" s="118"/>
      <c r="B29781" s="136"/>
    </row>
    <row r="29782" spans="1:2" x14ac:dyDescent="0.25">
      <c r="A29782" s="118"/>
      <c r="B29782" s="136"/>
    </row>
    <row r="29783" spans="1:2" x14ac:dyDescent="0.25">
      <c r="A29783" s="118"/>
      <c r="B29783" s="136"/>
    </row>
    <row r="29784" spans="1:2" x14ac:dyDescent="0.25">
      <c r="A29784" s="118"/>
      <c r="B29784" s="136"/>
    </row>
    <row r="29785" spans="1:2" x14ac:dyDescent="0.25">
      <c r="A29785" s="118"/>
      <c r="B29785" s="136"/>
    </row>
    <row r="29786" spans="1:2" x14ac:dyDescent="0.25">
      <c r="A29786" s="118"/>
      <c r="B29786" s="136"/>
    </row>
    <row r="29787" spans="1:2" x14ac:dyDescent="0.25">
      <c r="A29787" s="118"/>
      <c r="B29787" s="136"/>
    </row>
    <row r="29788" spans="1:2" x14ac:dyDescent="0.25">
      <c r="A29788" s="118"/>
      <c r="B29788" s="136"/>
    </row>
    <row r="29789" spans="1:2" x14ac:dyDescent="0.25">
      <c r="A29789" s="118"/>
      <c r="B29789" s="136"/>
    </row>
    <row r="29790" spans="1:2" x14ac:dyDescent="0.25">
      <c r="A29790" s="118"/>
      <c r="B29790" s="136"/>
    </row>
    <row r="29791" spans="1:2" x14ac:dyDescent="0.25">
      <c r="A29791" s="118"/>
      <c r="B29791" s="136"/>
    </row>
    <row r="29792" spans="1:2" x14ac:dyDescent="0.25">
      <c r="A29792" s="118"/>
      <c r="B29792" s="136"/>
    </row>
    <row r="29793" spans="1:2" x14ac:dyDescent="0.25">
      <c r="A29793" s="118"/>
      <c r="B29793" s="136"/>
    </row>
    <row r="29794" spans="1:2" x14ac:dyDescent="0.25">
      <c r="A29794" s="118"/>
      <c r="B29794" s="136"/>
    </row>
    <row r="29795" spans="1:2" x14ac:dyDescent="0.25">
      <c r="A29795" s="118"/>
      <c r="B29795" s="136"/>
    </row>
    <row r="29796" spans="1:2" x14ac:dyDescent="0.25">
      <c r="A29796" s="118"/>
      <c r="B29796" s="136"/>
    </row>
    <row r="29797" spans="1:2" x14ac:dyDescent="0.25">
      <c r="A29797" s="118"/>
      <c r="B29797" s="136"/>
    </row>
    <row r="29798" spans="1:2" x14ac:dyDescent="0.25">
      <c r="A29798" s="118"/>
      <c r="B29798" s="136"/>
    </row>
    <row r="29799" spans="1:2" x14ac:dyDescent="0.25">
      <c r="A29799" s="118"/>
      <c r="B29799" s="136"/>
    </row>
    <row r="29800" spans="1:2" x14ac:dyDescent="0.25">
      <c r="A29800" s="118"/>
      <c r="B29800" s="136"/>
    </row>
    <row r="29801" spans="1:2" x14ac:dyDescent="0.25">
      <c r="A29801" s="118"/>
      <c r="B29801" s="136"/>
    </row>
    <row r="29802" spans="1:2" x14ac:dyDescent="0.25">
      <c r="A29802" s="118"/>
      <c r="B29802" s="136"/>
    </row>
    <row r="29803" spans="1:2" x14ac:dyDescent="0.25">
      <c r="A29803" s="118"/>
      <c r="B29803" s="136"/>
    </row>
    <row r="29804" spans="1:2" x14ac:dyDescent="0.25">
      <c r="A29804" s="118"/>
      <c r="B29804" s="136"/>
    </row>
    <row r="29805" spans="1:2" x14ac:dyDescent="0.25">
      <c r="A29805" s="118"/>
      <c r="B29805" s="136"/>
    </row>
    <row r="29806" spans="1:2" x14ac:dyDescent="0.25">
      <c r="A29806" s="118"/>
      <c r="B29806" s="136"/>
    </row>
    <row r="29807" spans="1:2" x14ac:dyDescent="0.25">
      <c r="A29807" s="118"/>
      <c r="B29807" s="136"/>
    </row>
    <row r="29808" spans="1:2" x14ac:dyDescent="0.25">
      <c r="A29808" s="118"/>
      <c r="B29808" s="136"/>
    </row>
    <row r="29809" spans="1:2" x14ac:dyDescent="0.25">
      <c r="A29809" s="118"/>
      <c r="B29809" s="136"/>
    </row>
    <row r="29810" spans="1:2" x14ac:dyDescent="0.25">
      <c r="A29810" s="118"/>
      <c r="B29810" s="136"/>
    </row>
    <row r="29811" spans="1:2" x14ac:dyDescent="0.25">
      <c r="A29811" s="118"/>
      <c r="B29811" s="136"/>
    </row>
    <row r="29812" spans="1:2" x14ac:dyDescent="0.25">
      <c r="A29812" s="118"/>
      <c r="B29812" s="136"/>
    </row>
    <row r="29813" spans="1:2" x14ac:dyDescent="0.25">
      <c r="A29813" s="118"/>
      <c r="B29813" s="136"/>
    </row>
    <row r="29814" spans="1:2" x14ac:dyDescent="0.25">
      <c r="A29814" s="118"/>
      <c r="B29814" s="136"/>
    </row>
    <row r="29815" spans="1:2" x14ac:dyDescent="0.25">
      <c r="A29815" s="118"/>
      <c r="B29815" s="136"/>
    </row>
    <row r="29816" spans="1:2" x14ac:dyDescent="0.25">
      <c r="A29816" s="118"/>
      <c r="B29816" s="136"/>
    </row>
    <row r="29817" spans="1:2" x14ac:dyDescent="0.25">
      <c r="A29817" s="118"/>
      <c r="B29817" s="136"/>
    </row>
    <row r="29818" spans="1:2" x14ac:dyDescent="0.25">
      <c r="A29818" s="118"/>
      <c r="B29818" s="136"/>
    </row>
    <row r="29819" spans="1:2" x14ac:dyDescent="0.25">
      <c r="A29819" s="118"/>
      <c r="B29819" s="136"/>
    </row>
    <row r="29820" spans="1:2" x14ac:dyDescent="0.25">
      <c r="A29820" s="118"/>
      <c r="B29820" s="136"/>
    </row>
    <row r="29821" spans="1:2" x14ac:dyDescent="0.25">
      <c r="A29821" s="118"/>
      <c r="B29821" s="136"/>
    </row>
    <row r="29822" spans="1:2" x14ac:dyDescent="0.25">
      <c r="A29822" s="118"/>
      <c r="B29822" s="136"/>
    </row>
    <row r="29823" spans="1:2" x14ac:dyDescent="0.25">
      <c r="A29823" s="118"/>
      <c r="B29823" s="136"/>
    </row>
    <row r="29824" spans="1:2" x14ac:dyDescent="0.25">
      <c r="A29824" s="118"/>
      <c r="B29824" s="136"/>
    </row>
    <row r="29825" spans="1:2" x14ac:dyDescent="0.25">
      <c r="A29825" s="118"/>
      <c r="B29825" s="136"/>
    </row>
    <row r="29826" spans="1:2" x14ac:dyDescent="0.25">
      <c r="A29826" s="118"/>
      <c r="B29826" s="136"/>
    </row>
    <row r="29827" spans="1:2" x14ac:dyDescent="0.25">
      <c r="A29827" s="118"/>
      <c r="B29827" s="136"/>
    </row>
    <row r="29828" spans="1:2" x14ac:dyDescent="0.25">
      <c r="A29828" s="118"/>
      <c r="B29828" s="136"/>
    </row>
    <row r="29829" spans="1:2" x14ac:dyDescent="0.25">
      <c r="A29829" s="118"/>
      <c r="B29829" s="136"/>
    </row>
    <row r="29830" spans="1:2" x14ac:dyDescent="0.25">
      <c r="A29830" s="118"/>
      <c r="B29830" s="136"/>
    </row>
    <row r="29831" spans="1:2" x14ac:dyDescent="0.25">
      <c r="A29831" s="118"/>
      <c r="B29831" s="136"/>
    </row>
    <row r="29832" spans="1:2" x14ac:dyDescent="0.25">
      <c r="A29832" s="118"/>
      <c r="B29832" s="136"/>
    </row>
    <row r="29833" spans="1:2" x14ac:dyDescent="0.25">
      <c r="A29833" s="118"/>
      <c r="B29833" s="136"/>
    </row>
    <row r="29834" spans="1:2" x14ac:dyDescent="0.25">
      <c r="A29834" s="118"/>
      <c r="B29834" s="136"/>
    </row>
    <row r="29835" spans="1:2" x14ac:dyDescent="0.25">
      <c r="A29835" s="118"/>
      <c r="B29835" s="136"/>
    </row>
    <row r="29836" spans="1:2" x14ac:dyDescent="0.25">
      <c r="A29836" s="118"/>
      <c r="B29836" s="136"/>
    </row>
    <row r="29837" spans="1:2" x14ac:dyDescent="0.25">
      <c r="A29837" s="118"/>
      <c r="B29837" s="136"/>
    </row>
    <row r="29838" spans="1:2" x14ac:dyDescent="0.25">
      <c r="A29838" s="118"/>
      <c r="B29838" s="136"/>
    </row>
    <row r="29839" spans="1:2" x14ac:dyDescent="0.25">
      <c r="A29839" s="118"/>
      <c r="B29839" s="136"/>
    </row>
    <row r="29840" spans="1:2" x14ac:dyDescent="0.25">
      <c r="A29840" s="118"/>
      <c r="B29840" s="136"/>
    </row>
    <row r="29841" spans="1:2" x14ac:dyDescent="0.25">
      <c r="A29841" s="118"/>
      <c r="B29841" s="136"/>
    </row>
    <row r="29842" spans="1:2" x14ac:dyDescent="0.25">
      <c r="A29842" s="118"/>
      <c r="B29842" s="136"/>
    </row>
    <row r="29843" spans="1:2" x14ac:dyDescent="0.25">
      <c r="A29843" s="118"/>
      <c r="B29843" s="136"/>
    </row>
    <row r="29844" spans="1:2" x14ac:dyDescent="0.25">
      <c r="A29844" s="118"/>
      <c r="B29844" s="136"/>
    </row>
    <row r="29845" spans="1:2" x14ac:dyDescent="0.25">
      <c r="A29845" s="118"/>
      <c r="B29845" s="136"/>
    </row>
    <row r="29846" spans="1:2" x14ac:dyDescent="0.25">
      <c r="A29846" s="118"/>
      <c r="B29846" s="136"/>
    </row>
    <row r="29847" spans="1:2" x14ac:dyDescent="0.25">
      <c r="A29847" s="118"/>
      <c r="B29847" s="136"/>
    </row>
    <row r="29848" spans="1:2" x14ac:dyDescent="0.25">
      <c r="A29848" s="118"/>
      <c r="B29848" s="136"/>
    </row>
    <row r="29849" spans="1:2" x14ac:dyDescent="0.25">
      <c r="A29849" s="118"/>
      <c r="B29849" s="136"/>
    </row>
    <row r="29850" spans="1:2" x14ac:dyDescent="0.25">
      <c r="A29850" s="118"/>
      <c r="B29850" s="136"/>
    </row>
    <row r="29851" spans="1:2" x14ac:dyDescent="0.25">
      <c r="A29851" s="118"/>
      <c r="B29851" s="136"/>
    </row>
    <row r="29852" spans="1:2" x14ac:dyDescent="0.25">
      <c r="A29852" s="118"/>
      <c r="B29852" s="136"/>
    </row>
    <row r="29853" spans="1:2" x14ac:dyDescent="0.25">
      <c r="A29853" s="118"/>
      <c r="B29853" s="136"/>
    </row>
    <row r="29854" spans="1:2" x14ac:dyDescent="0.25">
      <c r="A29854" s="118"/>
      <c r="B29854" s="136"/>
    </row>
    <row r="29855" spans="1:2" x14ac:dyDescent="0.25">
      <c r="A29855" s="118"/>
      <c r="B29855" s="136"/>
    </row>
    <row r="29856" spans="1:2" x14ac:dyDescent="0.25">
      <c r="A29856" s="118"/>
      <c r="B29856" s="136"/>
    </row>
    <row r="29857" spans="1:2" x14ac:dyDescent="0.25">
      <c r="A29857" s="118"/>
      <c r="B29857" s="136"/>
    </row>
    <row r="29858" spans="1:2" x14ac:dyDescent="0.25">
      <c r="A29858" s="118"/>
      <c r="B29858" s="136"/>
    </row>
    <row r="29859" spans="1:2" x14ac:dyDescent="0.25">
      <c r="A29859" s="118"/>
      <c r="B29859" s="136"/>
    </row>
    <row r="29860" spans="1:2" x14ac:dyDescent="0.25">
      <c r="A29860" s="118"/>
      <c r="B29860" s="136"/>
    </row>
    <row r="29861" spans="1:2" x14ac:dyDescent="0.25">
      <c r="A29861" s="118"/>
      <c r="B29861" s="136"/>
    </row>
    <row r="29862" spans="1:2" x14ac:dyDescent="0.25">
      <c r="A29862" s="118"/>
      <c r="B29862" s="136"/>
    </row>
    <row r="29863" spans="1:2" x14ac:dyDescent="0.25">
      <c r="A29863" s="118"/>
      <c r="B29863" s="136"/>
    </row>
    <row r="29864" spans="1:2" x14ac:dyDescent="0.25">
      <c r="A29864" s="118"/>
      <c r="B29864" s="136"/>
    </row>
    <row r="29865" spans="1:2" x14ac:dyDescent="0.25">
      <c r="A29865" s="118"/>
      <c r="B29865" s="136"/>
    </row>
    <row r="29866" spans="1:2" x14ac:dyDescent="0.25">
      <c r="A29866" s="118"/>
      <c r="B29866" s="136"/>
    </row>
    <row r="29867" spans="1:2" x14ac:dyDescent="0.25">
      <c r="A29867" s="118"/>
      <c r="B29867" s="136"/>
    </row>
    <row r="29868" spans="1:2" x14ac:dyDescent="0.25">
      <c r="A29868" s="118"/>
      <c r="B29868" s="136"/>
    </row>
    <row r="29869" spans="1:2" x14ac:dyDescent="0.25">
      <c r="A29869" s="118"/>
      <c r="B29869" s="136"/>
    </row>
    <row r="29870" spans="1:2" x14ac:dyDescent="0.25">
      <c r="A29870" s="118"/>
      <c r="B29870" s="136"/>
    </row>
    <row r="29871" spans="1:2" x14ac:dyDescent="0.25">
      <c r="A29871" s="118"/>
      <c r="B29871" s="136"/>
    </row>
    <row r="29872" spans="1:2" x14ac:dyDescent="0.25">
      <c r="A29872" s="118"/>
      <c r="B29872" s="136"/>
    </row>
    <row r="29873" spans="1:2" x14ac:dyDescent="0.25">
      <c r="A29873" s="118"/>
      <c r="B29873" s="136"/>
    </row>
    <row r="29874" spans="1:2" x14ac:dyDescent="0.25">
      <c r="A29874" s="118"/>
      <c r="B29874" s="136"/>
    </row>
    <row r="29875" spans="1:2" x14ac:dyDescent="0.25">
      <c r="A29875" s="118"/>
      <c r="B29875" s="136"/>
    </row>
    <row r="29876" spans="1:2" x14ac:dyDescent="0.25">
      <c r="A29876" s="118"/>
      <c r="B29876" s="136"/>
    </row>
    <row r="29877" spans="1:2" x14ac:dyDescent="0.25">
      <c r="A29877" s="118"/>
      <c r="B29877" s="136"/>
    </row>
    <row r="29878" spans="1:2" x14ac:dyDescent="0.25">
      <c r="A29878" s="118"/>
      <c r="B29878" s="136"/>
    </row>
    <row r="29879" spans="1:2" x14ac:dyDescent="0.25">
      <c r="A29879" s="118"/>
      <c r="B29879" s="136"/>
    </row>
    <row r="29880" spans="1:2" x14ac:dyDescent="0.25">
      <c r="A29880" s="118"/>
      <c r="B29880" s="136"/>
    </row>
    <row r="29881" spans="1:2" x14ac:dyDescent="0.25">
      <c r="A29881" s="118"/>
      <c r="B29881" s="136"/>
    </row>
    <row r="29882" spans="1:2" x14ac:dyDescent="0.25">
      <c r="A29882" s="118"/>
      <c r="B29882" s="136"/>
    </row>
    <row r="29883" spans="1:2" x14ac:dyDescent="0.25">
      <c r="A29883" s="118"/>
      <c r="B29883" s="136"/>
    </row>
    <row r="29884" spans="1:2" x14ac:dyDescent="0.25">
      <c r="A29884" s="118"/>
      <c r="B29884" s="136"/>
    </row>
    <row r="29885" spans="1:2" x14ac:dyDescent="0.25">
      <c r="A29885" s="118"/>
      <c r="B29885" s="136"/>
    </row>
    <row r="29886" spans="1:2" x14ac:dyDescent="0.25">
      <c r="A29886" s="118"/>
      <c r="B29886" s="136"/>
    </row>
    <row r="29887" spans="1:2" x14ac:dyDescent="0.25">
      <c r="A29887" s="118"/>
      <c r="B29887" s="136"/>
    </row>
    <row r="29888" spans="1:2" x14ac:dyDescent="0.25">
      <c r="A29888" s="118"/>
      <c r="B29888" s="136"/>
    </row>
    <row r="29889" spans="1:2" x14ac:dyDescent="0.25">
      <c r="A29889" s="118"/>
      <c r="B29889" s="136"/>
    </row>
    <row r="29890" spans="1:2" x14ac:dyDescent="0.25">
      <c r="A29890" s="118"/>
      <c r="B29890" s="136"/>
    </row>
    <row r="29891" spans="1:2" x14ac:dyDescent="0.25">
      <c r="A29891" s="118"/>
      <c r="B29891" s="136"/>
    </row>
    <row r="29892" spans="1:2" x14ac:dyDescent="0.25">
      <c r="A29892" s="118"/>
      <c r="B29892" s="136"/>
    </row>
    <row r="29893" spans="1:2" x14ac:dyDescent="0.25">
      <c r="A29893" s="118"/>
      <c r="B29893" s="136"/>
    </row>
    <row r="29894" spans="1:2" x14ac:dyDescent="0.25">
      <c r="A29894" s="118"/>
      <c r="B29894" s="136"/>
    </row>
    <row r="29895" spans="1:2" x14ac:dyDescent="0.25">
      <c r="A29895" s="118"/>
      <c r="B29895" s="136"/>
    </row>
    <row r="29896" spans="1:2" x14ac:dyDescent="0.25">
      <c r="A29896" s="118"/>
      <c r="B29896" s="136"/>
    </row>
    <row r="29897" spans="1:2" x14ac:dyDescent="0.25">
      <c r="A29897" s="118"/>
      <c r="B29897" s="136"/>
    </row>
    <row r="29898" spans="1:2" x14ac:dyDescent="0.25">
      <c r="A29898" s="118"/>
      <c r="B29898" s="136"/>
    </row>
    <row r="29899" spans="1:2" x14ac:dyDescent="0.25">
      <c r="A29899" s="118"/>
      <c r="B29899" s="136"/>
    </row>
    <row r="29900" spans="1:2" x14ac:dyDescent="0.25">
      <c r="A29900" s="118"/>
      <c r="B29900" s="136"/>
    </row>
    <row r="29901" spans="1:2" x14ac:dyDescent="0.25">
      <c r="A29901" s="118"/>
      <c r="B29901" s="136"/>
    </row>
    <row r="29902" spans="1:2" x14ac:dyDescent="0.25">
      <c r="A29902" s="118"/>
      <c r="B29902" s="136"/>
    </row>
    <row r="29903" spans="1:2" x14ac:dyDescent="0.25">
      <c r="A29903" s="118"/>
      <c r="B29903" s="136"/>
    </row>
    <row r="29904" spans="1:2" x14ac:dyDescent="0.25">
      <c r="A29904" s="118"/>
      <c r="B29904" s="136"/>
    </row>
    <row r="29905" spans="1:2" x14ac:dyDescent="0.25">
      <c r="A29905" s="118"/>
      <c r="B29905" s="136"/>
    </row>
    <row r="29906" spans="1:2" x14ac:dyDescent="0.25">
      <c r="A29906" s="118"/>
      <c r="B29906" s="136"/>
    </row>
    <row r="29907" spans="1:2" x14ac:dyDescent="0.25">
      <c r="A29907" s="118"/>
      <c r="B29907" s="136"/>
    </row>
    <row r="29908" spans="1:2" x14ac:dyDescent="0.25">
      <c r="A29908" s="118"/>
      <c r="B29908" s="136"/>
    </row>
    <row r="29909" spans="1:2" x14ac:dyDescent="0.25">
      <c r="A29909" s="118"/>
      <c r="B29909" s="136"/>
    </row>
    <row r="29910" spans="1:2" x14ac:dyDescent="0.25">
      <c r="A29910" s="118"/>
      <c r="B29910" s="136"/>
    </row>
    <row r="29911" spans="1:2" x14ac:dyDescent="0.25">
      <c r="A29911" s="118"/>
      <c r="B29911" s="136"/>
    </row>
    <row r="29912" spans="1:2" x14ac:dyDescent="0.25">
      <c r="A29912" s="118"/>
      <c r="B29912" s="136"/>
    </row>
    <row r="29913" spans="1:2" x14ac:dyDescent="0.25">
      <c r="A29913" s="118"/>
      <c r="B29913" s="136"/>
    </row>
    <row r="29914" spans="1:2" x14ac:dyDescent="0.25">
      <c r="A29914" s="118"/>
      <c r="B29914" s="136"/>
    </row>
    <row r="29915" spans="1:2" x14ac:dyDescent="0.25">
      <c r="A29915" s="118"/>
      <c r="B29915" s="136"/>
    </row>
    <row r="29916" spans="1:2" x14ac:dyDescent="0.25">
      <c r="A29916" s="118"/>
      <c r="B29916" s="136"/>
    </row>
    <row r="29917" spans="1:2" x14ac:dyDescent="0.25">
      <c r="A29917" s="118"/>
      <c r="B29917" s="136"/>
    </row>
    <row r="29918" spans="1:2" x14ac:dyDescent="0.25">
      <c r="A29918" s="118"/>
      <c r="B29918" s="136"/>
    </row>
    <row r="29919" spans="1:2" x14ac:dyDescent="0.25">
      <c r="A29919" s="118"/>
      <c r="B29919" s="136"/>
    </row>
    <row r="29920" spans="1:2" x14ac:dyDescent="0.25">
      <c r="A29920" s="118"/>
      <c r="B29920" s="136"/>
    </row>
    <row r="29921" spans="1:2" x14ac:dyDescent="0.25">
      <c r="A29921" s="118"/>
      <c r="B29921" s="136"/>
    </row>
    <row r="29922" spans="1:2" x14ac:dyDescent="0.25">
      <c r="A29922" s="118"/>
      <c r="B29922" s="136"/>
    </row>
    <row r="29923" spans="1:2" x14ac:dyDescent="0.25">
      <c r="A29923" s="118"/>
      <c r="B29923" s="136"/>
    </row>
    <row r="29924" spans="1:2" x14ac:dyDescent="0.25">
      <c r="A29924" s="118"/>
      <c r="B29924" s="136"/>
    </row>
    <row r="29925" spans="1:2" x14ac:dyDescent="0.25">
      <c r="A29925" s="118"/>
      <c r="B29925" s="136"/>
    </row>
    <row r="29926" spans="1:2" x14ac:dyDescent="0.25">
      <c r="A29926" s="118"/>
      <c r="B29926" s="136"/>
    </row>
    <row r="29927" spans="1:2" x14ac:dyDescent="0.25">
      <c r="A29927" s="118"/>
      <c r="B29927" s="136"/>
    </row>
    <row r="29928" spans="1:2" x14ac:dyDescent="0.25">
      <c r="A29928" s="118"/>
      <c r="B29928" s="136"/>
    </row>
    <row r="29929" spans="1:2" x14ac:dyDescent="0.25">
      <c r="A29929" s="118"/>
      <c r="B29929" s="136"/>
    </row>
    <row r="29930" spans="1:2" x14ac:dyDescent="0.25">
      <c r="A29930" s="118"/>
      <c r="B29930" s="136"/>
    </row>
    <row r="29931" spans="1:2" x14ac:dyDescent="0.25">
      <c r="A29931" s="118"/>
      <c r="B29931" s="136"/>
    </row>
    <row r="29932" spans="1:2" x14ac:dyDescent="0.25">
      <c r="A29932" s="118"/>
      <c r="B29932" s="136"/>
    </row>
    <row r="29933" spans="1:2" x14ac:dyDescent="0.25">
      <c r="A29933" s="118"/>
      <c r="B29933" s="136"/>
    </row>
    <row r="29934" spans="1:2" x14ac:dyDescent="0.25">
      <c r="A29934" s="118"/>
      <c r="B29934" s="136"/>
    </row>
    <row r="29935" spans="1:2" x14ac:dyDescent="0.25">
      <c r="A29935" s="118"/>
      <c r="B29935" s="136"/>
    </row>
    <row r="29936" spans="1:2" x14ac:dyDescent="0.25">
      <c r="A29936" s="118"/>
      <c r="B29936" s="136"/>
    </row>
    <row r="29937" spans="1:2" x14ac:dyDescent="0.25">
      <c r="A29937" s="118"/>
      <c r="B29937" s="136"/>
    </row>
    <row r="29938" spans="1:2" x14ac:dyDescent="0.25">
      <c r="A29938" s="118"/>
      <c r="B29938" s="136"/>
    </row>
    <row r="29939" spans="1:2" x14ac:dyDescent="0.25">
      <c r="A29939" s="118"/>
      <c r="B29939" s="136"/>
    </row>
    <row r="29940" spans="1:2" x14ac:dyDescent="0.25">
      <c r="A29940" s="118"/>
      <c r="B29940" s="136"/>
    </row>
    <row r="29941" spans="1:2" x14ac:dyDescent="0.25">
      <c r="A29941" s="118"/>
      <c r="B29941" s="136"/>
    </row>
    <row r="29942" spans="1:2" x14ac:dyDescent="0.25">
      <c r="A29942" s="118"/>
      <c r="B29942" s="136"/>
    </row>
    <row r="29943" spans="1:2" x14ac:dyDescent="0.25">
      <c r="A29943" s="118"/>
      <c r="B29943" s="136"/>
    </row>
    <row r="29944" spans="1:2" x14ac:dyDescent="0.25">
      <c r="A29944" s="118"/>
      <c r="B29944" s="136"/>
    </row>
    <row r="29945" spans="1:2" x14ac:dyDescent="0.25">
      <c r="A29945" s="118"/>
      <c r="B29945" s="136"/>
    </row>
    <row r="29946" spans="1:2" x14ac:dyDescent="0.25">
      <c r="A29946" s="118"/>
      <c r="B29946" s="136"/>
    </row>
    <row r="29947" spans="1:2" x14ac:dyDescent="0.25">
      <c r="A29947" s="118"/>
      <c r="B29947" s="136"/>
    </row>
    <row r="29948" spans="1:2" x14ac:dyDescent="0.25">
      <c r="A29948" s="118"/>
      <c r="B29948" s="136"/>
    </row>
    <row r="29949" spans="1:2" x14ac:dyDescent="0.25">
      <c r="A29949" s="118"/>
      <c r="B29949" s="136"/>
    </row>
    <row r="29950" spans="1:2" x14ac:dyDescent="0.25">
      <c r="A29950" s="118"/>
      <c r="B29950" s="136"/>
    </row>
    <row r="29951" spans="1:2" x14ac:dyDescent="0.25">
      <c r="A29951" s="118"/>
      <c r="B29951" s="136"/>
    </row>
    <row r="29952" spans="1:2" x14ac:dyDescent="0.25">
      <c r="A29952" s="118"/>
      <c r="B29952" s="136"/>
    </row>
    <row r="29953" spans="1:2" x14ac:dyDescent="0.25">
      <c r="A29953" s="118"/>
      <c r="B29953" s="136"/>
    </row>
    <row r="29954" spans="1:2" x14ac:dyDescent="0.25">
      <c r="A29954" s="118"/>
      <c r="B29954" s="136"/>
    </row>
    <row r="29955" spans="1:2" x14ac:dyDescent="0.25">
      <c r="A29955" s="118"/>
      <c r="B29955" s="136"/>
    </row>
    <row r="29956" spans="1:2" x14ac:dyDescent="0.25">
      <c r="A29956" s="118"/>
      <c r="B29956" s="136"/>
    </row>
    <row r="29957" spans="1:2" x14ac:dyDescent="0.25">
      <c r="A29957" s="118"/>
      <c r="B29957" s="136"/>
    </row>
    <row r="29958" spans="1:2" x14ac:dyDescent="0.25">
      <c r="A29958" s="118"/>
      <c r="B29958" s="136"/>
    </row>
    <row r="29959" spans="1:2" x14ac:dyDescent="0.25">
      <c r="A29959" s="118"/>
      <c r="B29959" s="136"/>
    </row>
    <row r="29960" spans="1:2" x14ac:dyDescent="0.25">
      <c r="A29960" s="118"/>
      <c r="B29960" s="136"/>
    </row>
    <row r="29961" spans="1:2" x14ac:dyDescent="0.25">
      <c r="A29961" s="118"/>
      <c r="B29961" s="136"/>
    </row>
    <row r="29962" spans="1:2" x14ac:dyDescent="0.25">
      <c r="A29962" s="118"/>
      <c r="B29962" s="136"/>
    </row>
    <row r="29963" spans="1:2" x14ac:dyDescent="0.25">
      <c r="A29963" s="118"/>
      <c r="B29963" s="136"/>
    </row>
    <row r="29964" spans="1:2" x14ac:dyDescent="0.25">
      <c r="A29964" s="118"/>
      <c r="B29964" s="136"/>
    </row>
    <row r="29965" spans="1:2" x14ac:dyDescent="0.25">
      <c r="A29965" s="118"/>
      <c r="B29965" s="136"/>
    </row>
    <row r="29966" spans="1:2" x14ac:dyDescent="0.25">
      <c r="A29966" s="118"/>
      <c r="B29966" s="136"/>
    </row>
    <row r="29967" spans="1:2" x14ac:dyDescent="0.25">
      <c r="A29967" s="118"/>
      <c r="B29967" s="136"/>
    </row>
    <row r="29968" spans="1:2" x14ac:dyDescent="0.25">
      <c r="A29968" s="118"/>
      <c r="B29968" s="136"/>
    </row>
    <row r="29969" spans="1:2" x14ac:dyDescent="0.25">
      <c r="A29969" s="118"/>
      <c r="B29969" s="136"/>
    </row>
    <row r="29970" spans="1:2" x14ac:dyDescent="0.25">
      <c r="A29970" s="118"/>
      <c r="B29970" s="136"/>
    </row>
    <row r="29971" spans="1:2" x14ac:dyDescent="0.25">
      <c r="A29971" s="118"/>
      <c r="B29971" s="136"/>
    </row>
    <row r="29972" spans="1:2" x14ac:dyDescent="0.25">
      <c r="A29972" s="118"/>
      <c r="B29972" s="136"/>
    </row>
    <row r="29973" spans="1:2" x14ac:dyDescent="0.25">
      <c r="A29973" s="118"/>
      <c r="B29973" s="136"/>
    </row>
    <row r="29974" spans="1:2" x14ac:dyDescent="0.25">
      <c r="A29974" s="118"/>
      <c r="B29974" s="136"/>
    </row>
    <row r="29975" spans="1:2" x14ac:dyDescent="0.25">
      <c r="A29975" s="118"/>
      <c r="B29975" s="136"/>
    </row>
    <row r="29976" spans="1:2" x14ac:dyDescent="0.25">
      <c r="A29976" s="118"/>
      <c r="B29976" s="136"/>
    </row>
    <row r="29977" spans="1:2" x14ac:dyDescent="0.25">
      <c r="A29977" s="118"/>
      <c r="B29977" s="136"/>
    </row>
    <row r="29978" spans="1:2" x14ac:dyDescent="0.25">
      <c r="A29978" s="118"/>
      <c r="B29978" s="136"/>
    </row>
    <row r="29979" spans="1:2" x14ac:dyDescent="0.25">
      <c r="A29979" s="118"/>
      <c r="B29979" s="136"/>
    </row>
    <row r="29980" spans="1:2" x14ac:dyDescent="0.25">
      <c r="A29980" s="118"/>
      <c r="B29980" s="136"/>
    </row>
    <row r="29981" spans="1:2" x14ac:dyDescent="0.25">
      <c r="A29981" s="118"/>
      <c r="B29981" s="136"/>
    </row>
    <row r="29982" spans="1:2" x14ac:dyDescent="0.25">
      <c r="A29982" s="118"/>
      <c r="B29982" s="136"/>
    </row>
    <row r="29983" spans="1:2" x14ac:dyDescent="0.25">
      <c r="A29983" s="118"/>
      <c r="B29983" s="136"/>
    </row>
    <row r="29984" spans="1:2" x14ac:dyDescent="0.25">
      <c r="A29984" s="118"/>
      <c r="B29984" s="136"/>
    </row>
    <row r="29985" spans="1:2" x14ac:dyDescent="0.25">
      <c r="A29985" s="118"/>
      <c r="B29985" s="136"/>
    </row>
    <row r="29986" spans="1:2" x14ac:dyDescent="0.25">
      <c r="A29986" s="118"/>
      <c r="B29986" s="136"/>
    </row>
    <row r="29987" spans="1:2" x14ac:dyDescent="0.25">
      <c r="A29987" s="118"/>
      <c r="B29987" s="136"/>
    </row>
    <row r="29988" spans="1:2" x14ac:dyDescent="0.25">
      <c r="A29988" s="118"/>
      <c r="B29988" s="136"/>
    </row>
    <row r="29989" spans="1:2" x14ac:dyDescent="0.25">
      <c r="A29989" s="118"/>
      <c r="B29989" s="136"/>
    </row>
    <row r="29990" spans="1:2" x14ac:dyDescent="0.25">
      <c r="A29990" s="118"/>
      <c r="B29990" s="136"/>
    </row>
    <row r="29991" spans="1:2" x14ac:dyDescent="0.25">
      <c r="A29991" s="118"/>
      <c r="B29991" s="136"/>
    </row>
    <row r="29992" spans="1:2" x14ac:dyDescent="0.25">
      <c r="A29992" s="118"/>
      <c r="B29992" s="136"/>
    </row>
    <row r="29993" spans="1:2" x14ac:dyDescent="0.25">
      <c r="A29993" s="118"/>
      <c r="B29993" s="136"/>
    </row>
    <row r="29994" spans="1:2" x14ac:dyDescent="0.25">
      <c r="A29994" s="118"/>
      <c r="B29994" s="136"/>
    </row>
    <row r="29995" spans="1:2" x14ac:dyDescent="0.25">
      <c r="A29995" s="118"/>
      <c r="B29995" s="136"/>
    </row>
    <row r="29996" spans="1:2" x14ac:dyDescent="0.25">
      <c r="A29996" s="118"/>
      <c r="B29996" s="136"/>
    </row>
    <row r="29997" spans="1:2" x14ac:dyDescent="0.25">
      <c r="A29997" s="118"/>
      <c r="B29997" s="136"/>
    </row>
    <row r="29998" spans="1:2" x14ac:dyDescent="0.25">
      <c r="A29998" s="118"/>
      <c r="B29998" s="136"/>
    </row>
    <row r="29999" spans="1:2" x14ac:dyDescent="0.25">
      <c r="A29999" s="118"/>
      <c r="B29999" s="136"/>
    </row>
    <row r="30000" spans="1:2" x14ac:dyDescent="0.25">
      <c r="A30000" s="118"/>
      <c r="B30000" s="136"/>
    </row>
    <row r="30001" spans="1:2" x14ac:dyDescent="0.25">
      <c r="A30001" s="118"/>
      <c r="B30001" s="136"/>
    </row>
    <row r="30002" spans="1:2" x14ac:dyDescent="0.25">
      <c r="A30002" s="118"/>
      <c r="B30002" s="136"/>
    </row>
    <row r="30003" spans="1:2" x14ac:dyDescent="0.25">
      <c r="A30003" s="118"/>
      <c r="B30003" s="136"/>
    </row>
    <row r="30004" spans="1:2" x14ac:dyDescent="0.25">
      <c r="A30004" s="118"/>
      <c r="B30004" s="136"/>
    </row>
    <row r="30005" spans="1:2" x14ac:dyDescent="0.25">
      <c r="A30005" s="118"/>
      <c r="B30005" s="136"/>
    </row>
    <row r="30006" spans="1:2" x14ac:dyDescent="0.25">
      <c r="A30006" s="118"/>
      <c r="B30006" s="136"/>
    </row>
    <row r="30007" spans="1:2" x14ac:dyDescent="0.25">
      <c r="A30007" s="118"/>
      <c r="B30007" s="136"/>
    </row>
    <row r="30008" spans="1:2" x14ac:dyDescent="0.25">
      <c r="A30008" s="118"/>
      <c r="B30008" s="136"/>
    </row>
    <row r="30009" spans="1:2" x14ac:dyDescent="0.25">
      <c r="A30009" s="118"/>
      <c r="B30009" s="136"/>
    </row>
    <row r="30010" spans="1:2" x14ac:dyDescent="0.25">
      <c r="A30010" s="118"/>
      <c r="B30010" s="136"/>
    </row>
    <row r="30011" spans="1:2" x14ac:dyDescent="0.25">
      <c r="A30011" s="118"/>
      <c r="B30011" s="136"/>
    </row>
    <row r="30012" spans="1:2" x14ac:dyDescent="0.25">
      <c r="A30012" s="118"/>
      <c r="B30012" s="136"/>
    </row>
    <row r="30013" spans="1:2" x14ac:dyDescent="0.25">
      <c r="A30013" s="118"/>
      <c r="B30013" s="136"/>
    </row>
    <row r="30014" spans="1:2" x14ac:dyDescent="0.25">
      <c r="A30014" s="118"/>
      <c r="B30014" s="136"/>
    </row>
    <row r="30015" spans="1:2" x14ac:dyDescent="0.25">
      <c r="A30015" s="118"/>
      <c r="B30015" s="136"/>
    </row>
    <row r="30016" spans="1:2" x14ac:dyDescent="0.25">
      <c r="A30016" s="118"/>
      <c r="B30016" s="136"/>
    </row>
    <row r="30017" spans="1:2" x14ac:dyDescent="0.25">
      <c r="A30017" s="118"/>
      <c r="B30017" s="136"/>
    </row>
    <row r="30018" spans="1:2" x14ac:dyDescent="0.25">
      <c r="A30018" s="118"/>
      <c r="B30018" s="136"/>
    </row>
    <row r="30019" spans="1:2" x14ac:dyDescent="0.25">
      <c r="A30019" s="118"/>
      <c r="B30019" s="136"/>
    </row>
    <row r="30020" spans="1:2" x14ac:dyDescent="0.25">
      <c r="A30020" s="118"/>
      <c r="B30020" s="136"/>
    </row>
    <row r="30021" spans="1:2" x14ac:dyDescent="0.25">
      <c r="A30021" s="118"/>
      <c r="B30021" s="136"/>
    </row>
    <row r="30022" spans="1:2" x14ac:dyDescent="0.25">
      <c r="A30022" s="118"/>
      <c r="B30022" s="136"/>
    </row>
    <row r="30023" spans="1:2" x14ac:dyDescent="0.25">
      <c r="A30023" s="118"/>
      <c r="B30023" s="136"/>
    </row>
    <row r="30024" spans="1:2" x14ac:dyDescent="0.25">
      <c r="A30024" s="118"/>
      <c r="B30024" s="136"/>
    </row>
    <row r="30025" spans="1:2" x14ac:dyDescent="0.25">
      <c r="A30025" s="118"/>
      <c r="B30025" s="136"/>
    </row>
    <row r="30026" spans="1:2" x14ac:dyDescent="0.25">
      <c r="A30026" s="118"/>
      <c r="B30026" s="136"/>
    </row>
    <row r="30027" spans="1:2" x14ac:dyDescent="0.25">
      <c r="A30027" s="118"/>
      <c r="B30027" s="136"/>
    </row>
    <row r="30028" spans="1:2" x14ac:dyDescent="0.25">
      <c r="A30028" s="118"/>
      <c r="B30028" s="136"/>
    </row>
    <row r="30029" spans="1:2" x14ac:dyDescent="0.25">
      <c r="A30029" s="118"/>
      <c r="B30029" s="136"/>
    </row>
    <row r="30030" spans="1:2" x14ac:dyDescent="0.25">
      <c r="A30030" s="118"/>
      <c r="B30030" s="136"/>
    </row>
    <row r="30031" spans="1:2" x14ac:dyDescent="0.25">
      <c r="A30031" s="118"/>
      <c r="B30031" s="136"/>
    </row>
    <row r="30032" spans="1:2" x14ac:dyDescent="0.25">
      <c r="A30032" s="118"/>
      <c r="B30032" s="136"/>
    </row>
    <row r="30033" spans="1:2" x14ac:dyDescent="0.25">
      <c r="A30033" s="118"/>
      <c r="B30033" s="136"/>
    </row>
    <row r="30034" spans="1:2" x14ac:dyDescent="0.25">
      <c r="A30034" s="118"/>
      <c r="B30034" s="136"/>
    </row>
    <row r="30035" spans="1:2" x14ac:dyDescent="0.25">
      <c r="A30035" s="118"/>
      <c r="B30035" s="136"/>
    </row>
    <row r="30036" spans="1:2" x14ac:dyDescent="0.25">
      <c r="A30036" s="118"/>
      <c r="B30036" s="136"/>
    </row>
    <row r="30037" spans="1:2" x14ac:dyDescent="0.25">
      <c r="A30037" s="118"/>
      <c r="B30037" s="136"/>
    </row>
    <row r="30038" spans="1:2" x14ac:dyDescent="0.25">
      <c r="A30038" s="118"/>
      <c r="B30038" s="136"/>
    </row>
    <row r="30039" spans="1:2" x14ac:dyDescent="0.25">
      <c r="A30039" s="118"/>
      <c r="B30039" s="136"/>
    </row>
    <row r="30040" spans="1:2" x14ac:dyDescent="0.25">
      <c r="A30040" s="118"/>
      <c r="B30040" s="136"/>
    </row>
    <row r="30041" spans="1:2" x14ac:dyDescent="0.25">
      <c r="A30041" s="118"/>
      <c r="B30041" s="136"/>
    </row>
    <row r="30042" spans="1:2" x14ac:dyDescent="0.25">
      <c r="A30042" s="118"/>
      <c r="B30042" s="136"/>
    </row>
    <row r="30043" spans="1:2" x14ac:dyDescent="0.25">
      <c r="A30043" s="118"/>
      <c r="B30043" s="136"/>
    </row>
    <row r="30044" spans="1:2" x14ac:dyDescent="0.25">
      <c r="A30044" s="118"/>
      <c r="B30044" s="136"/>
    </row>
    <row r="30045" spans="1:2" x14ac:dyDescent="0.25">
      <c r="A30045" s="118"/>
      <c r="B30045" s="136"/>
    </row>
    <row r="30046" spans="1:2" x14ac:dyDescent="0.25">
      <c r="A30046" s="118"/>
      <c r="B30046" s="136"/>
    </row>
    <row r="30047" spans="1:2" x14ac:dyDescent="0.25">
      <c r="A30047" s="118"/>
      <c r="B30047" s="136"/>
    </row>
    <row r="30048" spans="1:2" x14ac:dyDescent="0.25">
      <c r="A30048" s="118"/>
      <c r="B30048" s="136"/>
    </row>
    <row r="30049" spans="1:2" x14ac:dyDescent="0.25">
      <c r="A30049" s="118"/>
      <c r="B30049" s="136"/>
    </row>
    <row r="30050" spans="1:2" x14ac:dyDescent="0.25">
      <c r="A30050" s="118"/>
      <c r="B30050" s="136"/>
    </row>
    <row r="30051" spans="1:2" x14ac:dyDescent="0.25">
      <c r="A30051" s="118"/>
      <c r="B30051" s="136"/>
    </row>
    <row r="30052" spans="1:2" x14ac:dyDescent="0.25">
      <c r="A30052" s="118"/>
      <c r="B30052" s="136"/>
    </row>
    <row r="30053" spans="1:2" x14ac:dyDescent="0.25">
      <c r="A30053" s="118"/>
      <c r="B30053" s="136"/>
    </row>
    <row r="30054" spans="1:2" x14ac:dyDescent="0.25">
      <c r="A30054" s="118"/>
      <c r="B30054" s="136"/>
    </row>
    <row r="30055" spans="1:2" x14ac:dyDescent="0.25">
      <c r="A30055" s="118"/>
      <c r="B30055" s="136"/>
    </row>
    <row r="30056" spans="1:2" x14ac:dyDescent="0.25">
      <c r="A30056" s="118"/>
      <c r="B30056" s="136"/>
    </row>
    <row r="30057" spans="1:2" x14ac:dyDescent="0.25">
      <c r="A30057" s="118"/>
      <c r="B30057" s="136"/>
    </row>
    <row r="30058" spans="1:2" x14ac:dyDescent="0.25">
      <c r="A30058" s="118"/>
      <c r="B30058" s="136"/>
    </row>
    <row r="30059" spans="1:2" x14ac:dyDescent="0.25">
      <c r="A30059" s="118"/>
      <c r="B30059" s="136"/>
    </row>
    <row r="30060" spans="1:2" x14ac:dyDescent="0.25">
      <c r="A30060" s="118"/>
      <c r="B30060" s="136"/>
    </row>
    <row r="30061" spans="1:2" x14ac:dyDescent="0.25">
      <c r="A30061" s="118"/>
      <c r="B30061" s="136"/>
    </row>
    <row r="30062" spans="1:2" x14ac:dyDescent="0.25">
      <c r="A30062" s="118"/>
      <c r="B30062" s="136"/>
    </row>
    <row r="30063" spans="1:2" x14ac:dyDescent="0.25">
      <c r="A30063" s="118"/>
      <c r="B30063" s="136"/>
    </row>
    <row r="30064" spans="1:2" x14ac:dyDescent="0.25">
      <c r="A30064" s="118"/>
      <c r="B30064" s="136"/>
    </row>
    <row r="30065" spans="1:2" x14ac:dyDescent="0.25">
      <c r="A30065" s="118"/>
      <c r="B30065" s="136"/>
    </row>
    <row r="30066" spans="1:2" x14ac:dyDescent="0.25">
      <c r="A30066" s="118"/>
      <c r="B30066" s="136"/>
    </row>
    <row r="30067" spans="1:2" x14ac:dyDescent="0.25">
      <c r="A30067" s="118"/>
      <c r="B30067" s="136"/>
    </row>
    <row r="30068" spans="1:2" x14ac:dyDescent="0.25">
      <c r="A30068" s="118"/>
      <c r="B30068" s="136"/>
    </row>
    <row r="30069" spans="1:2" x14ac:dyDescent="0.25">
      <c r="A30069" s="118"/>
      <c r="B30069" s="136"/>
    </row>
    <row r="30070" spans="1:2" x14ac:dyDescent="0.25">
      <c r="A30070" s="118"/>
      <c r="B30070" s="136"/>
    </row>
    <row r="30071" spans="1:2" x14ac:dyDescent="0.25">
      <c r="A30071" s="118"/>
      <c r="B30071" s="136"/>
    </row>
    <row r="30072" spans="1:2" x14ac:dyDescent="0.25">
      <c r="A30072" s="118"/>
      <c r="B30072" s="136"/>
    </row>
    <row r="30073" spans="1:2" x14ac:dyDescent="0.25">
      <c r="A30073" s="118"/>
      <c r="B30073" s="136"/>
    </row>
    <row r="30074" spans="1:2" x14ac:dyDescent="0.25">
      <c r="A30074" s="118"/>
      <c r="B30074" s="136"/>
    </row>
    <row r="30075" spans="1:2" x14ac:dyDescent="0.25">
      <c r="A30075" s="118"/>
      <c r="B30075" s="136"/>
    </row>
    <row r="30076" spans="1:2" x14ac:dyDescent="0.25">
      <c r="A30076" s="118"/>
      <c r="B30076" s="136"/>
    </row>
    <row r="30077" spans="1:2" x14ac:dyDescent="0.25">
      <c r="A30077" s="118"/>
      <c r="B30077" s="136"/>
    </row>
    <row r="30078" spans="1:2" x14ac:dyDescent="0.25">
      <c r="A30078" s="118"/>
      <c r="B30078" s="136"/>
    </row>
    <row r="30079" spans="1:2" x14ac:dyDescent="0.25">
      <c r="A30079" s="118"/>
      <c r="B30079" s="136"/>
    </row>
    <row r="30080" spans="1:2" x14ac:dyDescent="0.25">
      <c r="A30080" s="118"/>
      <c r="B30080" s="136"/>
    </row>
    <row r="30081" spans="1:2" x14ac:dyDescent="0.25">
      <c r="A30081" s="118"/>
      <c r="B30081" s="136"/>
    </row>
    <row r="30082" spans="1:2" x14ac:dyDescent="0.25">
      <c r="A30082" s="118"/>
      <c r="B30082" s="136"/>
    </row>
    <row r="30083" spans="1:2" x14ac:dyDescent="0.25">
      <c r="A30083" s="118"/>
      <c r="B30083" s="136"/>
    </row>
    <row r="30084" spans="1:2" x14ac:dyDescent="0.25">
      <c r="A30084" s="118"/>
      <c r="B30084" s="136"/>
    </row>
    <row r="30085" spans="1:2" x14ac:dyDescent="0.25">
      <c r="A30085" s="118"/>
      <c r="B30085" s="136"/>
    </row>
    <row r="30086" spans="1:2" x14ac:dyDescent="0.25">
      <c r="A30086" s="118"/>
      <c r="B30086" s="136"/>
    </row>
    <row r="30087" spans="1:2" x14ac:dyDescent="0.25">
      <c r="A30087" s="118"/>
      <c r="B30087" s="136"/>
    </row>
    <row r="30088" spans="1:2" x14ac:dyDescent="0.25">
      <c r="A30088" s="118"/>
      <c r="B30088" s="136"/>
    </row>
    <row r="30089" spans="1:2" x14ac:dyDescent="0.25">
      <c r="A30089" s="118"/>
      <c r="B30089" s="136"/>
    </row>
    <row r="30090" spans="1:2" x14ac:dyDescent="0.25">
      <c r="A30090" s="118"/>
      <c r="B30090" s="136"/>
    </row>
    <row r="30091" spans="1:2" x14ac:dyDescent="0.25">
      <c r="A30091" s="118"/>
      <c r="B30091" s="136"/>
    </row>
    <row r="30092" spans="1:2" x14ac:dyDescent="0.25">
      <c r="A30092" s="118"/>
      <c r="B30092" s="136"/>
    </row>
    <row r="30093" spans="1:2" x14ac:dyDescent="0.25">
      <c r="A30093" s="118"/>
      <c r="B30093" s="136"/>
    </row>
    <row r="30094" spans="1:2" x14ac:dyDescent="0.25">
      <c r="A30094" s="118"/>
      <c r="B30094" s="136"/>
    </row>
    <row r="30095" spans="1:2" x14ac:dyDescent="0.25">
      <c r="A30095" s="118"/>
      <c r="B30095" s="136"/>
    </row>
    <row r="30096" spans="1:2" x14ac:dyDescent="0.25">
      <c r="A30096" s="118"/>
      <c r="B30096" s="136"/>
    </row>
    <row r="30097" spans="1:2" x14ac:dyDescent="0.25">
      <c r="A30097" s="118"/>
      <c r="B30097" s="136"/>
    </row>
    <row r="30098" spans="1:2" x14ac:dyDescent="0.25">
      <c r="A30098" s="118"/>
      <c r="B30098" s="136"/>
    </row>
    <row r="30099" spans="1:2" x14ac:dyDescent="0.25">
      <c r="A30099" s="118"/>
      <c r="B30099" s="136"/>
    </row>
    <row r="30100" spans="1:2" x14ac:dyDescent="0.25">
      <c r="A30100" s="118"/>
      <c r="B30100" s="136"/>
    </row>
    <row r="30101" spans="1:2" x14ac:dyDescent="0.25">
      <c r="A30101" s="118"/>
      <c r="B30101" s="136"/>
    </row>
    <row r="30102" spans="1:2" x14ac:dyDescent="0.25">
      <c r="A30102" s="118"/>
      <c r="B30102" s="136"/>
    </row>
    <row r="30103" spans="1:2" x14ac:dyDescent="0.25">
      <c r="A30103" s="118"/>
      <c r="B30103" s="136"/>
    </row>
    <row r="30104" spans="1:2" x14ac:dyDescent="0.25">
      <c r="A30104" s="118"/>
      <c r="B30104" s="136"/>
    </row>
    <row r="30105" spans="1:2" x14ac:dyDescent="0.25">
      <c r="A30105" s="118"/>
      <c r="B30105" s="136"/>
    </row>
    <row r="30106" spans="1:2" x14ac:dyDescent="0.25">
      <c r="A30106" s="118"/>
      <c r="B30106" s="136"/>
    </row>
    <row r="30107" spans="1:2" x14ac:dyDescent="0.25">
      <c r="A30107" s="118"/>
      <c r="B30107" s="136"/>
    </row>
    <row r="30108" spans="1:2" x14ac:dyDescent="0.25">
      <c r="A30108" s="118"/>
      <c r="B30108" s="136"/>
    </row>
    <row r="30109" spans="1:2" x14ac:dyDescent="0.25">
      <c r="A30109" s="118"/>
      <c r="B30109" s="136"/>
    </row>
    <row r="30110" spans="1:2" x14ac:dyDescent="0.25">
      <c r="A30110" s="118"/>
      <c r="B30110" s="136"/>
    </row>
    <row r="30111" spans="1:2" x14ac:dyDescent="0.25">
      <c r="A30111" s="118"/>
      <c r="B30111" s="136"/>
    </row>
    <row r="30112" spans="1:2" x14ac:dyDescent="0.25">
      <c r="A30112" s="118"/>
      <c r="B30112" s="136"/>
    </row>
    <row r="30113" spans="1:2" x14ac:dyDescent="0.25">
      <c r="A30113" s="118"/>
      <c r="B30113" s="136"/>
    </row>
    <row r="30114" spans="1:2" x14ac:dyDescent="0.25">
      <c r="A30114" s="118"/>
      <c r="B30114" s="136"/>
    </row>
    <row r="30115" spans="1:2" x14ac:dyDescent="0.25">
      <c r="A30115" s="118"/>
      <c r="B30115" s="136"/>
    </row>
    <row r="30116" spans="1:2" x14ac:dyDescent="0.25">
      <c r="A30116" s="118"/>
      <c r="B30116" s="136"/>
    </row>
    <row r="30117" spans="1:2" x14ac:dyDescent="0.25">
      <c r="A30117" s="118"/>
      <c r="B30117" s="136"/>
    </row>
    <row r="30118" spans="1:2" x14ac:dyDescent="0.25">
      <c r="A30118" s="118"/>
      <c r="B30118" s="136"/>
    </row>
    <row r="30119" spans="1:2" x14ac:dyDescent="0.25">
      <c r="A30119" s="118"/>
      <c r="B30119" s="136"/>
    </row>
    <row r="30120" spans="1:2" x14ac:dyDescent="0.25">
      <c r="A30120" s="118"/>
      <c r="B30120" s="136"/>
    </row>
    <row r="30121" spans="1:2" x14ac:dyDescent="0.25">
      <c r="A30121" s="118"/>
      <c r="B30121" s="136"/>
    </row>
    <row r="30122" spans="1:2" x14ac:dyDescent="0.25">
      <c r="A30122" s="118"/>
      <c r="B30122" s="136"/>
    </row>
    <row r="30123" spans="1:2" x14ac:dyDescent="0.25">
      <c r="A30123" s="118"/>
      <c r="B30123" s="136"/>
    </row>
    <row r="30124" spans="1:2" x14ac:dyDescent="0.25">
      <c r="A30124" s="118"/>
      <c r="B30124" s="136"/>
    </row>
    <row r="30125" spans="1:2" x14ac:dyDescent="0.25">
      <c r="A30125" s="118"/>
      <c r="B30125" s="136"/>
    </row>
    <row r="30126" spans="1:2" x14ac:dyDescent="0.25">
      <c r="A30126" s="118"/>
      <c r="B30126" s="136"/>
    </row>
    <row r="30127" spans="1:2" x14ac:dyDescent="0.25">
      <c r="A30127" s="118"/>
      <c r="B30127" s="136"/>
    </row>
    <row r="30128" spans="1:2" x14ac:dyDescent="0.25">
      <c r="A30128" s="118"/>
      <c r="B30128" s="136"/>
    </row>
    <row r="30129" spans="1:2" x14ac:dyDescent="0.25">
      <c r="A30129" s="118"/>
      <c r="B30129" s="136"/>
    </row>
    <row r="30130" spans="1:2" x14ac:dyDescent="0.25">
      <c r="A30130" s="118"/>
      <c r="B30130" s="136"/>
    </row>
    <row r="30131" spans="1:2" x14ac:dyDescent="0.25">
      <c r="A30131" s="118"/>
      <c r="B30131" s="136"/>
    </row>
    <row r="30132" spans="1:2" x14ac:dyDescent="0.25">
      <c r="A30132" s="118"/>
      <c r="B30132" s="136"/>
    </row>
    <row r="30133" spans="1:2" x14ac:dyDescent="0.25">
      <c r="A30133" s="118"/>
      <c r="B30133" s="136"/>
    </row>
    <row r="30134" spans="1:2" x14ac:dyDescent="0.25">
      <c r="A30134" s="118"/>
      <c r="B30134" s="136"/>
    </row>
    <row r="30135" spans="1:2" x14ac:dyDescent="0.25">
      <c r="A30135" s="118"/>
      <c r="B30135" s="136"/>
    </row>
    <row r="30136" spans="1:2" x14ac:dyDescent="0.25">
      <c r="A30136" s="118"/>
      <c r="B30136" s="136"/>
    </row>
    <row r="30137" spans="1:2" x14ac:dyDescent="0.25">
      <c r="A30137" s="118"/>
      <c r="B30137" s="136"/>
    </row>
    <row r="30138" spans="1:2" x14ac:dyDescent="0.25">
      <c r="A30138" s="118"/>
      <c r="B30138" s="136"/>
    </row>
    <row r="30139" spans="1:2" x14ac:dyDescent="0.25">
      <c r="A30139" s="118"/>
      <c r="B30139" s="136"/>
    </row>
    <row r="30140" spans="1:2" x14ac:dyDescent="0.25">
      <c r="A30140" s="118"/>
      <c r="B30140" s="136"/>
    </row>
    <row r="30141" spans="1:2" x14ac:dyDescent="0.25">
      <c r="A30141" s="118"/>
      <c r="B30141" s="136"/>
    </row>
    <row r="30142" spans="1:2" x14ac:dyDescent="0.25">
      <c r="A30142" s="118"/>
      <c r="B30142" s="136"/>
    </row>
    <row r="30143" spans="1:2" x14ac:dyDescent="0.25">
      <c r="A30143" s="118"/>
      <c r="B30143" s="136"/>
    </row>
    <row r="30144" spans="1:2" x14ac:dyDescent="0.25">
      <c r="A30144" s="118"/>
      <c r="B30144" s="136"/>
    </row>
    <row r="30145" spans="1:2" x14ac:dyDescent="0.25">
      <c r="A30145" s="118"/>
      <c r="B30145" s="136"/>
    </row>
    <row r="30146" spans="1:2" x14ac:dyDescent="0.25">
      <c r="A30146" s="118"/>
      <c r="B30146" s="136"/>
    </row>
    <row r="30147" spans="1:2" x14ac:dyDescent="0.25">
      <c r="A30147" s="118"/>
      <c r="B30147" s="136"/>
    </row>
    <row r="30148" spans="1:2" x14ac:dyDescent="0.25">
      <c r="A30148" s="118"/>
      <c r="B30148" s="136"/>
    </row>
    <row r="30149" spans="1:2" x14ac:dyDescent="0.25">
      <c r="A30149" s="118"/>
      <c r="B30149" s="136"/>
    </row>
    <row r="30150" spans="1:2" x14ac:dyDescent="0.25">
      <c r="A30150" s="118"/>
      <c r="B30150" s="136"/>
    </row>
    <row r="30151" spans="1:2" x14ac:dyDescent="0.25">
      <c r="A30151" s="118"/>
      <c r="B30151" s="136"/>
    </row>
    <row r="30152" spans="1:2" x14ac:dyDescent="0.25">
      <c r="A30152" s="118"/>
      <c r="B30152" s="136"/>
    </row>
    <row r="30153" spans="1:2" x14ac:dyDescent="0.25">
      <c r="A30153" s="118"/>
      <c r="B30153" s="136"/>
    </row>
    <row r="30154" spans="1:2" x14ac:dyDescent="0.25">
      <c r="A30154" s="118"/>
      <c r="B30154" s="136"/>
    </row>
    <row r="30155" spans="1:2" x14ac:dyDescent="0.25">
      <c r="A30155" s="118"/>
      <c r="B30155" s="136"/>
    </row>
    <row r="30156" spans="1:2" x14ac:dyDescent="0.25">
      <c r="A30156" s="118"/>
      <c r="B30156" s="136"/>
    </row>
    <row r="30157" spans="1:2" x14ac:dyDescent="0.25">
      <c r="A30157" s="118"/>
      <c r="B30157" s="136"/>
    </row>
    <row r="30158" spans="1:2" x14ac:dyDescent="0.25">
      <c r="A30158" s="118"/>
      <c r="B30158" s="136"/>
    </row>
    <row r="30159" spans="1:2" x14ac:dyDescent="0.25">
      <c r="A30159" s="118"/>
      <c r="B30159" s="136"/>
    </row>
    <row r="30160" spans="1:2" x14ac:dyDescent="0.25">
      <c r="A30160" s="118"/>
      <c r="B30160" s="136"/>
    </row>
    <row r="30161" spans="1:2" x14ac:dyDescent="0.25">
      <c r="A30161" s="118"/>
      <c r="B30161" s="136"/>
    </row>
    <row r="30162" spans="1:2" x14ac:dyDescent="0.25">
      <c r="A30162" s="118"/>
      <c r="B30162" s="136"/>
    </row>
    <row r="30163" spans="1:2" x14ac:dyDescent="0.25">
      <c r="A30163" s="118"/>
      <c r="B30163" s="136"/>
    </row>
    <row r="30164" spans="1:2" x14ac:dyDescent="0.25">
      <c r="A30164" s="118"/>
      <c r="B30164" s="136"/>
    </row>
    <row r="30165" spans="1:2" x14ac:dyDescent="0.25">
      <c r="A30165" s="118"/>
      <c r="B30165" s="136"/>
    </row>
    <row r="30166" spans="1:2" x14ac:dyDescent="0.25">
      <c r="A30166" s="118"/>
      <c r="B30166" s="136"/>
    </row>
    <row r="30167" spans="1:2" x14ac:dyDescent="0.25">
      <c r="A30167" s="118"/>
      <c r="B30167" s="136"/>
    </row>
    <row r="30168" spans="1:2" x14ac:dyDescent="0.25">
      <c r="A30168" s="118"/>
      <c r="B30168" s="136"/>
    </row>
    <row r="30169" spans="1:2" x14ac:dyDescent="0.25">
      <c r="A30169" s="118"/>
      <c r="B30169" s="136"/>
    </row>
    <row r="30170" spans="1:2" x14ac:dyDescent="0.25">
      <c r="A30170" s="118"/>
      <c r="B30170" s="136"/>
    </row>
    <row r="30171" spans="1:2" x14ac:dyDescent="0.25">
      <c r="A30171" s="118"/>
      <c r="B30171" s="136"/>
    </row>
    <row r="30172" spans="1:2" x14ac:dyDescent="0.25">
      <c r="A30172" s="118"/>
      <c r="B30172" s="136"/>
    </row>
    <row r="30173" spans="1:2" x14ac:dyDescent="0.25">
      <c r="A30173" s="118"/>
      <c r="B30173" s="136"/>
    </row>
    <row r="30174" spans="1:2" x14ac:dyDescent="0.25">
      <c r="A30174" s="118"/>
      <c r="B30174" s="136"/>
    </row>
    <row r="30175" spans="1:2" x14ac:dyDescent="0.25">
      <c r="A30175" s="118"/>
      <c r="B30175" s="136"/>
    </row>
    <row r="30176" spans="1:2" x14ac:dyDescent="0.25">
      <c r="A30176" s="118"/>
      <c r="B30176" s="136"/>
    </row>
    <row r="30177" spans="1:2" x14ac:dyDescent="0.25">
      <c r="A30177" s="118"/>
      <c r="B30177" s="136"/>
    </row>
    <row r="30178" spans="1:2" x14ac:dyDescent="0.25">
      <c r="A30178" s="118"/>
      <c r="B30178" s="136"/>
    </row>
    <row r="30179" spans="1:2" x14ac:dyDescent="0.25">
      <c r="A30179" s="118"/>
      <c r="B30179" s="136"/>
    </row>
    <row r="30180" spans="1:2" x14ac:dyDescent="0.25">
      <c r="A30180" s="118"/>
      <c r="B30180" s="136"/>
    </row>
    <row r="30181" spans="1:2" x14ac:dyDescent="0.25">
      <c r="A30181" s="118"/>
      <c r="B30181" s="136"/>
    </row>
    <row r="30182" spans="1:2" x14ac:dyDescent="0.25">
      <c r="A30182" s="118"/>
      <c r="B30182" s="136"/>
    </row>
    <row r="30183" spans="1:2" x14ac:dyDescent="0.25">
      <c r="A30183" s="118"/>
      <c r="B30183" s="136"/>
    </row>
    <row r="30184" spans="1:2" x14ac:dyDescent="0.25">
      <c r="A30184" s="118"/>
      <c r="B30184" s="136"/>
    </row>
    <row r="30185" spans="1:2" x14ac:dyDescent="0.25">
      <c r="A30185" s="118"/>
      <c r="B30185" s="136"/>
    </row>
    <row r="30186" spans="1:2" x14ac:dyDescent="0.25">
      <c r="A30186" s="118"/>
      <c r="B30186" s="136"/>
    </row>
    <row r="30187" spans="1:2" x14ac:dyDescent="0.25">
      <c r="A30187" s="118"/>
      <c r="B30187" s="136"/>
    </row>
    <row r="30188" spans="1:2" x14ac:dyDescent="0.25">
      <c r="A30188" s="118"/>
      <c r="B30188" s="136"/>
    </row>
    <row r="30189" spans="1:2" x14ac:dyDescent="0.25">
      <c r="A30189" s="118"/>
      <c r="B30189" s="136"/>
    </row>
    <row r="30190" spans="1:2" x14ac:dyDescent="0.25">
      <c r="A30190" s="118"/>
      <c r="B30190" s="136"/>
    </row>
    <row r="30191" spans="1:2" x14ac:dyDescent="0.25">
      <c r="A30191" s="118"/>
      <c r="B30191" s="136"/>
    </row>
    <row r="30192" spans="1:2" x14ac:dyDescent="0.25">
      <c r="A30192" s="118"/>
      <c r="B30192" s="136"/>
    </row>
    <row r="30193" spans="1:2" x14ac:dyDescent="0.25">
      <c r="A30193" s="118"/>
      <c r="B30193" s="136"/>
    </row>
    <row r="30194" spans="1:2" x14ac:dyDescent="0.25">
      <c r="A30194" s="118"/>
      <c r="B30194" s="136"/>
    </row>
    <row r="30195" spans="1:2" x14ac:dyDescent="0.25">
      <c r="A30195" s="118"/>
      <c r="B30195" s="136"/>
    </row>
    <row r="30196" spans="1:2" x14ac:dyDescent="0.25">
      <c r="A30196" s="118"/>
      <c r="B30196" s="136"/>
    </row>
    <row r="30197" spans="1:2" x14ac:dyDescent="0.25">
      <c r="A30197" s="118"/>
      <c r="B30197" s="136"/>
    </row>
    <row r="30198" spans="1:2" x14ac:dyDescent="0.25">
      <c r="A30198" s="118"/>
      <c r="B30198" s="136"/>
    </row>
    <row r="30199" spans="1:2" x14ac:dyDescent="0.25">
      <c r="A30199" s="118"/>
      <c r="B30199" s="136"/>
    </row>
    <row r="30200" spans="1:2" x14ac:dyDescent="0.25">
      <c r="A30200" s="118"/>
      <c r="B30200" s="136"/>
    </row>
    <row r="30201" spans="1:2" x14ac:dyDescent="0.25">
      <c r="A30201" s="118"/>
      <c r="B30201" s="136"/>
    </row>
    <row r="30202" spans="1:2" x14ac:dyDescent="0.25">
      <c r="A30202" s="118"/>
      <c r="B30202" s="136"/>
    </row>
    <row r="30203" spans="1:2" x14ac:dyDescent="0.25">
      <c r="A30203" s="118"/>
      <c r="B30203" s="136"/>
    </row>
    <row r="30204" spans="1:2" x14ac:dyDescent="0.25">
      <c r="A30204" s="118"/>
      <c r="B30204" s="136"/>
    </row>
    <row r="30205" spans="1:2" x14ac:dyDescent="0.25">
      <c r="A30205" s="118"/>
      <c r="B30205" s="136"/>
    </row>
    <row r="30206" spans="1:2" x14ac:dyDescent="0.25">
      <c r="A30206" s="118"/>
      <c r="B30206" s="136"/>
    </row>
    <row r="30207" spans="1:2" x14ac:dyDescent="0.25">
      <c r="A30207" s="118"/>
      <c r="B30207" s="136"/>
    </row>
    <row r="30208" spans="1:2" x14ac:dyDescent="0.25">
      <c r="A30208" s="118"/>
      <c r="B30208" s="136"/>
    </row>
    <row r="30209" spans="1:2" x14ac:dyDescent="0.25">
      <c r="A30209" s="118"/>
      <c r="B30209" s="136"/>
    </row>
    <row r="30210" spans="1:2" x14ac:dyDescent="0.25">
      <c r="A30210" s="118"/>
      <c r="B30210" s="136"/>
    </row>
    <row r="30211" spans="1:2" x14ac:dyDescent="0.25">
      <c r="A30211" s="118"/>
      <c r="B30211" s="136"/>
    </row>
    <row r="30212" spans="1:2" x14ac:dyDescent="0.25">
      <c r="A30212" s="118"/>
      <c r="B30212" s="136"/>
    </row>
    <row r="30213" spans="1:2" x14ac:dyDescent="0.25">
      <c r="A30213" s="118"/>
      <c r="B30213" s="136"/>
    </row>
    <row r="30214" spans="1:2" x14ac:dyDescent="0.25">
      <c r="A30214" s="118"/>
      <c r="B30214" s="136"/>
    </row>
    <row r="30215" spans="1:2" x14ac:dyDescent="0.25">
      <c r="A30215" s="118"/>
      <c r="B30215" s="136"/>
    </row>
    <row r="30216" spans="1:2" x14ac:dyDescent="0.25">
      <c r="A30216" s="118"/>
      <c r="B30216" s="136"/>
    </row>
    <row r="30217" spans="1:2" x14ac:dyDescent="0.25">
      <c r="A30217" s="118"/>
      <c r="B30217" s="136"/>
    </row>
    <row r="30218" spans="1:2" x14ac:dyDescent="0.25">
      <c r="A30218" s="118"/>
      <c r="B30218" s="136"/>
    </row>
    <row r="30219" spans="1:2" x14ac:dyDescent="0.25">
      <c r="A30219" s="118"/>
      <c r="B30219" s="136"/>
    </row>
    <row r="30220" spans="1:2" x14ac:dyDescent="0.25">
      <c r="A30220" s="118"/>
      <c r="B30220" s="136"/>
    </row>
    <row r="30221" spans="1:2" x14ac:dyDescent="0.25">
      <c r="A30221" s="118"/>
      <c r="B30221" s="136"/>
    </row>
    <row r="30222" spans="1:2" x14ac:dyDescent="0.25">
      <c r="A30222" s="118"/>
      <c r="B30222" s="136"/>
    </row>
    <row r="30223" spans="1:2" x14ac:dyDescent="0.25">
      <c r="A30223" s="118"/>
      <c r="B30223" s="136"/>
    </row>
    <row r="30224" spans="1:2" x14ac:dyDescent="0.25">
      <c r="A30224" s="118"/>
      <c r="B30224" s="136"/>
    </row>
    <row r="30225" spans="1:2" x14ac:dyDescent="0.25">
      <c r="A30225" s="118"/>
      <c r="B30225" s="136"/>
    </row>
    <row r="30226" spans="1:2" x14ac:dyDescent="0.25">
      <c r="A30226" s="118"/>
      <c r="B30226" s="136"/>
    </row>
    <row r="30227" spans="1:2" x14ac:dyDescent="0.25">
      <c r="A30227" s="118"/>
      <c r="B30227" s="136"/>
    </row>
    <row r="30228" spans="1:2" x14ac:dyDescent="0.25">
      <c r="A30228" s="118"/>
      <c r="B30228" s="136"/>
    </row>
    <row r="30229" spans="1:2" x14ac:dyDescent="0.25">
      <c r="A30229" s="118"/>
      <c r="B30229" s="136"/>
    </row>
    <row r="30230" spans="1:2" x14ac:dyDescent="0.25">
      <c r="A30230" s="118"/>
      <c r="B30230" s="136"/>
    </row>
    <row r="30231" spans="1:2" x14ac:dyDescent="0.25">
      <c r="A30231" s="118"/>
      <c r="B30231" s="136"/>
    </row>
    <row r="30232" spans="1:2" x14ac:dyDescent="0.25">
      <c r="A30232" s="118"/>
      <c r="B30232" s="136"/>
    </row>
    <row r="30233" spans="1:2" x14ac:dyDescent="0.25">
      <c r="A30233" s="118"/>
      <c r="B30233" s="136"/>
    </row>
    <row r="30234" spans="1:2" x14ac:dyDescent="0.25">
      <c r="A30234" s="118"/>
      <c r="B30234" s="136"/>
    </row>
    <row r="30235" spans="1:2" x14ac:dyDescent="0.25">
      <c r="A30235" s="118"/>
      <c r="B30235" s="136"/>
    </row>
    <row r="30236" spans="1:2" x14ac:dyDescent="0.25">
      <c r="A30236" s="118"/>
      <c r="B30236" s="136"/>
    </row>
    <row r="30237" spans="1:2" x14ac:dyDescent="0.25">
      <c r="A30237" s="118"/>
      <c r="B30237" s="136"/>
    </row>
    <row r="30238" spans="1:2" x14ac:dyDescent="0.25">
      <c r="A30238" s="118"/>
      <c r="B30238" s="136"/>
    </row>
    <row r="30239" spans="1:2" x14ac:dyDescent="0.25">
      <c r="A30239" s="118"/>
      <c r="B30239" s="136"/>
    </row>
    <row r="30240" spans="1:2" x14ac:dyDescent="0.25">
      <c r="A30240" s="118"/>
      <c r="B30240" s="136"/>
    </row>
    <row r="30241" spans="1:2" x14ac:dyDescent="0.25">
      <c r="A30241" s="118"/>
      <c r="B30241" s="136"/>
    </row>
    <row r="30242" spans="1:2" x14ac:dyDescent="0.25">
      <c r="A30242" s="118"/>
      <c r="B30242" s="136"/>
    </row>
    <row r="30243" spans="1:2" x14ac:dyDescent="0.25">
      <c r="A30243" s="118"/>
      <c r="B30243" s="136"/>
    </row>
    <row r="30244" spans="1:2" x14ac:dyDescent="0.25">
      <c r="A30244" s="118"/>
      <c r="B30244" s="136"/>
    </row>
    <row r="30245" spans="1:2" x14ac:dyDescent="0.25">
      <c r="A30245" s="118"/>
      <c r="B30245" s="136"/>
    </row>
    <row r="30246" spans="1:2" x14ac:dyDescent="0.25">
      <c r="A30246" s="118"/>
      <c r="B30246" s="136"/>
    </row>
    <row r="30247" spans="1:2" x14ac:dyDescent="0.25">
      <c r="A30247" s="118"/>
      <c r="B30247" s="136"/>
    </row>
    <row r="30248" spans="1:2" x14ac:dyDescent="0.25">
      <c r="A30248" s="118"/>
      <c r="B30248" s="136"/>
    </row>
    <row r="30249" spans="1:2" x14ac:dyDescent="0.25">
      <c r="A30249" s="118"/>
      <c r="B30249" s="136"/>
    </row>
    <row r="30250" spans="1:2" x14ac:dyDescent="0.25">
      <c r="A30250" s="118"/>
      <c r="B30250" s="136"/>
    </row>
    <row r="30251" spans="1:2" x14ac:dyDescent="0.25">
      <c r="A30251" s="118"/>
      <c r="B30251" s="136"/>
    </row>
    <row r="30252" spans="1:2" x14ac:dyDescent="0.25">
      <c r="A30252" s="118"/>
      <c r="B30252" s="136"/>
    </row>
    <row r="30253" spans="1:2" x14ac:dyDescent="0.25">
      <c r="A30253" s="118"/>
      <c r="B30253" s="136"/>
    </row>
    <row r="30254" spans="1:2" x14ac:dyDescent="0.25">
      <c r="A30254" s="118"/>
      <c r="B30254" s="136"/>
    </row>
    <row r="30255" spans="1:2" x14ac:dyDescent="0.25">
      <c r="A30255" s="118"/>
      <c r="B30255" s="136"/>
    </row>
    <row r="30256" spans="1:2" x14ac:dyDescent="0.25">
      <c r="A30256" s="118"/>
      <c r="B30256" s="136"/>
    </row>
    <row r="30257" spans="1:2" x14ac:dyDescent="0.25">
      <c r="A30257" s="118"/>
      <c r="B30257" s="136"/>
    </row>
    <row r="30258" spans="1:2" x14ac:dyDescent="0.25">
      <c r="A30258" s="118"/>
      <c r="B30258" s="136"/>
    </row>
    <row r="30259" spans="1:2" x14ac:dyDescent="0.25">
      <c r="A30259" s="118"/>
      <c r="B30259" s="136"/>
    </row>
    <row r="30260" spans="1:2" x14ac:dyDescent="0.25">
      <c r="A30260" s="118"/>
      <c r="B30260" s="136"/>
    </row>
    <row r="30261" spans="1:2" x14ac:dyDescent="0.25">
      <c r="A30261" s="118"/>
      <c r="B30261" s="136"/>
    </row>
    <row r="30262" spans="1:2" x14ac:dyDescent="0.25">
      <c r="A30262" s="118"/>
      <c r="B30262" s="136"/>
    </row>
    <row r="30263" spans="1:2" x14ac:dyDescent="0.25">
      <c r="A30263" s="118"/>
      <c r="B30263" s="136"/>
    </row>
    <row r="30264" spans="1:2" x14ac:dyDescent="0.25">
      <c r="A30264" s="118"/>
      <c r="B30264" s="136"/>
    </row>
    <row r="30265" spans="1:2" x14ac:dyDescent="0.25">
      <c r="A30265" s="118"/>
      <c r="B30265" s="136"/>
    </row>
    <row r="30266" spans="1:2" x14ac:dyDescent="0.25">
      <c r="A30266" s="118"/>
      <c r="B30266" s="136"/>
    </row>
    <row r="30267" spans="1:2" x14ac:dyDescent="0.25">
      <c r="A30267" s="118"/>
      <c r="B30267" s="136"/>
    </row>
    <row r="30268" spans="1:2" x14ac:dyDescent="0.25">
      <c r="A30268" s="118"/>
      <c r="B30268" s="136"/>
    </row>
    <row r="30269" spans="1:2" x14ac:dyDescent="0.25">
      <c r="A30269" s="118"/>
      <c r="B30269" s="136"/>
    </row>
    <row r="30270" spans="1:2" x14ac:dyDescent="0.25">
      <c r="A30270" s="118"/>
      <c r="B30270" s="136"/>
    </row>
    <row r="30271" spans="1:2" x14ac:dyDescent="0.25">
      <c r="A30271" s="118"/>
      <c r="B30271" s="136"/>
    </row>
    <row r="30272" spans="1:2" x14ac:dyDescent="0.25">
      <c r="A30272" s="118"/>
      <c r="B30272" s="136"/>
    </row>
    <row r="30273" spans="1:2" x14ac:dyDescent="0.25">
      <c r="A30273" s="118"/>
      <c r="B30273" s="136"/>
    </row>
    <row r="30274" spans="1:2" x14ac:dyDescent="0.25">
      <c r="A30274" s="118"/>
      <c r="B30274" s="136"/>
    </row>
    <row r="30275" spans="1:2" x14ac:dyDescent="0.25">
      <c r="A30275" s="118"/>
      <c r="B30275" s="136"/>
    </row>
    <row r="30276" spans="1:2" x14ac:dyDescent="0.25">
      <c r="A30276" s="118"/>
      <c r="B30276" s="136"/>
    </row>
    <row r="30277" spans="1:2" x14ac:dyDescent="0.25">
      <c r="A30277" s="118"/>
      <c r="B30277" s="136"/>
    </row>
    <row r="30278" spans="1:2" x14ac:dyDescent="0.25">
      <c r="A30278" s="118"/>
      <c r="B30278" s="136"/>
    </row>
    <row r="30279" spans="1:2" x14ac:dyDescent="0.25">
      <c r="A30279" s="118"/>
      <c r="B30279" s="136"/>
    </row>
    <row r="30280" spans="1:2" x14ac:dyDescent="0.25">
      <c r="A30280" s="118"/>
      <c r="B30280" s="136"/>
    </row>
    <row r="30281" spans="1:2" x14ac:dyDescent="0.25">
      <c r="A30281" s="118"/>
      <c r="B30281" s="136"/>
    </row>
    <row r="30282" spans="1:2" x14ac:dyDescent="0.25">
      <c r="A30282" s="118"/>
      <c r="B30282" s="136"/>
    </row>
    <row r="30283" spans="1:2" x14ac:dyDescent="0.25">
      <c r="A30283" s="118"/>
      <c r="B30283" s="136"/>
    </row>
    <row r="30284" spans="1:2" x14ac:dyDescent="0.25">
      <c r="A30284" s="118"/>
      <c r="B30284" s="136"/>
    </row>
    <row r="30285" spans="1:2" x14ac:dyDescent="0.25">
      <c r="A30285" s="118"/>
      <c r="B30285" s="136"/>
    </row>
    <row r="30286" spans="1:2" x14ac:dyDescent="0.25">
      <c r="A30286" s="118"/>
      <c r="B30286" s="136"/>
    </row>
    <row r="30287" spans="1:2" x14ac:dyDescent="0.25">
      <c r="A30287" s="118"/>
      <c r="B30287" s="136"/>
    </row>
    <row r="30288" spans="1:2" x14ac:dyDescent="0.25">
      <c r="A30288" s="118"/>
      <c r="B30288" s="136"/>
    </row>
    <row r="30289" spans="1:2" x14ac:dyDescent="0.25">
      <c r="A30289" s="118"/>
      <c r="B30289" s="136"/>
    </row>
    <row r="30290" spans="1:2" x14ac:dyDescent="0.25">
      <c r="A30290" s="118"/>
      <c r="B30290" s="136"/>
    </row>
    <row r="30291" spans="1:2" x14ac:dyDescent="0.25">
      <c r="A30291" s="118"/>
      <c r="B30291" s="136"/>
    </row>
    <row r="30292" spans="1:2" x14ac:dyDescent="0.25">
      <c r="A30292" s="118"/>
      <c r="B30292" s="136"/>
    </row>
    <row r="30293" spans="1:2" x14ac:dyDescent="0.25">
      <c r="A30293" s="118"/>
      <c r="B30293" s="136"/>
    </row>
    <row r="30294" spans="1:2" x14ac:dyDescent="0.25">
      <c r="A30294" s="118"/>
      <c r="B30294" s="136"/>
    </row>
    <row r="30295" spans="1:2" x14ac:dyDescent="0.25">
      <c r="A30295" s="118"/>
      <c r="B30295" s="136"/>
    </row>
    <row r="30296" spans="1:2" x14ac:dyDescent="0.25">
      <c r="A30296" s="118"/>
      <c r="B30296" s="136"/>
    </row>
    <row r="30297" spans="1:2" x14ac:dyDescent="0.25">
      <c r="A30297" s="118"/>
      <c r="B30297" s="136"/>
    </row>
    <row r="30298" spans="1:2" x14ac:dyDescent="0.25">
      <c r="A30298" s="118"/>
      <c r="B30298" s="136"/>
    </row>
    <row r="30299" spans="1:2" x14ac:dyDescent="0.25">
      <c r="A30299" s="118"/>
      <c r="B30299" s="136"/>
    </row>
    <row r="30300" spans="1:2" x14ac:dyDescent="0.25">
      <c r="A30300" s="118"/>
      <c r="B30300" s="136"/>
    </row>
    <row r="30301" spans="1:2" x14ac:dyDescent="0.25">
      <c r="A30301" s="118"/>
      <c r="B30301" s="136"/>
    </row>
    <row r="30302" spans="1:2" x14ac:dyDescent="0.25">
      <c r="A30302" s="118"/>
      <c r="B30302" s="136"/>
    </row>
    <row r="30303" spans="1:2" x14ac:dyDescent="0.25">
      <c r="A30303" s="118"/>
      <c r="B30303" s="136"/>
    </row>
    <row r="30304" spans="1:2" x14ac:dyDescent="0.25">
      <c r="A30304" s="118"/>
      <c r="B30304" s="136"/>
    </row>
    <row r="30305" spans="1:2" x14ac:dyDescent="0.25">
      <c r="A30305" s="118"/>
      <c r="B30305" s="136"/>
    </row>
    <row r="30306" spans="1:2" x14ac:dyDescent="0.25">
      <c r="A30306" s="118"/>
      <c r="B30306" s="136"/>
    </row>
    <row r="30307" spans="1:2" x14ac:dyDescent="0.25">
      <c r="A30307" s="118"/>
      <c r="B30307" s="136"/>
    </row>
    <row r="30308" spans="1:2" x14ac:dyDescent="0.25">
      <c r="A30308" s="118"/>
      <c r="B30308" s="136"/>
    </row>
    <row r="30309" spans="1:2" x14ac:dyDescent="0.25">
      <c r="A30309" s="118"/>
      <c r="B30309" s="136"/>
    </row>
    <row r="30310" spans="1:2" x14ac:dyDescent="0.25">
      <c r="A30310" s="118"/>
      <c r="B30310" s="136"/>
    </row>
    <row r="30311" spans="1:2" x14ac:dyDescent="0.25">
      <c r="A30311" s="118"/>
      <c r="B30311" s="136"/>
    </row>
    <row r="30312" spans="1:2" x14ac:dyDescent="0.25">
      <c r="A30312" s="118"/>
      <c r="B30312" s="136"/>
    </row>
    <row r="30313" spans="1:2" x14ac:dyDescent="0.25">
      <c r="A30313" s="118"/>
      <c r="B30313" s="136"/>
    </row>
    <row r="30314" spans="1:2" x14ac:dyDescent="0.25">
      <c r="A30314" s="118"/>
      <c r="B30314" s="136"/>
    </row>
    <row r="30315" spans="1:2" x14ac:dyDescent="0.25">
      <c r="A30315" s="118"/>
      <c r="B30315" s="136"/>
    </row>
    <row r="30316" spans="1:2" x14ac:dyDescent="0.25">
      <c r="A30316" s="118"/>
      <c r="B30316" s="136"/>
    </row>
    <row r="30317" spans="1:2" x14ac:dyDescent="0.25">
      <c r="A30317" s="118"/>
      <c r="B30317" s="136"/>
    </row>
    <row r="30318" spans="1:2" x14ac:dyDescent="0.25">
      <c r="A30318" s="118"/>
      <c r="B30318" s="136"/>
    </row>
    <row r="30319" spans="1:2" x14ac:dyDescent="0.25">
      <c r="A30319" s="118"/>
      <c r="B30319" s="136"/>
    </row>
    <row r="30320" spans="1:2" x14ac:dyDescent="0.25">
      <c r="A30320" s="118"/>
      <c r="B30320" s="136"/>
    </row>
    <row r="30321" spans="1:2" x14ac:dyDescent="0.25">
      <c r="A30321" s="118"/>
      <c r="B30321" s="136"/>
    </row>
    <row r="30322" spans="1:2" x14ac:dyDescent="0.25">
      <c r="A30322" s="118"/>
      <c r="B30322" s="136"/>
    </row>
    <row r="30323" spans="1:2" x14ac:dyDescent="0.25">
      <c r="A30323" s="118"/>
      <c r="B30323" s="136"/>
    </row>
    <row r="30324" spans="1:2" x14ac:dyDescent="0.25">
      <c r="A30324" s="118"/>
      <c r="B30324" s="136"/>
    </row>
    <row r="30325" spans="1:2" x14ac:dyDescent="0.25">
      <c r="A30325" s="118"/>
      <c r="B30325" s="136"/>
    </row>
    <row r="30326" spans="1:2" x14ac:dyDescent="0.25">
      <c r="A30326" s="118"/>
      <c r="B30326" s="136"/>
    </row>
    <row r="30327" spans="1:2" x14ac:dyDescent="0.25">
      <c r="A30327" s="118"/>
      <c r="B30327" s="136"/>
    </row>
    <row r="30328" spans="1:2" x14ac:dyDescent="0.25">
      <c r="A30328" s="118"/>
      <c r="B30328" s="136"/>
    </row>
    <row r="30329" spans="1:2" x14ac:dyDescent="0.25">
      <c r="A30329" s="118"/>
      <c r="B30329" s="136"/>
    </row>
    <row r="30330" spans="1:2" x14ac:dyDescent="0.25">
      <c r="A30330" s="118"/>
      <c r="B30330" s="136"/>
    </row>
    <row r="30331" spans="1:2" x14ac:dyDescent="0.25">
      <c r="A30331" s="118"/>
      <c r="B30331" s="136"/>
    </row>
    <row r="30332" spans="1:2" x14ac:dyDescent="0.25">
      <c r="A30332" s="118"/>
      <c r="B30332" s="136"/>
    </row>
    <row r="30333" spans="1:2" x14ac:dyDescent="0.25">
      <c r="A30333" s="118"/>
      <c r="B30333" s="136"/>
    </row>
    <row r="30334" spans="1:2" x14ac:dyDescent="0.25">
      <c r="A30334" s="118"/>
      <c r="B30334" s="136"/>
    </row>
    <row r="30335" spans="1:2" x14ac:dyDescent="0.25">
      <c r="A30335" s="118"/>
      <c r="B30335" s="136"/>
    </row>
    <row r="30336" spans="1:2" x14ac:dyDescent="0.25">
      <c r="A30336" s="118"/>
      <c r="B30336" s="136"/>
    </row>
    <row r="30337" spans="1:2" x14ac:dyDescent="0.25">
      <c r="A30337" s="118"/>
      <c r="B30337" s="136"/>
    </row>
    <row r="30338" spans="1:2" x14ac:dyDescent="0.25">
      <c r="A30338" s="118"/>
      <c r="B30338" s="136"/>
    </row>
    <row r="30339" spans="1:2" x14ac:dyDescent="0.25">
      <c r="A30339" s="118"/>
      <c r="B30339" s="136"/>
    </row>
    <row r="30340" spans="1:2" x14ac:dyDescent="0.25">
      <c r="A30340" s="118"/>
      <c r="B30340" s="136"/>
    </row>
    <row r="30341" spans="1:2" x14ac:dyDescent="0.25">
      <c r="A30341" s="118"/>
      <c r="B30341" s="136"/>
    </row>
    <row r="30342" spans="1:2" x14ac:dyDescent="0.25">
      <c r="A30342" s="118"/>
      <c r="B30342" s="136"/>
    </row>
    <row r="30343" spans="1:2" x14ac:dyDescent="0.25">
      <c r="A30343" s="118"/>
      <c r="B30343" s="136"/>
    </row>
    <row r="30344" spans="1:2" x14ac:dyDescent="0.25">
      <c r="A30344" s="118"/>
      <c r="B30344" s="136"/>
    </row>
    <row r="30345" spans="1:2" x14ac:dyDescent="0.25">
      <c r="A30345" s="118"/>
      <c r="B30345" s="136"/>
    </row>
    <row r="30346" spans="1:2" x14ac:dyDescent="0.25">
      <c r="A30346" s="118"/>
      <c r="B30346" s="136"/>
    </row>
    <row r="30347" spans="1:2" x14ac:dyDescent="0.25">
      <c r="A30347" s="118"/>
      <c r="B30347" s="136"/>
    </row>
    <row r="30348" spans="1:2" x14ac:dyDescent="0.25">
      <c r="A30348" s="118"/>
      <c r="B30348" s="136"/>
    </row>
    <row r="30349" spans="1:2" x14ac:dyDescent="0.25">
      <c r="A30349" s="118"/>
      <c r="B30349" s="136"/>
    </row>
    <row r="30350" spans="1:2" x14ac:dyDescent="0.25">
      <c r="A30350" s="118"/>
      <c r="B30350" s="136"/>
    </row>
    <row r="30351" spans="1:2" x14ac:dyDescent="0.25">
      <c r="A30351" s="118"/>
      <c r="B30351" s="136"/>
    </row>
    <row r="30352" spans="1:2" x14ac:dyDescent="0.25">
      <c r="A30352" s="118"/>
      <c r="B30352" s="136"/>
    </row>
    <row r="30353" spans="1:2" x14ac:dyDescent="0.25">
      <c r="A30353" s="118"/>
      <c r="B30353" s="136"/>
    </row>
    <row r="30354" spans="1:2" x14ac:dyDescent="0.25">
      <c r="A30354" s="118"/>
      <c r="B30354" s="136"/>
    </row>
    <row r="30355" spans="1:2" x14ac:dyDescent="0.25">
      <c r="A30355" s="118"/>
      <c r="B30355" s="136"/>
    </row>
    <row r="30356" spans="1:2" x14ac:dyDescent="0.25">
      <c r="A30356" s="118"/>
      <c r="B30356" s="136"/>
    </row>
    <row r="30357" spans="1:2" x14ac:dyDescent="0.25">
      <c r="A30357" s="118"/>
      <c r="B30357" s="136"/>
    </row>
    <row r="30358" spans="1:2" x14ac:dyDescent="0.25">
      <c r="A30358" s="118"/>
      <c r="B30358" s="136"/>
    </row>
    <row r="30359" spans="1:2" x14ac:dyDescent="0.25">
      <c r="A30359" s="118"/>
      <c r="B30359" s="136"/>
    </row>
    <row r="30360" spans="1:2" x14ac:dyDescent="0.25">
      <c r="A30360" s="118"/>
      <c r="B30360" s="136"/>
    </row>
    <row r="30361" spans="1:2" x14ac:dyDescent="0.25">
      <c r="A30361" s="118"/>
      <c r="B30361" s="136"/>
    </row>
    <row r="30362" spans="1:2" x14ac:dyDescent="0.25">
      <c r="A30362" s="118"/>
      <c r="B30362" s="136"/>
    </row>
    <row r="30363" spans="1:2" x14ac:dyDescent="0.25">
      <c r="A30363" s="118"/>
      <c r="B30363" s="136"/>
    </row>
    <row r="30364" spans="1:2" x14ac:dyDescent="0.25">
      <c r="A30364" s="118"/>
      <c r="B30364" s="136"/>
    </row>
    <row r="30365" spans="1:2" x14ac:dyDescent="0.25">
      <c r="A30365" s="118"/>
      <c r="B30365" s="136"/>
    </row>
    <row r="30366" spans="1:2" x14ac:dyDescent="0.25">
      <c r="A30366" s="118"/>
      <c r="B30366" s="136"/>
    </row>
    <row r="30367" spans="1:2" x14ac:dyDescent="0.25">
      <c r="A30367" s="118"/>
      <c r="B30367" s="136"/>
    </row>
    <row r="30368" spans="1:2" x14ac:dyDescent="0.25">
      <c r="A30368" s="118"/>
      <c r="B30368" s="136"/>
    </row>
    <row r="30369" spans="1:2" x14ac:dyDescent="0.25">
      <c r="A30369" s="118"/>
      <c r="B30369" s="136"/>
    </row>
    <row r="30370" spans="1:2" x14ac:dyDescent="0.25">
      <c r="A30370" s="118"/>
      <c r="B30370" s="136"/>
    </row>
    <row r="30371" spans="1:2" x14ac:dyDescent="0.25">
      <c r="A30371" s="118"/>
      <c r="B30371" s="136"/>
    </row>
    <row r="30372" spans="1:2" x14ac:dyDescent="0.25">
      <c r="A30372" s="118"/>
      <c r="B30372" s="136"/>
    </row>
    <row r="30373" spans="1:2" x14ac:dyDescent="0.25">
      <c r="A30373" s="118"/>
      <c r="B30373" s="136"/>
    </row>
    <row r="30374" spans="1:2" x14ac:dyDescent="0.25">
      <c r="A30374" s="118"/>
      <c r="B30374" s="136"/>
    </row>
    <row r="30375" spans="1:2" x14ac:dyDescent="0.25">
      <c r="A30375" s="118"/>
      <c r="B30375" s="136"/>
    </row>
    <row r="30376" spans="1:2" x14ac:dyDescent="0.25">
      <c r="A30376" s="118"/>
      <c r="B30376" s="136"/>
    </row>
    <row r="30377" spans="1:2" x14ac:dyDescent="0.25">
      <c r="A30377" s="118"/>
      <c r="B30377" s="136"/>
    </row>
    <row r="30378" spans="1:2" x14ac:dyDescent="0.25">
      <c r="A30378" s="118"/>
      <c r="B30378" s="136"/>
    </row>
    <row r="30379" spans="1:2" x14ac:dyDescent="0.25">
      <c r="A30379" s="118"/>
      <c r="B30379" s="136"/>
    </row>
    <row r="30380" spans="1:2" x14ac:dyDescent="0.25">
      <c r="A30380" s="118"/>
      <c r="B30380" s="136"/>
    </row>
    <row r="30381" spans="1:2" x14ac:dyDescent="0.25">
      <c r="A30381" s="118"/>
      <c r="B30381" s="136"/>
    </row>
    <row r="30382" spans="1:2" x14ac:dyDescent="0.25">
      <c r="A30382" s="118"/>
      <c r="B30382" s="136"/>
    </row>
    <row r="30383" spans="1:2" x14ac:dyDescent="0.25">
      <c r="A30383" s="118"/>
      <c r="B30383" s="136"/>
    </row>
    <row r="30384" spans="1:2" x14ac:dyDescent="0.25">
      <c r="A30384" s="118"/>
      <c r="B30384" s="136"/>
    </row>
    <row r="30385" spans="1:2" x14ac:dyDescent="0.25">
      <c r="A30385" s="118"/>
      <c r="B30385" s="136"/>
    </row>
    <row r="30386" spans="1:2" x14ac:dyDescent="0.25">
      <c r="A30386" s="118"/>
      <c r="B30386" s="136"/>
    </row>
    <row r="30387" spans="1:2" x14ac:dyDescent="0.25">
      <c r="A30387" s="118"/>
      <c r="B30387" s="136"/>
    </row>
    <row r="30388" spans="1:2" x14ac:dyDescent="0.25">
      <c r="A30388" s="118"/>
      <c r="B30388" s="136"/>
    </row>
    <row r="30389" spans="1:2" x14ac:dyDescent="0.25">
      <c r="A30389" s="118"/>
      <c r="B30389" s="136"/>
    </row>
    <row r="30390" spans="1:2" x14ac:dyDescent="0.25">
      <c r="A30390" s="118"/>
      <c r="B30390" s="136"/>
    </row>
    <row r="30391" spans="1:2" x14ac:dyDescent="0.25">
      <c r="A30391" s="118"/>
      <c r="B30391" s="136"/>
    </row>
    <row r="30392" spans="1:2" x14ac:dyDescent="0.25">
      <c r="A30392" s="118"/>
      <c r="B30392" s="136"/>
    </row>
    <row r="30393" spans="1:2" x14ac:dyDescent="0.25">
      <c r="A30393" s="118"/>
      <c r="B30393" s="136"/>
    </row>
    <row r="30394" spans="1:2" x14ac:dyDescent="0.25">
      <c r="A30394" s="118"/>
      <c r="B30394" s="136"/>
    </row>
    <row r="30395" spans="1:2" x14ac:dyDescent="0.25">
      <c r="A30395" s="118"/>
      <c r="B30395" s="136"/>
    </row>
    <row r="30396" spans="1:2" x14ac:dyDescent="0.25">
      <c r="A30396" s="118"/>
      <c r="B30396" s="136"/>
    </row>
    <row r="30397" spans="1:2" x14ac:dyDescent="0.25">
      <c r="A30397" s="118"/>
      <c r="B30397" s="136"/>
    </row>
    <row r="30398" spans="1:2" x14ac:dyDescent="0.25">
      <c r="A30398" s="118"/>
      <c r="B30398" s="136"/>
    </row>
    <row r="30399" spans="1:2" x14ac:dyDescent="0.25">
      <c r="A30399" s="118"/>
      <c r="B30399" s="136"/>
    </row>
    <row r="30400" spans="1:2" x14ac:dyDescent="0.25">
      <c r="A30400" s="118"/>
      <c r="B30400" s="136"/>
    </row>
    <row r="30401" spans="1:2" x14ac:dyDescent="0.25">
      <c r="A30401" s="118"/>
      <c r="B30401" s="136"/>
    </row>
    <row r="30402" spans="1:2" x14ac:dyDescent="0.25">
      <c r="A30402" s="118"/>
      <c r="B30402" s="136"/>
    </row>
    <row r="30403" spans="1:2" x14ac:dyDescent="0.25">
      <c r="A30403" s="118"/>
      <c r="B30403" s="136"/>
    </row>
    <row r="30404" spans="1:2" x14ac:dyDescent="0.25">
      <c r="A30404" s="118"/>
      <c r="B30404" s="136"/>
    </row>
    <row r="30405" spans="1:2" x14ac:dyDescent="0.25">
      <c r="A30405" s="118"/>
      <c r="B30405" s="136"/>
    </row>
    <row r="30406" spans="1:2" x14ac:dyDescent="0.25">
      <c r="A30406" s="118"/>
      <c r="B30406" s="136"/>
    </row>
    <row r="30407" spans="1:2" x14ac:dyDescent="0.25">
      <c r="A30407" s="118"/>
      <c r="B30407" s="136"/>
    </row>
    <row r="30408" spans="1:2" x14ac:dyDescent="0.25">
      <c r="A30408" s="118"/>
      <c r="B30408" s="136"/>
    </row>
    <row r="30409" spans="1:2" x14ac:dyDescent="0.25">
      <c r="A30409" s="118"/>
      <c r="B30409" s="136"/>
    </row>
    <row r="30410" spans="1:2" x14ac:dyDescent="0.25">
      <c r="A30410" s="118"/>
      <c r="B30410" s="136"/>
    </row>
    <row r="30411" spans="1:2" x14ac:dyDescent="0.25">
      <c r="A30411" s="118"/>
      <c r="B30411" s="136"/>
    </row>
    <row r="30412" spans="1:2" x14ac:dyDescent="0.25">
      <c r="A30412" s="118"/>
      <c r="B30412" s="136"/>
    </row>
    <row r="30413" spans="1:2" x14ac:dyDescent="0.25">
      <c r="A30413" s="118"/>
      <c r="B30413" s="136"/>
    </row>
    <row r="30414" spans="1:2" x14ac:dyDescent="0.25">
      <c r="A30414" s="118"/>
      <c r="B30414" s="136"/>
    </row>
    <row r="30415" spans="1:2" x14ac:dyDescent="0.25">
      <c r="A30415" s="118"/>
      <c r="B30415" s="136"/>
    </row>
    <row r="30416" spans="1:2" x14ac:dyDescent="0.25">
      <c r="A30416" s="118"/>
      <c r="B30416" s="136"/>
    </row>
    <row r="30417" spans="1:2" x14ac:dyDescent="0.25">
      <c r="A30417" s="118"/>
      <c r="B30417" s="136"/>
    </row>
    <row r="30418" spans="1:2" x14ac:dyDescent="0.25">
      <c r="A30418" s="118"/>
      <c r="B30418" s="136"/>
    </row>
    <row r="30419" spans="1:2" x14ac:dyDescent="0.25">
      <c r="A30419" s="118"/>
      <c r="B30419" s="136"/>
    </row>
    <row r="30420" spans="1:2" x14ac:dyDescent="0.25">
      <c r="A30420" s="118"/>
      <c r="B30420" s="136"/>
    </row>
    <row r="30421" spans="1:2" x14ac:dyDescent="0.25">
      <c r="A30421" s="118"/>
      <c r="B30421" s="136"/>
    </row>
    <row r="30422" spans="1:2" x14ac:dyDescent="0.25">
      <c r="A30422" s="118"/>
      <c r="B30422" s="136"/>
    </row>
    <row r="30423" spans="1:2" x14ac:dyDescent="0.25">
      <c r="A30423" s="118"/>
      <c r="B30423" s="136"/>
    </row>
    <row r="30424" spans="1:2" x14ac:dyDescent="0.25">
      <c r="A30424" s="118"/>
      <c r="B30424" s="136"/>
    </row>
    <row r="30425" spans="1:2" x14ac:dyDescent="0.25">
      <c r="A30425" s="118"/>
      <c r="B30425" s="136"/>
    </row>
    <row r="30426" spans="1:2" x14ac:dyDescent="0.25">
      <c r="A30426" s="118"/>
      <c r="B30426" s="136"/>
    </row>
    <row r="30427" spans="1:2" x14ac:dyDescent="0.25">
      <c r="A30427" s="118"/>
      <c r="B30427" s="136"/>
    </row>
    <row r="30428" spans="1:2" x14ac:dyDescent="0.25">
      <c r="A30428" s="118"/>
      <c r="B30428" s="136"/>
    </row>
    <row r="30429" spans="1:2" x14ac:dyDescent="0.25">
      <c r="A30429" s="118"/>
      <c r="B30429" s="136"/>
    </row>
    <row r="30430" spans="1:2" x14ac:dyDescent="0.25">
      <c r="A30430" s="118"/>
      <c r="B30430" s="136"/>
    </row>
    <row r="30431" spans="1:2" x14ac:dyDescent="0.25">
      <c r="A30431" s="118"/>
      <c r="B30431" s="136"/>
    </row>
    <row r="30432" spans="1:2" x14ac:dyDescent="0.25">
      <c r="A30432" s="118"/>
      <c r="B30432" s="136"/>
    </row>
    <row r="30433" spans="1:2" x14ac:dyDescent="0.25">
      <c r="A30433" s="118"/>
      <c r="B30433" s="136"/>
    </row>
    <row r="30434" spans="1:2" x14ac:dyDescent="0.25">
      <c r="A30434" s="118"/>
      <c r="B30434" s="136"/>
    </row>
    <row r="30435" spans="1:2" x14ac:dyDescent="0.25">
      <c r="A30435" s="118"/>
      <c r="B30435" s="136"/>
    </row>
    <row r="30436" spans="1:2" x14ac:dyDescent="0.25">
      <c r="A30436" s="118"/>
      <c r="B30436" s="136"/>
    </row>
    <row r="30437" spans="1:2" x14ac:dyDescent="0.25">
      <c r="A30437" s="118"/>
      <c r="B30437" s="136"/>
    </row>
    <row r="30438" spans="1:2" x14ac:dyDescent="0.25">
      <c r="A30438" s="118"/>
      <c r="B30438" s="136"/>
    </row>
    <row r="30439" spans="1:2" x14ac:dyDescent="0.25">
      <c r="A30439" s="118"/>
      <c r="B30439" s="136"/>
    </row>
    <row r="30440" spans="1:2" x14ac:dyDescent="0.25">
      <c r="A30440" s="118"/>
      <c r="B30440" s="136"/>
    </row>
    <row r="30441" spans="1:2" x14ac:dyDescent="0.25">
      <c r="A30441" s="118"/>
      <c r="B30441" s="136"/>
    </row>
    <row r="30442" spans="1:2" x14ac:dyDescent="0.25">
      <c r="A30442" s="118"/>
      <c r="B30442" s="136"/>
    </row>
    <row r="30443" spans="1:2" x14ac:dyDescent="0.25">
      <c r="A30443" s="118"/>
      <c r="B30443" s="136"/>
    </row>
    <row r="30444" spans="1:2" x14ac:dyDescent="0.25">
      <c r="A30444" s="118"/>
      <c r="B30444" s="136"/>
    </row>
    <row r="30445" spans="1:2" x14ac:dyDescent="0.25">
      <c r="A30445" s="118"/>
      <c r="B30445" s="136"/>
    </row>
    <row r="30446" spans="1:2" x14ac:dyDescent="0.25">
      <c r="A30446" s="118"/>
      <c r="B30446" s="136"/>
    </row>
    <row r="30447" spans="1:2" x14ac:dyDescent="0.25">
      <c r="A30447" s="118"/>
      <c r="B30447" s="136"/>
    </row>
    <row r="30448" spans="1:2" x14ac:dyDescent="0.25">
      <c r="A30448" s="118"/>
      <c r="B30448" s="136"/>
    </row>
    <row r="30449" spans="1:2" x14ac:dyDescent="0.25">
      <c r="A30449" s="118"/>
      <c r="B30449" s="136"/>
    </row>
    <row r="30450" spans="1:2" x14ac:dyDescent="0.25">
      <c r="A30450" s="118"/>
      <c r="B30450" s="136"/>
    </row>
    <row r="30451" spans="1:2" x14ac:dyDescent="0.25">
      <c r="A30451" s="118"/>
      <c r="B30451" s="136"/>
    </row>
    <row r="30452" spans="1:2" x14ac:dyDescent="0.25">
      <c r="A30452" s="118"/>
      <c r="B30452" s="136"/>
    </row>
    <row r="30453" spans="1:2" x14ac:dyDescent="0.25">
      <c r="A30453" s="118"/>
      <c r="B30453" s="136"/>
    </row>
    <row r="30454" spans="1:2" x14ac:dyDescent="0.25">
      <c r="A30454" s="118"/>
      <c r="B30454" s="136"/>
    </row>
    <row r="30455" spans="1:2" x14ac:dyDescent="0.25">
      <c r="A30455" s="118"/>
      <c r="B30455" s="136"/>
    </row>
    <row r="30456" spans="1:2" x14ac:dyDescent="0.25">
      <c r="A30456" s="118"/>
      <c r="B30456" s="136"/>
    </row>
    <row r="30457" spans="1:2" x14ac:dyDescent="0.25">
      <c r="A30457" s="118"/>
      <c r="B30457" s="136"/>
    </row>
    <row r="30458" spans="1:2" x14ac:dyDescent="0.25">
      <c r="A30458" s="118"/>
      <c r="B30458" s="136"/>
    </row>
    <row r="30459" spans="1:2" x14ac:dyDescent="0.25">
      <c r="A30459" s="118"/>
      <c r="B30459" s="136"/>
    </row>
    <row r="30460" spans="1:2" x14ac:dyDescent="0.25">
      <c r="A30460" s="118"/>
      <c r="B30460" s="136"/>
    </row>
    <row r="30461" spans="1:2" x14ac:dyDescent="0.25">
      <c r="A30461" s="118"/>
      <c r="B30461" s="136"/>
    </row>
    <row r="30462" spans="1:2" x14ac:dyDescent="0.25">
      <c r="A30462" s="118"/>
      <c r="B30462" s="136"/>
    </row>
    <row r="30463" spans="1:2" x14ac:dyDescent="0.25">
      <c r="A30463" s="118"/>
      <c r="B30463" s="136"/>
    </row>
    <row r="30464" spans="1:2" x14ac:dyDescent="0.25">
      <c r="A30464" s="118"/>
      <c r="B30464" s="136"/>
    </row>
    <row r="30465" spans="1:2" x14ac:dyDescent="0.25">
      <c r="A30465" s="118"/>
      <c r="B30465" s="136"/>
    </row>
    <row r="30466" spans="1:2" x14ac:dyDescent="0.25">
      <c r="A30466" s="118"/>
      <c r="B30466" s="136"/>
    </row>
    <row r="30467" spans="1:2" x14ac:dyDescent="0.25">
      <c r="A30467" s="118"/>
      <c r="B30467" s="136"/>
    </row>
    <row r="30468" spans="1:2" x14ac:dyDescent="0.25">
      <c r="A30468" s="118"/>
      <c r="B30468" s="136"/>
    </row>
    <row r="30469" spans="1:2" x14ac:dyDescent="0.25">
      <c r="A30469" s="118"/>
      <c r="B30469" s="136"/>
    </row>
    <row r="30470" spans="1:2" x14ac:dyDescent="0.25">
      <c r="A30470" s="118"/>
      <c r="B30470" s="136"/>
    </row>
    <row r="30471" spans="1:2" x14ac:dyDescent="0.25">
      <c r="A30471" s="118"/>
      <c r="B30471" s="136"/>
    </row>
    <row r="30472" spans="1:2" x14ac:dyDescent="0.25">
      <c r="A30472" s="118"/>
      <c r="B30472" s="136"/>
    </row>
    <row r="30473" spans="1:2" x14ac:dyDescent="0.25">
      <c r="A30473" s="118"/>
      <c r="B30473" s="136"/>
    </row>
    <row r="30474" spans="1:2" x14ac:dyDescent="0.25">
      <c r="A30474" s="118"/>
      <c r="B30474" s="136"/>
    </row>
    <row r="30475" spans="1:2" x14ac:dyDescent="0.25">
      <c r="A30475" s="118"/>
      <c r="B30475" s="136"/>
    </row>
    <row r="30476" spans="1:2" x14ac:dyDescent="0.25">
      <c r="A30476" s="118"/>
      <c r="B30476" s="136"/>
    </row>
    <row r="30477" spans="1:2" x14ac:dyDescent="0.25">
      <c r="A30477" s="118"/>
      <c r="B30477" s="136"/>
    </row>
    <row r="30478" spans="1:2" x14ac:dyDescent="0.25">
      <c r="A30478" s="118"/>
      <c r="B30478" s="136"/>
    </row>
    <row r="30479" spans="1:2" x14ac:dyDescent="0.25">
      <c r="A30479" s="118"/>
      <c r="B30479" s="136"/>
    </row>
    <row r="30480" spans="1:2" x14ac:dyDescent="0.25">
      <c r="A30480" s="118"/>
      <c r="B30480" s="136"/>
    </row>
    <row r="30481" spans="1:2" x14ac:dyDescent="0.25">
      <c r="A30481" s="118"/>
      <c r="B30481" s="136"/>
    </row>
    <row r="30482" spans="1:2" x14ac:dyDescent="0.25">
      <c r="A30482" s="118"/>
      <c r="B30482" s="136"/>
    </row>
    <row r="30483" spans="1:2" x14ac:dyDescent="0.25">
      <c r="A30483" s="118"/>
      <c r="B30483" s="136"/>
    </row>
    <row r="30484" spans="1:2" x14ac:dyDescent="0.25">
      <c r="A30484" s="118"/>
      <c r="B30484" s="136"/>
    </row>
    <row r="30485" spans="1:2" x14ac:dyDescent="0.25">
      <c r="A30485" s="118"/>
      <c r="B30485" s="136"/>
    </row>
    <row r="30486" spans="1:2" x14ac:dyDescent="0.25">
      <c r="A30486" s="118"/>
      <c r="B30486" s="136"/>
    </row>
    <row r="30487" spans="1:2" x14ac:dyDescent="0.25">
      <c r="A30487" s="118"/>
      <c r="B30487" s="136"/>
    </row>
    <row r="30488" spans="1:2" x14ac:dyDescent="0.25">
      <c r="A30488" s="118"/>
      <c r="B30488" s="136"/>
    </row>
    <row r="30489" spans="1:2" x14ac:dyDescent="0.25">
      <c r="A30489" s="118"/>
      <c r="B30489" s="136"/>
    </row>
    <row r="30490" spans="1:2" x14ac:dyDescent="0.25">
      <c r="A30490" s="118"/>
      <c r="B30490" s="136"/>
    </row>
    <row r="30491" spans="1:2" x14ac:dyDescent="0.25">
      <c r="A30491" s="118"/>
      <c r="B30491" s="136"/>
    </row>
    <row r="30492" spans="1:2" x14ac:dyDescent="0.25">
      <c r="A30492" s="118"/>
      <c r="B30492" s="136"/>
    </row>
    <row r="30493" spans="1:2" x14ac:dyDescent="0.25">
      <c r="A30493" s="118"/>
      <c r="B30493" s="136"/>
    </row>
    <row r="30494" spans="1:2" x14ac:dyDescent="0.25">
      <c r="A30494" s="118"/>
      <c r="B30494" s="136"/>
    </row>
    <row r="30495" spans="1:2" x14ac:dyDescent="0.25">
      <c r="A30495" s="118"/>
      <c r="B30495" s="136"/>
    </row>
    <row r="30496" spans="1:2" x14ac:dyDescent="0.25">
      <c r="A30496" s="118"/>
      <c r="B30496" s="136"/>
    </row>
    <row r="30497" spans="1:2" x14ac:dyDescent="0.25">
      <c r="A30497" s="118"/>
      <c r="B30497" s="136"/>
    </row>
    <row r="30498" spans="1:2" x14ac:dyDescent="0.25">
      <c r="A30498" s="118"/>
      <c r="B30498" s="136"/>
    </row>
    <row r="30499" spans="1:2" x14ac:dyDescent="0.25">
      <c r="A30499" s="118"/>
      <c r="B30499" s="136"/>
    </row>
    <row r="30500" spans="1:2" x14ac:dyDescent="0.25">
      <c r="A30500" s="118"/>
      <c r="B30500" s="136"/>
    </row>
    <row r="30501" spans="1:2" x14ac:dyDescent="0.25">
      <c r="A30501" s="118"/>
      <c r="B30501" s="136"/>
    </row>
    <row r="30502" spans="1:2" x14ac:dyDescent="0.25">
      <c r="A30502" s="118"/>
      <c r="B30502" s="136"/>
    </row>
    <row r="30503" spans="1:2" x14ac:dyDescent="0.25">
      <c r="A30503" s="118"/>
      <c r="B30503" s="136"/>
    </row>
    <row r="30504" spans="1:2" x14ac:dyDescent="0.25">
      <c r="A30504" s="118"/>
      <c r="B30504" s="136"/>
    </row>
    <row r="30505" spans="1:2" x14ac:dyDescent="0.25">
      <c r="A30505" s="118"/>
      <c r="B30505" s="136"/>
    </row>
    <row r="30506" spans="1:2" x14ac:dyDescent="0.25">
      <c r="A30506" s="118"/>
      <c r="B30506" s="136"/>
    </row>
    <row r="30507" spans="1:2" x14ac:dyDescent="0.25">
      <c r="A30507" s="118"/>
      <c r="B30507" s="136"/>
    </row>
    <row r="30508" spans="1:2" x14ac:dyDescent="0.25">
      <c r="A30508" s="118"/>
      <c r="B30508" s="136"/>
    </row>
    <row r="30509" spans="1:2" x14ac:dyDescent="0.25">
      <c r="A30509" s="118"/>
      <c r="B30509" s="136"/>
    </row>
    <row r="30510" spans="1:2" x14ac:dyDescent="0.25">
      <c r="A30510" s="118"/>
      <c r="B30510" s="136"/>
    </row>
    <row r="30511" spans="1:2" x14ac:dyDescent="0.25">
      <c r="A30511" s="118"/>
      <c r="B30511" s="136"/>
    </row>
    <row r="30512" spans="1:2" x14ac:dyDescent="0.25">
      <c r="A30512" s="118"/>
      <c r="B30512" s="136"/>
    </row>
    <row r="30513" spans="1:2" x14ac:dyDescent="0.25">
      <c r="A30513" s="118"/>
      <c r="B30513" s="136"/>
    </row>
    <row r="30514" spans="1:2" x14ac:dyDescent="0.25">
      <c r="A30514" s="118"/>
      <c r="B30514" s="136"/>
    </row>
    <row r="30515" spans="1:2" x14ac:dyDescent="0.25">
      <c r="A30515" s="118"/>
      <c r="B30515" s="136"/>
    </row>
    <row r="30516" spans="1:2" x14ac:dyDescent="0.25">
      <c r="A30516" s="118"/>
      <c r="B30516" s="136"/>
    </row>
    <row r="30517" spans="1:2" x14ac:dyDescent="0.25">
      <c r="A30517" s="118"/>
      <c r="B30517" s="136"/>
    </row>
    <row r="30518" spans="1:2" x14ac:dyDescent="0.25">
      <c r="A30518" s="118"/>
      <c r="B30518" s="136"/>
    </row>
    <row r="30519" spans="1:2" x14ac:dyDescent="0.25">
      <c r="A30519" s="118"/>
      <c r="B30519" s="136"/>
    </row>
    <row r="30520" spans="1:2" x14ac:dyDescent="0.25">
      <c r="A30520" s="118"/>
      <c r="B30520" s="136"/>
    </row>
    <row r="30521" spans="1:2" x14ac:dyDescent="0.25">
      <c r="A30521" s="118"/>
      <c r="B30521" s="136"/>
    </row>
    <row r="30522" spans="1:2" x14ac:dyDescent="0.25">
      <c r="A30522" s="118"/>
      <c r="B30522" s="136"/>
    </row>
    <row r="30523" spans="1:2" x14ac:dyDescent="0.25">
      <c r="A30523" s="118"/>
      <c r="B30523" s="136"/>
    </row>
    <row r="30524" spans="1:2" x14ac:dyDescent="0.25">
      <c r="A30524" s="118"/>
      <c r="B30524" s="136"/>
    </row>
    <row r="30525" spans="1:2" x14ac:dyDescent="0.25">
      <c r="A30525" s="118"/>
      <c r="B30525" s="136"/>
    </row>
    <row r="30526" spans="1:2" x14ac:dyDescent="0.25">
      <c r="A30526" s="118"/>
      <c r="B30526" s="136"/>
    </row>
    <row r="30527" spans="1:2" x14ac:dyDescent="0.25">
      <c r="A30527" s="118"/>
      <c r="B30527" s="136"/>
    </row>
    <row r="30528" spans="1:2" x14ac:dyDescent="0.25">
      <c r="A30528" s="118"/>
      <c r="B30528" s="136"/>
    </row>
    <row r="30529" spans="1:2" x14ac:dyDescent="0.25">
      <c r="A30529" s="118"/>
      <c r="B30529" s="136"/>
    </row>
    <row r="30530" spans="1:2" x14ac:dyDescent="0.25">
      <c r="A30530" s="118"/>
      <c r="B30530" s="136"/>
    </row>
    <row r="30531" spans="1:2" x14ac:dyDescent="0.25">
      <c r="A30531" s="118"/>
      <c r="B30531" s="136"/>
    </row>
    <row r="30532" spans="1:2" x14ac:dyDescent="0.25">
      <c r="A30532" s="118"/>
      <c r="B30532" s="136"/>
    </row>
    <row r="30533" spans="1:2" x14ac:dyDescent="0.25">
      <c r="A30533" s="118"/>
      <c r="B30533" s="136"/>
    </row>
    <row r="30534" spans="1:2" x14ac:dyDescent="0.25">
      <c r="A30534" s="118"/>
      <c r="B30534" s="136"/>
    </row>
    <row r="30535" spans="1:2" x14ac:dyDescent="0.25">
      <c r="A30535" s="118"/>
      <c r="B30535" s="136"/>
    </row>
    <row r="30536" spans="1:2" x14ac:dyDescent="0.25">
      <c r="A30536" s="118"/>
      <c r="B30536" s="136"/>
    </row>
    <row r="30537" spans="1:2" x14ac:dyDescent="0.25">
      <c r="A30537" s="118"/>
      <c r="B30537" s="136"/>
    </row>
    <row r="30538" spans="1:2" x14ac:dyDescent="0.25">
      <c r="A30538" s="118"/>
      <c r="B30538" s="136"/>
    </row>
    <row r="30539" spans="1:2" x14ac:dyDescent="0.25">
      <c r="A30539" s="118"/>
      <c r="B30539" s="136"/>
    </row>
    <row r="30540" spans="1:2" x14ac:dyDescent="0.25">
      <c r="A30540" s="118"/>
      <c r="B30540" s="136"/>
    </row>
    <row r="30541" spans="1:2" x14ac:dyDescent="0.25">
      <c r="A30541" s="118"/>
      <c r="B30541" s="136"/>
    </row>
    <row r="30542" spans="1:2" x14ac:dyDescent="0.25">
      <c r="A30542" s="118"/>
      <c r="B30542" s="136"/>
    </row>
    <row r="30543" spans="1:2" x14ac:dyDescent="0.25">
      <c r="A30543" s="118"/>
      <c r="B30543" s="136"/>
    </row>
    <row r="30544" spans="1:2" x14ac:dyDescent="0.25">
      <c r="A30544" s="118"/>
      <c r="B30544" s="136"/>
    </row>
    <row r="30545" spans="1:2" x14ac:dyDescent="0.25">
      <c r="A30545" s="118"/>
      <c r="B30545" s="136"/>
    </row>
    <row r="30546" spans="1:2" x14ac:dyDescent="0.25">
      <c r="A30546" s="118"/>
      <c r="B30546" s="136"/>
    </row>
    <row r="30547" spans="1:2" x14ac:dyDescent="0.25">
      <c r="A30547" s="118"/>
      <c r="B30547" s="136"/>
    </row>
    <row r="30548" spans="1:2" x14ac:dyDescent="0.25">
      <c r="A30548" s="118"/>
      <c r="B30548" s="136"/>
    </row>
    <row r="30549" spans="1:2" x14ac:dyDescent="0.25">
      <c r="A30549" s="118"/>
      <c r="B30549" s="136"/>
    </row>
    <row r="30550" spans="1:2" x14ac:dyDescent="0.25">
      <c r="A30550" s="118"/>
      <c r="B30550" s="136"/>
    </row>
    <row r="30551" spans="1:2" x14ac:dyDescent="0.25">
      <c r="A30551" s="118"/>
      <c r="B30551" s="136"/>
    </row>
    <row r="30552" spans="1:2" x14ac:dyDescent="0.25">
      <c r="A30552" s="118"/>
      <c r="B30552" s="136"/>
    </row>
    <row r="30553" spans="1:2" x14ac:dyDescent="0.25">
      <c r="A30553" s="118"/>
      <c r="B30553" s="136"/>
    </row>
    <row r="30554" spans="1:2" x14ac:dyDescent="0.25">
      <c r="A30554" s="118"/>
      <c r="B30554" s="136"/>
    </row>
    <row r="30555" spans="1:2" x14ac:dyDescent="0.25">
      <c r="A30555" s="118"/>
      <c r="B30555" s="136"/>
    </row>
    <row r="30556" spans="1:2" x14ac:dyDescent="0.25">
      <c r="A30556" s="118"/>
      <c r="B30556" s="136"/>
    </row>
    <row r="30557" spans="1:2" x14ac:dyDescent="0.25">
      <c r="A30557" s="118"/>
      <c r="B30557" s="136"/>
    </row>
    <row r="30558" spans="1:2" x14ac:dyDescent="0.25">
      <c r="A30558" s="118"/>
      <c r="B30558" s="136"/>
    </row>
    <row r="30559" spans="1:2" x14ac:dyDescent="0.25">
      <c r="A30559" s="118"/>
      <c r="B30559" s="136"/>
    </row>
    <row r="30560" spans="1:2" x14ac:dyDescent="0.25">
      <c r="A30560" s="118"/>
      <c r="B30560" s="136"/>
    </row>
    <row r="30561" spans="1:2" x14ac:dyDescent="0.25">
      <c r="A30561" s="118"/>
      <c r="B30561" s="136"/>
    </row>
    <row r="30562" spans="1:2" x14ac:dyDescent="0.25">
      <c r="A30562" s="118"/>
      <c r="B30562" s="136"/>
    </row>
    <row r="30563" spans="1:2" x14ac:dyDescent="0.25">
      <c r="A30563" s="118"/>
      <c r="B30563" s="136"/>
    </row>
    <row r="30564" spans="1:2" x14ac:dyDescent="0.25">
      <c r="A30564" s="118"/>
      <c r="B30564" s="136"/>
    </row>
    <row r="30565" spans="1:2" x14ac:dyDescent="0.25">
      <c r="A30565" s="118"/>
      <c r="B30565" s="136"/>
    </row>
    <row r="30566" spans="1:2" x14ac:dyDescent="0.25">
      <c r="A30566" s="118"/>
      <c r="B30566" s="136"/>
    </row>
    <row r="30567" spans="1:2" x14ac:dyDescent="0.25">
      <c r="A30567" s="118"/>
      <c r="B30567" s="136"/>
    </row>
    <row r="30568" spans="1:2" x14ac:dyDescent="0.25">
      <c r="A30568" s="118"/>
      <c r="B30568" s="136"/>
    </row>
    <row r="30569" spans="1:2" x14ac:dyDescent="0.25">
      <c r="A30569" s="118"/>
      <c r="B30569" s="136"/>
    </row>
    <row r="30570" spans="1:2" x14ac:dyDescent="0.25">
      <c r="A30570" s="118"/>
      <c r="B30570" s="136"/>
    </row>
    <row r="30571" spans="1:2" x14ac:dyDescent="0.25">
      <c r="A30571" s="118"/>
      <c r="B30571" s="136"/>
    </row>
    <row r="30572" spans="1:2" x14ac:dyDescent="0.25">
      <c r="A30572" s="118"/>
      <c r="B30572" s="136"/>
    </row>
    <row r="30573" spans="1:2" x14ac:dyDescent="0.25">
      <c r="A30573" s="118"/>
      <c r="B30573" s="136"/>
    </row>
    <row r="30574" spans="1:2" x14ac:dyDescent="0.25">
      <c r="A30574" s="118"/>
      <c r="B30574" s="136"/>
    </row>
    <row r="30575" spans="1:2" x14ac:dyDescent="0.25">
      <c r="A30575" s="118"/>
      <c r="B30575" s="136"/>
    </row>
    <row r="30576" spans="1:2" x14ac:dyDescent="0.25">
      <c r="A30576" s="118"/>
      <c r="B30576" s="136"/>
    </row>
    <row r="30577" spans="1:2" x14ac:dyDescent="0.25">
      <c r="A30577" s="118"/>
      <c r="B30577" s="136"/>
    </row>
    <row r="30578" spans="1:2" x14ac:dyDescent="0.25">
      <c r="A30578" s="118"/>
      <c r="B30578" s="136"/>
    </row>
    <row r="30579" spans="1:2" x14ac:dyDescent="0.25">
      <c r="A30579" s="118"/>
      <c r="B30579" s="136"/>
    </row>
    <row r="30580" spans="1:2" x14ac:dyDescent="0.25">
      <c r="A30580" s="118"/>
      <c r="B30580" s="136"/>
    </row>
    <row r="30581" spans="1:2" x14ac:dyDescent="0.25">
      <c r="A30581" s="118"/>
      <c r="B30581" s="136"/>
    </row>
    <row r="30582" spans="1:2" x14ac:dyDescent="0.25">
      <c r="A30582" s="118"/>
      <c r="B30582" s="136"/>
    </row>
    <row r="30583" spans="1:2" x14ac:dyDescent="0.25">
      <c r="A30583" s="118"/>
      <c r="B30583" s="136"/>
    </row>
    <row r="30584" spans="1:2" x14ac:dyDescent="0.25">
      <c r="A30584" s="118"/>
      <c r="B30584" s="136"/>
    </row>
    <row r="30585" spans="1:2" x14ac:dyDescent="0.25">
      <c r="A30585" s="118"/>
      <c r="B30585" s="136"/>
    </row>
    <row r="30586" spans="1:2" x14ac:dyDescent="0.25">
      <c r="A30586" s="118"/>
      <c r="B30586" s="136"/>
    </row>
    <row r="30587" spans="1:2" x14ac:dyDescent="0.25">
      <c r="A30587" s="118"/>
      <c r="B30587" s="136"/>
    </row>
    <row r="30588" spans="1:2" x14ac:dyDescent="0.25">
      <c r="A30588" s="118"/>
      <c r="B30588" s="136"/>
    </row>
    <row r="30589" spans="1:2" x14ac:dyDescent="0.25">
      <c r="A30589" s="118"/>
      <c r="B30589" s="136"/>
    </row>
    <row r="30590" spans="1:2" x14ac:dyDescent="0.25">
      <c r="A30590" s="118"/>
      <c r="B30590" s="136"/>
    </row>
    <row r="30591" spans="1:2" x14ac:dyDescent="0.25">
      <c r="A30591" s="118"/>
      <c r="B30591" s="136"/>
    </row>
    <row r="30592" spans="1:2" x14ac:dyDescent="0.25">
      <c r="A30592" s="118"/>
      <c r="B30592" s="136"/>
    </row>
    <row r="30593" spans="1:2" x14ac:dyDescent="0.25">
      <c r="A30593" s="118"/>
      <c r="B30593" s="136"/>
    </row>
    <row r="30594" spans="1:2" x14ac:dyDescent="0.25">
      <c r="A30594" s="118"/>
      <c r="B30594" s="136"/>
    </row>
    <row r="30595" spans="1:2" x14ac:dyDescent="0.25">
      <c r="A30595" s="118"/>
      <c r="B30595" s="136"/>
    </row>
    <row r="30596" spans="1:2" x14ac:dyDescent="0.25">
      <c r="A30596" s="118"/>
      <c r="B30596" s="136"/>
    </row>
    <row r="30597" spans="1:2" x14ac:dyDescent="0.25">
      <c r="A30597" s="118"/>
      <c r="B30597" s="136"/>
    </row>
    <row r="30598" spans="1:2" x14ac:dyDescent="0.25">
      <c r="A30598" s="118"/>
      <c r="B30598" s="136"/>
    </row>
    <row r="30599" spans="1:2" x14ac:dyDescent="0.25">
      <c r="A30599" s="118"/>
      <c r="B30599" s="136"/>
    </row>
    <row r="30600" spans="1:2" x14ac:dyDescent="0.25">
      <c r="A30600" s="118"/>
      <c r="B30600" s="136"/>
    </row>
    <row r="30601" spans="1:2" x14ac:dyDescent="0.25">
      <c r="A30601" s="118"/>
      <c r="B30601" s="136"/>
    </row>
    <row r="30602" spans="1:2" x14ac:dyDescent="0.25">
      <c r="A30602" s="118"/>
      <c r="B30602" s="136"/>
    </row>
    <row r="30603" spans="1:2" x14ac:dyDescent="0.25">
      <c r="A30603" s="118"/>
      <c r="B30603" s="136"/>
    </row>
    <row r="30604" spans="1:2" x14ac:dyDescent="0.25">
      <c r="A30604" s="118"/>
      <c r="B30604" s="136"/>
    </row>
    <row r="30605" spans="1:2" x14ac:dyDescent="0.25">
      <c r="A30605" s="118"/>
      <c r="B30605" s="136"/>
    </row>
    <row r="30606" spans="1:2" x14ac:dyDescent="0.25">
      <c r="A30606" s="118"/>
      <c r="B30606" s="136"/>
    </row>
    <row r="30607" spans="1:2" x14ac:dyDescent="0.25">
      <c r="A30607" s="118"/>
      <c r="B30607" s="136"/>
    </row>
    <row r="30608" spans="1:2" x14ac:dyDescent="0.25">
      <c r="A30608" s="118"/>
      <c r="B30608" s="136"/>
    </row>
    <row r="30609" spans="1:2" x14ac:dyDescent="0.25">
      <c r="A30609" s="118"/>
      <c r="B30609" s="136"/>
    </row>
    <row r="30610" spans="1:2" x14ac:dyDescent="0.25">
      <c r="A30610" s="118"/>
      <c r="B30610" s="136"/>
    </row>
    <row r="30611" spans="1:2" x14ac:dyDescent="0.25">
      <c r="A30611" s="118"/>
      <c r="B30611" s="136"/>
    </row>
    <row r="30612" spans="1:2" x14ac:dyDescent="0.25">
      <c r="A30612" s="118"/>
      <c r="B30612" s="136"/>
    </row>
    <row r="30613" spans="1:2" x14ac:dyDescent="0.25">
      <c r="A30613" s="118"/>
      <c r="B30613" s="136"/>
    </row>
    <row r="30614" spans="1:2" x14ac:dyDescent="0.25">
      <c r="A30614" s="118"/>
      <c r="B30614" s="136"/>
    </row>
    <row r="30615" spans="1:2" x14ac:dyDescent="0.25">
      <c r="A30615" s="118"/>
      <c r="B30615" s="136"/>
    </row>
    <row r="30616" spans="1:2" x14ac:dyDescent="0.25">
      <c r="A30616" s="118"/>
      <c r="B30616" s="136"/>
    </row>
    <row r="30617" spans="1:2" x14ac:dyDescent="0.25">
      <c r="A30617" s="118"/>
      <c r="B30617" s="136"/>
    </row>
    <row r="30618" spans="1:2" x14ac:dyDescent="0.25">
      <c r="A30618" s="118"/>
      <c r="B30618" s="136"/>
    </row>
    <row r="30619" spans="1:2" x14ac:dyDescent="0.25">
      <c r="A30619" s="118"/>
      <c r="B30619" s="136"/>
    </row>
    <row r="30620" spans="1:2" x14ac:dyDescent="0.25">
      <c r="A30620" s="118"/>
      <c r="B30620" s="136"/>
    </row>
    <row r="30621" spans="1:2" x14ac:dyDescent="0.25">
      <c r="A30621" s="118"/>
      <c r="B30621" s="136"/>
    </row>
    <row r="30622" spans="1:2" x14ac:dyDescent="0.25">
      <c r="A30622" s="118"/>
      <c r="B30622" s="136"/>
    </row>
    <row r="30623" spans="1:2" x14ac:dyDescent="0.25">
      <c r="A30623" s="118"/>
      <c r="B30623" s="136"/>
    </row>
    <row r="30624" spans="1:2" x14ac:dyDescent="0.25">
      <c r="A30624" s="118"/>
      <c r="B30624" s="136"/>
    </row>
    <row r="30625" spans="1:2" x14ac:dyDescent="0.25">
      <c r="A30625" s="118"/>
      <c r="B30625" s="136"/>
    </row>
    <row r="30626" spans="1:2" x14ac:dyDescent="0.25">
      <c r="A30626" s="118"/>
      <c r="B30626" s="136"/>
    </row>
    <row r="30627" spans="1:2" x14ac:dyDescent="0.25">
      <c r="A30627" s="118"/>
      <c r="B30627" s="136"/>
    </row>
    <row r="30628" spans="1:2" x14ac:dyDescent="0.25">
      <c r="A30628" s="118"/>
      <c r="B30628" s="136"/>
    </row>
    <row r="30629" spans="1:2" x14ac:dyDescent="0.25">
      <c r="A30629" s="118"/>
      <c r="B30629" s="136"/>
    </row>
    <row r="30630" spans="1:2" x14ac:dyDescent="0.25">
      <c r="A30630" s="118"/>
      <c r="B30630" s="136"/>
    </row>
    <row r="30631" spans="1:2" x14ac:dyDescent="0.25">
      <c r="A30631" s="118"/>
      <c r="B30631" s="136"/>
    </row>
    <row r="30632" spans="1:2" x14ac:dyDescent="0.25">
      <c r="A30632" s="118"/>
      <c r="B30632" s="136"/>
    </row>
    <row r="30633" spans="1:2" x14ac:dyDescent="0.25">
      <c r="A30633" s="118"/>
      <c r="B30633" s="136"/>
    </row>
    <row r="30634" spans="1:2" x14ac:dyDescent="0.25">
      <c r="A30634" s="118"/>
      <c r="B30634" s="136"/>
    </row>
    <row r="30635" spans="1:2" x14ac:dyDescent="0.25">
      <c r="A30635" s="118"/>
      <c r="B30635" s="136"/>
    </row>
    <row r="30636" spans="1:2" x14ac:dyDescent="0.25">
      <c r="A30636" s="118"/>
      <c r="B30636" s="136"/>
    </row>
    <row r="30637" spans="1:2" x14ac:dyDescent="0.25">
      <c r="A30637" s="118"/>
      <c r="B30637" s="136"/>
    </row>
    <row r="30638" spans="1:2" x14ac:dyDescent="0.25">
      <c r="A30638" s="118"/>
      <c r="B30638" s="136"/>
    </row>
    <row r="30639" spans="1:2" x14ac:dyDescent="0.25">
      <c r="A30639" s="118"/>
      <c r="B30639" s="136"/>
    </row>
    <row r="30640" spans="1:2" x14ac:dyDescent="0.25">
      <c r="A30640" s="118"/>
      <c r="B30640" s="136"/>
    </row>
    <row r="30641" spans="1:2" x14ac:dyDescent="0.25">
      <c r="A30641" s="118"/>
      <c r="B30641" s="136"/>
    </row>
    <row r="30642" spans="1:2" x14ac:dyDescent="0.25">
      <c r="A30642" s="118"/>
      <c r="B30642" s="136"/>
    </row>
    <row r="30643" spans="1:2" x14ac:dyDescent="0.25">
      <c r="A30643" s="118"/>
      <c r="B30643" s="136"/>
    </row>
    <row r="30644" spans="1:2" x14ac:dyDescent="0.25">
      <c r="A30644" s="118"/>
      <c r="B30644" s="136"/>
    </row>
    <row r="30645" spans="1:2" x14ac:dyDescent="0.25">
      <c r="A30645" s="118"/>
      <c r="B30645" s="136"/>
    </row>
    <row r="30646" spans="1:2" x14ac:dyDescent="0.25">
      <c r="A30646" s="118"/>
      <c r="B30646" s="136"/>
    </row>
    <row r="30647" spans="1:2" x14ac:dyDescent="0.25">
      <c r="A30647" s="118"/>
      <c r="B30647" s="136"/>
    </row>
    <row r="30648" spans="1:2" x14ac:dyDescent="0.25">
      <c r="A30648" s="118"/>
      <c r="B30648" s="136"/>
    </row>
    <row r="30649" spans="1:2" x14ac:dyDescent="0.25">
      <c r="A30649" s="118"/>
      <c r="B30649" s="136"/>
    </row>
    <row r="30650" spans="1:2" x14ac:dyDescent="0.25">
      <c r="A30650" s="118"/>
      <c r="B30650" s="136"/>
    </row>
    <row r="30651" spans="1:2" x14ac:dyDescent="0.25">
      <c r="A30651" s="118"/>
      <c r="B30651" s="136"/>
    </row>
    <row r="30652" spans="1:2" x14ac:dyDescent="0.25">
      <c r="A30652" s="118"/>
      <c r="B30652" s="136"/>
    </row>
    <row r="30653" spans="1:2" x14ac:dyDescent="0.25">
      <c r="A30653" s="118"/>
      <c r="B30653" s="136"/>
    </row>
    <row r="30654" spans="1:2" x14ac:dyDescent="0.25">
      <c r="A30654" s="118"/>
      <c r="B30654" s="136"/>
    </row>
    <row r="30655" spans="1:2" x14ac:dyDescent="0.25">
      <c r="A30655" s="118"/>
      <c r="B30655" s="136"/>
    </row>
    <row r="30656" spans="1:2" x14ac:dyDescent="0.25">
      <c r="A30656" s="118"/>
      <c r="B30656" s="136"/>
    </row>
    <row r="30657" spans="1:2" x14ac:dyDescent="0.25">
      <c r="A30657" s="118"/>
      <c r="B30657" s="136"/>
    </row>
    <row r="30658" spans="1:2" x14ac:dyDescent="0.25">
      <c r="A30658" s="118"/>
      <c r="B30658" s="136"/>
    </row>
    <row r="30659" spans="1:2" x14ac:dyDescent="0.25">
      <c r="A30659" s="118"/>
      <c r="B30659" s="136"/>
    </row>
    <row r="30660" spans="1:2" x14ac:dyDescent="0.25">
      <c r="A30660" s="118"/>
      <c r="B30660" s="136"/>
    </row>
    <row r="30661" spans="1:2" x14ac:dyDescent="0.25">
      <c r="A30661" s="118"/>
      <c r="B30661" s="136"/>
    </row>
    <row r="30662" spans="1:2" x14ac:dyDescent="0.25">
      <c r="A30662" s="118"/>
      <c r="B30662" s="136"/>
    </row>
    <row r="30663" spans="1:2" x14ac:dyDescent="0.25">
      <c r="A30663" s="118"/>
      <c r="B30663" s="136"/>
    </row>
    <row r="30664" spans="1:2" x14ac:dyDescent="0.25">
      <c r="A30664" s="118"/>
      <c r="B30664" s="136"/>
    </row>
    <row r="30665" spans="1:2" x14ac:dyDescent="0.25">
      <c r="A30665" s="118"/>
      <c r="B30665" s="136"/>
    </row>
    <row r="30666" spans="1:2" x14ac:dyDescent="0.25">
      <c r="A30666" s="118"/>
      <c r="B30666" s="136"/>
    </row>
    <row r="30667" spans="1:2" x14ac:dyDescent="0.25">
      <c r="A30667" s="118"/>
      <c r="B30667" s="136"/>
    </row>
    <row r="30668" spans="1:2" x14ac:dyDescent="0.25">
      <c r="A30668" s="118"/>
      <c r="B30668" s="136"/>
    </row>
    <row r="30669" spans="1:2" x14ac:dyDescent="0.25">
      <c r="A30669" s="118"/>
      <c r="B30669" s="136"/>
    </row>
    <row r="30670" spans="1:2" x14ac:dyDescent="0.25">
      <c r="A30670" s="118"/>
      <c r="B30670" s="136"/>
    </row>
    <row r="30671" spans="1:2" x14ac:dyDescent="0.25">
      <c r="A30671" s="118"/>
      <c r="B30671" s="136"/>
    </row>
    <row r="30672" spans="1:2" x14ac:dyDescent="0.25">
      <c r="A30672" s="118"/>
      <c r="B30672" s="136"/>
    </row>
    <row r="30673" spans="1:2" x14ac:dyDescent="0.25">
      <c r="A30673" s="118"/>
      <c r="B30673" s="136"/>
    </row>
    <row r="30674" spans="1:2" x14ac:dyDescent="0.25">
      <c r="A30674" s="118"/>
      <c r="B30674" s="136"/>
    </row>
    <row r="30675" spans="1:2" x14ac:dyDescent="0.25">
      <c r="A30675" s="118"/>
      <c r="B30675" s="136"/>
    </row>
    <row r="30676" spans="1:2" x14ac:dyDescent="0.25">
      <c r="A30676" s="118"/>
      <c r="B30676" s="136"/>
    </row>
    <row r="30677" spans="1:2" x14ac:dyDescent="0.25">
      <c r="A30677" s="118"/>
      <c r="B30677" s="136"/>
    </row>
    <row r="30678" spans="1:2" x14ac:dyDescent="0.25">
      <c r="A30678" s="118"/>
      <c r="B30678" s="136"/>
    </row>
    <row r="30679" spans="1:2" x14ac:dyDescent="0.25">
      <c r="A30679" s="118"/>
      <c r="B30679" s="136"/>
    </row>
    <row r="30680" spans="1:2" x14ac:dyDescent="0.25">
      <c r="A30680" s="118"/>
      <c r="B30680" s="136"/>
    </row>
    <row r="30681" spans="1:2" x14ac:dyDescent="0.25">
      <c r="A30681" s="118"/>
      <c r="B30681" s="136"/>
    </row>
    <row r="30682" spans="1:2" x14ac:dyDescent="0.25">
      <c r="A30682" s="118"/>
      <c r="B30682" s="136"/>
    </row>
    <row r="30683" spans="1:2" x14ac:dyDescent="0.25">
      <c r="A30683" s="118"/>
      <c r="B30683" s="136"/>
    </row>
    <row r="30684" spans="1:2" x14ac:dyDescent="0.25">
      <c r="A30684" s="118"/>
      <c r="B30684" s="136"/>
    </row>
    <row r="30685" spans="1:2" x14ac:dyDescent="0.25">
      <c r="A30685" s="118"/>
      <c r="B30685" s="136"/>
    </row>
    <row r="30686" spans="1:2" x14ac:dyDescent="0.25">
      <c r="A30686" s="118"/>
      <c r="B30686" s="136"/>
    </row>
    <row r="30687" spans="1:2" x14ac:dyDescent="0.25">
      <c r="A30687" s="118"/>
      <c r="B30687" s="136"/>
    </row>
    <row r="30688" spans="1:2" x14ac:dyDescent="0.25">
      <c r="A30688" s="118"/>
      <c r="B30688" s="136"/>
    </row>
    <row r="30689" spans="1:2" x14ac:dyDescent="0.25">
      <c r="A30689" s="118"/>
      <c r="B30689" s="136"/>
    </row>
    <row r="30690" spans="1:2" x14ac:dyDescent="0.25">
      <c r="A30690" s="118"/>
      <c r="B30690" s="136"/>
    </row>
    <row r="30691" spans="1:2" x14ac:dyDescent="0.25">
      <c r="A30691" s="118"/>
      <c r="B30691" s="136"/>
    </row>
    <row r="30692" spans="1:2" x14ac:dyDescent="0.25">
      <c r="A30692" s="118"/>
      <c r="B30692" s="136"/>
    </row>
    <row r="30693" spans="1:2" x14ac:dyDescent="0.25">
      <c r="A30693" s="118"/>
      <c r="B30693" s="136"/>
    </row>
    <row r="30694" spans="1:2" x14ac:dyDescent="0.25">
      <c r="A30694" s="118"/>
      <c r="B30694" s="136"/>
    </row>
    <row r="30695" spans="1:2" x14ac:dyDescent="0.25">
      <c r="A30695" s="118"/>
      <c r="B30695" s="136"/>
    </row>
    <row r="30696" spans="1:2" x14ac:dyDescent="0.25">
      <c r="A30696" s="118"/>
      <c r="B30696" s="136"/>
    </row>
    <row r="30697" spans="1:2" x14ac:dyDescent="0.25">
      <c r="A30697" s="118"/>
      <c r="B30697" s="136"/>
    </row>
    <row r="30698" spans="1:2" x14ac:dyDescent="0.25">
      <c r="A30698" s="118"/>
      <c r="B30698" s="136"/>
    </row>
    <row r="30699" spans="1:2" x14ac:dyDescent="0.25">
      <c r="A30699" s="118"/>
      <c r="B30699" s="136"/>
    </row>
    <row r="30700" spans="1:2" x14ac:dyDescent="0.25">
      <c r="A30700" s="118"/>
      <c r="B30700" s="136"/>
    </row>
    <row r="30701" spans="1:2" x14ac:dyDescent="0.25">
      <c r="A30701" s="118"/>
      <c r="B30701" s="136"/>
    </row>
    <row r="30702" spans="1:2" x14ac:dyDescent="0.25">
      <c r="A30702" s="118"/>
      <c r="B30702" s="136"/>
    </row>
    <row r="30703" spans="1:2" x14ac:dyDescent="0.25">
      <c r="A30703" s="118"/>
      <c r="B30703" s="136"/>
    </row>
    <row r="30704" spans="1:2" x14ac:dyDescent="0.25">
      <c r="A30704" s="118"/>
      <c r="B30704" s="136"/>
    </row>
    <row r="30705" spans="1:2" x14ac:dyDescent="0.25">
      <c r="A30705" s="118"/>
      <c r="B30705" s="136"/>
    </row>
    <row r="30706" spans="1:2" x14ac:dyDescent="0.25">
      <c r="A30706" s="118"/>
      <c r="B30706" s="136"/>
    </row>
    <row r="30707" spans="1:2" x14ac:dyDescent="0.25">
      <c r="A30707" s="118"/>
      <c r="B30707" s="136"/>
    </row>
    <row r="30708" spans="1:2" x14ac:dyDescent="0.25">
      <c r="A30708" s="118"/>
      <c r="B30708" s="136"/>
    </row>
    <row r="30709" spans="1:2" x14ac:dyDescent="0.25">
      <c r="A30709" s="118"/>
      <c r="B30709" s="136"/>
    </row>
    <row r="30710" spans="1:2" x14ac:dyDescent="0.25">
      <c r="A30710" s="118"/>
      <c r="B30710" s="136"/>
    </row>
    <row r="30711" spans="1:2" x14ac:dyDescent="0.25">
      <c r="A30711" s="118"/>
      <c r="B30711" s="136"/>
    </row>
    <row r="30712" spans="1:2" x14ac:dyDescent="0.25">
      <c r="A30712" s="118"/>
      <c r="B30712" s="136"/>
    </row>
    <row r="30713" spans="1:2" x14ac:dyDescent="0.25">
      <c r="A30713" s="118"/>
      <c r="B30713" s="136"/>
    </row>
    <row r="30714" spans="1:2" x14ac:dyDescent="0.25">
      <c r="A30714" s="118"/>
      <c r="B30714" s="136"/>
    </row>
    <row r="30715" spans="1:2" x14ac:dyDescent="0.25">
      <c r="A30715" s="118"/>
      <c r="B30715" s="136"/>
    </row>
    <row r="30716" spans="1:2" x14ac:dyDescent="0.25">
      <c r="A30716" s="118"/>
      <c r="B30716" s="136"/>
    </row>
    <row r="30717" spans="1:2" x14ac:dyDescent="0.25">
      <c r="A30717" s="118"/>
      <c r="B30717" s="136"/>
    </row>
    <row r="30718" spans="1:2" x14ac:dyDescent="0.25">
      <c r="A30718" s="118"/>
      <c r="B30718" s="136"/>
    </row>
    <row r="30719" spans="1:2" x14ac:dyDescent="0.25">
      <c r="A30719" s="118"/>
      <c r="B30719" s="136"/>
    </row>
    <row r="30720" spans="1:2" x14ac:dyDescent="0.25">
      <c r="A30720" s="118"/>
      <c r="B30720" s="136"/>
    </row>
    <row r="30721" spans="1:2" x14ac:dyDescent="0.25">
      <c r="A30721" s="118"/>
      <c r="B30721" s="136"/>
    </row>
    <row r="30722" spans="1:2" x14ac:dyDescent="0.25">
      <c r="A30722" s="118"/>
      <c r="B30722" s="136"/>
    </row>
    <row r="30723" spans="1:2" x14ac:dyDescent="0.25">
      <c r="A30723" s="118"/>
      <c r="B30723" s="136"/>
    </row>
    <row r="30724" spans="1:2" x14ac:dyDescent="0.25">
      <c r="A30724" s="118"/>
      <c r="B30724" s="136"/>
    </row>
    <row r="30725" spans="1:2" x14ac:dyDescent="0.25">
      <c r="A30725" s="118"/>
      <c r="B30725" s="136"/>
    </row>
    <row r="30726" spans="1:2" x14ac:dyDescent="0.25">
      <c r="A30726" s="118"/>
      <c r="B30726" s="136"/>
    </row>
    <row r="30727" spans="1:2" x14ac:dyDescent="0.25">
      <c r="A30727" s="118"/>
      <c r="B30727" s="136"/>
    </row>
    <row r="30728" spans="1:2" x14ac:dyDescent="0.25">
      <c r="A30728" s="118"/>
      <c r="B30728" s="136"/>
    </row>
    <row r="30729" spans="1:2" x14ac:dyDescent="0.25">
      <c r="A30729" s="118"/>
      <c r="B30729" s="136"/>
    </row>
    <row r="30730" spans="1:2" x14ac:dyDescent="0.25">
      <c r="A30730" s="118"/>
      <c r="B30730" s="136"/>
    </row>
    <row r="30731" spans="1:2" x14ac:dyDescent="0.25">
      <c r="A30731" s="118"/>
      <c r="B30731" s="136"/>
    </row>
    <row r="30732" spans="1:2" x14ac:dyDescent="0.25">
      <c r="A30732" s="118"/>
      <c r="B30732" s="136"/>
    </row>
    <row r="30733" spans="1:2" x14ac:dyDescent="0.25">
      <c r="A30733" s="118"/>
      <c r="B30733" s="136"/>
    </row>
    <row r="30734" spans="1:2" x14ac:dyDescent="0.25">
      <c r="A30734" s="118"/>
      <c r="B30734" s="136"/>
    </row>
    <row r="30735" spans="1:2" x14ac:dyDescent="0.25">
      <c r="A30735" s="118"/>
      <c r="B30735" s="136"/>
    </row>
    <row r="30736" spans="1:2" x14ac:dyDescent="0.25">
      <c r="A30736" s="118"/>
      <c r="B30736" s="136"/>
    </row>
    <row r="30737" spans="1:2" x14ac:dyDescent="0.25">
      <c r="A30737" s="118"/>
      <c r="B30737" s="136"/>
    </row>
    <row r="30738" spans="1:2" x14ac:dyDescent="0.25">
      <c r="A30738" s="118"/>
      <c r="B30738" s="136"/>
    </row>
    <row r="30739" spans="1:2" x14ac:dyDescent="0.25">
      <c r="A30739" s="118"/>
      <c r="B30739" s="136"/>
    </row>
    <row r="30740" spans="1:2" x14ac:dyDescent="0.25">
      <c r="A30740" s="118"/>
      <c r="B30740" s="136"/>
    </row>
    <row r="30741" spans="1:2" x14ac:dyDescent="0.25">
      <c r="A30741" s="118"/>
      <c r="B30741" s="136"/>
    </row>
    <row r="30742" spans="1:2" x14ac:dyDescent="0.25">
      <c r="A30742" s="118"/>
      <c r="B30742" s="136"/>
    </row>
    <row r="30743" spans="1:2" x14ac:dyDescent="0.25">
      <c r="A30743" s="118"/>
      <c r="B30743" s="136"/>
    </row>
    <row r="30744" spans="1:2" x14ac:dyDescent="0.25">
      <c r="A30744" s="118"/>
      <c r="B30744" s="136"/>
    </row>
    <row r="30745" spans="1:2" x14ac:dyDescent="0.25">
      <c r="A30745" s="118"/>
      <c r="B30745" s="136"/>
    </row>
    <row r="30746" spans="1:2" x14ac:dyDescent="0.25">
      <c r="A30746" s="118"/>
      <c r="B30746" s="136"/>
    </row>
    <row r="30747" spans="1:2" x14ac:dyDescent="0.25">
      <c r="A30747" s="118"/>
      <c r="B30747" s="136"/>
    </row>
    <row r="30748" spans="1:2" x14ac:dyDescent="0.25">
      <c r="A30748" s="118"/>
      <c r="B30748" s="136"/>
    </row>
    <row r="30749" spans="1:2" x14ac:dyDescent="0.25">
      <c r="A30749" s="118"/>
      <c r="B30749" s="136"/>
    </row>
    <row r="30750" spans="1:2" x14ac:dyDescent="0.25">
      <c r="A30750" s="118"/>
      <c r="B30750" s="136"/>
    </row>
    <row r="30751" spans="1:2" x14ac:dyDescent="0.25">
      <c r="A30751" s="118"/>
      <c r="B30751" s="136"/>
    </row>
    <row r="30752" spans="1:2" x14ac:dyDescent="0.25">
      <c r="A30752" s="118"/>
      <c r="B30752" s="136"/>
    </row>
    <row r="30753" spans="1:2" x14ac:dyDescent="0.25">
      <c r="A30753" s="118"/>
      <c r="B30753" s="136"/>
    </row>
    <row r="30754" spans="1:2" x14ac:dyDescent="0.25">
      <c r="A30754" s="118"/>
      <c r="B30754" s="136"/>
    </row>
    <row r="30755" spans="1:2" x14ac:dyDescent="0.25">
      <c r="A30755" s="118"/>
      <c r="B30755" s="136"/>
    </row>
    <row r="30756" spans="1:2" x14ac:dyDescent="0.25">
      <c r="A30756" s="118"/>
      <c r="B30756" s="136"/>
    </row>
    <row r="30757" spans="1:2" x14ac:dyDescent="0.25">
      <c r="A30757" s="118"/>
      <c r="B30757" s="136"/>
    </row>
    <row r="30758" spans="1:2" x14ac:dyDescent="0.25">
      <c r="A30758" s="118"/>
      <c r="B30758" s="136"/>
    </row>
    <row r="30759" spans="1:2" x14ac:dyDescent="0.25">
      <c r="A30759" s="118"/>
      <c r="B30759" s="136"/>
    </row>
    <row r="30760" spans="1:2" x14ac:dyDescent="0.25">
      <c r="A30760" s="118"/>
      <c r="B30760" s="136"/>
    </row>
    <row r="30761" spans="1:2" x14ac:dyDescent="0.25">
      <c r="A30761" s="118"/>
      <c r="B30761" s="136"/>
    </row>
    <row r="30762" spans="1:2" x14ac:dyDescent="0.25">
      <c r="A30762" s="118"/>
      <c r="B30762" s="136"/>
    </row>
    <row r="30763" spans="1:2" x14ac:dyDescent="0.25">
      <c r="A30763" s="118"/>
      <c r="B30763" s="136"/>
    </row>
    <row r="30764" spans="1:2" x14ac:dyDescent="0.25">
      <c r="A30764" s="118"/>
      <c r="B30764" s="136"/>
    </row>
    <row r="30765" spans="1:2" x14ac:dyDescent="0.25">
      <c r="A30765" s="118"/>
      <c r="B30765" s="136"/>
    </row>
    <row r="30766" spans="1:2" x14ac:dyDescent="0.25">
      <c r="A30766" s="118"/>
      <c r="B30766" s="136"/>
    </row>
    <row r="30767" spans="1:2" x14ac:dyDescent="0.25">
      <c r="A30767" s="118"/>
      <c r="B30767" s="136"/>
    </row>
    <row r="30768" spans="1:2" x14ac:dyDescent="0.25">
      <c r="A30768" s="118"/>
      <c r="B30768" s="136"/>
    </row>
    <row r="30769" spans="1:2" x14ac:dyDescent="0.25">
      <c r="A30769" s="118"/>
      <c r="B30769" s="136"/>
    </row>
    <row r="30770" spans="1:2" x14ac:dyDescent="0.25">
      <c r="A30770" s="118"/>
      <c r="B30770" s="136"/>
    </row>
    <row r="30771" spans="1:2" x14ac:dyDescent="0.25">
      <c r="A30771" s="118"/>
      <c r="B30771" s="136"/>
    </row>
    <row r="30772" spans="1:2" x14ac:dyDescent="0.25">
      <c r="A30772" s="118"/>
      <c r="B30772" s="136"/>
    </row>
    <row r="30773" spans="1:2" x14ac:dyDescent="0.25">
      <c r="A30773" s="118"/>
      <c r="B30773" s="136"/>
    </row>
    <row r="30774" spans="1:2" x14ac:dyDescent="0.25">
      <c r="A30774" s="118"/>
      <c r="B30774" s="136"/>
    </row>
    <row r="30775" spans="1:2" x14ac:dyDescent="0.25">
      <c r="A30775" s="118"/>
      <c r="B30775" s="136"/>
    </row>
    <row r="30776" spans="1:2" x14ac:dyDescent="0.25">
      <c r="A30776" s="118"/>
      <c r="B30776" s="136"/>
    </row>
    <row r="30777" spans="1:2" x14ac:dyDescent="0.25">
      <c r="A30777" s="118"/>
      <c r="B30777" s="136"/>
    </row>
    <row r="30778" spans="1:2" x14ac:dyDescent="0.25">
      <c r="A30778" s="118"/>
      <c r="B30778" s="136"/>
    </row>
    <row r="30779" spans="1:2" x14ac:dyDescent="0.25">
      <c r="A30779" s="118"/>
      <c r="B30779" s="136"/>
    </row>
    <row r="30780" spans="1:2" x14ac:dyDescent="0.25">
      <c r="A30780" s="118"/>
      <c r="B30780" s="136"/>
    </row>
    <row r="30781" spans="1:2" x14ac:dyDescent="0.25">
      <c r="A30781" s="118"/>
      <c r="B30781" s="136"/>
    </row>
    <row r="30782" spans="1:2" x14ac:dyDescent="0.25">
      <c r="A30782" s="118"/>
      <c r="B30782" s="136"/>
    </row>
    <row r="30783" spans="1:2" x14ac:dyDescent="0.25">
      <c r="A30783" s="118"/>
      <c r="B30783" s="136"/>
    </row>
    <row r="30784" spans="1:2" x14ac:dyDescent="0.25">
      <c r="A30784" s="118"/>
      <c r="B30784" s="136"/>
    </row>
    <row r="30785" spans="1:2" x14ac:dyDescent="0.25">
      <c r="A30785" s="118"/>
      <c r="B30785" s="136"/>
    </row>
    <row r="30786" spans="1:2" x14ac:dyDescent="0.25">
      <c r="A30786" s="118"/>
      <c r="B30786" s="136"/>
    </row>
    <row r="30787" spans="1:2" x14ac:dyDescent="0.25">
      <c r="A30787" s="118"/>
      <c r="B30787" s="136"/>
    </row>
    <row r="30788" spans="1:2" x14ac:dyDescent="0.25">
      <c r="A30788" s="118"/>
      <c r="B30788" s="136"/>
    </row>
    <row r="30789" spans="1:2" x14ac:dyDescent="0.25">
      <c r="A30789" s="118"/>
      <c r="B30789" s="136"/>
    </row>
    <row r="30790" spans="1:2" x14ac:dyDescent="0.25">
      <c r="A30790" s="118"/>
      <c r="B30790" s="136"/>
    </row>
    <row r="30791" spans="1:2" x14ac:dyDescent="0.25">
      <c r="A30791" s="118"/>
      <c r="B30791" s="136"/>
    </row>
    <row r="30792" spans="1:2" x14ac:dyDescent="0.25">
      <c r="A30792" s="118"/>
      <c r="B30792" s="136"/>
    </row>
    <row r="30793" spans="1:2" x14ac:dyDescent="0.25">
      <c r="A30793" s="118"/>
      <c r="B30793" s="136"/>
    </row>
    <row r="30794" spans="1:2" x14ac:dyDescent="0.25">
      <c r="A30794" s="118"/>
      <c r="B30794" s="136"/>
    </row>
    <row r="30795" spans="1:2" x14ac:dyDescent="0.25">
      <c r="A30795" s="118"/>
      <c r="B30795" s="136"/>
    </row>
    <row r="30796" spans="1:2" x14ac:dyDescent="0.25">
      <c r="A30796" s="118"/>
      <c r="B30796" s="136"/>
    </row>
    <row r="30797" spans="1:2" x14ac:dyDescent="0.25">
      <c r="A30797" s="118"/>
      <c r="B30797" s="136"/>
    </row>
    <row r="30798" spans="1:2" x14ac:dyDescent="0.25">
      <c r="A30798" s="118"/>
      <c r="B30798" s="136"/>
    </row>
    <row r="30799" spans="1:2" x14ac:dyDescent="0.25">
      <c r="A30799" s="118"/>
      <c r="B30799" s="136"/>
    </row>
    <row r="30800" spans="1:2" x14ac:dyDescent="0.25">
      <c r="A30800" s="118"/>
      <c r="B30800" s="136"/>
    </row>
    <row r="30801" spans="1:2" x14ac:dyDescent="0.25">
      <c r="A30801" s="118"/>
      <c r="B30801" s="136"/>
    </row>
    <row r="30802" spans="1:2" x14ac:dyDescent="0.25">
      <c r="A30802" s="118"/>
      <c r="B30802" s="136"/>
    </row>
    <row r="30803" spans="1:2" x14ac:dyDescent="0.25">
      <c r="A30803" s="118"/>
      <c r="B30803" s="136"/>
    </row>
    <row r="30804" spans="1:2" x14ac:dyDescent="0.25">
      <c r="A30804" s="118"/>
      <c r="B30804" s="136"/>
    </row>
    <row r="30805" spans="1:2" x14ac:dyDescent="0.25">
      <c r="A30805" s="118"/>
      <c r="B30805" s="136"/>
    </row>
    <row r="30806" spans="1:2" x14ac:dyDescent="0.25">
      <c r="A30806" s="118"/>
      <c r="B30806" s="136"/>
    </row>
    <row r="30807" spans="1:2" x14ac:dyDescent="0.25">
      <c r="A30807" s="118"/>
      <c r="B30807" s="136"/>
    </row>
    <row r="30808" spans="1:2" x14ac:dyDescent="0.25">
      <c r="A30808" s="118"/>
      <c r="B30808" s="136"/>
    </row>
    <row r="30809" spans="1:2" x14ac:dyDescent="0.25">
      <c r="A30809" s="118"/>
      <c r="B30809" s="136"/>
    </row>
    <row r="30810" spans="1:2" x14ac:dyDescent="0.25">
      <c r="A30810" s="118"/>
      <c r="B30810" s="136"/>
    </row>
    <row r="30811" spans="1:2" x14ac:dyDescent="0.25">
      <c r="A30811" s="118"/>
      <c r="B30811" s="136"/>
    </row>
    <row r="30812" spans="1:2" x14ac:dyDescent="0.25">
      <c r="A30812" s="118"/>
      <c r="B30812" s="136"/>
    </row>
    <row r="30813" spans="1:2" x14ac:dyDescent="0.25">
      <c r="A30813" s="118"/>
      <c r="B30813" s="136"/>
    </row>
    <row r="30814" spans="1:2" x14ac:dyDescent="0.25">
      <c r="A30814" s="118"/>
      <c r="B30814" s="136"/>
    </row>
    <row r="30815" spans="1:2" x14ac:dyDescent="0.25">
      <c r="A30815" s="118"/>
      <c r="B30815" s="136"/>
    </row>
    <row r="30816" spans="1:2" x14ac:dyDescent="0.25">
      <c r="A30816" s="118"/>
      <c r="B30816" s="136"/>
    </row>
    <row r="30817" spans="1:2" x14ac:dyDescent="0.25">
      <c r="A30817" s="118"/>
      <c r="B30817" s="136"/>
    </row>
    <row r="30818" spans="1:2" x14ac:dyDescent="0.25">
      <c r="A30818" s="118"/>
      <c r="B30818" s="136"/>
    </row>
    <row r="30819" spans="1:2" x14ac:dyDescent="0.25">
      <c r="A30819" s="118"/>
      <c r="B30819" s="136"/>
    </row>
    <row r="30820" spans="1:2" x14ac:dyDescent="0.25">
      <c r="A30820" s="118"/>
      <c r="B30820" s="136"/>
    </row>
    <row r="30821" spans="1:2" x14ac:dyDescent="0.25">
      <c r="A30821" s="118"/>
      <c r="B30821" s="136"/>
    </row>
    <row r="30822" spans="1:2" x14ac:dyDescent="0.25">
      <c r="A30822" s="118"/>
      <c r="B30822" s="136"/>
    </row>
    <row r="30823" spans="1:2" x14ac:dyDescent="0.25">
      <c r="A30823" s="118"/>
      <c r="B30823" s="136"/>
    </row>
    <row r="30824" spans="1:2" x14ac:dyDescent="0.25">
      <c r="A30824" s="118"/>
      <c r="B30824" s="136"/>
    </row>
    <row r="30825" spans="1:2" x14ac:dyDescent="0.25">
      <c r="A30825" s="118"/>
      <c r="B30825" s="136"/>
    </row>
    <row r="30826" spans="1:2" x14ac:dyDescent="0.25">
      <c r="A30826" s="118"/>
      <c r="B30826" s="136"/>
    </row>
    <row r="30827" spans="1:2" x14ac:dyDescent="0.25">
      <c r="A30827" s="118"/>
      <c r="B30827" s="136"/>
    </row>
    <row r="30828" spans="1:2" x14ac:dyDescent="0.25">
      <c r="A30828" s="118"/>
      <c r="B30828" s="136"/>
    </row>
    <row r="30829" spans="1:2" x14ac:dyDescent="0.25">
      <c r="A30829" s="118"/>
      <c r="B30829" s="136"/>
    </row>
    <row r="30830" spans="1:2" x14ac:dyDescent="0.25">
      <c r="A30830" s="118"/>
      <c r="B30830" s="136"/>
    </row>
    <row r="30831" spans="1:2" x14ac:dyDescent="0.25">
      <c r="A30831" s="118"/>
      <c r="B30831" s="136"/>
    </row>
    <row r="30832" spans="1:2" x14ac:dyDescent="0.25">
      <c r="A30832" s="118"/>
      <c r="B30832" s="136"/>
    </row>
    <row r="30833" spans="1:2" x14ac:dyDescent="0.25">
      <c r="A30833" s="118"/>
      <c r="B30833" s="136"/>
    </row>
    <row r="30834" spans="1:2" x14ac:dyDescent="0.25">
      <c r="A30834" s="118"/>
      <c r="B30834" s="136"/>
    </row>
    <row r="30835" spans="1:2" x14ac:dyDescent="0.25">
      <c r="A30835" s="118"/>
      <c r="B30835" s="136"/>
    </row>
    <row r="30836" spans="1:2" x14ac:dyDescent="0.25">
      <c r="A30836" s="118"/>
      <c r="B30836" s="136"/>
    </row>
    <row r="30837" spans="1:2" x14ac:dyDescent="0.25">
      <c r="A30837" s="118"/>
      <c r="B30837" s="136"/>
    </row>
    <row r="30838" spans="1:2" x14ac:dyDescent="0.25">
      <c r="A30838" s="118"/>
      <c r="B30838" s="136"/>
    </row>
    <row r="30839" spans="1:2" x14ac:dyDescent="0.25">
      <c r="A30839" s="118"/>
      <c r="B30839" s="136"/>
    </row>
    <row r="30840" spans="1:2" x14ac:dyDescent="0.25">
      <c r="A30840" s="118"/>
      <c r="B30840" s="136"/>
    </row>
    <row r="30841" spans="1:2" x14ac:dyDescent="0.25">
      <c r="A30841" s="118"/>
      <c r="B30841" s="136"/>
    </row>
    <row r="30842" spans="1:2" x14ac:dyDescent="0.25">
      <c r="A30842" s="118"/>
      <c r="B30842" s="136"/>
    </row>
    <row r="30843" spans="1:2" x14ac:dyDescent="0.25">
      <c r="A30843" s="118"/>
      <c r="B30843" s="136"/>
    </row>
    <row r="30844" spans="1:2" x14ac:dyDescent="0.25">
      <c r="A30844" s="118"/>
      <c r="B30844" s="136"/>
    </row>
    <row r="30845" spans="1:2" x14ac:dyDescent="0.25">
      <c r="A30845" s="118"/>
      <c r="B30845" s="136"/>
    </row>
    <row r="30846" spans="1:2" x14ac:dyDescent="0.25">
      <c r="A30846" s="118"/>
      <c r="B30846" s="136"/>
    </row>
    <row r="30847" spans="1:2" x14ac:dyDescent="0.25">
      <c r="A30847" s="118"/>
      <c r="B30847" s="136"/>
    </row>
    <row r="30848" spans="1:2" x14ac:dyDescent="0.25">
      <c r="A30848" s="118"/>
      <c r="B30848" s="136"/>
    </row>
    <row r="30849" spans="1:2" x14ac:dyDescent="0.25">
      <c r="A30849" s="118"/>
      <c r="B30849" s="136"/>
    </row>
    <row r="30850" spans="1:2" x14ac:dyDescent="0.25">
      <c r="A30850" s="118"/>
      <c r="B30850" s="136"/>
    </row>
    <row r="30851" spans="1:2" x14ac:dyDescent="0.25">
      <c r="A30851" s="118"/>
      <c r="B30851" s="136"/>
    </row>
    <row r="30852" spans="1:2" x14ac:dyDescent="0.25">
      <c r="A30852" s="118"/>
      <c r="B30852" s="136"/>
    </row>
    <row r="30853" spans="1:2" x14ac:dyDescent="0.25">
      <c r="A30853" s="118"/>
      <c r="B30853" s="136"/>
    </row>
    <row r="30854" spans="1:2" x14ac:dyDescent="0.25">
      <c r="A30854" s="118"/>
      <c r="B30854" s="136"/>
    </row>
    <row r="30855" spans="1:2" x14ac:dyDescent="0.25">
      <c r="A30855" s="118"/>
      <c r="B30855" s="136"/>
    </row>
    <row r="30856" spans="1:2" x14ac:dyDescent="0.25">
      <c r="A30856" s="118"/>
      <c r="B30856" s="136"/>
    </row>
    <row r="30857" spans="1:2" x14ac:dyDescent="0.25">
      <c r="A30857" s="118"/>
      <c r="B30857" s="136"/>
    </row>
    <row r="30858" spans="1:2" x14ac:dyDescent="0.25">
      <c r="A30858" s="118"/>
      <c r="B30858" s="136"/>
    </row>
    <row r="30859" spans="1:2" x14ac:dyDescent="0.25">
      <c r="A30859" s="118"/>
      <c r="B30859" s="136"/>
    </row>
    <row r="30860" spans="1:2" x14ac:dyDescent="0.25">
      <c r="A30860" s="118"/>
      <c r="B30860" s="136"/>
    </row>
    <row r="30861" spans="1:2" x14ac:dyDescent="0.25">
      <c r="A30861" s="118"/>
      <c r="B30861" s="136"/>
    </row>
    <row r="30862" spans="1:2" x14ac:dyDescent="0.25">
      <c r="A30862" s="118"/>
      <c r="B30862" s="136"/>
    </row>
    <row r="30863" spans="1:2" x14ac:dyDescent="0.25">
      <c r="A30863" s="118"/>
      <c r="B30863" s="136"/>
    </row>
    <row r="30864" spans="1:2" x14ac:dyDescent="0.25">
      <c r="A30864" s="118"/>
      <c r="B30864" s="136"/>
    </row>
    <row r="30865" spans="1:2" x14ac:dyDescent="0.25">
      <c r="A30865" s="118"/>
      <c r="B30865" s="136"/>
    </row>
    <row r="30866" spans="1:2" x14ac:dyDescent="0.25">
      <c r="A30866" s="118"/>
      <c r="B30866" s="136"/>
    </row>
    <row r="30867" spans="1:2" x14ac:dyDescent="0.25">
      <c r="A30867" s="118"/>
      <c r="B30867" s="136"/>
    </row>
    <row r="30868" spans="1:2" x14ac:dyDescent="0.25">
      <c r="A30868" s="118"/>
      <c r="B30868" s="136"/>
    </row>
    <row r="30869" spans="1:2" x14ac:dyDescent="0.25">
      <c r="A30869" s="118"/>
      <c r="B30869" s="136"/>
    </row>
    <row r="30870" spans="1:2" x14ac:dyDescent="0.25">
      <c r="A30870" s="118"/>
      <c r="B30870" s="136"/>
    </row>
    <row r="30871" spans="1:2" x14ac:dyDescent="0.25">
      <c r="A30871" s="118"/>
      <c r="B30871" s="136"/>
    </row>
    <row r="30872" spans="1:2" x14ac:dyDescent="0.25">
      <c r="A30872" s="118"/>
      <c r="B30872" s="136"/>
    </row>
    <row r="30873" spans="1:2" x14ac:dyDescent="0.25">
      <c r="A30873" s="118"/>
      <c r="B30873" s="136"/>
    </row>
    <row r="30874" spans="1:2" x14ac:dyDescent="0.25">
      <c r="A30874" s="118"/>
      <c r="B30874" s="136"/>
    </row>
    <row r="30875" spans="1:2" x14ac:dyDescent="0.25">
      <c r="A30875" s="118"/>
      <c r="B30875" s="136"/>
    </row>
    <row r="30876" spans="1:2" x14ac:dyDescent="0.25">
      <c r="A30876" s="118"/>
      <c r="B30876" s="136"/>
    </row>
    <row r="30877" spans="1:2" x14ac:dyDescent="0.25">
      <c r="A30877" s="118"/>
      <c r="B30877" s="136"/>
    </row>
    <row r="30878" spans="1:2" x14ac:dyDescent="0.25">
      <c r="A30878" s="118"/>
      <c r="B30878" s="136"/>
    </row>
    <row r="30879" spans="1:2" x14ac:dyDescent="0.25">
      <c r="A30879" s="118"/>
      <c r="B30879" s="136"/>
    </row>
    <row r="30880" spans="1:2" x14ac:dyDescent="0.25">
      <c r="A30880" s="118"/>
      <c r="B30880" s="136"/>
    </row>
    <row r="30881" spans="1:2" x14ac:dyDescent="0.25">
      <c r="A30881" s="118"/>
      <c r="B30881" s="136"/>
    </row>
    <row r="30882" spans="1:2" x14ac:dyDescent="0.25">
      <c r="A30882" s="118"/>
      <c r="B30882" s="136"/>
    </row>
    <row r="30883" spans="1:2" x14ac:dyDescent="0.25">
      <c r="A30883" s="118"/>
      <c r="B30883" s="136"/>
    </row>
    <row r="30884" spans="1:2" x14ac:dyDescent="0.25">
      <c r="A30884" s="118"/>
      <c r="B30884" s="136"/>
    </row>
    <row r="30885" spans="1:2" x14ac:dyDescent="0.25">
      <c r="A30885" s="118"/>
      <c r="B30885" s="136"/>
    </row>
    <row r="30886" spans="1:2" x14ac:dyDescent="0.25">
      <c r="A30886" s="118"/>
      <c r="B30886" s="136"/>
    </row>
    <row r="30887" spans="1:2" x14ac:dyDescent="0.25">
      <c r="A30887" s="118"/>
      <c r="B30887" s="136"/>
    </row>
    <row r="30888" spans="1:2" x14ac:dyDescent="0.25">
      <c r="A30888" s="118"/>
      <c r="B30888" s="136"/>
    </row>
    <row r="30889" spans="1:2" x14ac:dyDescent="0.25">
      <c r="A30889" s="118"/>
      <c r="B30889" s="136"/>
    </row>
    <row r="30890" spans="1:2" x14ac:dyDescent="0.25">
      <c r="A30890" s="118"/>
      <c r="B30890" s="136"/>
    </row>
    <row r="30891" spans="1:2" x14ac:dyDescent="0.25">
      <c r="A30891" s="118"/>
      <c r="B30891" s="136"/>
    </row>
    <row r="30892" spans="1:2" x14ac:dyDescent="0.25">
      <c r="A30892" s="118"/>
      <c r="B30892" s="136"/>
    </row>
    <row r="30893" spans="1:2" x14ac:dyDescent="0.25">
      <c r="A30893" s="118"/>
      <c r="B30893" s="136"/>
    </row>
    <row r="30894" spans="1:2" x14ac:dyDescent="0.25">
      <c r="A30894" s="118"/>
      <c r="B30894" s="136"/>
    </row>
    <row r="30895" spans="1:2" x14ac:dyDescent="0.25">
      <c r="A30895" s="118"/>
      <c r="B30895" s="136"/>
    </row>
    <row r="30896" spans="1:2" x14ac:dyDescent="0.25">
      <c r="A30896" s="118"/>
      <c r="B30896" s="136"/>
    </row>
    <row r="30897" spans="1:2" x14ac:dyDescent="0.25">
      <c r="A30897" s="118"/>
      <c r="B30897" s="136"/>
    </row>
    <row r="30898" spans="1:2" x14ac:dyDescent="0.25">
      <c r="A30898" s="118"/>
      <c r="B30898" s="136"/>
    </row>
    <row r="30899" spans="1:2" x14ac:dyDescent="0.25">
      <c r="A30899" s="118"/>
      <c r="B30899" s="136"/>
    </row>
    <row r="30900" spans="1:2" x14ac:dyDescent="0.25">
      <c r="A30900" s="118"/>
      <c r="B30900" s="136"/>
    </row>
    <row r="30901" spans="1:2" x14ac:dyDescent="0.25">
      <c r="A30901" s="118"/>
      <c r="B30901" s="136"/>
    </row>
    <row r="30902" spans="1:2" x14ac:dyDescent="0.25">
      <c r="A30902" s="118"/>
      <c r="B30902" s="136"/>
    </row>
    <row r="30903" spans="1:2" x14ac:dyDescent="0.25">
      <c r="A30903" s="118"/>
      <c r="B30903" s="136"/>
    </row>
    <row r="30904" spans="1:2" x14ac:dyDescent="0.25">
      <c r="A30904" s="118"/>
      <c r="B30904" s="136"/>
    </row>
    <row r="30905" spans="1:2" x14ac:dyDescent="0.25">
      <c r="A30905" s="118"/>
      <c r="B30905" s="136"/>
    </row>
    <row r="30906" spans="1:2" x14ac:dyDescent="0.25">
      <c r="A30906" s="118"/>
      <c r="B30906" s="136"/>
    </row>
    <row r="30907" spans="1:2" x14ac:dyDescent="0.25">
      <c r="A30907" s="118"/>
      <c r="B30907" s="136"/>
    </row>
    <row r="30908" spans="1:2" x14ac:dyDescent="0.25">
      <c r="A30908" s="118"/>
      <c r="B30908" s="136"/>
    </row>
    <row r="30909" spans="1:2" x14ac:dyDescent="0.25">
      <c r="A30909" s="118"/>
      <c r="B30909" s="136"/>
    </row>
    <row r="30910" spans="1:2" x14ac:dyDescent="0.25">
      <c r="A30910" s="118"/>
      <c r="B30910" s="136"/>
    </row>
    <row r="30911" spans="1:2" x14ac:dyDescent="0.25">
      <c r="A30911" s="118"/>
      <c r="B30911" s="136"/>
    </row>
    <row r="30912" spans="1:2" x14ac:dyDescent="0.25">
      <c r="A30912" s="118"/>
      <c r="B30912" s="136"/>
    </row>
    <row r="30913" spans="1:2" x14ac:dyDescent="0.25">
      <c r="A30913" s="118"/>
      <c r="B30913" s="136"/>
    </row>
    <row r="30914" spans="1:2" x14ac:dyDescent="0.25">
      <c r="A30914" s="118"/>
      <c r="B30914" s="136"/>
    </row>
    <row r="30915" spans="1:2" x14ac:dyDescent="0.25">
      <c r="A30915" s="118"/>
      <c r="B30915" s="136"/>
    </row>
    <row r="30916" spans="1:2" x14ac:dyDescent="0.25">
      <c r="A30916" s="118"/>
      <c r="B30916" s="136"/>
    </row>
    <row r="30917" spans="1:2" x14ac:dyDescent="0.25">
      <c r="A30917" s="118"/>
      <c r="B30917" s="136"/>
    </row>
    <row r="30918" spans="1:2" x14ac:dyDescent="0.25">
      <c r="A30918" s="118"/>
      <c r="B30918" s="136"/>
    </row>
    <row r="30919" spans="1:2" x14ac:dyDescent="0.25">
      <c r="A30919" s="118"/>
      <c r="B30919" s="136"/>
    </row>
    <row r="30920" spans="1:2" x14ac:dyDescent="0.25">
      <c r="A30920" s="118"/>
      <c r="B30920" s="136"/>
    </row>
    <row r="30921" spans="1:2" x14ac:dyDescent="0.25">
      <c r="A30921" s="118"/>
      <c r="B30921" s="136"/>
    </row>
    <row r="30922" spans="1:2" x14ac:dyDescent="0.25">
      <c r="A30922" s="118"/>
      <c r="B30922" s="136"/>
    </row>
    <row r="30923" spans="1:2" x14ac:dyDescent="0.25">
      <c r="A30923" s="118"/>
      <c r="B30923" s="136"/>
    </row>
    <row r="30924" spans="1:2" x14ac:dyDescent="0.25">
      <c r="A30924" s="118"/>
      <c r="B30924" s="136"/>
    </row>
    <row r="30925" spans="1:2" x14ac:dyDescent="0.25">
      <c r="A30925" s="118"/>
      <c r="B30925" s="136"/>
    </row>
    <row r="30926" spans="1:2" x14ac:dyDescent="0.25">
      <c r="A30926" s="118"/>
      <c r="B30926" s="136"/>
    </row>
    <row r="30927" spans="1:2" x14ac:dyDescent="0.25">
      <c r="A30927" s="118"/>
      <c r="B30927" s="136"/>
    </row>
    <row r="30928" spans="1:2" x14ac:dyDescent="0.25">
      <c r="A30928" s="118"/>
      <c r="B30928" s="136"/>
    </row>
    <row r="30929" spans="1:2" x14ac:dyDescent="0.25">
      <c r="A30929" s="118"/>
      <c r="B30929" s="136"/>
    </row>
    <row r="30930" spans="1:2" x14ac:dyDescent="0.25">
      <c r="A30930" s="118"/>
      <c r="B30930" s="136"/>
    </row>
    <row r="30931" spans="1:2" x14ac:dyDescent="0.25">
      <c r="A30931" s="118"/>
      <c r="B30931" s="136"/>
    </row>
    <row r="30932" spans="1:2" x14ac:dyDescent="0.25">
      <c r="A30932" s="118"/>
      <c r="B30932" s="136"/>
    </row>
    <row r="30933" spans="1:2" x14ac:dyDescent="0.25">
      <c r="A30933" s="118"/>
      <c r="B30933" s="136"/>
    </row>
    <row r="30934" spans="1:2" x14ac:dyDescent="0.25">
      <c r="A30934" s="118"/>
      <c r="B30934" s="136"/>
    </row>
    <row r="30935" spans="1:2" x14ac:dyDescent="0.25">
      <c r="A30935" s="118"/>
      <c r="B30935" s="136"/>
    </row>
    <row r="30936" spans="1:2" x14ac:dyDescent="0.25">
      <c r="A30936" s="118"/>
      <c r="B30936" s="136"/>
    </row>
    <row r="30937" spans="1:2" x14ac:dyDescent="0.25">
      <c r="A30937" s="118"/>
      <c r="B30937" s="136"/>
    </row>
    <row r="30938" spans="1:2" x14ac:dyDescent="0.25">
      <c r="A30938" s="118"/>
      <c r="B30938" s="136"/>
    </row>
    <row r="30939" spans="1:2" x14ac:dyDescent="0.25">
      <c r="A30939" s="118"/>
      <c r="B30939" s="136"/>
    </row>
    <row r="30940" spans="1:2" x14ac:dyDescent="0.25">
      <c r="A30940" s="118"/>
      <c r="B30940" s="136"/>
    </row>
    <row r="30941" spans="1:2" x14ac:dyDescent="0.25">
      <c r="A30941" s="118"/>
      <c r="B30941" s="136"/>
    </row>
    <row r="30942" spans="1:2" x14ac:dyDescent="0.25">
      <c r="A30942" s="118"/>
      <c r="B30942" s="136"/>
    </row>
    <row r="30943" spans="1:2" x14ac:dyDescent="0.25">
      <c r="A30943" s="118"/>
      <c r="B30943" s="136"/>
    </row>
    <row r="30944" spans="1:2" x14ac:dyDescent="0.25">
      <c r="A30944" s="118"/>
      <c r="B30944" s="136"/>
    </row>
    <row r="30945" spans="1:2" x14ac:dyDescent="0.25">
      <c r="A30945" s="118"/>
      <c r="B30945" s="136"/>
    </row>
    <row r="30946" spans="1:2" x14ac:dyDescent="0.25">
      <c r="A30946" s="118"/>
      <c r="B30946" s="136"/>
    </row>
    <row r="30947" spans="1:2" x14ac:dyDescent="0.25">
      <c r="A30947" s="118"/>
      <c r="B30947" s="136"/>
    </row>
    <row r="30948" spans="1:2" x14ac:dyDescent="0.25">
      <c r="A30948" s="118"/>
      <c r="B30948" s="136"/>
    </row>
    <row r="30949" spans="1:2" x14ac:dyDescent="0.25">
      <c r="A30949" s="118"/>
      <c r="B30949" s="136"/>
    </row>
    <row r="30950" spans="1:2" x14ac:dyDescent="0.25">
      <c r="A30950" s="118"/>
      <c r="B30950" s="136"/>
    </row>
    <row r="30951" spans="1:2" x14ac:dyDescent="0.25">
      <c r="A30951" s="118"/>
      <c r="B30951" s="136"/>
    </row>
    <row r="30952" spans="1:2" x14ac:dyDescent="0.25">
      <c r="A30952" s="118"/>
      <c r="B30952" s="136"/>
    </row>
    <row r="30953" spans="1:2" x14ac:dyDescent="0.25">
      <c r="A30953" s="118"/>
      <c r="B30953" s="136"/>
    </row>
    <row r="30954" spans="1:2" x14ac:dyDescent="0.25">
      <c r="A30954" s="118"/>
      <c r="B30954" s="136"/>
    </row>
    <row r="30955" spans="1:2" x14ac:dyDescent="0.25">
      <c r="A30955" s="118"/>
      <c r="B30955" s="136"/>
    </row>
    <row r="30956" spans="1:2" x14ac:dyDescent="0.25">
      <c r="A30956" s="118"/>
      <c r="B30956" s="136"/>
    </row>
    <row r="30957" spans="1:2" x14ac:dyDescent="0.25">
      <c r="A30957" s="118"/>
      <c r="B30957" s="136"/>
    </row>
    <row r="30958" spans="1:2" x14ac:dyDescent="0.25">
      <c r="A30958" s="118"/>
      <c r="B30958" s="136"/>
    </row>
    <row r="30959" spans="1:2" x14ac:dyDescent="0.25">
      <c r="A30959" s="118"/>
      <c r="B30959" s="136"/>
    </row>
    <row r="30960" spans="1:2" x14ac:dyDescent="0.25">
      <c r="A30960" s="118"/>
      <c r="B30960" s="136"/>
    </row>
    <row r="30961" spans="1:2" x14ac:dyDescent="0.25">
      <c r="A30961" s="118"/>
      <c r="B30961" s="136"/>
    </row>
    <row r="30962" spans="1:2" x14ac:dyDescent="0.25">
      <c r="A30962" s="118"/>
      <c r="B30962" s="136"/>
    </row>
    <row r="30963" spans="1:2" x14ac:dyDescent="0.25">
      <c r="A30963" s="118"/>
      <c r="B30963" s="136"/>
    </row>
    <row r="30964" spans="1:2" x14ac:dyDescent="0.25">
      <c r="A30964" s="118"/>
      <c r="B30964" s="136"/>
    </row>
    <row r="30965" spans="1:2" x14ac:dyDescent="0.25">
      <c r="A30965" s="118"/>
      <c r="B30965" s="136"/>
    </row>
    <row r="30966" spans="1:2" x14ac:dyDescent="0.25">
      <c r="A30966" s="118"/>
      <c r="B30966" s="136"/>
    </row>
    <row r="30967" spans="1:2" x14ac:dyDescent="0.25">
      <c r="A30967" s="118"/>
      <c r="B30967" s="136"/>
    </row>
    <row r="30968" spans="1:2" x14ac:dyDescent="0.25">
      <c r="A30968" s="118"/>
      <c r="B30968" s="136"/>
    </row>
    <row r="30969" spans="1:2" x14ac:dyDescent="0.25">
      <c r="A30969" s="118"/>
      <c r="B30969" s="136"/>
    </row>
    <row r="30970" spans="1:2" x14ac:dyDescent="0.25">
      <c r="A30970" s="118"/>
      <c r="B30970" s="136"/>
    </row>
    <row r="30971" spans="1:2" x14ac:dyDescent="0.25">
      <c r="A30971" s="118"/>
      <c r="B30971" s="136"/>
    </row>
    <row r="30972" spans="1:2" x14ac:dyDescent="0.25">
      <c r="A30972" s="118"/>
      <c r="B30972" s="136"/>
    </row>
    <row r="30973" spans="1:2" x14ac:dyDescent="0.25">
      <c r="A30973" s="118"/>
      <c r="B30973" s="136"/>
    </row>
    <row r="30974" spans="1:2" x14ac:dyDescent="0.25">
      <c r="A30974" s="118"/>
      <c r="B30974" s="136"/>
    </row>
    <row r="30975" spans="1:2" x14ac:dyDescent="0.25">
      <c r="A30975" s="118"/>
      <c r="B30975" s="136"/>
    </row>
    <row r="30976" spans="1:2" x14ac:dyDescent="0.25">
      <c r="A30976" s="118"/>
      <c r="B30976" s="136"/>
    </row>
    <row r="30977" spans="1:2" x14ac:dyDescent="0.25">
      <c r="A30977" s="118"/>
      <c r="B30977" s="136"/>
    </row>
    <row r="30978" spans="1:2" x14ac:dyDescent="0.25">
      <c r="A30978" s="118"/>
      <c r="B30978" s="136"/>
    </row>
    <row r="30979" spans="1:2" x14ac:dyDescent="0.25">
      <c r="A30979" s="118"/>
      <c r="B30979" s="136"/>
    </row>
    <row r="30980" spans="1:2" x14ac:dyDescent="0.25">
      <c r="A30980" s="118"/>
      <c r="B30980" s="136"/>
    </row>
    <row r="30981" spans="1:2" x14ac:dyDescent="0.25">
      <c r="A30981" s="118"/>
      <c r="B30981" s="136"/>
    </row>
    <row r="30982" spans="1:2" x14ac:dyDescent="0.25">
      <c r="A30982" s="118"/>
      <c r="B30982" s="136"/>
    </row>
    <row r="30983" spans="1:2" x14ac:dyDescent="0.25">
      <c r="A30983" s="118"/>
      <c r="B30983" s="136"/>
    </row>
    <row r="30984" spans="1:2" x14ac:dyDescent="0.25">
      <c r="A30984" s="118"/>
      <c r="B30984" s="136"/>
    </row>
    <row r="30985" spans="1:2" x14ac:dyDescent="0.25">
      <c r="A30985" s="118"/>
      <c r="B30985" s="136"/>
    </row>
    <row r="30986" spans="1:2" x14ac:dyDescent="0.25">
      <c r="A30986" s="118"/>
      <c r="B30986" s="136"/>
    </row>
    <row r="30987" spans="1:2" x14ac:dyDescent="0.25">
      <c r="A30987" s="118"/>
      <c r="B30987" s="136"/>
    </row>
    <row r="30988" spans="1:2" x14ac:dyDescent="0.25">
      <c r="A30988" s="118"/>
      <c r="B30988" s="136"/>
    </row>
    <row r="30989" spans="1:2" x14ac:dyDescent="0.25">
      <c r="A30989" s="118"/>
      <c r="B30989" s="136"/>
    </row>
    <row r="30990" spans="1:2" x14ac:dyDescent="0.25">
      <c r="A30990" s="118"/>
      <c r="B30990" s="136"/>
    </row>
    <row r="30991" spans="1:2" x14ac:dyDescent="0.25">
      <c r="A30991" s="118"/>
      <c r="B30991" s="136"/>
    </row>
    <row r="30992" spans="1:2" x14ac:dyDescent="0.25">
      <c r="A30992" s="118"/>
      <c r="B30992" s="136"/>
    </row>
    <row r="30993" spans="1:2" x14ac:dyDescent="0.25">
      <c r="A30993" s="118"/>
      <c r="B30993" s="136"/>
    </row>
    <row r="30994" spans="1:2" x14ac:dyDescent="0.25">
      <c r="A30994" s="118"/>
      <c r="B30994" s="136"/>
    </row>
    <row r="30995" spans="1:2" x14ac:dyDescent="0.25">
      <c r="A30995" s="118"/>
      <c r="B30995" s="136"/>
    </row>
    <row r="30996" spans="1:2" x14ac:dyDescent="0.25">
      <c r="A30996" s="118"/>
      <c r="B30996" s="136"/>
    </row>
    <row r="30997" spans="1:2" x14ac:dyDescent="0.25">
      <c r="A30997" s="118"/>
      <c r="B30997" s="136"/>
    </row>
    <row r="30998" spans="1:2" x14ac:dyDescent="0.25">
      <c r="A30998" s="118"/>
      <c r="B30998" s="136"/>
    </row>
    <row r="30999" spans="1:2" x14ac:dyDescent="0.25">
      <c r="A30999" s="118"/>
      <c r="B30999" s="136"/>
    </row>
    <row r="31000" spans="1:2" x14ac:dyDescent="0.25">
      <c r="A31000" s="118"/>
      <c r="B31000" s="136"/>
    </row>
    <row r="31001" spans="1:2" x14ac:dyDescent="0.25">
      <c r="A31001" s="118"/>
      <c r="B31001" s="136"/>
    </row>
    <row r="31002" spans="1:2" x14ac:dyDescent="0.25">
      <c r="A31002" s="118"/>
      <c r="B31002" s="136"/>
    </row>
    <row r="31003" spans="1:2" x14ac:dyDescent="0.25">
      <c r="A31003" s="118"/>
      <c r="B31003" s="136"/>
    </row>
    <row r="31004" spans="1:2" x14ac:dyDescent="0.25">
      <c r="A31004" s="118"/>
      <c r="B31004" s="136"/>
    </row>
    <row r="31005" spans="1:2" x14ac:dyDescent="0.25">
      <c r="A31005" s="118"/>
      <c r="B31005" s="136"/>
    </row>
    <row r="31006" spans="1:2" x14ac:dyDescent="0.25">
      <c r="A31006" s="118"/>
      <c r="B31006" s="136"/>
    </row>
    <row r="31007" spans="1:2" x14ac:dyDescent="0.25">
      <c r="A31007" s="118"/>
      <c r="B31007" s="136"/>
    </row>
    <row r="31008" spans="1:2" x14ac:dyDescent="0.25">
      <c r="A31008" s="118"/>
      <c r="B31008" s="136"/>
    </row>
    <row r="31009" spans="1:2" x14ac:dyDescent="0.25">
      <c r="A31009" s="118"/>
      <c r="B31009" s="136"/>
    </row>
    <row r="31010" spans="1:2" x14ac:dyDescent="0.25">
      <c r="A31010" s="118"/>
      <c r="B31010" s="136"/>
    </row>
    <row r="31011" spans="1:2" x14ac:dyDescent="0.25">
      <c r="A31011" s="118"/>
      <c r="B31011" s="136"/>
    </row>
    <row r="31012" spans="1:2" x14ac:dyDescent="0.25">
      <c r="A31012" s="118"/>
      <c r="B31012" s="136"/>
    </row>
    <row r="31013" spans="1:2" x14ac:dyDescent="0.25">
      <c r="A31013" s="118"/>
      <c r="B31013" s="136"/>
    </row>
    <row r="31014" spans="1:2" x14ac:dyDescent="0.25">
      <c r="A31014" s="118"/>
      <c r="B31014" s="136"/>
    </row>
    <row r="31015" spans="1:2" x14ac:dyDescent="0.25">
      <c r="A31015" s="118"/>
      <c r="B31015" s="136"/>
    </row>
    <row r="31016" spans="1:2" x14ac:dyDescent="0.25">
      <c r="A31016" s="118"/>
      <c r="B31016" s="136"/>
    </row>
    <row r="31017" spans="1:2" x14ac:dyDescent="0.25">
      <c r="A31017" s="118"/>
      <c r="B31017" s="136"/>
    </row>
    <row r="31018" spans="1:2" x14ac:dyDescent="0.25">
      <c r="A31018" s="118"/>
      <c r="B31018" s="136"/>
    </row>
    <row r="31019" spans="1:2" x14ac:dyDescent="0.25">
      <c r="A31019" s="118"/>
      <c r="B31019" s="136"/>
    </row>
    <row r="31020" spans="1:2" x14ac:dyDescent="0.25">
      <c r="A31020" s="118"/>
      <c r="B31020" s="136"/>
    </row>
    <row r="31021" spans="1:2" x14ac:dyDescent="0.25">
      <c r="A31021" s="118"/>
      <c r="B31021" s="136"/>
    </row>
    <row r="31022" spans="1:2" x14ac:dyDescent="0.25">
      <c r="A31022" s="118"/>
      <c r="B31022" s="136"/>
    </row>
    <row r="31023" spans="1:2" x14ac:dyDescent="0.25">
      <c r="A31023" s="118"/>
      <c r="B31023" s="136"/>
    </row>
    <row r="31024" spans="1:2" x14ac:dyDescent="0.25">
      <c r="A31024" s="118"/>
      <c r="B31024" s="136"/>
    </row>
    <row r="31025" spans="1:2" x14ac:dyDescent="0.25">
      <c r="A31025" s="118"/>
      <c r="B31025" s="136"/>
    </row>
    <row r="31026" spans="1:2" x14ac:dyDescent="0.25">
      <c r="A31026" s="118"/>
      <c r="B31026" s="136"/>
    </row>
    <row r="31027" spans="1:2" x14ac:dyDescent="0.25">
      <c r="A31027" s="118"/>
      <c r="B31027" s="136"/>
    </row>
    <row r="31028" spans="1:2" x14ac:dyDescent="0.25">
      <c r="A31028" s="118"/>
      <c r="B31028" s="136"/>
    </row>
    <row r="31029" spans="1:2" x14ac:dyDescent="0.25">
      <c r="A31029" s="118"/>
      <c r="B31029" s="136"/>
    </row>
    <row r="31030" spans="1:2" x14ac:dyDescent="0.25">
      <c r="A31030" s="118"/>
      <c r="B31030" s="136"/>
    </row>
    <row r="31031" spans="1:2" x14ac:dyDescent="0.25">
      <c r="A31031" s="118"/>
      <c r="B31031" s="136"/>
    </row>
    <row r="31032" spans="1:2" x14ac:dyDescent="0.25">
      <c r="A31032" s="118"/>
      <c r="B31032" s="136"/>
    </row>
    <row r="31033" spans="1:2" x14ac:dyDescent="0.25">
      <c r="A31033" s="118"/>
      <c r="B31033" s="136"/>
    </row>
    <row r="31034" spans="1:2" x14ac:dyDescent="0.25">
      <c r="A31034" s="118"/>
      <c r="B31034" s="136"/>
    </row>
    <row r="31035" spans="1:2" x14ac:dyDescent="0.25">
      <c r="A31035" s="118"/>
      <c r="B31035" s="136"/>
    </row>
    <row r="31036" spans="1:2" x14ac:dyDescent="0.25">
      <c r="A31036" s="118"/>
      <c r="B31036" s="136"/>
    </row>
    <row r="31037" spans="1:2" x14ac:dyDescent="0.25">
      <c r="A31037" s="118"/>
      <c r="B31037" s="136"/>
    </row>
    <row r="31038" spans="1:2" x14ac:dyDescent="0.25">
      <c r="A31038" s="118"/>
      <c r="B31038" s="136"/>
    </row>
    <row r="31039" spans="1:2" x14ac:dyDescent="0.25">
      <c r="A31039" s="118"/>
      <c r="B31039" s="136"/>
    </row>
    <row r="31040" spans="1:2" x14ac:dyDescent="0.25">
      <c r="A31040" s="118"/>
      <c r="B31040" s="136"/>
    </row>
    <row r="31041" spans="1:2" x14ac:dyDescent="0.25">
      <c r="A31041" s="118"/>
      <c r="B31041" s="136"/>
    </row>
    <row r="31042" spans="1:2" x14ac:dyDescent="0.25">
      <c r="A31042" s="118"/>
      <c r="B31042" s="136"/>
    </row>
    <row r="31043" spans="1:2" x14ac:dyDescent="0.25">
      <c r="A31043" s="118"/>
      <c r="B31043" s="136"/>
    </row>
    <row r="31044" spans="1:2" x14ac:dyDescent="0.25">
      <c r="A31044" s="118"/>
      <c r="B31044" s="136"/>
    </row>
    <row r="31045" spans="1:2" x14ac:dyDescent="0.25">
      <c r="A31045" s="118"/>
      <c r="B31045" s="136"/>
    </row>
    <row r="31046" spans="1:2" x14ac:dyDescent="0.25">
      <c r="A31046" s="118"/>
      <c r="B31046" s="136"/>
    </row>
    <row r="31047" spans="1:2" x14ac:dyDescent="0.25">
      <c r="A31047" s="118"/>
      <c r="B31047" s="136"/>
    </row>
    <row r="31048" spans="1:2" x14ac:dyDescent="0.25">
      <c r="A31048" s="118"/>
      <c r="B31048" s="136"/>
    </row>
    <row r="31049" spans="1:2" x14ac:dyDescent="0.25">
      <c r="A31049" s="118"/>
      <c r="B31049" s="136"/>
    </row>
    <row r="31050" spans="1:2" x14ac:dyDescent="0.25">
      <c r="A31050" s="118"/>
      <c r="B31050" s="136"/>
    </row>
    <row r="31051" spans="1:2" x14ac:dyDescent="0.25">
      <c r="A31051" s="118"/>
      <c r="B31051" s="136"/>
    </row>
    <row r="31052" spans="1:2" x14ac:dyDescent="0.25">
      <c r="A31052" s="118"/>
      <c r="B31052" s="136"/>
    </row>
    <row r="31053" spans="1:2" x14ac:dyDescent="0.25">
      <c r="A31053" s="118"/>
      <c r="B31053" s="136"/>
    </row>
    <row r="31054" spans="1:2" x14ac:dyDescent="0.25">
      <c r="A31054" s="118"/>
      <c r="B31054" s="136"/>
    </row>
    <row r="31055" spans="1:2" x14ac:dyDescent="0.25">
      <c r="A31055" s="118"/>
      <c r="B31055" s="136"/>
    </row>
    <row r="31056" spans="1:2" x14ac:dyDescent="0.25">
      <c r="A31056" s="118"/>
      <c r="B31056" s="136"/>
    </row>
    <row r="31057" spans="1:2" x14ac:dyDescent="0.25">
      <c r="A31057" s="118"/>
      <c r="B31057" s="136"/>
    </row>
    <row r="31058" spans="1:2" x14ac:dyDescent="0.25">
      <c r="A31058" s="118"/>
      <c r="B31058" s="136"/>
    </row>
    <row r="31059" spans="1:2" x14ac:dyDescent="0.25">
      <c r="A31059" s="118"/>
      <c r="B31059" s="136"/>
    </row>
    <row r="31060" spans="1:2" x14ac:dyDescent="0.25">
      <c r="A31060" s="118"/>
      <c r="B31060" s="136"/>
    </row>
    <row r="31061" spans="1:2" x14ac:dyDescent="0.25">
      <c r="A31061" s="118"/>
      <c r="B31061" s="136"/>
    </row>
    <row r="31062" spans="1:2" x14ac:dyDescent="0.25">
      <c r="A31062" s="118"/>
      <c r="B31062" s="136"/>
    </row>
    <row r="31063" spans="1:2" x14ac:dyDescent="0.25">
      <c r="A31063" s="118"/>
      <c r="B31063" s="136"/>
    </row>
    <row r="31064" spans="1:2" x14ac:dyDescent="0.25">
      <c r="A31064" s="118"/>
      <c r="B31064" s="136"/>
    </row>
    <row r="31065" spans="1:2" x14ac:dyDescent="0.25">
      <c r="A31065" s="118"/>
      <c r="B31065" s="136"/>
    </row>
    <row r="31066" spans="1:2" x14ac:dyDescent="0.25">
      <c r="A31066" s="118"/>
      <c r="B31066" s="136"/>
    </row>
    <row r="31067" spans="1:2" x14ac:dyDescent="0.25">
      <c r="A31067" s="118"/>
      <c r="B31067" s="136"/>
    </row>
    <row r="31068" spans="1:2" x14ac:dyDescent="0.25">
      <c r="A31068" s="118"/>
      <c r="B31068" s="136"/>
    </row>
    <row r="31069" spans="1:2" x14ac:dyDescent="0.25">
      <c r="A31069" s="118"/>
      <c r="B31069" s="136"/>
    </row>
    <row r="31070" spans="1:2" x14ac:dyDescent="0.25">
      <c r="A31070" s="118"/>
      <c r="B31070" s="136"/>
    </row>
    <row r="31071" spans="1:2" x14ac:dyDescent="0.25">
      <c r="A31071" s="118"/>
      <c r="B31071" s="136"/>
    </row>
    <row r="31072" spans="1:2" x14ac:dyDescent="0.25">
      <c r="A31072" s="118"/>
      <c r="B31072" s="136"/>
    </row>
    <row r="31073" spans="1:2" x14ac:dyDescent="0.25">
      <c r="A31073" s="118"/>
      <c r="B31073" s="136"/>
    </row>
    <row r="31074" spans="1:2" x14ac:dyDescent="0.25">
      <c r="A31074" s="118"/>
      <c r="B31074" s="136"/>
    </row>
    <row r="31075" spans="1:2" x14ac:dyDescent="0.25">
      <c r="A31075" s="118"/>
      <c r="B31075" s="136"/>
    </row>
    <row r="31076" spans="1:2" x14ac:dyDescent="0.25">
      <c r="A31076" s="118"/>
      <c r="B31076" s="136"/>
    </row>
    <row r="31077" spans="1:2" x14ac:dyDescent="0.25">
      <c r="A31077" s="118"/>
      <c r="B31077" s="136"/>
    </row>
    <row r="31078" spans="1:2" x14ac:dyDescent="0.25">
      <c r="A31078" s="118"/>
      <c r="B31078" s="136"/>
    </row>
    <row r="31079" spans="1:2" x14ac:dyDescent="0.25">
      <c r="A31079" s="118"/>
      <c r="B31079" s="136"/>
    </row>
    <row r="31080" spans="1:2" x14ac:dyDescent="0.25">
      <c r="A31080" s="118"/>
      <c r="B31080" s="136"/>
    </row>
    <row r="31081" spans="1:2" x14ac:dyDescent="0.25">
      <c r="A31081" s="118"/>
      <c r="B31081" s="136"/>
    </row>
    <row r="31082" spans="1:2" x14ac:dyDescent="0.25">
      <c r="A31082" s="118"/>
      <c r="B31082" s="136"/>
    </row>
    <row r="31083" spans="1:2" x14ac:dyDescent="0.25">
      <c r="A31083" s="118"/>
      <c r="B31083" s="136"/>
    </row>
    <row r="31084" spans="1:2" x14ac:dyDescent="0.25">
      <c r="A31084" s="118"/>
      <c r="B31084" s="136"/>
    </row>
    <row r="31085" spans="1:2" x14ac:dyDescent="0.25">
      <c r="A31085" s="118"/>
      <c r="B31085" s="136"/>
    </row>
    <row r="31086" spans="1:2" x14ac:dyDescent="0.25">
      <c r="A31086" s="118"/>
      <c r="B31086" s="136"/>
    </row>
    <row r="31087" spans="1:2" x14ac:dyDescent="0.25">
      <c r="A31087" s="118"/>
      <c r="B31087" s="136"/>
    </row>
    <row r="31088" spans="1:2" x14ac:dyDescent="0.25">
      <c r="A31088" s="118"/>
      <c r="B31088" s="136"/>
    </row>
    <row r="31089" spans="1:2" x14ac:dyDescent="0.25">
      <c r="A31089" s="118"/>
      <c r="B31089" s="136"/>
    </row>
    <row r="31090" spans="1:2" x14ac:dyDescent="0.25">
      <c r="A31090" s="118"/>
      <c r="B31090" s="136"/>
    </row>
    <row r="31091" spans="1:2" x14ac:dyDescent="0.25">
      <c r="A31091" s="118"/>
      <c r="B31091" s="136"/>
    </row>
    <row r="31092" spans="1:2" x14ac:dyDescent="0.25">
      <c r="A31092" s="118"/>
      <c r="B31092" s="136"/>
    </row>
    <row r="31093" spans="1:2" x14ac:dyDescent="0.25">
      <c r="A31093" s="118"/>
      <c r="B31093" s="136"/>
    </row>
    <row r="31094" spans="1:2" x14ac:dyDescent="0.25">
      <c r="A31094" s="118"/>
      <c r="B31094" s="136"/>
    </row>
    <row r="31095" spans="1:2" x14ac:dyDescent="0.25">
      <c r="A31095" s="118"/>
      <c r="B31095" s="136"/>
    </row>
    <row r="31096" spans="1:2" x14ac:dyDescent="0.25">
      <c r="A31096" s="118"/>
      <c r="B31096" s="136"/>
    </row>
    <row r="31097" spans="1:2" x14ac:dyDescent="0.25">
      <c r="A31097" s="118"/>
      <c r="B31097" s="136"/>
    </row>
    <row r="31098" spans="1:2" x14ac:dyDescent="0.25">
      <c r="A31098" s="118"/>
      <c r="B31098" s="136"/>
    </row>
    <row r="31099" spans="1:2" x14ac:dyDescent="0.25">
      <c r="A31099" s="118"/>
      <c r="B31099" s="136"/>
    </row>
    <row r="31100" spans="1:2" x14ac:dyDescent="0.25">
      <c r="A31100" s="118"/>
      <c r="B31100" s="136"/>
    </row>
    <row r="31101" spans="1:2" x14ac:dyDescent="0.25">
      <c r="A31101" s="118"/>
      <c r="B31101" s="136"/>
    </row>
    <row r="31102" spans="1:2" x14ac:dyDescent="0.25">
      <c r="A31102" s="118"/>
      <c r="B31102" s="136"/>
    </row>
    <row r="31103" spans="1:2" x14ac:dyDescent="0.25">
      <c r="A31103" s="118"/>
      <c r="B31103" s="136"/>
    </row>
    <row r="31104" spans="1:2" x14ac:dyDescent="0.25">
      <c r="A31104" s="118"/>
      <c r="B31104" s="136"/>
    </row>
    <row r="31105" spans="1:2" x14ac:dyDescent="0.25">
      <c r="A31105" s="118"/>
      <c r="B31105" s="136"/>
    </row>
    <row r="31106" spans="1:2" x14ac:dyDescent="0.25">
      <c r="A31106" s="118"/>
      <c r="B31106" s="136"/>
    </row>
    <row r="31107" spans="1:2" x14ac:dyDescent="0.25">
      <c r="A31107" s="118"/>
      <c r="B31107" s="136"/>
    </row>
    <row r="31108" spans="1:2" x14ac:dyDescent="0.25">
      <c r="A31108" s="118"/>
      <c r="B31108" s="136"/>
    </row>
    <row r="31109" spans="1:2" x14ac:dyDescent="0.25">
      <c r="A31109" s="118"/>
      <c r="B31109" s="136"/>
    </row>
    <row r="31110" spans="1:2" x14ac:dyDescent="0.25">
      <c r="A31110" s="118"/>
      <c r="B31110" s="136"/>
    </row>
    <row r="31111" spans="1:2" x14ac:dyDescent="0.25">
      <c r="A31111" s="118"/>
      <c r="B31111" s="136"/>
    </row>
    <row r="31112" spans="1:2" x14ac:dyDescent="0.25">
      <c r="A31112" s="118"/>
      <c r="B31112" s="136"/>
    </row>
    <row r="31113" spans="1:2" x14ac:dyDescent="0.25">
      <c r="A31113" s="118"/>
      <c r="B31113" s="136"/>
    </row>
    <row r="31114" spans="1:2" x14ac:dyDescent="0.25">
      <c r="A31114" s="118"/>
      <c r="B31114" s="136"/>
    </row>
    <row r="31115" spans="1:2" x14ac:dyDescent="0.25">
      <c r="A31115" s="118"/>
      <c r="B31115" s="136"/>
    </row>
    <row r="31116" spans="1:2" x14ac:dyDescent="0.25">
      <c r="A31116" s="118"/>
      <c r="B31116" s="136"/>
    </row>
    <row r="31117" spans="1:2" x14ac:dyDescent="0.25">
      <c r="A31117" s="118"/>
      <c r="B31117" s="136"/>
    </row>
    <row r="31118" spans="1:2" x14ac:dyDescent="0.25">
      <c r="A31118" s="118"/>
      <c r="B31118" s="136"/>
    </row>
    <row r="31119" spans="1:2" x14ac:dyDescent="0.25">
      <c r="A31119" s="118"/>
      <c r="B31119" s="136"/>
    </row>
    <row r="31120" spans="1:2" x14ac:dyDescent="0.25">
      <c r="A31120" s="118"/>
      <c r="B31120" s="136"/>
    </row>
    <row r="31121" spans="1:2" x14ac:dyDescent="0.25">
      <c r="A31121" s="118"/>
      <c r="B31121" s="136"/>
    </row>
    <row r="31122" spans="1:2" x14ac:dyDescent="0.25">
      <c r="A31122" s="118"/>
      <c r="B31122" s="136"/>
    </row>
    <row r="31123" spans="1:2" x14ac:dyDescent="0.25">
      <c r="A31123" s="118"/>
      <c r="B31123" s="136"/>
    </row>
    <row r="31124" spans="1:2" x14ac:dyDescent="0.25">
      <c r="A31124" s="118"/>
      <c r="B31124" s="136"/>
    </row>
    <row r="31125" spans="1:2" x14ac:dyDescent="0.25">
      <c r="A31125" s="118"/>
      <c r="B31125" s="136"/>
    </row>
    <row r="31126" spans="1:2" x14ac:dyDescent="0.25">
      <c r="A31126" s="118"/>
      <c r="B31126" s="136"/>
    </row>
    <row r="31127" spans="1:2" x14ac:dyDescent="0.25">
      <c r="A31127" s="118"/>
      <c r="B31127" s="136"/>
    </row>
    <row r="31128" spans="1:2" x14ac:dyDescent="0.25">
      <c r="A31128" s="118"/>
      <c r="B31128" s="136"/>
    </row>
    <row r="31129" spans="1:2" x14ac:dyDescent="0.25">
      <c r="A31129" s="118"/>
      <c r="B31129" s="136"/>
    </row>
    <row r="31130" spans="1:2" x14ac:dyDescent="0.25">
      <c r="A31130" s="118"/>
      <c r="B31130" s="136"/>
    </row>
    <row r="31131" spans="1:2" x14ac:dyDescent="0.25">
      <c r="A31131" s="118"/>
      <c r="B31131" s="136"/>
    </row>
    <row r="31132" spans="1:2" x14ac:dyDescent="0.25">
      <c r="A31132" s="118"/>
      <c r="B31132" s="136"/>
    </row>
    <row r="31133" spans="1:2" x14ac:dyDescent="0.25">
      <c r="A31133" s="118"/>
      <c r="B31133" s="136"/>
    </row>
    <row r="31134" spans="1:2" x14ac:dyDescent="0.25">
      <c r="A31134" s="118"/>
      <c r="B31134" s="136"/>
    </row>
    <row r="31135" spans="1:2" x14ac:dyDescent="0.25">
      <c r="A31135" s="118"/>
      <c r="B31135" s="136"/>
    </row>
    <row r="31136" spans="1:2" x14ac:dyDescent="0.25">
      <c r="A31136" s="118"/>
      <c r="B31136" s="136"/>
    </row>
    <row r="31137" spans="1:2" x14ac:dyDescent="0.25">
      <c r="A31137" s="118"/>
      <c r="B31137" s="136"/>
    </row>
    <row r="31138" spans="1:2" x14ac:dyDescent="0.25">
      <c r="A31138" s="118"/>
      <c r="B31138" s="136"/>
    </row>
    <row r="31139" spans="1:2" x14ac:dyDescent="0.25">
      <c r="A31139" s="118"/>
      <c r="B31139" s="136"/>
    </row>
    <row r="31140" spans="1:2" x14ac:dyDescent="0.25">
      <c r="A31140" s="118"/>
      <c r="B31140" s="136"/>
    </row>
    <row r="31141" spans="1:2" x14ac:dyDescent="0.25">
      <c r="A31141" s="118"/>
      <c r="B31141" s="136"/>
    </row>
    <row r="31142" spans="1:2" x14ac:dyDescent="0.25">
      <c r="A31142" s="118"/>
      <c r="B31142" s="136"/>
    </row>
    <row r="31143" spans="1:2" x14ac:dyDescent="0.25">
      <c r="A31143" s="118"/>
      <c r="B31143" s="136"/>
    </row>
    <row r="31144" spans="1:2" x14ac:dyDescent="0.25">
      <c r="A31144" s="118"/>
      <c r="B31144" s="136"/>
    </row>
    <row r="31145" spans="1:2" x14ac:dyDescent="0.25">
      <c r="A31145" s="118"/>
      <c r="B31145" s="136"/>
    </row>
    <row r="31146" spans="1:2" x14ac:dyDescent="0.25">
      <c r="A31146" s="118"/>
      <c r="B31146" s="136"/>
    </row>
    <row r="31147" spans="1:2" x14ac:dyDescent="0.25">
      <c r="A31147" s="118"/>
      <c r="B31147" s="136"/>
    </row>
    <row r="31148" spans="1:2" x14ac:dyDescent="0.25">
      <c r="A31148" s="118"/>
      <c r="B31148" s="136"/>
    </row>
    <row r="31149" spans="1:2" x14ac:dyDescent="0.25">
      <c r="A31149" s="118"/>
      <c r="B31149" s="136"/>
    </row>
    <row r="31150" spans="1:2" x14ac:dyDescent="0.25">
      <c r="A31150" s="118"/>
      <c r="B31150" s="136"/>
    </row>
    <row r="31151" spans="1:2" x14ac:dyDescent="0.25">
      <c r="A31151" s="118"/>
      <c r="B31151" s="136"/>
    </row>
    <row r="31152" spans="1:2" x14ac:dyDescent="0.25">
      <c r="A31152" s="118"/>
      <c r="B31152" s="136"/>
    </row>
    <row r="31153" spans="1:2" x14ac:dyDescent="0.25">
      <c r="A31153" s="118"/>
      <c r="B31153" s="136"/>
    </row>
    <row r="31154" spans="1:2" x14ac:dyDescent="0.25">
      <c r="A31154" s="118"/>
      <c r="B31154" s="136"/>
    </row>
    <row r="31155" spans="1:2" x14ac:dyDescent="0.25">
      <c r="A31155" s="118"/>
      <c r="B31155" s="136"/>
    </row>
    <row r="31156" spans="1:2" x14ac:dyDescent="0.25">
      <c r="A31156" s="118"/>
      <c r="B31156" s="136"/>
    </row>
    <row r="31157" spans="1:2" x14ac:dyDescent="0.25">
      <c r="A31157" s="118"/>
      <c r="B31157" s="136"/>
    </row>
    <row r="31158" spans="1:2" x14ac:dyDescent="0.25">
      <c r="A31158" s="118"/>
      <c r="B31158" s="136"/>
    </row>
    <row r="31159" spans="1:2" x14ac:dyDescent="0.25">
      <c r="A31159" s="118"/>
      <c r="B31159" s="136"/>
    </row>
    <row r="31160" spans="1:2" x14ac:dyDescent="0.25">
      <c r="A31160" s="118"/>
      <c r="B31160" s="136"/>
    </row>
    <row r="31161" spans="1:2" x14ac:dyDescent="0.25">
      <c r="A31161" s="118"/>
      <c r="B31161" s="136"/>
    </row>
    <row r="31162" spans="1:2" x14ac:dyDescent="0.25">
      <c r="A31162" s="118"/>
      <c r="B31162" s="136"/>
    </row>
    <row r="31163" spans="1:2" x14ac:dyDescent="0.25">
      <c r="A31163" s="118"/>
      <c r="B31163" s="136"/>
    </row>
    <row r="31164" spans="1:2" x14ac:dyDescent="0.25">
      <c r="A31164" s="118"/>
      <c r="B31164" s="136"/>
    </row>
    <row r="31165" spans="1:2" x14ac:dyDescent="0.25">
      <c r="A31165" s="118"/>
      <c r="B31165" s="136"/>
    </row>
    <row r="31166" spans="1:2" x14ac:dyDescent="0.25">
      <c r="A31166" s="118"/>
      <c r="B31166" s="136"/>
    </row>
    <row r="31167" spans="1:2" x14ac:dyDescent="0.25">
      <c r="A31167" s="118"/>
      <c r="B31167" s="136"/>
    </row>
    <row r="31168" spans="1:2" x14ac:dyDescent="0.25">
      <c r="A31168" s="118"/>
      <c r="B31168" s="136"/>
    </row>
    <row r="31169" spans="1:2" x14ac:dyDescent="0.25">
      <c r="A31169" s="118"/>
      <c r="B31169" s="136"/>
    </row>
    <row r="31170" spans="1:2" x14ac:dyDescent="0.25">
      <c r="A31170" s="118"/>
      <c r="B31170" s="136"/>
    </row>
    <row r="31171" spans="1:2" x14ac:dyDescent="0.25">
      <c r="A31171" s="118"/>
      <c r="B31171" s="136"/>
    </row>
    <row r="31172" spans="1:2" x14ac:dyDescent="0.25">
      <c r="A31172" s="118"/>
      <c r="B31172" s="136"/>
    </row>
    <row r="31173" spans="1:2" x14ac:dyDescent="0.25">
      <c r="A31173" s="118"/>
      <c r="B31173" s="136"/>
    </row>
    <row r="31174" spans="1:2" x14ac:dyDescent="0.25">
      <c r="A31174" s="118"/>
      <c r="B31174" s="136"/>
    </row>
    <row r="31175" spans="1:2" x14ac:dyDescent="0.25">
      <c r="A31175" s="118"/>
      <c r="B31175" s="136"/>
    </row>
    <row r="31176" spans="1:2" x14ac:dyDescent="0.25">
      <c r="A31176" s="118"/>
      <c r="B31176" s="136"/>
    </row>
    <row r="31177" spans="1:2" x14ac:dyDescent="0.25">
      <c r="A31177" s="118"/>
      <c r="B31177" s="136"/>
    </row>
    <row r="31178" spans="1:2" x14ac:dyDescent="0.25">
      <c r="A31178" s="118"/>
      <c r="B31178" s="136"/>
    </row>
    <row r="31179" spans="1:2" x14ac:dyDescent="0.25">
      <c r="A31179" s="118"/>
      <c r="B31179" s="136"/>
    </row>
    <row r="31180" spans="1:2" x14ac:dyDescent="0.25">
      <c r="A31180" s="118"/>
      <c r="B31180" s="136"/>
    </row>
    <row r="31181" spans="1:2" x14ac:dyDescent="0.25">
      <c r="A31181" s="118"/>
      <c r="B31181" s="136"/>
    </row>
    <row r="31182" spans="1:2" x14ac:dyDescent="0.25">
      <c r="A31182" s="118"/>
      <c r="B31182" s="136"/>
    </row>
    <row r="31183" spans="1:2" x14ac:dyDescent="0.25">
      <c r="A31183" s="118"/>
      <c r="B31183" s="136"/>
    </row>
    <row r="31184" spans="1:2" x14ac:dyDescent="0.25">
      <c r="A31184" s="118"/>
      <c r="B31184" s="136"/>
    </row>
    <row r="31185" spans="1:2" x14ac:dyDescent="0.25">
      <c r="A31185" s="118"/>
      <c r="B31185" s="136"/>
    </row>
    <row r="31186" spans="1:2" x14ac:dyDescent="0.25">
      <c r="A31186" s="118"/>
      <c r="B31186" s="136"/>
    </row>
    <row r="31187" spans="1:2" x14ac:dyDescent="0.25">
      <c r="A31187" s="118"/>
      <c r="B31187" s="136"/>
    </row>
    <row r="31188" spans="1:2" x14ac:dyDescent="0.25">
      <c r="A31188" s="118"/>
      <c r="B31188" s="136"/>
    </row>
    <row r="31189" spans="1:2" x14ac:dyDescent="0.25">
      <c r="A31189" s="118"/>
      <c r="B31189" s="136"/>
    </row>
    <row r="31190" spans="1:2" x14ac:dyDescent="0.25">
      <c r="A31190" s="118"/>
      <c r="B31190" s="136"/>
    </row>
    <row r="31191" spans="1:2" x14ac:dyDescent="0.25">
      <c r="A31191" s="118"/>
      <c r="B31191" s="136"/>
    </row>
    <row r="31192" spans="1:2" x14ac:dyDescent="0.25">
      <c r="A31192" s="118"/>
      <c r="B31192" s="136"/>
    </row>
    <row r="31193" spans="1:2" x14ac:dyDescent="0.25">
      <c r="A31193" s="118"/>
      <c r="B31193" s="136"/>
    </row>
    <row r="31194" spans="1:2" x14ac:dyDescent="0.25">
      <c r="A31194" s="118"/>
      <c r="B31194" s="136"/>
    </row>
    <row r="31195" spans="1:2" x14ac:dyDescent="0.25">
      <c r="A31195" s="118"/>
      <c r="B31195" s="136"/>
    </row>
    <row r="31196" spans="1:2" x14ac:dyDescent="0.25">
      <c r="A31196" s="118"/>
      <c r="B31196" s="136"/>
    </row>
    <row r="31197" spans="1:2" x14ac:dyDescent="0.25">
      <c r="A31197" s="118"/>
      <c r="B31197" s="136"/>
    </row>
    <row r="31198" spans="1:2" x14ac:dyDescent="0.25">
      <c r="A31198" s="118"/>
      <c r="B31198" s="136"/>
    </row>
    <row r="31199" spans="1:2" x14ac:dyDescent="0.25">
      <c r="A31199" s="118"/>
      <c r="B31199" s="136"/>
    </row>
    <row r="31200" spans="1:2" x14ac:dyDescent="0.25">
      <c r="A31200" s="118"/>
      <c r="B31200" s="136"/>
    </row>
    <row r="31201" spans="1:2" x14ac:dyDescent="0.25">
      <c r="A31201" s="118"/>
      <c r="B31201" s="136"/>
    </row>
    <row r="31202" spans="1:2" x14ac:dyDescent="0.25">
      <c r="A31202" s="118"/>
      <c r="B31202" s="136"/>
    </row>
    <row r="31203" spans="1:2" x14ac:dyDescent="0.25">
      <c r="A31203" s="118"/>
      <c r="B31203" s="136"/>
    </row>
    <row r="31204" spans="1:2" x14ac:dyDescent="0.25">
      <c r="A31204" s="118"/>
      <c r="B31204" s="136"/>
    </row>
    <row r="31205" spans="1:2" x14ac:dyDescent="0.25">
      <c r="A31205" s="118"/>
      <c r="B31205" s="136"/>
    </row>
    <row r="31206" spans="1:2" x14ac:dyDescent="0.25">
      <c r="A31206" s="118"/>
      <c r="B31206" s="136"/>
    </row>
    <row r="31207" spans="1:2" x14ac:dyDescent="0.25">
      <c r="A31207" s="118"/>
      <c r="B31207" s="136"/>
    </row>
    <row r="31208" spans="1:2" x14ac:dyDescent="0.25">
      <c r="A31208" s="118"/>
      <c r="B31208" s="136"/>
    </row>
    <row r="31209" spans="1:2" x14ac:dyDescent="0.25">
      <c r="A31209" s="118"/>
      <c r="B31209" s="136"/>
    </row>
    <row r="31210" spans="1:2" x14ac:dyDescent="0.25">
      <c r="A31210" s="118"/>
      <c r="B31210" s="136"/>
    </row>
    <row r="31211" spans="1:2" x14ac:dyDescent="0.25">
      <c r="A31211" s="118"/>
      <c r="B31211" s="136"/>
    </row>
    <row r="31212" spans="1:2" x14ac:dyDescent="0.25">
      <c r="A31212" s="118"/>
      <c r="B31212" s="136"/>
    </row>
    <row r="31213" spans="1:2" x14ac:dyDescent="0.25">
      <c r="A31213" s="118"/>
      <c r="B31213" s="136"/>
    </row>
    <row r="31214" spans="1:2" x14ac:dyDescent="0.25">
      <c r="A31214" s="118"/>
      <c r="B31214" s="136"/>
    </row>
    <row r="31215" spans="1:2" x14ac:dyDescent="0.25">
      <c r="A31215" s="118"/>
      <c r="B31215" s="136"/>
    </row>
    <row r="31216" spans="1:2" x14ac:dyDescent="0.25">
      <c r="A31216" s="118"/>
      <c r="B31216" s="136"/>
    </row>
    <row r="31217" spans="1:2" x14ac:dyDescent="0.25">
      <c r="A31217" s="118"/>
      <c r="B31217" s="136"/>
    </row>
    <row r="31218" spans="1:2" x14ac:dyDescent="0.25">
      <c r="A31218" s="118"/>
      <c r="B31218" s="136"/>
    </row>
    <row r="31219" spans="1:2" x14ac:dyDescent="0.25">
      <c r="A31219" s="118"/>
      <c r="B31219" s="136"/>
    </row>
    <row r="31220" spans="1:2" x14ac:dyDescent="0.25">
      <c r="A31220" s="118"/>
      <c r="B31220" s="136"/>
    </row>
    <row r="31221" spans="1:2" x14ac:dyDescent="0.25">
      <c r="A31221" s="118"/>
      <c r="B31221" s="136"/>
    </row>
    <row r="31222" spans="1:2" x14ac:dyDescent="0.25">
      <c r="A31222" s="118"/>
      <c r="B31222" s="136"/>
    </row>
    <row r="31223" spans="1:2" x14ac:dyDescent="0.25">
      <c r="A31223" s="118"/>
      <c r="B31223" s="136"/>
    </row>
    <row r="31224" spans="1:2" x14ac:dyDescent="0.25">
      <c r="A31224" s="118"/>
      <c r="B31224" s="136"/>
    </row>
    <row r="31225" spans="1:2" x14ac:dyDescent="0.25">
      <c r="A31225" s="118"/>
      <c r="B31225" s="136"/>
    </row>
    <row r="31226" spans="1:2" x14ac:dyDescent="0.25">
      <c r="A31226" s="118"/>
      <c r="B31226" s="136"/>
    </row>
    <row r="31227" spans="1:2" x14ac:dyDescent="0.25">
      <c r="A31227" s="118"/>
      <c r="B31227" s="136"/>
    </row>
    <row r="31228" spans="1:2" x14ac:dyDescent="0.25">
      <c r="A31228" s="118"/>
      <c r="B31228" s="136"/>
    </row>
    <row r="31229" spans="1:2" x14ac:dyDescent="0.25">
      <c r="A31229" s="118"/>
      <c r="B31229" s="136"/>
    </row>
    <row r="31230" spans="1:2" x14ac:dyDescent="0.25">
      <c r="A31230" s="118"/>
      <c r="B31230" s="136"/>
    </row>
    <row r="31231" spans="1:2" x14ac:dyDescent="0.25">
      <c r="A31231" s="118"/>
      <c r="B31231" s="136"/>
    </row>
    <row r="31232" spans="1:2" x14ac:dyDescent="0.25">
      <c r="A31232" s="118"/>
      <c r="B31232" s="136"/>
    </row>
    <row r="31233" spans="1:2" x14ac:dyDescent="0.25">
      <c r="A31233" s="118"/>
      <c r="B31233" s="136"/>
    </row>
    <row r="31234" spans="1:2" x14ac:dyDescent="0.25">
      <c r="A31234" s="118"/>
      <c r="B31234" s="136"/>
    </row>
    <row r="31235" spans="1:2" x14ac:dyDescent="0.25">
      <c r="A31235" s="118"/>
      <c r="B31235" s="136"/>
    </row>
    <row r="31236" spans="1:2" x14ac:dyDescent="0.25">
      <c r="A31236" s="118"/>
      <c r="B31236" s="136"/>
    </row>
    <row r="31237" spans="1:2" x14ac:dyDescent="0.25">
      <c r="A31237" s="118"/>
      <c r="B31237" s="136"/>
    </row>
    <row r="31238" spans="1:2" x14ac:dyDescent="0.25">
      <c r="A31238" s="118"/>
      <c r="B31238" s="136"/>
    </row>
    <row r="31239" spans="1:2" x14ac:dyDescent="0.25">
      <c r="A31239" s="118"/>
      <c r="B31239" s="136"/>
    </row>
    <row r="31240" spans="1:2" x14ac:dyDescent="0.25">
      <c r="A31240" s="118"/>
      <c r="B31240" s="136"/>
    </row>
    <row r="31241" spans="1:2" x14ac:dyDescent="0.25">
      <c r="A31241" s="118"/>
      <c r="B31241" s="136"/>
    </row>
    <row r="31242" spans="1:2" x14ac:dyDescent="0.25">
      <c r="A31242" s="118"/>
      <c r="B31242" s="136"/>
    </row>
    <row r="31243" spans="1:2" x14ac:dyDescent="0.25">
      <c r="A31243" s="118"/>
      <c r="B31243" s="136"/>
    </row>
    <row r="31244" spans="1:2" x14ac:dyDescent="0.25">
      <c r="A31244" s="118"/>
      <c r="B31244" s="136"/>
    </row>
    <row r="31245" spans="1:2" x14ac:dyDescent="0.25">
      <c r="A31245" s="118"/>
      <c r="B31245" s="136"/>
    </row>
    <row r="31246" spans="1:2" x14ac:dyDescent="0.25">
      <c r="A31246" s="118"/>
      <c r="B31246" s="136"/>
    </row>
    <row r="31247" spans="1:2" x14ac:dyDescent="0.25">
      <c r="A31247" s="118"/>
      <c r="B31247" s="136"/>
    </row>
    <row r="31248" spans="1:2" x14ac:dyDescent="0.25">
      <c r="A31248" s="118"/>
      <c r="B31248" s="136"/>
    </row>
    <row r="31249" spans="1:2" x14ac:dyDescent="0.25">
      <c r="A31249" s="118"/>
      <c r="B31249" s="136"/>
    </row>
    <row r="31250" spans="1:2" x14ac:dyDescent="0.25">
      <c r="A31250" s="118"/>
      <c r="B31250" s="136"/>
    </row>
    <row r="31251" spans="1:2" x14ac:dyDescent="0.25">
      <c r="A31251" s="118"/>
      <c r="B31251" s="136"/>
    </row>
    <row r="31252" spans="1:2" x14ac:dyDescent="0.25">
      <c r="A31252" s="118"/>
      <c r="B31252" s="136"/>
    </row>
    <row r="31253" spans="1:2" x14ac:dyDescent="0.25">
      <c r="A31253" s="118"/>
      <c r="B31253" s="136"/>
    </row>
    <row r="31254" spans="1:2" x14ac:dyDescent="0.25">
      <c r="A31254" s="118"/>
      <c r="B31254" s="136"/>
    </row>
    <row r="31255" spans="1:2" x14ac:dyDescent="0.25">
      <c r="A31255" s="118"/>
      <c r="B31255" s="136"/>
    </row>
    <row r="31256" spans="1:2" x14ac:dyDescent="0.25">
      <c r="A31256" s="118"/>
      <c r="B31256" s="136"/>
    </row>
    <row r="31257" spans="1:2" x14ac:dyDescent="0.25">
      <c r="A31257" s="118"/>
      <c r="B31257" s="136"/>
    </row>
    <row r="31258" spans="1:2" x14ac:dyDescent="0.25">
      <c r="A31258" s="118"/>
      <c r="B31258" s="136"/>
    </row>
    <row r="31259" spans="1:2" x14ac:dyDescent="0.25">
      <c r="A31259" s="118"/>
      <c r="B31259" s="136"/>
    </row>
    <row r="31260" spans="1:2" x14ac:dyDescent="0.25">
      <c r="A31260" s="118"/>
      <c r="B31260" s="136"/>
    </row>
    <row r="31261" spans="1:2" x14ac:dyDescent="0.25">
      <c r="A31261" s="118"/>
      <c r="B31261" s="136"/>
    </row>
    <row r="31262" spans="1:2" x14ac:dyDescent="0.25">
      <c r="A31262" s="118"/>
      <c r="B31262" s="136"/>
    </row>
    <row r="31263" spans="1:2" x14ac:dyDescent="0.25">
      <c r="A31263" s="118"/>
      <c r="B31263" s="136"/>
    </row>
    <row r="31264" spans="1:2" x14ac:dyDescent="0.25">
      <c r="A31264" s="118"/>
      <c r="B31264" s="136"/>
    </row>
    <row r="31265" spans="1:2" x14ac:dyDescent="0.25">
      <c r="A31265" s="118"/>
      <c r="B31265" s="136"/>
    </row>
    <row r="31266" spans="1:2" x14ac:dyDescent="0.25">
      <c r="A31266" s="118"/>
      <c r="B31266" s="136"/>
    </row>
    <row r="31267" spans="1:2" x14ac:dyDescent="0.25">
      <c r="A31267" s="118"/>
      <c r="B31267" s="136"/>
    </row>
    <row r="31268" spans="1:2" x14ac:dyDescent="0.25">
      <c r="A31268" s="118"/>
      <c r="B31268" s="136"/>
    </row>
    <row r="31269" spans="1:2" x14ac:dyDescent="0.25">
      <c r="A31269" s="118"/>
      <c r="B31269" s="136"/>
    </row>
    <row r="31270" spans="1:2" x14ac:dyDescent="0.25">
      <c r="A31270" s="118"/>
      <c r="B31270" s="136"/>
    </row>
    <row r="31271" spans="1:2" x14ac:dyDescent="0.25">
      <c r="A31271" s="118"/>
      <c r="B31271" s="136"/>
    </row>
    <row r="31272" spans="1:2" x14ac:dyDescent="0.25">
      <c r="A31272" s="118"/>
      <c r="B31272" s="136"/>
    </row>
    <row r="31273" spans="1:2" x14ac:dyDescent="0.25">
      <c r="A31273" s="118"/>
      <c r="B31273" s="136"/>
    </row>
    <row r="31274" spans="1:2" x14ac:dyDescent="0.25">
      <c r="A31274" s="118"/>
      <c r="B31274" s="136"/>
    </row>
    <row r="31275" spans="1:2" x14ac:dyDescent="0.25">
      <c r="A31275" s="118"/>
      <c r="B31275" s="136"/>
    </row>
    <row r="31276" spans="1:2" x14ac:dyDescent="0.25">
      <c r="A31276" s="118"/>
      <c r="B31276" s="136"/>
    </row>
    <row r="31277" spans="1:2" x14ac:dyDescent="0.25">
      <c r="A31277" s="118"/>
      <c r="B31277" s="136"/>
    </row>
    <row r="31278" spans="1:2" x14ac:dyDescent="0.25">
      <c r="A31278" s="118"/>
      <c r="B31278" s="136"/>
    </row>
    <row r="31279" spans="1:2" x14ac:dyDescent="0.25">
      <c r="A31279" s="118"/>
      <c r="B31279" s="136"/>
    </row>
    <row r="31280" spans="1:2" x14ac:dyDescent="0.25">
      <c r="A31280" s="118"/>
      <c r="B31280" s="136"/>
    </row>
    <row r="31281" spans="1:2" x14ac:dyDescent="0.25">
      <c r="A31281" s="118"/>
      <c r="B31281" s="136"/>
    </row>
    <row r="31282" spans="1:2" x14ac:dyDescent="0.25">
      <c r="A31282" s="118"/>
      <c r="B31282" s="136"/>
    </row>
    <row r="31283" spans="1:2" x14ac:dyDescent="0.25">
      <c r="A31283" s="118"/>
      <c r="B31283" s="136"/>
    </row>
    <row r="31284" spans="1:2" x14ac:dyDescent="0.25">
      <c r="A31284" s="118"/>
      <c r="B31284" s="136"/>
    </row>
    <row r="31285" spans="1:2" x14ac:dyDescent="0.25">
      <c r="A31285" s="118"/>
      <c r="B31285" s="136"/>
    </row>
    <row r="31286" spans="1:2" x14ac:dyDescent="0.25">
      <c r="A31286" s="118"/>
      <c r="B31286" s="136"/>
    </row>
    <row r="31287" spans="1:2" x14ac:dyDescent="0.25">
      <c r="A31287" s="118"/>
      <c r="B31287" s="136"/>
    </row>
    <row r="31288" spans="1:2" x14ac:dyDescent="0.25">
      <c r="A31288" s="118"/>
      <c r="B31288" s="136"/>
    </row>
    <row r="31289" spans="1:2" x14ac:dyDescent="0.25">
      <c r="A31289" s="118"/>
      <c r="B31289" s="136"/>
    </row>
    <row r="31290" spans="1:2" x14ac:dyDescent="0.25">
      <c r="A31290" s="118"/>
      <c r="B31290" s="136"/>
    </row>
    <row r="31291" spans="1:2" x14ac:dyDescent="0.25">
      <c r="A31291" s="118"/>
      <c r="B31291" s="136"/>
    </row>
    <row r="31292" spans="1:2" x14ac:dyDescent="0.25">
      <c r="A31292" s="118"/>
      <c r="B31292" s="136"/>
    </row>
    <row r="31293" spans="1:2" x14ac:dyDescent="0.25">
      <c r="A31293" s="118"/>
      <c r="B31293" s="136"/>
    </row>
    <row r="31294" spans="1:2" x14ac:dyDescent="0.25">
      <c r="A31294" s="118"/>
      <c r="B31294" s="136"/>
    </row>
    <row r="31295" spans="1:2" x14ac:dyDescent="0.25">
      <c r="A31295" s="118"/>
      <c r="B31295" s="136"/>
    </row>
    <row r="31296" spans="1:2" x14ac:dyDescent="0.25">
      <c r="A31296" s="118"/>
      <c r="B31296" s="136"/>
    </row>
    <row r="31297" spans="1:2" x14ac:dyDescent="0.25">
      <c r="A31297" s="118"/>
      <c r="B31297" s="136"/>
    </row>
    <row r="31298" spans="1:2" x14ac:dyDescent="0.25">
      <c r="A31298" s="118"/>
      <c r="B31298" s="136"/>
    </row>
    <row r="31299" spans="1:2" x14ac:dyDescent="0.25">
      <c r="A31299" s="118"/>
      <c r="B31299" s="136"/>
    </row>
    <row r="31300" spans="1:2" x14ac:dyDescent="0.25">
      <c r="A31300" s="118"/>
      <c r="B31300" s="136"/>
    </row>
    <row r="31301" spans="1:2" x14ac:dyDescent="0.25">
      <c r="A31301" s="118"/>
      <c r="B31301" s="136"/>
    </row>
    <row r="31302" spans="1:2" x14ac:dyDescent="0.25">
      <c r="A31302" s="118"/>
      <c r="B31302" s="136"/>
    </row>
    <row r="31303" spans="1:2" x14ac:dyDescent="0.25">
      <c r="A31303" s="118"/>
      <c r="B31303" s="136"/>
    </row>
    <row r="31304" spans="1:2" x14ac:dyDescent="0.25">
      <c r="A31304" s="118"/>
      <c r="B31304" s="136"/>
    </row>
    <row r="31305" spans="1:2" x14ac:dyDescent="0.25">
      <c r="A31305" s="118"/>
      <c r="B31305" s="136"/>
    </row>
    <row r="31306" spans="1:2" x14ac:dyDescent="0.25">
      <c r="A31306" s="118"/>
      <c r="B31306" s="136"/>
    </row>
    <row r="31307" spans="1:2" x14ac:dyDescent="0.25">
      <c r="A31307" s="118"/>
      <c r="B31307" s="136"/>
    </row>
    <row r="31308" spans="1:2" x14ac:dyDescent="0.25">
      <c r="A31308" s="118"/>
      <c r="B31308" s="136"/>
    </row>
    <row r="31309" spans="1:2" x14ac:dyDescent="0.25">
      <c r="A31309" s="118"/>
      <c r="B31309" s="136"/>
    </row>
    <row r="31310" spans="1:2" x14ac:dyDescent="0.25">
      <c r="A31310" s="118"/>
      <c r="B31310" s="136"/>
    </row>
    <row r="31311" spans="1:2" x14ac:dyDescent="0.25">
      <c r="A31311" s="118"/>
      <c r="B31311" s="136"/>
    </row>
    <row r="31312" spans="1:2" x14ac:dyDescent="0.25">
      <c r="A31312" s="118"/>
      <c r="B31312" s="136"/>
    </row>
    <row r="31313" spans="1:2" x14ac:dyDescent="0.25">
      <c r="A31313" s="118"/>
      <c r="B31313" s="136"/>
    </row>
    <row r="31314" spans="1:2" x14ac:dyDescent="0.25">
      <c r="A31314" s="118"/>
      <c r="B31314" s="136"/>
    </row>
    <row r="31315" spans="1:2" x14ac:dyDescent="0.25">
      <c r="A31315" s="118"/>
      <c r="B31315" s="136"/>
    </row>
    <row r="31316" spans="1:2" x14ac:dyDescent="0.25">
      <c r="A31316" s="118"/>
      <c r="B31316" s="136"/>
    </row>
    <row r="31317" spans="1:2" x14ac:dyDescent="0.25">
      <c r="A31317" s="118"/>
      <c r="B31317" s="136"/>
    </row>
    <row r="31318" spans="1:2" x14ac:dyDescent="0.25">
      <c r="A31318" s="118"/>
      <c r="B31318" s="136"/>
    </row>
    <row r="31319" spans="1:2" x14ac:dyDescent="0.25">
      <c r="A31319" s="118"/>
      <c r="B31319" s="136"/>
    </row>
    <row r="31320" spans="1:2" x14ac:dyDescent="0.25">
      <c r="A31320" s="118"/>
      <c r="B31320" s="136"/>
    </row>
    <row r="31321" spans="1:2" x14ac:dyDescent="0.25">
      <c r="A31321" s="118"/>
      <c r="B31321" s="136"/>
    </row>
    <row r="31322" spans="1:2" x14ac:dyDescent="0.25">
      <c r="A31322" s="118"/>
      <c r="B31322" s="136"/>
    </row>
    <row r="31323" spans="1:2" x14ac:dyDescent="0.25">
      <c r="A31323" s="118"/>
      <c r="B31323" s="136"/>
    </row>
    <row r="31324" spans="1:2" x14ac:dyDescent="0.25">
      <c r="A31324" s="118"/>
      <c r="B31324" s="136"/>
    </row>
    <row r="31325" spans="1:2" x14ac:dyDescent="0.25">
      <c r="A31325" s="118"/>
      <c r="B31325" s="136"/>
    </row>
    <row r="31326" spans="1:2" x14ac:dyDescent="0.25">
      <c r="A31326" s="118"/>
      <c r="B31326" s="136"/>
    </row>
    <row r="31327" spans="1:2" x14ac:dyDescent="0.25">
      <c r="A31327" s="118"/>
      <c r="B31327" s="136"/>
    </row>
    <row r="31328" spans="1:2" x14ac:dyDescent="0.25">
      <c r="A31328" s="118"/>
      <c r="B31328" s="136"/>
    </row>
    <row r="31329" spans="1:2" x14ac:dyDescent="0.25">
      <c r="A31329" s="118"/>
      <c r="B31329" s="136"/>
    </row>
    <row r="31330" spans="1:2" x14ac:dyDescent="0.25">
      <c r="A31330" s="118"/>
      <c r="B31330" s="136"/>
    </row>
    <row r="31331" spans="1:2" x14ac:dyDescent="0.25">
      <c r="A31331" s="118"/>
      <c r="B31331" s="136"/>
    </row>
    <row r="31332" spans="1:2" x14ac:dyDescent="0.25">
      <c r="A31332" s="118"/>
      <c r="B31332" s="136"/>
    </row>
    <row r="31333" spans="1:2" x14ac:dyDescent="0.25">
      <c r="A31333" s="118"/>
      <c r="B31333" s="136"/>
    </row>
    <row r="31334" spans="1:2" x14ac:dyDescent="0.25">
      <c r="A31334" s="118"/>
      <c r="B31334" s="136"/>
    </row>
    <row r="31335" spans="1:2" x14ac:dyDescent="0.25">
      <c r="A31335" s="118"/>
      <c r="B31335" s="136"/>
    </row>
    <row r="31336" spans="1:2" x14ac:dyDescent="0.25">
      <c r="A31336" s="118"/>
      <c r="B31336" s="136"/>
    </row>
    <row r="31337" spans="1:2" x14ac:dyDescent="0.25">
      <c r="A31337" s="118"/>
      <c r="B31337" s="136"/>
    </row>
    <row r="31338" spans="1:2" x14ac:dyDescent="0.25">
      <c r="A31338" s="118"/>
      <c r="B31338" s="136"/>
    </row>
    <row r="31339" spans="1:2" x14ac:dyDescent="0.25">
      <c r="A31339" s="118"/>
      <c r="B31339" s="136"/>
    </row>
    <row r="31340" spans="1:2" x14ac:dyDescent="0.25">
      <c r="A31340" s="118"/>
      <c r="B31340" s="136"/>
    </row>
    <row r="31341" spans="1:2" x14ac:dyDescent="0.25">
      <c r="A31341" s="118"/>
      <c r="B31341" s="136"/>
    </row>
    <row r="31342" spans="1:2" x14ac:dyDescent="0.25">
      <c r="A31342" s="118"/>
      <c r="B31342" s="136"/>
    </row>
    <row r="31343" spans="1:2" x14ac:dyDescent="0.25">
      <c r="A31343" s="118"/>
      <c r="B31343" s="136"/>
    </row>
    <row r="31344" spans="1:2" x14ac:dyDescent="0.25">
      <c r="A31344" s="118"/>
      <c r="B31344" s="136"/>
    </row>
    <row r="31345" spans="1:2" x14ac:dyDescent="0.25">
      <c r="A31345" s="118"/>
      <c r="B31345" s="136"/>
    </row>
    <row r="31346" spans="1:2" x14ac:dyDescent="0.25">
      <c r="A31346" s="118"/>
      <c r="B31346" s="136"/>
    </row>
    <row r="31347" spans="1:2" x14ac:dyDescent="0.25">
      <c r="A31347" s="118"/>
      <c r="B31347" s="136"/>
    </row>
    <row r="31348" spans="1:2" x14ac:dyDescent="0.25">
      <c r="A31348" s="118"/>
      <c r="B31348" s="136"/>
    </row>
    <row r="31349" spans="1:2" x14ac:dyDescent="0.25">
      <c r="A31349" s="118"/>
      <c r="B31349" s="136"/>
    </row>
    <row r="31350" spans="1:2" x14ac:dyDescent="0.25">
      <c r="A31350" s="118"/>
      <c r="B31350" s="136"/>
    </row>
    <row r="31351" spans="1:2" x14ac:dyDescent="0.25">
      <c r="A31351" s="118"/>
      <c r="B31351" s="136"/>
    </row>
    <row r="31352" spans="1:2" x14ac:dyDescent="0.25">
      <c r="A31352" s="118"/>
      <c r="B31352" s="136"/>
    </row>
    <row r="31353" spans="1:2" x14ac:dyDescent="0.25">
      <c r="A31353" s="118"/>
      <c r="B31353" s="136"/>
    </row>
    <row r="31354" spans="1:2" x14ac:dyDescent="0.25">
      <c r="A31354" s="118"/>
      <c r="B31354" s="136"/>
    </row>
    <row r="31355" spans="1:2" x14ac:dyDescent="0.25">
      <c r="A31355" s="118"/>
      <c r="B31355" s="136"/>
    </row>
    <row r="31356" spans="1:2" x14ac:dyDescent="0.25">
      <c r="A31356" s="118"/>
      <c r="B31356" s="136"/>
    </row>
    <row r="31357" spans="1:2" x14ac:dyDescent="0.25">
      <c r="A31357" s="118"/>
      <c r="B31357" s="136"/>
    </row>
    <row r="31358" spans="1:2" x14ac:dyDescent="0.25">
      <c r="A31358" s="118"/>
      <c r="B31358" s="136"/>
    </row>
    <row r="31359" spans="1:2" x14ac:dyDescent="0.25">
      <c r="A31359" s="118"/>
      <c r="B31359" s="136"/>
    </row>
    <row r="31360" spans="1:2" x14ac:dyDescent="0.25">
      <c r="A31360" s="118"/>
      <c r="B31360" s="136"/>
    </row>
    <row r="31361" spans="1:2" x14ac:dyDescent="0.25">
      <c r="A31361" s="118"/>
      <c r="B31361" s="136"/>
    </row>
    <row r="31362" spans="1:2" x14ac:dyDescent="0.25">
      <c r="A31362" s="118"/>
      <c r="B31362" s="136"/>
    </row>
    <row r="31363" spans="1:2" x14ac:dyDescent="0.25">
      <c r="A31363" s="118"/>
      <c r="B31363" s="136"/>
    </row>
    <row r="31364" spans="1:2" x14ac:dyDescent="0.25">
      <c r="A31364" s="118"/>
      <c r="B31364" s="136"/>
    </row>
    <row r="31365" spans="1:2" x14ac:dyDescent="0.25">
      <c r="A31365" s="118"/>
      <c r="B31365" s="136"/>
    </row>
    <row r="31366" spans="1:2" x14ac:dyDescent="0.25">
      <c r="A31366" s="118"/>
      <c r="B31366" s="136"/>
    </row>
    <row r="31367" spans="1:2" x14ac:dyDescent="0.25">
      <c r="A31367" s="118"/>
      <c r="B31367" s="136"/>
    </row>
    <row r="31368" spans="1:2" x14ac:dyDescent="0.25">
      <c r="A31368" s="118"/>
      <c r="B31368" s="136"/>
    </row>
    <row r="31369" spans="1:2" x14ac:dyDescent="0.25">
      <c r="A31369" s="118"/>
      <c r="B31369" s="136"/>
    </row>
    <row r="31370" spans="1:2" x14ac:dyDescent="0.25">
      <c r="A31370" s="118"/>
      <c r="B31370" s="136"/>
    </row>
    <row r="31371" spans="1:2" x14ac:dyDescent="0.25">
      <c r="A31371" s="118"/>
      <c r="B31371" s="136"/>
    </row>
    <row r="31372" spans="1:2" x14ac:dyDescent="0.25">
      <c r="A31372" s="118"/>
      <c r="B31372" s="136"/>
    </row>
    <row r="31373" spans="1:2" x14ac:dyDescent="0.25">
      <c r="A31373" s="118"/>
      <c r="B31373" s="136"/>
    </row>
    <row r="31374" spans="1:2" x14ac:dyDescent="0.25">
      <c r="A31374" s="118"/>
      <c r="B31374" s="136"/>
    </row>
    <row r="31375" spans="1:2" x14ac:dyDescent="0.25">
      <c r="A31375" s="118"/>
      <c r="B31375" s="136"/>
    </row>
    <row r="31376" spans="1:2" x14ac:dyDescent="0.25">
      <c r="A31376" s="118"/>
      <c r="B31376" s="136"/>
    </row>
    <row r="31377" spans="1:2" x14ac:dyDescent="0.25">
      <c r="A31377" s="118"/>
      <c r="B31377" s="136"/>
    </row>
    <row r="31378" spans="1:2" x14ac:dyDescent="0.25">
      <c r="A31378" s="118"/>
      <c r="B31378" s="136"/>
    </row>
    <row r="31379" spans="1:2" x14ac:dyDescent="0.25">
      <c r="A31379" s="118"/>
      <c r="B31379" s="136"/>
    </row>
    <row r="31380" spans="1:2" x14ac:dyDescent="0.25">
      <c r="A31380" s="118"/>
      <c r="B31380" s="136"/>
    </row>
    <row r="31381" spans="1:2" x14ac:dyDescent="0.25">
      <c r="A31381" s="118"/>
      <c r="B31381" s="136"/>
    </row>
    <row r="31382" spans="1:2" x14ac:dyDescent="0.25">
      <c r="A31382" s="118"/>
      <c r="B31382" s="136"/>
    </row>
    <row r="31383" spans="1:2" x14ac:dyDescent="0.25">
      <c r="A31383" s="118"/>
      <c r="B31383" s="136"/>
    </row>
    <row r="31384" spans="1:2" x14ac:dyDescent="0.25">
      <c r="A31384" s="118"/>
      <c r="B31384" s="136"/>
    </row>
    <row r="31385" spans="1:2" x14ac:dyDescent="0.25">
      <c r="A31385" s="118"/>
      <c r="B31385" s="136"/>
    </row>
    <row r="31386" spans="1:2" x14ac:dyDescent="0.25">
      <c r="A31386" s="118"/>
      <c r="B31386" s="136"/>
    </row>
    <row r="31387" spans="1:2" x14ac:dyDescent="0.25">
      <c r="A31387" s="118"/>
      <c r="B31387" s="136"/>
    </row>
    <row r="31388" spans="1:2" x14ac:dyDescent="0.25">
      <c r="A31388" s="118"/>
      <c r="B31388" s="136"/>
    </row>
    <row r="31389" spans="1:2" x14ac:dyDescent="0.25">
      <c r="A31389" s="118"/>
      <c r="B31389" s="136"/>
    </row>
    <row r="31390" spans="1:2" x14ac:dyDescent="0.25">
      <c r="A31390" s="118"/>
      <c r="B31390" s="136"/>
    </row>
    <row r="31391" spans="1:2" x14ac:dyDescent="0.25">
      <c r="A31391" s="118"/>
      <c r="B31391" s="136"/>
    </row>
    <row r="31392" spans="1:2" x14ac:dyDescent="0.25">
      <c r="A31392" s="118"/>
      <c r="B31392" s="136"/>
    </row>
    <row r="31393" spans="1:2" x14ac:dyDescent="0.25">
      <c r="A31393" s="118"/>
      <c r="B31393" s="136"/>
    </row>
    <row r="31394" spans="1:2" x14ac:dyDescent="0.25">
      <c r="A31394" s="118"/>
      <c r="B31394" s="136"/>
    </row>
    <row r="31395" spans="1:2" x14ac:dyDescent="0.25">
      <c r="A31395" s="118"/>
      <c r="B31395" s="136"/>
    </row>
    <row r="31396" spans="1:2" x14ac:dyDescent="0.25">
      <c r="A31396" s="118"/>
      <c r="B31396" s="136"/>
    </row>
    <row r="31397" spans="1:2" x14ac:dyDescent="0.25">
      <c r="A31397" s="118"/>
      <c r="B31397" s="136"/>
    </row>
    <row r="31398" spans="1:2" x14ac:dyDescent="0.25">
      <c r="A31398" s="118"/>
      <c r="B31398" s="136"/>
    </row>
    <row r="31399" spans="1:2" x14ac:dyDescent="0.25">
      <c r="A31399" s="118"/>
      <c r="B31399" s="136"/>
    </row>
    <row r="31400" spans="1:2" x14ac:dyDescent="0.25">
      <c r="A31400" s="118"/>
      <c r="B31400" s="136"/>
    </row>
    <row r="31401" spans="1:2" x14ac:dyDescent="0.25">
      <c r="A31401" s="118"/>
      <c r="B31401" s="136"/>
    </row>
    <row r="31402" spans="1:2" x14ac:dyDescent="0.25">
      <c r="A31402" s="118"/>
      <c r="B31402" s="136"/>
    </row>
    <row r="31403" spans="1:2" x14ac:dyDescent="0.25">
      <c r="A31403" s="118"/>
      <c r="B31403" s="136"/>
    </row>
    <row r="31404" spans="1:2" x14ac:dyDescent="0.25">
      <c r="A31404" s="118"/>
      <c r="B31404" s="136"/>
    </row>
    <row r="31405" spans="1:2" x14ac:dyDescent="0.25">
      <c r="A31405" s="118"/>
      <c r="B31405" s="136"/>
    </row>
    <row r="31406" spans="1:2" x14ac:dyDescent="0.25">
      <c r="A31406" s="118"/>
      <c r="B31406" s="136"/>
    </row>
    <row r="31407" spans="1:2" x14ac:dyDescent="0.25">
      <c r="A31407" s="118"/>
      <c r="B31407" s="136"/>
    </row>
    <row r="31408" spans="1:2" x14ac:dyDescent="0.25">
      <c r="A31408" s="118"/>
      <c r="B31408" s="136"/>
    </row>
    <row r="31409" spans="1:2" x14ac:dyDescent="0.25">
      <c r="A31409" s="118"/>
      <c r="B31409" s="136"/>
    </row>
    <row r="31410" spans="1:2" x14ac:dyDescent="0.25">
      <c r="A31410" s="118"/>
      <c r="B31410" s="136"/>
    </row>
    <row r="31411" spans="1:2" x14ac:dyDescent="0.25">
      <c r="A31411" s="118"/>
      <c r="B31411" s="136"/>
    </row>
    <row r="31412" spans="1:2" x14ac:dyDescent="0.25">
      <c r="A31412" s="118"/>
      <c r="B31412" s="136"/>
    </row>
    <row r="31413" spans="1:2" x14ac:dyDescent="0.25">
      <c r="A31413" s="118"/>
      <c r="B31413" s="136"/>
    </row>
    <row r="31414" spans="1:2" x14ac:dyDescent="0.25">
      <c r="A31414" s="118"/>
      <c r="B31414" s="136"/>
    </row>
    <row r="31415" spans="1:2" x14ac:dyDescent="0.25">
      <c r="A31415" s="118"/>
      <c r="B31415" s="136"/>
    </row>
    <row r="31416" spans="1:2" x14ac:dyDescent="0.25">
      <c r="A31416" s="118"/>
      <c r="B31416" s="136"/>
    </row>
    <row r="31417" spans="1:2" x14ac:dyDescent="0.25">
      <c r="A31417" s="118"/>
      <c r="B31417" s="136"/>
    </row>
    <row r="31418" spans="1:2" x14ac:dyDescent="0.25">
      <c r="A31418" s="118"/>
      <c r="B31418" s="136"/>
    </row>
    <row r="31419" spans="1:2" x14ac:dyDescent="0.25">
      <c r="A31419" s="118"/>
      <c r="B31419" s="136"/>
    </row>
    <row r="31420" spans="1:2" x14ac:dyDescent="0.25">
      <c r="A31420" s="118"/>
      <c r="B31420" s="136"/>
    </row>
    <row r="31421" spans="1:2" x14ac:dyDescent="0.25">
      <c r="A31421" s="118"/>
      <c r="B31421" s="136"/>
    </row>
    <row r="31422" spans="1:2" x14ac:dyDescent="0.25">
      <c r="A31422" s="118"/>
      <c r="B31422" s="136"/>
    </row>
    <row r="31423" spans="1:2" x14ac:dyDescent="0.25">
      <c r="A31423" s="118"/>
      <c r="B31423" s="136"/>
    </row>
    <row r="31424" spans="1:2" x14ac:dyDescent="0.25">
      <c r="A31424" s="118"/>
      <c r="B31424" s="136"/>
    </row>
    <row r="31425" spans="1:2" x14ac:dyDescent="0.25">
      <c r="A31425" s="118"/>
      <c r="B31425" s="136"/>
    </row>
    <row r="31426" spans="1:2" x14ac:dyDescent="0.25">
      <c r="A31426" s="118"/>
      <c r="B31426" s="136"/>
    </row>
    <row r="31427" spans="1:2" x14ac:dyDescent="0.25">
      <c r="A31427" s="118"/>
      <c r="B31427" s="136"/>
    </row>
    <row r="31428" spans="1:2" x14ac:dyDescent="0.25">
      <c r="A31428" s="118"/>
      <c r="B31428" s="136"/>
    </row>
    <row r="31429" spans="1:2" x14ac:dyDescent="0.25">
      <c r="A31429" s="118"/>
      <c r="B31429" s="136"/>
    </row>
    <row r="31430" spans="1:2" x14ac:dyDescent="0.25">
      <c r="A31430" s="118"/>
      <c r="B31430" s="136"/>
    </row>
    <row r="31431" spans="1:2" x14ac:dyDescent="0.25">
      <c r="A31431" s="118"/>
      <c r="B31431" s="136"/>
    </row>
    <row r="31432" spans="1:2" x14ac:dyDescent="0.25">
      <c r="A31432" s="118"/>
      <c r="B31432" s="136"/>
    </row>
    <row r="31433" spans="1:2" x14ac:dyDescent="0.25">
      <c r="A31433" s="118"/>
      <c r="B31433" s="136"/>
    </row>
    <row r="31434" spans="1:2" x14ac:dyDescent="0.25">
      <c r="A31434" s="118"/>
      <c r="B31434" s="136"/>
    </row>
    <row r="31435" spans="1:2" x14ac:dyDescent="0.25">
      <c r="A31435" s="118"/>
      <c r="B31435" s="136"/>
    </row>
    <row r="31436" spans="1:2" x14ac:dyDescent="0.25">
      <c r="A31436" s="118"/>
      <c r="B31436" s="136"/>
    </row>
    <row r="31437" spans="1:2" x14ac:dyDescent="0.25">
      <c r="A31437" s="118"/>
      <c r="B31437" s="136"/>
    </row>
    <row r="31438" spans="1:2" x14ac:dyDescent="0.25">
      <c r="A31438" s="118"/>
      <c r="B31438" s="136"/>
    </row>
    <row r="31439" spans="1:2" x14ac:dyDescent="0.25">
      <c r="A31439" s="118"/>
      <c r="B31439" s="136"/>
    </row>
    <row r="31440" spans="1:2" x14ac:dyDescent="0.25">
      <c r="A31440" s="118"/>
      <c r="B31440" s="136"/>
    </row>
    <row r="31441" spans="1:2" x14ac:dyDescent="0.25">
      <c r="A31441" s="118"/>
      <c r="B31441" s="136"/>
    </row>
    <row r="31442" spans="1:2" x14ac:dyDescent="0.25">
      <c r="A31442" s="118"/>
      <c r="B31442" s="136"/>
    </row>
    <row r="31443" spans="1:2" x14ac:dyDescent="0.25">
      <c r="A31443" s="118"/>
      <c r="B31443" s="136"/>
    </row>
    <row r="31444" spans="1:2" x14ac:dyDescent="0.25">
      <c r="A31444" s="118"/>
      <c r="B31444" s="136"/>
    </row>
    <row r="31445" spans="1:2" x14ac:dyDescent="0.25">
      <c r="A31445" s="118"/>
      <c r="B31445" s="136"/>
    </row>
    <row r="31446" spans="1:2" x14ac:dyDescent="0.25">
      <c r="A31446" s="118"/>
      <c r="B31446" s="136"/>
    </row>
    <row r="31447" spans="1:2" x14ac:dyDescent="0.25">
      <c r="A31447" s="118"/>
      <c r="B31447" s="136"/>
    </row>
    <row r="31448" spans="1:2" x14ac:dyDescent="0.25">
      <c r="A31448" s="118"/>
      <c r="B31448" s="136"/>
    </row>
    <row r="31449" spans="1:2" x14ac:dyDescent="0.25">
      <c r="A31449" s="118"/>
      <c r="B31449" s="136"/>
    </row>
    <row r="31450" spans="1:2" x14ac:dyDescent="0.25">
      <c r="A31450" s="118"/>
      <c r="B31450" s="136"/>
    </row>
    <row r="31451" spans="1:2" x14ac:dyDescent="0.25">
      <c r="A31451" s="118"/>
      <c r="B31451" s="136"/>
    </row>
    <row r="31452" spans="1:2" x14ac:dyDescent="0.25">
      <c r="A31452" s="118"/>
      <c r="B31452" s="136"/>
    </row>
    <row r="31453" spans="1:2" x14ac:dyDescent="0.25">
      <c r="A31453" s="118"/>
      <c r="B31453" s="136"/>
    </row>
    <row r="31454" spans="1:2" x14ac:dyDescent="0.25">
      <c r="A31454" s="118"/>
      <c r="B31454" s="136"/>
    </row>
    <row r="31455" spans="1:2" x14ac:dyDescent="0.25">
      <c r="A31455" s="118"/>
      <c r="B31455" s="136"/>
    </row>
    <row r="31456" spans="1:2" x14ac:dyDescent="0.25">
      <c r="A31456" s="118"/>
      <c r="B31456" s="136"/>
    </row>
    <row r="31457" spans="1:2" x14ac:dyDescent="0.25">
      <c r="A31457" s="118"/>
      <c r="B31457" s="136"/>
    </row>
    <row r="31458" spans="1:2" x14ac:dyDescent="0.25">
      <c r="A31458" s="118"/>
      <c r="B31458" s="136"/>
    </row>
    <row r="31459" spans="1:2" x14ac:dyDescent="0.25">
      <c r="A31459" s="118"/>
      <c r="B31459" s="136"/>
    </row>
    <row r="31460" spans="1:2" x14ac:dyDescent="0.25">
      <c r="A31460" s="118"/>
      <c r="B31460" s="136"/>
    </row>
    <row r="31461" spans="1:2" x14ac:dyDescent="0.25">
      <c r="A31461" s="118"/>
      <c r="B31461" s="136"/>
    </row>
    <row r="31462" spans="1:2" x14ac:dyDescent="0.25">
      <c r="A31462" s="118"/>
      <c r="B31462" s="136"/>
    </row>
    <row r="31463" spans="1:2" x14ac:dyDescent="0.25">
      <c r="A31463" s="118"/>
      <c r="B31463" s="136"/>
    </row>
    <row r="31464" spans="1:2" x14ac:dyDescent="0.25">
      <c r="A31464" s="118"/>
      <c r="B31464" s="136"/>
    </row>
    <row r="31465" spans="1:2" x14ac:dyDescent="0.25">
      <c r="A31465" s="118"/>
      <c r="B31465" s="136"/>
    </row>
    <row r="31466" spans="1:2" x14ac:dyDescent="0.25">
      <c r="A31466" s="118"/>
      <c r="B31466" s="136"/>
    </row>
    <row r="31467" spans="1:2" x14ac:dyDescent="0.25">
      <c r="A31467" s="118"/>
      <c r="B31467" s="136"/>
    </row>
    <row r="31468" spans="1:2" x14ac:dyDescent="0.25">
      <c r="A31468" s="118"/>
      <c r="B31468" s="136"/>
    </row>
    <row r="31469" spans="1:2" x14ac:dyDescent="0.25">
      <c r="A31469" s="118"/>
      <c r="B31469" s="136"/>
    </row>
    <row r="31470" spans="1:2" x14ac:dyDescent="0.25">
      <c r="A31470" s="118"/>
      <c r="B31470" s="136"/>
    </row>
    <row r="31471" spans="1:2" x14ac:dyDescent="0.25">
      <c r="A31471" s="118"/>
      <c r="B31471" s="136"/>
    </row>
    <row r="31472" spans="1:2" x14ac:dyDescent="0.25">
      <c r="A31472" s="118"/>
      <c r="B31472" s="136"/>
    </row>
    <row r="31473" spans="1:2" x14ac:dyDescent="0.25">
      <c r="A31473" s="118"/>
      <c r="B31473" s="136"/>
    </row>
    <row r="31474" spans="1:2" x14ac:dyDescent="0.25">
      <c r="A31474" s="118"/>
      <c r="B31474" s="136"/>
    </row>
    <row r="31475" spans="1:2" x14ac:dyDescent="0.25">
      <c r="A31475" s="118"/>
      <c r="B31475" s="136"/>
    </row>
    <row r="31476" spans="1:2" x14ac:dyDescent="0.25">
      <c r="A31476" s="118"/>
      <c r="B31476" s="136"/>
    </row>
    <row r="31477" spans="1:2" x14ac:dyDescent="0.25">
      <c r="A31477" s="118"/>
      <c r="B31477" s="136"/>
    </row>
    <row r="31478" spans="1:2" x14ac:dyDescent="0.25">
      <c r="A31478" s="118"/>
      <c r="B31478" s="136"/>
    </row>
    <row r="31479" spans="1:2" x14ac:dyDescent="0.25">
      <c r="A31479" s="118"/>
      <c r="B31479" s="136"/>
    </row>
    <row r="31480" spans="1:2" x14ac:dyDescent="0.25">
      <c r="A31480" s="118"/>
      <c r="B31480" s="136"/>
    </row>
    <row r="31481" spans="1:2" x14ac:dyDescent="0.25">
      <c r="A31481" s="118"/>
      <c r="B31481" s="136"/>
    </row>
    <row r="31482" spans="1:2" x14ac:dyDescent="0.25">
      <c r="A31482" s="118"/>
      <c r="B31482" s="136"/>
    </row>
    <row r="31483" spans="1:2" x14ac:dyDescent="0.25">
      <c r="A31483" s="118"/>
      <c r="B31483" s="136"/>
    </row>
    <row r="31484" spans="1:2" x14ac:dyDescent="0.25">
      <c r="A31484" s="118"/>
      <c r="B31484" s="136"/>
    </row>
    <row r="31485" spans="1:2" x14ac:dyDescent="0.25">
      <c r="A31485" s="118"/>
      <c r="B31485" s="136"/>
    </row>
    <row r="31486" spans="1:2" x14ac:dyDescent="0.25">
      <c r="A31486" s="118"/>
      <c r="B31486" s="136"/>
    </row>
    <row r="31487" spans="1:2" x14ac:dyDescent="0.25">
      <c r="A31487" s="118"/>
      <c r="B31487" s="136"/>
    </row>
    <row r="31488" spans="1:2" x14ac:dyDescent="0.25">
      <c r="A31488" s="118"/>
      <c r="B31488" s="136"/>
    </row>
    <row r="31489" spans="1:2" x14ac:dyDescent="0.25">
      <c r="A31489" s="118"/>
      <c r="B31489" s="136"/>
    </row>
    <row r="31490" spans="1:2" x14ac:dyDescent="0.25">
      <c r="A31490" s="118"/>
      <c r="B31490" s="136"/>
    </row>
    <row r="31491" spans="1:2" x14ac:dyDescent="0.25">
      <c r="A31491" s="118"/>
      <c r="B31491" s="136"/>
    </row>
    <row r="31492" spans="1:2" x14ac:dyDescent="0.25">
      <c r="A31492" s="118"/>
      <c r="B31492" s="136"/>
    </row>
    <row r="31493" spans="1:2" x14ac:dyDescent="0.25">
      <c r="A31493" s="118"/>
      <c r="B31493" s="136"/>
    </row>
    <row r="31494" spans="1:2" x14ac:dyDescent="0.25">
      <c r="A31494" s="118"/>
      <c r="B31494" s="136"/>
    </row>
    <row r="31495" spans="1:2" x14ac:dyDescent="0.25">
      <c r="A31495" s="118"/>
      <c r="B31495" s="136"/>
    </row>
    <row r="31496" spans="1:2" x14ac:dyDescent="0.25">
      <c r="A31496" s="118"/>
      <c r="B31496" s="136"/>
    </row>
    <row r="31497" spans="1:2" x14ac:dyDescent="0.25">
      <c r="A31497" s="118"/>
      <c r="B31497" s="136"/>
    </row>
    <row r="31498" spans="1:2" x14ac:dyDescent="0.25">
      <c r="A31498" s="118"/>
      <c r="B31498" s="136"/>
    </row>
    <row r="31499" spans="1:2" x14ac:dyDescent="0.25">
      <c r="A31499" s="118"/>
      <c r="B31499" s="136"/>
    </row>
    <row r="31500" spans="1:2" x14ac:dyDescent="0.25">
      <c r="A31500" s="118"/>
      <c r="B31500" s="136"/>
    </row>
    <row r="31501" spans="1:2" x14ac:dyDescent="0.25">
      <c r="A31501" s="118"/>
      <c r="B31501" s="136"/>
    </row>
    <row r="31502" spans="1:2" x14ac:dyDescent="0.25">
      <c r="A31502" s="118"/>
      <c r="B31502" s="136"/>
    </row>
    <row r="31503" spans="1:2" x14ac:dyDescent="0.25">
      <c r="A31503" s="118"/>
      <c r="B31503" s="136"/>
    </row>
    <row r="31504" spans="1:2" x14ac:dyDescent="0.25">
      <c r="A31504" s="118"/>
      <c r="B31504" s="136"/>
    </row>
    <row r="31505" spans="1:2" x14ac:dyDescent="0.25">
      <c r="A31505" s="118"/>
      <c r="B31505" s="136"/>
    </row>
    <row r="31506" spans="1:2" x14ac:dyDescent="0.25">
      <c r="A31506" s="118"/>
      <c r="B31506" s="136"/>
    </row>
    <row r="31507" spans="1:2" x14ac:dyDescent="0.25">
      <c r="A31507" s="118"/>
      <c r="B31507" s="136"/>
    </row>
    <row r="31508" spans="1:2" x14ac:dyDescent="0.25">
      <c r="A31508" s="118"/>
      <c r="B31508" s="136"/>
    </row>
    <row r="31509" spans="1:2" x14ac:dyDescent="0.25">
      <c r="A31509" s="118"/>
      <c r="B31509" s="136"/>
    </row>
    <row r="31510" spans="1:2" x14ac:dyDescent="0.25">
      <c r="A31510" s="118"/>
      <c r="B31510" s="136"/>
    </row>
    <row r="31511" spans="1:2" x14ac:dyDescent="0.25">
      <c r="A31511" s="118"/>
      <c r="B31511" s="136"/>
    </row>
    <row r="31512" spans="1:2" x14ac:dyDescent="0.25">
      <c r="A31512" s="118"/>
      <c r="B31512" s="136"/>
    </row>
    <row r="31513" spans="1:2" x14ac:dyDescent="0.25">
      <c r="A31513" s="118"/>
      <c r="B31513" s="136"/>
    </row>
    <row r="31514" spans="1:2" x14ac:dyDescent="0.25">
      <c r="A31514" s="118"/>
      <c r="B31514" s="136"/>
    </row>
    <row r="31515" spans="1:2" x14ac:dyDescent="0.25">
      <c r="A31515" s="118"/>
      <c r="B31515" s="136"/>
    </row>
    <row r="31516" spans="1:2" x14ac:dyDescent="0.25">
      <c r="A31516" s="118"/>
      <c r="B31516" s="136"/>
    </row>
    <row r="31517" spans="1:2" x14ac:dyDescent="0.25">
      <c r="A31517" s="118"/>
      <c r="B31517" s="136"/>
    </row>
    <row r="31518" spans="1:2" x14ac:dyDescent="0.25">
      <c r="A31518" s="118"/>
      <c r="B31518" s="136"/>
    </row>
    <row r="31519" spans="1:2" x14ac:dyDescent="0.25">
      <c r="A31519" s="118"/>
      <c r="B31519" s="136"/>
    </row>
    <row r="31520" spans="1:2" x14ac:dyDescent="0.25">
      <c r="A31520" s="118"/>
      <c r="B31520" s="136"/>
    </row>
    <row r="31521" spans="1:2" x14ac:dyDescent="0.25">
      <c r="A31521" s="118"/>
      <c r="B31521" s="136"/>
    </row>
    <row r="31522" spans="1:2" x14ac:dyDescent="0.25">
      <c r="A31522" s="118"/>
      <c r="B31522" s="136"/>
    </row>
    <row r="31523" spans="1:2" x14ac:dyDescent="0.25">
      <c r="A31523" s="118"/>
      <c r="B31523" s="136"/>
    </row>
    <row r="31524" spans="1:2" x14ac:dyDescent="0.25">
      <c r="A31524" s="118"/>
      <c r="B31524" s="136"/>
    </row>
    <row r="31525" spans="1:2" x14ac:dyDescent="0.25">
      <c r="A31525" s="118"/>
      <c r="B31525" s="136"/>
    </row>
    <row r="31526" spans="1:2" x14ac:dyDescent="0.25">
      <c r="A31526" s="118"/>
      <c r="B31526" s="136"/>
    </row>
    <row r="31527" spans="1:2" x14ac:dyDescent="0.25">
      <c r="A31527" s="118"/>
      <c r="B31527" s="136"/>
    </row>
    <row r="31528" spans="1:2" x14ac:dyDescent="0.25">
      <c r="A31528" s="118"/>
      <c r="B31528" s="136"/>
    </row>
    <row r="31529" spans="1:2" x14ac:dyDescent="0.25">
      <c r="A31529" s="118"/>
      <c r="B31529" s="136"/>
    </row>
    <row r="31530" spans="1:2" x14ac:dyDescent="0.25">
      <c r="A31530" s="118"/>
      <c r="B31530" s="136"/>
    </row>
    <row r="31531" spans="1:2" x14ac:dyDescent="0.25">
      <c r="A31531" s="118"/>
      <c r="B31531" s="136"/>
    </row>
    <row r="31532" spans="1:2" x14ac:dyDescent="0.25">
      <c r="A31532" s="118"/>
      <c r="B31532" s="136"/>
    </row>
    <row r="31533" spans="1:2" x14ac:dyDescent="0.25">
      <c r="A31533" s="118"/>
      <c r="B31533" s="136"/>
    </row>
    <row r="31534" spans="1:2" x14ac:dyDescent="0.25">
      <c r="A31534" s="118"/>
      <c r="B31534" s="136"/>
    </row>
    <row r="31535" spans="1:2" x14ac:dyDescent="0.25">
      <c r="A31535" s="118"/>
      <c r="B31535" s="136"/>
    </row>
    <row r="31536" spans="1:2" x14ac:dyDescent="0.25">
      <c r="A31536" s="118"/>
      <c r="B31536" s="136"/>
    </row>
    <row r="31537" spans="1:2" x14ac:dyDescent="0.25">
      <c r="A31537" s="118"/>
      <c r="B31537" s="136"/>
    </row>
    <row r="31538" spans="1:2" x14ac:dyDescent="0.25">
      <c r="A31538" s="118"/>
      <c r="B31538" s="136"/>
    </row>
    <row r="31539" spans="1:2" x14ac:dyDescent="0.25">
      <c r="A31539" s="118"/>
      <c r="B31539" s="136"/>
    </row>
    <row r="31540" spans="1:2" x14ac:dyDescent="0.25">
      <c r="A31540" s="118"/>
      <c r="B31540" s="136"/>
    </row>
    <row r="31541" spans="1:2" x14ac:dyDescent="0.25">
      <c r="A31541" s="118"/>
      <c r="B31541" s="136"/>
    </row>
    <row r="31542" spans="1:2" x14ac:dyDescent="0.25">
      <c r="A31542" s="118"/>
      <c r="B31542" s="136"/>
    </row>
    <row r="31543" spans="1:2" x14ac:dyDescent="0.25">
      <c r="A31543" s="118"/>
      <c r="B31543" s="136"/>
    </row>
    <row r="31544" spans="1:2" x14ac:dyDescent="0.25">
      <c r="A31544" s="118"/>
      <c r="B31544" s="136"/>
    </row>
    <row r="31545" spans="1:2" x14ac:dyDescent="0.25">
      <c r="A31545" s="118"/>
      <c r="B31545" s="136"/>
    </row>
    <row r="31546" spans="1:2" x14ac:dyDescent="0.25">
      <c r="A31546" s="118"/>
      <c r="B31546" s="136"/>
    </row>
    <row r="31547" spans="1:2" x14ac:dyDescent="0.25">
      <c r="A31547" s="118"/>
      <c r="B31547" s="136"/>
    </row>
    <row r="31548" spans="1:2" x14ac:dyDescent="0.25">
      <c r="A31548" s="118"/>
      <c r="B31548" s="136"/>
    </row>
    <row r="31549" spans="1:2" x14ac:dyDescent="0.25">
      <c r="A31549" s="118"/>
      <c r="B31549" s="136"/>
    </row>
    <row r="31550" spans="1:2" x14ac:dyDescent="0.25">
      <c r="A31550" s="118"/>
      <c r="B31550" s="136"/>
    </row>
    <row r="31551" spans="1:2" x14ac:dyDescent="0.25">
      <c r="A31551" s="118"/>
      <c r="B31551" s="136"/>
    </row>
    <row r="31552" spans="1:2" x14ac:dyDescent="0.25">
      <c r="A31552" s="118"/>
      <c r="B31552" s="136"/>
    </row>
    <row r="31553" spans="1:2" x14ac:dyDescent="0.25">
      <c r="A31553" s="118"/>
      <c r="B31553" s="136"/>
    </row>
    <row r="31554" spans="1:2" x14ac:dyDescent="0.25">
      <c r="A31554" s="118"/>
      <c r="B31554" s="136"/>
    </row>
    <row r="31555" spans="1:2" x14ac:dyDescent="0.25">
      <c r="A31555" s="118"/>
      <c r="B31555" s="136"/>
    </row>
    <row r="31556" spans="1:2" x14ac:dyDescent="0.25">
      <c r="A31556" s="118"/>
      <c r="B31556" s="136"/>
    </row>
    <row r="31557" spans="1:2" x14ac:dyDescent="0.25">
      <c r="A31557" s="118"/>
      <c r="B31557" s="136"/>
    </row>
    <row r="31558" spans="1:2" x14ac:dyDescent="0.25">
      <c r="A31558" s="118"/>
      <c r="B31558" s="136"/>
    </row>
    <row r="31559" spans="1:2" x14ac:dyDescent="0.25">
      <c r="A31559" s="118"/>
      <c r="B31559" s="136"/>
    </row>
    <row r="31560" spans="1:2" x14ac:dyDescent="0.25">
      <c r="A31560" s="118"/>
      <c r="B31560" s="136"/>
    </row>
    <row r="31561" spans="1:2" x14ac:dyDescent="0.25">
      <c r="A31561" s="118"/>
      <c r="B31561" s="136"/>
    </row>
    <row r="31562" spans="1:2" x14ac:dyDescent="0.25">
      <c r="A31562" s="118"/>
      <c r="B31562" s="136"/>
    </row>
    <row r="31563" spans="1:2" x14ac:dyDescent="0.25">
      <c r="A31563" s="118"/>
      <c r="B31563" s="136"/>
    </row>
    <row r="31564" spans="1:2" x14ac:dyDescent="0.25">
      <c r="A31564" s="118"/>
      <c r="B31564" s="136"/>
    </row>
    <row r="31565" spans="1:2" x14ac:dyDescent="0.25">
      <c r="A31565" s="118"/>
      <c r="B31565" s="136"/>
    </row>
    <row r="31566" spans="1:2" x14ac:dyDescent="0.25">
      <c r="A31566" s="118"/>
      <c r="B31566" s="136"/>
    </row>
    <row r="31567" spans="1:2" x14ac:dyDescent="0.25">
      <c r="A31567" s="118"/>
      <c r="B31567" s="136"/>
    </row>
    <row r="31568" spans="1:2" x14ac:dyDescent="0.25">
      <c r="A31568" s="118"/>
      <c r="B31568" s="136"/>
    </row>
    <row r="31569" spans="1:2" x14ac:dyDescent="0.25">
      <c r="A31569" s="118"/>
      <c r="B31569" s="136"/>
    </row>
    <row r="31570" spans="1:2" x14ac:dyDescent="0.25">
      <c r="A31570" s="118"/>
      <c r="B31570" s="136"/>
    </row>
    <row r="31571" spans="1:2" x14ac:dyDescent="0.25">
      <c r="A31571" s="118"/>
      <c r="B31571" s="136"/>
    </row>
    <row r="31572" spans="1:2" x14ac:dyDescent="0.25">
      <c r="A31572" s="118"/>
      <c r="B31572" s="136"/>
    </row>
    <row r="31573" spans="1:2" x14ac:dyDescent="0.25">
      <c r="A31573" s="118"/>
      <c r="B31573" s="136"/>
    </row>
    <row r="31574" spans="1:2" x14ac:dyDescent="0.25">
      <c r="A31574" s="118"/>
      <c r="B31574" s="136"/>
    </row>
    <row r="31575" spans="1:2" x14ac:dyDescent="0.25">
      <c r="A31575" s="118"/>
      <c r="B31575" s="136"/>
    </row>
    <row r="31576" spans="1:2" x14ac:dyDescent="0.25">
      <c r="A31576" s="118"/>
      <c r="B31576" s="136"/>
    </row>
    <row r="31577" spans="1:2" x14ac:dyDescent="0.25">
      <c r="A31577" s="118"/>
      <c r="B31577" s="136"/>
    </row>
    <row r="31578" spans="1:2" x14ac:dyDescent="0.25">
      <c r="A31578" s="118"/>
      <c r="B31578" s="136"/>
    </row>
    <row r="31579" spans="1:2" x14ac:dyDescent="0.25">
      <c r="A31579" s="118"/>
      <c r="B31579" s="136"/>
    </row>
    <row r="31580" spans="1:2" x14ac:dyDescent="0.25">
      <c r="A31580" s="118"/>
      <c r="B31580" s="136"/>
    </row>
    <row r="31581" spans="1:2" x14ac:dyDescent="0.25">
      <c r="A31581" s="118"/>
      <c r="B31581" s="136"/>
    </row>
    <row r="31582" spans="1:2" x14ac:dyDescent="0.25">
      <c r="A31582" s="118"/>
      <c r="B31582" s="136"/>
    </row>
    <row r="31583" spans="1:2" x14ac:dyDescent="0.25">
      <c r="A31583" s="118"/>
      <c r="B31583" s="136"/>
    </row>
    <row r="31584" spans="1:2" x14ac:dyDescent="0.25">
      <c r="A31584" s="118"/>
      <c r="B31584" s="136"/>
    </row>
    <row r="31585" spans="1:2" x14ac:dyDescent="0.25">
      <c r="A31585" s="118"/>
      <c r="B31585" s="136"/>
    </row>
    <row r="31586" spans="1:2" x14ac:dyDescent="0.25">
      <c r="A31586" s="118"/>
      <c r="B31586" s="136"/>
    </row>
    <row r="31587" spans="1:2" x14ac:dyDescent="0.25">
      <c r="A31587" s="118"/>
      <c r="B31587" s="136"/>
    </row>
    <row r="31588" spans="1:2" x14ac:dyDescent="0.25">
      <c r="A31588" s="118"/>
      <c r="B31588" s="136"/>
    </row>
    <row r="31589" spans="1:2" x14ac:dyDescent="0.25">
      <c r="A31589" s="118"/>
      <c r="B31589" s="136"/>
    </row>
    <row r="31590" spans="1:2" x14ac:dyDescent="0.25">
      <c r="A31590" s="118"/>
      <c r="B31590" s="136"/>
    </row>
    <row r="31591" spans="1:2" x14ac:dyDescent="0.25">
      <c r="A31591" s="118"/>
      <c r="B31591" s="136"/>
    </row>
    <row r="31592" spans="1:2" x14ac:dyDescent="0.25">
      <c r="A31592" s="118"/>
      <c r="B31592" s="136"/>
    </row>
    <row r="31593" spans="1:2" x14ac:dyDescent="0.25">
      <c r="A31593" s="118"/>
      <c r="B31593" s="136"/>
    </row>
    <row r="31594" spans="1:2" x14ac:dyDescent="0.25">
      <c r="A31594" s="118"/>
      <c r="B31594" s="136"/>
    </row>
    <row r="31595" spans="1:2" x14ac:dyDescent="0.25">
      <c r="A31595" s="118"/>
      <c r="B31595" s="136"/>
    </row>
    <row r="31596" spans="1:2" x14ac:dyDescent="0.25">
      <c r="A31596" s="118"/>
      <c r="B31596" s="136"/>
    </row>
    <row r="31597" spans="1:2" x14ac:dyDescent="0.25">
      <c r="A31597" s="118"/>
      <c r="B31597" s="136"/>
    </row>
    <row r="31598" spans="1:2" x14ac:dyDescent="0.25">
      <c r="A31598" s="118"/>
      <c r="B31598" s="136"/>
    </row>
    <row r="31599" spans="1:2" x14ac:dyDescent="0.25">
      <c r="A31599" s="118"/>
      <c r="B31599" s="136"/>
    </row>
    <row r="31600" spans="1:2" x14ac:dyDescent="0.25">
      <c r="A31600" s="118"/>
      <c r="B31600" s="136"/>
    </row>
    <row r="31601" spans="1:2" x14ac:dyDescent="0.25">
      <c r="A31601" s="118"/>
      <c r="B31601" s="136"/>
    </row>
    <row r="31602" spans="1:2" x14ac:dyDescent="0.25">
      <c r="A31602" s="118"/>
      <c r="B31602" s="136"/>
    </row>
    <row r="31603" spans="1:2" x14ac:dyDescent="0.25">
      <c r="A31603" s="118"/>
      <c r="B31603" s="136"/>
    </row>
    <row r="31604" spans="1:2" x14ac:dyDescent="0.25">
      <c r="A31604" s="118"/>
      <c r="B31604" s="136"/>
    </row>
    <row r="31605" spans="1:2" x14ac:dyDescent="0.25">
      <c r="A31605" s="118"/>
      <c r="B31605" s="136"/>
    </row>
    <row r="31606" spans="1:2" x14ac:dyDescent="0.25">
      <c r="A31606" s="118"/>
      <c r="B31606" s="136"/>
    </row>
    <row r="31607" spans="1:2" x14ac:dyDescent="0.25">
      <c r="A31607" s="118"/>
      <c r="B31607" s="136"/>
    </row>
    <row r="31608" spans="1:2" x14ac:dyDescent="0.25">
      <c r="A31608" s="118"/>
      <c r="B31608" s="136"/>
    </row>
    <row r="31609" spans="1:2" x14ac:dyDescent="0.25">
      <c r="A31609" s="118"/>
      <c r="B31609" s="136"/>
    </row>
    <row r="31610" spans="1:2" x14ac:dyDescent="0.25">
      <c r="A31610" s="118"/>
      <c r="B31610" s="136"/>
    </row>
    <row r="31611" spans="1:2" x14ac:dyDescent="0.25">
      <c r="A31611" s="118"/>
      <c r="B31611" s="136"/>
    </row>
    <row r="31612" spans="1:2" x14ac:dyDescent="0.25">
      <c r="A31612" s="118"/>
      <c r="B31612" s="136"/>
    </row>
    <row r="31613" spans="1:2" x14ac:dyDescent="0.25">
      <c r="A31613" s="118"/>
      <c r="B31613" s="136"/>
    </row>
    <row r="31614" spans="1:2" x14ac:dyDescent="0.25">
      <c r="A31614" s="118"/>
      <c r="B31614" s="136"/>
    </row>
    <row r="31615" spans="1:2" x14ac:dyDescent="0.25">
      <c r="A31615" s="118"/>
      <c r="B31615" s="136"/>
    </row>
    <row r="31616" spans="1:2" x14ac:dyDescent="0.25">
      <c r="A31616" s="118"/>
      <c r="B31616" s="136"/>
    </row>
    <row r="31617" spans="1:2" x14ac:dyDescent="0.25">
      <c r="A31617" s="118"/>
      <c r="B31617" s="136"/>
    </row>
    <row r="31618" spans="1:2" x14ac:dyDescent="0.25">
      <c r="A31618" s="118"/>
      <c r="B31618" s="136"/>
    </row>
    <row r="31619" spans="1:2" x14ac:dyDescent="0.25">
      <c r="A31619" s="118"/>
      <c r="B31619" s="136"/>
    </row>
    <row r="31620" spans="1:2" x14ac:dyDescent="0.25">
      <c r="A31620" s="118"/>
      <c r="B31620" s="136"/>
    </row>
    <row r="31621" spans="1:2" x14ac:dyDescent="0.25">
      <c r="A31621" s="118"/>
      <c r="B31621" s="136"/>
    </row>
    <row r="31622" spans="1:2" x14ac:dyDescent="0.25">
      <c r="A31622" s="118"/>
      <c r="B31622" s="136"/>
    </row>
    <row r="31623" spans="1:2" x14ac:dyDescent="0.25">
      <c r="A31623" s="118"/>
      <c r="B31623" s="136"/>
    </row>
    <row r="31624" spans="1:2" x14ac:dyDescent="0.25">
      <c r="A31624" s="118"/>
      <c r="B31624" s="136"/>
    </row>
    <row r="31625" spans="1:2" x14ac:dyDescent="0.25">
      <c r="A31625" s="118"/>
      <c r="B31625" s="136"/>
    </row>
    <row r="31626" spans="1:2" x14ac:dyDescent="0.25">
      <c r="A31626" s="118"/>
      <c r="B31626" s="136"/>
    </row>
    <row r="31627" spans="1:2" x14ac:dyDescent="0.25">
      <c r="A31627" s="118"/>
      <c r="B31627" s="136"/>
    </row>
    <row r="31628" spans="1:2" x14ac:dyDescent="0.25">
      <c r="A31628" s="118"/>
      <c r="B31628" s="136"/>
    </row>
    <row r="31629" spans="1:2" x14ac:dyDescent="0.25">
      <c r="A31629" s="118"/>
      <c r="B31629" s="136"/>
    </row>
    <row r="31630" spans="1:2" x14ac:dyDescent="0.25">
      <c r="A31630" s="118"/>
      <c r="B31630" s="136"/>
    </row>
    <row r="31631" spans="1:2" x14ac:dyDescent="0.25">
      <c r="A31631" s="118"/>
      <c r="B31631" s="136"/>
    </row>
    <row r="31632" spans="1:2" x14ac:dyDescent="0.25">
      <c r="A31632" s="118"/>
      <c r="B31632" s="136"/>
    </row>
    <row r="31633" spans="1:2" x14ac:dyDescent="0.25">
      <c r="A31633" s="118"/>
      <c r="B31633" s="136"/>
    </row>
    <row r="31634" spans="1:2" x14ac:dyDescent="0.25">
      <c r="A31634" s="118"/>
      <c r="B31634" s="136"/>
    </row>
    <row r="31635" spans="1:2" x14ac:dyDescent="0.25">
      <c r="A31635" s="118"/>
      <c r="B31635" s="136"/>
    </row>
    <row r="31636" spans="1:2" x14ac:dyDescent="0.25">
      <c r="A31636" s="118"/>
      <c r="B31636" s="136"/>
    </row>
    <row r="31637" spans="1:2" x14ac:dyDescent="0.25">
      <c r="A31637" s="118"/>
      <c r="B31637" s="136"/>
    </row>
    <row r="31638" spans="1:2" x14ac:dyDescent="0.25">
      <c r="A31638" s="118"/>
      <c r="B31638" s="136"/>
    </row>
    <row r="31639" spans="1:2" x14ac:dyDescent="0.25">
      <c r="A31639" s="118"/>
      <c r="B31639" s="136"/>
    </row>
    <row r="31640" spans="1:2" x14ac:dyDescent="0.25">
      <c r="A31640" s="118"/>
      <c r="B31640" s="136"/>
    </row>
    <row r="31641" spans="1:2" x14ac:dyDescent="0.25">
      <c r="A31641" s="118"/>
      <c r="B31641" s="136"/>
    </row>
    <row r="31642" spans="1:2" x14ac:dyDescent="0.25">
      <c r="A31642" s="118"/>
      <c r="B31642" s="136"/>
    </row>
    <row r="31643" spans="1:2" x14ac:dyDescent="0.25">
      <c r="A31643" s="118"/>
      <c r="B31643" s="136"/>
    </row>
    <row r="31644" spans="1:2" x14ac:dyDescent="0.25">
      <c r="A31644" s="118"/>
      <c r="B31644" s="136"/>
    </row>
    <row r="31645" spans="1:2" x14ac:dyDescent="0.25">
      <c r="A31645" s="118"/>
      <c r="B31645" s="136"/>
    </row>
    <row r="31646" spans="1:2" x14ac:dyDescent="0.25">
      <c r="A31646" s="118"/>
      <c r="B31646" s="136"/>
    </row>
    <row r="31647" spans="1:2" x14ac:dyDescent="0.25">
      <c r="A31647" s="118"/>
      <c r="B31647" s="136"/>
    </row>
    <row r="31648" spans="1:2" x14ac:dyDescent="0.25">
      <c r="A31648" s="118"/>
      <c r="B31648" s="136"/>
    </row>
    <row r="31649" spans="1:2" x14ac:dyDescent="0.25">
      <c r="A31649" s="118"/>
      <c r="B31649" s="136"/>
    </row>
    <row r="31650" spans="1:2" x14ac:dyDescent="0.25">
      <c r="A31650" s="118"/>
      <c r="B31650" s="136"/>
    </row>
    <row r="31651" spans="1:2" x14ac:dyDescent="0.25">
      <c r="A31651" s="118"/>
      <c r="B31651" s="136"/>
    </row>
    <row r="31652" spans="1:2" x14ac:dyDescent="0.25">
      <c r="A31652" s="118"/>
      <c r="B31652" s="136"/>
    </row>
    <row r="31653" spans="1:2" x14ac:dyDescent="0.25">
      <c r="A31653" s="118"/>
      <c r="B31653" s="136"/>
    </row>
    <row r="31654" spans="1:2" x14ac:dyDescent="0.25">
      <c r="A31654" s="118"/>
      <c r="B31654" s="136"/>
    </row>
    <row r="31655" spans="1:2" x14ac:dyDescent="0.25">
      <c r="A31655" s="118"/>
      <c r="B31655" s="136"/>
    </row>
    <row r="31656" spans="1:2" x14ac:dyDescent="0.25">
      <c r="A31656" s="118"/>
      <c r="B31656" s="136"/>
    </row>
    <row r="31657" spans="1:2" x14ac:dyDescent="0.25">
      <c r="A31657" s="118"/>
      <c r="B31657" s="136"/>
    </row>
    <row r="31658" spans="1:2" x14ac:dyDescent="0.25">
      <c r="A31658" s="118"/>
      <c r="B31658" s="136"/>
    </row>
    <row r="31659" spans="1:2" x14ac:dyDescent="0.25">
      <c r="A31659" s="118"/>
      <c r="B31659" s="136"/>
    </row>
    <row r="31660" spans="1:2" x14ac:dyDescent="0.25">
      <c r="A31660" s="118"/>
      <c r="B31660" s="136"/>
    </row>
    <row r="31661" spans="1:2" x14ac:dyDescent="0.25">
      <c r="A31661" s="118"/>
      <c r="B31661" s="136"/>
    </row>
    <row r="31662" spans="1:2" x14ac:dyDescent="0.25">
      <c r="A31662" s="118"/>
      <c r="B31662" s="136"/>
    </row>
    <row r="31663" spans="1:2" x14ac:dyDescent="0.25">
      <c r="A31663" s="118"/>
      <c r="B31663" s="136"/>
    </row>
    <row r="31664" spans="1:2" x14ac:dyDescent="0.25">
      <c r="A31664" s="118"/>
      <c r="B31664" s="136"/>
    </row>
    <row r="31665" spans="1:2" x14ac:dyDescent="0.25">
      <c r="A31665" s="118"/>
      <c r="B31665" s="136"/>
    </row>
    <row r="31666" spans="1:2" x14ac:dyDescent="0.25">
      <c r="A31666" s="118"/>
      <c r="B31666" s="136"/>
    </row>
    <row r="31667" spans="1:2" x14ac:dyDescent="0.25">
      <c r="A31667" s="118"/>
      <c r="B31667" s="136"/>
    </row>
    <row r="31668" spans="1:2" x14ac:dyDescent="0.25">
      <c r="A31668" s="118"/>
      <c r="B31668" s="136"/>
    </row>
    <row r="31669" spans="1:2" x14ac:dyDescent="0.25">
      <c r="A31669" s="118"/>
      <c r="B31669" s="136"/>
    </row>
    <row r="31670" spans="1:2" x14ac:dyDescent="0.25">
      <c r="A31670" s="118"/>
      <c r="B31670" s="136"/>
    </row>
    <row r="31671" spans="1:2" x14ac:dyDescent="0.25">
      <c r="A31671" s="118"/>
      <c r="B31671" s="136"/>
    </row>
    <row r="31672" spans="1:2" x14ac:dyDescent="0.25">
      <c r="A31672" s="118"/>
      <c r="B31672" s="136"/>
    </row>
    <row r="31673" spans="1:2" x14ac:dyDescent="0.25">
      <c r="A31673" s="118"/>
      <c r="B31673" s="136"/>
    </row>
    <row r="31674" spans="1:2" x14ac:dyDescent="0.25">
      <c r="A31674" s="118"/>
      <c r="B31674" s="136"/>
    </row>
    <row r="31675" spans="1:2" x14ac:dyDescent="0.25">
      <c r="A31675" s="118"/>
      <c r="B31675" s="136"/>
    </row>
    <row r="31676" spans="1:2" x14ac:dyDescent="0.25">
      <c r="A31676" s="118"/>
      <c r="B31676" s="136"/>
    </row>
    <row r="31677" spans="1:2" x14ac:dyDescent="0.25">
      <c r="A31677" s="118"/>
      <c r="B31677" s="136"/>
    </row>
    <row r="31678" spans="1:2" x14ac:dyDescent="0.25">
      <c r="A31678" s="118"/>
      <c r="B31678" s="136"/>
    </row>
    <row r="31679" spans="1:2" x14ac:dyDescent="0.25">
      <c r="A31679" s="118"/>
      <c r="B31679" s="136"/>
    </row>
    <row r="31680" spans="1:2" x14ac:dyDescent="0.25">
      <c r="A31680" s="118"/>
      <c r="B31680" s="136"/>
    </row>
    <row r="31681" spans="1:2" x14ac:dyDescent="0.25">
      <c r="A31681" s="118"/>
      <c r="B31681" s="136"/>
    </row>
    <row r="31682" spans="1:2" x14ac:dyDescent="0.25">
      <c r="A31682" s="118"/>
      <c r="B31682" s="136"/>
    </row>
    <row r="31683" spans="1:2" x14ac:dyDescent="0.25">
      <c r="A31683" s="118"/>
      <c r="B31683" s="136"/>
    </row>
    <row r="31684" spans="1:2" x14ac:dyDescent="0.25">
      <c r="A31684" s="118"/>
      <c r="B31684" s="136"/>
    </row>
    <row r="31685" spans="1:2" x14ac:dyDescent="0.25">
      <c r="A31685" s="118"/>
      <c r="B31685" s="136"/>
    </row>
    <row r="31686" spans="1:2" x14ac:dyDescent="0.25">
      <c r="A31686" s="118"/>
      <c r="B31686" s="136"/>
    </row>
    <row r="31687" spans="1:2" x14ac:dyDescent="0.25">
      <c r="A31687" s="118"/>
      <c r="B31687" s="136"/>
    </row>
    <row r="31688" spans="1:2" x14ac:dyDescent="0.25">
      <c r="A31688" s="118"/>
      <c r="B31688" s="136"/>
    </row>
    <row r="31689" spans="1:2" x14ac:dyDescent="0.25">
      <c r="A31689" s="118"/>
      <c r="B31689" s="136"/>
    </row>
    <row r="31690" spans="1:2" x14ac:dyDescent="0.25">
      <c r="A31690" s="118"/>
      <c r="B31690" s="136"/>
    </row>
    <row r="31691" spans="1:2" x14ac:dyDescent="0.25">
      <c r="A31691" s="118"/>
      <c r="B31691" s="136"/>
    </row>
    <row r="31692" spans="1:2" x14ac:dyDescent="0.25">
      <c r="A31692" s="118"/>
      <c r="B31692" s="136"/>
    </row>
    <row r="31693" spans="1:2" x14ac:dyDescent="0.25">
      <c r="A31693" s="118"/>
      <c r="B31693" s="136"/>
    </row>
    <row r="31694" spans="1:2" x14ac:dyDescent="0.25">
      <c r="A31694" s="118"/>
      <c r="B31694" s="136"/>
    </row>
    <row r="31695" spans="1:2" x14ac:dyDescent="0.25">
      <c r="A31695" s="118"/>
      <c r="B31695" s="136"/>
    </row>
    <row r="31696" spans="1:2" x14ac:dyDescent="0.25">
      <c r="A31696" s="118"/>
      <c r="B31696" s="136"/>
    </row>
    <row r="31697" spans="1:2" x14ac:dyDescent="0.25">
      <c r="A31697" s="118"/>
      <c r="B31697" s="136"/>
    </row>
    <row r="31698" spans="1:2" x14ac:dyDescent="0.25">
      <c r="A31698" s="118"/>
      <c r="B31698" s="136"/>
    </row>
    <row r="31699" spans="1:2" x14ac:dyDescent="0.25">
      <c r="A31699" s="118"/>
      <c r="B31699" s="136"/>
    </row>
    <row r="31700" spans="1:2" x14ac:dyDescent="0.25">
      <c r="A31700" s="118"/>
      <c r="B31700" s="136"/>
    </row>
    <row r="31701" spans="1:2" x14ac:dyDescent="0.25">
      <c r="A31701" s="118"/>
      <c r="B31701" s="136"/>
    </row>
    <row r="31702" spans="1:2" x14ac:dyDescent="0.25">
      <c r="A31702" s="118"/>
      <c r="B31702" s="136"/>
    </row>
    <row r="31703" spans="1:2" x14ac:dyDescent="0.25">
      <c r="A31703" s="118"/>
      <c r="B31703" s="136"/>
    </row>
    <row r="31704" spans="1:2" x14ac:dyDescent="0.25">
      <c r="A31704" s="118"/>
      <c r="B31704" s="136"/>
    </row>
    <row r="31705" spans="1:2" x14ac:dyDescent="0.25">
      <c r="A31705" s="118"/>
      <c r="B31705" s="136"/>
    </row>
    <row r="31706" spans="1:2" x14ac:dyDescent="0.25">
      <c r="A31706" s="118"/>
      <c r="B31706" s="136"/>
    </row>
    <row r="31707" spans="1:2" x14ac:dyDescent="0.25">
      <c r="A31707" s="118"/>
      <c r="B31707" s="136"/>
    </row>
    <row r="31708" spans="1:2" x14ac:dyDescent="0.25">
      <c r="A31708" s="118"/>
      <c r="B31708" s="136"/>
    </row>
    <row r="31709" spans="1:2" x14ac:dyDescent="0.25">
      <c r="A31709" s="118"/>
      <c r="B31709" s="136"/>
    </row>
    <row r="31710" spans="1:2" x14ac:dyDescent="0.25">
      <c r="A31710" s="118"/>
      <c r="B31710" s="136"/>
    </row>
    <row r="31711" spans="1:2" x14ac:dyDescent="0.25">
      <c r="A31711" s="118"/>
      <c r="B31711" s="136"/>
    </row>
    <row r="31712" spans="1:2" x14ac:dyDescent="0.25">
      <c r="A31712" s="118"/>
      <c r="B31712" s="136"/>
    </row>
    <row r="31713" spans="1:2" x14ac:dyDescent="0.25">
      <c r="A31713" s="118"/>
      <c r="B31713" s="136"/>
    </row>
    <row r="31714" spans="1:2" x14ac:dyDescent="0.25">
      <c r="A31714" s="118"/>
      <c r="B31714" s="136"/>
    </row>
    <row r="31715" spans="1:2" x14ac:dyDescent="0.25">
      <c r="A31715" s="118"/>
      <c r="B31715" s="136"/>
    </row>
    <row r="31716" spans="1:2" x14ac:dyDescent="0.25">
      <c r="A31716" s="118"/>
      <c r="B31716" s="136"/>
    </row>
    <row r="31717" spans="1:2" x14ac:dyDescent="0.25">
      <c r="A31717" s="118"/>
      <c r="B31717" s="136"/>
    </row>
    <row r="31718" spans="1:2" x14ac:dyDescent="0.25">
      <c r="A31718" s="118"/>
      <c r="B31718" s="136"/>
    </row>
    <row r="31719" spans="1:2" x14ac:dyDescent="0.25">
      <c r="A31719" s="118"/>
      <c r="B31719" s="136"/>
    </row>
    <row r="31720" spans="1:2" x14ac:dyDescent="0.25">
      <c r="A31720" s="118"/>
      <c r="B31720" s="136"/>
    </row>
    <row r="31721" spans="1:2" x14ac:dyDescent="0.25">
      <c r="A31721" s="118"/>
      <c r="B31721" s="136"/>
    </row>
    <row r="31722" spans="1:2" x14ac:dyDescent="0.25">
      <c r="A31722" s="118"/>
      <c r="B31722" s="136"/>
    </row>
    <row r="31723" spans="1:2" x14ac:dyDescent="0.25">
      <c r="A31723" s="118"/>
      <c r="B31723" s="136"/>
    </row>
    <row r="31724" spans="1:2" x14ac:dyDescent="0.25">
      <c r="A31724" s="118"/>
      <c r="B31724" s="136"/>
    </row>
    <row r="31725" spans="1:2" x14ac:dyDescent="0.25">
      <c r="A31725" s="118"/>
      <c r="B31725" s="136"/>
    </row>
    <row r="31726" spans="1:2" x14ac:dyDescent="0.25">
      <c r="A31726" s="118"/>
      <c r="B31726" s="136"/>
    </row>
    <row r="31727" spans="1:2" x14ac:dyDescent="0.25">
      <c r="A31727" s="118"/>
      <c r="B31727" s="136"/>
    </row>
    <row r="31728" spans="1:2" x14ac:dyDescent="0.25">
      <c r="A31728" s="118"/>
      <c r="B31728" s="136"/>
    </row>
    <row r="31729" spans="1:2" x14ac:dyDescent="0.25">
      <c r="A31729" s="118"/>
      <c r="B31729" s="136"/>
    </row>
    <row r="31730" spans="1:2" x14ac:dyDescent="0.25">
      <c r="A31730" s="118"/>
      <c r="B31730" s="136"/>
    </row>
    <row r="31731" spans="1:2" x14ac:dyDescent="0.25">
      <c r="A31731" s="118"/>
      <c r="B31731" s="136"/>
    </row>
    <row r="31732" spans="1:2" x14ac:dyDescent="0.25">
      <c r="A31732" s="118"/>
      <c r="B31732" s="136"/>
    </row>
    <row r="31733" spans="1:2" x14ac:dyDescent="0.25">
      <c r="A31733" s="118"/>
      <c r="B31733" s="136"/>
    </row>
    <row r="31734" spans="1:2" x14ac:dyDescent="0.25">
      <c r="A31734" s="118"/>
      <c r="B31734" s="136"/>
    </row>
    <row r="31735" spans="1:2" x14ac:dyDescent="0.25">
      <c r="A31735" s="118"/>
      <c r="B31735" s="136"/>
    </row>
    <row r="31736" spans="1:2" x14ac:dyDescent="0.25">
      <c r="A31736" s="118"/>
      <c r="B31736" s="136"/>
    </row>
    <row r="31737" spans="1:2" x14ac:dyDescent="0.25">
      <c r="A31737" s="118"/>
      <c r="B31737" s="136"/>
    </row>
    <row r="31738" spans="1:2" x14ac:dyDescent="0.25">
      <c r="A31738" s="118"/>
      <c r="B31738" s="136"/>
    </row>
    <row r="31739" spans="1:2" x14ac:dyDescent="0.25">
      <c r="A31739" s="118"/>
      <c r="B31739" s="136"/>
    </row>
    <row r="31740" spans="1:2" x14ac:dyDescent="0.25">
      <c r="A31740" s="118"/>
      <c r="B31740" s="136"/>
    </row>
    <row r="31741" spans="1:2" x14ac:dyDescent="0.25">
      <c r="A31741" s="118"/>
      <c r="B31741" s="136"/>
    </row>
    <row r="31742" spans="1:2" x14ac:dyDescent="0.25">
      <c r="A31742" s="118"/>
      <c r="B31742" s="136"/>
    </row>
    <row r="31743" spans="1:2" x14ac:dyDescent="0.25">
      <c r="A31743" s="118"/>
      <c r="B31743" s="136"/>
    </row>
    <row r="31744" spans="1:2" x14ac:dyDescent="0.25">
      <c r="A31744" s="118"/>
      <c r="B31744" s="136"/>
    </row>
    <row r="31745" spans="1:2" x14ac:dyDescent="0.25">
      <c r="A31745" s="118"/>
      <c r="B31745" s="136"/>
    </row>
    <row r="31746" spans="1:2" x14ac:dyDescent="0.25">
      <c r="A31746" s="118"/>
      <c r="B31746" s="136"/>
    </row>
    <row r="31747" spans="1:2" x14ac:dyDescent="0.25">
      <c r="A31747" s="118"/>
      <c r="B31747" s="136"/>
    </row>
    <row r="31748" spans="1:2" x14ac:dyDescent="0.25">
      <c r="A31748" s="118"/>
      <c r="B31748" s="136"/>
    </row>
    <row r="31749" spans="1:2" x14ac:dyDescent="0.25">
      <c r="A31749" s="118"/>
      <c r="B31749" s="136"/>
    </row>
    <row r="31750" spans="1:2" x14ac:dyDescent="0.25">
      <c r="A31750" s="118"/>
      <c r="B31750" s="136"/>
    </row>
    <row r="31751" spans="1:2" x14ac:dyDescent="0.25">
      <c r="A31751" s="118"/>
      <c r="B31751" s="136"/>
    </row>
    <row r="31752" spans="1:2" x14ac:dyDescent="0.25">
      <c r="A31752" s="118"/>
      <c r="B31752" s="136"/>
    </row>
    <row r="31753" spans="1:2" x14ac:dyDescent="0.25">
      <c r="A31753" s="118"/>
      <c r="B31753" s="136"/>
    </row>
    <row r="31754" spans="1:2" x14ac:dyDescent="0.25">
      <c r="A31754" s="118"/>
      <c r="B31754" s="136"/>
    </row>
    <row r="31755" spans="1:2" x14ac:dyDescent="0.25">
      <c r="A31755" s="118"/>
      <c r="B31755" s="136"/>
    </row>
    <row r="31756" spans="1:2" x14ac:dyDescent="0.25">
      <c r="A31756" s="118"/>
      <c r="B31756" s="136"/>
    </row>
    <row r="31757" spans="1:2" x14ac:dyDescent="0.25">
      <c r="A31757" s="118"/>
      <c r="B31757" s="136"/>
    </row>
    <row r="31758" spans="1:2" x14ac:dyDescent="0.25">
      <c r="A31758" s="118"/>
      <c r="B31758" s="136"/>
    </row>
    <row r="31759" spans="1:2" x14ac:dyDescent="0.25">
      <c r="A31759" s="118"/>
      <c r="B31759" s="136"/>
    </row>
    <row r="31760" spans="1:2" x14ac:dyDescent="0.25">
      <c r="A31760" s="118"/>
      <c r="B31760" s="136"/>
    </row>
    <row r="31761" spans="1:2" x14ac:dyDescent="0.25">
      <c r="A31761" s="118"/>
      <c r="B31761" s="136"/>
    </row>
    <row r="31762" spans="1:2" x14ac:dyDescent="0.25">
      <c r="A31762" s="118"/>
      <c r="B31762" s="136"/>
    </row>
    <row r="31763" spans="1:2" x14ac:dyDescent="0.25">
      <c r="A31763" s="118"/>
      <c r="B31763" s="136"/>
    </row>
    <row r="31764" spans="1:2" x14ac:dyDescent="0.25">
      <c r="A31764" s="118"/>
      <c r="B31764" s="136"/>
    </row>
    <row r="31765" spans="1:2" x14ac:dyDescent="0.25">
      <c r="A31765" s="118"/>
      <c r="B31765" s="136"/>
    </row>
    <row r="31766" spans="1:2" x14ac:dyDescent="0.25">
      <c r="A31766" s="118"/>
      <c r="B31766" s="136"/>
    </row>
    <row r="31767" spans="1:2" x14ac:dyDescent="0.25">
      <c r="A31767" s="118"/>
      <c r="B31767" s="136"/>
    </row>
    <row r="31768" spans="1:2" x14ac:dyDescent="0.25">
      <c r="A31768" s="118"/>
      <c r="B31768" s="136"/>
    </row>
    <row r="31769" spans="1:2" x14ac:dyDescent="0.25">
      <c r="A31769" s="118"/>
      <c r="B31769" s="136"/>
    </row>
    <row r="31770" spans="1:2" x14ac:dyDescent="0.25">
      <c r="A31770" s="118"/>
      <c r="B31770" s="136"/>
    </row>
    <row r="31771" spans="1:2" x14ac:dyDescent="0.25">
      <c r="A31771" s="118"/>
      <c r="B31771" s="136"/>
    </row>
    <row r="31772" spans="1:2" x14ac:dyDescent="0.25">
      <c r="A31772" s="118"/>
      <c r="B31772" s="136"/>
    </row>
    <row r="31773" spans="1:2" x14ac:dyDescent="0.25">
      <c r="A31773" s="118"/>
      <c r="B31773" s="136"/>
    </row>
    <row r="31774" spans="1:2" x14ac:dyDescent="0.25">
      <c r="A31774" s="118"/>
      <c r="B31774" s="136"/>
    </row>
    <row r="31775" spans="1:2" x14ac:dyDescent="0.25">
      <c r="A31775" s="118"/>
      <c r="B31775" s="136"/>
    </row>
    <row r="31776" spans="1:2" x14ac:dyDescent="0.25">
      <c r="A31776" s="118"/>
      <c r="B31776" s="136"/>
    </row>
    <row r="31777" spans="1:2" x14ac:dyDescent="0.25">
      <c r="A31777" s="118"/>
      <c r="B31777" s="136"/>
    </row>
    <row r="31778" spans="1:2" x14ac:dyDescent="0.25">
      <c r="A31778" s="118"/>
      <c r="B31778" s="136"/>
    </row>
    <row r="31779" spans="1:2" x14ac:dyDescent="0.25">
      <c r="A31779" s="118"/>
      <c r="B31779" s="136"/>
    </row>
    <row r="31780" spans="1:2" x14ac:dyDescent="0.25">
      <c r="A31780" s="118"/>
      <c r="B31780" s="136"/>
    </row>
    <row r="31781" spans="1:2" x14ac:dyDescent="0.25">
      <c r="A31781" s="118"/>
      <c r="B31781" s="136"/>
    </row>
    <row r="31782" spans="1:2" x14ac:dyDescent="0.25">
      <c r="A31782" s="118"/>
      <c r="B31782" s="136"/>
    </row>
    <row r="31783" spans="1:2" x14ac:dyDescent="0.25">
      <c r="A31783" s="118"/>
      <c r="B31783" s="136"/>
    </row>
    <row r="31784" spans="1:2" x14ac:dyDescent="0.25">
      <c r="A31784" s="118"/>
      <c r="B31784" s="136"/>
    </row>
    <row r="31785" spans="1:2" x14ac:dyDescent="0.25">
      <c r="A31785" s="118"/>
      <c r="B31785" s="136"/>
    </row>
    <row r="31786" spans="1:2" x14ac:dyDescent="0.25">
      <c r="A31786" s="118"/>
      <c r="B31786" s="136"/>
    </row>
    <row r="31787" spans="1:2" x14ac:dyDescent="0.25">
      <c r="A31787" s="118"/>
      <c r="B31787" s="136"/>
    </row>
    <row r="31788" spans="1:2" x14ac:dyDescent="0.25">
      <c r="A31788" s="118"/>
      <c r="B31788" s="136"/>
    </row>
    <row r="31789" spans="1:2" x14ac:dyDescent="0.25">
      <c r="A31789" s="118"/>
      <c r="B31789" s="136"/>
    </row>
    <row r="31790" spans="1:2" x14ac:dyDescent="0.25">
      <c r="A31790" s="118"/>
      <c r="B31790" s="136"/>
    </row>
    <row r="31791" spans="1:2" x14ac:dyDescent="0.25">
      <c r="A31791" s="118"/>
      <c r="B31791" s="136"/>
    </row>
    <row r="31792" spans="1:2" x14ac:dyDescent="0.25">
      <c r="A31792" s="118"/>
      <c r="B31792" s="136"/>
    </row>
    <row r="31793" spans="1:2" x14ac:dyDescent="0.25">
      <c r="A31793" s="118"/>
      <c r="B31793" s="136"/>
    </row>
    <row r="31794" spans="1:2" x14ac:dyDescent="0.25">
      <c r="A31794" s="118"/>
      <c r="B31794" s="136"/>
    </row>
    <row r="31795" spans="1:2" x14ac:dyDescent="0.25">
      <c r="A31795" s="118"/>
      <c r="B31795" s="136"/>
    </row>
    <row r="31796" spans="1:2" x14ac:dyDescent="0.25">
      <c r="A31796" s="118"/>
      <c r="B31796" s="136"/>
    </row>
    <row r="31797" spans="1:2" x14ac:dyDescent="0.25">
      <c r="A31797" s="118"/>
      <c r="B31797" s="136"/>
    </row>
    <row r="31798" spans="1:2" x14ac:dyDescent="0.25">
      <c r="A31798" s="118"/>
      <c r="B31798" s="136"/>
    </row>
    <row r="31799" spans="1:2" x14ac:dyDescent="0.25">
      <c r="A31799" s="118"/>
      <c r="B31799" s="136"/>
    </row>
    <row r="31800" spans="1:2" x14ac:dyDescent="0.25">
      <c r="A31800" s="118"/>
      <c r="B31800" s="136"/>
    </row>
    <row r="31801" spans="1:2" x14ac:dyDescent="0.25">
      <c r="A31801" s="118"/>
      <c r="B31801" s="136"/>
    </row>
    <row r="31802" spans="1:2" x14ac:dyDescent="0.25">
      <c r="A31802" s="118"/>
      <c r="B31802" s="136"/>
    </row>
    <row r="31803" spans="1:2" x14ac:dyDescent="0.25">
      <c r="A31803" s="118"/>
      <c r="B31803" s="136"/>
    </row>
    <row r="31804" spans="1:2" x14ac:dyDescent="0.25">
      <c r="A31804" s="118"/>
      <c r="B31804" s="136"/>
    </row>
    <row r="31805" spans="1:2" x14ac:dyDescent="0.25">
      <c r="A31805" s="118"/>
      <c r="B31805" s="136"/>
    </row>
    <row r="31806" spans="1:2" x14ac:dyDescent="0.25">
      <c r="A31806" s="118"/>
      <c r="B31806" s="136"/>
    </row>
    <row r="31807" spans="1:2" x14ac:dyDescent="0.25">
      <c r="A31807" s="118"/>
      <c r="B31807" s="136"/>
    </row>
    <row r="31808" spans="1:2" x14ac:dyDescent="0.25">
      <c r="A31808" s="118"/>
      <c r="B31808" s="136"/>
    </row>
    <row r="31809" spans="1:2" x14ac:dyDescent="0.25">
      <c r="A31809" s="118"/>
      <c r="B31809" s="136"/>
    </row>
    <row r="31810" spans="1:2" x14ac:dyDescent="0.25">
      <c r="A31810" s="118"/>
      <c r="B31810" s="136"/>
    </row>
    <row r="31811" spans="1:2" x14ac:dyDescent="0.25">
      <c r="A31811" s="118"/>
      <c r="B31811" s="136"/>
    </row>
    <row r="31812" spans="1:2" x14ac:dyDescent="0.25">
      <c r="A31812" s="118"/>
      <c r="B31812" s="136"/>
    </row>
    <row r="31813" spans="1:2" x14ac:dyDescent="0.25">
      <c r="A31813" s="118"/>
      <c r="B31813" s="136"/>
    </row>
    <row r="31814" spans="1:2" x14ac:dyDescent="0.25">
      <c r="A31814" s="118"/>
      <c r="B31814" s="136"/>
    </row>
    <row r="31815" spans="1:2" x14ac:dyDescent="0.25">
      <c r="A31815" s="118"/>
      <c r="B31815" s="136"/>
    </row>
    <row r="31816" spans="1:2" x14ac:dyDescent="0.25">
      <c r="A31816" s="118"/>
      <c r="B31816" s="136"/>
    </row>
    <row r="31817" spans="1:2" x14ac:dyDescent="0.25">
      <c r="A31817" s="118"/>
      <c r="B31817" s="136"/>
    </row>
    <row r="31818" spans="1:2" x14ac:dyDescent="0.25">
      <c r="A31818" s="118"/>
      <c r="B31818" s="136"/>
    </row>
    <row r="31819" spans="1:2" x14ac:dyDescent="0.25">
      <c r="A31819" s="118"/>
      <c r="B31819" s="136"/>
    </row>
    <row r="31820" spans="1:2" x14ac:dyDescent="0.25">
      <c r="A31820" s="118"/>
      <c r="B31820" s="136"/>
    </row>
    <row r="31821" spans="1:2" x14ac:dyDescent="0.25">
      <c r="A31821" s="118"/>
      <c r="B31821" s="136"/>
    </row>
    <row r="31822" spans="1:2" x14ac:dyDescent="0.25">
      <c r="A31822" s="118"/>
      <c r="B31822" s="136"/>
    </row>
    <row r="31823" spans="1:2" x14ac:dyDescent="0.25">
      <c r="A31823" s="118"/>
      <c r="B31823" s="136"/>
    </row>
    <row r="31824" spans="1:2" x14ac:dyDescent="0.25">
      <c r="A31824" s="118"/>
      <c r="B31824" s="136"/>
    </row>
    <row r="31825" spans="1:2" x14ac:dyDescent="0.25">
      <c r="A31825" s="118"/>
      <c r="B31825" s="136"/>
    </row>
    <row r="31826" spans="1:2" x14ac:dyDescent="0.25">
      <c r="A31826" s="118"/>
      <c r="B31826" s="136"/>
    </row>
    <row r="31827" spans="1:2" x14ac:dyDescent="0.25">
      <c r="A31827" s="118"/>
      <c r="B31827" s="136"/>
    </row>
    <row r="31828" spans="1:2" x14ac:dyDescent="0.25">
      <c r="A31828" s="118"/>
      <c r="B31828" s="136"/>
    </row>
    <row r="31829" spans="1:2" x14ac:dyDescent="0.25">
      <c r="A31829" s="118"/>
      <c r="B31829" s="136"/>
    </row>
    <row r="31830" spans="1:2" x14ac:dyDescent="0.25">
      <c r="A31830" s="118"/>
      <c r="B31830" s="136"/>
    </row>
    <row r="31831" spans="1:2" x14ac:dyDescent="0.25">
      <c r="A31831" s="118"/>
      <c r="B31831" s="136"/>
    </row>
    <row r="31832" spans="1:2" x14ac:dyDescent="0.25">
      <c r="A31832" s="118"/>
      <c r="B31832" s="136"/>
    </row>
    <row r="31833" spans="1:2" x14ac:dyDescent="0.25">
      <c r="A31833" s="118"/>
      <c r="B31833" s="136"/>
    </row>
    <row r="31834" spans="1:2" x14ac:dyDescent="0.25">
      <c r="A31834" s="118"/>
      <c r="B31834" s="136"/>
    </row>
    <row r="31835" spans="1:2" x14ac:dyDescent="0.25">
      <c r="A31835" s="118"/>
      <c r="B31835" s="136"/>
    </row>
    <row r="31836" spans="1:2" x14ac:dyDescent="0.25">
      <c r="A31836" s="118"/>
      <c r="B31836" s="136"/>
    </row>
    <row r="31837" spans="1:2" x14ac:dyDescent="0.25">
      <c r="A31837" s="118"/>
      <c r="B31837" s="136"/>
    </row>
    <row r="31838" spans="1:2" x14ac:dyDescent="0.25">
      <c r="A31838" s="118"/>
      <c r="B31838" s="136"/>
    </row>
    <row r="31839" spans="1:2" x14ac:dyDescent="0.25">
      <c r="A31839" s="118"/>
      <c r="B31839" s="136"/>
    </row>
    <row r="31840" spans="1:2" x14ac:dyDescent="0.25">
      <c r="A31840" s="118"/>
      <c r="B31840" s="136"/>
    </row>
    <row r="31841" spans="1:2" x14ac:dyDescent="0.25">
      <c r="A31841" s="118"/>
      <c r="B31841" s="136"/>
    </row>
    <row r="31842" spans="1:2" x14ac:dyDescent="0.25">
      <c r="A31842" s="118"/>
      <c r="B31842" s="136"/>
    </row>
    <row r="31843" spans="1:2" x14ac:dyDescent="0.25">
      <c r="A31843" s="118"/>
      <c r="B31843" s="136"/>
    </row>
    <row r="31844" spans="1:2" x14ac:dyDescent="0.25">
      <c r="A31844" s="118"/>
      <c r="B31844" s="136"/>
    </row>
    <row r="31845" spans="1:2" x14ac:dyDescent="0.25">
      <c r="A31845" s="118"/>
      <c r="B31845" s="136"/>
    </row>
    <row r="31846" spans="1:2" x14ac:dyDescent="0.25">
      <c r="A31846" s="118"/>
      <c r="B31846" s="136"/>
    </row>
    <row r="31847" spans="1:2" x14ac:dyDescent="0.25">
      <c r="A31847" s="118"/>
      <c r="B31847" s="136"/>
    </row>
    <row r="31848" spans="1:2" x14ac:dyDescent="0.25">
      <c r="A31848" s="118"/>
      <c r="B31848" s="136"/>
    </row>
    <row r="31849" spans="1:2" x14ac:dyDescent="0.25">
      <c r="A31849" s="118"/>
      <c r="B31849" s="136"/>
    </row>
    <row r="31850" spans="1:2" x14ac:dyDescent="0.25">
      <c r="A31850" s="118"/>
      <c r="B31850" s="136"/>
    </row>
    <row r="31851" spans="1:2" x14ac:dyDescent="0.25">
      <c r="A31851" s="118"/>
      <c r="B31851" s="136"/>
    </row>
    <row r="31852" spans="1:2" x14ac:dyDescent="0.25">
      <c r="A31852" s="118"/>
      <c r="B31852" s="136"/>
    </row>
    <row r="31853" spans="1:2" x14ac:dyDescent="0.25">
      <c r="A31853" s="118"/>
      <c r="B31853" s="136"/>
    </row>
    <row r="31854" spans="1:2" x14ac:dyDescent="0.25">
      <c r="A31854" s="118"/>
      <c r="B31854" s="136"/>
    </row>
    <row r="31855" spans="1:2" x14ac:dyDescent="0.25">
      <c r="A31855" s="118"/>
      <c r="B31855" s="136"/>
    </row>
    <row r="31856" spans="1:2" x14ac:dyDescent="0.25">
      <c r="A31856" s="118"/>
      <c r="B31856" s="136"/>
    </row>
    <row r="31857" spans="1:2" x14ac:dyDescent="0.25">
      <c r="A31857" s="118"/>
      <c r="B31857" s="136"/>
    </row>
    <row r="31858" spans="1:2" x14ac:dyDescent="0.25">
      <c r="A31858" s="118"/>
      <c r="B31858" s="136"/>
    </row>
    <row r="31859" spans="1:2" x14ac:dyDescent="0.25">
      <c r="A31859" s="118"/>
      <c r="B31859" s="136"/>
    </row>
    <row r="31860" spans="1:2" x14ac:dyDescent="0.25">
      <c r="A31860" s="118"/>
      <c r="B31860" s="136"/>
    </row>
    <row r="31861" spans="1:2" x14ac:dyDescent="0.25">
      <c r="A31861" s="118"/>
      <c r="B31861" s="136"/>
    </row>
    <row r="31862" spans="1:2" x14ac:dyDescent="0.25">
      <c r="A31862" s="118"/>
      <c r="B31862" s="136"/>
    </row>
    <row r="31863" spans="1:2" x14ac:dyDescent="0.25">
      <c r="A31863" s="118"/>
      <c r="B31863" s="136"/>
    </row>
    <row r="31864" spans="1:2" x14ac:dyDescent="0.25">
      <c r="A31864" s="118"/>
      <c r="B31864" s="136"/>
    </row>
    <row r="31865" spans="1:2" x14ac:dyDescent="0.25">
      <c r="A31865" s="118"/>
      <c r="B31865" s="136"/>
    </row>
    <row r="31866" spans="1:2" x14ac:dyDescent="0.25">
      <c r="A31866" s="118"/>
      <c r="B31866" s="136"/>
    </row>
    <row r="31867" spans="1:2" x14ac:dyDescent="0.25">
      <c r="A31867" s="118"/>
      <c r="B31867" s="136"/>
    </row>
    <row r="31868" spans="1:2" x14ac:dyDescent="0.25">
      <c r="A31868" s="118"/>
      <c r="B31868" s="136"/>
    </row>
    <row r="31869" spans="1:2" x14ac:dyDescent="0.25">
      <c r="A31869" s="118"/>
      <c r="B31869" s="136"/>
    </row>
    <row r="31870" spans="1:2" x14ac:dyDescent="0.25">
      <c r="A31870" s="118"/>
      <c r="B31870" s="136"/>
    </row>
    <row r="31871" spans="1:2" x14ac:dyDescent="0.25">
      <c r="A31871" s="118"/>
      <c r="B31871" s="136"/>
    </row>
    <row r="31872" spans="1:2" x14ac:dyDescent="0.25">
      <c r="A31872" s="118"/>
      <c r="B31872" s="136"/>
    </row>
    <row r="31873" spans="1:2" x14ac:dyDescent="0.25">
      <c r="A31873" s="118"/>
      <c r="B31873" s="136"/>
    </row>
    <row r="31874" spans="1:2" x14ac:dyDescent="0.25">
      <c r="A31874" s="118"/>
      <c r="B31874" s="136"/>
    </row>
    <row r="31875" spans="1:2" x14ac:dyDescent="0.25">
      <c r="A31875" s="118"/>
      <c r="B31875" s="136"/>
    </row>
    <row r="31876" spans="1:2" x14ac:dyDescent="0.25">
      <c r="A31876" s="118"/>
      <c r="B31876" s="136"/>
    </row>
    <row r="31877" spans="1:2" x14ac:dyDescent="0.25">
      <c r="A31877" s="118"/>
      <c r="B31877" s="136"/>
    </row>
    <row r="31878" spans="1:2" x14ac:dyDescent="0.25">
      <c r="A31878" s="118"/>
      <c r="B31878" s="136"/>
    </row>
    <row r="31879" spans="1:2" x14ac:dyDescent="0.25">
      <c r="A31879" s="118"/>
      <c r="B31879" s="136"/>
    </row>
    <row r="31880" spans="1:2" x14ac:dyDescent="0.25">
      <c r="A31880" s="118"/>
      <c r="B31880" s="136"/>
    </row>
    <row r="31881" spans="1:2" x14ac:dyDescent="0.25">
      <c r="A31881" s="118"/>
      <c r="B31881" s="136"/>
    </row>
    <row r="31882" spans="1:2" x14ac:dyDescent="0.25">
      <c r="A31882" s="118"/>
      <c r="B31882" s="136"/>
    </row>
    <row r="31883" spans="1:2" x14ac:dyDescent="0.25">
      <c r="A31883" s="118"/>
      <c r="B31883" s="136"/>
    </row>
    <row r="31884" spans="1:2" x14ac:dyDescent="0.25">
      <c r="A31884" s="118"/>
      <c r="B31884" s="136"/>
    </row>
    <row r="31885" spans="1:2" x14ac:dyDescent="0.25">
      <c r="A31885" s="118"/>
      <c r="B31885" s="136"/>
    </row>
    <row r="31886" spans="1:2" x14ac:dyDescent="0.25">
      <c r="A31886" s="118"/>
      <c r="B31886" s="136"/>
    </row>
    <row r="31887" spans="1:2" x14ac:dyDescent="0.25">
      <c r="A31887" s="118"/>
      <c r="B31887" s="136"/>
    </row>
    <row r="31888" spans="1:2" x14ac:dyDescent="0.25">
      <c r="A31888" s="118"/>
      <c r="B31888" s="136"/>
    </row>
    <row r="31889" spans="1:2" x14ac:dyDescent="0.25">
      <c r="A31889" s="118"/>
      <c r="B31889" s="136"/>
    </row>
    <row r="31890" spans="1:2" x14ac:dyDescent="0.25">
      <c r="A31890" s="118"/>
      <c r="B31890" s="136"/>
    </row>
    <row r="31891" spans="1:2" x14ac:dyDescent="0.25">
      <c r="A31891" s="118"/>
      <c r="B31891" s="136"/>
    </row>
    <row r="31892" spans="1:2" x14ac:dyDescent="0.25">
      <c r="A31892" s="118"/>
      <c r="B31892" s="136"/>
    </row>
    <row r="31893" spans="1:2" x14ac:dyDescent="0.25">
      <c r="A31893" s="118"/>
      <c r="B31893" s="136"/>
    </row>
    <row r="31894" spans="1:2" x14ac:dyDescent="0.25">
      <c r="A31894" s="118"/>
      <c r="B31894" s="136"/>
    </row>
    <row r="31895" spans="1:2" x14ac:dyDescent="0.25">
      <c r="A31895" s="118"/>
      <c r="B31895" s="136"/>
    </row>
    <row r="31896" spans="1:2" x14ac:dyDescent="0.25">
      <c r="A31896" s="118"/>
      <c r="B31896" s="136"/>
    </row>
    <row r="31897" spans="1:2" x14ac:dyDescent="0.25">
      <c r="A31897" s="118"/>
      <c r="B31897" s="136"/>
    </row>
    <row r="31898" spans="1:2" x14ac:dyDescent="0.25">
      <c r="A31898" s="118"/>
      <c r="B31898" s="136"/>
    </row>
    <row r="31899" spans="1:2" x14ac:dyDescent="0.25">
      <c r="A31899" s="118"/>
      <c r="B31899" s="136"/>
    </row>
    <row r="31900" spans="1:2" x14ac:dyDescent="0.25">
      <c r="A31900" s="118"/>
      <c r="B31900" s="136"/>
    </row>
    <row r="31901" spans="1:2" x14ac:dyDescent="0.25">
      <c r="A31901" s="118"/>
      <c r="B31901" s="136"/>
    </row>
    <row r="31902" spans="1:2" x14ac:dyDescent="0.25">
      <c r="A31902" s="118"/>
      <c r="B31902" s="136"/>
    </row>
    <row r="31903" spans="1:2" x14ac:dyDescent="0.25">
      <c r="A31903" s="118"/>
      <c r="B31903" s="136"/>
    </row>
    <row r="31904" spans="1:2" x14ac:dyDescent="0.25">
      <c r="A31904" s="118"/>
      <c r="B31904" s="136"/>
    </row>
    <row r="31905" spans="1:2" x14ac:dyDescent="0.25">
      <c r="A31905" s="118"/>
      <c r="B31905" s="136"/>
    </row>
    <row r="31906" spans="1:2" x14ac:dyDescent="0.25">
      <c r="A31906" s="118"/>
      <c r="B31906" s="136"/>
    </row>
    <row r="31907" spans="1:2" x14ac:dyDescent="0.25">
      <c r="A31907" s="118"/>
      <c r="B31907" s="136"/>
    </row>
    <row r="31908" spans="1:2" x14ac:dyDescent="0.25">
      <c r="A31908" s="118"/>
      <c r="B31908" s="136"/>
    </row>
    <row r="31909" spans="1:2" x14ac:dyDescent="0.25">
      <c r="A31909" s="118"/>
      <c r="B31909" s="136"/>
    </row>
    <row r="31910" spans="1:2" x14ac:dyDescent="0.25">
      <c r="A31910" s="118"/>
      <c r="B31910" s="136"/>
    </row>
    <row r="31911" spans="1:2" x14ac:dyDescent="0.25">
      <c r="A31911" s="118"/>
      <c r="B31911" s="136"/>
    </row>
    <row r="31912" spans="1:2" x14ac:dyDescent="0.25">
      <c r="A31912" s="118"/>
      <c r="B31912" s="136"/>
    </row>
    <row r="31913" spans="1:2" x14ac:dyDescent="0.25">
      <c r="A31913" s="118"/>
      <c r="B31913" s="136"/>
    </row>
    <row r="31914" spans="1:2" x14ac:dyDescent="0.25">
      <c r="A31914" s="118"/>
      <c r="B31914" s="136"/>
    </row>
    <row r="31915" spans="1:2" x14ac:dyDescent="0.25">
      <c r="A31915" s="118"/>
      <c r="B31915" s="136"/>
    </row>
    <row r="31916" spans="1:2" x14ac:dyDescent="0.25">
      <c r="A31916" s="118"/>
      <c r="B31916" s="136"/>
    </row>
    <row r="31917" spans="1:2" x14ac:dyDescent="0.25">
      <c r="A31917" s="118"/>
      <c r="B31917" s="136"/>
    </row>
    <row r="31918" spans="1:2" x14ac:dyDescent="0.25">
      <c r="A31918" s="118"/>
      <c r="B31918" s="136"/>
    </row>
    <row r="31919" spans="1:2" x14ac:dyDescent="0.25">
      <c r="A31919" s="118"/>
      <c r="B31919" s="136"/>
    </row>
    <row r="31920" spans="1:2" x14ac:dyDescent="0.25">
      <c r="A31920" s="118"/>
      <c r="B31920" s="136"/>
    </row>
    <row r="31921" spans="1:2" x14ac:dyDescent="0.25">
      <c r="A31921" s="118"/>
      <c r="B31921" s="136"/>
    </row>
    <row r="31922" spans="1:2" x14ac:dyDescent="0.25">
      <c r="A31922" s="118"/>
      <c r="B31922" s="136"/>
    </row>
    <row r="31923" spans="1:2" x14ac:dyDescent="0.25">
      <c r="A31923" s="118"/>
      <c r="B31923" s="136"/>
    </row>
    <row r="31924" spans="1:2" x14ac:dyDescent="0.25">
      <c r="A31924" s="118"/>
      <c r="B31924" s="136"/>
    </row>
    <row r="31925" spans="1:2" x14ac:dyDescent="0.25">
      <c r="A31925" s="118"/>
      <c r="B31925" s="136"/>
    </row>
    <row r="31926" spans="1:2" x14ac:dyDescent="0.25">
      <c r="A31926" s="118"/>
      <c r="B31926" s="136"/>
    </row>
    <row r="31927" spans="1:2" x14ac:dyDescent="0.25">
      <c r="A31927" s="118"/>
      <c r="B31927" s="136"/>
    </row>
    <row r="31928" spans="1:2" x14ac:dyDescent="0.25">
      <c r="A31928" s="118"/>
      <c r="B31928" s="136"/>
    </row>
    <row r="31929" spans="1:2" x14ac:dyDescent="0.25">
      <c r="A31929" s="118"/>
      <c r="B31929" s="136"/>
    </row>
    <row r="31930" spans="1:2" x14ac:dyDescent="0.25">
      <c r="A31930" s="118"/>
      <c r="B31930" s="136"/>
    </row>
    <row r="31931" spans="1:2" x14ac:dyDescent="0.25">
      <c r="A31931" s="118"/>
      <c r="B31931" s="136"/>
    </row>
    <row r="31932" spans="1:2" x14ac:dyDescent="0.25">
      <c r="A31932" s="118"/>
      <c r="B31932" s="136"/>
    </row>
    <row r="31933" spans="1:2" x14ac:dyDescent="0.25">
      <c r="A31933" s="118"/>
      <c r="B31933" s="136"/>
    </row>
    <row r="31934" spans="1:2" x14ac:dyDescent="0.25">
      <c r="A31934" s="118"/>
      <c r="B31934" s="136"/>
    </row>
    <row r="31935" spans="1:2" x14ac:dyDescent="0.25">
      <c r="A31935" s="118"/>
      <c r="B31935" s="136"/>
    </row>
    <row r="31936" spans="1:2" x14ac:dyDescent="0.25">
      <c r="A31936" s="118"/>
      <c r="B31936" s="136"/>
    </row>
    <row r="31937" spans="1:2" x14ac:dyDescent="0.25">
      <c r="A31937" s="118"/>
      <c r="B31937" s="136"/>
    </row>
    <row r="31938" spans="1:2" x14ac:dyDescent="0.25">
      <c r="A31938" s="118"/>
      <c r="B31938" s="136"/>
    </row>
    <row r="31939" spans="1:2" x14ac:dyDescent="0.25">
      <c r="A31939" s="118"/>
      <c r="B31939" s="136"/>
    </row>
    <row r="31940" spans="1:2" x14ac:dyDescent="0.25">
      <c r="A31940" s="118"/>
      <c r="B31940" s="136"/>
    </row>
    <row r="31941" spans="1:2" x14ac:dyDescent="0.25">
      <c r="A31941" s="118"/>
      <c r="B31941" s="136"/>
    </row>
    <row r="31942" spans="1:2" x14ac:dyDescent="0.25">
      <c r="A31942" s="118"/>
      <c r="B31942" s="136"/>
    </row>
    <row r="31943" spans="1:2" x14ac:dyDescent="0.25">
      <c r="A31943" s="118"/>
      <c r="B31943" s="136"/>
    </row>
    <row r="31944" spans="1:2" x14ac:dyDescent="0.25">
      <c r="A31944" s="118"/>
      <c r="B31944" s="136"/>
    </row>
    <row r="31945" spans="1:2" x14ac:dyDescent="0.25">
      <c r="A31945" s="118"/>
      <c r="B31945" s="136"/>
    </row>
    <row r="31946" spans="1:2" x14ac:dyDescent="0.25">
      <c r="A31946" s="118"/>
      <c r="B31946" s="136"/>
    </row>
    <row r="31947" spans="1:2" x14ac:dyDescent="0.25">
      <c r="A31947" s="118"/>
      <c r="B31947" s="136"/>
    </row>
    <row r="31948" spans="1:2" x14ac:dyDescent="0.25">
      <c r="A31948" s="118"/>
      <c r="B31948" s="136"/>
    </row>
    <row r="31949" spans="1:2" x14ac:dyDescent="0.25">
      <c r="A31949" s="118"/>
      <c r="B31949" s="136"/>
    </row>
    <row r="31950" spans="1:2" x14ac:dyDescent="0.25">
      <c r="A31950" s="118"/>
      <c r="B31950" s="136"/>
    </row>
    <row r="31951" spans="1:2" x14ac:dyDescent="0.25">
      <c r="A31951" s="118"/>
      <c r="B31951" s="136"/>
    </row>
    <row r="31952" spans="1:2" x14ac:dyDescent="0.25">
      <c r="A31952" s="118"/>
      <c r="B31952" s="136"/>
    </row>
    <row r="31953" spans="1:2" x14ac:dyDescent="0.25">
      <c r="A31953" s="118"/>
      <c r="B31953" s="136"/>
    </row>
    <row r="31954" spans="1:2" x14ac:dyDescent="0.25">
      <c r="A31954" s="118"/>
      <c r="B31954" s="136"/>
    </row>
    <row r="31955" spans="1:2" x14ac:dyDescent="0.25">
      <c r="A31955" s="118"/>
      <c r="B31955" s="136"/>
    </row>
    <row r="31956" spans="1:2" x14ac:dyDescent="0.25">
      <c r="A31956" s="118"/>
      <c r="B31956" s="136"/>
    </row>
    <row r="31957" spans="1:2" x14ac:dyDescent="0.25">
      <c r="A31957" s="118"/>
      <c r="B31957" s="136"/>
    </row>
    <row r="31958" spans="1:2" x14ac:dyDescent="0.25">
      <c r="A31958" s="118"/>
      <c r="B31958" s="136"/>
    </row>
    <row r="31959" spans="1:2" x14ac:dyDescent="0.25">
      <c r="A31959" s="118"/>
      <c r="B31959" s="136"/>
    </row>
    <row r="31960" spans="1:2" x14ac:dyDescent="0.25">
      <c r="A31960" s="118"/>
      <c r="B31960" s="136"/>
    </row>
    <row r="31961" spans="1:2" x14ac:dyDescent="0.25">
      <c r="A31961" s="118"/>
      <c r="B31961" s="136"/>
    </row>
    <row r="31962" spans="1:2" x14ac:dyDescent="0.25">
      <c r="A31962" s="118"/>
      <c r="B31962" s="136"/>
    </row>
    <row r="31963" spans="1:2" x14ac:dyDescent="0.25">
      <c r="A31963" s="118"/>
      <c r="B31963" s="136"/>
    </row>
    <row r="31964" spans="1:2" x14ac:dyDescent="0.25">
      <c r="A31964" s="118"/>
      <c r="B31964" s="136"/>
    </row>
    <row r="31965" spans="1:2" x14ac:dyDescent="0.25">
      <c r="A31965" s="118"/>
      <c r="B31965" s="136"/>
    </row>
    <row r="31966" spans="1:2" x14ac:dyDescent="0.25">
      <c r="A31966" s="118"/>
      <c r="B31966" s="136"/>
    </row>
    <row r="31967" spans="1:2" x14ac:dyDescent="0.25">
      <c r="A31967" s="118"/>
      <c r="B31967" s="136"/>
    </row>
    <row r="31968" spans="1:2" x14ac:dyDescent="0.25">
      <c r="A31968" s="118"/>
      <c r="B31968" s="136"/>
    </row>
    <row r="31969" spans="1:2" x14ac:dyDescent="0.25">
      <c r="A31969" s="118"/>
      <c r="B31969" s="136"/>
    </row>
    <row r="31970" spans="1:2" x14ac:dyDescent="0.25">
      <c r="A31970" s="118"/>
      <c r="B31970" s="136"/>
    </row>
    <row r="31971" spans="1:2" x14ac:dyDescent="0.25">
      <c r="A31971" s="118"/>
      <c r="B31971" s="136"/>
    </row>
    <row r="31972" spans="1:2" x14ac:dyDescent="0.25">
      <c r="A31972" s="118"/>
      <c r="B31972" s="136"/>
    </row>
    <row r="31973" spans="1:2" x14ac:dyDescent="0.25">
      <c r="A31973" s="118"/>
      <c r="B31973" s="136"/>
    </row>
    <row r="31974" spans="1:2" x14ac:dyDescent="0.25">
      <c r="A31974" s="118"/>
      <c r="B31974" s="136"/>
    </row>
    <row r="31975" spans="1:2" x14ac:dyDescent="0.25">
      <c r="A31975" s="118"/>
      <c r="B31975" s="136"/>
    </row>
    <row r="31976" spans="1:2" x14ac:dyDescent="0.25">
      <c r="A31976" s="118"/>
      <c r="B31976" s="136"/>
    </row>
    <row r="31977" spans="1:2" x14ac:dyDescent="0.25">
      <c r="A31977" s="118"/>
      <c r="B31977" s="136"/>
    </row>
    <row r="31978" spans="1:2" x14ac:dyDescent="0.25">
      <c r="A31978" s="118"/>
      <c r="B31978" s="136"/>
    </row>
    <row r="31979" spans="1:2" x14ac:dyDescent="0.25">
      <c r="A31979" s="118"/>
      <c r="B31979" s="136"/>
    </row>
    <row r="31980" spans="1:2" x14ac:dyDescent="0.25">
      <c r="A31980" s="118"/>
      <c r="B31980" s="136"/>
    </row>
    <row r="31981" spans="1:2" x14ac:dyDescent="0.25">
      <c r="A31981" s="118"/>
      <c r="B31981" s="136"/>
    </row>
    <row r="31982" spans="1:2" x14ac:dyDescent="0.25">
      <c r="A31982" s="118"/>
      <c r="B31982" s="136"/>
    </row>
    <row r="31983" spans="1:2" x14ac:dyDescent="0.25">
      <c r="A31983" s="118"/>
      <c r="B31983" s="136"/>
    </row>
    <row r="31984" spans="1:2" x14ac:dyDescent="0.25">
      <c r="A31984" s="118"/>
      <c r="B31984" s="136"/>
    </row>
    <row r="31985" spans="1:2" x14ac:dyDescent="0.25">
      <c r="A31985" s="118"/>
      <c r="B31985" s="136"/>
    </row>
    <row r="31986" spans="1:2" x14ac:dyDescent="0.25">
      <c r="A31986" s="118"/>
      <c r="B31986" s="136"/>
    </row>
    <row r="31987" spans="1:2" x14ac:dyDescent="0.25">
      <c r="A31987" s="118"/>
      <c r="B31987" s="136"/>
    </row>
    <row r="31988" spans="1:2" x14ac:dyDescent="0.25">
      <c r="A31988" s="118"/>
      <c r="B31988" s="136"/>
    </row>
    <row r="31989" spans="1:2" x14ac:dyDescent="0.25">
      <c r="A31989" s="118"/>
      <c r="B31989" s="136"/>
    </row>
    <row r="31990" spans="1:2" x14ac:dyDescent="0.25">
      <c r="A31990" s="118"/>
      <c r="B31990" s="136"/>
    </row>
    <row r="31991" spans="1:2" x14ac:dyDescent="0.25">
      <c r="A31991" s="118"/>
      <c r="B31991" s="136"/>
    </row>
    <row r="31992" spans="1:2" x14ac:dyDescent="0.25">
      <c r="A31992" s="118"/>
      <c r="B31992" s="136"/>
    </row>
    <row r="31993" spans="1:2" x14ac:dyDescent="0.25">
      <c r="A31993" s="118"/>
      <c r="B31993" s="136"/>
    </row>
    <row r="31994" spans="1:2" x14ac:dyDescent="0.25">
      <c r="A31994" s="118"/>
      <c r="B31994" s="136"/>
    </row>
    <row r="31995" spans="1:2" x14ac:dyDescent="0.25">
      <c r="A31995" s="118"/>
      <c r="B31995" s="136"/>
    </row>
    <row r="31996" spans="1:2" x14ac:dyDescent="0.25">
      <c r="A31996" s="118"/>
      <c r="B31996" s="136"/>
    </row>
    <row r="31997" spans="1:2" x14ac:dyDescent="0.25">
      <c r="A31997" s="118"/>
      <c r="B31997" s="136"/>
    </row>
    <row r="31998" spans="1:2" x14ac:dyDescent="0.25">
      <c r="A31998" s="118"/>
      <c r="B31998" s="136"/>
    </row>
    <row r="31999" spans="1:2" x14ac:dyDescent="0.25">
      <c r="A31999" s="118"/>
      <c r="B31999" s="136"/>
    </row>
    <row r="32000" spans="1:2" x14ac:dyDescent="0.25">
      <c r="A32000" s="118"/>
      <c r="B32000" s="136"/>
    </row>
    <row r="32001" spans="1:2" x14ac:dyDescent="0.25">
      <c r="A32001" s="118"/>
      <c r="B32001" s="136"/>
    </row>
    <row r="32002" spans="1:2" x14ac:dyDescent="0.25">
      <c r="A32002" s="118"/>
      <c r="B32002" s="136"/>
    </row>
    <row r="32003" spans="1:2" x14ac:dyDescent="0.25">
      <c r="A32003" s="118"/>
      <c r="B32003" s="136"/>
    </row>
    <row r="32004" spans="1:2" x14ac:dyDescent="0.25">
      <c r="A32004" s="118"/>
      <c r="B32004" s="136"/>
    </row>
    <row r="32005" spans="1:2" x14ac:dyDescent="0.25">
      <c r="A32005" s="118"/>
      <c r="B32005" s="136"/>
    </row>
    <row r="32006" spans="1:2" x14ac:dyDescent="0.25">
      <c r="A32006" s="118"/>
      <c r="B32006" s="136"/>
    </row>
    <row r="32007" spans="1:2" x14ac:dyDescent="0.25">
      <c r="A32007" s="118"/>
      <c r="B32007" s="136"/>
    </row>
    <row r="32008" spans="1:2" x14ac:dyDescent="0.25">
      <c r="A32008" s="118"/>
      <c r="B32008" s="136"/>
    </row>
    <row r="32009" spans="1:2" x14ac:dyDescent="0.25">
      <c r="A32009" s="118"/>
      <c r="B32009" s="136"/>
    </row>
    <row r="32010" spans="1:2" x14ac:dyDescent="0.25">
      <c r="A32010" s="118"/>
      <c r="B32010" s="136"/>
    </row>
    <row r="32011" spans="1:2" x14ac:dyDescent="0.25">
      <c r="A32011" s="118"/>
      <c r="B32011" s="136"/>
    </row>
    <row r="32012" spans="1:2" x14ac:dyDescent="0.25">
      <c r="A32012" s="118"/>
      <c r="B32012" s="136"/>
    </row>
    <row r="32013" spans="1:2" x14ac:dyDescent="0.25">
      <c r="A32013" s="118"/>
      <c r="B32013" s="136"/>
    </row>
    <row r="32014" spans="1:2" x14ac:dyDescent="0.25">
      <c r="A32014" s="118"/>
      <c r="B32014" s="136"/>
    </row>
    <row r="32015" spans="1:2" x14ac:dyDescent="0.25">
      <c r="A32015" s="118"/>
      <c r="B32015" s="136"/>
    </row>
    <row r="32016" spans="1:2" x14ac:dyDescent="0.25">
      <c r="A32016" s="118"/>
      <c r="B32016" s="136"/>
    </row>
    <row r="32017" spans="1:2" x14ac:dyDescent="0.25">
      <c r="A32017" s="118"/>
      <c r="B32017" s="136"/>
    </row>
    <row r="32018" spans="1:2" x14ac:dyDescent="0.25">
      <c r="A32018" s="118"/>
      <c r="B32018" s="136"/>
    </row>
    <row r="32019" spans="1:2" x14ac:dyDescent="0.25">
      <c r="A32019" s="118"/>
      <c r="B32019" s="136"/>
    </row>
    <row r="32020" spans="1:2" x14ac:dyDescent="0.25">
      <c r="A32020" s="118"/>
      <c r="B32020" s="136"/>
    </row>
    <row r="32021" spans="1:2" x14ac:dyDescent="0.25">
      <c r="A32021" s="118"/>
      <c r="B32021" s="136"/>
    </row>
    <row r="32022" spans="1:2" x14ac:dyDescent="0.25">
      <c r="A32022" s="118"/>
      <c r="B32022" s="136"/>
    </row>
    <row r="32023" spans="1:2" x14ac:dyDescent="0.25">
      <c r="A32023" s="118"/>
      <c r="B32023" s="136"/>
    </row>
    <row r="32024" spans="1:2" x14ac:dyDescent="0.25">
      <c r="A32024" s="118"/>
      <c r="B32024" s="136"/>
    </row>
    <row r="32025" spans="1:2" x14ac:dyDescent="0.25">
      <c r="A32025" s="118"/>
      <c r="B32025" s="136"/>
    </row>
    <row r="32026" spans="1:2" x14ac:dyDescent="0.25">
      <c r="A32026" s="118"/>
      <c r="B32026" s="136"/>
    </row>
    <row r="32027" spans="1:2" x14ac:dyDescent="0.25">
      <c r="A32027" s="118"/>
      <c r="B32027" s="136"/>
    </row>
    <row r="32028" spans="1:2" x14ac:dyDescent="0.25">
      <c r="A32028" s="118"/>
      <c r="B32028" s="136"/>
    </row>
    <row r="32029" spans="1:2" x14ac:dyDescent="0.25">
      <c r="A32029" s="118"/>
      <c r="B32029" s="136"/>
    </row>
    <row r="32030" spans="1:2" x14ac:dyDescent="0.25">
      <c r="A32030" s="118"/>
      <c r="B32030" s="136"/>
    </row>
    <row r="32031" spans="1:2" x14ac:dyDescent="0.25">
      <c r="A32031" s="118"/>
      <c r="B32031" s="136"/>
    </row>
    <row r="32032" spans="1:2" x14ac:dyDescent="0.25">
      <c r="A32032" s="118"/>
      <c r="B32032" s="136"/>
    </row>
    <row r="32033" spans="1:2" x14ac:dyDescent="0.25">
      <c r="A32033" s="118"/>
      <c r="B32033" s="136"/>
    </row>
    <row r="32034" spans="1:2" x14ac:dyDescent="0.25">
      <c r="A32034" s="118"/>
      <c r="B32034" s="136"/>
    </row>
    <row r="32035" spans="1:2" x14ac:dyDescent="0.25">
      <c r="A32035" s="118"/>
      <c r="B32035" s="136"/>
    </row>
    <row r="32036" spans="1:2" x14ac:dyDescent="0.25">
      <c r="A32036" s="118"/>
      <c r="B32036" s="136"/>
    </row>
    <row r="32037" spans="1:2" x14ac:dyDescent="0.25">
      <c r="A32037" s="118"/>
      <c r="B32037" s="136"/>
    </row>
    <row r="32038" spans="1:2" x14ac:dyDescent="0.25">
      <c r="A32038" s="118"/>
      <c r="B32038" s="136"/>
    </row>
    <row r="32039" spans="1:2" x14ac:dyDescent="0.25">
      <c r="A32039" s="118"/>
      <c r="B32039" s="136"/>
    </row>
    <row r="32040" spans="1:2" x14ac:dyDescent="0.25">
      <c r="A32040" s="118"/>
      <c r="B32040" s="136"/>
    </row>
    <row r="32041" spans="1:2" x14ac:dyDescent="0.25">
      <c r="A32041" s="118"/>
      <c r="B32041" s="136"/>
    </row>
    <row r="32042" spans="1:2" x14ac:dyDescent="0.25">
      <c r="A32042" s="118"/>
      <c r="B32042" s="136"/>
    </row>
    <row r="32043" spans="1:2" x14ac:dyDescent="0.25">
      <c r="A32043" s="118"/>
      <c r="B32043" s="136"/>
    </row>
    <row r="32044" spans="1:2" x14ac:dyDescent="0.25">
      <c r="A32044" s="118"/>
      <c r="B32044" s="136"/>
    </row>
    <row r="32045" spans="1:2" x14ac:dyDescent="0.25">
      <c r="A32045" s="118"/>
      <c r="B32045" s="136"/>
    </row>
    <row r="32046" spans="1:2" x14ac:dyDescent="0.25">
      <c r="A32046" s="118"/>
      <c r="B32046" s="136"/>
    </row>
    <row r="32047" spans="1:2" x14ac:dyDescent="0.25">
      <c r="A32047" s="118"/>
      <c r="B32047" s="136"/>
    </row>
    <row r="32048" spans="1:2" x14ac:dyDescent="0.25">
      <c r="A32048" s="118"/>
      <c r="B32048" s="136"/>
    </row>
    <row r="32049" spans="1:2" x14ac:dyDescent="0.25">
      <c r="A32049" s="118"/>
      <c r="B32049" s="136"/>
    </row>
    <row r="32050" spans="1:2" x14ac:dyDescent="0.25">
      <c r="A32050" s="118"/>
      <c r="B32050" s="136"/>
    </row>
    <row r="32051" spans="1:2" x14ac:dyDescent="0.25">
      <c r="A32051" s="118"/>
      <c r="B32051" s="136"/>
    </row>
    <row r="32052" spans="1:2" x14ac:dyDescent="0.25">
      <c r="A32052" s="118"/>
      <c r="B32052" s="136"/>
    </row>
    <row r="32053" spans="1:2" x14ac:dyDescent="0.25">
      <c r="A32053" s="118"/>
      <c r="B32053" s="136"/>
    </row>
    <row r="32054" spans="1:2" x14ac:dyDescent="0.25">
      <c r="A32054" s="118"/>
      <c r="B32054" s="136"/>
    </row>
    <row r="32055" spans="1:2" x14ac:dyDescent="0.25">
      <c r="A32055" s="118"/>
      <c r="B32055" s="136"/>
    </row>
    <row r="32056" spans="1:2" x14ac:dyDescent="0.25">
      <c r="A32056" s="118"/>
      <c r="B32056" s="136"/>
    </row>
    <row r="32057" spans="1:2" x14ac:dyDescent="0.25">
      <c r="A32057" s="118"/>
      <c r="B32057" s="136"/>
    </row>
    <row r="32058" spans="1:2" x14ac:dyDescent="0.25">
      <c r="A32058" s="118"/>
      <c r="B32058" s="136"/>
    </row>
    <row r="32059" spans="1:2" x14ac:dyDescent="0.25">
      <c r="A32059" s="118"/>
      <c r="B32059" s="136"/>
    </row>
    <row r="32060" spans="1:2" x14ac:dyDescent="0.25">
      <c r="A32060" s="118"/>
      <c r="B32060" s="136"/>
    </row>
    <row r="32061" spans="1:2" x14ac:dyDescent="0.25">
      <c r="A32061" s="118"/>
      <c r="B32061" s="136"/>
    </row>
    <row r="32062" spans="1:2" x14ac:dyDescent="0.25">
      <c r="A32062" s="118"/>
      <c r="B32062" s="136"/>
    </row>
    <row r="32063" spans="1:2" x14ac:dyDescent="0.25">
      <c r="A32063" s="118"/>
      <c r="B32063" s="136"/>
    </row>
    <row r="32064" spans="1:2" x14ac:dyDescent="0.25">
      <c r="A32064" s="118"/>
      <c r="B32064" s="136"/>
    </row>
    <row r="32065" spans="1:2" x14ac:dyDescent="0.25">
      <c r="A32065" s="118"/>
      <c r="B32065" s="136"/>
    </row>
    <row r="32066" spans="1:2" x14ac:dyDescent="0.25">
      <c r="A32066" s="118"/>
      <c r="B32066" s="136"/>
    </row>
    <row r="32067" spans="1:2" x14ac:dyDescent="0.25">
      <c r="A32067" s="118"/>
      <c r="B32067" s="136"/>
    </row>
    <row r="32068" spans="1:2" x14ac:dyDescent="0.25">
      <c r="A32068" s="118"/>
      <c r="B32068" s="136"/>
    </row>
    <row r="32069" spans="1:2" x14ac:dyDescent="0.25">
      <c r="A32069" s="118"/>
      <c r="B32069" s="136"/>
    </row>
    <row r="32070" spans="1:2" x14ac:dyDescent="0.25">
      <c r="A32070" s="118"/>
      <c r="B32070" s="136"/>
    </row>
    <row r="32071" spans="1:2" x14ac:dyDescent="0.25">
      <c r="A32071" s="118"/>
      <c r="B32071" s="136"/>
    </row>
    <row r="32072" spans="1:2" x14ac:dyDescent="0.25">
      <c r="A32072" s="118"/>
      <c r="B32072" s="136"/>
    </row>
    <row r="32073" spans="1:2" x14ac:dyDescent="0.25">
      <c r="A32073" s="118"/>
      <c r="B32073" s="136"/>
    </row>
    <row r="32074" spans="1:2" x14ac:dyDescent="0.25">
      <c r="A32074" s="118"/>
      <c r="B32074" s="136"/>
    </row>
    <row r="32075" spans="1:2" x14ac:dyDescent="0.25">
      <c r="A32075" s="118"/>
      <c r="B32075" s="136"/>
    </row>
    <row r="32076" spans="1:2" x14ac:dyDescent="0.25">
      <c r="A32076" s="118"/>
      <c r="B32076" s="136"/>
    </row>
    <row r="32077" spans="1:2" x14ac:dyDescent="0.25">
      <c r="A32077" s="118"/>
      <c r="B32077" s="136"/>
    </row>
    <row r="32078" spans="1:2" x14ac:dyDescent="0.25">
      <c r="A32078" s="118"/>
      <c r="B32078" s="136"/>
    </row>
    <row r="32079" spans="1:2" x14ac:dyDescent="0.25">
      <c r="A32079" s="118"/>
      <c r="B32079" s="136"/>
    </row>
    <row r="32080" spans="1:2" x14ac:dyDescent="0.25">
      <c r="A32080" s="118"/>
      <c r="B32080" s="136"/>
    </row>
    <row r="32081" spans="1:2" x14ac:dyDescent="0.25">
      <c r="A32081" s="118"/>
      <c r="B32081" s="136"/>
    </row>
    <row r="32082" spans="1:2" x14ac:dyDescent="0.25">
      <c r="A32082" s="118"/>
      <c r="B32082" s="136"/>
    </row>
    <row r="32083" spans="1:2" x14ac:dyDescent="0.25">
      <c r="A32083" s="118"/>
      <c r="B32083" s="136"/>
    </row>
    <row r="32084" spans="1:2" x14ac:dyDescent="0.25">
      <c r="A32084" s="118"/>
      <c r="B32084" s="136"/>
    </row>
    <row r="32085" spans="1:2" x14ac:dyDescent="0.25">
      <c r="A32085" s="118"/>
      <c r="B32085" s="136"/>
    </row>
    <row r="32086" spans="1:2" x14ac:dyDescent="0.25">
      <c r="A32086" s="118"/>
      <c r="B32086" s="136"/>
    </row>
    <row r="32087" spans="1:2" x14ac:dyDescent="0.25">
      <c r="A32087" s="118"/>
      <c r="B32087" s="136"/>
    </row>
    <row r="32088" spans="1:2" x14ac:dyDescent="0.25">
      <c r="A32088" s="118"/>
      <c r="B32088" s="136"/>
    </row>
    <row r="32089" spans="1:2" x14ac:dyDescent="0.25">
      <c r="A32089" s="118"/>
      <c r="B32089" s="136"/>
    </row>
    <row r="32090" spans="1:2" x14ac:dyDescent="0.25">
      <c r="A32090" s="118"/>
      <c r="B32090" s="136"/>
    </row>
    <row r="32091" spans="1:2" x14ac:dyDescent="0.25">
      <c r="A32091" s="118"/>
      <c r="B32091" s="136"/>
    </row>
    <row r="32092" spans="1:2" x14ac:dyDescent="0.25">
      <c r="A32092" s="118"/>
      <c r="B32092" s="136"/>
    </row>
    <row r="32093" spans="1:2" x14ac:dyDescent="0.25">
      <c r="A32093" s="118"/>
      <c r="B32093" s="136"/>
    </row>
    <row r="32094" spans="1:2" x14ac:dyDescent="0.25">
      <c r="A32094" s="118"/>
      <c r="B32094" s="136"/>
    </row>
    <row r="32095" spans="1:2" x14ac:dyDescent="0.25">
      <c r="A32095" s="118"/>
      <c r="B32095" s="136"/>
    </row>
    <row r="32096" spans="1:2" x14ac:dyDescent="0.25">
      <c r="A32096" s="118"/>
      <c r="B32096" s="136"/>
    </row>
    <row r="32097" spans="1:2" x14ac:dyDescent="0.25">
      <c r="A32097" s="118"/>
      <c r="B32097" s="136"/>
    </row>
    <row r="32098" spans="1:2" x14ac:dyDescent="0.25">
      <c r="A32098" s="118"/>
      <c r="B32098" s="136"/>
    </row>
    <row r="32099" spans="1:2" x14ac:dyDescent="0.25">
      <c r="A32099" s="118"/>
      <c r="B32099" s="136"/>
    </row>
    <row r="32100" spans="1:2" x14ac:dyDescent="0.25">
      <c r="A32100" s="118"/>
      <c r="B32100" s="136"/>
    </row>
    <row r="32101" spans="1:2" x14ac:dyDescent="0.25">
      <c r="A32101" s="118"/>
      <c r="B32101" s="136"/>
    </row>
    <row r="32102" spans="1:2" x14ac:dyDescent="0.25">
      <c r="A32102" s="118"/>
      <c r="B32102" s="136"/>
    </row>
    <row r="32103" spans="1:2" x14ac:dyDescent="0.25">
      <c r="A32103" s="118"/>
      <c r="B32103" s="136"/>
    </row>
    <row r="32104" spans="1:2" x14ac:dyDescent="0.25">
      <c r="A32104" s="118"/>
      <c r="B32104" s="136"/>
    </row>
    <row r="32105" spans="1:2" x14ac:dyDescent="0.25">
      <c r="A32105" s="118"/>
      <c r="B32105" s="136"/>
    </row>
    <row r="32106" spans="1:2" x14ac:dyDescent="0.25">
      <c r="A32106" s="118"/>
      <c r="B32106" s="136"/>
    </row>
    <row r="32107" spans="1:2" x14ac:dyDescent="0.25">
      <c r="A32107" s="118"/>
      <c r="B32107" s="136"/>
    </row>
    <row r="32108" spans="1:2" x14ac:dyDescent="0.25">
      <c r="A32108" s="118"/>
      <c r="B32108" s="136"/>
    </row>
    <row r="32109" spans="1:2" x14ac:dyDescent="0.25">
      <c r="A32109" s="118"/>
      <c r="B32109" s="136"/>
    </row>
    <row r="32110" spans="1:2" x14ac:dyDescent="0.25">
      <c r="A32110" s="118"/>
      <c r="B32110" s="136"/>
    </row>
    <row r="32111" spans="1:2" x14ac:dyDescent="0.25">
      <c r="A32111" s="118"/>
      <c r="B32111" s="136"/>
    </row>
    <row r="32112" spans="1:2" x14ac:dyDescent="0.25">
      <c r="A32112" s="118"/>
      <c r="B32112" s="136"/>
    </row>
    <row r="32113" spans="1:2" x14ac:dyDescent="0.25">
      <c r="A32113" s="118"/>
      <c r="B32113" s="136"/>
    </row>
    <row r="32114" spans="1:2" x14ac:dyDescent="0.25">
      <c r="A32114" s="118"/>
      <c r="B32114" s="136"/>
    </row>
    <row r="32115" spans="1:2" x14ac:dyDescent="0.25">
      <c r="A32115" s="118"/>
      <c r="B32115" s="136"/>
    </row>
    <row r="32116" spans="1:2" x14ac:dyDescent="0.25">
      <c r="A32116" s="118"/>
      <c r="B32116" s="136"/>
    </row>
    <row r="32117" spans="1:2" x14ac:dyDescent="0.25">
      <c r="A32117" s="118"/>
      <c r="B32117" s="136"/>
    </row>
    <row r="32118" spans="1:2" x14ac:dyDescent="0.25">
      <c r="A32118" s="118"/>
      <c r="B32118" s="136"/>
    </row>
    <row r="32119" spans="1:2" x14ac:dyDescent="0.25">
      <c r="A32119" s="118"/>
      <c r="B32119" s="136"/>
    </row>
    <row r="32120" spans="1:2" x14ac:dyDescent="0.25">
      <c r="A32120" s="118"/>
      <c r="B32120" s="136"/>
    </row>
    <row r="32121" spans="1:2" x14ac:dyDescent="0.25">
      <c r="A32121" s="118"/>
      <c r="B32121" s="136"/>
    </row>
    <row r="32122" spans="1:2" x14ac:dyDescent="0.25">
      <c r="A32122" s="118"/>
      <c r="B32122" s="136"/>
    </row>
    <row r="32123" spans="1:2" x14ac:dyDescent="0.25">
      <c r="A32123" s="118"/>
      <c r="B32123" s="136"/>
    </row>
    <row r="32124" spans="1:2" x14ac:dyDescent="0.25">
      <c r="A32124" s="118"/>
      <c r="B32124" s="136"/>
    </row>
    <row r="32125" spans="1:2" x14ac:dyDescent="0.25">
      <c r="A32125" s="118"/>
      <c r="B32125" s="136"/>
    </row>
    <row r="32126" spans="1:2" x14ac:dyDescent="0.25">
      <c r="A32126" s="118"/>
      <c r="B32126" s="136"/>
    </row>
    <row r="32127" spans="1:2" x14ac:dyDescent="0.25">
      <c r="A32127" s="118"/>
      <c r="B32127" s="136"/>
    </row>
    <row r="32128" spans="1:2" x14ac:dyDescent="0.25">
      <c r="A32128" s="118"/>
      <c r="B32128" s="136"/>
    </row>
    <row r="32129" spans="1:2" x14ac:dyDescent="0.25">
      <c r="A32129" s="118"/>
      <c r="B32129" s="136"/>
    </row>
    <row r="32130" spans="1:2" x14ac:dyDescent="0.25">
      <c r="A32130" s="118"/>
      <c r="B32130" s="136"/>
    </row>
    <row r="32131" spans="1:2" x14ac:dyDescent="0.25">
      <c r="A32131" s="118"/>
      <c r="B32131" s="136"/>
    </row>
    <row r="32132" spans="1:2" x14ac:dyDescent="0.25">
      <c r="A32132" s="118"/>
      <c r="B32132" s="136"/>
    </row>
    <row r="32133" spans="1:2" x14ac:dyDescent="0.25">
      <c r="A32133" s="118"/>
      <c r="B32133" s="136"/>
    </row>
    <row r="32134" spans="1:2" x14ac:dyDescent="0.25">
      <c r="A32134" s="118"/>
      <c r="B32134" s="136"/>
    </row>
    <row r="32135" spans="1:2" x14ac:dyDescent="0.25">
      <c r="A32135" s="118"/>
      <c r="B32135" s="136"/>
    </row>
    <row r="32136" spans="1:2" x14ac:dyDescent="0.25">
      <c r="A32136" s="118"/>
      <c r="B32136" s="136"/>
    </row>
    <row r="32137" spans="1:2" x14ac:dyDescent="0.25">
      <c r="A32137" s="118"/>
      <c r="B32137" s="136"/>
    </row>
    <row r="32138" spans="1:2" x14ac:dyDescent="0.25">
      <c r="A32138" s="118"/>
      <c r="B32138" s="136"/>
    </row>
    <row r="32139" spans="1:2" x14ac:dyDescent="0.25">
      <c r="A32139" s="118"/>
      <c r="B32139" s="136"/>
    </row>
    <row r="32140" spans="1:2" x14ac:dyDescent="0.25">
      <c r="A32140" s="118"/>
      <c r="B32140" s="136"/>
    </row>
    <row r="32141" spans="1:2" x14ac:dyDescent="0.25">
      <c r="A32141" s="118"/>
      <c r="B32141" s="136"/>
    </row>
    <row r="32142" spans="1:2" x14ac:dyDescent="0.25">
      <c r="A32142" s="118"/>
      <c r="B32142" s="136"/>
    </row>
    <row r="32143" spans="1:2" x14ac:dyDescent="0.25">
      <c r="A32143" s="118"/>
      <c r="B32143" s="136"/>
    </row>
    <row r="32144" spans="1:2" x14ac:dyDescent="0.25">
      <c r="A32144" s="118"/>
      <c r="B32144" s="136"/>
    </row>
    <row r="32145" spans="1:2" x14ac:dyDescent="0.25">
      <c r="A32145" s="118"/>
      <c r="B32145" s="136"/>
    </row>
    <row r="32146" spans="1:2" x14ac:dyDescent="0.25">
      <c r="A32146" s="118"/>
      <c r="B32146" s="136"/>
    </row>
    <row r="32147" spans="1:2" x14ac:dyDescent="0.25">
      <c r="A32147" s="118"/>
      <c r="B32147" s="136"/>
    </row>
    <row r="32148" spans="1:2" x14ac:dyDescent="0.25">
      <c r="A32148" s="118"/>
      <c r="B32148" s="136"/>
    </row>
    <row r="32149" spans="1:2" x14ac:dyDescent="0.25">
      <c r="A32149" s="118"/>
      <c r="B32149" s="136"/>
    </row>
    <row r="32150" spans="1:2" x14ac:dyDescent="0.25">
      <c r="A32150" s="118"/>
      <c r="B32150" s="136"/>
    </row>
    <row r="32151" spans="1:2" x14ac:dyDescent="0.25">
      <c r="A32151" s="118"/>
      <c r="B32151" s="136"/>
    </row>
    <row r="32152" spans="1:2" x14ac:dyDescent="0.25">
      <c r="A32152" s="118"/>
      <c r="B32152" s="136"/>
    </row>
    <row r="32153" spans="1:2" x14ac:dyDescent="0.25">
      <c r="A32153" s="118"/>
      <c r="B32153" s="136"/>
    </row>
    <row r="32154" spans="1:2" x14ac:dyDescent="0.25">
      <c r="A32154" s="118"/>
      <c r="B32154" s="136"/>
    </row>
    <row r="32155" spans="1:2" x14ac:dyDescent="0.25">
      <c r="A32155" s="118"/>
      <c r="B32155" s="136"/>
    </row>
    <row r="32156" spans="1:2" x14ac:dyDescent="0.25">
      <c r="A32156" s="118"/>
      <c r="B32156" s="136"/>
    </row>
    <row r="32157" spans="1:2" x14ac:dyDescent="0.25">
      <c r="A32157" s="118"/>
      <c r="B32157" s="136"/>
    </row>
    <row r="32158" spans="1:2" x14ac:dyDescent="0.25">
      <c r="A32158" s="118"/>
      <c r="B32158" s="136"/>
    </row>
    <row r="32159" spans="1:2" x14ac:dyDescent="0.25">
      <c r="A32159" s="118"/>
      <c r="B32159" s="136"/>
    </row>
    <row r="32160" spans="1:2" x14ac:dyDescent="0.25">
      <c r="A32160" s="118"/>
      <c r="B32160" s="136"/>
    </row>
    <row r="32161" spans="1:2" x14ac:dyDescent="0.25">
      <c r="A32161" s="118"/>
      <c r="B32161" s="136"/>
    </row>
    <row r="32162" spans="1:2" x14ac:dyDescent="0.25">
      <c r="A32162" s="118"/>
      <c r="B32162" s="136"/>
    </row>
    <row r="32163" spans="1:2" x14ac:dyDescent="0.25">
      <c r="A32163" s="118"/>
      <c r="B32163" s="136"/>
    </row>
    <row r="32164" spans="1:2" x14ac:dyDescent="0.25">
      <c r="A32164" s="118"/>
      <c r="B32164" s="136"/>
    </row>
    <row r="32165" spans="1:2" x14ac:dyDescent="0.25">
      <c r="A32165" s="118"/>
      <c r="B32165" s="136"/>
    </row>
    <row r="32166" spans="1:2" x14ac:dyDescent="0.25">
      <c r="A32166" s="118"/>
      <c r="B32166" s="136"/>
    </row>
    <row r="32167" spans="1:2" x14ac:dyDescent="0.25">
      <c r="A32167" s="118"/>
      <c r="B32167" s="136"/>
    </row>
    <row r="32168" spans="1:2" x14ac:dyDescent="0.25">
      <c r="A32168" s="118"/>
      <c r="B32168" s="136"/>
    </row>
    <row r="32169" spans="1:2" x14ac:dyDescent="0.25">
      <c r="A32169" s="118"/>
      <c r="B32169" s="136"/>
    </row>
    <row r="32170" spans="1:2" x14ac:dyDescent="0.25">
      <c r="A32170" s="118"/>
      <c r="B32170" s="136"/>
    </row>
    <row r="32171" spans="1:2" x14ac:dyDescent="0.25">
      <c r="A32171" s="118"/>
      <c r="B32171" s="136"/>
    </row>
    <row r="32172" spans="1:2" x14ac:dyDescent="0.25">
      <c r="A32172" s="118"/>
      <c r="B32172" s="136"/>
    </row>
    <row r="32173" spans="1:2" x14ac:dyDescent="0.25">
      <c r="A32173" s="118"/>
      <c r="B32173" s="136"/>
    </row>
    <row r="32174" spans="1:2" x14ac:dyDescent="0.25">
      <c r="A32174" s="118"/>
      <c r="B32174" s="136"/>
    </row>
    <row r="32175" spans="1:2" x14ac:dyDescent="0.25">
      <c r="A32175" s="118"/>
      <c r="B32175" s="136"/>
    </row>
    <row r="32176" spans="1:2" x14ac:dyDescent="0.25">
      <c r="A32176" s="118"/>
      <c r="B32176" s="136"/>
    </row>
    <row r="32177" spans="1:2" x14ac:dyDescent="0.25">
      <c r="A32177" s="118"/>
      <c r="B32177" s="136"/>
    </row>
    <row r="32178" spans="1:2" x14ac:dyDescent="0.25">
      <c r="A32178" s="118"/>
      <c r="B32178" s="136"/>
    </row>
    <row r="32179" spans="1:2" x14ac:dyDescent="0.25">
      <c r="A32179" s="118"/>
      <c r="B32179" s="136"/>
    </row>
    <row r="32180" spans="1:2" x14ac:dyDescent="0.25">
      <c r="A32180" s="118"/>
      <c r="B32180" s="136"/>
    </row>
    <row r="32181" spans="1:2" x14ac:dyDescent="0.25">
      <c r="A32181" s="118"/>
      <c r="B32181" s="136"/>
    </row>
    <row r="32182" spans="1:2" x14ac:dyDescent="0.25">
      <c r="A32182" s="118"/>
      <c r="B32182" s="136"/>
    </row>
    <row r="32183" spans="1:2" x14ac:dyDescent="0.25">
      <c r="A32183" s="118"/>
      <c r="B32183" s="136"/>
    </row>
    <row r="32184" spans="1:2" x14ac:dyDescent="0.25">
      <c r="A32184" s="118"/>
      <c r="B32184" s="136"/>
    </row>
    <row r="32185" spans="1:2" x14ac:dyDescent="0.25">
      <c r="A32185" s="118"/>
      <c r="B32185" s="136"/>
    </row>
    <row r="32186" spans="1:2" x14ac:dyDescent="0.25">
      <c r="A32186" s="118"/>
      <c r="B32186" s="136"/>
    </row>
    <row r="32187" spans="1:2" x14ac:dyDescent="0.25">
      <c r="A32187" s="118"/>
      <c r="B32187" s="136"/>
    </row>
    <row r="32188" spans="1:2" x14ac:dyDescent="0.25">
      <c r="A32188" s="118"/>
      <c r="B32188" s="136"/>
    </row>
    <row r="32189" spans="1:2" x14ac:dyDescent="0.25">
      <c r="A32189" s="118"/>
      <c r="B32189" s="136"/>
    </row>
    <row r="32190" spans="1:2" x14ac:dyDescent="0.25">
      <c r="A32190" s="118"/>
      <c r="B32190" s="136"/>
    </row>
    <row r="32191" spans="1:2" x14ac:dyDescent="0.25">
      <c r="A32191" s="118"/>
      <c r="B32191" s="136"/>
    </row>
    <row r="32192" spans="1:2" x14ac:dyDescent="0.25">
      <c r="A32192" s="118"/>
      <c r="B32192" s="136"/>
    </row>
    <row r="32193" spans="1:2" x14ac:dyDescent="0.25">
      <c r="A32193" s="118"/>
      <c r="B32193" s="136"/>
    </row>
    <row r="32194" spans="1:2" x14ac:dyDescent="0.25">
      <c r="A32194" s="118"/>
      <c r="B32194" s="136"/>
    </row>
    <row r="32195" spans="1:2" x14ac:dyDescent="0.25">
      <c r="A32195" s="118"/>
      <c r="B32195" s="136"/>
    </row>
    <row r="32196" spans="1:2" x14ac:dyDescent="0.25">
      <c r="A32196" s="118"/>
      <c r="B32196" s="136"/>
    </row>
    <row r="32197" spans="1:2" x14ac:dyDescent="0.25">
      <c r="A32197" s="118"/>
      <c r="B32197" s="136"/>
    </row>
    <row r="32198" spans="1:2" x14ac:dyDescent="0.25">
      <c r="A32198" s="118"/>
      <c r="B32198" s="136"/>
    </row>
    <row r="32199" spans="1:2" x14ac:dyDescent="0.25">
      <c r="A32199" s="118"/>
      <c r="B32199" s="136"/>
    </row>
    <row r="32200" spans="1:2" x14ac:dyDescent="0.25">
      <c r="A32200" s="118"/>
      <c r="B32200" s="136"/>
    </row>
    <row r="32201" spans="1:2" x14ac:dyDescent="0.25">
      <c r="A32201" s="118"/>
      <c r="B32201" s="136"/>
    </row>
    <row r="32202" spans="1:2" x14ac:dyDescent="0.25">
      <c r="A32202" s="118"/>
      <c r="B32202" s="136"/>
    </row>
    <row r="32203" spans="1:2" x14ac:dyDescent="0.25">
      <c r="A32203" s="118"/>
      <c r="B32203" s="136"/>
    </row>
    <row r="32204" spans="1:2" x14ac:dyDescent="0.25">
      <c r="A32204" s="118"/>
      <c r="B32204" s="136"/>
    </row>
    <row r="32205" spans="1:2" x14ac:dyDescent="0.25">
      <c r="A32205" s="118"/>
      <c r="B32205" s="136"/>
    </row>
    <row r="32206" spans="1:2" x14ac:dyDescent="0.25">
      <c r="A32206" s="118"/>
      <c r="B32206" s="136"/>
    </row>
    <row r="32207" spans="1:2" x14ac:dyDescent="0.25">
      <c r="A32207" s="118"/>
      <c r="B32207" s="136"/>
    </row>
    <row r="32208" spans="1:2" x14ac:dyDescent="0.25">
      <c r="A32208" s="118"/>
      <c r="B32208" s="136"/>
    </row>
    <row r="32209" spans="1:2" x14ac:dyDescent="0.25">
      <c r="A32209" s="118"/>
      <c r="B32209" s="136"/>
    </row>
    <row r="32210" spans="1:2" x14ac:dyDescent="0.25">
      <c r="A32210" s="118"/>
      <c r="B32210" s="136"/>
    </row>
    <row r="32211" spans="1:2" x14ac:dyDescent="0.25">
      <c r="A32211" s="118"/>
      <c r="B32211" s="136"/>
    </row>
    <row r="32212" spans="1:2" x14ac:dyDescent="0.25">
      <c r="A32212" s="118"/>
      <c r="B32212" s="136"/>
    </row>
    <row r="32213" spans="1:2" x14ac:dyDescent="0.25">
      <c r="A32213" s="118"/>
      <c r="B32213" s="136"/>
    </row>
    <row r="32214" spans="1:2" x14ac:dyDescent="0.25">
      <c r="A32214" s="118"/>
      <c r="B32214" s="136"/>
    </row>
    <row r="32215" spans="1:2" x14ac:dyDescent="0.25">
      <c r="A32215" s="118"/>
      <c r="B32215" s="136"/>
    </row>
    <row r="32216" spans="1:2" x14ac:dyDescent="0.25">
      <c r="A32216" s="118"/>
      <c r="B32216" s="136"/>
    </row>
    <row r="32217" spans="1:2" x14ac:dyDescent="0.25">
      <c r="A32217" s="118"/>
      <c r="B32217" s="136"/>
    </row>
    <row r="32218" spans="1:2" x14ac:dyDescent="0.25">
      <c r="A32218" s="118"/>
      <c r="B32218" s="136"/>
    </row>
    <row r="32219" spans="1:2" x14ac:dyDescent="0.25">
      <c r="A32219" s="118"/>
      <c r="B32219" s="136"/>
    </row>
    <row r="32220" spans="1:2" x14ac:dyDescent="0.25">
      <c r="A32220" s="118"/>
      <c r="B32220" s="136"/>
    </row>
    <row r="32221" spans="1:2" x14ac:dyDescent="0.25">
      <c r="A32221" s="118"/>
      <c r="B32221" s="136"/>
    </row>
    <row r="32222" spans="1:2" x14ac:dyDescent="0.25">
      <c r="A32222" s="118"/>
      <c r="B32222" s="136"/>
    </row>
    <row r="32223" spans="1:2" x14ac:dyDescent="0.25">
      <c r="A32223" s="118"/>
      <c r="B32223" s="136"/>
    </row>
    <row r="32224" spans="1:2" x14ac:dyDescent="0.25">
      <c r="A32224" s="118"/>
      <c r="B32224" s="136"/>
    </row>
    <row r="32225" spans="1:2" x14ac:dyDescent="0.25">
      <c r="A32225" s="118"/>
      <c r="B32225" s="136"/>
    </row>
    <row r="32226" spans="1:2" x14ac:dyDescent="0.25">
      <c r="A32226" s="118"/>
      <c r="B32226" s="136"/>
    </row>
    <row r="32227" spans="1:2" x14ac:dyDescent="0.25">
      <c r="A32227" s="118"/>
      <c r="B32227" s="136"/>
    </row>
    <row r="32228" spans="1:2" x14ac:dyDescent="0.25">
      <c r="A32228" s="118"/>
      <c r="B32228" s="136"/>
    </row>
    <row r="32229" spans="1:2" x14ac:dyDescent="0.25">
      <c r="A32229" s="118"/>
      <c r="B32229" s="136"/>
    </row>
    <row r="32230" spans="1:2" x14ac:dyDescent="0.25">
      <c r="A32230" s="118"/>
      <c r="B32230" s="136"/>
    </row>
    <row r="32231" spans="1:2" x14ac:dyDescent="0.25">
      <c r="A32231" s="118"/>
      <c r="B32231" s="136"/>
    </row>
    <row r="32232" spans="1:2" x14ac:dyDescent="0.25">
      <c r="A32232" s="118"/>
      <c r="B32232" s="136"/>
    </row>
    <row r="32233" spans="1:2" x14ac:dyDescent="0.25">
      <c r="A32233" s="118"/>
      <c r="B32233" s="136"/>
    </row>
    <row r="32234" spans="1:2" x14ac:dyDescent="0.25">
      <c r="A32234" s="118"/>
      <c r="B32234" s="136"/>
    </row>
    <row r="32235" spans="1:2" x14ac:dyDescent="0.25">
      <c r="A32235" s="118"/>
      <c r="B32235" s="136"/>
    </row>
    <row r="32236" spans="1:2" x14ac:dyDescent="0.25">
      <c r="A32236" s="118"/>
      <c r="B32236" s="136"/>
    </row>
    <row r="32237" spans="1:2" x14ac:dyDescent="0.25">
      <c r="A32237" s="118"/>
      <c r="B32237" s="136"/>
    </row>
    <row r="32238" spans="1:2" x14ac:dyDescent="0.25">
      <c r="A32238" s="118"/>
      <c r="B32238" s="136"/>
    </row>
    <row r="32239" spans="1:2" x14ac:dyDescent="0.25">
      <c r="A32239" s="118"/>
      <c r="B32239" s="136"/>
    </row>
    <row r="32240" spans="1:2" x14ac:dyDescent="0.25">
      <c r="A32240" s="118"/>
      <c r="B32240" s="136"/>
    </row>
    <row r="32241" spans="1:2" x14ac:dyDescent="0.25">
      <c r="A32241" s="118"/>
      <c r="B32241" s="136"/>
    </row>
    <row r="32242" spans="1:2" x14ac:dyDescent="0.25">
      <c r="A32242" s="118"/>
      <c r="B32242" s="136"/>
    </row>
    <row r="32243" spans="1:2" x14ac:dyDescent="0.25">
      <c r="A32243" s="118"/>
      <c r="B32243" s="136"/>
    </row>
    <row r="32244" spans="1:2" x14ac:dyDescent="0.25">
      <c r="A32244" s="118"/>
      <c r="B32244" s="136"/>
    </row>
    <row r="32245" spans="1:2" x14ac:dyDescent="0.25">
      <c r="A32245" s="118"/>
      <c r="B32245" s="136"/>
    </row>
    <row r="32246" spans="1:2" x14ac:dyDescent="0.25">
      <c r="A32246" s="118"/>
      <c r="B32246" s="136"/>
    </row>
    <row r="32247" spans="1:2" x14ac:dyDescent="0.25">
      <c r="A32247" s="118"/>
      <c r="B32247" s="136"/>
    </row>
    <row r="32248" spans="1:2" x14ac:dyDescent="0.25">
      <c r="A32248" s="118"/>
      <c r="B32248" s="136"/>
    </row>
    <row r="32249" spans="1:2" x14ac:dyDescent="0.25">
      <c r="A32249" s="118"/>
      <c r="B32249" s="136"/>
    </row>
    <row r="32250" spans="1:2" x14ac:dyDescent="0.25">
      <c r="A32250" s="118"/>
      <c r="B32250" s="136"/>
    </row>
    <row r="32251" spans="1:2" x14ac:dyDescent="0.25">
      <c r="A32251" s="118"/>
      <c r="B32251" s="136"/>
    </row>
    <row r="32252" spans="1:2" x14ac:dyDescent="0.25">
      <c r="A32252" s="118"/>
      <c r="B32252" s="136"/>
    </row>
    <row r="32253" spans="1:2" x14ac:dyDescent="0.25">
      <c r="A32253" s="118"/>
      <c r="B32253" s="136"/>
    </row>
    <row r="32254" spans="1:2" x14ac:dyDescent="0.25">
      <c r="A32254" s="118"/>
      <c r="B32254" s="136"/>
    </row>
    <row r="32255" spans="1:2" x14ac:dyDescent="0.25">
      <c r="A32255" s="118"/>
      <c r="B32255" s="136"/>
    </row>
    <row r="32256" spans="1:2" x14ac:dyDescent="0.25">
      <c r="A32256" s="118"/>
      <c r="B32256" s="136"/>
    </row>
    <row r="32257" spans="1:2" x14ac:dyDescent="0.25">
      <c r="A32257" s="118"/>
      <c r="B32257" s="136"/>
    </row>
    <row r="32258" spans="1:2" x14ac:dyDescent="0.25">
      <c r="A32258" s="118"/>
      <c r="B32258" s="136"/>
    </row>
    <row r="32259" spans="1:2" x14ac:dyDescent="0.25">
      <c r="A32259" s="118"/>
      <c r="B32259" s="136"/>
    </row>
    <row r="32260" spans="1:2" x14ac:dyDescent="0.25">
      <c r="A32260" s="118"/>
      <c r="B32260" s="136"/>
    </row>
    <row r="32261" spans="1:2" x14ac:dyDescent="0.25">
      <c r="A32261" s="118"/>
      <c r="B32261" s="136"/>
    </row>
    <row r="32262" spans="1:2" x14ac:dyDescent="0.25">
      <c r="A32262" s="118"/>
      <c r="B32262" s="136"/>
    </row>
    <row r="32263" spans="1:2" x14ac:dyDescent="0.25">
      <c r="A32263" s="118"/>
      <c r="B32263" s="136"/>
    </row>
    <row r="32264" spans="1:2" x14ac:dyDescent="0.25">
      <c r="A32264" s="118"/>
      <c r="B32264" s="136"/>
    </row>
    <row r="32265" spans="1:2" x14ac:dyDescent="0.25">
      <c r="A32265" s="118"/>
      <c r="B32265" s="136"/>
    </row>
    <row r="32266" spans="1:2" x14ac:dyDescent="0.25">
      <c r="A32266" s="118"/>
      <c r="B32266" s="136"/>
    </row>
    <row r="32267" spans="1:2" x14ac:dyDescent="0.25">
      <c r="A32267" s="118"/>
      <c r="B32267" s="136"/>
    </row>
    <row r="32268" spans="1:2" x14ac:dyDescent="0.25">
      <c r="A32268" s="118"/>
      <c r="B32268" s="136"/>
    </row>
    <row r="32269" spans="1:2" x14ac:dyDescent="0.25">
      <c r="A32269" s="118"/>
      <c r="B32269" s="136"/>
    </row>
    <row r="32270" spans="1:2" x14ac:dyDescent="0.25">
      <c r="A32270" s="118"/>
      <c r="B32270" s="136"/>
    </row>
    <row r="32271" spans="1:2" x14ac:dyDescent="0.25">
      <c r="A32271" s="118"/>
      <c r="B32271" s="136"/>
    </row>
    <row r="32272" spans="1:2" x14ac:dyDescent="0.25">
      <c r="A32272" s="118"/>
      <c r="B32272" s="136"/>
    </row>
    <row r="32273" spans="1:2" x14ac:dyDescent="0.25">
      <c r="A32273" s="118"/>
      <c r="B32273" s="136"/>
    </row>
    <row r="32274" spans="1:2" x14ac:dyDescent="0.25">
      <c r="A32274" s="118"/>
      <c r="B32274" s="136"/>
    </row>
    <row r="32275" spans="1:2" x14ac:dyDescent="0.25">
      <c r="A32275" s="118"/>
      <c r="B32275" s="136"/>
    </row>
    <row r="32276" spans="1:2" x14ac:dyDescent="0.25">
      <c r="A32276" s="118"/>
      <c r="B32276" s="136"/>
    </row>
    <row r="32277" spans="1:2" x14ac:dyDescent="0.25">
      <c r="A32277" s="118"/>
      <c r="B32277" s="136"/>
    </row>
    <row r="32278" spans="1:2" x14ac:dyDescent="0.25">
      <c r="A32278" s="118"/>
      <c r="B32278" s="136"/>
    </row>
    <row r="32279" spans="1:2" x14ac:dyDescent="0.25">
      <c r="A32279" s="118"/>
      <c r="B32279" s="136"/>
    </row>
    <row r="32280" spans="1:2" x14ac:dyDescent="0.25">
      <c r="A32280" s="118"/>
      <c r="B32280" s="136"/>
    </row>
    <row r="32281" spans="1:2" x14ac:dyDescent="0.25">
      <c r="A32281" s="118"/>
      <c r="B32281" s="136"/>
    </row>
    <row r="32282" spans="1:2" x14ac:dyDescent="0.25">
      <c r="A32282" s="118"/>
      <c r="B32282" s="136"/>
    </row>
    <row r="32283" spans="1:2" x14ac:dyDescent="0.25">
      <c r="A32283" s="118"/>
      <c r="B32283" s="136"/>
    </row>
    <row r="32284" spans="1:2" x14ac:dyDescent="0.25">
      <c r="A32284" s="118"/>
      <c r="B32284" s="136"/>
    </row>
    <row r="32285" spans="1:2" x14ac:dyDescent="0.25">
      <c r="A32285" s="118"/>
      <c r="B32285" s="136"/>
    </row>
    <row r="32286" spans="1:2" x14ac:dyDescent="0.25">
      <c r="A32286" s="118"/>
      <c r="B32286" s="136"/>
    </row>
    <row r="32287" spans="1:2" x14ac:dyDescent="0.25">
      <c r="A32287" s="118"/>
      <c r="B32287" s="136"/>
    </row>
    <row r="32288" spans="1:2" x14ac:dyDescent="0.25">
      <c r="A32288" s="118"/>
      <c r="B32288" s="136"/>
    </row>
    <row r="32289" spans="1:2" x14ac:dyDescent="0.25">
      <c r="A32289" s="118"/>
      <c r="B32289" s="136"/>
    </row>
    <row r="32290" spans="1:2" x14ac:dyDescent="0.25">
      <c r="A32290" s="118"/>
      <c r="B32290" s="136"/>
    </row>
    <row r="32291" spans="1:2" x14ac:dyDescent="0.25">
      <c r="A32291" s="118"/>
      <c r="B32291" s="136"/>
    </row>
    <row r="32292" spans="1:2" x14ac:dyDescent="0.25">
      <c r="A32292" s="118"/>
      <c r="B32292" s="136"/>
    </row>
    <row r="32293" spans="1:2" x14ac:dyDescent="0.25">
      <c r="A32293" s="118"/>
      <c r="B32293" s="136"/>
    </row>
    <row r="32294" spans="1:2" x14ac:dyDescent="0.25">
      <c r="A32294" s="118"/>
      <c r="B32294" s="136"/>
    </row>
    <row r="32295" spans="1:2" x14ac:dyDescent="0.25">
      <c r="A32295" s="118"/>
      <c r="B32295" s="136"/>
    </row>
    <row r="32296" spans="1:2" x14ac:dyDescent="0.25">
      <c r="A32296" s="118"/>
      <c r="B32296" s="136"/>
    </row>
    <row r="32297" spans="1:2" x14ac:dyDescent="0.25">
      <c r="A32297" s="118"/>
      <c r="B32297" s="136"/>
    </row>
    <row r="32298" spans="1:2" x14ac:dyDescent="0.25">
      <c r="A32298" s="118"/>
      <c r="B32298" s="136"/>
    </row>
    <row r="32299" spans="1:2" x14ac:dyDescent="0.25">
      <c r="A32299" s="118"/>
      <c r="B32299" s="136"/>
    </row>
    <row r="32300" spans="1:2" x14ac:dyDescent="0.25">
      <c r="A32300" s="118"/>
      <c r="B32300" s="136"/>
    </row>
    <row r="32301" spans="1:2" x14ac:dyDescent="0.25">
      <c r="A32301" s="118"/>
      <c r="B32301" s="136"/>
    </row>
    <row r="32302" spans="1:2" x14ac:dyDescent="0.25">
      <c r="A32302" s="118"/>
      <c r="B32302" s="136"/>
    </row>
    <row r="32303" spans="1:2" x14ac:dyDescent="0.25">
      <c r="A32303" s="118"/>
      <c r="B32303" s="136"/>
    </row>
    <row r="32304" spans="1:2" x14ac:dyDescent="0.25">
      <c r="A32304" s="118"/>
      <c r="B32304" s="136"/>
    </row>
    <row r="32305" spans="1:2" x14ac:dyDescent="0.25">
      <c r="A32305" s="118"/>
      <c r="B32305" s="136"/>
    </row>
    <row r="32306" spans="1:2" x14ac:dyDescent="0.25">
      <c r="A32306" s="118"/>
      <c r="B32306" s="136"/>
    </row>
    <row r="32307" spans="1:2" x14ac:dyDescent="0.25">
      <c r="A32307" s="118"/>
      <c r="B32307" s="136"/>
    </row>
    <row r="32308" spans="1:2" x14ac:dyDescent="0.25">
      <c r="A32308" s="118"/>
      <c r="B32308" s="136"/>
    </row>
    <row r="32309" spans="1:2" x14ac:dyDescent="0.25">
      <c r="A32309" s="118"/>
      <c r="B32309" s="136"/>
    </row>
    <row r="32310" spans="1:2" x14ac:dyDescent="0.25">
      <c r="A32310" s="118"/>
      <c r="B32310" s="136"/>
    </row>
    <row r="32311" spans="1:2" x14ac:dyDescent="0.25">
      <c r="A32311" s="118"/>
      <c r="B32311" s="136"/>
    </row>
    <row r="32312" spans="1:2" x14ac:dyDescent="0.25">
      <c r="A32312" s="118"/>
      <c r="B32312" s="136"/>
    </row>
    <row r="32313" spans="1:2" x14ac:dyDescent="0.25">
      <c r="A32313" s="118"/>
      <c r="B32313" s="136"/>
    </row>
    <row r="32314" spans="1:2" x14ac:dyDescent="0.25">
      <c r="A32314" s="118"/>
      <c r="B32314" s="136"/>
    </row>
    <row r="32315" spans="1:2" x14ac:dyDescent="0.25">
      <c r="A32315" s="118"/>
      <c r="B32315" s="136"/>
    </row>
    <row r="32316" spans="1:2" x14ac:dyDescent="0.25">
      <c r="A32316" s="118"/>
      <c r="B32316" s="136"/>
    </row>
    <row r="32317" spans="1:2" x14ac:dyDescent="0.25">
      <c r="A32317" s="118"/>
      <c r="B32317" s="136"/>
    </row>
    <row r="32318" spans="1:2" x14ac:dyDescent="0.25">
      <c r="A32318" s="118"/>
      <c r="B32318" s="136"/>
    </row>
    <row r="32319" spans="1:2" x14ac:dyDescent="0.25">
      <c r="A32319" s="118"/>
      <c r="B32319" s="136"/>
    </row>
    <row r="32320" spans="1:2" x14ac:dyDescent="0.25">
      <c r="A32320" s="118"/>
      <c r="B32320" s="136"/>
    </row>
    <row r="32321" spans="1:2" x14ac:dyDescent="0.25">
      <c r="A32321" s="118"/>
      <c r="B32321" s="136"/>
    </row>
    <row r="32322" spans="1:2" x14ac:dyDescent="0.25">
      <c r="A32322" s="118"/>
      <c r="B32322" s="136"/>
    </row>
    <row r="32323" spans="1:2" x14ac:dyDescent="0.25">
      <c r="A32323" s="118"/>
      <c r="B32323" s="136"/>
    </row>
    <row r="32324" spans="1:2" x14ac:dyDescent="0.25">
      <c r="A32324" s="118"/>
      <c r="B32324" s="136"/>
    </row>
    <row r="32325" spans="1:2" x14ac:dyDescent="0.25">
      <c r="A32325" s="118"/>
      <c r="B32325" s="136"/>
    </row>
    <row r="32326" spans="1:2" x14ac:dyDescent="0.25">
      <c r="A32326" s="118"/>
      <c r="B32326" s="136"/>
    </row>
    <row r="32327" spans="1:2" x14ac:dyDescent="0.25">
      <c r="A32327" s="118"/>
      <c r="B32327" s="136"/>
    </row>
    <row r="32328" spans="1:2" x14ac:dyDescent="0.25">
      <c r="A32328" s="118"/>
      <c r="B32328" s="136"/>
    </row>
    <row r="32329" spans="1:2" x14ac:dyDescent="0.25">
      <c r="A32329" s="118"/>
      <c r="B32329" s="136"/>
    </row>
    <row r="32330" spans="1:2" x14ac:dyDescent="0.25">
      <c r="A32330" s="118"/>
      <c r="B32330" s="136"/>
    </row>
    <row r="32331" spans="1:2" x14ac:dyDescent="0.25">
      <c r="A32331" s="118"/>
      <c r="B32331" s="136"/>
    </row>
    <row r="32332" spans="1:2" x14ac:dyDescent="0.25">
      <c r="A32332" s="118"/>
      <c r="B32332" s="136"/>
    </row>
    <row r="32333" spans="1:2" x14ac:dyDescent="0.25">
      <c r="A32333" s="118"/>
      <c r="B32333" s="136"/>
    </row>
    <row r="32334" spans="1:2" x14ac:dyDescent="0.25">
      <c r="A32334" s="118"/>
      <c r="B32334" s="136"/>
    </row>
    <row r="32335" spans="1:2" x14ac:dyDescent="0.25">
      <c r="A32335" s="118"/>
      <c r="B32335" s="136"/>
    </row>
    <row r="32336" spans="1:2" x14ac:dyDescent="0.25">
      <c r="A32336" s="118"/>
      <c r="B32336" s="136"/>
    </row>
    <row r="32337" spans="1:2" x14ac:dyDescent="0.25">
      <c r="A32337" s="118"/>
      <c r="B32337" s="136"/>
    </row>
    <row r="32338" spans="1:2" x14ac:dyDescent="0.25">
      <c r="A32338" s="118"/>
      <c r="B32338" s="136"/>
    </row>
    <row r="32339" spans="1:2" x14ac:dyDescent="0.25">
      <c r="A32339" s="118"/>
      <c r="B32339" s="136"/>
    </row>
    <row r="32340" spans="1:2" x14ac:dyDescent="0.25">
      <c r="A32340" s="118"/>
      <c r="B32340" s="136"/>
    </row>
    <row r="32341" spans="1:2" x14ac:dyDescent="0.25">
      <c r="A32341" s="118"/>
      <c r="B32341" s="136"/>
    </row>
    <row r="32342" spans="1:2" x14ac:dyDescent="0.25">
      <c r="A32342" s="118"/>
      <c r="B32342" s="136"/>
    </row>
    <row r="32343" spans="1:2" x14ac:dyDescent="0.25">
      <c r="A32343" s="118"/>
      <c r="B32343" s="136"/>
    </row>
    <row r="32344" spans="1:2" x14ac:dyDescent="0.25">
      <c r="A32344" s="118"/>
      <c r="B32344" s="136"/>
    </row>
    <row r="32345" spans="1:2" x14ac:dyDescent="0.25">
      <c r="A32345" s="118"/>
      <c r="B32345" s="136"/>
    </row>
    <row r="32346" spans="1:2" x14ac:dyDescent="0.25">
      <c r="A32346" s="118"/>
      <c r="B32346" s="136"/>
    </row>
    <row r="32347" spans="1:2" x14ac:dyDescent="0.25">
      <c r="A32347" s="118"/>
      <c r="B32347" s="136"/>
    </row>
    <row r="32348" spans="1:2" x14ac:dyDescent="0.25">
      <c r="A32348" s="118"/>
      <c r="B32348" s="136"/>
    </row>
    <row r="32349" spans="1:2" x14ac:dyDescent="0.25">
      <c r="A32349" s="118"/>
      <c r="B32349" s="136"/>
    </row>
    <row r="32350" spans="1:2" x14ac:dyDescent="0.25">
      <c r="A32350" s="118"/>
      <c r="B32350" s="136"/>
    </row>
    <row r="32351" spans="1:2" x14ac:dyDescent="0.25">
      <c r="A32351" s="118"/>
      <c r="B32351" s="136"/>
    </row>
    <row r="32352" spans="1:2" x14ac:dyDescent="0.25">
      <c r="A32352" s="118"/>
      <c r="B32352" s="136"/>
    </row>
    <row r="32353" spans="1:2" x14ac:dyDescent="0.25">
      <c r="A32353" s="118"/>
      <c r="B32353" s="136"/>
    </row>
    <row r="32354" spans="1:2" x14ac:dyDescent="0.25">
      <c r="A32354" s="118"/>
      <c r="B32354" s="136"/>
    </row>
    <row r="32355" spans="1:2" x14ac:dyDescent="0.25">
      <c r="A32355" s="118"/>
      <c r="B32355" s="136"/>
    </row>
    <row r="32356" spans="1:2" x14ac:dyDescent="0.25">
      <c r="A32356" s="118"/>
      <c r="B32356" s="136"/>
    </row>
    <row r="32357" spans="1:2" x14ac:dyDescent="0.25">
      <c r="A32357" s="118"/>
      <c r="B32357" s="136"/>
    </row>
    <row r="32358" spans="1:2" x14ac:dyDescent="0.25">
      <c r="A32358" s="118"/>
      <c r="B32358" s="136"/>
    </row>
    <row r="32359" spans="1:2" x14ac:dyDescent="0.25">
      <c r="A32359" s="118"/>
      <c r="B32359" s="136"/>
    </row>
    <row r="32360" spans="1:2" x14ac:dyDescent="0.25">
      <c r="A32360" s="118"/>
      <c r="B32360" s="136"/>
    </row>
    <row r="32361" spans="1:2" x14ac:dyDescent="0.25">
      <c r="A32361" s="118"/>
      <c r="B32361" s="136"/>
    </row>
    <row r="32362" spans="1:2" x14ac:dyDescent="0.25">
      <c r="A32362" s="118"/>
      <c r="B32362" s="136"/>
    </row>
    <row r="32363" spans="1:2" x14ac:dyDescent="0.25">
      <c r="A32363" s="118"/>
      <c r="B32363" s="136"/>
    </row>
    <row r="32364" spans="1:2" x14ac:dyDescent="0.25">
      <c r="A32364" s="118"/>
      <c r="B32364" s="136"/>
    </row>
    <row r="32365" spans="1:2" x14ac:dyDescent="0.25">
      <c r="A32365" s="118"/>
      <c r="B32365" s="136"/>
    </row>
    <row r="32366" spans="1:2" x14ac:dyDescent="0.25">
      <c r="A32366" s="118"/>
      <c r="B32366" s="136"/>
    </row>
    <row r="32367" spans="1:2" x14ac:dyDescent="0.25">
      <c r="A32367" s="118"/>
      <c r="B32367" s="136"/>
    </row>
    <row r="32368" spans="1:2" x14ac:dyDescent="0.25">
      <c r="A32368" s="118"/>
      <c r="B32368" s="136"/>
    </row>
    <row r="32369" spans="1:2" x14ac:dyDescent="0.25">
      <c r="A32369" s="118"/>
      <c r="B32369" s="136"/>
    </row>
    <row r="32370" spans="1:2" x14ac:dyDescent="0.25">
      <c r="A32370" s="118"/>
      <c r="B32370" s="136"/>
    </row>
    <row r="32371" spans="1:2" x14ac:dyDescent="0.25">
      <c r="A32371" s="118"/>
      <c r="B32371" s="136"/>
    </row>
    <row r="32372" spans="1:2" x14ac:dyDescent="0.25">
      <c r="A32372" s="118"/>
      <c r="B32372" s="136"/>
    </row>
    <row r="32373" spans="1:2" x14ac:dyDescent="0.25">
      <c r="A32373" s="118"/>
      <c r="B32373" s="136"/>
    </row>
    <row r="32374" spans="1:2" x14ac:dyDescent="0.25">
      <c r="A32374" s="118"/>
      <c r="B32374" s="136"/>
    </row>
    <row r="32375" spans="1:2" x14ac:dyDescent="0.25">
      <c r="A32375" s="118"/>
      <c r="B32375" s="136"/>
    </row>
    <row r="32376" spans="1:2" x14ac:dyDescent="0.25">
      <c r="A32376" s="118"/>
      <c r="B32376" s="136"/>
    </row>
    <row r="32377" spans="1:2" x14ac:dyDescent="0.25">
      <c r="A32377" s="118"/>
      <c r="B32377" s="136"/>
    </row>
    <row r="32378" spans="1:2" x14ac:dyDescent="0.25">
      <c r="A32378" s="118"/>
      <c r="B32378" s="136"/>
    </row>
    <row r="32379" spans="1:2" x14ac:dyDescent="0.25">
      <c r="A32379" s="118"/>
      <c r="B32379" s="136"/>
    </row>
    <row r="32380" spans="1:2" x14ac:dyDescent="0.25">
      <c r="A32380" s="118"/>
      <c r="B32380" s="136"/>
    </row>
    <row r="32381" spans="1:2" x14ac:dyDescent="0.25">
      <c r="A32381" s="118"/>
      <c r="B32381" s="136"/>
    </row>
    <row r="32382" spans="1:2" x14ac:dyDescent="0.25">
      <c r="A32382" s="118"/>
      <c r="B32382" s="136"/>
    </row>
    <row r="32383" spans="1:2" x14ac:dyDescent="0.25">
      <c r="A32383" s="118"/>
      <c r="B32383" s="136"/>
    </row>
    <row r="32384" spans="1:2" x14ac:dyDescent="0.25">
      <c r="A32384" s="118"/>
      <c r="B32384" s="136"/>
    </row>
    <row r="32385" spans="1:2" x14ac:dyDescent="0.25">
      <c r="A32385" s="118"/>
      <c r="B32385" s="136"/>
    </row>
    <row r="32386" spans="1:2" x14ac:dyDescent="0.25">
      <c r="A32386" s="118"/>
      <c r="B32386" s="136"/>
    </row>
    <row r="32387" spans="1:2" x14ac:dyDescent="0.25">
      <c r="A32387" s="118"/>
      <c r="B32387" s="136"/>
    </row>
    <row r="32388" spans="1:2" x14ac:dyDescent="0.25">
      <c r="A32388" s="118"/>
      <c r="B32388" s="136"/>
    </row>
    <row r="32389" spans="1:2" x14ac:dyDescent="0.25">
      <c r="A32389" s="118"/>
      <c r="B32389" s="136"/>
    </row>
    <row r="32390" spans="1:2" x14ac:dyDescent="0.25">
      <c r="A32390" s="118"/>
      <c r="B32390" s="136"/>
    </row>
    <row r="32391" spans="1:2" x14ac:dyDescent="0.25">
      <c r="A32391" s="118"/>
      <c r="B32391" s="136"/>
    </row>
    <row r="32392" spans="1:2" x14ac:dyDescent="0.25">
      <c r="A32392" s="118"/>
      <c r="B32392" s="136"/>
    </row>
    <row r="32393" spans="1:2" x14ac:dyDescent="0.25">
      <c r="A32393" s="118"/>
      <c r="B32393" s="136"/>
    </row>
    <row r="32394" spans="1:2" x14ac:dyDescent="0.25">
      <c r="A32394" s="118"/>
      <c r="B32394" s="136"/>
    </row>
    <row r="32395" spans="1:2" x14ac:dyDescent="0.25">
      <c r="A32395" s="118"/>
      <c r="B32395" s="136"/>
    </row>
    <row r="32396" spans="1:2" x14ac:dyDescent="0.25">
      <c r="A32396" s="118"/>
      <c r="B32396" s="136"/>
    </row>
    <row r="32397" spans="1:2" x14ac:dyDescent="0.25">
      <c r="A32397" s="118"/>
      <c r="B32397" s="136"/>
    </row>
    <row r="32398" spans="1:2" x14ac:dyDescent="0.25">
      <c r="A32398" s="118"/>
      <c r="B32398" s="136"/>
    </row>
    <row r="32399" spans="1:2" x14ac:dyDescent="0.25">
      <c r="A32399" s="118"/>
      <c r="B32399" s="136"/>
    </row>
    <row r="32400" spans="1:2" x14ac:dyDescent="0.25">
      <c r="A32400" s="118"/>
      <c r="B32400" s="136"/>
    </row>
    <row r="32401" spans="1:2" x14ac:dyDescent="0.25">
      <c r="A32401" s="118"/>
      <c r="B32401" s="136"/>
    </row>
    <row r="32402" spans="1:2" x14ac:dyDescent="0.25">
      <c r="A32402" s="118"/>
      <c r="B32402" s="136"/>
    </row>
    <row r="32403" spans="1:2" x14ac:dyDescent="0.25">
      <c r="A32403" s="118"/>
      <c r="B32403" s="136"/>
    </row>
    <row r="32404" spans="1:2" x14ac:dyDescent="0.25">
      <c r="A32404" s="118"/>
      <c r="B32404" s="136"/>
    </row>
    <row r="32405" spans="1:2" x14ac:dyDescent="0.25">
      <c r="A32405" s="118"/>
      <c r="B32405" s="136"/>
    </row>
    <row r="32406" spans="1:2" x14ac:dyDescent="0.25">
      <c r="A32406" s="118"/>
      <c r="B32406" s="136"/>
    </row>
    <row r="32407" spans="1:2" x14ac:dyDescent="0.25">
      <c r="A32407" s="118"/>
      <c r="B32407" s="136"/>
    </row>
    <row r="32408" spans="1:2" x14ac:dyDescent="0.25">
      <c r="A32408" s="118"/>
      <c r="B32408" s="136"/>
    </row>
    <row r="32409" spans="1:2" x14ac:dyDescent="0.25">
      <c r="A32409" s="118"/>
      <c r="B32409" s="136"/>
    </row>
    <row r="32410" spans="1:2" x14ac:dyDescent="0.25">
      <c r="A32410" s="118"/>
      <c r="B32410" s="136"/>
    </row>
    <row r="32411" spans="1:2" x14ac:dyDescent="0.25">
      <c r="A32411" s="118"/>
      <c r="B32411" s="136"/>
    </row>
    <row r="32412" spans="1:2" x14ac:dyDescent="0.25">
      <c r="A32412" s="118"/>
      <c r="B32412" s="136"/>
    </row>
    <row r="32413" spans="1:2" x14ac:dyDescent="0.25">
      <c r="A32413" s="118"/>
      <c r="B32413" s="136"/>
    </row>
    <row r="32414" spans="1:2" x14ac:dyDescent="0.25">
      <c r="A32414" s="118"/>
      <c r="B32414" s="136"/>
    </row>
    <row r="32415" spans="1:2" x14ac:dyDescent="0.25">
      <c r="A32415" s="118"/>
      <c r="B32415" s="136"/>
    </row>
    <row r="32416" spans="1:2" x14ac:dyDescent="0.25">
      <c r="A32416" s="118"/>
      <c r="B32416" s="136"/>
    </row>
    <row r="32417" spans="1:2" x14ac:dyDescent="0.25">
      <c r="A32417" s="118"/>
      <c r="B32417" s="136"/>
    </row>
    <row r="32418" spans="1:2" x14ac:dyDescent="0.25">
      <c r="A32418" s="118"/>
      <c r="B32418" s="136"/>
    </row>
    <row r="32419" spans="1:2" x14ac:dyDescent="0.25">
      <c r="A32419" s="118"/>
      <c r="B32419" s="136"/>
    </row>
    <row r="32420" spans="1:2" x14ac:dyDescent="0.25">
      <c r="A32420" s="118"/>
      <c r="B32420" s="136"/>
    </row>
    <row r="32421" spans="1:2" x14ac:dyDescent="0.25">
      <c r="A32421" s="118"/>
      <c r="B32421" s="136"/>
    </row>
    <row r="32422" spans="1:2" x14ac:dyDescent="0.25">
      <c r="A32422" s="118"/>
      <c r="B32422" s="136"/>
    </row>
    <row r="32423" spans="1:2" x14ac:dyDescent="0.25">
      <c r="A32423" s="118"/>
      <c r="B32423" s="136"/>
    </row>
    <row r="32424" spans="1:2" x14ac:dyDescent="0.25">
      <c r="A32424" s="118"/>
      <c r="B32424" s="136"/>
    </row>
    <row r="32425" spans="1:2" x14ac:dyDescent="0.25">
      <c r="A32425" s="118"/>
      <c r="B32425" s="136"/>
    </row>
    <row r="32426" spans="1:2" x14ac:dyDescent="0.25">
      <c r="A32426" s="118"/>
      <c r="B32426" s="136"/>
    </row>
    <row r="32427" spans="1:2" x14ac:dyDescent="0.25">
      <c r="A32427" s="118"/>
      <c r="B32427" s="136"/>
    </row>
    <row r="32428" spans="1:2" x14ac:dyDescent="0.25">
      <c r="A32428" s="118"/>
      <c r="B32428" s="136"/>
    </row>
    <row r="32429" spans="1:2" x14ac:dyDescent="0.25">
      <c r="A32429" s="118"/>
      <c r="B32429" s="136"/>
    </row>
    <row r="32430" spans="1:2" x14ac:dyDescent="0.25">
      <c r="A32430" s="118"/>
      <c r="B32430" s="136"/>
    </row>
    <row r="32431" spans="1:2" x14ac:dyDescent="0.25">
      <c r="A32431" s="118"/>
      <c r="B32431" s="136"/>
    </row>
    <row r="32432" spans="1:2" x14ac:dyDescent="0.25">
      <c r="A32432" s="118"/>
      <c r="B32432" s="136"/>
    </row>
    <row r="32433" spans="1:2" x14ac:dyDescent="0.25">
      <c r="A32433" s="118"/>
      <c r="B32433" s="136"/>
    </row>
    <row r="32434" spans="1:2" x14ac:dyDescent="0.25">
      <c r="A32434" s="118"/>
      <c r="B32434" s="136"/>
    </row>
    <row r="32435" spans="1:2" x14ac:dyDescent="0.25">
      <c r="A32435" s="118"/>
      <c r="B32435" s="136"/>
    </row>
    <row r="32436" spans="1:2" x14ac:dyDescent="0.25">
      <c r="A32436" s="118"/>
      <c r="B32436" s="136"/>
    </row>
    <row r="32437" spans="1:2" x14ac:dyDescent="0.25">
      <c r="A32437" s="118"/>
      <c r="B32437" s="136"/>
    </row>
    <row r="32438" spans="1:2" x14ac:dyDescent="0.25">
      <c r="A32438" s="118"/>
      <c r="B32438" s="136"/>
    </row>
    <row r="32439" spans="1:2" x14ac:dyDescent="0.25">
      <c r="A32439" s="118"/>
      <c r="B32439" s="136"/>
    </row>
    <row r="32440" spans="1:2" x14ac:dyDescent="0.25">
      <c r="A32440" s="118"/>
      <c r="B32440" s="136"/>
    </row>
    <row r="32441" spans="1:2" x14ac:dyDescent="0.25">
      <c r="A32441" s="118"/>
      <c r="B32441" s="136"/>
    </row>
    <row r="32442" spans="1:2" x14ac:dyDescent="0.25">
      <c r="A32442" s="118"/>
      <c r="B32442" s="136"/>
    </row>
    <row r="32443" spans="1:2" x14ac:dyDescent="0.25">
      <c r="A32443" s="118"/>
      <c r="B32443" s="136"/>
    </row>
    <row r="32444" spans="1:2" x14ac:dyDescent="0.25">
      <c r="A32444" s="118"/>
      <c r="B32444" s="136"/>
    </row>
    <row r="32445" spans="1:2" x14ac:dyDescent="0.25">
      <c r="A32445" s="118"/>
      <c r="B32445" s="136"/>
    </row>
    <row r="32446" spans="1:2" x14ac:dyDescent="0.25">
      <c r="A32446" s="118"/>
      <c r="B32446" s="136"/>
    </row>
    <row r="32447" spans="1:2" x14ac:dyDescent="0.25">
      <c r="A32447" s="118"/>
      <c r="B32447" s="136"/>
    </row>
    <row r="32448" spans="1:2" x14ac:dyDescent="0.25">
      <c r="A32448" s="118"/>
      <c r="B32448" s="136"/>
    </row>
    <row r="32449" spans="1:2" x14ac:dyDescent="0.25">
      <c r="A32449" s="118"/>
      <c r="B32449" s="136"/>
    </row>
    <row r="32450" spans="1:2" x14ac:dyDescent="0.25">
      <c r="A32450" s="118"/>
      <c r="B32450" s="136"/>
    </row>
    <row r="32451" spans="1:2" x14ac:dyDescent="0.25">
      <c r="A32451" s="118"/>
      <c r="B32451" s="136"/>
    </row>
    <row r="32452" spans="1:2" x14ac:dyDescent="0.25">
      <c r="A32452" s="118"/>
      <c r="B32452" s="136"/>
    </row>
    <row r="32453" spans="1:2" x14ac:dyDescent="0.25">
      <c r="A32453" s="118"/>
      <c r="B32453" s="136"/>
    </row>
    <row r="32454" spans="1:2" x14ac:dyDescent="0.25">
      <c r="A32454" s="118"/>
      <c r="B32454" s="136"/>
    </row>
    <row r="32455" spans="1:2" x14ac:dyDescent="0.25">
      <c r="A32455" s="118"/>
      <c r="B32455" s="136"/>
    </row>
    <row r="32456" spans="1:2" x14ac:dyDescent="0.25">
      <c r="A32456" s="118"/>
      <c r="B32456" s="136"/>
    </row>
    <row r="32457" spans="1:2" x14ac:dyDescent="0.25">
      <c r="A32457" s="118"/>
      <c r="B32457" s="136"/>
    </row>
    <row r="32458" spans="1:2" x14ac:dyDescent="0.25">
      <c r="A32458" s="118"/>
      <c r="B32458" s="136"/>
    </row>
    <row r="32459" spans="1:2" x14ac:dyDescent="0.25">
      <c r="A32459" s="118"/>
      <c r="B32459" s="136"/>
    </row>
    <row r="32460" spans="1:2" x14ac:dyDescent="0.25">
      <c r="A32460" s="118"/>
      <c r="B32460" s="136"/>
    </row>
    <row r="32461" spans="1:2" x14ac:dyDescent="0.25">
      <c r="A32461" s="118"/>
      <c r="B32461" s="136"/>
    </row>
    <row r="32462" spans="1:2" x14ac:dyDescent="0.25">
      <c r="A32462" s="118"/>
      <c r="B32462" s="136"/>
    </row>
    <row r="32463" spans="1:2" x14ac:dyDescent="0.25">
      <c r="A32463" s="118"/>
      <c r="B32463" s="136"/>
    </row>
    <row r="32464" spans="1:2" x14ac:dyDescent="0.25">
      <c r="A32464" s="118"/>
      <c r="B32464" s="136"/>
    </row>
    <row r="32465" spans="1:2" x14ac:dyDescent="0.25">
      <c r="A32465" s="118"/>
      <c r="B32465" s="136"/>
    </row>
    <row r="32466" spans="1:2" x14ac:dyDescent="0.25">
      <c r="A32466" s="118"/>
      <c r="B32466" s="136"/>
    </row>
    <row r="32467" spans="1:2" x14ac:dyDescent="0.25">
      <c r="A32467" s="118"/>
      <c r="B32467" s="136"/>
    </row>
    <row r="32468" spans="1:2" x14ac:dyDescent="0.25">
      <c r="A32468" s="118"/>
      <c r="B32468" s="136"/>
    </row>
    <row r="32469" spans="1:2" x14ac:dyDescent="0.25">
      <c r="A32469" s="118"/>
      <c r="B32469" s="136"/>
    </row>
    <row r="32470" spans="1:2" x14ac:dyDescent="0.25">
      <c r="A32470" s="118"/>
      <c r="B32470" s="136"/>
    </row>
    <row r="32471" spans="1:2" x14ac:dyDescent="0.25">
      <c r="A32471" s="118"/>
      <c r="B32471" s="136"/>
    </row>
    <row r="32472" spans="1:2" x14ac:dyDescent="0.25">
      <c r="A32472" s="118"/>
      <c r="B32472" s="136"/>
    </row>
    <row r="32473" spans="1:2" x14ac:dyDescent="0.25">
      <c r="A32473" s="118"/>
      <c r="B32473" s="136"/>
    </row>
    <row r="32474" spans="1:2" x14ac:dyDescent="0.25">
      <c r="A32474" s="118"/>
      <c r="B32474" s="136"/>
    </row>
    <row r="32475" spans="1:2" x14ac:dyDescent="0.25">
      <c r="A32475" s="118"/>
      <c r="B32475" s="136"/>
    </row>
    <row r="32476" spans="1:2" x14ac:dyDescent="0.25">
      <c r="A32476" s="118"/>
      <c r="B32476" s="136"/>
    </row>
    <row r="32477" spans="1:2" x14ac:dyDescent="0.25">
      <c r="A32477" s="118"/>
      <c r="B32477" s="136"/>
    </row>
    <row r="32478" spans="1:2" x14ac:dyDescent="0.25">
      <c r="A32478" s="118"/>
      <c r="B32478" s="136"/>
    </row>
    <row r="32479" spans="1:2" x14ac:dyDescent="0.25">
      <c r="A32479" s="118"/>
      <c r="B32479" s="136"/>
    </row>
    <row r="32480" spans="1:2" x14ac:dyDescent="0.25">
      <c r="A32480" s="118"/>
      <c r="B32480" s="136"/>
    </row>
    <row r="32481" spans="1:2" x14ac:dyDescent="0.25">
      <c r="A32481" s="118"/>
      <c r="B32481" s="136"/>
    </row>
    <row r="32482" spans="1:2" x14ac:dyDescent="0.25">
      <c r="A32482" s="118"/>
      <c r="B32482" s="136"/>
    </row>
    <row r="32483" spans="1:2" x14ac:dyDescent="0.25">
      <c r="A32483" s="118"/>
      <c r="B32483" s="136"/>
    </row>
    <row r="32484" spans="1:2" x14ac:dyDescent="0.25">
      <c r="A32484" s="118"/>
      <c r="B32484" s="136"/>
    </row>
    <row r="32485" spans="1:2" x14ac:dyDescent="0.25">
      <c r="A32485" s="118"/>
      <c r="B32485" s="136"/>
    </row>
    <row r="32486" spans="1:2" x14ac:dyDescent="0.25">
      <c r="A32486" s="118"/>
      <c r="B32486" s="136"/>
    </row>
    <row r="32487" spans="1:2" x14ac:dyDescent="0.25">
      <c r="A32487" s="118"/>
      <c r="B32487" s="136"/>
    </row>
    <row r="32488" spans="1:2" x14ac:dyDescent="0.25">
      <c r="A32488" s="118"/>
      <c r="B32488" s="136"/>
    </row>
    <row r="32489" spans="1:2" x14ac:dyDescent="0.25">
      <c r="A32489" s="118"/>
      <c r="B32489" s="136"/>
    </row>
    <row r="32490" spans="1:2" x14ac:dyDescent="0.25">
      <c r="A32490" s="118"/>
      <c r="B32490" s="136"/>
    </row>
    <row r="32491" spans="1:2" x14ac:dyDescent="0.25">
      <c r="A32491" s="118"/>
      <c r="B32491" s="136"/>
    </row>
    <row r="32492" spans="1:2" x14ac:dyDescent="0.25">
      <c r="A32492" s="118"/>
      <c r="B32492" s="136"/>
    </row>
    <row r="32493" spans="1:2" x14ac:dyDescent="0.25">
      <c r="A32493" s="118"/>
      <c r="B32493" s="136"/>
    </row>
    <row r="32494" spans="1:2" x14ac:dyDescent="0.25">
      <c r="A32494" s="118"/>
      <c r="B32494" s="136"/>
    </row>
    <row r="32495" spans="1:2" x14ac:dyDescent="0.25">
      <c r="A32495" s="118"/>
      <c r="B32495" s="136"/>
    </row>
    <row r="32496" spans="1:2" x14ac:dyDescent="0.25">
      <c r="A32496" s="118"/>
      <c r="B32496" s="136"/>
    </row>
    <row r="32497" spans="1:2" x14ac:dyDescent="0.25">
      <c r="A32497" s="118"/>
      <c r="B32497" s="136"/>
    </row>
    <row r="32498" spans="1:2" x14ac:dyDescent="0.25">
      <c r="A32498" s="118"/>
      <c r="B32498" s="136"/>
    </row>
    <row r="32499" spans="1:2" x14ac:dyDescent="0.25">
      <c r="A32499" s="118"/>
      <c r="B32499" s="136"/>
    </row>
    <row r="32500" spans="1:2" x14ac:dyDescent="0.25">
      <c r="A32500" s="118"/>
      <c r="B32500" s="136"/>
    </row>
    <row r="32501" spans="1:2" x14ac:dyDescent="0.25">
      <c r="A32501" s="118"/>
      <c r="B32501" s="136"/>
    </row>
    <row r="32502" spans="1:2" x14ac:dyDescent="0.25">
      <c r="A32502" s="118"/>
      <c r="B32502" s="136"/>
    </row>
    <row r="32503" spans="1:2" x14ac:dyDescent="0.25">
      <c r="A32503" s="118"/>
      <c r="B32503" s="136"/>
    </row>
    <row r="32504" spans="1:2" x14ac:dyDescent="0.25">
      <c r="A32504" s="118"/>
      <c r="B32504" s="136"/>
    </row>
    <row r="32505" spans="1:2" x14ac:dyDescent="0.25">
      <c r="A32505" s="118"/>
      <c r="B32505" s="136"/>
    </row>
    <row r="32506" spans="1:2" x14ac:dyDescent="0.25">
      <c r="A32506" s="118"/>
      <c r="B32506" s="136"/>
    </row>
    <row r="32507" spans="1:2" x14ac:dyDescent="0.25">
      <c r="A32507" s="118"/>
      <c r="B32507" s="136"/>
    </row>
    <row r="32508" spans="1:2" x14ac:dyDescent="0.25">
      <c r="A32508" s="118"/>
      <c r="B32508" s="136"/>
    </row>
    <row r="32509" spans="1:2" x14ac:dyDescent="0.25">
      <c r="A32509" s="118"/>
      <c r="B32509" s="136"/>
    </row>
    <row r="32510" spans="1:2" x14ac:dyDescent="0.25">
      <c r="A32510" s="118"/>
      <c r="B32510" s="136"/>
    </row>
    <row r="32511" spans="1:2" x14ac:dyDescent="0.25">
      <c r="A32511" s="118"/>
      <c r="B32511" s="136"/>
    </row>
    <row r="32512" spans="1:2" x14ac:dyDescent="0.25">
      <c r="A32512" s="118"/>
      <c r="B32512" s="136"/>
    </row>
    <row r="32513" spans="1:2" x14ac:dyDescent="0.25">
      <c r="A32513" s="118"/>
      <c r="B32513" s="136"/>
    </row>
    <row r="32514" spans="1:2" x14ac:dyDescent="0.25">
      <c r="A32514" s="118"/>
      <c r="B32514" s="136"/>
    </row>
    <row r="32515" spans="1:2" x14ac:dyDescent="0.25">
      <c r="A32515" s="118"/>
      <c r="B32515" s="136"/>
    </row>
    <row r="32516" spans="1:2" x14ac:dyDescent="0.25">
      <c r="A32516" s="118"/>
      <c r="B32516" s="136"/>
    </row>
    <row r="32517" spans="1:2" x14ac:dyDescent="0.25">
      <c r="A32517" s="118"/>
      <c r="B32517" s="136"/>
    </row>
    <row r="32518" spans="1:2" x14ac:dyDescent="0.25">
      <c r="A32518" s="118"/>
      <c r="B32518" s="136"/>
    </row>
    <row r="32519" spans="1:2" x14ac:dyDescent="0.25">
      <c r="A32519" s="118"/>
      <c r="B32519" s="136"/>
    </row>
    <row r="32520" spans="1:2" x14ac:dyDescent="0.25">
      <c r="A32520" s="118"/>
      <c r="B32520" s="136"/>
    </row>
    <row r="32521" spans="1:2" x14ac:dyDescent="0.25">
      <c r="A32521" s="118"/>
      <c r="B32521" s="136"/>
    </row>
    <row r="32522" spans="1:2" x14ac:dyDescent="0.25">
      <c r="A32522" s="118"/>
      <c r="B32522" s="136"/>
    </row>
    <row r="32523" spans="1:2" x14ac:dyDescent="0.25">
      <c r="A32523" s="118"/>
      <c r="B32523" s="136"/>
    </row>
    <row r="32524" spans="1:2" x14ac:dyDescent="0.25">
      <c r="A32524" s="118"/>
      <c r="B32524" s="136"/>
    </row>
    <row r="32525" spans="1:2" x14ac:dyDescent="0.25">
      <c r="A32525" s="118"/>
      <c r="B32525" s="136"/>
    </row>
    <row r="32526" spans="1:2" x14ac:dyDescent="0.25">
      <c r="A32526" s="118"/>
      <c r="B32526" s="136"/>
    </row>
    <row r="32527" spans="1:2" x14ac:dyDescent="0.25">
      <c r="A32527" s="118"/>
      <c r="B32527" s="136"/>
    </row>
    <row r="32528" spans="1:2" x14ac:dyDescent="0.25">
      <c r="A32528" s="118"/>
      <c r="B32528" s="136"/>
    </row>
    <row r="32529" spans="1:2" x14ac:dyDescent="0.25">
      <c r="A32529" s="118"/>
      <c r="B32529" s="136"/>
    </row>
    <row r="32530" spans="1:2" x14ac:dyDescent="0.25">
      <c r="A32530" s="118"/>
      <c r="B32530" s="136"/>
    </row>
    <row r="32531" spans="1:2" x14ac:dyDescent="0.25">
      <c r="A32531" s="118"/>
      <c r="B32531" s="136"/>
    </row>
    <row r="32532" spans="1:2" x14ac:dyDescent="0.25">
      <c r="A32532" s="118"/>
      <c r="B32532" s="136"/>
    </row>
    <row r="32533" spans="1:2" x14ac:dyDescent="0.25">
      <c r="A32533" s="118"/>
      <c r="B32533" s="136"/>
    </row>
    <row r="32534" spans="1:2" x14ac:dyDescent="0.25">
      <c r="A32534" s="118"/>
      <c r="B32534" s="136"/>
    </row>
    <row r="32535" spans="1:2" x14ac:dyDescent="0.25">
      <c r="A32535" s="118"/>
      <c r="B32535" s="136"/>
    </row>
    <row r="32536" spans="1:2" x14ac:dyDescent="0.25">
      <c r="A32536" s="118"/>
      <c r="B32536" s="136"/>
    </row>
    <row r="32537" spans="1:2" x14ac:dyDescent="0.25">
      <c r="A32537" s="118"/>
      <c r="B32537" s="136"/>
    </row>
    <row r="32538" spans="1:2" x14ac:dyDescent="0.25">
      <c r="A32538" s="118"/>
      <c r="B32538" s="136"/>
    </row>
    <row r="32539" spans="1:2" x14ac:dyDescent="0.25">
      <c r="A32539" s="118"/>
      <c r="B32539" s="136"/>
    </row>
    <row r="32540" spans="1:2" x14ac:dyDescent="0.25">
      <c r="A32540" s="118"/>
      <c r="B32540" s="136"/>
    </row>
    <row r="32541" spans="1:2" x14ac:dyDescent="0.25">
      <c r="A32541" s="118"/>
      <c r="B32541" s="136"/>
    </row>
    <row r="32542" spans="1:2" x14ac:dyDescent="0.25">
      <c r="A32542" s="118"/>
      <c r="B32542" s="136"/>
    </row>
    <row r="32543" spans="1:2" x14ac:dyDescent="0.25">
      <c r="A32543" s="118"/>
      <c r="B32543" s="136"/>
    </row>
    <row r="32544" spans="1:2" x14ac:dyDescent="0.25">
      <c r="A32544" s="118"/>
      <c r="B32544" s="136"/>
    </row>
    <row r="32545" spans="1:2" x14ac:dyDescent="0.25">
      <c r="A32545" s="118"/>
      <c r="B32545" s="136"/>
    </row>
    <row r="32546" spans="1:2" x14ac:dyDescent="0.25">
      <c r="A32546" s="118"/>
      <c r="B32546" s="136"/>
    </row>
    <row r="32547" spans="1:2" x14ac:dyDescent="0.25">
      <c r="A32547" s="118"/>
      <c r="B32547" s="136"/>
    </row>
    <row r="32548" spans="1:2" x14ac:dyDescent="0.25">
      <c r="A32548" s="118"/>
      <c r="B32548" s="136"/>
    </row>
    <row r="32549" spans="1:2" x14ac:dyDescent="0.25">
      <c r="A32549" s="118"/>
      <c r="B32549" s="136"/>
    </row>
    <row r="32550" spans="1:2" x14ac:dyDescent="0.25">
      <c r="A32550" s="118"/>
      <c r="B32550" s="136"/>
    </row>
    <row r="32551" spans="1:2" x14ac:dyDescent="0.25">
      <c r="A32551" s="118"/>
      <c r="B32551" s="136"/>
    </row>
    <row r="32552" spans="1:2" x14ac:dyDescent="0.25">
      <c r="A32552" s="118"/>
      <c r="B32552" s="136"/>
    </row>
    <row r="32553" spans="1:2" x14ac:dyDescent="0.25">
      <c r="A32553" s="118"/>
      <c r="B32553" s="136"/>
    </row>
    <row r="32554" spans="1:2" x14ac:dyDescent="0.25">
      <c r="A32554" s="118"/>
      <c r="B32554" s="136"/>
    </row>
    <row r="32555" spans="1:2" x14ac:dyDescent="0.25">
      <c r="A32555" s="118"/>
      <c r="B32555" s="136"/>
    </row>
    <row r="32556" spans="1:2" x14ac:dyDescent="0.25">
      <c r="A32556" s="118"/>
      <c r="B32556" s="136"/>
    </row>
    <row r="32557" spans="1:2" x14ac:dyDescent="0.25">
      <c r="A32557" s="118"/>
      <c r="B32557" s="136"/>
    </row>
    <row r="32558" spans="1:2" x14ac:dyDescent="0.25">
      <c r="A32558" s="118"/>
      <c r="B32558" s="136"/>
    </row>
    <row r="32559" spans="1:2" x14ac:dyDescent="0.25">
      <c r="A32559" s="118"/>
      <c r="B32559" s="136"/>
    </row>
    <row r="32560" spans="1:2" x14ac:dyDescent="0.25">
      <c r="A32560" s="118"/>
      <c r="B32560" s="136"/>
    </row>
    <row r="32561" spans="1:2" x14ac:dyDescent="0.25">
      <c r="A32561" s="118"/>
      <c r="B32561" s="136"/>
    </row>
    <row r="32562" spans="1:2" x14ac:dyDescent="0.25">
      <c r="A32562" s="118"/>
      <c r="B32562" s="136"/>
    </row>
    <row r="32563" spans="1:2" x14ac:dyDescent="0.25">
      <c r="A32563" s="118"/>
      <c r="B32563" s="136"/>
    </row>
    <row r="32564" spans="1:2" x14ac:dyDescent="0.25">
      <c r="A32564" s="118"/>
      <c r="B32564" s="136"/>
    </row>
    <row r="32565" spans="1:2" x14ac:dyDescent="0.25">
      <c r="A32565" s="118"/>
      <c r="B32565" s="136"/>
    </row>
    <row r="32566" spans="1:2" x14ac:dyDescent="0.25">
      <c r="A32566" s="118"/>
      <c r="B32566" s="136"/>
    </row>
    <row r="32567" spans="1:2" x14ac:dyDescent="0.25">
      <c r="A32567" s="118"/>
      <c r="B32567" s="136"/>
    </row>
    <row r="32568" spans="1:2" x14ac:dyDescent="0.25">
      <c r="A32568" s="118"/>
      <c r="B32568" s="136"/>
    </row>
    <row r="32569" spans="1:2" x14ac:dyDescent="0.25">
      <c r="A32569" s="118"/>
      <c r="B32569" s="136"/>
    </row>
    <row r="32570" spans="1:2" x14ac:dyDescent="0.25">
      <c r="A32570" s="118"/>
      <c r="B32570" s="136"/>
    </row>
    <row r="32571" spans="1:2" x14ac:dyDescent="0.25">
      <c r="A32571" s="118"/>
      <c r="B32571" s="136"/>
    </row>
    <row r="32572" spans="1:2" x14ac:dyDescent="0.25">
      <c r="A32572" s="118"/>
      <c r="B32572" s="136"/>
    </row>
    <row r="32573" spans="1:2" x14ac:dyDescent="0.25">
      <c r="A32573" s="118"/>
      <c r="B32573" s="136"/>
    </row>
    <row r="32574" spans="1:2" x14ac:dyDescent="0.25">
      <c r="A32574" s="118"/>
      <c r="B32574" s="136"/>
    </row>
    <row r="32575" spans="1:2" x14ac:dyDescent="0.25">
      <c r="A32575" s="118"/>
      <c r="B32575" s="136"/>
    </row>
    <row r="32576" spans="1:2" x14ac:dyDescent="0.25">
      <c r="A32576" s="118"/>
      <c r="B32576" s="136"/>
    </row>
    <row r="32577" spans="1:2" x14ac:dyDescent="0.25">
      <c r="A32577" s="118"/>
      <c r="B32577" s="136"/>
    </row>
    <row r="32578" spans="1:2" x14ac:dyDescent="0.25">
      <c r="A32578" s="118"/>
      <c r="B32578" s="136"/>
    </row>
    <row r="32579" spans="1:2" x14ac:dyDescent="0.25">
      <c r="A32579" s="118"/>
      <c r="B32579" s="136"/>
    </row>
    <row r="32580" spans="1:2" x14ac:dyDescent="0.25">
      <c r="A32580" s="118"/>
      <c r="B32580" s="136"/>
    </row>
    <row r="32581" spans="1:2" x14ac:dyDescent="0.25">
      <c r="A32581" s="118"/>
      <c r="B32581" s="136"/>
    </row>
    <row r="32582" spans="1:2" x14ac:dyDescent="0.25">
      <c r="A32582" s="118"/>
      <c r="B32582" s="136"/>
    </row>
    <row r="32583" spans="1:2" x14ac:dyDescent="0.25">
      <c r="A32583" s="118"/>
      <c r="B32583" s="136"/>
    </row>
    <row r="32584" spans="1:2" x14ac:dyDescent="0.25">
      <c r="A32584" s="118"/>
      <c r="B32584" s="136"/>
    </row>
    <row r="32585" spans="1:2" x14ac:dyDescent="0.25">
      <c r="A32585" s="118"/>
      <c r="B32585" s="136"/>
    </row>
    <row r="32586" spans="1:2" x14ac:dyDescent="0.25">
      <c r="A32586" s="118"/>
      <c r="B32586" s="136"/>
    </row>
    <row r="32587" spans="1:2" x14ac:dyDescent="0.25">
      <c r="A32587" s="118"/>
      <c r="B32587" s="136"/>
    </row>
    <row r="32588" spans="1:2" x14ac:dyDescent="0.25">
      <c r="A32588" s="118"/>
      <c r="B32588" s="136"/>
    </row>
    <row r="32589" spans="1:2" x14ac:dyDescent="0.25">
      <c r="A32589" s="118"/>
      <c r="B32589" s="136"/>
    </row>
    <row r="32590" spans="1:2" x14ac:dyDescent="0.25">
      <c r="A32590" s="118"/>
      <c r="B32590" s="136"/>
    </row>
    <row r="32591" spans="1:2" x14ac:dyDescent="0.25">
      <c r="A32591" s="118"/>
      <c r="B32591" s="136"/>
    </row>
    <row r="32592" spans="1:2" x14ac:dyDescent="0.25">
      <c r="A32592" s="118"/>
      <c r="B32592" s="136"/>
    </row>
    <row r="32593" spans="1:2" x14ac:dyDescent="0.25">
      <c r="A32593" s="118"/>
      <c r="B32593" s="136"/>
    </row>
    <row r="32594" spans="1:2" x14ac:dyDescent="0.25">
      <c r="A32594" s="118"/>
      <c r="B32594" s="136"/>
    </row>
    <row r="32595" spans="1:2" x14ac:dyDescent="0.25">
      <c r="A32595" s="118"/>
      <c r="B32595" s="136"/>
    </row>
    <row r="32596" spans="1:2" x14ac:dyDescent="0.25">
      <c r="A32596" s="118"/>
      <c r="B32596" s="136"/>
    </row>
    <row r="32597" spans="1:2" x14ac:dyDescent="0.25">
      <c r="A32597" s="118"/>
      <c r="B32597" s="136"/>
    </row>
    <row r="32598" spans="1:2" x14ac:dyDescent="0.25">
      <c r="A32598" s="118"/>
      <c r="B32598" s="136"/>
    </row>
    <row r="32599" spans="1:2" x14ac:dyDescent="0.25">
      <c r="A32599" s="118"/>
      <c r="B32599" s="136"/>
    </row>
    <row r="32600" spans="1:2" x14ac:dyDescent="0.25">
      <c r="A32600" s="118"/>
      <c r="B32600" s="136"/>
    </row>
    <row r="32601" spans="1:2" x14ac:dyDescent="0.25">
      <c r="A32601" s="118"/>
      <c r="B32601" s="136"/>
    </row>
    <row r="32602" spans="1:2" x14ac:dyDescent="0.25">
      <c r="A32602" s="118"/>
      <c r="B32602" s="136"/>
    </row>
    <row r="32603" spans="1:2" x14ac:dyDescent="0.25">
      <c r="A32603" s="118"/>
      <c r="B32603" s="136"/>
    </row>
    <row r="32604" spans="1:2" x14ac:dyDescent="0.25">
      <c r="A32604" s="118"/>
      <c r="B32604" s="136"/>
    </row>
    <row r="32605" spans="1:2" x14ac:dyDescent="0.25">
      <c r="A32605" s="118"/>
      <c r="B32605" s="136"/>
    </row>
    <row r="32606" spans="1:2" x14ac:dyDescent="0.25">
      <c r="A32606" s="118"/>
      <c r="B32606" s="136"/>
    </row>
    <row r="32607" spans="1:2" x14ac:dyDescent="0.25">
      <c r="A32607" s="118"/>
      <c r="B32607" s="136"/>
    </row>
    <row r="32608" spans="1:2" x14ac:dyDescent="0.25">
      <c r="A32608" s="118"/>
      <c r="B32608" s="136"/>
    </row>
    <row r="32609" spans="1:2" x14ac:dyDescent="0.25">
      <c r="A32609" s="118"/>
      <c r="B32609" s="136"/>
    </row>
    <row r="32610" spans="1:2" x14ac:dyDescent="0.25">
      <c r="A32610" s="118"/>
      <c r="B32610" s="136"/>
    </row>
    <row r="32611" spans="1:2" x14ac:dyDescent="0.25">
      <c r="A32611" s="118"/>
      <c r="B32611" s="136"/>
    </row>
    <row r="32612" spans="1:2" x14ac:dyDescent="0.25">
      <c r="A32612" s="118"/>
      <c r="B32612" s="136"/>
    </row>
    <row r="32613" spans="1:2" x14ac:dyDescent="0.25">
      <c r="A32613" s="118"/>
      <c r="B32613" s="136"/>
    </row>
    <row r="32614" spans="1:2" x14ac:dyDescent="0.25">
      <c r="A32614" s="118"/>
      <c r="B32614" s="136"/>
    </row>
    <row r="32615" spans="1:2" x14ac:dyDescent="0.25">
      <c r="A32615" s="118"/>
      <c r="B32615" s="136"/>
    </row>
    <row r="32616" spans="1:2" x14ac:dyDescent="0.25">
      <c r="A32616" s="118"/>
      <c r="B32616" s="136"/>
    </row>
    <row r="32617" spans="1:2" x14ac:dyDescent="0.25">
      <c r="A32617" s="118"/>
      <c r="B32617" s="136"/>
    </row>
    <row r="32618" spans="1:2" x14ac:dyDescent="0.25">
      <c r="A32618" s="118"/>
      <c r="B32618" s="136"/>
    </row>
    <row r="32619" spans="1:2" x14ac:dyDescent="0.25">
      <c r="A32619" s="118"/>
      <c r="B32619" s="136"/>
    </row>
    <row r="32620" spans="1:2" x14ac:dyDescent="0.25">
      <c r="A32620" s="118"/>
      <c r="B32620" s="136"/>
    </row>
    <row r="32621" spans="1:2" x14ac:dyDescent="0.25">
      <c r="A32621" s="118"/>
      <c r="B32621" s="136"/>
    </row>
    <row r="32622" spans="1:2" x14ac:dyDescent="0.25">
      <c r="A32622" s="118"/>
      <c r="B32622" s="136"/>
    </row>
    <row r="32623" spans="1:2" x14ac:dyDescent="0.25">
      <c r="A32623" s="118"/>
      <c r="B32623" s="136"/>
    </row>
    <row r="32624" spans="1:2" x14ac:dyDescent="0.25">
      <c r="A32624" s="118"/>
      <c r="B32624" s="136"/>
    </row>
    <row r="32625" spans="1:2" x14ac:dyDescent="0.25">
      <c r="A32625" s="118"/>
      <c r="B32625" s="136"/>
    </row>
    <row r="32626" spans="1:2" x14ac:dyDescent="0.25">
      <c r="A32626" s="118"/>
      <c r="B32626" s="136"/>
    </row>
    <row r="32627" spans="1:2" x14ac:dyDescent="0.25">
      <c r="A32627" s="118"/>
      <c r="B32627" s="136"/>
    </row>
    <row r="32628" spans="1:2" x14ac:dyDescent="0.25">
      <c r="A32628" s="118"/>
      <c r="B32628" s="136"/>
    </row>
    <row r="32629" spans="1:2" x14ac:dyDescent="0.25">
      <c r="A32629" s="118"/>
      <c r="B32629" s="136"/>
    </row>
    <row r="32630" spans="1:2" x14ac:dyDescent="0.25">
      <c r="A32630" s="118"/>
      <c r="B32630" s="136"/>
    </row>
    <row r="32631" spans="1:2" x14ac:dyDescent="0.25">
      <c r="A32631" s="118"/>
      <c r="B32631" s="136"/>
    </row>
    <row r="32632" spans="1:2" x14ac:dyDescent="0.25">
      <c r="A32632" s="118"/>
      <c r="B32632" s="136"/>
    </row>
    <row r="32633" spans="1:2" x14ac:dyDescent="0.25">
      <c r="A32633" s="118"/>
      <c r="B32633" s="136"/>
    </row>
    <row r="32634" spans="1:2" x14ac:dyDescent="0.25">
      <c r="A32634" s="118"/>
      <c r="B32634" s="136"/>
    </row>
    <row r="32635" spans="1:2" x14ac:dyDescent="0.25">
      <c r="A32635" s="118"/>
      <c r="B32635" s="136"/>
    </row>
    <row r="32636" spans="1:2" x14ac:dyDescent="0.25">
      <c r="A32636" s="118"/>
      <c r="B32636" s="136"/>
    </row>
    <row r="32637" spans="1:2" x14ac:dyDescent="0.25">
      <c r="A32637" s="118"/>
      <c r="B32637" s="136"/>
    </row>
    <row r="32638" spans="1:2" x14ac:dyDescent="0.25">
      <c r="A32638" s="118"/>
      <c r="B32638" s="136"/>
    </row>
    <row r="32639" spans="1:2" x14ac:dyDescent="0.25">
      <c r="A32639" s="118"/>
      <c r="B32639" s="136"/>
    </row>
    <row r="32640" spans="1:2" x14ac:dyDescent="0.25">
      <c r="A32640" s="118"/>
      <c r="B32640" s="136"/>
    </row>
    <row r="32641" spans="1:2" x14ac:dyDescent="0.25">
      <c r="A32641" s="118"/>
      <c r="B32641" s="136"/>
    </row>
    <row r="32642" spans="1:2" x14ac:dyDescent="0.25">
      <c r="A32642" s="118"/>
      <c r="B32642" s="136"/>
    </row>
    <row r="32643" spans="1:2" x14ac:dyDescent="0.25">
      <c r="A32643" s="118"/>
      <c r="B32643" s="136"/>
    </row>
    <row r="32644" spans="1:2" x14ac:dyDescent="0.25">
      <c r="A32644" s="118"/>
      <c r="B32644" s="136"/>
    </row>
    <row r="32645" spans="1:2" x14ac:dyDescent="0.25">
      <c r="A32645" s="118"/>
      <c r="B32645" s="136"/>
    </row>
    <row r="32646" spans="1:2" x14ac:dyDescent="0.25">
      <c r="A32646" s="118"/>
      <c r="B32646" s="136"/>
    </row>
    <row r="32647" spans="1:2" x14ac:dyDescent="0.25">
      <c r="A32647" s="118"/>
      <c r="B32647" s="136"/>
    </row>
    <row r="32648" spans="1:2" x14ac:dyDescent="0.25">
      <c r="A32648" s="118"/>
      <c r="B32648" s="136"/>
    </row>
    <row r="32649" spans="1:2" x14ac:dyDescent="0.25">
      <c r="A32649" s="118"/>
      <c r="B32649" s="136"/>
    </row>
    <row r="32650" spans="1:2" x14ac:dyDescent="0.25">
      <c r="A32650" s="118"/>
      <c r="B32650" s="136"/>
    </row>
    <row r="32651" spans="1:2" x14ac:dyDescent="0.25">
      <c r="A32651" s="118"/>
      <c r="B32651" s="136"/>
    </row>
    <row r="32652" spans="1:2" x14ac:dyDescent="0.25">
      <c r="A32652" s="118"/>
      <c r="B32652" s="136"/>
    </row>
    <row r="32653" spans="1:2" x14ac:dyDescent="0.25">
      <c r="A32653" s="118"/>
      <c r="B32653" s="136"/>
    </row>
    <row r="32654" spans="1:2" x14ac:dyDescent="0.25">
      <c r="A32654" s="118"/>
      <c r="B32654" s="136"/>
    </row>
    <row r="32655" spans="1:2" x14ac:dyDescent="0.25">
      <c r="A32655" s="118"/>
      <c r="B32655" s="136"/>
    </row>
    <row r="32656" spans="1:2" x14ac:dyDescent="0.25">
      <c r="A32656" s="118"/>
      <c r="B32656" s="136"/>
    </row>
    <row r="32657" spans="1:2" x14ac:dyDescent="0.25">
      <c r="A32657" s="118"/>
      <c r="B32657" s="136"/>
    </row>
    <row r="32658" spans="1:2" x14ac:dyDescent="0.25">
      <c r="A32658" s="118"/>
      <c r="B32658" s="136"/>
    </row>
    <row r="32659" spans="1:2" x14ac:dyDescent="0.25">
      <c r="A32659" s="118"/>
      <c r="B32659" s="136"/>
    </row>
    <row r="32660" spans="1:2" x14ac:dyDescent="0.25">
      <c r="A32660" s="118"/>
      <c r="B32660" s="136"/>
    </row>
    <row r="32661" spans="1:2" x14ac:dyDescent="0.25">
      <c r="A32661" s="118"/>
      <c r="B32661" s="136"/>
    </row>
    <row r="32662" spans="1:2" x14ac:dyDescent="0.25">
      <c r="A32662" s="118"/>
      <c r="B32662" s="136"/>
    </row>
    <row r="32663" spans="1:2" x14ac:dyDescent="0.25">
      <c r="A32663" s="118"/>
      <c r="B32663" s="136"/>
    </row>
    <row r="32664" spans="1:2" x14ac:dyDescent="0.25">
      <c r="A32664" s="118"/>
      <c r="B32664" s="136"/>
    </row>
    <row r="32665" spans="1:2" x14ac:dyDescent="0.25">
      <c r="A32665" s="118"/>
      <c r="B32665" s="136"/>
    </row>
    <row r="32666" spans="1:2" x14ac:dyDescent="0.25">
      <c r="A32666" s="118"/>
      <c r="B32666" s="136"/>
    </row>
    <row r="32667" spans="1:2" x14ac:dyDescent="0.25">
      <c r="A32667" s="118"/>
      <c r="B32667" s="136"/>
    </row>
    <row r="32668" spans="1:2" x14ac:dyDescent="0.25">
      <c r="A32668" s="118"/>
      <c r="B32668" s="136"/>
    </row>
    <row r="32669" spans="1:2" x14ac:dyDescent="0.25">
      <c r="A32669" s="118"/>
      <c r="B32669" s="136"/>
    </row>
    <row r="32670" spans="1:2" x14ac:dyDescent="0.25">
      <c r="A32670" s="118"/>
      <c r="B32670" s="136"/>
    </row>
    <row r="32671" spans="1:2" x14ac:dyDescent="0.25">
      <c r="A32671" s="118"/>
      <c r="B32671" s="136"/>
    </row>
    <row r="32672" spans="1:2" x14ac:dyDescent="0.25">
      <c r="A32672" s="118"/>
      <c r="B32672" s="136"/>
    </row>
    <row r="32673" spans="1:2" x14ac:dyDescent="0.25">
      <c r="A32673" s="118"/>
      <c r="B32673" s="136"/>
    </row>
    <row r="32674" spans="1:2" x14ac:dyDescent="0.25">
      <c r="A32674" s="118"/>
      <c r="B32674" s="136"/>
    </row>
    <row r="32675" spans="1:2" x14ac:dyDescent="0.25">
      <c r="A32675" s="118"/>
      <c r="B32675" s="136"/>
    </row>
    <row r="32676" spans="1:2" x14ac:dyDescent="0.25">
      <c r="A32676" s="118"/>
      <c r="B32676" s="136"/>
    </row>
    <row r="32677" spans="1:2" x14ac:dyDescent="0.25">
      <c r="A32677" s="118"/>
      <c r="B32677" s="136"/>
    </row>
    <row r="32678" spans="1:2" x14ac:dyDescent="0.25">
      <c r="A32678" s="118"/>
      <c r="B32678" s="136"/>
    </row>
    <row r="32679" spans="1:2" x14ac:dyDescent="0.25">
      <c r="A32679" s="118"/>
      <c r="B32679" s="136"/>
    </row>
    <row r="32680" spans="1:2" x14ac:dyDescent="0.25">
      <c r="A32680" s="118"/>
      <c r="B32680" s="136"/>
    </row>
    <row r="32681" spans="1:2" x14ac:dyDescent="0.25">
      <c r="A32681" s="118"/>
      <c r="B32681" s="136"/>
    </row>
    <row r="32682" spans="1:2" x14ac:dyDescent="0.25">
      <c r="A32682" s="118"/>
      <c r="B32682" s="136"/>
    </row>
    <row r="32683" spans="1:2" x14ac:dyDescent="0.25">
      <c r="A32683" s="118"/>
      <c r="B32683" s="136"/>
    </row>
    <row r="32684" spans="1:2" x14ac:dyDescent="0.25">
      <c r="A32684" s="118"/>
      <c r="B32684" s="136"/>
    </row>
    <row r="32685" spans="1:2" x14ac:dyDescent="0.25">
      <c r="A32685" s="118"/>
      <c r="B32685" s="136"/>
    </row>
    <row r="32686" spans="1:2" x14ac:dyDescent="0.25">
      <c r="A32686" s="118"/>
      <c r="B32686" s="136"/>
    </row>
    <row r="32687" spans="1:2" x14ac:dyDescent="0.25">
      <c r="A32687" s="118"/>
      <c r="B32687" s="136"/>
    </row>
    <row r="32688" spans="1:2" x14ac:dyDescent="0.25">
      <c r="A32688" s="118"/>
      <c r="B32688" s="136"/>
    </row>
    <row r="32689" spans="1:2" x14ac:dyDescent="0.25">
      <c r="A32689" s="118"/>
      <c r="B32689" s="136"/>
    </row>
    <row r="32690" spans="1:2" x14ac:dyDescent="0.25">
      <c r="A32690" s="118"/>
      <c r="B32690" s="136"/>
    </row>
    <row r="32691" spans="1:2" x14ac:dyDescent="0.25">
      <c r="A32691" s="118"/>
      <c r="B32691" s="136"/>
    </row>
    <row r="32692" spans="1:2" x14ac:dyDescent="0.25">
      <c r="A32692" s="118"/>
      <c r="B32692" s="136"/>
    </row>
    <row r="32693" spans="1:2" x14ac:dyDescent="0.25">
      <c r="A32693" s="118"/>
      <c r="B32693" s="136"/>
    </row>
    <row r="32694" spans="1:2" x14ac:dyDescent="0.25">
      <c r="A32694" s="118"/>
      <c r="B32694" s="136"/>
    </row>
    <row r="32695" spans="1:2" x14ac:dyDescent="0.25">
      <c r="A32695" s="118"/>
      <c r="B32695" s="136"/>
    </row>
    <row r="32696" spans="1:2" x14ac:dyDescent="0.25">
      <c r="A32696" s="118"/>
      <c r="B32696" s="136"/>
    </row>
    <row r="32697" spans="1:2" x14ac:dyDescent="0.25">
      <c r="A32697" s="118"/>
      <c r="B32697" s="136"/>
    </row>
    <row r="32698" spans="1:2" x14ac:dyDescent="0.25">
      <c r="A32698" s="118"/>
      <c r="B32698" s="136"/>
    </row>
    <row r="32699" spans="1:2" x14ac:dyDescent="0.25">
      <c r="A32699" s="118"/>
      <c r="B32699" s="136"/>
    </row>
    <row r="32700" spans="1:2" x14ac:dyDescent="0.25">
      <c r="A32700" s="118"/>
      <c r="B32700" s="136"/>
    </row>
    <row r="32701" spans="1:2" x14ac:dyDescent="0.25">
      <c r="A32701" s="118"/>
      <c r="B32701" s="136"/>
    </row>
    <row r="32702" spans="1:2" x14ac:dyDescent="0.25">
      <c r="A32702" s="118"/>
      <c r="B32702" s="136"/>
    </row>
    <row r="32703" spans="1:2" x14ac:dyDescent="0.25">
      <c r="A32703" s="118"/>
      <c r="B32703" s="136"/>
    </row>
    <row r="32704" spans="1:2" x14ac:dyDescent="0.25">
      <c r="A32704" s="118"/>
      <c r="B32704" s="136"/>
    </row>
    <row r="32705" spans="1:2" x14ac:dyDescent="0.25">
      <c r="A32705" s="118"/>
      <c r="B32705" s="136"/>
    </row>
    <row r="32706" spans="1:2" x14ac:dyDescent="0.25">
      <c r="A32706" s="118"/>
      <c r="B32706" s="136"/>
    </row>
    <row r="32707" spans="1:2" x14ac:dyDescent="0.25">
      <c r="A32707" s="118"/>
      <c r="B32707" s="136"/>
    </row>
    <row r="32708" spans="1:2" x14ac:dyDescent="0.25">
      <c r="A32708" s="118"/>
      <c r="B32708" s="136"/>
    </row>
    <row r="32709" spans="1:2" x14ac:dyDescent="0.25">
      <c r="A32709" s="118"/>
      <c r="B32709" s="136"/>
    </row>
    <row r="32710" spans="1:2" x14ac:dyDescent="0.25">
      <c r="A32710" s="118"/>
      <c r="B32710" s="136"/>
    </row>
    <row r="32711" spans="1:2" x14ac:dyDescent="0.25">
      <c r="A32711" s="118"/>
      <c r="B32711" s="136"/>
    </row>
    <row r="32712" spans="1:2" x14ac:dyDescent="0.25">
      <c r="A32712" s="118"/>
      <c r="B32712" s="136"/>
    </row>
    <row r="32713" spans="1:2" x14ac:dyDescent="0.25">
      <c r="A32713" s="118"/>
      <c r="B32713" s="136"/>
    </row>
    <row r="32714" spans="1:2" x14ac:dyDescent="0.25">
      <c r="A32714" s="118"/>
      <c r="B32714" s="136"/>
    </row>
    <row r="32715" spans="1:2" x14ac:dyDescent="0.25">
      <c r="A32715" s="118"/>
      <c r="B32715" s="136"/>
    </row>
    <row r="32716" spans="1:2" x14ac:dyDescent="0.25">
      <c r="A32716" s="118"/>
      <c r="B32716" s="136"/>
    </row>
    <row r="32717" spans="1:2" x14ac:dyDescent="0.25">
      <c r="A32717" s="118"/>
      <c r="B32717" s="136"/>
    </row>
    <row r="32718" spans="1:2" x14ac:dyDescent="0.25">
      <c r="A32718" s="118"/>
      <c r="B32718" s="136"/>
    </row>
    <row r="32719" spans="1:2" x14ac:dyDescent="0.25">
      <c r="A32719" s="118"/>
      <c r="B32719" s="136"/>
    </row>
    <row r="32720" spans="1:2" x14ac:dyDescent="0.25">
      <c r="A32720" s="118"/>
      <c r="B32720" s="136"/>
    </row>
    <row r="32721" spans="1:2" x14ac:dyDescent="0.25">
      <c r="A32721" s="118"/>
      <c r="B32721" s="136"/>
    </row>
    <row r="32722" spans="1:2" x14ac:dyDescent="0.25">
      <c r="A32722" s="118"/>
      <c r="B32722" s="136"/>
    </row>
    <row r="32723" spans="1:2" x14ac:dyDescent="0.25">
      <c r="A32723" s="118"/>
      <c r="B32723" s="136"/>
    </row>
    <row r="32724" spans="1:2" x14ac:dyDescent="0.25">
      <c r="A32724" s="118"/>
      <c r="B32724" s="136"/>
    </row>
    <row r="32725" spans="1:2" x14ac:dyDescent="0.25">
      <c r="A32725" s="118"/>
      <c r="B32725" s="136"/>
    </row>
    <row r="32726" spans="1:2" x14ac:dyDescent="0.25">
      <c r="A32726" s="118"/>
      <c r="B32726" s="136"/>
    </row>
    <row r="32727" spans="1:2" x14ac:dyDescent="0.25">
      <c r="A32727" s="118"/>
      <c r="B32727" s="136"/>
    </row>
    <row r="32728" spans="1:2" x14ac:dyDescent="0.25">
      <c r="A32728" s="118"/>
      <c r="B32728" s="136"/>
    </row>
    <row r="32729" spans="1:2" x14ac:dyDescent="0.25">
      <c r="A32729" s="118"/>
      <c r="B32729" s="136"/>
    </row>
    <row r="32730" spans="1:2" x14ac:dyDescent="0.25">
      <c r="A32730" s="118"/>
      <c r="B32730" s="136"/>
    </row>
    <row r="32731" spans="1:2" x14ac:dyDescent="0.25">
      <c r="A32731" s="118"/>
      <c r="B32731" s="136"/>
    </row>
    <row r="32732" spans="1:2" x14ac:dyDescent="0.25">
      <c r="A32732" s="118"/>
      <c r="B32732" s="136"/>
    </row>
    <row r="32733" spans="1:2" x14ac:dyDescent="0.25">
      <c r="A32733" s="118"/>
      <c r="B32733" s="136"/>
    </row>
    <row r="32734" spans="1:2" x14ac:dyDescent="0.25">
      <c r="A32734" s="118"/>
      <c r="B32734" s="136"/>
    </row>
    <row r="32735" spans="1:2" x14ac:dyDescent="0.25">
      <c r="A32735" s="118"/>
      <c r="B32735" s="136"/>
    </row>
    <row r="32736" spans="1:2" x14ac:dyDescent="0.25">
      <c r="A32736" s="118"/>
      <c r="B32736" s="136"/>
    </row>
    <row r="32737" spans="1:2" x14ac:dyDescent="0.25">
      <c r="A32737" s="118"/>
      <c r="B32737" s="136"/>
    </row>
    <row r="32738" spans="1:2" x14ac:dyDescent="0.25">
      <c r="A32738" s="118"/>
      <c r="B32738" s="136"/>
    </row>
    <row r="32739" spans="1:2" x14ac:dyDescent="0.25">
      <c r="A32739" s="118"/>
      <c r="B32739" s="136"/>
    </row>
    <row r="32740" spans="1:2" x14ac:dyDescent="0.25">
      <c r="A32740" s="118"/>
      <c r="B32740" s="136"/>
    </row>
    <row r="32741" spans="1:2" x14ac:dyDescent="0.25">
      <c r="A32741" s="118"/>
      <c r="B32741" s="136"/>
    </row>
    <row r="32742" spans="1:2" x14ac:dyDescent="0.25">
      <c r="A32742" s="118"/>
      <c r="B32742" s="136"/>
    </row>
    <row r="32743" spans="1:2" x14ac:dyDescent="0.25">
      <c r="A32743" s="118"/>
      <c r="B32743" s="136"/>
    </row>
    <row r="32744" spans="1:2" x14ac:dyDescent="0.25">
      <c r="A32744" s="118"/>
      <c r="B32744" s="136"/>
    </row>
    <row r="32745" spans="1:2" x14ac:dyDescent="0.25">
      <c r="A32745" s="118"/>
      <c r="B32745" s="136"/>
    </row>
    <row r="32746" spans="1:2" x14ac:dyDescent="0.25">
      <c r="A32746" s="118"/>
      <c r="B32746" s="136"/>
    </row>
    <row r="32747" spans="1:2" x14ac:dyDescent="0.25">
      <c r="A32747" s="118"/>
      <c r="B32747" s="136"/>
    </row>
    <row r="32748" spans="1:2" x14ac:dyDescent="0.25">
      <c r="A32748" s="118"/>
      <c r="B32748" s="136"/>
    </row>
    <row r="32749" spans="1:2" x14ac:dyDescent="0.25">
      <c r="A32749" s="118"/>
      <c r="B32749" s="136"/>
    </row>
    <row r="32750" spans="1:2" x14ac:dyDescent="0.25">
      <c r="A32750" s="118"/>
      <c r="B32750" s="136"/>
    </row>
    <row r="32751" spans="1:2" x14ac:dyDescent="0.25">
      <c r="A32751" s="118"/>
      <c r="B32751" s="136"/>
    </row>
    <row r="32752" spans="1:2" x14ac:dyDescent="0.25">
      <c r="A32752" s="118"/>
      <c r="B32752" s="136"/>
    </row>
    <row r="32753" spans="1:2" x14ac:dyDescent="0.25">
      <c r="A32753" s="118"/>
      <c r="B32753" s="136"/>
    </row>
    <row r="32754" spans="1:2" x14ac:dyDescent="0.25">
      <c r="A32754" s="118"/>
      <c r="B32754" s="136"/>
    </row>
    <row r="32755" spans="1:2" x14ac:dyDescent="0.25">
      <c r="A32755" s="118"/>
      <c r="B32755" s="136"/>
    </row>
    <row r="32756" spans="1:2" x14ac:dyDescent="0.25">
      <c r="A32756" s="118"/>
      <c r="B32756" s="136"/>
    </row>
    <row r="32757" spans="1:2" x14ac:dyDescent="0.25">
      <c r="A32757" s="118"/>
      <c r="B32757" s="136"/>
    </row>
    <row r="32758" spans="1:2" x14ac:dyDescent="0.25">
      <c r="A32758" s="118"/>
      <c r="B32758" s="136"/>
    </row>
    <row r="32759" spans="1:2" x14ac:dyDescent="0.25">
      <c r="A32759" s="118"/>
      <c r="B32759" s="136"/>
    </row>
    <row r="32760" spans="1:2" x14ac:dyDescent="0.25">
      <c r="A32760" s="118"/>
      <c r="B32760" s="136"/>
    </row>
    <row r="32761" spans="1:2" x14ac:dyDescent="0.25">
      <c r="A32761" s="118"/>
      <c r="B32761" s="136"/>
    </row>
    <row r="32762" spans="1:2" x14ac:dyDescent="0.25">
      <c r="A32762" s="118"/>
      <c r="B32762" s="136"/>
    </row>
    <row r="32763" spans="1:2" x14ac:dyDescent="0.25">
      <c r="A32763" s="118"/>
      <c r="B32763" s="136"/>
    </row>
    <row r="32764" spans="1:2" x14ac:dyDescent="0.25">
      <c r="A32764" s="118"/>
      <c r="B32764" s="136"/>
    </row>
    <row r="32765" spans="1:2" x14ac:dyDescent="0.25">
      <c r="A32765" s="118"/>
      <c r="B32765" s="136"/>
    </row>
    <row r="32766" spans="1:2" x14ac:dyDescent="0.25">
      <c r="A32766" s="118"/>
      <c r="B32766" s="136"/>
    </row>
    <row r="32767" spans="1:2" x14ac:dyDescent="0.25">
      <c r="A32767" s="118"/>
      <c r="B32767" s="136"/>
    </row>
    <row r="32768" spans="1:2" x14ac:dyDescent="0.25">
      <c r="A32768" s="118"/>
      <c r="B32768" s="136"/>
    </row>
    <row r="32769" spans="1:2" x14ac:dyDescent="0.25">
      <c r="A32769" s="118"/>
      <c r="B32769" s="136"/>
    </row>
    <row r="32770" spans="1:2" x14ac:dyDescent="0.25">
      <c r="A32770" s="118"/>
      <c r="B32770" s="136"/>
    </row>
    <row r="32771" spans="1:2" x14ac:dyDescent="0.25">
      <c r="A32771" s="118"/>
      <c r="B32771" s="136"/>
    </row>
    <row r="32772" spans="1:2" x14ac:dyDescent="0.25">
      <c r="A32772" s="118"/>
      <c r="B32772" s="136"/>
    </row>
    <row r="32773" spans="1:2" x14ac:dyDescent="0.25">
      <c r="A32773" s="118"/>
      <c r="B32773" s="136"/>
    </row>
    <row r="32774" spans="1:2" x14ac:dyDescent="0.25">
      <c r="A32774" s="118"/>
      <c r="B32774" s="136"/>
    </row>
    <row r="32775" spans="1:2" x14ac:dyDescent="0.25">
      <c r="A32775" s="118"/>
      <c r="B32775" s="136"/>
    </row>
    <row r="32776" spans="1:2" x14ac:dyDescent="0.25">
      <c r="A32776" s="118"/>
      <c r="B32776" s="136"/>
    </row>
    <row r="32777" spans="1:2" x14ac:dyDescent="0.25">
      <c r="A32777" s="118"/>
      <c r="B32777" s="136"/>
    </row>
    <row r="32778" spans="1:2" x14ac:dyDescent="0.25">
      <c r="A32778" s="118"/>
      <c r="B32778" s="136"/>
    </row>
    <row r="32779" spans="1:2" x14ac:dyDescent="0.25">
      <c r="A32779" s="118"/>
      <c r="B32779" s="136"/>
    </row>
    <row r="32780" spans="1:2" x14ac:dyDescent="0.25">
      <c r="A32780" s="118"/>
      <c r="B32780" s="136"/>
    </row>
    <row r="32781" spans="1:2" x14ac:dyDescent="0.25">
      <c r="A32781" s="118"/>
      <c r="B32781" s="136"/>
    </row>
    <row r="32782" spans="1:2" x14ac:dyDescent="0.25">
      <c r="A32782" s="118"/>
      <c r="B32782" s="136"/>
    </row>
    <row r="32783" spans="1:2" x14ac:dyDescent="0.25">
      <c r="A32783" s="118"/>
      <c r="B32783" s="136"/>
    </row>
    <row r="32784" spans="1:2" x14ac:dyDescent="0.25">
      <c r="A32784" s="118"/>
      <c r="B32784" s="136"/>
    </row>
    <row r="32785" spans="1:2" x14ac:dyDescent="0.25">
      <c r="A32785" s="118"/>
      <c r="B32785" s="136"/>
    </row>
    <row r="32786" spans="1:2" x14ac:dyDescent="0.25">
      <c r="A32786" s="118"/>
      <c r="B32786" s="136"/>
    </row>
    <row r="32787" spans="1:2" x14ac:dyDescent="0.25">
      <c r="A32787" s="118"/>
      <c r="B32787" s="136"/>
    </row>
    <row r="32788" spans="1:2" x14ac:dyDescent="0.25">
      <c r="A32788" s="118"/>
      <c r="B32788" s="136"/>
    </row>
    <row r="32789" spans="1:2" x14ac:dyDescent="0.25">
      <c r="A32789" s="118"/>
      <c r="B32789" s="136"/>
    </row>
    <row r="32790" spans="1:2" x14ac:dyDescent="0.25">
      <c r="A32790" s="118"/>
      <c r="B32790" s="136"/>
    </row>
    <row r="32791" spans="1:2" x14ac:dyDescent="0.25">
      <c r="A32791" s="118"/>
      <c r="B32791" s="136"/>
    </row>
    <row r="32792" spans="1:2" x14ac:dyDescent="0.25">
      <c r="A32792" s="118"/>
      <c r="B32792" s="136"/>
    </row>
    <row r="32793" spans="1:2" x14ac:dyDescent="0.25">
      <c r="A32793" s="118"/>
      <c r="B32793" s="136"/>
    </row>
    <row r="32794" spans="1:2" x14ac:dyDescent="0.25">
      <c r="A32794" s="118"/>
      <c r="B32794" s="136"/>
    </row>
    <row r="32795" spans="1:2" x14ac:dyDescent="0.25">
      <c r="A32795" s="118"/>
      <c r="B32795" s="136"/>
    </row>
    <row r="32796" spans="1:2" x14ac:dyDescent="0.25">
      <c r="A32796" s="118"/>
      <c r="B32796" s="136"/>
    </row>
    <row r="32797" spans="1:2" x14ac:dyDescent="0.25">
      <c r="A32797" s="118"/>
      <c r="B32797" s="136"/>
    </row>
    <row r="32798" spans="1:2" x14ac:dyDescent="0.25">
      <c r="A32798" s="118"/>
      <c r="B32798" s="136"/>
    </row>
    <row r="32799" spans="1:2" x14ac:dyDescent="0.25">
      <c r="A32799" s="118"/>
      <c r="B32799" s="136"/>
    </row>
    <row r="32800" spans="1:2" x14ac:dyDescent="0.25">
      <c r="A32800" s="118"/>
      <c r="B32800" s="136"/>
    </row>
    <row r="32801" spans="1:2" x14ac:dyDescent="0.25">
      <c r="A32801" s="118"/>
      <c r="B32801" s="136"/>
    </row>
    <row r="32802" spans="1:2" x14ac:dyDescent="0.25">
      <c r="A32802" s="118"/>
      <c r="B32802" s="136"/>
    </row>
    <row r="32803" spans="1:2" x14ac:dyDescent="0.25">
      <c r="A32803" s="118"/>
      <c r="B32803" s="136"/>
    </row>
    <row r="32804" spans="1:2" x14ac:dyDescent="0.25">
      <c r="A32804" s="118"/>
      <c r="B32804" s="136"/>
    </row>
    <row r="32805" spans="1:2" x14ac:dyDescent="0.25">
      <c r="A32805" s="118"/>
      <c r="B32805" s="136"/>
    </row>
    <row r="32806" spans="1:2" x14ac:dyDescent="0.25">
      <c r="A32806" s="118"/>
      <c r="B32806" s="136"/>
    </row>
    <row r="32807" spans="1:2" x14ac:dyDescent="0.25">
      <c r="A32807" s="118"/>
      <c r="B32807" s="136"/>
    </row>
    <row r="32808" spans="1:2" x14ac:dyDescent="0.25">
      <c r="A32808" s="118"/>
      <c r="B32808" s="136"/>
    </row>
    <row r="32809" spans="1:2" x14ac:dyDescent="0.25">
      <c r="A32809" s="118"/>
      <c r="B32809" s="136"/>
    </row>
    <row r="32810" spans="1:2" x14ac:dyDescent="0.25">
      <c r="A32810" s="118"/>
      <c r="B32810" s="136"/>
    </row>
    <row r="32811" spans="1:2" x14ac:dyDescent="0.25">
      <c r="A32811" s="118"/>
      <c r="B32811" s="136"/>
    </row>
    <row r="32812" spans="1:2" x14ac:dyDescent="0.25">
      <c r="A32812" s="118"/>
      <c r="B32812" s="136"/>
    </row>
    <row r="32813" spans="1:2" x14ac:dyDescent="0.25">
      <c r="A32813" s="118"/>
      <c r="B32813" s="136"/>
    </row>
    <row r="32814" spans="1:2" x14ac:dyDescent="0.25">
      <c r="A32814" s="118"/>
      <c r="B32814" s="136"/>
    </row>
    <row r="32815" spans="1:2" x14ac:dyDescent="0.25">
      <c r="A32815" s="118"/>
      <c r="B32815" s="136"/>
    </row>
    <row r="32816" spans="1:2" x14ac:dyDescent="0.25">
      <c r="A32816" s="118"/>
      <c r="B32816" s="136"/>
    </row>
    <row r="32817" spans="1:2" x14ac:dyDescent="0.25">
      <c r="A32817" s="118"/>
      <c r="B32817" s="136"/>
    </row>
    <row r="32818" spans="1:2" x14ac:dyDescent="0.25">
      <c r="A32818" s="118"/>
      <c r="B32818" s="136"/>
    </row>
    <row r="32819" spans="1:2" x14ac:dyDescent="0.25">
      <c r="A32819" s="118"/>
      <c r="B32819" s="136"/>
    </row>
    <row r="32820" spans="1:2" x14ac:dyDescent="0.25">
      <c r="A32820" s="118"/>
      <c r="B32820" s="136"/>
    </row>
    <row r="32821" spans="1:2" x14ac:dyDescent="0.25">
      <c r="A32821" s="118"/>
      <c r="B32821" s="136"/>
    </row>
    <row r="32822" spans="1:2" x14ac:dyDescent="0.25">
      <c r="A32822" s="118"/>
      <c r="B32822" s="136"/>
    </row>
    <row r="32823" spans="1:2" x14ac:dyDescent="0.25">
      <c r="A32823" s="118"/>
      <c r="B32823" s="136"/>
    </row>
    <row r="32824" spans="1:2" x14ac:dyDescent="0.25">
      <c r="A32824" s="118"/>
      <c r="B32824" s="136"/>
    </row>
    <row r="32825" spans="1:2" x14ac:dyDescent="0.25">
      <c r="A32825" s="118"/>
      <c r="B32825" s="136"/>
    </row>
    <row r="32826" spans="1:2" x14ac:dyDescent="0.25">
      <c r="A32826" s="118"/>
      <c r="B32826" s="136"/>
    </row>
    <row r="32827" spans="1:2" x14ac:dyDescent="0.25">
      <c r="A32827" s="118"/>
      <c r="B32827" s="136"/>
    </row>
    <row r="32828" spans="1:2" x14ac:dyDescent="0.25">
      <c r="A32828" s="118"/>
      <c r="B32828" s="136"/>
    </row>
    <row r="32829" spans="1:2" x14ac:dyDescent="0.25">
      <c r="A32829" s="118"/>
      <c r="B32829" s="136"/>
    </row>
    <row r="32830" spans="1:2" x14ac:dyDescent="0.25">
      <c r="A32830" s="118"/>
      <c r="B32830" s="136"/>
    </row>
    <row r="32831" spans="1:2" x14ac:dyDescent="0.25">
      <c r="A32831" s="118"/>
      <c r="B32831" s="136"/>
    </row>
    <row r="32832" spans="1:2" x14ac:dyDescent="0.25">
      <c r="A32832" s="118"/>
      <c r="B32832" s="136"/>
    </row>
    <row r="32833" spans="1:2" x14ac:dyDescent="0.25">
      <c r="A32833" s="118"/>
      <c r="B32833" s="136"/>
    </row>
    <row r="32834" spans="1:2" x14ac:dyDescent="0.25">
      <c r="A32834" s="118"/>
      <c r="B32834" s="136"/>
    </row>
    <row r="32835" spans="1:2" x14ac:dyDescent="0.25">
      <c r="A32835" s="118"/>
      <c r="B32835" s="136"/>
    </row>
    <row r="32836" spans="1:2" x14ac:dyDescent="0.25">
      <c r="A32836" s="118"/>
      <c r="B32836" s="136"/>
    </row>
    <row r="32837" spans="1:2" x14ac:dyDescent="0.25">
      <c r="A32837" s="118"/>
      <c r="B32837" s="136"/>
    </row>
    <row r="32838" spans="1:2" x14ac:dyDescent="0.25">
      <c r="A32838" s="118"/>
      <c r="B32838" s="136"/>
    </row>
    <row r="32839" spans="1:2" x14ac:dyDescent="0.25">
      <c r="A32839" s="118"/>
      <c r="B32839" s="136"/>
    </row>
    <row r="32840" spans="1:2" x14ac:dyDescent="0.25">
      <c r="A32840" s="118"/>
      <c r="B32840" s="136"/>
    </row>
    <row r="32841" spans="1:2" x14ac:dyDescent="0.25">
      <c r="A32841" s="118"/>
      <c r="B32841" s="136"/>
    </row>
    <row r="32842" spans="1:2" x14ac:dyDescent="0.25">
      <c r="A32842" s="118"/>
      <c r="B32842" s="136"/>
    </row>
    <row r="32843" spans="1:2" x14ac:dyDescent="0.25">
      <c r="A32843" s="118"/>
      <c r="B32843" s="136"/>
    </row>
    <row r="32844" spans="1:2" x14ac:dyDescent="0.25">
      <c r="A32844" s="118"/>
      <c r="B32844" s="136"/>
    </row>
    <row r="32845" spans="1:2" x14ac:dyDescent="0.25">
      <c r="A32845" s="118"/>
      <c r="B32845" s="136"/>
    </row>
    <row r="32846" spans="1:2" x14ac:dyDescent="0.25">
      <c r="A32846" s="118"/>
      <c r="B32846" s="136"/>
    </row>
    <row r="32847" spans="1:2" x14ac:dyDescent="0.25">
      <c r="A32847" s="118"/>
      <c r="B32847" s="136"/>
    </row>
    <row r="32848" spans="1:2" x14ac:dyDescent="0.25">
      <c r="A32848" s="118"/>
      <c r="B32848" s="136"/>
    </row>
    <row r="32849" spans="1:2" x14ac:dyDescent="0.25">
      <c r="A32849" s="118"/>
      <c r="B32849" s="136"/>
    </row>
    <row r="32850" spans="1:2" x14ac:dyDescent="0.25">
      <c r="A32850" s="118"/>
      <c r="B32850" s="136"/>
    </row>
    <row r="32851" spans="1:2" x14ac:dyDescent="0.25">
      <c r="A32851" s="118"/>
      <c r="B32851" s="136"/>
    </row>
    <row r="32852" spans="1:2" x14ac:dyDescent="0.25">
      <c r="A32852" s="118"/>
      <c r="B32852" s="136"/>
    </row>
    <row r="32853" spans="1:2" x14ac:dyDescent="0.25">
      <c r="A32853" s="118"/>
      <c r="B32853" s="136"/>
    </row>
    <row r="32854" spans="1:2" x14ac:dyDescent="0.25">
      <c r="A32854" s="118"/>
      <c r="B32854" s="136"/>
    </row>
    <row r="32855" spans="1:2" x14ac:dyDescent="0.25">
      <c r="A32855" s="118"/>
      <c r="B32855" s="136"/>
    </row>
    <row r="32856" spans="1:2" x14ac:dyDescent="0.25">
      <c r="A32856" s="118"/>
      <c r="B32856" s="136"/>
    </row>
    <row r="32857" spans="1:2" x14ac:dyDescent="0.25">
      <c r="A32857" s="118"/>
      <c r="B32857" s="136"/>
    </row>
    <row r="32858" spans="1:2" x14ac:dyDescent="0.25">
      <c r="A32858" s="118"/>
      <c r="B32858" s="136"/>
    </row>
    <row r="32859" spans="1:2" x14ac:dyDescent="0.25">
      <c r="A32859" s="118"/>
      <c r="B32859" s="136"/>
    </row>
    <row r="32860" spans="1:2" x14ac:dyDescent="0.25">
      <c r="A32860" s="118"/>
      <c r="B32860" s="136"/>
    </row>
    <row r="32861" spans="1:2" x14ac:dyDescent="0.25">
      <c r="A32861" s="118"/>
      <c r="B32861" s="136"/>
    </row>
    <row r="32862" spans="1:2" x14ac:dyDescent="0.25">
      <c r="A32862" s="118"/>
      <c r="B32862" s="136"/>
    </row>
    <row r="32863" spans="1:2" x14ac:dyDescent="0.25">
      <c r="A32863" s="118"/>
      <c r="B32863" s="136"/>
    </row>
    <row r="32864" spans="1:2" x14ac:dyDescent="0.25">
      <c r="A32864" s="118"/>
      <c r="B32864" s="136"/>
    </row>
    <row r="32865" spans="1:2" x14ac:dyDescent="0.25">
      <c r="A32865" s="118"/>
      <c r="B32865" s="136"/>
    </row>
    <row r="32866" spans="1:2" x14ac:dyDescent="0.25">
      <c r="A32866" s="118"/>
      <c r="B32866" s="136"/>
    </row>
    <row r="32867" spans="1:2" x14ac:dyDescent="0.25">
      <c r="A32867" s="118"/>
      <c r="B32867" s="136"/>
    </row>
    <row r="32868" spans="1:2" x14ac:dyDescent="0.25">
      <c r="A32868" s="118"/>
      <c r="B32868" s="136"/>
    </row>
    <row r="32869" spans="1:2" x14ac:dyDescent="0.25">
      <c r="A32869" s="118"/>
      <c r="B32869" s="136"/>
    </row>
    <row r="32870" spans="1:2" x14ac:dyDescent="0.25">
      <c r="A32870" s="118"/>
      <c r="B32870" s="136"/>
    </row>
    <row r="32871" spans="1:2" x14ac:dyDescent="0.25">
      <c r="A32871" s="118"/>
      <c r="B32871" s="136"/>
    </row>
    <row r="32872" spans="1:2" x14ac:dyDescent="0.25">
      <c r="A32872" s="118"/>
      <c r="B32872" s="136"/>
    </row>
    <row r="32873" spans="1:2" x14ac:dyDescent="0.25">
      <c r="A32873" s="118"/>
      <c r="B32873" s="136"/>
    </row>
    <row r="32874" spans="1:2" x14ac:dyDescent="0.25">
      <c r="A32874" s="118"/>
      <c r="B32874" s="136"/>
    </row>
    <row r="32875" spans="1:2" x14ac:dyDescent="0.25">
      <c r="A32875" s="118"/>
      <c r="B32875" s="136"/>
    </row>
    <row r="32876" spans="1:2" x14ac:dyDescent="0.25">
      <c r="A32876" s="118"/>
      <c r="B32876" s="136"/>
    </row>
    <row r="32877" spans="1:2" x14ac:dyDescent="0.25">
      <c r="A32877" s="118"/>
      <c r="B32877" s="136"/>
    </row>
    <row r="32878" spans="1:2" x14ac:dyDescent="0.25">
      <c r="A32878" s="118"/>
      <c r="B32878" s="136"/>
    </row>
    <row r="32879" spans="1:2" x14ac:dyDescent="0.25">
      <c r="A32879" s="118"/>
      <c r="B32879" s="136"/>
    </row>
    <row r="32880" spans="1:2" x14ac:dyDescent="0.25">
      <c r="A32880" s="118"/>
      <c r="B32880" s="136"/>
    </row>
    <row r="32881" spans="1:2" x14ac:dyDescent="0.25">
      <c r="A32881" s="118"/>
      <c r="B32881" s="136"/>
    </row>
    <row r="32882" spans="1:2" x14ac:dyDescent="0.25">
      <c r="A32882" s="118"/>
      <c r="B32882" s="136"/>
    </row>
    <row r="32883" spans="1:2" x14ac:dyDescent="0.25">
      <c r="A32883" s="118"/>
      <c r="B32883" s="136"/>
    </row>
    <row r="32884" spans="1:2" x14ac:dyDescent="0.25">
      <c r="A32884" s="118"/>
      <c r="B32884" s="136"/>
    </row>
    <row r="32885" spans="1:2" x14ac:dyDescent="0.25">
      <c r="A32885" s="118"/>
      <c r="B32885" s="136"/>
    </row>
    <row r="32886" spans="1:2" x14ac:dyDescent="0.25">
      <c r="A32886" s="118"/>
      <c r="B32886" s="136"/>
    </row>
    <row r="32887" spans="1:2" x14ac:dyDescent="0.25">
      <c r="A32887" s="118"/>
      <c r="B32887" s="136"/>
    </row>
    <row r="32888" spans="1:2" x14ac:dyDescent="0.25">
      <c r="A32888" s="118"/>
      <c r="B32888" s="136"/>
    </row>
    <row r="32889" spans="1:2" x14ac:dyDescent="0.25">
      <c r="A32889" s="118"/>
      <c r="B32889" s="136"/>
    </row>
    <row r="32890" spans="1:2" x14ac:dyDescent="0.25">
      <c r="A32890" s="118"/>
      <c r="B32890" s="136"/>
    </row>
    <row r="32891" spans="1:2" x14ac:dyDescent="0.25">
      <c r="A32891" s="118"/>
      <c r="B32891" s="136"/>
    </row>
    <row r="32892" spans="1:2" x14ac:dyDescent="0.25">
      <c r="A32892" s="118"/>
      <c r="B32892" s="136"/>
    </row>
    <row r="32893" spans="1:2" x14ac:dyDescent="0.25">
      <c r="A32893" s="118"/>
      <c r="B32893" s="136"/>
    </row>
    <row r="32894" spans="1:2" x14ac:dyDescent="0.25">
      <c r="A32894" s="118"/>
      <c r="B32894" s="136"/>
    </row>
    <row r="32895" spans="1:2" x14ac:dyDescent="0.25">
      <c r="A32895" s="118"/>
      <c r="B32895" s="136"/>
    </row>
    <row r="32896" spans="1:2" x14ac:dyDescent="0.25">
      <c r="A32896" s="118"/>
      <c r="B32896" s="136"/>
    </row>
    <row r="32897" spans="1:2" x14ac:dyDescent="0.25">
      <c r="A32897" s="118"/>
      <c r="B32897" s="136"/>
    </row>
    <row r="32898" spans="1:2" x14ac:dyDescent="0.25">
      <c r="A32898" s="118"/>
      <c r="B32898" s="136"/>
    </row>
    <row r="32899" spans="1:2" x14ac:dyDescent="0.25">
      <c r="A32899" s="118"/>
      <c r="B32899" s="136"/>
    </row>
    <row r="32900" spans="1:2" x14ac:dyDescent="0.25">
      <c r="A32900" s="118"/>
      <c r="B32900" s="136"/>
    </row>
    <row r="32901" spans="1:2" x14ac:dyDescent="0.25">
      <c r="A32901" s="118"/>
      <c r="B32901" s="136"/>
    </row>
    <row r="32902" spans="1:2" x14ac:dyDescent="0.25">
      <c r="A32902" s="118"/>
      <c r="B32902" s="136"/>
    </row>
    <row r="32903" spans="1:2" x14ac:dyDescent="0.25">
      <c r="A32903" s="118"/>
      <c r="B32903" s="136"/>
    </row>
    <row r="32904" spans="1:2" x14ac:dyDescent="0.25">
      <c r="A32904" s="118"/>
      <c r="B32904" s="136"/>
    </row>
    <row r="32905" spans="1:2" x14ac:dyDescent="0.25">
      <c r="A32905" s="118"/>
      <c r="B32905" s="136"/>
    </row>
    <row r="32906" spans="1:2" x14ac:dyDescent="0.25">
      <c r="A32906" s="118"/>
      <c r="B32906" s="136"/>
    </row>
    <row r="32907" spans="1:2" x14ac:dyDescent="0.25">
      <c r="A32907" s="118"/>
      <c r="B32907" s="136"/>
    </row>
    <row r="32908" spans="1:2" x14ac:dyDescent="0.25">
      <c r="A32908" s="118"/>
      <c r="B32908" s="136"/>
    </row>
    <row r="32909" spans="1:2" x14ac:dyDescent="0.25">
      <c r="A32909" s="118"/>
      <c r="B32909" s="136"/>
    </row>
    <row r="32910" spans="1:2" x14ac:dyDescent="0.25">
      <c r="A32910" s="118"/>
      <c r="B32910" s="136"/>
    </row>
    <row r="32911" spans="1:2" x14ac:dyDescent="0.25">
      <c r="A32911" s="118"/>
      <c r="B32911" s="136"/>
    </row>
    <row r="32912" spans="1:2" x14ac:dyDescent="0.25">
      <c r="A32912" s="118"/>
      <c r="B32912" s="136"/>
    </row>
    <row r="32913" spans="1:2" x14ac:dyDescent="0.25">
      <c r="A32913" s="118"/>
      <c r="B32913" s="136"/>
    </row>
    <row r="32914" spans="1:2" x14ac:dyDescent="0.25">
      <c r="A32914" s="118"/>
      <c r="B32914" s="136"/>
    </row>
    <row r="32915" spans="1:2" x14ac:dyDescent="0.25">
      <c r="A32915" s="118"/>
      <c r="B32915" s="136"/>
    </row>
    <row r="32916" spans="1:2" x14ac:dyDescent="0.25">
      <c r="A32916" s="118"/>
      <c r="B32916" s="136"/>
    </row>
    <row r="32917" spans="1:2" x14ac:dyDescent="0.25">
      <c r="A32917" s="118"/>
      <c r="B32917" s="136"/>
    </row>
    <row r="32918" spans="1:2" x14ac:dyDescent="0.25">
      <c r="A32918" s="118"/>
      <c r="B32918" s="136"/>
    </row>
    <row r="32919" spans="1:2" x14ac:dyDescent="0.25">
      <c r="A32919" s="118"/>
      <c r="B32919" s="136"/>
    </row>
    <row r="32920" spans="1:2" x14ac:dyDescent="0.25">
      <c r="A32920" s="118"/>
      <c r="B32920" s="136"/>
    </row>
    <row r="32921" spans="1:2" x14ac:dyDescent="0.25">
      <c r="A32921" s="118"/>
      <c r="B32921" s="136"/>
    </row>
    <row r="32922" spans="1:2" x14ac:dyDescent="0.25">
      <c r="A32922" s="118"/>
      <c r="B32922" s="136"/>
    </row>
    <row r="32923" spans="1:2" x14ac:dyDescent="0.25">
      <c r="A32923" s="118"/>
      <c r="B32923" s="136"/>
    </row>
    <row r="32924" spans="1:2" x14ac:dyDescent="0.25">
      <c r="A32924" s="118"/>
      <c r="B32924" s="136"/>
    </row>
    <row r="32925" spans="1:2" x14ac:dyDescent="0.25">
      <c r="A32925" s="118"/>
      <c r="B32925" s="136"/>
    </row>
    <row r="32926" spans="1:2" x14ac:dyDescent="0.25">
      <c r="A32926" s="118"/>
      <c r="B32926" s="136"/>
    </row>
    <row r="32927" spans="1:2" x14ac:dyDescent="0.25">
      <c r="A32927" s="118"/>
      <c r="B32927" s="136"/>
    </row>
    <row r="32928" spans="1:2" x14ac:dyDescent="0.25">
      <c r="A32928" s="118"/>
      <c r="B32928" s="136"/>
    </row>
    <row r="32929" spans="1:2" x14ac:dyDescent="0.25">
      <c r="A32929" s="118"/>
      <c r="B32929" s="136"/>
    </row>
    <row r="32930" spans="1:2" x14ac:dyDescent="0.25">
      <c r="A32930" s="118"/>
      <c r="B32930" s="136"/>
    </row>
    <row r="32931" spans="1:2" x14ac:dyDescent="0.25">
      <c r="A32931" s="118"/>
      <c r="B32931" s="136"/>
    </row>
    <row r="32932" spans="1:2" x14ac:dyDescent="0.25">
      <c r="A32932" s="118"/>
      <c r="B32932" s="136"/>
    </row>
    <row r="32933" spans="1:2" x14ac:dyDescent="0.25">
      <c r="A32933" s="118"/>
      <c r="B32933" s="136"/>
    </row>
    <row r="32934" spans="1:2" x14ac:dyDescent="0.25">
      <c r="A32934" s="118"/>
      <c r="B32934" s="136"/>
    </row>
    <row r="32935" spans="1:2" x14ac:dyDescent="0.25">
      <c r="A32935" s="118"/>
      <c r="B32935" s="136"/>
    </row>
    <row r="32936" spans="1:2" x14ac:dyDescent="0.25">
      <c r="A32936" s="118"/>
      <c r="B32936" s="136"/>
    </row>
    <row r="32937" spans="1:2" x14ac:dyDescent="0.25">
      <c r="A32937" s="118"/>
      <c r="B32937" s="136"/>
    </row>
    <row r="32938" spans="1:2" x14ac:dyDescent="0.25">
      <c r="A32938" s="118"/>
      <c r="B32938" s="136"/>
    </row>
    <row r="32939" spans="1:2" x14ac:dyDescent="0.25">
      <c r="A32939" s="118"/>
      <c r="B32939" s="136"/>
    </row>
    <row r="32940" spans="1:2" x14ac:dyDescent="0.25">
      <c r="A32940" s="118"/>
      <c r="B32940" s="136"/>
    </row>
    <row r="32941" spans="1:2" x14ac:dyDescent="0.25">
      <c r="A32941" s="118"/>
      <c r="B32941" s="136"/>
    </row>
    <row r="32942" spans="1:2" x14ac:dyDescent="0.25">
      <c r="A32942" s="118"/>
      <c r="B32942" s="136"/>
    </row>
    <row r="32943" spans="1:2" x14ac:dyDescent="0.25">
      <c r="A32943" s="118"/>
      <c r="B32943" s="136"/>
    </row>
    <row r="32944" spans="1:2" x14ac:dyDescent="0.25">
      <c r="A32944" s="118"/>
      <c r="B32944" s="136"/>
    </row>
    <row r="32945" spans="1:2" x14ac:dyDescent="0.25">
      <c r="A32945" s="118"/>
      <c r="B32945" s="136"/>
    </row>
    <row r="32946" spans="1:2" x14ac:dyDescent="0.25">
      <c r="A32946" s="118"/>
      <c r="B32946" s="136"/>
    </row>
    <row r="32947" spans="1:2" x14ac:dyDescent="0.25">
      <c r="A32947" s="118"/>
      <c r="B32947" s="136"/>
    </row>
    <row r="32948" spans="1:2" x14ac:dyDescent="0.25">
      <c r="A32948" s="118"/>
      <c r="B32948" s="136"/>
    </row>
    <row r="32949" spans="1:2" x14ac:dyDescent="0.25">
      <c r="A32949" s="118"/>
      <c r="B32949" s="136"/>
    </row>
    <row r="32950" spans="1:2" x14ac:dyDescent="0.25">
      <c r="A32950" s="118"/>
      <c r="B32950" s="136"/>
    </row>
    <row r="32951" spans="1:2" x14ac:dyDescent="0.25">
      <c r="A32951" s="118"/>
      <c r="B32951" s="136"/>
    </row>
    <row r="32952" spans="1:2" x14ac:dyDescent="0.25">
      <c r="A32952" s="118"/>
      <c r="B32952" s="136"/>
    </row>
    <row r="32953" spans="1:2" x14ac:dyDescent="0.25">
      <c r="A32953" s="118"/>
      <c r="B32953" s="136"/>
    </row>
    <row r="32954" spans="1:2" x14ac:dyDescent="0.25">
      <c r="A32954" s="118"/>
      <c r="B32954" s="136"/>
    </row>
    <row r="32955" spans="1:2" x14ac:dyDescent="0.25">
      <c r="A32955" s="118"/>
      <c r="B32955" s="136"/>
    </row>
    <row r="32956" spans="1:2" x14ac:dyDescent="0.25">
      <c r="A32956" s="118"/>
      <c r="B32956" s="136"/>
    </row>
    <row r="32957" spans="1:2" x14ac:dyDescent="0.25">
      <c r="A32957" s="118"/>
      <c r="B32957" s="136"/>
    </row>
    <row r="32958" spans="1:2" x14ac:dyDescent="0.25">
      <c r="A32958" s="118"/>
      <c r="B32958" s="136"/>
    </row>
    <row r="32959" spans="1:2" x14ac:dyDescent="0.25">
      <c r="A32959" s="118"/>
      <c r="B32959" s="136"/>
    </row>
    <row r="32960" spans="1:2" x14ac:dyDescent="0.25">
      <c r="A32960" s="118"/>
      <c r="B32960" s="136"/>
    </row>
    <row r="32961" spans="1:2" x14ac:dyDescent="0.25">
      <c r="A32961" s="118"/>
      <c r="B32961" s="136"/>
    </row>
    <row r="32962" spans="1:2" x14ac:dyDescent="0.25">
      <c r="A32962" s="118"/>
      <c r="B32962" s="136"/>
    </row>
    <row r="32963" spans="1:2" x14ac:dyDescent="0.25">
      <c r="A32963" s="118"/>
      <c r="B32963" s="136"/>
    </row>
    <row r="32964" spans="1:2" x14ac:dyDescent="0.25">
      <c r="A32964" s="118"/>
      <c r="B32964" s="136"/>
    </row>
    <row r="32965" spans="1:2" x14ac:dyDescent="0.25">
      <c r="A32965" s="118"/>
      <c r="B32965" s="136"/>
    </row>
    <row r="32966" spans="1:2" x14ac:dyDescent="0.25">
      <c r="A32966" s="118"/>
      <c r="B32966" s="136"/>
    </row>
    <row r="32967" spans="1:2" x14ac:dyDescent="0.25">
      <c r="A32967" s="118"/>
      <c r="B32967" s="136"/>
    </row>
    <row r="32968" spans="1:2" x14ac:dyDescent="0.25">
      <c r="A32968" s="118"/>
      <c r="B32968" s="136"/>
    </row>
    <row r="32969" spans="1:2" x14ac:dyDescent="0.25">
      <c r="A32969" s="118"/>
      <c r="B32969" s="136"/>
    </row>
    <row r="32970" spans="1:2" x14ac:dyDescent="0.25">
      <c r="A32970" s="118"/>
      <c r="B32970" s="136"/>
    </row>
    <row r="32971" spans="1:2" x14ac:dyDescent="0.25">
      <c r="A32971" s="118"/>
      <c r="B32971" s="136"/>
    </row>
    <row r="32972" spans="1:2" x14ac:dyDescent="0.25">
      <c r="A32972" s="118"/>
      <c r="B32972" s="136"/>
    </row>
    <row r="32973" spans="1:2" x14ac:dyDescent="0.25">
      <c r="A32973" s="118"/>
      <c r="B32973" s="136"/>
    </row>
    <row r="32974" spans="1:2" x14ac:dyDescent="0.25">
      <c r="A32974" s="118"/>
      <c r="B32974" s="136"/>
    </row>
    <row r="32975" spans="1:2" x14ac:dyDescent="0.25">
      <c r="A32975" s="118"/>
      <c r="B32975" s="136"/>
    </row>
    <row r="32976" spans="1:2" x14ac:dyDescent="0.25">
      <c r="A32976" s="118"/>
      <c r="B32976" s="136"/>
    </row>
    <row r="32977" spans="1:2" x14ac:dyDescent="0.25">
      <c r="A32977" s="118"/>
      <c r="B32977" s="136"/>
    </row>
    <row r="32978" spans="1:2" x14ac:dyDescent="0.25">
      <c r="A32978" s="118"/>
      <c r="B32978" s="136"/>
    </row>
    <row r="32979" spans="1:2" x14ac:dyDescent="0.25">
      <c r="A32979" s="118"/>
      <c r="B32979" s="136"/>
    </row>
    <row r="32980" spans="1:2" x14ac:dyDescent="0.25">
      <c r="A32980" s="118"/>
      <c r="B32980" s="136"/>
    </row>
    <row r="32981" spans="1:2" x14ac:dyDescent="0.25">
      <c r="A32981" s="118"/>
      <c r="B32981" s="136"/>
    </row>
    <row r="32982" spans="1:2" x14ac:dyDescent="0.25">
      <c r="A32982" s="118"/>
      <c r="B32982" s="136"/>
    </row>
    <row r="32983" spans="1:2" x14ac:dyDescent="0.25">
      <c r="A32983" s="118"/>
      <c r="B32983" s="136"/>
    </row>
    <row r="32984" spans="1:2" x14ac:dyDescent="0.25">
      <c r="A32984" s="118"/>
      <c r="B32984" s="136"/>
    </row>
    <row r="32985" spans="1:2" x14ac:dyDescent="0.25">
      <c r="A32985" s="118"/>
      <c r="B32985" s="136"/>
    </row>
    <row r="32986" spans="1:2" x14ac:dyDescent="0.25">
      <c r="A32986" s="118"/>
      <c r="B32986" s="136"/>
    </row>
    <row r="32987" spans="1:2" x14ac:dyDescent="0.25">
      <c r="A32987" s="118"/>
      <c r="B32987" s="136"/>
    </row>
    <row r="32988" spans="1:2" x14ac:dyDescent="0.25">
      <c r="A32988" s="118"/>
      <c r="B32988" s="136"/>
    </row>
    <row r="32989" spans="1:2" x14ac:dyDescent="0.25">
      <c r="A32989" s="118"/>
      <c r="B32989" s="136"/>
    </row>
    <row r="32990" spans="1:2" x14ac:dyDescent="0.25">
      <c r="A32990" s="118"/>
      <c r="B32990" s="136"/>
    </row>
    <row r="32991" spans="1:2" x14ac:dyDescent="0.25">
      <c r="A32991" s="118"/>
      <c r="B32991" s="136"/>
    </row>
    <row r="32992" spans="1:2" x14ac:dyDescent="0.25">
      <c r="A32992" s="118"/>
      <c r="B32992" s="136"/>
    </row>
    <row r="32993" spans="1:2" x14ac:dyDescent="0.25">
      <c r="A32993" s="118"/>
      <c r="B32993" s="136"/>
    </row>
    <row r="32994" spans="1:2" x14ac:dyDescent="0.25">
      <c r="A32994" s="118"/>
      <c r="B32994" s="136"/>
    </row>
    <row r="32995" spans="1:2" x14ac:dyDescent="0.25">
      <c r="A32995" s="118"/>
      <c r="B32995" s="136"/>
    </row>
    <row r="32996" spans="1:2" x14ac:dyDescent="0.25">
      <c r="A32996" s="118"/>
      <c r="B32996" s="136"/>
    </row>
    <row r="32997" spans="1:2" x14ac:dyDescent="0.25">
      <c r="A32997" s="118"/>
      <c r="B32997" s="136"/>
    </row>
    <row r="32998" spans="1:2" x14ac:dyDescent="0.25">
      <c r="A32998" s="118"/>
      <c r="B32998" s="136"/>
    </row>
    <row r="32999" spans="1:2" x14ac:dyDescent="0.25">
      <c r="A32999" s="118"/>
      <c r="B32999" s="136"/>
    </row>
    <row r="33000" spans="1:2" x14ac:dyDescent="0.25">
      <c r="A33000" s="118"/>
      <c r="B33000" s="136"/>
    </row>
    <row r="33001" spans="1:2" x14ac:dyDescent="0.25">
      <c r="A33001" s="118"/>
      <c r="B33001" s="136"/>
    </row>
    <row r="33002" spans="1:2" x14ac:dyDescent="0.25">
      <c r="A33002" s="118"/>
      <c r="B33002" s="136"/>
    </row>
    <row r="33003" spans="1:2" x14ac:dyDescent="0.25">
      <c r="A33003" s="118"/>
      <c r="B33003" s="136"/>
    </row>
    <row r="33004" spans="1:2" x14ac:dyDescent="0.25">
      <c r="A33004" s="118"/>
      <c r="B33004" s="136"/>
    </row>
    <row r="33005" spans="1:2" x14ac:dyDescent="0.25">
      <c r="A33005" s="118"/>
      <c r="B33005" s="136"/>
    </row>
    <row r="33006" spans="1:2" x14ac:dyDescent="0.25">
      <c r="A33006" s="118"/>
      <c r="B33006" s="136"/>
    </row>
    <row r="33007" spans="1:2" x14ac:dyDescent="0.25">
      <c r="A33007" s="118"/>
      <c r="B33007" s="136"/>
    </row>
    <row r="33008" spans="1:2" x14ac:dyDescent="0.25">
      <c r="A33008" s="118"/>
      <c r="B33008" s="136"/>
    </row>
    <row r="33009" spans="1:2" x14ac:dyDescent="0.25">
      <c r="A33009" s="118"/>
      <c r="B33009" s="136"/>
    </row>
    <row r="33010" spans="1:2" x14ac:dyDescent="0.25">
      <c r="A33010" s="118"/>
      <c r="B33010" s="136"/>
    </row>
    <row r="33011" spans="1:2" x14ac:dyDescent="0.25">
      <c r="A33011" s="118"/>
      <c r="B33011" s="136"/>
    </row>
    <row r="33012" spans="1:2" x14ac:dyDescent="0.25">
      <c r="A33012" s="118"/>
      <c r="B33012" s="136"/>
    </row>
    <row r="33013" spans="1:2" x14ac:dyDescent="0.25">
      <c r="A33013" s="118"/>
      <c r="B33013" s="136"/>
    </row>
    <row r="33014" spans="1:2" x14ac:dyDescent="0.25">
      <c r="A33014" s="118"/>
      <c r="B33014" s="136"/>
    </row>
    <row r="33015" spans="1:2" x14ac:dyDescent="0.25">
      <c r="A33015" s="118"/>
      <c r="B33015" s="136"/>
    </row>
    <row r="33016" spans="1:2" x14ac:dyDescent="0.25">
      <c r="A33016" s="118"/>
      <c r="B33016" s="136"/>
    </row>
    <row r="33017" spans="1:2" x14ac:dyDescent="0.25">
      <c r="A33017" s="118"/>
      <c r="B33017" s="136"/>
    </row>
    <row r="33018" spans="1:2" x14ac:dyDescent="0.25">
      <c r="A33018" s="118"/>
      <c r="B33018" s="136"/>
    </row>
    <row r="33019" spans="1:2" x14ac:dyDescent="0.25">
      <c r="A33019" s="118"/>
      <c r="B33019" s="136"/>
    </row>
    <row r="33020" spans="1:2" x14ac:dyDescent="0.25">
      <c r="A33020" s="118"/>
      <c r="B33020" s="136"/>
    </row>
    <row r="33021" spans="1:2" x14ac:dyDescent="0.25">
      <c r="A33021" s="118"/>
      <c r="B33021" s="136"/>
    </row>
    <row r="33022" spans="1:2" x14ac:dyDescent="0.25">
      <c r="A33022" s="118"/>
      <c r="B33022" s="136"/>
    </row>
    <row r="33023" spans="1:2" x14ac:dyDescent="0.25">
      <c r="A33023" s="118"/>
      <c r="B33023" s="136"/>
    </row>
    <row r="33024" spans="1:2" x14ac:dyDescent="0.25">
      <c r="A33024" s="118"/>
      <c r="B33024" s="136"/>
    </row>
    <row r="33025" spans="1:2" x14ac:dyDescent="0.25">
      <c r="A33025" s="118"/>
      <c r="B33025" s="136"/>
    </row>
    <row r="33026" spans="1:2" x14ac:dyDescent="0.25">
      <c r="A33026" s="118"/>
      <c r="B33026" s="136"/>
    </row>
    <row r="33027" spans="1:2" x14ac:dyDescent="0.25">
      <c r="A33027" s="118"/>
      <c r="B33027" s="136"/>
    </row>
    <row r="33028" spans="1:2" x14ac:dyDescent="0.25">
      <c r="A33028" s="118"/>
      <c r="B33028" s="136"/>
    </row>
    <row r="33029" spans="1:2" x14ac:dyDescent="0.25">
      <c r="A33029" s="118"/>
      <c r="B33029" s="136"/>
    </row>
    <row r="33030" spans="1:2" x14ac:dyDescent="0.25">
      <c r="A33030" s="118"/>
      <c r="B33030" s="136"/>
    </row>
    <row r="33031" spans="1:2" x14ac:dyDescent="0.25">
      <c r="A33031" s="118"/>
      <c r="B33031" s="136"/>
    </row>
    <row r="33032" spans="1:2" x14ac:dyDescent="0.25">
      <c r="A33032" s="118"/>
      <c r="B33032" s="136"/>
    </row>
    <row r="33033" spans="1:2" x14ac:dyDescent="0.25">
      <c r="A33033" s="118"/>
      <c r="B33033" s="136"/>
    </row>
    <row r="33034" spans="1:2" x14ac:dyDescent="0.25">
      <c r="A33034" s="118"/>
      <c r="B33034" s="136"/>
    </row>
    <row r="33035" spans="1:2" x14ac:dyDescent="0.25">
      <c r="A33035" s="118"/>
      <c r="B33035" s="136"/>
    </row>
    <row r="33036" spans="1:2" x14ac:dyDescent="0.25">
      <c r="A33036" s="118"/>
      <c r="B33036" s="136"/>
    </row>
    <row r="33037" spans="1:2" x14ac:dyDescent="0.25">
      <c r="A33037" s="118"/>
      <c r="B33037" s="136"/>
    </row>
    <row r="33038" spans="1:2" x14ac:dyDescent="0.25">
      <c r="A33038" s="118"/>
      <c r="B33038" s="136"/>
    </row>
    <row r="33039" spans="1:2" x14ac:dyDescent="0.25">
      <c r="A33039" s="118"/>
      <c r="B33039" s="136"/>
    </row>
    <row r="33040" spans="1:2" x14ac:dyDescent="0.25">
      <c r="A33040" s="118"/>
      <c r="B33040" s="136"/>
    </row>
    <row r="33041" spans="1:2" x14ac:dyDescent="0.25">
      <c r="A33041" s="118"/>
      <c r="B33041" s="136"/>
    </row>
    <row r="33042" spans="1:2" x14ac:dyDescent="0.25">
      <c r="A33042" s="118"/>
      <c r="B33042" s="136"/>
    </row>
    <row r="33043" spans="1:2" x14ac:dyDescent="0.25">
      <c r="A33043" s="118"/>
      <c r="B33043" s="136"/>
    </row>
    <row r="33044" spans="1:2" x14ac:dyDescent="0.25">
      <c r="A33044" s="118"/>
      <c r="B33044" s="136"/>
    </row>
    <row r="33045" spans="1:2" x14ac:dyDescent="0.25">
      <c r="A33045" s="118"/>
      <c r="B33045" s="136"/>
    </row>
    <row r="33046" spans="1:2" x14ac:dyDescent="0.25">
      <c r="A33046" s="118"/>
      <c r="B33046" s="136"/>
    </row>
    <row r="33047" spans="1:2" x14ac:dyDescent="0.25">
      <c r="A33047" s="118"/>
      <c r="B33047" s="136"/>
    </row>
    <row r="33048" spans="1:2" x14ac:dyDescent="0.25">
      <c r="A33048" s="118"/>
      <c r="B33048" s="136"/>
    </row>
    <row r="33049" spans="1:2" x14ac:dyDescent="0.25">
      <c r="A33049" s="118"/>
      <c r="B33049" s="136"/>
    </row>
    <row r="33050" spans="1:2" x14ac:dyDescent="0.25">
      <c r="A33050" s="118"/>
      <c r="B33050" s="136"/>
    </row>
    <row r="33051" spans="1:2" x14ac:dyDescent="0.25">
      <c r="A33051" s="118"/>
      <c r="B33051" s="136"/>
    </row>
    <row r="33052" spans="1:2" x14ac:dyDescent="0.25">
      <c r="A33052" s="118"/>
      <c r="B33052" s="136"/>
    </row>
    <row r="33053" spans="1:2" x14ac:dyDescent="0.25">
      <c r="A33053" s="118"/>
      <c r="B33053" s="136"/>
    </row>
    <row r="33054" spans="1:2" x14ac:dyDescent="0.25">
      <c r="A33054" s="118"/>
      <c r="B33054" s="136"/>
    </row>
    <row r="33055" spans="1:2" x14ac:dyDescent="0.25">
      <c r="A33055" s="118"/>
      <c r="B33055" s="136"/>
    </row>
    <row r="33056" spans="1:2" x14ac:dyDescent="0.25">
      <c r="A33056" s="118"/>
      <c r="B33056" s="136"/>
    </row>
    <row r="33057" spans="1:2" x14ac:dyDescent="0.25">
      <c r="A33057" s="118"/>
      <c r="B33057" s="136"/>
    </row>
    <row r="33058" spans="1:2" x14ac:dyDescent="0.25">
      <c r="A33058" s="118"/>
      <c r="B33058" s="136"/>
    </row>
    <row r="33059" spans="1:2" x14ac:dyDescent="0.25">
      <c r="A33059" s="118"/>
      <c r="B33059" s="136"/>
    </row>
    <row r="33060" spans="1:2" x14ac:dyDescent="0.25">
      <c r="A33060" s="118"/>
      <c r="B33060" s="136"/>
    </row>
    <row r="33061" spans="1:2" x14ac:dyDescent="0.25">
      <c r="A33061" s="118"/>
      <c r="B33061" s="136"/>
    </row>
    <row r="33062" spans="1:2" x14ac:dyDescent="0.25">
      <c r="A33062" s="118"/>
      <c r="B33062" s="136"/>
    </row>
    <row r="33063" spans="1:2" x14ac:dyDescent="0.25">
      <c r="A33063" s="118"/>
      <c r="B33063" s="136"/>
    </row>
    <row r="33064" spans="1:2" x14ac:dyDescent="0.25">
      <c r="A33064" s="118"/>
      <c r="B33064" s="136"/>
    </row>
    <row r="33065" spans="1:2" x14ac:dyDescent="0.25">
      <c r="A33065" s="118"/>
      <c r="B33065" s="136"/>
    </row>
    <row r="33066" spans="1:2" x14ac:dyDescent="0.25">
      <c r="A33066" s="118"/>
      <c r="B33066" s="136"/>
    </row>
    <row r="33067" spans="1:2" x14ac:dyDescent="0.25">
      <c r="A33067" s="118"/>
      <c r="B33067" s="136"/>
    </row>
    <row r="33068" spans="1:2" x14ac:dyDescent="0.25">
      <c r="A33068" s="118"/>
      <c r="B33068" s="136"/>
    </row>
    <row r="33069" spans="1:2" x14ac:dyDescent="0.25">
      <c r="A33069" s="118"/>
      <c r="B33069" s="136"/>
    </row>
    <row r="33070" spans="1:2" x14ac:dyDescent="0.25">
      <c r="A33070" s="118"/>
      <c r="B33070" s="136"/>
    </row>
    <row r="33071" spans="1:2" x14ac:dyDescent="0.25">
      <c r="A33071" s="118"/>
      <c r="B33071" s="136"/>
    </row>
    <row r="33072" spans="1:2" x14ac:dyDescent="0.25">
      <c r="A33072" s="118"/>
      <c r="B33072" s="136"/>
    </row>
    <row r="33073" spans="1:2" x14ac:dyDescent="0.25">
      <c r="A33073" s="118"/>
      <c r="B33073" s="136"/>
    </row>
    <row r="33074" spans="1:2" x14ac:dyDescent="0.25">
      <c r="A33074" s="118"/>
      <c r="B33074" s="136"/>
    </row>
    <row r="33075" spans="1:2" x14ac:dyDescent="0.25">
      <c r="A33075" s="118"/>
      <c r="B33075" s="136"/>
    </row>
    <row r="33076" spans="1:2" x14ac:dyDescent="0.25">
      <c r="A33076" s="118"/>
      <c r="B33076" s="136"/>
    </row>
    <row r="33077" spans="1:2" x14ac:dyDescent="0.25">
      <c r="A33077" s="118"/>
      <c r="B33077" s="136"/>
    </row>
    <row r="33078" spans="1:2" x14ac:dyDescent="0.25">
      <c r="A33078" s="118"/>
      <c r="B33078" s="136"/>
    </row>
    <row r="33079" spans="1:2" x14ac:dyDescent="0.25">
      <c r="A33079" s="118"/>
      <c r="B33079" s="136"/>
    </row>
    <row r="33080" spans="1:2" x14ac:dyDescent="0.25">
      <c r="A33080" s="118"/>
      <c r="B33080" s="136"/>
    </row>
    <row r="33081" spans="1:2" x14ac:dyDescent="0.25">
      <c r="A33081" s="118"/>
      <c r="B33081" s="136"/>
    </row>
    <row r="33082" spans="1:2" x14ac:dyDescent="0.25">
      <c r="A33082" s="118"/>
      <c r="B33082" s="136"/>
    </row>
    <row r="33083" spans="1:2" x14ac:dyDescent="0.25">
      <c r="A33083" s="118"/>
      <c r="B33083" s="136"/>
    </row>
    <row r="33084" spans="1:2" x14ac:dyDescent="0.25">
      <c r="A33084" s="118"/>
      <c r="B33084" s="136"/>
    </row>
    <row r="33085" spans="1:2" x14ac:dyDescent="0.25">
      <c r="A33085" s="118"/>
      <c r="B33085" s="136"/>
    </row>
    <row r="33086" spans="1:2" x14ac:dyDescent="0.25">
      <c r="A33086" s="118"/>
      <c r="B33086" s="136"/>
    </row>
    <row r="33087" spans="1:2" x14ac:dyDescent="0.25">
      <c r="A33087" s="118"/>
      <c r="B33087" s="136"/>
    </row>
    <row r="33088" spans="1:2" x14ac:dyDescent="0.25">
      <c r="A33088" s="118"/>
      <c r="B33088" s="136"/>
    </row>
    <row r="33089" spans="1:2" x14ac:dyDescent="0.25">
      <c r="A33089" s="118"/>
      <c r="B33089" s="136"/>
    </row>
    <row r="33090" spans="1:2" x14ac:dyDescent="0.25">
      <c r="A33090" s="118"/>
      <c r="B33090" s="136"/>
    </row>
    <row r="33091" spans="1:2" x14ac:dyDescent="0.25">
      <c r="A33091" s="118"/>
      <c r="B33091" s="136"/>
    </row>
    <row r="33092" spans="1:2" x14ac:dyDescent="0.25">
      <c r="A33092" s="118"/>
      <c r="B33092" s="136"/>
    </row>
    <row r="33093" spans="1:2" x14ac:dyDescent="0.25">
      <c r="A33093" s="118"/>
      <c r="B33093" s="136"/>
    </row>
    <row r="33094" spans="1:2" x14ac:dyDescent="0.25">
      <c r="A33094" s="118"/>
      <c r="B33094" s="136"/>
    </row>
    <row r="33095" spans="1:2" x14ac:dyDescent="0.25">
      <c r="A33095" s="118"/>
      <c r="B33095" s="136"/>
    </row>
    <row r="33096" spans="1:2" x14ac:dyDescent="0.25">
      <c r="A33096" s="118"/>
      <c r="B33096" s="136"/>
    </row>
    <row r="33097" spans="1:2" x14ac:dyDescent="0.25">
      <c r="A33097" s="118"/>
      <c r="B33097" s="136"/>
    </row>
    <row r="33098" spans="1:2" x14ac:dyDescent="0.25">
      <c r="A33098" s="118"/>
      <c r="B33098" s="136"/>
    </row>
    <row r="33099" spans="1:2" x14ac:dyDescent="0.25">
      <c r="A33099" s="118"/>
      <c r="B33099" s="136"/>
    </row>
    <row r="33100" spans="1:2" x14ac:dyDescent="0.25">
      <c r="A33100" s="118"/>
      <c r="B33100" s="136"/>
    </row>
    <row r="33101" spans="1:2" x14ac:dyDescent="0.25">
      <c r="A33101" s="118"/>
      <c r="B33101" s="136"/>
    </row>
    <row r="33102" spans="1:2" x14ac:dyDescent="0.25">
      <c r="A33102" s="118"/>
      <c r="B33102" s="136"/>
    </row>
    <row r="33103" spans="1:2" x14ac:dyDescent="0.25">
      <c r="A33103" s="118"/>
      <c r="B33103" s="136"/>
    </row>
    <row r="33104" spans="1:2" x14ac:dyDescent="0.25">
      <c r="A33104" s="118"/>
      <c r="B33104" s="136"/>
    </row>
    <row r="33105" spans="1:2" x14ac:dyDescent="0.25">
      <c r="A33105" s="118"/>
      <c r="B33105" s="136"/>
    </row>
    <row r="33106" spans="1:2" x14ac:dyDescent="0.25">
      <c r="A33106" s="118"/>
      <c r="B33106" s="136"/>
    </row>
    <row r="33107" spans="1:2" x14ac:dyDescent="0.25">
      <c r="A33107" s="118"/>
      <c r="B33107" s="136"/>
    </row>
    <row r="33108" spans="1:2" x14ac:dyDescent="0.25">
      <c r="A33108" s="118"/>
      <c r="B33108" s="136"/>
    </row>
    <row r="33109" spans="1:2" x14ac:dyDescent="0.25">
      <c r="A33109" s="118"/>
      <c r="B33109" s="136"/>
    </row>
    <row r="33110" spans="1:2" x14ac:dyDescent="0.25">
      <c r="A33110" s="118"/>
      <c r="B33110" s="136"/>
    </row>
    <row r="33111" spans="1:2" x14ac:dyDescent="0.25">
      <c r="A33111" s="118"/>
      <c r="B33111" s="136"/>
    </row>
    <row r="33112" spans="1:2" x14ac:dyDescent="0.25">
      <c r="A33112" s="118"/>
      <c r="B33112" s="136"/>
    </row>
    <row r="33113" spans="1:2" x14ac:dyDescent="0.25">
      <c r="A33113" s="118"/>
      <c r="B33113" s="136"/>
    </row>
    <row r="33114" spans="1:2" x14ac:dyDescent="0.25">
      <c r="A33114" s="118"/>
      <c r="B33114" s="136"/>
    </row>
    <row r="33115" spans="1:2" x14ac:dyDescent="0.25">
      <c r="A33115" s="118"/>
      <c r="B33115" s="136"/>
    </row>
    <row r="33116" spans="1:2" x14ac:dyDescent="0.25">
      <c r="A33116" s="118"/>
      <c r="B33116" s="136"/>
    </row>
    <row r="33117" spans="1:2" x14ac:dyDescent="0.25">
      <c r="A33117" s="118"/>
      <c r="B33117" s="136"/>
    </row>
    <row r="33118" spans="1:2" x14ac:dyDescent="0.25">
      <c r="A33118" s="118"/>
      <c r="B33118" s="136"/>
    </row>
    <row r="33119" spans="1:2" x14ac:dyDescent="0.25">
      <c r="A33119" s="118"/>
      <c r="B33119" s="136"/>
    </row>
    <row r="33120" spans="1:2" x14ac:dyDescent="0.25">
      <c r="A33120" s="118"/>
      <c r="B33120" s="136"/>
    </row>
    <row r="33121" spans="1:2" x14ac:dyDescent="0.25">
      <c r="A33121" s="118"/>
      <c r="B33121" s="136"/>
    </row>
    <row r="33122" spans="1:2" x14ac:dyDescent="0.25">
      <c r="A33122" s="118"/>
      <c r="B33122" s="136"/>
    </row>
    <row r="33123" spans="1:2" x14ac:dyDescent="0.25">
      <c r="A33123" s="118"/>
      <c r="B33123" s="136"/>
    </row>
    <row r="33124" spans="1:2" x14ac:dyDescent="0.25">
      <c r="A33124" s="118"/>
      <c r="B33124" s="136"/>
    </row>
    <row r="33125" spans="1:2" x14ac:dyDescent="0.25">
      <c r="A33125" s="118"/>
      <c r="B33125" s="136"/>
    </row>
    <row r="33126" spans="1:2" x14ac:dyDescent="0.25">
      <c r="A33126" s="118"/>
      <c r="B33126" s="136"/>
    </row>
    <row r="33127" spans="1:2" x14ac:dyDescent="0.25">
      <c r="A33127" s="118"/>
      <c r="B33127" s="136"/>
    </row>
    <row r="33128" spans="1:2" x14ac:dyDescent="0.25">
      <c r="A33128" s="118"/>
      <c r="B33128" s="136"/>
    </row>
    <row r="33129" spans="1:2" x14ac:dyDescent="0.25">
      <c r="A33129" s="118"/>
      <c r="B33129" s="136"/>
    </row>
    <row r="33130" spans="1:2" x14ac:dyDescent="0.25">
      <c r="A33130" s="118"/>
      <c r="B33130" s="136"/>
    </row>
    <row r="33131" spans="1:2" x14ac:dyDescent="0.25">
      <c r="A33131" s="118"/>
      <c r="B33131" s="136"/>
    </row>
    <row r="33132" spans="1:2" x14ac:dyDescent="0.25">
      <c r="A33132" s="118"/>
      <c r="B33132" s="136"/>
    </row>
    <row r="33133" spans="1:2" x14ac:dyDescent="0.25">
      <c r="A33133" s="118"/>
      <c r="B33133" s="136"/>
    </row>
    <row r="33134" spans="1:2" x14ac:dyDescent="0.25">
      <c r="A33134" s="118"/>
      <c r="B33134" s="136"/>
    </row>
    <row r="33135" spans="1:2" x14ac:dyDescent="0.25">
      <c r="A33135" s="118"/>
      <c r="B33135" s="136"/>
    </row>
    <row r="33136" spans="1:2" x14ac:dyDescent="0.25">
      <c r="A33136" s="118"/>
      <c r="B33136" s="136"/>
    </row>
    <row r="33137" spans="1:2" x14ac:dyDescent="0.25">
      <c r="A33137" s="118"/>
      <c r="B33137" s="136"/>
    </row>
    <row r="33138" spans="1:2" x14ac:dyDescent="0.25">
      <c r="A33138" s="118"/>
      <c r="B33138" s="136"/>
    </row>
    <row r="33139" spans="1:2" x14ac:dyDescent="0.25">
      <c r="A33139" s="118"/>
      <c r="B33139" s="136"/>
    </row>
    <row r="33140" spans="1:2" x14ac:dyDescent="0.25">
      <c r="A33140" s="118"/>
      <c r="B33140" s="136"/>
    </row>
    <row r="33141" spans="1:2" x14ac:dyDescent="0.25">
      <c r="A33141" s="118"/>
      <c r="B33141" s="136"/>
    </row>
    <row r="33142" spans="1:2" x14ac:dyDescent="0.25">
      <c r="A33142" s="118"/>
      <c r="B33142" s="136"/>
    </row>
    <row r="33143" spans="1:2" x14ac:dyDescent="0.25">
      <c r="A33143" s="118"/>
      <c r="B33143" s="136"/>
    </row>
    <row r="33144" spans="1:2" x14ac:dyDescent="0.25">
      <c r="A33144" s="118"/>
      <c r="B33144" s="136"/>
    </row>
    <row r="33145" spans="1:2" x14ac:dyDescent="0.25">
      <c r="A33145" s="118"/>
      <c r="B33145" s="136"/>
    </row>
    <row r="33146" spans="1:2" x14ac:dyDescent="0.25">
      <c r="A33146" s="118"/>
      <c r="B33146" s="136"/>
    </row>
    <row r="33147" spans="1:2" x14ac:dyDescent="0.25">
      <c r="A33147" s="118"/>
      <c r="B33147" s="136"/>
    </row>
    <row r="33148" spans="1:2" x14ac:dyDescent="0.25">
      <c r="A33148" s="118"/>
      <c r="B33148" s="136"/>
    </row>
    <row r="33149" spans="1:2" x14ac:dyDescent="0.25">
      <c r="A33149" s="118"/>
      <c r="B33149" s="136"/>
    </row>
    <row r="33150" spans="1:2" x14ac:dyDescent="0.25">
      <c r="A33150" s="118"/>
      <c r="B33150" s="136"/>
    </row>
    <row r="33151" spans="1:2" x14ac:dyDescent="0.25">
      <c r="A33151" s="118"/>
      <c r="B33151" s="136"/>
    </row>
    <row r="33152" spans="1:2" x14ac:dyDescent="0.25">
      <c r="A33152" s="118"/>
      <c r="B33152" s="136"/>
    </row>
    <row r="33153" spans="1:2" x14ac:dyDescent="0.25">
      <c r="A33153" s="118"/>
      <c r="B33153" s="136"/>
    </row>
    <row r="33154" spans="1:2" x14ac:dyDescent="0.25">
      <c r="A33154" s="118"/>
      <c r="B33154" s="136"/>
    </row>
    <row r="33155" spans="1:2" x14ac:dyDescent="0.25">
      <c r="A33155" s="118"/>
      <c r="B33155" s="136"/>
    </row>
    <row r="33156" spans="1:2" x14ac:dyDescent="0.25">
      <c r="A33156" s="118"/>
      <c r="B33156" s="136"/>
    </row>
    <row r="33157" spans="1:2" x14ac:dyDescent="0.25">
      <c r="A33157" s="118"/>
      <c r="B33157" s="136"/>
    </row>
    <row r="33158" spans="1:2" x14ac:dyDescent="0.25">
      <c r="A33158" s="118"/>
      <c r="B33158" s="136"/>
    </row>
    <row r="33159" spans="1:2" x14ac:dyDescent="0.25">
      <c r="A33159" s="118"/>
      <c r="B33159" s="136"/>
    </row>
    <row r="33160" spans="1:2" x14ac:dyDescent="0.25">
      <c r="A33160" s="118"/>
      <c r="B33160" s="136"/>
    </row>
    <row r="33161" spans="1:2" x14ac:dyDescent="0.25">
      <c r="A33161" s="118"/>
      <c r="B33161" s="136"/>
    </row>
    <row r="33162" spans="1:2" x14ac:dyDescent="0.25">
      <c r="A33162" s="118"/>
      <c r="B33162" s="136"/>
    </row>
    <row r="33163" spans="1:2" x14ac:dyDescent="0.25">
      <c r="A33163" s="118"/>
      <c r="B33163" s="136"/>
    </row>
    <row r="33164" spans="1:2" x14ac:dyDescent="0.25">
      <c r="A33164" s="118"/>
      <c r="B33164" s="136"/>
    </row>
    <row r="33165" spans="1:2" x14ac:dyDescent="0.25">
      <c r="A33165" s="118"/>
      <c r="B33165" s="136"/>
    </row>
    <row r="33166" spans="1:2" x14ac:dyDescent="0.25">
      <c r="A33166" s="118"/>
      <c r="B33166" s="136"/>
    </row>
    <row r="33167" spans="1:2" x14ac:dyDescent="0.25">
      <c r="A33167" s="118"/>
      <c r="B33167" s="136"/>
    </row>
    <row r="33168" spans="1:2" x14ac:dyDescent="0.25">
      <c r="A33168" s="118"/>
      <c r="B33168" s="136"/>
    </row>
    <row r="33169" spans="1:2" x14ac:dyDescent="0.25">
      <c r="A33169" s="118"/>
      <c r="B33169" s="136"/>
    </row>
    <row r="33170" spans="1:2" x14ac:dyDescent="0.25">
      <c r="A33170" s="118"/>
      <c r="B33170" s="136"/>
    </row>
    <row r="33171" spans="1:2" x14ac:dyDescent="0.25">
      <c r="A33171" s="118"/>
      <c r="B33171" s="136"/>
    </row>
    <row r="33172" spans="1:2" x14ac:dyDescent="0.25">
      <c r="A33172" s="118"/>
      <c r="B33172" s="136"/>
    </row>
    <row r="33173" spans="1:2" x14ac:dyDescent="0.25">
      <c r="A33173" s="118"/>
      <c r="B33173" s="136"/>
    </row>
    <row r="33174" spans="1:2" x14ac:dyDescent="0.25">
      <c r="A33174" s="118"/>
      <c r="B33174" s="136"/>
    </row>
    <row r="33175" spans="1:2" x14ac:dyDescent="0.25">
      <c r="A33175" s="118"/>
      <c r="B33175" s="136"/>
    </row>
    <row r="33176" spans="1:2" x14ac:dyDescent="0.25">
      <c r="A33176" s="118"/>
      <c r="B33176" s="136"/>
    </row>
    <row r="33177" spans="1:2" x14ac:dyDescent="0.25">
      <c r="A33177" s="118"/>
      <c r="B33177" s="136"/>
    </row>
    <row r="33178" spans="1:2" x14ac:dyDescent="0.25">
      <c r="A33178" s="118"/>
      <c r="B33178" s="136"/>
    </row>
    <row r="33179" spans="1:2" x14ac:dyDescent="0.25">
      <c r="A33179" s="118"/>
      <c r="B33179" s="136"/>
    </row>
    <row r="33180" spans="1:2" x14ac:dyDescent="0.25">
      <c r="A33180" s="118"/>
      <c r="B33180" s="136"/>
    </row>
    <row r="33181" spans="1:2" x14ac:dyDescent="0.25">
      <c r="A33181" s="118"/>
      <c r="B33181" s="136"/>
    </row>
    <row r="33182" spans="1:2" x14ac:dyDescent="0.25">
      <c r="A33182" s="118"/>
      <c r="B33182" s="136"/>
    </row>
    <row r="33183" spans="1:2" x14ac:dyDescent="0.25">
      <c r="A33183" s="118"/>
      <c r="B33183" s="136"/>
    </row>
    <row r="33184" spans="1:2" x14ac:dyDescent="0.25">
      <c r="A33184" s="118"/>
      <c r="B33184" s="136"/>
    </row>
    <row r="33185" spans="1:2" x14ac:dyDescent="0.25">
      <c r="A33185" s="118"/>
      <c r="B33185" s="136"/>
    </row>
    <row r="33186" spans="1:2" x14ac:dyDescent="0.25">
      <c r="A33186" s="118"/>
      <c r="B33186" s="136"/>
    </row>
    <row r="33187" spans="1:2" x14ac:dyDescent="0.25">
      <c r="A33187" s="118"/>
      <c r="B33187" s="136"/>
    </row>
    <row r="33188" spans="1:2" x14ac:dyDescent="0.25">
      <c r="A33188" s="118"/>
      <c r="B33188" s="136"/>
    </row>
    <row r="33189" spans="1:2" x14ac:dyDescent="0.25">
      <c r="A33189" s="118"/>
      <c r="B33189" s="136"/>
    </row>
    <row r="33190" spans="1:2" x14ac:dyDescent="0.25">
      <c r="A33190" s="118"/>
      <c r="B33190" s="136"/>
    </row>
    <row r="33191" spans="1:2" x14ac:dyDescent="0.25">
      <c r="A33191" s="118"/>
      <c r="B33191" s="136"/>
    </row>
    <row r="33192" spans="1:2" x14ac:dyDescent="0.25">
      <c r="A33192" s="118"/>
      <c r="B33192" s="136"/>
    </row>
    <row r="33193" spans="1:2" x14ac:dyDescent="0.25">
      <c r="A33193" s="118"/>
      <c r="B33193" s="136"/>
    </row>
    <row r="33194" spans="1:2" x14ac:dyDescent="0.25">
      <c r="A33194" s="118"/>
      <c r="B33194" s="136"/>
    </row>
    <row r="33195" spans="1:2" x14ac:dyDescent="0.25">
      <c r="A33195" s="118"/>
      <c r="B33195" s="136"/>
    </row>
    <row r="33196" spans="1:2" x14ac:dyDescent="0.25">
      <c r="A33196" s="118"/>
      <c r="B33196" s="136"/>
    </row>
    <row r="33197" spans="1:2" x14ac:dyDescent="0.25">
      <c r="A33197" s="118"/>
      <c r="B33197" s="136"/>
    </row>
    <row r="33198" spans="1:2" x14ac:dyDescent="0.25">
      <c r="A33198" s="118"/>
      <c r="B33198" s="136"/>
    </row>
    <row r="33199" spans="1:2" x14ac:dyDescent="0.25">
      <c r="A33199" s="118"/>
      <c r="B33199" s="136"/>
    </row>
    <row r="33200" spans="1:2" x14ac:dyDescent="0.25">
      <c r="A33200" s="118"/>
      <c r="B33200" s="136"/>
    </row>
    <row r="33201" spans="1:2" x14ac:dyDescent="0.25">
      <c r="A33201" s="118"/>
      <c r="B33201" s="136"/>
    </row>
    <row r="33202" spans="1:2" x14ac:dyDescent="0.25">
      <c r="A33202" s="118"/>
      <c r="B33202" s="136"/>
    </row>
    <row r="33203" spans="1:2" x14ac:dyDescent="0.25">
      <c r="A33203" s="118"/>
      <c r="B33203" s="136"/>
    </row>
    <row r="33204" spans="1:2" x14ac:dyDescent="0.25">
      <c r="A33204" s="118"/>
      <c r="B33204" s="136"/>
    </row>
    <row r="33205" spans="1:2" x14ac:dyDescent="0.25">
      <c r="A33205" s="118"/>
      <c r="B33205" s="136"/>
    </row>
    <row r="33206" spans="1:2" x14ac:dyDescent="0.25">
      <c r="A33206" s="118"/>
      <c r="B33206" s="136"/>
    </row>
    <row r="33207" spans="1:2" x14ac:dyDescent="0.25">
      <c r="A33207" s="118"/>
      <c r="B33207" s="136"/>
    </row>
    <row r="33208" spans="1:2" x14ac:dyDescent="0.25">
      <c r="A33208" s="118"/>
      <c r="B33208" s="136"/>
    </row>
    <row r="33209" spans="1:2" x14ac:dyDescent="0.25">
      <c r="A33209" s="118"/>
      <c r="B33209" s="136"/>
    </row>
    <row r="33210" spans="1:2" x14ac:dyDescent="0.25">
      <c r="A33210" s="118"/>
      <c r="B33210" s="136"/>
    </row>
    <row r="33211" spans="1:2" x14ac:dyDescent="0.25">
      <c r="A33211" s="118"/>
      <c r="B33211" s="136"/>
    </row>
    <row r="33212" spans="1:2" x14ac:dyDescent="0.25">
      <c r="A33212" s="118"/>
      <c r="B33212" s="136"/>
    </row>
    <row r="33213" spans="1:2" x14ac:dyDescent="0.25">
      <c r="A33213" s="118"/>
      <c r="B33213" s="136"/>
    </row>
    <row r="33214" spans="1:2" x14ac:dyDescent="0.25">
      <c r="A33214" s="118"/>
      <c r="B33214" s="136"/>
    </row>
    <row r="33215" spans="1:2" x14ac:dyDescent="0.25">
      <c r="A33215" s="118"/>
      <c r="B33215" s="136"/>
    </row>
    <row r="33216" spans="1:2" x14ac:dyDescent="0.25">
      <c r="A33216" s="118"/>
      <c r="B33216" s="136"/>
    </row>
    <row r="33217" spans="1:2" x14ac:dyDescent="0.25">
      <c r="A33217" s="118"/>
      <c r="B33217" s="136"/>
    </row>
    <row r="33218" spans="1:2" x14ac:dyDescent="0.25">
      <c r="A33218" s="118"/>
      <c r="B33218" s="136"/>
    </row>
    <row r="33219" spans="1:2" x14ac:dyDescent="0.25">
      <c r="A33219" s="118"/>
      <c r="B33219" s="136"/>
    </row>
    <row r="33220" spans="1:2" x14ac:dyDescent="0.25">
      <c r="A33220" s="118"/>
      <c r="B33220" s="136"/>
    </row>
    <row r="33221" spans="1:2" x14ac:dyDescent="0.25">
      <c r="A33221" s="118"/>
      <c r="B33221" s="136"/>
    </row>
    <row r="33222" spans="1:2" x14ac:dyDescent="0.25">
      <c r="A33222" s="118"/>
      <c r="B33222" s="136"/>
    </row>
    <row r="33223" spans="1:2" x14ac:dyDescent="0.25">
      <c r="A33223" s="118"/>
      <c r="B33223" s="136"/>
    </row>
    <row r="33224" spans="1:2" x14ac:dyDescent="0.25">
      <c r="A33224" s="118"/>
      <c r="B33224" s="136"/>
    </row>
    <row r="33225" spans="1:2" x14ac:dyDescent="0.25">
      <c r="A33225" s="118"/>
      <c r="B33225" s="136"/>
    </row>
    <row r="33226" spans="1:2" x14ac:dyDescent="0.25">
      <c r="A33226" s="118"/>
      <c r="B33226" s="136"/>
    </row>
    <row r="33227" spans="1:2" x14ac:dyDescent="0.25">
      <c r="A33227" s="118"/>
      <c r="B33227" s="136"/>
    </row>
    <row r="33228" spans="1:2" x14ac:dyDescent="0.25">
      <c r="A33228" s="118"/>
      <c r="B33228" s="136"/>
    </row>
    <row r="33229" spans="1:2" x14ac:dyDescent="0.25">
      <c r="A33229" s="118"/>
      <c r="B33229" s="136"/>
    </row>
    <row r="33230" spans="1:2" x14ac:dyDescent="0.25">
      <c r="A33230" s="118"/>
      <c r="B33230" s="136"/>
    </row>
    <row r="33231" spans="1:2" x14ac:dyDescent="0.25">
      <c r="A33231" s="118"/>
      <c r="B33231" s="136"/>
    </row>
    <row r="33232" spans="1:2" x14ac:dyDescent="0.25">
      <c r="A33232" s="118"/>
      <c r="B33232" s="136"/>
    </row>
    <row r="33233" spans="1:2" x14ac:dyDescent="0.25">
      <c r="A33233" s="118"/>
      <c r="B33233" s="136"/>
    </row>
    <row r="33234" spans="1:2" x14ac:dyDescent="0.25">
      <c r="A33234" s="118"/>
      <c r="B33234" s="136"/>
    </row>
    <row r="33235" spans="1:2" x14ac:dyDescent="0.25">
      <c r="A33235" s="118"/>
      <c r="B33235" s="136"/>
    </row>
    <row r="33236" spans="1:2" x14ac:dyDescent="0.25">
      <c r="A33236" s="118"/>
      <c r="B33236" s="136"/>
    </row>
    <row r="33237" spans="1:2" x14ac:dyDescent="0.25">
      <c r="A33237" s="118"/>
      <c r="B33237" s="136"/>
    </row>
    <row r="33238" spans="1:2" x14ac:dyDescent="0.25">
      <c r="A33238" s="118"/>
      <c r="B33238" s="136"/>
    </row>
    <row r="33239" spans="1:2" x14ac:dyDescent="0.25">
      <c r="A33239" s="118"/>
      <c r="B33239" s="136"/>
    </row>
    <row r="33240" spans="1:2" x14ac:dyDescent="0.25">
      <c r="A33240" s="118"/>
      <c r="B33240" s="136"/>
    </row>
    <row r="33241" spans="1:2" x14ac:dyDescent="0.25">
      <c r="A33241" s="118"/>
      <c r="B33241" s="136"/>
    </row>
    <row r="33242" spans="1:2" x14ac:dyDescent="0.25">
      <c r="A33242" s="118"/>
      <c r="B33242" s="136"/>
    </row>
    <row r="33243" spans="1:2" x14ac:dyDescent="0.25">
      <c r="A33243" s="118"/>
      <c r="B33243" s="136"/>
    </row>
    <row r="33244" spans="1:2" x14ac:dyDescent="0.25">
      <c r="A33244" s="118"/>
      <c r="B33244" s="136"/>
    </row>
    <row r="33245" spans="1:2" x14ac:dyDescent="0.25">
      <c r="A33245" s="118"/>
      <c r="B33245" s="136"/>
    </row>
    <row r="33246" spans="1:2" x14ac:dyDescent="0.25">
      <c r="A33246" s="118"/>
      <c r="B33246" s="136"/>
    </row>
    <row r="33247" spans="1:2" x14ac:dyDescent="0.25">
      <c r="A33247" s="118"/>
      <c r="B33247" s="136"/>
    </row>
    <row r="33248" spans="1:2" x14ac:dyDescent="0.25">
      <c r="A33248" s="118"/>
      <c r="B33248" s="136"/>
    </row>
    <row r="33249" spans="1:2" x14ac:dyDescent="0.25">
      <c r="A33249" s="118"/>
      <c r="B33249" s="136"/>
    </row>
    <row r="33250" spans="1:2" x14ac:dyDescent="0.25">
      <c r="A33250" s="118"/>
      <c r="B33250" s="136"/>
    </row>
    <row r="33251" spans="1:2" x14ac:dyDescent="0.25">
      <c r="A33251" s="118"/>
      <c r="B33251" s="136"/>
    </row>
    <row r="33252" spans="1:2" x14ac:dyDescent="0.25">
      <c r="A33252" s="118"/>
      <c r="B33252" s="136"/>
    </row>
    <row r="33253" spans="1:2" x14ac:dyDescent="0.25">
      <c r="A33253" s="118"/>
      <c r="B33253" s="136"/>
    </row>
    <row r="33254" spans="1:2" x14ac:dyDescent="0.25">
      <c r="A33254" s="118"/>
      <c r="B33254" s="136"/>
    </row>
    <row r="33255" spans="1:2" x14ac:dyDescent="0.25">
      <c r="A33255" s="118"/>
      <c r="B33255" s="136"/>
    </row>
    <row r="33256" spans="1:2" x14ac:dyDescent="0.25">
      <c r="A33256" s="118"/>
      <c r="B33256" s="136"/>
    </row>
    <row r="33257" spans="1:2" x14ac:dyDescent="0.25">
      <c r="A33257" s="118"/>
      <c r="B33257" s="136"/>
    </row>
    <row r="33258" spans="1:2" x14ac:dyDescent="0.25">
      <c r="A33258" s="118"/>
      <c r="B33258" s="136"/>
    </row>
    <row r="33259" spans="1:2" x14ac:dyDescent="0.25">
      <c r="A33259" s="118"/>
      <c r="B33259" s="136"/>
    </row>
    <row r="33260" spans="1:2" x14ac:dyDescent="0.25">
      <c r="A33260" s="118"/>
      <c r="B33260" s="136"/>
    </row>
    <row r="33261" spans="1:2" x14ac:dyDescent="0.25">
      <c r="A33261" s="118"/>
      <c r="B33261" s="136"/>
    </row>
    <row r="33262" spans="1:2" x14ac:dyDescent="0.25">
      <c r="A33262" s="118"/>
      <c r="B33262" s="136"/>
    </row>
    <row r="33263" spans="1:2" x14ac:dyDescent="0.25">
      <c r="A33263" s="118"/>
      <c r="B33263" s="136"/>
    </row>
    <row r="33264" spans="1:2" x14ac:dyDescent="0.25">
      <c r="A33264" s="118"/>
      <c r="B33264" s="136"/>
    </row>
    <row r="33265" spans="1:2" x14ac:dyDescent="0.25">
      <c r="A33265" s="118"/>
      <c r="B33265" s="136"/>
    </row>
    <row r="33266" spans="1:2" x14ac:dyDescent="0.25">
      <c r="A33266" s="118"/>
      <c r="B33266" s="136"/>
    </row>
    <row r="33267" spans="1:2" x14ac:dyDescent="0.25">
      <c r="A33267" s="118"/>
      <c r="B33267" s="136"/>
    </row>
    <row r="33268" spans="1:2" x14ac:dyDescent="0.25">
      <c r="A33268" s="118"/>
      <c r="B33268" s="136"/>
    </row>
    <row r="33269" spans="1:2" x14ac:dyDescent="0.25">
      <c r="A33269" s="118"/>
      <c r="B33269" s="136"/>
    </row>
    <row r="33270" spans="1:2" x14ac:dyDescent="0.25">
      <c r="A33270" s="118"/>
      <c r="B33270" s="136"/>
    </row>
    <row r="33271" spans="1:2" x14ac:dyDescent="0.25">
      <c r="A33271" s="118"/>
      <c r="B33271" s="136"/>
    </row>
    <row r="33272" spans="1:2" x14ac:dyDescent="0.25">
      <c r="A33272" s="118"/>
      <c r="B33272" s="136"/>
    </row>
    <row r="33273" spans="1:2" x14ac:dyDescent="0.25">
      <c r="A33273" s="118"/>
      <c r="B33273" s="136"/>
    </row>
    <row r="33274" spans="1:2" x14ac:dyDescent="0.25">
      <c r="A33274" s="118"/>
      <c r="B33274" s="136"/>
    </row>
    <row r="33275" spans="1:2" x14ac:dyDescent="0.25">
      <c r="A33275" s="118"/>
      <c r="B33275" s="136"/>
    </row>
    <row r="33276" spans="1:2" x14ac:dyDescent="0.25">
      <c r="A33276" s="118"/>
      <c r="B33276" s="136"/>
    </row>
    <row r="33277" spans="1:2" x14ac:dyDescent="0.25">
      <c r="A33277" s="118"/>
      <c r="B33277" s="136"/>
    </row>
    <row r="33278" spans="1:2" x14ac:dyDescent="0.25">
      <c r="A33278" s="118"/>
      <c r="B33278" s="136"/>
    </row>
    <row r="33279" spans="1:2" x14ac:dyDescent="0.25">
      <c r="A33279" s="118"/>
      <c r="B33279" s="136"/>
    </row>
    <row r="33280" spans="1:2" x14ac:dyDescent="0.25">
      <c r="A33280" s="118"/>
      <c r="B33280" s="136"/>
    </row>
    <row r="33281" spans="1:2" x14ac:dyDescent="0.25">
      <c r="A33281" s="118"/>
      <c r="B33281" s="136"/>
    </row>
    <row r="33282" spans="1:2" x14ac:dyDescent="0.25">
      <c r="A33282" s="118"/>
      <c r="B33282" s="136"/>
    </row>
    <row r="33283" spans="1:2" x14ac:dyDescent="0.25">
      <c r="A33283" s="118"/>
      <c r="B33283" s="136"/>
    </row>
    <row r="33284" spans="1:2" x14ac:dyDescent="0.25">
      <c r="A33284" s="118"/>
      <c r="B33284" s="136"/>
    </row>
    <row r="33285" spans="1:2" x14ac:dyDescent="0.25">
      <c r="A33285" s="118"/>
      <c r="B33285" s="136"/>
    </row>
    <row r="33286" spans="1:2" x14ac:dyDescent="0.25">
      <c r="A33286" s="118"/>
      <c r="B33286" s="136"/>
    </row>
    <row r="33287" spans="1:2" x14ac:dyDescent="0.25">
      <c r="A33287" s="118"/>
      <c r="B33287" s="136"/>
    </row>
    <row r="33288" spans="1:2" x14ac:dyDescent="0.25">
      <c r="A33288" s="118"/>
      <c r="B33288" s="136"/>
    </row>
    <row r="33289" spans="1:2" x14ac:dyDescent="0.25">
      <c r="A33289" s="118"/>
      <c r="B33289" s="136"/>
    </row>
    <row r="33290" spans="1:2" x14ac:dyDescent="0.25">
      <c r="A33290" s="118"/>
      <c r="B33290" s="136"/>
    </row>
    <row r="33291" spans="1:2" x14ac:dyDescent="0.25">
      <c r="A33291" s="118"/>
      <c r="B33291" s="136"/>
    </row>
    <row r="33292" spans="1:2" x14ac:dyDescent="0.25">
      <c r="A33292" s="118"/>
      <c r="B33292" s="136"/>
    </row>
    <row r="33293" spans="1:2" x14ac:dyDescent="0.25">
      <c r="A33293" s="118"/>
      <c r="B33293" s="136"/>
    </row>
    <row r="33294" spans="1:2" x14ac:dyDescent="0.25">
      <c r="A33294" s="118"/>
      <c r="B33294" s="136"/>
    </row>
    <row r="33295" spans="1:2" x14ac:dyDescent="0.25">
      <c r="A33295" s="118"/>
      <c r="B33295" s="136"/>
    </row>
    <row r="33296" spans="1:2" x14ac:dyDescent="0.25">
      <c r="A33296" s="118"/>
      <c r="B33296" s="136"/>
    </row>
    <row r="33297" spans="1:2" x14ac:dyDescent="0.25">
      <c r="A33297" s="118"/>
      <c r="B33297" s="136"/>
    </row>
    <row r="33298" spans="1:2" x14ac:dyDescent="0.25">
      <c r="A33298" s="118"/>
      <c r="B33298" s="136"/>
    </row>
    <row r="33299" spans="1:2" x14ac:dyDescent="0.25">
      <c r="A33299" s="118"/>
      <c r="B33299" s="136"/>
    </row>
    <row r="33300" spans="1:2" x14ac:dyDescent="0.25">
      <c r="A33300" s="118"/>
      <c r="B33300" s="136"/>
    </row>
    <row r="33301" spans="1:2" x14ac:dyDescent="0.25">
      <c r="A33301" s="118"/>
      <c r="B33301" s="136"/>
    </row>
    <row r="33302" spans="1:2" x14ac:dyDescent="0.25">
      <c r="A33302" s="118"/>
      <c r="B33302" s="136"/>
    </row>
    <row r="33303" spans="1:2" x14ac:dyDescent="0.25">
      <c r="A33303" s="118"/>
      <c r="B33303" s="136"/>
    </row>
    <row r="33304" spans="1:2" x14ac:dyDescent="0.25">
      <c r="A33304" s="118"/>
      <c r="B33304" s="136"/>
    </row>
    <row r="33305" spans="1:2" x14ac:dyDescent="0.25">
      <c r="A33305" s="118"/>
      <c r="B33305" s="136"/>
    </row>
    <row r="33306" spans="1:2" x14ac:dyDescent="0.25">
      <c r="A33306" s="118"/>
      <c r="B33306" s="136"/>
    </row>
    <row r="33307" spans="1:2" x14ac:dyDescent="0.25">
      <c r="A33307" s="118"/>
      <c r="B33307" s="136"/>
    </row>
    <row r="33308" spans="1:2" x14ac:dyDescent="0.25">
      <c r="A33308" s="118"/>
      <c r="B33308" s="136"/>
    </row>
    <row r="33309" spans="1:2" x14ac:dyDescent="0.25">
      <c r="A33309" s="118"/>
      <c r="B33309" s="136"/>
    </row>
    <row r="33310" spans="1:2" x14ac:dyDescent="0.25">
      <c r="A33310" s="118"/>
      <c r="B33310" s="136"/>
    </row>
    <row r="33311" spans="1:2" x14ac:dyDescent="0.25">
      <c r="A33311" s="118"/>
      <c r="B33311" s="136"/>
    </row>
    <row r="33312" spans="1:2" x14ac:dyDescent="0.25">
      <c r="A33312" s="118"/>
      <c r="B33312" s="136"/>
    </row>
    <row r="33313" spans="1:2" x14ac:dyDescent="0.25">
      <c r="A33313" s="118"/>
      <c r="B33313" s="136"/>
    </row>
    <row r="33314" spans="1:2" x14ac:dyDescent="0.25">
      <c r="A33314" s="118"/>
      <c r="B33314" s="136"/>
    </row>
    <row r="33315" spans="1:2" x14ac:dyDescent="0.25">
      <c r="A33315" s="118"/>
      <c r="B33315" s="136"/>
    </row>
    <row r="33316" spans="1:2" x14ac:dyDescent="0.25">
      <c r="A33316" s="118"/>
      <c r="B33316" s="136"/>
    </row>
    <row r="33317" spans="1:2" x14ac:dyDescent="0.25">
      <c r="A33317" s="118"/>
      <c r="B33317" s="136"/>
    </row>
    <row r="33318" spans="1:2" x14ac:dyDescent="0.25">
      <c r="A33318" s="118"/>
      <c r="B33318" s="136"/>
    </row>
    <row r="33319" spans="1:2" x14ac:dyDescent="0.25">
      <c r="A33319" s="118"/>
      <c r="B33319" s="136"/>
    </row>
    <row r="33320" spans="1:2" x14ac:dyDescent="0.25">
      <c r="A33320" s="118"/>
      <c r="B33320" s="136"/>
    </row>
    <row r="33321" spans="1:2" x14ac:dyDescent="0.25">
      <c r="A33321" s="118"/>
      <c r="B33321" s="136"/>
    </row>
    <row r="33322" spans="1:2" x14ac:dyDescent="0.25">
      <c r="A33322" s="118"/>
      <c r="B33322" s="136"/>
    </row>
    <row r="33323" spans="1:2" x14ac:dyDescent="0.25">
      <c r="A33323" s="118"/>
      <c r="B33323" s="136"/>
    </row>
    <row r="33324" spans="1:2" x14ac:dyDescent="0.25">
      <c r="A33324" s="118"/>
      <c r="B33324" s="136"/>
    </row>
    <row r="33325" spans="1:2" x14ac:dyDescent="0.25">
      <c r="A33325" s="118"/>
      <c r="B33325" s="136"/>
    </row>
    <row r="33326" spans="1:2" x14ac:dyDescent="0.25">
      <c r="A33326" s="118"/>
      <c r="B33326" s="136"/>
    </row>
    <row r="33327" spans="1:2" x14ac:dyDescent="0.25">
      <c r="A33327" s="118"/>
      <c r="B33327" s="136"/>
    </row>
    <row r="33328" spans="1:2" x14ac:dyDescent="0.25">
      <c r="A33328" s="118"/>
      <c r="B33328" s="136"/>
    </row>
    <row r="33329" spans="1:2" x14ac:dyDescent="0.25">
      <c r="A33329" s="118"/>
      <c r="B33329" s="136"/>
    </row>
    <row r="33330" spans="1:2" x14ac:dyDescent="0.25">
      <c r="A33330" s="118"/>
      <c r="B33330" s="136"/>
    </row>
    <row r="33331" spans="1:2" x14ac:dyDescent="0.25">
      <c r="A33331" s="118"/>
      <c r="B33331" s="136"/>
    </row>
    <row r="33332" spans="1:2" x14ac:dyDescent="0.25">
      <c r="A33332" s="118"/>
      <c r="B33332" s="136"/>
    </row>
    <row r="33333" spans="1:2" x14ac:dyDescent="0.25">
      <c r="A33333" s="118"/>
      <c r="B33333" s="136"/>
    </row>
    <row r="33334" spans="1:2" x14ac:dyDescent="0.25">
      <c r="A33334" s="118"/>
      <c r="B33334" s="136"/>
    </row>
    <row r="33335" spans="1:2" x14ac:dyDescent="0.25">
      <c r="A33335" s="118"/>
      <c r="B33335" s="136"/>
    </row>
    <row r="33336" spans="1:2" x14ac:dyDescent="0.25">
      <c r="A33336" s="118"/>
      <c r="B33336" s="136"/>
    </row>
    <row r="33337" spans="1:2" x14ac:dyDescent="0.25">
      <c r="A33337" s="118"/>
      <c r="B33337" s="136"/>
    </row>
    <row r="33338" spans="1:2" x14ac:dyDescent="0.25">
      <c r="A33338" s="118"/>
      <c r="B33338" s="136"/>
    </row>
    <row r="33339" spans="1:2" x14ac:dyDescent="0.25">
      <c r="A33339" s="118"/>
      <c r="B33339" s="136"/>
    </row>
    <row r="33340" spans="1:2" x14ac:dyDescent="0.25">
      <c r="A33340" s="118"/>
      <c r="B33340" s="136"/>
    </row>
    <row r="33341" spans="1:2" x14ac:dyDescent="0.25">
      <c r="A33341" s="118"/>
      <c r="B33341" s="136"/>
    </row>
    <row r="33342" spans="1:2" x14ac:dyDescent="0.25">
      <c r="A33342" s="118"/>
      <c r="B33342" s="136"/>
    </row>
    <row r="33343" spans="1:2" x14ac:dyDescent="0.25">
      <c r="A33343" s="118"/>
      <c r="B33343" s="136"/>
    </row>
    <row r="33344" spans="1:2" x14ac:dyDescent="0.25">
      <c r="A33344" s="118"/>
      <c r="B33344" s="136"/>
    </row>
    <row r="33345" spans="1:2" x14ac:dyDescent="0.25">
      <c r="A33345" s="118"/>
      <c r="B33345" s="136"/>
    </row>
    <row r="33346" spans="1:2" x14ac:dyDescent="0.25">
      <c r="A33346" s="118"/>
      <c r="B33346" s="136"/>
    </row>
    <row r="33347" spans="1:2" x14ac:dyDescent="0.25">
      <c r="A33347" s="118"/>
      <c r="B33347" s="136"/>
    </row>
    <row r="33348" spans="1:2" x14ac:dyDescent="0.25">
      <c r="A33348" s="118"/>
      <c r="B33348" s="136"/>
    </row>
    <row r="33349" spans="1:2" x14ac:dyDescent="0.25">
      <c r="A33349" s="118"/>
      <c r="B33349" s="136"/>
    </row>
    <row r="33350" spans="1:2" x14ac:dyDescent="0.25">
      <c r="A33350" s="118"/>
      <c r="B33350" s="136"/>
    </row>
    <row r="33351" spans="1:2" x14ac:dyDescent="0.25">
      <c r="A33351" s="118"/>
      <c r="B33351" s="136"/>
    </row>
    <row r="33352" spans="1:2" x14ac:dyDescent="0.25">
      <c r="A33352" s="118"/>
      <c r="B33352" s="136"/>
    </row>
    <row r="33353" spans="1:2" x14ac:dyDescent="0.25">
      <c r="A33353" s="118"/>
      <c r="B33353" s="136"/>
    </row>
    <row r="33354" spans="1:2" x14ac:dyDescent="0.25">
      <c r="A33354" s="118"/>
      <c r="B33354" s="136"/>
    </row>
    <row r="33355" spans="1:2" x14ac:dyDescent="0.25">
      <c r="A33355" s="118"/>
      <c r="B33355" s="136"/>
    </row>
    <row r="33356" spans="1:2" x14ac:dyDescent="0.25">
      <c r="A33356" s="118"/>
      <c r="B33356" s="136"/>
    </row>
    <row r="33357" spans="1:2" x14ac:dyDescent="0.25">
      <c r="A33357" s="118"/>
      <c r="B33357" s="136"/>
    </row>
    <row r="33358" spans="1:2" x14ac:dyDescent="0.25">
      <c r="A33358" s="118"/>
      <c r="B33358" s="136"/>
    </row>
    <row r="33359" spans="1:2" x14ac:dyDescent="0.25">
      <c r="A33359" s="118"/>
      <c r="B33359" s="136"/>
    </row>
    <row r="33360" spans="1:2" x14ac:dyDescent="0.25">
      <c r="A33360" s="118"/>
      <c r="B33360" s="136"/>
    </row>
    <row r="33361" spans="1:2" x14ac:dyDescent="0.25">
      <c r="A33361" s="118"/>
      <c r="B33361" s="136"/>
    </row>
    <row r="33362" spans="1:2" x14ac:dyDescent="0.25">
      <c r="A33362" s="118"/>
      <c r="B33362" s="136"/>
    </row>
    <row r="33363" spans="1:2" x14ac:dyDescent="0.25">
      <c r="A33363" s="118"/>
      <c r="B33363" s="136"/>
    </row>
    <row r="33364" spans="1:2" x14ac:dyDescent="0.25">
      <c r="A33364" s="118"/>
      <c r="B33364" s="136"/>
    </row>
    <row r="33365" spans="1:2" x14ac:dyDescent="0.25">
      <c r="A33365" s="118"/>
      <c r="B33365" s="136"/>
    </row>
    <row r="33366" spans="1:2" x14ac:dyDescent="0.25">
      <c r="A33366" s="118"/>
      <c r="B33366" s="136"/>
    </row>
    <row r="33367" spans="1:2" x14ac:dyDescent="0.25">
      <c r="A33367" s="118"/>
      <c r="B33367" s="136"/>
    </row>
    <row r="33368" spans="1:2" x14ac:dyDescent="0.25">
      <c r="A33368" s="118"/>
      <c r="B33368" s="136"/>
    </row>
    <row r="33369" spans="1:2" x14ac:dyDescent="0.25">
      <c r="A33369" s="118"/>
      <c r="B33369" s="136"/>
    </row>
    <row r="33370" spans="1:2" x14ac:dyDescent="0.25">
      <c r="A33370" s="118"/>
      <c r="B33370" s="136"/>
    </row>
    <row r="33371" spans="1:2" x14ac:dyDescent="0.25">
      <c r="A33371" s="118"/>
      <c r="B33371" s="136"/>
    </row>
    <row r="33372" spans="1:2" x14ac:dyDescent="0.25">
      <c r="A33372" s="118"/>
      <c r="B33372" s="136"/>
    </row>
    <row r="33373" spans="1:2" x14ac:dyDescent="0.25">
      <c r="A33373" s="118"/>
      <c r="B33373" s="136"/>
    </row>
    <row r="33374" spans="1:2" x14ac:dyDescent="0.25">
      <c r="A33374" s="118"/>
      <c r="B33374" s="136"/>
    </row>
    <row r="33375" spans="1:2" x14ac:dyDescent="0.25">
      <c r="A33375" s="118"/>
      <c r="B33375" s="136"/>
    </row>
    <row r="33376" spans="1:2" x14ac:dyDescent="0.25">
      <c r="A33376" s="118"/>
      <c r="B33376" s="136"/>
    </row>
    <row r="33377" spans="1:2" x14ac:dyDescent="0.25">
      <c r="A33377" s="118"/>
      <c r="B33377" s="136"/>
    </row>
    <row r="33378" spans="1:2" x14ac:dyDescent="0.25">
      <c r="A33378" s="118"/>
      <c r="B33378" s="136"/>
    </row>
    <row r="33379" spans="1:2" x14ac:dyDescent="0.25">
      <c r="A33379" s="118"/>
      <c r="B33379" s="136"/>
    </row>
    <row r="33380" spans="1:2" x14ac:dyDescent="0.25">
      <c r="A33380" s="118"/>
      <c r="B33380" s="136"/>
    </row>
    <row r="33381" spans="1:2" x14ac:dyDescent="0.25">
      <c r="A33381" s="118"/>
      <c r="B33381" s="136"/>
    </row>
    <row r="33382" spans="1:2" x14ac:dyDescent="0.25">
      <c r="A33382" s="118"/>
      <c r="B33382" s="136"/>
    </row>
    <row r="33383" spans="1:2" x14ac:dyDescent="0.25">
      <c r="A33383" s="118"/>
      <c r="B33383" s="136"/>
    </row>
    <row r="33384" spans="1:2" x14ac:dyDescent="0.25">
      <c r="A33384" s="118"/>
      <c r="B33384" s="136"/>
    </row>
    <row r="33385" spans="1:2" x14ac:dyDescent="0.25">
      <c r="A33385" s="118"/>
      <c r="B33385" s="136"/>
    </row>
    <row r="33386" spans="1:2" x14ac:dyDescent="0.25">
      <c r="A33386" s="118"/>
      <c r="B33386" s="136"/>
    </row>
    <row r="33387" spans="1:2" x14ac:dyDescent="0.25">
      <c r="A33387" s="118"/>
      <c r="B33387" s="136"/>
    </row>
    <row r="33388" spans="1:2" x14ac:dyDescent="0.25">
      <c r="A33388" s="118"/>
      <c r="B33388" s="136"/>
    </row>
    <row r="33389" spans="1:2" x14ac:dyDescent="0.25">
      <c r="A33389" s="118"/>
      <c r="B33389" s="136"/>
    </row>
    <row r="33390" spans="1:2" x14ac:dyDescent="0.25">
      <c r="A33390" s="118"/>
      <c r="B33390" s="136"/>
    </row>
    <row r="33391" spans="1:2" x14ac:dyDescent="0.25">
      <c r="A33391" s="118"/>
      <c r="B33391" s="136"/>
    </row>
    <row r="33392" spans="1:2" x14ac:dyDescent="0.25">
      <c r="A33392" s="118"/>
      <c r="B33392" s="136"/>
    </row>
    <row r="33393" spans="1:2" x14ac:dyDescent="0.25">
      <c r="A33393" s="118"/>
      <c r="B33393" s="136"/>
    </row>
    <row r="33394" spans="1:2" x14ac:dyDescent="0.25">
      <c r="A33394" s="118"/>
      <c r="B33394" s="136"/>
    </row>
    <row r="33395" spans="1:2" x14ac:dyDescent="0.25">
      <c r="A33395" s="118"/>
      <c r="B33395" s="136"/>
    </row>
    <row r="33396" spans="1:2" x14ac:dyDescent="0.25">
      <c r="A33396" s="118"/>
      <c r="B33396" s="136"/>
    </row>
    <row r="33397" spans="1:2" x14ac:dyDescent="0.25">
      <c r="A33397" s="118"/>
      <c r="B33397" s="136"/>
    </row>
    <row r="33398" spans="1:2" x14ac:dyDescent="0.25">
      <c r="A33398" s="118"/>
      <c r="B33398" s="136"/>
    </row>
    <row r="33399" spans="1:2" x14ac:dyDescent="0.25">
      <c r="A33399" s="118"/>
      <c r="B33399" s="136"/>
    </row>
    <row r="33400" spans="1:2" x14ac:dyDescent="0.25">
      <c r="A33400" s="118"/>
      <c r="B33400" s="136"/>
    </row>
    <row r="33401" spans="1:2" x14ac:dyDescent="0.25">
      <c r="A33401" s="118"/>
      <c r="B33401" s="136"/>
    </row>
    <row r="33402" spans="1:2" x14ac:dyDescent="0.25">
      <c r="A33402" s="118"/>
      <c r="B33402" s="136"/>
    </row>
    <row r="33403" spans="1:2" x14ac:dyDescent="0.25">
      <c r="A33403" s="118"/>
      <c r="B33403" s="136"/>
    </row>
    <row r="33404" spans="1:2" x14ac:dyDescent="0.25">
      <c r="A33404" s="118"/>
      <c r="B33404" s="136"/>
    </row>
    <row r="33405" spans="1:2" x14ac:dyDescent="0.25">
      <c r="A33405" s="118"/>
      <c r="B33405" s="136"/>
    </row>
    <row r="33406" spans="1:2" x14ac:dyDescent="0.25">
      <c r="A33406" s="118"/>
      <c r="B33406" s="136"/>
    </row>
    <row r="33407" spans="1:2" x14ac:dyDescent="0.25">
      <c r="A33407" s="118"/>
      <c r="B33407" s="136"/>
    </row>
    <row r="33408" spans="1:2" x14ac:dyDescent="0.25">
      <c r="A33408" s="118"/>
      <c r="B33408" s="136"/>
    </row>
    <row r="33409" spans="1:2" x14ac:dyDescent="0.25">
      <c r="A33409" s="118"/>
      <c r="B33409" s="136"/>
    </row>
    <row r="33410" spans="1:2" x14ac:dyDescent="0.25">
      <c r="A33410" s="118"/>
      <c r="B33410" s="136"/>
    </row>
    <row r="33411" spans="1:2" x14ac:dyDescent="0.25">
      <c r="A33411" s="118"/>
      <c r="B33411" s="136"/>
    </row>
    <row r="33412" spans="1:2" x14ac:dyDescent="0.25">
      <c r="A33412" s="118"/>
      <c r="B33412" s="136"/>
    </row>
    <row r="33413" spans="1:2" x14ac:dyDescent="0.25">
      <c r="A33413" s="118"/>
      <c r="B33413" s="136"/>
    </row>
    <row r="33414" spans="1:2" x14ac:dyDescent="0.25">
      <c r="A33414" s="118"/>
      <c r="B33414" s="136"/>
    </row>
    <row r="33415" spans="1:2" x14ac:dyDescent="0.25">
      <c r="A33415" s="118"/>
      <c r="B33415" s="136"/>
    </row>
    <row r="33416" spans="1:2" x14ac:dyDescent="0.25">
      <c r="A33416" s="118"/>
      <c r="B33416" s="136"/>
    </row>
    <row r="33417" spans="1:2" x14ac:dyDescent="0.25">
      <c r="A33417" s="118"/>
      <c r="B33417" s="136"/>
    </row>
    <row r="33418" spans="1:2" x14ac:dyDescent="0.25">
      <c r="A33418" s="118"/>
      <c r="B33418" s="136"/>
    </row>
    <row r="33419" spans="1:2" x14ac:dyDescent="0.25">
      <c r="A33419" s="118"/>
      <c r="B33419" s="136"/>
    </row>
    <row r="33420" spans="1:2" x14ac:dyDescent="0.25">
      <c r="A33420" s="118"/>
      <c r="B33420" s="136"/>
    </row>
    <row r="33421" spans="1:2" x14ac:dyDescent="0.25">
      <c r="A33421" s="118"/>
      <c r="B33421" s="136"/>
    </row>
    <row r="33422" spans="1:2" x14ac:dyDescent="0.25">
      <c r="A33422" s="118"/>
      <c r="B33422" s="136"/>
    </row>
    <row r="33423" spans="1:2" x14ac:dyDescent="0.25">
      <c r="A33423" s="118"/>
      <c r="B33423" s="136"/>
    </row>
    <row r="33424" spans="1:2" x14ac:dyDescent="0.25">
      <c r="A33424" s="118"/>
      <c r="B33424" s="136"/>
    </row>
    <row r="33425" spans="1:2" x14ac:dyDescent="0.25">
      <c r="A33425" s="118"/>
      <c r="B33425" s="136"/>
    </row>
    <row r="33426" spans="1:2" x14ac:dyDescent="0.25">
      <c r="A33426" s="118"/>
      <c r="B33426" s="136"/>
    </row>
    <row r="33427" spans="1:2" x14ac:dyDescent="0.25">
      <c r="A33427" s="118"/>
      <c r="B33427" s="136"/>
    </row>
    <row r="33428" spans="1:2" x14ac:dyDescent="0.25">
      <c r="A33428" s="118"/>
      <c r="B33428" s="136"/>
    </row>
    <row r="33429" spans="1:2" x14ac:dyDescent="0.25">
      <c r="A33429" s="118"/>
      <c r="B33429" s="136"/>
    </row>
    <row r="33430" spans="1:2" x14ac:dyDescent="0.25">
      <c r="A33430" s="118"/>
      <c r="B33430" s="136"/>
    </row>
    <row r="33431" spans="1:2" x14ac:dyDescent="0.25">
      <c r="A33431" s="118"/>
      <c r="B33431" s="136"/>
    </row>
    <row r="33432" spans="1:2" x14ac:dyDescent="0.25">
      <c r="A33432" s="118"/>
      <c r="B33432" s="136"/>
    </row>
    <row r="33433" spans="1:2" x14ac:dyDescent="0.25">
      <c r="A33433" s="118"/>
      <c r="B33433" s="136"/>
    </row>
    <row r="33434" spans="1:2" x14ac:dyDescent="0.25">
      <c r="A33434" s="118"/>
      <c r="B33434" s="136"/>
    </row>
    <row r="33435" spans="1:2" x14ac:dyDescent="0.25">
      <c r="A33435" s="118"/>
      <c r="B33435" s="136"/>
    </row>
    <row r="33436" spans="1:2" x14ac:dyDescent="0.25">
      <c r="A33436" s="118"/>
      <c r="B33436" s="136"/>
    </row>
    <row r="33437" spans="1:2" x14ac:dyDescent="0.25">
      <c r="A33437" s="118"/>
      <c r="B33437" s="136"/>
    </row>
    <row r="33438" spans="1:2" x14ac:dyDescent="0.25">
      <c r="A33438" s="118"/>
      <c r="B33438" s="136"/>
    </row>
    <row r="33439" spans="1:2" x14ac:dyDescent="0.25">
      <c r="A33439" s="118"/>
      <c r="B33439" s="136"/>
    </row>
    <row r="33440" spans="1:2" x14ac:dyDescent="0.25">
      <c r="A33440" s="118"/>
      <c r="B33440" s="136"/>
    </row>
    <row r="33441" spans="1:2" x14ac:dyDescent="0.25">
      <c r="A33441" s="118"/>
      <c r="B33441" s="136"/>
    </row>
    <row r="33442" spans="1:2" x14ac:dyDescent="0.25">
      <c r="A33442" s="118"/>
      <c r="B33442" s="136"/>
    </row>
    <row r="33443" spans="1:2" x14ac:dyDescent="0.25">
      <c r="A33443" s="118"/>
      <c r="B33443" s="136"/>
    </row>
    <row r="33444" spans="1:2" x14ac:dyDescent="0.25">
      <c r="A33444" s="118"/>
      <c r="B33444" s="136"/>
    </row>
    <row r="33445" spans="1:2" x14ac:dyDescent="0.25">
      <c r="A33445" s="118"/>
      <c r="B33445" s="136"/>
    </row>
    <row r="33446" spans="1:2" x14ac:dyDescent="0.25">
      <c r="A33446" s="118"/>
      <c r="B33446" s="136"/>
    </row>
    <row r="33447" spans="1:2" x14ac:dyDescent="0.25">
      <c r="A33447" s="118"/>
      <c r="B33447" s="136"/>
    </row>
    <row r="33448" spans="1:2" x14ac:dyDescent="0.25">
      <c r="A33448" s="118"/>
      <c r="B33448" s="136"/>
    </row>
    <row r="33449" spans="1:2" x14ac:dyDescent="0.25">
      <c r="A33449" s="118"/>
      <c r="B33449" s="136"/>
    </row>
    <row r="33450" spans="1:2" x14ac:dyDescent="0.25">
      <c r="A33450" s="118"/>
      <c r="B33450" s="136"/>
    </row>
    <row r="33451" spans="1:2" x14ac:dyDescent="0.25">
      <c r="A33451" s="118"/>
      <c r="B33451" s="136"/>
    </row>
    <row r="33452" spans="1:2" x14ac:dyDescent="0.25">
      <c r="A33452" s="118"/>
      <c r="B33452" s="136"/>
    </row>
    <row r="33453" spans="1:2" x14ac:dyDescent="0.25">
      <c r="A33453" s="118"/>
      <c r="B33453" s="136"/>
    </row>
    <row r="33454" spans="1:2" x14ac:dyDescent="0.25">
      <c r="A33454" s="118"/>
      <c r="B33454" s="136"/>
    </row>
    <row r="33455" spans="1:2" x14ac:dyDescent="0.25">
      <c r="A33455" s="118"/>
      <c r="B33455" s="136"/>
    </row>
    <row r="33456" spans="1:2" x14ac:dyDescent="0.25">
      <c r="A33456" s="118"/>
      <c r="B33456" s="136"/>
    </row>
    <row r="33457" spans="1:2" x14ac:dyDescent="0.25">
      <c r="A33457" s="118"/>
      <c r="B33457" s="136"/>
    </row>
    <row r="33458" spans="1:2" x14ac:dyDescent="0.25">
      <c r="A33458" s="118"/>
      <c r="B33458" s="136"/>
    </row>
    <row r="33459" spans="1:2" x14ac:dyDescent="0.25">
      <c r="A33459" s="118"/>
      <c r="B33459" s="136"/>
    </row>
    <row r="33460" spans="1:2" x14ac:dyDescent="0.25">
      <c r="A33460" s="118"/>
      <c r="B33460" s="136"/>
    </row>
    <row r="33461" spans="1:2" x14ac:dyDescent="0.25">
      <c r="A33461" s="118"/>
      <c r="B33461" s="136"/>
    </row>
    <row r="33462" spans="1:2" x14ac:dyDescent="0.25">
      <c r="A33462" s="118"/>
      <c r="B33462" s="136"/>
    </row>
    <row r="33463" spans="1:2" x14ac:dyDescent="0.25">
      <c r="A33463" s="118"/>
      <c r="B33463" s="136"/>
    </row>
    <row r="33464" spans="1:2" x14ac:dyDescent="0.25">
      <c r="A33464" s="118"/>
      <c r="B33464" s="136"/>
    </row>
    <row r="33465" spans="1:2" x14ac:dyDescent="0.25">
      <c r="A33465" s="118"/>
      <c r="B33465" s="136"/>
    </row>
    <row r="33466" spans="1:2" x14ac:dyDescent="0.25">
      <c r="A33466" s="118"/>
      <c r="B33466" s="136"/>
    </row>
    <row r="33467" spans="1:2" x14ac:dyDescent="0.25">
      <c r="A33467" s="118"/>
      <c r="B33467" s="136"/>
    </row>
    <row r="33468" spans="1:2" x14ac:dyDescent="0.25">
      <c r="A33468" s="118"/>
      <c r="B33468" s="136"/>
    </row>
    <row r="33469" spans="1:2" x14ac:dyDescent="0.25">
      <c r="A33469" s="118"/>
      <c r="B33469" s="136"/>
    </row>
    <row r="33470" spans="1:2" x14ac:dyDescent="0.25">
      <c r="A33470" s="118"/>
      <c r="B33470" s="136"/>
    </row>
    <row r="33471" spans="1:2" x14ac:dyDescent="0.25">
      <c r="A33471" s="118"/>
      <c r="B33471" s="136"/>
    </row>
    <row r="33472" spans="1:2" x14ac:dyDescent="0.25">
      <c r="A33472" s="118"/>
      <c r="B33472" s="136"/>
    </row>
    <row r="33473" spans="1:2" x14ac:dyDescent="0.25">
      <c r="A33473" s="118"/>
      <c r="B33473" s="136"/>
    </row>
    <row r="33474" spans="1:2" x14ac:dyDescent="0.25">
      <c r="A33474" s="118"/>
      <c r="B33474" s="136"/>
    </row>
    <row r="33475" spans="1:2" x14ac:dyDescent="0.25">
      <c r="A33475" s="118"/>
      <c r="B33475" s="136"/>
    </row>
    <row r="33476" spans="1:2" x14ac:dyDescent="0.25">
      <c r="A33476" s="118"/>
      <c r="B33476" s="136"/>
    </row>
    <row r="33477" spans="1:2" x14ac:dyDescent="0.25">
      <c r="A33477" s="118"/>
      <c r="B33477" s="136"/>
    </row>
    <row r="33478" spans="1:2" x14ac:dyDescent="0.25">
      <c r="A33478" s="118"/>
      <c r="B33478" s="136"/>
    </row>
    <row r="33479" spans="1:2" x14ac:dyDescent="0.25">
      <c r="A33479" s="118"/>
      <c r="B33479" s="136"/>
    </row>
    <row r="33480" spans="1:2" x14ac:dyDescent="0.25">
      <c r="A33480" s="118"/>
      <c r="B33480" s="136"/>
    </row>
    <row r="33481" spans="1:2" x14ac:dyDescent="0.25">
      <c r="A33481" s="118"/>
      <c r="B33481" s="136"/>
    </row>
    <row r="33482" spans="1:2" x14ac:dyDescent="0.25">
      <c r="A33482" s="118"/>
      <c r="B33482" s="136"/>
    </row>
    <row r="33483" spans="1:2" x14ac:dyDescent="0.25">
      <c r="A33483" s="118"/>
      <c r="B33483" s="136"/>
    </row>
    <row r="33484" spans="1:2" x14ac:dyDescent="0.25">
      <c r="A33484" s="118"/>
      <c r="B33484" s="136"/>
    </row>
    <row r="33485" spans="1:2" x14ac:dyDescent="0.25">
      <c r="A33485" s="118"/>
      <c r="B33485" s="136"/>
    </row>
    <row r="33486" spans="1:2" x14ac:dyDescent="0.25">
      <c r="A33486" s="118"/>
      <c r="B33486" s="136"/>
    </row>
    <row r="33487" spans="1:2" x14ac:dyDescent="0.25">
      <c r="A33487" s="118"/>
      <c r="B33487" s="136"/>
    </row>
    <row r="33488" spans="1:2" x14ac:dyDescent="0.25">
      <c r="A33488" s="118"/>
      <c r="B33488" s="136"/>
    </row>
    <row r="33489" spans="1:2" x14ac:dyDescent="0.25">
      <c r="A33489" s="118"/>
      <c r="B33489" s="136"/>
    </row>
    <row r="33490" spans="1:2" x14ac:dyDescent="0.25">
      <c r="A33490" s="118"/>
      <c r="B33490" s="136"/>
    </row>
    <row r="33491" spans="1:2" x14ac:dyDescent="0.25">
      <c r="A33491" s="118"/>
      <c r="B33491" s="136"/>
    </row>
    <row r="33492" spans="1:2" x14ac:dyDescent="0.25">
      <c r="A33492" s="118"/>
      <c r="B33492" s="136"/>
    </row>
    <row r="33493" spans="1:2" x14ac:dyDescent="0.25">
      <c r="A33493" s="118"/>
      <c r="B33493" s="136"/>
    </row>
    <row r="33494" spans="1:2" x14ac:dyDescent="0.25">
      <c r="A33494" s="118"/>
      <c r="B33494" s="136"/>
    </row>
    <row r="33495" spans="1:2" x14ac:dyDescent="0.25">
      <c r="A33495" s="118"/>
      <c r="B33495" s="136"/>
    </row>
    <row r="33496" spans="1:2" x14ac:dyDescent="0.25">
      <c r="A33496" s="118"/>
      <c r="B33496" s="136"/>
    </row>
    <row r="33497" spans="1:2" x14ac:dyDescent="0.25">
      <c r="A33497" s="118"/>
      <c r="B33497" s="136"/>
    </row>
    <row r="33498" spans="1:2" x14ac:dyDescent="0.25">
      <c r="A33498" s="118"/>
      <c r="B33498" s="136"/>
    </row>
    <row r="33499" spans="1:2" x14ac:dyDescent="0.25">
      <c r="A33499" s="118"/>
      <c r="B33499" s="136"/>
    </row>
    <row r="33500" spans="1:2" x14ac:dyDescent="0.25">
      <c r="A33500" s="118"/>
      <c r="B33500" s="136"/>
    </row>
    <row r="33501" spans="1:2" x14ac:dyDescent="0.25">
      <c r="A33501" s="118"/>
      <c r="B33501" s="136"/>
    </row>
    <row r="33502" spans="1:2" x14ac:dyDescent="0.25">
      <c r="A33502" s="118"/>
      <c r="B33502" s="136"/>
    </row>
    <row r="33503" spans="1:2" x14ac:dyDescent="0.25">
      <c r="A33503" s="118"/>
      <c r="B33503" s="136"/>
    </row>
    <row r="33504" spans="1:2" x14ac:dyDescent="0.25">
      <c r="A33504" s="118"/>
      <c r="B33504" s="136"/>
    </row>
    <row r="33505" spans="1:2" x14ac:dyDescent="0.25">
      <c r="A33505" s="118"/>
      <c r="B33505" s="136"/>
    </row>
    <row r="33506" spans="1:2" x14ac:dyDescent="0.25">
      <c r="A33506" s="118"/>
      <c r="B33506" s="136"/>
    </row>
    <row r="33507" spans="1:2" x14ac:dyDescent="0.25">
      <c r="A33507" s="118"/>
      <c r="B33507" s="136"/>
    </row>
    <row r="33508" spans="1:2" x14ac:dyDescent="0.25">
      <c r="A33508" s="118"/>
      <c r="B33508" s="136"/>
    </row>
    <row r="33509" spans="1:2" x14ac:dyDescent="0.25">
      <c r="A33509" s="118"/>
      <c r="B33509" s="136"/>
    </row>
    <row r="33510" spans="1:2" x14ac:dyDescent="0.25">
      <c r="A33510" s="118"/>
      <c r="B33510" s="136"/>
    </row>
    <row r="33511" spans="1:2" x14ac:dyDescent="0.25">
      <c r="A33511" s="118"/>
      <c r="B33511" s="136"/>
    </row>
    <row r="33512" spans="1:2" x14ac:dyDescent="0.25">
      <c r="A33512" s="118"/>
      <c r="B33512" s="136"/>
    </row>
    <row r="33513" spans="1:2" x14ac:dyDescent="0.25">
      <c r="A33513" s="118"/>
      <c r="B33513" s="136"/>
    </row>
    <row r="33514" spans="1:2" x14ac:dyDescent="0.25">
      <c r="A33514" s="118"/>
      <c r="B33514" s="136"/>
    </row>
    <row r="33515" spans="1:2" x14ac:dyDescent="0.25">
      <c r="A33515" s="118"/>
      <c r="B33515" s="136"/>
    </row>
    <row r="33516" spans="1:2" x14ac:dyDescent="0.25">
      <c r="A33516" s="118"/>
      <c r="B33516" s="136"/>
    </row>
    <row r="33517" spans="1:2" x14ac:dyDescent="0.25">
      <c r="A33517" s="118"/>
      <c r="B33517" s="136"/>
    </row>
    <row r="33518" spans="1:2" x14ac:dyDescent="0.25">
      <c r="A33518" s="118"/>
      <c r="B33518" s="136"/>
    </row>
    <row r="33519" spans="1:2" x14ac:dyDescent="0.25">
      <c r="A33519" s="118"/>
      <c r="B33519" s="136"/>
    </row>
    <row r="33520" spans="1:2" x14ac:dyDescent="0.25">
      <c r="A33520" s="118"/>
      <c r="B33520" s="136"/>
    </row>
    <row r="33521" spans="1:2" x14ac:dyDescent="0.25">
      <c r="A33521" s="118"/>
      <c r="B33521" s="136"/>
    </row>
    <row r="33522" spans="1:2" x14ac:dyDescent="0.25">
      <c r="A33522" s="118"/>
      <c r="B33522" s="136"/>
    </row>
    <row r="33523" spans="1:2" x14ac:dyDescent="0.25">
      <c r="A33523" s="118"/>
      <c r="B33523" s="136"/>
    </row>
    <row r="33524" spans="1:2" x14ac:dyDescent="0.25">
      <c r="A33524" s="118"/>
      <c r="B33524" s="136"/>
    </row>
    <row r="33525" spans="1:2" x14ac:dyDescent="0.25">
      <c r="A33525" s="118"/>
      <c r="B33525" s="136"/>
    </row>
    <row r="33526" spans="1:2" x14ac:dyDescent="0.25">
      <c r="A33526" s="118"/>
      <c r="B33526" s="136"/>
    </row>
    <row r="33527" spans="1:2" x14ac:dyDescent="0.25">
      <c r="A33527" s="118"/>
      <c r="B33527" s="136"/>
    </row>
    <row r="33528" spans="1:2" x14ac:dyDescent="0.25">
      <c r="A33528" s="118"/>
      <c r="B33528" s="136"/>
    </row>
    <row r="33529" spans="1:2" x14ac:dyDescent="0.25">
      <c r="A33529" s="118"/>
      <c r="B33529" s="136"/>
    </row>
    <row r="33530" spans="1:2" x14ac:dyDescent="0.25">
      <c r="A33530" s="118"/>
      <c r="B33530" s="136"/>
    </row>
    <row r="33531" spans="1:2" x14ac:dyDescent="0.25">
      <c r="A33531" s="118"/>
      <c r="B33531" s="136"/>
    </row>
    <row r="33532" spans="1:2" x14ac:dyDescent="0.25">
      <c r="A33532" s="118"/>
      <c r="B33532" s="136"/>
    </row>
    <row r="33533" spans="1:2" x14ac:dyDescent="0.25">
      <c r="A33533" s="118"/>
      <c r="B33533" s="136"/>
    </row>
    <row r="33534" spans="1:2" x14ac:dyDescent="0.25">
      <c r="A33534" s="118"/>
      <c r="B33534" s="136"/>
    </row>
    <row r="33535" spans="1:2" x14ac:dyDescent="0.25">
      <c r="A33535" s="118"/>
      <c r="B33535" s="136"/>
    </row>
    <row r="33536" spans="1:2" x14ac:dyDescent="0.25">
      <c r="A33536" s="118"/>
      <c r="B33536" s="136"/>
    </row>
    <row r="33537" spans="1:2" x14ac:dyDescent="0.25">
      <c r="A33537" s="118"/>
      <c r="B33537" s="136"/>
    </row>
    <row r="33538" spans="1:2" x14ac:dyDescent="0.25">
      <c r="A33538" s="118"/>
      <c r="B33538" s="136"/>
    </row>
    <row r="33539" spans="1:2" x14ac:dyDescent="0.25">
      <c r="A33539" s="118"/>
      <c r="B33539" s="136"/>
    </row>
    <row r="33540" spans="1:2" x14ac:dyDescent="0.25">
      <c r="A33540" s="118"/>
      <c r="B33540" s="136"/>
    </row>
    <row r="33541" spans="1:2" x14ac:dyDescent="0.25">
      <c r="A33541" s="118"/>
      <c r="B33541" s="136"/>
    </row>
    <row r="33542" spans="1:2" x14ac:dyDescent="0.25">
      <c r="A33542" s="118"/>
      <c r="B33542" s="136"/>
    </row>
    <row r="33543" spans="1:2" x14ac:dyDescent="0.25">
      <c r="A33543" s="118"/>
      <c r="B33543" s="136"/>
    </row>
    <row r="33544" spans="1:2" x14ac:dyDescent="0.25">
      <c r="A33544" s="118"/>
      <c r="B33544" s="136"/>
    </row>
    <row r="33545" spans="1:2" x14ac:dyDescent="0.25">
      <c r="A33545" s="118"/>
      <c r="B33545" s="136"/>
    </row>
    <row r="33546" spans="1:2" x14ac:dyDescent="0.25">
      <c r="A33546" s="118"/>
      <c r="B33546" s="136"/>
    </row>
    <row r="33547" spans="1:2" x14ac:dyDescent="0.25">
      <c r="A33547" s="118"/>
      <c r="B33547" s="136"/>
    </row>
    <row r="33548" spans="1:2" x14ac:dyDescent="0.25">
      <c r="A33548" s="118"/>
      <c r="B33548" s="136"/>
    </row>
    <row r="33549" spans="1:2" x14ac:dyDescent="0.25">
      <c r="A33549" s="118"/>
      <c r="B33549" s="136"/>
    </row>
    <row r="33550" spans="1:2" x14ac:dyDescent="0.25">
      <c r="A33550" s="118"/>
      <c r="B33550" s="136"/>
    </row>
    <row r="33551" spans="1:2" x14ac:dyDescent="0.25">
      <c r="A33551" s="118"/>
      <c r="B33551" s="136"/>
    </row>
    <row r="33552" spans="1:2" x14ac:dyDescent="0.25">
      <c r="A33552" s="118"/>
      <c r="B33552" s="136"/>
    </row>
    <row r="33553" spans="1:2" x14ac:dyDescent="0.25">
      <c r="A33553" s="118"/>
      <c r="B33553" s="136"/>
    </row>
    <row r="33554" spans="1:2" x14ac:dyDescent="0.25">
      <c r="A33554" s="118"/>
      <c r="B33554" s="136"/>
    </row>
    <row r="33555" spans="1:2" x14ac:dyDescent="0.25">
      <c r="A33555" s="118"/>
      <c r="B33555" s="136"/>
    </row>
    <row r="33556" spans="1:2" x14ac:dyDescent="0.25">
      <c r="A33556" s="118"/>
      <c r="B33556" s="136"/>
    </row>
    <row r="33557" spans="1:2" x14ac:dyDescent="0.25">
      <c r="A33557" s="118"/>
      <c r="B33557" s="136"/>
    </row>
    <row r="33558" spans="1:2" x14ac:dyDescent="0.25">
      <c r="A33558" s="118"/>
      <c r="B33558" s="136"/>
    </row>
    <row r="33559" spans="1:2" x14ac:dyDescent="0.25">
      <c r="A33559" s="118"/>
      <c r="B33559" s="136"/>
    </row>
    <row r="33560" spans="1:2" x14ac:dyDescent="0.25">
      <c r="A33560" s="118"/>
      <c r="B33560" s="136"/>
    </row>
    <row r="33561" spans="1:2" x14ac:dyDescent="0.25">
      <c r="A33561" s="118"/>
      <c r="B33561" s="136"/>
    </row>
    <row r="33562" spans="1:2" x14ac:dyDescent="0.25">
      <c r="A33562" s="118"/>
      <c r="B33562" s="136"/>
    </row>
    <row r="33563" spans="1:2" x14ac:dyDescent="0.25">
      <c r="A33563" s="118"/>
      <c r="B33563" s="136"/>
    </row>
    <row r="33564" spans="1:2" x14ac:dyDescent="0.25">
      <c r="A33564" s="118"/>
      <c r="B33564" s="136"/>
    </row>
    <row r="33565" spans="1:2" x14ac:dyDescent="0.25">
      <c r="A33565" s="118"/>
      <c r="B33565" s="136"/>
    </row>
    <row r="33566" spans="1:2" x14ac:dyDescent="0.25">
      <c r="A33566" s="118"/>
      <c r="B33566" s="136"/>
    </row>
    <row r="33567" spans="1:2" x14ac:dyDescent="0.25">
      <c r="A33567" s="118"/>
      <c r="B33567" s="136"/>
    </row>
    <row r="33568" spans="1:2" x14ac:dyDescent="0.25">
      <c r="A33568" s="118"/>
      <c r="B33568" s="136"/>
    </row>
    <row r="33569" spans="1:2" x14ac:dyDescent="0.25">
      <c r="A33569" s="118"/>
      <c r="B33569" s="136"/>
    </row>
    <row r="33570" spans="1:2" x14ac:dyDescent="0.25">
      <c r="A33570" s="118"/>
      <c r="B33570" s="136"/>
    </row>
    <row r="33571" spans="1:2" x14ac:dyDescent="0.25">
      <c r="A33571" s="118"/>
      <c r="B33571" s="136"/>
    </row>
    <row r="33572" spans="1:2" x14ac:dyDescent="0.25">
      <c r="A33572" s="118"/>
      <c r="B33572" s="136"/>
    </row>
    <row r="33573" spans="1:2" x14ac:dyDescent="0.25">
      <c r="A33573" s="118"/>
      <c r="B33573" s="136"/>
    </row>
    <row r="33574" spans="1:2" x14ac:dyDescent="0.25">
      <c r="A33574" s="118"/>
      <c r="B33574" s="136"/>
    </row>
    <row r="33575" spans="1:2" x14ac:dyDescent="0.25">
      <c r="A33575" s="118"/>
      <c r="B33575" s="136"/>
    </row>
    <row r="33576" spans="1:2" x14ac:dyDescent="0.25">
      <c r="A33576" s="118"/>
      <c r="B33576" s="136"/>
    </row>
    <row r="33577" spans="1:2" x14ac:dyDescent="0.25">
      <c r="A33577" s="118"/>
      <c r="B33577" s="136"/>
    </row>
    <row r="33578" spans="1:2" x14ac:dyDescent="0.25">
      <c r="A33578" s="118"/>
      <c r="B33578" s="136"/>
    </row>
    <row r="33579" spans="1:2" x14ac:dyDescent="0.25">
      <c r="A33579" s="118"/>
      <c r="B33579" s="136"/>
    </row>
    <row r="33580" spans="1:2" x14ac:dyDescent="0.25">
      <c r="A33580" s="118"/>
      <c r="B33580" s="136"/>
    </row>
    <row r="33581" spans="1:2" x14ac:dyDescent="0.25">
      <c r="A33581" s="118"/>
      <c r="B33581" s="136"/>
    </row>
    <row r="33582" spans="1:2" x14ac:dyDescent="0.25">
      <c r="A33582" s="118"/>
      <c r="B33582" s="136"/>
    </row>
    <row r="33583" spans="1:2" x14ac:dyDescent="0.25">
      <c r="A33583" s="118"/>
      <c r="B33583" s="136"/>
    </row>
    <row r="33584" spans="1:2" x14ac:dyDescent="0.25">
      <c r="A33584" s="118"/>
      <c r="B33584" s="136"/>
    </row>
    <row r="33585" spans="1:2" x14ac:dyDescent="0.25">
      <c r="A33585" s="118"/>
      <c r="B33585" s="136"/>
    </row>
    <row r="33586" spans="1:2" x14ac:dyDescent="0.25">
      <c r="A33586" s="118"/>
      <c r="B33586" s="136"/>
    </row>
    <row r="33587" spans="1:2" x14ac:dyDescent="0.25">
      <c r="A33587" s="118"/>
      <c r="B33587" s="136"/>
    </row>
    <row r="33588" spans="1:2" x14ac:dyDescent="0.25">
      <c r="A33588" s="118"/>
      <c r="B33588" s="136"/>
    </row>
    <row r="33589" spans="1:2" x14ac:dyDescent="0.25">
      <c r="A33589" s="118"/>
      <c r="B33589" s="136"/>
    </row>
    <row r="33590" spans="1:2" x14ac:dyDescent="0.25">
      <c r="A33590" s="118"/>
      <c r="B33590" s="136"/>
    </row>
    <row r="33591" spans="1:2" x14ac:dyDescent="0.25">
      <c r="A33591" s="118"/>
      <c r="B33591" s="136"/>
    </row>
    <row r="33592" spans="1:2" x14ac:dyDescent="0.25">
      <c r="A33592" s="118"/>
      <c r="B33592" s="136"/>
    </row>
    <row r="33593" spans="1:2" x14ac:dyDescent="0.25">
      <c r="A33593" s="118"/>
      <c r="B33593" s="136"/>
    </row>
    <row r="33594" spans="1:2" x14ac:dyDescent="0.25">
      <c r="A33594" s="118"/>
      <c r="B33594" s="136"/>
    </row>
    <row r="33595" spans="1:2" x14ac:dyDescent="0.25">
      <c r="A33595" s="118"/>
      <c r="B33595" s="136"/>
    </row>
    <row r="33596" spans="1:2" x14ac:dyDescent="0.25">
      <c r="A33596" s="118"/>
      <c r="B33596" s="136"/>
    </row>
    <row r="33597" spans="1:2" x14ac:dyDescent="0.25">
      <c r="A33597" s="118"/>
      <c r="B33597" s="136"/>
    </row>
    <row r="33598" spans="1:2" x14ac:dyDescent="0.25">
      <c r="A33598" s="118"/>
      <c r="B33598" s="136"/>
    </row>
    <row r="33599" spans="1:2" x14ac:dyDescent="0.25">
      <c r="A33599" s="118"/>
      <c r="B33599" s="136"/>
    </row>
    <row r="33600" spans="1:2" x14ac:dyDescent="0.25">
      <c r="A33600" s="118"/>
      <c r="B33600" s="136"/>
    </row>
    <row r="33601" spans="1:2" x14ac:dyDescent="0.25">
      <c r="A33601" s="118"/>
      <c r="B33601" s="136"/>
    </row>
    <row r="33602" spans="1:2" x14ac:dyDescent="0.25">
      <c r="A33602" s="118"/>
      <c r="B33602" s="136"/>
    </row>
    <row r="33603" spans="1:2" x14ac:dyDescent="0.25">
      <c r="A33603" s="118"/>
      <c r="B33603" s="136"/>
    </row>
    <row r="33604" spans="1:2" x14ac:dyDescent="0.25">
      <c r="A33604" s="118"/>
      <c r="B33604" s="136"/>
    </row>
    <row r="33605" spans="1:2" x14ac:dyDescent="0.25">
      <c r="A33605" s="118"/>
      <c r="B33605" s="136"/>
    </row>
    <row r="33606" spans="1:2" x14ac:dyDescent="0.25">
      <c r="A33606" s="118"/>
      <c r="B33606" s="136"/>
    </row>
    <row r="33607" spans="1:2" x14ac:dyDescent="0.25">
      <c r="A33607" s="118"/>
      <c r="B33607" s="136"/>
    </row>
    <row r="33608" spans="1:2" x14ac:dyDescent="0.25">
      <c r="A33608" s="118"/>
      <c r="B33608" s="136"/>
    </row>
    <row r="33609" spans="1:2" x14ac:dyDescent="0.25">
      <c r="A33609" s="118"/>
      <c r="B33609" s="136"/>
    </row>
    <row r="33610" spans="1:2" x14ac:dyDescent="0.25">
      <c r="A33610" s="118"/>
      <c r="B33610" s="136"/>
    </row>
    <row r="33611" spans="1:2" x14ac:dyDescent="0.25">
      <c r="A33611" s="118"/>
      <c r="B33611" s="136"/>
    </row>
    <row r="33612" spans="1:2" x14ac:dyDescent="0.25">
      <c r="A33612" s="118"/>
      <c r="B33612" s="136"/>
    </row>
    <row r="33613" spans="1:2" x14ac:dyDescent="0.25">
      <c r="A33613" s="118"/>
      <c r="B33613" s="136"/>
    </row>
    <row r="33614" spans="1:2" x14ac:dyDescent="0.25">
      <c r="A33614" s="118"/>
      <c r="B33614" s="136"/>
    </row>
    <row r="33615" spans="1:2" x14ac:dyDescent="0.25">
      <c r="A33615" s="118"/>
      <c r="B33615" s="136"/>
    </row>
    <row r="33616" spans="1:2" x14ac:dyDescent="0.25">
      <c r="A33616" s="118"/>
      <c r="B33616" s="136"/>
    </row>
    <row r="33617" spans="1:2" x14ac:dyDescent="0.25">
      <c r="A33617" s="118"/>
      <c r="B33617" s="136"/>
    </row>
    <row r="33618" spans="1:2" x14ac:dyDescent="0.25">
      <c r="A33618" s="118"/>
      <c r="B33618" s="136"/>
    </row>
    <row r="33619" spans="1:2" x14ac:dyDescent="0.25">
      <c r="A33619" s="118"/>
      <c r="B33619" s="136"/>
    </row>
    <row r="33620" spans="1:2" x14ac:dyDescent="0.25">
      <c r="A33620" s="118"/>
      <c r="B33620" s="136"/>
    </row>
    <row r="33621" spans="1:2" x14ac:dyDescent="0.25">
      <c r="A33621" s="118"/>
      <c r="B33621" s="136"/>
    </row>
    <row r="33622" spans="1:2" x14ac:dyDescent="0.25">
      <c r="A33622" s="118"/>
      <c r="B33622" s="136"/>
    </row>
    <row r="33623" spans="1:2" x14ac:dyDescent="0.25">
      <c r="A33623" s="118"/>
      <c r="B33623" s="136"/>
    </row>
    <row r="33624" spans="1:2" x14ac:dyDescent="0.25">
      <c r="A33624" s="118"/>
      <c r="B33624" s="136"/>
    </row>
    <row r="33625" spans="1:2" x14ac:dyDescent="0.25">
      <c r="A33625" s="118"/>
      <c r="B33625" s="136"/>
    </row>
    <row r="33626" spans="1:2" x14ac:dyDescent="0.25">
      <c r="A33626" s="118"/>
      <c r="B33626" s="136"/>
    </row>
    <row r="33627" spans="1:2" x14ac:dyDescent="0.25">
      <c r="A33627" s="118"/>
      <c r="B33627" s="136"/>
    </row>
    <row r="33628" spans="1:2" x14ac:dyDescent="0.25">
      <c r="A33628" s="118"/>
      <c r="B33628" s="136"/>
    </row>
    <row r="33629" spans="1:2" x14ac:dyDescent="0.25">
      <c r="A33629" s="118"/>
      <c r="B33629" s="136"/>
    </row>
    <row r="33630" spans="1:2" x14ac:dyDescent="0.25">
      <c r="A33630" s="118"/>
      <c r="B33630" s="136"/>
    </row>
    <row r="33631" spans="1:2" x14ac:dyDescent="0.25">
      <c r="A33631" s="118"/>
      <c r="B33631" s="136"/>
    </row>
    <row r="33632" spans="1:2" x14ac:dyDescent="0.25">
      <c r="A33632" s="118"/>
      <c r="B33632" s="136"/>
    </row>
    <row r="33633" spans="1:2" x14ac:dyDescent="0.25">
      <c r="A33633" s="118"/>
      <c r="B33633" s="136"/>
    </row>
    <row r="33634" spans="1:2" x14ac:dyDescent="0.25">
      <c r="A33634" s="118"/>
      <c r="B33634" s="136"/>
    </row>
    <row r="33635" spans="1:2" x14ac:dyDescent="0.25">
      <c r="A33635" s="118"/>
      <c r="B33635" s="136"/>
    </row>
    <row r="33636" spans="1:2" x14ac:dyDescent="0.25">
      <c r="A33636" s="118"/>
      <c r="B33636" s="136"/>
    </row>
    <row r="33637" spans="1:2" x14ac:dyDescent="0.25">
      <c r="A33637" s="118"/>
      <c r="B33637" s="136"/>
    </row>
    <row r="33638" spans="1:2" x14ac:dyDescent="0.25">
      <c r="A33638" s="118"/>
      <c r="B33638" s="136"/>
    </row>
    <row r="33639" spans="1:2" x14ac:dyDescent="0.25">
      <c r="A33639" s="118"/>
      <c r="B33639" s="136"/>
    </row>
    <row r="33640" spans="1:2" x14ac:dyDescent="0.25">
      <c r="A33640" s="118"/>
      <c r="B33640" s="136"/>
    </row>
    <row r="33641" spans="1:2" x14ac:dyDescent="0.25">
      <c r="A33641" s="118"/>
      <c r="B33641" s="136"/>
    </row>
    <row r="33642" spans="1:2" x14ac:dyDescent="0.25">
      <c r="A33642" s="118"/>
      <c r="B33642" s="136"/>
    </row>
    <row r="33643" spans="1:2" x14ac:dyDescent="0.25">
      <c r="A33643" s="118"/>
      <c r="B33643" s="136"/>
    </row>
    <row r="33644" spans="1:2" x14ac:dyDescent="0.25">
      <c r="A33644" s="118"/>
      <c r="B33644" s="136"/>
    </row>
    <row r="33645" spans="1:2" x14ac:dyDescent="0.25">
      <c r="A33645" s="118"/>
      <c r="B33645" s="136"/>
    </row>
    <row r="33646" spans="1:2" x14ac:dyDescent="0.25">
      <c r="A33646" s="118"/>
      <c r="B33646" s="136"/>
    </row>
    <row r="33647" spans="1:2" x14ac:dyDescent="0.25">
      <c r="A33647" s="118"/>
      <c r="B33647" s="136"/>
    </row>
    <row r="33648" spans="1:2" x14ac:dyDescent="0.25">
      <c r="A33648" s="118"/>
      <c r="B33648" s="136"/>
    </row>
    <row r="33649" spans="1:2" x14ac:dyDescent="0.25">
      <c r="A33649" s="118"/>
      <c r="B33649" s="136"/>
    </row>
    <row r="33650" spans="1:2" x14ac:dyDescent="0.25">
      <c r="A33650" s="118"/>
      <c r="B33650" s="136"/>
    </row>
    <row r="33651" spans="1:2" x14ac:dyDescent="0.25">
      <c r="A33651" s="118"/>
      <c r="B33651" s="136"/>
    </row>
    <row r="33652" spans="1:2" x14ac:dyDescent="0.25">
      <c r="A33652" s="118"/>
      <c r="B33652" s="136"/>
    </row>
    <row r="33653" spans="1:2" x14ac:dyDescent="0.25">
      <c r="A33653" s="118"/>
      <c r="B33653" s="136"/>
    </row>
    <row r="33654" spans="1:2" x14ac:dyDescent="0.25">
      <c r="A33654" s="118"/>
      <c r="B33654" s="136"/>
    </row>
    <row r="33655" spans="1:2" x14ac:dyDescent="0.25">
      <c r="A33655" s="118"/>
      <c r="B33655" s="136"/>
    </row>
    <row r="33656" spans="1:2" x14ac:dyDescent="0.25">
      <c r="A33656" s="118"/>
      <c r="B33656" s="136"/>
    </row>
    <row r="33657" spans="1:2" x14ac:dyDescent="0.25">
      <c r="A33657" s="118"/>
      <c r="B33657" s="136"/>
    </row>
    <row r="33658" spans="1:2" x14ac:dyDescent="0.25">
      <c r="A33658" s="118"/>
      <c r="B33658" s="136"/>
    </row>
    <row r="33659" spans="1:2" x14ac:dyDescent="0.25">
      <c r="A33659" s="118"/>
      <c r="B33659" s="136"/>
    </row>
    <row r="33660" spans="1:2" x14ac:dyDescent="0.25">
      <c r="A33660" s="118"/>
      <c r="B33660" s="136"/>
    </row>
    <row r="33661" spans="1:2" x14ac:dyDescent="0.25">
      <c r="A33661" s="118"/>
      <c r="B33661" s="136"/>
    </row>
    <row r="33662" spans="1:2" x14ac:dyDescent="0.25">
      <c r="A33662" s="118"/>
      <c r="B33662" s="136"/>
    </row>
    <row r="33663" spans="1:2" x14ac:dyDescent="0.25">
      <c r="A33663" s="118"/>
      <c r="B33663" s="136"/>
    </row>
    <row r="33664" spans="1:2" x14ac:dyDescent="0.25">
      <c r="A33664" s="118"/>
      <c r="B33664" s="136"/>
    </row>
    <row r="33665" spans="1:2" x14ac:dyDescent="0.25">
      <c r="A33665" s="118"/>
      <c r="B33665" s="136"/>
    </row>
    <row r="33666" spans="1:2" x14ac:dyDescent="0.25">
      <c r="A33666" s="118"/>
      <c r="B33666" s="136"/>
    </row>
    <row r="33667" spans="1:2" x14ac:dyDescent="0.25">
      <c r="A33667" s="118"/>
      <c r="B33667" s="136"/>
    </row>
    <row r="33668" spans="1:2" x14ac:dyDescent="0.25">
      <c r="A33668" s="118"/>
      <c r="B33668" s="136"/>
    </row>
    <row r="33669" spans="1:2" x14ac:dyDescent="0.25">
      <c r="A33669" s="118"/>
      <c r="B33669" s="136"/>
    </row>
    <row r="33670" spans="1:2" x14ac:dyDescent="0.25">
      <c r="A33670" s="118"/>
      <c r="B33670" s="136"/>
    </row>
    <row r="33671" spans="1:2" x14ac:dyDescent="0.25">
      <c r="A33671" s="118"/>
      <c r="B33671" s="136"/>
    </row>
    <row r="33672" spans="1:2" x14ac:dyDescent="0.25">
      <c r="A33672" s="118"/>
      <c r="B33672" s="136"/>
    </row>
    <row r="33673" spans="1:2" x14ac:dyDescent="0.25">
      <c r="A33673" s="118"/>
      <c r="B33673" s="136"/>
    </row>
    <row r="33674" spans="1:2" x14ac:dyDescent="0.25">
      <c r="A33674" s="118"/>
      <c r="B33674" s="136"/>
    </row>
    <row r="33675" spans="1:2" x14ac:dyDescent="0.25">
      <c r="A33675" s="118"/>
      <c r="B33675" s="136"/>
    </row>
    <row r="33676" spans="1:2" x14ac:dyDescent="0.25">
      <c r="A33676" s="118"/>
      <c r="B33676" s="136"/>
    </row>
    <row r="33677" spans="1:2" x14ac:dyDescent="0.25">
      <c r="A33677" s="118"/>
      <c r="B33677" s="136"/>
    </row>
    <row r="33678" spans="1:2" x14ac:dyDescent="0.25">
      <c r="A33678" s="118"/>
      <c r="B33678" s="136"/>
    </row>
    <row r="33679" spans="1:2" x14ac:dyDescent="0.25">
      <c r="A33679" s="118"/>
      <c r="B33679" s="136"/>
    </row>
    <row r="33680" spans="1:2" x14ac:dyDescent="0.25">
      <c r="A33680" s="118"/>
      <c r="B33680" s="136"/>
    </row>
    <row r="33681" spans="1:2" x14ac:dyDescent="0.25">
      <c r="A33681" s="118"/>
      <c r="B33681" s="136"/>
    </row>
    <row r="33682" spans="1:2" x14ac:dyDescent="0.25">
      <c r="A33682" s="118"/>
      <c r="B33682" s="136"/>
    </row>
    <row r="33683" spans="1:2" x14ac:dyDescent="0.25">
      <c r="A33683" s="118"/>
      <c r="B33683" s="136"/>
    </row>
    <row r="33684" spans="1:2" x14ac:dyDescent="0.25">
      <c r="A33684" s="118"/>
      <c r="B33684" s="136"/>
    </row>
    <row r="33685" spans="1:2" x14ac:dyDescent="0.25">
      <c r="A33685" s="118"/>
      <c r="B33685" s="136"/>
    </row>
    <row r="33686" spans="1:2" x14ac:dyDescent="0.25">
      <c r="A33686" s="118"/>
      <c r="B33686" s="136"/>
    </row>
    <row r="33687" spans="1:2" x14ac:dyDescent="0.25">
      <c r="A33687" s="118"/>
      <c r="B33687" s="136"/>
    </row>
    <row r="33688" spans="1:2" x14ac:dyDescent="0.25">
      <c r="A33688" s="118"/>
      <c r="B33688" s="136"/>
    </row>
    <row r="33689" spans="1:2" x14ac:dyDescent="0.25">
      <c r="A33689" s="118"/>
      <c r="B33689" s="136"/>
    </row>
    <row r="33690" spans="1:2" x14ac:dyDescent="0.25">
      <c r="A33690" s="118"/>
      <c r="B33690" s="136"/>
    </row>
    <row r="33691" spans="1:2" x14ac:dyDescent="0.25">
      <c r="A33691" s="118"/>
      <c r="B33691" s="136"/>
    </row>
    <row r="33692" spans="1:2" x14ac:dyDescent="0.25">
      <c r="A33692" s="118"/>
      <c r="B33692" s="136"/>
    </row>
    <row r="33693" spans="1:2" x14ac:dyDescent="0.25">
      <c r="A33693" s="118"/>
      <c r="B33693" s="136"/>
    </row>
    <row r="33694" spans="1:2" x14ac:dyDescent="0.25">
      <c r="A33694" s="118"/>
      <c r="B33694" s="136"/>
    </row>
    <row r="33695" spans="1:2" x14ac:dyDescent="0.25">
      <c r="A33695" s="118"/>
      <c r="B33695" s="136"/>
    </row>
    <row r="33696" spans="1:2" x14ac:dyDescent="0.25">
      <c r="A33696" s="118"/>
      <c r="B33696" s="136"/>
    </row>
    <row r="33697" spans="1:2" x14ac:dyDescent="0.25">
      <c r="A33697" s="118"/>
      <c r="B33697" s="136"/>
    </row>
    <row r="33698" spans="1:2" x14ac:dyDescent="0.25">
      <c r="A33698" s="118"/>
      <c r="B33698" s="136"/>
    </row>
    <row r="33699" spans="1:2" x14ac:dyDescent="0.25">
      <c r="A33699" s="118"/>
      <c r="B33699" s="136"/>
    </row>
    <row r="33700" spans="1:2" x14ac:dyDescent="0.25">
      <c r="A33700" s="118"/>
      <c r="B33700" s="136"/>
    </row>
    <row r="33701" spans="1:2" x14ac:dyDescent="0.25">
      <c r="A33701" s="118"/>
      <c r="B33701" s="136"/>
    </row>
    <row r="33702" spans="1:2" x14ac:dyDescent="0.25">
      <c r="A33702" s="118"/>
      <c r="B33702" s="136"/>
    </row>
    <row r="33703" spans="1:2" x14ac:dyDescent="0.25">
      <c r="A33703" s="118"/>
      <c r="B33703" s="136"/>
    </row>
    <row r="33704" spans="1:2" x14ac:dyDescent="0.25">
      <c r="A33704" s="118"/>
      <c r="B33704" s="136"/>
    </row>
    <row r="33705" spans="1:2" x14ac:dyDescent="0.25">
      <c r="A33705" s="118"/>
      <c r="B33705" s="136"/>
    </row>
    <row r="33706" spans="1:2" x14ac:dyDescent="0.25">
      <c r="A33706" s="118"/>
      <c r="B33706" s="136"/>
    </row>
    <row r="33707" spans="1:2" x14ac:dyDescent="0.25">
      <c r="A33707" s="118"/>
      <c r="B33707" s="136"/>
    </row>
    <row r="33708" spans="1:2" x14ac:dyDescent="0.25">
      <c r="A33708" s="118"/>
      <c r="B33708" s="136"/>
    </row>
    <row r="33709" spans="1:2" x14ac:dyDescent="0.25">
      <c r="A33709" s="118"/>
      <c r="B33709" s="136"/>
    </row>
    <row r="33710" spans="1:2" x14ac:dyDescent="0.25">
      <c r="A33710" s="118"/>
      <c r="B33710" s="136"/>
    </row>
    <row r="33711" spans="1:2" x14ac:dyDescent="0.25">
      <c r="A33711" s="118"/>
      <c r="B33711" s="136"/>
    </row>
    <row r="33712" spans="1:2" x14ac:dyDescent="0.25">
      <c r="A33712" s="118"/>
      <c r="B33712" s="136"/>
    </row>
    <row r="33713" spans="1:2" x14ac:dyDescent="0.25">
      <c r="A33713" s="118"/>
      <c r="B33713" s="136"/>
    </row>
    <row r="33714" spans="1:2" x14ac:dyDescent="0.25">
      <c r="A33714" s="118"/>
      <c r="B33714" s="136"/>
    </row>
    <row r="33715" spans="1:2" x14ac:dyDescent="0.25">
      <c r="A33715" s="118"/>
      <c r="B33715" s="136"/>
    </row>
    <row r="33716" spans="1:2" x14ac:dyDescent="0.25">
      <c r="A33716" s="118"/>
      <c r="B33716" s="136"/>
    </row>
    <row r="33717" spans="1:2" x14ac:dyDescent="0.25">
      <c r="A33717" s="118"/>
      <c r="B33717" s="136"/>
    </row>
    <row r="33718" spans="1:2" x14ac:dyDescent="0.25">
      <c r="A33718" s="118"/>
      <c r="B33718" s="136"/>
    </row>
    <row r="33719" spans="1:2" x14ac:dyDescent="0.25">
      <c r="A33719" s="118"/>
      <c r="B33719" s="136"/>
    </row>
    <row r="33720" spans="1:2" x14ac:dyDescent="0.25">
      <c r="A33720" s="118"/>
      <c r="B33720" s="136"/>
    </row>
    <row r="33721" spans="1:2" x14ac:dyDescent="0.25">
      <c r="A33721" s="118"/>
      <c r="B33721" s="136"/>
    </row>
    <row r="33722" spans="1:2" x14ac:dyDescent="0.25">
      <c r="A33722" s="118"/>
      <c r="B33722" s="136"/>
    </row>
    <row r="33723" spans="1:2" x14ac:dyDescent="0.25">
      <c r="A33723" s="118"/>
      <c r="B33723" s="136"/>
    </row>
    <row r="33724" spans="1:2" x14ac:dyDescent="0.25">
      <c r="A33724" s="118"/>
      <c r="B33724" s="136"/>
    </row>
    <row r="33725" spans="1:2" x14ac:dyDescent="0.25">
      <c r="A33725" s="118"/>
      <c r="B33725" s="136"/>
    </row>
    <row r="33726" spans="1:2" x14ac:dyDescent="0.25">
      <c r="A33726" s="118"/>
      <c r="B33726" s="136"/>
    </row>
    <row r="33727" spans="1:2" x14ac:dyDescent="0.25">
      <c r="A33727" s="118"/>
      <c r="B33727" s="136"/>
    </row>
    <row r="33728" spans="1:2" x14ac:dyDescent="0.25">
      <c r="A33728" s="118"/>
      <c r="B33728" s="136"/>
    </row>
    <row r="33729" spans="1:2" x14ac:dyDescent="0.25">
      <c r="A33729" s="118"/>
      <c r="B33729" s="136"/>
    </row>
    <row r="33730" spans="1:2" x14ac:dyDescent="0.25">
      <c r="A33730" s="118"/>
      <c r="B33730" s="136"/>
    </row>
    <row r="33731" spans="1:2" x14ac:dyDescent="0.25">
      <c r="A33731" s="118"/>
      <c r="B33731" s="136"/>
    </row>
    <row r="33732" spans="1:2" x14ac:dyDescent="0.25">
      <c r="A33732" s="118"/>
      <c r="B33732" s="136"/>
    </row>
    <row r="33733" spans="1:2" x14ac:dyDescent="0.25">
      <c r="A33733" s="118"/>
      <c r="B33733" s="136"/>
    </row>
    <row r="33734" spans="1:2" x14ac:dyDescent="0.25">
      <c r="A33734" s="118"/>
      <c r="B33734" s="136"/>
    </row>
    <row r="33735" spans="1:2" x14ac:dyDescent="0.25">
      <c r="A33735" s="118"/>
      <c r="B33735" s="136"/>
    </row>
    <row r="33736" spans="1:2" x14ac:dyDescent="0.25">
      <c r="A33736" s="118"/>
      <c r="B33736" s="136"/>
    </row>
    <row r="33737" spans="1:2" x14ac:dyDescent="0.25">
      <c r="A33737" s="118"/>
      <c r="B33737" s="136"/>
    </row>
    <row r="33738" spans="1:2" x14ac:dyDescent="0.25">
      <c r="A33738" s="118"/>
      <c r="B33738" s="136"/>
    </row>
    <row r="33739" spans="1:2" x14ac:dyDescent="0.25">
      <c r="A33739" s="118"/>
      <c r="B33739" s="136"/>
    </row>
    <row r="33740" spans="1:2" x14ac:dyDescent="0.25">
      <c r="A33740" s="118"/>
      <c r="B33740" s="136"/>
    </row>
    <row r="33741" spans="1:2" x14ac:dyDescent="0.25">
      <c r="A33741" s="118"/>
      <c r="B33741" s="136"/>
    </row>
    <row r="33742" spans="1:2" x14ac:dyDescent="0.25">
      <c r="A33742" s="118"/>
      <c r="B33742" s="136"/>
    </row>
    <row r="33743" spans="1:2" x14ac:dyDescent="0.25">
      <c r="A33743" s="118"/>
      <c r="B33743" s="136"/>
    </row>
    <row r="33744" spans="1:2" x14ac:dyDescent="0.25">
      <c r="A33744" s="118"/>
      <c r="B33744" s="136"/>
    </row>
    <row r="33745" spans="1:2" x14ac:dyDescent="0.25">
      <c r="A33745" s="118"/>
      <c r="B33745" s="136"/>
    </row>
    <row r="33746" spans="1:2" x14ac:dyDescent="0.25">
      <c r="A33746" s="118"/>
      <c r="B33746" s="136"/>
    </row>
    <row r="33747" spans="1:2" x14ac:dyDescent="0.25">
      <c r="A33747" s="118"/>
      <c r="B33747" s="136"/>
    </row>
    <row r="33748" spans="1:2" x14ac:dyDescent="0.25">
      <c r="A33748" s="118"/>
      <c r="B33748" s="136"/>
    </row>
    <row r="33749" spans="1:2" x14ac:dyDescent="0.25">
      <c r="A33749" s="118"/>
      <c r="B33749" s="136"/>
    </row>
    <row r="33750" spans="1:2" x14ac:dyDescent="0.25">
      <c r="A33750" s="118"/>
      <c r="B33750" s="136"/>
    </row>
    <row r="33751" spans="1:2" x14ac:dyDescent="0.25">
      <c r="A33751" s="118"/>
      <c r="B33751" s="136"/>
    </row>
    <row r="33752" spans="1:2" x14ac:dyDescent="0.25">
      <c r="A33752" s="118"/>
      <c r="B33752" s="136"/>
    </row>
    <row r="33753" spans="1:2" x14ac:dyDescent="0.25">
      <c r="A33753" s="118"/>
      <c r="B33753" s="136"/>
    </row>
    <row r="33754" spans="1:2" x14ac:dyDescent="0.25">
      <c r="A33754" s="118"/>
      <c r="B33754" s="136"/>
    </row>
    <row r="33755" spans="1:2" x14ac:dyDescent="0.25">
      <c r="A33755" s="118"/>
      <c r="B33755" s="136"/>
    </row>
    <row r="33756" spans="1:2" x14ac:dyDescent="0.25">
      <c r="A33756" s="118"/>
      <c r="B33756" s="136"/>
    </row>
    <row r="33757" spans="1:2" x14ac:dyDescent="0.25">
      <c r="A33757" s="118"/>
      <c r="B33757" s="136"/>
    </row>
    <row r="33758" spans="1:2" x14ac:dyDescent="0.25">
      <c r="A33758" s="118"/>
      <c r="B33758" s="136"/>
    </row>
    <row r="33759" spans="1:2" x14ac:dyDescent="0.25">
      <c r="A33759" s="118"/>
      <c r="B33759" s="136"/>
    </row>
    <row r="33760" spans="1:2" x14ac:dyDescent="0.25">
      <c r="A33760" s="118"/>
      <c r="B33760" s="136"/>
    </row>
    <row r="33761" spans="1:2" x14ac:dyDescent="0.25">
      <c r="A33761" s="118"/>
      <c r="B33761" s="136"/>
    </row>
    <row r="33762" spans="1:2" x14ac:dyDescent="0.25">
      <c r="A33762" s="118"/>
      <c r="B33762" s="136"/>
    </row>
    <row r="33763" spans="1:2" x14ac:dyDescent="0.25">
      <c r="A33763" s="118"/>
      <c r="B33763" s="136"/>
    </row>
    <row r="33764" spans="1:2" x14ac:dyDescent="0.25">
      <c r="A33764" s="118"/>
      <c r="B33764" s="136"/>
    </row>
    <row r="33765" spans="1:2" x14ac:dyDescent="0.25">
      <c r="A33765" s="118"/>
      <c r="B33765" s="136"/>
    </row>
    <row r="33766" spans="1:2" x14ac:dyDescent="0.25">
      <c r="A33766" s="118"/>
      <c r="B33766" s="136"/>
    </row>
    <row r="33767" spans="1:2" x14ac:dyDescent="0.25">
      <c r="A33767" s="118"/>
      <c r="B33767" s="136"/>
    </row>
    <row r="33768" spans="1:2" x14ac:dyDescent="0.25">
      <c r="A33768" s="118"/>
      <c r="B33768" s="136"/>
    </row>
    <row r="33769" spans="1:2" x14ac:dyDescent="0.25">
      <c r="A33769" s="118"/>
      <c r="B33769" s="136"/>
    </row>
    <row r="33770" spans="1:2" x14ac:dyDescent="0.25">
      <c r="A33770" s="118"/>
      <c r="B33770" s="136"/>
    </row>
    <row r="33771" spans="1:2" x14ac:dyDescent="0.25">
      <c r="A33771" s="118"/>
      <c r="B33771" s="136"/>
    </row>
    <row r="33772" spans="1:2" x14ac:dyDescent="0.25">
      <c r="A33772" s="118"/>
      <c r="B33772" s="136"/>
    </row>
    <row r="33773" spans="1:2" x14ac:dyDescent="0.25">
      <c r="A33773" s="118"/>
      <c r="B33773" s="136"/>
    </row>
    <row r="33774" spans="1:2" x14ac:dyDescent="0.25">
      <c r="A33774" s="118"/>
      <c r="B33774" s="136"/>
    </row>
    <row r="33775" spans="1:2" x14ac:dyDescent="0.25">
      <c r="A33775" s="118"/>
      <c r="B33775" s="136"/>
    </row>
    <row r="33776" spans="1:2" x14ac:dyDescent="0.25">
      <c r="A33776" s="118"/>
      <c r="B33776" s="136"/>
    </row>
    <row r="33777" spans="1:2" x14ac:dyDescent="0.25">
      <c r="A33777" s="118"/>
      <c r="B33777" s="136"/>
    </row>
    <row r="33778" spans="1:2" x14ac:dyDescent="0.25">
      <c r="A33778" s="118"/>
      <c r="B33778" s="136"/>
    </row>
    <row r="33779" spans="1:2" x14ac:dyDescent="0.25">
      <c r="A33779" s="118"/>
      <c r="B33779" s="136"/>
    </row>
    <row r="33780" spans="1:2" x14ac:dyDescent="0.25">
      <c r="A33780" s="118"/>
      <c r="B33780" s="136"/>
    </row>
    <row r="33781" spans="1:2" x14ac:dyDescent="0.25">
      <c r="A33781" s="118"/>
      <c r="B33781" s="136"/>
    </row>
    <row r="33782" spans="1:2" x14ac:dyDescent="0.25">
      <c r="A33782" s="118"/>
      <c r="B33782" s="136"/>
    </row>
    <row r="33783" spans="1:2" x14ac:dyDescent="0.25">
      <c r="A33783" s="118"/>
      <c r="B33783" s="136"/>
    </row>
    <row r="33784" spans="1:2" x14ac:dyDescent="0.25">
      <c r="A33784" s="118"/>
      <c r="B33784" s="136"/>
    </row>
    <row r="33785" spans="1:2" x14ac:dyDescent="0.25">
      <c r="A33785" s="118"/>
      <c r="B33785" s="136"/>
    </row>
    <row r="33786" spans="1:2" x14ac:dyDescent="0.25">
      <c r="A33786" s="118"/>
      <c r="B33786" s="136"/>
    </row>
    <row r="33787" spans="1:2" x14ac:dyDescent="0.25">
      <c r="A33787" s="118"/>
      <c r="B33787" s="136"/>
    </row>
    <row r="33788" spans="1:2" x14ac:dyDescent="0.25">
      <c r="A33788" s="118"/>
      <c r="B33788" s="136"/>
    </row>
    <row r="33789" spans="1:2" x14ac:dyDescent="0.25">
      <c r="A33789" s="118"/>
      <c r="B33789" s="136"/>
    </row>
    <row r="33790" spans="1:2" x14ac:dyDescent="0.25">
      <c r="A33790" s="118"/>
      <c r="B33790" s="136"/>
    </row>
    <row r="33791" spans="1:2" x14ac:dyDescent="0.25">
      <c r="A33791" s="118"/>
      <c r="B33791" s="136"/>
    </row>
    <row r="33792" spans="1:2" x14ac:dyDescent="0.25">
      <c r="A33792" s="118"/>
      <c r="B33792" s="136"/>
    </row>
    <row r="33793" spans="1:2" x14ac:dyDescent="0.25">
      <c r="A33793" s="118"/>
      <c r="B33793" s="136"/>
    </row>
    <row r="33794" spans="1:2" x14ac:dyDescent="0.25">
      <c r="A33794" s="118"/>
      <c r="B33794" s="136"/>
    </row>
    <row r="33795" spans="1:2" x14ac:dyDescent="0.25">
      <c r="A33795" s="118"/>
      <c r="B33795" s="136"/>
    </row>
    <row r="33796" spans="1:2" x14ac:dyDescent="0.25">
      <c r="A33796" s="118"/>
      <c r="B33796" s="136"/>
    </row>
    <row r="33797" spans="1:2" x14ac:dyDescent="0.25">
      <c r="A33797" s="118"/>
      <c r="B33797" s="136"/>
    </row>
    <row r="33798" spans="1:2" x14ac:dyDescent="0.25">
      <c r="A33798" s="118"/>
      <c r="B33798" s="136"/>
    </row>
    <row r="33799" spans="1:2" x14ac:dyDescent="0.25">
      <c r="A33799" s="118"/>
      <c r="B33799" s="136"/>
    </row>
    <row r="33800" spans="1:2" x14ac:dyDescent="0.25">
      <c r="A33800" s="118"/>
      <c r="B33800" s="136"/>
    </row>
    <row r="33801" spans="1:2" x14ac:dyDescent="0.25">
      <c r="A33801" s="118"/>
      <c r="B33801" s="136"/>
    </row>
    <row r="33802" spans="1:2" x14ac:dyDescent="0.25">
      <c r="A33802" s="118"/>
      <c r="B33802" s="136"/>
    </row>
    <row r="33803" spans="1:2" x14ac:dyDescent="0.25">
      <c r="A33803" s="118"/>
      <c r="B33803" s="136"/>
    </row>
    <row r="33804" spans="1:2" x14ac:dyDescent="0.25">
      <c r="A33804" s="118"/>
      <c r="B33804" s="136"/>
    </row>
    <row r="33805" spans="1:2" x14ac:dyDescent="0.25">
      <c r="A33805" s="118"/>
      <c r="B33805" s="136"/>
    </row>
    <row r="33806" spans="1:2" x14ac:dyDescent="0.25">
      <c r="A33806" s="118"/>
      <c r="B33806" s="136"/>
    </row>
    <row r="33807" spans="1:2" x14ac:dyDescent="0.25">
      <c r="A33807" s="118"/>
      <c r="B33807" s="136"/>
    </row>
    <row r="33808" spans="1:2" x14ac:dyDescent="0.25">
      <c r="A33808" s="118"/>
      <c r="B33808" s="136"/>
    </row>
    <row r="33809" spans="1:2" x14ac:dyDescent="0.25">
      <c r="A33809" s="118"/>
      <c r="B33809" s="136"/>
    </row>
    <row r="33810" spans="1:2" x14ac:dyDescent="0.25">
      <c r="A33810" s="118"/>
      <c r="B33810" s="136"/>
    </row>
    <row r="33811" spans="1:2" x14ac:dyDescent="0.25">
      <c r="A33811" s="118"/>
      <c r="B33811" s="136"/>
    </row>
    <row r="33812" spans="1:2" x14ac:dyDescent="0.25">
      <c r="A33812" s="118"/>
      <c r="B33812" s="136"/>
    </row>
    <row r="33813" spans="1:2" x14ac:dyDescent="0.25">
      <c r="A33813" s="118"/>
      <c r="B33813" s="136"/>
    </row>
    <row r="33814" spans="1:2" x14ac:dyDescent="0.25">
      <c r="A33814" s="118"/>
      <c r="B33814" s="136"/>
    </row>
    <row r="33815" spans="1:2" x14ac:dyDescent="0.25">
      <c r="A33815" s="118"/>
      <c r="B33815" s="136"/>
    </row>
    <row r="33816" spans="1:2" x14ac:dyDescent="0.25">
      <c r="A33816" s="118"/>
      <c r="B33816" s="136"/>
    </row>
    <row r="33817" spans="1:2" x14ac:dyDescent="0.25">
      <c r="A33817" s="118"/>
      <c r="B33817" s="136"/>
    </row>
    <row r="33818" spans="1:2" x14ac:dyDescent="0.25">
      <c r="A33818" s="118"/>
      <c r="B33818" s="136"/>
    </row>
    <row r="33819" spans="1:2" x14ac:dyDescent="0.25">
      <c r="A33819" s="118"/>
      <c r="B33819" s="136"/>
    </row>
    <row r="33820" spans="1:2" x14ac:dyDescent="0.25">
      <c r="A33820" s="118"/>
      <c r="B33820" s="136"/>
    </row>
    <row r="33821" spans="1:2" x14ac:dyDescent="0.25">
      <c r="A33821" s="118"/>
      <c r="B33821" s="136"/>
    </row>
    <row r="33822" spans="1:2" x14ac:dyDescent="0.25">
      <c r="A33822" s="118"/>
      <c r="B33822" s="136"/>
    </row>
    <row r="33823" spans="1:2" x14ac:dyDescent="0.25">
      <c r="A33823" s="118"/>
      <c r="B33823" s="136"/>
    </row>
    <row r="33824" spans="1:2" x14ac:dyDescent="0.25">
      <c r="A33824" s="118"/>
      <c r="B33824" s="136"/>
    </row>
    <row r="33825" spans="1:2" x14ac:dyDescent="0.25">
      <c r="A33825" s="118"/>
      <c r="B33825" s="136"/>
    </row>
    <row r="33826" spans="1:2" x14ac:dyDescent="0.25">
      <c r="A33826" s="118"/>
      <c r="B33826" s="136"/>
    </row>
    <row r="33827" spans="1:2" x14ac:dyDescent="0.25">
      <c r="A33827" s="118"/>
      <c r="B33827" s="136"/>
    </row>
    <row r="33828" spans="1:2" x14ac:dyDescent="0.25">
      <c r="A33828" s="118"/>
      <c r="B33828" s="136"/>
    </row>
    <row r="33829" spans="1:2" x14ac:dyDescent="0.25">
      <c r="A33829" s="118"/>
      <c r="B33829" s="136"/>
    </row>
    <row r="33830" spans="1:2" x14ac:dyDescent="0.25">
      <c r="A33830" s="118"/>
      <c r="B33830" s="136"/>
    </row>
    <row r="33831" spans="1:2" x14ac:dyDescent="0.25">
      <c r="A33831" s="118"/>
      <c r="B33831" s="136"/>
    </row>
    <row r="33832" spans="1:2" x14ac:dyDescent="0.25">
      <c r="A33832" s="118"/>
      <c r="B33832" s="136"/>
    </row>
    <row r="33833" spans="1:2" x14ac:dyDescent="0.25">
      <c r="A33833" s="118"/>
      <c r="B33833" s="136"/>
    </row>
    <row r="33834" spans="1:2" x14ac:dyDescent="0.25">
      <c r="A33834" s="118"/>
      <c r="B33834" s="136"/>
    </row>
    <row r="33835" spans="1:2" x14ac:dyDescent="0.25">
      <c r="A33835" s="118"/>
      <c r="B33835" s="136"/>
    </row>
    <row r="33836" spans="1:2" x14ac:dyDescent="0.25">
      <c r="A33836" s="118"/>
      <c r="B33836" s="136"/>
    </row>
    <row r="33837" spans="1:2" x14ac:dyDescent="0.25">
      <c r="A33837" s="118"/>
      <c r="B33837" s="136"/>
    </row>
    <row r="33838" spans="1:2" x14ac:dyDescent="0.25">
      <c r="A33838" s="118"/>
      <c r="B33838" s="136"/>
    </row>
    <row r="33839" spans="1:2" x14ac:dyDescent="0.25">
      <c r="A33839" s="118"/>
      <c r="B33839" s="136"/>
    </row>
    <row r="33840" spans="1:2" x14ac:dyDescent="0.25">
      <c r="A33840" s="118"/>
      <c r="B33840" s="136"/>
    </row>
    <row r="33841" spans="1:2" x14ac:dyDescent="0.25">
      <c r="A33841" s="118"/>
      <c r="B33841" s="136"/>
    </row>
    <row r="33842" spans="1:2" x14ac:dyDescent="0.25">
      <c r="A33842" s="118"/>
      <c r="B33842" s="136"/>
    </row>
    <row r="33843" spans="1:2" x14ac:dyDescent="0.25">
      <c r="A33843" s="118"/>
      <c r="B33843" s="136"/>
    </row>
    <row r="33844" spans="1:2" x14ac:dyDescent="0.25">
      <c r="A33844" s="118"/>
      <c r="B33844" s="136"/>
    </row>
    <row r="33845" spans="1:2" x14ac:dyDescent="0.25">
      <c r="A33845" s="118"/>
      <c r="B33845" s="136"/>
    </row>
    <row r="33846" spans="1:2" x14ac:dyDescent="0.25">
      <c r="A33846" s="118"/>
      <c r="B33846" s="136"/>
    </row>
    <row r="33847" spans="1:2" x14ac:dyDescent="0.25">
      <c r="A33847" s="118"/>
      <c r="B33847" s="136"/>
    </row>
    <row r="33848" spans="1:2" x14ac:dyDescent="0.25">
      <c r="A33848" s="118"/>
      <c r="B33848" s="136"/>
    </row>
    <row r="33849" spans="1:2" x14ac:dyDescent="0.25">
      <c r="A33849" s="118"/>
      <c r="B33849" s="136"/>
    </row>
    <row r="33850" spans="1:2" x14ac:dyDescent="0.25">
      <c r="A33850" s="118"/>
      <c r="B33850" s="136"/>
    </row>
    <row r="33851" spans="1:2" x14ac:dyDescent="0.25">
      <c r="A33851" s="118"/>
      <c r="B33851" s="136"/>
    </row>
    <row r="33852" spans="1:2" x14ac:dyDescent="0.25">
      <c r="A33852" s="118"/>
      <c r="B33852" s="136"/>
    </row>
    <row r="33853" spans="1:2" x14ac:dyDescent="0.25">
      <c r="A33853" s="118"/>
      <c r="B33853" s="136"/>
    </row>
    <row r="33854" spans="1:2" x14ac:dyDescent="0.25">
      <c r="A33854" s="118"/>
      <c r="B33854" s="136"/>
    </row>
    <row r="33855" spans="1:2" x14ac:dyDescent="0.25">
      <c r="A33855" s="118"/>
      <c r="B33855" s="136"/>
    </row>
    <row r="33856" spans="1:2" x14ac:dyDescent="0.25">
      <c r="A33856" s="118"/>
      <c r="B33856" s="136"/>
    </row>
    <row r="33857" spans="1:2" x14ac:dyDescent="0.25">
      <c r="A33857" s="118"/>
      <c r="B33857" s="136"/>
    </row>
    <row r="33858" spans="1:2" x14ac:dyDescent="0.25">
      <c r="A33858" s="118"/>
      <c r="B33858" s="136"/>
    </row>
    <row r="33859" spans="1:2" x14ac:dyDescent="0.25">
      <c r="A33859" s="118"/>
      <c r="B33859" s="136"/>
    </row>
    <row r="33860" spans="1:2" x14ac:dyDescent="0.25">
      <c r="A33860" s="118"/>
      <c r="B33860" s="136"/>
    </row>
    <row r="33861" spans="1:2" x14ac:dyDescent="0.25">
      <c r="A33861" s="118"/>
      <c r="B33861" s="136"/>
    </row>
    <row r="33862" spans="1:2" x14ac:dyDescent="0.25">
      <c r="A33862" s="118"/>
      <c r="B33862" s="136"/>
    </row>
    <row r="33863" spans="1:2" x14ac:dyDescent="0.25">
      <c r="A33863" s="118"/>
      <c r="B33863" s="136"/>
    </row>
    <row r="33864" spans="1:2" x14ac:dyDescent="0.25">
      <c r="A33864" s="118"/>
      <c r="B33864" s="136"/>
    </row>
    <row r="33865" spans="1:2" x14ac:dyDescent="0.25">
      <c r="A33865" s="118"/>
      <c r="B33865" s="136"/>
    </row>
    <row r="33866" spans="1:2" x14ac:dyDescent="0.25">
      <c r="A33866" s="118"/>
      <c r="B33866" s="136"/>
    </row>
    <row r="33867" spans="1:2" x14ac:dyDescent="0.25">
      <c r="A33867" s="118"/>
      <c r="B33867" s="136"/>
    </row>
    <row r="33868" spans="1:2" x14ac:dyDescent="0.25">
      <c r="A33868" s="118"/>
      <c r="B33868" s="136"/>
    </row>
    <row r="33869" spans="1:2" x14ac:dyDescent="0.25">
      <c r="A33869" s="118"/>
      <c r="B33869" s="136"/>
    </row>
    <row r="33870" spans="1:2" x14ac:dyDescent="0.25">
      <c r="A33870" s="118"/>
      <c r="B33870" s="136"/>
    </row>
    <row r="33871" spans="1:2" x14ac:dyDescent="0.25">
      <c r="A33871" s="118"/>
      <c r="B33871" s="136"/>
    </row>
    <row r="33872" spans="1:2" x14ac:dyDescent="0.25">
      <c r="A33872" s="118"/>
      <c r="B33872" s="136"/>
    </row>
    <row r="33873" spans="1:2" x14ac:dyDescent="0.25">
      <c r="A33873" s="118"/>
      <c r="B33873" s="136"/>
    </row>
    <row r="33874" spans="1:2" x14ac:dyDescent="0.25">
      <c r="A33874" s="118"/>
      <c r="B33874" s="136"/>
    </row>
    <row r="33875" spans="1:2" x14ac:dyDescent="0.25">
      <c r="A33875" s="118"/>
      <c r="B33875" s="136"/>
    </row>
    <row r="33876" spans="1:2" x14ac:dyDescent="0.25">
      <c r="A33876" s="118"/>
      <c r="B33876" s="136"/>
    </row>
    <row r="33877" spans="1:2" x14ac:dyDescent="0.25">
      <c r="A33877" s="118"/>
      <c r="B33877" s="136"/>
    </row>
    <row r="33878" spans="1:2" x14ac:dyDescent="0.25">
      <c r="A33878" s="118"/>
      <c r="B33878" s="136"/>
    </row>
    <row r="33879" spans="1:2" x14ac:dyDescent="0.25">
      <c r="A33879" s="118"/>
      <c r="B33879" s="136"/>
    </row>
    <row r="33880" spans="1:2" x14ac:dyDescent="0.25">
      <c r="A33880" s="118"/>
      <c r="B33880" s="136"/>
    </row>
    <row r="33881" spans="1:2" x14ac:dyDescent="0.25">
      <c r="A33881" s="118"/>
      <c r="B33881" s="136"/>
    </row>
    <row r="33882" spans="1:2" x14ac:dyDescent="0.25">
      <c r="A33882" s="118"/>
      <c r="B33882" s="136"/>
    </row>
    <row r="33883" spans="1:2" x14ac:dyDescent="0.25">
      <c r="A33883" s="118"/>
      <c r="B33883" s="136"/>
    </row>
    <row r="33884" spans="1:2" x14ac:dyDescent="0.25">
      <c r="A33884" s="118"/>
      <c r="B33884" s="136"/>
    </row>
    <row r="33885" spans="1:2" x14ac:dyDescent="0.25">
      <c r="A33885" s="118"/>
      <c r="B33885" s="136"/>
    </row>
    <row r="33886" spans="1:2" x14ac:dyDescent="0.25">
      <c r="A33886" s="118"/>
      <c r="B33886" s="136"/>
    </row>
    <row r="33887" spans="1:2" x14ac:dyDescent="0.25">
      <c r="A33887" s="118"/>
      <c r="B33887" s="136"/>
    </row>
    <row r="33888" spans="1:2" x14ac:dyDescent="0.25">
      <c r="A33888" s="118"/>
      <c r="B33888" s="136"/>
    </row>
    <row r="33889" spans="1:2" x14ac:dyDescent="0.25">
      <c r="A33889" s="118"/>
      <c r="B33889" s="136"/>
    </row>
    <row r="33890" spans="1:2" x14ac:dyDescent="0.25">
      <c r="A33890" s="118"/>
      <c r="B33890" s="136"/>
    </row>
    <row r="33891" spans="1:2" x14ac:dyDescent="0.25">
      <c r="A33891" s="118"/>
      <c r="B33891" s="136"/>
    </row>
    <row r="33892" spans="1:2" x14ac:dyDescent="0.25">
      <c r="A33892" s="118"/>
      <c r="B33892" s="136"/>
    </row>
    <row r="33893" spans="1:2" x14ac:dyDescent="0.25">
      <c r="A33893" s="118"/>
      <c r="B33893" s="136"/>
    </row>
    <row r="33894" spans="1:2" x14ac:dyDescent="0.25">
      <c r="A33894" s="118"/>
      <c r="B33894" s="136"/>
    </row>
    <row r="33895" spans="1:2" x14ac:dyDescent="0.25">
      <c r="A33895" s="118"/>
      <c r="B33895" s="136"/>
    </row>
    <row r="33896" spans="1:2" x14ac:dyDescent="0.25">
      <c r="A33896" s="118"/>
      <c r="B33896" s="136"/>
    </row>
    <row r="33897" spans="1:2" x14ac:dyDescent="0.25">
      <c r="A33897" s="118"/>
      <c r="B33897" s="136"/>
    </row>
    <row r="33898" spans="1:2" x14ac:dyDescent="0.25">
      <c r="A33898" s="118"/>
      <c r="B33898" s="136"/>
    </row>
    <row r="33899" spans="1:2" x14ac:dyDescent="0.25">
      <c r="A33899" s="118"/>
      <c r="B33899" s="136"/>
    </row>
    <row r="33900" spans="1:2" x14ac:dyDescent="0.25">
      <c r="A33900" s="118"/>
      <c r="B33900" s="136"/>
    </row>
    <row r="33901" spans="1:2" x14ac:dyDescent="0.25">
      <c r="A33901" s="118"/>
      <c r="B33901" s="136"/>
    </row>
    <row r="33902" spans="1:2" x14ac:dyDescent="0.25">
      <c r="A33902" s="118"/>
      <c r="B33902" s="136"/>
    </row>
    <row r="33903" spans="1:2" x14ac:dyDescent="0.25">
      <c r="A33903" s="118"/>
      <c r="B33903" s="136"/>
    </row>
    <row r="33904" spans="1:2" x14ac:dyDescent="0.25">
      <c r="A33904" s="118"/>
      <c r="B33904" s="136"/>
    </row>
    <row r="33905" spans="1:2" x14ac:dyDescent="0.25">
      <c r="A33905" s="118"/>
      <c r="B33905" s="136"/>
    </row>
    <row r="33906" spans="1:2" x14ac:dyDescent="0.25">
      <c r="A33906" s="118"/>
      <c r="B33906" s="136"/>
    </row>
    <row r="33907" spans="1:2" x14ac:dyDescent="0.25">
      <c r="A33907" s="118"/>
      <c r="B33907" s="136"/>
    </row>
    <row r="33908" spans="1:2" x14ac:dyDescent="0.25">
      <c r="A33908" s="118"/>
      <c r="B33908" s="136"/>
    </row>
    <row r="33909" spans="1:2" x14ac:dyDescent="0.25">
      <c r="A33909" s="118"/>
      <c r="B33909" s="136"/>
    </row>
    <row r="33910" spans="1:2" x14ac:dyDescent="0.25">
      <c r="A33910" s="118"/>
      <c r="B33910" s="136"/>
    </row>
    <row r="33911" spans="1:2" x14ac:dyDescent="0.25">
      <c r="A33911" s="118"/>
      <c r="B33911" s="136"/>
    </row>
    <row r="33912" spans="1:2" x14ac:dyDescent="0.25">
      <c r="A33912" s="118"/>
      <c r="B33912" s="136"/>
    </row>
    <row r="33913" spans="1:2" x14ac:dyDescent="0.25">
      <c r="A33913" s="118"/>
      <c r="B33913" s="136"/>
    </row>
    <row r="33914" spans="1:2" x14ac:dyDescent="0.25">
      <c r="A33914" s="118"/>
      <c r="B33914" s="136"/>
    </row>
    <row r="33915" spans="1:2" x14ac:dyDescent="0.25">
      <c r="A33915" s="118"/>
      <c r="B33915" s="136"/>
    </row>
    <row r="33916" spans="1:2" x14ac:dyDescent="0.25">
      <c r="A33916" s="118"/>
      <c r="B33916" s="136"/>
    </row>
    <row r="33917" spans="1:2" x14ac:dyDescent="0.25">
      <c r="A33917" s="118"/>
      <c r="B33917" s="136"/>
    </row>
    <row r="33918" spans="1:2" x14ac:dyDescent="0.25">
      <c r="A33918" s="118"/>
      <c r="B33918" s="136"/>
    </row>
    <row r="33919" spans="1:2" x14ac:dyDescent="0.25">
      <c r="A33919" s="118"/>
      <c r="B33919" s="136"/>
    </row>
    <row r="33920" spans="1:2" x14ac:dyDescent="0.25">
      <c r="A33920" s="118"/>
      <c r="B33920" s="136"/>
    </row>
    <row r="33921" spans="1:2" x14ac:dyDescent="0.25">
      <c r="A33921" s="118"/>
      <c r="B33921" s="136"/>
    </row>
    <row r="33922" spans="1:2" x14ac:dyDescent="0.25">
      <c r="A33922" s="118"/>
      <c r="B33922" s="136"/>
    </row>
    <row r="33923" spans="1:2" x14ac:dyDescent="0.25">
      <c r="A33923" s="118"/>
      <c r="B33923" s="136"/>
    </row>
    <row r="33924" spans="1:2" x14ac:dyDescent="0.25">
      <c r="A33924" s="118"/>
      <c r="B33924" s="136"/>
    </row>
    <row r="33925" spans="1:2" x14ac:dyDescent="0.25">
      <c r="A33925" s="118"/>
      <c r="B33925" s="136"/>
    </row>
    <row r="33926" spans="1:2" x14ac:dyDescent="0.25">
      <c r="A33926" s="118"/>
      <c r="B33926" s="136"/>
    </row>
    <row r="33927" spans="1:2" x14ac:dyDescent="0.25">
      <c r="A33927" s="118"/>
      <c r="B33927" s="136"/>
    </row>
    <row r="33928" spans="1:2" x14ac:dyDescent="0.25">
      <c r="A33928" s="118"/>
      <c r="B33928" s="136"/>
    </row>
    <row r="33929" spans="1:2" x14ac:dyDescent="0.25">
      <c r="A33929" s="118"/>
      <c r="B33929" s="136"/>
    </row>
    <row r="33930" spans="1:2" x14ac:dyDescent="0.25">
      <c r="A33930" s="118"/>
      <c r="B33930" s="136"/>
    </row>
    <row r="33931" spans="1:2" x14ac:dyDescent="0.25">
      <c r="A33931" s="118"/>
      <c r="B33931" s="136"/>
    </row>
    <row r="33932" spans="1:2" x14ac:dyDescent="0.25">
      <c r="A33932" s="118"/>
      <c r="B33932" s="136"/>
    </row>
    <row r="33933" spans="1:2" x14ac:dyDescent="0.25">
      <c r="A33933" s="118"/>
      <c r="B33933" s="136"/>
    </row>
    <row r="33934" spans="1:2" x14ac:dyDescent="0.25">
      <c r="A33934" s="118"/>
      <c r="B33934" s="136"/>
    </row>
    <row r="33935" spans="1:2" x14ac:dyDescent="0.25">
      <c r="A33935" s="118"/>
      <c r="B33935" s="136"/>
    </row>
    <row r="33936" spans="1:2" x14ac:dyDescent="0.25">
      <c r="A33936" s="118"/>
      <c r="B33936" s="136"/>
    </row>
    <row r="33937" spans="1:2" x14ac:dyDescent="0.25">
      <c r="A33937" s="118"/>
      <c r="B33937" s="136"/>
    </row>
    <row r="33938" spans="1:2" x14ac:dyDescent="0.25">
      <c r="A33938" s="118"/>
      <c r="B33938" s="136"/>
    </row>
    <row r="33939" spans="1:2" x14ac:dyDescent="0.25">
      <c r="A33939" s="118"/>
      <c r="B33939" s="136"/>
    </row>
    <row r="33940" spans="1:2" x14ac:dyDescent="0.25">
      <c r="A33940" s="118"/>
      <c r="B33940" s="136"/>
    </row>
    <row r="33941" spans="1:2" x14ac:dyDescent="0.25">
      <c r="A33941" s="118"/>
      <c r="B33941" s="136"/>
    </row>
    <row r="33942" spans="1:2" x14ac:dyDescent="0.25">
      <c r="A33942" s="118"/>
      <c r="B33942" s="136"/>
    </row>
    <row r="33943" spans="1:2" x14ac:dyDescent="0.25">
      <c r="A33943" s="118"/>
      <c r="B33943" s="136"/>
    </row>
    <row r="33944" spans="1:2" x14ac:dyDescent="0.25">
      <c r="A33944" s="118"/>
      <c r="B33944" s="136"/>
    </row>
    <row r="33945" spans="1:2" x14ac:dyDescent="0.25">
      <c r="A33945" s="118"/>
      <c r="B33945" s="136"/>
    </row>
    <row r="33946" spans="1:2" x14ac:dyDescent="0.25">
      <c r="A33946" s="118"/>
      <c r="B33946" s="136"/>
    </row>
    <row r="33947" spans="1:2" x14ac:dyDescent="0.25">
      <c r="A33947" s="118"/>
      <c r="B33947" s="136"/>
    </row>
    <row r="33948" spans="1:2" x14ac:dyDescent="0.25">
      <c r="A33948" s="118"/>
      <c r="B33948" s="136"/>
    </row>
    <row r="33949" spans="1:2" x14ac:dyDescent="0.25">
      <c r="A33949" s="118"/>
      <c r="B33949" s="136"/>
    </row>
    <row r="33950" spans="1:2" x14ac:dyDescent="0.25">
      <c r="A33950" s="118"/>
      <c r="B33950" s="136"/>
    </row>
    <row r="33951" spans="1:2" x14ac:dyDescent="0.25">
      <c r="A33951" s="118"/>
      <c r="B33951" s="136"/>
    </row>
    <row r="33952" spans="1:2" x14ac:dyDescent="0.25">
      <c r="A33952" s="118"/>
      <c r="B33952" s="136"/>
    </row>
    <row r="33953" spans="1:2" x14ac:dyDescent="0.25">
      <c r="A33953" s="118"/>
      <c r="B33953" s="136"/>
    </row>
    <row r="33954" spans="1:2" x14ac:dyDescent="0.25">
      <c r="A33954" s="118"/>
      <c r="B33954" s="136"/>
    </row>
    <row r="33955" spans="1:2" x14ac:dyDescent="0.25">
      <c r="A33955" s="118"/>
      <c r="B33955" s="136"/>
    </row>
    <row r="33956" spans="1:2" x14ac:dyDescent="0.25">
      <c r="A33956" s="118"/>
      <c r="B33956" s="136"/>
    </row>
    <row r="33957" spans="1:2" x14ac:dyDescent="0.25">
      <c r="A33957" s="118"/>
      <c r="B33957" s="136"/>
    </row>
    <row r="33958" spans="1:2" x14ac:dyDescent="0.25">
      <c r="A33958" s="118"/>
      <c r="B33958" s="136"/>
    </row>
    <row r="33959" spans="1:2" x14ac:dyDescent="0.25">
      <c r="A33959" s="118"/>
      <c r="B33959" s="136"/>
    </row>
    <row r="33960" spans="1:2" x14ac:dyDescent="0.25">
      <c r="A33960" s="118"/>
      <c r="B33960" s="136"/>
    </row>
    <row r="33961" spans="1:2" x14ac:dyDescent="0.25">
      <c r="A33961" s="118"/>
      <c r="B33961" s="136"/>
    </row>
    <row r="33962" spans="1:2" x14ac:dyDescent="0.25">
      <c r="A33962" s="118"/>
      <c r="B33962" s="136"/>
    </row>
    <row r="33963" spans="1:2" x14ac:dyDescent="0.25">
      <c r="A33963" s="118"/>
      <c r="B33963" s="136"/>
    </row>
    <row r="33964" spans="1:2" x14ac:dyDescent="0.25">
      <c r="A33964" s="118"/>
      <c r="B33964" s="136"/>
    </row>
    <row r="33965" spans="1:2" x14ac:dyDescent="0.25">
      <c r="A33965" s="118"/>
      <c r="B33965" s="136"/>
    </row>
    <row r="33966" spans="1:2" x14ac:dyDescent="0.25">
      <c r="A33966" s="118"/>
      <c r="B33966" s="136"/>
    </row>
    <row r="33967" spans="1:2" x14ac:dyDescent="0.25">
      <c r="A33967" s="118"/>
      <c r="B33967" s="136"/>
    </row>
    <row r="33968" spans="1:2" x14ac:dyDescent="0.25">
      <c r="A33968" s="118"/>
      <c r="B33968" s="136"/>
    </row>
    <row r="33969" spans="1:2" x14ac:dyDescent="0.25">
      <c r="A33969" s="118"/>
      <c r="B33969" s="136"/>
    </row>
    <row r="33970" spans="1:2" x14ac:dyDescent="0.25">
      <c r="A33970" s="118"/>
      <c r="B33970" s="136"/>
    </row>
    <row r="33971" spans="1:2" x14ac:dyDescent="0.25">
      <c r="A33971" s="118"/>
      <c r="B33971" s="136"/>
    </row>
    <row r="33972" spans="1:2" x14ac:dyDescent="0.25">
      <c r="A33972" s="118"/>
      <c r="B33972" s="136"/>
    </row>
    <row r="33973" spans="1:2" x14ac:dyDescent="0.25">
      <c r="A33973" s="118"/>
      <c r="B33973" s="136"/>
    </row>
    <row r="33974" spans="1:2" x14ac:dyDescent="0.25">
      <c r="A33974" s="118"/>
      <c r="B33974" s="136"/>
    </row>
    <row r="33975" spans="1:2" x14ac:dyDescent="0.25">
      <c r="A33975" s="118"/>
      <c r="B33975" s="136"/>
    </row>
    <row r="33976" spans="1:2" x14ac:dyDescent="0.25">
      <c r="A33976" s="118"/>
      <c r="B33976" s="136"/>
    </row>
    <row r="33977" spans="1:2" x14ac:dyDescent="0.25">
      <c r="A33977" s="118"/>
      <c r="B33977" s="136"/>
    </row>
    <row r="33978" spans="1:2" x14ac:dyDescent="0.25">
      <c r="A33978" s="118"/>
      <c r="B33978" s="136"/>
    </row>
    <row r="33979" spans="1:2" x14ac:dyDescent="0.25">
      <c r="A33979" s="118"/>
      <c r="B33979" s="136"/>
    </row>
    <row r="33980" spans="1:2" x14ac:dyDescent="0.25">
      <c r="A33980" s="118"/>
      <c r="B33980" s="136"/>
    </row>
    <row r="33981" spans="1:2" x14ac:dyDescent="0.25">
      <c r="A33981" s="118"/>
      <c r="B33981" s="136"/>
    </row>
    <row r="33982" spans="1:2" x14ac:dyDescent="0.25">
      <c r="A33982" s="118"/>
      <c r="B33982" s="136"/>
    </row>
    <row r="33983" spans="1:2" x14ac:dyDescent="0.25">
      <c r="A33983" s="118"/>
      <c r="B33983" s="136"/>
    </row>
    <row r="33984" spans="1:2" x14ac:dyDescent="0.25">
      <c r="A33984" s="118"/>
      <c r="B33984" s="136"/>
    </row>
    <row r="33985" spans="1:2" x14ac:dyDescent="0.25">
      <c r="A33985" s="118"/>
      <c r="B33985" s="136"/>
    </row>
    <row r="33986" spans="1:2" x14ac:dyDescent="0.25">
      <c r="A33986" s="118"/>
      <c r="B33986" s="136"/>
    </row>
    <row r="33987" spans="1:2" x14ac:dyDescent="0.25">
      <c r="A33987" s="118"/>
      <c r="B33987" s="136"/>
    </row>
    <row r="33988" spans="1:2" x14ac:dyDescent="0.25">
      <c r="A33988" s="118"/>
      <c r="B33988" s="136"/>
    </row>
    <row r="33989" spans="1:2" x14ac:dyDescent="0.25">
      <c r="A33989" s="118"/>
      <c r="B33989" s="136"/>
    </row>
    <row r="33990" spans="1:2" x14ac:dyDescent="0.25">
      <c r="A33990" s="118"/>
      <c r="B33990" s="136"/>
    </row>
    <row r="33991" spans="1:2" x14ac:dyDescent="0.25">
      <c r="A33991" s="118"/>
      <c r="B33991" s="136"/>
    </row>
    <row r="33992" spans="1:2" x14ac:dyDescent="0.25">
      <c r="A33992" s="118"/>
      <c r="B33992" s="136"/>
    </row>
    <row r="33993" spans="1:2" x14ac:dyDescent="0.25">
      <c r="A33993" s="118"/>
      <c r="B33993" s="136"/>
    </row>
    <row r="33994" spans="1:2" x14ac:dyDescent="0.25">
      <c r="A33994" s="118"/>
      <c r="B33994" s="136"/>
    </row>
    <row r="33995" spans="1:2" x14ac:dyDescent="0.25">
      <c r="A33995" s="118"/>
      <c r="B33995" s="136"/>
    </row>
    <row r="33996" spans="1:2" x14ac:dyDescent="0.25">
      <c r="A33996" s="118"/>
      <c r="B33996" s="136"/>
    </row>
    <row r="33997" spans="1:2" x14ac:dyDescent="0.25">
      <c r="A33997" s="118"/>
      <c r="B33997" s="136"/>
    </row>
    <row r="33998" spans="1:2" x14ac:dyDescent="0.25">
      <c r="A33998" s="118"/>
      <c r="B33998" s="136"/>
    </row>
    <row r="33999" spans="1:2" x14ac:dyDescent="0.25">
      <c r="A33999" s="118"/>
      <c r="B33999" s="136"/>
    </row>
    <row r="34000" spans="1:2" x14ac:dyDescent="0.25">
      <c r="A34000" s="118"/>
      <c r="B34000" s="136"/>
    </row>
    <row r="34001" spans="1:2" x14ac:dyDescent="0.25">
      <c r="A34001" s="118"/>
      <c r="B34001" s="136"/>
    </row>
    <row r="34002" spans="1:2" x14ac:dyDescent="0.25">
      <c r="A34002" s="118"/>
      <c r="B34002" s="136"/>
    </row>
    <row r="34003" spans="1:2" x14ac:dyDescent="0.25">
      <c r="A34003" s="118"/>
      <c r="B34003" s="136"/>
    </row>
    <row r="34004" spans="1:2" x14ac:dyDescent="0.25">
      <c r="A34004" s="118"/>
      <c r="B34004" s="136"/>
    </row>
    <row r="34005" spans="1:2" x14ac:dyDescent="0.25">
      <c r="A34005" s="118"/>
      <c r="B34005" s="136"/>
    </row>
    <row r="34006" spans="1:2" x14ac:dyDescent="0.25">
      <c r="A34006" s="118"/>
      <c r="B34006" s="136"/>
    </row>
    <row r="34007" spans="1:2" x14ac:dyDescent="0.25">
      <c r="A34007" s="118"/>
      <c r="B34007" s="136"/>
    </row>
    <row r="34008" spans="1:2" x14ac:dyDescent="0.25">
      <c r="A34008" s="118"/>
      <c r="B34008" s="136"/>
    </row>
    <row r="34009" spans="1:2" x14ac:dyDescent="0.25">
      <c r="A34009" s="118"/>
      <c r="B34009" s="136"/>
    </row>
    <row r="34010" spans="1:2" x14ac:dyDescent="0.25">
      <c r="A34010" s="118"/>
      <c r="B34010" s="136"/>
    </row>
    <row r="34011" spans="1:2" x14ac:dyDescent="0.25">
      <c r="A34011" s="118"/>
      <c r="B34011" s="136"/>
    </row>
    <row r="34012" spans="1:2" x14ac:dyDescent="0.25">
      <c r="A34012" s="118"/>
      <c r="B34012" s="136"/>
    </row>
    <row r="34013" spans="1:2" x14ac:dyDescent="0.25">
      <c r="A34013" s="118"/>
      <c r="B34013" s="136"/>
    </row>
    <row r="34014" spans="1:2" x14ac:dyDescent="0.25">
      <c r="A34014" s="118"/>
      <c r="B34014" s="136"/>
    </row>
    <row r="34015" spans="1:2" x14ac:dyDescent="0.25">
      <c r="A34015" s="118"/>
      <c r="B34015" s="136"/>
    </row>
    <row r="34016" spans="1:2" x14ac:dyDescent="0.25">
      <c r="A34016" s="118"/>
      <c r="B34016" s="136"/>
    </row>
    <row r="34017" spans="1:2" x14ac:dyDescent="0.25">
      <c r="A34017" s="118"/>
      <c r="B34017" s="136"/>
    </row>
    <row r="34018" spans="1:2" x14ac:dyDescent="0.25">
      <c r="A34018" s="118"/>
      <c r="B34018" s="136"/>
    </row>
    <row r="34019" spans="1:2" x14ac:dyDescent="0.25">
      <c r="A34019" s="118"/>
      <c r="B34019" s="136"/>
    </row>
    <row r="34020" spans="1:2" x14ac:dyDescent="0.25">
      <c r="A34020" s="118"/>
      <c r="B34020" s="136"/>
    </row>
    <row r="34021" spans="1:2" x14ac:dyDescent="0.25">
      <c r="A34021" s="118"/>
      <c r="B34021" s="136"/>
    </row>
    <row r="34022" spans="1:2" x14ac:dyDescent="0.25">
      <c r="A34022" s="118"/>
      <c r="B34022" s="136"/>
    </row>
    <row r="34023" spans="1:2" x14ac:dyDescent="0.25">
      <c r="A34023" s="118"/>
      <c r="B34023" s="136"/>
    </row>
    <row r="34024" spans="1:2" x14ac:dyDescent="0.25">
      <c r="A34024" s="118"/>
      <c r="B34024" s="136"/>
    </row>
    <row r="34025" spans="1:2" x14ac:dyDescent="0.25">
      <c r="A34025" s="118"/>
      <c r="B34025" s="136"/>
    </row>
    <row r="34026" spans="1:2" x14ac:dyDescent="0.25">
      <c r="A34026" s="118"/>
      <c r="B34026" s="136"/>
    </row>
    <row r="34027" spans="1:2" x14ac:dyDescent="0.25">
      <c r="A34027" s="118"/>
      <c r="B34027" s="136"/>
    </row>
    <row r="34028" spans="1:2" x14ac:dyDescent="0.25">
      <c r="A34028" s="118"/>
      <c r="B34028" s="136"/>
    </row>
    <row r="34029" spans="1:2" x14ac:dyDescent="0.25">
      <c r="A34029" s="118"/>
      <c r="B34029" s="136"/>
    </row>
    <row r="34030" spans="1:2" x14ac:dyDescent="0.25">
      <c r="A34030" s="118"/>
      <c r="B34030" s="136"/>
    </row>
    <row r="34031" spans="1:2" x14ac:dyDescent="0.25">
      <c r="A34031" s="118"/>
      <c r="B34031" s="136"/>
    </row>
    <row r="34032" spans="1:2" x14ac:dyDescent="0.25">
      <c r="A34032" s="118"/>
      <c r="B34032" s="136"/>
    </row>
    <row r="34033" spans="1:2" x14ac:dyDescent="0.25">
      <c r="A34033" s="118"/>
      <c r="B34033" s="136"/>
    </row>
    <row r="34034" spans="1:2" x14ac:dyDescent="0.25">
      <c r="A34034" s="118"/>
      <c r="B34034" s="136"/>
    </row>
    <row r="34035" spans="1:2" x14ac:dyDescent="0.25">
      <c r="A34035" s="118"/>
      <c r="B34035" s="136"/>
    </row>
    <row r="34036" spans="1:2" x14ac:dyDescent="0.25">
      <c r="A34036" s="118"/>
      <c r="B34036" s="136"/>
    </row>
    <row r="34037" spans="1:2" x14ac:dyDescent="0.25">
      <c r="A34037" s="118"/>
      <c r="B34037" s="136"/>
    </row>
    <row r="34038" spans="1:2" x14ac:dyDescent="0.25">
      <c r="A34038" s="118"/>
      <c r="B34038" s="136"/>
    </row>
    <row r="34039" spans="1:2" x14ac:dyDescent="0.25">
      <c r="A34039" s="118"/>
      <c r="B34039" s="136"/>
    </row>
    <row r="34040" spans="1:2" x14ac:dyDescent="0.25">
      <c r="A34040" s="118"/>
      <c r="B34040" s="136"/>
    </row>
    <row r="34041" spans="1:2" x14ac:dyDescent="0.25">
      <c r="A34041" s="118"/>
      <c r="B34041" s="136"/>
    </row>
    <row r="34042" spans="1:2" x14ac:dyDescent="0.25">
      <c r="A34042" s="118"/>
      <c r="B34042" s="136"/>
    </row>
    <row r="34043" spans="1:2" x14ac:dyDescent="0.25">
      <c r="A34043" s="118"/>
      <c r="B34043" s="136"/>
    </row>
    <row r="34044" spans="1:2" x14ac:dyDescent="0.25">
      <c r="A34044" s="118"/>
      <c r="B34044" s="136"/>
    </row>
    <row r="34045" spans="1:2" x14ac:dyDescent="0.25">
      <c r="A34045" s="118"/>
      <c r="B34045" s="136"/>
    </row>
    <row r="34046" spans="1:2" x14ac:dyDescent="0.25">
      <c r="A34046" s="118"/>
      <c r="B34046" s="136"/>
    </row>
    <row r="34047" spans="1:2" x14ac:dyDescent="0.25">
      <c r="A34047" s="118"/>
      <c r="B34047" s="136"/>
    </row>
    <row r="34048" spans="1:2" x14ac:dyDescent="0.25">
      <c r="A34048" s="118"/>
      <c r="B34048" s="136"/>
    </row>
    <row r="34049" spans="1:2" x14ac:dyDescent="0.25">
      <c r="A34049" s="118"/>
      <c r="B34049" s="136"/>
    </row>
    <row r="34050" spans="1:2" x14ac:dyDescent="0.25">
      <c r="A34050" s="118"/>
      <c r="B34050" s="136"/>
    </row>
    <row r="34051" spans="1:2" x14ac:dyDescent="0.25">
      <c r="A34051" s="118"/>
      <c r="B34051" s="136"/>
    </row>
    <row r="34052" spans="1:2" x14ac:dyDescent="0.25">
      <c r="A34052" s="118"/>
      <c r="B34052" s="136"/>
    </row>
    <row r="34053" spans="1:2" x14ac:dyDescent="0.25">
      <c r="A34053" s="118"/>
      <c r="B34053" s="136"/>
    </row>
    <row r="34054" spans="1:2" x14ac:dyDescent="0.25">
      <c r="A34054" s="118"/>
      <c r="B34054" s="136"/>
    </row>
    <row r="34055" spans="1:2" x14ac:dyDescent="0.25">
      <c r="A34055" s="118"/>
      <c r="B34055" s="136"/>
    </row>
    <row r="34056" spans="1:2" x14ac:dyDescent="0.25">
      <c r="A34056" s="118"/>
      <c r="B34056" s="136"/>
    </row>
    <row r="34057" spans="1:2" x14ac:dyDescent="0.25">
      <c r="A34057" s="118"/>
      <c r="B34057" s="136"/>
    </row>
    <row r="34058" spans="1:2" x14ac:dyDescent="0.25">
      <c r="A34058" s="118"/>
      <c r="B34058" s="136"/>
    </row>
    <row r="34059" spans="1:2" x14ac:dyDescent="0.25">
      <c r="A34059" s="118"/>
      <c r="B34059" s="136"/>
    </row>
    <row r="34060" spans="1:2" x14ac:dyDescent="0.25">
      <c r="A34060" s="118"/>
      <c r="B34060" s="136"/>
    </row>
    <row r="34061" spans="1:2" x14ac:dyDescent="0.25">
      <c r="A34061" s="118"/>
      <c r="B34061" s="136"/>
    </row>
    <row r="34062" spans="1:2" x14ac:dyDescent="0.25">
      <c r="A34062" s="118"/>
      <c r="B34062" s="136"/>
    </row>
    <row r="34063" spans="1:2" x14ac:dyDescent="0.25">
      <c r="A34063" s="118"/>
      <c r="B34063" s="136"/>
    </row>
    <row r="34064" spans="1:2" x14ac:dyDescent="0.25">
      <c r="A34064" s="118"/>
      <c r="B34064" s="136"/>
    </row>
    <row r="34065" spans="1:2" x14ac:dyDescent="0.25">
      <c r="A34065" s="118"/>
      <c r="B34065" s="136"/>
    </row>
    <row r="34066" spans="1:2" x14ac:dyDescent="0.25">
      <c r="A34066" s="118"/>
      <c r="B34066" s="136"/>
    </row>
    <row r="34067" spans="1:2" x14ac:dyDescent="0.25">
      <c r="A34067" s="118"/>
      <c r="B34067" s="136"/>
    </row>
    <row r="34068" spans="1:2" x14ac:dyDescent="0.25">
      <c r="A34068" s="118"/>
      <c r="B34068" s="136"/>
    </row>
    <row r="34069" spans="1:2" x14ac:dyDescent="0.25">
      <c r="A34069" s="118"/>
      <c r="B34069" s="136"/>
    </row>
    <row r="34070" spans="1:2" x14ac:dyDescent="0.25">
      <c r="A34070" s="118"/>
      <c r="B34070" s="136"/>
    </row>
    <row r="34071" spans="1:2" x14ac:dyDescent="0.25">
      <c r="A34071" s="118"/>
      <c r="B34071" s="136"/>
    </row>
    <row r="34072" spans="1:2" x14ac:dyDescent="0.25">
      <c r="A34072" s="118"/>
      <c r="B34072" s="136"/>
    </row>
    <row r="34073" spans="1:2" x14ac:dyDescent="0.25">
      <c r="A34073" s="118"/>
      <c r="B34073" s="136"/>
    </row>
    <row r="34074" spans="1:2" x14ac:dyDescent="0.25">
      <c r="A34074" s="118"/>
      <c r="B34074" s="136"/>
    </row>
    <row r="34075" spans="1:2" x14ac:dyDescent="0.25">
      <c r="A34075" s="118"/>
      <c r="B34075" s="136"/>
    </row>
    <row r="34076" spans="1:2" x14ac:dyDescent="0.25">
      <c r="A34076" s="118"/>
      <c r="B34076" s="136"/>
    </row>
    <row r="34077" spans="1:2" x14ac:dyDescent="0.25">
      <c r="A34077" s="118"/>
      <c r="B34077" s="136"/>
    </row>
    <row r="34078" spans="1:2" x14ac:dyDescent="0.25">
      <c r="A34078" s="118"/>
      <c r="B34078" s="136"/>
    </row>
    <row r="34079" spans="1:2" x14ac:dyDescent="0.25">
      <c r="A34079" s="118"/>
      <c r="B34079" s="136"/>
    </row>
    <row r="34080" spans="1:2" x14ac:dyDescent="0.25">
      <c r="A34080" s="118"/>
      <c r="B34080" s="136"/>
    </row>
    <row r="34081" spans="1:2" x14ac:dyDescent="0.25">
      <c r="A34081" s="118"/>
      <c r="B34081" s="136"/>
    </row>
    <row r="34082" spans="1:2" x14ac:dyDescent="0.25">
      <c r="A34082" s="118"/>
      <c r="B34082" s="136"/>
    </row>
    <row r="34083" spans="1:2" x14ac:dyDescent="0.25">
      <c r="A34083" s="118"/>
      <c r="B34083" s="136"/>
    </row>
    <row r="34084" spans="1:2" x14ac:dyDescent="0.25">
      <c r="A34084" s="118"/>
      <c r="B34084" s="136"/>
    </row>
    <row r="34085" spans="1:2" x14ac:dyDescent="0.25">
      <c r="A34085" s="118"/>
      <c r="B34085" s="136"/>
    </row>
    <row r="34086" spans="1:2" x14ac:dyDescent="0.25">
      <c r="A34086" s="118"/>
      <c r="B34086" s="136"/>
    </row>
    <row r="34087" spans="1:2" x14ac:dyDescent="0.25">
      <c r="A34087" s="118"/>
      <c r="B34087" s="136"/>
    </row>
    <row r="34088" spans="1:2" x14ac:dyDescent="0.25">
      <c r="A34088" s="118"/>
      <c r="B34088" s="136"/>
    </row>
    <row r="34089" spans="1:2" x14ac:dyDescent="0.25">
      <c r="A34089" s="118"/>
      <c r="B34089" s="136"/>
    </row>
    <row r="34090" spans="1:2" x14ac:dyDescent="0.25">
      <c r="A34090" s="118"/>
      <c r="B34090" s="136"/>
    </row>
    <row r="34091" spans="1:2" x14ac:dyDescent="0.25">
      <c r="A34091" s="118"/>
      <c r="B34091" s="136"/>
    </row>
    <row r="34092" spans="1:2" x14ac:dyDescent="0.25">
      <c r="A34092" s="118"/>
      <c r="B34092" s="136"/>
    </row>
    <row r="34093" spans="1:2" x14ac:dyDescent="0.25">
      <c r="A34093" s="118"/>
      <c r="B34093" s="136"/>
    </row>
    <row r="34094" spans="1:2" x14ac:dyDescent="0.25">
      <c r="A34094" s="118"/>
      <c r="B34094" s="136"/>
    </row>
    <row r="34095" spans="1:2" x14ac:dyDescent="0.25">
      <c r="A34095" s="118"/>
      <c r="B34095" s="136"/>
    </row>
    <row r="34096" spans="1:2" x14ac:dyDescent="0.25">
      <c r="A34096" s="118"/>
      <c r="B34096" s="136"/>
    </row>
    <row r="34097" spans="1:2" x14ac:dyDescent="0.25">
      <c r="A34097" s="118"/>
      <c r="B34097" s="136"/>
    </row>
    <row r="34098" spans="1:2" x14ac:dyDescent="0.25">
      <c r="A34098" s="118"/>
      <c r="B34098" s="136"/>
    </row>
    <row r="34099" spans="1:2" x14ac:dyDescent="0.25">
      <c r="A34099" s="118"/>
      <c r="B34099" s="136"/>
    </row>
    <row r="34100" spans="1:2" x14ac:dyDescent="0.25">
      <c r="A34100" s="118"/>
      <c r="B34100" s="136"/>
    </row>
    <row r="34101" spans="1:2" x14ac:dyDescent="0.25">
      <c r="A34101" s="118"/>
      <c r="B34101" s="136"/>
    </row>
    <row r="34102" spans="1:2" x14ac:dyDescent="0.25">
      <c r="A34102" s="118"/>
      <c r="B34102" s="136"/>
    </row>
    <row r="34103" spans="1:2" x14ac:dyDescent="0.25">
      <c r="A34103" s="118"/>
      <c r="B34103" s="136"/>
    </row>
    <row r="34104" spans="1:2" x14ac:dyDescent="0.25">
      <c r="A34104" s="118"/>
      <c r="B34104" s="136"/>
    </row>
    <row r="34105" spans="1:2" x14ac:dyDescent="0.25">
      <c r="A34105" s="118"/>
      <c r="B34105" s="136"/>
    </row>
    <row r="34106" spans="1:2" x14ac:dyDescent="0.25">
      <c r="A34106" s="118"/>
      <c r="B34106" s="136"/>
    </row>
    <row r="34107" spans="1:2" x14ac:dyDescent="0.25">
      <c r="A34107" s="118"/>
      <c r="B34107" s="136"/>
    </row>
    <row r="34108" spans="1:2" x14ac:dyDescent="0.25">
      <c r="A34108" s="118"/>
      <c r="B34108" s="136"/>
    </row>
    <row r="34109" spans="1:2" x14ac:dyDescent="0.25">
      <c r="A34109" s="118"/>
      <c r="B34109" s="136"/>
    </row>
    <row r="34110" spans="1:2" x14ac:dyDescent="0.25">
      <c r="A34110" s="118"/>
      <c r="B34110" s="136"/>
    </row>
    <row r="34111" spans="1:2" x14ac:dyDescent="0.25">
      <c r="A34111" s="118"/>
      <c r="B34111" s="136"/>
    </row>
    <row r="34112" spans="1:2" x14ac:dyDescent="0.25">
      <c r="A34112" s="118"/>
      <c r="B34112" s="136"/>
    </row>
    <row r="34113" spans="1:2" x14ac:dyDescent="0.25">
      <c r="A34113" s="118"/>
      <c r="B34113" s="136"/>
    </row>
    <row r="34114" spans="1:2" x14ac:dyDescent="0.25">
      <c r="A34114" s="118"/>
      <c r="B34114" s="136"/>
    </row>
    <row r="34115" spans="1:2" x14ac:dyDescent="0.25">
      <c r="A34115" s="118"/>
      <c r="B34115" s="136"/>
    </row>
    <row r="34116" spans="1:2" x14ac:dyDescent="0.25">
      <c r="A34116" s="118"/>
      <c r="B34116" s="136"/>
    </row>
    <row r="34117" spans="1:2" x14ac:dyDescent="0.25">
      <c r="A34117" s="118"/>
      <c r="B34117" s="136"/>
    </row>
    <row r="34118" spans="1:2" x14ac:dyDescent="0.25">
      <c r="A34118" s="118"/>
      <c r="B34118" s="136"/>
    </row>
    <row r="34119" spans="1:2" x14ac:dyDescent="0.25">
      <c r="A34119" s="118"/>
      <c r="B34119" s="136"/>
    </row>
    <row r="34120" spans="1:2" x14ac:dyDescent="0.25">
      <c r="A34120" s="118"/>
      <c r="B34120" s="136"/>
    </row>
    <row r="34121" spans="1:2" x14ac:dyDescent="0.25">
      <c r="A34121" s="118"/>
      <c r="B34121" s="136"/>
    </row>
    <row r="34122" spans="1:2" x14ac:dyDescent="0.25">
      <c r="A34122" s="118"/>
      <c r="B34122" s="136"/>
    </row>
    <row r="34123" spans="1:2" x14ac:dyDescent="0.25">
      <c r="A34123" s="118"/>
      <c r="B34123" s="136"/>
    </row>
    <row r="34124" spans="1:2" x14ac:dyDescent="0.25">
      <c r="A34124" s="118"/>
      <c r="B34124" s="136"/>
    </row>
    <row r="34125" spans="1:2" x14ac:dyDescent="0.25">
      <c r="A34125" s="118"/>
      <c r="B34125" s="136"/>
    </row>
    <row r="34126" spans="1:2" x14ac:dyDescent="0.25">
      <c r="A34126" s="118"/>
      <c r="B34126" s="136"/>
    </row>
    <row r="34127" spans="1:2" x14ac:dyDescent="0.25">
      <c r="A34127" s="118"/>
      <c r="B34127" s="136"/>
    </row>
    <row r="34128" spans="1:2" x14ac:dyDescent="0.25">
      <c r="A34128" s="118"/>
      <c r="B34128" s="136"/>
    </row>
    <row r="34129" spans="1:2" x14ac:dyDescent="0.25">
      <c r="A34129" s="118"/>
      <c r="B34129" s="136"/>
    </row>
    <row r="34130" spans="1:2" x14ac:dyDescent="0.25">
      <c r="A34130" s="118"/>
      <c r="B34130" s="136"/>
    </row>
    <row r="34131" spans="1:2" x14ac:dyDescent="0.25">
      <c r="A34131" s="118"/>
      <c r="B34131" s="136"/>
    </row>
    <row r="34132" spans="1:2" x14ac:dyDescent="0.25">
      <c r="A34132" s="118"/>
      <c r="B34132" s="136"/>
    </row>
    <row r="34133" spans="1:2" x14ac:dyDescent="0.25">
      <c r="A34133" s="118"/>
      <c r="B34133" s="136"/>
    </row>
    <row r="34134" spans="1:2" x14ac:dyDescent="0.25">
      <c r="A34134" s="118"/>
      <c r="B34134" s="136"/>
    </row>
    <row r="34135" spans="1:2" x14ac:dyDescent="0.25">
      <c r="A34135" s="118"/>
      <c r="B34135" s="136"/>
    </row>
    <row r="34136" spans="1:2" x14ac:dyDescent="0.25">
      <c r="A34136" s="118"/>
      <c r="B34136" s="136"/>
    </row>
    <row r="34137" spans="1:2" x14ac:dyDescent="0.25">
      <c r="A34137" s="118"/>
      <c r="B34137" s="136"/>
    </row>
    <row r="34138" spans="1:2" x14ac:dyDescent="0.25">
      <c r="A34138" s="118"/>
      <c r="B34138" s="136"/>
    </row>
    <row r="34139" spans="1:2" x14ac:dyDescent="0.25">
      <c r="A34139" s="118"/>
      <c r="B34139" s="136"/>
    </row>
    <row r="34140" spans="1:2" x14ac:dyDescent="0.25">
      <c r="A34140" s="118"/>
      <c r="B34140" s="136"/>
    </row>
    <row r="34141" spans="1:2" x14ac:dyDescent="0.25">
      <c r="A34141" s="118"/>
      <c r="B34141" s="136"/>
    </row>
    <row r="34142" spans="1:2" x14ac:dyDescent="0.25">
      <c r="A34142" s="118"/>
      <c r="B34142" s="136"/>
    </row>
    <row r="34143" spans="1:2" x14ac:dyDescent="0.25">
      <c r="A34143" s="118"/>
      <c r="B34143" s="136"/>
    </row>
    <row r="34144" spans="1:2" x14ac:dyDescent="0.25">
      <c r="A34144" s="118"/>
      <c r="B34144" s="136"/>
    </row>
    <row r="34145" spans="1:2" x14ac:dyDescent="0.25">
      <c r="A34145" s="118"/>
      <c r="B34145" s="136"/>
    </row>
    <row r="34146" spans="1:2" x14ac:dyDescent="0.25">
      <c r="A34146" s="118"/>
      <c r="B34146" s="136"/>
    </row>
    <row r="34147" spans="1:2" x14ac:dyDescent="0.25">
      <c r="A34147" s="118"/>
      <c r="B34147" s="136"/>
    </row>
    <row r="34148" spans="1:2" x14ac:dyDescent="0.25">
      <c r="A34148" s="118"/>
      <c r="B34148" s="136"/>
    </row>
    <row r="34149" spans="1:2" x14ac:dyDescent="0.25">
      <c r="A34149" s="118"/>
      <c r="B34149" s="136"/>
    </row>
    <row r="34150" spans="1:2" x14ac:dyDescent="0.25">
      <c r="A34150" s="118"/>
      <c r="B34150" s="136"/>
    </row>
    <row r="34151" spans="1:2" x14ac:dyDescent="0.25">
      <c r="A34151" s="118"/>
      <c r="B34151" s="136"/>
    </row>
    <row r="34152" spans="1:2" x14ac:dyDescent="0.25">
      <c r="A34152" s="118"/>
      <c r="B34152" s="136"/>
    </row>
    <row r="34153" spans="1:2" x14ac:dyDescent="0.25">
      <c r="A34153" s="118"/>
      <c r="B34153" s="136"/>
    </row>
    <row r="34154" spans="1:2" x14ac:dyDescent="0.25">
      <c r="A34154" s="118"/>
      <c r="B34154" s="136"/>
    </row>
    <row r="34155" spans="1:2" x14ac:dyDescent="0.25">
      <c r="A34155" s="118"/>
      <c r="B34155" s="136"/>
    </row>
    <row r="34156" spans="1:2" x14ac:dyDescent="0.25">
      <c r="A34156" s="118"/>
      <c r="B34156" s="136"/>
    </row>
    <row r="34157" spans="1:2" x14ac:dyDescent="0.25">
      <c r="A34157" s="118"/>
      <c r="B34157" s="136"/>
    </row>
    <row r="34158" spans="1:2" x14ac:dyDescent="0.25">
      <c r="A34158" s="118"/>
      <c r="B34158" s="136"/>
    </row>
    <row r="34159" spans="1:2" x14ac:dyDescent="0.25">
      <c r="A34159" s="118"/>
      <c r="B34159" s="136"/>
    </row>
    <row r="34160" spans="1:2" x14ac:dyDescent="0.25">
      <c r="A34160" s="118"/>
      <c r="B34160" s="136"/>
    </row>
    <row r="34161" spans="1:2" x14ac:dyDescent="0.25">
      <c r="A34161" s="118"/>
      <c r="B34161" s="136"/>
    </row>
    <row r="34162" spans="1:2" x14ac:dyDescent="0.25">
      <c r="A34162" s="118"/>
      <c r="B34162" s="136"/>
    </row>
    <row r="34163" spans="1:2" x14ac:dyDescent="0.25">
      <c r="A34163" s="118"/>
      <c r="B34163" s="136"/>
    </row>
    <row r="34164" spans="1:2" x14ac:dyDescent="0.25">
      <c r="A34164" s="118"/>
      <c r="B34164" s="136"/>
    </row>
    <row r="34165" spans="1:2" x14ac:dyDescent="0.25">
      <c r="A34165" s="118"/>
      <c r="B34165" s="136"/>
    </row>
    <row r="34166" spans="1:2" x14ac:dyDescent="0.25">
      <c r="A34166" s="118"/>
      <c r="B34166" s="136"/>
    </row>
    <row r="34167" spans="1:2" x14ac:dyDescent="0.25">
      <c r="A34167" s="118"/>
      <c r="B34167" s="136"/>
    </row>
    <row r="34168" spans="1:2" x14ac:dyDescent="0.25">
      <c r="A34168" s="118"/>
      <c r="B34168" s="136"/>
    </row>
    <row r="34169" spans="1:2" x14ac:dyDescent="0.25">
      <c r="A34169" s="118"/>
      <c r="B34169" s="136"/>
    </row>
    <row r="34170" spans="1:2" x14ac:dyDescent="0.25">
      <c r="A34170" s="118"/>
      <c r="B34170" s="136"/>
    </row>
    <row r="34171" spans="1:2" x14ac:dyDescent="0.25">
      <c r="A34171" s="118"/>
      <c r="B34171" s="136"/>
    </row>
    <row r="34172" spans="1:2" x14ac:dyDescent="0.25">
      <c r="A34172" s="118"/>
      <c r="B34172" s="136"/>
    </row>
    <row r="34173" spans="1:2" x14ac:dyDescent="0.25">
      <c r="A34173" s="118"/>
      <c r="B34173" s="136"/>
    </row>
    <row r="34174" spans="1:2" x14ac:dyDescent="0.25">
      <c r="A34174" s="118"/>
      <c r="B34174" s="136"/>
    </row>
    <row r="34175" spans="1:2" x14ac:dyDescent="0.25">
      <c r="A34175" s="118"/>
      <c r="B34175" s="136"/>
    </row>
    <row r="34176" spans="1:2" x14ac:dyDescent="0.25">
      <c r="A34176" s="118"/>
      <c r="B34176" s="136"/>
    </row>
    <row r="34177" spans="1:2" x14ac:dyDescent="0.25">
      <c r="A34177" s="118"/>
      <c r="B34177" s="136"/>
    </row>
    <row r="34178" spans="1:2" x14ac:dyDescent="0.25">
      <c r="A34178" s="118"/>
      <c r="B34178" s="136"/>
    </row>
    <row r="34179" spans="1:2" x14ac:dyDescent="0.25">
      <c r="A34179" s="118"/>
      <c r="B34179" s="136"/>
    </row>
    <row r="34180" spans="1:2" x14ac:dyDescent="0.25">
      <c r="A34180" s="118"/>
      <c r="B34180" s="136"/>
    </row>
    <row r="34181" spans="1:2" x14ac:dyDescent="0.25">
      <c r="A34181" s="118"/>
      <c r="B34181" s="136"/>
    </row>
    <row r="34182" spans="1:2" x14ac:dyDescent="0.25">
      <c r="A34182" s="118"/>
      <c r="B34182" s="136"/>
    </row>
    <row r="34183" spans="1:2" x14ac:dyDescent="0.25">
      <c r="A34183" s="118"/>
      <c r="B34183" s="136"/>
    </row>
    <row r="34184" spans="1:2" x14ac:dyDescent="0.25">
      <c r="A34184" s="118"/>
      <c r="B34184" s="136"/>
    </row>
    <row r="34185" spans="1:2" x14ac:dyDescent="0.25">
      <c r="A34185" s="118"/>
      <c r="B34185" s="136"/>
    </row>
    <row r="34186" spans="1:2" x14ac:dyDescent="0.25">
      <c r="A34186" s="118"/>
      <c r="B34186" s="136"/>
    </row>
    <row r="34187" spans="1:2" x14ac:dyDescent="0.25">
      <c r="A34187" s="118"/>
      <c r="B34187" s="136"/>
    </row>
    <row r="34188" spans="1:2" x14ac:dyDescent="0.25">
      <c r="A34188" s="118"/>
      <c r="B34188" s="136"/>
    </row>
    <row r="34189" spans="1:2" x14ac:dyDescent="0.25">
      <c r="A34189" s="118"/>
      <c r="B34189" s="136"/>
    </row>
    <row r="34190" spans="1:2" x14ac:dyDescent="0.25">
      <c r="A34190" s="118"/>
      <c r="B34190" s="136"/>
    </row>
    <row r="34191" spans="1:2" x14ac:dyDescent="0.25">
      <c r="A34191" s="118"/>
      <c r="B34191" s="136"/>
    </row>
    <row r="34192" spans="1:2" x14ac:dyDescent="0.25">
      <c r="A34192" s="118"/>
      <c r="B34192" s="136"/>
    </row>
    <row r="34193" spans="1:2" x14ac:dyDescent="0.25">
      <c r="A34193" s="118"/>
      <c r="B34193" s="136"/>
    </row>
    <row r="34194" spans="1:2" x14ac:dyDescent="0.25">
      <c r="A34194" s="118"/>
      <c r="B34194" s="136"/>
    </row>
    <row r="34195" spans="1:2" x14ac:dyDescent="0.25">
      <c r="A34195" s="118"/>
      <c r="B34195" s="136"/>
    </row>
    <row r="34196" spans="1:2" x14ac:dyDescent="0.25">
      <c r="A34196" s="118"/>
      <c r="B34196" s="136"/>
    </row>
    <row r="34197" spans="1:2" x14ac:dyDescent="0.25">
      <c r="A34197" s="118"/>
      <c r="B34197" s="136"/>
    </row>
    <row r="34198" spans="1:2" x14ac:dyDescent="0.25">
      <c r="A34198" s="118"/>
      <c r="B34198" s="136"/>
    </row>
    <row r="34199" spans="1:2" x14ac:dyDescent="0.25">
      <c r="A34199" s="118"/>
      <c r="B34199" s="136"/>
    </row>
    <row r="34200" spans="1:2" x14ac:dyDescent="0.25">
      <c r="A34200" s="118"/>
      <c r="B34200" s="136"/>
    </row>
    <row r="34201" spans="1:2" x14ac:dyDescent="0.25">
      <c r="A34201" s="118"/>
      <c r="B34201" s="136"/>
    </row>
    <row r="34202" spans="1:2" x14ac:dyDescent="0.25">
      <c r="A34202" s="118"/>
      <c r="B34202" s="136"/>
    </row>
    <row r="34203" spans="1:2" x14ac:dyDescent="0.25">
      <c r="A34203" s="118"/>
      <c r="B34203" s="136"/>
    </row>
    <row r="34204" spans="1:2" x14ac:dyDescent="0.25">
      <c r="A34204" s="118"/>
      <c r="B34204" s="136"/>
    </row>
    <row r="34205" spans="1:2" x14ac:dyDescent="0.25">
      <c r="A34205" s="118"/>
      <c r="B34205" s="136"/>
    </row>
    <row r="34206" spans="1:2" x14ac:dyDescent="0.25">
      <c r="A34206" s="118"/>
      <c r="B34206" s="136"/>
    </row>
    <row r="34207" spans="1:2" x14ac:dyDescent="0.25">
      <c r="A34207" s="118"/>
      <c r="B34207" s="136"/>
    </row>
    <row r="34208" spans="1:2" x14ac:dyDescent="0.25">
      <c r="A34208" s="118"/>
      <c r="B34208" s="136"/>
    </row>
    <row r="34209" spans="1:2" x14ac:dyDescent="0.25">
      <c r="A34209" s="118"/>
      <c r="B34209" s="136"/>
    </row>
    <row r="34210" spans="1:2" x14ac:dyDescent="0.25">
      <c r="A34210" s="118"/>
      <c r="B34210" s="136"/>
    </row>
    <row r="34211" spans="1:2" x14ac:dyDescent="0.25">
      <c r="A34211" s="118"/>
      <c r="B34211" s="136"/>
    </row>
    <row r="34212" spans="1:2" x14ac:dyDescent="0.25">
      <c r="A34212" s="118"/>
      <c r="B34212" s="136"/>
    </row>
    <row r="34213" spans="1:2" x14ac:dyDescent="0.25">
      <c r="A34213" s="118"/>
      <c r="B34213" s="136"/>
    </row>
    <row r="34214" spans="1:2" x14ac:dyDescent="0.25">
      <c r="A34214" s="118"/>
      <c r="B34214" s="136"/>
    </row>
    <row r="34215" spans="1:2" x14ac:dyDescent="0.25">
      <c r="A34215" s="118"/>
      <c r="B34215" s="136"/>
    </row>
    <row r="34216" spans="1:2" x14ac:dyDescent="0.25">
      <c r="A34216" s="118"/>
      <c r="B34216" s="136"/>
    </row>
    <row r="34217" spans="1:2" x14ac:dyDescent="0.25">
      <c r="A34217" s="118"/>
      <c r="B34217" s="136"/>
    </row>
    <row r="34218" spans="1:2" x14ac:dyDescent="0.25">
      <c r="A34218" s="118"/>
      <c r="B34218" s="136"/>
    </row>
    <row r="34219" spans="1:2" x14ac:dyDescent="0.25">
      <c r="A34219" s="118"/>
      <c r="B34219" s="136"/>
    </row>
    <row r="34220" spans="1:2" x14ac:dyDescent="0.25">
      <c r="A34220" s="118"/>
      <c r="B34220" s="136"/>
    </row>
    <row r="34221" spans="1:2" x14ac:dyDescent="0.25">
      <c r="A34221" s="118"/>
      <c r="B34221" s="136"/>
    </row>
    <row r="34222" spans="1:2" x14ac:dyDescent="0.25">
      <c r="A34222" s="118"/>
      <c r="B34222" s="136"/>
    </row>
    <row r="34223" spans="1:2" x14ac:dyDescent="0.25">
      <c r="A34223" s="118"/>
      <c r="B34223" s="136"/>
    </row>
    <row r="34224" spans="1:2" x14ac:dyDescent="0.25">
      <c r="A34224" s="118"/>
      <c r="B34224" s="136"/>
    </row>
    <row r="34225" spans="1:2" x14ac:dyDescent="0.25">
      <c r="A34225" s="118"/>
      <c r="B34225" s="136"/>
    </row>
    <row r="34226" spans="1:2" x14ac:dyDescent="0.25">
      <c r="A34226" s="118"/>
      <c r="B34226" s="136"/>
    </row>
    <row r="34227" spans="1:2" x14ac:dyDescent="0.25">
      <c r="A34227" s="118"/>
      <c r="B34227" s="136"/>
    </row>
    <row r="34228" spans="1:2" x14ac:dyDescent="0.25">
      <c r="A34228" s="118"/>
      <c r="B34228" s="136"/>
    </row>
    <row r="34229" spans="1:2" x14ac:dyDescent="0.25">
      <c r="A34229" s="118"/>
      <c r="B34229" s="136"/>
    </row>
    <row r="34230" spans="1:2" x14ac:dyDescent="0.25">
      <c r="A34230" s="118"/>
      <c r="B34230" s="136"/>
    </row>
    <row r="34231" spans="1:2" x14ac:dyDescent="0.25">
      <c r="A34231" s="118"/>
      <c r="B34231" s="136"/>
    </row>
    <row r="34232" spans="1:2" x14ac:dyDescent="0.25">
      <c r="A34232" s="118"/>
      <c r="B34232" s="136"/>
    </row>
    <row r="34233" spans="1:2" x14ac:dyDescent="0.25">
      <c r="A34233" s="118"/>
      <c r="B34233" s="136"/>
    </row>
    <row r="34234" spans="1:2" x14ac:dyDescent="0.25">
      <c r="A34234" s="118"/>
      <c r="B34234" s="136"/>
    </row>
    <row r="34235" spans="1:2" x14ac:dyDescent="0.25">
      <c r="A34235" s="118"/>
      <c r="B34235" s="136"/>
    </row>
    <row r="34236" spans="1:2" x14ac:dyDescent="0.25">
      <c r="A34236" s="118"/>
      <c r="B34236" s="136"/>
    </row>
    <row r="34237" spans="1:2" x14ac:dyDescent="0.25">
      <c r="A34237" s="118"/>
      <c r="B34237" s="136"/>
    </row>
    <row r="34238" spans="1:2" x14ac:dyDescent="0.25">
      <c r="A34238" s="118"/>
      <c r="B34238" s="136"/>
    </row>
    <row r="34239" spans="1:2" x14ac:dyDescent="0.25">
      <c r="A34239" s="118"/>
      <c r="B34239" s="136"/>
    </row>
    <row r="34240" spans="1:2" x14ac:dyDescent="0.25">
      <c r="A34240" s="118"/>
      <c r="B34240" s="136"/>
    </row>
    <row r="34241" spans="1:2" x14ac:dyDescent="0.25">
      <c r="A34241" s="118"/>
      <c r="B34241" s="136"/>
    </row>
    <row r="34242" spans="1:2" x14ac:dyDescent="0.25">
      <c r="A34242" s="118"/>
      <c r="B34242" s="136"/>
    </row>
    <row r="34243" spans="1:2" x14ac:dyDescent="0.25">
      <c r="A34243" s="118"/>
      <c r="B34243" s="136"/>
    </row>
    <row r="34244" spans="1:2" x14ac:dyDescent="0.25">
      <c r="A34244" s="118"/>
      <c r="B34244" s="136"/>
    </row>
    <row r="34245" spans="1:2" x14ac:dyDescent="0.25">
      <c r="A34245" s="118"/>
      <c r="B34245" s="136"/>
    </row>
    <row r="34246" spans="1:2" x14ac:dyDescent="0.25">
      <c r="A34246" s="118"/>
      <c r="B34246" s="136"/>
    </row>
    <row r="34247" spans="1:2" x14ac:dyDescent="0.25">
      <c r="A34247" s="118"/>
      <c r="B34247" s="136"/>
    </row>
    <row r="34248" spans="1:2" x14ac:dyDescent="0.25">
      <c r="A34248" s="118"/>
      <c r="B34248" s="136"/>
    </row>
    <row r="34249" spans="1:2" x14ac:dyDescent="0.25">
      <c r="A34249" s="118"/>
      <c r="B34249" s="136"/>
    </row>
    <row r="34250" spans="1:2" x14ac:dyDescent="0.25">
      <c r="A34250" s="118"/>
      <c r="B34250" s="136"/>
    </row>
    <row r="34251" spans="1:2" x14ac:dyDescent="0.25">
      <c r="A34251" s="118"/>
      <c r="B34251" s="136"/>
    </row>
    <row r="34252" spans="1:2" x14ac:dyDescent="0.25">
      <c r="A34252" s="118"/>
      <c r="B34252" s="136"/>
    </row>
    <row r="34253" spans="1:2" x14ac:dyDescent="0.25">
      <c r="A34253" s="118"/>
      <c r="B34253" s="136"/>
    </row>
    <row r="34254" spans="1:2" x14ac:dyDescent="0.25">
      <c r="A34254" s="118"/>
      <c r="B34254" s="136"/>
    </row>
    <row r="34255" spans="1:2" x14ac:dyDescent="0.25">
      <c r="A34255" s="118"/>
      <c r="B34255" s="136"/>
    </row>
    <row r="34256" spans="1:2" x14ac:dyDescent="0.25">
      <c r="A34256" s="118"/>
      <c r="B34256" s="136"/>
    </row>
    <row r="34257" spans="1:2" x14ac:dyDescent="0.25">
      <c r="A34257" s="118"/>
      <c r="B34257" s="136"/>
    </row>
    <row r="34258" spans="1:2" x14ac:dyDescent="0.25">
      <c r="A34258" s="118"/>
      <c r="B34258" s="136"/>
    </row>
    <row r="34259" spans="1:2" x14ac:dyDescent="0.25">
      <c r="A34259" s="118"/>
      <c r="B34259" s="136"/>
    </row>
    <row r="34260" spans="1:2" x14ac:dyDescent="0.25">
      <c r="A34260" s="118"/>
      <c r="B34260" s="136"/>
    </row>
    <row r="34261" spans="1:2" x14ac:dyDescent="0.25">
      <c r="A34261" s="118"/>
      <c r="B34261" s="136"/>
    </row>
    <row r="34262" spans="1:2" x14ac:dyDescent="0.25">
      <c r="A34262" s="118"/>
      <c r="B34262" s="136"/>
    </row>
    <row r="34263" spans="1:2" x14ac:dyDescent="0.25">
      <c r="A34263" s="118"/>
      <c r="B34263" s="136"/>
    </row>
    <row r="34264" spans="1:2" x14ac:dyDescent="0.25">
      <c r="A34264" s="118"/>
      <c r="B34264" s="136"/>
    </row>
    <row r="34265" spans="1:2" x14ac:dyDescent="0.25">
      <c r="A34265" s="118"/>
      <c r="B34265" s="136"/>
    </row>
    <row r="34266" spans="1:2" x14ac:dyDescent="0.25">
      <c r="A34266" s="118"/>
      <c r="B34266" s="136"/>
    </row>
    <row r="34267" spans="1:2" x14ac:dyDescent="0.25">
      <c r="A34267" s="118"/>
      <c r="B34267" s="136"/>
    </row>
    <row r="34268" spans="1:2" x14ac:dyDescent="0.25">
      <c r="A34268" s="118"/>
      <c r="B34268" s="136"/>
    </row>
    <row r="34269" spans="1:2" x14ac:dyDescent="0.25">
      <c r="A34269" s="118"/>
      <c r="B34269" s="136"/>
    </row>
    <row r="34270" spans="1:2" x14ac:dyDescent="0.25">
      <c r="A34270" s="118"/>
      <c r="B34270" s="136"/>
    </row>
    <row r="34271" spans="1:2" x14ac:dyDescent="0.25">
      <c r="A34271" s="118"/>
      <c r="B34271" s="136"/>
    </row>
    <row r="34272" spans="1:2" x14ac:dyDescent="0.25">
      <c r="A34272" s="118"/>
      <c r="B34272" s="136"/>
    </row>
    <row r="34273" spans="1:2" x14ac:dyDescent="0.25">
      <c r="A34273" s="118"/>
      <c r="B34273" s="136"/>
    </row>
    <row r="34274" spans="1:2" x14ac:dyDescent="0.25">
      <c r="A34274" s="118"/>
      <c r="B34274" s="136"/>
    </row>
    <row r="34275" spans="1:2" x14ac:dyDescent="0.25">
      <c r="A34275" s="118"/>
      <c r="B34275" s="136"/>
    </row>
    <row r="34276" spans="1:2" x14ac:dyDescent="0.25">
      <c r="A34276" s="118"/>
      <c r="B34276" s="136"/>
    </row>
    <row r="34277" spans="1:2" x14ac:dyDescent="0.25">
      <c r="A34277" s="118"/>
      <c r="B34277" s="136"/>
    </row>
    <row r="34278" spans="1:2" x14ac:dyDescent="0.25">
      <c r="A34278" s="118"/>
      <c r="B34278" s="136"/>
    </row>
    <row r="34279" spans="1:2" x14ac:dyDescent="0.25">
      <c r="A34279" s="118"/>
      <c r="B34279" s="136"/>
    </row>
    <row r="34280" spans="1:2" x14ac:dyDescent="0.25">
      <c r="A34280" s="118"/>
      <c r="B34280" s="136"/>
    </row>
    <row r="34281" spans="1:2" x14ac:dyDescent="0.25">
      <c r="A34281" s="118"/>
      <c r="B34281" s="136"/>
    </row>
    <row r="34282" spans="1:2" x14ac:dyDescent="0.25">
      <c r="A34282" s="118"/>
      <c r="B34282" s="136"/>
    </row>
    <row r="34283" spans="1:2" x14ac:dyDescent="0.25">
      <c r="A34283" s="118"/>
      <c r="B34283" s="136"/>
    </row>
    <row r="34284" spans="1:2" x14ac:dyDescent="0.25">
      <c r="A34284" s="118"/>
      <c r="B34284" s="136"/>
    </row>
    <row r="34285" spans="1:2" x14ac:dyDescent="0.25">
      <c r="A34285" s="118"/>
      <c r="B34285" s="136"/>
    </row>
    <row r="34286" spans="1:2" x14ac:dyDescent="0.25">
      <c r="A34286" s="118"/>
      <c r="B34286" s="136"/>
    </row>
    <row r="34287" spans="1:2" x14ac:dyDescent="0.25">
      <c r="A34287" s="118"/>
      <c r="B34287" s="136"/>
    </row>
    <row r="34288" spans="1:2" x14ac:dyDescent="0.25">
      <c r="A34288" s="118"/>
      <c r="B34288" s="136"/>
    </row>
    <row r="34289" spans="1:2" x14ac:dyDescent="0.25">
      <c r="A34289" s="118"/>
      <c r="B34289" s="136"/>
    </row>
    <row r="34290" spans="1:2" x14ac:dyDescent="0.25">
      <c r="A34290" s="118"/>
      <c r="B34290" s="136"/>
    </row>
    <row r="34291" spans="1:2" x14ac:dyDescent="0.25">
      <c r="A34291" s="118"/>
      <c r="B34291" s="136"/>
    </row>
    <row r="34292" spans="1:2" x14ac:dyDescent="0.25">
      <c r="A34292" s="118"/>
      <c r="B34292" s="136"/>
    </row>
    <row r="34293" spans="1:2" x14ac:dyDescent="0.25">
      <c r="A34293" s="118"/>
      <c r="B34293" s="136"/>
    </row>
    <row r="34294" spans="1:2" x14ac:dyDescent="0.25">
      <c r="A34294" s="118"/>
      <c r="B34294" s="136"/>
    </row>
    <row r="34295" spans="1:2" x14ac:dyDescent="0.25">
      <c r="A34295" s="118"/>
      <c r="B34295" s="136"/>
    </row>
    <row r="34296" spans="1:2" x14ac:dyDescent="0.25">
      <c r="A34296" s="118"/>
      <c r="B34296" s="136"/>
    </row>
    <row r="34297" spans="1:2" x14ac:dyDescent="0.25">
      <c r="A34297" s="118"/>
      <c r="B34297" s="136"/>
    </row>
    <row r="34298" spans="1:2" x14ac:dyDescent="0.25">
      <c r="A34298" s="118"/>
      <c r="B34298" s="136"/>
    </row>
    <row r="34299" spans="1:2" x14ac:dyDescent="0.25">
      <c r="A34299" s="118"/>
      <c r="B34299" s="136"/>
    </row>
    <row r="34300" spans="1:2" x14ac:dyDescent="0.25">
      <c r="A34300" s="118"/>
      <c r="B34300" s="136"/>
    </row>
    <row r="34301" spans="1:2" x14ac:dyDescent="0.25">
      <c r="A34301" s="118"/>
      <c r="B34301" s="136"/>
    </row>
    <row r="34302" spans="1:2" x14ac:dyDescent="0.25">
      <c r="A34302" s="118"/>
      <c r="B34302" s="136"/>
    </row>
    <row r="34303" spans="1:2" x14ac:dyDescent="0.25">
      <c r="A34303" s="118"/>
      <c r="B34303" s="136"/>
    </row>
    <row r="34304" spans="1:2" x14ac:dyDescent="0.25">
      <c r="A34304" s="118"/>
      <c r="B34304" s="136"/>
    </row>
    <row r="34305" spans="1:2" x14ac:dyDescent="0.25">
      <c r="A34305" s="118"/>
      <c r="B34305" s="136"/>
    </row>
    <row r="34306" spans="1:2" x14ac:dyDescent="0.25">
      <c r="A34306" s="118"/>
      <c r="B34306" s="136"/>
    </row>
    <row r="34307" spans="1:2" x14ac:dyDescent="0.25">
      <c r="A34307" s="118"/>
      <c r="B34307" s="136"/>
    </row>
    <row r="34308" spans="1:2" x14ac:dyDescent="0.25">
      <c r="A34308" s="118"/>
      <c r="B34308" s="136"/>
    </row>
    <row r="34309" spans="1:2" x14ac:dyDescent="0.25">
      <c r="A34309" s="118"/>
      <c r="B34309" s="136"/>
    </row>
    <row r="34310" spans="1:2" x14ac:dyDescent="0.25">
      <c r="A34310" s="118"/>
      <c r="B34310" s="136"/>
    </row>
    <row r="34311" spans="1:2" x14ac:dyDescent="0.25">
      <c r="A34311" s="118"/>
      <c r="B34311" s="136"/>
    </row>
    <row r="34312" spans="1:2" x14ac:dyDescent="0.25">
      <c r="A34312" s="118"/>
      <c r="B34312" s="136"/>
    </row>
    <row r="34313" spans="1:2" x14ac:dyDescent="0.25">
      <c r="A34313" s="118"/>
      <c r="B34313" s="136"/>
    </row>
    <row r="34314" spans="1:2" x14ac:dyDescent="0.25">
      <c r="A34314" s="118"/>
      <c r="B34314" s="136"/>
    </row>
    <row r="34315" spans="1:2" x14ac:dyDescent="0.25">
      <c r="A34315" s="118"/>
      <c r="B34315" s="136"/>
    </row>
    <row r="34316" spans="1:2" x14ac:dyDescent="0.25">
      <c r="A34316" s="118"/>
      <c r="B34316" s="136"/>
    </row>
    <row r="34317" spans="1:2" x14ac:dyDescent="0.25">
      <c r="A34317" s="118"/>
      <c r="B34317" s="136"/>
    </row>
    <row r="34318" spans="1:2" x14ac:dyDescent="0.25">
      <c r="A34318" s="118"/>
      <c r="B34318" s="136"/>
    </row>
    <row r="34319" spans="1:2" x14ac:dyDescent="0.25">
      <c r="A34319" s="118"/>
      <c r="B34319" s="136"/>
    </row>
    <row r="34320" spans="1:2" x14ac:dyDescent="0.25">
      <c r="A34320" s="118"/>
      <c r="B34320" s="136"/>
    </row>
    <row r="34321" spans="1:2" x14ac:dyDescent="0.25">
      <c r="A34321" s="118"/>
      <c r="B34321" s="136"/>
    </row>
    <row r="34322" spans="1:2" x14ac:dyDescent="0.25">
      <c r="A34322" s="118"/>
      <c r="B34322" s="136"/>
    </row>
    <row r="34323" spans="1:2" x14ac:dyDescent="0.25">
      <c r="A34323" s="118"/>
      <c r="B34323" s="136"/>
    </row>
    <row r="34324" spans="1:2" x14ac:dyDescent="0.25">
      <c r="A34324" s="118"/>
      <c r="B34324" s="136"/>
    </row>
    <row r="34325" spans="1:2" x14ac:dyDescent="0.25">
      <c r="A34325" s="118"/>
      <c r="B34325" s="136"/>
    </row>
    <row r="34326" spans="1:2" x14ac:dyDescent="0.25">
      <c r="A34326" s="118"/>
      <c r="B34326" s="136"/>
    </row>
    <row r="34327" spans="1:2" x14ac:dyDescent="0.25">
      <c r="A34327" s="118"/>
      <c r="B34327" s="136"/>
    </row>
    <row r="34328" spans="1:2" x14ac:dyDescent="0.25">
      <c r="A34328" s="118"/>
      <c r="B34328" s="136"/>
    </row>
    <row r="34329" spans="1:2" x14ac:dyDescent="0.25">
      <c r="A34329" s="118"/>
      <c r="B34329" s="136"/>
    </row>
    <row r="34330" spans="1:2" x14ac:dyDescent="0.25">
      <c r="A34330" s="118"/>
      <c r="B34330" s="136"/>
    </row>
    <row r="34331" spans="1:2" x14ac:dyDescent="0.25">
      <c r="A34331" s="118"/>
      <c r="B34331" s="136"/>
    </row>
    <row r="34332" spans="1:2" x14ac:dyDescent="0.25">
      <c r="A34332" s="118"/>
      <c r="B34332" s="136"/>
    </row>
    <row r="34333" spans="1:2" x14ac:dyDescent="0.25">
      <c r="A34333" s="118"/>
      <c r="B34333" s="136"/>
    </row>
    <row r="34334" spans="1:2" x14ac:dyDescent="0.25">
      <c r="A34334" s="118"/>
      <c r="B34334" s="136"/>
    </row>
    <row r="34335" spans="1:2" x14ac:dyDescent="0.25">
      <c r="A34335" s="118"/>
      <c r="B34335" s="136"/>
    </row>
    <row r="34336" spans="1:2" x14ac:dyDescent="0.25">
      <c r="A34336" s="118"/>
      <c r="B34336" s="136"/>
    </row>
    <row r="34337" spans="1:2" x14ac:dyDescent="0.25">
      <c r="A34337" s="118"/>
      <c r="B34337" s="136"/>
    </row>
    <row r="34338" spans="1:2" x14ac:dyDescent="0.25">
      <c r="A34338" s="118"/>
      <c r="B34338" s="136"/>
    </row>
    <row r="34339" spans="1:2" x14ac:dyDescent="0.25">
      <c r="A34339" s="118"/>
      <c r="B34339" s="136"/>
    </row>
    <row r="34340" spans="1:2" x14ac:dyDescent="0.25">
      <c r="A34340" s="118"/>
      <c r="B34340" s="136"/>
    </row>
    <row r="34341" spans="1:2" x14ac:dyDescent="0.25">
      <c r="A34341" s="118"/>
      <c r="B34341" s="136"/>
    </row>
    <row r="34342" spans="1:2" x14ac:dyDescent="0.25">
      <c r="A34342" s="118"/>
      <c r="B34342" s="136"/>
    </row>
    <row r="34343" spans="1:2" x14ac:dyDescent="0.25">
      <c r="A34343" s="118"/>
      <c r="B34343" s="136"/>
    </row>
    <row r="34344" spans="1:2" x14ac:dyDescent="0.25">
      <c r="A34344" s="118"/>
      <c r="B34344" s="136"/>
    </row>
    <row r="34345" spans="1:2" x14ac:dyDescent="0.25">
      <c r="A34345" s="118"/>
      <c r="B34345" s="136"/>
    </row>
    <row r="34346" spans="1:2" x14ac:dyDescent="0.25">
      <c r="A34346" s="118"/>
      <c r="B34346" s="136"/>
    </row>
    <row r="34347" spans="1:2" x14ac:dyDescent="0.25">
      <c r="A34347" s="118"/>
      <c r="B34347" s="136"/>
    </row>
    <row r="34348" spans="1:2" x14ac:dyDescent="0.25">
      <c r="A34348" s="118"/>
      <c r="B34348" s="136"/>
    </row>
    <row r="34349" spans="1:2" x14ac:dyDescent="0.25">
      <c r="A34349" s="118"/>
      <c r="B34349" s="136"/>
    </row>
    <row r="34350" spans="1:2" x14ac:dyDescent="0.25">
      <c r="A34350" s="118"/>
      <c r="B34350" s="136"/>
    </row>
    <row r="34351" spans="1:2" x14ac:dyDescent="0.25">
      <c r="A34351" s="118"/>
      <c r="B34351" s="136"/>
    </row>
    <row r="34352" spans="1:2" x14ac:dyDescent="0.25">
      <c r="A34352" s="118"/>
      <c r="B34352" s="136"/>
    </row>
    <row r="34353" spans="1:2" x14ac:dyDescent="0.25">
      <c r="A34353" s="118"/>
      <c r="B34353" s="136"/>
    </row>
    <row r="34354" spans="1:2" x14ac:dyDescent="0.25">
      <c r="A34354" s="118"/>
      <c r="B34354" s="136"/>
    </row>
    <row r="34355" spans="1:2" x14ac:dyDescent="0.25">
      <c r="A34355" s="118"/>
      <c r="B34355" s="136"/>
    </row>
    <row r="34356" spans="1:2" x14ac:dyDescent="0.25">
      <c r="A34356" s="118"/>
      <c r="B34356" s="136"/>
    </row>
    <row r="34357" spans="1:2" x14ac:dyDescent="0.25">
      <c r="A34357" s="118"/>
      <c r="B34357" s="136"/>
    </row>
    <row r="34358" spans="1:2" x14ac:dyDescent="0.25">
      <c r="A34358" s="118"/>
      <c r="B34358" s="136"/>
    </row>
    <row r="34359" spans="1:2" x14ac:dyDescent="0.25">
      <c r="A34359" s="118"/>
      <c r="B34359" s="136"/>
    </row>
    <row r="34360" spans="1:2" x14ac:dyDescent="0.25">
      <c r="A34360" s="118"/>
      <c r="B34360" s="136"/>
    </row>
    <row r="34361" spans="1:2" x14ac:dyDescent="0.25">
      <c r="A34361" s="118"/>
      <c r="B34361" s="136"/>
    </row>
    <row r="34362" spans="1:2" x14ac:dyDescent="0.25">
      <c r="A34362" s="118"/>
      <c r="B34362" s="136"/>
    </row>
    <row r="34363" spans="1:2" x14ac:dyDescent="0.25">
      <c r="A34363" s="118"/>
      <c r="B34363" s="136"/>
    </row>
    <row r="34364" spans="1:2" x14ac:dyDescent="0.25">
      <c r="A34364" s="118"/>
      <c r="B34364" s="136"/>
    </row>
    <row r="34365" spans="1:2" x14ac:dyDescent="0.25">
      <c r="A34365" s="118"/>
      <c r="B34365" s="136"/>
    </row>
    <row r="34366" spans="1:2" x14ac:dyDescent="0.25">
      <c r="A34366" s="118"/>
      <c r="B34366" s="136"/>
    </row>
    <row r="34367" spans="1:2" x14ac:dyDescent="0.25">
      <c r="A34367" s="118"/>
      <c r="B34367" s="136"/>
    </row>
    <row r="34368" spans="1:2" x14ac:dyDescent="0.25">
      <c r="A34368" s="118"/>
      <c r="B34368" s="136"/>
    </row>
    <row r="34369" spans="1:2" x14ac:dyDescent="0.25">
      <c r="A34369" s="118"/>
      <c r="B34369" s="136"/>
    </row>
    <row r="34370" spans="1:2" x14ac:dyDescent="0.25">
      <c r="A34370" s="118"/>
      <c r="B34370" s="136"/>
    </row>
    <row r="34371" spans="1:2" x14ac:dyDescent="0.25">
      <c r="A34371" s="118"/>
      <c r="B34371" s="136"/>
    </row>
    <row r="34372" spans="1:2" x14ac:dyDescent="0.25">
      <c r="A34372" s="118"/>
      <c r="B34372" s="136"/>
    </row>
    <row r="34373" spans="1:2" x14ac:dyDescent="0.25">
      <c r="A34373" s="118"/>
      <c r="B34373" s="136"/>
    </row>
    <row r="34374" spans="1:2" x14ac:dyDescent="0.25">
      <c r="A34374" s="118"/>
      <c r="B34374" s="136"/>
    </row>
    <row r="34375" spans="1:2" x14ac:dyDescent="0.25">
      <c r="A34375" s="118"/>
      <c r="B34375" s="136"/>
    </row>
    <row r="34376" spans="1:2" x14ac:dyDescent="0.25">
      <c r="A34376" s="118"/>
      <c r="B34376" s="136"/>
    </row>
    <row r="34377" spans="1:2" x14ac:dyDescent="0.25">
      <c r="A34377" s="118"/>
      <c r="B34377" s="136"/>
    </row>
    <row r="34378" spans="1:2" x14ac:dyDescent="0.25">
      <c r="A34378" s="118"/>
      <c r="B34378" s="136"/>
    </row>
    <row r="34379" spans="1:2" x14ac:dyDescent="0.25">
      <c r="A34379" s="118"/>
      <c r="B34379" s="136"/>
    </row>
    <row r="34380" spans="1:2" x14ac:dyDescent="0.25">
      <c r="A34380" s="118"/>
      <c r="B34380" s="136"/>
    </row>
    <row r="34381" spans="1:2" x14ac:dyDescent="0.25">
      <c r="A34381" s="118"/>
      <c r="B34381" s="136"/>
    </row>
    <row r="34382" spans="1:2" x14ac:dyDescent="0.25">
      <c r="A34382" s="118"/>
      <c r="B34382" s="136"/>
    </row>
    <row r="34383" spans="1:2" x14ac:dyDescent="0.25">
      <c r="A34383" s="118"/>
      <c r="B34383" s="136"/>
    </row>
    <row r="34384" spans="1:2" x14ac:dyDescent="0.25">
      <c r="A34384" s="118"/>
      <c r="B34384" s="136"/>
    </row>
    <row r="34385" spans="1:2" x14ac:dyDescent="0.25">
      <c r="A34385" s="118"/>
      <c r="B34385" s="136"/>
    </row>
    <row r="34386" spans="1:2" x14ac:dyDescent="0.25">
      <c r="A34386" s="118"/>
      <c r="B34386" s="136"/>
    </row>
    <row r="34387" spans="1:2" x14ac:dyDescent="0.25">
      <c r="A34387" s="118"/>
      <c r="B34387" s="136"/>
    </row>
    <row r="34388" spans="1:2" x14ac:dyDescent="0.25">
      <c r="A34388" s="118"/>
      <c r="B34388" s="136"/>
    </row>
    <row r="34389" spans="1:2" x14ac:dyDescent="0.25">
      <c r="A34389" s="118"/>
      <c r="B34389" s="136"/>
    </row>
    <row r="34390" spans="1:2" x14ac:dyDescent="0.25">
      <c r="A34390" s="118"/>
      <c r="B34390" s="136"/>
    </row>
    <row r="34391" spans="1:2" x14ac:dyDescent="0.25">
      <c r="A34391" s="118"/>
      <c r="B34391" s="136"/>
    </row>
    <row r="34392" spans="1:2" x14ac:dyDescent="0.25">
      <c r="A34392" s="118"/>
      <c r="B34392" s="136"/>
    </row>
    <row r="34393" spans="1:2" x14ac:dyDescent="0.25">
      <c r="A34393" s="118"/>
      <c r="B34393" s="136"/>
    </row>
    <row r="34394" spans="1:2" x14ac:dyDescent="0.25">
      <c r="A34394" s="118"/>
      <c r="B34394" s="136"/>
    </row>
    <row r="34395" spans="1:2" x14ac:dyDescent="0.25">
      <c r="A34395" s="118"/>
      <c r="B34395" s="136"/>
    </row>
    <row r="34396" spans="1:2" x14ac:dyDescent="0.25">
      <c r="A34396" s="118"/>
      <c r="B34396" s="136"/>
    </row>
    <row r="34397" spans="1:2" x14ac:dyDescent="0.25">
      <c r="A34397" s="118"/>
      <c r="B34397" s="136"/>
    </row>
    <row r="34398" spans="1:2" x14ac:dyDescent="0.25">
      <c r="A34398" s="118"/>
      <c r="B34398" s="136"/>
    </row>
    <row r="34399" spans="1:2" x14ac:dyDescent="0.25">
      <c r="A34399" s="118"/>
      <c r="B34399" s="136"/>
    </row>
    <row r="34400" spans="1:2" x14ac:dyDescent="0.25">
      <c r="A34400" s="118"/>
      <c r="B34400" s="136"/>
    </row>
    <row r="34401" spans="1:2" x14ac:dyDescent="0.25">
      <c r="A34401" s="118"/>
      <c r="B34401" s="136"/>
    </row>
    <row r="34402" spans="1:2" x14ac:dyDescent="0.25">
      <c r="A34402" s="118"/>
      <c r="B34402" s="136"/>
    </row>
    <row r="34403" spans="1:2" x14ac:dyDescent="0.25">
      <c r="A34403" s="118"/>
      <c r="B34403" s="136"/>
    </row>
    <row r="34404" spans="1:2" x14ac:dyDescent="0.25">
      <c r="A34404" s="118"/>
      <c r="B34404" s="136"/>
    </row>
    <row r="34405" spans="1:2" x14ac:dyDescent="0.25">
      <c r="A34405" s="118"/>
      <c r="B34405" s="136"/>
    </row>
    <row r="34406" spans="1:2" x14ac:dyDescent="0.25">
      <c r="A34406" s="118"/>
      <c r="B34406" s="136"/>
    </row>
    <row r="34407" spans="1:2" x14ac:dyDescent="0.25">
      <c r="A34407" s="118"/>
      <c r="B34407" s="136"/>
    </row>
    <row r="34408" spans="1:2" x14ac:dyDescent="0.25">
      <c r="A34408" s="118"/>
      <c r="B34408" s="136"/>
    </row>
    <row r="34409" spans="1:2" x14ac:dyDescent="0.25">
      <c r="A34409" s="118"/>
      <c r="B34409" s="136"/>
    </row>
    <row r="34410" spans="1:2" x14ac:dyDescent="0.25">
      <c r="A34410" s="118"/>
      <c r="B34410" s="136"/>
    </row>
    <row r="34411" spans="1:2" x14ac:dyDescent="0.25">
      <c r="A34411" s="118"/>
      <c r="B34411" s="136"/>
    </row>
    <row r="34412" spans="1:2" x14ac:dyDescent="0.25">
      <c r="A34412" s="118"/>
      <c r="B34412" s="136"/>
    </row>
    <row r="34413" spans="1:2" x14ac:dyDescent="0.25">
      <c r="A34413" s="118"/>
      <c r="B34413" s="136"/>
    </row>
    <row r="34414" spans="1:2" x14ac:dyDescent="0.25">
      <c r="A34414" s="118"/>
      <c r="B34414" s="136"/>
    </row>
    <row r="34415" spans="1:2" x14ac:dyDescent="0.25">
      <c r="A34415" s="118"/>
      <c r="B34415" s="136"/>
    </row>
    <row r="34416" spans="1:2" x14ac:dyDescent="0.25">
      <c r="A34416" s="118"/>
      <c r="B34416" s="136"/>
    </row>
    <row r="34417" spans="1:2" x14ac:dyDescent="0.25">
      <c r="A34417" s="118"/>
      <c r="B34417" s="136"/>
    </row>
    <row r="34418" spans="1:2" x14ac:dyDescent="0.25">
      <c r="A34418" s="118"/>
      <c r="B34418" s="136"/>
    </row>
    <row r="34419" spans="1:2" x14ac:dyDescent="0.25">
      <c r="A34419" s="118"/>
      <c r="B34419" s="136"/>
    </row>
    <row r="34420" spans="1:2" x14ac:dyDescent="0.25">
      <c r="A34420" s="118"/>
      <c r="B34420" s="136"/>
    </row>
    <row r="34421" spans="1:2" x14ac:dyDescent="0.25">
      <c r="A34421" s="118"/>
      <c r="B34421" s="136"/>
    </row>
    <row r="34422" spans="1:2" x14ac:dyDescent="0.25">
      <c r="A34422" s="118"/>
      <c r="B34422" s="136"/>
    </row>
    <row r="34423" spans="1:2" x14ac:dyDescent="0.25">
      <c r="A34423" s="118"/>
      <c r="B34423" s="136"/>
    </row>
    <row r="34424" spans="1:2" x14ac:dyDescent="0.25">
      <c r="A34424" s="118"/>
      <c r="B34424" s="136"/>
    </row>
    <row r="34425" spans="1:2" x14ac:dyDescent="0.25">
      <c r="A34425" s="118"/>
      <c r="B34425" s="136"/>
    </row>
    <row r="34426" spans="1:2" x14ac:dyDescent="0.25">
      <c r="A34426" s="118"/>
      <c r="B34426" s="136"/>
    </row>
    <row r="34427" spans="1:2" x14ac:dyDescent="0.25">
      <c r="A34427" s="118"/>
      <c r="B34427" s="136"/>
    </row>
    <row r="34428" spans="1:2" x14ac:dyDescent="0.25">
      <c r="A34428" s="118"/>
      <c r="B34428" s="136"/>
    </row>
    <row r="34429" spans="1:2" x14ac:dyDescent="0.25">
      <c r="A34429" s="118"/>
      <c r="B34429" s="136"/>
    </row>
    <row r="34430" spans="1:2" x14ac:dyDescent="0.25">
      <c r="A34430" s="118"/>
      <c r="B34430" s="136"/>
    </row>
    <row r="34431" spans="1:2" x14ac:dyDescent="0.25">
      <c r="A34431" s="118"/>
      <c r="B34431" s="136"/>
    </row>
    <row r="34432" spans="1:2" x14ac:dyDescent="0.25">
      <c r="A34432" s="118"/>
      <c r="B34432" s="136"/>
    </row>
    <row r="34433" spans="1:2" x14ac:dyDescent="0.25">
      <c r="A34433" s="118"/>
      <c r="B34433" s="136"/>
    </row>
    <row r="34434" spans="1:2" x14ac:dyDescent="0.25">
      <c r="A34434" s="118"/>
      <c r="B34434" s="136"/>
    </row>
    <row r="34435" spans="1:2" x14ac:dyDescent="0.25">
      <c r="A34435" s="118"/>
      <c r="B34435" s="136"/>
    </row>
    <row r="34436" spans="1:2" x14ac:dyDescent="0.25">
      <c r="A34436" s="118"/>
      <c r="B34436" s="136"/>
    </row>
    <row r="34437" spans="1:2" x14ac:dyDescent="0.25">
      <c r="A34437" s="118"/>
      <c r="B34437" s="136"/>
    </row>
    <row r="34438" spans="1:2" x14ac:dyDescent="0.25">
      <c r="A34438" s="118"/>
      <c r="B34438" s="136"/>
    </row>
    <row r="34439" spans="1:2" x14ac:dyDescent="0.25">
      <c r="A34439" s="118"/>
      <c r="B34439" s="136"/>
    </row>
    <row r="34440" spans="1:2" x14ac:dyDescent="0.25">
      <c r="A34440" s="118"/>
      <c r="B34440" s="136"/>
    </row>
    <row r="34441" spans="1:2" x14ac:dyDescent="0.25">
      <c r="A34441" s="118"/>
      <c r="B34441" s="136"/>
    </row>
    <row r="34442" spans="1:2" x14ac:dyDescent="0.25">
      <c r="A34442" s="118"/>
      <c r="B34442" s="136"/>
    </row>
    <row r="34443" spans="1:2" x14ac:dyDescent="0.25">
      <c r="A34443" s="118"/>
      <c r="B34443" s="136"/>
    </row>
    <row r="34444" spans="1:2" x14ac:dyDescent="0.25">
      <c r="A34444" s="118"/>
      <c r="B34444" s="136"/>
    </row>
    <row r="34445" spans="1:2" x14ac:dyDescent="0.25">
      <c r="A34445" s="118"/>
      <c r="B34445" s="136"/>
    </row>
    <row r="34446" spans="1:2" x14ac:dyDescent="0.25">
      <c r="A34446" s="118"/>
      <c r="B34446" s="136"/>
    </row>
    <row r="34447" spans="1:2" x14ac:dyDescent="0.25">
      <c r="A34447" s="118"/>
      <c r="B34447" s="136"/>
    </row>
    <row r="34448" spans="1:2" x14ac:dyDescent="0.25">
      <c r="A34448" s="118"/>
      <c r="B34448" s="136"/>
    </row>
    <row r="34449" spans="1:2" x14ac:dyDescent="0.25">
      <c r="A34449" s="118"/>
      <c r="B34449" s="136"/>
    </row>
    <row r="34450" spans="1:2" x14ac:dyDescent="0.25">
      <c r="A34450" s="118"/>
      <c r="B34450" s="136"/>
    </row>
    <row r="34451" spans="1:2" x14ac:dyDescent="0.25">
      <c r="A34451" s="118"/>
      <c r="B34451" s="136"/>
    </row>
    <row r="34452" spans="1:2" x14ac:dyDescent="0.25">
      <c r="A34452" s="118"/>
      <c r="B34452" s="136"/>
    </row>
    <row r="34453" spans="1:2" x14ac:dyDescent="0.25">
      <c r="A34453" s="118"/>
      <c r="B34453" s="136"/>
    </row>
    <row r="34454" spans="1:2" x14ac:dyDescent="0.25">
      <c r="A34454" s="118"/>
      <c r="B34454" s="136"/>
    </row>
    <row r="34455" spans="1:2" x14ac:dyDescent="0.25">
      <c r="A34455" s="118"/>
      <c r="B34455" s="136"/>
    </row>
    <row r="34456" spans="1:2" x14ac:dyDescent="0.25">
      <c r="A34456" s="118"/>
      <c r="B34456" s="136"/>
    </row>
    <row r="34457" spans="1:2" x14ac:dyDescent="0.25">
      <c r="A34457" s="118"/>
      <c r="B34457" s="136"/>
    </row>
    <row r="34458" spans="1:2" x14ac:dyDescent="0.25">
      <c r="A34458" s="118"/>
      <c r="B34458" s="136"/>
    </row>
    <row r="34459" spans="1:2" x14ac:dyDescent="0.25">
      <c r="A34459" s="118"/>
      <c r="B34459" s="136"/>
    </row>
    <row r="34460" spans="1:2" x14ac:dyDescent="0.25">
      <c r="A34460" s="118"/>
      <c r="B34460" s="136"/>
    </row>
    <row r="34461" spans="1:2" x14ac:dyDescent="0.25">
      <c r="A34461" s="118"/>
      <c r="B34461" s="136"/>
    </row>
    <row r="34462" spans="1:2" x14ac:dyDescent="0.25">
      <c r="A34462" s="118"/>
      <c r="B34462" s="136"/>
    </row>
    <row r="34463" spans="1:2" x14ac:dyDescent="0.25">
      <c r="A34463" s="118"/>
      <c r="B34463" s="136"/>
    </row>
    <row r="34464" spans="1:2" x14ac:dyDescent="0.25">
      <c r="A34464" s="118"/>
      <c r="B34464" s="136"/>
    </row>
    <row r="34465" spans="1:2" x14ac:dyDescent="0.25">
      <c r="A34465" s="118"/>
      <c r="B34465" s="136"/>
    </row>
    <row r="34466" spans="1:2" x14ac:dyDescent="0.25">
      <c r="A34466" s="118"/>
      <c r="B34466" s="136"/>
    </row>
    <row r="34467" spans="1:2" x14ac:dyDescent="0.25">
      <c r="A34467" s="118"/>
      <c r="B34467" s="136"/>
    </row>
    <row r="34468" spans="1:2" x14ac:dyDescent="0.25">
      <c r="A34468" s="118"/>
      <c r="B34468" s="136"/>
    </row>
    <row r="34469" spans="1:2" x14ac:dyDescent="0.25">
      <c r="A34469" s="118"/>
      <c r="B34469" s="136"/>
    </row>
    <row r="34470" spans="1:2" x14ac:dyDescent="0.25">
      <c r="A34470" s="118"/>
      <c r="B34470" s="136"/>
    </row>
    <row r="34471" spans="1:2" x14ac:dyDescent="0.25">
      <c r="A34471" s="118"/>
      <c r="B34471" s="136"/>
    </row>
    <row r="34472" spans="1:2" x14ac:dyDescent="0.25">
      <c r="A34472" s="118"/>
      <c r="B34472" s="136"/>
    </row>
    <row r="34473" spans="1:2" x14ac:dyDescent="0.25">
      <c r="A34473" s="118"/>
      <c r="B34473" s="136"/>
    </row>
    <row r="34474" spans="1:2" x14ac:dyDescent="0.25">
      <c r="A34474" s="118"/>
      <c r="B34474" s="136"/>
    </row>
    <row r="34475" spans="1:2" x14ac:dyDescent="0.25">
      <c r="A34475" s="118"/>
      <c r="B34475" s="136"/>
    </row>
    <row r="34476" spans="1:2" x14ac:dyDescent="0.25">
      <c r="A34476" s="118"/>
      <c r="B34476" s="136"/>
    </row>
    <row r="34477" spans="1:2" x14ac:dyDescent="0.25">
      <c r="A34477" s="118"/>
      <c r="B34477" s="136"/>
    </row>
    <row r="34478" spans="1:2" x14ac:dyDescent="0.25">
      <c r="A34478" s="118"/>
      <c r="B34478" s="136"/>
    </row>
    <row r="34479" spans="1:2" x14ac:dyDescent="0.25">
      <c r="A34479" s="118"/>
      <c r="B34479" s="136"/>
    </row>
    <row r="34480" spans="1:2" x14ac:dyDescent="0.25">
      <c r="A34480" s="118"/>
      <c r="B34480" s="136"/>
    </row>
    <row r="34481" spans="1:2" x14ac:dyDescent="0.25">
      <c r="A34481" s="118"/>
      <c r="B34481" s="136"/>
    </row>
    <row r="34482" spans="1:2" x14ac:dyDescent="0.25">
      <c r="A34482" s="118"/>
      <c r="B34482" s="136"/>
    </row>
    <row r="34483" spans="1:2" x14ac:dyDescent="0.25">
      <c r="A34483" s="118"/>
      <c r="B34483" s="136"/>
    </row>
    <row r="34484" spans="1:2" x14ac:dyDescent="0.25">
      <c r="A34484" s="118"/>
      <c r="B34484" s="136"/>
    </row>
    <row r="34485" spans="1:2" x14ac:dyDescent="0.25">
      <c r="A34485" s="118"/>
      <c r="B34485" s="136"/>
    </row>
    <row r="34486" spans="1:2" x14ac:dyDescent="0.25">
      <c r="A34486" s="118"/>
      <c r="B34486" s="136"/>
    </row>
    <row r="34487" spans="1:2" x14ac:dyDescent="0.25">
      <c r="A34487" s="118"/>
      <c r="B34487" s="136"/>
    </row>
    <row r="34488" spans="1:2" x14ac:dyDescent="0.25">
      <c r="A34488" s="118"/>
      <c r="B34488" s="136"/>
    </row>
    <row r="34489" spans="1:2" x14ac:dyDescent="0.25">
      <c r="A34489" s="118"/>
      <c r="B34489" s="136"/>
    </row>
    <row r="34490" spans="1:2" x14ac:dyDescent="0.25">
      <c r="A34490" s="118"/>
      <c r="B34490" s="136"/>
    </row>
    <row r="34491" spans="1:2" x14ac:dyDescent="0.25">
      <c r="A34491" s="118"/>
      <c r="B34491" s="136"/>
    </row>
    <row r="34492" spans="1:2" x14ac:dyDescent="0.25">
      <c r="A34492" s="118"/>
      <c r="B34492" s="136"/>
    </row>
    <row r="34493" spans="1:2" x14ac:dyDescent="0.25">
      <c r="A34493" s="118"/>
      <c r="B34493" s="136"/>
    </row>
    <row r="34494" spans="1:2" x14ac:dyDescent="0.25">
      <c r="A34494" s="118"/>
      <c r="B34494" s="136"/>
    </row>
    <row r="34495" spans="1:2" x14ac:dyDescent="0.25">
      <c r="A34495" s="118"/>
      <c r="B34495" s="136"/>
    </row>
    <row r="34496" spans="1:2" x14ac:dyDescent="0.25">
      <c r="A34496" s="118"/>
      <c r="B34496" s="136"/>
    </row>
    <row r="34497" spans="1:2" x14ac:dyDescent="0.25">
      <c r="A34497" s="118"/>
      <c r="B34497" s="136"/>
    </row>
    <row r="34498" spans="1:2" x14ac:dyDescent="0.25">
      <c r="A34498" s="118"/>
      <c r="B34498" s="136"/>
    </row>
    <row r="34499" spans="1:2" x14ac:dyDescent="0.25">
      <c r="A34499" s="118"/>
      <c r="B34499" s="136"/>
    </row>
    <row r="34500" spans="1:2" x14ac:dyDescent="0.25">
      <c r="A34500" s="118"/>
      <c r="B34500" s="136"/>
    </row>
    <row r="34501" spans="1:2" x14ac:dyDescent="0.25">
      <c r="A34501" s="118"/>
      <c r="B34501" s="136"/>
    </row>
    <row r="34502" spans="1:2" x14ac:dyDescent="0.25">
      <c r="A34502" s="118"/>
      <c r="B34502" s="136"/>
    </row>
    <row r="34503" spans="1:2" x14ac:dyDescent="0.25">
      <c r="A34503" s="118"/>
      <c r="B34503" s="136"/>
    </row>
    <row r="34504" spans="1:2" x14ac:dyDescent="0.25">
      <c r="A34504" s="118"/>
      <c r="B34504" s="136"/>
    </row>
    <row r="34505" spans="1:2" x14ac:dyDescent="0.25">
      <c r="A34505" s="118"/>
      <c r="B34505" s="136"/>
    </row>
    <row r="34506" spans="1:2" x14ac:dyDescent="0.25">
      <c r="A34506" s="118"/>
      <c r="B34506" s="136"/>
    </row>
    <row r="34507" spans="1:2" x14ac:dyDescent="0.25">
      <c r="A34507" s="118"/>
      <c r="B34507" s="136"/>
    </row>
    <row r="34508" spans="1:2" x14ac:dyDescent="0.25">
      <c r="A34508" s="118"/>
      <c r="B34508" s="136"/>
    </row>
    <row r="34509" spans="1:2" x14ac:dyDescent="0.25">
      <c r="A34509" s="118"/>
      <c r="B34509" s="136"/>
    </row>
    <row r="34510" spans="1:2" x14ac:dyDescent="0.25">
      <c r="A34510" s="118"/>
      <c r="B34510" s="136"/>
    </row>
    <row r="34511" spans="1:2" x14ac:dyDescent="0.25">
      <c r="A34511" s="118"/>
      <c r="B34511" s="136"/>
    </row>
    <row r="34512" spans="1:2" x14ac:dyDescent="0.25">
      <c r="A34512" s="118"/>
      <c r="B34512" s="136"/>
    </row>
    <row r="34513" spans="1:2" x14ac:dyDescent="0.25">
      <c r="A34513" s="118"/>
      <c r="B34513" s="136"/>
    </row>
    <row r="34514" spans="1:2" x14ac:dyDescent="0.25">
      <c r="A34514" s="118"/>
      <c r="B34514" s="136"/>
    </row>
    <row r="34515" spans="1:2" x14ac:dyDescent="0.25">
      <c r="A34515" s="118"/>
      <c r="B34515" s="136"/>
    </row>
    <row r="34516" spans="1:2" x14ac:dyDescent="0.25">
      <c r="A34516" s="118"/>
      <c r="B34516" s="136"/>
    </row>
    <row r="34517" spans="1:2" x14ac:dyDescent="0.25">
      <c r="A34517" s="118"/>
      <c r="B34517" s="136"/>
    </row>
    <row r="34518" spans="1:2" x14ac:dyDescent="0.25">
      <c r="A34518" s="118"/>
      <c r="B34518" s="136"/>
    </row>
    <row r="34519" spans="1:2" x14ac:dyDescent="0.25">
      <c r="A34519" s="118"/>
      <c r="B34519" s="136"/>
    </row>
    <row r="34520" spans="1:2" x14ac:dyDescent="0.25">
      <c r="A34520" s="118"/>
      <c r="B34520" s="136"/>
    </row>
    <row r="34521" spans="1:2" x14ac:dyDescent="0.25">
      <c r="A34521" s="118"/>
      <c r="B34521" s="136"/>
    </row>
    <row r="34522" spans="1:2" x14ac:dyDescent="0.25">
      <c r="A34522" s="118"/>
      <c r="B34522" s="136"/>
    </row>
    <row r="34523" spans="1:2" x14ac:dyDescent="0.25">
      <c r="A34523" s="118"/>
      <c r="B34523" s="136"/>
    </row>
    <row r="34524" spans="1:2" x14ac:dyDescent="0.25">
      <c r="A34524" s="118"/>
      <c r="B34524" s="136"/>
    </row>
    <row r="34525" spans="1:2" x14ac:dyDescent="0.25">
      <c r="A34525" s="118"/>
      <c r="B34525" s="136"/>
    </row>
    <row r="34526" spans="1:2" x14ac:dyDescent="0.25">
      <c r="A34526" s="118"/>
      <c r="B34526" s="136"/>
    </row>
    <row r="34527" spans="1:2" x14ac:dyDescent="0.25">
      <c r="A34527" s="118"/>
      <c r="B34527" s="136"/>
    </row>
    <row r="34528" spans="1:2" x14ac:dyDescent="0.25">
      <c r="A34528" s="118"/>
      <c r="B34528" s="136"/>
    </row>
    <row r="34529" spans="1:2" x14ac:dyDescent="0.25">
      <c r="A34529" s="118"/>
      <c r="B34529" s="136"/>
    </row>
    <row r="34530" spans="1:2" x14ac:dyDescent="0.25">
      <c r="A34530" s="118"/>
      <c r="B34530" s="136"/>
    </row>
    <row r="34531" spans="1:2" x14ac:dyDescent="0.25">
      <c r="A34531" s="118"/>
      <c r="B34531" s="136"/>
    </row>
    <row r="34532" spans="1:2" x14ac:dyDescent="0.25">
      <c r="A34532" s="118"/>
      <c r="B34532" s="136"/>
    </row>
    <row r="34533" spans="1:2" x14ac:dyDescent="0.25">
      <c r="A34533" s="118"/>
      <c r="B34533" s="136"/>
    </row>
    <row r="34534" spans="1:2" x14ac:dyDescent="0.25">
      <c r="A34534" s="118"/>
      <c r="B34534" s="136"/>
    </row>
    <row r="34535" spans="1:2" x14ac:dyDescent="0.25">
      <c r="A34535" s="118"/>
      <c r="B34535" s="136"/>
    </row>
    <row r="34536" spans="1:2" x14ac:dyDescent="0.25">
      <c r="A34536" s="118"/>
      <c r="B34536" s="136"/>
    </row>
    <row r="34537" spans="1:2" x14ac:dyDescent="0.25">
      <c r="A34537" s="118"/>
      <c r="B34537" s="136"/>
    </row>
    <row r="34538" spans="1:2" x14ac:dyDescent="0.25">
      <c r="A34538" s="118"/>
      <c r="B34538" s="136"/>
    </row>
    <row r="34539" spans="1:2" x14ac:dyDescent="0.25">
      <c r="A34539" s="118"/>
      <c r="B34539" s="136"/>
    </row>
    <row r="34540" spans="1:2" x14ac:dyDescent="0.25">
      <c r="A34540" s="118"/>
      <c r="B34540" s="136"/>
    </row>
    <row r="34541" spans="1:2" x14ac:dyDescent="0.25">
      <c r="A34541" s="118"/>
      <c r="B34541" s="136"/>
    </row>
    <row r="34542" spans="1:2" x14ac:dyDescent="0.25">
      <c r="A34542" s="118"/>
      <c r="B34542" s="136"/>
    </row>
    <row r="34543" spans="1:2" x14ac:dyDescent="0.25">
      <c r="A34543" s="118"/>
      <c r="B34543" s="136"/>
    </row>
    <row r="34544" spans="1:2" x14ac:dyDescent="0.25">
      <c r="A34544" s="118"/>
      <c r="B34544" s="136"/>
    </row>
    <row r="34545" spans="1:2" x14ac:dyDescent="0.25">
      <c r="A34545" s="118"/>
      <c r="B34545" s="136"/>
    </row>
    <row r="34546" spans="1:2" x14ac:dyDescent="0.25">
      <c r="A34546" s="118"/>
      <c r="B34546" s="136"/>
    </row>
    <row r="34547" spans="1:2" x14ac:dyDescent="0.25">
      <c r="A34547" s="118"/>
      <c r="B34547" s="136"/>
    </row>
    <row r="34548" spans="1:2" x14ac:dyDescent="0.25">
      <c r="A34548" s="118"/>
      <c r="B34548" s="136"/>
    </row>
    <row r="34549" spans="1:2" x14ac:dyDescent="0.25">
      <c r="A34549" s="118"/>
      <c r="B34549" s="136"/>
    </row>
    <row r="34550" spans="1:2" x14ac:dyDescent="0.25">
      <c r="A34550" s="118"/>
      <c r="B34550" s="136"/>
    </row>
    <row r="34551" spans="1:2" x14ac:dyDescent="0.25">
      <c r="A34551" s="118"/>
      <c r="B34551" s="136"/>
    </row>
    <row r="34552" spans="1:2" x14ac:dyDescent="0.25">
      <c r="A34552" s="118"/>
      <c r="B34552" s="136"/>
    </row>
    <row r="34553" spans="1:2" x14ac:dyDescent="0.25">
      <c r="A34553" s="118"/>
      <c r="B34553" s="136"/>
    </row>
    <row r="34554" spans="1:2" x14ac:dyDescent="0.25">
      <c r="A34554" s="118"/>
      <c r="B34554" s="136"/>
    </row>
    <row r="34555" spans="1:2" x14ac:dyDescent="0.25">
      <c r="A34555" s="118"/>
      <c r="B34555" s="136"/>
    </row>
    <row r="34556" spans="1:2" x14ac:dyDescent="0.25">
      <c r="A34556" s="118"/>
      <c r="B34556" s="136"/>
    </row>
    <row r="34557" spans="1:2" x14ac:dyDescent="0.25">
      <c r="A34557" s="118"/>
      <c r="B34557" s="136"/>
    </row>
    <row r="34558" spans="1:2" x14ac:dyDescent="0.25">
      <c r="A34558" s="118"/>
      <c r="B34558" s="136"/>
    </row>
    <row r="34559" spans="1:2" x14ac:dyDescent="0.25">
      <c r="A34559" s="118"/>
      <c r="B34559" s="136"/>
    </row>
    <row r="34560" spans="1:2" x14ac:dyDescent="0.25">
      <c r="A34560" s="118"/>
      <c r="B34560" s="136"/>
    </row>
    <row r="34561" spans="1:2" x14ac:dyDescent="0.25">
      <c r="A34561" s="118"/>
      <c r="B34561" s="136"/>
    </row>
    <row r="34562" spans="1:2" x14ac:dyDescent="0.25">
      <c r="A34562" s="118"/>
      <c r="B34562" s="136"/>
    </row>
    <row r="34563" spans="1:2" x14ac:dyDescent="0.25">
      <c r="A34563" s="118"/>
      <c r="B34563" s="136"/>
    </row>
    <row r="34564" spans="1:2" x14ac:dyDescent="0.25">
      <c r="A34564" s="118"/>
      <c r="B34564" s="136"/>
    </row>
    <row r="34565" spans="1:2" x14ac:dyDescent="0.25">
      <c r="A34565" s="118"/>
      <c r="B34565" s="136"/>
    </row>
    <row r="34566" spans="1:2" x14ac:dyDescent="0.25">
      <c r="A34566" s="118"/>
      <c r="B34566" s="136"/>
    </row>
    <row r="34567" spans="1:2" x14ac:dyDescent="0.25">
      <c r="A34567" s="118"/>
      <c r="B34567" s="136"/>
    </row>
    <row r="34568" spans="1:2" x14ac:dyDescent="0.25">
      <c r="A34568" s="118"/>
      <c r="B34568" s="136"/>
    </row>
    <row r="34569" spans="1:2" x14ac:dyDescent="0.25">
      <c r="A34569" s="118"/>
      <c r="B34569" s="136"/>
    </row>
    <row r="34570" spans="1:2" x14ac:dyDescent="0.25">
      <c r="A34570" s="118"/>
      <c r="B34570" s="136"/>
    </row>
    <row r="34571" spans="1:2" x14ac:dyDescent="0.25">
      <c r="A34571" s="118"/>
      <c r="B34571" s="136"/>
    </row>
    <row r="34572" spans="1:2" x14ac:dyDescent="0.25">
      <c r="A34572" s="118"/>
      <c r="B34572" s="136"/>
    </row>
    <row r="34573" spans="1:2" x14ac:dyDescent="0.25">
      <c r="A34573" s="118"/>
      <c r="B34573" s="136"/>
    </row>
    <row r="34574" spans="1:2" x14ac:dyDescent="0.25">
      <c r="A34574" s="118"/>
      <c r="B34574" s="136"/>
    </row>
    <row r="34575" spans="1:2" x14ac:dyDescent="0.25">
      <c r="A34575" s="118"/>
      <c r="B34575" s="136"/>
    </row>
    <row r="34576" spans="1:2" x14ac:dyDescent="0.25">
      <c r="A34576" s="118"/>
      <c r="B34576" s="136"/>
    </row>
    <row r="34577" spans="1:2" x14ac:dyDescent="0.25">
      <c r="A34577" s="118"/>
      <c r="B34577" s="136"/>
    </row>
    <row r="34578" spans="1:2" x14ac:dyDescent="0.25">
      <c r="A34578" s="118"/>
      <c r="B34578" s="136"/>
    </row>
    <row r="34579" spans="1:2" x14ac:dyDescent="0.25">
      <c r="A34579" s="118"/>
      <c r="B34579" s="136"/>
    </row>
    <row r="34580" spans="1:2" x14ac:dyDescent="0.25">
      <c r="A34580" s="118"/>
      <c r="B34580" s="136"/>
    </row>
    <row r="34581" spans="1:2" x14ac:dyDescent="0.25">
      <c r="A34581" s="118"/>
      <c r="B34581" s="136"/>
    </row>
    <row r="34582" spans="1:2" x14ac:dyDescent="0.25">
      <c r="A34582" s="118"/>
      <c r="B34582" s="136"/>
    </row>
    <row r="34583" spans="1:2" x14ac:dyDescent="0.25">
      <c r="A34583" s="118"/>
      <c r="B34583" s="136"/>
    </row>
    <row r="34584" spans="1:2" x14ac:dyDescent="0.25">
      <c r="A34584" s="118"/>
      <c r="B34584" s="136"/>
    </row>
    <row r="34585" spans="1:2" x14ac:dyDescent="0.25">
      <c r="A34585" s="118"/>
      <c r="B34585" s="136"/>
    </row>
    <row r="34586" spans="1:2" x14ac:dyDescent="0.25">
      <c r="A34586" s="118"/>
      <c r="B34586" s="136"/>
    </row>
    <row r="34587" spans="1:2" x14ac:dyDescent="0.25">
      <c r="A34587" s="118"/>
      <c r="B34587" s="136"/>
    </row>
    <row r="34588" spans="1:2" x14ac:dyDescent="0.25">
      <c r="A34588" s="118"/>
      <c r="B34588" s="136"/>
    </row>
    <row r="34589" spans="1:2" x14ac:dyDescent="0.25">
      <c r="A34589" s="118"/>
      <c r="B34589" s="136"/>
    </row>
    <row r="34590" spans="1:2" x14ac:dyDescent="0.25">
      <c r="A34590" s="118"/>
      <c r="B34590" s="136"/>
    </row>
    <row r="34591" spans="1:2" x14ac:dyDescent="0.25">
      <c r="A34591" s="118"/>
      <c r="B34591" s="136"/>
    </row>
    <row r="34592" spans="1:2" x14ac:dyDescent="0.25">
      <c r="A34592" s="118"/>
      <c r="B34592" s="136"/>
    </row>
    <row r="34593" spans="1:2" x14ac:dyDescent="0.25">
      <c r="A34593" s="118"/>
      <c r="B34593" s="136"/>
    </row>
    <row r="34594" spans="1:2" x14ac:dyDescent="0.25">
      <c r="A34594" s="118"/>
      <c r="B34594" s="136"/>
    </row>
    <row r="34595" spans="1:2" x14ac:dyDescent="0.25">
      <c r="A34595" s="118"/>
      <c r="B34595" s="136"/>
    </row>
    <row r="34596" spans="1:2" x14ac:dyDescent="0.25">
      <c r="A34596" s="118"/>
      <c r="B34596" s="136"/>
    </row>
    <row r="34597" spans="1:2" x14ac:dyDescent="0.25">
      <c r="A34597" s="118"/>
      <c r="B34597" s="136"/>
    </row>
    <row r="34598" spans="1:2" x14ac:dyDescent="0.25">
      <c r="A34598" s="118"/>
      <c r="B34598" s="136"/>
    </row>
    <row r="34599" spans="1:2" x14ac:dyDescent="0.25">
      <c r="A34599" s="118"/>
      <c r="B34599" s="136"/>
    </row>
    <row r="34600" spans="1:2" x14ac:dyDescent="0.25">
      <c r="A34600" s="118"/>
      <c r="B34600" s="136"/>
    </row>
    <row r="34601" spans="1:2" x14ac:dyDescent="0.25">
      <c r="A34601" s="118"/>
      <c r="B34601" s="136"/>
    </row>
    <row r="34602" spans="1:2" x14ac:dyDescent="0.25">
      <c r="A34602" s="118"/>
      <c r="B34602" s="136"/>
    </row>
    <row r="34603" spans="1:2" x14ac:dyDescent="0.25">
      <c r="A34603" s="118"/>
      <c r="B34603" s="136"/>
    </row>
    <row r="34604" spans="1:2" x14ac:dyDescent="0.25">
      <c r="A34604" s="118"/>
      <c r="B34604" s="136"/>
    </row>
    <row r="34605" spans="1:2" x14ac:dyDescent="0.25">
      <c r="A34605" s="118"/>
      <c r="B34605" s="136"/>
    </row>
    <row r="34606" spans="1:2" x14ac:dyDescent="0.25">
      <c r="A34606" s="118"/>
      <c r="B34606" s="136"/>
    </row>
    <row r="34607" spans="1:2" x14ac:dyDescent="0.25">
      <c r="A34607" s="118"/>
      <c r="B34607" s="136"/>
    </row>
    <row r="34608" spans="1:2" x14ac:dyDescent="0.25">
      <c r="A34608" s="118"/>
      <c r="B34608" s="136"/>
    </row>
    <row r="34609" spans="1:2" x14ac:dyDescent="0.25">
      <c r="A34609" s="118"/>
      <c r="B34609" s="136"/>
    </row>
    <row r="34610" spans="1:2" x14ac:dyDescent="0.25">
      <c r="A34610" s="118"/>
      <c r="B34610" s="136"/>
    </row>
    <row r="34611" spans="1:2" x14ac:dyDescent="0.25">
      <c r="A34611" s="118"/>
      <c r="B34611" s="136"/>
    </row>
    <row r="34612" spans="1:2" x14ac:dyDescent="0.25">
      <c r="A34612" s="118"/>
      <c r="B34612" s="136"/>
    </row>
    <row r="34613" spans="1:2" x14ac:dyDescent="0.25">
      <c r="A34613" s="118"/>
      <c r="B34613" s="136"/>
    </row>
    <row r="34614" spans="1:2" x14ac:dyDescent="0.25">
      <c r="A34614" s="118"/>
      <c r="B34614" s="136"/>
    </row>
    <row r="34615" spans="1:2" x14ac:dyDescent="0.25">
      <c r="A34615" s="118"/>
      <c r="B34615" s="136"/>
    </row>
    <row r="34616" spans="1:2" x14ac:dyDescent="0.25">
      <c r="A34616" s="118"/>
      <c r="B34616" s="136"/>
    </row>
    <row r="34617" spans="1:2" x14ac:dyDescent="0.25">
      <c r="A34617" s="118"/>
      <c r="B34617" s="136"/>
    </row>
    <row r="34618" spans="1:2" x14ac:dyDescent="0.25">
      <c r="A34618" s="118"/>
      <c r="B34618" s="136"/>
    </row>
    <row r="34619" spans="1:2" x14ac:dyDescent="0.25">
      <c r="A34619" s="118"/>
      <c r="B34619" s="136"/>
    </row>
    <row r="34620" spans="1:2" x14ac:dyDescent="0.25">
      <c r="A34620" s="118"/>
      <c r="B34620" s="136"/>
    </row>
    <row r="34621" spans="1:2" x14ac:dyDescent="0.25">
      <c r="A34621" s="118"/>
      <c r="B34621" s="136"/>
    </row>
    <row r="34622" spans="1:2" x14ac:dyDescent="0.25">
      <c r="A34622" s="118"/>
      <c r="B34622" s="136"/>
    </row>
    <row r="34623" spans="1:2" x14ac:dyDescent="0.25">
      <c r="A34623" s="118"/>
      <c r="B34623" s="136"/>
    </row>
    <row r="34624" spans="1:2" x14ac:dyDescent="0.25">
      <c r="A34624" s="118"/>
      <c r="B34624" s="136"/>
    </row>
    <row r="34625" spans="1:2" x14ac:dyDescent="0.25">
      <c r="A34625" s="118"/>
      <c r="B34625" s="136"/>
    </row>
    <row r="34626" spans="1:2" x14ac:dyDescent="0.25">
      <c r="A34626" s="118"/>
      <c r="B34626" s="136"/>
    </row>
    <row r="34627" spans="1:2" x14ac:dyDescent="0.25">
      <c r="A34627" s="118"/>
      <c r="B34627" s="136"/>
    </row>
    <row r="34628" spans="1:2" x14ac:dyDescent="0.25">
      <c r="A34628" s="118"/>
      <c r="B34628" s="136"/>
    </row>
    <row r="34629" spans="1:2" x14ac:dyDescent="0.25">
      <c r="A34629" s="118"/>
      <c r="B34629" s="136"/>
    </row>
    <row r="34630" spans="1:2" x14ac:dyDescent="0.25">
      <c r="A34630" s="118"/>
      <c r="B34630" s="136"/>
    </row>
    <row r="34631" spans="1:2" x14ac:dyDescent="0.25">
      <c r="A34631" s="118"/>
      <c r="B34631" s="136"/>
    </row>
    <row r="34632" spans="1:2" x14ac:dyDescent="0.25">
      <c r="A34632" s="118"/>
      <c r="B34632" s="136"/>
    </row>
    <row r="34633" spans="1:2" x14ac:dyDescent="0.25">
      <c r="A34633" s="118"/>
      <c r="B34633" s="136"/>
    </row>
    <row r="34634" spans="1:2" x14ac:dyDescent="0.25">
      <c r="A34634" s="118"/>
      <c r="B34634" s="136"/>
    </row>
    <row r="34635" spans="1:2" x14ac:dyDescent="0.25">
      <c r="A34635" s="118"/>
      <c r="B34635" s="136"/>
    </row>
    <row r="34636" spans="1:2" x14ac:dyDescent="0.25">
      <c r="A34636" s="118"/>
      <c r="B34636" s="136"/>
    </row>
    <row r="34637" spans="1:2" x14ac:dyDescent="0.25">
      <c r="A34637" s="118"/>
      <c r="B34637" s="136"/>
    </row>
    <row r="34638" spans="1:2" x14ac:dyDescent="0.25">
      <c r="A34638" s="118"/>
      <c r="B34638" s="136"/>
    </row>
    <row r="34639" spans="1:2" x14ac:dyDescent="0.25">
      <c r="A34639" s="118"/>
      <c r="B34639" s="136"/>
    </row>
    <row r="34640" spans="1:2" x14ac:dyDescent="0.25">
      <c r="A34640" s="118"/>
      <c r="B34640" s="136"/>
    </row>
    <row r="34641" spans="1:2" x14ac:dyDescent="0.25">
      <c r="A34641" s="118"/>
      <c r="B34641" s="136"/>
    </row>
    <row r="34642" spans="1:2" x14ac:dyDescent="0.25">
      <c r="A34642" s="118"/>
      <c r="B34642" s="136"/>
    </row>
    <row r="34643" spans="1:2" x14ac:dyDescent="0.25">
      <c r="A34643" s="118"/>
      <c r="B34643" s="136"/>
    </row>
    <row r="34644" spans="1:2" x14ac:dyDescent="0.25">
      <c r="A34644" s="118"/>
      <c r="B34644" s="136"/>
    </row>
    <row r="34645" spans="1:2" x14ac:dyDescent="0.25">
      <c r="A34645" s="118"/>
      <c r="B34645" s="136"/>
    </row>
    <row r="34646" spans="1:2" x14ac:dyDescent="0.25">
      <c r="A34646" s="118"/>
      <c r="B34646" s="136"/>
    </row>
    <row r="34647" spans="1:2" x14ac:dyDescent="0.25">
      <c r="A34647" s="118"/>
      <c r="B34647" s="136"/>
    </row>
    <row r="34648" spans="1:2" x14ac:dyDescent="0.25">
      <c r="A34648" s="118"/>
      <c r="B34648" s="136"/>
    </row>
    <row r="34649" spans="1:2" x14ac:dyDescent="0.25">
      <c r="A34649" s="118"/>
      <c r="B34649" s="136"/>
    </row>
    <row r="34650" spans="1:2" x14ac:dyDescent="0.25">
      <c r="A34650" s="118"/>
      <c r="B34650" s="136"/>
    </row>
    <row r="34651" spans="1:2" x14ac:dyDescent="0.25">
      <c r="A34651" s="118"/>
      <c r="B34651" s="136"/>
    </row>
    <row r="34652" spans="1:2" x14ac:dyDescent="0.25">
      <c r="A34652" s="118"/>
      <c r="B34652" s="136"/>
    </row>
    <row r="34653" spans="1:2" x14ac:dyDescent="0.25">
      <c r="A34653" s="118"/>
      <c r="B34653" s="136"/>
    </row>
    <row r="34654" spans="1:2" x14ac:dyDescent="0.25">
      <c r="A34654" s="118"/>
      <c r="B34654" s="136"/>
    </row>
    <row r="34655" spans="1:2" x14ac:dyDescent="0.25">
      <c r="A34655" s="118"/>
      <c r="B34655" s="136"/>
    </row>
    <row r="34656" spans="1:2" x14ac:dyDescent="0.25">
      <c r="A34656" s="118"/>
      <c r="B34656" s="136"/>
    </row>
    <row r="34657" spans="1:2" x14ac:dyDescent="0.25">
      <c r="A34657" s="118"/>
      <c r="B34657" s="136"/>
    </row>
    <row r="34658" spans="1:2" x14ac:dyDescent="0.25">
      <c r="A34658" s="118"/>
      <c r="B34658" s="136"/>
    </row>
    <row r="34659" spans="1:2" x14ac:dyDescent="0.25">
      <c r="A34659" s="118"/>
      <c r="B34659" s="136"/>
    </row>
    <row r="34660" spans="1:2" x14ac:dyDescent="0.25">
      <c r="A34660" s="118"/>
      <c r="B34660" s="136"/>
    </row>
    <row r="34661" spans="1:2" x14ac:dyDescent="0.25">
      <c r="A34661" s="118"/>
      <c r="B34661" s="136"/>
    </row>
    <row r="34662" spans="1:2" x14ac:dyDescent="0.25">
      <c r="A34662" s="118"/>
      <c r="B34662" s="136"/>
    </row>
    <row r="34663" spans="1:2" x14ac:dyDescent="0.25">
      <c r="A34663" s="118"/>
      <c r="B34663" s="136"/>
    </row>
    <row r="34664" spans="1:2" x14ac:dyDescent="0.25">
      <c r="A34664" s="118"/>
      <c r="B34664" s="136"/>
    </row>
    <row r="34665" spans="1:2" x14ac:dyDescent="0.25">
      <c r="A34665" s="118"/>
      <c r="B34665" s="136"/>
    </row>
    <row r="34666" spans="1:2" x14ac:dyDescent="0.25">
      <c r="A34666" s="118"/>
      <c r="B34666" s="136"/>
    </row>
    <row r="34667" spans="1:2" x14ac:dyDescent="0.25">
      <c r="A34667" s="118"/>
      <c r="B34667" s="136"/>
    </row>
    <row r="34668" spans="1:2" x14ac:dyDescent="0.25">
      <c r="A34668" s="118"/>
      <c r="B34668" s="136"/>
    </row>
    <row r="34669" spans="1:2" x14ac:dyDescent="0.25">
      <c r="A34669" s="118"/>
      <c r="B34669" s="136"/>
    </row>
    <row r="34670" spans="1:2" x14ac:dyDescent="0.25">
      <c r="A34670" s="118"/>
      <c r="B34670" s="136"/>
    </row>
    <row r="34671" spans="1:2" x14ac:dyDescent="0.25">
      <c r="A34671" s="118"/>
      <c r="B34671" s="136"/>
    </row>
    <row r="34672" spans="1:2" x14ac:dyDescent="0.25">
      <c r="A34672" s="118"/>
      <c r="B34672" s="136"/>
    </row>
    <row r="34673" spans="1:2" x14ac:dyDescent="0.25">
      <c r="A34673" s="118"/>
      <c r="B34673" s="136"/>
    </row>
    <row r="34674" spans="1:2" x14ac:dyDescent="0.25">
      <c r="A34674" s="118"/>
      <c r="B34674" s="136"/>
    </row>
    <row r="34675" spans="1:2" x14ac:dyDescent="0.25">
      <c r="A34675" s="118"/>
      <c r="B34675" s="136"/>
    </row>
    <row r="34676" spans="1:2" x14ac:dyDescent="0.25">
      <c r="A34676" s="118"/>
      <c r="B34676" s="136"/>
    </row>
    <row r="34677" spans="1:2" x14ac:dyDescent="0.25">
      <c r="A34677" s="118"/>
      <c r="B34677" s="136"/>
    </row>
    <row r="34678" spans="1:2" x14ac:dyDescent="0.25">
      <c r="A34678" s="118"/>
      <c r="B34678" s="136"/>
    </row>
    <row r="34679" spans="1:2" x14ac:dyDescent="0.25">
      <c r="A34679" s="118"/>
      <c r="B34679" s="136"/>
    </row>
    <row r="34680" spans="1:2" x14ac:dyDescent="0.25">
      <c r="A34680" s="118"/>
      <c r="B34680" s="136"/>
    </row>
    <row r="34681" spans="1:2" x14ac:dyDescent="0.25">
      <c r="A34681" s="118"/>
      <c r="B34681" s="136"/>
    </row>
    <row r="34682" spans="1:2" x14ac:dyDescent="0.25">
      <c r="A34682" s="118"/>
      <c r="B34682" s="136"/>
    </row>
    <row r="34683" spans="1:2" x14ac:dyDescent="0.25">
      <c r="A34683" s="118"/>
      <c r="B34683" s="136"/>
    </row>
    <row r="34684" spans="1:2" x14ac:dyDescent="0.25">
      <c r="A34684" s="118"/>
      <c r="B34684" s="136"/>
    </row>
    <row r="34685" spans="1:2" x14ac:dyDescent="0.25">
      <c r="A34685" s="118"/>
      <c r="B34685" s="136"/>
    </row>
    <row r="34686" spans="1:2" x14ac:dyDescent="0.25">
      <c r="A34686" s="118"/>
      <c r="B34686" s="136"/>
    </row>
    <row r="34687" spans="1:2" x14ac:dyDescent="0.25">
      <c r="A34687" s="118"/>
      <c r="B34687" s="136"/>
    </row>
    <row r="34688" spans="1:2" x14ac:dyDescent="0.25">
      <c r="A34688" s="118"/>
      <c r="B34688" s="136"/>
    </row>
    <row r="34689" spans="1:2" x14ac:dyDescent="0.25">
      <c r="A34689" s="118"/>
      <c r="B34689" s="136"/>
    </row>
    <row r="34690" spans="1:2" x14ac:dyDescent="0.25">
      <c r="A34690" s="118"/>
      <c r="B34690" s="136"/>
    </row>
    <row r="34691" spans="1:2" x14ac:dyDescent="0.25">
      <c r="A34691" s="118"/>
      <c r="B34691" s="136"/>
    </row>
    <row r="34692" spans="1:2" x14ac:dyDescent="0.25">
      <c r="A34692" s="118"/>
      <c r="B34692" s="136"/>
    </row>
    <row r="34693" spans="1:2" x14ac:dyDescent="0.25">
      <c r="A34693" s="118"/>
      <c r="B34693" s="136"/>
    </row>
    <row r="34694" spans="1:2" x14ac:dyDescent="0.25">
      <c r="A34694" s="118"/>
      <c r="B34694" s="136"/>
    </row>
    <row r="34695" spans="1:2" x14ac:dyDescent="0.25">
      <c r="A34695" s="118"/>
      <c r="B34695" s="136"/>
    </row>
    <row r="34696" spans="1:2" x14ac:dyDescent="0.25">
      <c r="A34696" s="118"/>
      <c r="B34696" s="136"/>
    </row>
    <row r="34697" spans="1:2" x14ac:dyDescent="0.25">
      <c r="A34697" s="118"/>
      <c r="B34697" s="136"/>
    </row>
    <row r="34698" spans="1:2" x14ac:dyDescent="0.25">
      <c r="A34698" s="118"/>
      <c r="B34698" s="136"/>
    </row>
    <row r="34699" spans="1:2" x14ac:dyDescent="0.25">
      <c r="A34699" s="118"/>
      <c r="B34699" s="136"/>
    </row>
    <row r="34700" spans="1:2" x14ac:dyDescent="0.25">
      <c r="A34700" s="118"/>
      <c r="B34700" s="136"/>
    </row>
    <row r="34701" spans="1:2" x14ac:dyDescent="0.25">
      <c r="A34701" s="118"/>
      <c r="B34701" s="136"/>
    </row>
    <row r="34702" spans="1:2" x14ac:dyDescent="0.25">
      <c r="A34702" s="118"/>
      <c r="B34702" s="136"/>
    </row>
    <row r="34703" spans="1:2" x14ac:dyDescent="0.25">
      <c r="A34703" s="118"/>
      <c r="B34703" s="136"/>
    </row>
    <row r="34704" spans="1:2" x14ac:dyDescent="0.25">
      <c r="A34704" s="118"/>
      <c r="B34704" s="136"/>
    </row>
    <row r="34705" spans="1:2" x14ac:dyDescent="0.25">
      <c r="A34705" s="118"/>
      <c r="B34705" s="136"/>
    </row>
    <row r="34706" spans="1:2" x14ac:dyDescent="0.25">
      <c r="A34706" s="118"/>
      <c r="B34706" s="136"/>
    </row>
    <row r="34707" spans="1:2" x14ac:dyDescent="0.25">
      <c r="A34707" s="118"/>
      <c r="B34707" s="136"/>
    </row>
    <row r="34708" spans="1:2" x14ac:dyDescent="0.25">
      <c r="A34708" s="118"/>
      <c r="B34708" s="136"/>
    </row>
    <row r="34709" spans="1:2" x14ac:dyDescent="0.25">
      <c r="A34709" s="118"/>
      <c r="B34709" s="136"/>
    </row>
    <row r="34710" spans="1:2" x14ac:dyDescent="0.25">
      <c r="A34710" s="118"/>
      <c r="B34710" s="136"/>
    </row>
    <row r="34711" spans="1:2" x14ac:dyDescent="0.25">
      <c r="A34711" s="118"/>
      <c r="B34711" s="136"/>
    </row>
    <row r="34712" spans="1:2" x14ac:dyDescent="0.25">
      <c r="A34712" s="118"/>
      <c r="B34712" s="136"/>
    </row>
    <row r="34713" spans="1:2" x14ac:dyDescent="0.25">
      <c r="A34713" s="118"/>
      <c r="B34713" s="136"/>
    </row>
    <row r="34714" spans="1:2" x14ac:dyDescent="0.25">
      <c r="A34714" s="118"/>
      <c r="B34714" s="136"/>
    </row>
    <row r="34715" spans="1:2" x14ac:dyDescent="0.25">
      <c r="A34715" s="118"/>
      <c r="B34715" s="136"/>
    </row>
    <row r="34716" spans="1:2" x14ac:dyDescent="0.25">
      <c r="A34716" s="118"/>
      <c r="B34716" s="136"/>
    </row>
    <row r="34717" spans="1:2" x14ac:dyDescent="0.25">
      <c r="A34717" s="118"/>
      <c r="B34717" s="136"/>
    </row>
    <row r="34718" spans="1:2" x14ac:dyDescent="0.25">
      <c r="A34718" s="118"/>
      <c r="B34718" s="136"/>
    </row>
    <row r="34719" spans="1:2" x14ac:dyDescent="0.25">
      <c r="A34719" s="118"/>
      <c r="B34719" s="136"/>
    </row>
    <row r="34720" spans="1:2" x14ac:dyDescent="0.25">
      <c r="A34720" s="118"/>
      <c r="B34720" s="136"/>
    </row>
    <row r="34721" spans="1:2" x14ac:dyDescent="0.25">
      <c r="A34721" s="118"/>
      <c r="B34721" s="136"/>
    </row>
    <row r="34722" spans="1:2" x14ac:dyDescent="0.25">
      <c r="A34722" s="118"/>
      <c r="B34722" s="136"/>
    </row>
    <row r="34723" spans="1:2" x14ac:dyDescent="0.25">
      <c r="A34723" s="118"/>
      <c r="B34723" s="136"/>
    </row>
    <row r="34724" spans="1:2" x14ac:dyDescent="0.25">
      <c r="A34724" s="118"/>
      <c r="B34724" s="136"/>
    </row>
    <row r="34725" spans="1:2" x14ac:dyDescent="0.25">
      <c r="A34725" s="118"/>
      <c r="B34725" s="136"/>
    </row>
    <row r="34726" spans="1:2" x14ac:dyDescent="0.25">
      <c r="A34726" s="118"/>
      <c r="B34726" s="136"/>
    </row>
    <row r="34727" spans="1:2" x14ac:dyDescent="0.25">
      <c r="A34727" s="118"/>
      <c r="B34727" s="136"/>
    </row>
    <row r="34728" spans="1:2" x14ac:dyDescent="0.25">
      <c r="A34728" s="118"/>
      <c r="B34728" s="136"/>
    </row>
    <row r="34729" spans="1:2" x14ac:dyDescent="0.25">
      <c r="A34729" s="118"/>
      <c r="B34729" s="136"/>
    </row>
    <row r="34730" spans="1:2" x14ac:dyDescent="0.25">
      <c r="A34730" s="118"/>
      <c r="B34730" s="136"/>
    </row>
    <row r="34731" spans="1:2" x14ac:dyDescent="0.25">
      <c r="A34731" s="118"/>
      <c r="B34731" s="136"/>
    </row>
    <row r="34732" spans="1:2" x14ac:dyDescent="0.25">
      <c r="A34732" s="118"/>
      <c r="B34732" s="136"/>
    </row>
    <row r="34733" spans="1:2" x14ac:dyDescent="0.25">
      <c r="A34733" s="118"/>
      <c r="B34733" s="136"/>
    </row>
    <row r="34734" spans="1:2" x14ac:dyDescent="0.25">
      <c r="A34734" s="118"/>
      <c r="B34734" s="136"/>
    </row>
    <row r="34735" spans="1:2" x14ac:dyDescent="0.25">
      <c r="A34735" s="118"/>
      <c r="B34735" s="136"/>
    </row>
    <row r="34736" spans="1:2" x14ac:dyDescent="0.25">
      <c r="A34736" s="118"/>
      <c r="B34736" s="136"/>
    </row>
    <row r="34737" spans="1:2" x14ac:dyDescent="0.25">
      <c r="A34737" s="118"/>
      <c r="B34737" s="136"/>
    </row>
    <row r="34738" spans="1:2" x14ac:dyDescent="0.25">
      <c r="A34738" s="118"/>
      <c r="B34738" s="136"/>
    </row>
    <row r="34739" spans="1:2" x14ac:dyDescent="0.25">
      <c r="A34739" s="118"/>
      <c r="B34739" s="136"/>
    </row>
    <row r="34740" spans="1:2" x14ac:dyDescent="0.25">
      <c r="A34740" s="118"/>
      <c r="B34740" s="136"/>
    </row>
    <row r="34741" spans="1:2" x14ac:dyDescent="0.25">
      <c r="A34741" s="118"/>
      <c r="B34741" s="136"/>
    </row>
    <row r="34742" spans="1:2" x14ac:dyDescent="0.25">
      <c r="A34742" s="118"/>
      <c r="B34742" s="136"/>
    </row>
    <row r="34743" spans="1:2" x14ac:dyDescent="0.25">
      <c r="A34743" s="118"/>
      <c r="B34743" s="136"/>
    </row>
    <row r="34744" spans="1:2" x14ac:dyDescent="0.25">
      <c r="A34744" s="118"/>
      <c r="B34744" s="136"/>
    </row>
    <row r="34745" spans="1:2" x14ac:dyDescent="0.25">
      <c r="A34745" s="118"/>
      <c r="B34745" s="136"/>
    </row>
    <row r="34746" spans="1:2" x14ac:dyDescent="0.25">
      <c r="A34746" s="118"/>
      <c r="B34746" s="136"/>
    </row>
    <row r="34747" spans="1:2" x14ac:dyDescent="0.25">
      <c r="A34747" s="118"/>
      <c r="B34747" s="136"/>
    </row>
    <row r="34748" spans="1:2" x14ac:dyDescent="0.25">
      <c r="A34748" s="118"/>
      <c r="B34748" s="136"/>
    </row>
    <row r="34749" spans="1:2" x14ac:dyDescent="0.25">
      <c r="A34749" s="118"/>
      <c r="B34749" s="136"/>
    </row>
    <row r="34750" spans="1:2" x14ac:dyDescent="0.25">
      <c r="A34750" s="118"/>
      <c r="B34750" s="136"/>
    </row>
    <row r="34751" spans="1:2" x14ac:dyDescent="0.25">
      <c r="A34751" s="118"/>
      <c r="B34751" s="136"/>
    </row>
    <row r="34752" spans="1:2" x14ac:dyDescent="0.25">
      <c r="A34752" s="118"/>
      <c r="B34752" s="136"/>
    </row>
    <row r="34753" spans="1:2" x14ac:dyDescent="0.25">
      <c r="A34753" s="118"/>
      <c r="B34753" s="136"/>
    </row>
    <row r="34754" spans="1:2" x14ac:dyDescent="0.25">
      <c r="A34754" s="118"/>
      <c r="B34754" s="136"/>
    </row>
    <row r="34755" spans="1:2" x14ac:dyDescent="0.25">
      <c r="A34755" s="118"/>
      <c r="B34755" s="136"/>
    </row>
    <row r="34756" spans="1:2" x14ac:dyDescent="0.25">
      <c r="A34756" s="118"/>
      <c r="B34756" s="136"/>
    </row>
    <row r="34757" spans="1:2" x14ac:dyDescent="0.25">
      <c r="A34757" s="118"/>
      <c r="B34757" s="136"/>
    </row>
    <row r="34758" spans="1:2" x14ac:dyDescent="0.25">
      <c r="A34758" s="118"/>
      <c r="B34758" s="136"/>
    </row>
    <row r="34759" spans="1:2" x14ac:dyDescent="0.25">
      <c r="A34759" s="118"/>
      <c r="B34759" s="136"/>
    </row>
    <row r="34760" spans="1:2" x14ac:dyDescent="0.25">
      <c r="A34760" s="118"/>
      <c r="B34760" s="136"/>
    </row>
    <row r="34761" spans="1:2" x14ac:dyDescent="0.25">
      <c r="A34761" s="118"/>
      <c r="B34761" s="136"/>
    </row>
    <row r="34762" spans="1:2" x14ac:dyDescent="0.25">
      <c r="A34762" s="118"/>
      <c r="B34762" s="136"/>
    </row>
    <row r="34763" spans="1:2" x14ac:dyDescent="0.25">
      <c r="A34763" s="118"/>
      <c r="B34763" s="136"/>
    </row>
    <row r="34764" spans="1:2" x14ac:dyDescent="0.25">
      <c r="A34764" s="118"/>
      <c r="B34764" s="136"/>
    </row>
    <row r="34765" spans="1:2" x14ac:dyDescent="0.25">
      <c r="A34765" s="118"/>
      <c r="B34765" s="136"/>
    </row>
    <row r="34766" spans="1:2" x14ac:dyDescent="0.25">
      <c r="A34766" s="118"/>
      <c r="B34766" s="136"/>
    </row>
    <row r="34767" spans="1:2" x14ac:dyDescent="0.25">
      <c r="A34767" s="118"/>
      <c r="B34767" s="136"/>
    </row>
    <row r="34768" spans="1:2" x14ac:dyDescent="0.25">
      <c r="A34768" s="118"/>
      <c r="B34768" s="136"/>
    </row>
    <row r="34769" spans="1:2" x14ac:dyDescent="0.25">
      <c r="A34769" s="118"/>
      <c r="B34769" s="136"/>
    </row>
    <row r="34770" spans="1:2" x14ac:dyDescent="0.25">
      <c r="A34770" s="118"/>
      <c r="B34770" s="136"/>
    </row>
    <row r="34771" spans="1:2" x14ac:dyDescent="0.25">
      <c r="A34771" s="118"/>
      <c r="B34771" s="136"/>
    </row>
    <row r="34772" spans="1:2" x14ac:dyDescent="0.25">
      <c r="A34772" s="118"/>
      <c r="B34772" s="136"/>
    </row>
    <row r="34773" spans="1:2" x14ac:dyDescent="0.25">
      <c r="A34773" s="118"/>
      <c r="B34773" s="136"/>
    </row>
    <row r="34774" spans="1:2" x14ac:dyDescent="0.25">
      <c r="A34774" s="118"/>
      <c r="B34774" s="136"/>
    </row>
    <row r="34775" spans="1:2" x14ac:dyDescent="0.25">
      <c r="A34775" s="118"/>
      <c r="B34775" s="136"/>
    </row>
    <row r="34776" spans="1:2" x14ac:dyDescent="0.25">
      <c r="A34776" s="118"/>
      <c r="B34776" s="136"/>
    </row>
    <row r="34777" spans="1:2" x14ac:dyDescent="0.25">
      <c r="A34777" s="118"/>
      <c r="B34777" s="136"/>
    </row>
    <row r="34778" spans="1:2" x14ac:dyDescent="0.25">
      <c r="A34778" s="118"/>
      <c r="B34778" s="136"/>
    </row>
    <row r="34779" spans="1:2" x14ac:dyDescent="0.25">
      <c r="A34779" s="118"/>
      <c r="B34779" s="136"/>
    </row>
    <row r="34780" spans="1:2" x14ac:dyDescent="0.25">
      <c r="A34780" s="118"/>
      <c r="B34780" s="136"/>
    </row>
    <row r="34781" spans="1:2" x14ac:dyDescent="0.25">
      <c r="A34781" s="118"/>
      <c r="B34781" s="136"/>
    </row>
    <row r="34782" spans="1:2" x14ac:dyDescent="0.25">
      <c r="A34782" s="118"/>
      <c r="B34782" s="136"/>
    </row>
    <row r="34783" spans="1:2" x14ac:dyDescent="0.25">
      <c r="A34783" s="118"/>
      <c r="B34783" s="136"/>
    </row>
    <row r="34784" spans="1:2" x14ac:dyDescent="0.25">
      <c r="A34784" s="118"/>
      <c r="B34784" s="136"/>
    </row>
    <row r="34785" spans="1:2" x14ac:dyDescent="0.25">
      <c r="A34785" s="118"/>
      <c r="B34785" s="136"/>
    </row>
    <row r="34786" spans="1:2" x14ac:dyDescent="0.25">
      <c r="A34786" s="118"/>
      <c r="B34786" s="136"/>
    </row>
    <row r="34787" spans="1:2" x14ac:dyDescent="0.25">
      <c r="A34787" s="118"/>
      <c r="B34787" s="136"/>
    </row>
    <row r="34788" spans="1:2" x14ac:dyDescent="0.25">
      <c r="A34788" s="118"/>
      <c r="B34788" s="136"/>
    </row>
    <row r="34789" spans="1:2" x14ac:dyDescent="0.25">
      <c r="A34789" s="118"/>
      <c r="B34789" s="136"/>
    </row>
    <row r="34790" spans="1:2" x14ac:dyDescent="0.25">
      <c r="A34790" s="118"/>
      <c r="B34790" s="136"/>
    </row>
    <row r="34791" spans="1:2" x14ac:dyDescent="0.25">
      <c r="A34791" s="118"/>
      <c r="B34791" s="136"/>
    </row>
    <row r="34792" spans="1:2" x14ac:dyDescent="0.25">
      <c r="A34792" s="118"/>
      <c r="B34792" s="136"/>
    </row>
    <row r="34793" spans="1:2" x14ac:dyDescent="0.25">
      <c r="A34793" s="118"/>
      <c r="B34793" s="136"/>
    </row>
    <row r="34794" spans="1:2" x14ac:dyDescent="0.25">
      <c r="A34794" s="118"/>
      <c r="B34794" s="136"/>
    </row>
    <row r="34795" spans="1:2" x14ac:dyDescent="0.25">
      <c r="A34795" s="118"/>
      <c r="B34795" s="136"/>
    </row>
    <row r="34796" spans="1:2" x14ac:dyDescent="0.25">
      <c r="A34796" s="118"/>
      <c r="B34796" s="136"/>
    </row>
    <row r="34797" spans="1:2" x14ac:dyDescent="0.25">
      <c r="A34797" s="118"/>
      <c r="B34797" s="136"/>
    </row>
    <row r="34798" spans="1:2" x14ac:dyDescent="0.25">
      <c r="A34798" s="118"/>
      <c r="B34798" s="136"/>
    </row>
    <row r="34799" spans="1:2" x14ac:dyDescent="0.25">
      <c r="A34799" s="118"/>
      <c r="B34799" s="136"/>
    </row>
    <row r="34800" spans="1:2" x14ac:dyDescent="0.25">
      <c r="A34800" s="118"/>
      <c r="B34800" s="136"/>
    </row>
    <row r="34801" spans="1:2" x14ac:dyDescent="0.25">
      <c r="A34801" s="118"/>
      <c r="B34801" s="136"/>
    </row>
    <row r="34802" spans="1:2" x14ac:dyDescent="0.25">
      <c r="A34802" s="118"/>
      <c r="B34802" s="136"/>
    </row>
    <row r="34803" spans="1:2" x14ac:dyDescent="0.25">
      <c r="A34803" s="118"/>
      <c r="B34803" s="136"/>
    </row>
    <row r="34804" spans="1:2" x14ac:dyDescent="0.25">
      <c r="A34804" s="118"/>
      <c r="B34804" s="136"/>
    </row>
    <row r="34805" spans="1:2" x14ac:dyDescent="0.25">
      <c r="A34805" s="118"/>
      <c r="B34805" s="136"/>
    </row>
    <row r="34806" spans="1:2" x14ac:dyDescent="0.25">
      <c r="A34806" s="118"/>
      <c r="B34806" s="136"/>
    </row>
    <row r="34807" spans="1:2" x14ac:dyDescent="0.25">
      <c r="A34807" s="118"/>
      <c r="B34807" s="136"/>
    </row>
    <row r="34808" spans="1:2" x14ac:dyDescent="0.25">
      <c r="A34808" s="118"/>
      <c r="B34808" s="136"/>
    </row>
    <row r="34809" spans="1:2" x14ac:dyDescent="0.25">
      <c r="A34809" s="118"/>
      <c r="B34809" s="136"/>
    </row>
    <row r="34810" spans="1:2" x14ac:dyDescent="0.25">
      <c r="A34810" s="118"/>
      <c r="B34810" s="136"/>
    </row>
    <row r="34811" spans="1:2" x14ac:dyDescent="0.25">
      <c r="A34811" s="118"/>
      <c r="B34811" s="136"/>
    </row>
    <row r="34812" spans="1:2" x14ac:dyDescent="0.25">
      <c r="A34812" s="118"/>
      <c r="B34812" s="136"/>
    </row>
    <row r="34813" spans="1:2" x14ac:dyDescent="0.25">
      <c r="A34813" s="118"/>
      <c r="B34813" s="136"/>
    </row>
    <row r="34814" spans="1:2" x14ac:dyDescent="0.25">
      <c r="A34814" s="118"/>
      <c r="B34814" s="136"/>
    </row>
    <row r="34815" spans="1:2" x14ac:dyDescent="0.25">
      <c r="A34815" s="118"/>
      <c r="B34815" s="136"/>
    </row>
    <row r="34816" spans="1:2" x14ac:dyDescent="0.25">
      <c r="A34816" s="118"/>
      <c r="B34816" s="136"/>
    </row>
    <row r="34817" spans="1:2" x14ac:dyDescent="0.25">
      <c r="A34817" s="118"/>
      <c r="B34817" s="136"/>
    </row>
    <row r="34818" spans="1:2" x14ac:dyDescent="0.25">
      <c r="A34818" s="118"/>
      <c r="B34818" s="136"/>
    </row>
    <row r="34819" spans="1:2" x14ac:dyDescent="0.25">
      <c r="A34819" s="118"/>
      <c r="B34819" s="136"/>
    </row>
    <row r="34820" spans="1:2" x14ac:dyDescent="0.25">
      <c r="A34820" s="118"/>
      <c r="B34820" s="136"/>
    </row>
    <row r="34821" spans="1:2" x14ac:dyDescent="0.25">
      <c r="A34821" s="118"/>
      <c r="B34821" s="136"/>
    </row>
    <row r="34822" spans="1:2" x14ac:dyDescent="0.25">
      <c r="A34822" s="118"/>
      <c r="B34822" s="136"/>
    </row>
    <row r="34823" spans="1:2" x14ac:dyDescent="0.25">
      <c r="A34823" s="118"/>
      <c r="B34823" s="136"/>
    </row>
    <row r="34824" spans="1:2" x14ac:dyDescent="0.25">
      <c r="A34824" s="118"/>
      <c r="B34824" s="136"/>
    </row>
    <row r="34825" spans="1:2" x14ac:dyDescent="0.25">
      <c r="A34825" s="118"/>
      <c r="B34825" s="136"/>
    </row>
    <row r="34826" spans="1:2" x14ac:dyDescent="0.25">
      <c r="A34826" s="118"/>
      <c r="B34826" s="136"/>
    </row>
    <row r="34827" spans="1:2" x14ac:dyDescent="0.25">
      <c r="A34827" s="118"/>
      <c r="B34827" s="136"/>
    </row>
    <row r="34828" spans="1:2" x14ac:dyDescent="0.25">
      <c r="A34828" s="118"/>
      <c r="B34828" s="136"/>
    </row>
    <row r="34829" spans="1:2" x14ac:dyDescent="0.25">
      <c r="A34829" s="118"/>
      <c r="B34829" s="136"/>
    </row>
    <row r="34830" spans="1:2" x14ac:dyDescent="0.25">
      <c r="A34830" s="118"/>
      <c r="B34830" s="136"/>
    </row>
    <row r="34831" spans="1:2" x14ac:dyDescent="0.25">
      <c r="A34831" s="118"/>
      <c r="B34831" s="136"/>
    </row>
    <row r="34832" spans="1:2" x14ac:dyDescent="0.25">
      <c r="A34832" s="118"/>
      <c r="B34832" s="136"/>
    </row>
    <row r="34833" spans="1:2" x14ac:dyDescent="0.25">
      <c r="A34833" s="118"/>
      <c r="B34833" s="136"/>
    </row>
    <row r="34834" spans="1:2" x14ac:dyDescent="0.25">
      <c r="A34834" s="118"/>
      <c r="B34834" s="136"/>
    </row>
    <row r="34835" spans="1:2" x14ac:dyDescent="0.25">
      <c r="A34835" s="118"/>
      <c r="B34835" s="136"/>
    </row>
    <row r="34836" spans="1:2" x14ac:dyDescent="0.25">
      <c r="A34836" s="118"/>
      <c r="B34836" s="136"/>
    </row>
    <row r="34837" spans="1:2" x14ac:dyDescent="0.25">
      <c r="A34837" s="118"/>
      <c r="B34837" s="136"/>
    </row>
    <row r="34838" spans="1:2" x14ac:dyDescent="0.25">
      <c r="A34838" s="118"/>
      <c r="B34838" s="136"/>
    </row>
    <row r="34839" spans="1:2" x14ac:dyDescent="0.25">
      <c r="A34839" s="118"/>
      <c r="B34839" s="136"/>
    </row>
    <row r="34840" spans="1:2" x14ac:dyDescent="0.25">
      <c r="A34840" s="118"/>
      <c r="B34840" s="136"/>
    </row>
    <row r="34841" spans="1:2" x14ac:dyDescent="0.25">
      <c r="A34841" s="118"/>
      <c r="B34841" s="136"/>
    </row>
    <row r="34842" spans="1:2" x14ac:dyDescent="0.25">
      <c r="A34842" s="118"/>
      <c r="B34842" s="136"/>
    </row>
    <row r="34843" spans="1:2" x14ac:dyDescent="0.25">
      <c r="A34843" s="118"/>
      <c r="B34843" s="136"/>
    </row>
    <row r="34844" spans="1:2" x14ac:dyDescent="0.25">
      <c r="A34844" s="118"/>
      <c r="B34844" s="136"/>
    </row>
    <row r="34845" spans="1:2" x14ac:dyDescent="0.25">
      <c r="A34845" s="118"/>
      <c r="B34845" s="136"/>
    </row>
    <row r="34846" spans="1:2" x14ac:dyDescent="0.25">
      <c r="A34846" s="118"/>
      <c r="B34846" s="136"/>
    </row>
    <row r="34847" spans="1:2" x14ac:dyDescent="0.25">
      <c r="A34847" s="118"/>
      <c r="B34847" s="136"/>
    </row>
    <row r="34848" spans="1:2" x14ac:dyDescent="0.25">
      <c r="A34848" s="118"/>
      <c r="B34848" s="136"/>
    </row>
    <row r="34849" spans="1:2" x14ac:dyDescent="0.25">
      <c r="A34849" s="118"/>
      <c r="B34849" s="136"/>
    </row>
    <row r="34850" spans="1:2" x14ac:dyDescent="0.25">
      <c r="A34850" s="118"/>
      <c r="B34850" s="136"/>
    </row>
    <row r="34851" spans="1:2" x14ac:dyDescent="0.25">
      <c r="A34851" s="118"/>
      <c r="B34851" s="136"/>
    </row>
    <row r="34852" spans="1:2" x14ac:dyDescent="0.25">
      <c r="A34852" s="118"/>
      <c r="B34852" s="136"/>
    </row>
    <row r="34853" spans="1:2" x14ac:dyDescent="0.25">
      <c r="A34853" s="118"/>
      <c r="B34853" s="136"/>
    </row>
    <row r="34854" spans="1:2" x14ac:dyDescent="0.25">
      <c r="A34854" s="118"/>
      <c r="B34854" s="136"/>
    </row>
    <row r="34855" spans="1:2" x14ac:dyDescent="0.25">
      <c r="A34855" s="118"/>
      <c r="B34855" s="136"/>
    </row>
    <row r="34856" spans="1:2" x14ac:dyDescent="0.25">
      <c r="A34856" s="118"/>
      <c r="B34856" s="136"/>
    </row>
    <row r="34857" spans="1:2" x14ac:dyDescent="0.25">
      <c r="A34857" s="118"/>
      <c r="B34857" s="136"/>
    </row>
    <row r="34858" spans="1:2" x14ac:dyDescent="0.25">
      <c r="A34858" s="118"/>
      <c r="B34858" s="136"/>
    </row>
    <row r="34859" spans="1:2" x14ac:dyDescent="0.25">
      <c r="A34859" s="118"/>
      <c r="B34859" s="136"/>
    </row>
    <row r="34860" spans="1:2" x14ac:dyDescent="0.25">
      <c r="A34860" s="118"/>
      <c r="B34860" s="136"/>
    </row>
    <row r="34861" spans="1:2" x14ac:dyDescent="0.25">
      <c r="A34861" s="118"/>
      <c r="B34861" s="136"/>
    </row>
    <row r="34862" spans="1:2" x14ac:dyDescent="0.25">
      <c r="A34862" s="118"/>
      <c r="B34862" s="136"/>
    </row>
    <row r="34863" spans="1:2" x14ac:dyDescent="0.25">
      <c r="A34863" s="118"/>
      <c r="B34863" s="136"/>
    </row>
    <row r="34864" spans="1:2" x14ac:dyDescent="0.25">
      <c r="A34864" s="118"/>
      <c r="B34864" s="136"/>
    </row>
    <row r="34865" spans="1:2" x14ac:dyDescent="0.25">
      <c r="A34865" s="118"/>
      <c r="B34865" s="136"/>
    </row>
    <row r="34866" spans="1:2" x14ac:dyDescent="0.25">
      <c r="A34866" s="118"/>
      <c r="B34866" s="136"/>
    </row>
    <row r="34867" spans="1:2" x14ac:dyDescent="0.25">
      <c r="A34867" s="118"/>
      <c r="B34867" s="136"/>
    </row>
    <row r="34868" spans="1:2" x14ac:dyDescent="0.25">
      <c r="A34868" s="118"/>
      <c r="B34868" s="136"/>
    </row>
    <row r="34869" spans="1:2" x14ac:dyDescent="0.25">
      <c r="A34869" s="118"/>
      <c r="B34869" s="136"/>
    </row>
    <row r="34870" spans="1:2" x14ac:dyDescent="0.25">
      <c r="A34870" s="118"/>
      <c r="B34870" s="136"/>
    </row>
    <row r="34871" spans="1:2" x14ac:dyDescent="0.25">
      <c r="A34871" s="118"/>
      <c r="B34871" s="136"/>
    </row>
    <row r="34872" spans="1:2" x14ac:dyDescent="0.25">
      <c r="A34872" s="118"/>
      <c r="B34872" s="136"/>
    </row>
    <row r="34873" spans="1:2" x14ac:dyDescent="0.25">
      <c r="A34873" s="118"/>
      <c r="B34873" s="136"/>
    </row>
    <row r="34874" spans="1:2" x14ac:dyDescent="0.25">
      <c r="A34874" s="118"/>
      <c r="B34874" s="136"/>
    </row>
    <row r="34875" spans="1:2" x14ac:dyDescent="0.25">
      <c r="A34875" s="118"/>
      <c r="B34875" s="136"/>
    </row>
    <row r="34876" spans="1:2" x14ac:dyDescent="0.25">
      <c r="A34876" s="118"/>
      <c r="B34876" s="136"/>
    </row>
    <row r="34877" spans="1:2" x14ac:dyDescent="0.25">
      <c r="A34877" s="118"/>
      <c r="B34877" s="136"/>
    </row>
    <row r="34878" spans="1:2" x14ac:dyDescent="0.25">
      <c r="A34878" s="118"/>
      <c r="B34878" s="136"/>
    </row>
    <row r="34879" spans="1:2" x14ac:dyDescent="0.25">
      <c r="A34879" s="118"/>
      <c r="B34879" s="136"/>
    </row>
    <row r="34880" spans="1:2" x14ac:dyDescent="0.25">
      <c r="A34880" s="118"/>
      <c r="B34880" s="136"/>
    </row>
    <row r="34881" spans="1:2" x14ac:dyDescent="0.25">
      <c r="A34881" s="118"/>
      <c r="B34881" s="136"/>
    </row>
    <row r="34882" spans="1:2" x14ac:dyDescent="0.25">
      <c r="A34882" s="118"/>
      <c r="B34882" s="136"/>
    </row>
    <row r="34883" spans="1:2" x14ac:dyDescent="0.25">
      <c r="A34883" s="118"/>
      <c r="B34883" s="136"/>
    </row>
    <row r="34884" spans="1:2" x14ac:dyDescent="0.25">
      <c r="A34884" s="118"/>
      <c r="B34884" s="136"/>
    </row>
    <row r="34885" spans="1:2" x14ac:dyDescent="0.25">
      <c r="A34885" s="118"/>
      <c r="B34885" s="136"/>
    </row>
    <row r="34886" spans="1:2" x14ac:dyDescent="0.25">
      <c r="A34886" s="118"/>
      <c r="B34886" s="136"/>
    </row>
    <row r="34887" spans="1:2" x14ac:dyDescent="0.25">
      <c r="A34887" s="118"/>
      <c r="B34887" s="136"/>
    </row>
    <row r="34888" spans="1:2" x14ac:dyDescent="0.25">
      <c r="A34888" s="118"/>
      <c r="B34888" s="136"/>
    </row>
    <row r="34889" spans="1:2" x14ac:dyDescent="0.25">
      <c r="A34889" s="118"/>
      <c r="B34889" s="136"/>
    </row>
    <row r="34890" spans="1:2" x14ac:dyDescent="0.25">
      <c r="A34890" s="118"/>
      <c r="B34890" s="136"/>
    </row>
    <row r="34891" spans="1:2" x14ac:dyDescent="0.25">
      <c r="A34891" s="118"/>
      <c r="B34891" s="136"/>
    </row>
    <row r="34892" spans="1:2" x14ac:dyDescent="0.25">
      <c r="A34892" s="118"/>
      <c r="B34892" s="136"/>
    </row>
    <row r="34893" spans="1:2" x14ac:dyDescent="0.25">
      <c r="A34893" s="118"/>
      <c r="B34893" s="136"/>
    </row>
    <row r="34894" spans="1:2" x14ac:dyDescent="0.25">
      <c r="A34894" s="118"/>
      <c r="B34894" s="136"/>
    </row>
    <row r="34895" spans="1:2" x14ac:dyDescent="0.25">
      <c r="A34895" s="118"/>
      <c r="B34895" s="136"/>
    </row>
    <row r="34896" spans="1:2" x14ac:dyDescent="0.25">
      <c r="A34896" s="118"/>
      <c r="B34896" s="136"/>
    </row>
    <row r="34897" spans="1:2" x14ac:dyDescent="0.25">
      <c r="A34897" s="118"/>
      <c r="B34897" s="136"/>
    </row>
    <row r="34898" spans="1:2" x14ac:dyDescent="0.25">
      <c r="A34898" s="118"/>
      <c r="B34898" s="136"/>
    </row>
    <row r="34899" spans="1:2" x14ac:dyDescent="0.25">
      <c r="A34899" s="118"/>
      <c r="B34899" s="136"/>
    </row>
    <row r="34900" spans="1:2" x14ac:dyDescent="0.25">
      <c r="A34900" s="118"/>
      <c r="B34900" s="136"/>
    </row>
    <row r="34901" spans="1:2" x14ac:dyDescent="0.25">
      <c r="A34901" s="118"/>
      <c r="B34901" s="136"/>
    </row>
    <row r="34902" spans="1:2" x14ac:dyDescent="0.25">
      <c r="A34902" s="118"/>
      <c r="B34902" s="136"/>
    </row>
    <row r="34903" spans="1:2" x14ac:dyDescent="0.25">
      <c r="A34903" s="118"/>
      <c r="B34903" s="136"/>
    </row>
    <row r="34904" spans="1:2" x14ac:dyDescent="0.25">
      <c r="A34904" s="118"/>
      <c r="B34904" s="136"/>
    </row>
    <row r="34905" spans="1:2" x14ac:dyDescent="0.25">
      <c r="A34905" s="118"/>
      <c r="B34905" s="136"/>
    </row>
    <row r="34906" spans="1:2" x14ac:dyDescent="0.25">
      <c r="A34906" s="118"/>
      <c r="B34906" s="136"/>
    </row>
    <row r="34907" spans="1:2" x14ac:dyDescent="0.25">
      <c r="A34907" s="118"/>
      <c r="B34907" s="136"/>
    </row>
    <row r="34908" spans="1:2" x14ac:dyDescent="0.25">
      <c r="A34908" s="118"/>
      <c r="B34908" s="136"/>
    </row>
    <row r="34909" spans="1:2" x14ac:dyDescent="0.25">
      <c r="A34909" s="118"/>
      <c r="B34909" s="136"/>
    </row>
    <row r="34910" spans="1:2" x14ac:dyDescent="0.25">
      <c r="A34910" s="118"/>
      <c r="B34910" s="136"/>
    </row>
    <row r="34911" spans="1:2" x14ac:dyDescent="0.25">
      <c r="A34911" s="118"/>
      <c r="B34911" s="136"/>
    </row>
    <row r="34912" spans="1:2" x14ac:dyDescent="0.25">
      <c r="A34912" s="118"/>
      <c r="B34912" s="136"/>
    </row>
    <row r="34913" spans="1:2" x14ac:dyDescent="0.25">
      <c r="A34913" s="118"/>
      <c r="B34913" s="136"/>
    </row>
    <row r="34914" spans="1:2" x14ac:dyDescent="0.25">
      <c r="A34914" s="118"/>
      <c r="B34914" s="136"/>
    </row>
    <row r="34915" spans="1:2" x14ac:dyDescent="0.25">
      <c r="A34915" s="118"/>
      <c r="B34915" s="136"/>
    </row>
    <row r="34916" spans="1:2" x14ac:dyDescent="0.25">
      <c r="A34916" s="118"/>
      <c r="B34916" s="136"/>
    </row>
    <row r="34917" spans="1:2" x14ac:dyDescent="0.25">
      <c r="A34917" s="118"/>
      <c r="B34917" s="136"/>
    </row>
    <row r="34918" spans="1:2" x14ac:dyDescent="0.25">
      <c r="A34918" s="118"/>
      <c r="B34918" s="136"/>
    </row>
    <row r="34919" spans="1:2" x14ac:dyDescent="0.25">
      <c r="A34919" s="118"/>
      <c r="B34919" s="136"/>
    </row>
    <row r="34920" spans="1:2" x14ac:dyDescent="0.25">
      <c r="A34920" s="118"/>
      <c r="B34920" s="136"/>
    </row>
    <row r="34921" spans="1:2" x14ac:dyDescent="0.25">
      <c r="A34921" s="118"/>
      <c r="B34921" s="136"/>
    </row>
    <row r="34922" spans="1:2" x14ac:dyDescent="0.25">
      <c r="A34922" s="118"/>
      <c r="B34922" s="136"/>
    </row>
    <row r="34923" spans="1:2" x14ac:dyDescent="0.25">
      <c r="A34923" s="118"/>
      <c r="B34923" s="136"/>
    </row>
    <row r="34924" spans="1:2" x14ac:dyDescent="0.25">
      <c r="A34924" s="118"/>
      <c r="B34924" s="136"/>
    </row>
    <row r="34925" spans="1:2" x14ac:dyDescent="0.25">
      <c r="A34925" s="118"/>
      <c r="B34925" s="136"/>
    </row>
    <row r="34926" spans="1:2" x14ac:dyDescent="0.25">
      <c r="A34926" s="118"/>
      <c r="B34926" s="136"/>
    </row>
    <row r="34927" spans="1:2" x14ac:dyDescent="0.25">
      <c r="A34927" s="118"/>
      <c r="B34927" s="136"/>
    </row>
    <row r="34928" spans="1:2" x14ac:dyDescent="0.25">
      <c r="A34928" s="118"/>
      <c r="B34928" s="136"/>
    </row>
    <row r="34929" spans="1:2" x14ac:dyDescent="0.25">
      <c r="A34929" s="118"/>
      <c r="B34929" s="136"/>
    </row>
    <row r="34930" spans="1:2" x14ac:dyDescent="0.25">
      <c r="A34930" s="118"/>
      <c r="B34930" s="136"/>
    </row>
    <row r="34931" spans="1:2" x14ac:dyDescent="0.25">
      <c r="A34931" s="118"/>
      <c r="B34931" s="136"/>
    </row>
    <row r="34932" spans="1:2" x14ac:dyDescent="0.25">
      <c r="A34932" s="118"/>
      <c r="B34932" s="136"/>
    </row>
    <row r="34933" spans="1:2" x14ac:dyDescent="0.25">
      <c r="A34933" s="118"/>
      <c r="B34933" s="136"/>
    </row>
    <row r="34934" spans="1:2" x14ac:dyDescent="0.25">
      <c r="A34934" s="118"/>
      <c r="B34934" s="136"/>
    </row>
    <row r="34935" spans="1:2" x14ac:dyDescent="0.25">
      <c r="A34935" s="118"/>
      <c r="B34935" s="136"/>
    </row>
    <row r="34936" spans="1:2" x14ac:dyDescent="0.25">
      <c r="A34936" s="118"/>
      <c r="B34936" s="136"/>
    </row>
    <row r="34937" spans="1:2" x14ac:dyDescent="0.25">
      <c r="A34937" s="118"/>
      <c r="B34937" s="136"/>
    </row>
    <row r="34938" spans="1:2" x14ac:dyDescent="0.25">
      <c r="A34938" s="118"/>
      <c r="B34938" s="136"/>
    </row>
    <row r="34939" spans="1:2" x14ac:dyDescent="0.25">
      <c r="A34939" s="118"/>
      <c r="B34939" s="136"/>
    </row>
    <row r="34940" spans="1:2" x14ac:dyDescent="0.25">
      <c r="A34940" s="118"/>
      <c r="B34940" s="136"/>
    </row>
    <row r="34941" spans="1:2" x14ac:dyDescent="0.25">
      <c r="A34941" s="118"/>
      <c r="B34941" s="136"/>
    </row>
    <row r="34942" spans="1:2" x14ac:dyDescent="0.25">
      <c r="A34942" s="118"/>
      <c r="B34942" s="136"/>
    </row>
    <row r="34943" spans="1:2" x14ac:dyDescent="0.25">
      <c r="A34943" s="118"/>
      <c r="B34943" s="136"/>
    </row>
    <row r="34944" spans="1:2" x14ac:dyDescent="0.25">
      <c r="A34944" s="118"/>
      <c r="B34944" s="136"/>
    </row>
    <row r="34945" spans="1:2" x14ac:dyDescent="0.25">
      <c r="A34945" s="118"/>
      <c r="B34945" s="136"/>
    </row>
    <row r="34946" spans="1:2" x14ac:dyDescent="0.25">
      <c r="A34946" s="118"/>
      <c r="B34946" s="136"/>
    </row>
    <row r="34947" spans="1:2" x14ac:dyDescent="0.25">
      <c r="A34947" s="118"/>
      <c r="B34947" s="136"/>
    </row>
    <row r="34948" spans="1:2" x14ac:dyDescent="0.25">
      <c r="A34948" s="118"/>
      <c r="B34948" s="136"/>
    </row>
    <row r="34949" spans="1:2" x14ac:dyDescent="0.25">
      <c r="A34949" s="118"/>
      <c r="B34949" s="136"/>
    </row>
    <row r="34950" spans="1:2" x14ac:dyDescent="0.25">
      <c r="A34950" s="118"/>
      <c r="B34950" s="136"/>
    </row>
    <row r="34951" spans="1:2" x14ac:dyDescent="0.25">
      <c r="A34951" s="118"/>
      <c r="B34951" s="136"/>
    </row>
    <row r="34952" spans="1:2" x14ac:dyDescent="0.25">
      <c r="A34952" s="118"/>
      <c r="B34952" s="136"/>
    </row>
    <row r="34953" spans="1:2" x14ac:dyDescent="0.25">
      <c r="A34953" s="118"/>
      <c r="B34953" s="136"/>
    </row>
    <row r="34954" spans="1:2" x14ac:dyDescent="0.25">
      <c r="A34954" s="118"/>
      <c r="B34954" s="136"/>
    </row>
    <row r="34955" spans="1:2" x14ac:dyDescent="0.25">
      <c r="A34955" s="118"/>
      <c r="B34955" s="136"/>
    </row>
    <row r="34956" spans="1:2" x14ac:dyDescent="0.25">
      <c r="A34956" s="118"/>
      <c r="B34956" s="136"/>
    </row>
    <row r="34957" spans="1:2" x14ac:dyDescent="0.25">
      <c r="A34957" s="118"/>
      <c r="B34957" s="136"/>
    </row>
    <row r="34958" spans="1:2" x14ac:dyDescent="0.25">
      <c r="A34958" s="118"/>
      <c r="B34958" s="136"/>
    </row>
    <row r="34959" spans="1:2" x14ac:dyDescent="0.25">
      <c r="A34959" s="118"/>
      <c r="B34959" s="136"/>
    </row>
    <row r="34960" spans="1:2" x14ac:dyDescent="0.25">
      <c r="A34960" s="118"/>
      <c r="B34960" s="136"/>
    </row>
    <row r="34961" spans="1:2" x14ac:dyDescent="0.25">
      <c r="A34961" s="118"/>
      <c r="B34961" s="136"/>
    </row>
    <row r="34962" spans="1:2" x14ac:dyDescent="0.25">
      <c r="A34962" s="118"/>
      <c r="B34962" s="136"/>
    </row>
    <row r="34963" spans="1:2" x14ac:dyDescent="0.25">
      <c r="A34963" s="118"/>
      <c r="B34963" s="136"/>
    </row>
    <row r="34964" spans="1:2" x14ac:dyDescent="0.25">
      <c r="A34964" s="118"/>
      <c r="B34964" s="136"/>
    </row>
    <row r="34965" spans="1:2" x14ac:dyDescent="0.25">
      <c r="A34965" s="118"/>
      <c r="B34965" s="136"/>
    </row>
    <row r="34966" spans="1:2" x14ac:dyDescent="0.25">
      <c r="A34966" s="118"/>
      <c r="B34966" s="136"/>
    </row>
    <row r="34967" spans="1:2" x14ac:dyDescent="0.25">
      <c r="A34967" s="118"/>
      <c r="B34967" s="136"/>
    </row>
    <row r="34968" spans="1:2" x14ac:dyDescent="0.25">
      <c r="A34968" s="118"/>
      <c r="B34968" s="136"/>
    </row>
    <row r="34969" spans="1:2" x14ac:dyDescent="0.25">
      <c r="A34969" s="118"/>
      <c r="B34969" s="136"/>
    </row>
    <row r="34970" spans="1:2" x14ac:dyDescent="0.25">
      <c r="A34970" s="118"/>
      <c r="B34970" s="136"/>
    </row>
    <row r="34971" spans="1:2" x14ac:dyDescent="0.25">
      <c r="A34971" s="118"/>
      <c r="B34971" s="136"/>
    </row>
    <row r="34972" spans="1:2" x14ac:dyDescent="0.25">
      <c r="A34972" s="118"/>
      <c r="B34972" s="136"/>
    </row>
    <row r="34973" spans="1:2" x14ac:dyDescent="0.25">
      <c r="A34973" s="118"/>
      <c r="B34973" s="136"/>
    </row>
    <row r="34974" spans="1:2" x14ac:dyDescent="0.25">
      <c r="A34974" s="118"/>
      <c r="B34974" s="136"/>
    </row>
    <row r="34975" spans="1:2" x14ac:dyDescent="0.25">
      <c r="A34975" s="118"/>
      <c r="B34975" s="136"/>
    </row>
    <row r="34976" spans="1:2" x14ac:dyDescent="0.25">
      <c r="A34976" s="118"/>
      <c r="B34976" s="136"/>
    </row>
    <row r="34977" spans="1:2" x14ac:dyDescent="0.25">
      <c r="A34977" s="118"/>
      <c r="B34977" s="136"/>
    </row>
    <row r="34978" spans="1:2" x14ac:dyDescent="0.25">
      <c r="A34978" s="118"/>
      <c r="B34978" s="136"/>
    </row>
    <row r="34979" spans="1:2" x14ac:dyDescent="0.25">
      <c r="A34979" s="118"/>
      <c r="B34979" s="136"/>
    </row>
    <row r="34980" spans="1:2" x14ac:dyDescent="0.25">
      <c r="A34980" s="118"/>
      <c r="B34980" s="136"/>
    </row>
    <row r="34981" spans="1:2" x14ac:dyDescent="0.25">
      <c r="A34981" s="118"/>
      <c r="B34981" s="136"/>
    </row>
    <row r="34982" spans="1:2" x14ac:dyDescent="0.25">
      <c r="A34982" s="118"/>
      <c r="B34982" s="136"/>
    </row>
    <row r="34983" spans="1:2" x14ac:dyDescent="0.25">
      <c r="A34983" s="118"/>
      <c r="B34983" s="136"/>
    </row>
    <row r="34984" spans="1:2" x14ac:dyDescent="0.25">
      <c r="A34984" s="118"/>
      <c r="B34984" s="136"/>
    </row>
    <row r="34985" spans="1:2" x14ac:dyDescent="0.25">
      <c r="A34985" s="118"/>
      <c r="B34985" s="136"/>
    </row>
    <row r="34986" spans="1:2" x14ac:dyDescent="0.25">
      <c r="A34986" s="118"/>
      <c r="B34986" s="136"/>
    </row>
    <row r="34987" spans="1:2" x14ac:dyDescent="0.25">
      <c r="A34987" s="118"/>
      <c r="B34987" s="136"/>
    </row>
    <row r="34988" spans="1:2" x14ac:dyDescent="0.25">
      <c r="A34988" s="118"/>
      <c r="B34988" s="136"/>
    </row>
    <row r="34989" spans="1:2" x14ac:dyDescent="0.25">
      <c r="A34989" s="118"/>
      <c r="B34989" s="136"/>
    </row>
    <row r="34990" spans="1:2" x14ac:dyDescent="0.25">
      <c r="A34990" s="118"/>
      <c r="B34990" s="136"/>
    </row>
    <row r="34991" spans="1:2" x14ac:dyDescent="0.25">
      <c r="A34991" s="118"/>
      <c r="B34991" s="136"/>
    </row>
    <row r="34992" spans="1:2" x14ac:dyDescent="0.25">
      <c r="A34992" s="118"/>
      <c r="B34992" s="136"/>
    </row>
    <row r="34993" spans="1:2" x14ac:dyDescent="0.25">
      <c r="A34993" s="118"/>
      <c r="B34993" s="136"/>
    </row>
    <row r="34994" spans="1:2" x14ac:dyDescent="0.25">
      <c r="A34994" s="118"/>
      <c r="B34994" s="136"/>
    </row>
    <row r="34995" spans="1:2" x14ac:dyDescent="0.25">
      <c r="A34995" s="118"/>
      <c r="B34995" s="136"/>
    </row>
    <row r="34996" spans="1:2" x14ac:dyDescent="0.25">
      <c r="A34996" s="118"/>
      <c r="B34996" s="136"/>
    </row>
    <row r="34997" spans="1:2" x14ac:dyDescent="0.25">
      <c r="A34997" s="118"/>
      <c r="B34997" s="136"/>
    </row>
    <row r="34998" spans="1:2" x14ac:dyDescent="0.25">
      <c r="A34998" s="118"/>
      <c r="B34998" s="136"/>
    </row>
    <row r="34999" spans="1:2" x14ac:dyDescent="0.25">
      <c r="A34999" s="118"/>
      <c r="B34999" s="136"/>
    </row>
    <row r="35000" spans="1:2" x14ac:dyDescent="0.25">
      <c r="A35000" s="118"/>
      <c r="B35000" s="136"/>
    </row>
    <row r="35001" spans="1:2" x14ac:dyDescent="0.25">
      <c r="A35001" s="118"/>
      <c r="B35001" s="136"/>
    </row>
    <row r="35002" spans="1:2" x14ac:dyDescent="0.25">
      <c r="A35002" s="118"/>
      <c r="B35002" s="136"/>
    </row>
    <row r="35003" spans="1:2" x14ac:dyDescent="0.25">
      <c r="A35003" s="118"/>
      <c r="B35003" s="136"/>
    </row>
    <row r="35004" spans="1:2" x14ac:dyDescent="0.25">
      <c r="A35004" s="118"/>
      <c r="B35004" s="136"/>
    </row>
    <row r="35005" spans="1:2" x14ac:dyDescent="0.25">
      <c r="A35005" s="118"/>
      <c r="B35005" s="136"/>
    </row>
    <row r="35006" spans="1:2" x14ac:dyDescent="0.25">
      <c r="A35006" s="118"/>
      <c r="B35006" s="136"/>
    </row>
    <row r="35007" spans="1:2" x14ac:dyDescent="0.25">
      <c r="A35007" s="118"/>
      <c r="B35007" s="136"/>
    </row>
    <row r="35008" spans="1:2" x14ac:dyDescent="0.25">
      <c r="A35008" s="118"/>
      <c r="B35008" s="136"/>
    </row>
    <row r="35009" spans="1:2" x14ac:dyDescent="0.25">
      <c r="A35009" s="118"/>
      <c r="B35009" s="136"/>
    </row>
    <row r="35010" spans="1:2" x14ac:dyDescent="0.25">
      <c r="A35010" s="118"/>
      <c r="B35010" s="136"/>
    </row>
    <row r="35011" spans="1:2" x14ac:dyDescent="0.25">
      <c r="A35011" s="118"/>
      <c r="B35011" s="136"/>
    </row>
    <row r="35012" spans="1:2" x14ac:dyDescent="0.25">
      <c r="A35012" s="118"/>
      <c r="B35012" s="136"/>
    </row>
    <row r="35013" spans="1:2" x14ac:dyDescent="0.25">
      <c r="A35013" s="118"/>
      <c r="B35013" s="136"/>
    </row>
    <row r="35014" spans="1:2" x14ac:dyDescent="0.25">
      <c r="A35014" s="118"/>
      <c r="B35014" s="136"/>
    </row>
    <row r="35015" spans="1:2" x14ac:dyDescent="0.25">
      <c r="A35015" s="118"/>
      <c r="B35015" s="136"/>
    </row>
    <row r="35016" spans="1:2" x14ac:dyDescent="0.25">
      <c r="A35016" s="118"/>
      <c r="B35016" s="136"/>
    </row>
    <row r="35017" spans="1:2" x14ac:dyDescent="0.25">
      <c r="A35017" s="118"/>
      <c r="B35017" s="136"/>
    </row>
    <row r="35018" spans="1:2" x14ac:dyDescent="0.25">
      <c r="A35018" s="118"/>
      <c r="B35018" s="136"/>
    </row>
    <row r="35019" spans="1:2" x14ac:dyDescent="0.25">
      <c r="A35019" s="118"/>
      <c r="B35019" s="136"/>
    </row>
    <row r="35020" spans="1:2" x14ac:dyDescent="0.25">
      <c r="A35020" s="118"/>
      <c r="B35020" s="136"/>
    </row>
    <row r="35021" spans="1:2" x14ac:dyDescent="0.25">
      <c r="A35021" s="118"/>
      <c r="B35021" s="136"/>
    </row>
    <row r="35022" spans="1:2" x14ac:dyDescent="0.25">
      <c r="A35022" s="118"/>
      <c r="B35022" s="136"/>
    </row>
    <row r="35023" spans="1:2" x14ac:dyDescent="0.25">
      <c r="A35023" s="118"/>
      <c r="B35023" s="136"/>
    </row>
    <row r="35024" spans="1:2" x14ac:dyDescent="0.25">
      <c r="A35024" s="118"/>
      <c r="B35024" s="136"/>
    </row>
    <row r="35025" spans="1:2" x14ac:dyDescent="0.25">
      <c r="A35025" s="118"/>
      <c r="B35025" s="136"/>
    </row>
    <row r="35026" spans="1:2" x14ac:dyDescent="0.25">
      <c r="A35026" s="118"/>
      <c r="B35026" s="136"/>
    </row>
    <row r="35027" spans="1:2" x14ac:dyDescent="0.25">
      <c r="A35027" s="118"/>
      <c r="B35027" s="136"/>
    </row>
    <row r="35028" spans="1:2" x14ac:dyDescent="0.25">
      <c r="A35028" s="118"/>
      <c r="B35028" s="136"/>
    </row>
    <row r="35029" spans="1:2" x14ac:dyDescent="0.25">
      <c r="A35029" s="118"/>
      <c r="B35029" s="136"/>
    </row>
    <row r="35030" spans="1:2" x14ac:dyDescent="0.25">
      <c r="A35030" s="118"/>
      <c r="B35030" s="136"/>
    </row>
    <row r="35031" spans="1:2" x14ac:dyDescent="0.25">
      <c r="A35031" s="118"/>
      <c r="B35031" s="136"/>
    </row>
    <row r="35032" spans="1:2" x14ac:dyDescent="0.25">
      <c r="A35032" s="118"/>
      <c r="B35032" s="136"/>
    </row>
    <row r="35033" spans="1:2" x14ac:dyDescent="0.25">
      <c r="A35033" s="118"/>
      <c r="B35033" s="136"/>
    </row>
    <row r="35034" spans="1:2" x14ac:dyDescent="0.25">
      <c r="A35034" s="118"/>
      <c r="B35034" s="136"/>
    </row>
    <row r="35035" spans="1:2" x14ac:dyDescent="0.25">
      <c r="A35035" s="118"/>
      <c r="B35035" s="136"/>
    </row>
    <row r="35036" spans="1:2" x14ac:dyDescent="0.25">
      <c r="A35036" s="118"/>
      <c r="B35036" s="136"/>
    </row>
    <row r="35037" spans="1:2" x14ac:dyDescent="0.25">
      <c r="A35037" s="118"/>
      <c r="B35037" s="136"/>
    </row>
    <row r="35038" spans="1:2" x14ac:dyDescent="0.25">
      <c r="A35038" s="118"/>
      <c r="B35038" s="136"/>
    </row>
    <row r="35039" spans="1:2" x14ac:dyDescent="0.25">
      <c r="A35039" s="118"/>
      <c r="B35039" s="136"/>
    </row>
    <row r="35040" spans="1:2" x14ac:dyDescent="0.25">
      <c r="A35040" s="118"/>
      <c r="B35040" s="136"/>
    </row>
    <row r="35041" spans="1:2" x14ac:dyDescent="0.25">
      <c r="A35041" s="118"/>
      <c r="B35041" s="136"/>
    </row>
    <row r="35042" spans="1:2" x14ac:dyDescent="0.25">
      <c r="A35042" s="118"/>
      <c r="B35042" s="136"/>
    </row>
    <row r="35043" spans="1:2" x14ac:dyDescent="0.25">
      <c r="A35043" s="118"/>
      <c r="B35043" s="136"/>
    </row>
    <row r="35044" spans="1:2" x14ac:dyDescent="0.25">
      <c r="A35044" s="118"/>
      <c r="B35044" s="136"/>
    </row>
    <row r="35045" spans="1:2" x14ac:dyDescent="0.25">
      <c r="A35045" s="118"/>
      <c r="B35045" s="136"/>
    </row>
    <row r="35046" spans="1:2" x14ac:dyDescent="0.25">
      <c r="A35046" s="118"/>
      <c r="B35046" s="136"/>
    </row>
    <row r="35047" spans="1:2" x14ac:dyDescent="0.25">
      <c r="A35047" s="118"/>
      <c r="B35047" s="136"/>
    </row>
    <row r="35048" spans="1:2" x14ac:dyDescent="0.25">
      <c r="A35048" s="118"/>
      <c r="B35048" s="136"/>
    </row>
    <row r="35049" spans="1:2" x14ac:dyDescent="0.25">
      <c r="A35049" s="118"/>
      <c r="B35049" s="136"/>
    </row>
    <row r="35050" spans="1:2" x14ac:dyDescent="0.25">
      <c r="A35050" s="118"/>
      <c r="B35050" s="136"/>
    </row>
    <row r="35051" spans="1:2" x14ac:dyDescent="0.25">
      <c r="A35051" s="118"/>
      <c r="B35051" s="136"/>
    </row>
    <row r="35052" spans="1:2" x14ac:dyDescent="0.25">
      <c r="A35052" s="118"/>
      <c r="B35052" s="136"/>
    </row>
    <row r="35053" spans="1:2" x14ac:dyDescent="0.25">
      <c r="A35053" s="118"/>
      <c r="B35053" s="136"/>
    </row>
    <row r="35054" spans="1:2" x14ac:dyDescent="0.25">
      <c r="A35054" s="118"/>
      <c r="B35054" s="136"/>
    </row>
    <row r="35055" spans="1:2" x14ac:dyDescent="0.25">
      <c r="A35055" s="118"/>
      <c r="B35055" s="136"/>
    </row>
    <row r="35056" spans="1:2" x14ac:dyDescent="0.25">
      <c r="A35056" s="118"/>
      <c r="B35056" s="136"/>
    </row>
    <row r="35057" spans="1:2" x14ac:dyDescent="0.25">
      <c r="A35057" s="118"/>
      <c r="B35057" s="136"/>
    </row>
    <row r="35058" spans="1:2" x14ac:dyDescent="0.25">
      <c r="A35058" s="118"/>
      <c r="B35058" s="136"/>
    </row>
    <row r="35059" spans="1:2" x14ac:dyDescent="0.25">
      <c r="A35059" s="118"/>
      <c r="B35059" s="136"/>
    </row>
    <row r="35060" spans="1:2" x14ac:dyDescent="0.25">
      <c r="A35060" s="118"/>
      <c r="B35060" s="136"/>
    </row>
    <row r="35061" spans="1:2" x14ac:dyDescent="0.25">
      <c r="A35061" s="118"/>
      <c r="B35061" s="136"/>
    </row>
    <row r="35062" spans="1:2" x14ac:dyDescent="0.25">
      <c r="A35062" s="118"/>
      <c r="B35062" s="136"/>
    </row>
    <row r="35063" spans="1:2" x14ac:dyDescent="0.25">
      <c r="A35063" s="118"/>
      <c r="B35063" s="136"/>
    </row>
    <row r="35064" spans="1:2" x14ac:dyDescent="0.25">
      <c r="A35064" s="118"/>
      <c r="B35064" s="136"/>
    </row>
    <row r="35065" spans="1:2" x14ac:dyDescent="0.25">
      <c r="A35065" s="118"/>
      <c r="B35065" s="136"/>
    </row>
    <row r="35066" spans="1:2" x14ac:dyDescent="0.25">
      <c r="A35066" s="118"/>
      <c r="B35066" s="136"/>
    </row>
    <row r="35067" spans="1:2" x14ac:dyDescent="0.25">
      <c r="A35067" s="118"/>
      <c r="B35067" s="136"/>
    </row>
    <row r="35068" spans="1:2" x14ac:dyDescent="0.25">
      <c r="A35068" s="118"/>
      <c r="B35068" s="136"/>
    </row>
    <row r="35069" spans="1:2" x14ac:dyDescent="0.25">
      <c r="A35069" s="118"/>
      <c r="B35069" s="136"/>
    </row>
    <row r="35070" spans="1:2" x14ac:dyDescent="0.25">
      <c r="A35070" s="118"/>
      <c r="B35070" s="136"/>
    </row>
    <row r="35071" spans="1:2" x14ac:dyDescent="0.25">
      <c r="A35071" s="118"/>
      <c r="B35071" s="136"/>
    </row>
    <row r="35072" spans="1:2" x14ac:dyDescent="0.25">
      <c r="A35072" s="118"/>
      <c r="B35072" s="136"/>
    </row>
    <row r="35073" spans="1:2" x14ac:dyDescent="0.25">
      <c r="A35073" s="118"/>
      <c r="B35073" s="136"/>
    </row>
    <row r="35074" spans="1:2" x14ac:dyDescent="0.25">
      <c r="A35074" s="118"/>
      <c r="B35074" s="136"/>
    </row>
    <row r="35075" spans="1:2" x14ac:dyDescent="0.25">
      <c r="A35075" s="118"/>
      <c r="B35075" s="136"/>
    </row>
    <row r="35076" spans="1:2" x14ac:dyDescent="0.25">
      <c r="A35076" s="118"/>
      <c r="B35076" s="136"/>
    </row>
    <row r="35077" spans="1:2" x14ac:dyDescent="0.25">
      <c r="A35077" s="118"/>
      <c r="B35077" s="136"/>
    </row>
    <row r="35078" spans="1:2" x14ac:dyDescent="0.25">
      <c r="A35078" s="118"/>
      <c r="B35078" s="136"/>
    </row>
    <row r="35079" spans="1:2" x14ac:dyDescent="0.25">
      <c r="A35079" s="118"/>
      <c r="B35079" s="136"/>
    </row>
    <row r="35080" spans="1:2" x14ac:dyDescent="0.25">
      <c r="A35080" s="118"/>
      <c r="B35080" s="136"/>
    </row>
    <row r="35081" spans="1:2" x14ac:dyDescent="0.25">
      <c r="A35081" s="118"/>
      <c r="B35081" s="136"/>
    </row>
    <row r="35082" spans="1:2" x14ac:dyDescent="0.25">
      <c r="A35082" s="118"/>
      <c r="B35082" s="136"/>
    </row>
    <row r="35083" spans="1:2" x14ac:dyDescent="0.25">
      <c r="A35083" s="118"/>
      <c r="B35083" s="136"/>
    </row>
    <row r="35084" spans="1:2" x14ac:dyDescent="0.25">
      <c r="A35084" s="118"/>
      <c r="B35084" s="136"/>
    </row>
    <row r="35085" spans="1:2" x14ac:dyDescent="0.25">
      <c r="A35085" s="118"/>
      <c r="B35085" s="136"/>
    </row>
    <row r="35086" spans="1:2" x14ac:dyDescent="0.25">
      <c r="A35086" s="118"/>
      <c r="B35086" s="136"/>
    </row>
    <row r="35087" spans="1:2" x14ac:dyDescent="0.25">
      <c r="A35087" s="118"/>
      <c r="B35087" s="136"/>
    </row>
    <row r="35088" spans="1:2" x14ac:dyDescent="0.25">
      <c r="A35088" s="118"/>
      <c r="B35088" s="136"/>
    </row>
    <row r="35089" spans="1:2" x14ac:dyDescent="0.25">
      <c r="A35089" s="118"/>
      <c r="B35089" s="136"/>
    </row>
    <row r="35090" spans="1:2" x14ac:dyDescent="0.25">
      <c r="A35090" s="118"/>
      <c r="B35090" s="136"/>
    </row>
    <row r="35091" spans="1:2" x14ac:dyDescent="0.25">
      <c r="A35091" s="118"/>
      <c r="B35091" s="136"/>
    </row>
    <row r="35092" spans="1:2" x14ac:dyDescent="0.25">
      <c r="A35092" s="118"/>
      <c r="B35092" s="136"/>
    </row>
    <row r="35093" spans="1:2" x14ac:dyDescent="0.25">
      <c r="A35093" s="118"/>
      <c r="B35093" s="136"/>
    </row>
    <row r="35094" spans="1:2" x14ac:dyDescent="0.25">
      <c r="A35094" s="118"/>
      <c r="B35094" s="136"/>
    </row>
    <row r="35095" spans="1:2" x14ac:dyDescent="0.25">
      <c r="A35095" s="118"/>
      <c r="B35095" s="136"/>
    </row>
    <row r="35096" spans="1:2" x14ac:dyDescent="0.25">
      <c r="A35096" s="118"/>
      <c r="B35096" s="136"/>
    </row>
    <row r="35097" spans="1:2" x14ac:dyDescent="0.25">
      <c r="A35097" s="118"/>
      <c r="B35097" s="136"/>
    </row>
    <row r="35098" spans="1:2" x14ac:dyDescent="0.25">
      <c r="A35098" s="118"/>
      <c r="B35098" s="136"/>
    </row>
    <row r="35099" spans="1:2" x14ac:dyDescent="0.25">
      <c r="A35099" s="118"/>
      <c r="B35099" s="136"/>
    </row>
    <row r="35100" spans="1:2" x14ac:dyDescent="0.25">
      <c r="A35100" s="118"/>
      <c r="B35100" s="136"/>
    </row>
    <row r="35101" spans="1:2" x14ac:dyDescent="0.25">
      <c r="A35101" s="118"/>
      <c r="B35101" s="136"/>
    </row>
    <row r="35102" spans="1:2" x14ac:dyDescent="0.25">
      <c r="A35102" s="118"/>
      <c r="B35102" s="136"/>
    </row>
    <row r="35103" spans="1:2" x14ac:dyDescent="0.25">
      <c r="A35103" s="118"/>
      <c r="B35103" s="136"/>
    </row>
    <row r="35104" spans="1:2" x14ac:dyDescent="0.25">
      <c r="A35104" s="118"/>
      <c r="B35104" s="136"/>
    </row>
    <row r="35105" spans="1:2" x14ac:dyDescent="0.25">
      <c r="A35105" s="118"/>
      <c r="B35105" s="136"/>
    </row>
    <row r="35106" spans="1:2" x14ac:dyDescent="0.25">
      <c r="A35106" s="118"/>
      <c r="B35106" s="136"/>
    </row>
    <row r="35107" spans="1:2" x14ac:dyDescent="0.25">
      <c r="A35107" s="118"/>
      <c r="B35107" s="136"/>
    </row>
    <row r="35108" spans="1:2" x14ac:dyDescent="0.25">
      <c r="A35108" s="118"/>
      <c r="B35108" s="136"/>
    </row>
    <row r="35109" spans="1:2" x14ac:dyDescent="0.25">
      <c r="A35109" s="118"/>
      <c r="B35109" s="136"/>
    </row>
    <row r="35110" spans="1:2" x14ac:dyDescent="0.25">
      <c r="A35110" s="118"/>
      <c r="B35110" s="136"/>
    </row>
    <row r="35111" spans="1:2" x14ac:dyDescent="0.25">
      <c r="A35111" s="118"/>
      <c r="B35111" s="136"/>
    </row>
    <row r="35112" spans="1:2" x14ac:dyDescent="0.25">
      <c r="A35112" s="118"/>
      <c r="B35112" s="136"/>
    </row>
    <row r="35113" spans="1:2" x14ac:dyDescent="0.25">
      <c r="A35113" s="118"/>
      <c r="B35113" s="136"/>
    </row>
    <row r="35114" spans="1:2" x14ac:dyDescent="0.25">
      <c r="A35114" s="118"/>
      <c r="B35114" s="136"/>
    </row>
    <row r="35115" spans="1:2" x14ac:dyDescent="0.25">
      <c r="A35115" s="118"/>
      <c r="B35115" s="136"/>
    </row>
    <row r="35116" spans="1:2" x14ac:dyDescent="0.25">
      <c r="A35116" s="118"/>
      <c r="B35116" s="136"/>
    </row>
    <row r="35117" spans="1:2" x14ac:dyDescent="0.25">
      <c r="A35117" s="118"/>
      <c r="B35117" s="136"/>
    </row>
    <row r="35118" spans="1:2" x14ac:dyDescent="0.25">
      <c r="A35118" s="118"/>
      <c r="B35118" s="136"/>
    </row>
    <row r="35119" spans="1:2" x14ac:dyDescent="0.25">
      <c r="A35119" s="118"/>
      <c r="B35119" s="136"/>
    </row>
    <row r="35120" spans="1:2" x14ac:dyDescent="0.25">
      <c r="A35120" s="118"/>
      <c r="B35120" s="136"/>
    </row>
    <row r="35121" spans="1:2" x14ac:dyDescent="0.25">
      <c r="A35121" s="118"/>
      <c r="B35121" s="136"/>
    </row>
    <row r="35122" spans="1:2" x14ac:dyDescent="0.25">
      <c r="A35122" s="118"/>
      <c r="B35122" s="136"/>
    </row>
    <row r="35123" spans="1:2" x14ac:dyDescent="0.25">
      <c r="A35123" s="118"/>
      <c r="B35123" s="136"/>
    </row>
    <row r="35124" spans="1:2" x14ac:dyDescent="0.25">
      <c r="A35124" s="118"/>
      <c r="B35124" s="136"/>
    </row>
    <row r="35125" spans="1:2" x14ac:dyDescent="0.25">
      <c r="A35125" s="118"/>
      <c r="B35125" s="136"/>
    </row>
    <row r="35126" spans="1:2" x14ac:dyDescent="0.25">
      <c r="A35126" s="118"/>
      <c r="B35126" s="136"/>
    </row>
    <row r="35127" spans="1:2" x14ac:dyDescent="0.25">
      <c r="A35127" s="118"/>
      <c r="B35127" s="136"/>
    </row>
    <row r="35128" spans="1:2" x14ac:dyDescent="0.25">
      <c r="A35128" s="118"/>
      <c r="B35128" s="136"/>
    </row>
    <row r="35129" spans="1:2" x14ac:dyDescent="0.25">
      <c r="A35129" s="118"/>
      <c r="B35129" s="136"/>
    </row>
    <row r="35130" spans="1:2" x14ac:dyDescent="0.25">
      <c r="A35130" s="118"/>
      <c r="B35130" s="136"/>
    </row>
    <row r="35131" spans="1:2" x14ac:dyDescent="0.25">
      <c r="A35131" s="118"/>
      <c r="B35131" s="136"/>
    </row>
    <row r="35132" spans="1:2" x14ac:dyDescent="0.25">
      <c r="A35132" s="118"/>
      <c r="B35132" s="136"/>
    </row>
    <row r="35133" spans="1:2" x14ac:dyDescent="0.25">
      <c r="A35133" s="118"/>
      <c r="B35133" s="136"/>
    </row>
    <row r="35134" spans="1:2" x14ac:dyDescent="0.25">
      <c r="A35134" s="118"/>
      <c r="B35134" s="136"/>
    </row>
    <row r="35135" spans="1:2" x14ac:dyDescent="0.25">
      <c r="A35135" s="118"/>
      <c r="B35135" s="136"/>
    </row>
    <row r="35136" spans="1:2" x14ac:dyDescent="0.25">
      <c r="A35136" s="118"/>
      <c r="B35136" s="136"/>
    </row>
    <row r="35137" spans="1:2" x14ac:dyDescent="0.25">
      <c r="A35137" s="118"/>
      <c r="B35137" s="136"/>
    </row>
    <row r="35138" spans="1:2" x14ac:dyDescent="0.25">
      <c r="A35138" s="118"/>
      <c r="B35138" s="136"/>
    </row>
    <row r="35139" spans="1:2" x14ac:dyDescent="0.25">
      <c r="A35139" s="118"/>
      <c r="B35139" s="136"/>
    </row>
    <row r="35140" spans="1:2" x14ac:dyDescent="0.25">
      <c r="A35140" s="118"/>
      <c r="B35140" s="136"/>
    </row>
    <row r="35141" spans="1:2" x14ac:dyDescent="0.25">
      <c r="A35141" s="118"/>
      <c r="B35141" s="136"/>
    </row>
    <row r="35142" spans="1:2" x14ac:dyDescent="0.25">
      <c r="A35142" s="118"/>
      <c r="B35142" s="136"/>
    </row>
    <row r="35143" spans="1:2" x14ac:dyDescent="0.25">
      <c r="A35143" s="118"/>
      <c r="B35143" s="136"/>
    </row>
    <row r="35144" spans="1:2" x14ac:dyDescent="0.25">
      <c r="A35144" s="118"/>
      <c r="B35144" s="136"/>
    </row>
    <row r="35145" spans="1:2" x14ac:dyDescent="0.25">
      <c r="A35145" s="118"/>
      <c r="B35145" s="136"/>
    </row>
    <row r="35146" spans="1:2" x14ac:dyDescent="0.25">
      <c r="A35146" s="118"/>
      <c r="B35146" s="136"/>
    </row>
    <row r="35147" spans="1:2" x14ac:dyDescent="0.25">
      <c r="A35147" s="118"/>
      <c r="B35147" s="136"/>
    </row>
    <row r="35148" spans="1:2" x14ac:dyDescent="0.25">
      <c r="A35148" s="118"/>
      <c r="B35148" s="136"/>
    </row>
    <row r="35149" spans="1:2" x14ac:dyDescent="0.25">
      <c r="A35149" s="118"/>
      <c r="B35149" s="136"/>
    </row>
    <row r="35150" spans="1:2" x14ac:dyDescent="0.25">
      <c r="A35150" s="118"/>
      <c r="B35150" s="136"/>
    </row>
    <row r="35151" spans="1:2" x14ac:dyDescent="0.25">
      <c r="A35151" s="118"/>
      <c r="B35151" s="136"/>
    </row>
    <row r="35152" spans="1:2" x14ac:dyDescent="0.25">
      <c r="A35152" s="118"/>
      <c r="B35152" s="136"/>
    </row>
    <row r="35153" spans="1:2" x14ac:dyDescent="0.25">
      <c r="A35153" s="118"/>
      <c r="B35153" s="136"/>
    </row>
    <row r="35154" spans="1:2" x14ac:dyDescent="0.25">
      <c r="A35154" s="118"/>
      <c r="B35154" s="136"/>
    </row>
    <row r="35155" spans="1:2" x14ac:dyDescent="0.25">
      <c r="A35155" s="118"/>
      <c r="B35155" s="136"/>
    </row>
    <row r="35156" spans="1:2" x14ac:dyDescent="0.25">
      <c r="A35156" s="118"/>
      <c r="B35156" s="136"/>
    </row>
    <row r="35157" spans="1:2" x14ac:dyDescent="0.25">
      <c r="A35157" s="118"/>
      <c r="B35157" s="136"/>
    </row>
    <row r="35158" spans="1:2" x14ac:dyDescent="0.25">
      <c r="A35158" s="118"/>
      <c r="B35158" s="136"/>
    </row>
    <row r="35159" spans="1:2" x14ac:dyDescent="0.25">
      <c r="A35159" s="118"/>
      <c r="B35159" s="136"/>
    </row>
    <row r="35160" spans="1:2" x14ac:dyDescent="0.25">
      <c r="A35160" s="118"/>
      <c r="B35160" s="136"/>
    </row>
    <row r="35161" spans="1:2" x14ac:dyDescent="0.25">
      <c r="A35161" s="118"/>
      <c r="B35161" s="136"/>
    </row>
    <row r="35162" spans="1:2" x14ac:dyDescent="0.25">
      <c r="A35162" s="118"/>
      <c r="B35162" s="136"/>
    </row>
    <row r="35163" spans="1:2" x14ac:dyDescent="0.25">
      <c r="A35163" s="118"/>
      <c r="B35163" s="136"/>
    </row>
    <row r="35164" spans="1:2" x14ac:dyDescent="0.25">
      <c r="A35164" s="118"/>
      <c r="B35164" s="136"/>
    </row>
    <row r="35165" spans="1:2" x14ac:dyDescent="0.25">
      <c r="A35165" s="118"/>
      <c r="B35165" s="136"/>
    </row>
    <row r="35166" spans="1:2" x14ac:dyDescent="0.25">
      <c r="A35166" s="118"/>
      <c r="B35166" s="136"/>
    </row>
    <row r="35167" spans="1:2" x14ac:dyDescent="0.25">
      <c r="A35167" s="118"/>
      <c r="B35167" s="136"/>
    </row>
    <row r="35168" spans="1:2" x14ac:dyDescent="0.25">
      <c r="A35168" s="118"/>
      <c r="B35168" s="136"/>
    </row>
    <row r="35169" spans="1:2" x14ac:dyDescent="0.25">
      <c r="A35169" s="118"/>
      <c r="B35169" s="136"/>
    </row>
    <row r="35170" spans="1:2" x14ac:dyDescent="0.25">
      <c r="A35170" s="118"/>
      <c r="B35170" s="136"/>
    </row>
    <row r="35171" spans="1:2" x14ac:dyDescent="0.25">
      <c r="A35171" s="118"/>
      <c r="B35171" s="136"/>
    </row>
    <row r="35172" spans="1:2" x14ac:dyDescent="0.25">
      <c r="A35172" s="118"/>
      <c r="B35172" s="136"/>
    </row>
    <row r="35173" spans="1:2" x14ac:dyDescent="0.25">
      <c r="A35173" s="118"/>
      <c r="B35173" s="136"/>
    </row>
    <row r="35174" spans="1:2" x14ac:dyDescent="0.25">
      <c r="A35174" s="118"/>
      <c r="B35174" s="136"/>
    </row>
    <row r="35175" spans="1:2" x14ac:dyDescent="0.25">
      <c r="A35175" s="118"/>
      <c r="B35175" s="136"/>
    </row>
    <row r="35176" spans="1:2" x14ac:dyDescent="0.25">
      <c r="A35176" s="118"/>
      <c r="B35176" s="136"/>
    </row>
    <row r="35177" spans="1:2" x14ac:dyDescent="0.25">
      <c r="A35177" s="118"/>
      <c r="B35177" s="136"/>
    </row>
    <row r="35178" spans="1:2" x14ac:dyDescent="0.25">
      <c r="A35178" s="118"/>
      <c r="B35178" s="136"/>
    </row>
    <row r="35179" spans="1:2" x14ac:dyDescent="0.25">
      <c r="A35179" s="118"/>
      <c r="B35179" s="136"/>
    </row>
    <row r="35180" spans="1:2" x14ac:dyDescent="0.25">
      <c r="A35180" s="118"/>
      <c r="B35180" s="136"/>
    </row>
    <row r="35181" spans="1:2" x14ac:dyDescent="0.25">
      <c r="A35181" s="118"/>
      <c r="B35181" s="136"/>
    </row>
    <row r="35182" spans="1:2" x14ac:dyDescent="0.25">
      <c r="A35182" s="118"/>
      <c r="B35182" s="136"/>
    </row>
    <row r="35183" spans="1:2" x14ac:dyDescent="0.25">
      <c r="A35183" s="118"/>
      <c r="B35183" s="136"/>
    </row>
    <row r="35184" spans="1:2" x14ac:dyDescent="0.25">
      <c r="A35184" s="118"/>
      <c r="B35184" s="136"/>
    </row>
    <row r="35185" spans="1:2" x14ac:dyDescent="0.25">
      <c r="A35185" s="118"/>
      <c r="B35185" s="136"/>
    </row>
    <row r="35186" spans="1:2" x14ac:dyDescent="0.25">
      <c r="A35186" s="118"/>
      <c r="B35186" s="136"/>
    </row>
    <row r="35187" spans="1:2" x14ac:dyDescent="0.25">
      <c r="A35187" s="118"/>
      <c r="B35187" s="136"/>
    </row>
    <row r="35188" spans="1:2" x14ac:dyDescent="0.25">
      <c r="A35188" s="118"/>
      <c r="B35188" s="136"/>
    </row>
    <row r="35189" spans="1:2" x14ac:dyDescent="0.25">
      <c r="A35189" s="118"/>
      <c r="B35189" s="136"/>
    </row>
    <row r="35190" spans="1:2" x14ac:dyDescent="0.25">
      <c r="A35190" s="118"/>
      <c r="B35190" s="136"/>
    </row>
    <row r="35191" spans="1:2" x14ac:dyDescent="0.25">
      <c r="A35191" s="118"/>
      <c r="B35191" s="136"/>
    </row>
    <row r="35192" spans="1:2" x14ac:dyDescent="0.25">
      <c r="A35192" s="118"/>
      <c r="B35192" s="136"/>
    </row>
    <row r="35193" spans="1:2" x14ac:dyDescent="0.25">
      <c r="A35193" s="118"/>
      <c r="B35193" s="136"/>
    </row>
    <row r="35194" spans="1:2" x14ac:dyDescent="0.25">
      <c r="A35194" s="118"/>
      <c r="B35194" s="136"/>
    </row>
    <row r="35195" spans="1:2" x14ac:dyDescent="0.25">
      <c r="A35195" s="118"/>
      <c r="B35195" s="136"/>
    </row>
    <row r="35196" spans="1:2" x14ac:dyDescent="0.25">
      <c r="A35196" s="118"/>
      <c r="B35196" s="136"/>
    </row>
    <row r="35197" spans="1:2" x14ac:dyDescent="0.25">
      <c r="A35197" s="118"/>
      <c r="B35197" s="136"/>
    </row>
    <row r="35198" spans="1:2" x14ac:dyDescent="0.25">
      <c r="A35198" s="118"/>
      <c r="B35198" s="136"/>
    </row>
    <row r="35199" spans="1:2" x14ac:dyDescent="0.25">
      <c r="A35199" s="118"/>
      <c r="B35199" s="136"/>
    </row>
    <row r="35200" spans="1:2" x14ac:dyDescent="0.25">
      <c r="A35200" s="118"/>
      <c r="B35200" s="136"/>
    </row>
    <row r="35201" spans="1:2" x14ac:dyDescent="0.25">
      <c r="A35201" s="118"/>
      <c r="B35201" s="136"/>
    </row>
    <row r="35202" spans="1:2" x14ac:dyDescent="0.25">
      <c r="A35202" s="118"/>
      <c r="B35202" s="136"/>
    </row>
    <row r="35203" spans="1:2" x14ac:dyDescent="0.25">
      <c r="A35203" s="118"/>
      <c r="B35203" s="136"/>
    </row>
    <row r="35204" spans="1:2" x14ac:dyDescent="0.25">
      <c r="A35204" s="118"/>
      <c r="B35204" s="136"/>
    </row>
    <row r="35205" spans="1:2" x14ac:dyDescent="0.25">
      <c r="A35205" s="118"/>
      <c r="B35205" s="136"/>
    </row>
    <row r="35206" spans="1:2" x14ac:dyDescent="0.25">
      <c r="A35206" s="118"/>
      <c r="B35206" s="136"/>
    </row>
    <row r="35207" spans="1:2" x14ac:dyDescent="0.25">
      <c r="A35207" s="118"/>
      <c r="B35207" s="136"/>
    </row>
    <row r="35208" spans="1:2" x14ac:dyDescent="0.25">
      <c r="A35208" s="118"/>
      <c r="B35208" s="136"/>
    </row>
    <row r="35209" spans="1:2" x14ac:dyDescent="0.25">
      <c r="A35209" s="118"/>
      <c r="B35209" s="136"/>
    </row>
    <row r="35210" spans="1:2" x14ac:dyDescent="0.25">
      <c r="A35210" s="118"/>
      <c r="B35210" s="136"/>
    </row>
    <row r="35211" spans="1:2" x14ac:dyDescent="0.25">
      <c r="A35211" s="118"/>
      <c r="B35211" s="136"/>
    </row>
    <row r="35212" spans="1:2" x14ac:dyDescent="0.25">
      <c r="A35212" s="118"/>
      <c r="B35212" s="136"/>
    </row>
    <row r="35213" spans="1:2" x14ac:dyDescent="0.25">
      <c r="A35213" s="118"/>
      <c r="B35213" s="136"/>
    </row>
    <row r="35214" spans="1:2" x14ac:dyDescent="0.25">
      <c r="A35214" s="118"/>
      <c r="B35214" s="136"/>
    </row>
    <row r="35215" spans="1:2" x14ac:dyDescent="0.25">
      <c r="A35215" s="118"/>
      <c r="B35215" s="136"/>
    </row>
    <row r="35216" spans="1:2" x14ac:dyDescent="0.25">
      <c r="A35216" s="118"/>
      <c r="B35216" s="136"/>
    </row>
    <row r="35217" spans="1:2" x14ac:dyDescent="0.25">
      <c r="A35217" s="118"/>
      <c r="B35217" s="136"/>
    </row>
    <row r="35218" spans="1:2" x14ac:dyDescent="0.25">
      <c r="A35218" s="118"/>
      <c r="B35218" s="136"/>
    </row>
    <row r="35219" spans="1:2" x14ac:dyDescent="0.25">
      <c r="A35219" s="118"/>
      <c r="B35219" s="136"/>
    </row>
    <row r="35220" spans="1:2" x14ac:dyDescent="0.25">
      <c r="A35220" s="118"/>
      <c r="B35220" s="136"/>
    </row>
    <row r="35221" spans="1:2" x14ac:dyDescent="0.25">
      <c r="A35221" s="118"/>
      <c r="B35221" s="136"/>
    </row>
    <row r="35222" spans="1:2" x14ac:dyDescent="0.25">
      <c r="A35222" s="118"/>
      <c r="B35222" s="136"/>
    </row>
    <row r="35223" spans="1:2" x14ac:dyDescent="0.25">
      <c r="A35223" s="118"/>
      <c r="B35223" s="136"/>
    </row>
    <row r="35224" spans="1:2" x14ac:dyDescent="0.25">
      <c r="A35224" s="118"/>
      <c r="B35224" s="136"/>
    </row>
    <row r="35225" spans="1:2" x14ac:dyDescent="0.25">
      <c r="A35225" s="118"/>
      <c r="B35225" s="136"/>
    </row>
    <row r="35226" spans="1:2" x14ac:dyDescent="0.25">
      <c r="A35226" s="118"/>
      <c r="B35226" s="136"/>
    </row>
    <row r="35227" spans="1:2" x14ac:dyDescent="0.25">
      <c r="A35227" s="118"/>
      <c r="B35227" s="136"/>
    </row>
    <row r="35228" spans="1:2" x14ac:dyDescent="0.25">
      <c r="A35228" s="118"/>
      <c r="B35228" s="136"/>
    </row>
    <row r="35229" spans="1:2" x14ac:dyDescent="0.25">
      <c r="A35229" s="118"/>
      <c r="B35229" s="136"/>
    </row>
    <row r="35230" spans="1:2" x14ac:dyDescent="0.25">
      <c r="A35230" s="118"/>
      <c r="B35230" s="136"/>
    </row>
    <row r="35231" spans="1:2" x14ac:dyDescent="0.25">
      <c r="A35231" s="118"/>
      <c r="B35231" s="136"/>
    </row>
    <row r="35232" spans="1:2" x14ac:dyDescent="0.25">
      <c r="A35232" s="118"/>
      <c r="B35232" s="136"/>
    </row>
    <row r="35233" spans="1:2" x14ac:dyDescent="0.25">
      <c r="A35233" s="118"/>
      <c r="B35233" s="136"/>
    </row>
    <row r="35234" spans="1:2" x14ac:dyDescent="0.25">
      <c r="A35234" s="118"/>
      <c r="B35234" s="136"/>
    </row>
    <row r="35235" spans="1:2" x14ac:dyDescent="0.25">
      <c r="A35235" s="118"/>
      <c r="B35235" s="136"/>
    </row>
    <row r="35236" spans="1:2" x14ac:dyDescent="0.25">
      <c r="A35236" s="118"/>
      <c r="B35236" s="136"/>
    </row>
    <row r="35237" spans="1:2" x14ac:dyDescent="0.25">
      <c r="A35237" s="118"/>
      <c r="B35237" s="136"/>
    </row>
    <row r="35238" spans="1:2" x14ac:dyDescent="0.25">
      <c r="A35238" s="118"/>
      <c r="B35238" s="136"/>
    </row>
    <row r="35239" spans="1:2" x14ac:dyDescent="0.25">
      <c r="A35239" s="118"/>
      <c r="B35239" s="136"/>
    </row>
    <row r="35240" spans="1:2" x14ac:dyDescent="0.25">
      <c r="A35240" s="118"/>
      <c r="B35240" s="136"/>
    </row>
    <row r="35241" spans="1:2" x14ac:dyDescent="0.25">
      <c r="A35241" s="118"/>
      <c r="B35241" s="136"/>
    </row>
    <row r="35242" spans="1:2" x14ac:dyDescent="0.25">
      <c r="A35242" s="118"/>
      <c r="B35242" s="136"/>
    </row>
    <row r="35243" spans="1:2" x14ac:dyDescent="0.25">
      <c r="A35243" s="118"/>
      <c r="B35243" s="136"/>
    </row>
    <row r="35244" spans="1:2" x14ac:dyDescent="0.25">
      <c r="A35244" s="118"/>
      <c r="B35244" s="136"/>
    </row>
    <row r="35245" spans="1:2" x14ac:dyDescent="0.25">
      <c r="A35245" s="118"/>
      <c r="B35245" s="136"/>
    </row>
    <row r="35246" spans="1:2" x14ac:dyDescent="0.25">
      <c r="A35246" s="118"/>
      <c r="B35246" s="136"/>
    </row>
    <row r="35247" spans="1:2" x14ac:dyDescent="0.25">
      <c r="A35247" s="118"/>
      <c r="B35247" s="136"/>
    </row>
    <row r="35248" spans="1:2" x14ac:dyDescent="0.25">
      <c r="A35248" s="118"/>
      <c r="B35248" s="136"/>
    </row>
    <row r="35249" spans="1:2" x14ac:dyDescent="0.25">
      <c r="A35249" s="118"/>
      <c r="B35249" s="136"/>
    </row>
    <row r="35250" spans="1:2" x14ac:dyDescent="0.25">
      <c r="A35250" s="118"/>
      <c r="B35250" s="136"/>
    </row>
    <row r="35251" spans="1:2" x14ac:dyDescent="0.25">
      <c r="A35251" s="118"/>
      <c r="B35251" s="136"/>
    </row>
    <row r="35252" spans="1:2" x14ac:dyDescent="0.25">
      <c r="A35252" s="118"/>
      <c r="B35252" s="136"/>
    </row>
    <row r="35253" spans="1:2" x14ac:dyDescent="0.25">
      <c r="A35253" s="118"/>
      <c r="B35253" s="136"/>
    </row>
    <row r="35254" spans="1:2" x14ac:dyDescent="0.25">
      <c r="A35254" s="118"/>
      <c r="B35254" s="136"/>
    </row>
    <row r="35255" spans="1:2" x14ac:dyDescent="0.25">
      <c r="A35255" s="118"/>
      <c r="B35255" s="136"/>
    </row>
    <row r="35256" spans="1:2" x14ac:dyDescent="0.25">
      <c r="A35256" s="118"/>
      <c r="B35256" s="136"/>
    </row>
    <row r="35257" spans="1:2" x14ac:dyDescent="0.25">
      <c r="A35257" s="118"/>
      <c r="B35257" s="136"/>
    </row>
    <row r="35258" spans="1:2" x14ac:dyDescent="0.25">
      <c r="A35258" s="118"/>
      <c r="B35258" s="136"/>
    </row>
    <row r="35259" spans="1:2" x14ac:dyDescent="0.25">
      <c r="A35259" s="118"/>
      <c r="B35259" s="136"/>
    </row>
    <row r="35260" spans="1:2" x14ac:dyDescent="0.25">
      <c r="A35260" s="118"/>
      <c r="B35260" s="136"/>
    </row>
    <row r="35261" spans="1:2" x14ac:dyDescent="0.25">
      <c r="A35261" s="118"/>
      <c r="B35261" s="136"/>
    </row>
    <row r="35262" spans="1:2" x14ac:dyDescent="0.25">
      <c r="A35262" s="118"/>
      <c r="B35262" s="136"/>
    </row>
    <row r="35263" spans="1:2" x14ac:dyDescent="0.25">
      <c r="A35263" s="118"/>
      <c r="B35263" s="136"/>
    </row>
    <row r="35264" spans="1:2" x14ac:dyDescent="0.25">
      <c r="A35264" s="118"/>
      <c r="B35264" s="136"/>
    </row>
    <row r="35265" spans="1:2" x14ac:dyDescent="0.25">
      <c r="A35265" s="118"/>
      <c r="B35265" s="136"/>
    </row>
    <row r="35266" spans="1:2" x14ac:dyDescent="0.25">
      <c r="A35266" s="118"/>
      <c r="B35266" s="136"/>
    </row>
    <row r="35267" spans="1:2" x14ac:dyDescent="0.25">
      <c r="A35267" s="118"/>
      <c r="B35267" s="136"/>
    </row>
    <row r="35268" spans="1:2" x14ac:dyDescent="0.25">
      <c r="A35268" s="118"/>
      <c r="B35268" s="136"/>
    </row>
    <row r="35269" spans="1:2" x14ac:dyDescent="0.25">
      <c r="A35269" s="118"/>
      <c r="B35269" s="136"/>
    </row>
    <row r="35270" spans="1:2" x14ac:dyDescent="0.25">
      <c r="A35270" s="118"/>
      <c r="B35270" s="136"/>
    </row>
    <row r="35271" spans="1:2" x14ac:dyDescent="0.25">
      <c r="A35271" s="118"/>
      <c r="B35271" s="136"/>
    </row>
    <row r="35272" spans="1:2" x14ac:dyDescent="0.25">
      <c r="A35272" s="118"/>
      <c r="B35272" s="136"/>
    </row>
    <row r="35273" spans="1:2" x14ac:dyDescent="0.25">
      <c r="A35273" s="118"/>
      <c r="B35273" s="136"/>
    </row>
    <row r="35274" spans="1:2" x14ac:dyDescent="0.25">
      <c r="A35274" s="118"/>
      <c r="B35274" s="136"/>
    </row>
    <row r="35275" spans="1:2" x14ac:dyDescent="0.25">
      <c r="A35275" s="118"/>
      <c r="B35275" s="136"/>
    </row>
    <row r="35276" spans="1:2" x14ac:dyDescent="0.25">
      <c r="A35276" s="118"/>
      <c r="B35276" s="136"/>
    </row>
    <row r="35277" spans="1:2" x14ac:dyDescent="0.25">
      <c r="A35277" s="118"/>
      <c r="B35277" s="136"/>
    </row>
    <row r="35278" spans="1:2" x14ac:dyDescent="0.25">
      <c r="A35278" s="118"/>
      <c r="B35278" s="136"/>
    </row>
    <row r="35279" spans="1:2" x14ac:dyDescent="0.25">
      <c r="A35279" s="118"/>
      <c r="B35279" s="136"/>
    </row>
    <row r="35280" spans="1:2" x14ac:dyDescent="0.25">
      <c r="A35280" s="118"/>
      <c r="B35280" s="136"/>
    </row>
    <row r="35281" spans="1:2" x14ac:dyDescent="0.25">
      <c r="A35281" s="118"/>
      <c r="B35281" s="136"/>
    </row>
    <row r="35282" spans="1:2" x14ac:dyDescent="0.25">
      <c r="A35282" s="118"/>
      <c r="B35282" s="136"/>
    </row>
    <row r="35283" spans="1:2" x14ac:dyDescent="0.25">
      <c r="A35283" s="118"/>
      <c r="B35283" s="136"/>
    </row>
    <row r="35284" spans="1:2" x14ac:dyDescent="0.25">
      <c r="A35284" s="118"/>
      <c r="B35284" s="136"/>
    </row>
    <row r="35285" spans="1:2" x14ac:dyDescent="0.25">
      <c r="A35285" s="118"/>
      <c r="B35285" s="136"/>
    </row>
    <row r="35286" spans="1:2" x14ac:dyDescent="0.25">
      <c r="A35286" s="118"/>
      <c r="B35286" s="136"/>
    </row>
    <row r="35287" spans="1:2" x14ac:dyDescent="0.25">
      <c r="A35287" s="118"/>
      <c r="B35287" s="136"/>
    </row>
    <row r="35288" spans="1:2" x14ac:dyDescent="0.25">
      <c r="A35288" s="118"/>
      <c r="B35288" s="136"/>
    </row>
    <row r="35289" spans="1:2" x14ac:dyDescent="0.25">
      <c r="A35289" s="118"/>
      <c r="B35289" s="136"/>
    </row>
    <row r="35290" spans="1:2" x14ac:dyDescent="0.25">
      <c r="A35290" s="118"/>
      <c r="B35290" s="136"/>
    </row>
    <row r="35291" spans="1:2" x14ac:dyDescent="0.25">
      <c r="A35291" s="118"/>
      <c r="B35291" s="136"/>
    </row>
    <row r="35292" spans="1:2" x14ac:dyDescent="0.25">
      <c r="A35292" s="118"/>
      <c r="B35292" s="136"/>
    </row>
    <row r="35293" spans="1:2" x14ac:dyDescent="0.25">
      <c r="A35293" s="118"/>
      <c r="B35293" s="136"/>
    </row>
    <row r="35294" spans="1:2" x14ac:dyDescent="0.25">
      <c r="A35294" s="118"/>
      <c r="B35294" s="136"/>
    </row>
    <row r="35295" spans="1:2" x14ac:dyDescent="0.25">
      <c r="A35295" s="118"/>
      <c r="B35295" s="136"/>
    </row>
    <row r="35296" spans="1:2" x14ac:dyDescent="0.25">
      <c r="A35296" s="118"/>
      <c r="B35296" s="136"/>
    </row>
    <row r="35297" spans="1:2" x14ac:dyDescent="0.25">
      <c r="A35297" s="118"/>
      <c r="B35297" s="136"/>
    </row>
    <row r="35298" spans="1:2" x14ac:dyDescent="0.25">
      <c r="A35298" s="118"/>
      <c r="B35298" s="136"/>
    </row>
    <row r="35299" spans="1:2" x14ac:dyDescent="0.25">
      <c r="A35299" s="118"/>
      <c r="B35299" s="136"/>
    </row>
    <row r="35300" spans="1:2" x14ac:dyDescent="0.25">
      <c r="A35300" s="118"/>
      <c r="B35300" s="136"/>
    </row>
    <row r="35301" spans="1:2" x14ac:dyDescent="0.25">
      <c r="A35301" s="118"/>
      <c r="B35301" s="136"/>
    </row>
    <row r="35302" spans="1:2" x14ac:dyDescent="0.25">
      <c r="A35302" s="118"/>
      <c r="B35302" s="136"/>
    </row>
    <row r="35303" spans="1:2" x14ac:dyDescent="0.25">
      <c r="A35303" s="118"/>
      <c r="B35303" s="136"/>
    </row>
    <row r="35304" spans="1:2" x14ac:dyDescent="0.25">
      <c r="A35304" s="118"/>
      <c r="B35304" s="136"/>
    </row>
    <row r="35305" spans="1:2" x14ac:dyDescent="0.25">
      <c r="A35305" s="118"/>
      <c r="B35305" s="136"/>
    </row>
    <row r="35306" spans="1:2" x14ac:dyDescent="0.25">
      <c r="A35306" s="118"/>
      <c r="B35306" s="136"/>
    </row>
    <row r="35307" spans="1:2" x14ac:dyDescent="0.25">
      <c r="A35307" s="118"/>
      <c r="B35307" s="136"/>
    </row>
    <row r="35308" spans="1:2" x14ac:dyDescent="0.25">
      <c r="A35308" s="118"/>
      <c r="B35308" s="136"/>
    </row>
    <row r="35309" spans="1:2" x14ac:dyDescent="0.25">
      <c r="A35309" s="118"/>
      <c r="B35309" s="136"/>
    </row>
    <row r="35310" spans="1:2" x14ac:dyDescent="0.25">
      <c r="A35310" s="118"/>
      <c r="B35310" s="136"/>
    </row>
    <row r="35311" spans="1:2" x14ac:dyDescent="0.25">
      <c r="A35311" s="118"/>
      <c r="B35311" s="136"/>
    </row>
    <row r="35312" spans="1:2" x14ac:dyDescent="0.25">
      <c r="A35312" s="118"/>
      <c r="B35312" s="136"/>
    </row>
    <row r="35313" spans="1:2" x14ac:dyDescent="0.25">
      <c r="A35313" s="118"/>
      <c r="B35313" s="136"/>
    </row>
    <row r="35314" spans="1:2" x14ac:dyDescent="0.25">
      <c r="A35314" s="118"/>
      <c r="B35314" s="136"/>
    </row>
    <row r="35315" spans="1:2" x14ac:dyDescent="0.25">
      <c r="A35315" s="118"/>
      <c r="B35315" s="136"/>
    </row>
    <row r="35316" spans="1:2" x14ac:dyDescent="0.25">
      <c r="A35316" s="118"/>
      <c r="B35316" s="136"/>
    </row>
    <row r="35317" spans="1:2" x14ac:dyDescent="0.25">
      <c r="A35317" s="118"/>
      <c r="B35317" s="136"/>
    </row>
    <row r="35318" spans="1:2" x14ac:dyDescent="0.25">
      <c r="A35318" s="118"/>
      <c r="B35318" s="136"/>
    </row>
    <row r="35319" spans="1:2" x14ac:dyDescent="0.25">
      <c r="A35319" s="118"/>
      <c r="B35319" s="136"/>
    </row>
    <row r="35320" spans="1:2" x14ac:dyDescent="0.25">
      <c r="A35320" s="118"/>
      <c r="B35320" s="136"/>
    </row>
    <row r="35321" spans="1:2" x14ac:dyDescent="0.25">
      <c r="A35321" s="118"/>
      <c r="B35321" s="136"/>
    </row>
    <row r="35322" spans="1:2" x14ac:dyDescent="0.25">
      <c r="A35322" s="118"/>
      <c r="B35322" s="136"/>
    </row>
    <row r="35323" spans="1:2" x14ac:dyDescent="0.25">
      <c r="A35323" s="118"/>
      <c r="B35323" s="136"/>
    </row>
    <row r="35324" spans="1:2" x14ac:dyDescent="0.25">
      <c r="A35324" s="118"/>
      <c r="B35324" s="136"/>
    </row>
    <row r="35325" spans="1:2" x14ac:dyDescent="0.25">
      <c r="A35325" s="118"/>
      <c r="B35325" s="136"/>
    </row>
    <row r="35326" spans="1:2" x14ac:dyDescent="0.25">
      <c r="A35326" s="118"/>
      <c r="B35326" s="136"/>
    </row>
    <row r="35327" spans="1:2" x14ac:dyDescent="0.25">
      <c r="A35327" s="118"/>
      <c r="B35327" s="136"/>
    </row>
    <row r="35328" spans="1:2" x14ac:dyDescent="0.25">
      <c r="A35328" s="118"/>
      <c r="B35328" s="136"/>
    </row>
    <row r="35329" spans="1:2" x14ac:dyDescent="0.25">
      <c r="A35329" s="118"/>
      <c r="B35329" s="136"/>
    </row>
    <row r="35330" spans="1:2" x14ac:dyDescent="0.25">
      <c r="A35330" s="118"/>
      <c r="B35330" s="136"/>
    </row>
    <row r="35331" spans="1:2" x14ac:dyDescent="0.25">
      <c r="A35331" s="118"/>
      <c r="B35331" s="136"/>
    </row>
    <row r="35332" spans="1:2" x14ac:dyDescent="0.25">
      <c r="A35332" s="118"/>
      <c r="B35332" s="136"/>
    </row>
    <row r="35333" spans="1:2" x14ac:dyDescent="0.25">
      <c r="A35333" s="118"/>
      <c r="B35333" s="136"/>
    </row>
    <row r="35334" spans="1:2" x14ac:dyDescent="0.25">
      <c r="A35334" s="118"/>
      <c r="B35334" s="136"/>
    </row>
    <row r="35335" spans="1:2" x14ac:dyDescent="0.25">
      <c r="A35335" s="118"/>
      <c r="B35335" s="136"/>
    </row>
    <row r="35336" spans="1:2" x14ac:dyDescent="0.25">
      <c r="A35336" s="118"/>
      <c r="B35336" s="136"/>
    </row>
    <row r="35337" spans="1:2" x14ac:dyDescent="0.25">
      <c r="A35337" s="118"/>
      <c r="B35337" s="136"/>
    </row>
    <row r="35338" spans="1:2" x14ac:dyDescent="0.25">
      <c r="A35338" s="118"/>
      <c r="B35338" s="136"/>
    </row>
    <row r="35339" spans="1:2" x14ac:dyDescent="0.25">
      <c r="A35339" s="118"/>
      <c r="B35339" s="136"/>
    </row>
    <row r="35340" spans="1:2" x14ac:dyDescent="0.25">
      <c r="A35340" s="118"/>
      <c r="B35340" s="136"/>
    </row>
    <row r="35341" spans="1:2" x14ac:dyDescent="0.25">
      <c r="A35341" s="118"/>
      <c r="B35341" s="136"/>
    </row>
    <row r="35342" spans="1:2" x14ac:dyDescent="0.25">
      <c r="A35342" s="118"/>
      <c r="B35342" s="136"/>
    </row>
    <row r="35343" spans="1:2" x14ac:dyDescent="0.25">
      <c r="A35343" s="118"/>
      <c r="B35343" s="136"/>
    </row>
    <row r="35344" spans="1:2" x14ac:dyDescent="0.25">
      <c r="A35344" s="118"/>
      <c r="B35344" s="136"/>
    </row>
    <row r="35345" spans="1:2" x14ac:dyDescent="0.25">
      <c r="A35345" s="118"/>
      <c r="B35345" s="136"/>
    </row>
    <row r="35346" spans="1:2" x14ac:dyDescent="0.25">
      <c r="A35346" s="118"/>
      <c r="B35346" s="136"/>
    </row>
    <row r="35347" spans="1:2" x14ac:dyDescent="0.25">
      <c r="A35347" s="118"/>
      <c r="B35347" s="136"/>
    </row>
    <row r="35348" spans="1:2" x14ac:dyDescent="0.25">
      <c r="A35348" s="118"/>
      <c r="B35348" s="136"/>
    </row>
    <row r="35349" spans="1:2" x14ac:dyDescent="0.25">
      <c r="A35349" s="118"/>
      <c r="B35349" s="136"/>
    </row>
    <row r="35350" spans="1:2" x14ac:dyDescent="0.25">
      <c r="A35350" s="118"/>
      <c r="B35350" s="136"/>
    </row>
    <row r="35351" spans="1:2" x14ac:dyDescent="0.25">
      <c r="A35351" s="118"/>
      <c r="B35351" s="136"/>
    </row>
    <row r="35352" spans="1:2" x14ac:dyDescent="0.25">
      <c r="A35352" s="118"/>
      <c r="B35352" s="136"/>
    </row>
    <row r="35353" spans="1:2" x14ac:dyDescent="0.25">
      <c r="A35353" s="118"/>
      <c r="B35353" s="136"/>
    </row>
    <row r="35354" spans="1:2" x14ac:dyDescent="0.25">
      <c r="A35354" s="118"/>
      <c r="B35354" s="136"/>
    </row>
    <row r="35355" spans="1:2" x14ac:dyDescent="0.25">
      <c r="A35355" s="118"/>
      <c r="B35355" s="136"/>
    </row>
    <row r="35356" spans="1:2" x14ac:dyDescent="0.25">
      <c r="A35356" s="118"/>
      <c r="B35356" s="136"/>
    </row>
    <row r="35357" spans="1:2" x14ac:dyDescent="0.25">
      <c r="A35357" s="118"/>
      <c r="B35357" s="136"/>
    </row>
    <row r="35358" spans="1:2" x14ac:dyDescent="0.25">
      <c r="A35358" s="118"/>
      <c r="B35358" s="136"/>
    </row>
    <row r="35359" spans="1:2" x14ac:dyDescent="0.25">
      <c r="A35359" s="118"/>
      <c r="B35359" s="136"/>
    </row>
    <row r="35360" spans="1:2" x14ac:dyDescent="0.25">
      <c r="A35360" s="118"/>
      <c r="B35360" s="136"/>
    </row>
    <row r="35361" spans="1:2" x14ac:dyDescent="0.25">
      <c r="A35361" s="118"/>
      <c r="B35361" s="136"/>
    </row>
    <row r="35362" spans="1:2" x14ac:dyDescent="0.25">
      <c r="A35362" s="118"/>
      <c r="B35362" s="136"/>
    </row>
    <row r="35363" spans="1:2" x14ac:dyDescent="0.25">
      <c r="A35363" s="118"/>
      <c r="B35363" s="136"/>
    </row>
    <row r="35364" spans="1:2" x14ac:dyDescent="0.25">
      <c r="A35364" s="118"/>
      <c r="B35364" s="136"/>
    </row>
    <row r="35365" spans="1:2" x14ac:dyDescent="0.25">
      <c r="A35365" s="118"/>
      <c r="B35365" s="136"/>
    </row>
    <row r="35366" spans="1:2" x14ac:dyDescent="0.25">
      <c r="A35366" s="118"/>
      <c r="B35366" s="136"/>
    </row>
    <row r="35367" spans="1:2" x14ac:dyDescent="0.25">
      <c r="A35367" s="118"/>
      <c r="B35367" s="136"/>
    </row>
    <row r="35368" spans="1:2" x14ac:dyDescent="0.25">
      <c r="A35368" s="118"/>
      <c r="B35368" s="136"/>
    </row>
    <row r="35369" spans="1:2" x14ac:dyDescent="0.25">
      <c r="A35369" s="118"/>
      <c r="B35369" s="136"/>
    </row>
    <row r="35370" spans="1:2" x14ac:dyDescent="0.25">
      <c r="A35370" s="118"/>
      <c r="B35370" s="136"/>
    </row>
    <row r="35371" spans="1:2" x14ac:dyDescent="0.25">
      <c r="A35371" s="118"/>
      <c r="B35371" s="136"/>
    </row>
    <row r="35372" spans="1:2" x14ac:dyDescent="0.25">
      <c r="A35372" s="118"/>
      <c r="B35372" s="136"/>
    </row>
    <row r="35373" spans="1:2" x14ac:dyDescent="0.25">
      <c r="A35373" s="118"/>
      <c r="B35373" s="136"/>
    </row>
    <row r="35374" spans="1:2" x14ac:dyDescent="0.25">
      <c r="A35374" s="118"/>
      <c r="B35374" s="136"/>
    </row>
    <row r="35375" spans="1:2" x14ac:dyDescent="0.25">
      <c r="A35375" s="118"/>
      <c r="B35375" s="136"/>
    </row>
    <row r="35376" spans="1:2" x14ac:dyDescent="0.25">
      <c r="A35376" s="118"/>
      <c r="B35376" s="136"/>
    </row>
    <row r="35377" spans="1:2" x14ac:dyDescent="0.25">
      <c r="A35377" s="118"/>
      <c r="B35377" s="136"/>
    </row>
    <row r="35378" spans="1:2" x14ac:dyDescent="0.25">
      <c r="A35378" s="118"/>
      <c r="B35378" s="136"/>
    </row>
    <row r="35379" spans="1:2" x14ac:dyDescent="0.25">
      <c r="A35379" s="118"/>
      <c r="B35379" s="136"/>
    </row>
    <row r="35380" spans="1:2" x14ac:dyDescent="0.25">
      <c r="A35380" s="118"/>
      <c r="B35380" s="136"/>
    </row>
    <row r="35381" spans="1:2" x14ac:dyDescent="0.25">
      <c r="A35381" s="118"/>
      <c r="B35381" s="136"/>
    </row>
    <row r="35382" spans="1:2" x14ac:dyDescent="0.25">
      <c r="A35382" s="118"/>
      <c r="B35382" s="136"/>
    </row>
    <row r="35383" spans="1:2" x14ac:dyDescent="0.25">
      <c r="A35383" s="118"/>
      <c r="B35383" s="136"/>
    </row>
    <row r="35384" spans="1:2" x14ac:dyDescent="0.25">
      <c r="A35384" s="118"/>
      <c r="B35384" s="136"/>
    </row>
    <row r="35385" spans="1:2" x14ac:dyDescent="0.25">
      <c r="A35385" s="118"/>
      <c r="B35385" s="136"/>
    </row>
    <row r="35386" spans="1:2" x14ac:dyDescent="0.25">
      <c r="A35386" s="118"/>
      <c r="B35386" s="136"/>
    </row>
    <row r="35387" spans="1:2" x14ac:dyDescent="0.25">
      <c r="A35387" s="118"/>
      <c r="B35387" s="136"/>
    </row>
    <row r="35388" spans="1:2" x14ac:dyDescent="0.25">
      <c r="A35388" s="118"/>
      <c r="B35388" s="136"/>
    </row>
    <row r="35389" spans="1:2" x14ac:dyDescent="0.25">
      <c r="A35389" s="118"/>
      <c r="B35389" s="136"/>
    </row>
    <row r="35390" spans="1:2" x14ac:dyDescent="0.25">
      <c r="A35390" s="118"/>
      <c r="B35390" s="136"/>
    </row>
    <row r="35391" spans="1:2" x14ac:dyDescent="0.25">
      <c r="A35391" s="118"/>
      <c r="B35391" s="136"/>
    </row>
    <row r="35392" spans="1:2" x14ac:dyDescent="0.25">
      <c r="A35392" s="118"/>
      <c r="B35392" s="136"/>
    </row>
    <row r="35393" spans="1:2" x14ac:dyDescent="0.25">
      <c r="A35393" s="118"/>
      <c r="B35393" s="136"/>
    </row>
    <row r="35394" spans="1:2" x14ac:dyDescent="0.25">
      <c r="A35394" s="118"/>
      <c r="B35394" s="136"/>
    </row>
    <row r="35395" spans="1:2" x14ac:dyDescent="0.25">
      <c r="A35395" s="118"/>
      <c r="B35395" s="136"/>
    </row>
    <row r="35396" spans="1:2" x14ac:dyDescent="0.25">
      <c r="A35396" s="118"/>
      <c r="B35396" s="136"/>
    </row>
    <row r="35397" spans="1:2" x14ac:dyDescent="0.25">
      <c r="A35397" s="118"/>
      <c r="B35397" s="136"/>
    </row>
    <row r="35398" spans="1:2" x14ac:dyDescent="0.25">
      <c r="A35398" s="118"/>
      <c r="B35398" s="136"/>
    </row>
    <row r="35399" spans="1:2" x14ac:dyDescent="0.25">
      <c r="A35399" s="118"/>
      <c r="B35399" s="136"/>
    </row>
    <row r="35400" spans="1:2" x14ac:dyDescent="0.25">
      <c r="A35400" s="118"/>
      <c r="B35400" s="136"/>
    </row>
    <row r="35401" spans="1:2" x14ac:dyDescent="0.25">
      <c r="A35401" s="118"/>
      <c r="B35401" s="136"/>
    </row>
    <row r="35402" spans="1:2" x14ac:dyDescent="0.25">
      <c r="A35402" s="118"/>
      <c r="B35402" s="136"/>
    </row>
    <row r="35403" spans="1:2" x14ac:dyDescent="0.25">
      <c r="A35403" s="118"/>
      <c r="B35403" s="136"/>
    </row>
    <row r="35404" spans="1:2" x14ac:dyDescent="0.25">
      <c r="A35404" s="118"/>
      <c r="B35404" s="136"/>
    </row>
    <row r="35405" spans="1:2" x14ac:dyDescent="0.25">
      <c r="A35405" s="118"/>
      <c r="B35405" s="136"/>
    </row>
    <row r="35406" spans="1:2" x14ac:dyDescent="0.25">
      <c r="A35406" s="118"/>
      <c r="B35406" s="136"/>
    </row>
    <row r="35407" spans="1:2" x14ac:dyDescent="0.25">
      <c r="A35407" s="118"/>
      <c r="B35407" s="136"/>
    </row>
    <row r="35408" spans="1:2" x14ac:dyDescent="0.25">
      <c r="A35408" s="118"/>
      <c r="B35408" s="136"/>
    </row>
    <row r="35409" spans="1:2" x14ac:dyDescent="0.25">
      <c r="A35409" s="118"/>
      <c r="B35409" s="136"/>
    </row>
    <row r="35410" spans="1:2" x14ac:dyDescent="0.25">
      <c r="A35410" s="118"/>
      <c r="B35410" s="136"/>
    </row>
    <row r="35411" spans="1:2" x14ac:dyDescent="0.25">
      <c r="A35411" s="118"/>
      <c r="B35411" s="136"/>
    </row>
    <row r="35412" spans="1:2" x14ac:dyDescent="0.25">
      <c r="A35412" s="118"/>
      <c r="B35412" s="136"/>
    </row>
    <row r="35413" spans="1:2" x14ac:dyDescent="0.25">
      <c r="A35413" s="118"/>
      <c r="B35413" s="136"/>
    </row>
    <row r="35414" spans="1:2" x14ac:dyDescent="0.25">
      <c r="A35414" s="118"/>
      <c r="B35414" s="136"/>
    </row>
    <row r="35415" spans="1:2" x14ac:dyDescent="0.25">
      <c r="A35415" s="118"/>
      <c r="B35415" s="136"/>
    </row>
    <row r="35416" spans="1:2" x14ac:dyDescent="0.25">
      <c r="A35416" s="118"/>
      <c r="B35416" s="136"/>
    </row>
    <row r="35417" spans="1:2" x14ac:dyDescent="0.25">
      <c r="A35417" s="118"/>
      <c r="B35417" s="136"/>
    </row>
    <row r="35418" spans="1:2" x14ac:dyDescent="0.25">
      <c r="A35418" s="118"/>
      <c r="B35418" s="136"/>
    </row>
    <row r="35419" spans="1:2" x14ac:dyDescent="0.25">
      <c r="A35419" s="118"/>
      <c r="B35419" s="136"/>
    </row>
    <row r="35420" spans="1:2" x14ac:dyDescent="0.25">
      <c r="A35420" s="118"/>
      <c r="B35420" s="136"/>
    </row>
    <row r="35421" spans="1:2" x14ac:dyDescent="0.25">
      <c r="A35421" s="118"/>
      <c r="B35421" s="136"/>
    </row>
    <row r="35422" spans="1:2" x14ac:dyDescent="0.25">
      <c r="A35422" s="118"/>
      <c r="B35422" s="136"/>
    </row>
    <row r="35423" spans="1:2" x14ac:dyDescent="0.25">
      <c r="A35423" s="118"/>
      <c r="B35423" s="136"/>
    </row>
    <row r="35424" spans="1:2" x14ac:dyDescent="0.25">
      <c r="A35424" s="118"/>
      <c r="B35424" s="136"/>
    </row>
    <row r="35425" spans="1:2" x14ac:dyDescent="0.25">
      <c r="A35425" s="118"/>
      <c r="B35425" s="136"/>
    </row>
    <row r="35426" spans="1:2" x14ac:dyDescent="0.25">
      <c r="A35426" s="118"/>
      <c r="B35426" s="136"/>
    </row>
    <row r="35427" spans="1:2" x14ac:dyDescent="0.25">
      <c r="A35427" s="118"/>
      <c r="B35427" s="136"/>
    </row>
    <row r="35428" spans="1:2" x14ac:dyDescent="0.25">
      <c r="A35428" s="118"/>
      <c r="B35428" s="136"/>
    </row>
    <row r="35429" spans="1:2" x14ac:dyDescent="0.25">
      <c r="A35429" s="118"/>
      <c r="B35429" s="136"/>
    </row>
    <row r="35430" spans="1:2" x14ac:dyDescent="0.25">
      <c r="A35430" s="118"/>
      <c r="B35430" s="136"/>
    </row>
    <row r="35431" spans="1:2" x14ac:dyDescent="0.25">
      <c r="A35431" s="118"/>
      <c r="B35431" s="136"/>
    </row>
    <row r="35432" spans="1:2" x14ac:dyDescent="0.25">
      <c r="A35432" s="118"/>
      <c r="B35432" s="136"/>
    </row>
    <row r="35433" spans="1:2" x14ac:dyDescent="0.25">
      <c r="A35433" s="118"/>
      <c r="B35433" s="136"/>
    </row>
    <row r="35434" spans="1:2" x14ac:dyDescent="0.25">
      <c r="A35434" s="118"/>
      <c r="B35434" s="136"/>
    </row>
    <row r="35435" spans="1:2" x14ac:dyDescent="0.25">
      <c r="A35435" s="118"/>
      <c r="B35435" s="136"/>
    </row>
    <row r="35436" spans="1:2" x14ac:dyDescent="0.25">
      <c r="A35436" s="118"/>
      <c r="B35436" s="136"/>
    </row>
    <row r="35437" spans="1:2" x14ac:dyDescent="0.25">
      <c r="A35437" s="118"/>
      <c r="B35437" s="136"/>
    </row>
    <row r="35438" spans="1:2" x14ac:dyDescent="0.25">
      <c r="A35438" s="118"/>
      <c r="B35438" s="136"/>
    </row>
    <row r="35439" spans="1:2" x14ac:dyDescent="0.25">
      <c r="A35439" s="118"/>
      <c r="B35439" s="136"/>
    </row>
    <row r="35440" spans="1:2" x14ac:dyDescent="0.25">
      <c r="A35440" s="118"/>
      <c r="B35440" s="136"/>
    </row>
    <row r="35441" spans="1:2" x14ac:dyDescent="0.25">
      <c r="A35441" s="118"/>
      <c r="B35441" s="136"/>
    </row>
    <row r="35442" spans="1:2" x14ac:dyDescent="0.25">
      <c r="A35442" s="118"/>
      <c r="B35442" s="136"/>
    </row>
    <row r="35443" spans="1:2" x14ac:dyDescent="0.25">
      <c r="A35443" s="118"/>
      <c r="B35443" s="136"/>
    </row>
    <row r="35444" spans="1:2" x14ac:dyDescent="0.25">
      <c r="A35444" s="118"/>
      <c r="B35444" s="136"/>
    </row>
    <row r="35445" spans="1:2" x14ac:dyDescent="0.25">
      <c r="A35445" s="118"/>
      <c r="B35445" s="136"/>
    </row>
    <row r="35446" spans="1:2" x14ac:dyDescent="0.25">
      <c r="A35446" s="118"/>
      <c r="B35446" s="136"/>
    </row>
    <row r="35447" spans="1:2" x14ac:dyDescent="0.25">
      <c r="A35447" s="118"/>
      <c r="B35447" s="136"/>
    </row>
    <row r="35448" spans="1:2" x14ac:dyDescent="0.25">
      <c r="A35448" s="118"/>
      <c r="B35448" s="136"/>
    </row>
    <row r="35449" spans="1:2" x14ac:dyDescent="0.25">
      <c r="A35449" s="118"/>
      <c r="B35449" s="136"/>
    </row>
    <row r="35450" spans="1:2" x14ac:dyDescent="0.25">
      <c r="A35450" s="118"/>
      <c r="B35450" s="136"/>
    </row>
    <row r="35451" spans="1:2" x14ac:dyDescent="0.25">
      <c r="A35451" s="118"/>
      <c r="B35451" s="136"/>
    </row>
    <row r="35452" spans="1:2" x14ac:dyDescent="0.25">
      <c r="A35452" s="118"/>
      <c r="B35452" s="136"/>
    </row>
    <row r="35453" spans="1:2" x14ac:dyDescent="0.25">
      <c r="A35453" s="118"/>
      <c r="B35453" s="136"/>
    </row>
    <row r="35454" spans="1:2" x14ac:dyDescent="0.25">
      <c r="A35454" s="118"/>
      <c r="B35454" s="136"/>
    </row>
    <row r="35455" spans="1:2" x14ac:dyDescent="0.25">
      <c r="A35455" s="118"/>
      <c r="B35455" s="136"/>
    </row>
    <row r="35456" spans="1:2" x14ac:dyDescent="0.25">
      <c r="A35456" s="118"/>
      <c r="B35456" s="136"/>
    </row>
    <row r="35457" spans="1:2" x14ac:dyDescent="0.25">
      <c r="A35457" s="118"/>
      <c r="B35457" s="136"/>
    </row>
    <row r="35458" spans="1:2" x14ac:dyDescent="0.25">
      <c r="A35458" s="118"/>
      <c r="B35458" s="136"/>
    </row>
    <row r="35459" spans="1:2" x14ac:dyDescent="0.25">
      <c r="A35459" s="118"/>
      <c r="B35459" s="136"/>
    </row>
    <row r="35460" spans="1:2" x14ac:dyDescent="0.25">
      <c r="A35460" s="118"/>
      <c r="B35460" s="136"/>
    </row>
    <row r="35461" spans="1:2" x14ac:dyDescent="0.25">
      <c r="A35461" s="118"/>
      <c r="B35461" s="136"/>
    </row>
    <row r="35462" spans="1:2" x14ac:dyDescent="0.25">
      <c r="A35462" s="118"/>
      <c r="B35462" s="136"/>
    </row>
    <row r="35463" spans="1:2" x14ac:dyDescent="0.25">
      <c r="A35463" s="118"/>
      <c r="B35463" s="136"/>
    </row>
    <row r="35464" spans="1:2" x14ac:dyDescent="0.25">
      <c r="A35464" s="118"/>
      <c r="B35464" s="136"/>
    </row>
    <row r="35465" spans="1:2" x14ac:dyDescent="0.25">
      <c r="A35465" s="118"/>
      <c r="B35465" s="136"/>
    </row>
    <row r="35466" spans="1:2" x14ac:dyDescent="0.25">
      <c r="A35466" s="118"/>
      <c r="B35466" s="136"/>
    </row>
    <row r="35467" spans="1:2" x14ac:dyDescent="0.25">
      <c r="A35467" s="118"/>
      <c r="B35467" s="136"/>
    </row>
    <row r="35468" spans="1:2" x14ac:dyDescent="0.25">
      <c r="A35468" s="118"/>
      <c r="B35468" s="136"/>
    </row>
    <row r="35469" spans="1:2" x14ac:dyDescent="0.25">
      <c r="A35469" s="118"/>
      <c r="B35469" s="136"/>
    </row>
    <row r="35470" spans="1:2" x14ac:dyDescent="0.25">
      <c r="A35470" s="118"/>
      <c r="B35470" s="136"/>
    </row>
    <row r="35471" spans="1:2" x14ac:dyDescent="0.25">
      <c r="A35471" s="118"/>
      <c r="B35471" s="136"/>
    </row>
    <row r="35472" spans="1:2" x14ac:dyDescent="0.25">
      <c r="A35472" s="118"/>
      <c r="B35472" s="136"/>
    </row>
    <row r="35473" spans="1:2" x14ac:dyDescent="0.25">
      <c r="A35473" s="118"/>
      <c r="B35473" s="136"/>
    </row>
    <row r="35474" spans="1:2" x14ac:dyDescent="0.25">
      <c r="A35474" s="118"/>
      <c r="B35474" s="136"/>
    </row>
    <row r="35475" spans="1:2" x14ac:dyDescent="0.25">
      <c r="A35475" s="118"/>
      <c r="B35475" s="136"/>
    </row>
    <row r="35476" spans="1:2" x14ac:dyDescent="0.25">
      <c r="A35476" s="118"/>
      <c r="B35476" s="136"/>
    </row>
    <row r="35477" spans="1:2" x14ac:dyDescent="0.25">
      <c r="A35477" s="118"/>
      <c r="B35477" s="136"/>
    </row>
    <row r="35478" spans="1:2" x14ac:dyDescent="0.25">
      <c r="A35478" s="118"/>
      <c r="B35478" s="136"/>
    </row>
    <row r="35479" spans="1:2" x14ac:dyDescent="0.25">
      <c r="A35479" s="118"/>
      <c r="B35479" s="136"/>
    </row>
    <row r="35480" spans="1:2" x14ac:dyDescent="0.25">
      <c r="A35480" s="118"/>
      <c r="B35480" s="136"/>
    </row>
    <row r="35481" spans="1:2" x14ac:dyDescent="0.25">
      <c r="A35481" s="118"/>
      <c r="B35481" s="136"/>
    </row>
    <row r="35482" spans="1:2" x14ac:dyDescent="0.25">
      <c r="A35482" s="118"/>
      <c r="B35482" s="136"/>
    </row>
    <row r="35483" spans="1:2" x14ac:dyDescent="0.25">
      <c r="A35483" s="118"/>
      <c r="B35483" s="136"/>
    </row>
    <row r="35484" spans="1:2" x14ac:dyDescent="0.25">
      <c r="A35484" s="118"/>
      <c r="B35484" s="136"/>
    </row>
    <row r="35485" spans="1:2" x14ac:dyDescent="0.25">
      <c r="A35485" s="118"/>
      <c r="B35485" s="136"/>
    </row>
    <row r="35486" spans="1:2" x14ac:dyDescent="0.25">
      <c r="A35486" s="118"/>
      <c r="B35486" s="136"/>
    </row>
    <row r="35487" spans="1:2" x14ac:dyDescent="0.25">
      <c r="A35487" s="118"/>
      <c r="B35487" s="136"/>
    </row>
    <row r="35488" spans="1:2" x14ac:dyDescent="0.25">
      <c r="A35488" s="118"/>
      <c r="B35488" s="136"/>
    </row>
    <row r="35489" spans="1:2" x14ac:dyDescent="0.25">
      <c r="A35489" s="118"/>
      <c r="B35489" s="136"/>
    </row>
    <row r="35490" spans="1:2" x14ac:dyDescent="0.25">
      <c r="A35490" s="118"/>
      <c r="B35490" s="136"/>
    </row>
    <row r="35491" spans="1:2" x14ac:dyDescent="0.25">
      <c r="A35491" s="118"/>
      <c r="B35491" s="136"/>
    </row>
    <row r="35492" spans="1:2" x14ac:dyDescent="0.25">
      <c r="A35492" s="118"/>
      <c r="B35492" s="136"/>
    </row>
    <row r="35493" spans="1:2" x14ac:dyDescent="0.25">
      <c r="A35493" s="118"/>
      <c r="B35493" s="136"/>
    </row>
    <row r="35494" spans="1:2" x14ac:dyDescent="0.25">
      <c r="A35494" s="118"/>
      <c r="B35494" s="136"/>
    </row>
    <row r="35495" spans="1:2" x14ac:dyDescent="0.25">
      <c r="A35495" s="118"/>
      <c r="B35495" s="136"/>
    </row>
    <row r="35496" spans="1:2" x14ac:dyDescent="0.25">
      <c r="A35496" s="118"/>
      <c r="B35496" s="136"/>
    </row>
    <row r="35497" spans="1:2" x14ac:dyDescent="0.25">
      <c r="A35497" s="118"/>
      <c r="B35497" s="136"/>
    </row>
    <row r="35498" spans="1:2" x14ac:dyDescent="0.25">
      <c r="A35498" s="118"/>
      <c r="B35498" s="136"/>
    </row>
    <row r="35499" spans="1:2" x14ac:dyDescent="0.25">
      <c r="A35499" s="118"/>
      <c r="B35499" s="136"/>
    </row>
    <row r="35500" spans="1:2" x14ac:dyDescent="0.25">
      <c r="A35500" s="118"/>
      <c r="B35500" s="136"/>
    </row>
    <row r="35501" spans="1:2" x14ac:dyDescent="0.25">
      <c r="A35501" s="118"/>
      <c r="B35501" s="136"/>
    </row>
    <row r="35502" spans="1:2" x14ac:dyDescent="0.25">
      <c r="A35502" s="118"/>
      <c r="B35502" s="136"/>
    </row>
    <row r="35503" spans="1:2" x14ac:dyDescent="0.25">
      <c r="A35503" s="118"/>
      <c r="B35503" s="136"/>
    </row>
    <row r="35504" spans="1:2" x14ac:dyDescent="0.25">
      <c r="A35504" s="118"/>
      <c r="B35504" s="136"/>
    </row>
    <row r="35505" spans="1:2" x14ac:dyDescent="0.25">
      <c r="A35505" s="118"/>
      <c r="B35505" s="136"/>
    </row>
    <row r="35506" spans="1:2" x14ac:dyDescent="0.25">
      <c r="A35506" s="118"/>
      <c r="B35506" s="136"/>
    </row>
    <row r="35507" spans="1:2" x14ac:dyDescent="0.25">
      <c r="A35507" s="118"/>
      <c r="B35507" s="136"/>
    </row>
    <row r="35508" spans="1:2" x14ac:dyDescent="0.25">
      <c r="A35508" s="118"/>
      <c r="B35508" s="136"/>
    </row>
    <row r="35509" spans="1:2" x14ac:dyDescent="0.25">
      <c r="A35509" s="118"/>
      <c r="B35509" s="136"/>
    </row>
    <row r="35510" spans="1:2" x14ac:dyDescent="0.25">
      <c r="A35510" s="118"/>
      <c r="B35510" s="136"/>
    </row>
    <row r="35511" spans="1:2" x14ac:dyDescent="0.25">
      <c r="A35511" s="118"/>
      <c r="B35511" s="136"/>
    </row>
    <row r="35512" spans="1:2" x14ac:dyDescent="0.25">
      <c r="A35512" s="118"/>
      <c r="B35512" s="136"/>
    </row>
    <row r="35513" spans="1:2" x14ac:dyDescent="0.25">
      <c r="A35513" s="118"/>
      <c r="B35513" s="136"/>
    </row>
    <row r="35514" spans="1:2" x14ac:dyDescent="0.25">
      <c r="A35514" s="118"/>
      <c r="B35514" s="136"/>
    </row>
    <row r="35515" spans="1:2" x14ac:dyDescent="0.25">
      <c r="A35515" s="118"/>
      <c r="B35515" s="136"/>
    </row>
    <row r="35516" spans="1:2" x14ac:dyDescent="0.25">
      <c r="A35516" s="118"/>
      <c r="B35516" s="136"/>
    </row>
    <row r="35517" spans="1:2" x14ac:dyDescent="0.25">
      <c r="A35517" s="118"/>
      <c r="B35517" s="136"/>
    </row>
    <row r="35518" spans="1:2" x14ac:dyDescent="0.25">
      <c r="A35518" s="118"/>
      <c r="B35518" s="136"/>
    </row>
    <row r="35519" spans="1:2" x14ac:dyDescent="0.25">
      <c r="A35519" s="118"/>
      <c r="B35519" s="136"/>
    </row>
    <row r="35520" spans="1:2" x14ac:dyDescent="0.25">
      <c r="A35520" s="118"/>
      <c r="B35520" s="136"/>
    </row>
    <row r="35521" spans="1:2" x14ac:dyDescent="0.25">
      <c r="A35521" s="118"/>
      <c r="B35521" s="136"/>
    </row>
    <row r="35522" spans="1:2" x14ac:dyDescent="0.25">
      <c r="A35522" s="118"/>
      <c r="B35522" s="136"/>
    </row>
    <row r="35523" spans="1:2" x14ac:dyDescent="0.25">
      <c r="A35523" s="118"/>
      <c r="B35523" s="136"/>
    </row>
    <row r="35524" spans="1:2" x14ac:dyDescent="0.25">
      <c r="A35524" s="118"/>
      <c r="B35524" s="136"/>
    </row>
    <row r="35525" spans="1:2" x14ac:dyDescent="0.25">
      <c r="A35525" s="118"/>
      <c r="B35525" s="136"/>
    </row>
    <row r="35526" spans="1:2" x14ac:dyDescent="0.25">
      <c r="A35526" s="118"/>
      <c r="B35526" s="136"/>
    </row>
    <row r="35527" spans="1:2" x14ac:dyDescent="0.25">
      <c r="A35527" s="118"/>
      <c r="B35527" s="136"/>
    </row>
    <row r="35528" spans="1:2" x14ac:dyDescent="0.25">
      <c r="A35528" s="118"/>
      <c r="B35528" s="136"/>
    </row>
    <row r="35529" spans="1:2" x14ac:dyDescent="0.25">
      <c r="A35529" s="118"/>
      <c r="B35529" s="136"/>
    </row>
    <row r="35530" spans="1:2" x14ac:dyDescent="0.25">
      <c r="A35530" s="118"/>
      <c r="B35530" s="136"/>
    </row>
    <row r="35531" spans="1:2" x14ac:dyDescent="0.25">
      <c r="A35531" s="118"/>
      <c r="B35531" s="136"/>
    </row>
    <row r="35532" spans="1:2" x14ac:dyDescent="0.25">
      <c r="A35532" s="118"/>
      <c r="B35532" s="136"/>
    </row>
    <row r="35533" spans="1:2" x14ac:dyDescent="0.25">
      <c r="A35533" s="118"/>
      <c r="B35533" s="136"/>
    </row>
    <row r="35534" spans="1:2" x14ac:dyDescent="0.25">
      <c r="A35534" s="118"/>
      <c r="B35534" s="136"/>
    </row>
    <row r="35535" spans="1:2" x14ac:dyDescent="0.25">
      <c r="A35535" s="118"/>
      <c r="B35535" s="136"/>
    </row>
    <row r="35536" spans="1:2" x14ac:dyDescent="0.25">
      <c r="A35536" s="118"/>
      <c r="B35536" s="136"/>
    </row>
    <row r="35537" spans="1:2" x14ac:dyDescent="0.25">
      <c r="A35537" s="118"/>
      <c r="B35537" s="136"/>
    </row>
    <row r="35538" spans="1:2" x14ac:dyDescent="0.25">
      <c r="A35538" s="118"/>
      <c r="B35538" s="136"/>
    </row>
    <row r="35539" spans="1:2" x14ac:dyDescent="0.25">
      <c r="A35539" s="118"/>
      <c r="B35539" s="136"/>
    </row>
    <row r="35540" spans="1:2" x14ac:dyDescent="0.25">
      <c r="A35540" s="118"/>
      <c r="B35540" s="136"/>
    </row>
    <row r="35541" spans="1:2" x14ac:dyDescent="0.25">
      <c r="A35541" s="118"/>
      <c r="B35541" s="136"/>
    </row>
    <row r="35542" spans="1:2" x14ac:dyDescent="0.25">
      <c r="A35542" s="118"/>
      <c r="B35542" s="136"/>
    </row>
    <row r="35543" spans="1:2" x14ac:dyDescent="0.25">
      <c r="A35543" s="118"/>
      <c r="B35543" s="136"/>
    </row>
    <row r="35544" spans="1:2" x14ac:dyDescent="0.25">
      <c r="A35544" s="118"/>
      <c r="B35544" s="136"/>
    </row>
    <row r="35545" spans="1:2" x14ac:dyDescent="0.25">
      <c r="A35545" s="118"/>
      <c r="B35545" s="136"/>
    </row>
    <row r="35546" spans="1:2" x14ac:dyDescent="0.25">
      <c r="A35546" s="118"/>
      <c r="B35546" s="136"/>
    </row>
    <row r="35547" spans="1:2" x14ac:dyDescent="0.25">
      <c r="A35547" s="118"/>
      <c r="B35547" s="136"/>
    </row>
    <row r="35548" spans="1:2" x14ac:dyDescent="0.25">
      <c r="A35548" s="118"/>
      <c r="B35548" s="136"/>
    </row>
    <row r="35549" spans="1:2" x14ac:dyDescent="0.25">
      <c r="A35549" s="118"/>
      <c r="B35549" s="136"/>
    </row>
    <row r="35550" spans="1:2" x14ac:dyDescent="0.25">
      <c r="A35550" s="118"/>
      <c r="B35550" s="136"/>
    </row>
    <row r="35551" spans="1:2" x14ac:dyDescent="0.25">
      <c r="A35551" s="118"/>
      <c r="B35551" s="136"/>
    </row>
    <row r="35552" spans="1:2" x14ac:dyDescent="0.25">
      <c r="A35552" s="118"/>
      <c r="B35552" s="136"/>
    </row>
    <row r="35553" spans="1:2" x14ac:dyDescent="0.25">
      <c r="A35553" s="118"/>
      <c r="B35553" s="136"/>
    </row>
    <row r="35554" spans="1:2" x14ac:dyDescent="0.25">
      <c r="A35554" s="118"/>
      <c r="B35554" s="136"/>
    </row>
    <row r="35555" spans="1:2" x14ac:dyDescent="0.25">
      <c r="A35555" s="118"/>
      <c r="B35555" s="136"/>
    </row>
    <row r="35556" spans="1:2" x14ac:dyDescent="0.25">
      <c r="A35556" s="118"/>
      <c r="B35556" s="136"/>
    </row>
    <row r="35557" spans="1:2" x14ac:dyDescent="0.25">
      <c r="A35557" s="118"/>
      <c r="B35557" s="136"/>
    </row>
    <row r="35558" spans="1:2" x14ac:dyDescent="0.25">
      <c r="A35558" s="118"/>
      <c r="B35558" s="136"/>
    </row>
    <row r="35559" spans="1:2" x14ac:dyDescent="0.25">
      <c r="A35559" s="118"/>
      <c r="B35559" s="136"/>
    </row>
    <row r="35560" spans="1:2" x14ac:dyDescent="0.25">
      <c r="A35560" s="118"/>
      <c r="B35560" s="136"/>
    </row>
    <row r="35561" spans="1:2" x14ac:dyDescent="0.25">
      <c r="A35561" s="118"/>
      <c r="B35561" s="136"/>
    </row>
    <row r="35562" spans="1:2" x14ac:dyDescent="0.25">
      <c r="A35562" s="118"/>
      <c r="B35562" s="136"/>
    </row>
    <row r="35563" spans="1:2" x14ac:dyDescent="0.25">
      <c r="A35563" s="118"/>
      <c r="B35563" s="136"/>
    </row>
    <row r="35564" spans="1:2" x14ac:dyDescent="0.25">
      <c r="A35564" s="118"/>
      <c r="B35564" s="136"/>
    </row>
    <row r="35565" spans="1:2" x14ac:dyDescent="0.25">
      <c r="A35565" s="118"/>
      <c r="B35565" s="136"/>
    </row>
    <row r="35566" spans="1:2" x14ac:dyDescent="0.25">
      <c r="A35566" s="118"/>
      <c r="B35566" s="136"/>
    </row>
    <row r="35567" spans="1:2" x14ac:dyDescent="0.25">
      <c r="A35567" s="118"/>
      <c r="B35567" s="136"/>
    </row>
    <row r="35568" spans="1:2" x14ac:dyDescent="0.25">
      <c r="A35568" s="118"/>
      <c r="B35568" s="136"/>
    </row>
    <row r="35569" spans="1:2" x14ac:dyDescent="0.25">
      <c r="A35569" s="118"/>
      <c r="B35569" s="136"/>
    </row>
    <row r="35570" spans="1:2" x14ac:dyDescent="0.25">
      <c r="A35570" s="118"/>
      <c r="B35570" s="136"/>
    </row>
    <row r="35571" spans="1:2" x14ac:dyDescent="0.25">
      <c r="A35571" s="118"/>
      <c r="B35571" s="136"/>
    </row>
    <row r="35572" spans="1:2" x14ac:dyDescent="0.25">
      <c r="A35572" s="118"/>
      <c r="B35572" s="136"/>
    </row>
    <row r="35573" spans="1:2" x14ac:dyDescent="0.25">
      <c r="A35573" s="118"/>
      <c r="B35573" s="136"/>
    </row>
    <row r="35574" spans="1:2" x14ac:dyDescent="0.25">
      <c r="A35574" s="118"/>
      <c r="B35574" s="136"/>
    </row>
    <row r="35575" spans="1:2" x14ac:dyDescent="0.25">
      <c r="A35575" s="118"/>
      <c r="B35575" s="136"/>
    </row>
    <row r="35576" spans="1:2" x14ac:dyDescent="0.25">
      <c r="A35576" s="118"/>
      <c r="B35576" s="136"/>
    </row>
    <row r="35577" spans="1:2" x14ac:dyDescent="0.25">
      <c r="A35577" s="118"/>
      <c r="B35577" s="136"/>
    </row>
    <row r="35578" spans="1:2" x14ac:dyDescent="0.25">
      <c r="A35578" s="118"/>
      <c r="B35578" s="136"/>
    </row>
    <row r="35579" spans="1:2" x14ac:dyDescent="0.25">
      <c r="A35579" s="118"/>
      <c r="B35579" s="136"/>
    </row>
    <row r="35580" spans="1:2" x14ac:dyDescent="0.25">
      <c r="A35580" s="118"/>
      <c r="B35580" s="136"/>
    </row>
    <row r="35581" spans="1:2" x14ac:dyDescent="0.25">
      <c r="A35581" s="118"/>
      <c r="B35581" s="136"/>
    </row>
    <row r="35582" spans="1:2" x14ac:dyDescent="0.25">
      <c r="A35582" s="118"/>
      <c r="B35582" s="136"/>
    </row>
    <row r="35583" spans="1:2" x14ac:dyDescent="0.25">
      <c r="A35583" s="118"/>
      <c r="B35583" s="136"/>
    </row>
    <row r="35584" spans="1:2" x14ac:dyDescent="0.25">
      <c r="A35584" s="118"/>
      <c r="B35584" s="136"/>
    </row>
    <row r="35585" spans="1:2" x14ac:dyDescent="0.25">
      <c r="A35585" s="118"/>
      <c r="B35585" s="136"/>
    </row>
    <row r="35586" spans="1:2" x14ac:dyDescent="0.25">
      <c r="A35586" s="118"/>
      <c r="B35586" s="136"/>
    </row>
    <row r="35587" spans="1:2" x14ac:dyDescent="0.25">
      <c r="A35587" s="118"/>
      <c r="B35587" s="136"/>
    </row>
    <row r="35588" spans="1:2" x14ac:dyDescent="0.25">
      <c r="A35588" s="118"/>
      <c r="B35588" s="136"/>
    </row>
    <row r="35589" spans="1:2" x14ac:dyDescent="0.25">
      <c r="A35589" s="118"/>
      <c r="B35589" s="136"/>
    </row>
    <row r="35590" spans="1:2" x14ac:dyDescent="0.25">
      <c r="A35590" s="118"/>
      <c r="B35590" s="136"/>
    </row>
    <row r="35591" spans="1:2" x14ac:dyDescent="0.25">
      <c r="A35591" s="118"/>
      <c r="B35591" s="136"/>
    </row>
    <row r="35592" spans="1:2" x14ac:dyDescent="0.25">
      <c r="A35592" s="118"/>
      <c r="B35592" s="136"/>
    </row>
    <row r="35593" spans="1:2" x14ac:dyDescent="0.25">
      <c r="A35593" s="118"/>
      <c r="B35593" s="136"/>
    </row>
    <row r="35594" spans="1:2" x14ac:dyDescent="0.25">
      <c r="A35594" s="118"/>
      <c r="B35594" s="136"/>
    </row>
    <row r="35595" spans="1:2" x14ac:dyDescent="0.25">
      <c r="A35595" s="118"/>
      <c r="B35595" s="136"/>
    </row>
    <row r="35596" spans="1:2" x14ac:dyDescent="0.25">
      <c r="A35596" s="118"/>
      <c r="B35596" s="136"/>
    </row>
    <row r="35597" spans="1:2" x14ac:dyDescent="0.25">
      <c r="A35597" s="118"/>
      <c r="B35597" s="136"/>
    </row>
    <row r="35598" spans="1:2" x14ac:dyDescent="0.25">
      <c r="A35598" s="118"/>
      <c r="B35598" s="136"/>
    </row>
    <row r="35599" spans="1:2" x14ac:dyDescent="0.25">
      <c r="A35599" s="118"/>
      <c r="B35599" s="136"/>
    </row>
    <row r="35600" spans="1:2" x14ac:dyDescent="0.25">
      <c r="A35600" s="118"/>
      <c r="B35600" s="136"/>
    </row>
    <row r="35601" spans="1:2" x14ac:dyDescent="0.25">
      <c r="A35601" s="118"/>
      <c r="B35601" s="136"/>
    </row>
    <row r="35602" spans="1:2" x14ac:dyDescent="0.25">
      <c r="A35602" s="118"/>
      <c r="B35602" s="136"/>
    </row>
    <row r="35603" spans="1:2" x14ac:dyDescent="0.25">
      <c r="A35603" s="118"/>
      <c r="B35603" s="136"/>
    </row>
    <row r="35604" spans="1:2" x14ac:dyDescent="0.25">
      <c r="A35604" s="118"/>
      <c r="B35604" s="136"/>
    </row>
    <row r="35605" spans="1:2" x14ac:dyDescent="0.25">
      <c r="A35605" s="118"/>
      <c r="B35605" s="136"/>
    </row>
    <row r="35606" spans="1:2" x14ac:dyDescent="0.25">
      <c r="A35606" s="118"/>
      <c r="B35606" s="136"/>
    </row>
    <row r="35607" spans="1:2" x14ac:dyDescent="0.25">
      <c r="A35607" s="118"/>
      <c r="B35607" s="136"/>
    </row>
    <row r="35608" spans="1:2" x14ac:dyDescent="0.25">
      <c r="A35608" s="118"/>
      <c r="B35608" s="136"/>
    </row>
    <row r="35609" spans="1:2" x14ac:dyDescent="0.25">
      <c r="A35609" s="118"/>
      <c r="B35609" s="136"/>
    </row>
    <row r="35610" spans="1:2" x14ac:dyDescent="0.25">
      <c r="A35610" s="118"/>
      <c r="B35610" s="136"/>
    </row>
    <row r="35611" spans="1:2" x14ac:dyDescent="0.25">
      <c r="A35611" s="118"/>
      <c r="B35611" s="136"/>
    </row>
    <row r="35612" spans="1:2" x14ac:dyDescent="0.25">
      <c r="A35612" s="118"/>
      <c r="B35612" s="136"/>
    </row>
    <row r="35613" spans="1:2" x14ac:dyDescent="0.25">
      <c r="A35613" s="118"/>
      <c r="B35613" s="136"/>
    </row>
    <row r="35614" spans="1:2" x14ac:dyDescent="0.25">
      <c r="A35614" s="118"/>
      <c r="B35614" s="136"/>
    </row>
    <row r="35615" spans="1:2" x14ac:dyDescent="0.25">
      <c r="A35615" s="118"/>
      <c r="B35615" s="136"/>
    </row>
    <row r="35616" spans="1:2" x14ac:dyDescent="0.25">
      <c r="A35616" s="118"/>
      <c r="B35616" s="136"/>
    </row>
    <row r="35617" spans="1:2" x14ac:dyDescent="0.25">
      <c r="A35617" s="118"/>
      <c r="B35617" s="136"/>
    </row>
    <row r="35618" spans="1:2" x14ac:dyDescent="0.25">
      <c r="A35618" s="118"/>
      <c r="B35618" s="136"/>
    </row>
    <row r="35619" spans="1:2" x14ac:dyDescent="0.25">
      <c r="A35619" s="118"/>
      <c r="B35619" s="136"/>
    </row>
    <row r="35620" spans="1:2" x14ac:dyDescent="0.25">
      <c r="A35620" s="118"/>
      <c r="B35620" s="136"/>
    </row>
    <row r="35621" spans="1:2" x14ac:dyDescent="0.25">
      <c r="A35621" s="118"/>
      <c r="B35621" s="136"/>
    </row>
    <row r="35622" spans="1:2" x14ac:dyDescent="0.25">
      <c r="A35622" s="118"/>
      <c r="B35622" s="136"/>
    </row>
    <row r="35623" spans="1:2" x14ac:dyDescent="0.25">
      <c r="A35623" s="118"/>
      <c r="B35623" s="136"/>
    </row>
    <row r="35624" spans="1:2" x14ac:dyDescent="0.25">
      <c r="A35624" s="118"/>
      <c r="B35624" s="136"/>
    </row>
    <row r="35625" spans="1:2" x14ac:dyDescent="0.25">
      <c r="A35625" s="118"/>
      <c r="B35625" s="136"/>
    </row>
    <row r="35626" spans="1:2" x14ac:dyDescent="0.25">
      <c r="A35626" s="118"/>
      <c r="B35626" s="136"/>
    </row>
    <row r="35627" spans="1:2" x14ac:dyDescent="0.25">
      <c r="A35627" s="118"/>
      <c r="B35627" s="136"/>
    </row>
    <row r="35628" spans="1:2" x14ac:dyDescent="0.25">
      <c r="A35628" s="118"/>
      <c r="B35628" s="136"/>
    </row>
    <row r="35629" spans="1:2" x14ac:dyDescent="0.25">
      <c r="A35629" s="118"/>
      <c r="B35629" s="136"/>
    </row>
    <row r="35630" spans="1:2" x14ac:dyDescent="0.25">
      <c r="A35630" s="118"/>
      <c r="B35630" s="136"/>
    </row>
    <row r="35631" spans="1:2" x14ac:dyDescent="0.25">
      <c r="A35631" s="118"/>
      <c r="B35631" s="136"/>
    </row>
    <row r="35632" spans="1:2" x14ac:dyDescent="0.25">
      <c r="A35632" s="118"/>
      <c r="B35632" s="136"/>
    </row>
    <row r="35633" spans="1:2" x14ac:dyDescent="0.25">
      <c r="A35633" s="118"/>
      <c r="B35633" s="136"/>
    </row>
    <row r="35634" spans="1:2" x14ac:dyDescent="0.25">
      <c r="A35634" s="118"/>
      <c r="B35634" s="136"/>
    </row>
    <row r="35635" spans="1:2" x14ac:dyDescent="0.25">
      <c r="A35635" s="118"/>
      <c r="B35635" s="136"/>
    </row>
    <row r="35636" spans="1:2" x14ac:dyDescent="0.25">
      <c r="A35636" s="118"/>
      <c r="B35636" s="136"/>
    </row>
    <row r="35637" spans="1:2" x14ac:dyDescent="0.25">
      <c r="A35637" s="118"/>
      <c r="B35637" s="136"/>
    </row>
    <row r="35638" spans="1:2" x14ac:dyDescent="0.25">
      <c r="A35638" s="118"/>
      <c r="B35638" s="136"/>
    </row>
    <row r="35639" spans="1:2" x14ac:dyDescent="0.25">
      <c r="A35639" s="118"/>
      <c r="B35639" s="136"/>
    </row>
    <row r="35640" spans="1:2" x14ac:dyDescent="0.25">
      <c r="A35640" s="118"/>
      <c r="B35640" s="136"/>
    </row>
    <row r="35641" spans="1:2" x14ac:dyDescent="0.25">
      <c r="A35641" s="118"/>
      <c r="B35641" s="136"/>
    </row>
    <row r="35642" spans="1:2" x14ac:dyDescent="0.25">
      <c r="A35642" s="118"/>
      <c r="B35642" s="136"/>
    </row>
    <row r="35643" spans="1:2" x14ac:dyDescent="0.25">
      <c r="A35643" s="118"/>
      <c r="B35643" s="136"/>
    </row>
    <row r="35644" spans="1:2" x14ac:dyDescent="0.25">
      <c r="A35644" s="118"/>
      <c r="B35644" s="136"/>
    </row>
    <row r="35645" spans="1:2" x14ac:dyDescent="0.25">
      <c r="A35645" s="118"/>
      <c r="B35645" s="136"/>
    </row>
    <row r="35646" spans="1:2" x14ac:dyDescent="0.25">
      <c r="A35646" s="118"/>
      <c r="B35646" s="136"/>
    </row>
    <row r="35647" spans="1:2" x14ac:dyDescent="0.25">
      <c r="A35647" s="118"/>
      <c r="B35647" s="136"/>
    </row>
    <row r="35648" spans="1:2" x14ac:dyDescent="0.25">
      <c r="A35648" s="118"/>
      <c r="B35648" s="136"/>
    </row>
    <row r="35649" spans="1:2" x14ac:dyDescent="0.25">
      <c r="A35649" s="118"/>
      <c r="B35649" s="136"/>
    </row>
    <row r="35650" spans="1:2" x14ac:dyDescent="0.25">
      <c r="A35650" s="118"/>
      <c r="B35650" s="136"/>
    </row>
    <row r="35651" spans="1:2" x14ac:dyDescent="0.25">
      <c r="A35651" s="118"/>
      <c r="B35651" s="136"/>
    </row>
    <row r="35652" spans="1:2" x14ac:dyDescent="0.25">
      <c r="A35652" s="118"/>
      <c r="B35652" s="136"/>
    </row>
    <row r="35653" spans="1:2" x14ac:dyDescent="0.25">
      <c r="A35653" s="118"/>
      <c r="B35653" s="136"/>
    </row>
    <row r="35654" spans="1:2" x14ac:dyDescent="0.25">
      <c r="A35654" s="118"/>
      <c r="B35654" s="136"/>
    </row>
    <row r="35655" spans="1:2" x14ac:dyDescent="0.25">
      <c r="A35655" s="118"/>
      <c r="B35655" s="136"/>
    </row>
    <row r="35656" spans="1:2" x14ac:dyDescent="0.25">
      <c r="A35656" s="118"/>
      <c r="B35656" s="136"/>
    </row>
    <row r="35657" spans="1:2" x14ac:dyDescent="0.25">
      <c r="A35657" s="118"/>
      <c r="B35657" s="136"/>
    </row>
    <row r="35658" spans="1:2" x14ac:dyDescent="0.25">
      <c r="A35658" s="118"/>
      <c r="B35658" s="136"/>
    </row>
    <row r="35659" spans="1:2" x14ac:dyDescent="0.25">
      <c r="A35659" s="118"/>
      <c r="B35659" s="136"/>
    </row>
    <row r="35660" spans="1:2" x14ac:dyDescent="0.25">
      <c r="A35660" s="118"/>
      <c r="B35660" s="136"/>
    </row>
    <row r="35661" spans="1:2" x14ac:dyDescent="0.25">
      <c r="A35661" s="118"/>
      <c r="B35661" s="136"/>
    </row>
    <row r="35662" spans="1:2" x14ac:dyDescent="0.25">
      <c r="A35662" s="118"/>
      <c r="B35662" s="136"/>
    </row>
    <row r="35663" spans="1:2" x14ac:dyDescent="0.25">
      <c r="A35663" s="118"/>
      <c r="B35663" s="136"/>
    </row>
    <row r="35664" spans="1:2" x14ac:dyDescent="0.25">
      <c r="A35664" s="118"/>
      <c r="B35664" s="136"/>
    </row>
    <row r="35665" spans="1:2" x14ac:dyDescent="0.25">
      <c r="A35665" s="118"/>
      <c r="B35665" s="136"/>
    </row>
    <row r="35666" spans="1:2" x14ac:dyDescent="0.25">
      <c r="A35666" s="118"/>
      <c r="B35666" s="136"/>
    </row>
    <row r="35667" spans="1:2" x14ac:dyDescent="0.25">
      <c r="A35667" s="118"/>
      <c r="B35667" s="136"/>
    </row>
    <row r="35668" spans="1:2" x14ac:dyDescent="0.25">
      <c r="A35668" s="118"/>
      <c r="B35668" s="136"/>
    </row>
    <row r="35669" spans="1:2" x14ac:dyDescent="0.25">
      <c r="A35669" s="118"/>
      <c r="B35669" s="136"/>
    </row>
    <row r="35670" spans="1:2" x14ac:dyDescent="0.25">
      <c r="A35670" s="118"/>
      <c r="B35670" s="136"/>
    </row>
    <row r="35671" spans="1:2" x14ac:dyDescent="0.25">
      <c r="A35671" s="118"/>
      <c r="B35671" s="136"/>
    </row>
    <row r="35672" spans="1:2" x14ac:dyDescent="0.25">
      <c r="A35672" s="118"/>
      <c r="B35672" s="136"/>
    </row>
    <row r="35673" spans="1:2" x14ac:dyDescent="0.25">
      <c r="A35673" s="118"/>
      <c r="B35673" s="136"/>
    </row>
    <row r="35674" spans="1:2" x14ac:dyDescent="0.25">
      <c r="A35674" s="118"/>
      <c r="B35674" s="136"/>
    </row>
    <row r="35675" spans="1:2" x14ac:dyDescent="0.25">
      <c r="A35675" s="118"/>
      <c r="B35675" s="136"/>
    </row>
    <row r="35676" spans="1:2" x14ac:dyDescent="0.25">
      <c r="A35676" s="118"/>
      <c r="B35676" s="136"/>
    </row>
    <row r="35677" spans="1:2" x14ac:dyDescent="0.25">
      <c r="A35677" s="118"/>
      <c r="B35677" s="136"/>
    </row>
    <row r="35678" spans="1:2" x14ac:dyDescent="0.25">
      <c r="A35678" s="118"/>
      <c r="B35678" s="136"/>
    </row>
    <row r="35679" spans="1:2" x14ac:dyDescent="0.25">
      <c r="A35679" s="118"/>
      <c r="B35679" s="136"/>
    </row>
    <row r="35680" spans="1:2" x14ac:dyDescent="0.25">
      <c r="A35680" s="118"/>
      <c r="B35680" s="136"/>
    </row>
    <row r="35681" spans="1:2" x14ac:dyDescent="0.25">
      <c r="A35681" s="118"/>
      <c r="B35681" s="136"/>
    </row>
    <row r="35682" spans="1:2" x14ac:dyDescent="0.25">
      <c r="A35682" s="118"/>
      <c r="B35682" s="136"/>
    </row>
    <row r="35683" spans="1:2" x14ac:dyDescent="0.25">
      <c r="A35683" s="118"/>
      <c r="B35683" s="136"/>
    </row>
    <row r="35684" spans="1:2" x14ac:dyDescent="0.25">
      <c r="A35684" s="118"/>
      <c r="B35684" s="136"/>
    </row>
    <row r="35685" spans="1:2" x14ac:dyDescent="0.25">
      <c r="A35685" s="118"/>
      <c r="B35685" s="136"/>
    </row>
    <row r="35686" spans="1:2" x14ac:dyDescent="0.25">
      <c r="A35686" s="118"/>
      <c r="B35686" s="136"/>
    </row>
    <row r="35687" spans="1:2" x14ac:dyDescent="0.25">
      <c r="A35687" s="118"/>
      <c r="B35687" s="136"/>
    </row>
    <row r="35688" spans="1:2" x14ac:dyDescent="0.25">
      <c r="A35688" s="118"/>
      <c r="B35688" s="136"/>
    </row>
    <row r="35689" spans="1:2" x14ac:dyDescent="0.25">
      <c r="A35689" s="118"/>
      <c r="B35689" s="136"/>
    </row>
    <row r="35690" spans="1:2" x14ac:dyDescent="0.25">
      <c r="A35690" s="118"/>
      <c r="B35690" s="136"/>
    </row>
    <row r="35691" spans="1:2" x14ac:dyDescent="0.25">
      <c r="A35691" s="118"/>
      <c r="B35691" s="136"/>
    </row>
    <row r="35692" spans="1:2" x14ac:dyDescent="0.25">
      <c r="A35692" s="118"/>
      <c r="B35692" s="136"/>
    </row>
    <row r="35693" spans="1:2" x14ac:dyDescent="0.25">
      <c r="A35693" s="118"/>
      <c r="B35693" s="136"/>
    </row>
    <row r="35694" spans="1:2" x14ac:dyDescent="0.25">
      <c r="A35694" s="118"/>
      <c r="B35694" s="136"/>
    </row>
    <row r="35695" spans="1:2" x14ac:dyDescent="0.25">
      <c r="A35695" s="118"/>
      <c r="B35695" s="136"/>
    </row>
    <row r="35696" spans="1:2" x14ac:dyDescent="0.25">
      <c r="A35696" s="118"/>
      <c r="B35696" s="136"/>
    </row>
    <row r="35697" spans="1:2" x14ac:dyDescent="0.25">
      <c r="A35697" s="118"/>
      <c r="B35697" s="136"/>
    </row>
    <row r="35698" spans="1:2" x14ac:dyDescent="0.25">
      <c r="A35698" s="118"/>
      <c r="B35698" s="136"/>
    </row>
    <row r="35699" spans="1:2" x14ac:dyDescent="0.25">
      <c r="A35699" s="118"/>
      <c r="B35699" s="136"/>
    </row>
    <row r="35700" spans="1:2" x14ac:dyDescent="0.25">
      <c r="A35700" s="118"/>
      <c r="B35700" s="136"/>
    </row>
    <row r="35701" spans="1:2" x14ac:dyDescent="0.25">
      <c r="A35701" s="118"/>
      <c r="B35701" s="136"/>
    </row>
    <row r="35702" spans="1:2" x14ac:dyDescent="0.25">
      <c r="A35702" s="118"/>
      <c r="B35702" s="136"/>
    </row>
    <row r="35703" spans="1:2" x14ac:dyDescent="0.25">
      <c r="A35703" s="118"/>
      <c r="B35703" s="136"/>
    </row>
    <row r="35704" spans="1:2" x14ac:dyDescent="0.25">
      <c r="A35704" s="118"/>
      <c r="B35704" s="136"/>
    </row>
    <row r="35705" spans="1:2" x14ac:dyDescent="0.25">
      <c r="A35705" s="118"/>
      <c r="B35705" s="136"/>
    </row>
    <row r="35706" spans="1:2" x14ac:dyDescent="0.25">
      <c r="A35706" s="118"/>
      <c r="B35706" s="136"/>
    </row>
    <row r="35707" spans="1:2" x14ac:dyDescent="0.25">
      <c r="A35707" s="118"/>
      <c r="B35707" s="136"/>
    </row>
    <row r="35708" spans="1:2" x14ac:dyDescent="0.25">
      <c r="A35708" s="118"/>
      <c r="B35708" s="136"/>
    </row>
    <row r="35709" spans="1:2" x14ac:dyDescent="0.25">
      <c r="A35709" s="118"/>
      <c r="B35709" s="136"/>
    </row>
    <row r="35710" spans="1:2" x14ac:dyDescent="0.25">
      <c r="A35710" s="118"/>
      <c r="B35710" s="136"/>
    </row>
    <row r="35711" spans="1:2" x14ac:dyDescent="0.25">
      <c r="A35711" s="118"/>
      <c r="B35711" s="136"/>
    </row>
    <row r="35712" spans="1:2" x14ac:dyDescent="0.25">
      <c r="A35712" s="118"/>
      <c r="B35712" s="136"/>
    </row>
    <row r="35713" spans="1:2" x14ac:dyDescent="0.25">
      <c r="A35713" s="118"/>
      <c r="B35713" s="136"/>
    </row>
    <row r="35714" spans="1:2" x14ac:dyDescent="0.25">
      <c r="A35714" s="118"/>
      <c r="B35714" s="136"/>
    </row>
    <row r="35715" spans="1:2" x14ac:dyDescent="0.25">
      <c r="A35715" s="118"/>
      <c r="B35715" s="136"/>
    </row>
    <row r="35716" spans="1:2" x14ac:dyDescent="0.25">
      <c r="A35716" s="118"/>
      <c r="B35716" s="136"/>
    </row>
    <row r="35717" spans="1:2" x14ac:dyDescent="0.25">
      <c r="A35717" s="118"/>
      <c r="B35717" s="136"/>
    </row>
    <row r="35718" spans="1:2" x14ac:dyDescent="0.25">
      <c r="A35718" s="118"/>
      <c r="B35718" s="136"/>
    </row>
    <row r="35719" spans="1:2" x14ac:dyDescent="0.25">
      <c r="A35719" s="118"/>
      <c r="B35719" s="136"/>
    </row>
    <row r="35720" spans="1:2" x14ac:dyDescent="0.25">
      <c r="A35720" s="118"/>
      <c r="B35720" s="136"/>
    </row>
    <row r="35721" spans="1:2" x14ac:dyDescent="0.25">
      <c r="A35721" s="118"/>
      <c r="B35721" s="136"/>
    </row>
    <row r="35722" spans="1:2" x14ac:dyDescent="0.25">
      <c r="A35722" s="118"/>
      <c r="B35722" s="136"/>
    </row>
    <row r="35723" spans="1:2" x14ac:dyDescent="0.25">
      <c r="A35723" s="118"/>
      <c r="B35723" s="136"/>
    </row>
    <row r="35724" spans="1:2" x14ac:dyDescent="0.25">
      <c r="A35724" s="118"/>
      <c r="B35724" s="136"/>
    </row>
    <row r="35725" spans="1:2" x14ac:dyDescent="0.25">
      <c r="A35725" s="118"/>
      <c r="B35725" s="136"/>
    </row>
    <row r="35726" spans="1:2" x14ac:dyDescent="0.25">
      <c r="A35726" s="118"/>
      <c r="B35726" s="136"/>
    </row>
    <row r="35727" spans="1:2" x14ac:dyDescent="0.25">
      <c r="A35727" s="118"/>
      <c r="B35727" s="136"/>
    </row>
    <row r="35728" spans="1:2" x14ac:dyDescent="0.25">
      <c r="A35728" s="118"/>
      <c r="B35728" s="136"/>
    </row>
    <row r="35729" spans="1:2" x14ac:dyDescent="0.25">
      <c r="A35729" s="118"/>
      <c r="B35729" s="136"/>
    </row>
    <row r="35730" spans="1:2" x14ac:dyDescent="0.25">
      <c r="A35730" s="118"/>
      <c r="B35730" s="136"/>
    </row>
    <row r="35731" spans="1:2" x14ac:dyDescent="0.25">
      <c r="A35731" s="118"/>
      <c r="B35731" s="136"/>
    </row>
    <row r="35732" spans="1:2" x14ac:dyDescent="0.25">
      <c r="A35732" s="118"/>
      <c r="B35732" s="136"/>
    </row>
    <row r="35733" spans="1:2" x14ac:dyDescent="0.25">
      <c r="A35733" s="118"/>
      <c r="B35733" s="136"/>
    </row>
    <row r="35734" spans="1:2" x14ac:dyDescent="0.25">
      <c r="A35734" s="118"/>
      <c r="B35734" s="136"/>
    </row>
    <row r="35735" spans="1:2" x14ac:dyDescent="0.25">
      <c r="A35735" s="118"/>
      <c r="B35735" s="136"/>
    </row>
    <row r="35736" spans="1:2" x14ac:dyDescent="0.25">
      <c r="A35736" s="118"/>
      <c r="B35736" s="136"/>
    </row>
    <row r="35737" spans="1:2" x14ac:dyDescent="0.25">
      <c r="A35737" s="118"/>
      <c r="B35737" s="136"/>
    </row>
    <row r="35738" spans="1:2" x14ac:dyDescent="0.25">
      <c r="A35738" s="118"/>
      <c r="B35738" s="136"/>
    </row>
    <row r="35739" spans="1:2" x14ac:dyDescent="0.25">
      <c r="A35739" s="118"/>
      <c r="B35739" s="136"/>
    </row>
    <row r="35740" spans="1:2" x14ac:dyDescent="0.25">
      <c r="A35740" s="118"/>
      <c r="B35740" s="136"/>
    </row>
    <row r="35741" spans="1:2" x14ac:dyDescent="0.25">
      <c r="A35741" s="118"/>
      <c r="B35741" s="136"/>
    </row>
    <row r="35742" spans="1:2" x14ac:dyDescent="0.25">
      <c r="A35742" s="118"/>
      <c r="B35742" s="136"/>
    </row>
    <row r="35743" spans="1:2" x14ac:dyDescent="0.25">
      <c r="A35743" s="118"/>
      <c r="B35743" s="136"/>
    </row>
    <row r="35744" spans="1:2" x14ac:dyDescent="0.25">
      <c r="A35744" s="118"/>
      <c r="B35744" s="136"/>
    </row>
    <row r="35745" spans="1:2" x14ac:dyDescent="0.25">
      <c r="A35745" s="118"/>
      <c r="B35745" s="136"/>
    </row>
    <row r="35746" spans="1:2" x14ac:dyDescent="0.25">
      <c r="A35746" s="118"/>
      <c r="B35746" s="136"/>
    </row>
    <row r="35747" spans="1:2" x14ac:dyDescent="0.25">
      <c r="A35747" s="118"/>
      <c r="B35747" s="136"/>
    </row>
    <row r="35748" spans="1:2" x14ac:dyDescent="0.25">
      <c r="A35748" s="118"/>
      <c r="B35748" s="136"/>
    </row>
    <row r="35749" spans="1:2" x14ac:dyDescent="0.25">
      <c r="A35749" s="118"/>
      <c r="B35749" s="136"/>
    </row>
    <row r="35750" spans="1:2" x14ac:dyDescent="0.25">
      <c r="A35750" s="118"/>
      <c r="B35750" s="136"/>
    </row>
    <row r="35751" spans="1:2" x14ac:dyDescent="0.25">
      <c r="A35751" s="118"/>
      <c r="B35751" s="136"/>
    </row>
    <row r="35752" spans="1:2" x14ac:dyDescent="0.25">
      <c r="A35752" s="118"/>
      <c r="B35752" s="136"/>
    </row>
    <row r="35753" spans="1:2" x14ac:dyDescent="0.25">
      <c r="A35753" s="118"/>
      <c r="B35753" s="136"/>
    </row>
    <row r="35754" spans="1:2" x14ac:dyDescent="0.25">
      <c r="A35754" s="118"/>
      <c r="B35754" s="136"/>
    </row>
    <row r="35755" spans="1:2" x14ac:dyDescent="0.25">
      <c r="A35755" s="118"/>
      <c r="B35755" s="136"/>
    </row>
    <row r="35756" spans="1:2" x14ac:dyDescent="0.25">
      <c r="A35756" s="118"/>
      <c r="B35756" s="136"/>
    </row>
    <row r="35757" spans="1:2" x14ac:dyDescent="0.25">
      <c r="A35757" s="118"/>
      <c r="B35757" s="136"/>
    </row>
    <row r="35758" spans="1:2" x14ac:dyDescent="0.25">
      <c r="A35758" s="118"/>
      <c r="B35758" s="136"/>
    </row>
    <row r="35759" spans="1:2" x14ac:dyDescent="0.25">
      <c r="A35759" s="118"/>
      <c r="B35759" s="136"/>
    </row>
    <row r="35760" spans="1:2" x14ac:dyDescent="0.25">
      <c r="A35760" s="118"/>
      <c r="B35760" s="136"/>
    </row>
    <row r="35761" spans="1:2" x14ac:dyDescent="0.25">
      <c r="A35761" s="118"/>
      <c r="B35761" s="136"/>
    </row>
    <row r="35762" spans="1:2" x14ac:dyDescent="0.25">
      <c r="A35762" s="118"/>
      <c r="B35762" s="136"/>
    </row>
    <row r="35763" spans="1:2" x14ac:dyDescent="0.25">
      <c r="A35763" s="118"/>
      <c r="B35763" s="136"/>
    </row>
    <row r="35764" spans="1:2" x14ac:dyDescent="0.25">
      <c r="A35764" s="118"/>
      <c r="B35764" s="136"/>
    </row>
    <row r="35765" spans="1:2" x14ac:dyDescent="0.25">
      <c r="A35765" s="118"/>
      <c r="B35765" s="136"/>
    </row>
    <row r="35766" spans="1:2" x14ac:dyDescent="0.25">
      <c r="A35766" s="118"/>
      <c r="B35766" s="136"/>
    </row>
    <row r="35767" spans="1:2" x14ac:dyDescent="0.25">
      <c r="A35767" s="118"/>
      <c r="B35767" s="136"/>
    </row>
    <row r="35768" spans="1:2" x14ac:dyDescent="0.25">
      <c r="A35768" s="118"/>
      <c r="B35768" s="136"/>
    </row>
    <row r="35769" spans="1:2" x14ac:dyDescent="0.25">
      <c r="A35769" s="118"/>
      <c r="B35769" s="136"/>
    </row>
    <row r="35770" spans="1:2" x14ac:dyDescent="0.25">
      <c r="A35770" s="118"/>
      <c r="B35770" s="136"/>
    </row>
    <row r="35771" spans="1:2" x14ac:dyDescent="0.25">
      <c r="A35771" s="118"/>
      <c r="B35771" s="136"/>
    </row>
    <row r="35772" spans="1:2" x14ac:dyDescent="0.25">
      <c r="A35772" s="118"/>
      <c r="B35772" s="136"/>
    </row>
    <row r="35773" spans="1:2" x14ac:dyDescent="0.25">
      <c r="A35773" s="118"/>
      <c r="B35773" s="136"/>
    </row>
    <row r="35774" spans="1:2" x14ac:dyDescent="0.25">
      <c r="A35774" s="118"/>
      <c r="B35774" s="136"/>
    </row>
    <row r="35775" spans="1:2" x14ac:dyDescent="0.25">
      <c r="A35775" s="118"/>
      <c r="B35775" s="136"/>
    </row>
    <row r="35776" spans="1:2" x14ac:dyDescent="0.25">
      <c r="A35776" s="118"/>
      <c r="B35776" s="136"/>
    </row>
    <row r="35777" spans="1:2" x14ac:dyDescent="0.25">
      <c r="A35777" s="118"/>
      <c r="B35777" s="136"/>
    </row>
    <row r="35778" spans="1:2" x14ac:dyDescent="0.25">
      <c r="A35778" s="118"/>
      <c r="B35778" s="136"/>
    </row>
    <row r="35779" spans="1:2" x14ac:dyDescent="0.25">
      <c r="A35779" s="118"/>
      <c r="B35779" s="136"/>
    </row>
    <row r="35780" spans="1:2" x14ac:dyDescent="0.25">
      <c r="A35780" s="118"/>
      <c r="B35780" s="136"/>
    </row>
    <row r="35781" spans="1:2" x14ac:dyDescent="0.25">
      <c r="A35781" s="118"/>
      <c r="B35781" s="136"/>
    </row>
    <row r="35782" spans="1:2" x14ac:dyDescent="0.25">
      <c r="A35782" s="118"/>
      <c r="B35782" s="136"/>
    </row>
    <row r="35783" spans="1:2" x14ac:dyDescent="0.25">
      <c r="A35783" s="118"/>
      <c r="B35783" s="136"/>
    </row>
    <row r="35784" spans="1:2" x14ac:dyDescent="0.25">
      <c r="A35784" s="118"/>
      <c r="B35784" s="136"/>
    </row>
    <row r="35785" spans="1:2" x14ac:dyDescent="0.25">
      <c r="A35785" s="118"/>
      <c r="B35785" s="136"/>
    </row>
    <row r="35786" spans="1:2" x14ac:dyDescent="0.25">
      <c r="A35786" s="118"/>
      <c r="B35786" s="136"/>
    </row>
    <row r="35787" spans="1:2" x14ac:dyDescent="0.25">
      <c r="A35787" s="118"/>
      <c r="B35787" s="136"/>
    </row>
    <row r="35788" spans="1:2" x14ac:dyDescent="0.25">
      <c r="A35788" s="118"/>
      <c r="B35788" s="136"/>
    </row>
    <row r="35789" spans="1:2" x14ac:dyDescent="0.25">
      <c r="A35789" s="118"/>
      <c r="B35789" s="136"/>
    </row>
    <row r="35790" spans="1:2" x14ac:dyDescent="0.25">
      <c r="A35790" s="118"/>
      <c r="B35790" s="136"/>
    </row>
    <row r="35791" spans="1:2" x14ac:dyDescent="0.25">
      <c r="A35791" s="118"/>
      <c r="B35791" s="136"/>
    </row>
    <row r="35792" spans="1:2" x14ac:dyDescent="0.25">
      <c r="A35792" s="118"/>
      <c r="B35792" s="136"/>
    </row>
    <row r="35793" spans="1:2" x14ac:dyDescent="0.25">
      <c r="A35793" s="118"/>
      <c r="B35793" s="136"/>
    </row>
    <row r="35794" spans="1:2" x14ac:dyDescent="0.25">
      <c r="A35794" s="118"/>
      <c r="B35794" s="136"/>
    </row>
    <row r="35795" spans="1:2" x14ac:dyDescent="0.25">
      <c r="A35795" s="118"/>
      <c r="B35795" s="136"/>
    </row>
    <row r="35796" spans="1:2" x14ac:dyDescent="0.25">
      <c r="A35796" s="118"/>
      <c r="B35796" s="136"/>
    </row>
    <row r="35797" spans="1:2" x14ac:dyDescent="0.25">
      <c r="A35797" s="118"/>
      <c r="B35797" s="136"/>
    </row>
    <row r="35798" spans="1:2" x14ac:dyDescent="0.25">
      <c r="A35798" s="118"/>
      <c r="B35798" s="136"/>
    </row>
    <row r="35799" spans="1:2" x14ac:dyDescent="0.25">
      <c r="A35799" s="118"/>
      <c r="B35799" s="136"/>
    </row>
    <row r="35800" spans="1:2" x14ac:dyDescent="0.25">
      <c r="A35800" s="118"/>
      <c r="B35800" s="136"/>
    </row>
    <row r="35801" spans="1:2" x14ac:dyDescent="0.25">
      <c r="A35801" s="118"/>
      <c r="B35801" s="136"/>
    </row>
    <row r="35802" spans="1:2" x14ac:dyDescent="0.25">
      <c r="A35802" s="118"/>
      <c r="B35802" s="136"/>
    </row>
    <row r="35803" spans="1:2" x14ac:dyDescent="0.25">
      <c r="A35803" s="118"/>
      <c r="B35803" s="136"/>
    </row>
    <row r="35804" spans="1:2" x14ac:dyDescent="0.25">
      <c r="A35804" s="118"/>
      <c r="B35804" s="136"/>
    </row>
    <row r="35805" spans="1:2" x14ac:dyDescent="0.25">
      <c r="A35805" s="118"/>
      <c r="B35805" s="136"/>
    </row>
    <row r="35806" spans="1:2" x14ac:dyDescent="0.25">
      <c r="A35806" s="118"/>
      <c r="B35806" s="136"/>
    </row>
    <row r="35807" spans="1:2" x14ac:dyDescent="0.25">
      <c r="A35807" s="118"/>
      <c r="B35807" s="136"/>
    </row>
    <row r="35808" spans="1:2" x14ac:dyDescent="0.25">
      <c r="A35808" s="118"/>
      <c r="B35808" s="136"/>
    </row>
    <row r="35809" spans="1:2" x14ac:dyDescent="0.25">
      <c r="A35809" s="118"/>
      <c r="B35809" s="136"/>
    </row>
    <row r="35810" spans="1:2" x14ac:dyDescent="0.25">
      <c r="A35810" s="118"/>
      <c r="B35810" s="136"/>
    </row>
    <row r="35811" spans="1:2" x14ac:dyDescent="0.25">
      <c r="A35811" s="118"/>
      <c r="B35811" s="136"/>
    </row>
    <row r="35812" spans="1:2" x14ac:dyDescent="0.25">
      <c r="A35812" s="118"/>
      <c r="B35812" s="136"/>
    </row>
    <row r="35813" spans="1:2" x14ac:dyDescent="0.25">
      <c r="A35813" s="118"/>
      <c r="B35813" s="136"/>
    </row>
    <row r="35814" spans="1:2" x14ac:dyDescent="0.25">
      <c r="A35814" s="118"/>
      <c r="B35814" s="136"/>
    </row>
    <row r="35815" spans="1:2" x14ac:dyDescent="0.25">
      <c r="A35815" s="118"/>
      <c r="B35815" s="136"/>
    </row>
    <row r="35816" spans="1:2" x14ac:dyDescent="0.25">
      <c r="A35816" s="118"/>
      <c r="B35816" s="136"/>
    </row>
    <row r="35817" spans="1:2" x14ac:dyDescent="0.25">
      <c r="A35817" s="118"/>
      <c r="B35817" s="136"/>
    </row>
    <row r="35818" spans="1:2" x14ac:dyDescent="0.25">
      <c r="A35818" s="118"/>
      <c r="B35818" s="136"/>
    </row>
    <row r="35819" spans="1:2" x14ac:dyDescent="0.25">
      <c r="A35819" s="118"/>
      <c r="B35819" s="136"/>
    </row>
    <row r="35820" spans="1:2" x14ac:dyDescent="0.25">
      <c r="A35820" s="118"/>
      <c r="B35820" s="136"/>
    </row>
    <row r="35821" spans="1:2" x14ac:dyDescent="0.25">
      <c r="A35821" s="118"/>
      <c r="B35821" s="136"/>
    </row>
    <row r="35822" spans="1:2" x14ac:dyDescent="0.25">
      <c r="A35822" s="118"/>
      <c r="B35822" s="136"/>
    </row>
    <row r="35823" spans="1:2" x14ac:dyDescent="0.25">
      <c r="A35823" s="118"/>
      <c r="B35823" s="136"/>
    </row>
    <row r="35824" spans="1:2" x14ac:dyDescent="0.25">
      <c r="A35824" s="118"/>
      <c r="B35824" s="136"/>
    </row>
    <row r="35825" spans="1:2" x14ac:dyDescent="0.25">
      <c r="A35825" s="118"/>
      <c r="B35825" s="136"/>
    </row>
    <row r="35826" spans="1:2" x14ac:dyDescent="0.25">
      <c r="A35826" s="118"/>
      <c r="B35826" s="136"/>
    </row>
    <row r="35827" spans="1:2" x14ac:dyDescent="0.25">
      <c r="A35827" s="118"/>
      <c r="B35827" s="136"/>
    </row>
    <row r="35828" spans="1:2" x14ac:dyDescent="0.25">
      <c r="A35828" s="118"/>
      <c r="B35828" s="136"/>
    </row>
    <row r="35829" spans="1:2" x14ac:dyDescent="0.25">
      <c r="A35829" s="118"/>
      <c r="B35829" s="136"/>
    </row>
    <row r="35830" spans="1:2" x14ac:dyDescent="0.25">
      <c r="A35830" s="118"/>
      <c r="B35830" s="136"/>
    </row>
    <row r="35831" spans="1:2" x14ac:dyDescent="0.25">
      <c r="A35831" s="118"/>
      <c r="B35831" s="136"/>
    </row>
    <row r="35832" spans="1:2" x14ac:dyDescent="0.25">
      <c r="A35832" s="118"/>
      <c r="B35832" s="136"/>
    </row>
    <row r="35833" spans="1:2" x14ac:dyDescent="0.25">
      <c r="A35833" s="118"/>
      <c r="B35833" s="136"/>
    </row>
    <row r="35834" spans="1:2" x14ac:dyDescent="0.25">
      <c r="A35834" s="118"/>
      <c r="B35834" s="136"/>
    </row>
    <row r="35835" spans="1:2" x14ac:dyDescent="0.25">
      <c r="A35835" s="118"/>
      <c r="B35835" s="136"/>
    </row>
    <row r="35836" spans="1:2" x14ac:dyDescent="0.25">
      <c r="A35836" s="118"/>
      <c r="B35836" s="136"/>
    </row>
    <row r="35837" spans="1:2" x14ac:dyDescent="0.25">
      <c r="A35837" s="118"/>
      <c r="B35837" s="136"/>
    </row>
    <row r="35838" spans="1:2" x14ac:dyDescent="0.25">
      <c r="A35838" s="118"/>
      <c r="B35838" s="136"/>
    </row>
    <row r="35839" spans="1:2" x14ac:dyDescent="0.25">
      <c r="A35839" s="118"/>
      <c r="B35839" s="136"/>
    </row>
    <row r="35840" spans="1:2" x14ac:dyDescent="0.25">
      <c r="A35840" s="118"/>
      <c r="B35840" s="136"/>
    </row>
    <row r="35841" spans="1:2" x14ac:dyDescent="0.25">
      <c r="A35841" s="118"/>
      <c r="B35841" s="136"/>
    </row>
    <row r="35842" spans="1:2" x14ac:dyDescent="0.25">
      <c r="A35842" s="118"/>
      <c r="B35842" s="136"/>
    </row>
    <row r="35843" spans="1:2" x14ac:dyDescent="0.25">
      <c r="A35843" s="118"/>
      <c r="B35843" s="136"/>
    </row>
    <row r="35844" spans="1:2" x14ac:dyDescent="0.25">
      <c r="A35844" s="118"/>
      <c r="B35844" s="136"/>
    </row>
    <row r="35845" spans="1:2" x14ac:dyDescent="0.25">
      <c r="A35845" s="118"/>
      <c r="B35845" s="136"/>
    </row>
    <row r="35846" spans="1:2" x14ac:dyDescent="0.25">
      <c r="A35846" s="118"/>
      <c r="B35846" s="136"/>
    </row>
    <row r="35847" spans="1:2" x14ac:dyDescent="0.25">
      <c r="A35847" s="118"/>
      <c r="B35847" s="136"/>
    </row>
    <row r="35848" spans="1:2" x14ac:dyDescent="0.25">
      <c r="A35848" s="118"/>
      <c r="B35848" s="136"/>
    </row>
    <row r="35849" spans="1:2" x14ac:dyDescent="0.25">
      <c r="A35849" s="118"/>
      <c r="B35849" s="136"/>
    </row>
    <row r="35850" spans="1:2" x14ac:dyDescent="0.25">
      <c r="A35850" s="118"/>
      <c r="B35850" s="136"/>
    </row>
    <row r="35851" spans="1:2" x14ac:dyDescent="0.25">
      <c r="A35851" s="118"/>
      <c r="B35851" s="136"/>
    </row>
    <row r="35852" spans="1:2" x14ac:dyDescent="0.25">
      <c r="A35852" s="118"/>
      <c r="B35852" s="136"/>
    </row>
    <row r="35853" spans="1:2" x14ac:dyDescent="0.25">
      <c r="A35853" s="118"/>
      <c r="B35853" s="136"/>
    </row>
    <row r="35854" spans="1:2" x14ac:dyDescent="0.25">
      <c r="A35854" s="118"/>
      <c r="B35854" s="136"/>
    </row>
    <row r="35855" spans="1:2" x14ac:dyDescent="0.25">
      <c r="A35855" s="118"/>
      <c r="B35855" s="136"/>
    </row>
    <row r="35856" spans="1:2" x14ac:dyDescent="0.25">
      <c r="A35856" s="118"/>
      <c r="B35856" s="136"/>
    </row>
    <row r="35857" spans="1:2" x14ac:dyDescent="0.25">
      <c r="A35857" s="118"/>
      <c r="B35857" s="136"/>
    </row>
    <row r="35858" spans="1:2" x14ac:dyDescent="0.25">
      <c r="A35858" s="118"/>
      <c r="B35858" s="136"/>
    </row>
    <row r="35859" spans="1:2" x14ac:dyDescent="0.25">
      <c r="A35859" s="118"/>
      <c r="B35859" s="136"/>
    </row>
    <row r="35860" spans="1:2" x14ac:dyDescent="0.25">
      <c r="A35860" s="118"/>
      <c r="B35860" s="136"/>
    </row>
    <row r="35861" spans="1:2" x14ac:dyDescent="0.25">
      <c r="A35861" s="118"/>
      <c r="B35861" s="136"/>
    </row>
    <row r="35862" spans="1:2" x14ac:dyDescent="0.25">
      <c r="A35862" s="118"/>
      <c r="B35862" s="136"/>
    </row>
    <row r="35863" spans="1:2" x14ac:dyDescent="0.25">
      <c r="A35863" s="118"/>
      <c r="B35863" s="136"/>
    </row>
    <row r="35864" spans="1:2" x14ac:dyDescent="0.25">
      <c r="A35864" s="118"/>
      <c r="B35864" s="136"/>
    </row>
    <row r="35865" spans="1:2" x14ac:dyDescent="0.25">
      <c r="A35865" s="118"/>
      <c r="B35865" s="136"/>
    </row>
    <row r="35866" spans="1:2" x14ac:dyDescent="0.25">
      <c r="A35866" s="118"/>
      <c r="B35866" s="136"/>
    </row>
    <row r="35867" spans="1:2" x14ac:dyDescent="0.25">
      <c r="A35867" s="118"/>
      <c r="B35867" s="136"/>
    </row>
    <row r="35868" spans="1:2" x14ac:dyDescent="0.25">
      <c r="A35868" s="118"/>
      <c r="B35868" s="136"/>
    </row>
    <row r="35869" spans="1:2" x14ac:dyDescent="0.25">
      <c r="A35869" s="118"/>
      <c r="B35869" s="136"/>
    </row>
    <row r="35870" spans="1:2" x14ac:dyDescent="0.25">
      <c r="A35870" s="118"/>
      <c r="B35870" s="136"/>
    </row>
    <row r="35871" spans="1:2" x14ac:dyDescent="0.25">
      <c r="A35871" s="118"/>
      <c r="B35871" s="136"/>
    </row>
    <row r="35872" spans="1:2" x14ac:dyDescent="0.25">
      <c r="A35872" s="118"/>
      <c r="B35872" s="136"/>
    </row>
    <row r="35873" spans="1:2" x14ac:dyDescent="0.25">
      <c r="A35873" s="118"/>
      <c r="B35873" s="136"/>
    </row>
    <row r="35874" spans="1:2" x14ac:dyDescent="0.25">
      <c r="A35874" s="118"/>
      <c r="B35874" s="136"/>
    </row>
    <row r="35875" spans="1:2" x14ac:dyDescent="0.25">
      <c r="A35875" s="118"/>
      <c r="B35875" s="136"/>
    </row>
    <row r="35876" spans="1:2" x14ac:dyDescent="0.25">
      <c r="A35876" s="118"/>
      <c r="B35876" s="136"/>
    </row>
    <row r="35877" spans="1:2" x14ac:dyDescent="0.25">
      <c r="A35877" s="118"/>
      <c r="B35877" s="136"/>
    </row>
    <row r="35878" spans="1:2" x14ac:dyDescent="0.25">
      <c r="A35878" s="118"/>
      <c r="B35878" s="136"/>
    </row>
    <row r="35879" spans="1:2" x14ac:dyDescent="0.25">
      <c r="A35879" s="118"/>
      <c r="B35879" s="136"/>
    </row>
    <row r="35880" spans="1:2" x14ac:dyDescent="0.25">
      <c r="A35880" s="118"/>
      <c r="B35880" s="136"/>
    </row>
    <row r="35881" spans="1:2" x14ac:dyDescent="0.25">
      <c r="A35881" s="118"/>
      <c r="B35881" s="136"/>
    </row>
    <row r="35882" spans="1:2" x14ac:dyDescent="0.25">
      <c r="A35882" s="118"/>
      <c r="B35882" s="136"/>
    </row>
    <row r="35883" spans="1:2" x14ac:dyDescent="0.25">
      <c r="A35883" s="118"/>
      <c r="B35883" s="136"/>
    </row>
    <row r="35884" spans="1:2" x14ac:dyDescent="0.25">
      <c r="A35884" s="118"/>
      <c r="B35884" s="136"/>
    </row>
    <row r="35885" spans="1:2" x14ac:dyDescent="0.25">
      <c r="A35885" s="118"/>
      <c r="B35885" s="136"/>
    </row>
    <row r="35886" spans="1:2" x14ac:dyDescent="0.25">
      <c r="A35886" s="118"/>
      <c r="B35886" s="136"/>
    </row>
    <row r="35887" spans="1:2" x14ac:dyDescent="0.25">
      <c r="A35887" s="118"/>
      <c r="B35887" s="136"/>
    </row>
    <row r="35888" spans="1:2" x14ac:dyDescent="0.25">
      <c r="A35888" s="118"/>
      <c r="B35888" s="136"/>
    </row>
    <row r="35889" spans="1:2" x14ac:dyDescent="0.25">
      <c r="A35889" s="118"/>
      <c r="B35889" s="136"/>
    </row>
    <row r="35890" spans="1:2" x14ac:dyDescent="0.25">
      <c r="A35890" s="118"/>
      <c r="B35890" s="136"/>
    </row>
    <row r="35891" spans="1:2" x14ac:dyDescent="0.25">
      <c r="A35891" s="118"/>
      <c r="B35891" s="136"/>
    </row>
    <row r="35892" spans="1:2" x14ac:dyDescent="0.25">
      <c r="A35892" s="118"/>
      <c r="B35892" s="136"/>
    </row>
    <row r="35893" spans="1:2" x14ac:dyDescent="0.25">
      <c r="A35893" s="118"/>
      <c r="B35893" s="136"/>
    </row>
    <row r="35894" spans="1:2" x14ac:dyDescent="0.25">
      <c r="A35894" s="118"/>
      <c r="B35894" s="136"/>
    </row>
    <row r="35895" spans="1:2" x14ac:dyDescent="0.25">
      <c r="A35895" s="118"/>
      <c r="B35895" s="136"/>
    </row>
    <row r="35896" spans="1:2" x14ac:dyDescent="0.25">
      <c r="A35896" s="118"/>
      <c r="B35896" s="136"/>
    </row>
    <row r="35897" spans="1:2" x14ac:dyDescent="0.25">
      <c r="A35897" s="118"/>
      <c r="B35897" s="136"/>
    </row>
    <row r="35898" spans="1:2" x14ac:dyDescent="0.25">
      <c r="A35898" s="118"/>
      <c r="B35898" s="136"/>
    </row>
    <row r="35899" spans="1:2" x14ac:dyDescent="0.25">
      <c r="A35899" s="118"/>
      <c r="B35899" s="136"/>
    </row>
    <row r="35900" spans="1:2" x14ac:dyDescent="0.25">
      <c r="A35900" s="118"/>
      <c r="B35900" s="136"/>
    </row>
    <row r="35901" spans="1:2" x14ac:dyDescent="0.25">
      <c r="A35901" s="118"/>
      <c r="B35901" s="136"/>
    </row>
    <row r="35902" spans="1:2" x14ac:dyDescent="0.25">
      <c r="A35902" s="118"/>
      <c r="B35902" s="136"/>
    </row>
    <row r="35903" spans="1:2" x14ac:dyDescent="0.25">
      <c r="A35903" s="118"/>
      <c r="B35903" s="136"/>
    </row>
    <row r="35904" spans="1:2" x14ac:dyDescent="0.25">
      <c r="A35904" s="118"/>
      <c r="B35904" s="136"/>
    </row>
    <row r="35905" spans="1:2" x14ac:dyDescent="0.25">
      <c r="A35905" s="118"/>
      <c r="B35905" s="136"/>
    </row>
    <row r="35906" spans="1:2" x14ac:dyDescent="0.25">
      <c r="A35906" s="118"/>
      <c r="B35906" s="136"/>
    </row>
    <row r="35907" spans="1:2" x14ac:dyDescent="0.25">
      <c r="A35907" s="118"/>
      <c r="B35907" s="136"/>
    </row>
    <row r="35908" spans="1:2" x14ac:dyDescent="0.25">
      <c r="A35908" s="118"/>
      <c r="B35908" s="136"/>
    </row>
    <row r="35909" spans="1:2" x14ac:dyDescent="0.25">
      <c r="A35909" s="118"/>
      <c r="B35909" s="136"/>
    </row>
    <row r="35910" spans="1:2" x14ac:dyDescent="0.25">
      <c r="A35910" s="118"/>
      <c r="B35910" s="136"/>
    </row>
    <row r="35911" spans="1:2" x14ac:dyDescent="0.25">
      <c r="A35911" s="118"/>
      <c r="B35911" s="136"/>
    </row>
    <row r="35912" spans="1:2" x14ac:dyDescent="0.25">
      <c r="A35912" s="118"/>
      <c r="B35912" s="136"/>
    </row>
    <row r="35913" spans="1:2" x14ac:dyDescent="0.25">
      <c r="A35913" s="118"/>
      <c r="B35913" s="136"/>
    </row>
    <row r="35914" spans="1:2" x14ac:dyDescent="0.25">
      <c r="A35914" s="118"/>
      <c r="B35914" s="136"/>
    </row>
    <row r="35915" spans="1:2" x14ac:dyDescent="0.25">
      <c r="A35915" s="118"/>
      <c r="B35915" s="136"/>
    </row>
    <row r="35916" spans="1:2" x14ac:dyDescent="0.25">
      <c r="A35916" s="118"/>
      <c r="B35916" s="136"/>
    </row>
    <row r="35917" spans="1:2" x14ac:dyDescent="0.25">
      <c r="A35917" s="118"/>
      <c r="B35917" s="136"/>
    </row>
    <row r="35918" spans="1:2" x14ac:dyDescent="0.25">
      <c r="A35918" s="118"/>
      <c r="B35918" s="136"/>
    </row>
    <row r="35919" spans="1:2" x14ac:dyDescent="0.25">
      <c r="A35919" s="118"/>
      <c r="B35919" s="136"/>
    </row>
    <row r="35920" spans="1:2" x14ac:dyDescent="0.25">
      <c r="A35920" s="118"/>
      <c r="B35920" s="136"/>
    </row>
    <row r="35921" spans="1:2" x14ac:dyDescent="0.25">
      <c r="A35921" s="118"/>
      <c r="B35921" s="136"/>
    </row>
    <row r="35922" spans="1:2" x14ac:dyDescent="0.25">
      <c r="A35922" s="118"/>
      <c r="B35922" s="136"/>
    </row>
    <row r="35923" spans="1:2" x14ac:dyDescent="0.25">
      <c r="A35923" s="118"/>
      <c r="B35923" s="136"/>
    </row>
    <row r="35924" spans="1:2" x14ac:dyDescent="0.25">
      <c r="A35924" s="118"/>
      <c r="B35924" s="136"/>
    </row>
    <row r="35925" spans="1:2" x14ac:dyDescent="0.25">
      <c r="A35925" s="118"/>
      <c r="B35925" s="136"/>
    </row>
    <row r="35926" spans="1:2" x14ac:dyDescent="0.25">
      <c r="A35926" s="118"/>
      <c r="B35926" s="136"/>
    </row>
    <row r="35927" spans="1:2" x14ac:dyDescent="0.25">
      <c r="A35927" s="118"/>
      <c r="B35927" s="136"/>
    </row>
    <row r="35928" spans="1:2" x14ac:dyDescent="0.25">
      <c r="A35928" s="118"/>
      <c r="B35928" s="136"/>
    </row>
    <row r="35929" spans="1:2" x14ac:dyDescent="0.25">
      <c r="A35929" s="118"/>
      <c r="B35929" s="136"/>
    </row>
    <row r="35930" spans="1:2" x14ac:dyDescent="0.25">
      <c r="A35930" s="118"/>
      <c r="B35930" s="136"/>
    </row>
    <row r="35931" spans="1:2" x14ac:dyDescent="0.25">
      <c r="A35931" s="118"/>
      <c r="B35931" s="136"/>
    </row>
    <row r="35932" spans="1:2" x14ac:dyDescent="0.25">
      <c r="A35932" s="118"/>
      <c r="B35932" s="136"/>
    </row>
    <row r="35933" spans="1:2" x14ac:dyDescent="0.25">
      <c r="A35933" s="118"/>
      <c r="B35933" s="136"/>
    </row>
    <row r="35934" spans="1:2" x14ac:dyDescent="0.25">
      <c r="A35934" s="118"/>
      <c r="B35934" s="136"/>
    </row>
    <row r="35935" spans="1:2" x14ac:dyDescent="0.25">
      <c r="A35935" s="118"/>
      <c r="B35935" s="136"/>
    </row>
    <row r="35936" spans="1:2" x14ac:dyDescent="0.25">
      <c r="A35936" s="118"/>
      <c r="B35936" s="136"/>
    </row>
    <row r="35937" spans="1:2" x14ac:dyDescent="0.25">
      <c r="A35937" s="118"/>
      <c r="B35937" s="136"/>
    </row>
    <row r="35938" spans="1:2" x14ac:dyDescent="0.25">
      <c r="A35938" s="118"/>
      <c r="B35938" s="136"/>
    </row>
    <row r="35939" spans="1:2" x14ac:dyDescent="0.25">
      <c r="A35939" s="118"/>
      <c r="B35939" s="136"/>
    </row>
    <row r="35940" spans="1:2" x14ac:dyDescent="0.25">
      <c r="A35940" s="118"/>
      <c r="B35940" s="136"/>
    </row>
    <row r="35941" spans="1:2" x14ac:dyDescent="0.25">
      <c r="A35941" s="118"/>
      <c r="B35941" s="136"/>
    </row>
    <row r="35942" spans="1:2" x14ac:dyDescent="0.25">
      <c r="A35942" s="118"/>
      <c r="B35942" s="136"/>
    </row>
    <row r="35943" spans="1:2" x14ac:dyDescent="0.25">
      <c r="A35943" s="118"/>
      <c r="B35943" s="136"/>
    </row>
    <row r="35944" spans="1:2" x14ac:dyDescent="0.25">
      <c r="A35944" s="118"/>
      <c r="B35944" s="136"/>
    </row>
    <row r="35945" spans="1:2" x14ac:dyDescent="0.25">
      <c r="A35945" s="118"/>
      <c r="B35945" s="136"/>
    </row>
    <row r="35946" spans="1:2" x14ac:dyDescent="0.25">
      <c r="A35946" s="118"/>
      <c r="B35946" s="136"/>
    </row>
    <row r="35947" spans="1:2" x14ac:dyDescent="0.25">
      <c r="A35947" s="118"/>
      <c r="B35947" s="136"/>
    </row>
    <row r="35948" spans="1:2" x14ac:dyDescent="0.25">
      <c r="A35948" s="118"/>
      <c r="B35948" s="136"/>
    </row>
    <row r="35949" spans="1:2" x14ac:dyDescent="0.25">
      <c r="A35949" s="118"/>
      <c r="B35949" s="136"/>
    </row>
    <row r="35950" spans="1:2" x14ac:dyDescent="0.25">
      <c r="A35950" s="118"/>
      <c r="B35950" s="136"/>
    </row>
    <row r="35951" spans="1:2" x14ac:dyDescent="0.25">
      <c r="A35951" s="118"/>
      <c r="B35951" s="136"/>
    </row>
    <row r="35952" spans="1:2" x14ac:dyDescent="0.25">
      <c r="A35952" s="118"/>
      <c r="B35952" s="136"/>
    </row>
    <row r="35953" spans="1:2" x14ac:dyDescent="0.25">
      <c r="A35953" s="118"/>
      <c r="B35953" s="136"/>
    </row>
    <row r="35954" spans="1:2" x14ac:dyDescent="0.25">
      <c r="A35954" s="118"/>
      <c r="B35954" s="136"/>
    </row>
    <row r="35955" spans="1:2" x14ac:dyDescent="0.25">
      <c r="A35955" s="118"/>
      <c r="B35955" s="136"/>
    </row>
    <row r="35956" spans="1:2" x14ac:dyDescent="0.25">
      <c r="A35956" s="118"/>
      <c r="B35956" s="136"/>
    </row>
    <row r="35957" spans="1:2" x14ac:dyDescent="0.25">
      <c r="A35957" s="118"/>
      <c r="B35957" s="136"/>
    </row>
    <row r="35958" spans="1:2" x14ac:dyDescent="0.25">
      <c r="A35958" s="118"/>
      <c r="B35958" s="136"/>
    </row>
    <row r="35959" spans="1:2" x14ac:dyDescent="0.25">
      <c r="A35959" s="118"/>
      <c r="B35959" s="136"/>
    </row>
    <row r="35960" spans="1:2" x14ac:dyDescent="0.25">
      <c r="A35960" s="118"/>
      <c r="B35960" s="136"/>
    </row>
    <row r="35961" spans="1:2" x14ac:dyDescent="0.25">
      <c r="A35961" s="118"/>
      <c r="B35961" s="136"/>
    </row>
    <row r="35962" spans="1:2" x14ac:dyDescent="0.25">
      <c r="A35962" s="118"/>
      <c r="B35962" s="136"/>
    </row>
    <row r="35963" spans="1:2" x14ac:dyDescent="0.25">
      <c r="A35963" s="118"/>
      <c r="B35963" s="136"/>
    </row>
    <row r="35964" spans="1:2" x14ac:dyDescent="0.25">
      <c r="A35964" s="118"/>
      <c r="B35964" s="136"/>
    </row>
    <row r="35965" spans="1:2" x14ac:dyDescent="0.25">
      <c r="A35965" s="118"/>
      <c r="B35965" s="136"/>
    </row>
    <row r="35966" spans="1:2" x14ac:dyDescent="0.25">
      <c r="A35966" s="118"/>
      <c r="B35966" s="136"/>
    </row>
    <row r="35967" spans="1:2" x14ac:dyDescent="0.25">
      <c r="A35967" s="118"/>
      <c r="B35967" s="136"/>
    </row>
    <row r="35968" spans="1:2" x14ac:dyDescent="0.25">
      <c r="A35968" s="118"/>
      <c r="B35968" s="136"/>
    </row>
    <row r="35969" spans="1:2" x14ac:dyDescent="0.25">
      <c r="A35969" s="118"/>
      <c r="B35969" s="136"/>
    </row>
    <row r="35970" spans="1:2" x14ac:dyDescent="0.25">
      <c r="A35970" s="118"/>
      <c r="B35970" s="136"/>
    </row>
    <row r="35971" spans="1:2" x14ac:dyDescent="0.25">
      <c r="A35971" s="118"/>
      <c r="B35971" s="136"/>
    </row>
    <row r="35972" spans="1:2" x14ac:dyDescent="0.25">
      <c r="A35972" s="118"/>
      <c r="B35972" s="136"/>
    </row>
    <row r="35973" spans="1:2" x14ac:dyDescent="0.25">
      <c r="A35973" s="118"/>
      <c r="B35973" s="136"/>
    </row>
    <row r="35974" spans="1:2" x14ac:dyDescent="0.25">
      <c r="A35974" s="118"/>
      <c r="B35974" s="136"/>
    </row>
    <row r="35975" spans="1:2" x14ac:dyDescent="0.25">
      <c r="A35975" s="118"/>
      <c r="B35975" s="136"/>
    </row>
    <row r="35976" spans="1:2" x14ac:dyDescent="0.25">
      <c r="A35976" s="118"/>
      <c r="B35976" s="136"/>
    </row>
    <row r="35977" spans="1:2" x14ac:dyDescent="0.25">
      <c r="A35977" s="118"/>
      <c r="B35977" s="136"/>
    </row>
    <row r="35978" spans="1:2" x14ac:dyDescent="0.25">
      <c r="A35978" s="118"/>
      <c r="B35978" s="136"/>
    </row>
    <row r="35979" spans="1:2" x14ac:dyDescent="0.25">
      <c r="A35979" s="118"/>
      <c r="B35979" s="136"/>
    </row>
    <row r="35980" spans="1:2" x14ac:dyDescent="0.25">
      <c r="A35980" s="118"/>
      <c r="B35980" s="136"/>
    </row>
    <row r="35981" spans="1:2" x14ac:dyDescent="0.25">
      <c r="A35981" s="118"/>
      <c r="B35981" s="136"/>
    </row>
    <row r="35982" spans="1:2" x14ac:dyDescent="0.25">
      <c r="A35982" s="118"/>
      <c r="B35982" s="136"/>
    </row>
    <row r="35983" spans="1:2" x14ac:dyDescent="0.25">
      <c r="A35983" s="118"/>
      <c r="B35983" s="136"/>
    </row>
    <row r="35984" spans="1:2" x14ac:dyDescent="0.25">
      <c r="A35984" s="118"/>
      <c r="B35984" s="136"/>
    </row>
    <row r="35985" spans="1:2" x14ac:dyDescent="0.25">
      <c r="A35985" s="118"/>
      <c r="B35985" s="136"/>
    </row>
    <row r="35986" spans="1:2" x14ac:dyDescent="0.25">
      <c r="A35986" s="118"/>
      <c r="B35986" s="136"/>
    </row>
    <row r="35987" spans="1:2" x14ac:dyDescent="0.25">
      <c r="A35987" s="118"/>
      <c r="B35987" s="136"/>
    </row>
    <row r="35988" spans="1:2" x14ac:dyDescent="0.25">
      <c r="A35988" s="118"/>
      <c r="B35988" s="136"/>
    </row>
    <row r="35989" spans="1:2" x14ac:dyDescent="0.25">
      <c r="A35989" s="118"/>
      <c r="B35989" s="136"/>
    </row>
    <row r="35990" spans="1:2" x14ac:dyDescent="0.25">
      <c r="A35990" s="118"/>
      <c r="B35990" s="136"/>
    </row>
    <row r="35991" spans="1:2" x14ac:dyDescent="0.25">
      <c r="A35991" s="118"/>
      <c r="B35991" s="136"/>
    </row>
    <row r="35992" spans="1:2" x14ac:dyDescent="0.25">
      <c r="A35992" s="118"/>
      <c r="B35992" s="136"/>
    </row>
    <row r="35993" spans="1:2" x14ac:dyDescent="0.25">
      <c r="A35993" s="118"/>
      <c r="B35993" s="136"/>
    </row>
    <row r="35994" spans="1:2" x14ac:dyDescent="0.25">
      <c r="A35994" s="118"/>
      <c r="B35994" s="136"/>
    </row>
    <row r="35995" spans="1:2" x14ac:dyDescent="0.25">
      <c r="A35995" s="118"/>
      <c r="B35995" s="136"/>
    </row>
    <row r="35996" spans="1:2" x14ac:dyDescent="0.25">
      <c r="A35996" s="118"/>
      <c r="B35996" s="136"/>
    </row>
    <row r="35997" spans="1:2" x14ac:dyDescent="0.25">
      <c r="A35997" s="118"/>
      <c r="B35997" s="136"/>
    </row>
    <row r="35998" spans="1:2" x14ac:dyDescent="0.25">
      <c r="A35998" s="118"/>
      <c r="B35998" s="136"/>
    </row>
    <row r="35999" spans="1:2" x14ac:dyDescent="0.25">
      <c r="A35999" s="118"/>
      <c r="B35999" s="136"/>
    </row>
    <row r="36000" spans="1:2" x14ac:dyDescent="0.25">
      <c r="A36000" s="118"/>
      <c r="B36000" s="136"/>
    </row>
    <row r="36001" spans="1:2" x14ac:dyDescent="0.25">
      <c r="A36001" s="118"/>
      <c r="B36001" s="136"/>
    </row>
    <row r="36002" spans="1:2" x14ac:dyDescent="0.25">
      <c r="A36002" s="118"/>
      <c r="B36002" s="136"/>
    </row>
    <row r="36003" spans="1:2" x14ac:dyDescent="0.25">
      <c r="A36003" s="118"/>
      <c r="B36003" s="136"/>
    </row>
    <row r="36004" spans="1:2" x14ac:dyDescent="0.25">
      <c r="A36004" s="118"/>
      <c r="B36004" s="136"/>
    </row>
    <row r="36005" spans="1:2" x14ac:dyDescent="0.25">
      <c r="A36005" s="118"/>
      <c r="B36005" s="136"/>
    </row>
    <row r="36006" spans="1:2" x14ac:dyDescent="0.25">
      <c r="A36006" s="118"/>
      <c r="B36006" s="136"/>
    </row>
    <row r="36007" spans="1:2" x14ac:dyDescent="0.25">
      <c r="A36007" s="118"/>
      <c r="B36007" s="136"/>
    </row>
    <row r="36008" spans="1:2" x14ac:dyDescent="0.25">
      <c r="A36008" s="118"/>
      <c r="B36008" s="136"/>
    </row>
    <row r="36009" spans="1:2" x14ac:dyDescent="0.25">
      <c r="A36009" s="118"/>
      <c r="B36009" s="136"/>
    </row>
    <row r="36010" spans="1:2" x14ac:dyDescent="0.25">
      <c r="A36010" s="118"/>
      <c r="B36010" s="136"/>
    </row>
    <row r="36011" spans="1:2" x14ac:dyDescent="0.25">
      <c r="A36011" s="118"/>
      <c r="B36011" s="136"/>
    </row>
    <row r="36012" spans="1:2" x14ac:dyDescent="0.25">
      <c r="A36012" s="118"/>
      <c r="B36012" s="136"/>
    </row>
    <row r="36013" spans="1:2" x14ac:dyDescent="0.25">
      <c r="A36013" s="118"/>
      <c r="B36013" s="136"/>
    </row>
    <row r="36014" spans="1:2" x14ac:dyDescent="0.25">
      <c r="A36014" s="118"/>
      <c r="B36014" s="136"/>
    </row>
    <row r="36015" spans="1:2" x14ac:dyDescent="0.25">
      <c r="A36015" s="118"/>
      <c r="B36015" s="136"/>
    </row>
    <row r="36016" spans="1:2" x14ac:dyDescent="0.25">
      <c r="A36016" s="118"/>
      <c r="B36016" s="136"/>
    </row>
    <row r="36017" spans="1:2" x14ac:dyDescent="0.25">
      <c r="A36017" s="118"/>
      <c r="B36017" s="136"/>
    </row>
    <row r="36018" spans="1:2" x14ac:dyDescent="0.25">
      <c r="A36018" s="118"/>
      <c r="B36018" s="136"/>
    </row>
    <row r="36019" spans="1:2" x14ac:dyDescent="0.25">
      <c r="A36019" s="118"/>
      <c r="B36019" s="136"/>
    </row>
    <row r="36020" spans="1:2" x14ac:dyDescent="0.25">
      <c r="A36020" s="118"/>
      <c r="B36020" s="136"/>
    </row>
    <row r="36021" spans="1:2" x14ac:dyDescent="0.25">
      <c r="A36021" s="118"/>
      <c r="B36021" s="136"/>
    </row>
    <row r="36022" spans="1:2" x14ac:dyDescent="0.25">
      <c r="A36022" s="118"/>
      <c r="B36022" s="136"/>
    </row>
    <row r="36023" spans="1:2" x14ac:dyDescent="0.25">
      <c r="A36023" s="118"/>
      <c r="B36023" s="136"/>
    </row>
    <row r="36024" spans="1:2" x14ac:dyDescent="0.25">
      <c r="A36024" s="118"/>
      <c r="B36024" s="136"/>
    </row>
    <row r="36025" spans="1:2" x14ac:dyDescent="0.25">
      <c r="A36025" s="118"/>
      <c r="B36025" s="136"/>
    </row>
    <row r="36026" spans="1:2" x14ac:dyDescent="0.25">
      <c r="A36026" s="118"/>
      <c r="B36026" s="136"/>
    </row>
    <row r="36027" spans="1:2" x14ac:dyDescent="0.25">
      <c r="A36027" s="118"/>
      <c r="B36027" s="136"/>
    </row>
    <row r="36028" spans="1:2" x14ac:dyDescent="0.25">
      <c r="A36028" s="118"/>
      <c r="B36028" s="136"/>
    </row>
    <row r="36029" spans="1:2" x14ac:dyDescent="0.25">
      <c r="A36029" s="118"/>
      <c r="B36029" s="136"/>
    </row>
    <row r="36030" spans="1:2" x14ac:dyDescent="0.25">
      <c r="A36030" s="118"/>
      <c r="B36030" s="136"/>
    </row>
    <row r="36031" spans="1:2" x14ac:dyDescent="0.25">
      <c r="A36031" s="118"/>
      <c r="B36031" s="136"/>
    </row>
    <row r="36032" spans="1:2" x14ac:dyDescent="0.25">
      <c r="A36032" s="118"/>
      <c r="B36032" s="136"/>
    </row>
    <row r="36033" spans="1:2" x14ac:dyDescent="0.25">
      <c r="A36033" s="118"/>
      <c r="B36033" s="136"/>
    </row>
    <row r="36034" spans="1:2" x14ac:dyDescent="0.25">
      <c r="A36034" s="118"/>
      <c r="B36034" s="136"/>
    </row>
    <row r="36035" spans="1:2" x14ac:dyDescent="0.25">
      <c r="A36035" s="118"/>
      <c r="B36035" s="136"/>
    </row>
    <row r="36036" spans="1:2" x14ac:dyDescent="0.25">
      <c r="A36036" s="118"/>
      <c r="B36036" s="136"/>
    </row>
    <row r="36037" spans="1:2" x14ac:dyDescent="0.25">
      <c r="A36037" s="118"/>
      <c r="B36037" s="136"/>
    </row>
    <row r="36038" spans="1:2" x14ac:dyDescent="0.25">
      <c r="A36038" s="118"/>
      <c r="B36038" s="136"/>
    </row>
    <row r="36039" spans="1:2" x14ac:dyDescent="0.25">
      <c r="A36039" s="118"/>
      <c r="B36039" s="136"/>
    </row>
    <row r="36040" spans="1:2" x14ac:dyDescent="0.25">
      <c r="A36040" s="118"/>
      <c r="B36040" s="136"/>
    </row>
    <row r="36041" spans="1:2" x14ac:dyDescent="0.25">
      <c r="A36041" s="118"/>
      <c r="B36041" s="136"/>
    </row>
    <row r="36042" spans="1:2" x14ac:dyDescent="0.25">
      <c r="A36042" s="118"/>
      <c r="B36042" s="136"/>
    </row>
    <row r="36043" spans="1:2" x14ac:dyDescent="0.25">
      <c r="A36043" s="118"/>
      <c r="B36043" s="136"/>
    </row>
    <row r="36044" spans="1:2" x14ac:dyDescent="0.25">
      <c r="A36044" s="118"/>
      <c r="B36044" s="136"/>
    </row>
    <row r="36045" spans="1:2" x14ac:dyDescent="0.25">
      <c r="A36045" s="118"/>
      <c r="B36045" s="136"/>
    </row>
    <row r="36046" spans="1:2" x14ac:dyDescent="0.25">
      <c r="A36046" s="118"/>
      <c r="B36046" s="136"/>
    </row>
    <row r="36047" spans="1:2" x14ac:dyDescent="0.25">
      <c r="A36047" s="118"/>
      <c r="B36047" s="136"/>
    </row>
    <row r="36048" spans="1:2" x14ac:dyDescent="0.25">
      <c r="A36048" s="118"/>
      <c r="B36048" s="136"/>
    </row>
    <row r="36049" spans="1:2" x14ac:dyDescent="0.25">
      <c r="A36049" s="118"/>
      <c r="B36049" s="136"/>
    </row>
    <row r="36050" spans="1:2" x14ac:dyDescent="0.25">
      <c r="A36050" s="118"/>
      <c r="B36050" s="136"/>
    </row>
    <row r="36051" spans="1:2" x14ac:dyDescent="0.25">
      <c r="A36051" s="118"/>
      <c r="B36051" s="136"/>
    </row>
    <row r="36052" spans="1:2" x14ac:dyDescent="0.25">
      <c r="A36052" s="118"/>
      <c r="B36052" s="136"/>
    </row>
    <row r="36053" spans="1:2" x14ac:dyDescent="0.25">
      <c r="A36053" s="118"/>
      <c r="B36053" s="136"/>
    </row>
    <row r="36054" spans="1:2" x14ac:dyDescent="0.25">
      <c r="A36054" s="118"/>
      <c r="B36054" s="136"/>
    </row>
    <row r="36055" spans="1:2" x14ac:dyDescent="0.25">
      <c r="A36055" s="118"/>
      <c r="B36055" s="136"/>
    </row>
    <row r="36056" spans="1:2" x14ac:dyDescent="0.25">
      <c r="A36056" s="118"/>
      <c r="B36056" s="136"/>
    </row>
    <row r="36057" spans="1:2" x14ac:dyDescent="0.25">
      <c r="A36057" s="118"/>
      <c r="B36057" s="136"/>
    </row>
    <row r="36058" spans="1:2" x14ac:dyDescent="0.25">
      <c r="A36058" s="118"/>
      <c r="B36058" s="136"/>
    </row>
    <row r="36059" spans="1:2" x14ac:dyDescent="0.25">
      <c r="A36059" s="118"/>
      <c r="B36059" s="136"/>
    </row>
    <row r="36060" spans="1:2" x14ac:dyDescent="0.25">
      <c r="A36060" s="118"/>
      <c r="B36060" s="136"/>
    </row>
    <row r="36061" spans="1:2" x14ac:dyDescent="0.25">
      <c r="A36061" s="118"/>
      <c r="B36061" s="136"/>
    </row>
    <row r="36062" spans="1:2" x14ac:dyDescent="0.25">
      <c r="A36062" s="118"/>
      <c r="B36062" s="136"/>
    </row>
    <row r="36063" spans="1:2" x14ac:dyDescent="0.25">
      <c r="A36063" s="118"/>
      <c r="B36063" s="136"/>
    </row>
    <row r="36064" spans="1:2" x14ac:dyDescent="0.25">
      <c r="A36064" s="118"/>
      <c r="B36064" s="136"/>
    </row>
    <row r="36065" spans="1:2" x14ac:dyDescent="0.25">
      <c r="A36065" s="118"/>
      <c r="B36065" s="136"/>
    </row>
    <row r="36066" spans="1:2" x14ac:dyDescent="0.25">
      <c r="A36066" s="118"/>
      <c r="B36066" s="136"/>
    </row>
    <row r="36067" spans="1:2" x14ac:dyDescent="0.25">
      <c r="A36067" s="118"/>
      <c r="B36067" s="136"/>
    </row>
    <row r="36068" spans="1:2" x14ac:dyDescent="0.25">
      <c r="A36068" s="118"/>
      <c r="B36068" s="136"/>
    </row>
    <row r="36069" spans="1:2" x14ac:dyDescent="0.25">
      <c r="A36069" s="118"/>
      <c r="B36069" s="136"/>
    </row>
    <row r="36070" spans="1:2" x14ac:dyDescent="0.25">
      <c r="A36070" s="118"/>
      <c r="B36070" s="136"/>
    </row>
    <row r="36071" spans="1:2" x14ac:dyDescent="0.25">
      <c r="A36071" s="118"/>
      <c r="B36071" s="136"/>
    </row>
    <row r="36072" spans="1:2" x14ac:dyDescent="0.25">
      <c r="A36072" s="118"/>
      <c r="B36072" s="136"/>
    </row>
    <row r="36073" spans="1:2" x14ac:dyDescent="0.25">
      <c r="A36073" s="118"/>
      <c r="B36073" s="136"/>
    </row>
    <row r="36074" spans="1:2" x14ac:dyDescent="0.25">
      <c r="A36074" s="118"/>
      <c r="B36074" s="136"/>
    </row>
    <row r="36075" spans="1:2" x14ac:dyDescent="0.25">
      <c r="A36075" s="118"/>
      <c r="B36075" s="136"/>
    </row>
    <row r="36076" spans="1:2" x14ac:dyDescent="0.25">
      <c r="A36076" s="118"/>
      <c r="B36076" s="136"/>
    </row>
    <row r="36077" spans="1:2" x14ac:dyDescent="0.25">
      <c r="A36077" s="118"/>
      <c r="B36077" s="136"/>
    </row>
    <row r="36078" spans="1:2" x14ac:dyDescent="0.25">
      <c r="A36078" s="118"/>
      <c r="B36078" s="136"/>
    </row>
    <row r="36079" spans="1:2" x14ac:dyDescent="0.25">
      <c r="A36079" s="118"/>
      <c r="B36079" s="136"/>
    </row>
    <row r="36080" spans="1:2" x14ac:dyDescent="0.25">
      <c r="A36080" s="118"/>
      <c r="B36080" s="136"/>
    </row>
    <row r="36081" spans="1:2" x14ac:dyDescent="0.25">
      <c r="A36081" s="118"/>
      <c r="B36081" s="136"/>
    </row>
    <row r="36082" spans="1:2" x14ac:dyDescent="0.25">
      <c r="A36082" s="118"/>
      <c r="B36082" s="136"/>
    </row>
    <row r="36083" spans="1:2" x14ac:dyDescent="0.25">
      <c r="A36083" s="118"/>
      <c r="B36083" s="136"/>
    </row>
    <row r="36084" spans="1:2" x14ac:dyDescent="0.25">
      <c r="A36084" s="118"/>
      <c r="B36084" s="136"/>
    </row>
    <row r="36085" spans="1:2" x14ac:dyDescent="0.25">
      <c r="A36085" s="118"/>
      <c r="B36085" s="136"/>
    </row>
    <row r="36086" spans="1:2" x14ac:dyDescent="0.25">
      <c r="A36086" s="118"/>
      <c r="B36086" s="136"/>
    </row>
    <row r="36087" spans="1:2" x14ac:dyDescent="0.25">
      <c r="A36087" s="118"/>
      <c r="B36087" s="136"/>
    </row>
    <row r="36088" spans="1:2" x14ac:dyDescent="0.25">
      <c r="A36088" s="118"/>
      <c r="B36088" s="136"/>
    </row>
    <row r="36089" spans="1:2" x14ac:dyDescent="0.25">
      <c r="A36089" s="118"/>
      <c r="B36089" s="136"/>
    </row>
    <row r="36090" spans="1:2" x14ac:dyDescent="0.25">
      <c r="A36090" s="118"/>
      <c r="B36090" s="136"/>
    </row>
    <row r="36091" spans="1:2" x14ac:dyDescent="0.25">
      <c r="A36091" s="118"/>
      <c r="B36091" s="136"/>
    </row>
    <row r="36092" spans="1:2" x14ac:dyDescent="0.25">
      <c r="A36092" s="118"/>
      <c r="B36092" s="136"/>
    </row>
    <row r="36093" spans="1:2" x14ac:dyDescent="0.25">
      <c r="A36093" s="118"/>
      <c r="B36093" s="136"/>
    </row>
    <row r="36094" spans="1:2" x14ac:dyDescent="0.25">
      <c r="A36094" s="118"/>
      <c r="B36094" s="136"/>
    </row>
    <row r="36095" spans="1:2" x14ac:dyDescent="0.25">
      <c r="A36095" s="118"/>
      <c r="B36095" s="136"/>
    </row>
    <row r="36096" spans="1:2" x14ac:dyDescent="0.25">
      <c r="A36096" s="118"/>
      <c r="B36096" s="136"/>
    </row>
    <row r="36097" spans="1:2" x14ac:dyDescent="0.25">
      <c r="A36097" s="118"/>
      <c r="B36097" s="136"/>
    </row>
    <row r="36098" spans="1:2" x14ac:dyDescent="0.25">
      <c r="A36098" s="118"/>
      <c r="B36098" s="136"/>
    </row>
    <row r="36099" spans="1:2" x14ac:dyDescent="0.25">
      <c r="A36099" s="118"/>
      <c r="B36099" s="136"/>
    </row>
    <row r="36100" spans="1:2" x14ac:dyDescent="0.25">
      <c r="A36100" s="118"/>
      <c r="B36100" s="136"/>
    </row>
    <row r="36101" spans="1:2" x14ac:dyDescent="0.25">
      <c r="A36101" s="118"/>
      <c r="B36101" s="136"/>
    </row>
    <row r="36102" spans="1:2" x14ac:dyDescent="0.25">
      <c r="A36102" s="118"/>
      <c r="B36102" s="136"/>
    </row>
    <row r="36103" spans="1:2" x14ac:dyDescent="0.25">
      <c r="A36103" s="118"/>
      <c r="B36103" s="136"/>
    </row>
    <row r="36104" spans="1:2" x14ac:dyDescent="0.25">
      <c r="A36104" s="118"/>
      <c r="B36104" s="136"/>
    </row>
    <row r="36105" spans="1:2" x14ac:dyDescent="0.25">
      <c r="A36105" s="118"/>
      <c r="B36105" s="136"/>
    </row>
    <row r="36106" spans="1:2" x14ac:dyDescent="0.25">
      <c r="A36106" s="118"/>
      <c r="B36106" s="136"/>
    </row>
    <row r="36107" spans="1:2" x14ac:dyDescent="0.25">
      <c r="A36107" s="118"/>
      <c r="B36107" s="136"/>
    </row>
    <row r="36108" spans="1:2" x14ac:dyDescent="0.25">
      <c r="A36108" s="118"/>
      <c r="B36108" s="136"/>
    </row>
    <row r="36109" spans="1:2" x14ac:dyDescent="0.25">
      <c r="A36109" s="118"/>
      <c r="B36109" s="136"/>
    </row>
    <row r="36110" spans="1:2" x14ac:dyDescent="0.25">
      <c r="A36110" s="118"/>
      <c r="B36110" s="136"/>
    </row>
    <row r="36111" spans="1:2" x14ac:dyDescent="0.25">
      <c r="A36111" s="118"/>
      <c r="B36111" s="136"/>
    </row>
    <row r="36112" spans="1:2" x14ac:dyDescent="0.25">
      <c r="A36112" s="118"/>
      <c r="B36112" s="136"/>
    </row>
    <row r="36113" spans="1:2" x14ac:dyDescent="0.25">
      <c r="A36113" s="118"/>
      <c r="B36113" s="136"/>
    </row>
    <row r="36114" spans="1:2" x14ac:dyDescent="0.25">
      <c r="A36114" s="118"/>
      <c r="B36114" s="136"/>
    </row>
    <row r="36115" spans="1:2" x14ac:dyDescent="0.25">
      <c r="A36115" s="118"/>
      <c r="B36115" s="136"/>
    </row>
    <row r="36116" spans="1:2" x14ac:dyDescent="0.25">
      <c r="A36116" s="118"/>
      <c r="B36116" s="136"/>
    </row>
    <row r="36117" spans="1:2" x14ac:dyDescent="0.25">
      <c r="A36117" s="118"/>
      <c r="B36117" s="136"/>
    </row>
    <row r="36118" spans="1:2" x14ac:dyDescent="0.25">
      <c r="A36118" s="118"/>
      <c r="B36118" s="136"/>
    </row>
    <row r="36119" spans="1:2" x14ac:dyDescent="0.25">
      <c r="A36119" s="118"/>
      <c r="B36119" s="136"/>
    </row>
    <row r="36120" spans="1:2" x14ac:dyDescent="0.25">
      <c r="A36120" s="118"/>
      <c r="B36120" s="136"/>
    </row>
    <row r="36121" spans="1:2" x14ac:dyDescent="0.25">
      <c r="A36121" s="118"/>
      <c r="B36121" s="136"/>
    </row>
    <row r="36122" spans="1:2" x14ac:dyDescent="0.25">
      <c r="A36122" s="118"/>
      <c r="B36122" s="136"/>
    </row>
    <row r="36123" spans="1:2" x14ac:dyDescent="0.25">
      <c r="A36123" s="118"/>
      <c r="B36123" s="136"/>
    </row>
    <row r="36124" spans="1:2" x14ac:dyDescent="0.25">
      <c r="A36124" s="118"/>
      <c r="B36124" s="136"/>
    </row>
    <row r="36125" spans="1:2" x14ac:dyDescent="0.25">
      <c r="A36125" s="118"/>
      <c r="B36125" s="136"/>
    </row>
    <row r="36126" spans="1:2" x14ac:dyDescent="0.25">
      <c r="A36126" s="118"/>
      <c r="B36126" s="136"/>
    </row>
    <row r="36127" spans="1:2" x14ac:dyDescent="0.25">
      <c r="A36127" s="118"/>
      <c r="B36127" s="136"/>
    </row>
    <row r="36128" spans="1:2" x14ac:dyDescent="0.25">
      <c r="A36128" s="118"/>
      <c r="B36128" s="136"/>
    </row>
    <row r="36129" spans="1:2" x14ac:dyDescent="0.25">
      <c r="A36129" s="118"/>
      <c r="B36129" s="136"/>
    </row>
    <row r="36130" spans="1:2" x14ac:dyDescent="0.25">
      <c r="A36130" s="118"/>
      <c r="B36130" s="136"/>
    </row>
    <row r="36131" spans="1:2" x14ac:dyDescent="0.25">
      <c r="A36131" s="118"/>
      <c r="B36131" s="136"/>
    </row>
    <row r="36132" spans="1:2" x14ac:dyDescent="0.25">
      <c r="A36132" s="118"/>
      <c r="B36132" s="136"/>
    </row>
    <row r="36133" spans="1:2" x14ac:dyDescent="0.25">
      <c r="A36133" s="118"/>
      <c r="B36133" s="136"/>
    </row>
    <row r="36134" spans="1:2" x14ac:dyDescent="0.25">
      <c r="A36134" s="118"/>
      <c r="B36134" s="136"/>
    </row>
    <row r="36135" spans="1:2" x14ac:dyDescent="0.25">
      <c r="A36135" s="118"/>
      <c r="B36135" s="136"/>
    </row>
    <row r="36136" spans="1:2" x14ac:dyDescent="0.25">
      <c r="A36136" s="118"/>
      <c r="B36136" s="136"/>
    </row>
    <row r="36137" spans="1:2" x14ac:dyDescent="0.25">
      <c r="A36137" s="118"/>
      <c r="B36137" s="136"/>
    </row>
    <row r="36138" spans="1:2" x14ac:dyDescent="0.25">
      <c r="A36138" s="118"/>
      <c r="B36138" s="136"/>
    </row>
    <row r="36139" spans="1:2" x14ac:dyDescent="0.25">
      <c r="A36139" s="118"/>
      <c r="B36139" s="136"/>
    </row>
    <row r="36140" spans="1:2" x14ac:dyDescent="0.25">
      <c r="A36140" s="118"/>
      <c r="B36140" s="136"/>
    </row>
    <row r="36141" spans="1:2" x14ac:dyDescent="0.25">
      <c r="A36141" s="118"/>
      <c r="B36141" s="136"/>
    </row>
    <row r="36142" spans="1:2" x14ac:dyDescent="0.25">
      <c r="A36142" s="118"/>
      <c r="B36142" s="136"/>
    </row>
    <row r="36143" spans="1:2" x14ac:dyDescent="0.25">
      <c r="A36143" s="118"/>
      <c r="B36143" s="136"/>
    </row>
    <row r="36144" spans="1:2" x14ac:dyDescent="0.25">
      <c r="A36144" s="118"/>
      <c r="B36144" s="136"/>
    </row>
    <row r="36145" spans="1:2" x14ac:dyDescent="0.25">
      <c r="A36145" s="118"/>
      <c r="B36145" s="136"/>
    </row>
    <row r="36146" spans="1:2" x14ac:dyDescent="0.25">
      <c r="A36146" s="118"/>
      <c r="B36146" s="136"/>
    </row>
    <row r="36147" spans="1:2" x14ac:dyDescent="0.25">
      <c r="A36147" s="118"/>
      <c r="B36147" s="136"/>
    </row>
    <row r="36148" spans="1:2" x14ac:dyDescent="0.25">
      <c r="A36148" s="118"/>
      <c r="B36148" s="136"/>
    </row>
    <row r="36149" spans="1:2" x14ac:dyDescent="0.25">
      <c r="A36149" s="118"/>
      <c r="B36149" s="136"/>
    </row>
    <row r="36150" spans="1:2" x14ac:dyDescent="0.25">
      <c r="A36150" s="118"/>
      <c r="B36150" s="136"/>
    </row>
    <row r="36151" spans="1:2" x14ac:dyDescent="0.25">
      <c r="A36151" s="118"/>
      <c r="B36151" s="136"/>
    </row>
    <row r="36152" spans="1:2" x14ac:dyDescent="0.25">
      <c r="A36152" s="118"/>
      <c r="B36152" s="136"/>
    </row>
    <row r="36153" spans="1:2" x14ac:dyDescent="0.25">
      <c r="A36153" s="118"/>
      <c r="B36153" s="136"/>
    </row>
    <row r="36154" spans="1:2" x14ac:dyDescent="0.25">
      <c r="A36154" s="118"/>
      <c r="B36154" s="136"/>
    </row>
    <row r="36155" spans="1:2" x14ac:dyDescent="0.25">
      <c r="A36155" s="118"/>
      <c r="B36155" s="136"/>
    </row>
    <row r="36156" spans="1:2" x14ac:dyDescent="0.25">
      <c r="A36156" s="118"/>
      <c r="B36156" s="136"/>
    </row>
    <row r="36157" spans="1:2" x14ac:dyDescent="0.25">
      <c r="A36157" s="118"/>
      <c r="B36157" s="136"/>
    </row>
    <row r="36158" spans="1:2" x14ac:dyDescent="0.25">
      <c r="A36158" s="118"/>
      <c r="B36158" s="136"/>
    </row>
    <row r="36159" spans="1:2" x14ac:dyDescent="0.25">
      <c r="A36159" s="118"/>
      <c r="B36159" s="136"/>
    </row>
    <row r="36160" spans="1:2" x14ac:dyDescent="0.25">
      <c r="A36160" s="118"/>
      <c r="B36160" s="136"/>
    </row>
    <row r="36161" spans="1:2" x14ac:dyDescent="0.25">
      <c r="A36161" s="118"/>
      <c r="B36161" s="136"/>
    </row>
    <row r="36162" spans="1:2" x14ac:dyDescent="0.25">
      <c r="A36162" s="118"/>
      <c r="B36162" s="136"/>
    </row>
    <row r="36163" spans="1:2" x14ac:dyDescent="0.25">
      <c r="A36163" s="118"/>
      <c r="B36163" s="136"/>
    </row>
    <row r="36164" spans="1:2" x14ac:dyDescent="0.25">
      <c r="A36164" s="118"/>
      <c r="B36164" s="136"/>
    </row>
    <row r="36165" spans="1:2" x14ac:dyDescent="0.25">
      <c r="A36165" s="118"/>
      <c r="B36165" s="136"/>
    </row>
    <row r="36166" spans="1:2" x14ac:dyDescent="0.25">
      <c r="A36166" s="118"/>
      <c r="B36166" s="136"/>
    </row>
    <row r="36167" spans="1:2" x14ac:dyDescent="0.25">
      <c r="A36167" s="118"/>
      <c r="B36167" s="136"/>
    </row>
    <row r="36168" spans="1:2" x14ac:dyDescent="0.25">
      <c r="A36168" s="118"/>
      <c r="B36168" s="136"/>
    </row>
    <row r="36169" spans="1:2" x14ac:dyDescent="0.25">
      <c r="A36169" s="118"/>
      <c r="B36169" s="136"/>
    </row>
    <row r="36170" spans="1:2" x14ac:dyDescent="0.25">
      <c r="A36170" s="118"/>
      <c r="B36170" s="136"/>
    </row>
    <row r="36171" spans="1:2" x14ac:dyDescent="0.25">
      <c r="A36171" s="118"/>
      <c r="B36171" s="136"/>
    </row>
    <row r="36172" spans="1:2" x14ac:dyDescent="0.25">
      <c r="A36172" s="118"/>
      <c r="B36172" s="136"/>
    </row>
    <row r="36173" spans="1:2" x14ac:dyDescent="0.25">
      <c r="A36173" s="118"/>
      <c r="B36173" s="136"/>
    </row>
    <row r="36174" spans="1:2" x14ac:dyDescent="0.25">
      <c r="A36174" s="118"/>
      <c r="B36174" s="136"/>
    </row>
    <row r="36175" spans="1:2" x14ac:dyDescent="0.25">
      <c r="A36175" s="118"/>
      <c r="B36175" s="136"/>
    </row>
    <row r="36176" spans="1:2" x14ac:dyDescent="0.25">
      <c r="A36176" s="118"/>
      <c r="B36176" s="136"/>
    </row>
    <row r="36177" spans="1:2" x14ac:dyDescent="0.25">
      <c r="A36177" s="118"/>
      <c r="B36177" s="136"/>
    </row>
    <row r="36178" spans="1:2" x14ac:dyDescent="0.25">
      <c r="A36178" s="118"/>
      <c r="B36178" s="136"/>
    </row>
    <row r="36179" spans="1:2" x14ac:dyDescent="0.25">
      <c r="A36179" s="118"/>
      <c r="B36179" s="136"/>
    </row>
    <row r="36180" spans="1:2" x14ac:dyDescent="0.25">
      <c r="A36180" s="118"/>
      <c r="B36180" s="136"/>
    </row>
    <row r="36181" spans="1:2" x14ac:dyDescent="0.25">
      <c r="A36181" s="118"/>
      <c r="B36181" s="136"/>
    </row>
    <row r="36182" spans="1:2" x14ac:dyDescent="0.25">
      <c r="A36182" s="118"/>
      <c r="B36182" s="136"/>
    </row>
    <row r="36183" spans="1:2" x14ac:dyDescent="0.25">
      <c r="A36183" s="118"/>
      <c r="B36183" s="136"/>
    </row>
    <row r="36184" spans="1:2" x14ac:dyDescent="0.25">
      <c r="A36184" s="118"/>
      <c r="B36184" s="136"/>
    </row>
    <row r="36185" spans="1:2" x14ac:dyDescent="0.25">
      <c r="A36185" s="118"/>
      <c r="B36185" s="136"/>
    </row>
    <row r="36186" spans="1:2" x14ac:dyDescent="0.25">
      <c r="A36186" s="118"/>
      <c r="B36186" s="136"/>
    </row>
    <row r="36187" spans="1:2" x14ac:dyDescent="0.25">
      <c r="A36187" s="118"/>
      <c r="B36187" s="136"/>
    </row>
    <row r="36188" spans="1:2" x14ac:dyDescent="0.25">
      <c r="A36188" s="118"/>
      <c r="B36188" s="136"/>
    </row>
    <row r="36189" spans="1:2" x14ac:dyDescent="0.25">
      <c r="A36189" s="118"/>
      <c r="B36189" s="136"/>
    </row>
    <row r="36190" spans="1:2" x14ac:dyDescent="0.25">
      <c r="A36190" s="118"/>
      <c r="B36190" s="136"/>
    </row>
    <row r="36191" spans="1:2" x14ac:dyDescent="0.25">
      <c r="A36191" s="118"/>
      <c r="B36191" s="136"/>
    </row>
    <row r="36192" spans="1:2" x14ac:dyDescent="0.25">
      <c r="A36192" s="118"/>
      <c r="B36192" s="136"/>
    </row>
    <row r="36193" spans="1:2" x14ac:dyDescent="0.25">
      <c r="A36193" s="118"/>
      <c r="B36193" s="136"/>
    </row>
    <row r="36194" spans="1:2" x14ac:dyDescent="0.25">
      <c r="A36194" s="118"/>
      <c r="B36194" s="136"/>
    </row>
    <row r="36195" spans="1:2" x14ac:dyDescent="0.25">
      <c r="A36195" s="118"/>
      <c r="B36195" s="136"/>
    </row>
    <row r="36196" spans="1:2" x14ac:dyDescent="0.25">
      <c r="A36196" s="118"/>
      <c r="B36196" s="136"/>
    </row>
    <row r="36197" spans="1:2" x14ac:dyDescent="0.25">
      <c r="A36197" s="118"/>
      <c r="B36197" s="136"/>
    </row>
    <row r="36198" spans="1:2" x14ac:dyDescent="0.25">
      <c r="A36198" s="118"/>
      <c r="B36198" s="136"/>
    </row>
    <row r="36199" spans="1:2" x14ac:dyDescent="0.25">
      <c r="A36199" s="118"/>
      <c r="B36199" s="136"/>
    </row>
    <row r="36200" spans="1:2" x14ac:dyDescent="0.25">
      <c r="A36200" s="118"/>
      <c r="B36200" s="136"/>
    </row>
    <row r="36201" spans="1:2" x14ac:dyDescent="0.25">
      <c r="A36201" s="118"/>
      <c r="B36201" s="136"/>
    </row>
    <row r="36202" spans="1:2" x14ac:dyDescent="0.25">
      <c r="A36202" s="118"/>
      <c r="B36202" s="136"/>
    </row>
    <row r="36203" spans="1:2" x14ac:dyDescent="0.25">
      <c r="A36203" s="118"/>
      <c r="B36203" s="136"/>
    </row>
    <row r="36204" spans="1:2" x14ac:dyDescent="0.25">
      <c r="A36204" s="118"/>
      <c r="B36204" s="136"/>
    </row>
    <row r="36205" spans="1:2" x14ac:dyDescent="0.25">
      <c r="A36205" s="118"/>
      <c r="B36205" s="136"/>
    </row>
    <row r="36206" spans="1:2" x14ac:dyDescent="0.25">
      <c r="A36206" s="118"/>
      <c r="B36206" s="136"/>
    </row>
    <row r="36207" spans="1:2" x14ac:dyDescent="0.25">
      <c r="A36207" s="118"/>
      <c r="B36207" s="136"/>
    </row>
    <row r="36208" spans="1:2" x14ac:dyDescent="0.25">
      <c r="A36208" s="118"/>
      <c r="B36208" s="136"/>
    </row>
    <row r="36209" spans="1:2" x14ac:dyDescent="0.25">
      <c r="A36209" s="118"/>
      <c r="B36209" s="136"/>
    </row>
    <row r="36210" spans="1:2" x14ac:dyDescent="0.25">
      <c r="A36210" s="118"/>
      <c r="B36210" s="136"/>
    </row>
    <row r="36211" spans="1:2" x14ac:dyDescent="0.25">
      <c r="A36211" s="118"/>
      <c r="B36211" s="136"/>
    </row>
    <row r="36212" spans="1:2" x14ac:dyDescent="0.25">
      <c r="A36212" s="118"/>
      <c r="B36212" s="136"/>
    </row>
    <row r="36213" spans="1:2" x14ac:dyDescent="0.25">
      <c r="A36213" s="118"/>
      <c r="B36213" s="136"/>
    </row>
    <row r="36214" spans="1:2" x14ac:dyDescent="0.25">
      <c r="A36214" s="118"/>
      <c r="B36214" s="136"/>
    </row>
    <row r="36215" spans="1:2" x14ac:dyDescent="0.25">
      <c r="A36215" s="118"/>
      <c r="B36215" s="136"/>
    </row>
    <row r="36216" spans="1:2" x14ac:dyDescent="0.25">
      <c r="A36216" s="118"/>
      <c r="B36216" s="136"/>
    </row>
    <row r="36217" spans="1:2" x14ac:dyDescent="0.25">
      <c r="A36217" s="118"/>
      <c r="B36217" s="136"/>
    </row>
    <row r="36218" spans="1:2" x14ac:dyDescent="0.25">
      <c r="A36218" s="118"/>
      <c r="B36218" s="136"/>
    </row>
    <row r="36219" spans="1:2" x14ac:dyDescent="0.25">
      <c r="A36219" s="118"/>
      <c r="B36219" s="136"/>
    </row>
    <row r="36220" spans="1:2" x14ac:dyDescent="0.25">
      <c r="A36220" s="118"/>
      <c r="B36220" s="136"/>
    </row>
    <row r="36221" spans="1:2" x14ac:dyDescent="0.25">
      <c r="A36221" s="118"/>
      <c r="B36221" s="136"/>
    </row>
    <row r="36222" spans="1:2" x14ac:dyDescent="0.25">
      <c r="A36222" s="118"/>
      <c r="B36222" s="136"/>
    </row>
    <row r="36223" spans="1:2" x14ac:dyDescent="0.25">
      <c r="A36223" s="118"/>
      <c r="B36223" s="136"/>
    </row>
    <row r="36224" spans="1:2" x14ac:dyDescent="0.25">
      <c r="A36224" s="118"/>
      <c r="B36224" s="136"/>
    </row>
    <row r="36225" spans="1:2" x14ac:dyDescent="0.25">
      <c r="A36225" s="118"/>
      <c r="B36225" s="136"/>
    </row>
    <row r="36226" spans="1:2" x14ac:dyDescent="0.25">
      <c r="A36226" s="118"/>
      <c r="B36226" s="136"/>
    </row>
    <row r="36227" spans="1:2" x14ac:dyDescent="0.25">
      <c r="A36227" s="118"/>
      <c r="B36227" s="136"/>
    </row>
    <row r="36228" spans="1:2" x14ac:dyDescent="0.25">
      <c r="A36228" s="118"/>
      <c r="B36228" s="136"/>
    </row>
    <row r="36229" spans="1:2" x14ac:dyDescent="0.25">
      <c r="A36229" s="118"/>
      <c r="B36229" s="136"/>
    </row>
    <row r="36230" spans="1:2" x14ac:dyDescent="0.25">
      <c r="A36230" s="118"/>
      <c r="B36230" s="136"/>
    </row>
    <row r="36231" spans="1:2" x14ac:dyDescent="0.25">
      <c r="A36231" s="118"/>
      <c r="B36231" s="136"/>
    </row>
    <row r="36232" spans="1:2" x14ac:dyDescent="0.25">
      <c r="A36232" s="118"/>
      <c r="B36232" s="136"/>
    </row>
    <row r="36233" spans="1:2" x14ac:dyDescent="0.25">
      <c r="A36233" s="118"/>
      <c r="B36233" s="136"/>
    </row>
    <row r="36234" spans="1:2" x14ac:dyDescent="0.25">
      <c r="A36234" s="118"/>
      <c r="B36234" s="136"/>
    </row>
    <row r="36235" spans="1:2" x14ac:dyDescent="0.25">
      <c r="A36235" s="118"/>
      <c r="B36235" s="136"/>
    </row>
    <row r="36236" spans="1:2" x14ac:dyDescent="0.25">
      <c r="A36236" s="118"/>
      <c r="B36236" s="136"/>
    </row>
    <row r="36237" spans="1:2" x14ac:dyDescent="0.25">
      <c r="A36237" s="118"/>
      <c r="B36237" s="136"/>
    </row>
    <row r="36238" spans="1:2" x14ac:dyDescent="0.25">
      <c r="A36238" s="118"/>
      <c r="B36238" s="136"/>
    </row>
    <row r="36239" spans="1:2" x14ac:dyDescent="0.25">
      <c r="A36239" s="118"/>
      <c r="B36239" s="136"/>
    </row>
    <row r="36240" spans="1:2" x14ac:dyDescent="0.25">
      <c r="A36240" s="118"/>
      <c r="B36240" s="136"/>
    </row>
    <row r="36241" spans="1:2" x14ac:dyDescent="0.25">
      <c r="A36241" s="118"/>
      <c r="B36241" s="136"/>
    </row>
    <row r="36242" spans="1:2" x14ac:dyDescent="0.25">
      <c r="A36242" s="118"/>
      <c r="B36242" s="136"/>
    </row>
    <row r="36243" spans="1:2" x14ac:dyDescent="0.25">
      <c r="A36243" s="118"/>
      <c r="B36243" s="136"/>
    </row>
    <row r="36244" spans="1:2" x14ac:dyDescent="0.25">
      <c r="A36244" s="118"/>
      <c r="B36244" s="136"/>
    </row>
    <row r="36245" spans="1:2" x14ac:dyDescent="0.25">
      <c r="A36245" s="118"/>
      <c r="B36245" s="136"/>
    </row>
    <row r="36246" spans="1:2" x14ac:dyDescent="0.25">
      <c r="A36246" s="118"/>
      <c r="B36246" s="136"/>
    </row>
    <row r="36247" spans="1:2" x14ac:dyDescent="0.25">
      <c r="A36247" s="118"/>
      <c r="B36247" s="136"/>
    </row>
    <row r="36248" spans="1:2" x14ac:dyDescent="0.25">
      <c r="A36248" s="118"/>
      <c r="B36248" s="136"/>
    </row>
    <row r="36249" spans="1:2" x14ac:dyDescent="0.25">
      <c r="A36249" s="118"/>
      <c r="B36249" s="136"/>
    </row>
    <row r="36250" spans="1:2" x14ac:dyDescent="0.25">
      <c r="A36250" s="118"/>
      <c r="B36250" s="136"/>
    </row>
    <row r="36251" spans="1:2" x14ac:dyDescent="0.25">
      <c r="A36251" s="118"/>
      <c r="B36251" s="136"/>
    </row>
    <row r="36252" spans="1:2" x14ac:dyDescent="0.25">
      <c r="A36252" s="118"/>
      <c r="B36252" s="136"/>
    </row>
    <row r="36253" spans="1:2" x14ac:dyDescent="0.25">
      <c r="A36253" s="118"/>
      <c r="B36253" s="136"/>
    </row>
    <row r="36254" spans="1:2" x14ac:dyDescent="0.25">
      <c r="A36254" s="118"/>
      <c r="B36254" s="136"/>
    </row>
    <row r="36255" spans="1:2" x14ac:dyDescent="0.25">
      <c r="A36255" s="118"/>
      <c r="B36255" s="136"/>
    </row>
    <row r="36256" spans="1:2" x14ac:dyDescent="0.25">
      <c r="A36256" s="118"/>
      <c r="B36256" s="136"/>
    </row>
    <row r="36257" spans="1:2" x14ac:dyDescent="0.25">
      <c r="A36257" s="118"/>
      <c r="B36257" s="136"/>
    </row>
    <row r="36258" spans="1:2" x14ac:dyDescent="0.25">
      <c r="A36258" s="118"/>
      <c r="B36258" s="136"/>
    </row>
    <row r="36259" spans="1:2" x14ac:dyDescent="0.25">
      <c r="A36259" s="118"/>
      <c r="B36259" s="136"/>
    </row>
    <row r="36260" spans="1:2" x14ac:dyDescent="0.25">
      <c r="A36260" s="118"/>
      <c r="B36260" s="136"/>
    </row>
    <row r="36261" spans="1:2" x14ac:dyDescent="0.25">
      <c r="A36261" s="118"/>
      <c r="B36261" s="136"/>
    </row>
    <row r="36262" spans="1:2" x14ac:dyDescent="0.25">
      <c r="A36262" s="118"/>
      <c r="B36262" s="136"/>
    </row>
    <row r="36263" spans="1:2" x14ac:dyDescent="0.25">
      <c r="A36263" s="118"/>
      <c r="B36263" s="136"/>
    </row>
    <row r="36264" spans="1:2" x14ac:dyDescent="0.25">
      <c r="A36264" s="118"/>
      <c r="B36264" s="136"/>
    </row>
    <row r="36265" spans="1:2" x14ac:dyDescent="0.25">
      <c r="A36265" s="118"/>
      <c r="B36265" s="136"/>
    </row>
    <row r="36266" spans="1:2" x14ac:dyDescent="0.25">
      <c r="A36266" s="118"/>
      <c r="B36266" s="136"/>
    </row>
    <row r="36267" spans="1:2" x14ac:dyDescent="0.25">
      <c r="A36267" s="118"/>
      <c r="B36267" s="136"/>
    </row>
    <row r="36268" spans="1:2" x14ac:dyDescent="0.25">
      <c r="A36268" s="118"/>
      <c r="B36268" s="136"/>
    </row>
    <row r="36269" spans="1:2" x14ac:dyDescent="0.25">
      <c r="A36269" s="118"/>
      <c r="B36269" s="136"/>
    </row>
    <row r="36270" spans="1:2" x14ac:dyDescent="0.25">
      <c r="A36270" s="118"/>
      <c r="B36270" s="136"/>
    </row>
    <row r="36271" spans="1:2" x14ac:dyDescent="0.25">
      <c r="A36271" s="118"/>
      <c r="B36271" s="136"/>
    </row>
    <row r="36272" spans="1:2" x14ac:dyDescent="0.25">
      <c r="A36272" s="118"/>
      <c r="B36272" s="136"/>
    </row>
    <row r="36273" spans="1:2" x14ac:dyDescent="0.25">
      <c r="A36273" s="118"/>
      <c r="B36273" s="136"/>
    </row>
    <row r="36274" spans="1:2" x14ac:dyDescent="0.25">
      <c r="A36274" s="118"/>
      <c r="B36274" s="136"/>
    </row>
    <row r="36275" spans="1:2" x14ac:dyDescent="0.25">
      <c r="A36275" s="118"/>
      <c r="B36275" s="136"/>
    </row>
    <row r="36276" spans="1:2" x14ac:dyDescent="0.25">
      <c r="A36276" s="118"/>
      <c r="B36276" s="136"/>
    </row>
    <row r="36277" spans="1:2" x14ac:dyDescent="0.25">
      <c r="A36277" s="118"/>
      <c r="B36277" s="136"/>
    </row>
    <row r="36278" spans="1:2" x14ac:dyDescent="0.25">
      <c r="A36278" s="118"/>
      <c r="B36278" s="136"/>
    </row>
    <row r="36279" spans="1:2" x14ac:dyDescent="0.25">
      <c r="A36279" s="118"/>
      <c r="B36279" s="136"/>
    </row>
    <row r="36280" spans="1:2" x14ac:dyDescent="0.25">
      <c r="A36280" s="118"/>
      <c r="B36280" s="136"/>
    </row>
    <row r="36281" spans="1:2" x14ac:dyDescent="0.25">
      <c r="A36281" s="118"/>
      <c r="B36281" s="136"/>
    </row>
    <row r="36282" spans="1:2" x14ac:dyDescent="0.25">
      <c r="A36282" s="118"/>
      <c r="B36282" s="136"/>
    </row>
    <row r="36283" spans="1:2" x14ac:dyDescent="0.25">
      <c r="A36283" s="118"/>
      <c r="B36283" s="136"/>
    </row>
    <row r="36284" spans="1:2" x14ac:dyDescent="0.25">
      <c r="A36284" s="118"/>
      <c r="B36284" s="136"/>
    </row>
    <row r="36285" spans="1:2" x14ac:dyDescent="0.25">
      <c r="A36285" s="118"/>
      <c r="B36285" s="136"/>
    </row>
    <row r="36286" spans="1:2" x14ac:dyDescent="0.25">
      <c r="A36286" s="118"/>
      <c r="B36286" s="136"/>
    </row>
    <row r="36287" spans="1:2" x14ac:dyDescent="0.25">
      <c r="A36287" s="118"/>
      <c r="B36287" s="136"/>
    </row>
    <row r="36288" spans="1:2" x14ac:dyDescent="0.25">
      <c r="A36288" s="118"/>
      <c r="B36288" s="136"/>
    </row>
    <row r="36289" spans="1:2" x14ac:dyDescent="0.25">
      <c r="A36289" s="118"/>
      <c r="B36289" s="136"/>
    </row>
    <row r="36290" spans="1:2" x14ac:dyDescent="0.25">
      <c r="A36290" s="118"/>
      <c r="B36290" s="136"/>
    </row>
    <row r="36291" spans="1:2" x14ac:dyDescent="0.25">
      <c r="A36291" s="118"/>
      <c r="B36291" s="136"/>
    </row>
    <row r="36292" spans="1:2" x14ac:dyDescent="0.25">
      <c r="A36292" s="118"/>
      <c r="B36292" s="136"/>
    </row>
    <row r="36293" spans="1:2" x14ac:dyDescent="0.25">
      <c r="A36293" s="118"/>
      <c r="B36293" s="136"/>
    </row>
    <row r="36294" spans="1:2" x14ac:dyDescent="0.25">
      <c r="A36294" s="118"/>
      <c r="B36294" s="136"/>
    </row>
    <row r="36295" spans="1:2" x14ac:dyDescent="0.25">
      <c r="A36295" s="118"/>
      <c r="B36295" s="136"/>
    </row>
    <row r="36296" spans="1:2" x14ac:dyDescent="0.25">
      <c r="A36296" s="118"/>
      <c r="B36296" s="136"/>
    </row>
    <row r="36297" spans="1:2" x14ac:dyDescent="0.25">
      <c r="A36297" s="118"/>
      <c r="B36297" s="136"/>
    </row>
    <row r="36298" spans="1:2" x14ac:dyDescent="0.25">
      <c r="A36298" s="118"/>
      <c r="B36298" s="136"/>
    </row>
    <row r="36299" spans="1:2" x14ac:dyDescent="0.25">
      <c r="A36299" s="118"/>
      <c r="B36299" s="136"/>
    </row>
    <row r="36300" spans="1:2" x14ac:dyDescent="0.25">
      <c r="A36300" s="118"/>
      <c r="B36300" s="136"/>
    </row>
    <row r="36301" spans="1:2" x14ac:dyDescent="0.25">
      <c r="A36301" s="118"/>
      <c r="B36301" s="136"/>
    </row>
    <row r="36302" spans="1:2" x14ac:dyDescent="0.25">
      <c r="A36302" s="118"/>
      <c r="B36302" s="136"/>
    </row>
    <row r="36303" spans="1:2" x14ac:dyDescent="0.25">
      <c r="A36303" s="118"/>
      <c r="B36303" s="136"/>
    </row>
    <row r="36304" spans="1:2" x14ac:dyDescent="0.25">
      <c r="A36304" s="118"/>
      <c r="B36304" s="136"/>
    </row>
    <row r="36305" spans="1:2" x14ac:dyDescent="0.25">
      <c r="A36305" s="118"/>
      <c r="B36305" s="136"/>
    </row>
    <row r="36306" spans="1:2" x14ac:dyDescent="0.25">
      <c r="A36306" s="118"/>
      <c r="B36306" s="136"/>
    </row>
    <row r="36307" spans="1:2" x14ac:dyDescent="0.25">
      <c r="A36307" s="118"/>
      <c r="B36307" s="136"/>
    </row>
    <row r="36308" spans="1:2" x14ac:dyDescent="0.25">
      <c r="A36308" s="118"/>
      <c r="B36308" s="136"/>
    </row>
    <row r="36309" spans="1:2" x14ac:dyDescent="0.25">
      <c r="A36309" s="118"/>
      <c r="B36309" s="136"/>
    </row>
    <row r="36310" spans="1:2" x14ac:dyDescent="0.25">
      <c r="A36310" s="118"/>
      <c r="B36310" s="136"/>
    </row>
    <row r="36311" spans="1:2" x14ac:dyDescent="0.25">
      <c r="A36311" s="118"/>
      <c r="B36311" s="136"/>
    </row>
    <row r="36312" spans="1:2" x14ac:dyDescent="0.25">
      <c r="A36312" s="118"/>
      <c r="B36312" s="136"/>
    </row>
    <row r="36313" spans="1:2" x14ac:dyDescent="0.25">
      <c r="A36313" s="118"/>
      <c r="B36313" s="136"/>
    </row>
    <row r="36314" spans="1:2" x14ac:dyDescent="0.25">
      <c r="A36314" s="118"/>
      <c r="B36314" s="136"/>
    </row>
    <row r="36315" spans="1:2" x14ac:dyDescent="0.25">
      <c r="A36315" s="118"/>
      <c r="B36315" s="136"/>
    </row>
    <row r="36316" spans="1:2" x14ac:dyDescent="0.25">
      <c r="A36316" s="118"/>
      <c r="B36316" s="136"/>
    </row>
    <row r="36317" spans="1:2" x14ac:dyDescent="0.25">
      <c r="A36317" s="118"/>
      <c r="B36317" s="136"/>
    </row>
    <row r="36318" spans="1:2" x14ac:dyDescent="0.25">
      <c r="A36318" s="118"/>
      <c r="B36318" s="136"/>
    </row>
    <row r="36319" spans="1:2" x14ac:dyDescent="0.25">
      <c r="A36319" s="118"/>
      <c r="B36319" s="136"/>
    </row>
    <row r="36320" spans="1:2" x14ac:dyDescent="0.25">
      <c r="A36320" s="118"/>
      <c r="B36320" s="136"/>
    </row>
    <row r="36321" spans="1:2" x14ac:dyDescent="0.25">
      <c r="A36321" s="118"/>
      <c r="B36321" s="136"/>
    </row>
    <row r="36322" spans="1:2" x14ac:dyDescent="0.25">
      <c r="A36322" s="118"/>
      <c r="B36322" s="136"/>
    </row>
    <row r="36323" spans="1:2" x14ac:dyDescent="0.25">
      <c r="A36323" s="118"/>
      <c r="B36323" s="136"/>
    </row>
    <row r="36324" spans="1:2" x14ac:dyDescent="0.25">
      <c r="A36324" s="118"/>
      <c r="B36324" s="136"/>
    </row>
    <row r="36325" spans="1:2" x14ac:dyDescent="0.25">
      <c r="A36325" s="118"/>
      <c r="B36325" s="136"/>
    </row>
    <row r="36326" spans="1:2" x14ac:dyDescent="0.25">
      <c r="A36326" s="118"/>
      <c r="B36326" s="136"/>
    </row>
    <row r="36327" spans="1:2" x14ac:dyDescent="0.25">
      <c r="A36327" s="118"/>
      <c r="B36327" s="136"/>
    </row>
    <row r="36328" spans="1:2" x14ac:dyDescent="0.25">
      <c r="A36328" s="118"/>
      <c r="B36328" s="136"/>
    </row>
    <row r="36329" spans="1:2" x14ac:dyDescent="0.25">
      <c r="A36329" s="118"/>
      <c r="B36329" s="136"/>
    </row>
    <row r="36330" spans="1:2" x14ac:dyDescent="0.25">
      <c r="A36330" s="118"/>
      <c r="B36330" s="136"/>
    </row>
    <row r="36331" spans="1:2" x14ac:dyDescent="0.25">
      <c r="A36331" s="118"/>
      <c r="B36331" s="136"/>
    </row>
    <row r="36332" spans="1:2" x14ac:dyDescent="0.25">
      <c r="A36332" s="118"/>
      <c r="B36332" s="136"/>
    </row>
    <row r="36333" spans="1:2" x14ac:dyDescent="0.25">
      <c r="A36333" s="118"/>
      <c r="B36333" s="136"/>
    </row>
    <row r="36334" spans="1:2" x14ac:dyDescent="0.25">
      <c r="A36334" s="118"/>
      <c r="B36334" s="136"/>
    </row>
    <row r="36335" spans="1:2" x14ac:dyDescent="0.25">
      <c r="A36335" s="118"/>
      <c r="B36335" s="136"/>
    </row>
    <row r="36336" spans="1:2" x14ac:dyDescent="0.25">
      <c r="A36336" s="118"/>
      <c r="B36336" s="136"/>
    </row>
    <row r="36337" spans="1:2" x14ac:dyDescent="0.25">
      <c r="A36337" s="118"/>
      <c r="B36337" s="136"/>
    </row>
    <row r="36338" spans="1:2" x14ac:dyDescent="0.25">
      <c r="A36338" s="118"/>
      <c r="B36338" s="136"/>
    </row>
    <row r="36339" spans="1:2" x14ac:dyDescent="0.25">
      <c r="A36339" s="118"/>
      <c r="B36339" s="136"/>
    </row>
    <row r="36340" spans="1:2" x14ac:dyDescent="0.25">
      <c r="A36340" s="118"/>
      <c r="B36340" s="136"/>
    </row>
    <row r="36341" spans="1:2" x14ac:dyDescent="0.25">
      <c r="A36341" s="118"/>
      <c r="B36341" s="136"/>
    </row>
    <row r="36342" spans="1:2" x14ac:dyDescent="0.25">
      <c r="A36342" s="118"/>
      <c r="B36342" s="136"/>
    </row>
    <row r="36343" spans="1:2" x14ac:dyDescent="0.25">
      <c r="A36343" s="118"/>
      <c r="B36343" s="136"/>
    </row>
    <row r="36344" spans="1:2" x14ac:dyDescent="0.25">
      <c r="A36344" s="118"/>
      <c r="B36344" s="136"/>
    </row>
    <row r="36345" spans="1:2" x14ac:dyDescent="0.25">
      <c r="A36345" s="118"/>
      <c r="B36345" s="136"/>
    </row>
    <row r="36346" spans="1:2" x14ac:dyDescent="0.25">
      <c r="A36346" s="118"/>
      <c r="B36346" s="136"/>
    </row>
    <row r="36347" spans="1:2" x14ac:dyDescent="0.25">
      <c r="A36347" s="118"/>
      <c r="B36347" s="136"/>
    </row>
    <row r="36348" spans="1:2" x14ac:dyDescent="0.25">
      <c r="A36348" s="118"/>
      <c r="B36348" s="136"/>
    </row>
    <row r="36349" spans="1:2" x14ac:dyDescent="0.25">
      <c r="A36349" s="118"/>
      <c r="B36349" s="136"/>
    </row>
    <row r="36350" spans="1:2" x14ac:dyDescent="0.25">
      <c r="A36350" s="118"/>
      <c r="B36350" s="136"/>
    </row>
    <row r="36351" spans="1:2" x14ac:dyDescent="0.25">
      <c r="A36351" s="118"/>
      <c r="B36351" s="136"/>
    </row>
    <row r="36352" spans="1:2" x14ac:dyDescent="0.25">
      <c r="A36352" s="118"/>
      <c r="B36352" s="136"/>
    </row>
    <row r="36353" spans="1:2" x14ac:dyDescent="0.25">
      <c r="A36353" s="118"/>
      <c r="B36353" s="136"/>
    </row>
    <row r="36354" spans="1:2" x14ac:dyDescent="0.25">
      <c r="A36354" s="118"/>
      <c r="B36354" s="136"/>
    </row>
    <row r="36355" spans="1:2" x14ac:dyDescent="0.25">
      <c r="A36355" s="118"/>
      <c r="B36355" s="136"/>
    </row>
    <row r="36356" spans="1:2" x14ac:dyDescent="0.25">
      <c r="A36356" s="118"/>
      <c r="B36356" s="136"/>
    </row>
    <row r="36357" spans="1:2" x14ac:dyDescent="0.25">
      <c r="A36357" s="118"/>
      <c r="B36357" s="136"/>
    </row>
    <row r="36358" spans="1:2" x14ac:dyDescent="0.25">
      <c r="A36358" s="118"/>
      <c r="B36358" s="136"/>
    </row>
    <row r="36359" spans="1:2" x14ac:dyDescent="0.25">
      <c r="A36359" s="118"/>
      <c r="B36359" s="136"/>
    </row>
    <row r="36360" spans="1:2" x14ac:dyDescent="0.25">
      <c r="A36360" s="118"/>
      <c r="B36360" s="136"/>
    </row>
    <row r="36361" spans="1:2" x14ac:dyDescent="0.25">
      <c r="A36361" s="118"/>
      <c r="B36361" s="136"/>
    </row>
    <row r="36362" spans="1:2" x14ac:dyDescent="0.25">
      <c r="A36362" s="118"/>
      <c r="B36362" s="136"/>
    </row>
    <row r="36363" spans="1:2" x14ac:dyDescent="0.25">
      <c r="A36363" s="118"/>
      <c r="B36363" s="136"/>
    </row>
    <row r="36364" spans="1:2" x14ac:dyDescent="0.25">
      <c r="A36364" s="118"/>
      <c r="B36364" s="136"/>
    </row>
    <row r="36365" spans="1:2" x14ac:dyDescent="0.25">
      <c r="A36365" s="118"/>
      <c r="B36365" s="136"/>
    </row>
    <row r="36366" spans="1:2" x14ac:dyDescent="0.25">
      <c r="A36366" s="118"/>
      <c r="B36366" s="136"/>
    </row>
    <row r="36367" spans="1:2" x14ac:dyDescent="0.25">
      <c r="A36367" s="118"/>
      <c r="B36367" s="136"/>
    </row>
    <row r="36368" spans="1:2" x14ac:dyDescent="0.25">
      <c r="A36368" s="118"/>
      <c r="B36368" s="136"/>
    </row>
    <row r="36369" spans="1:2" x14ac:dyDescent="0.25">
      <c r="A36369" s="118"/>
      <c r="B36369" s="136"/>
    </row>
    <row r="36370" spans="1:2" x14ac:dyDescent="0.25">
      <c r="A36370" s="118"/>
      <c r="B36370" s="136"/>
    </row>
    <row r="36371" spans="1:2" x14ac:dyDescent="0.25">
      <c r="A36371" s="118"/>
      <c r="B36371" s="136"/>
    </row>
    <row r="36372" spans="1:2" x14ac:dyDescent="0.25">
      <c r="A36372" s="118"/>
      <c r="B36372" s="136"/>
    </row>
    <row r="36373" spans="1:2" x14ac:dyDescent="0.25">
      <c r="A36373" s="118"/>
      <c r="B36373" s="136"/>
    </row>
    <row r="36374" spans="1:2" x14ac:dyDescent="0.25">
      <c r="A36374" s="118"/>
      <c r="B36374" s="136"/>
    </row>
    <row r="36375" spans="1:2" x14ac:dyDescent="0.25">
      <c r="A36375" s="118"/>
      <c r="B36375" s="136"/>
    </row>
    <row r="36376" spans="1:2" x14ac:dyDescent="0.25">
      <c r="A36376" s="118"/>
      <c r="B36376" s="136"/>
    </row>
    <row r="36377" spans="1:2" x14ac:dyDescent="0.25">
      <c r="A36377" s="118"/>
      <c r="B36377" s="136"/>
    </row>
    <row r="36378" spans="1:2" x14ac:dyDescent="0.25">
      <c r="A36378" s="118"/>
      <c r="B36378" s="136"/>
    </row>
    <row r="36379" spans="1:2" x14ac:dyDescent="0.25">
      <c r="A36379" s="118"/>
      <c r="B36379" s="136"/>
    </row>
    <row r="36380" spans="1:2" x14ac:dyDescent="0.25">
      <c r="A36380" s="118"/>
      <c r="B36380" s="136"/>
    </row>
    <row r="36381" spans="1:2" x14ac:dyDescent="0.25">
      <c r="A36381" s="118"/>
      <c r="B36381" s="136"/>
    </row>
    <row r="36382" spans="1:2" x14ac:dyDescent="0.25">
      <c r="A36382" s="118"/>
      <c r="B36382" s="136"/>
    </row>
    <row r="36383" spans="1:2" x14ac:dyDescent="0.25">
      <c r="A36383" s="118"/>
      <c r="B36383" s="136"/>
    </row>
    <row r="36384" spans="1:2" x14ac:dyDescent="0.25">
      <c r="A36384" s="118"/>
      <c r="B36384" s="136"/>
    </row>
    <row r="36385" spans="1:2" x14ac:dyDescent="0.25">
      <c r="A36385" s="118"/>
      <c r="B36385" s="136"/>
    </row>
    <row r="36386" spans="1:2" x14ac:dyDescent="0.25">
      <c r="A36386" s="118"/>
      <c r="B36386" s="136"/>
    </row>
    <row r="36387" spans="1:2" x14ac:dyDescent="0.25">
      <c r="A36387" s="118"/>
      <c r="B36387" s="136"/>
    </row>
    <row r="36388" spans="1:2" x14ac:dyDescent="0.25">
      <c r="A36388" s="118"/>
      <c r="B36388" s="136"/>
    </row>
    <row r="36389" spans="1:2" x14ac:dyDescent="0.25">
      <c r="A36389" s="118"/>
      <c r="B36389" s="136"/>
    </row>
    <row r="36390" spans="1:2" x14ac:dyDescent="0.25">
      <c r="A36390" s="118"/>
      <c r="B36390" s="136"/>
    </row>
    <row r="36391" spans="1:2" x14ac:dyDescent="0.25">
      <c r="A36391" s="118"/>
      <c r="B36391" s="136"/>
    </row>
    <row r="36392" spans="1:2" x14ac:dyDescent="0.25">
      <c r="A36392" s="118"/>
      <c r="B36392" s="136"/>
    </row>
    <row r="36393" spans="1:2" x14ac:dyDescent="0.25">
      <c r="A36393" s="118"/>
      <c r="B36393" s="136"/>
    </row>
    <row r="36394" spans="1:2" x14ac:dyDescent="0.25">
      <c r="A36394" s="118"/>
      <c r="B36394" s="136"/>
    </row>
    <row r="36395" spans="1:2" x14ac:dyDescent="0.25">
      <c r="A36395" s="118"/>
      <c r="B36395" s="136"/>
    </row>
    <row r="36396" spans="1:2" x14ac:dyDescent="0.25">
      <c r="A36396" s="118"/>
      <c r="B36396" s="136"/>
    </row>
    <row r="36397" spans="1:2" x14ac:dyDescent="0.25">
      <c r="A36397" s="118"/>
      <c r="B36397" s="136"/>
    </row>
    <row r="36398" spans="1:2" x14ac:dyDescent="0.25">
      <c r="A36398" s="118"/>
      <c r="B36398" s="136"/>
    </row>
    <row r="36399" spans="1:2" x14ac:dyDescent="0.25">
      <c r="A36399" s="118"/>
      <c r="B36399" s="136"/>
    </row>
    <row r="36400" spans="1:2" x14ac:dyDescent="0.25">
      <c r="A36400" s="118"/>
      <c r="B36400" s="136"/>
    </row>
    <row r="36401" spans="1:2" x14ac:dyDescent="0.25">
      <c r="A36401" s="118"/>
      <c r="B36401" s="136"/>
    </row>
    <row r="36402" spans="1:2" x14ac:dyDescent="0.25">
      <c r="A36402" s="118"/>
      <c r="B36402" s="136"/>
    </row>
    <row r="36403" spans="1:2" x14ac:dyDescent="0.25">
      <c r="A36403" s="118"/>
      <c r="B36403" s="136"/>
    </row>
    <row r="36404" spans="1:2" x14ac:dyDescent="0.25">
      <c r="A36404" s="118"/>
      <c r="B36404" s="136"/>
    </row>
    <row r="36405" spans="1:2" x14ac:dyDescent="0.25">
      <c r="A36405" s="118"/>
      <c r="B36405" s="136"/>
    </row>
    <row r="36406" spans="1:2" x14ac:dyDescent="0.25">
      <c r="A36406" s="118"/>
      <c r="B36406" s="136"/>
    </row>
    <row r="36407" spans="1:2" x14ac:dyDescent="0.25">
      <c r="A36407" s="118"/>
      <c r="B36407" s="136"/>
    </row>
    <row r="36408" spans="1:2" x14ac:dyDescent="0.25">
      <c r="A36408" s="118"/>
      <c r="B36408" s="136"/>
    </row>
    <row r="36409" spans="1:2" x14ac:dyDescent="0.25">
      <c r="A36409" s="118"/>
      <c r="B36409" s="136"/>
    </row>
    <row r="36410" spans="1:2" x14ac:dyDescent="0.25">
      <c r="A36410" s="118"/>
      <c r="B36410" s="136"/>
    </row>
    <row r="36411" spans="1:2" x14ac:dyDescent="0.25">
      <c r="A36411" s="118"/>
      <c r="B36411" s="136"/>
    </row>
    <row r="36412" spans="1:2" x14ac:dyDescent="0.25">
      <c r="A36412" s="118"/>
      <c r="B36412" s="136"/>
    </row>
    <row r="36413" spans="1:2" x14ac:dyDescent="0.25">
      <c r="A36413" s="118"/>
      <c r="B36413" s="136"/>
    </row>
    <row r="36414" spans="1:2" x14ac:dyDescent="0.25">
      <c r="A36414" s="118"/>
      <c r="B36414" s="136"/>
    </row>
    <row r="36415" spans="1:2" x14ac:dyDescent="0.25">
      <c r="A36415" s="118"/>
      <c r="B36415" s="136"/>
    </row>
    <row r="36416" spans="1:2" x14ac:dyDescent="0.25">
      <c r="A36416" s="118"/>
      <c r="B36416" s="136"/>
    </row>
    <row r="36417" spans="1:2" x14ac:dyDescent="0.25">
      <c r="A36417" s="118"/>
      <c r="B36417" s="136"/>
    </row>
    <row r="36418" spans="1:2" x14ac:dyDescent="0.25">
      <c r="A36418" s="118"/>
      <c r="B36418" s="136"/>
    </row>
    <row r="36419" spans="1:2" x14ac:dyDescent="0.25">
      <c r="A36419" s="118"/>
      <c r="B36419" s="136"/>
    </row>
    <row r="36420" spans="1:2" x14ac:dyDescent="0.25">
      <c r="A36420" s="118"/>
      <c r="B36420" s="136"/>
    </row>
    <row r="36421" spans="1:2" x14ac:dyDescent="0.25">
      <c r="A36421" s="118"/>
      <c r="B36421" s="136"/>
    </row>
    <row r="36422" spans="1:2" x14ac:dyDescent="0.25">
      <c r="A36422" s="118"/>
      <c r="B36422" s="136"/>
    </row>
    <row r="36423" spans="1:2" x14ac:dyDescent="0.25">
      <c r="A36423" s="118"/>
      <c r="B36423" s="136"/>
    </row>
    <row r="36424" spans="1:2" x14ac:dyDescent="0.25">
      <c r="A36424" s="118"/>
      <c r="B36424" s="136"/>
    </row>
    <row r="36425" spans="1:2" x14ac:dyDescent="0.25">
      <c r="A36425" s="118"/>
      <c r="B36425" s="136"/>
    </row>
    <row r="36426" spans="1:2" x14ac:dyDescent="0.25">
      <c r="A36426" s="118"/>
      <c r="B36426" s="136"/>
    </row>
    <row r="36427" spans="1:2" x14ac:dyDescent="0.25">
      <c r="A36427" s="118"/>
      <c r="B36427" s="136"/>
    </row>
    <row r="36428" spans="1:2" x14ac:dyDescent="0.25">
      <c r="A36428" s="118"/>
      <c r="B36428" s="136"/>
    </row>
    <row r="36429" spans="1:2" x14ac:dyDescent="0.25">
      <c r="A36429" s="118"/>
      <c r="B36429" s="136"/>
    </row>
    <row r="36430" spans="1:2" x14ac:dyDescent="0.25">
      <c r="A36430" s="118"/>
      <c r="B36430" s="136"/>
    </row>
    <row r="36431" spans="1:2" x14ac:dyDescent="0.25">
      <c r="A36431" s="118"/>
      <c r="B36431" s="136"/>
    </row>
    <row r="36432" spans="1:2" x14ac:dyDescent="0.25">
      <c r="A36432" s="118"/>
      <c r="B36432" s="136"/>
    </row>
    <row r="36433" spans="1:2" x14ac:dyDescent="0.25">
      <c r="A36433" s="118"/>
      <c r="B36433" s="136"/>
    </row>
    <row r="36434" spans="1:2" x14ac:dyDescent="0.25">
      <c r="A36434" s="118"/>
      <c r="B36434" s="136"/>
    </row>
    <row r="36435" spans="1:2" x14ac:dyDescent="0.25">
      <c r="A36435" s="118"/>
      <c r="B36435" s="136"/>
    </row>
    <row r="36436" spans="1:2" x14ac:dyDescent="0.25">
      <c r="A36436" s="118"/>
      <c r="B36436" s="136"/>
    </row>
    <row r="36437" spans="1:2" x14ac:dyDescent="0.25">
      <c r="A36437" s="118"/>
      <c r="B36437" s="136"/>
    </row>
    <row r="36438" spans="1:2" x14ac:dyDescent="0.25">
      <c r="A36438" s="118"/>
      <c r="B36438" s="136"/>
    </row>
    <row r="36439" spans="1:2" x14ac:dyDescent="0.25">
      <c r="A36439" s="118"/>
      <c r="B36439" s="136"/>
    </row>
    <row r="36440" spans="1:2" x14ac:dyDescent="0.25">
      <c r="A36440" s="118"/>
      <c r="B36440" s="136"/>
    </row>
    <row r="36441" spans="1:2" x14ac:dyDescent="0.25">
      <c r="A36441" s="118"/>
      <c r="B36441" s="136"/>
    </row>
    <row r="36442" spans="1:2" x14ac:dyDescent="0.25">
      <c r="A36442" s="118"/>
      <c r="B36442" s="136"/>
    </row>
    <row r="36443" spans="1:2" x14ac:dyDescent="0.25">
      <c r="A36443" s="118"/>
      <c r="B36443" s="136"/>
    </row>
    <row r="36444" spans="1:2" x14ac:dyDescent="0.25">
      <c r="A36444" s="118"/>
      <c r="B36444" s="136"/>
    </row>
    <row r="36445" spans="1:2" x14ac:dyDescent="0.25">
      <c r="A36445" s="118"/>
      <c r="B36445" s="136"/>
    </row>
    <row r="36446" spans="1:2" x14ac:dyDescent="0.25">
      <c r="A36446" s="118"/>
      <c r="B36446" s="136"/>
    </row>
    <row r="36447" spans="1:2" x14ac:dyDescent="0.25">
      <c r="A36447" s="118"/>
      <c r="B36447" s="136"/>
    </row>
    <row r="36448" spans="1:2" x14ac:dyDescent="0.25">
      <c r="A36448" s="118"/>
      <c r="B36448" s="136"/>
    </row>
    <row r="36449" spans="1:2" x14ac:dyDescent="0.25">
      <c r="A36449" s="118"/>
      <c r="B36449" s="136"/>
    </row>
    <row r="36450" spans="1:2" x14ac:dyDescent="0.25">
      <c r="A36450" s="118"/>
      <c r="B36450" s="136"/>
    </row>
    <row r="36451" spans="1:2" x14ac:dyDescent="0.25">
      <c r="A36451" s="118"/>
      <c r="B36451" s="136"/>
    </row>
    <row r="36452" spans="1:2" x14ac:dyDescent="0.25">
      <c r="A36452" s="118"/>
      <c r="B36452" s="136"/>
    </row>
    <row r="36453" spans="1:2" x14ac:dyDescent="0.25">
      <c r="A36453" s="118"/>
      <c r="B36453" s="136"/>
    </row>
    <row r="36454" spans="1:2" x14ac:dyDescent="0.25">
      <c r="A36454" s="118"/>
      <c r="B36454" s="136"/>
    </row>
    <row r="36455" spans="1:2" x14ac:dyDescent="0.25">
      <c r="A36455" s="118"/>
      <c r="B36455" s="136"/>
    </row>
    <row r="36456" spans="1:2" x14ac:dyDescent="0.25">
      <c r="A36456" s="118"/>
      <c r="B36456" s="136"/>
    </row>
    <row r="36457" spans="1:2" x14ac:dyDescent="0.25">
      <c r="A36457" s="118"/>
      <c r="B36457" s="136"/>
    </row>
    <row r="36458" spans="1:2" x14ac:dyDescent="0.25">
      <c r="A36458" s="118"/>
      <c r="B36458" s="136"/>
    </row>
    <row r="36459" spans="1:2" x14ac:dyDescent="0.25">
      <c r="A36459" s="118"/>
      <c r="B36459" s="136"/>
    </row>
    <row r="36460" spans="1:2" x14ac:dyDescent="0.25">
      <c r="A36460" s="118"/>
      <c r="B36460" s="136"/>
    </row>
    <row r="36461" spans="1:2" x14ac:dyDescent="0.25">
      <c r="A36461" s="118"/>
      <c r="B36461" s="136"/>
    </row>
    <row r="36462" spans="1:2" x14ac:dyDescent="0.25">
      <c r="A36462" s="118"/>
      <c r="B36462" s="136"/>
    </row>
    <row r="36463" spans="1:2" x14ac:dyDescent="0.25">
      <c r="A36463" s="118"/>
      <c r="B36463" s="136"/>
    </row>
    <row r="36464" spans="1:2" x14ac:dyDescent="0.25">
      <c r="A36464" s="118"/>
      <c r="B36464" s="136"/>
    </row>
    <row r="36465" spans="1:2" x14ac:dyDescent="0.25">
      <c r="A36465" s="118"/>
      <c r="B36465" s="136"/>
    </row>
    <row r="36466" spans="1:2" x14ac:dyDescent="0.25">
      <c r="A36466" s="118"/>
      <c r="B36466" s="136"/>
    </row>
    <row r="36467" spans="1:2" x14ac:dyDescent="0.25">
      <c r="A36467" s="118"/>
      <c r="B36467" s="136"/>
    </row>
    <row r="36468" spans="1:2" x14ac:dyDescent="0.25">
      <c r="A36468" s="118"/>
      <c r="B36468" s="136"/>
    </row>
    <row r="36469" spans="1:2" x14ac:dyDescent="0.25">
      <c r="A36469" s="118"/>
      <c r="B36469" s="136"/>
    </row>
    <row r="36470" spans="1:2" x14ac:dyDescent="0.25">
      <c r="A36470" s="118"/>
      <c r="B36470" s="136"/>
    </row>
    <row r="36471" spans="1:2" x14ac:dyDescent="0.25">
      <c r="A36471" s="118"/>
      <c r="B36471" s="136"/>
    </row>
    <row r="36472" spans="1:2" x14ac:dyDescent="0.25">
      <c r="A36472" s="118"/>
      <c r="B36472" s="136"/>
    </row>
    <row r="36473" spans="1:2" x14ac:dyDescent="0.25">
      <c r="A36473" s="118"/>
      <c r="B36473" s="136"/>
    </row>
    <row r="36474" spans="1:2" x14ac:dyDescent="0.25">
      <c r="A36474" s="118"/>
      <c r="B36474" s="136"/>
    </row>
    <row r="36475" spans="1:2" x14ac:dyDescent="0.25">
      <c r="A36475" s="118"/>
      <c r="B36475" s="136"/>
    </row>
    <row r="36476" spans="1:2" x14ac:dyDescent="0.25">
      <c r="A36476" s="118"/>
      <c r="B36476" s="136"/>
    </row>
    <row r="36477" spans="1:2" x14ac:dyDescent="0.25">
      <c r="A36477" s="118"/>
      <c r="B36477" s="136"/>
    </row>
    <row r="36478" spans="1:2" x14ac:dyDescent="0.25">
      <c r="A36478" s="118"/>
      <c r="B36478" s="136"/>
    </row>
    <row r="36479" spans="1:2" x14ac:dyDescent="0.25">
      <c r="A36479" s="118"/>
      <c r="B36479" s="136"/>
    </row>
    <row r="36480" spans="1:2" x14ac:dyDescent="0.25">
      <c r="A36480" s="118"/>
      <c r="B36480" s="136"/>
    </row>
    <row r="36481" spans="1:2" x14ac:dyDescent="0.25">
      <c r="A36481" s="118"/>
      <c r="B36481" s="136"/>
    </row>
    <row r="36482" spans="1:2" x14ac:dyDescent="0.25">
      <c r="A36482" s="118"/>
      <c r="B36482" s="136"/>
    </row>
    <row r="36483" spans="1:2" x14ac:dyDescent="0.25">
      <c r="A36483" s="118"/>
      <c r="B36483" s="136"/>
    </row>
    <row r="36484" spans="1:2" x14ac:dyDescent="0.25">
      <c r="A36484" s="118"/>
      <c r="B36484" s="136"/>
    </row>
    <row r="36485" spans="1:2" x14ac:dyDescent="0.25">
      <c r="A36485" s="118"/>
      <c r="B36485" s="136"/>
    </row>
    <row r="36486" spans="1:2" x14ac:dyDescent="0.25">
      <c r="A36486" s="118"/>
      <c r="B36486" s="136"/>
    </row>
    <row r="36487" spans="1:2" x14ac:dyDescent="0.25">
      <c r="A36487" s="118"/>
      <c r="B36487" s="136"/>
    </row>
    <row r="36488" spans="1:2" x14ac:dyDescent="0.25">
      <c r="A36488" s="118"/>
      <c r="B36488" s="136"/>
    </row>
    <row r="36489" spans="1:2" x14ac:dyDescent="0.25">
      <c r="A36489" s="118"/>
      <c r="B36489" s="136"/>
    </row>
    <row r="36490" spans="1:2" x14ac:dyDescent="0.25">
      <c r="A36490" s="118"/>
      <c r="B36490" s="136"/>
    </row>
    <row r="36491" spans="1:2" x14ac:dyDescent="0.25">
      <c r="A36491" s="118"/>
      <c r="B36491" s="136"/>
    </row>
    <row r="36492" spans="1:2" x14ac:dyDescent="0.25">
      <c r="A36492" s="118"/>
      <c r="B36492" s="136"/>
    </row>
    <row r="36493" spans="1:2" x14ac:dyDescent="0.25">
      <c r="A36493" s="118"/>
      <c r="B36493" s="136"/>
    </row>
    <row r="36494" spans="1:2" x14ac:dyDescent="0.25">
      <c r="A36494" s="118"/>
      <c r="B36494" s="136"/>
    </row>
    <row r="36495" spans="1:2" x14ac:dyDescent="0.25">
      <c r="A36495" s="118"/>
      <c r="B36495" s="136"/>
    </row>
    <row r="36496" spans="1:2" x14ac:dyDescent="0.25">
      <c r="A36496" s="118"/>
      <c r="B36496" s="136"/>
    </row>
    <row r="36497" spans="1:2" x14ac:dyDescent="0.25">
      <c r="A36497" s="118"/>
      <c r="B36497" s="136"/>
    </row>
    <row r="36498" spans="1:2" x14ac:dyDescent="0.25">
      <c r="A36498" s="118"/>
      <c r="B36498" s="136"/>
    </row>
    <row r="36499" spans="1:2" x14ac:dyDescent="0.25">
      <c r="A36499" s="118"/>
      <c r="B36499" s="136"/>
    </row>
    <row r="36500" spans="1:2" x14ac:dyDescent="0.25">
      <c r="A36500" s="118"/>
      <c r="B36500" s="136"/>
    </row>
    <row r="36501" spans="1:2" x14ac:dyDescent="0.25">
      <c r="A36501" s="118"/>
      <c r="B36501" s="136"/>
    </row>
    <row r="36502" spans="1:2" x14ac:dyDescent="0.25">
      <c r="A36502" s="118"/>
      <c r="B36502" s="136"/>
    </row>
    <row r="36503" spans="1:2" x14ac:dyDescent="0.25">
      <c r="A36503" s="118"/>
      <c r="B36503" s="136"/>
    </row>
    <row r="36504" spans="1:2" x14ac:dyDescent="0.25">
      <c r="A36504" s="118"/>
      <c r="B36504" s="136"/>
    </row>
    <row r="36505" spans="1:2" x14ac:dyDescent="0.25">
      <c r="A36505" s="118"/>
      <c r="B36505" s="136"/>
    </row>
    <row r="36506" spans="1:2" x14ac:dyDescent="0.25">
      <c r="A36506" s="118"/>
      <c r="B36506" s="136"/>
    </row>
    <row r="36507" spans="1:2" x14ac:dyDescent="0.25">
      <c r="A36507" s="118"/>
      <c r="B36507" s="136"/>
    </row>
    <row r="36508" spans="1:2" x14ac:dyDescent="0.25">
      <c r="A36508" s="118"/>
      <c r="B36508" s="136"/>
    </row>
    <row r="36509" spans="1:2" x14ac:dyDescent="0.25">
      <c r="A36509" s="118"/>
      <c r="B36509" s="136"/>
    </row>
    <row r="36510" spans="1:2" x14ac:dyDescent="0.25">
      <c r="A36510" s="118"/>
      <c r="B36510" s="136"/>
    </row>
    <row r="36511" spans="1:2" x14ac:dyDescent="0.25">
      <c r="A36511" s="118"/>
      <c r="B36511" s="136"/>
    </row>
    <row r="36512" spans="1:2" x14ac:dyDescent="0.25">
      <c r="A36512" s="118"/>
      <c r="B36512" s="136"/>
    </row>
    <row r="36513" spans="1:2" x14ac:dyDescent="0.25">
      <c r="A36513" s="118"/>
      <c r="B36513" s="136"/>
    </row>
    <row r="36514" spans="1:2" x14ac:dyDescent="0.25">
      <c r="A36514" s="118"/>
      <c r="B36514" s="136"/>
    </row>
    <row r="36515" spans="1:2" x14ac:dyDescent="0.25">
      <c r="A36515" s="118"/>
      <c r="B36515" s="136"/>
    </row>
    <row r="36516" spans="1:2" x14ac:dyDescent="0.25">
      <c r="A36516" s="118"/>
      <c r="B36516" s="136"/>
    </row>
    <row r="36517" spans="1:2" x14ac:dyDescent="0.25">
      <c r="A36517" s="118"/>
      <c r="B36517" s="136"/>
    </row>
    <row r="36518" spans="1:2" x14ac:dyDescent="0.25">
      <c r="A36518" s="118"/>
      <c r="B36518" s="136"/>
    </row>
    <row r="36519" spans="1:2" x14ac:dyDescent="0.25">
      <c r="A36519" s="118"/>
      <c r="B36519" s="136"/>
    </row>
    <row r="36520" spans="1:2" x14ac:dyDescent="0.25">
      <c r="A36520" s="118"/>
      <c r="B36520" s="136"/>
    </row>
    <row r="36521" spans="1:2" x14ac:dyDescent="0.25">
      <c r="A36521" s="118"/>
      <c r="B36521" s="136"/>
    </row>
    <row r="36522" spans="1:2" x14ac:dyDescent="0.25">
      <c r="A36522" s="118"/>
      <c r="B36522" s="136"/>
    </row>
    <row r="36523" spans="1:2" x14ac:dyDescent="0.25">
      <c r="A36523" s="118"/>
      <c r="B36523" s="136"/>
    </row>
    <row r="36524" spans="1:2" x14ac:dyDescent="0.25">
      <c r="A36524" s="118"/>
      <c r="B36524" s="136"/>
    </row>
    <row r="36525" spans="1:2" x14ac:dyDescent="0.25">
      <c r="A36525" s="118"/>
      <c r="B36525" s="136"/>
    </row>
    <row r="36526" spans="1:2" x14ac:dyDescent="0.25">
      <c r="A36526" s="118"/>
      <c r="B36526" s="136"/>
    </row>
    <row r="36527" spans="1:2" x14ac:dyDescent="0.25">
      <c r="A36527" s="118"/>
      <c r="B36527" s="136"/>
    </row>
    <row r="36528" spans="1:2" x14ac:dyDescent="0.25">
      <c r="A36528" s="118"/>
      <c r="B36528" s="136"/>
    </row>
    <row r="36529" spans="1:2" x14ac:dyDescent="0.25">
      <c r="A36529" s="118"/>
      <c r="B36529" s="136"/>
    </row>
    <row r="36530" spans="1:2" x14ac:dyDescent="0.25">
      <c r="A36530" s="118"/>
      <c r="B36530" s="136"/>
    </row>
    <row r="36531" spans="1:2" x14ac:dyDescent="0.25">
      <c r="A36531" s="118"/>
      <c r="B36531" s="136"/>
    </row>
    <row r="36532" spans="1:2" x14ac:dyDescent="0.25">
      <c r="A36532" s="118"/>
      <c r="B36532" s="136"/>
    </row>
    <row r="36533" spans="1:2" x14ac:dyDescent="0.25">
      <c r="A36533" s="118"/>
      <c r="B36533" s="136"/>
    </row>
    <row r="36534" spans="1:2" x14ac:dyDescent="0.25">
      <c r="A36534" s="118"/>
      <c r="B36534" s="136"/>
    </row>
    <row r="36535" spans="1:2" x14ac:dyDescent="0.25">
      <c r="A36535" s="118"/>
      <c r="B36535" s="136"/>
    </row>
    <row r="36536" spans="1:2" x14ac:dyDescent="0.25">
      <c r="A36536" s="118"/>
      <c r="B36536" s="136"/>
    </row>
    <row r="36537" spans="1:2" x14ac:dyDescent="0.25">
      <c r="A36537" s="118"/>
      <c r="B36537" s="136"/>
    </row>
    <row r="36538" spans="1:2" x14ac:dyDescent="0.25">
      <c r="A36538" s="118"/>
      <c r="B36538" s="136"/>
    </row>
    <row r="36539" spans="1:2" x14ac:dyDescent="0.25">
      <c r="A36539" s="118"/>
      <c r="B36539" s="136"/>
    </row>
    <row r="36540" spans="1:2" x14ac:dyDescent="0.25">
      <c r="A36540" s="118"/>
      <c r="B36540" s="136"/>
    </row>
    <row r="36541" spans="1:2" x14ac:dyDescent="0.25">
      <c r="A36541" s="118"/>
      <c r="B36541" s="136"/>
    </row>
    <row r="36542" spans="1:2" x14ac:dyDescent="0.25">
      <c r="A36542" s="118"/>
      <c r="B36542" s="136"/>
    </row>
    <row r="36543" spans="1:2" x14ac:dyDescent="0.25">
      <c r="A36543" s="118"/>
      <c r="B36543" s="136"/>
    </row>
    <row r="36544" spans="1:2" x14ac:dyDescent="0.25">
      <c r="A36544" s="118"/>
      <c r="B36544" s="136"/>
    </row>
    <row r="36545" spans="1:2" x14ac:dyDescent="0.25">
      <c r="A36545" s="118"/>
      <c r="B36545" s="136"/>
    </row>
    <row r="36546" spans="1:2" x14ac:dyDescent="0.25">
      <c r="A36546" s="118"/>
      <c r="B36546" s="136"/>
    </row>
    <row r="36547" spans="1:2" x14ac:dyDescent="0.25">
      <c r="A36547" s="118"/>
      <c r="B36547" s="136"/>
    </row>
    <row r="36548" spans="1:2" x14ac:dyDescent="0.25">
      <c r="A36548" s="118"/>
      <c r="B36548" s="136"/>
    </row>
    <row r="36549" spans="1:2" x14ac:dyDescent="0.25">
      <c r="A36549" s="118"/>
      <c r="B36549" s="136"/>
    </row>
    <row r="36550" spans="1:2" x14ac:dyDescent="0.25">
      <c r="A36550" s="118"/>
      <c r="B36550" s="136"/>
    </row>
    <row r="36551" spans="1:2" x14ac:dyDescent="0.25">
      <c r="A36551" s="118"/>
      <c r="B36551" s="136"/>
    </row>
    <row r="36552" spans="1:2" x14ac:dyDescent="0.25">
      <c r="A36552" s="118"/>
      <c r="B36552" s="136"/>
    </row>
    <row r="36553" spans="1:2" x14ac:dyDescent="0.25">
      <c r="A36553" s="118"/>
      <c r="B36553" s="136"/>
    </row>
    <row r="36554" spans="1:2" x14ac:dyDescent="0.25">
      <c r="A36554" s="118"/>
      <c r="B36554" s="136"/>
    </row>
    <row r="36555" spans="1:2" x14ac:dyDescent="0.25">
      <c r="A36555" s="118"/>
      <c r="B36555" s="136"/>
    </row>
    <row r="36556" spans="1:2" x14ac:dyDescent="0.25">
      <c r="A36556" s="118"/>
      <c r="B36556" s="136"/>
    </row>
    <row r="36557" spans="1:2" x14ac:dyDescent="0.25">
      <c r="A36557" s="118"/>
      <c r="B36557" s="136"/>
    </row>
    <row r="36558" spans="1:2" x14ac:dyDescent="0.25">
      <c r="A36558" s="118"/>
      <c r="B36558" s="136"/>
    </row>
    <row r="36559" spans="1:2" x14ac:dyDescent="0.25">
      <c r="A36559" s="118"/>
      <c r="B36559" s="136"/>
    </row>
    <row r="36560" spans="1:2" x14ac:dyDescent="0.25">
      <c r="A36560" s="118"/>
      <c r="B36560" s="136"/>
    </row>
    <row r="36561" spans="1:2" x14ac:dyDescent="0.25">
      <c r="A36561" s="118"/>
      <c r="B36561" s="136"/>
    </row>
    <row r="36562" spans="1:2" x14ac:dyDescent="0.25">
      <c r="A36562" s="118"/>
      <c r="B36562" s="136"/>
    </row>
    <row r="36563" spans="1:2" x14ac:dyDescent="0.25">
      <c r="A36563" s="118"/>
      <c r="B36563" s="136"/>
    </row>
    <row r="36564" spans="1:2" x14ac:dyDescent="0.25">
      <c r="A36564" s="118"/>
      <c r="B36564" s="136"/>
    </row>
    <row r="36565" spans="1:2" x14ac:dyDescent="0.25">
      <c r="A36565" s="118"/>
      <c r="B36565" s="136"/>
    </row>
    <row r="36566" spans="1:2" x14ac:dyDescent="0.25">
      <c r="A36566" s="118"/>
      <c r="B36566" s="136"/>
    </row>
    <row r="36567" spans="1:2" x14ac:dyDescent="0.25">
      <c r="A36567" s="118"/>
      <c r="B36567" s="136"/>
    </row>
    <row r="36568" spans="1:2" x14ac:dyDescent="0.25">
      <c r="A36568" s="118"/>
      <c r="B36568" s="136"/>
    </row>
    <row r="36569" spans="1:2" x14ac:dyDescent="0.25">
      <c r="A36569" s="118"/>
      <c r="B36569" s="136"/>
    </row>
    <row r="36570" spans="1:2" x14ac:dyDescent="0.25">
      <c r="A36570" s="118"/>
      <c r="B36570" s="136"/>
    </row>
    <row r="36571" spans="1:2" x14ac:dyDescent="0.25">
      <c r="A36571" s="118"/>
      <c r="B36571" s="136"/>
    </row>
    <row r="36572" spans="1:2" x14ac:dyDescent="0.25">
      <c r="A36572" s="118"/>
      <c r="B36572" s="136"/>
    </row>
    <row r="36573" spans="1:2" x14ac:dyDescent="0.25">
      <c r="A36573" s="118"/>
      <c r="B36573" s="136"/>
    </row>
    <row r="36574" spans="1:2" x14ac:dyDescent="0.25">
      <c r="A36574" s="118"/>
      <c r="B36574" s="136"/>
    </row>
    <row r="36575" spans="1:2" x14ac:dyDescent="0.25">
      <c r="A36575" s="118"/>
      <c r="B36575" s="136"/>
    </row>
    <row r="36576" spans="1:2" x14ac:dyDescent="0.25">
      <c r="A36576" s="118"/>
      <c r="B36576" s="136"/>
    </row>
    <row r="36577" spans="1:2" x14ac:dyDescent="0.25">
      <c r="A36577" s="118"/>
      <c r="B36577" s="136"/>
    </row>
    <row r="36578" spans="1:2" x14ac:dyDescent="0.25">
      <c r="A36578" s="118"/>
      <c r="B36578" s="136"/>
    </row>
    <row r="36579" spans="1:2" x14ac:dyDescent="0.25">
      <c r="A36579" s="118"/>
      <c r="B36579" s="136"/>
    </row>
    <row r="36580" spans="1:2" x14ac:dyDescent="0.25">
      <c r="A36580" s="118"/>
      <c r="B36580" s="136"/>
    </row>
    <row r="36581" spans="1:2" x14ac:dyDescent="0.25">
      <c r="A36581" s="118"/>
      <c r="B36581" s="136"/>
    </row>
    <row r="36582" spans="1:2" x14ac:dyDescent="0.25">
      <c r="A36582" s="118"/>
      <c r="B36582" s="136"/>
    </row>
    <row r="36583" spans="1:2" x14ac:dyDescent="0.25">
      <c r="A36583" s="118"/>
      <c r="B36583" s="136"/>
    </row>
    <row r="36584" spans="1:2" x14ac:dyDescent="0.25">
      <c r="A36584" s="118"/>
      <c r="B36584" s="136"/>
    </row>
    <row r="36585" spans="1:2" x14ac:dyDescent="0.25">
      <c r="A36585" s="118"/>
      <c r="B36585" s="136"/>
    </row>
    <row r="36586" spans="1:2" x14ac:dyDescent="0.25">
      <c r="A36586" s="118"/>
      <c r="B36586" s="136"/>
    </row>
    <row r="36587" spans="1:2" x14ac:dyDescent="0.25">
      <c r="A36587" s="118"/>
      <c r="B36587" s="136"/>
    </row>
    <row r="36588" spans="1:2" x14ac:dyDescent="0.25">
      <c r="A36588" s="118"/>
      <c r="B36588" s="136"/>
    </row>
    <row r="36589" spans="1:2" x14ac:dyDescent="0.25">
      <c r="A36589" s="118"/>
      <c r="B36589" s="136"/>
    </row>
    <row r="36590" spans="1:2" x14ac:dyDescent="0.25">
      <c r="A36590" s="118"/>
      <c r="B36590" s="136"/>
    </row>
    <row r="36591" spans="1:2" x14ac:dyDescent="0.25">
      <c r="A36591" s="118"/>
      <c r="B36591" s="136"/>
    </row>
    <row r="36592" spans="1:2" x14ac:dyDescent="0.25">
      <c r="A36592" s="118"/>
      <c r="B36592" s="136"/>
    </row>
    <row r="36593" spans="1:2" x14ac:dyDescent="0.25">
      <c r="A36593" s="118"/>
      <c r="B36593" s="136"/>
    </row>
    <row r="36594" spans="1:2" x14ac:dyDescent="0.25">
      <c r="A36594" s="118"/>
      <c r="B36594" s="136"/>
    </row>
    <row r="36595" spans="1:2" x14ac:dyDescent="0.25">
      <c r="A36595" s="118"/>
      <c r="B36595" s="136"/>
    </row>
    <row r="36596" spans="1:2" x14ac:dyDescent="0.25">
      <c r="A36596" s="118"/>
      <c r="B36596" s="136"/>
    </row>
    <row r="36597" spans="1:2" x14ac:dyDescent="0.25">
      <c r="A36597" s="118"/>
      <c r="B36597" s="136"/>
    </row>
    <row r="36598" spans="1:2" x14ac:dyDescent="0.25">
      <c r="A36598" s="118"/>
      <c r="B36598" s="136"/>
    </row>
    <row r="36599" spans="1:2" x14ac:dyDescent="0.25">
      <c r="A36599" s="118"/>
      <c r="B36599" s="136"/>
    </row>
    <row r="36600" spans="1:2" x14ac:dyDescent="0.25">
      <c r="A36600" s="118"/>
      <c r="B36600" s="136"/>
    </row>
    <row r="36601" spans="1:2" x14ac:dyDescent="0.25">
      <c r="A36601" s="118"/>
      <c r="B36601" s="136"/>
    </row>
    <row r="36602" spans="1:2" x14ac:dyDescent="0.25">
      <c r="A36602" s="118"/>
      <c r="B36602" s="136"/>
    </row>
    <row r="36603" spans="1:2" x14ac:dyDescent="0.25">
      <c r="A36603" s="118"/>
      <c r="B36603" s="136"/>
    </row>
    <row r="36604" spans="1:2" x14ac:dyDescent="0.25">
      <c r="A36604" s="118"/>
      <c r="B36604" s="136"/>
    </row>
    <row r="36605" spans="1:2" x14ac:dyDescent="0.25">
      <c r="A36605" s="118"/>
      <c r="B36605" s="136"/>
    </row>
    <row r="36606" spans="1:2" x14ac:dyDescent="0.25">
      <c r="A36606" s="118"/>
      <c r="B36606" s="136"/>
    </row>
    <row r="36607" spans="1:2" x14ac:dyDescent="0.25">
      <c r="A36607" s="118"/>
      <c r="B36607" s="136"/>
    </row>
    <row r="36608" spans="1:2" x14ac:dyDescent="0.25">
      <c r="A36608" s="118"/>
      <c r="B36608" s="136"/>
    </row>
    <row r="36609" spans="1:2" x14ac:dyDescent="0.25">
      <c r="A36609" s="118"/>
      <c r="B36609" s="136"/>
    </row>
    <row r="36610" spans="1:2" x14ac:dyDescent="0.25">
      <c r="A36610" s="118"/>
      <c r="B36610" s="136"/>
    </row>
    <row r="36611" spans="1:2" x14ac:dyDescent="0.25">
      <c r="A36611" s="118"/>
      <c r="B36611" s="136"/>
    </row>
    <row r="36612" spans="1:2" x14ac:dyDescent="0.25">
      <c r="A36612" s="118"/>
      <c r="B36612" s="136"/>
    </row>
    <row r="36613" spans="1:2" x14ac:dyDescent="0.25">
      <c r="A36613" s="118"/>
      <c r="B36613" s="136"/>
    </row>
    <row r="36614" spans="1:2" x14ac:dyDescent="0.25">
      <c r="A36614" s="118"/>
      <c r="B36614" s="136"/>
    </row>
    <row r="36615" spans="1:2" x14ac:dyDescent="0.25">
      <c r="A36615" s="118"/>
      <c r="B36615" s="136"/>
    </row>
    <row r="36616" spans="1:2" x14ac:dyDescent="0.25">
      <c r="A36616" s="118"/>
      <c r="B36616" s="136"/>
    </row>
    <row r="36617" spans="1:2" x14ac:dyDescent="0.25">
      <c r="A36617" s="118"/>
      <c r="B36617" s="136"/>
    </row>
    <row r="36618" spans="1:2" x14ac:dyDescent="0.25">
      <c r="A36618" s="118"/>
      <c r="B36618" s="136"/>
    </row>
    <row r="36619" spans="1:2" x14ac:dyDescent="0.25">
      <c r="A36619" s="118"/>
      <c r="B36619" s="136"/>
    </row>
    <row r="36620" spans="1:2" x14ac:dyDescent="0.25">
      <c r="A36620" s="118"/>
      <c r="B36620" s="136"/>
    </row>
    <row r="36621" spans="1:2" x14ac:dyDescent="0.25">
      <c r="A36621" s="118"/>
      <c r="B36621" s="136"/>
    </row>
    <row r="36622" spans="1:2" x14ac:dyDescent="0.25">
      <c r="A36622" s="118"/>
      <c r="B36622" s="136"/>
    </row>
    <row r="36623" spans="1:2" x14ac:dyDescent="0.25">
      <c r="A36623" s="118"/>
      <c r="B36623" s="136"/>
    </row>
    <row r="36624" spans="1:2" x14ac:dyDescent="0.25">
      <c r="A36624" s="118"/>
      <c r="B36624" s="136"/>
    </row>
    <row r="36625" spans="1:2" x14ac:dyDescent="0.25">
      <c r="A36625" s="118"/>
      <c r="B36625" s="136"/>
    </row>
    <row r="36626" spans="1:2" x14ac:dyDescent="0.25">
      <c r="A36626" s="118"/>
      <c r="B36626" s="136"/>
    </row>
    <row r="36627" spans="1:2" x14ac:dyDescent="0.25">
      <c r="A36627" s="118"/>
      <c r="B36627" s="136"/>
    </row>
    <row r="36628" spans="1:2" x14ac:dyDescent="0.25">
      <c r="A36628" s="118"/>
      <c r="B36628" s="136"/>
    </row>
    <row r="36629" spans="1:2" x14ac:dyDescent="0.25">
      <c r="A36629" s="118"/>
      <c r="B36629" s="136"/>
    </row>
    <row r="36630" spans="1:2" x14ac:dyDescent="0.25">
      <c r="A36630" s="118"/>
      <c r="B36630" s="136"/>
    </row>
    <row r="36631" spans="1:2" x14ac:dyDescent="0.25">
      <c r="A36631" s="118"/>
      <c r="B36631" s="136"/>
    </row>
    <row r="36632" spans="1:2" x14ac:dyDescent="0.25">
      <c r="A36632" s="118"/>
      <c r="B36632" s="136"/>
    </row>
    <row r="36633" spans="1:2" x14ac:dyDescent="0.25">
      <c r="A36633" s="118"/>
      <c r="B36633" s="136"/>
    </row>
    <row r="36634" spans="1:2" x14ac:dyDescent="0.25">
      <c r="A36634" s="118"/>
      <c r="B36634" s="136"/>
    </row>
    <row r="36635" spans="1:2" x14ac:dyDescent="0.25">
      <c r="A36635" s="118"/>
      <c r="B36635" s="136"/>
    </row>
    <row r="36636" spans="1:2" x14ac:dyDescent="0.25">
      <c r="A36636" s="118"/>
      <c r="B36636" s="136"/>
    </row>
    <row r="36637" spans="1:2" x14ac:dyDescent="0.25">
      <c r="A36637" s="118"/>
      <c r="B36637" s="136"/>
    </row>
    <row r="36638" spans="1:2" x14ac:dyDescent="0.25">
      <c r="A36638" s="118"/>
      <c r="B36638" s="136"/>
    </row>
    <row r="36639" spans="1:2" x14ac:dyDescent="0.25">
      <c r="A36639" s="118"/>
      <c r="B36639" s="136"/>
    </row>
    <row r="36640" spans="1:2" x14ac:dyDescent="0.25">
      <c r="A36640" s="118"/>
      <c r="B36640" s="136"/>
    </row>
    <row r="36641" spans="1:2" x14ac:dyDescent="0.25">
      <c r="A36641" s="118"/>
      <c r="B36641" s="136"/>
    </row>
    <row r="36642" spans="1:2" x14ac:dyDescent="0.25">
      <c r="A36642" s="118"/>
      <c r="B36642" s="136"/>
    </row>
    <row r="36643" spans="1:2" x14ac:dyDescent="0.25">
      <c r="A36643" s="118"/>
      <c r="B36643" s="136"/>
    </row>
    <row r="36644" spans="1:2" x14ac:dyDescent="0.25">
      <c r="A36644" s="118"/>
      <c r="B36644" s="136"/>
    </row>
    <row r="36645" spans="1:2" x14ac:dyDescent="0.25">
      <c r="A36645" s="118"/>
      <c r="B36645" s="136"/>
    </row>
    <row r="36646" spans="1:2" x14ac:dyDescent="0.25">
      <c r="A36646" s="118"/>
      <c r="B36646" s="136"/>
    </row>
    <row r="36647" spans="1:2" x14ac:dyDescent="0.25">
      <c r="A36647" s="118"/>
      <c r="B36647" s="136"/>
    </row>
    <row r="36648" spans="1:2" x14ac:dyDescent="0.25">
      <c r="A36648" s="118"/>
      <c r="B36648" s="136"/>
    </row>
    <row r="36649" spans="1:2" x14ac:dyDescent="0.25">
      <c r="A36649" s="118"/>
      <c r="B36649" s="136"/>
    </row>
    <row r="36650" spans="1:2" x14ac:dyDescent="0.25">
      <c r="A36650" s="118"/>
      <c r="B36650" s="136"/>
    </row>
    <row r="36651" spans="1:2" x14ac:dyDescent="0.25">
      <c r="A36651" s="118"/>
      <c r="B36651" s="136"/>
    </row>
    <row r="36652" spans="1:2" x14ac:dyDescent="0.25">
      <c r="A36652" s="118"/>
      <c r="B36652" s="136"/>
    </row>
    <row r="36653" spans="1:2" x14ac:dyDescent="0.25">
      <c r="A36653" s="118"/>
      <c r="B36653" s="136"/>
    </row>
    <row r="36654" spans="1:2" x14ac:dyDescent="0.25">
      <c r="A36654" s="118"/>
      <c r="B36654" s="136"/>
    </row>
    <row r="36655" spans="1:2" x14ac:dyDescent="0.25">
      <c r="A36655" s="118"/>
      <c r="B36655" s="136"/>
    </row>
    <row r="36656" spans="1:2" x14ac:dyDescent="0.25">
      <c r="A36656" s="118"/>
      <c r="B36656" s="136"/>
    </row>
    <row r="36657" spans="1:2" x14ac:dyDescent="0.25">
      <c r="A36657" s="118"/>
      <c r="B36657" s="136"/>
    </row>
    <row r="36658" spans="1:2" x14ac:dyDescent="0.25">
      <c r="A36658" s="118"/>
      <c r="B36658" s="136"/>
    </row>
    <row r="36659" spans="1:2" x14ac:dyDescent="0.25">
      <c r="A36659" s="118"/>
      <c r="B36659" s="136"/>
    </row>
    <row r="36660" spans="1:2" x14ac:dyDescent="0.25">
      <c r="A36660" s="118"/>
      <c r="B36660" s="136"/>
    </row>
    <row r="36661" spans="1:2" x14ac:dyDescent="0.25">
      <c r="A36661" s="118"/>
      <c r="B36661" s="136"/>
    </row>
    <row r="36662" spans="1:2" x14ac:dyDescent="0.25">
      <c r="A36662" s="118"/>
      <c r="B36662" s="136"/>
    </row>
    <row r="36663" spans="1:2" x14ac:dyDescent="0.25">
      <c r="A36663" s="118"/>
      <c r="B36663" s="136"/>
    </row>
    <row r="36664" spans="1:2" x14ac:dyDescent="0.25">
      <c r="A36664" s="118"/>
      <c r="B36664" s="136"/>
    </row>
    <row r="36665" spans="1:2" x14ac:dyDescent="0.25">
      <c r="A36665" s="118"/>
      <c r="B36665" s="136"/>
    </row>
    <row r="36666" spans="1:2" x14ac:dyDescent="0.25">
      <c r="A36666" s="118"/>
      <c r="B36666" s="136"/>
    </row>
    <row r="36667" spans="1:2" x14ac:dyDescent="0.25">
      <c r="A36667" s="118"/>
      <c r="B36667" s="136"/>
    </row>
    <row r="36668" spans="1:2" x14ac:dyDescent="0.25">
      <c r="A36668" s="118"/>
      <c r="B36668" s="136"/>
    </row>
    <row r="36669" spans="1:2" x14ac:dyDescent="0.25">
      <c r="A36669" s="118"/>
      <c r="B36669" s="136"/>
    </row>
    <row r="36670" spans="1:2" x14ac:dyDescent="0.25">
      <c r="A36670" s="118"/>
      <c r="B36670" s="136"/>
    </row>
    <row r="36671" spans="1:2" x14ac:dyDescent="0.25">
      <c r="A36671" s="118"/>
      <c r="B36671" s="136"/>
    </row>
    <row r="36672" spans="1:2" x14ac:dyDescent="0.25">
      <c r="A36672" s="118"/>
      <c r="B36672" s="136"/>
    </row>
    <row r="36673" spans="1:2" x14ac:dyDescent="0.25">
      <c r="A36673" s="118"/>
      <c r="B36673" s="136"/>
    </row>
    <row r="36674" spans="1:2" x14ac:dyDescent="0.25">
      <c r="A36674" s="118"/>
      <c r="B36674" s="136"/>
    </row>
    <row r="36675" spans="1:2" x14ac:dyDescent="0.25">
      <c r="A36675" s="118"/>
      <c r="B36675" s="136"/>
    </row>
    <row r="36676" spans="1:2" x14ac:dyDescent="0.25">
      <c r="A36676" s="118"/>
      <c r="B36676" s="136"/>
    </row>
    <row r="36677" spans="1:2" x14ac:dyDescent="0.25">
      <c r="A36677" s="118"/>
      <c r="B36677" s="136"/>
    </row>
    <row r="36678" spans="1:2" x14ac:dyDescent="0.25">
      <c r="A36678" s="118"/>
      <c r="B36678" s="136"/>
    </row>
    <row r="36679" spans="1:2" x14ac:dyDescent="0.25">
      <c r="A36679" s="118"/>
      <c r="B36679" s="136"/>
    </row>
    <row r="36680" spans="1:2" x14ac:dyDescent="0.25">
      <c r="A36680" s="118"/>
      <c r="B36680" s="136"/>
    </row>
    <row r="36681" spans="1:2" x14ac:dyDescent="0.25">
      <c r="A36681" s="118"/>
      <c r="B36681" s="136"/>
    </row>
    <row r="36682" spans="1:2" x14ac:dyDescent="0.25">
      <c r="A36682" s="118"/>
      <c r="B36682" s="136"/>
    </row>
    <row r="36683" spans="1:2" x14ac:dyDescent="0.25">
      <c r="A36683" s="118"/>
      <c r="B36683" s="136"/>
    </row>
    <row r="36684" spans="1:2" x14ac:dyDescent="0.25">
      <c r="A36684" s="118"/>
      <c r="B36684" s="136"/>
    </row>
    <row r="36685" spans="1:2" x14ac:dyDescent="0.25">
      <c r="A36685" s="118"/>
      <c r="B36685" s="136"/>
    </row>
    <row r="36686" spans="1:2" x14ac:dyDescent="0.25">
      <c r="A36686" s="118"/>
      <c r="B36686" s="136"/>
    </row>
    <row r="36687" spans="1:2" x14ac:dyDescent="0.25">
      <c r="A36687" s="118"/>
      <c r="B36687" s="136"/>
    </row>
    <row r="36688" spans="1:2" x14ac:dyDescent="0.25">
      <c r="A36688" s="118"/>
      <c r="B36688" s="136"/>
    </row>
    <row r="36689" spans="1:2" x14ac:dyDescent="0.25">
      <c r="A36689" s="118"/>
      <c r="B36689" s="136"/>
    </row>
    <row r="36690" spans="1:2" x14ac:dyDescent="0.25">
      <c r="A36690" s="118"/>
      <c r="B36690" s="136"/>
    </row>
    <row r="36691" spans="1:2" x14ac:dyDescent="0.25">
      <c r="A36691" s="118"/>
      <c r="B36691" s="136"/>
    </row>
    <row r="36692" spans="1:2" x14ac:dyDescent="0.25">
      <c r="A36692" s="118"/>
      <c r="B36692" s="136"/>
    </row>
    <row r="36693" spans="1:2" x14ac:dyDescent="0.25">
      <c r="A36693" s="118"/>
      <c r="B36693" s="136"/>
    </row>
    <row r="36694" spans="1:2" x14ac:dyDescent="0.25">
      <c r="A36694" s="118"/>
      <c r="B36694" s="136"/>
    </row>
    <row r="36695" spans="1:2" x14ac:dyDescent="0.25">
      <c r="A36695" s="118"/>
      <c r="B36695" s="136"/>
    </row>
    <row r="36696" spans="1:2" x14ac:dyDescent="0.25">
      <c r="A36696" s="118"/>
      <c r="B36696" s="136"/>
    </row>
    <row r="36697" spans="1:2" x14ac:dyDescent="0.25">
      <c r="A36697" s="118"/>
      <c r="B36697" s="136"/>
    </row>
    <row r="36698" spans="1:2" x14ac:dyDescent="0.25">
      <c r="A36698" s="118"/>
      <c r="B36698" s="136"/>
    </row>
    <row r="36699" spans="1:2" x14ac:dyDescent="0.25">
      <c r="A36699" s="118"/>
      <c r="B36699" s="136"/>
    </row>
    <row r="36700" spans="1:2" x14ac:dyDescent="0.25">
      <c r="A36700" s="118"/>
      <c r="B36700" s="136"/>
    </row>
    <row r="36701" spans="1:2" x14ac:dyDescent="0.25">
      <c r="A36701" s="118"/>
      <c r="B36701" s="136"/>
    </row>
    <row r="36702" spans="1:2" x14ac:dyDescent="0.25">
      <c r="A36702" s="118"/>
      <c r="B36702" s="136"/>
    </row>
    <row r="36703" spans="1:2" x14ac:dyDescent="0.25">
      <c r="A36703" s="118"/>
      <c r="B36703" s="136"/>
    </row>
    <row r="36704" spans="1:2" x14ac:dyDescent="0.25">
      <c r="A36704" s="118"/>
      <c r="B36704" s="136"/>
    </row>
    <row r="36705" spans="1:2" x14ac:dyDescent="0.25">
      <c r="A36705" s="118"/>
      <c r="B36705" s="136"/>
    </row>
    <row r="36706" spans="1:2" x14ac:dyDescent="0.25">
      <c r="A36706" s="118"/>
      <c r="B36706" s="136"/>
    </row>
    <row r="36707" spans="1:2" x14ac:dyDescent="0.25">
      <c r="A36707" s="118"/>
      <c r="B36707" s="136"/>
    </row>
    <row r="36708" spans="1:2" x14ac:dyDescent="0.25">
      <c r="A36708" s="118"/>
      <c r="B36708" s="136"/>
    </row>
    <row r="36709" spans="1:2" x14ac:dyDescent="0.25">
      <c r="A36709" s="118"/>
      <c r="B36709" s="136"/>
    </row>
    <row r="36710" spans="1:2" x14ac:dyDescent="0.25">
      <c r="A36710" s="118"/>
      <c r="B36710" s="136"/>
    </row>
    <row r="36711" spans="1:2" x14ac:dyDescent="0.25">
      <c r="A36711" s="118"/>
      <c r="B36711" s="136"/>
    </row>
    <row r="36712" spans="1:2" x14ac:dyDescent="0.25">
      <c r="A36712" s="118"/>
      <c r="B36712" s="136"/>
    </row>
    <row r="36713" spans="1:2" x14ac:dyDescent="0.25">
      <c r="A36713" s="118"/>
      <c r="B36713" s="136"/>
    </row>
    <row r="36714" spans="1:2" x14ac:dyDescent="0.25">
      <c r="A36714" s="118"/>
      <c r="B36714" s="136"/>
    </row>
    <row r="36715" spans="1:2" x14ac:dyDescent="0.25">
      <c r="A36715" s="118"/>
      <c r="B36715" s="136"/>
    </row>
    <row r="36716" spans="1:2" x14ac:dyDescent="0.25">
      <c r="A36716" s="118"/>
      <c r="B36716" s="136"/>
    </row>
    <row r="36717" spans="1:2" x14ac:dyDescent="0.25">
      <c r="A36717" s="118"/>
      <c r="B36717" s="136"/>
    </row>
    <row r="36718" spans="1:2" x14ac:dyDescent="0.25">
      <c r="A36718" s="118"/>
      <c r="B36718" s="136"/>
    </row>
    <row r="36719" spans="1:2" x14ac:dyDescent="0.25">
      <c r="A36719" s="118"/>
      <c r="B36719" s="136"/>
    </row>
    <row r="36720" spans="1:2" x14ac:dyDescent="0.25">
      <c r="A36720" s="118"/>
      <c r="B36720" s="136"/>
    </row>
    <row r="36721" spans="1:2" x14ac:dyDescent="0.25">
      <c r="A36721" s="118"/>
      <c r="B36721" s="136"/>
    </row>
    <row r="36722" spans="1:2" x14ac:dyDescent="0.25">
      <c r="A36722" s="118"/>
      <c r="B36722" s="136"/>
    </row>
    <row r="36723" spans="1:2" x14ac:dyDescent="0.25">
      <c r="A36723" s="118"/>
      <c r="B36723" s="136"/>
    </row>
    <row r="36724" spans="1:2" x14ac:dyDescent="0.25">
      <c r="A36724" s="118"/>
      <c r="B36724" s="136"/>
    </row>
    <row r="36725" spans="1:2" x14ac:dyDescent="0.25">
      <c r="A36725" s="118"/>
      <c r="B36725" s="136"/>
    </row>
    <row r="36726" spans="1:2" x14ac:dyDescent="0.25">
      <c r="A36726" s="118"/>
      <c r="B36726" s="136"/>
    </row>
    <row r="36727" spans="1:2" x14ac:dyDescent="0.25">
      <c r="A36727" s="118"/>
      <c r="B36727" s="136"/>
    </row>
    <row r="36728" spans="1:2" x14ac:dyDescent="0.25">
      <c r="A36728" s="118"/>
      <c r="B36728" s="136"/>
    </row>
    <row r="36729" spans="1:2" x14ac:dyDescent="0.25">
      <c r="A36729" s="118"/>
      <c r="B36729" s="136"/>
    </row>
    <row r="36730" spans="1:2" x14ac:dyDescent="0.25">
      <c r="A36730" s="118"/>
      <c r="B36730" s="136"/>
    </row>
    <row r="36731" spans="1:2" x14ac:dyDescent="0.25">
      <c r="A36731" s="118"/>
      <c r="B36731" s="136"/>
    </row>
    <row r="36732" spans="1:2" x14ac:dyDescent="0.25">
      <c r="A36732" s="118"/>
      <c r="B36732" s="136"/>
    </row>
    <row r="36733" spans="1:2" x14ac:dyDescent="0.25">
      <c r="A36733" s="118"/>
      <c r="B36733" s="136"/>
    </row>
    <row r="36734" spans="1:2" x14ac:dyDescent="0.25">
      <c r="A36734" s="118"/>
      <c r="B36734" s="136"/>
    </row>
    <row r="36735" spans="1:2" x14ac:dyDescent="0.25">
      <c r="A36735" s="118"/>
      <c r="B36735" s="136"/>
    </row>
    <row r="36736" spans="1:2" x14ac:dyDescent="0.25">
      <c r="A36736" s="118"/>
      <c r="B36736" s="136"/>
    </row>
    <row r="36737" spans="1:2" x14ac:dyDescent="0.25">
      <c r="A36737" s="118"/>
      <c r="B36737" s="136"/>
    </row>
    <row r="36738" spans="1:2" x14ac:dyDescent="0.25">
      <c r="A36738" s="118"/>
      <c r="B36738" s="136"/>
    </row>
    <row r="36739" spans="1:2" x14ac:dyDescent="0.25">
      <c r="A36739" s="118"/>
      <c r="B36739" s="136"/>
    </row>
    <row r="36740" spans="1:2" x14ac:dyDescent="0.25">
      <c r="A36740" s="118"/>
      <c r="B36740" s="136"/>
    </row>
    <row r="36741" spans="1:2" x14ac:dyDescent="0.25">
      <c r="A36741" s="118"/>
      <c r="B36741" s="136"/>
    </row>
    <row r="36742" spans="1:2" x14ac:dyDescent="0.25">
      <c r="A36742" s="118"/>
      <c r="B36742" s="136"/>
    </row>
    <row r="36743" spans="1:2" x14ac:dyDescent="0.25">
      <c r="A36743" s="118"/>
      <c r="B36743" s="136"/>
    </row>
    <row r="36744" spans="1:2" x14ac:dyDescent="0.25">
      <c r="A36744" s="118"/>
      <c r="B36744" s="136"/>
    </row>
    <row r="36745" spans="1:2" x14ac:dyDescent="0.25">
      <c r="A36745" s="118"/>
      <c r="B36745" s="136"/>
    </row>
    <row r="36746" spans="1:2" x14ac:dyDescent="0.25">
      <c r="A36746" s="118"/>
      <c r="B36746" s="136"/>
    </row>
    <row r="36747" spans="1:2" x14ac:dyDescent="0.25">
      <c r="A36747" s="118"/>
      <c r="B36747" s="136"/>
    </row>
    <row r="36748" spans="1:2" x14ac:dyDescent="0.25">
      <c r="A36748" s="118"/>
      <c r="B36748" s="136"/>
    </row>
    <row r="36749" spans="1:2" x14ac:dyDescent="0.25">
      <c r="A36749" s="118"/>
      <c r="B36749" s="136"/>
    </row>
    <row r="36750" spans="1:2" x14ac:dyDescent="0.25">
      <c r="A36750" s="118"/>
      <c r="B36750" s="136"/>
    </row>
    <row r="36751" spans="1:2" x14ac:dyDescent="0.25">
      <c r="A36751" s="118"/>
      <c r="B36751" s="136"/>
    </row>
    <row r="36752" spans="1:2" x14ac:dyDescent="0.25">
      <c r="A36752" s="118"/>
      <c r="B36752" s="136"/>
    </row>
    <row r="36753" spans="1:2" x14ac:dyDescent="0.25">
      <c r="A36753" s="118"/>
      <c r="B36753" s="136"/>
    </row>
    <row r="36754" spans="1:2" x14ac:dyDescent="0.25">
      <c r="A36754" s="118"/>
      <c r="B36754" s="136"/>
    </row>
    <row r="36755" spans="1:2" x14ac:dyDescent="0.25">
      <c r="A36755" s="118"/>
      <c r="B36755" s="136"/>
    </row>
    <row r="36756" spans="1:2" x14ac:dyDescent="0.25">
      <c r="A36756" s="118"/>
      <c r="B36756" s="136"/>
    </row>
    <row r="36757" spans="1:2" x14ac:dyDescent="0.25">
      <c r="A36757" s="118"/>
      <c r="B36757" s="136"/>
    </row>
    <row r="36758" spans="1:2" x14ac:dyDescent="0.25">
      <c r="A36758" s="118"/>
      <c r="B36758" s="136"/>
    </row>
    <row r="36759" spans="1:2" x14ac:dyDescent="0.25">
      <c r="A36759" s="118"/>
      <c r="B36759" s="136"/>
    </row>
    <row r="36760" spans="1:2" x14ac:dyDescent="0.25">
      <c r="A36760" s="118"/>
      <c r="B36760" s="136"/>
    </row>
    <row r="36761" spans="1:2" x14ac:dyDescent="0.25">
      <c r="A36761" s="118"/>
      <c r="B36761" s="136"/>
    </row>
    <row r="36762" spans="1:2" x14ac:dyDescent="0.25">
      <c r="A36762" s="118"/>
      <c r="B36762" s="136"/>
    </row>
    <row r="36763" spans="1:2" x14ac:dyDescent="0.25">
      <c r="A36763" s="118"/>
      <c r="B36763" s="136"/>
    </row>
    <row r="36764" spans="1:2" x14ac:dyDescent="0.25">
      <c r="A36764" s="118"/>
      <c r="B36764" s="136"/>
    </row>
    <row r="36765" spans="1:2" x14ac:dyDescent="0.25">
      <c r="A36765" s="118"/>
      <c r="B36765" s="136"/>
    </row>
    <row r="36766" spans="1:2" x14ac:dyDescent="0.25">
      <c r="A36766" s="118"/>
      <c r="B36766" s="136"/>
    </row>
    <row r="36767" spans="1:2" x14ac:dyDescent="0.25">
      <c r="A36767" s="118"/>
      <c r="B36767" s="136"/>
    </row>
    <row r="36768" spans="1:2" x14ac:dyDescent="0.25">
      <c r="A36768" s="118"/>
      <c r="B36768" s="136"/>
    </row>
    <row r="36769" spans="1:2" x14ac:dyDescent="0.25">
      <c r="A36769" s="118"/>
      <c r="B36769" s="136"/>
    </row>
    <row r="36770" spans="1:2" x14ac:dyDescent="0.25">
      <c r="A36770" s="118"/>
      <c r="B36770" s="136"/>
    </row>
    <row r="36771" spans="1:2" x14ac:dyDescent="0.25">
      <c r="A36771" s="118"/>
      <c r="B36771" s="136"/>
    </row>
    <row r="36772" spans="1:2" x14ac:dyDescent="0.25">
      <c r="A36772" s="118"/>
      <c r="B36772" s="136"/>
    </row>
    <row r="36773" spans="1:2" x14ac:dyDescent="0.25">
      <c r="A36773" s="118"/>
      <c r="B36773" s="136"/>
    </row>
    <row r="36774" spans="1:2" x14ac:dyDescent="0.25">
      <c r="A36774" s="118"/>
      <c r="B36774" s="136"/>
    </row>
    <row r="36775" spans="1:2" x14ac:dyDescent="0.25">
      <c r="A36775" s="118"/>
      <c r="B36775" s="136"/>
    </row>
    <row r="36776" spans="1:2" x14ac:dyDescent="0.25">
      <c r="A36776" s="118"/>
      <c r="B36776" s="136"/>
    </row>
    <row r="36777" spans="1:2" x14ac:dyDescent="0.25">
      <c r="A36777" s="118"/>
      <c r="B36777" s="136"/>
    </row>
    <row r="36778" spans="1:2" x14ac:dyDescent="0.25">
      <c r="A36778" s="118"/>
      <c r="B36778" s="136"/>
    </row>
    <row r="36779" spans="1:2" x14ac:dyDescent="0.25">
      <c r="A36779" s="118"/>
      <c r="B36779" s="136"/>
    </row>
    <row r="36780" spans="1:2" x14ac:dyDescent="0.25">
      <c r="A36780" s="118"/>
      <c r="B36780" s="136"/>
    </row>
    <row r="36781" spans="1:2" x14ac:dyDescent="0.25">
      <c r="A36781" s="118"/>
      <c r="B36781" s="136"/>
    </row>
    <row r="36782" spans="1:2" x14ac:dyDescent="0.25">
      <c r="A36782" s="118"/>
      <c r="B36782" s="136"/>
    </row>
    <row r="36783" spans="1:2" x14ac:dyDescent="0.25">
      <c r="A36783" s="118"/>
      <c r="B36783" s="136"/>
    </row>
    <row r="36784" spans="1:2" x14ac:dyDescent="0.25">
      <c r="A36784" s="118"/>
      <c r="B36784" s="136"/>
    </row>
    <row r="36785" spans="1:2" x14ac:dyDescent="0.25">
      <c r="A36785" s="118"/>
      <c r="B36785" s="136"/>
    </row>
    <row r="36786" spans="1:2" x14ac:dyDescent="0.25">
      <c r="A36786" s="118"/>
      <c r="B36786" s="136"/>
    </row>
    <row r="36787" spans="1:2" x14ac:dyDescent="0.25">
      <c r="A36787" s="118"/>
      <c r="B36787" s="136"/>
    </row>
    <row r="36788" spans="1:2" x14ac:dyDescent="0.25">
      <c r="A36788" s="118"/>
      <c r="B36788" s="136"/>
    </row>
    <row r="36789" spans="1:2" x14ac:dyDescent="0.25">
      <c r="A36789" s="118"/>
      <c r="B36789" s="136"/>
    </row>
    <row r="36790" spans="1:2" x14ac:dyDescent="0.25">
      <c r="A36790" s="118"/>
      <c r="B36790" s="136"/>
    </row>
    <row r="36791" spans="1:2" x14ac:dyDescent="0.25">
      <c r="A36791" s="118"/>
      <c r="B36791" s="136"/>
    </row>
    <row r="36792" spans="1:2" x14ac:dyDescent="0.25">
      <c r="A36792" s="118"/>
      <c r="B36792" s="136"/>
    </row>
    <row r="36793" spans="1:2" x14ac:dyDescent="0.25">
      <c r="A36793" s="118"/>
      <c r="B36793" s="136"/>
    </row>
    <row r="36794" spans="1:2" x14ac:dyDescent="0.25">
      <c r="A36794" s="118"/>
      <c r="B36794" s="136"/>
    </row>
    <row r="36795" spans="1:2" x14ac:dyDescent="0.25">
      <c r="A36795" s="118"/>
      <c r="B36795" s="136"/>
    </row>
    <row r="36796" spans="1:2" x14ac:dyDescent="0.25">
      <c r="A36796" s="118"/>
      <c r="B36796" s="136"/>
    </row>
    <row r="36797" spans="1:2" x14ac:dyDescent="0.25">
      <c r="A36797" s="118"/>
      <c r="B36797" s="136"/>
    </row>
    <row r="36798" spans="1:2" x14ac:dyDescent="0.25">
      <c r="A36798" s="118"/>
      <c r="B36798" s="136"/>
    </row>
    <row r="36799" spans="1:2" x14ac:dyDescent="0.25">
      <c r="A36799" s="118"/>
      <c r="B36799" s="136"/>
    </row>
    <row r="36800" spans="1:2" x14ac:dyDescent="0.25">
      <c r="A36800" s="118"/>
      <c r="B36800" s="136"/>
    </row>
    <row r="36801" spans="1:2" x14ac:dyDescent="0.25">
      <c r="A36801" s="118"/>
      <c r="B36801" s="136"/>
    </row>
    <row r="36802" spans="1:2" x14ac:dyDescent="0.25">
      <c r="A36802" s="118"/>
      <c r="B36802" s="136"/>
    </row>
    <row r="36803" spans="1:2" x14ac:dyDescent="0.25">
      <c r="A36803" s="118"/>
      <c r="B36803" s="136"/>
    </row>
    <row r="36804" spans="1:2" x14ac:dyDescent="0.25">
      <c r="A36804" s="118"/>
      <c r="B36804" s="136"/>
    </row>
    <row r="36805" spans="1:2" x14ac:dyDescent="0.25">
      <c r="A36805" s="118"/>
      <c r="B36805" s="136"/>
    </row>
    <row r="36806" spans="1:2" x14ac:dyDescent="0.25">
      <c r="A36806" s="118"/>
      <c r="B36806" s="136"/>
    </row>
    <row r="36807" spans="1:2" x14ac:dyDescent="0.25">
      <c r="A36807" s="118"/>
      <c r="B36807" s="136"/>
    </row>
    <row r="36808" spans="1:2" x14ac:dyDescent="0.25">
      <c r="A36808" s="118"/>
      <c r="B36808" s="136"/>
    </row>
    <row r="36809" spans="1:2" x14ac:dyDescent="0.25">
      <c r="A36809" s="118"/>
      <c r="B36809" s="136"/>
    </row>
    <row r="36810" spans="1:2" x14ac:dyDescent="0.25">
      <c r="A36810" s="118"/>
      <c r="B36810" s="136"/>
    </row>
    <row r="36811" spans="1:2" x14ac:dyDescent="0.25">
      <c r="A36811" s="118"/>
      <c r="B36811" s="136"/>
    </row>
    <row r="36812" spans="1:2" x14ac:dyDescent="0.25">
      <c r="A36812" s="118"/>
      <c r="B36812" s="136"/>
    </row>
    <row r="36813" spans="1:2" x14ac:dyDescent="0.25">
      <c r="A36813" s="118"/>
      <c r="B36813" s="136"/>
    </row>
    <row r="36814" spans="1:2" x14ac:dyDescent="0.25">
      <c r="A36814" s="118"/>
      <c r="B36814" s="136"/>
    </row>
    <row r="36815" spans="1:2" x14ac:dyDescent="0.25">
      <c r="A36815" s="118"/>
      <c r="B36815" s="136"/>
    </row>
    <row r="36816" spans="1:2" x14ac:dyDescent="0.25">
      <c r="A36816" s="118"/>
      <c r="B36816" s="136"/>
    </row>
    <row r="36817" spans="1:2" x14ac:dyDescent="0.25">
      <c r="A36817" s="118"/>
      <c r="B36817" s="136"/>
    </row>
    <row r="36818" spans="1:2" x14ac:dyDescent="0.25">
      <c r="A36818" s="118"/>
      <c r="B36818" s="136"/>
    </row>
    <row r="36819" spans="1:2" x14ac:dyDescent="0.25">
      <c r="A36819" s="118"/>
      <c r="B36819" s="136"/>
    </row>
    <row r="36820" spans="1:2" x14ac:dyDescent="0.25">
      <c r="A36820" s="118"/>
      <c r="B36820" s="136"/>
    </row>
    <row r="36821" spans="1:2" x14ac:dyDescent="0.25">
      <c r="A36821" s="118"/>
      <c r="B36821" s="136"/>
    </row>
    <row r="36822" spans="1:2" x14ac:dyDescent="0.25">
      <c r="A36822" s="118"/>
      <c r="B36822" s="136"/>
    </row>
    <row r="36823" spans="1:2" x14ac:dyDescent="0.25">
      <c r="A36823" s="118"/>
      <c r="B36823" s="136"/>
    </row>
    <row r="36824" spans="1:2" x14ac:dyDescent="0.25">
      <c r="A36824" s="118"/>
      <c r="B36824" s="136"/>
    </row>
    <row r="36825" spans="1:2" x14ac:dyDescent="0.25">
      <c r="A36825" s="118"/>
      <c r="B36825" s="136"/>
    </row>
    <row r="36826" spans="1:2" x14ac:dyDescent="0.25">
      <c r="A36826" s="118"/>
      <c r="B36826" s="136"/>
    </row>
    <row r="36827" spans="1:2" x14ac:dyDescent="0.25">
      <c r="A36827" s="118"/>
      <c r="B36827" s="136"/>
    </row>
    <row r="36828" spans="1:2" x14ac:dyDescent="0.25">
      <c r="A36828" s="118"/>
      <c r="B36828" s="136"/>
    </row>
    <row r="36829" spans="1:2" x14ac:dyDescent="0.25">
      <c r="A36829" s="118"/>
      <c r="B36829" s="136"/>
    </row>
    <row r="36830" spans="1:2" x14ac:dyDescent="0.25">
      <c r="A36830" s="118"/>
      <c r="B36830" s="136"/>
    </row>
    <row r="36831" spans="1:2" x14ac:dyDescent="0.25">
      <c r="A36831" s="118"/>
      <c r="B36831" s="136"/>
    </row>
    <row r="36832" spans="1:2" x14ac:dyDescent="0.25">
      <c r="A36832" s="118"/>
      <c r="B36832" s="136"/>
    </row>
    <row r="36833" spans="1:2" x14ac:dyDescent="0.25">
      <c r="A36833" s="118"/>
      <c r="B36833" s="136"/>
    </row>
    <row r="36834" spans="1:2" x14ac:dyDescent="0.25">
      <c r="A36834" s="118"/>
      <c r="B36834" s="136"/>
    </row>
    <row r="36835" spans="1:2" x14ac:dyDescent="0.25">
      <c r="A36835" s="118"/>
      <c r="B36835" s="136"/>
    </row>
    <row r="36836" spans="1:2" x14ac:dyDescent="0.25">
      <c r="A36836" s="118"/>
      <c r="B36836" s="136"/>
    </row>
    <row r="36837" spans="1:2" x14ac:dyDescent="0.25">
      <c r="A36837" s="118"/>
      <c r="B36837" s="136"/>
    </row>
    <row r="36838" spans="1:2" x14ac:dyDescent="0.25">
      <c r="A36838" s="118"/>
      <c r="B36838" s="136"/>
    </row>
    <row r="36839" spans="1:2" x14ac:dyDescent="0.25">
      <c r="A36839" s="118"/>
      <c r="B36839" s="136"/>
    </row>
    <row r="36840" spans="1:2" x14ac:dyDescent="0.25">
      <c r="A36840" s="118"/>
      <c r="B36840" s="136"/>
    </row>
    <row r="36841" spans="1:2" x14ac:dyDescent="0.25">
      <c r="A36841" s="118"/>
      <c r="B36841" s="136"/>
    </row>
    <row r="36842" spans="1:2" x14ac:dyDescent="0.25">
      <c r="A36842" s="118"/>
      <c r="B36842" s="136"/>
    </row>
    <row r="36843" spans="1:2" x14ac:dyDescent="0.25">
      <c r="A36843" s="118"/>
      <c r="B36843" s="136"/>
    </row>
    <row r="36844" spans="1:2" x14ac:dyDescent="0.25">
      <c r="A36844" s="118"/>
      <c r="B36844" s="136"/>
    </row>
    <row r="36845" spans="1:2" x14ac:dyDescent="0.25">
      <c r="A36845" s="118"/>
      <c r="B36845" s="136"/>
    </row>
    <row r="36846" spans="1:2" x14ac:dyDescent="0.25">
      <c r="A36846" s="118"/>
      <c r="B36846" s="136"/>
    </row>
    <row r="36847" spans="1:2" x14ac:dyDescent="0.25">
      <c r="A36847" s="118"/>
      <c r="B36847" s="136"/>
    </row>
    <row r="36848" spans="1:2" x14ac:dyDescent="0.25">
      <c r="A36848" s="118"/>
      <c r="B36848" s="136"/>
    </row>
    <row r="36849" spans="1:2" x14ac:dyDescent="0.25">
      <c r="A36849" s="118"/>
      <c r="B36849" s="136"/>
    </row>
    <row r="36850" spans="1:2" x14ac:dyDescent="0.25">
      <c r="A36850" s="118"/>
      <c r="B36850" s="136"/>
    </row>
    <row r="36851" spans="1:2" x14ac:dyDescent="0.25">
      <c r="A36851" s="118"/>
      <c r="B36851" s="136"/>
    </row>
    <row r="36852" spans="1:2" x14ac:dyDescent="0.25">
      <c r="A36852" s="118"/>
      <c r="B36852" s="136"/>
    </row>
    <row r="36853" spans="1:2" x14ac:dyDescent="0.25">
      <c r="A36853" s="118"/>
      <c r="B36853" s="136"/>
    </row>
    <row r="36854" spans="1:2" x14ac:dyDescent="0.25">
      <c r="A36854" s="118"/>
      <c r="B36854" s="136"/>
    </row>
    <row r="36855" spans="1:2" x14ac:dyDescent="0.25">
      <c r="A36855" s="118"/>
      <c r="B36855" s="136"/>
    </row>
    <row r="36856" spans="1:2" x14ac:dyDescent="0.25">
      <c r="A36856" s="118"/>
      <c r="B36856" s="136"/>
    </row>
    <row r="36857" spans="1:2" x14ac:dyDescent="0.25">
      <c r="A36857" s="118"/>
      <c r="B36857" s="136"/>
    </row>
    <row r="36858" spans="1:2" x14ac:dyDescent="0.25">
      <c r="A36858" s="118"/>
      <c r="B36858" s="136"/>
    </row>
    <row r="36859" spans="1:2" x14ac:dyDescent="0.25">
      <c r="A36859" s="118"/>
      <c r="B36859" s="136"/>
    </row>
    <row r="36860" spans="1:2" x14ac:dyDescent="0.25">
      <c r="A36860" s="118"/>
      <c r="B36860" s="136"/>
    </row>
    <row r="36861" spans="1:2" x14ac:dyDescent="0.25">
      <c r="A36861" s="118"/>
      <c r="B36861" s="136"/>
    </row>
    <row r="36862" spans="1:2" x14ac:dyDescent="0.25">
      <c r="A36862" s="118"/>
      <c r="B36862" s="136"/>
    </row>
    <row r="36863" spans="1:2" x14ac:dyDescent="0.25">
      <c r="A36863" s="118"/>
      <c r="B36863" s="136"/>
    </row>
    <row r="36864" spans="1:2" x14ac:dyDescent="0.25">
      <c r="A36864" s="118"/>
      <c r="B36864" s="136"/>
    </row>
    <row r="36865" spans="1:2" x14ac:dyDescent="0.25">
      <c r="A36865" s="118"/>
      <c r="B36865" s="136"/>
    </row>
    <row r="36866" spans="1:2" x14ac:dyDescent="0.25">
      <c r="A36866" s="118"/>
      <c r="B36866" s="136"/>
    </row>
    <row r="36867" spans="1:2" x14ac:dyDescent="0.25">
      <c r="A36867" s="118"/>
      <c r="B36867" s="136"/>
    </row>
    <row r="36868" spans="1:2" x14ac:dyDescent="0.25">
      <c r="A36868" s="118"/>
      <c r="B36868" s="136"/>
    </row>
    <row r="36869" spans="1:2" x14ac:dyDescent="0.25">
      <c r="A36869" s="118"/>
      <c r="B36869" s="136"/>
    </row>
    <row r="36870" spans="1:2" x14ac:dyDescent="0.25">
      <c r="A36870" s="118"/>
      <c r="B36870" s="136"/>
    </row>
    <row r="36871" spans="1:2" x14ac:dyDescent="0.25">
      <c r="A36871" s="118"/>
      <c r="B36871" s="136"/>
    </row>
    <row r="36872" spans="1:2" x14ac:dyDescent="0.25">
      <c r="A36872" s="118"/>
      <c r="B36872" s="136"/>
    </row>
    <row r="36873" spans="1:2" x14ac:dyDescent="0.25">
      <c r="A36873" s="118"/>
      <c r="B36873" s="136"/>
    </row>
    <row r="36874" spans="1:2" x14ac:dyDescent="0.25">
      <c r="A36874" s="118"/>
      <c r="B36874" s="136"/>
    </row>
    <row r="36875" spans="1:2" x14ac:dyDescent="0.25">
      <c r="A36875" s="118"/>
      <c r="B36875" s="136"/>
    </row>
    <row r="36876" spans="1:2" x14ac:dyDescent="0.25">
      <c r="A36876" s="118"/>
      <c r="B36876" s="136"/>
    </row>
    <row r="36877" spans="1:2" x14ac:dyDescent="0.25">
      <c r="A36877" s="118"/>
      <c r="B36877" s="136"/>
    </row>
    <row r="36878" spans="1:2" x14ac:dyDescent="0.25">
      <c r="A36878" s="118"/>
      <c r="B36878" s="136"/>
    </row>
    <row r="36879" spans="1:2" x14ac:dyDescent="0.25">
      <c r="A36879" s="118"/>
      <c r="B36879" s="136"/>
    </row>
    <row r="36880" spans="1:2" x14ac:dyDescent="0.25">
      <c r="A36880" s="118"/>
      <c r="B36880" s="136"/>
    </row>
    <row r="36881" spans="1:2" x14ac:dyDescent="0.25">
      <c r="A36881" s="118"/>
      <c r="B36881" s="136"/>
    </row>
    <row r="36882" spans="1:2" x14ac:dyDescent="0.25">
      <c r="A36882" s="118"/>
      <c r="B36882" s="136"/>
    </row>
    <row r="36883" spans="1:2" x14ac:dyDescent="0.25">
      <c r="A36883" s="118"/>
      <c r="B36883" s="136"/>
    </row>
    <row r="36884" spans="1:2" x14ac:dyDescent="0.25">
      <c r="A36884" s="118"/>
      <c r="B36884" s="136"/>
    </row>
    <row r="36885" spans="1:2" x14ac:dyDescent="0.25">
      <c r="A36885" s="118"/>
      <c r="B36885" s="136"/>
    </row>
    <row r="36886" spans="1:2" x14ac:dyDescent="0.25">
      <c r="A36886" s="118"/>
      <c r="B36886" s="136"/>
    </row>
    <row r="36887" spans="1:2" x14ac:dyDescent="0.25">
      <c r="A36887" s="118"/>
      <c r="B36887" s="136"/>
    </row>
    <row r="36888" spans="1:2" x14ac:dyDescent="0.25">
      <c r="A36888" s="118"/>
      <c r="B36888" s="136"/>
    </row>
    <row r="36889" spans="1:2" x14ac:dyDescent="0.25">
      <c r="A36889" s="118"/>
      <c r="B36889" s="136"/>
    </row>
    <row r="36890" spans="1:2" x14ac:dyDescent="0.25">
      <c r="A36890" s="118"/>
      <c r="B36890" s="136"/>
    </row>
    <row r="36891" spans="1:2" x14ac:dyDescent="0.25">
      <c r="A36891" s="118"/>
      <c r="B36891" s="136"/>
    </row>
    <row r="36892" spans="1:2" x14ac:dyDescent="0.25">
      <c r="A36892" s="118"/>
      <c r="B36892" s="136"/>
    </row>
    <row r="36893" spans="1:2" x14ac:dyDescent="0.25">
      <c r="A36893" s="118"/>
      <c r="B36893" s="136"/>
    </row>
    <row r="36894" spans="1:2" x14ac:dyDescent="0.25">
      <c r="A36894" s="118"/>
      <c r="B36894" s="136"/>
    </row>
    <row r="36895" spans="1:2" x14ac:dyDescent="0.25">
      <c r="A36895" s="118"/>
      <c r="B36895" s="136"/>
    </row>
    <row r="36896" spans="1:2" x14ac:dyDescent="0.25">
      <c r="A36896" s="118"/>
      <c r="B36896" s="136"/>
    </row>
    <row r="36897" spans="1:2" x14ac:dyDescent="0.25">
      <c r="A36897" s="118"/>
      <c r="B36897" s="136"/>
    </row>
    <row r="36898" spans="1:2" x14ac:dyDescent="0.25">
      <c r="A36898" s="118"/>
      <c r="B36898" s="136"/>
    </row>
    <row r="36899" spans="1:2" x14ac:dyDescent="0.25">
      <c r="A36899" s="118"/>
      <c r="B36899" s="136"/>
    </row>
    <row r="36900" spans="1:2" x14ac:dyDescent="0.25">
      <c r="A36900" s="118"/>
      <c r="B36900" s="136"/>
    </row>
    <row r="36901" spans="1:2" x14ac:dyDescent="0.25">
      <c r="A36901" s="118"/>
      <c r="B36901" s="136"/>
    </row>
    <row r="36902" spans="1:2" x14ac:dyDescent="0.25">
      <c r="A36902" s="118"/>
      <c r="B36902" s="136"/>
    </row>
    <row r="36903" spans="1:2" x14ac:dyDescent="0.25">
      <c r="A36903" s="118"/>
      <c r="B36903" s="136"/>
    </row>
    <row r="36904" spans="1:2" x14ac:dyDescent="0.25">
      <c r="A36904" s="118"/>
      <c r="B36904" s="136"/>
    </row>
    <row r="36905" spans="1:2" x14ac:dyDescent="0.25">
      <c r="A36905" s="118"/>
      <c r="B36905" s="136"/>
    </row>
    <row r="36906" spans="1:2" x14ac:dyDescent="0.25">
      <c r="A36906" s="118"/>
      <c r="B36906" s="136"/>
    </row>
    <row r="36907" spans="1:2" x14ac:dyDescent="0.25">
      <c r="A36907" s="118"/>
      <c r="B36907" s="136"/>
    </row>
    <row r="36908" spans="1:2" x14ac:dyDescent="0.25">
      <c r="A36908" s="118"/>
      <c r="B36908" s="136"/>
    </row>
    <row r="36909" spans="1:2" x14ac:dyDescent="0.25">
      <c r="A36909" s="118"/>
      <c r="B36909" s="136"/>
    </row>
    <row r="36910" spans="1:2" x14ac:dyDescent="0.25">
      <c r="A36910" s="118"/>
      <c r="B36910" s="136"/>
    </row>
    <row r="36911" spans="1:2" x14ac:dyDescent="0.25">
      <c r="A36911" s="118"/>
      <c r="B36911" s="136"/>
    </row>
    <row r="36912" spans="1:2" x14ac:dyDescent="0.25">
      <c r="A36912" s="118"/>
      <c r="B36912" s="136"/>
    </row>
    <row r="36913" spans="1:2" x14ac:dyDescent="0.25">
      <c r="A36913" s="118"/>
      <c r="B36913" s="136"/>
    </row>
    <row r="36914" spans="1:2" x14ac:dyDescent="0.25">
      <c r="A36914" s="118"/>
      <c r="B36914" s="136"/>
    </row>
    <row r="36915" spans="1:2" x14ac:dyDescent="0.25">
      <c r="A36915" s="118"/>
      <c r="B36915" s="136"/>
    </row>
    <row r="36916" spans="1:2" x14ac:dyDescent="0.25">
      <c r="A36916" s="118"/>
      <c r="B36916" s="136"/>
    </row>
    <row r="36917" spans="1:2" x14ac:dyDescent="0.25">
      <c r="A36917" s="118"/>
      <c r="B36917" s="136"/>
    </row>
    <row r="36918" spans="1:2" x14ac:dyDescent="0.25">
      <c r="A36918" s="118"/>
      <c r="B36918" s="136"/>
    </row>
    <row r="36919" spans="1:2" x14ac:dyDescent="0.25">
      <c r="A36919" s="118"/>
      <c r="B36919" s="136"/>
    </row>
    <row r="36920" spans="1:2" x14ac:dyDescent="0.25">
      <c r="A36920" s="118"/>
      <c r="B36920" s="136"/>
    </row>
    <row r="36921" spans="1:2" x14ac:dyDescent="0.25">
      <c r="A36921" s="118"/>
      <c r="B36921" s="136"/>
    </row>
    <row r="36922" spans="1:2" x14ac:dyDescent="0.25">
      <c r="A36922" s="118"/>
      <c r="B36922" s="136"/>
    </row>
    <row r="36923" spans="1:2" x14ac:dyDescent="0.25">
      <c r="A36923" s="118"/>
      <c r="B36923" s="136"/>
    </row>
    <row r="36924" spans="1:2" x14ac:dyDescent="0.25">
      <c r="A36924" s="118"/>
      <c r="B36924" s="136"/>
    </row>
    <row r="36925" spans="1:2" x14ac:dyDescent="0.25">
      <c r="A36925" s="118"/>
      <c r="B36925" s="136"/>
    </row>
    <row r="36926" spans="1:2" x14ac:dyDescent="0.25">
      <c r="A36926" s="118"/>
      <c r="B36926" s="136"/>
    </row>
    <row r="36927" spans="1:2" x14ac:dyDescent="0.25">
      <c r="A36927" s="118"/>
      <c r="B36927" s="136"/>
    </row>
    <row r="36928" spans="1:2" x14ac:dyDescent="0.25">
      <c r="A36928" s="118"/>
      <c r="B36928" s="136"/>
    </row>
    <row r="36929" spans="1:2" x14ac:dyDescent="0.25">
      <c r="A36929" s="118"/>
      <c r="B36929" s="136"/>
    </row>
    <row r="36930" spans="1:2" x14ac:dyDescent="0.25">
      <c r="A36930" s="118"/>
      <c r="B36930" s="136"/>
    </row>
    <row r="36931" spans="1:2" x14ac:dyDescent="0.25">
      <c r="A36931" s="118"/>
      <c r="B36931" s="136"/>
    </row>
    <row r="36932" spans="1:2" x14ac:dyDescent="0.25">
      <c r="A36932" s="118"/>
      <c r="B36932" s="136"/>
    </row>
    <row r="36933" spans="1:2" x14ac:dyDescent="0.25">
      <c r="A36933" s="118"/>
      <c r="B36933" s="136"/>
    </row>
    <row r="36934" spans="1:2" x14ac:dyDescent="0.25">
      <c r="A36934" s="118"/>
      <c r="B36934" s="136"/>
    </row>
    <row r="36935" spans="1:2" x14ac:dyDescent="0.25">
      <c r="A36935" s="118"/>
      <c r="B36935" s="136"/>
    </row>
    <row r="36936" spans="1:2" x14ac:dyDescent="0.25">
      <c r="A36936" s="118"/>
      <c r="B36936" s="136"/>
    </row>
    <row r="36937" spans="1:2" x14ac:dyDescent="0.25">
      <c r="A36937" s="118"/>
      <c r="B36937" s="136"/>
    </row>
    <row r="36938" spans="1:2" x14ac:dyDescent="0.25">
      <c r="A36938" s="118"/>
      <c r="B36938" s="136"/>
    </row>
    <row r="36939" spans="1:2" x14ac:dyDescent="0.25">
      <c r="A36939" s="118"/>
      <c r="B36939" s="136"/>
    </row>
    <row r="36940" spans="1:2" x14ac:dyDescent="0.25">
      <c r="A36940" s="118"/>
      <c r="B36940" s="136"/>
    </row>
    <row r="36941" spans="1:2" x14ac:dyDescent="0.25">
      <c r="A36941" s="118"/>
      <c r="B36941" s="136"/>
    </row>
    <row r="36942" spans="1:2" x14ac:dyDescent="0.25">
      <c r="A36942" s="118"/>
      <c r="B36942" s="136"/>
    </row>
    <row r="36943" spans="1:2" x14ac:dyDescent="0.25">
      <c r="A36943" s="118"/>
      <c r="B36943" s="136"/>
    </row>
    <row r="36944" spans="1:2" x14ac:dyDescent="0.25">
      <c r="A36944" s="118"/>
      <c r="B36944" s="136"/>
    </row>
    <row r="36945" spans="1:2" x14ac:dyDescent="0.25">
      <c r="A36945" s="118"/>
      <c r="B36945" s="136"/>
    </row>
    <row r="36946" spans="1:2" x14ac:dyDescent="0.25">
      <c r="A36946" s="118"/>
      <c r="B36946" s="136"/>
    </row>
    <row r="36947" spans="1:2" x14ac:dyDescent="0.25">
      <c r="A36947" s="118"/>
      <c r="B36947" s="136"/>
    </row>
    <row r="36948" spans="1:2" x14ac:dyDescent="0.25">
      <c r="A36948" s="118"/>
      <c r="B36948" s="136"/>
    </row>
    <row r="36949" spans="1:2" x14ac:dyDescent="0.25">
      <c r="A36949" s="118"/>
      <c r="B36949" s="136"/>
    </row>
    <row r="36950" spans="1:2" x14ac:dyDescent="0.25">
      <c r="A36950" s="118"/>
      <c r="B36950" s="136"/>
    </row>
    <row r="36951" spans="1:2" x14ac:dyDescent="0.25">
      <c r="A36951" s="118"/>
      <c r="B36951" s="136"/>
    </row>
    <row r="36952" spans="1:2" x14ac:dyDescent="0.25">
      <c r="A36952" s="118"/>
      <c r="B36952" s="136"/>
    </row>
    <row r="36953" spans="1:2" x14ac:dyDescent="0.25">
      <c r="A36953" s="118"/>
      <c r="B36953" s="136"/>
    </row>
    <row r="36954" spans="1:2" x14ac:dyDescent="0.25">
      <c r="A36954" s="118"/>
      <c r="B36954" s="136"/>
    </row>
    <row r="36955" spans="1:2" x14ac:dyDescent="0.25">
      <c r="A36955" s="118"/>
      <c r="B36955" s="136"/>
    </row>
    <row r="36956" spans="1:2" x14ac:dyDescent="0.25">
      <c r="A36956" s="118"/>
      <c r="B36956" s="136"/>
    </row>
    <row r="36957" spans="1:2" x14ac:dyDescent="0.25">
      <c r="A36957" s="118"/>
      <c r="B36957" s="136"/>
    </row>
    <row r="36958" spans="1:2" x14ac:dyDescent="0.25">
      <c r="A36958" s="118"/>
      <c r="B36958" s="136"/>
    </row>
    <row r="36959" spans="1:2" x14ac:dyDescent="0.25">
      <c r="A36959" s="118"/>
      <c r="B36959" s="136"/>
    </row>
    <row r="36960" spans="1:2" x14ac:dyDescent="0.25">
      <c r="A36960" s="118"/>
      <c r="B36960" s="136"/>
    </row>
    <row r="36961" spans="1:2" x14ac:dyDescent="0.25">
      <c r="A36961" s="118"/>
      <c r="B36961" s="136"/>
    </row>
    <row r="36962" spans="1:2" x14ac:dyDescent="0.25">
      <c r="A36962" s="118"/>
      <c r="B36962" s="136"/>
    </row>
    <row r="36963" spans="1:2" x14ac:dyDescent="0.25">
      <c r="A36963" s="118"/>
      <c r="B36963" s="136"/>
    </row>
    <row r="36964" spans="1:2" x14ac:dyDescent="0.25">
      <c r="A36964" s="118"/>
      <c r="B36964" s="136"/>
    </row>
    <row r="36965" spans="1:2" x14ac:dyDescent="0.25">
      <c r="A36965" s="118"/>
      <c r="B36965" s="136"/>
    </row>
    <row r="36966" spans="1:2" x14ac:dyDescent="0.25">
      <c r="A36966" s="118"/>
      <c r="B36966" s="136"/>
    </row>
    <row r="36967" spans="1:2" x14ac:dyDescent="0.25">
      <c r="A36967" s="118"/>
      <c r="B36967" s="136"/>
    </row>
    <row r="36968" spans="1:2" x14ac:dyDescent="0.25">
      <c r="A36968" s="118"/>
      <c r="B36968" s="136"/>
    </row>
    <row r="36969" spans="1:2" x14ac:dyDescent="0.25">
      <c r="A36969" s="118"/>
      <c r="B36969" s="136"/>
    </row>
    <row r="36970" spans="1:2" x14ac:dyDescent="0.25">
      <c r="A36970" s="118"/>
      <c r="B36970" s="136"/>
    </row>
    <row r="36971" spans="1:2" x14ac:dyDescent="0.25">
      <c r="A36971" s="118"/>
      <c r="B36971" s="136"/>
    </row>
    <row r="36972" spans="1:2" x14ac:dyDescent="0.25">
      <c r="A36972" s="118"/>
      <c r="B36972" s="136"/>
    </row>
    <row r="36973" spans="1:2" x14ac:dyDescent="0.25">
      <c r="A36973" s="118"/>
      <c r="B36973" s="136"/>
    </row>
    <row r="36974" spans="1:2" x14ac:dyDescent="0.25">
      <c r="A36974" s="118"/>
      <c r="B36974" s="136"/>
    </row>
    <row r="36975" spans="1:2" x14ac:dyDescent="0.25">
      <c r="A36975" s="118"/>
      <c r="B36975" s="136"/>
    </row>
    <row r="36976" spans="1:2" x14ac:dyDescent="0.25">
      <c r="A36976" s="118"/>
      <c r="B36976" s="136"/>
    </row>
    <row r="36977" spans="1:2" x14ac:dyDescent="0.25">
      <c r="A36977" s="118"/>
      <c r="B36977" s="136"/>
    </row>
    <row r="36978" spans="1:2" x14ac:dyDescent="0.25">
      <c r="A36978" s="118"/>
      <c r="B36978" s="136"/>
    </row>
    <row r="36979" spans="1:2" x14ac:dyDescent="0.25">
      <c r="A36979" s="118"/>
      <c r="B36979" s="136"/>
    </row>
    <row r="36980" spans="1:2" x14ac:dyDescent="0.25">
      <c r="A36980" s="118"/>
      <c r="B36980" s="136"/>
    </row>
    <row r="36981" spans="1:2" x14ac:dyDescent="0.25">
      <c r="A36981" s="118"/>
      <c r="B36981" s="136"/>
    </row>
    <row r="36982" spans="1:2" x14ac:dyDescent="0.25">
      <c r="A36982" s="118"/>
      <c r="B36982" s="136"/>
    </row>
    <row r="36983" spans="1:2" x14ac:dyDescent="0.25">
      <c r="A36983" s="118"/>
      <c r="B36983" s="136"/>
    </row>
    <row r="36984" spans="1:2" x14ac:dyDescent="0.25">
      <c r="A36984" s="118"/>
      <c r="B36984" s="136"/>
    </row>
    <row r="36985" spans="1:2" x14ac:dyDescent="0.25">
      <c r="A36985" s="118"/>
      <c r="B36985" s="136"/>
    </row>
    <row r="36986" spans="1:2" x14ac:dyDescent="0.25">
      <c r="A36986" s="118"/>
      <c r="B36986" s="136"/>
    </row>
    <row r="36987" spans="1:2" x14ac:dyDescent="0.25">
      <c r="A36987" s="118"/>
      <c r="B36987" s="136"/>
    </row>
    <row r="36988" spans="1:2" x14ac:dyDescent="0.25">
      <c r="A36988" s="118"/>
      <c r="B36988" s="136"/>
    </row>
    <row r="36989" spans="1:2" x14ac:dyDescent="0.25">
      <c r="A36989" s="118"/>
      <c r="B36989" s="136"/>
    </row>
    <row r="36990" spans="1:2" x14ac:dyDescent="0.25">
      <c r="A36990" s="118"/>
      <c r="B36990" s="136"/>
    </row>
    <row r="36991" spans="1:2" x14ac:dyDescent="0.25">
      <c r="A36991" s="118"/>
      <c r="B36991" s="136"/>
    </row>
    <row r="36992" spans="1:2" x14ac:dyDescent="0.25">
      <c r="A36992" s="118"/>
      <c r="B36992" s="136"/>
    </row>
    <row r="36993" spans="1:2" x14ac:dyDescent="0.25">
      <c r="A36993" s="118"/>
      <c r="B36993" s="136"/>
    </row>
    <row r="36994" spans="1:2" x14ac:dyDescent="0.25">
      <c r="A36994" s="118"/>
      <c r="B36994" s="136"/>
    </row>
    <row r="36995" spans="1:2" x14ac:dyDescent="0.25">
      <c r="A36995" s="118"/>
      <c r="B36995" s="136"/>
    </row>
    <row r="36996" spans="1:2" x14ac:dyDescent="0.25">
      <c r="A36996" s="118"/>
      <c r="B36996" s="136"/>
    </row>
    <row r="36997" spans="1:2" x14ac:dyDescent="0.25">
      <c r="A36997" s="118"/>
      <c r="B36997" s="136"/>
    </row>
    <row r="36998" spans="1:2" x14ac:dyDescent="0.25">
      <c r="A36998" s="118"/>
      <c r="B36998" s="136"/>
    </row>
    <row r="36999" spans="1:2" x14ac:dyDescent="0.25">
      <c r="A36999" s="118"/>
      <c r="B36999" s="136"/>
    </row>
    <row r="37000" spans="1:2" x14ac:dyDescent="0.25">
      <c r="A37000" s="118"/>
      <c r="B37000" s="136"/>
    </row>
    <row r="37001" spans="1:2" x14ac:dyDescent="0.25">
      <c r="A37001" s="118"/>
      <c r="B37001" s="136"/>
    </row>
    <row r="37002" spans="1:2" x14ac:dyDescent="0.25">
      <c r="A37002" s="118"/>
      <c r="B37002" s="136"/>
    </row>
    <row r="37003" spans="1:2" x14ac:dyDescent="0.25">
      <c r="A37003" s="118"/>
      <c r="B37003" s="136"/>
    </row>
    <row r="37004" spans="1:2" x14ac:dyDescent="0.25">
      <c r="A37004" s="118"/>
      <c r="B37004" s="136"/>
    </row>
    <row r="37005" spans="1:2" x14ac:dyDescent="0.25">
      <c r="A37005" s="118"/>
      <c r="B37005" s="136"/>
    </row>
    <row r="37006" spans="1:2" x14ac:dyDescent="0.25">
      <c r="A37006" s="118"/>
      <c r="B37006" s="136"/>
    </row>
    <row r="37007" spans="1:2" x14ac:dyDescent="0.25">
      <c r="A37007" s="118"/>
      <c r="B37007" s="136"/>
    </row>
    <row r="37008" spans="1:2" x14ac:dyDescent="0.25">
      <c r="A37008" s="118"/>
      <c r="B37008" s="136"/>
    </row>
    <row r="37009" spans="1:2" x14ac:dyDescent="0.25">
      <c r="A37009" s="118"/>
      <c r="B37009" s="136"/>
    </row>
    <row r="37010" spans="1:2" x14ac:dyDescent="0.25">
      <c r="A37010" s="118"/>
      <c r="B37010" s="136"/>
    </row>
    <row r="37011" spans="1:2" x14ac:dyDescent="0.25">
      <c r="A37011" s="118"/>
      <c r="B37011" s="136"/>
    </row>
    <row r="37012" spans="1:2" x14ac:dyDescent="0.25">
      <c r="A37012" s="118"/>
      <c r="B37012" s="136"/>
    </row>
    <row r="37013" spans="1:2" x14ac:dyDescent="0.25">
      <c r="A37013" s="118"/>
      <c r="B37013" s="136"/>
    </row>
    <row r="37014" spans="1:2" x14ac:dyDescent="0.25">
      <c r="A37014" s="118"/>
      <c r="B37014" s="136"/>
    </row>
    <row r="37015" spans="1:2" x14ac:dyDescent="0.25">
      <c r="A37015" s="118"/>
      <c r="B37015" s="136"/>
    </row>
    <row r="37016" spans="1:2" x14ac:dyDescent="0.25">
      <c r="A37016" s="118"/>
      <c r="B37016" s="136"/>
    </row>
    <row r="37017" spans="1:2" x14ac:dyDescent="0.25">
      <c r="A37017" s="118"/>
      <c r="B37017" s="136"/>
    </row>
    <row r="37018" spans="1:2" x14ac:dyDescent="0.25">
      <c r="A37018" s="118"/>
      <c r="B37018" s="136"/>
    </row>
    <row r="37019" spans="1:2" x14ac:dyDescent="0.25">
      <c r="A37019" s="118"/>
      <c r="B37019" s="136"/>
    </row>
    <row r="37020" spans="1:2" x14ac:dyDescent="0.25">
      <c r="A37020" s="118"/>
      <c r="B37020" s="136"/>
    </row>
    <row r="37021" spans="1:2" x14ac:dyDescent="0.25">
      <c r="A37021" s="118"/>
      <c r="B37021" s="136"/>
    </row>
    <row r="37022" spans="1:2" x14ac:dyDescent="0.25">
      <c r="A37022" s="118"/>
      <c r="B37022" s="136"/>
    </row>
    <row r="37023" spans="1:2" x14ac:dyDescent="0.25">
      <c r="A37023" s="118"/>
      <c r="B37023" s="136"/>
    </row>
    <row r="37024" spans="1:2" x14ac:dyDescent="0.25">
      <c r="A37024" s="118"/>
      <c r="B37024" s="136"/>
    </row>
    <row r="37025" spans="1:2" x14ac:dyDescent="0.25">
      <c r="A37025" s="118"/>
      <c r="B37025" s="136"/>
    </row>
    <row r="37026" spans="1:2" x14ac:dyDescent="0.25">
      <c r="A37026" s="118"/>
      <c r="B37026" s="136"/>
    </row>
    <row r="37027" spans="1:2" x14ac:dyDescent="0.25">
      <c r="A37027" s="118"/>
      <c r="B37027" s="136"/>
    </row>
    <row r="37028" spans="1:2" x14ac:dyDescent="0.25">
      <c r="A37028" s="118"/>
      <c r="B37028" s="136"/>
    </row>
    <row r="37029" spans="1:2" x14ac:dyDescent="0.25">
      <c r="A37029" s="118"/>
      <c r="B37029" s="136"/>
    </row>
    <row r="37030" spans="1:2" x14ac:dyDescent="0.25">
      <c r="A37030" s="118"/>
      <c r="B37030" s="136"/>
    </row>
    <row r="37031" spans="1:2" x14ac:dyDescent="0.25">
      <c r="A37031" s="118"/>
      <c r="B37031" s="136"/>
    </row>
    <row r="37032" spans="1:2" x14ac:dyDescent="0.25">
      <c r="A37032" s="118"/>
      <c r="B37032" s="136"/>
    </row>
    <row r="37033" spans="1:2" x14ac:dyDescent="0.25">
      <c r="A37033" s="118"/>
      <c r="B37033" s="136"/>
    </row>
    <row r="37034" spans="1:2" x14ac:dyDescent="0.25">
      <c r="A37034" s="118"/>
      <c r="B37034" s="136"/>
    </row>
    <row r="37035" spans="1:2" x14ac:dyDescent="0.25">
      <c r="A37035" s="118"/>
      <c r="B37035" s="136"/>
    </row>
    <row r="37036" spans="1:2" x14ac:dyDescent="0.25">
      <c r="A37036" s="118"/>
      <c r="B37036" s="136"/>
    </row>
    <row r="37037" spans="1:2" x14ac:dyDescent="0.25">
      <c r="A37037" s="118"/>
      <c r="B37037" s="136"/>
    </row>
    <row r="37038" spans="1:2" x14ac:dyDescent="0.25">
      <c r="A37038" s="118"/>
      <c r="B37038" s="136"/>
    </row>
    <row r="37039" spans="1:2" x14ac:dyDescent="0.25">
      <c r="A37039" s="118"/>
      <c r="B37039" s="136"/>
    </row>
    <row r="37040" spans="1:2" x14ac:dyDescent="0.25">
      <c r="A37040" s="118"/>
      <c r="B37040" s="136"/>
    </row>
    <row r="37041" spans="1:2" x14ac:dyDescent="0.25">
      <c r="A37041" s="118"/>
      <c r="B37041" s="136"/>
    </row>
    <row r="37042" spans="1:2" x14ac:dyDescent="0.25">
      <c r="A37042" s="118"/>
      <c r="B37042" s="136"/>
    </row>
    <row r="37043" spans="1:2" x14ac:dyDescent="0.25">
      <c r="A37043" s="118"/>
      <c r="B37043" s="136"/>
    </row>
    <row r="37044" spans="1:2" x14ac:dyDescent="0.25">
      <c r="A37044" s="118"/>
      <c r="B37044" s="136"/>
    </row>
    <row r="37045" spans="1:2" x14ac:dyDescent="0.25">
      <c r="A37045" s="118"/>
      <c r="B37045" s="136"/>
    </row>
    <row r="37046" spans="1:2" x14ac:dyDescent="0.25">
      <c r="A37046" s="118"/>
      <c r="B37046" s="136"/>
    </row>
    <row r="37047" spans="1:2" x14ac:dyDescent="0.25">
      <c r="A37047" s="118"/>
      <c r="B37047" s="136"/>
    </row>
    <row r="37048" spans="1:2" x14ac:dyDescent="0.25">
      <c r="A37048" s="118"/>
      <c r="B37048" s="136"/>
    </row>
    <row r="37049" spans="1:2" x14ac:dyDescent="0.25">
      <c r="A37049" s="118"/>
      <c r="B37049" s="136"/>
    </row>
    <row r="37050" spans="1:2" x14ac:dyDescent="0.25">
      <c r="A37050" s="118"/>
      <c r="B37050" s="136"/>
    </row>
    <row r="37051" spans="1:2" x14ac:dyDescent="0.25">
      <c r="A37051" s="118"/>
      <c r="B37051" s="136"/>
    </row>
    <row r="37052" spans="1:2" x14ac:dyDescent="0.25">
      <c r="A37052" s="118"/>
      <c r="B37052" s="136"/>
    </row>
    <row r="37053" spans="1:2" x14ac:dyDescent="0.25">
      <c r="A37053" s="118"/>
      <c r="B37053" s="136"/>
    </row>
    <row r="37054" spans="1:2" x14ac:dyDescent="0.25">
      <c r="A37054" s="118"/>
      <c r="B37054" s="136"/>
    </row>
    <row r="37055" spans="1:2" x14ac:dyDescent="0.25">
      <c r="A37055" s="118"/>
      <c r="B37055" s="136"/>
    </row>
    <row r="37056" spans="1:2" x14ac:dyDescent="0.25">
      <c r="A37056" s="118"/>
      <c r="B37056" s="136"/>
    </row>
    <row r="37057" spans="1:2" x14ac:dyDescent="0.25">
      <c r="A37057" s="118"/>
      <c r="B37057" s="136"/>
    </row>
    <row r="37058" spans="1:2" x14ac:dyDescent="0.25">
      <c r="A37058" s="118"/>
      <c r="B37058" s="136"/>
    </row>
    <row r="37059" spans="1:2" x14ac:dyDescent="0.25">
      <c r="A37059" s="118"/>
      <c r="B37059" s="136"/>
    </row>
    <row r="37060" spans="1:2" x14ac:dyDescent="0.25">
      <c r="A37060" s="118"/>
      <c r="B37060" s="136"/>
    </row>
    <row r="37061" spans="1:2" x14ac:dyDescent="0.25">
      <c r="A37061" s="118"/>
      <c r="B37061" s="136"/>
    </row>
    <row r="37062" spans="1:2" x14ac:dyDescent="0.25">
      <c r="A37062" s="118"/>
      <c r="B37062" s="136"/>
    </row>
    <row r="37063" spans="1:2" x14ac:dyDescent="0.25">
      <c r="A37063" s="118"/>
      <c r="B37063" s="136"/>
    </row>
    <row r="37064" spans="1:2" x14ac:dyDescent="0.25">
      <c r="A37064" s="118"/>
      <c r="B37064" s="136"/>
    </row>
    <row r="37065" spans="1:2" x14ac:dyDescent="0.25">
      <c r="A37065" s="118"/>
      <c r="B37065" s="136"/>
    </row>
    <row r="37066" spans="1:2" x14ac:dyDescent="0.25">
      <c r="A37066" s="118"/>
      <c r="B37066" s="136"/>
    </row>
    <row r="37067" spans="1:2" x14ac:dyDescent="0.25">
      <c r="A37067" s="118"/>
      <c r="B37067" s="136"/>
    </row>
    <row r="37068" spans="1:2" x14ac:dyDescent="0.25">
      <c r="A37068" s="118"/>
      <c r="B37068" s="136"/>
    </row>
    <row r="37069" spans="1:2" x14ac:dyDescent="0.25">
      <c r="A37069" s="118"/>
      <c r="B37069" s="136"/>
    </row>
    <row r="37070" spans="1:2" x14ac:dyDescent="0.25">
      <c r="A37070" s="118"/>
      <c r="B37070" s="136"/>
    </row>
    <row r="37071" spans="1:2" x14ac:dyDescent="0.25">
      <c r="A37071" s="118"/>
      <c r="B37071" s="136"/>
    </row>
    <row r="37072" spans="1:2" x14ac:dyDescent="0.25">
      <c r="A37072" s="118"/>
      <c r="B37072" s="136"/>
    </row>
    <row r="37073" spans="1:2" x14ac:dyDescent="0.25">
      <c r="A37073" s="118"/>
      <c r="B37073" s="136"/>
    </row>
    <row r="37074" spans="1:2" x14ac:dyDescent="0.25">
      <c r="A37074" s="118"/>
      <c r="B37074" s="136"/>
    </row>
    <row r="37075" spans="1:2" x14ac:dyDescent="0.25">
      <c r="A37075" s="118"/>
      <c r="B37075" s="136"/>
    </row>
    <row r="37076" spans="1:2" x14ac:dyDescent="0.25">
      <c r="A37076" s="118"/>
      <c r="B37076" s="136"/>
    </row>
    <row r="37077" spans="1:2" x14ac:dyDescent="0.25">
      <c r="A37077" s="118"/>
      <c r="B37077" s="136"/>
    </row>
    <row r="37078" spans="1:2" x14ac:dyDescent="0.25">
      <c r="A37078" s="118"/>
      <c r="B37078" s="136"/>
    </row>
    <row r="37079" spans="1:2" x14ac:dyDescent="0.25">
      <c r="A37079" s="118"/>
      <c r="B37079" s="136"/>
    </row>
    <row r="37080" spans="1:2" x14ac:dyDescent="0.25">
      <c r="A37080" s="118"/>
      <c r="B37080" s="136"/>
    </row>
    <row r="37081" spans="1:2" x14ac:dyDescent="0.25">
      <c r="A37081" s="118"/>
      <c r="B37081" s="136"/>
    </row>
    <row r="37082" spans="1:2" x14ac:dyDescent="0.25">
      <c r="A37082" s="118"/>
      <c r="B37082" s="136"/>
    </row>
    <row r="37083" spans="1:2" x14ac:dyDescent="0.25">
      <c r="A37083" s="118"/>
      <c r="B37083" s="136"/>
    </row>
    <row r="37084" spans="1:2" x14ac:dyDescent="0.25">
      <c r="A37084" s="118"/>
      <c r="B37084" s="136"/>
    </row>
    <row r="37085" spans="1:2" x14ac:dyDescent="0.25">
      <c r="A37085" s="118"/>
      <c r="B37085" s="136"/>
    </row>
    <row r="37086" spans="1:2" x14ac:dyDescent="0.25">
      <c r="A37086" s="118"/>
      <c r="B37086" s="136"/>
    </row>
    <row r="37087" spans="1:2" x14ac:dyDescent="0.25">
      <c r="A37087" s="118"/>
      <c r="B37087" s="136"/>
    </row>
    <row r="37088" spans="1:2" x14ac:dyDescent="0.25">
      <c r="A37088" s="118"/>
      <c r="B37088" s="136"/>
    </row>
    <row r="37089" spans="1:2" x14ac:dyDescent="0.25">
      <c r="A37089" s="118"/>
      <c r="B37089" s="136"/>
    </row>
    <row r="37090" spans="1:2" x14ac:dyDescent="0.25">
      <c r="A37090" s="118"/>
      <c r="B37090" s="136"/>
    </row>
    <row r="37091" spans="1:2" x14ac:dyDescent="0.25">
      <c r="A37091" s="118"/>
      <c r="B37091" s="136"/>
    </row>
    <row r="37092" spans="1:2" x14ac:dyDescent="0.25">
      <c r="A37092" s="118"/>
      <c r="B37092" s="136"/>
    </row>
    <row r="37093" spans="1:2" x14ac:dyDescent="0.25">
      <c r="A37093" s="118"/>
      <c r="B37093" s="136"/>
    </row>
    <row r="37094" spans="1:2" x14ac:dyDescent="0.25">
      <c r="A37094" s="118"/>
      <c r="B37094" s="136"/>
    </row>
    <row r="37095" spans="1:2" x14ac:dyDescent="0.25">
      <c r="A37095" s="118"/>
      <c r="B37095" s="136"/>
    </row>
    <row r="37096" spans="1:2" x14ac:dyDescent="0.25">
      <c r="A37096" s="118"/>
      <c r="B37096" s="136"/>
    </row>
    <row r="37097" spans="1:2" x14ac:dyDescent="0.25">
      <c r="A37097" s="118"/>
      <c r="B37097" s="136"/>
    </row>
    <row r="37098" spans="1:2" x14ac:dyDescent="0.25">
      <c r="A37098" s="118"/>
      <c r="B37098" s="136"/>
    </row>
    <row r="37099" spans="1:2" x14ac:dyDescent="0.25">
      <c r="A37099" s="118"/>
      <c r="B37099" s="136"/>
    </row>
    <row r="37100" spans="1:2" x14ac:dyDescent="0.25">
      <c r="A37100" s="118"/>
      <c r="B37100" s="136"/>
    </row>
    <row r="37101" spans="1:2" x14ac:dyDescent="0.25">
      <c r="A37101" s="118"/>
      <c r="B37101" s="136"/>
    </row>
    <row r="37102" spans="1:2" x14ac:dyDescent="0.25">
      <c r="A37102" s="118"/>
      <c r="B37102" s="136"/>
    </row>
    <row r="37103" spans="1:2" x14ac:dyDescent="0.25">
      <c r="A37103" s="118"/>
      <c r="B37103" s="136"/>
    </row>
    <row r="37104" spans="1:2" x14ac:dyDescent="0.25">
      <c r="A37104" s="118"/>
      <c r="B37104" s="136"/>
    </row>
    <row r="37105" spans="1:2" x14ac:dyDescent="0.25">
      <c r="A37105" s="118"/>
      <c r="B37105" s="136"/>
    </row>
    <row r="37106" spans="1:2" x14ac:dyDescent="0.25">
      <c r="A37106" s="118"/>
      <c r="B37106" s="136"/>
    </row>
    <row r="37107" spans="1:2" x14ac:dyDescent="0.25">
      <c r="A37107" s="118"/>
      <c r="B37107" s="136"/>
    </row>
    <row r="37108" spans="1:2" x14ac:dyDescent="0.25">
      <c r="A37108" s="118"/>
      <c r="B37108" s="136"/>
    </row>
    <row r="37109" spans="1:2" x14ac:dyDescent="0.25">
      <c r="A37109" s="118"/>
      <c r="B37109" s="136"/>
    </row>
    <row r="37110" spans="1:2" x14ac:dyDescent="0.25">
      <c r="A37110" s="118"/>
      <c r="B37110" s="136"/>
    </row>
    <row r="37111" spans="1:2" x14ac:dyDescent="0.25">
      <c r="A37111" s="118"/>
      <c r="B37111" s="136"/>
    </row>
    <row r="37112" spans="1:2" x14ac:dyDescent="0.25">
      <c r="A37112" s="118"/>
      <c r="B37112" s="136"/>
    </row>
    <row r="37113" spans="1:2" x14ac:dyDescent="0.25">
      <c r="A37113" s="118"/>
      <c r="B37113" s="136"/>
    </row>
    <row r="37114" spans="1:2" x14ac:dyDescent="0.25">
      <c r="A37114" s="118"/>
      <c r="B37114" s="136"/>
    </row>
    <row r="37115" spans="1:2" x14ac:dyDescent="0.25">
      <c r="A37115" s="118"/>
      <c r="B37115" s="136"/>
    </row>
    <row r="37116" spans="1:2" x14ac:dyDescent="0.25">
      <c r="A37116" s="118"/>
      <c r="B37116" s="136"/>
    </row>
    <row r="37117" spans="1:2" x14ac:dyDescent="0.25">
      <c r="A37117" s="118"/>
      <c r="B37117" s="136"/>
    </row>
    <row r="37118" spans="1:2" x14ac:dyDescent="0.25">
      <c r="A37118" s="118"/>
      <c r="B37118" s="136"/>
    </row>
    <row r="37119" spans="1:2" x14ac:dyDescent="0.25">
      <c r="A37119" s="118"/>
      <c r="B37119" s="136"/>
    </row>
    <row r="37120" spans="1:2" x14ac:dyDescent="0.25">
      <c r="A37120" s="118"/>
      <c r="B37120" s="136"/>
    </row>
    <row r="37121" spans="1:2" x14ac:dyDescent="0.25">
      <c r="A37121" s="118"/>
      <c r="B37121" s="136"/>
    </row>
    <row r="37122" spans="1:2" x14ac:dyDescent="0.25">
      <c r="A37122" s="118"/>
      <c r="B37122" s="136"/>
    </row>
    <row r="37123" spans="1:2" x14ac:dyDescent="0.25">
      <c r="A37123" s="118"/>
      <c r="B37123" s="136"/>
    </row>
    <row r="37124" spans="1:2" x14ac:dyDescent="0.25">
      <c r="A37124" s="118"/>
      <c r="B37124" s="136"/>
    </row>
    <row r="37125" spans="1:2" x14ac:dyDescent="0.25">
      <c r="A37125" s="118"/>
      <c r="B37125" s="136"/>
    </row>
    <row r="37126" spans="1:2" x14ac:dyDescent="0.25">
      <c r="A37126" s="118"/>
      <c r="B37126" s="136"/>
    </row>
    <row r="37127" spans="1:2" x14ac:dyDescent="0.25">
      <c r="A37127" s="118"/>
      <c r="B37127" s="136"/>
    </row>
    <row r="37128" spans="1:2" x14ac:dyDescent="0.25">
      <c r="A37128" s="118"/>
      <c r="B37128" s="136"/>
    </row>
    <row r="37129" spans="1:2" x14ac:dyDescent="0.25">
      <c r="A37129" s="118"/>
      <c r="B37129" s="136"/>
    </row>
    <row r="37130" spans="1:2" x14ac:dyDescent="0.25">
      <c r="A37130" s="118"/>
      <c r="B37130" s="136"/>
    </row>
    <row r="37131" spans="1:2" x14ac:dyDescent="0.25">
      <c r="A37131" s="118"/>
      <c r="B37131" s="136"/>
    </row>
    <row r="37132" spans="1:2" x14ac:dyDescent="0.25">
      <c r="A37132" s="118"/>
      <c r="B37132" s="136"/>
    </row>
    <row r="37133" spans="1:2" x14ac:dyDescent="0.25">
      <c r="A37133" s="118"/>
      <c r="B37133" s="136"/>
    </row>
    <row r="37134" spans="1:2" x14ac:dyDescent="0.25">
      <c r="A37134" s="118"/>
      <c r="B37134" s="136"/>
    </row>
    <row r="37135" spans="1:2" x14ac:dyDescent="0.25">
      <c r="A37135" s="118"/>
      <c r="B37135" s="136"/>
    </row>
    <row r="37136" spans="1:2" x14ac:dyDescent="0.25">
      <c r="A37136" s="118"/>
      <c r="B37136" s="136"/>
    </row>
    <row r="37137" spans="1:2" x14ac:dyDescent="0.25">
      <c r="A37137" s="118"/>
      <c r="B37137" s="136"/>
    </row>
    <row r="37138" spans="1:2" x14ac:dyDescent="0.25">
      <c r="A37138" s="118"/>
      <c r="B37138" s="136"/>
    </row>
    <row r="37139" spans="1:2" x14ac:dyDescent="0.25">
      <c r="A37139" s="118"/>
      <c r="B37139" s="136"/>
    </row>
    <row r="37140" spans="1:2" x14ac:dyDescent="0.25">
      <c r="A37140" s="118"/>
      <c r="B37140" s="136"/>
    </row>
    <row r="37141" spans="1:2" x14ac:dyDescent="0.25">
      <c r="A37141" s="118"/>
      <c r="B37141" s="136"/>
    </row>
    <row r="37142" spans="1:2" x14ac:dyDescent="0.25">
      <c r="A37142" s="118"/>
      <c r="B37142" s="136"/>
    </row>
    <row r="37143" spans="1:2" x14ac:dyDescent="0.25">
      <c r="A37143" s="118"/>
      <c r="B37143" s="136"/>
    </row>
    <row r="37144" spans="1:2" x14ac:dyDescent="0.25">
      <c r="A37144" s="118"/>
      <c r="B37144" s="136"/>
    </row>
    <row r="37145" spans="1:2" x14ac:dyDescent="0.25">
      <c r="A37145" s="118"/>
      <c r="B37145" s="136"/>
    </row>
    <row r="37146" spans="1:2" x14ac:dyDescent="0.25">
      <c r="A37146" s="118"/>
      <c r="B37146" s="136"/>
    </row>
    <row r="37147" spans="1:2" x14ac:dyDescent="0.25">
      <c r="A37147" s="118"/>
      <c r="B37147" s="136"/>
    </row>
    <row r="37148" spans="1:2" x14ac:dyDescent="0.25">
      <c r="A37148" s="118"/>
      <c r="B37148" s="136"/>
    </row>
    <row r="37149" spans="1:2" x14ac:dyDescent="0.25">
      <c r="A37149" s="118"/>
      <c r="B37149" s="136"/>
    </row>
    <row r="37150" spans="1:2" x14ac:dyDescent="0.25">
      <c r="A37150" s="118"/>
      <c r="B37150" s="136"/>
    </row>
    <row r="37151" spans="1:2" x14ac:dyDescent="0.25">
      <c r="A37151" s="118"/>
      <c r="B37151" s="136"/>
    </row>
    <row r="37152" spans="1:2" x14ac:dyDescent="0.25">
      <c r="A37152" s="118"/>
      <c r="B37152" s="136"/>
    </row>
    <row r="37153" spans="1:2" x14ac:dyDescent="0.25">
      <c r="A37153" s="118"/>
      <c r="B37153" s="136"/>
    </row>
    <row r="37154" spans="1:2" x14ac:dyDescent="0.25">
      <c r="A37154" s="118"/>
      <c r="B37154" s="136"/>
    </row>
    <row r="37155" spans="1:2" x14ac:dyDescent="0.25">
      <c r="A37155" s="118"/>
      <c r="B37155" s="136"/>
    </row>
    <row r="37156" spans="1:2" x14ac:dyDescent="0.25">
      <c r="A37156" s="118"/>
      <c r="B37156" s="136"/>
    </row>
    <row r="37157" spans="1:2" x14ac:dyDescent="0.25">
      <c r="A37157" s="118"/>
      <c r="B37157" s="136"/>
    </row>
    <row r="37158" spans="1:2" x14ac:dyDescent="0.25">
      <c r="A37158" s="118"/>
      <c r="B37158" s="136"/>
    </row>
    <row r="37159" spans="1:2" x14ac:dyDescent="0.25">
      <c r="A37159" s="118"/>
      <c r="B37159" s="136"/>
    </row>
    <row r="37160" spans="1:2" x14ac:dyDescent="0.25">
      <c r="A37160" s="118"/>
      <c r="B37160" s="136"/>
    </row>
    <row r="37161" spans="1:2" x14ac:dyDescent="0.25">
      <c r="A37161" s="118"/>
      <c r="B37161" s="136"/>
    </row>
    <row r="37162" spans="1:2" x14ac:dyDescent="0.25">
      <c r="A37162" s="118"/>
      <c r="B37162" s="136"/>
    </row>
    <row r="37163" spans="1:2" x14ac:dyDescent="0.25">
      <c r="A37163" s="118"/>
      <c r="B37163" s="136"/>
    </row>
    <row r="37164" spans="1:2" x14ac:dyDescent="0.25">
      <c r="A37164" s="118"/>
      <c r="B37164" s="136"/>
    </row>
    <row r="37165" spans="1:2" x14ac:dyDescent="0.25">
      <c r="A37165" s="118"/>
      <c r="B37165" s="136"/>
    </row>
    <row r="37166" spans="1:2" x14ac:dyDescent="0.25">
      <c r="A37166" s="118"/>
      <c r="B37166" s="136"/>
    </row>
    <row r="37167" spans="1:2" x14ac:dyDescent="0.25">
      <c r="A37167" s="118"/>
      <c r="B37167" s="136"/>
    </row>
    <row r="37168" spans="1:2" x14ac:dyDescent="0.25">
      <c r="A37168" s="118"/>
      <c r="B37168" s="136"/>
    </row>
    <row r="37169" spans="1:2" x14ac:dyDescent="0.25">
      <c r="A37169" s="118"/>
      <c r="B37169" s="136"/>
    </row>
    <row r="37170" spans="1:2" x14ac:dyDescent="0.25">
      <c r="A37170" s="118"/>
      <c r="B37170" s="136"/>
    </row>
    <row r="37171" spans="1:2" x14ac:dyDescent="0.25">
      <c r="A37171" s="118"/>
      <c r="B37171" s="136"/>
    </row>
    <row r="37172" spans="1:2" x14ac:dyDescent="0.25">
      <c r="A37172" s="118"/>
      <c r="B37172" s="136"/>
    </row>
    <row r="37173" spans="1:2" x14ac:dyDescent="0.25">
      <c r="A37173" s="118"/>
      <c r="B37173" s="136"/>
    </row>
    <row r="37174" spans="1:2" x14ac:dyDescent="0.25">
      <c r="A37174" s="118"/>
      <c r="B37174" s="136"/>
    </row>
    <row r="37175" spans="1:2" x14ac:dyDescent="0.25">
      <c r="A37175" s="118"/>
      <c r="B37175" s="136"/>
    </row>
    <row r="37176" spans="1:2" x14ac:dyDescent="0.25">
      <c r="A37176" s="118"/>
      <c r="B37176" s="136"/>
    </row>
    <row r="37177" spans="1:2" x14ac:dyDescent="0.25">
      <c r="A37177" s="118"/>
      <c r="B37177" s="136"/>
    </row>
    <row r="37178" spans="1:2" x14ac:dyDescent="0.25">
      <c r="A37178" s="118"/>
      <c r="B37178" s="136"/>
    </row>
    <row r="37179" spans="1:2" x14ac:dyDescent="0.25">
      <c r="A37179" s="118"/>
      <c r="B37179" s="136"/>
    </row>
    <row r="37180" spans="1:2" x14ac:dyDescent="0.25">
      <c r="A37180" s="118"/>
      <c r="B37180" s="136"/>
    </row>
    <row r="37181" spans="1:2" x14ac:dyDescent="0.25">
      <c r="A37181" s="118"/>
      <c r="B37181" s="136"/>
    </row>
    <row r="37182" spans="1:2" x14ac:dyDescent="0.25">
      <c r="A37182" s="118"/>
      <c r="B37182" s="136"/>
    </row>
    <row r="37183" spans="1:2" x14ac:dyDescent="0.25">
      <c r="A37183" s="118"/>
      <c r="B37183" s="136"/>
    </row>
    <row r="37184" spans="1:2" x14ac:dyDescent="0.25">
      <c r="A37184" s="118"/>
      <c r="B37184" s="136"/>
    </row>
    <row r="37185" spans="1:2" x14ac:dyDescent="0.25">
      <c r="A37185" s="118"/>
      <c r="B37185" s="136"/>
    </row>
    <row r="37186" spans="1:2" x14ac:dyDescent="0.25">
      <c r="A37186" s="118"/>
      <c r="B37186" s="136"/>
    </row>
    <row r="37187" spans="1:2" x14ac:dyDescent="0.25">
      <c r="A37187" s="118"/>
      <c r="B37187" s="136"/>
    </row>
    <row r="37188" spans="1:2" x14ac:dyDescent="0.25">
      <c r="A37188" s="118"/>
      <c r="B37188" s="136"/>
    </row>
    <row r="37189" spans="1:2" x14ac:dyDescent="0.25">
      <c r="A37189" s="118"/>
      <c r="B37189" s="136"/>
    </row>
    <row r="37190" spans="1:2" x14ac:dyDescent="0.25">
      <c r="A37190" s="118"/>
      <c r="B37190" s="136"/>
    </row>
    <row r="37191" spans="1:2" x14ac:dyDescent="0.25">
      <c r="A37191" s="118"/>
      <c r="B37191" s="136"/>
    </row>
    <row r="37192" spans="1:2" x14ac:dyDescent="0.25">
      <c r="A37192" s="118"/>
      <c r="B37192" s="136"/>
    </row>
    <row r="37193" spans="1:2" x14ac:dyDescent="0.25">
      <c r="A37193" s="118"/>
      <c r="B37193" s="136"/>
    </row>
    <row r="37194" spans="1:2" x14ac:dyDescent="0.25">
      <c r="A37194" s="118"/>
      <c r="B37194" s="136"/>
    </row>
    <row r="37195" spans="1:2" x14ac:dyDescent="0.25">
      <c r="A37195" s="118"/>
      <c r="B37195" s="136"/>
    </row>
    <row r="37196" spans="1:2" x14ac:dyDescent="0.25">
      <c r="A37196" s="118"/>
      <c r="B37196" s="136"/>
    </row>
    <row r="37197" spans="1:2" x14ac:dyDescent="0.25">
      <c r="A37197" s="118"/>
      <c r="B37197" s="136"/>
    </row>
    <row r="37198" spans="1:2" x14ac:dyDescent="0.25">
      <c r="A37198" s="118"/>
      <c r="B37198" s="136"/>
    </row>
    <row r="37199" spans="1:2" x14ac:dyDescent="0.25">
      <c r="A37199" s="118"/>
      <c r="B37199" s="136"/>
    </row>
    <row r="37200" spans="1:2" x14ac:dyDescent="0.25">
      <c r="A37200" s="118"/>
      <c r="B37200" s="136"/>
    </row>
    <row r="37201" spans="1:2" x14ac:dyDescent="0.25">
      <c r="A37201" s="118"/>
      <c r="B37201" s="136"/>
    </row>
    <row r="37202" spans="1:2" x14ac:dyDescent="0.25">
      <c r="A37202" s="118"/>
      <c r="B37202" s="136"/>
    </row>
    <row r="37203" spans="1:2" x14ac:dyDescent="0.25">
      <c r="A37203" s="118"/>
      <c r="B37203" s="136"/>
    </row>
    <row r="37204" spans="1:2" x14ac:dyDescent="0.25">
      <c r="A37204" s="118"/>
      <c r="B37204" s="136"/>
    </row>
    <row r="37205" spans="1:2" x14ac:dyDescent="0.25">
      <c r="A37205" s="118"/>
      <c r="B37205" s="136"/>
    </row>
    <row r="37206" spans="1:2" x14ac:dyDescent="0.25">
      <c r="A37206" s="118"/>
      <c r="B37206" s="136"/>
    </row>
    <row r="37207" spans="1:2" x14ac:dyDescent="0.25">
      <c r="A37207" s="118"/>
      <c r="B37207" s="136"/>
    </row>
    <row r="37208" spans="1:2" x14ac:dyDescent="0.25">
      <c r="A37208" s="118"/>
      <c r="B37208" s="136"/>
    </row>
    <row r="37209" spans="1:2" x14ac:dyDescent="0.25">
      <c r="A37209" s="118"/>
      <c r="B37209" s="136"/>
    </row>
    <row r="37210" spans="1:2" x14ac:dyDescent="0.25">
      <c r="A37210" s="118"/>
      <c r="B37210" s="136"/>
    </row>
    <row r="37211" spans="1:2" x14ac:dyDescent="0.25">
      <c r="A37211" s="118"/>
      <c r="B37211" s="136"/>
    </row>
    <row r="37212" spans="1:2" x14ac:dyDescent="0.25">
      <c r="A37212" s="118"/>
      <c r="B37212" s="136"/>
    </row>
    <row r="37213" spans="1:2" x14ac:dyDescent="0.25">
      <c r="A37213" s="118"/>
      <c r="B37213" s="136"/>
    </row>
    <row r="37214" spans="1:2" x14ac:dyDescent="0.25">
      <c r="A37214" s="118"/>
      <c r="B37214" s="136"/>
    </row>
    <row r="37215" spans="1:2" x14ac:dyDescent="0.25">
      <c r="A37215" s="118"/>
      <c r="B37215" s="136"/>
    </row>
    <row r="37216" spans="1:2" x14ac:dyDescent="0.25">
      <c r="A37216" s="118"/>
      <c r="B37216" s="136"/>
    </row>
    <row r="37217" spans="1:2" x14ac:dyDescent="0.25">
      <c r="A37217" s="118"/>
      <c r="B37217" s="136"/>
    </row>
    <row r="37218" spans="1:2" x14ac:dyDescent="0.25">
      <c r="A37218" s="118"/>
      <c r="B37218" s="136"/>
    </row>
    <row r="37219" spans="1:2" x14ac:dyDescent="0.25">
      <c r="A37219" s="118"/>
      <c r="B37219" s="136"/>
    </row>
    <row r="37220" spans="1:2" x14ac:dyDescent="0.25">
      <c r="A37220" s="118"/>
      <c r="B37220" s="136"/>
    </row>
    <row r="37221" spans="1:2" x14ac:dyDescent="0.25">
      <c r="A37221" s="118"/>
      <c r="B37221" s="136"/>
    </row>
    <row r="37222" spans="1:2" x14ac:dyDescent="0.25">
      <c r="A37222" s="118"/>
      <c r="B37222" s="136"/>
    </row>
    <row r="37223" spans="1:2" x14ac:dyDescent="0.25">
      <c r="A37223" s="118"/>
      <c r="B37223" s="136"/>
    </row>
    <row r="37224" spans="1:2" x14ac:dyDescent="0.25">
      <c r="A37224" s="118"/>
      <c r="B37224" s="136"/>
    </row>
    <row r="37225" spans="1:2" x14ac:dyDescent="0.25">
      <c r="A37225" s="118"/>
      <c r="B37225" s="136"/>
    </row>
    <row r="37226" spans="1:2" x14ac:dyDescent="0.25">
      <c r="A37226" s="118"/>
      <c r="B37226" s="136"/>
    </row>
    <row r="37227" spans="1:2" x14ac:dyDescent="0.25">
      <c r="A37227" s="118"/>
      <c r="B37227" s="136"/>
    </row>
    <row r="37228" spans="1:2" x14ac:dyDescent="0.25">
      <c r="A37228" s="118"/>
      <c r="B37228" s="136"/>
    </row>
    <row r="37229" spans="1:2" x14ac:dyDescent="0.25">
      <c r="A37229" s="118"/>
      <c r="B37229" s="136"/>
    </row>
    <row r="37230" spans="1:2" x14ac:dyDescent="0.25">
      <c r="A37230" s="118"/>
      <c r="B37230" s="136"/>
    </row>
    <row r="37231" spans="1:2" x14ac:dyDescent="0.25">
      <c r="A37231" s="118"/>
      <c r="B37231" s="136"/>
    </row>
    <row r="37232" spans="1:2" x14ac:dyDescent="0.25">
      <c r="A37232" s="118"/>
      <c r="B37232" s="136"/>
    </row>
    <row r="37233" spans="1:2" x14ac:dyDescent="0.25">
      <c r="A37233" s="118"/>
      <c r="B37233" s="136"/>
    </row>
    <row r="37234" spans="1:2" x14ac:dyDescent="0.25">
      <c r="A37234" s="118"/>
      <c r="B37234" s="136"/>
    </row>
    <row r="37235" spans="1:2" x14ac:dyDescent="0.25">
      <c r="A37235" s="118"/>
      <c r="B37235" s="136"/>
    </row>
    <row r="37236" spans="1:2" x14ac:dyDescent="0.25">
      <c r="A37236" s="118"/>
      <c r="B37236" s="136"/>
    </row>
    <row r="37237" spans="1:2" x14ac:dyDescent="0.25">
      <c r="A37237" s="118"/>
      <c r="B37237" s="136"/>
    </row>
    <row r="37238" spans="1:2" x14ac:dyDescent="0.25">
      <c r="A37238" s="118"/>
      <c r="B37238" s="136"/>
    </row>
    <row r="37239" spans="1:2" x14ac:dyDescent="0.25">
      <c r="A37239" s="118"/>
      <c r="B37239" s="136"/>
    </row>
    <row r="37240" spans="1:2" x14ac:dyDescent="0.25">
      <c r="A37240" s="118"/>
      <c r="B37240" s="136"/>
    </row>
    <row r="37241" spans="1:2" x14ac:dyDescent="0.25">
      <c r="A37241" s="118"/>
      <c r="B37241" s="136"/>
    </row>
    <row r="37242" spans="1:2" x14ac:dyDescent="0.25">
      <c r="A37242" s="118"/>
      <c r="B37242" s="136"/>
    </row>
    <row r="37243" spans="1:2" x14ac:dyDescent="0.25">
      <c r="A37243" s="118"/>
      <c r="B37243" s="136"/>
    </row>
    <row r="37244" spans="1:2" x14ac:dyDescent="0.25">
      <c r="A37244" s="118"/>
      <c r="B37244" s="136"/>
    </row>
    <row r="37245" spans="1:2" x14ac:dyDescent="0.25">
      <c r="A37245" s="118"/>
      <c r="B37245" s="136"/>
    </row>
    <row r="37246" spans="1:2" x14ac:dyDescent="0.25">
      <c r="A37246" s="118"/>
      <c r="B37246" s="136"/>
    </row>
    <row r="37247" spans="1:2" x14ac:dyDescent="0.25">
      <c r="A37247" s="118"/>
      <c r="B37247" s="136"/>
    </row>
    <row r="37248" spans="1:2" x14ac:dyDescent="0.25">
      <c r="A37248" s="118"/>
      <c r="B37248" s="136"/>
    </row>
    <row r="37249" spans="1:2" x14ac:dyDescent="0.25">
      <c r="A37249" s="118"/>
      <c r="B37249" s="136"/>
    </row>
    <row r="37250" spans="1:2" x14ac:dyDescent="0.25">
      <c r="A37250" s="118"/>
      <c r="B37250" s="136"/>
    </row>
    <row r="37251" spans="1:2" x14ac:dyDescent="0.25">
      <c r="A37251" s="118"/>
      <c r="B37251" s="136"/>
    </row>
    <row r="37252" spans="1:2" x14ac:dyDescent="0.25">
      <c r="A37252" s="118"/>
      <c r="B37252" s="136"/>
    </row>
    <row r="37253" spans="1:2" x14ac:dyDescent="0.25">
      <c r="A37253" s="118"/>
      <c r="B37253" s="136"/>
    </row>
    <row r="37254" spans="1:2" x14ac:dyDescent="0.25">
      <c r="A37254" s="118"/>
      <c r="B37254" s="136"/>
    </row>
    <row r="37255" spans="1:2" x14ac:dyDescent="0.25">
      <c r="A37255" s="118"/>
      <c r="B37255" s="136"/>
    </row>
    <row r="37256" spans="1:2" x14ac:dyDescent="0.25">
      <c r="A37256" s="118"/>
      <c r="B37256" s="136"/>
    </row>
    <row r="37257" spans="1:2" x14ac:dyDescent="0.25">
      <c r="A37257" s="118"/>
      <c r="B37257" s="136"/>
    </row>
    <row r="37258" spans="1:2" x14ac:dyDescent="0.25">
      <c r="A37258" s="118"/>
      <c r="B37258" s="136"/>
    </row>
    <row r="37259" spans="1:2" x14ac:dyDescent="0.25">
      <c r="A37259" s="118"/>
      <c r="B37259" s="136"/>
    </row>
    <row r="37260" spans="1:2" x14ac:dyDescent="0.25">
      <c r="A37260" s="118"/>
      <c r="B37260" s="136"/>
    </row>
    <row r="37261" spans="1:2" x14ac:dyDescent="0.25">
      <c r="A37261" s="118"/>
      <c r="B37261" s="136"/>
    </row>
    <row r="37262" spans="1:2" x14ac:dyDescent="0.25">
      <c r="A37262" s="118"/>
      <c r="B37262" s="136"/>
    </row>
    <row r="37263" spans="1:2" x14ac:dyDescent="0.25">
      <c r="A37263" s="118"/>
      <c r="B37263" s="136"/>
    </row>
    <row r="37264" spans="1:2" x14ac:dyDescent="0.25">
      <c r="A37264" s="118"/>
      <c r="B37264" s="136"/>
    </row>
    <row r="37265" spans="1:2" x14ac:dyDescent="0.25">
      <c r="A37265" s="118"/>
      <c r="B37265" s="136"/>
    </row>
    <row r="37266" spans="1:2" x14ac:dyDescent="0.25">
      <c r="A37266" s="118"/>
      <c r="B37266" s="136"/>
    </row>
    <row r="37267" spans="1:2" x14ac:dyDescent="0.25">
      <c r="A37267" s="118"/>
      <c r="B37267" s="136"/>
    </row>
    <row r="37268" spans="1:2" x14ac:dyDescent="0.25">
      <c r="A37268" s="118"/>
      <c r="B37268" s="136"/>
    </row>
    <row r="37269" spans="1:2" x14ac:dyDescent="0.25">
      <c r="A37269" s="118"/>
      <c r="B37269" s="136"/>
    </row>
    <row r="37270" spans="1:2" x14ac:dyDescent="0.25">
      <c r="A37270" s="118"/>
      <c r="B37270" s="136"/>
    </row>
    <row r="37271" spans="1:2" x14ac:dyDescent="0.25">
      <c r="A37271" s="118"/>
      <c r="B37271" s="136"/>
    </row>
    <row r="37272" spans="1:2" x14ac:dyDescent="0.25">
      <c r="A37272" s="118"/>
      <c r="B37272" s="136"/>
    </row>
    <row r="37273" spans="1:2" x14ac:dyDescent="0.25">
      <c r="A37273" s="118"/>
      <c r="B37273" s="136"/>
    </row>
    <row r="37274" spans="1:2" x14ac:dyDescent="0.25">
      <c r="A37274" s="118"/>
      <c r="B37274" s="136"/>
    </row>
    <row r="37275" spans="1:2" x14ac:dyDescent="0.25">
      <c r="A37275" s="118"/>
      <c r="B37275" s="136"/>
    </row>
    <row r="37276" spans="1:2" x14ac:dyDescent="0.25">
      <c r="A37276" s="118"/>
      <c r="B37276" s="136"/>
    </row>
    <row r="37277" spans="1:2" x14ac:dyDescent="0.25">
      <c r="A37277" s="118"/>
      <c r="B37277" s="136"/>
    </row>
    <row r="37278" spans="1:2" x14ac:dyDescent="0.25">
      <c r="A37278" s="118"/>
      <c r="B37278" s="136"/>
    </row>
    <row r="37279" spans="1:2" x14ac:dyDescent="0.25">
      <c r="A37279" s="118"/>
      <c r="B37279" s="136"/>
    </row>
    <row r="37280" spans="1:2" x14ac:dyDescent="0.25">
      <c r="A37280" s="118"/>
      <c r="B37280" s="136"/>
    </row>
    <row r="37281" spans="1:2" x14ac:dyDescent="0.25">
      <c r="A37281" s="118"/>
      <c r="B37281" s="136"/>
    </row>
    <row r="37282" spans="1:2" x14ac:dyDescent="0.25">
      <c r="A37282" s="118"/>
      <c r="B37282" s="136"/>
    </row>
    <row r="37283" spans="1:2" x14ac:dyDescent="0.25">
      <c r="A37283" s="118"/>
      <c r="B37283" s="136"/>
    </row>
    <row r="37284" spans="1:2" x14ac:dyDescent="0.25">
      <c r="A37284" s="118"/>
      <c r="B37284" s="136"/>
    </row>
    <row r="37285" spans="1:2" x14ac:dyDescent="0.25">
      <c r="A37285" s="118"/>
      <c r="B37285" s="136"/>
    </row>
    <row r="37286" spans="1:2" x14ac:dyDescent="0.25">
      <c r="A37286" s="118"/>
      <c r="B37286" s="136"/>
    </row>
    <row r="37287" spans="1:2" x14ac:dyDescent="0.25">
      <c r="A37287" s="118"/>
      <c r="B37287" s="136"/>
    </row>
    <row r="37288" spans="1:2" x14ac:dyDescent="0.25">
      <c r="A37288" s="118"/>
      <c r="B37288" s="136"/>
    </row>
    <row r="37289" spans="1:2" x14ac:dyDescent="0.25">
      <c r="A37289" s="118"/>
      <c r="B37289" s="136"/>
    </row>
    <row r="37290" spans="1:2" x14ac:dyDescent="0.25">
      <c r="A37290" s="118"/>
      <c r="B37290" s="136"/>
    </row>
    <row r="37291" spans="1:2" x14ac:dyDescent="0.25">
      <c r="A37291" s="118"/>
      <c r="B37291" s="136"/>
    </row>
    <row r="37292" spans="1:2" x14ac:dyDescent="0.25">
      <c r="A37292" s="118"/>
      <c r="B37292" s="136"/>
    </row>
    <row r="37293" spans="1:2" x14ac:dyDescent="0.25">
      <c r="A37293" s="118"/>
      <c r="B37293" s="136"/>
    </row>
    <row r="37294" spans="1:2" x14ac:dyDescent="0.25">
      <c r="A37294" s="118"/>
      <c r="B37294" s="136"/>
    </row>
    <row r="37295" spans="1:2" x14ac:dyDescent="0.25">
      <c r="A37295" s="118"/>
      <c r="B37295" s="136"/>
    </row>
    <row r="37296" spans="1:2" x14ac:dyDescent="0.25">
      <c r="A37296" s="118"/>
      <c r="B37296" s="136"/>
    </row>
    <row r="37297" spans="1:2" x14ac:dyDescent="0.25">
      <c r="A37297" s="118"/>
      <c r="B37297" s="136"/>
    </row>
    <row r="37298" spans="1:2" x14ac:dyDescent="0.25">
      <c r="A37298" s="118"/>
      <c r="B37298" s="136"/>
    </row>
    <row r="37299" spans="1:2" x14ac:dyDescent="0.25">
      <c r="A37299" s="118"/>
      <c r="B37299" s="136"/>
    </row>
    <row r="37300" spans="1:2" x14ac:dyDescent="0.25">
      <c r="A37300" s="118"/>
      <c r="B37300" s="136"/>
    </row>
    <row r="37301" spans="1:2" x14ac:dyDescent="0.25">
      <c r="A37301" s="118"/>
      <c r="B37301" s="136"/>
    </row>
    <row r="37302" spans="1:2" x14ac:dyDescent="0.25">
      <c r="A37302" s="118"/>
      <c r="B37302" s="136"/>
    </row>
    <row r="37303" spans="1:2" x14ac:dyDescent="0.25">
      <c r="A37303" s="118"/>
      <c r="B37303" s="136"/>
    </row>
    <row r="37304" spans="1:2" x14ac:dyDescent="0.25">
      <c r="A37304" s="118"/>
      <c r="B37304" s="136"/>
    </row>
    <row r="37305" spans="1:2" x14ac:dyDescent="0.25">
      <c r="A37305" s="118"/>
      <c r="B37305" s="136"/>
    </row>
    <row r="37306" spans="1:2" x14ac:dyDescent="0.25">
      <c r="A37306" s="118"/>
      <c r="B37306" s="136"/>
    </row>
    <row r="37307" spans="1:2" x14ac:dyDescent="0.25">
      <c r="A37307" s="118"/>
      <c r="B37307" s="136"/>
    </row>
    <row r="37308" spans="1:2" x14ac:dyDescent="0.25">
      <c r="A37308" s="118"/>
      <c r="B37308" s="136"/>
    </row>
    <row r="37309" spans="1:2" x14ac:dyDescent="0.25">
      <c r="A37309" s="118"/>
      <c r="B37309" s="136"/>
    </row>
    <row r="37310" spans="1:2" x14ac:dyDescent="0.25">
      <c r="A37310" s="118"/>
      <c r="B37310" s="136"/>
    </row>
    <row r="37311" spans="1:2" x14ac:dyDescent="0.25">
      <c r="A37311" s="118"/>
      <c r="B37311" s="136"/>
    </row>
    <row r="37312" spans="1:2" x14ac:dyDescent="0.25">
      <c r="A37312" s="118"/>
      <c r="B37312" s="136"/>
    </row>
    <row r="37313" spans="1:2" x14ac:dyDescent="0.25">
      <c r="A37313" s="118"/>
      <c r="B37313" s="136"/>
    </row>
    <row r="37314" spans="1:2" x14ac:dyDescent="0.25">
      <c r="A37314" s="118"/>
      <c r="B37314" s="136"/>
    </row>
    <row r="37315" spans="1:2" x14ac:dyDescent="0.25">
      <c r="A37315" s="118"/>
      <c r="B37315" s="136"/>
    </row>
    <row r="37316" spans="1:2" x14ac:dyDescent="0.25">
      <c r="A37316" s="118"/>
      <c r="B37316" s="136"/>
    </row>
    <row r="37317" spans="1:2" x14ac:dyDescent="0.25">
      <c r="A37317" s="118"/>
      <c r="B37317" s="136"/>
    </row>
    <row r="37318" spans="1:2" x14ac:dyDescent="0.25">
      <c r="A37318" s="118"/>
      <c r="B37318" s="136"/>
    </row>
    <row r="37319" spans="1:2" x14ac:dyDescent="0.25">
      <c r="A37319" s="118"/>
      <c r="B37319" s="136"/>
    </row>
    <row r="37320" spans="1:2" x14ac:dyDescent="0.25">
      <c r="A37320" s="118"/>
      <c r="B37320" s="136"/>
    </row>
    <row r="37321" spans="1:2" x14ac:dyDescent="0.25">
      <c r="A37321" s="118"/>
      <c r="B37321" s="136"/>
    </row>
    <row r="37322" spans="1:2" x14ac:dyDescent="0.25">
      <c r="A37322" s="118"/>
      <c r="B37322" s="136"/>
    </row>
    <row r="37323" spans="1:2" x14ac:dyDescent="0.25">
      <c r="A37323" s="118"/>
      <c r="B37323" s="136"/>
    </row>
    <row r="37324" spans="1:2" x14ac:dyDescent="0.25">
      <c r="A37324" s="118"/>
      <c r="B37324" s="136"/>
    </row>
    <row r="37325" spans="1:2" x14ac:dyDescent="0.25">
      <c r="A37325" s="118"/>
      <c r="B37325" s="136"/>
    </row>
    <row r="37326" spans="1:2" x14ac:dyDescent="0.25">
      <c r="A37326" s="118"/>
      <c r="B37326" s="136"/>
    </row>
    <row r="37327" spans="1:2" x14ac:dyDescent="0.25">
      <c r="A37327" s="118"/>
      <c r="B37327" s="136"/>
    </row>
    <row r="37328" spans="1:2" x14ac:dyDescent="0.25">
      <c r="A37328" s="118"/>
      <c r="B37328" s="136"/>
    </row>
    <row r="37329" spans="1:2" x14ac:dyDescent="0.25">
      <c r="A37329" s="118"/>
      <c r="B37329" s="136"/>
    </row>
    <row r="37330" spans="1:2" x14ac:dyDescent="0.25">
      <c r="A37330" s="118"/>
      <c r="B37330" s="136"/>
    </row>
    <row r="37331" spans="1:2" x14ac:dyDescent="0.25">
      <c r="A37331" s="118"/>
      <c r="B37331" s="136"/>
    </row>
    <row r="37332" spans="1:2" x14ac:dyDescent="0.25">
      <c r="A37332" s="118"/>
      <c r="B37332" s="136"/>
    </row>
    <row r="37333" spans="1:2" x14ac:dyDescent="0.25">
      <c r="A37333" s="118"/>
      <c r="B37333" s="136"/>
    </row>
    <row r="37334" spans="1:2" x14ac:dyDescent="0.25">
      <c r="A37334" s="118"/>
      <c r="B37334" s="136"/>
    </row>
    <row r="37335" spans="1:2" x14ac:dyDescent="0.25">
      <c r="A37335" s="118"/>
      <c r="B37335" s="136"/>
    </row>
    <row r="37336" spans="1:2" x14ac:dyDescent="0.25">
      <c r="A37336" s="118"/>
      <c r="B37336" s="136"/>
    </row>
    <row r="37337" spans="1:2" x14ac:dyDescent="0.25">
      <c r="A37337" s="118"/>
      <c r="B37337" s="136"/>
    </row>
    <row r="37338" spans="1:2" x14ac:dyDescent="0.25">
      <c r="A37338" s="118"/>
      <c r="B37338" s="136"/>
    </row>
    <row r="37339" spans="1:2" x14ac:dyDescent="0.25">
      <c r="A37339" s="118"/>
      <c r="B37339" s="136"/>
    </row>
    <row r="37340" spans="1:2" x14ac:dyDescent="0.25">
      <c r="A37340" s="118"/>
      <c r="B37340" s="136"/>
    </row>
    <row r="37341" spans="1:2" x14ac:dyDescent="0.25">
      <c r="A37341" s="118"/>
      <c r="B37341" s="136"/>
    </row>
    <row r="37342" spans="1:2" x14ac:dyDescent="0.25">
      <c r="A37342" s="118"/>
      <c r="B37342" s="136"/>
    </row>
    <row r="37343" spans="1:2" x14ac:dyDescent="0.25">
      <c r="A37343" s="118"/>
      <c r="B37343" s="136"/>
    </row>
    <row r="37344" spans="1:2" x14ac:dyDescent="0.25">
      <c r="A37344" s="118"/>
      <c r="B37344" s="136"/>
    </row>
    <row r="37345" spans="1:2" x14ac:dyDescent="0.25">
      <c r="A37345" s="118"/>
      <c r="B37345" s="136"/>
    </row>
    <row r="37346" spans="1:2" x14ac:dyDescent="0.25">
      <c r="A37346" s="118"/>
      <c r="B37346" s="136"/>
    </row>
    <row r="37347" spans="1:2" x14ac:dyDescent="0.25">
      <c r="A37347" s="118"/>
      <c r="B37347" s="136"/>
    </row>
    <row r="37348" spans="1:2" x14ac:dyDescent="0.25">
      <c r="A37348" s="118"/>
      <c r="B37348" s="136"/>
    </row>
    <row r="37349" spans="1:2" x14ac:dyDescent="0.25">
      <c r="A37349" s="118"/>
      <c r="B37349" s="136"/>
    </row>
    <row r="37350" spans="1:2" x14ac:dyDescent="0.25">
      <c r="A37350" s="118"/>
      <c r="B37350" s="136"/>
    </row>
    <row r="37351" spans="1:2" x14ac:dyDescent="0.25">
      <c r="A37351" s="118"/>
      <c r="B37351" s="136"/>
    </row>
    <row r="37352" spans="1:2" x14ac:dyDescent="0.25">
      <c r="A37352" s="118"/>
      <c r="B37352" s="136"/>
    </row>
    <row r="37353" spans="1:2" x14ac:dyDescent="0.25">
      <c r="A37353" s="118"/>
      <c r="B37353" s="136"/>
    </row>
    <row r="37354" spans="1:2" x14ac:dyDescent="0.25">
      <c r="A37354" s="118"/>
      <c r="B37354" s="136"/>
    </row>
    <row r="37355" spans="1:2" x14ac:dyDescent="0.25">
      <c r="A37355" s="118"/>
      <c r="B37355" s="136"/>
    </row>
    <row r="37356" spans="1:2" x14ac:dyDescent="0.25">
      <c r="A37356" s="118"/>
      <c r="B37356" s="136"/>
    </row>
    <row r="37357" spans="1:2" x14ac:dyDescent="0.25">
      <c r="A37357" s="118"/>
      <c r="B37357" s="136"/>
    </row>
    <row r="37358" spans="1:2" x14ac:dyDescent="0.25">
      <c r="A37358" s="118"/>
      <c r="B37358" s="136"/>
    </row>
    <row r="37359" spans="1:2" x14ac:dyDescent="0.25">
      <c r="A37359" s="118"/>
      <c r="B37359" s="136"/>
    </row>
    <row r="37360" spans="1:2" x14ac:dyDescent="0.25">
      <c r="A37360" s="118"/>
      <c r="B37360" s="136"/>
    </row>
    <row r="37361" spans="1:2" x14ac:dyDescent="0.25">
      <c r="A37361" s="118"/>
      <c r="B37361" s="136"/>
    </row>
    <row r="37362" spans="1:2" x14ac:dyDescent="0.25">
      <c r="A37362" s="118"/>
      <c r="B37362" s="136"/>
    </row>
    <row r="37363" spans="1:2" x14ac:dyDescent="0.25">
      <c r="A37363" s="118"/>
      <c r="B37363" s="136"/>
    </row>
    <row r="37364" spans="1:2" x14ac:dyDescent="0.25">
      <c r="A37364" s="118"/>
      <c r="B37364" s="136"/>
    </row>
    <row r="37365" spans="1:2" x14ac:dyDescent="0.25">
      <c r="A37365" s="118"/>
      <c r="B37365" s="136"/>
    </row>
    <row r="37366" spans="1:2" x14ac:dyDescent="0.25">
      <c r="A37366" s="118"/>
      <c r="B37366" s="136"/>
    </row>
    <row r="37367" spans="1:2" x14ac:dyDescent="0.25">
      <c r="A37367" s="118"/>
      <c r="B37367" s="136"/>
    </row>
    <row r="37368" spans="1:2" x14ac:dyDescent="0.25">
      <c r="A37368" s="118"/>
      <c r="B37368" s="136"/>
    </row>
    <row r="37369" spans="1:2" x14ac:dyDescent="0.25">
      <c r="A37369" s="118"/>
      <c r="B37369" s="136"/>
    </row>
    <row r="37370" spans="1:2" x14ac:dyDescent="0.25">
      <c r="A37370" s="118"/>
      <c r="B37370" s="136"/>
    </row>
    <row r="37371" spans="1:2" x14ac:dyDescent="0.25">
      <c r="A37371" s="118"/>
      <c r="B37371" s="136"/>
    </row>
    <row r="37372" spans="1:2" x14ac:dyDescent="0.25">
      <c r="A37372" s="118"/>
      <c r="B37372" s="136"/>
    </row>
    <row r="37373" spans="1:2" x14ac:dyDescent="0.25">
      <c r="A37373" s="118"/>
      <c r="B37373" s="136"/>
    </row>
    <row r="37374" spans="1:2" x14ac:dyDescent="0.25">
      <c r="A37374" s="118"/>
      <c r="B37374" s="136"/>
    </row>
    <row r="37375" spans="1:2" x14ac:dyDescent="0.25">
      <c r="A37375" s="118"/>
      <c r="B37375" s="136"/>
    </row>
    <row r="37376" spans="1:2" x14ac:dyDescent="0.25">
      <c r="A37376" s="118"/>
      <c r="B37376" s="136"/>
    </row>
    <row r="37377" spans="1:2" x14ac:dyDescent="0.25">
      <c r="A37377" s="118"/>
      <c r="B37377" s="136"/>
    </row>
    <row r="37378" spans="1:2" x14ac:dyDescent="0.25">
      <c r="A37378" s="118"/>
      <c r="B37378" s="136"/>
    </row>
    <row r="37379" spans="1:2" x14ac:dyDescent="0.25">
      <c r="A37379" s="118"/>
      <c r="B37379" s="136"/>
    </row>
    <row r="37380" spans="1:2" x14ac:dyDescent="0.25">
      <c r="A37380" s="118"/>
      <c r="B37380" s="136"/>
    </row>
    <row r="37381" spans="1:2" x14ac:dyDescent="0.25">
      <c r="A37381" s="118"/>
      <c r="B37381" s="136"/>
    </row>
    <row r="37382" spans="1:2" x14ac:dyDescent="0.25">
      <c r="A37382" s="118"/>
      <c r="B37382" s="136"/>
    </row>
    <row r="37383" spans="1:2" x14ac:dyDescent="0.25">
      <c r="A37383" s="118"/>
      <c r="B37383" s="136"/>
    </row>
    <row r="37384" spans="1:2" x14ac:dyDescent="0.25">
      <c r="A37384" s="118"/>
      <c r="B37384" s="136"/>
    </row>
    <row r="37385" spans="1:2" x14ac:dyDescent="0.25">
      <c r="A37385" s="118"/>
      <c r="B37385" s="136"/>
    </row>
    <row r="37386" spans="1:2" x14ac:dyDescent="0.25">
      <c r="A37386" s="118"/>
      <c r="B37386" s="136"/>
    </row>
    <row r="37387" spans="1:2" x14ac:dyDescent="0.25">
      <c r="A37387" s="118"/>
      <c r="B37387" s="136"/>
    </row>
    <row r="37388" spans="1:2" x14ac:dyDescent="0.25">
      <c r="A37388" s="118"/>
      <c r="B37388" s="136"/>
    </row>
    <row r="37389" spans="1:2" x14ac:dyDescent="0.25">
      <c r="A37389" s="118"/>
      <c r="B37389" s="136"/>
    </row>
    <row r="37390" spans="1:2" x14ac:dyDescent="0.25">
      <c r="A37390" s="118"/>
      <c r="B37390" s="136"/>
    </row>
    <row r="37391" spans="1:2" x14ac:dyDescent="0.25">
      <c r="A37391" s="118"/>
      <c r="B37391" s="136"/>
    </row>
    <row r="37392" spans="1:2" x14ac:dyDescent="0.25">
      <c r="A37392" s="118"/>
      <c r="B37392" s="136"/>
    </row>
    <row r="37393" spans="1:2" x14ac:dyDescent="0.25">
      <c r="A37393" s="118"/>
      <c r="B37393" s="136"/>
    </row>
    <row r="37394" spans="1:2" x14ac:dyDescent="0.25">
      <c r="A37394" s="118"/>
      <c r="B37394" s="136"/>
    </row>
    <row r="37395" spans="1:2" x14ac:dyDescent="0.25">
      <c r="A37395" s="118"/>
      <c r="B37395" s="136"/>
    </row>
    <row r="37396" spans="1:2" x14ac:dyDescent="0.25">
      <c r="A37396" s="118"/>
      <c r="B37396" s="136"/>
    </row>
    <row r="37397" spans="1:2" x14ac:dyDescent="0.25">
      <c r="A37397" s="118"/>
      <c r="B37397" s="136"/>
    </row>
    <row r="37398" spans="1:2" x14ac:dyDescent="0.25">
      <c r="A37398" s="118"/>
      <c r="B37398" s="136"/>
    </row>
    <row r="37399" spans="1:2" x14ac:dyDescent="0.25">
      <c r="A37399" s="118"/>
      <c r="B37399" s="136"/>
    </row>
    <row r="37400" spans="1:2" x14ac:dyDescent="0.25">
      <c r="A37400" s="118"/>
      <c r="B37400" s="136"/>
    </row>
    <row r="37401" spans="1:2" x14ac:dyDescent="0.25">
      <c r="A37401" s="118"/>
      <c r="B37401" s="136"/>
    </row>
    <row r="37402" spans="1:2" x14ac:dyDescent="0.25">
      <c r="A37402" s="118"/>
      <c r="B37402" s="136"/>
    </row>
    <row r="37403" spans="1:2" x14ac:dyDescent="0.25">
      <c r="A37403" s="118"/>
      <c r="B37403" s="136"/>
    </row>
    <row r="37404" spans="1:2" x14ac:dyDescent="0.25">
      <c r="A37404" s="118"/>
      <c r="B37404" s="136"/>
    </row>
    <row r="37405" spans="1:2" x14ac:dyDescent="0.25">
      <c r="A37405" s="118"/>
      <c r="B37405" s="136"/>
    </row>
    <row r="37406" spans="1:2" x14ac:dyDescent="0.25">
      <c r="A37406" s="118"/>
      <c r="B37406" s="136"/>
    </row>
    <row r="37407" spans="1:2" x14ac:dyDescent="0.25">
      <c r="A37407" s="118"/>
      <c r="B37407" s="136"/>
    </row>
    <row r="37408" spans="1:2" x14ac:dyDescent="0.25">
      <c r="A37408" s="118"/>
      <c r="B37408" s="136"/>
    </row>
    <row r="37409" spans="1:2" x14ac:dyDescent="0.25">
      <c r="A37409" s="118"/>
      <c r="B37409" s="136"/>
    </row>
    <row r="37410" spans="1:2" x14ac:dyDescent="0.25">
      <c r="A37410" s="118"/>
      <c r="B37410" s="136"/>
    </row>
    <row r="37411" spans="1:2" x14ac:dyDescent="0.25">
      <c r="A37411" s="118"/>
      <c r="B37411" s="136"/>
    </row>
    <row r="37412" spans="1:2" x14ac:dyDescent="0.25">
      <c r="A37412" s="118"/>
      <c r="B37412" s="136"/>
    </row>
    <row r="37413" spans="1:2" x14ac:dyDescent="0.25">
      <c r="A37413" s="118"/>
      <c r="B37413" s="136"/>
    </row>
    <row r="37414" spans="1:2" x14ac:dyDescent="0.25">
      <c r="A37414" s="118"/>
      <c r="B37414" s="136"/>
    </row>
    <row r="37415" spans="1:2" x14ac:dyDescent="0.25">
      <c r="A37415" s="118"/>
      <c r="B37415" s="136"/>
    </row>
    <row r="37416" spans="1:2" x14ac:dyDescent="0.25">
      <c r="A37416" s="118"/>
      <c r="B37416" s="136"/>
    </row>
    <row r="37417" spans="1:2" x14ac:dyDescent="0.25">
      <c r="A37417" s="118"/>
      <c r="B37417" s="136"/>
    </row>
    <row r="37418" spans="1:2" x14ac:dyDescent="0.25">
      <c r="A37418" s="118"/>
      <c r="B37418" s="136"/>
    </row>
    <row r="37419" spans="1:2" x14ac:dyDescent="0.25">
      <c r="A37419" s="118"/>
      <c r="B37419" s="136"/>
    </row>
    <row r="37420" spans="1:2" x14ac:dyDescent="0.25">
      <c r="A37420" s="118"/>
      <c r="B37420" s="136"/>
    </row>
    <row r="37421" spans="1:2" x14ac:dyDescent="0.25">
      <c r="A37421" s="118"/>
      <c r="B37421" s="136"/>
    </row>
    <row r="37422" spans="1:2" x14ac:dyDescent="0.25">
      <c r="A37422" s="118"/>
      <c r="B37422" s="136"/>
    </row>
    <row r="37423" spans="1:2" x14ac:dyDescent="0.25">
      <c r="A37423" s="118"/>
      <c r="B37423" s="136"/>
    </row>
    <row r="37424" spans="1:2" x14ac:dyDescent="0.25">
      <c r="A37424" s="118"/>
      <c r="B37424" s="136"/>
    </row>
    <row r="37425" spans="1:2" x14ac:dyDescent="0.25">
      <c r="A37425" s="118"/>
      <c r="B37425" s="136"/>
    </row>
    <row r="37426" spans="1:2" x14ac:dyDescent="0.25">
      <c r="A37426" s="118"/>
      <c r="B37426" s="136"/>
    </row>
    <row r="37427" spans="1:2" x14ac:dyDescent="0.25">
      <c r="A37427" s="118"/>
      <c r="B37427" s="136"/>
    </row>
    <row r="37428" spans="1:2" x14ac:dyDescent="0.25">
      <c r="A37428" s="118"/>
      <c r="B37428" s="136"/>
    </row>
    <row r="37429" spans="1:2" x14ac:dyDescent="0.25">
      <c r="A37429" s="118"/>
      <c r="B37429" s="136"/>
    </row>
    <row r="37430" spans="1:2" x14ac:dyDescent="0.25">
      <c r="A37430" s="118"/>
      <c r="B37430" s="136"/>
    </row>
    <row r="37431" spans="1:2" x14ac:dyDescent="0.25">
      <c r="A37431" s="118"/>
      <c r="B37431" s="136"/>
    </row>
    <row r="37432" spans="1:2" x14ac:dyDescent="0.25">
      <c r="A37432" s="118"/>
      <c r="B37432" s="136"/>
    </row>
    <row r="37433" spans="1:2" x14ac:dyDescent="0.25">
      <c r="A37433" s="118"/>
      <c r="B37433" s="136"/>
    </row>
    <row r="37434" spans="1:2" x14ac:dyDescent="0.25">
      <c r="A37434" s="118"/>
      <c r="B37434" s="136"/>
    </row>
    <row r="37435" spans="1:2" x14ac:dyDescent="0.25">
      <c r="A37435" s="118"/>
      <c r="B37435" s="136"/>
    </row>
    <row r="37436" spans="1:2" x14ac:dyDescent="0.25">
      <c r="A37436" s="118"/>
      <c r="B37436" s="136"/>
    </row>
    <row r="37437" spans="1:2" x14ac:dyDescent="0.25">
      <c r="A37437" s="118"/>
      <c r="B37437" s="136"/>
    </row>
    <row r="37438" spans="1:2" x14ac:dyDescent="0.25">
      <c r="A37438" s="118"/>
      <c r="B37438" s="136"/>
    </row>
    <row r="37439" spans="1:2" x14ac:dyDescent="0.25">
      <c r="A37439" s="118"/>
      <c r="B37439" s="136"/>
    </row>
    <row r="37440" spans="1:2" x14ac:dyDescent="0.25">
      <c r="A37440" s="118"/>
      <c r="B37440" s="136"/>
    </row>
    <row r="37441" spans="1:2" x14ac:dyDescent="0.25">
      <c r="A37441" s="118"/>
      <c r="B37441" s="136"/>
    </row>
    <row r="37442" spans="1:2" x14ac:dyDescent="0.25">
      <c r="A37442" s="118"/>
      <c r="B37442" s="136"/>
    </row>
    <row r="37443" spans="1:2" x14ac:dyDescent="0.25">
      <c r="A37443" s="118"/>
      <c r="B37443" s="136"/>
    </row>
    <row r="37444" spans="1:2" x14ac:dyDescent="0.25">
      <c r="A37444" s="118"/>
      <c r="B37444" s="136"/>
    </row>
    <row r="37445" spans="1:2" x14ac:dyDescent="0.25">
      <c r="A37445" s="118"/>
      <c r="B37445" s="136"/>
    </row>
    <row r="37446" spans="1:2" x14ac:dyDescent="0.25">
      <c r="A37446" s="118"/>
      <c r="B37446" s="136"/>
    </row>
    <row r="37447" spans="1:2" x14ac:dyDescent="0.25">
      <c r="A37447" s="118"/>
      <c r="B37447" s="136"/>
    </row>
    <row r="37448" spans="1:2" x14ac:dyDescent="0.25">
      <c r="A37448" s="118"/>
      <c r="B37448" s="136"/>
    </row>
    <row r="37449" spans="1:2" x14ac:dyDescent="0.25">
      <c r="A37449" s="118"/>
      <c r="B37449" s="136"/>
    </row>
    <row r="37450" spans="1:2" x14ac:dyDescent="0.25">
      <c r="A37450" s="118"/>
      <c r="B37450" s="136"/>
    </row>
    <row r="37451" spans="1:2" x14ac:dyDescent="0.25">
      <c r="A37451" s="118"/>
      <c r="B37451" s="136"/>
    </row>
    <row r="37452" spans="1:2" x14ac:dyDescent="0.25">
      <c r="A37452" s="118"/>
      <c r="B37452" s="136"/>
    </row>
    <row r="37453" spans="1:2" x14ac:dyDescent="0.25">
      <c r="A37453" s="118"/>
      <c r="B37453" s="136"/>
    </row>
    <row r="37454" spans="1:2" x14ac:dyDescent="0.25">
      <c r="A37454" s="118"/>
      <c r="B37454" s="136"/>
    </row>
    <row r="37455" spans="1:2" x14ac:dyDescent="0.25">
      <c r="A37455" s="118"/>
      <c r="B37455" s="136"/>
    </row>
    <row r="37456" spans="1:2" x14ac:dyDescent="0.25">
      <c r="A37456" s="118"/>
      <c r="B37456" s="136"/>
    </row>
    <row r="37457" spans="1:2" x14ac:dyDescent="0.25">
      <c r="A37457" s="118"/>
      <c r="B37457" s="136"/>
    </row>
    <row r="37458" spans="1:2" x14ac:dyDescent="0.25">
      <c r="A37458" s="118"/>
      <c r="B37458" s="136"/>
    </row>
    <row r="37459" spans="1:2" x14ac:dyDescent="0.25">
      <c r="A37459" s="118"/>
      <c r="B37459" s="136"/>
    </row>
    <row r="37460" spans="1:2" x14ac:dyDescent="0.25">
      <c r="A37460" s="118"/>
      <c r="B37460" s="136"/>
    </row>
    <row r="37461" spans="1:2" x14ac:dyDescent="0.25">
      <c r="A37461" s="118"/>
      <c r="B37461" s="136"/>
    </row>
    <row r="37462" spans="1:2" x14ac:dyDescent="0.25">
      <c r="A37462" s="118"/>
      <c r="B37462" s="136"/>
    </row>
    <row r="37463" spans="1:2" x14ac:dyDescent="0.25">
      <c r="A37463" s="118"/>
      <c r="B37463" s="136"/>
    </row>
    <row r="37464" spans="1:2" x14ac:dyDescent="0.25">
      <c r="A37464" s="118"/>
      <c r="B37464" s="136"/>
    </row>
    <row r="37465" spans="1:2" x14ac:dyDescent="0.25">
      <c r="A37465" s="118"/>
      <c r="B37465" s="136"/>
    </row>
    <row r="37466" spans="1:2" x14ac:dyDescent="0.25">
      <c r="A37466" s="118"/>
      <c r="B37466" s="136"/>
    </row>
    <row r="37467" spans="1:2" x14ac:dyDescent="0.25">
      <c r="A37467" s="118"/>
      <c r="B37467" s="136"/>
    </row>
    <row r="37468" spans="1:2" x14ac:dyDescent="0.25">
      <c r="A37468" s="118"/>
      <c r="B37468" s="136"/>
    </row>
    <row r="37469" spans="1:2" x14ac:dyDescent="0.25">
      <c r="A37469" s="118"/>
      <c r="B37469" s="136"/>
    </row>
    <row r="37470" spans="1:2" x14ac:dyDescent="0.25">
      <c r="A37470" s="118"/>
      <c r="B37470" s="136"/>
    </row>
    <row r="37471" spans="1:2" x14ac:dyDescent="0.25">
      <c r="A37471" s="118"/>
      <c r="B37471" s="136"/>
    </row>
    <row r="37472" spans="1:2" x14ac:dyDescent="0.25">
      <c r="A37472" s="118"/>
      <c r="B37472" s="136"/>
    </row>
    <row r="37473" spans="1:2" x14ac:dyDescent="0.25">
      <c r="A37473" s="118"/>
      <c r="B37473" s="136"/>
    </row>
    <row r="37474" spans="1:2" x14ac:dyDescent="0.25">
      <c r="A37474" s="118"/>
      <c r="B37474" s="136"/>
    </row>
    <row r="37475" spans="1:2" x14ac:dyDescent="0.25">
      <c r="A37475" s="118"/>
      <c r="B37475" s="136"/>
    </row>
    <row r="37476" spans="1:2" x14ac:dyDescent="0.25">
      <c r="A37476" s="118"/>
      <c r="B37476" s="136"/>
    </row>
    <row r="37477" spans="1:2" x14ac:dyDescent="0.25">
      <c r="A37477" s="118"/>
      <c r="B37477" s="136"/>
    </row>
    <row r="37478" spans="1:2" x14ac:dyDescent="0.25">
      <c r="A37478" s="118"/>
      <c r="B37478" s="136"/>
    </row>
    <row r="37479" spans="1:2" x14ac:dyDescent="0.25">
      <c r="A37479" s="118"/>
      <c r="B37479" s="136"/>
    </row>
    <row r="37480" spans="1:2" x14ac:dyDescent="0.25">
      <c r="A37480" s="118"/>
      <c r="B37480" s="136"/>
    </row>
    <row r="37481" spans="1:2" x14ac:dyDescent="0.25">
      <c r="A37481" s="118"/>
      <c r="B37481" s="136"/>
    </row>
    <row r="37482" spans="1:2" x14ac:dyDescent="0.25">
      <c r="A37482" s="118"/>
      <c r="B37482" s="136"/>
    </row>
    <row r="37483" spans="1:2" x14ac:dyDescent="0.25">
      <c r="A37483" s="118"/>
      <c r="B37483" s="136"/>
    </row>
    <row r="37484" spans="1:2" x14ac:dyDescent="0.25">
      <c r="A37484" s="118"/>
      <c r="B37484" s="136"/>
    </row>
    <row r="37485" spans="1:2" x14ac:dyDescent="0.25">
      <c r="A37485" s="118"/>
      <c r="B37485" s="136"/>
    </row>
    <row r="37486" spans="1:2" x14ac:dyDescent="0.25">
      <c r="A37486" s="118"/>
      <c r="B37486" s="136"/>
    </row>
    <row r="37487" spans="1:2" x14ac:dyDescent="0.25">
      <c r="A37487" s="118"/>
      <c r="B37487" s="136"/>
    </row>
    <row r="37488" spans="1:2" x14ac:dyDescent="0.25">
      <c r="A37488" s="118"/>
      <c r="B37488" s="136"/>
    </row>
    <row r="37489" spans="1:2" x14ac:dyDescent="0.25">
      <c r="A37489" s="118"/>
      <c r="B37489" s="136"/>
    </row>
    <row r="37490" spans="1:2" x14ac:dyDescent="0.25">
      <c r="A37490" s="118"/>
      <c r="B37490" s="136"/>
    </row>
    <row r="37491" spans="1:2" x14ac:dyDescent="0.25">
      <c r="A37491" s="118"/>
      <c r="B37491" s="136"/>
    </row>
    <row r="37492" spans="1:2" x14ac:dyDescent="0.25">
      <c r="A37492" s="118"/>
      <c r="B37492" s="136"/>
    </row>
    <row r="37493" spans="1:2" x14ac:dyDescent="0.25">
      <c r="A37493" s="118"/>
      <c r="B37493" s="136"/>
    </row>
    <row r="37494" spans="1:2" x14ac:dyDescent="0.25">
      <c r="A37494" s="118"/>
      <c r="B37494" s="136"/>
    </row>
    <row r="37495" spans="1:2" x14ac:dyDescent="0.25">
      <c r="A37495" s="118"/>
      <c r="B37495" s="136"/>
    </row>
    <row r="37496" spans="1:2" x14ac:dyDescent="0.25">
      <c r="A37496" s="118"/>
      <c r="B37496" s="136"/>
    </row>
    <row r="37497" spans="1:2" x14ac:dyDescent="0.25">
      <c r="A37497" s="118"/>
      <c r="B37497" s="136"/>
    </row>
    <row r="37498" spans="1:2" x14ac:dyDescent="0.25">
      <c r="A37498" s="118"/>
      <c r="B37498" s="136"/>
    </row>
    <row r="37499" spans="1:2" x14ac:dyDescent="0.25">
      <c r="A37499" s="118"/>
      <c r="B37499" s="136"/>
    </row>
    <row r="37500" spans="1:2" x14ac:dyDescent="0.25">
      <c r="A37500" s="118"/>
      <c r="B37500" s="136"/>
    </row>
    <row r="37501" spans="1:2" x14ac:dyDescent="0.25">
      <c r="A37501" s="118"/>
      <c r="B37501" s="136"/>
    </row>
    <row r="37502" spans="1:2" x14ac:dyDescent="0.25">
      <c r="A37502" s="118"/>
      <c r="B37502" s="136"/>
    </row>
    <row r="37503" spans="1:2" x14ac:dyDescent="0.25">
      <c r="A37503" s="118"/>
      <c r="B37503" s="136"/>
    </row>
    <row r="37504" spans="1:2" x14ac:dyDescent="0.25">
      <c r="A37504" s="118"/>
      <c r="B37504" s="136"/>
    </row>
    <row r="37505" spans="1:2" x14ac:dyDescent="0.25">
      <c r="A37505" s="118"/>
      <c r="B37505" s="136"/>
    </row>
    <row r="37506" spans="1:2" x14ac:dyDescent="0.25">
      <c r="A37506" s="118"/>
      <c r="B37506" s="136"/>
    </row>
    <row r="37507" spans="1:2" x14ac:dyDescent="0.25">
      <c r="A37507" s="118"/>
      <c r="B37507" s="136"/>
    </row>
    <row r="37508" spans="1:2" x14ac:dyDescent="0.25">
      <c r="A37508" s="118"/>
      <c r="B37508" s="136"/>
    </row>
    <row r="37509" spans="1:2" x14ac:dyDescent="0.25">
      <c r="A37509" s="118"/>
      <c r="B37509" s="136"/>
    </row>
    <row r="37510" spans="1:2" x14ac:dyDescent="0.25">
      <c r="A37510" s="118"/>
      <c r="B37510" s="136"/>
    </row>
    <row r="37511" spans="1:2" x14ac:dyDescent="0.25">
      <c r="A37511" s="118"/>
      <c r="B37511" s="136"/>
    </row>
    <row r="37512" spans="1:2" x14ac:dyDescent="0.25">
      <c r="A37512" s="118"/>
      <c r="B37512" s="136"/>
    </row>
    <row r="37513" spans="1:2" x14ac:dyDescent="0.25">
      <c r="A37513" s="118"/>
      <c r="B37513" s="136"/>
    </row>
    <row r="37514" spans="1:2" x14ac:dyDescent="0.25">
      <c r="A37514" s="118"/>
      <c r="B37514" s="136"/>
    </row>
    <row r="37515" spans="1:2" x14ac:dyDescent="0.25">
      <c r="A37515" s="118"/>
      <c r="B37515" s="136"/>
    </row>
    <row r="37516" spans="1:2" x14ac:dyDescent="0.25">
      <c r="A37516" s="118"/>
      <c r="B37516" s="136"/>
    </row>
    <row r="37517" spans="1:2" x14ac:dyDescent="0.25">
      <c r="A37517" s="118"/>
      <c r="B37517" s="136"/>
    </row>
    <row r="37518" spans="1:2" x14ac:dyDescent="0.25">
      <c r="A37518" s="118"/>
      <c r="B37518" s="136"/>
    </row>
    <row r="37519" spans="1:2" x14ac:dyDescent="0.25">
      <c r="A37519" s="118"/>
      <c r="B37519" s="136"/>
    </row>
    <row r="37520" spans="1:2" x14ac:dyDescent="0.25">
      <c r="A37520" s="118"/>
      <c r="B37520" s="136"/>
    </row>
    <row r="37521" spans="1:2" x14ac:dyDescent="0.25">
      <c r="A37521" s="118"/>
      <c r="B37521" s="136"/>
    </row>
    <row r="37522" spans="1:2" x14ac:dyDescent="0.25">
      <c r="A37522" s="118"/>
      <c r="B37522" s="136"/>
    </row>
    <row r="37523" spans="1:2" x14ac:dyDescent="0.25">
      <c r="A37523" s="118"/>
      <c r="B37523" s="136"/>
    </row>
    <row r="37524" spans="1:2" x14ac:dyDescent="0.25">
      <c r="A37524" s="118"/>
      <c r="B37524" s="136"/>
    </row>
    <row r="37525" spans="1:2" x14ac:dyDescent="0.25">
      <c r="A37525" s="118"/>
      <c r="B37525" s="136"/>
    </row>
    <row r="37526" spans="1:2" x14ac:dyDescent="0.25">
      <c r="A37526" s="118"/>
      <c r="B37526" s="136"/>
    </row>
    <row r="37527" spans="1:2" x14ac:dyDescent="0.25">
      <c r="A37527" s="118"/>
      <c r="B37527" s="136"/>
    </row>
    <row r="37528" spans="1:2" x14ac:dyDescent="0.25">
      <c r="A37528" s="118"/>
      <c r="B37528" s="136"/>
    </row>
    <row r="37529" spans="1:2" x14ac:dyDescent="0.25">
      <c r="A37529" s="118"/>
      <c r="B37529" s="136"/>
    </row>
    <row r="37530" spans="1:2" x14ac:dyDescent="0.25">
      <c r="A37530" s="118"/>
      <c r="B37530" s="136"/>
    </row>
    <row r="37531" spans="1:2" x14ac:dyDescent="0.25">
      <c r="A37531" s="118"/>
      <c r="B37531" s="136"/>
    </row>
    <row r="37532" spans="1:2" x14ac:dyDescent="0.25">
      <c r="A37532" s="118"/>
      <c r="B37532" s="136"/>
    </row>
    <row r="37533" spans="1:2" x14ac:dyDescent="0.25">
      <c r="A37533" s="118"/>
      <c r="B37533" s="136"/>
    </row>
    <row r="37534" spans="1:2" x14ac:dyDescent="0.25">
      <c r="A37534" s="118"/>
      <c r="B37534" s="136"/>
    </row>
    <row r="37535" spans="1:2" x14ac:dyDescent="0.25">
      <c r="A37535" s="118"/>
      <c r="B37535" s="136"/>
    </row>
    <row r="37536" spans="1:2" x14ac:dyDescent="0.25">
      <c r="A37536" s="118"/>
      <c r="B37536" s="136"/>
    </row>
    <row r="37537" spans="1:2" x14ac:dyDescent="0.25">
      <c r="A37537" s="118"/>
      <c r="B37537" s="136"/>
    </row>
    <row r="37538" spans="1:2" x14ac:dyDescent="0.25">
      <c r="A37538" s="118"/>
      <c r="B37538" s="136"/>
    </row>
    <row r="37539" spans="1:2" x14ac:dyDescent="0.25">
      <c r="A37539" s="118"/>
      <c r="B37539" s="136"/>
    </row>
    <row r="37540" spans="1:2" x14ac:dyDescent="0.25">
      <c r="A37540" s="118"/>
      <c r="B37540" s="136"/>
    </row>
    <row r="37541" spans="1:2" x14ac:dyDescent="0.25">
      <c r="A37541" s="118"/>
      <c r="B37541" s="136"/>
    </row>
    <row r="37542" spans="1:2" x14ac:dyDescent="0.25">
      <c r="A37542" s="118"/>
      <c r="B37542" s="136"/>
    </row>
    <row r="37543" spans="1:2" x14ac:dyDescent="0.25">
      <c r="A37543" s="118"/>
      <c r="B37543" s="136"/>
    </row>
    <row r="37544" spans="1:2" x14ac:dyDescent="0.25">
      <c r="A37544" s="118"/>
      <c r="B37544" s="136"/>
    </row>
    <row r="37545" spans="1:2" x14ac:dyDescent="0.25">
      <c r="A37545" s="118"/>
      <c r="B37545" s="136"/>
    </row>
    <row r="37546" spans="1:2" x14ac:dyDescent="0.25">
      <c r="A37546" s="118"/>
      <c r="B37546" s="136"/>
    </row>
    <row r="37547" spans="1:2" x14ac:dyDescent="0.25">
      <c r="A37547" s="118"/>
      <c r="B37547" s="136"/>
    </row>
    <row r="37548" spans="1:2" x14ac:dyDescent="0.25">
      <c r="A37548" s="118"/>
      <c r="B37548" s="136"/>
    </row>
    <row r="37549" spans="1:2" x14ac:dyDescent="0.25">
      <c r="A37549" s="118"/>
      <c r="B37549" s="136"/>
    </row>
    <row r="37550" spans="1:2" x14ac:dyDescent="0.25">
      <c r="A37550" s="118"/>
      <c r="B37550" s="136"/>
    </row>
    <row r="37551" spans="1:2" x14ac:dyDescent="0.25">
      <c r="A37551" s="118"/>
      <c r="B37551" s="136"/>
    </row>
    <row r="37552" spans="1:2" x14ac:dyDescent="0.25">
      <c r="A37552" s="118"/>
      <c r="B37552" s="136"/>
    </row>
    <row r="37553" spans="1:2" x14ac:dyDescent="0.25">
      <c r="A37553" s="118"/>
      <c r="B37553" s="136"/>
    </row>
    <row r="37554" spans="1:2" x14ac:dyDescent="0.25">
      <c r="A37554" s="118"/>
      <c r="B37554" s="136"/>
    </row>
    <row r="37555" spans="1:2" x14ac:dyDescent="0.25">
      <c r="A37555" s="118"/>
      <c r="B37555" s="136"/>
    </row>
    <row r="37556" spans="1:2" x14ac:dyDescent="0.25">
      <c r="A37556" s="118"/>
      <c r="B37556" s="136"/>
    </row>
    <row r="37557" spans="1:2" x14ac:dyDescent="0.25">
      <c r="A37557" s="118"/>
      <c r="B37557" s="136"/>
    </row>
    <row r="37558" spans="1:2" x14ac:dyDescent="0.25">
      <c r="A37558" s="118"/>
      <c r="B37558" s="136"/>
    </row>
    <row r="37559" spans="1:2" x14ac:dyDescent="0.25">
      <c r="A37559" s="118"/>
      <c r="B37559" s="136"/>
    </row>
    <row r="37560" spans="1:2" x14ac:dyDescent="0.25">
      <c r="A37560" s="118"/>
      <c r="B37560" s="136"/>
    </row>
    <row r="37561" spans="1:2" x14ac:dyDescent="0.25">
      <c r="A37561" s="118"/>
      <c r="B37561" s="136"/>
    </row>
    <row r="37562" spans="1:2" x14ac:dyDescent="0.25">
      <c r="A37562" s="118"/>
      <c r="B37562" s="136"/>
    </row>
    <row r="37563" spans="1:2" x14ac:dyDescent="0.25">
      <c r="A37563" s="118"/>
      <c r="B37563" s="136"/>
    </row>
    <row r="37564" spans="1:2" x14ac:dyDescent="0.25">
      <c r="A37564" s="118"/>
      <c r="B37564" s="136"/>
    </row>
    <row r="37565" spans="1:2" x14ac:dyDescent="0.25">
      <c r="A37565" s="118"/>
      <c r="B37565" s="136"/>
    </row>
    <row r="37566" spans="1:2" x14ac:dyDescent="0.25">
      <c r="A37566" s="118"/>
      <c r="B37566" s="136"/>
    </row>
    <row r="37567" spans="1:2" x14ac:dyDescent="0.25">
      <c r="A37567" s="118"/>
      <c r="B37567" s="136"/>
    </row>
    <row r="37568" spans="1:2" x14ac:dyDescent="0.25">
      <c r="A37568" s="118"/>
      <c r="B37568" s="136"/>
    </row>
    <row r="37569" spans="1:2" x14ac:dyDescent="0.25">
      <c r="A37569" s="118"/>
      <c r="B37569" s="136"/>
    </row>
    <row r="37570" spans="1:2" x14ac:dyDescent="0.25">
      <c r="A37570" s="118"/>
      <c r="B37570" s="136"/>
    </row>
    <row r="37571" spans="1:2" x14ac:dyDescent="0.25">
      <c r="A37571" s="118"/>
      <c r="B37571" s="136"/>
    </row>
    <row r="37572" spans="1:2" x14ac:dyDescent="0.25">
      <c r="A37572" s="118"/>
      <c r="B37572" s="136"/>
    </row>
    <row r="37573" spans="1:2" x14ac:dyDescent="0.25">
      <c r="A37573" s="118"/>
      <c r="B37573" s="136"/>
    </row>
    <row r="37574" spans="1:2" x14ac:dyDescent="0.25">
      <c r="A37574" s="118"/>
      <c r="B37574" s="136"/>
    </row>
    <row r="37575" spans="1:2" x14ac:dyDescent="0.25">
      <c r="A37575" s="118"/>
      <c r="B37575" s="136"/>
    </row>
    <row r="37576" spans="1:2" x14ac:dyDescent="0.25">
      <c r="A37576" s="118"/>
      <c r="B37576" s="136"/>
    </row>
    <row r="37577" spans="1:2" x14ac:dyDescent="0.25">
      <c r="A37577" s="118"/>
      <c r="B37577" s="136"/>
    </row>
    <row r="37578" spans="1:2" x14ac:dyDescent="0.25">
      <c r="A37578" s="118"/>
      <c r="B37578" s="136"/>
    </row>
    <row r="37579" spans="1:2" x14ac:dyDescent="0.25">
      <c r="A37579" s="118"/>
      <c r="B37579" s="136"/>
    </row>
    <row r="37580" spans="1:2" x14ac:dyDescent="0.25">
      <c r="A37580" s="118"/>
      <c r="B37580" s="136"/>
    </row>
    <row r="37581" spans="1:2" x14ac:dyDescent="0.25">
      <c r="A37581" s="118"/>
      <c r="B37581" s="136"/>
    </row>
    <row r="37582" spans="1:2" x14ac:dyDescent="0.25">
      <c r="A37582" s="118"/>
      <c r="B37582" s="136"/>
    </row>
    <row r="37583" spans="1:2" x14ac:dyDescent="0.25">
      <c r="A37583" s="118"/>
      <c r="B37583" s="136"/>
    </row>
    <row r="37584" spans="1:2" x14ac:dyDescent="0.25">
      <c r="A37584" s="118"/>
      <c r="B37584" s="136"/>
    </row>
    <row r="37585" spans="1:2" x14ac:dyDescent="0.25">
      <c r="A37585" s="118"/>
      <c r="B37585" s="136"/>
    </row>
    <row r="37586" spans="1:2" x14ac:dyDescent="0.25">
      <c r="A37586" s="118"/>
      <c r="B37586" s="136"/>
    </row>
    <row r="37587" spans="1:2" x14ac:dyDescent="0.25">
      <c r="A37587" s="118"/>
      <c r="B37587" s="136"/>
    </row>
    <row r="37588" spans="1:2" x14ac:dyDescent="0.25">
      <c r="A37588" s="118"/>
      <c r="B37588" s="136"/>
    </row>
    <row r="37589" spans="1:2" x14ac:dyDescent="0.25">
      <c r="A37589" s="118"/>
      <c r="B37589" s="136"/>
    </row>
    <row r="37590" spans="1:2" x14ac:dyDescent="0.25">
      <c r="A37590" s="118"/>
      <c r="B37590" s="136"/>
    </row>
    <row r="37591" spans="1:2" x14ac:dyDescent="0.25">
      <c r="A37591" s="118"/>
      <c r="B37591" s="136"/>
    </row>
    <row r="37592" spans="1:2" x14ac:dyDescent="0.25">
      <c r="A37592" s="118"/>
      <c r="B37592" s="136"/>
    </row>
    <row r="37593" spans="1:2" x14ac:dyDescent="0.25">
      <c r="A37593" s="118"/>
      <c r="B37593" s="136"/>
    </row>
    <row r="37594" spans="1:2" x14ac:dyDescent="0.25">
      <c r="A37594" s="118"/>
      <c r="B37594" s="136"/>
    </row>
    <row r="37595" spans="1:2" x14ac:dyDescent="0.25">
      <c r="A37595" s="118"/>
      <c r="B37595" s="136"/>
    </row>
    <row r="37596" spans="1:2" x14ac:dyDescent="0.25">
      <c r="A37596" s="118"/>
      <c r="B37596" s="136"/>
    </row>
    <row r="37597" spans="1:2" x14ac:dyDescent="0.25">
      <c r="A37597" s="118"/>
      <c r="B37597" s="136"/>
    </row>
    <row r="37598" spans="1:2" x14ac:dyDescent="0.25">
      <c r="A37598" s="118"/>
      <c r="B37598" s="136"/>
    </row>
    <row r="37599" spans="1:2" x14ac:dyDescent="0.25">
      <c r="A37599" s="118"/>
      <c r="B37599" s="136"/>
    </row>
    <row r="37600" spans="1:2" x14ac:dyDescent="0.25">
      <c r="A37600" s="118"/>
      <c r="B37600" s="136"/>
    </row>
    <row r="37601" spans="1:2" x14ac:dyDescent="0.25">
      <c r="A37601" s="118"/>
      <c r="B37601" s="136"/>
    </row>
    <row r="37602" spans="1:2" x14ac:dyDescent="0.25">
      <c r="A37602" s="118"/>
      <c r="B37602" s="136"/>
    </row>
    <row r="37603" spans="1:2" x14ac:dyDescent="0.25">
      <c r="A37603" s="118"/>
      <c r="B37603" s="136"/>
    </row>
    <row r="37604" spans="1:2" x14ac:dyDescent="0.25">
      <c r="A37604" s="118"/>
      <c r="B37604" s="136"/>
    </row>
    <row r="37605" spans="1:2" x14ac:dyDescent="0.25">
      <c r="A37605" s="118"/>
      <c r="B37605" s="136"/>
    </row>
    <row r="37606" spans="1:2" x14ac:dyDescent="0.25">
      <c r="A37606" s="118"/>
      <c r="B37606" s="136"/>
    </row>
    <row r="37607" spans="1:2" x14ac:dyDescent="0.25">
      <c r="A37607" s="118"/>
      <c r="B37607" s="136"/>
    </row>
    <row r="37608" spans="1:2" x14ac:dyDescent="0.25">
      <c r="A37608" s="118"/>
      <c r="B37608" s="136"/>
    </row>
    <row r="37609" spans="1:2" x14ac:dyDescent="0.25">
      <c r="A37609" s="118"/>
      <c r="B37609" s="136"/>
    </row>
    <row r="37610" spans="1:2" x14ac:dyDescent="0.25">
      <c r="A37610" s="118"/>
      <c r="B37610" s="136"/>
    </row>
    <row r="37611" spans="1:2" x14ac:dyDescent="0.25">
      <c r="A37611" s="118"/>
      <c r="B37611" s="136"/>
    </row>
    <row r="37612" spans="1:2" x14ac:dyDescent="0.25">
      <c r="A37612" s="118"/>
      <c r="B37612" s="136"/>
    </row>
    <row r="37613" spans="1:2" x14ac:dyDescent="0.25">
      <c r="A37613" s="118"/>
      <c r="B37613" s="136"/>
    </row>
    <row r="37614" spans="1:2" x14ac:dyDescent="0.25">
      <c r="A37614" s="118"/>
      <c r="B37614" s="136"/>
    </row>
    <row r="37615" spans="1:2" x14ac:dyDescent="0.25">
      <c r="A37615" s="118"/>
      <c r="B37615" s="136"/>
    </row>
    <row r="37616" spans="1:2" x14ac:dyDescent="0.25">
      <c r="A37616" s="118"/>
      <c r="B37616" s="136"/>
    </row>
    <row r="37617" spans="1:2" x14ac:dyDescent="0.25">
      <c r="A37617" s="118"/>
      <c r="B37617" s="136"/>
    </row>
    <row r="37618" spans="1:2" x14ac:dyDescent="0.25">
      <c r="A37618" s="118"/>
      <c r="B37618" s="136"/>
    </row>
    <row r="37619" spans="1:2" x14ac:dyDescent="0.25">
      <c r="A37619" s="118"/>
      <c r="B37619" s="136"/>
    </row>
    <row r="37620" spans="1:2" x14ac:dyDescent="0.25">
      <c r="A37620" s="118"/>
      <c r="B37620" s="136"/>
    </row>
    <row r="37621" spans="1:2" x14ac:dyDescent="0.25">
      <c r="A37621" s="118"/>
      <c r="B37621" s="136"/>
    </row>
    <row r="37622" spans="1:2" x14ac:dyDescent="0.25">
      <c r="A37622" s="118"/>
      <c r="B37622" s="136"/>
    </row>
    <row r="37623" spans="1:2" x14ac:dyDescent="0.25">
      <c r="A37623" s="118"/>
      <c r="B37623" s="136"/>
    </row>
    <row r="37624" spans="1:2" x14ac:dyDescent="0.25">
      <c r="A37624" s="118"/>
      <c r="B37624" s="136"/>
    </row>
    <row r="37625" spans="1:2" x14ac:dyDescent="0.25">
      <c r="A37625" s="118"/>
      <c r="B37625" s="136"/>
    </row>
    <row r="37626" spans="1:2" x14ac:dyDescent="0.25">
      <c r="A37626" s="118"/>
      <c r="B37626" s="136"/>
    </row>
    <row r="37627" spans="1:2" x14ac:dyDescent="0.25">
      <c r="A37627" s="118"/>
      <c r="B37627" s="136"/>
    </row>
    <row r="37628" spans="1:2" x14ac:dyDescent="0.25">
      <c r="A37628" s="118"/>
      <c r="B37628" s="136"/>
    </row>
    <row r="37629" spans="1:2" x14ac:dyDescent="0.25">
      <c r="A37629" s="118"/>
      <c r="B37629" s="136"/>
    </row>
    <row r="37630" spans="1:2" x14ac:dyDescent="0.25">
      <c r="A37630" s="118"/>
      <c r="B37630" s="136"/>
    </row>
    <row r="37631" spans="1:2" x14ac:dyDescent="0.25">
      <c r="A37631" s="118"/>
      <c r="B37631" s="136"/>
    </row>
    <row r="37632" spans="1:2" x14ac:dyDescent="0.25">
      <c r="A37632" s="118"/>
      <c r="B37632" s="136"/>
    </row>
    <row r="37633" spans="1:2" x14ac:dyDescent="0.25">
      <c r="A37633" s="118"/>
      <c r="B37633" s="136"/>
    </row>
    <row r="37634" spans="1:2" x14ac:dyDescent="0.25">
      <c r="A37634" s="118"/>
      <c r="B37634" s="136"/>
    </row>
    <row r="37635" spans="1:2" x14ac:dyDescent="0.25">
      <c r="A37635" s="118"/>
      <c r="B37635" s="136"/>
    </row>
    <row r="37636" spans="1:2" x14ac:dyDescent="0.25">
      <c r="A37636" s="118"/>
      <c r="B37636" s="136"/>
    </row>
    <row r="37637" spans="1:2" x14ac:dyDescent="0.25">
      <c r="A37637" s="118"/>
      <c r="B37637" s="136"/>
    </row>
    <row r="37638" spans="1:2" x14ac:dyDescent="0.25">
      <c r="A37638" s="118"/>
      <c r="B37638" s="136"/>
    </row>
    <row r="37639" spans="1:2" x14ac:dyDescent="0.25">
      <c r="A37639" s="118"/>
      <c r="B37639" s="136"/>
    </row>
    <row r="37640" spans="1:2" x14ac:dyDescent="0.25">
      <c r="A37640" s="118"/>
      <c r="B37640" s="136"/>
    </row>
    <row r="37641" spans="1:2" x14ac:dyDescent="0.25">
      <c r="A37641" s="118"/>
      <c r="B37641" s="136"/>
    </row>
    <row r="37642" spans="1:2" x14ac:dyDescent="0.25">
      <c r="A37642" s="118"/>
      <c r="B37642" s="136"/>
    </row>
    <row r="37643" spans="1:2" x14ac:dyDescent="0.25">
      <c r="A37643" s="118"/>
      <c r="B37643" s="136"/>
    </row>
    <row r="37644" spans="1:2" x14ac:dyDescent="0.25">
      <c r="A37644" s="118"/>
      <c r="B37644" s="136"/>
    </row>
    <row r="37645" spans="1:2" x14ac:dyDescent="0.25">
      <c r="A37645" s="118"/>
      <c r="B37645" s="136"/>
    </row>
    <row r="37646" spans="1:2" x14ac:dyDescent="0.25">
      <c r="A37646" s="118"/>
      <c r="B37646" s="136"/>
    </row>
    <row r="37647" spans="1:2" x14ac:dyDescent="0.25">
      <c r="A37647" s="118"/>
      <c r="B37647" s="136"/>
    </row>
    <row r="37648" spans="1:2" x14ac:dyDescent="0.25">
      <c r="A37648" s="118"/>
      <c r="B37648" s="136"/>
    </row>
    <row r="37649" spans="1:2" x14ac:dyDescent="0.25">
      <c r="A37649" s="118"/>
      <c r="B37649" s="136"/>
    </row>
    <row r="37650" spans="1:2" x14ac:dyDescent="0.25">
      <c r="A37650" s="118"/>
      <c r="B37650" s="136"/>
    </row>
    <row r="37651" spans="1:2" x14ac:dyDescent="0.25">
      <c r="A37651" s="118"/>
      <c r="B37651" s="136"/>
    </row>
    <row r="37652" spans="1:2" x14ac:dyDescent="0.25">
      <c r="A37652" s="118"/>
      <c r="B37652" s="136"/>
    </row>
    <row r="37653" spans="1:2" x14ac:dyDescent="0.25">
      <c r="A37653" s="118"/>
      <c r="B37653" s="136"/>
    </row>
    <row r="37654" spans="1:2" x14ac:dyDescent="0.25">
      <c r="A37654" s="118"/>
      <c r="B37654" s="136"/>
    </row>
    <row r="37655" spans="1:2" x14ac:dyDescent="0.25">
      <c r="A37655" s="118"/>
      <c r="B37655" s="136"/>
    </row>
    <row r="37656" spans="1:2" x14ac:dyDescent="0.25">
      <c r="A37656" s="118"/>
      <c r="B37656" s="136"/>
    </row>
    <row r="37657" spans="1:2" x14ac:dyDescent="0.25">
      <c r="A37657" s="118"/>
      <c r="B37657" s="136"/>
    </row>
    <row r="37658" spans="1:2" x14ac:dyDescent="0.25">
      <c r="A37658" s="118"/>
      <c r="B37658" s="136"/>
    </row>
    <row r="37659" spans="1:2" x14ac:dyDescent="0.25">
      <c r="A37659" s="118"/>
      <c r="B37659" s="136"/>
    </row>
    <row r="37660" spans="1:2" x14ac:dyDescent="0.25">
      <c r="A37660" s="118"/>
      <c r="B37660" s="136"/>
    </row>
    <row r="37661" spans="1:2" x14ac:dyDescent="0.25">
      <c r="A37661" s="118"/>
      <c r="B37661" s="136"/>
    </row>
    <row r="37662" spans="1:2" x14ac:dyDescent="0.25">
      <c r="A37662" s="118"/>
      <c r="B37662" s="136"/>
    </row>
    <row r="37663" spans="1:2" x14ac:dyDescent="0.25">
      <c r="A37663" s="118"/>
      <c r="B37663" s="136"/>
    </row>
    <row r="37664" spans="1:2" x14ac:dyDescent="0.25">
      <c r="A37664" s="118"/>
      <c r="B37664" s="136"/>
    </row>
    <row r="37665" spans="1:2" x14ac:dyDescent="0.25">
      <c r="A37665" s="118"/>
      <c r="B37665" s="136"/>
    </row>
    <row r="37666" spans="1:2" x14ac:dyDescent="0.25">
      <c r="A37666" s="118"/>
      <c r="B37666" s="136"/>
    </row>
    <row r="37667" spans="1:2" x14ac:dyDescent="0.25">
      <c r="A37667" s="118"/>
      <c r="B37667" s="136"/>
    </row>
    <row r="37668" spans="1:2" x14ac:dyDescent="0.25">
      <c r="A37668" s="118"/>
      <c r="B37668" s="136"/>
    </row>
    <row r="37669" spans="1:2" x14ac:dyDescent="0.25">
      <c r="A37669" s="118"/>
      <c r="B37669" s="136"/>
    </row>
    <row r="37670" spans="1:2" x14ac:dyDescent="0.25">
      <c r="A37670" s="118"/>
      <c r="B37670" s="136"/>
    </row>
    <row r="37671" spans="1:2" x14ac:dyDescent="0.25">
      <c r="A37671" s="118"/>
      <c r="B37671" s="136"/>
    </row>
    <row r="37672" spans="1:2" x14ac:dyDescent="0.25">
      <c r="A37672" s="118"/>
      <c r="B37672" s="136"/>
    </row>
    <row r="37673" spans="1:2" x14ac:dyDescent="0.25">
      <c r="A37673" s="118"/>
      <c r="B37673" s="136"/>
    </row>
    <row r="37674" spans="1:2" x14ac:dyDescent="0.25">
      <c r="A37674" s="118"/>
      <c r="B37674" s="136"/>
    </row>
    <row r="37675" spans="1:2" x14ac:dyDescent="0.25">
      <c r="A37675" s="118"/>
      <c r="B37675" s="136"/>
    </row>
    <row r="37676" spans="1:2" x14ac:dyDescent="0.25">
      <c r="A37676" s="118"/>
      <c r="B37676" s="136"/>
    </row>
    <row r="37677" spans="1:2" x14ac:dyDescent="0.25">
      <c r="A37677" s="118"/>
      <c r="B37677" s="136"/>
    </row>
    <row r="37678" spans="1:2" x14ac:dyDescent="0.25">
      <c r="A37678" s="118"/>
      <c r="B37678" s="136"/>
    </row>
    <row r="37679" spans="1:2" x14ac:dyDescent="0.25">
      <c r="A37679" s="118"/>
      <c r="B37679" s="136"/>
    </row>
    <row r="37680" spans="1:2" x14ac:dyDescent="0.25">
      <c r="A37680" s="118"/>
      <c r="B37680" s="136"/>
    </row>
    <row r="37681" spans="1:2" x14ac:dyDescent="0.25">
      <c r="A37681" s="118"/>
      <c r="B37681" s="136"/>
    </row>
    <row r="37682" spans="1:2" x14ac:dyDescent="0.25">
      <c r="A37682" s="118"/>
      <c r="B37682" s="136"/>
    </row>
    <row r="37683" spans="1:2" x14ac:dyDescent="0.25">
      <c r="A37683" s="118"/>
      <c r="B37683" s="136"/>
    </row>
    <row r="37684" spans="1:2" x14ac:dyDescent="0.25">
      <c r="A37684" s="118"/>
      <c r="B37684" s="136"/>
    </row>
    <row r="37685" spans="1:2" x14ac:dyDescent="0.25">
      <c r="A37685" s="118"/>
      <c r="B37685" s="136"/>
    </row>
    <row r="37686" spans="1:2" x14ac:dyDescent="0.25">
      <c r="A37686" s="118"/>
      <c r="B37686" s="136"/>
    </row>
    <row r="37687" spans="1:2" x14ac:dyDescent="0.25">
      <c r="A37687" s="118"/>
      <c r="B37687" s="136"/>
    </row>
    <row r="37688" spans="1:2" x14ac:dyDescent="0.25">
      <c r="A37688" s="118"/>
      <c r="B37688" s="136"/>
    </row>
    <row r="37689" spans="1:2" x14ac:dyDescent="0.25">
      <c r="A37689" s="118"/>
      <c r="B37689" s="136"/>
    </row>
    <row r="37690" spans="1:2" x14ac:dyDescent="0.25">
      <c r="A37690" s="118"/>
      <c r="B37690" s="136"/>
    </row>
    <row r="37691" spans="1:2" x14ac:dyDescent="0.25">
      <c r="A37691" s="118"/>
      <c r="B37691" s="136"/>
    </row>
    <row r="37692" spans="1:2" x14ac:dyDescent="0.25">
      <c r="A37692" s="118"/>
      <c r="B37692" s="136"/>
    </row>
    <row r="37693" spans="1:2" x14ac:dyDescent="0.25">
      <c r="A37693" s="118"/>
      <c r="B37693" s="136"/>
    </row>
    <row r="37694" spans="1:2" x14ac:dyDescent="0.25">
      <c r="A37694" s="118"/>
      <c r="B37694" s="136"/>
    </row>
    <row r="37695" spans="1:2" x14ac:dyDescent="0.25">
      <c r="A37695" s="118"/>
      <c r="B37695" s="136"/>
    </row>
    <row r="37696" spans="1:2" x14ac:dyDescent="0.25">
      <c r="A37696" s="118"/>
      <c r="B37696" s="136"/>
    </row>
    <row r="37697" spans="1:2" x14ac:dyDescent="0.25">
      <c r="A37697" s="118"/>
      <c r="B37697" s="136"/>
    </row>
    <row r="37698" spans="1:2" x14ac:dyDescent="0.25">
      <c r="A37698" s="118"/>
      <c r="B37698" s="136"/>
    </row>
    <row r="37699" spans="1:2" x14ac:dyDescent="0.25">
      <c r="A37699" s="118"/>
      <c r="B37699" s="136"/>
    </row>
    <row r="37700" spans="1:2" x14ac:dyDescent="0.25">
      <c r="A37700" s="118"/>
      <c r="B37700" s="136"/>
    </row>
    <row r="37701" spans="1:2" x14ac:dyDescent="0.25">
      <c r="A37701" s="118"/>
      <c r="B37701" s="136"/>
    </row>
    <row r="37702" spans="1:2" x14ac:dyDescent="0.25">
      <c r="A37702" s="118"/>
      <c r="B37702" s="136"/>
    </row>
    <row r="37703" spans="1:2" x14ac:dyDescent="0.25">
      <c r="A37703" s="118"/>
      <c r="B37703" s="136"/>
    </row>
    <row r="37704" spans="1:2" x14ac:dyDescent="0.25">
      <c r="A37704" s="118"/>
      <c r="B37704" s="136"/>
    </row>
    <row r="37705" spans="1:2" x14ac:dyDescent="0.25">
      <c r="A37705" s="118"/>
      <c r="B37705" s="136"/>
    </row>
    <row r="37706" spans="1:2" x14ac:dyDescent="0.25">
      <c r="A37706" s="118"/>
      <c r="B37706" s="136"/>
    </row>
    <row r="37707" spans="1:2" x14ac:dyDescent="0.25">
      <c r="A37707" s="118"/>
      <c r="B37707" s="136"/>
    </row>
    <row r="37708" spans="1:2" x14ac:dyDescent="0.25">
      <c r="A37708" s="118"/>
      <c r="B37708" s="136"/>
    </row>
    <row r="37709" spans="1:2" x14ac:dyDescent="0.25">
      <c r="A37709" s="118"/>
      <c r="B37709" s="136"/>
    </row>
    <row r="37710" spans="1:2" x14ac:dyDescent="0.25">
      <c r="A37710" s="118"/>
      <c r="B37710" s="136"/>
    </row>
    <row r="37711" spans="1:2" x14ac:dyDescent="0.25">
      <c r="A37711" s="118"/>
      <c r="B37711" s="136"/>
    </row>
    <row r="37712" spans="1:2" x14ac:dyDescent="0.25">
      <c r="A37712" s="118"/>
      <c r="B37712" s="136"/>
    </row>
    <row r="37713" spans="1:2" x14ac:dyDescent="0.25">
      <c r="A37713" s="118"/>
      <c r="B37713" s="136"/>
    </row>
    <row r="37714" spans="1:2" x14ac:dyDescent="0.25">
      <c r="A37714" s="118"/>
      <c r="B37714" s="136"/>
    </row>
    <row r="37715" spans="1:2" x14ac:dyDescent="0.25">
      <c r="A37715" s="118"/>
      <c r="B37715" s="136"/>
    </row>
    <row r="37716" spans="1:2" x14ac:dyDescent="0.25">
      <c r="A37716" s="118"/>
      <c r="B37716" s="136"/>
    </row>
    <row r="37717" spans="1:2" x14ac:dyDescent="0.25">
      <c r="A37717" s="118"/>
      <c r="B37717" s="136"/>
    </row>
    <row r="37718" spans="1:2" x14ac:dyDescent="0.25">
      <c r="A37718" s="118"/>
      <c r="B37718" s="136"/>
    </row>
    <row r="37719" spans="1:2" x14ac:dyDescent="0.25">
      <c r="A37719" s="118"/>
      <c r="B37719" s="136"/>
    </row>
    <row r="37720" spans="1:2" x14ac:dyDescent="0.25">
      <c r="A37720" s="118"/>
      <c r="B37720" s="136"/>
    </row>
    <row r="37721" spans="1:2" x14ac:dyDescent="0.25">
      <c r="A37721" s="118"/>
      <c r="B37721" s="136"/>
    </row>
    <row r="37722" spans="1:2" x14ac:dyDescent="0.25">
      <c r="A37722" s="118"/>
      <c r="B37722" s="136"/>
    </row>
    <row r="37723" spans="1:2" x14ac:dyDescent="0.25">
      <c r="A37723" s="118"/>
      <c r="B37723" s="136"/>
    </row>
    <row r="37724" spans="1:2" x14ac:dyDescent="0.25">
      <c r="A37724" s="118"/>
      <c r="B37724" s="136"/>
    </row>
    <row r="37725" spans="1:2" x14ac:dyDescent="0.25">
      <c r="A37725" s="118"/>
      <c r="B37725" s="136"/>
    </row>
    <row r="37726" spans="1:2" x14ac:dyDescent="0.25">
      <c r="A37726" s="118"/>
      <c r="B37726" s="136"/>
    </row>
    <row r="37727" spans="1:2" x14ac:dyDescent="0.25">
      <c r="A37727" s="118"/>
      <c r="B37727" s="136"/>
    </row>
    <row r="37728" spans="1:2" x14ac:dyDescent="0.25">
      <c r="A37728" s="118"/>
      <c r="B37728" s="136"/>
    </row>
    <row r="37729" spans="1:2" x14ac:dyDescent="0.25">
      <c r="A37729" s="118"/>
      <c r="B37729" s="136"/>
    </row>
    <row r="37730" spans="1:2" x14ac:dyDescent="0.25">
      <c r="A37730" s="118"/>
      <c r="B37730" s="136"/>
    </row>
    <row r="37731" spans="1:2" x14ac:dyDescent="0.25">
      <c r="A37731" s="118"/>
      <c r="B37731" s="136"/>
    </row>
    <row r="37732" spans="1:2" x14ac:dyDescent="0.25">
      <c r="A37732" s="118"/>
      <c r="B37732" s="136"/>
    </row>
    <row r="37733" spans="1:2" x14ac:dyDescent="0.25">
      <c r="A37733" s="118"/>
      <c r="B37733" s="136"/>
    </row>
    <row r="37734" spans="1:2" x14ac:dyDescent="0.25">
      <c r="A37734" s="118"/>
      <c r="B37734" s="136"/>
    </row>
    <row r="37735" spans="1:2" x14ac:dyDescent="0.25">
      <c r="A37735" s="118"/>
      <c r="B37735" s="136"/>
    </row>
    <row r="37736" spans="1:2" x14ac:dyDescent="0.25">
      <c r="A37736" s="118"/>
      <c r="B37736" s="136"/>
    </row>
    <row r="37737" spans="1:2" x14ac:dyDescent="0.25">
      <c r="A37737" s="118"/>
      <c r="B37737" s="136"/>
    </row>
    <row r="37738" spans="1:2" x14ac:dyDescent="0.25">
      <c r="A37738" s="118"/>
      <c r="B37738" s="136"/>
    </row>
    <row r="37739" spans="1:2" x14ac:dyDescent="0.25">
      <c r="A37739" s="118"/>
      <c r="B37739" s="136"/>
    </row>
    <row r="37740" spans="1:2" x14ac:dyDescent="0.25">
      <c r="A37740" s="118"/>
      <c r="B37740" s="136"/>
    </row>
    <row r="37741" spans="1:2" x14ac:dyDescent="0.25">
      <c r="A37741" s="118"/>
      <c r="B37741" s="136"/>
    </row>
    <row r="37742" spans="1:2" x14ac:dyDescent="0.25">
      <c r="A37742" s="118"/>
      <c r="B37742" s="136"/>
    </row>
    <row r="37743" spans="1:2" x14ac:dyDescent="0.25">
      <c r="A37743" s="118"/>
      <c r="B37743" s="136"/>
    </row>
    <row r="37744" spans="1:2" x14ac:dyDescent="0.25">
      <c r="A37744" s="118"/>
      <c r="B37744" s="136"/>
    </row>
    <row r="37745" spans="1:2" x14ac:dyDescent="0.25">
      <c r="A37745" s="118"/>
      <c r="B37745" s="136"/>
    </row>
    <row r="37746" spans="1:2" x14ac:dyDescent="0.25">
      <c r="A37746" s="118"/>
      <c r="B37746" s="136"/>
    </row>
    <row r="37747" spans="1:2" x14ac:dyDescent="0.25">
      <c r="A37747" s="118"/>
      <c r="B37747" s="136"/>
    </row>
    <row r="37748" spans="1:2" x14ac:dyDescent="0.25">
      <c r="A37748" s="118"/>
      <c r="B37748" s="136"/>
    </row>
    <row r="37749" spans="1:2" x14ac:dyDescent="0.25">
      <c r="A37749" s="118"/>
      <c r="B37749" s="136"/>
    </row>
    <row r="37750" spans="1:2" x14ac:dyDescent="0.25">
      <c r="A37750" s="118"/>
      <c r="B37750" s="136"/>
    </row>
    <row r="37751" spans="1:2" x14ac:dyDescent="0.25">
      <c r="A37751" s="118"/>
      <c r="B37751" s="136"/>
    </row>
    <row r="37752" spans="1:2" x14ac:dyDescent="0.25">
      <c r="A37752" s="118"/>
      <c r="B37752" s="136"/>
    </row>
    <row r="37753" spans="1:2" x14ac:dyDescent="0.25">
      <c r="A37753" s="118"/>
      <c r="B37753" s="136"/>
    </row>
    <row r="37754" spans="1:2" x14ac:dyDescent="0.25">
      <c r="A37754" s="118"/>
      <c r="B37754" s="136"/>
    </row>
    <row r="37755" spans="1:2" x14ac:dyDescent="0.25">
      <c r="A37755" s="118"/>
      <c r="B37755" s="136"/>
    </row>
    <row r="37756" spans="1:2" x14ac:dyDescent="0.25">
      <c r="A37756" s="118"/>
      <c r="B37756" s="136"/>
    </row>
    <row r="37757" spans="1:2" x14ac:dyDescent="0.25">
      <c r="A37757" s="118"/>
      <c r="B37757" s="136"/>
    </row>
    <row r="37758" spans="1:2" x14ac:dyDescent="0.25">
      <c r="A37758" s="118"/>
      <c r="B37758" s="136"/>
    </row>
    <row r="37759" spans="1:2" x14ac:dyDescent="0.25">
      <c r="A37759" s="118"/>
      <c r="B37759" s="136"/>
    </row>
    <row r="37760" spans="1:2" x14ac:dyDescent="0.25">
      <c r="A37760" s="118"/>
      <c r="B37760" s="136"/>
    </row>
    <row r="37761" spans="1:2" x14ac:dyDescent="0.25">
      <c r="A37761" s="118"/>
      <c r="B37761" s="136"/>
    </row>
    <row r="37762" spans="1:2" x14ac:dyDescent="0.25">
      <c r="A37762" s="118"/>
      <c r="B37762" s="136"/>
    </row>
    <row r="37763" spans="1:2" x14ac:dyDescent="0.25">
      <c r="A37763" s="118"/>
      <c r="B37763" s="136"/>
    </row>
    <row r="37764" spans="1:2" x14ac:dyDescent="0.25">
      <c r="A37764" s="118"/>
      <c r="B37764" s="136"/>
    </row>
    <row r="37765" spans="1:2" x14ac:dyDescent="0.25">
      <c r="A37765" s="118"/>
      <c r="B37765" s="136"/>
    </row>
    <row r="37766" spans="1:2" x14ac:dyDescent="0.25">
      <c r="A37766" s="118"/>
      <c r="B37766" s="136"/>
    </row>
    <row r="37767" spans="1:2" x14ac:dyDescent="0.25">
      <c r="A37767" s="118"/>
      <c r="B37767" s="136"/>
    </row>
    <row r="37768" spans="1:2" x14ac:dyDescent="0.25">
      <c r="A37768" s="118"/>
      <c r="B37768" s="136"/>
    </row>
    <row r="37769" spans="1:2" x14ac:dyDescent="0.25">
      <c r="A37769" s="118"/>
      <c r="B37769" s="136"/>
    </row>
    <row r="37770" spans="1:2" x14ac:dyDescent="0.25">
      <c r="A37770" s="118"/>
      <c r="B37770" s="136"/>
    </row>
    <row r="37771" spans="1:2" x14ac:dyDescent="0.25">
      <c r="A37771" s="118"/>
      <c r="B37771" s="136"/>
    </row>
    <row r="37772" spans="1:2" x14ac:dyDescent="0.25">
      <c r="A37772" s="118"/>
      <c r="B37772" s="136"/>
    </row>
    <row r="37773" spans="1:2" x14ac:dyDescent="0.25">
      <c r="A37773" s="118"/>
      <c r="B37773" s="136"/>
    </row>
    <row r="37774" spans="1:2" x14ac:dyDescent="0.25">
      <c r="A37774" s="118"/>
      <c r="B37774" s="136"/>
    </row>
    <row r="37775" spans="1:2" x14ac:dyDescent="0.25">
      <c r="A37775" s="118"/>
      <c r="B37775" s="136"/>
    </row>
    <row r="37776" spans="1:2" x14ac:dyDescent="0.25">
      <c r="A37776" s="118"/>
      <c r="B37776" s="136"/>
    </row>
    <row r="37777" spans="1:2" x14ac:dyDescent="0.25">
      <c r="A37777" s="118"/>
      <c r="B37777" s="136"/>
    </row>
    <row r="37778" spans="1:2" x14ac:dyDescent="0.25">
      <c r="A37778" s="118"/>
      <c r="B37778" s="136"/>
    </row>
    <row r="37779" spans="1:2" x14ac:dyDescent="0.25">
      <c r="A37779" s="118"/>
      <c r="B37779" s="136"/>
    </row>
    <row r="37780" spans="1:2" x14ac:dyDescent="0.25">
      <c r="A37780" s="118"/>
      <c r="B37780" s="136"/>
    </row>
    <row r="37781" spans="1:2" x14ac:dyDescent="0.25">
      <c r="A37781" s="118"/>
      <c r="B37781" s="136"/>
    </row>
    <row r="37782" spans="1:2" x14ac:dyDescent="0.25">
      <c r="A37782" s="118"/>
      <c r="B37782" s="136"/>
    </row>
    <row r="37783" spans="1:2" x14ac:dyDescent="0.25">
      <c r="A37783" s="118"/>
      <c r="B37783" s="136"/>
    </row>
    <row r="37784" spans="1:2" x14ac:dyDescent="0.25">
      <c r="A37784" s="118"/>
      <c r="B37784" s="136"/>
    </row>
    <row r="37785" spans="1:2" x14ac:dyDescent="0.25">
      <c r="A37785" s="118"/>
      <c r="B37785" s="136"/>
    </row>
    <row r="37786" spans="1:2" x14ac:dyDescent="0.25">
      <c r="A37786" s="118"/>
      <c r="B37786" s="136"/>
    </row>
    <row r="37787" spans="1:2" x14ac:dyDescent="0.25">
      <c r="A37787" s="118"/>
      <c r="B37787" s="136"/>
    </row>
    <row r="37788" spans="1:2" x14ac:dyDescent="0.25">
      <c r="A37788" s="118"/>
      <c r="B37788" s="136"/>
    </row>
    <row r="37789" spans="1:2" x14ac:dyDescent="0.25">
      <c r="A37789" s="118"/>
      <c r="B37789" s="136"/>
    </row>
    <row r="37790" spans="1:2" x14ac:dyDescent="0.25">
      <c r="A37790" s="118"/>
      <c r="B37790" s="136"/>
    </row>
    <row r="37791" spans="1:2" x14ac:dyDescent="0.25">
      <c r="A37791" s="118"/>
      <c r="B37791" s="136"/>
    </row>
    <row r="37792" spans="1:2" x14ac:dyDescent="0.25">
      <c r="A37792" s="118"/>
      <c r="B37792" s="136"/>
    </row>
    <row r="37793" spans="1:2" x14ac:dyDescent="0.25">
      <c r="A37793" s="118"/>
      <c r="B37793" s="136"/>
    </row>
    <row r="37794" spans="1:2" x14ac:dyDescent="0.25">
      <c r="A37794" s="118"/>
      <c r="B37794" s="136"/>
    </row>
    <row r="37795" spans="1:2" x14ac:dyDescent="0.25">
      <c r="A37795" s="118"/>
      <c r="B37795" s="136"/>
    </row>
    <row r="37796" spans="1:2" x14ac:dyDescent="0.25">
      <c r="A37796" s="118"/>
      <c r="B37796" s="136"/>
    </row>
    <row r="37797" spans="1:2" x14ac:dyDescent="0.25">
      <c r="A37797" s="118"/>
      <c r="B37797" s="136"/>
    </row>
    <row r="37798" spans="1:2" x14ac:dyDescent="0.25">
      <c r="A37798" s="118"/>
      <c r="B37798" s="136"/>
    </row>
    <row r="37799" spans="1:2" x14ac:dyDescent="0.25">
      <c r="A37799" s="118"/>
      <c r="B37799" s="136"/>
    </row>
    <row r="37800" spans="1:2" x14ac:dyDescent="0.25">
      <c r="A37800" s="118"/>
      <c r="B37800" s="136"/>
    </row>
    <row r="37801" spans="1:2" x14ac:dyDescent="0.25">
      <c r="A37801" s="118"/>
      <c r="B37801" s="136"/>
    </row>
    <row r="37802" spans="1:2" x14ac:dyDescent="0.25">
      <c r="A37802" s="118"/>
      <c r="B37802" s="136"/>
    </row>
    <row r="37803" spans="1:2" x14ac:dyDescent="0.25">
      <c r="A37803" s="118"/>
      <c r="B37803" s="136"/>
    </row>
    <row r="37804" spans="1:2" x14ac:dyDescent="0.25">
      <c r="A37804" s="118"/>
      <c r="B37804" s="136"/>
    </row>
    <row r="37805" spans="1:2" x14ac:dyDescent="0.25">
      <c r="A37805" s="118"/>
      <c r="B37805" s="136"/>
    </row>
    <row r="37806" spans="1:2" x14ac:dyDescent="0.25">
      <c r="A37806" s="118"/>
      <c r="B37806" s="136"/>
    </row>
    <row r="37807" spans="1:2" x14ac:dyDescent="0.25">
      <c r="A37807" s="118"/>
      <c r="B37807" s="136"/>
    </row>
    <row r="37808" spans="1:2" x14ac:dyDescent="0.25">
      <c r="A37808" s="118"/>
      <c r="B37808" s="136"/>
    </row>
    <row r="37809" spans="1:2" x14ac:dyDescent="0.25">
      <c r="A37809" s="118"/>
      <c r="B37809" s="136"/>
    </row>
    <row r="37810" spans="1:2" x14ac:dyDescent="0.25">
      <c r="A37810" s="118"/>
      <c r="B37810" s="136"/>
    </row>
    <row r="37811" spans="1:2" x14ac:dyDescent="0.25">
      <c r="A37811" s="118"/>
      <c r="B37811" s="136"/>
    </row>
    <row r="37812" spans="1:2" x14ac:dyDescent="0.25">
      <c r="A37812" s="118"/>
      <c r="B37812" s="136"/>
    </row>
    <row r="37813" spans="1:2" x14ac:dyDescent="0.25">
      <c r="A37813" s="118"/>
      <c r="B37813" s="136"/>
    </row>
    <row r="37814" spans="1:2" x14ac:dyDescent="0.25">
      <c r="A37814" s="118"/>
      <c r="B37814" s="136"/>
    </row>
    <row r="37815" spans="1:2" x14ac:dyDescent="0.25">
      <c r="A37815" s="118"/>
      <c r="B37815" s="136"/>
    </row>
    <row r="37816" spans="1:2" x14ac:dyDescent="0.25">
      <c r="A37816" s="118"/>
      <c r="B37816" s="136"/>
    </row>
    <row r="37817" spans="1:2" x14ac:dyDescent="0.25">
      <c r="A37817" s="118"/>
      <c r="B37817" s="136"/>
    </row>
    <row r="37818" spans="1:2" x14ac:dyDescent="0.25">
      <c r="A37818" s="118"/>
      <c r="B37818" s="136"/>
    </row>
    <row r="37819" spans="1:2" x14ac:dyDescent="0.25">
      <c r="A37819" s="118"/>
      <c r="B37819" s="136"/>
    </row>
    <row r="37820" spans="1:2" x14ac:dyDescent="0.25">
      <c r="A37820" s="118"/>
      <c r="B37820" s="136"/>
    </row>
    <row r="37821" spans="1:2" x14ac:dyDescent="0.25">
      <c r="A37821" s="118"/>
      <c r="B37821" s="136"/>
    </row>
    <row r="37822" spans="1:2" x14ac:dyDescent="0.25">
      <c r="A37822" s="118"/>
      <c r="B37822" s="136"/>
    </row>
    <row r="37823" spans="1:2" x14ac:dyDescent="0.25">
      <c r="A37823" s="118"/>
      <c r="B37823" s="136"/>
    </row>
    <row r="37824" spans="1:2" x14ac:dyDescent="0.25">
      <c r="A37824" s="118"/>
      <c r="B37824" s="136"/>
    </row>
    <row r="37825" spans="1:2" x14ac:dyDescent="0.25">
      <c r="A37825" s="118"/>
      <c r="B37825" s="136"/>
    </row>
    <row r="37826" spans="1:2" x14ac:dyDescent="0.25">
      <c r="A37826" s="118"/>
      <c r="B37826" s="136"/>
    </row>
    <row r="37827" spans="1:2" x14ac:dyDescent="0.25">
      <c r="A37827" s="118"/>
      <c r="B37827" s="136"/>
    </row>
    <row r="37828" spans="1:2" x14ac:dyDescent="0.25">
      <c r="A37828" s="118"/>
      <c r="B37828" s="136"/>
    </row>
    <row r="37829" spans="1:2" x14ac:dyDescent="0.25">
      <c r="A37829" s="118"/>
      <c r="B37829" s="136"/>
    </row>
    <row r="37830" spans="1:2" x14ac:dyDescent="0.25">
      <c r="A37830" s="118"/>
      <c r="B37830" s="136"/>
    </row>
    <row r="37831" spans="1:2" x14ac:dyDescent="0.25">
      <c r="A37831" s="118"/>
      <c r="B37831" s="136"/>
    </row>
    <row r="37832" spans="1:2" x14ac:dyDescent="0.25">
      <c r="A37832" s="118"/>
      <c r="B37832" s="136"/>
    </row>
    <row r="37833" spans="1:2" x14ac:dyDescent="0.25">
      <c r="A37833" s="118"/>
      <c r="B37833" s="136"/>
    </row>
    <row r="37834" spans="1:2" x14ac:dyDescent="0.25">
      <c r="A37834" s="118"/>
      <c r="B37834" s="136"/>
    </row>
    <row r="37835" spans="1:2" x14ac:dyDescent="0.25">
      <c r="A37835" s="118"/>
      <c r="B37835" s="136"/>
    </row>
    <row r="37836" spans="1:2" x14ac:dyDescent="0.25">
      <c r="A37836" s="118"/>
      <c r="B37836" s="136"/>
    </row>
    <row r="37837" spans="1:2" x14ac:dyDescent="0.25">
      <c r="A37837" s="118"/>
      <c r="B37837" s="136"/>
    </row>
    <row r="37838" spans="1:2" x14ac:dyDescent="0.25">
      <c r="A37838" s="118"/>
      <c r="B37838" s="136"/>
    </row>
    <row r="37839" spans="1:2" x14ac:dyDescent="0.25">
      <c r="A37839" s="118"/>
      <c r="B37839" s="136"/>
    </row>
    <row r="37840" spans="1:2" x14ac:dyDescent="0.25">
      <c r="A37840" s="118"/>
      <c r="B37840" s="136"/>
    </row>
    <row r="37841" spans="1:2" x14ac:dyDescent="0.25">
      <c r="A37841" s="118"/>
      <c r="B37841" s="136"/>
    </row>
    <row r="37842" spans="1:2" x14ac:dyDescent="0.25">
      <c r="A37842" s="118"/>
      <c r="B37842" s="136"/>
    </row>
    <row r="37843" spans="1:2" x14ac:dyDescent="0.25">
      <c r="A37843" s="118"/>
      <c r="B37843" s="136"/>
    </row>
    <row r="37844" spans="1:2" x14ac:dyDescent="0.25">
      <c r="A37844" s="118"/>
      <c r="B37844" s="136"/>
    </row>
    <row r="37845" spans="1:2" x14ac:dyDescent="0.25">
      <c r="A37845" s="118"/>
      <c r="B37845" s="136"/>
    </row>
    <row r="37846" spans="1:2" x14ac:dyDescent="0.25">
      <c r="A37846" s="118"/>
      <c r="B37846" s="136"/>
    </row>
    <row r="37847" spans="1:2" x14ac:dyDescent="0.25">
      <c r="A37847" s="118"/>
      <c r="B37847" s="136"/>
    </row>
    <row r="37848" spans="1:2" x14ac:dyDescent="0.25">
      <c r="A37848" s="118"/>
      <c r="B37848" s="136"/>
    </row>
    <row r="37849" spans="1:2" x14ac:dyDescent="0.25">
      <c r="A37849" s="118"/>
      <c r="B37849" s="136"/>
    </row>
    <row r="37850" spans="1:2" x14ac:dyDescent="0.25">
      <c r="A37850" s="118"/>
      <c r="B37850" s="136"/>
    </row>
    <row r="37851" spans="1:2" x14ac:dyDescent="0.25">
      <c r="A37851" s="118"/>
      <c r="B37851" s="136"/>
    </row>
    <row r="37852" spans="1:2" x14ac:dyDescent="0.25">
      <c r="A37852" s="118"/>
      <c r="B37852" s="136"/>
    </row>
    <row r="37853" spans="1:2" x14ac:dyDescent="0.25">
      <c r="A37853" s="118"/>
      <c r="B37853" s="136"/>
    </row>
    <row r="37854" spans="1:2" x14ac:dyDescent="0.25">
      <c r="A37854" s="118"/>
      <c r="B37854" s="136"/>
    </row>
    <row r="37855" spans="1:2" x14ac:dyDescent="0.25">
      <c r="A37855" s="118"/>
      <c r="B37855" s="136"/>
    </row>
    <row r="37856" spans="1:2" x14ac:dyDescent="0.25">
      <c r="A37856" s="118"/>
      <c r="B37856" s="136"/>
    </row>
    <row r="37857" spans="1:2" x14ac:dyDescent="0.25">
      <c r="A37857" s="118"/>
      <c r="B37857" s="136"/>
    </row>
    <row r="37858" spans="1:2" x14ac:dyDescent="0.25">
      <c r="A37858" s="118"/>
      <c r="B37858" s="136"/>
    </row>
    <row r="37859" spans="1:2" x14ac:dyDescent="0.25">
      <c r="A37859" s="118"/>
      <c r="B37859" s="136"/>
    </row>
    <row r="37860" spans="1:2" x14ac:dyDescent="0.25">
      <c r="A37860" s="118"/>
      <c r="B37860" s="136"/>
    </row>
    <row r="37861" spans="1:2" x14ac:dyDescent="0.25">
      <c r="A37861" s="118"/>
      <c r="B37861" s="136"/>
    </row>
    <row r="37862" spans="1:2" x14ac:dyDescent="0.25">
      <c r="A37862" s="118"/>
      <c r="B37862" s="136"/>
    </row>
    <row r="37863" spans="1:2" x14ac:dyDescent="0.25">
      <c r="A37863" s="118"/>
      <c r="B37863" s="136"/>
    </row>
    <row r="37864" spans="1:2" x14ac:dyDescent="0.25">
      <c r="A37864" s="118"/>
      <c r="B37864" s="136"/>
    </row>
    <row r="37865" spans="1:2" x14ac:dyDescent="0.25">
      <c r="A37865" s="118"/>
      <c r="B37865" s="136"/>
    </row>
    <row r="37866" spans="1:2" x14ac:dyDescent="0.25">
      <c r="A37866" s="118"/>
      <c r="B37866" s="136"/>
    </row>
    <row r="37867" spans="1:2" x14ac:dyDescent="0.25">
      <c r="A37867" s="118"/>
      <c r="B37867" s="136"/>
    </row>
    <row r="37868" spans="1:2" x14ac:dyDescent="0.25">
      <c r="A37868" s="118"/>
      <c r="B37868" s="136"/>
    </row>
    <row r="37869" spans="1:2" x14ac:dyDescent="0.25">
      <c r="A37869" s="118"/>
      <c r="B37869" s="136"/>
    </row>
    <row r="37870" spans="1:2" x14ac:dyDescent="0.25">
      <c r="A37870" s="118"/>
      <c r="B37870" s="136"/>
    </row>
    <row r="37871" spans="1:2" x14ac:dyDescent="0.25">
      <c r="A37871" s="118"/>
      <c r="B37871" s="136"/>
    </row>
    <row r="37872" spans="1:2" x14ac:dyDescent="0.25">
      <c r="A37872" s="118"/>
      <c r="B37872" s="136"/>
    </row>
    <row r="37873" spans="1:2" x14ac:dyDescent="0.25">
      <c r="A37873" s="118"/>
      <c r="B37873" s="136"/>
    </row>
    <row r="37874" spans="1:2" x14ac:dyDescent="0.25">
      <c r="A37874" s="118"/>
      <c r="B37874" s="136"/>
    </row>
    <row r="37875" spans="1:2" x14ac:dyDescent="0.25">
      <c r="A37875" s="118"/>
      <c r="B37875" s="136"/>
    </row>
    <row r="37876" spans="1:2" x14ac:dyDescent="0.25">
      <c r="A37876" s="118"/>
      <c r="B37876" s="136"/>
    </row>
    <row r="37877" spans="1:2" x14ac:dyDescent="0.25">
      <c r="A37877" s="118"/>
      <c r="B37877" s="136"/>
    </row>
    <row r="37878" spans="1:2" x14ac:dyDescent="0.25">
      <c r="A37878" s="118"/>
      <c r="B37878" s="136"/>
    </row>
    <row r="37879" spans="1:2" x14ac:dyDescent="0.25">
      <c r="A37879" s="118"/>
      <c r="B37879" s="136"/>
    </row>
    <row r="37880" spans="1:2" x14ac:dyDescent="0.25">
      <c r="A37880" s="118"/>
      <c r="B37880" s="136"/>
    </row>
    <row r="37881" spans="1:2" x14ac:dyDescent="0.25">
      <c r="A37881" s="118"/>
      <c r="B37881" s="136"/>
    </row>
    <row r="37882" spans="1:2" x14ac:dyDescent="0.25">
      <c r="A37882" s="118"/>
      <c r="B37882" s="136"/>
    </row>
    <row r="37883" spans="1:2" x14ac:dyDescent="0.25">
      <c r="A37883" s="118"/>
      <c r="B37883" s="136"/>
    </row>
    <row r="37884" spans="1:2" x14ac:dyDescent="0.25">
      <c r="A37884" s="118"/>
      <c r="B37884" s="136"/>
    </row>
    <row r="37885" spans="1:2" x14ac:dyDescent="0.25">
      <c r="A37885" s="118"/>
      <c r="B37885" s="136"/>
    </row>
    <row r="37886" spans="1:2" x14ac:dyDescent="0.25">
      <c r="A37886" s="118"/>
      <c r="B37886" s="136"/>
    </row>
    <row r="37887" spans="1:2" x14ac:dyDescent="0.25">
      <c r="A37887" s="118"/>
      <c r="B37887" s="136"/>
    </row>
    <row r="37888" spans="1:2" x14ac:dyDescent="0.25">
      <c r="A37888" s="118"/>
      <c r="B37888" s="136"/>
    </row>
    <row r="37889" spans="1:2" x14ac:dyDescent="0.25">
      <c r="A37889" s="118"/>
      <c r="B37889" s="136"/>
    </row>
    <row r="37890" spans="1:2" x14ac:dyDescent="0.25">
      <c r="A37890" s="118"/>
      <c r="B37890" s="136"/>
    </row>
    <row r="37891" spans="1:2" x14ac:dyDescent="0.25">
      <c r="A37891" s="118"/>
      <c r="B37891" s="136"/>
    </row>
    <row r="37892" spans="1:2" x14ac:dyDescent="0.25">
      <c r="A37892" s="118"/>
      <c r="B37892" s="136"/>
    </row>
    <row r="37893" spans="1:2" x14ac:dyDescent="0.25">
      <c r="A37893" s="118"/>
      <c r="B37893" s="136"/>
    </row>
    <row r="37894" spans="1:2" x14ac:dyDescent="0.25">
      <c r="A37894" s="118"/>
      <c r="B37894" s="136"/>
    </row>
    <row r="37895" spans="1:2" x14ac:dyDescent="0.25">
      <c r="A37895" s="118"/>
      <c r="B37895" s="136"/>
    </row>
    <row r="37896" spans="1:2" x14ac:dyDescent="0.25">
      <c r="A37896" s="118"/>
      <c r="B37896" s="136"/>
    </row>
    <row r="37897" spans="1:2" x14ac:dyDescent="0.25">
      <c r="A37897" s="118"/>
      <c r="B37897" s="136"/>
    </row>
    <row r="37898" spans="1:2" x14ac:dyDescent="0.25">
      <c r="A37898" s="118"/>
      <c r="B37898" s="136"/>
    </row>
    <row r="37899" spans="1:2" x14ac:dyDescent="0.25">
      <c r="A37899" s="118"/>
      <c r="B37899" s="136"/>
    </row>
    <row r="37900" spans="1:2" x14ac:dyDescent="0.25">
      <c r="A37900" s="118"/>
      <c r="B37900" s="136"/>
    </row>
    <row r="37901" spans="1:2" x14ac:dyDescent="0.25">
      <c r="A37901" s="118"/>
      <c r="B37901" s="136"/>
    </row>
    <row r="37902" spans="1:2" x14ac:dyDescent="0.25">
      <c r="A37902" s="118"/>
      <c r="B37902" s="136"/>
    </row>
    <row r="37903" spans="1:2" x14ac:dyDescent="0.25">
      <c r="A37903" s="118"/>
      <c r="B37903" s="136"/>
    </row>
    <row r="37904" spans="1:2" x14ac:dyDescent="0.25">
      <c r="A37904" s="118"/>
      <c r="B37904" s="136"/>
    </row>
    <row r="37905" spans="1:2" x14ac:dyDescent="0.25">
      <c r="A37905" s="118"/>
      <c r="B37905" s="136"/>
    </row>
    <row r="37906" spans="1:2" x14ac:dyDescent="0.25">
      <c r="A37906" s="118"/>
      <c r="B37906" s="136"/>
    </row>
    <row r="37907" spans="1:2" x14ac:dyDescent="0.25">
      <c r="A37907" s="118"/>
      <c r="B37907" s="136"/>
    </row>
    <row r="37908" spans="1:2" x14ac:dyDescent="0.25">
      <c r="A37908" s="118"/>
      <c r="B37908" s="136"/>
    </row>
    <row r="37909" spans="1:2" x14ac:dyDescent="0.25">
      <c r="A37909" s="118"/>
      <c r="B37909" s="136"/>
    </row>
    <row r="37910" spans="1:2" x14ac:dyDescent="0.25">
      <c r="A37910" s="118"/>
      <c r="B37910" s="136"/>
    </row>
    <row r="37911" spans="1:2" x14ac:dyDescent="0.25">
      <c r="A37911" s="118"/>
      <c r="B37911" s="136"/>
    </row>
    <row r="37912" spans="1:2" x14ac:dyDescent="0.25">
      <c r="A37912" s="118"/>
      <c r="B37912" s="136"/>
    </row>
    <row r="37913" spans="1:2" x14ac:dyDescent="0.25">
      <c r="A37913" s="118"/>
      <c r="B37913" s="136"/>
    </row>
    <row r="37914" spans="1:2" x14ac:dyDescent="0.25">
      <c r="A37914" s="118"/>
      <c r="B37914" s="136"/>
    </row>
    <row r="37915" spans="1:2" x14ac:dyDescent="0.25">
      <c r="A37915" s="118"/>
      <c r="B37915" s="136"/>
    </row>
    <row r="37916" spans="1:2" x14ac:dyDescent="0.25">
      <c r="A37916" s="118"/>
      <c r="B37916" s="136"/>
    </row>
    <row r="37917" spans="1:2" x14ac:dyDescent="0.25">
      <c r="A37917" s="118"/>
      <c r="B37917" s="136"/>
    </row>
    <row r="37918" spans="1:2" x14ac:dyDescent="0.25">
      <c r="A37918" s="118"/>
      <c r="B37918" s="136"/>
    </row>
    <row r="37919" spans="1:2" x14ac:dyDescent="0.25">
      <c r="A37919" s="118"/>
      <c r="B37919" s="136"/>
    </row>
    <row r="37920" spans="1:2" x14ac:dyDescent="0.25">
      <c r="A37920" s="118"/>
      <c r="B37920" s="136"/>
    </row>
    <row r="37921" spans="1:2" x14ac:dyDescent="0.25">
      <c r="A37921" s="118"/>
      <c r="B37921" s="136"/>
    </row>
    <row r="37922" spans="1:2" x14ac:dyDescent="0.25">
      <c r="A37922" s="118"/>
      <c r="B37922" s="136"/>
    </row>
    <row r="37923" spans="1:2" x14ac:dyDescent="0.25">
      <c r="A37923" s="118"/>
      <c r="B37923" s="136"/>
    </row>
    <row r="37924" spans="1:2" x14ac:dyDescent="0.25">
      <c r="A37924" s="118"/>
      <c r="B37924" s="136"/>
    </row>
    <row r="37925" spans="1:2" x14ac:dyDescent="0.25">
      <c r="A37925" s="118"/>
      <c r="B37925" s="136"/>
    </row>
    <row r="37926" spans="1:2" x14ac:dyDescent="0.25">
      <c r="A37926" s="118"/>
      <c r="B37926" s="136"/>
    </row>
    <row r="37927" spans="1:2" x14ac:dyDescent="0.25">
      <c r="A37927" s="118"/>
      <c r="B37927" s="136"/>
    </row>
    <row r="37928" spans="1:2" x14ac:dyDescent="0.25">
      <c r="A37928" s="118"/>
      <c r="B37928" s="136"/>
    </row>
    <row r="37929" spans="1:2" x14ac:dyDescent="0.25">
      <c r="A37929" s="118"/>
      <c r="B37929" s="136"/>
    </row>
    <row r="37930" spans="1:2" x14ac:dyDescent="0.25">
      <c r="A37930" s="118"/>
      <c r="B37930" s="136"/>
    </row>
    <row r="37931" spans="1:2" x14ac:dyDescent="0.25">
      <c r="A37931" s="118"/>
      <c r="B37931" s="136"/>
    </row>
    <row r="37932" spans="1:2" x14ac:dyDescent="0.25">
      <c r="A37932" s="118"/>
      <c r="B37932" s="136"/>
    </row>
    <row r="37933" spans="1:2" x14ac:dyDescent="0.25">
      <c r="A37933" s="118"/>
      <c r="B37933" s="136"/>
    </row>
    <row r="37934" spans="1:2" x14ac:dyDescent="0.25">
      <c r="A37934" s="118"/>
      <c r="B37934" s="136"/>
    </row>
    <row r="37935" spans="1:2" x14ac:dyDescent="0.25">
      <c r="A37935" s="118"/>
      <c r="B37935" s="136"/>
    </row>
    <row r="37936" spans="1:2" x14ac:dyDescent="0.25">
      <c r="A37936" s="118"/>
      <c r="B37936" s="136"/>
    </row>
    <row r="37937" spans="1:2" x14ac:dyDescent="0.25">
      <c r="A37937" s="118"/>
      <c r="B37937" s="136"/>
    </row>
    <row r="37938" spans="1:2" x14ac:dyDescent="0.25">
      <c r="A37938" s="118"/>
      <c r="B37938" s="136"/>
    </row>
    <row r="37939" spans="1:2" x14ac:dyDescent="0.25">
      <c r="A37939" s="118"/>
      <c r="B37939" s="136"/>
    </row>
    <row r="37940" spans="1:2" x14ac:dyDescent="0.25">
      <c r="A37940" s="118"/>
      <c r="B37940" s="136"/>
    </row>
    <row r="37941" spans="1:2" x14ac:dyDescent="0.25">
      <c r="A37941" s="118"/>
      <c r="B37941" s="136"/>
    </row>
    <row r="37942" spans="1:2" x14ac:dyDescent="0.25">
      <c r="A37942" s="118"/>
      <c r="B37942" s="136"/>
    </row>
    <row r="37943" spans="1:2" x14ac:dyDescent="0.25">
      <c r="A37943" s="118"/>
      <c r="B37943" s="136"/>
    </row>
    <row r="37944" spans="1:2" x14ac:dyDescent="0.25">
      <c r="A37944" s="118"/>
      <c r="B37944" s="136"/>
    </row>
    <row r="37945" spans="1:2" x14ac:dyDescent="0.25">
      <c r="A37945" s="118"/>
      <c r="B37945" s="136"/>
    </row>
    <row r="37946" spans="1:2" x14ac:dyDescent="0.25">
      <c r="A37946" s="118"/>
      <c r="B37946" s="136"/>
    </row>
    <row r="37947" spans="1:2" x14ac:dyDescent="0.25">
      <c r="A37947" s="118"/>
      <c r="B37947" s="136"/>
    </row>
    <row r="37948" spans="1:2" x14ac:dyDescent="0.25">
      <c r="A37948" s="118"/>
      <c r="B37948" s="136"/>
    </row>
    <row r="37949" spans="1:2" x14ac:dyDescent="0.25">
      <c r="A37949" s="118"/>
      <c r="B37949" s="136"/>
    </row>
    <row r="37950" spans="1:2" x14ac:dyDescent="0.25">
      <c r="A37950" s="118"/>
      <c r="B37950" s="136"/>
    </row>
    <row r="37951" spans="1:2" x14ac:dyDescent="0.25">
      <c r="A37951" s="118"/>
      <c r="B37951" s="136"/>
    </row>
    <row r="37952" spans="1:2" x14ac:dyDescent="0.25">
      <c r="A37952" s="118"/>
      <c r="B37952" s="136"/>
    </row>
    <row r="37953" spans="1:2" x14ac:dyDescent="0.25">
      <c r="A37953" s="118"/>
      <c r="B37953" s="136"/>
    </row>
    <row r="37954" spans="1:2" x14ac:dyDescent="0.25">
      <c r="A37954" s="118"/>
      <c r="B37954" s="136"/>
    </row>
    <row r="37955" spans="1:2" x14ac:dyDescent="0.25">
      <c r="A37955" s="118"/>
      <c r="B37955" s="136"/>
    </row>
    <row r="37956" spans="1:2" x14ac:dyDescent="0.25">
      <c r="A37956" s="118"/>
      <c r="B37956" s="136"/>
    </row>
    <row r="37957" spans="1:2" x14ac:dyDescent="0.25">
      <c r="A37957" s="118"/>
      <c r="B37957" s="136"/>
    </row>
    <row r="37958" spans="1:2" x14ac:dyDescent="0.25">
      <c r="A37958" s="118"/>
      <c r="B37958" s="136"/>
    </row>
    <row r="37959" spans="1:2" x14ac:dyDescent="0.25">
      <c r="A37959" s="118"/>
      <c r="B37959" s="136"/>
    </row>
    <row r="37960" spans="1:2" x14ac:dyDescent="0.25">
      <c r="A37960" s="118"/>
      <c r="B37960" s="136"/>
    </row>
    <row r="37961" spans="1:2" x14ac:dyDescent="0.25">
      <c r="A37961" s="118"/>
      <c r="B37961" s="136"/>
    </row>
    <row r="37962" spans="1:2" x14ac:dyDescent="0.25">
      <c r="A37962" s="118"/>
      <c r="B37962" s="136"/>
    </row>
    <row r="37963" spans="1:2" x14ac:dyDescent="0.25">
      <c r="A37963" s="118"/>
      <c r="B37963" s="136"/>
    </row>
    <row r="37964" spans="1:2" x14ac:dyDescent="0.25">
      <c r="A37964" s="118"/>
      <c r="B37964" s="136"/>
    </row>
    <row r="37965" spans="1:2" x14ac:dyDescent="0.25">
      <c r="A37965" s="118"/>
      <c r="B37965" s="136"/>
    </row>
    <row r="37966" spans="1:2" x14ac:dyDescent="0.25">
      <c r="A37966" s="118"/>
      <c r="B37966" s="136"/>
    </row>
    <row r="37967" spans="1:2" x14ac:dyDescent="0.25">
      <c r="A37967" s="118"/>
      <c r="B37967" s="136"/>
    </row>
    <row r="37968" spans="1:2" x14ac:dyDescent="0.25">
      <c r="A37968" s="118"/>
      <c r="B37968" s="136"/>
    </row>
    <row r="37969" spans="1:2" x14ac:dyDescent="0.25">
      <c r="A37969" s="118"/>
      <c r="B37969" s="136"/>
    </row>
    <row r="37970" spans="1:2" x14ac:dyDescent="0.25">
      <c r="A37970" s="118"/>
      <c r="B37970" s="136"/>
    </row>
    <row r="37971" spans="1:2" x14ac:dyDescent="0.25">
      <c r="A37971" s="118"/>
      <c r="B37971" s="136"/>
    </row>
    <row r="37972" spans="1:2" x14ac:dyDescent="0.25">
      <c r="A37972" s="118"/>
      <c r="B37972" s="136"/>
    </row>
    <row r="37973" spans="1:2" x14ac:dyDescent="0.25">
      <c r="A37973" s="118"/>
      <c r="B37973" s="136"/>
    </row>
    <row r="37974" spans="1:2" x14ac:dyDescent="0.25">
      <c r="A37974" s="118"/>
      <c r="B37974" s="136"/>
    </row>
    <row r="37975" spans="1:2" x14ac:dyDescent="0.25">
      <c r="A37975" s="118"/>
      <c r="B37975" s="136"/>
    </row>
    <row r="37976" spans="1:2" x14ac:dyDescent="0.25">
      <c r="A37976" s="118"/>
      <c r="B37976" s="136"/>
    </row>
    <row r="37977" spans="1:2" x14ac:dyDescent="0.25">
      <c r="A37977" s="118"/>
      <c r="B37977" s="136"/>
    </row>
    <row r="37978" spans="1:2" x14ac:dyDescent="0.25">
      <c r="A37978" s="118"/>
      <c r="B37978" s="136"/>
    </row>
    <row r="37979" spans="1:2" x14ac:dyDescent="0.25">
      <c r="A37979" s="118"/>
      <c r="B37979" s="136"/>
    </row>
    <row r="37980" spans="1:2" x14ac:dyDescent="0.25">
      <c r="A37980" s="118"/>
      <c r="B37980" s="136"/>
    </row>
    <row r="37981" spans="1:2" x14ac:dyDescent="0.25">
      <c r="A37981" s="118"/>
      <c r="B37981" s="136"/>
    </row>
    <row r="37982" spans="1:2" x14ac:dyDescent="0.25">
      <c r="A37982" s="118"/>
      <c r="B37982" s="136"/>
    </row>
    <row r="37983" spans="1:2" x14ac:dyDescent="0.25">
      <c r="A37983" s="118"/>
      <c r="B37983" s="136"/>
    </row>
    <row r="37984" spans="1:2" x14ac:dyDescent="0.25">
      <c r="A37984" s="118"/>
      <c r="B37984" s="136"/>
    </row>
    <row r="37985" spans="1:2" x14ac:dyDescent="0.25">
      <c r="A37985" s="118"/>
      <c r="B37985" s="136"/>
    </row>
    <row r="37986" spans="1:2" x14ac:dyDescent="0.25">
      <c r="A37986" s="118"/>
      <c r="B37986" s="136"/>
    </row>
    <row r="37987" spans="1:2" x14ac:dyDescent="0.25">
      <c r="A37987" s="118"/>
      <c r="B37987" s="136"/>
    </row>
    <row r="37988" spans="1:2" x14ac:dyDescent="0.25">
      <c r="A37988" s="118"/>
      <c r="B37988" s="136"/>
    </row>
    <row r="37989" spans="1:2" x14ac:dyDescent="0.25">
      <c r="A37989" s="118"/>
      <c r="B37989" s="136"/>
    </row>
    <row r="37990" spans="1:2" x14ac:dyDescent="0.25">
      <c r="A37990" s="118"/>
      <c r="B37990" s="136"/>
    </row>
    <row r="37991" spans="1:2" x14ac:dyDescent="0.25">
      <c r="A37991" s="118"/>
      <c r="B37991" s="136"/>
    </row>
    <row r="37992" spans="1:2" x14ac:dyDescent="0.25">
      <c r="A37992" s="118"/>
      <c r="B37992" s="136"/>
    </row>
    <row r="37993" spans="1:2" x14ac:dyDescent="0.25">
      <c r="A37993" s="118"/>
      <c r="B37993" s="136"/>
    </row>
    <row r="37994" spans="1:2" x14ac:dyDescent="0.25">
      <c r="A37994" s="118"/>
      <c r="B37994" s="136"/>
    </row>
    <row r="37995" spans="1:2" x14ac:dyDescent="0.25">
      <c r="A37995" s="118"/>
      <c r="B37995" s="136"/>
    </row>
    <row r="37996" spans="1:2" x14ac:dyDescent="0.25">
      <c r="A37996" s="118"/>
      <c r="B37996" s="136"/>
    </row>
    <row r="37997" spans="1:2" x14ac:dyDescent="0.25">
      <c r="A37997" s="118"/>
      <c r="B37997" s="136"/>
    </row>
    <row r="37998" spans="1:2" x14ac:dyDescent="0.25">
      <c r="A37998" s="118"/>
      <c r="B37998" s="136"/>
    </row>
    <row r="37999" spans="1:2" x14ac:dyDescent="0.25">
      <c r="A37999" s="118"/>
      <c r="B37999" s="136"/>
    </row>
    <row r="38000" spans="1:2" x14ac:dyDescent="0.25">
      <c r="A38000" s="118"/>
      <c r="B38000" s="136"/>
    </row>
    <row r="38001" spans="1:2" x14ac:dyDescent="0.25">
      <c r="A38001" s="118"/>
      <c r="B38001" s="136"/>
    </row>
    <row r="38002" spans="1:2" x14ac:dyDescent="0.25">
      <c r="A38002" s="118"/>
      <c r="B38002" s="136"/>
    </row>
    <row r="38003" spans="1:2" x14ac:dyDescent="0.25">
      <c r="A38003" s="118"/>
      <c r="B38003" s="136"/>
    </row>
    <row r="38004" spans="1:2" x14ac:dyDescent="0.25">
      <c r="A38004" s="118"/>
      <c r="B38004" s="136"/>
    </row>
    <row r="38005" spans="1:2" x14ac:dyDescent="0.25">
      <c r="A38005" s="118"/>
      <c r="B38005" s="136"/>
    </row>
    <row r="38006" spans="1:2" x14ac:dyDescent="0.25">
      <c r="A38006" s="118"/>
      <c r="B38006" s="136"/>
    </row>
    <row r="38007" spans="1:2" x14ac:dyDescent="0.25">
      <c r="A38007" s="118"/>
      <c r="B38007" s="136"/>
    </row>
    <row r="38008" spans="1:2" x14ac:dyDescent="0.25">
      <c r="A38008" s="118"/>
      <c r="B38008" s="136"/>
    </row>
    <row r="38009" spans="1:2" x14ac:dyDescent="0.25">
      <c r="A38009" s="118"/>
      <c r="B38009" s="136"/>
    </row>
    <row r="38010" spans="1:2" x14ac:dyDescent="0.25">
      <c r="A38010" s="118"/>
      <c r="B38010" s="136"/>
    </row>
    <row r="38011" spans="1:2" x14ac:dyDescent="0.25">
      <c r="A38011" s="118"/>
      <c r="B38011" s="136"/>
    </row>
    <row r="38012" spans="1:2" x14ac:dyDescent="0.25">
      <c r="A38012" s="118"/>
      <c r="B38012" s="136"/>
    </row>
    <row r="38013" spans="1:2" x14ac:dyDescent="0.25">
      <c r="A38013" s="118"/>
      <c r="B38013" s="136"/>
    </row>
    <row r="38014" spans="1:2" x14ac:dyDescent="0.25">
      <c r="A38014" s="118"/>
      <c r="B38014" s="136"/>
    </row>
    <row r="38015" spans="1:2" x14ac:dyDescent="0.25">
      <c r="A38015" s="118"/>
      <c r="B38015" s="136"/>
    </row>
    <row r="38016" spans="1:2" x14ac:dyDescent="0.25">
      <c r="A38016" s="118"/>
      <c r="B38016" s="136"/>
    </row>
    <row r="38017" spans="1:2" x14ac:dyDescent="0.25">
      <c r="A38017" s="118"/>
      <c r="B38017" s="136"/>
    </row>
    <row r="38018" spans="1:2" x14ac:dyDescent="0.25">
      <c r="A38018" s="118"/>
      <c r="B38018" s="136"/>
    </row>
    <row r="38019" spans="1:2" x14ac:dyDescent="0.25">
      <c r="A38019" s="118"/>
      <c r="B38019" s="136"/>
    </row>
    <row r="38020" spans="1:2" x14ac:dyDescent="0.25">
      <c r="A38020" s="118"/>
      <c r="B38020" s="136"/>
    </row>
    <row r="38021" spans="1:2" x14ac:dyDescent="0.25">
      <c r="A38021" s="118"/>
      <c r="B38021" s="136"/>
    </row>
    <row r="38022" spans="1:2" x14ac:dyDescent="0.25">
      <c r="A38022" s="118"/>
      <c r="B38022" s="136"/>
    </row>
    <row r="38023" spans="1:2" x14ac:dyDescent="0.25">
      <c r="A38023" s="118"/>
      <c r="B38023" s="136"/>
    </row>
    <row r="38024" spans="1:2" x14ac:dyDescent="0.25">
      <c r="A38024" s="118"/>
      <c r="B38024" s="136"/>
    </row>
    <row r="38025" spans="1:2" x14ac:dyDescent="0.25">
      <c r="A38025" s="118"/>
      <c r="B38025" s="136"/>
    </row>
    <row r="38026" spans="1:2" x14ac:dyDescent="0.25">
      <c r="A38026" s="118"/>
      <c r="B38026" s="136"/>
    </row>
    <row r="38027" spans="1:2" x14ac:dyDescent="0.25">
      <c r="A38027" s="118"/>
      <c r="B38027" s="136"/>
    </row>
    <row r="38028" spans="1:2" x14ac:dyDescent="0.25">
      <c r="A38028" s="118"/>
      <c r="B38028" s="136"/>
    </row>
    <row r="38029" spans="1:2" x14ac:dyDescent="0.25">
      <c r="A38029" s="118"/>
      <c r="B38029" s="136"/>
    </row>
    <row r="38030" spans="1:2" x14ac:dyDescent="0.25">
      <c r="A38030" s="118"/>
      <c r="B38030" s="136"/>
    </row>
    <row r="38031" spans="1:2" x14ac:dyDescent="0.25">
      <c r="A38031" s="118"/>
      <c r="B38031" s="136"/>
    </row>
    <row r="38032" spans="1:2" x14ac:dyDescent="0.25">
      <c r="A38032" s="118"/>
      <c r="B38032" s="136"/>
    </row>
    <row r="38033" spans="1:2" x14ac:dyDescent="0.25">
      <c r="A38033" s="118"/>
      <c r="B38033" s="136"/>
    </row>
    <row r="38034" spans="1:2" x14ac:dyDescent="0.25">
      <c r="A38034" s="118"/>
      <c r="B38034" s="136"/>
    </row>
    <row r="38035" spans="1:2" x14ac:dyDescent="0.25">
      <c r="A38035" s="118"/>
      <c r="B38035" s="136"/>
    </row>
    <row r="38036" spans="1:2" x14ac:dyDescent="0.25">
      <c r="A38036" s="118"/>
      <c r="B38036" s="136"/>
    </row>
    <row r="38037" spans="1:2" x14ac:dyDescent="0.25">
      <c r="A38037" s="118"/>
      <c r="B38037" s="136"/>
    </row>
    <row r="38038" spans="1:2" x14ac:dyDescent="0.25">
      <c r="A38038" s="118"/>
      <c r="B38038" s="136"/>
    </row>
    <row r="38039" spans="1:2" x14ac:dyDescent="0.25">
      <c r="A38039" s="118"/>
      <c r="B38039" s="136"/>
    </row>
    <row r="38040" spans="1:2" x14ac:dyDescent="0.25">
      <c r="A38040" s="118"/>
      <c r="B38040" s="136"/>
    </row>
    <row r="38041" spans="1:2" x14ac:dyDescent="0.25">
      <c r="A38041" s="118"/>
      <c r="B38041" s="136"/>
    </row>
    <row r="38042" spans="1:2" x14ac:dyDescent="0.25">
      <c r="A38042" s="118"/>
      <c r="B38042" s="136"/>
    </row>
    <row r="38043" spans="1:2" x14ac:dyDescent="0.25">
      <c r="A38043" s="118"/>
      <c r="B38043" s="136"/>
    </row>
    <row r="38044" spans="1:2" x14ac:dyDescent="0.25">
      <c r="A38044" s="118"/>
      <c r="B38044" s="136"/>
    </row>
    <row r="38045" spans="1:2" x14ac:dyDescent="0.25">
      <c r="A38045" s="118"/>
      <c r="B38045" s="136"/>
    </row>
    <row r="38046" spans="1:2" x14ac:dyDescent="0.25">
      <c r="A38046" s="118"/>
      <c r="B38046" s="136"/>
    </row>
    <row r="38047" spans="1:2" x14ac:dyDescent="0.25">
      <c r="A38047" s="118"/>
      <c r="B38047" s="136"/>
    </row>
    <row r="38048" spans="1:2" x14ac:dyDescent="0.25">
      <c r="A38048" s="118"/>
      <c r="B38048" s="136"/>
    </row>
    <row r="38049" spans="1:2" x14ac:dyDescent="0.25">
      <c r="A38049" s="118"/>
      <c r="B38049" s="136"/>
    </row>
    <row r="38050" spans="1:2" x14ac:dyDescent="0.25">
      <c r="A38050" s="118"/>
      <c r="B38050" s="136"/>
    </row>
    <row r="38051" spans="1:2" x14ac:dyDescent="0.25">
      <c r="A38051" s="118"/>
      <c r="B38051" s="136"/>
    </row>
    <row r="38052" spans="1:2" x14ac:dyDescent="0.25">
      <c r="A38052" s="118"/>
      <c r="B38052" s="136"/>
    </row>
    <row r="38053" spans="1:2" x14ac:dyDescent="0.25">
      <c r="A38053" s="118"/>
      <c r="B38053" s="136"/>
    </row>
    <row r="38054" spans="1:2" x14ac:dyDescent="0.25">
      <c r="A38054" s="118"/>
      <c r="B38054" s="136"/>
    </row>
    <row r="38055" spans="1:2" x14ac:dyDescent="0.25">
      <c r="A38055" s="118"/>
      <c r="B38055" s="136"/>
    </row>
    <row r="38056" spans="1:2" x14ac:dyDescent="0.25">
      <c r="A38056" s="118"/>
      <c r="B38056" s="136"/>
    </row>
    <row r="38057" spans="1:2" x14ac:dyDescent="0.25">
      <c r="A38057" s="118"/>
      <c r="B38057" s="136"/>
    </row>
    <row r="38058" spans="1:2" x14ac:dyDescent="0.25">
      <c r="A38058" s="118"/>
      <c r="B38058" s="136"/>
    </row>
    <row r="38059" spans="1:2" x14ac:dyDescent="0.25">
      <c r="A38059" s="118"/>
      <c r="B38059" s="136"/>
    </row>
    <row r="38060" spans="1:2" x14ac:dyDescent="0.25">
      <c r="A38060" s="118"/>
      <c r="B38060" s="136"/>
    </row>
    <row r="38061" spans="1:2" x14ac:dyDescent="0.25">
      <c r="A38061" s="118"/>
      <c r="B38061" s="136"/>
    </row>
    <row r="38062" spans="1:2" x14ac:dyDescent="0.25">
      <c r="A38062" s="118"/>
      <c r="B38062" s="136"/>
    </row>
    <row r="38063" spans="1:2" x14ac:dyDescent="0.25">
      <c r="A38063" s="118"/>
      <c r="B38063" s="136"/>
    </row>
    <row r="38064" spans="1:2" x14ac:dyDescent="0.25">
      <c r="A38064" s="118"/>
      <c r="B38064" s="136"/>
    </row>
    <row r="38065" spans="1:2" x14ac:dyDescent="0.25">
      <c r="A38065" s="118"/>
      <c r="B38065" s="136"/>
    </row>
    <row r="38066" spans="1:2" x14ac:dyDescent="0.25">
      <c r="A38066" s="118"/>
      <c r="B38066" s="136"/>
    </row>
    <row r="38067" spans="1:2" x14ac:dyDescent="0.25">
      <c r="A38067" s="118"/>
      <c r="B38067" s="136"/>
    </row>
    <row r="38068" spans="1:2" x14ac:dyDescent="0.25">
      <c r="A38068" s="118"/>
      <c r="B38068" s="136"/>
    </row>
    <row r="38069" spans="1:2" x14ac:dyDescent="0.25">
      <c r="A38069" s="118"/>
      <c r="B38069" s="136"/>
    </row>
    <row r="38070" spans="1:2" x14ac:dyDescent="0.25">
      <c r="A38070" s="118"/>
      <c r="B38070" s="136"/>
    </row>
    <row r="38071" spans="1:2" x14ac:dyDescent="0.25">
      <c r="A38071" s="118"/>
      <c r="B38071" s="136"/>
    </row>
    <row r="38072" spans="1:2" x14ac:dyDescent="0.25">
      <c r="A38072" s="118"/>
      <c r="B38072" s="136"/>
    </row>
    <row r="38073" spans="1:2" x14ac:dyDescent="0.25">
      <c r="A38073" s="118"/>
      <c r="B38073" s="136"/>
    </row>
    <row r="38074" spans="1:2" x14ac:dyDescent="0.25">
      <c r="A38074" s="118"/>
      <c r="B38074" s="136"/>
    </row>
    <row r="38075" spans="1:2" x14ac:dyDescent="0.25">
      <c r="A38075" s="118"/>
      <c r="B38075" s="136"/>
    </row>
    <row r="38076" spans="1:2" x14ac:dyDescent="0.25">
      <c r="A38076" s="118"/>
      <c r="B38076" s="136"/>
    </row>
    <row r="38077" spans="1:2" x14ac:dyDescent="0.25">
      <c r="A38077" s="118"/>
      <c r="B38077" s="136"/>
    </row>
    <row r="38078" spans="1:2" x14ac:dyDescent="0.25">
      <c r="A38078" s="118"/>
      <c r="B38078" s="136"/>
    </row>
    <row r="38079" spans="1:2" x14ac:dyDescent="0.25">
      <c r="A38079" s="118"/>
      <c r="B38079" s="136"/>
    </row>
    <row r="38080" spans="1:2" x14ac:dyDescent="0.25">
      <c r="A38080" s="118"/>
      <c r="B38080" s="136"/>
    </row>
    <row r="38081" spans="1:2" x14ac:dyDescent="0.25">
      <c r="A38081" s="118"/>
      <c r="B38081" s="136"/>
    </row>
    <row r="38082" spans="1:2" x14ac:dyDescent="0.25">
      <c r="A38082" s="118"/>
      <c r="B38082" s="136"/>
    </row>
    <row r="38083" spans="1:2" x14ac:dyDescent="0.25">
      <c r="A38083" s="118"/>
      <c r="B38083" s="136"/>
    </row>
    <row r="38084" spans="1:2" x14ac:dyDescent="0.25">
      <c r="A38084" s="118"/>
      <c r="B38084" s="136"/>
    </row>
    <row r="38085" spans="1:2" x14ac:dyDescent="0.25">
      <c r="A38085" s="118"/>
      <c r="B38085" s="136"/>
    </row>
    <row r="38086" spans="1:2" x14ac:dyDescent="0.25">
      <c r="A38086" s="118"/>
      <c r="B38086" s="136"/>
    </row>
    <row r="38087" spans="1:2" x14ac:dyDescent="0.25">
      <c r="A38087" s="118"/>
      <c r="B38087" s="136"/>
    </row>
    <row r="38088" spans="1:2" x14ac:dyDescent="0.25">
      <c r="A38088" s="118"/>
      <c r="B38088" s="136"/>
    </row>
    <row r="38089" spans="1:2" x14ac:dyDescent="0.25">
      <c r="A38089" s="118"/>
      <c r="B38089" s="136"/>
    </row>
    <row r="38090" spans="1:2" x14ac:dyDescent="0.25">
      <c r="A38090" s="118"/>
      <c r="B38090" s="136"/>
    </row>
    <row r="38091" spans="1:2" x14ac:dyDescent="0.25">
      <c r="A38091" s="118"/>
      <c r="B38091" s="136"/>
    </row>
    <row r="38092" spans="1:2" x14ac:dyDescent="0.25">
      <c r="A38092" s="118"/>
      <c r="B38092" s="136"/>
    </row>
    <row r="38093" spans="1:2" x14ac:dyDescent="0.25">
      <c r="A38093" s="118"/>
      <c r="B38093" s="136"/>
    </row>
    <row r="38094" spans="1:2" x14ac:dyDescent="0.25">
      <c r="A38094" s="118"/>
      <c r="B38094" s="136"/>
    </row>
    <row r="38095" spans="1:2" x14ac:dyDescent="0.25">
      <c r="A38095" s="118"/>
      <c r="B38095" s="136"/>
    </row>
    <row r="38096" spans="1:2" x14ac:dyDescent="0.25">
      <c r="A38096" s="118"/>
      <c r="B38096" s="136"/>
    </row>
    <row r="38097" spans="1:2" x14ac:dyDescent="0.25">
      <c r="A38097" s="118"/>
      <c r="B38097" s="136"/>
    </row>
    <row r="38098" spans="1:2" x14ac:dyDescent="0.25">
      <c r="A38098" s="118"/>
      <c r="B38098" s="136"/>
    </row>
    <row r="38099" spans="1:2" x14ac:dyDescent="0.25">
      <c r="A38099" s="118"/>
      <c r="B38099" s="136"/>
    </row>
    <row r="38100" spans="1:2" x14ac:dyDescent="0.25">
      <c r="A38100" s="118"/>
      <c r="B38100" s="136"/>
    </row>
    <row r="38101" spans="1:2" x14ac:dyDescent="0.25">
      <c r="A38101" s="118"/>
      <c r="B38101" s="136"/>
    </row>
    <row r="38102" spans="1:2" x14ac:dyDescent="0.25">
      <c r="A38102" s="118"/>
      <c r="B38102" s="136"/>
    </row>
    <row r="38103" spans="1:2" x14ac:dyDescent="0.25">
      <c r="A38103" s="118"/>
      <c r="B38103" s="136"/>
    </row>
    <row r="38104" spans="1:2" x14ac:dyDescent="0.25">
      <c r="A38104" s="118"/>
      <c r="B38104" s="136"/>
    </row>
    <row r="38105" spans="1:2" x14ac:dyDescent="0.25">
      <c r="A38105" s="118"/>
      <c r="B38105" s="136"/>
    </row>
    <row r="38106" spans="1:2" x14ac:dyDescent="0.25">
      <c r="A38106" s="118"/>
      <c r="B38106" s="136"/>
    </row>
    <row r="38107" spans="1:2" x14ac:dyDescent="0.25">
      <c r="A38107" s="118"/>
      <c r="B38107" s="136"/>
    </row>
    <row r="38108" spans="1:2" x14ac:dyDescent="0.25">
      <c r="A38108" s="118"/>
      <c r="B38108" s="136"/>
    </row>
    <row r="38109" spans="1:2" x14ac:dyDescent="0.25">
      <c r="A38109" s="118"/>
      <c r="B38109" s="136"/>
    </row>
    <row r="38110" spans="1:2" x14ac:dyDescent="0.25">
      <c r="A38110" s="118"/>
      <c r="B38110" s="136"/>
    </row>
    <row r="38111" spans="1:2" x14ac:dyDescent="0.25">
      <c r="A38111" s="118"/>
      <c r="B38111" s="136"/>
    </row>
    <row r="38112" spans="1:2" x14ac:dyDescent="0.25">
      <c r="A38112" s="118"/>
      <c r="B38112" s="136"/>
    </row>
    <row r="38113" spans="1:2" x14ac:dyDescent="0.25">
      <c r="A38113" s="118"/>
      <c r="B38113" s="136"/>
    </row>
    <row r="38114" spans="1:2" x14ac:dyDescent="0.25">
      <c r="A38114" s="118"/>
      <c r="B38114" s="136"/>
    </row>
    <row r="38115" spans="1:2" x14ac:dyDescent="0.25">
      <c r="A38115" s="118"/>
      <c r="B38115" s="136"/>
    </row>
    <row r="38116" spans="1:2" x14ac:dyDescent="0.25">
      <c r="A38116" s="118"/>
      <c r="B38116" s="136"/>
    </row>
    <row r="38117" spans="1:2" x14ac:dyDescent="0.25">
      <c r="A38117" s="118"/>
      <c r="B38117" s="136"/>
    </row>
    <row r="38118" spans="1:2" x14ac:dyDescent="0.25">
      <c r="A38118" s="118"/>
      <c r="B38118" s="136"/>
    </row>
    <row r="38119" spans="1:2" x14ac:dyDescent="0.25">
      <c r="A38119" s="118"/>
      <c r="B38119" s="136"/>
    </row>
    <row r="38120" spans="1:2" x14ac:dyDescent="0.25">
      <c r="A38120" s="118"/>
      <c r="B38120" s="136"/>
    </row>
    <row r="38121" spans="1:2" x14ac:dyDescent="0.25">
      <c r="A38121" s="118"/>
      <c r="B38121" s="136"/>
    </row>
    <row r="38122" spans="1:2" x14ac:dyDescent="0.25">
      <c r="A38122" s="118"/>
      <c r="B38122" s="136"/>
    </row>
    <row r="38123" spans="1:2" x14ac:dyDescent="0.25">
      <c r="A38123" s="118"/>
      <c r="B38123" s="136"/>
    </row>
    <row r="38124" spans="1:2" x14ac:dyDescent="0.25">
      <c r="A38124" s="118"/>
      <c r="B38124" s="136"/>
    </row>
    <row r="38125" spans="1:2" x14ac:dyDescent="0.25">
      <c r="A38125" s="118"/>
      <c r="B38125" s="136"/>
    </row>
    <row r="38126" spans="1:2" x14ac:dyDescent="0.25">
      <c r="A38126" s="118"/>
      <c r="B38126" s="136"/>
    </row>
    <row r="38127" spans="1:2" x14ac:dyDescent="0.25">
      <c r="A38127" s="118"/>
      <c r="B38127" s="136"/>
    </row>
    <row r="38128" spans="1:2" x14ac:dyDescent="0.25">
      <c r="A38128" s="118"/>
      <c r="B38128" s="136"/>
    </row>
    <row r="38129" spans="1:2" x14ac:dyDescent="0.25">
      <c r="A38129" s="118"/>
      <c r="B38129" s="136"/>
    </row>
    <row r="38130" spans="1:2" x14ac:dyDescent="0.25">
      <c r="A38130" s="118"/>
      <c r="B38130" s="136"/>
    </row>
    <row r="38131" spans="1:2" x14ac:dyDescent="0.25">
      <c r="A38131" s="118"/>
      <c r="B38131" s="136"/>
    </row>
    <row r="38132" spans="1:2" x14ac:dyDescent="0.25">
      <c r="A38132" s="118"/>
      <c r="B38132" s="136"/>
    </row>
    <row r="38133" spans="1:2" x14ac:dyDescent="0.25">
      <c r="A38133" s="118"/>
      <c r="B38133" s="136"/>
    </row>
    <row r="38134" spans="1:2" x14ac:dyDescent="0.25">
      <c r="A38134" s="118"/>
      <c r="B38134" s="136"/>
    </row>
    <row r="38135" spans="1:2" x14ac:dyDescent="0.25">
      <c r="A38135" s="118"/>
      <c r="B38135" s="136"/>
    </row>
    <row r="38136" spans="1:2" x14ac:dyDescent="0.25">
      <c r="A38136" s="118"/>
      <c r="B38136" s="136"/>
    </row>
    <row r="38137" spans="1:2" x14ac:dyDescent="0.25">
      <c r="A38137" s="118"/>
      <c r="B38137" s="136"/>
    </row>
    <row r="38138" spans="1:2" x14ac:dyDescent="0.25">
      <c r="A38138" s="118"/>
      <c r="B38138" s="136"/>
    </row>
    <row r="38139" spans="1:2" x14ac:dyDescent="0.25">
      <c r="A38139" s="118"/>
      <c r="B38139" s="136"/>
    </row>
    <row r="38140" spans="1:2" x14ac:dyDescent="0.25">
      <c r="A38140" s="118"/>
      <c r="B38140" s="136"/>
    </row>
    <row r="38141" spans="1:2" x14ac:dyDescent="0.25">
      <c r="A38141" s="118"/>
      <c r="B38141" s="136"/>
    </row>
    <row r="38142" spans="1:2" x14ac:dyDescent="0.25">
      <c r="A38142" s="118"/>
      <c r="B38142" s="136"/>
    </row>
    <row r="38143" spans="1:2" x14ac:dyDescent="0.25">
      <c r="A38143" s="118"/>
      <c r="B38143" s="136"/>
    </row>
    <row r="38144" spans="1:2" x14ac:dyDescent="0.25">
      <c r="A38144" s="118"/>
      <c r="B38144" s="136"/>
    </row>
    <row r="38145" spans="1:2" x14ac:dyDescent="0.25">
      <c r="A38145" s="118"/>
      <c r="B38145" s="136"/>
    </row>
    <row r="38146" spans="1:2" x14ac:dyDescent="0.25">
      <c r="A38146" s="118"/>
      <c r="B38146" s="136"/>
    </row>
    <row r="38147" spans="1:2" x14ac:dyDescent="0.25">
      <c r="A38147" s="118"/>
      <c r="B38147" s="136"/>
    </row>
    <row r="38148" spans="1:2" x14ac:dyDescent="0.25">
      <c r="A38148" s="118"/>
      <c r="B38148" s="136"/>
    </row>
    <row r="38149" spans="1:2" x14ac:dyDescent="0.25">
      <c r="A38149" s="118"/>
      <c r="B38149" s="136"/>
    </row>
    <row r="38150" spans="1:2" x14ac:dyDescent="0.25">
      <c r="A38150" s="118"/>
      <c r="B38150" s="136"/>
    </row>
    <row r="38151" spans="1:2" x14ac:dyDescent="0.25">
      <c r="A38151" s="118"/>
      <c r="B38151" s="136"/>
    </row>
    <row r="38152" spans="1:2" x14ac:dyDescent="0.25">
      <c r="A38152" s="118"/>
      <c r="B38152" s="136"/>
    </row>
    <row r="38153" spans="1:2" x14ac:dyDescent="0.25">
      <c r="A38153" s="118"/>
      <c r="B38153" s="136"/>
    </row>
    <row r="38154" spans="1:2" x14ac:dyDescent="0.25">
      <c r="A38154" s="118"/>
      <c r="B38154" s="136"/>
    </row>
    <row r="38155" spans="1:2" x14ac:dyDescent="0.25">
      <c r="A38155" s="118"/>
      <c r="B38155" s="136"/>
    </row>
    <row r="38156" spans="1:2" x14ac:dyDescent="0.25">
      <c r="A38156" s="118"/>
      <c r="B38156" s="136"/>
    </row>
    <row r="38157" spans="1:2" x14ac:dyDescent="0.25">
      <c r="A38157" s="118"/>
      <c r="B38157" s="136"/>
    </row>
    <row r="38158" spans="1:2" x14ac:dyDescent="0.25">
      <c r="A38158" s="118"/>
      <c r="B38158" s="136"/>
    </row>
    <row r="38159" spans="1:2" x14ac:dyDescent="0.25">
      <c r="A38159" s="118"/>
      <c r="B38159" s="136"/>
    </row>
    <row r="38160" spans="1:2" x14ac:dyDescent="0.25">
      <c r="A38160" s="118"/>
      <c r="B38160" s="136"/>
    </row>
    <row r="38161" spans="1:2" x14ac:dyDescent="0.25">
      <c r="A38161" s="118"/>
      <c r="B38161" s="136"/>
    </row>
    <row r="38162" spans="1:2" x14ac:dyDescent="0.25">
      <c r="A38162" s="118"/>
      <c r="B38162" s="136"/>
    </row>
    <row r="38163" spans="1:2" x14ac:dyDescent="0.25">
      <c r="A38163" s="118"/>
      <c r="B38163" s="136"/>
    </row>
    <row r="38164" spans="1:2" x14ac:dyDescent="0.25">
      <c r="A38164" s="118"/>
      <c r="B38164" s="136"/>
    </row>
    <row r="38165" spans="1:2" x14ac:dyDescent="0.25">
      <c r="A38165" s="118"/>
      <c r="B38165" s="136"/>
    </row>
    <row r="38166" spans="1:2" x14ac:dyDescent="0.25">
      <c r="A38166" s="118"/>
      <c r="B38166" s="136"/>
    </row>
    <row r="38167" spans="1:2" x14ac:dyDescent="0.25">
      <c r="A38167" s="118"/>
      <c r="B38167" s="136"/>
    </row>
    <row r="38168" spans="1:2" x14ac:dyDescent="0.25">
      <c r="A38168" s="118"/>
      <c r="B38168" s="136"/>
    </row>
    <row r="38169" spans="1:2" x14ac:dyDescent="0.25">
      <c r="A38169" s="118"/>
      <c r="B38169" s="136"/>
    </row>
    <row r="38170" spans="1:2" x14ac:dyDescent="0.25">
      <c r="A38170" s="118"/>
      <c r="B38170" s="136"/>
    </row>
    <row r="38171" spans="1:2" x14ac:dyDescent="0.25">
      <c r="A38171" s="118"/>
      <c r="B38171" s="136"/>
    </row>
    <row r="38172" spans="1:2" x14ac:dyDescent="0.25">
      <c r="A38172" s="118"/>
      <c r="B38172" s="136"/>
    </row>
    <row r="38173" spans="1:2" x14ac:dyDescent="0.25">
      <c r="A38173" s="118"/>
      <c r="B38173" s="136"/>
    </row>
    <row r="38174" spans="1:2" x14ac:dyDescent="0.25">
      <c r="A38174" s="118"/>
      <c r="B38174" s="136"/>
    </row>
    <row r="38175" spans="1:2" x14ac:dyDescent="0.25">
      <c r="A38175" s="118"/>
      <c r="B38175" s="136"/>
    </row>
    <row r="38176" spans="1:2" x14ac:dyDescent="0.25">
      <c r="A38176" s="118"/>
      <c r="B38176" s="136"/>
    </row>
    <row r="38177" spans="1:2" x14ac:dyDescent="0.25">
      <c r="A38177" s="118"/>
      <c r="B38177" s="136"/>
    </row>
    <row r="38178" spans="1:2" x14ac:dyDescent="0.25">
      <c r="A38178" s="118"/>
      <c r="B38178" s="136"/>
    </row>
    <row r="38179" spans="1:2" x14ac:dyDescent="0.25">
      <c r="A38179" s="118"/>
      <c r="B38179" s="136"/>
    </row>
    <row r="38180" spans="1:2" x14ac:dyDescent="0.25">
      <c r="A38180" s="118"/>
      <c r="B38180" s="136"/>
    </row>
    <row r="38181" spans="1:2" x14ac:dyDescent="0.25">
      <c r="A38181" s="118"/>
      <c r="B38181" s="136"/>
    </row>
    <row r="38182" spans="1:2" x14ac:dyDescent="0.25">
      <c r="A38182" s="118"/>
      <c r="B38182" s="136"/>
    </row>
    <row r="38183" spans="1:2" x14ac:dyDescent="0.25">
      <c r="A38183" s="118"/>
      <c r="B38183" s="136"/>
    </row>
    <row r="38184" spans="1:2" x14ac:dyDescent="0.25">
      <c r="A38184" s="118"/>
      <c r="B38184" s="136"/>
    </row>
    <row r="38185" spans="1:2" x14ac:dyDescent="0.25">
      <c r="A38185" s="118"/>
      <c r="B38185" s="136"/>
    </row>
    <row r="38186" spans="1:2" x14ac:dyDescent="0.25">
      <c r="A38186" s="118"/>
      <c r="B38186" s="136"/>
    </row>
    <row r="38187" spans="1:2" x14ac:dyDescent="0.25">
      <c r="A38187" s="118"/>
      <c r="B38187" s="136"/>
    </row>
    <row r="38188" spans="1:2" x14ac:dyDescent="0.25">
      <c r="A38188" s="118"/>
      <c r="B38188" s="136"/>
    </row>
    <row r="38189" spans="1:2" x14ac:dyDescent="0.25">
      <c r="A38189" s="118"/>
      <c r="B38189" s="136"/>
    </row>
    <row r="38190" spans="1:2" x14ac:dyDescent="0.25">
      <c r="A38190" s="118"/>
      <c r="B38190" s="136"/>
    </row>
    <row r="38191" spans="1:2" x14ac:dyDescent="0.25">
      <c r="A38191" s="118"/>
      <c r="B38191" s="136"/>
    </row>
    <row r="38192" spans="1:2" x14ac:dyDescent="0.25">
      <c r="A38192" s="118"/>
      <c r="B38192" s="136"/>
    </row>
    <row r="38193" spans="1:2" x14ac:dyDescent="0.25">
      <c r="A38193" s="118"/>
      <c r="B38193" s="136"/>
    </row>
    <row r="38194" spans="1:2" x14ac:dyDescent="0.25">
      <c r="A38194" s="118"/>
      <c r="B38194" s="136"/>
    </row>
    <row r="38195" spans="1:2" x14ac:dyDescent="0.25">
      <c r="A38195" s="118"/>
      <c r="B38195" s="136"/>
    </row>
    <row r="38196" spans="1:2" x14ac:dyDescent="0.25">
      <c r="A38196" s="118"/>
      <c r="B38196" s="136"/>
    </row>
    <row r="38197" spans="1:2" x14ac:dyDescent="0.25">
      <c r="A38197" s="118"/>
      <c r="B38197" s="136"/>
    </row>
    <row r="38198" spans="1:2" x14ac:dyDescent="0.25">
      <c r="A38198" s="118"/>
      <c r="B38198" s="136"/>
    </row>
    <row r="38199" spans="1:2" x14ac:dyDescent="0.25">
      <c r="A38199" s="118"/>
      <c r="B38199" s="136"/>
    </row>
    <row r="38200" spans="1:2" x14ac:dyDescent="0.25">
      <c r="A38200" s="118"/>
      <c r="B38200" s="136"/>
    </row>
    <row r="38201" spans="1:2" x14ac:dyDescent="0.25">
      <c r="A38201" s="118"/>
      <c r="B38201" s="136"/>
    </row>
    <row r="38202" spans="1:2" x14ac:dyDescent="0.25">
      <c r="A38202" s="118"/>
      <c r="B38202" s="136"/>
    </row>
    <row r="38203" spans="1:2" x14ac:dyDescent="0.25">
      <c r="A38203" s="118"/>
      <c r="B38203" s="136"/>
    </row>
    <row r="38204" spans="1:2" x14ac:dyDescent="0.25">
      <c r="A38204" s="118"/>
      <c r="B38204" s="136"/>
    </row>
    <row r="38205" spans="1:2" x14ac:dyDescent="0.25">
      <c r="A38205" s="118"/>
      <c r="B38205" s="136"/>
    </row>
    <row r="38206" spans="1:2" x14ac:dyDescent="0.25">
      <c r="A38206" s="118"/>
      <c r="B38206" s="136"/>
    </row>
    <row r="38207" spans="1:2" x14ac:dyDescent="0.25">
      <c r="A38207" s="118"/>
      <c r="B38207" s="136"/>
    </row>
    <row r="38208" spans="1:2" x14ac:dyDescent="0.25">
      <c r="A38208" s="118"/>
      <c r="B38208" s="136"/>
    </row>
    <row r="38209" spans="1:2" x14ac:dyDescent="0.25">
      <c r="A38209" s="118"/>
      <c r="B38209" s="136"/>
    </row>
    <row r="38210" spans="1:2" x14ac:dyDescent="0.25">
      <c r="A38210" s="118"/>
      <c r="B38210" s="136"/>
    </row>
    <row r="38211" spans="1:2" x14ac:dyDescent="0.25">
      <c r="A38211" s="118"/>
      <c r="B38211" s="136"/>
    </row>
    <row r="38212" spans="1:2" x14ac:dyDescent="0.25">
      <c r="A38212" s="118"/>
      <c r="B38212" s="136"/>
    </row>
    <row r="38213" spans="1:2" x14ac:dyDescent="0.25">
      <c r="A38213" s="118"/>
      <c r="B38213" s="136"/>
    </row>
    <row r="38214" spans="1:2" x14ac:dyDescent="0.25">
      <c r="A38214" s="118"/>
      <c r="B38214" s="136"/>
    </row>
    <row r="38215" spans="1:2" x14ac:dyDescent="0.25">
      <c r="A38215" s="118"/>
      <c r="B38215" s="136"/>
    </row>
    <row r="38216" spans="1:2" x14ac:dyDescent="0.25">
      <c r="A38216" s="118"/>
      <c r="B38216" s="136"/>
    </row>
    <row r="38217" spans="1:2" x14ac:dyDescent="0.25">
      <c r="A38217" s="118"/>
      <c r="B38217" s="136"/>
    </row>
    <row r="38218" spans="1:2" x14ac:dyDescent="0.25">
      <c r="A38218" s="118"/>
      <c r="B38218" s="136"/>
    </row>
    <row r="38219" spans="1:2" x14ac:dyDescent="0.25">
      <c r="A38219" s="118"/>
      <c r="B38219" s="136"/>
    </row>
    <row r="38220" spans="1:2" x14ac:dyDescent="0.25">
      <c r="A38220" s="118"/>
      <c r="B38220" s="136"/>
    </row>
    <row r="38221" spans="1:2" x14ac:dyDescent="0.25">
      <c r="A38221" s="118"/>
      <c r="B38221" s="136"/>
    </row>
    <row r="38222" spans="1:2" x14ac:dyDescent="0.25">
      <c r="A38222" s="118"/>
      <c r="B38222" s="136"/>
    </row>
    <row r="38223" spans="1:2" x14ac:dyDescent="0.25">
      <c r="A38223" s="118"/>
      <c r="B38223" s="136"/>
    </row>
    <row r="38224" spans="1:2" x14ac:dyDescent="0.25">
      <c r="A38224" s="118"/>
      <c r="B38224" s="136"/>
    </row>
    <row r="38225" spans="1:2" x14ac:dyDescent="0.25">
      <c r="A38225" s="118"/>
      <c r="B38225" s="136"/>
    </row>
    <row r="38226" spans="1:2" x14ac:dyDescent="0.25">
      <c r="A38226" s="118"/>
      <c r="B38226" s="136"/>
    </row>
    <row r="38227" spans="1:2" x14ac:dyDescent="0.25">
      <c r="A38227" s="118"/>
      <c r="B38227" s="136"/>
    </row>
    <row r="38228" spans="1:2" x14ac:dyDescent="0.25">
      <c r="A38228" s="118"/>
      <c r="B38228" s="136"/>
    </row>
    <row r="38229" spans="1:2" x14ac:dyDescent="0.25">
      <c r="A38229" s="118"/>
      <c r="B38229" s="136"/>
    </row>
    <row r="38230" spans="1:2" x14ac:dyDescent="0.25">
      <c r="A38230" s="118"/>
      <c r="B38230" s="136"/>
    </row>
    <row r="38231" spans="1:2" x14ac:dyDescent="0.25">
      <c r="A38231" s="118"/>
      <c r="B38231" s="136"/>
    </row>
    <row r="38232" spans="1:2" x14ac:dyDescent="0.25">
      <c r="A38232" s="118"/>
      <c r="B38232" s="136"/>
    </row>
    <row r="38233" spans="1:2" x14ac:dyDescent="0.25">
      <c r="A38233" s="118"/>
      <c r="B38233" s="136"/>
    </row>
    <row r="38234" spans="1:2" x14ac:dyDescent="0.25">
      <c r="A38234" s="118"/>
      <c r="B38234" s="136"/>
    </row>
    <row r="38235" spans="1:2" x14ac:dyDescent="0.25">
      <c r="A38235" s="118"/>
      <c r="B38235" s="136"/>
    </row>
    <row r="38236" spans="1:2" x14ac:dyDescent="0.25">
      <c r="A38236" s="118"/>
      <c r="B38236" s="136"/>
    </row>
    <row r="38237" spans="1:2" x14ac:dyDescent="0.25">
      <c r="A38237" s="118"/>
      <c r="B38237" s="136"/>
    </row>
    <row r="38238" spans="1:2" x14ac:dyDescent="0.25">
      <c r="A38238" s="118"/>
      <c r="B38238" s="136"/>
    </row>
    <row r="38239" spans="1:2" x14ac:dyDescent="0.25">
      <c r="A38239" s="118"/>
      <c r="B38239" s="136"/>
    </row>
    <row r="38240" spans="1:2" x14ac:dyDescent="0.25">
      <c r="A38240" s="118"/>
      <c r="B38240" s="136"/>
    </row>
    <row r="38241" spans="1:2" x14ac:dyDescent="0.25">
      <c r="A38241" s="118"/>
      <c r="B38241" s="136"/>
    </row>
    <row r="38242" spans="1:2" x14ac:dyDescent="0.25">
      <c r="A38242" s="118"/>
      <c r="B38242" s="136"/>
    </row>
    <row r="38243" spans="1:2" x14ac:dyDescent="0.25">
      <c r="A38243" s="118"/>
      <c r="B38243" s="136"/>
    </row>
    <row r="38244" spans="1:2" x14ac:dyDescent="0.25">
      <c r="A38244" s="118"/>
      <c r="B38244" s="136"/>
    </row>
    <row r="38245" spans="1:2" x14ac:dyDescent="0.25">
      <c r="A38245" s="118"/>
      <c r="B38245" s="136"/>
    </row>
    <row r="38246" spans="1:2" x14ac:dyDescent="0.25">
      <c r="A38246" s="118"/>
      <c r="B38246" s="136"/>
    </row>
    <row r="38247" spans="1:2" x14ac:dyDescent="0.25">
      <c r="A38247" s="118"/>
      <c r="B38247" s="136"/>
    </row>
    <row r="38248" spans="1:2" x14ac:dyDescent="0.25">
      <c r="A38248" s="118"/>
      <c r="B38248" s="136"/>
    </row>
    <row r="38249" spans="1:2" x14ac:dyDescent="0.25">
      <c r="A38249" s="118"/>
      <c r="B38249" s="136"/>
    </row>
    <row r="38250" spans="1:2" x14ac:dyDescent="0.25">
      <c r="A38250" s="118"/>
      <c r="B38250" s="136"/>
    </row>
    <row r="38251" spans="1:2" x14ac:dyDescent="0.25">
      <c r="A38251" s="118"/>
      <c r="B38251" s="136"/>
    </row>
    <row r="38252" spans="1:2" x14ac:dyDescent="0.25">
      <c r="A38252" s="118"/>
      <c r="B38252" s="136"/>
    </row>
    <row r="38253" spans="1:2" x14ac:dyDescent="0.25">
      <c r="A38253" s="118"/>
      <c r="B38253" s="136"/>
    </row>
    <row r="38254" spans="1:2" x14ac:dyDescent="0.25">
      <c r="A38254" s="118"/>
      <c r="B38254" s="136"/>
    </row>
    <row r="38255" spans="1:2" x14ac:dyDescent="0.25">
      <c r="A38255" s="118"/>
      <c r="B38255" s="136"/>
    </row>
    <row r="38256" spans="1:2" x14ac:dyDescent="0.25">
      <c r="A38256" s="118"/>
      <c r="B38256" s="136"/>
    </row>
    <row r="38257" spans="1:2" x14ac:dyDescent="0.25">
      <c r="A38257" s="118"/>
      <c r="B38257" s="136"/>
    </row>
    <row r="38258" spans="1:2" x14ac:dyDescent="0.25">
      <c r="A38258" s="118"/>
      <c r="B38258" s="136"/>
    </row>
    <row r="38259" spans="1:2" x14ac:dyDescent="0.25">
      <c r="A38259" s="118"/>
      <c r="B38259" s="136"/>
    </row>
    <row r="38260" spans="1:2" x14ac:dyDescent="0.25">
      <c r="A38260" s="118"/>
      <c r="B38260" s="136"/>
    </row>
    <row r="38261" spans="1:2" x14ac:dyDescent="0.25">
      <c r="A38261" s="118"/>
      <c r="B38261" s="136"/>
    </row>
    <row r="38262" spans="1:2" x14ac:dyDescent="0.25">
      <c r="A38262" s="118"/>
      <c r="B38262" s="136"/>
    </row>
    <row r="38263" spans="1:2" x14ac:dyDescent="0.25">
      <c r="A38263" s="118"/>
      <c r="B38263" s="136"/>
    </row>
    <row r="38264" spans="1:2" x14ac:dyDescent="0.25">
      <c r="A38264" s="118"/>
      <c r="B38264" s="136"/>
    </row>
    <row r="38265" spans="1:2" x14ac:dyDescent="0.25">
      <c r="A38265" s="118"/>
      <c r="B38265" s="136"/>
    </row>
    <row r="38266" spans="1:2" x14ac:dyDescent="0.25">
      <c r="A38266" s="118"/>
      <c r="B38266" s="136"/>
    </row>
    <row r="38267" spans="1:2" x14ac:dyDescent="0.25">
      <c r="A38267" s="118"/>
      <c r="B38267" s="136"/>
    </row>
    <row r="38268" spans="1:2" x14ac:dyDescent="0.25">
      <c r="A38268" s="118"/>
      <c r="B38268" s="136"/>
    </row>
    <row r="38269" spans="1:2" x14ac:dyDescent="0.25">
      <c r="A38269" s="118"/>
      <c r="B38269" s="136"/>
    </row>
    <row r="38270" spans="1:2" x14ac:dyDescent="0.25">
      <c r="A38270" s="118"/>
      <c r="B38270" s="136"/>
    </row>
    <row r="38271" spans="1:2" x14ac:dyDescent="0.25">
      <c r="A38271" s="118"/>
      <c r="B38271" s="136"/>
    </row>
    <row r="38272" spans="1:2" x14ac:dyDescent="0.25">
      <c r="A38272" s="118"/>
      <c r="B38272" s="136"/>
    </row>
    <row r="38273" spans="1:2" x14ac:dyDescent="0.25">
      <c r="A38273" s="118"/>
      <c r="B38273" s="136"/>
    </row>
    <row r="38274" spans="1:2" x14ac:dyDescent="0.25">
      <c r="A38274" s="118"/>
      <c r="B38274" s="136"/>
    </row>
    <row r="38275" spans="1:2" x14ac:dyDescent="0.25">
      <c r="A38275" s="118"/>
      <c r="B38275" s="136"/>
    </row>
    <row r="38276" spans="1:2" x14ac:dyDescent="0.25">
      <c r="A38276" s="118"/>
      <c r="B38276" s="136"/>
    </row>
    <row r="38277" spans="1:2" x14ac:dyDescent="0.25">
      <c r="A38277" s="118"/>
      <c r="B38277" s="136"/>
    </row>
    <row r="38278" spans="1:2" x14ac:dyDescent="0.25">
      <c r="A38278" s="118"/>
      <c r="B38278" s="136"/>
    </row>
    <row r="38279" spans="1:2" x14ac:dyDescent="0.25">
      <c r="A38279" s="118"/>
      <c r="B38279" s="136"/>
    </row>
    <row r="38280" spans="1:2" x14ac:dyDescent="0.25">
      <c r="A38280" s="118"/>
      <c r="B38280" s="136"/>
    </row>
    <row r="38281" spans="1:2" x14ac:dyDescent="0.25">
      <c r="A38281" s="118"/>
      <c r="B38281" s="136"/>
    </row>
    <row r="38282" spans="1:2" x14ac:dyDescent="0.25">
      <c r="A38282" s="118"/>
      <c r="B38282" s="136"/>
    </row>
    <row r="38283" spans="1:2" x14ac:dyDescent="0.25">
      <c r="A38283" s="118"/>
      <c r="B38283" s="136"/>
    </row>
    <row r="38284" spans="1:2" x14ac:dyDescent="0.25">
      <c r="A38284" s="118"/>
      <c r="B38284" s="136"/>
    </row>
    <row r="38285" spans="1:2" x14ac:dyDescent="0.25">
      <c r="A38285" s="118"/>
      <c r="B38285" s="136"/>
    </row>
    <row r="38286" spans="1:2" x14ac:dyDescent="0.25">
      <c r="A38286" s="118"/>
      <c r="B38286" s="136"/>
    </row>
    <row r="38287" spans="1:2" x14ac:dyDescent="0.25">
      <c r="A38287" s="118"/>
      <c r="B38287" s="136"/>
    </row>
    <row r="38288" spans="1:2" x14ac:dyDescent="0.25">
      <c r="A38288" s="118"/>
      <c r="B38288" s="136"/>
    </row>
    <row r="38289" spans="1:2" x14ac:dyDescent="0.25">
      <c r="A38289" s="118"/>
      <c r="B38289" s="136"/>
    </row>
    <row r="38290" spans="1:2" x14ac:dyDescent="0.25">
      <c r="A38290" s="118"/>
      <c r="B38290" s="136"/>
    </row>
    <row r="38291" spans="1:2" x14ac:dyDescent="0.25">
      <c r="A38291" s="118"/>
      <c r="B38291" s="136"/>
    </row>
    <row r="38292" spans="1:2" x14ac:dyDescent="0.25">
      <c r="A38292" s="118"/>
      <c r="B38292" s="136"/>
    </row>
    <row r="38293" spans="1:2" x14ac:dyDescent="0.25">
      <c r="A38293" s="118"/>
      <c r="B38293" s="136"/>
    </row>
    <row r="38294" spans="1:2" x14ac:dyDescent="0.25">
      <c r="A38294" s="118"/>
      <c r="B38294" s="136"/>
    </row>
    <row r="38295" spans="1:2" x14ac:dyDescent="0.25">
      <c r="A38295" s="118"/>
      <c r="B38295" s="136"/>
    </row>
    <row r="38296" spans="1:2" x14ac:dyDescent="0.25">
      <c r="A38296" s="118"/>
      <c r="B38296" s="136"/>
    </row>
    <row r="38297" spans="1:2" x14ac:dyDescent="0.25">
      <c r="A38297" s="118"/>
      <c r="B38297" s="136"/>
    </row>
    <row r="38298" spans="1:2" x14ac:dyDescent="0.25">
      <c r="A38298" s="118"/>
      <c r="B38298" s="136"/>
    </row>
    <row r="38299" spans="1:2" x14ac:dyDescent="0.25">
      <c r="A38299" s="118"/>
      <c r="B38299" s="136"/>
    </row>
    <row r="38300" spans="1:2" x14ac:dyDescent="0.25">
      <c r="A38300" s="118"/>
      <c r="B38300" s="136"/>
    </row>
    <row r="38301" spans="1:2" x14ac:dyDescent="0.25">
      <c r="A38301" s="118"/>
      <c r="B38301" s="136"/>
    </row>
    <row r="38302" spans="1:2" x14ac:dyDescent="0.25">
      <c r="A38302" s="118"/>
      <c r="B38302" s="136"/>
    </row>
    <row r="38303" spans="1:2" x14ac:dyDescent="0.25">
      <c r="A38303" s="118"/>
      <c r="B38303" s="136"/>
    </row>
    <row r="38304" spans="1:2" x14ac:dyDescent="0.25">
      <c r="A38304" s="118"/>
      <c r="B38304" s="136"/>
    </row>
    <row r="38305" spans="1:2" x14ac:dyDescent="0.25">
      <c r="A38305" s="118"/>
      <c r="B38305" s="136"/>
    </row>
    <row r="38306" spans="1:2" x14ac:dyDescent="0.25">
      <c r="A38306" s="118"/>
      <c r="B38306" s="136"/>
    </row>
    <row r="38307" spans="1:2" x14ac:dyDescent="0.25">
      <c r="A38307" s="118"/>
      <c r="B38307" s="136"/>
    </row>
    <row r="38308" spans="1:2" x14ac:dyDescent="0.25">
      <c r="A38308" s="118"/>
      <c r="B38308" s="136"/>
    </row>
    <row r="38309" spans="1:2" x14ac:dyDescent="0.25">
      <c r="A38309" s="118"/>
      <c r="B38309" s="136"/>
    </row>
    <row r="38310" spans="1:2" x14ac:dyDescent="0.25">
      <c r="A38310" s="118"/>
      <c r="B38310" s="136"/>
    </row>
    <row r="38311" spans="1:2" x14ac:dyDescent="0.25">
      <c r="A38311" s="118"/>
      <c r="B38311" s="136"/>
    </row>
    <row r="38312" spans="1:2" x14ac:dyDescent="0.25">
      <c r="A38312" s="118"/>
      <c r="B38312" s="136"/>
    </row>
    <row r="38313" spans="1:2" x14ac:dyDescent="0.25">
      <c r="A38313" s="118"/>
      <c r="B38313" s="136"/>
    </row>
    <row r="38314" spans="1:2" x14ac:dyDescent="0.25">
      <c r="A38314" s="118"/>
      <c r="B38314" s="136"/>
    </row>
    <row r="38315" spans="1:2" x14ac:dyDescent="0.25">
      <c r="A38315" s="118"/>
      <c r="B38315" s="136"/>
    </row>
    <row r="38316" spans="1:2" x14ac:dyDescent="0.25">
      <c r="A38316" s="118"/>
      <c r="B38316" s="136"/>
    </row>
    <row r="38317" spans="1:2" x14ac:dyDescent="0.25">
      <c r="A38317" s="118"/>
      <c r="B38317" s="136"/>
    </row>
    <row r="38318" spans="1:2" x14ac:dyDescent="0.25">
      <c r="A38318" s="118"/>
      <c r="B38318" s="136"/>
    </row>
    <row r="38319" spans="1:2" x14ac:dyDescent="0.25">
      <c r="A38319" s="118"/>
      <c r="B38319" s="136"/>
    </row>
    <row r="38320" spans="1:2" x14ac:dyDescent="0.25">
      <c r="A38320" s="118"/>
      <c r="B38320" s="136"/>
    </row>
    <row r="38321" spans="1:2" x14ac:dyDescent="0.25">
      <c r="A38321" s="118"/>
      <c r="B38321" s="136"/>
    </row>
    <row r="38322" spans="1:2" x14ac:dyDescent="0.25">
      <c r="A38322" s="118"/>
      <c r="B38322" s="136"/>
    </row>
    <row r="38323" spans="1:2" x14ac:dyDescent="0.25">
      <c r="A38323" s="118"/>
      <c r="B38323" s="136"/>
    </row>
    <row r="38324" spans="1:2" x14ac:dyDescent="0.25">
      <c r="A38324" s="118"/>
      <c r="B38324" s="136"/>
    </row>
    <row r="38325" spans="1:2" x14ac:dyDescent="0.25">
      <c r="A38325" s="118"/>
      <c r="B38325" s="136"/>
    </row>
    <row r="38326" spans="1:2" x14ac:dyDescent="0.25">
      <c r="A38326" s="118"/>
      <c r="B38326" s="136"/>
    </row>
    <row r="38327" spans="1:2" x14ac:dyDescent="0.25">
      <c r="A38327" s="118"/>
      <c r="B38327" s="136"/>
    </row>
    <row r="38328" spans="1:2" x14ac:dyDescent="0.25">
      <c r="A38328" s="118"/>
      <c r="B38328" s="136"/>
    </row>
    <row r="38329" spans="1:2" x14ac:dyDescent="0.25">
      <c r="A38329" s="118"/>
      <c r="B38329" s="136"/>
    </row>
    <row r="38330" spans="1:2" x14ac:dyDescent="0.25">
      <c r="A38330" s="118"/>
      <c r="B38330" s="136"/>
    </row>
    <row r="38331" spans="1:2" x14ac:dyDescent="0.25">
      <c r="A38331" s="118"/>
      <c r="B38331" s="136"/>
    </row>
    <row r="38332" spans="1:2" x14ac:dyDescent="0.25">
      <c r="A38332" s="118"/>
      <c r="B38332" s="136"/>
    </row>
    <row r="38333" spans="1:2" x14ac:dyDescent="0.25">
      <c r="A38333" s="118"/>
      <c r="B38333" s="136"/>
    </row>
    <row r="38334" spans="1:2" x14ac:dyDescent="0.25">
      <c r="A38334" s="118"/>
      <c r="B38334" s="136"/>
    </row>
    <row r="38335" spans="1:2" x14ac:dyDescent="0.25">
      <c r="A38335" s="118"/>
      <c r="B38335" s="136"/>
    </row>
    <row r="38336" spans="1:2" x14ac:dyDescent="0.25">
      <c r="A38336" s="118"/>
      <c r="B38336" s="136"/>
    </row>
    <row r="38337" spans="1:2" x14ac:dyDescent="0.25">
      <c r="A38337" s="118"/>
      <c r="B38337" s="136"/>
    </row>
    <row r="38338" spans="1:2" x14ac:dyDescent="0.25">
      <c r="A38338" s="118"/>
      <c r="B38338" s="136"/>
    </row>
    <row r="38339" spans="1:2" x14ac:dyDescent="0.25">
      <c r="A38339" s="118"/>
      <c r="B38339" s="136"/>
    </row>
    <row r="38340" spans="1:2" x14ac:dyDescent="0.25">
      <c r="A38340" s="118"/>
      <c r="B38340" s="136"/>
    </row>
    <row r="38341" spans="1:2" x14ac:dyDescent="0.25">
      <c r="A38341" s="118"/>
      <c r="B38341" s="136"/>
    </row>
    <row r="38342" spans="1:2" x14ac:dyDescent="0.25">
      <c r="A38342" s="118"/>
      <c r="B38342" s="136"/>
    </row>
    <row r="38343" spans="1:2" x14ac:dyDescent="0.25">
      <c r="A38343" s="118"/>
      <c r="B38343" s="136"/>
    </row>
    <row r="38344" spans="1:2" x14ac:dyDescent="0.25">
      <c r="A38344" s="118"/>
      <c r="B38344" s="136"/>
    </row>
    <row r="38345" spans="1:2" x14ac:dyDescent="0.25">
      <c r="A38345" s="118"/>
      <c r="B38345" s="136"/>
    </row>
    <row r="38346" spans="1:2" x14ac:dyDescent="0.25">
      <c r="A38346" s="118"/>
      <c r="B38346" s="136"/>
    </row>
    <row r="38347" spans="1:2" x14ac:dyDescent="0.25">
      <c r="A38347" s="118"/>
      <c r="B38347" s="136"/>
    </row>
    <row r="38348" spans="1:2" x14ac:dyDescent="0.25">
      <c r="A38348" s="118"/>
      <c r="B38348" s="136"/>
    </row>
    <row r="38349" spans="1:2" x14ac:dyDescent="0.25">
      <c r="A38349" s="118"/>
      <c r="B38349" s="136"/>
    </row>
    <row r="38350" spans="1:2" x14ac:dyDescent="0.25">
      <c r="A38350" s="118"/>
      <c r="B38350" s="136"/>
    </row>
    <row r="38351" spans="1:2" x14ac:dyDescent="0.25">
      <c r="A38351" s="118"/>
      <c r="B38351" s="136"/>
    </row>
    <row r="38352" spans="1:2" x14ac:dyDescent="0.25">
      <c r="A38352" s="118"/>
      <c r="B38352" s="136"/>
    </row>
    <row r="38353" spans="1:2" x14ac:dyDescent="0.25">
      <c r="A38353" s="118"/>
      <c r="B38353" s="136"/>
    </row>
    <row r="38354" spans="1:2" x14ac:dyDescent="0.25">
      <c r="A38354" s="118"/>
      <c r="B38354" s="136"/>
    </row>
    <row r="38355" spans="1:2" x14ac:dyDescent="0.25">
      <c r="A38355" s="118"/>
      <c r="B38355" s="136"/>
    </row>
    <row r="38356" spans="1:2" x14ac:dyDescent="0.25">
      <c r="A38356" s="118"/>
      <c r="B38356" s="136"/>
    </row>
    <row r="38357" spans="1:2" x14ac:dyDescent="0.25">
      <c r="A38357" s="118"/>
      <c r="B38357" s="136"/>
    </row>
    <row r="38358" spans="1:2" x14ac:dyDescent="0.25">
      <c r="A38358" s="118"/>
      <c r="B38358" s="136"/>
    </row>
    <row r="38359" spans="1:2" x14ac:dyDescent="0.25">
      <c r="A38359" s="118"/>
      <c r="B38359" s="136"/>
    </row>
    <row r="38360" spans="1:2" x14ac:dyDescent="0.25">
      <c r="A38360" s="118"/>
      <c r="B38360" s="136"/>
    </row>
    <row r="38361" spans="1:2" x14ac:dyDescent="0.25">
      <c r="A38361" s="118"/>
      <c r="B38361" s="136"/>
    </row>
    <row r="38362" spans="1:2" x14ac:dyDescent="0.25">
      <c r="A38362" s="118"/>
      <c r="B38362" s="136"/>
    </row>
    <row r="38363" spans="1:2" x14ac:dyDescent="0.25">
      <c r="A38363" s="118"/>
      <c r="B38363" s="136"/>
    </row>
    <row r="38364" spans="1:2" x14ac:dyDescent="0.25">
      <c r="A38364" s="118"/>
      <c r="B38364" s="136"/>
    </row>
    <row r="38365" spans="1:2" x14ac:dyDescent="0.25">
      <c r="A38365" s="118"/>
      <c r="B38365" s="136"/>
    </row>
    <row r="38366" spans="1:2" x14ac:dyDescent="0.25">
      <c r="A38366" s="118"/>
      <c r="B38366" s="136"/>
    </row>
    <row r="38367" spans="1:2" x14ac:dyDescent="0.25">
      <c r="A38367" s="118"/>
      <c r="B38367" s="136"/>
    </row>
    <row r="38368" spans="1:2" x14ac:dyDescent="0.25">
      <c r="A38368" s="118"/>
      <c r="B38368" s="136"/>
    </row>
    <row r="38369" spans="1:2" x14ac:dyDescent="0.25">
      <c r="A38369" s="118"/>
      <c r="B38369" s="136"/>
    </row>
    <row r="38370" spans="1:2" x14ac:dyDescent="0.25">
      <c r="A38370" s="118"/>
      <c r="B38370" s="136"/>
    </row>
    <row r="38371" spans="1:2" x14ac:dyDescent="0.25">
      <c r="A38371" s="118"/>
      <c r="B38371" s="136"/>
    </row>
    <row r="38372" spans="1:2" x14ac:dyDescent="0.25">
      <c r="A38372" s="118"/>
      <c r="B38372" s="136"/>
    </row>
    <row r="38373" spans="1:2" x14ac:dyDescent="0.25">
      <c r="A38373" s="118"/>
      <c r="B38373" s="136"/>
    </row>
    <row r="38374" spans="1:2" x14ac:dyDescent="0.25">
      <c r="A38374" s="118"/>
      <c r="B38374" s="136"/>
    </row>
    <row r="38375" spans="1:2" x14ac:dyDescent="0.25">
      <c r="A38375" s="118"/>
      <c r="B38375" s="136"/>
    </row>
    <row r="38376" spans="1:2" x14ac:dyDescent="0.25">
      <c r="A38376" s="118"/>
      <c r="B38376" s="136"/>
    </row>
    <row r="38377" spans="1:2" x14ac:dyDescent="0.25">
      <c r="A38377" s="118"/>
      <c r="B38377" s="136"/>
    </row>
    <row r="38378" spans="1:2" x14ac:dyDescent="0.25">
      <c r="A38378" s="118"/>
      <c r="B38378" s="136"/>
    </row>
    <row r="38379" spans="1:2" x14ac:dyDescent="0.25">
      <c r="A38379" s="118"/>
      <c r="B38379" s="136"/>
    </row>
    <row r="38380" spans="1:2" x14ac:dyDescent="0.25">
      <c r="A38380" s="118"/>
      <c r="B38380" s="136"/>
    </row>
    <row r="38381" spans="1:2" x14ac:dyDescent="0.25">
      <c r="A38381" s="118"/>
      <c r="B38381" s="136"/>
    </row>
    <row r="38382" spans="1:2" x14ac:dyDescent="0.25">
      <c r="A38382" s="118"/>
      <c r="B38382" s="136"/>
    </row>
    <row r="38383" spans="1:2" x14ac:dyDescent="0.25">
      <c r="A38383" s="118"/>
      <c r="B38383" s="136"/>
    </row>
    <row r="38384" spans="1:2" x14ac:dyDescent="0.25">
      <c r="A38384" s="118"/>
      <c r="B38384" s="136"/>
    </row>
    <row r="38385" spans="1:2" x14ac:dyDescent="0.25">
      <c r="A38385" s="118"/>
      <c r="B38385" s="136"/>
    </row>
    <row r="38386" spans="1:2" x14ac:dyDescent="0.25">
      <c r="A38386" s="118"/>
      <c r="B38386" s="136"/>
    </row>
    <row r="38387" spans="1:2" x14ac:dyDescent="0.25">
      <c r="A38387" s="118"/>
      <c r="B38387" s="136"/>
    </row>
    <row r="38388" spans="1:2" x14ac:dyDescent="0.25">
      <c r="A38388" s="118"/>
      <c r="B38388" s="136"/>
    </row>
    <row r="38389" spans="1:2" x14ac:dyDescent="0.25">
      <c r="A38389" s="118"/>
      <c r="B38389" s="136"/>
    </row>
    <row r="38390" spans="1:2" x14ac:dyDescent="0.25">
      <c r="A38390" s="118"/>
      <c r="B38390" s="136"/>
    </row>
    <row r="38391" spans="1:2" x14ac:dyDescent="0.25">
      <c r="A38391" s="118"/>
      <c r="B38391" s="136"/>
    </row>
    <row r="38392" spans="1:2" x14ac:dyDescent="0.25">
      <c r="A38392" s="118"/>
      <c r="B38392" s="136"/>
    </row>
    <row r="38393" spans="1:2" x14ac:dyDescent="0.25">
      <c r="A38393" s="118"/>
      <c r="B38393" s="136"/>
    </row>
    <row r="38394" spans="1:2" x14ac:dyDescent="0.25">
      <c r="A38394" s="118"/>
      <c r="B38394" s="136"/>
    </row>
    <row r="38395" spans="1:2" x14ac:dyDescent="0.25">
      <c r="A38395" s="118"/>
      <c r="B38395" s="136"/>
    </row>
    <row r="38396" spans="1:2" x14ac:dyDescent="0.25">
      <c r="A38396" s="118"/>
      <c r="B38396" s="136"/>
    </row>
    <row r="38397" spans="1:2" x14ac:dyDescent="0.25">
      <c r="A38397" s="118"/>
      <c r="B38397" s="136"/>
    </row>
    <row r="38398" spans="1:2" x14ac:dyDescent="0.25">
      <c r="A38398" s="118"/>
      <c r="B38398" s="136"/>
    </row>
    <row r="38399" spans="1:2" x14ac:dyDescent="0.25">
      <c r="A38399" s="118"/>
      <c r="B38399" s="136"/>
    </row>
    <row r="38400" spans="1:2" x14ac:dyDescent="0.25">
      <c r="A38400" s="118"/>
      <c r="B38400" s="136"/>
    </row>
    <row r="38401" spans="1:2" x14ac:dyDescent="0.25">
      <c r="A38401" s="118"/>
      <c r="B38401" s="136"/>
    </row>
    <row r="38402" spans="1:2" x14ac:dyDescent="0.25">
      <c r="A38402" s="118"/>
      <c r="B38402" s="136"/>
    </row>
    <row r="38403" spans="1:2" x14ac:dyDescent="0.25">
      <c r="A38403" s="118"/>
      <c r="B38403" s="136"/>
    </row>
    <row r="38404" spans="1:2" x14ac:dyDescent="0.25">
      <c r="A38404" s="118"/>
      <c r="B38404" s="136"/>
    </row>
    <row r="38405" spans="1:2" x14ac:dyDescent="0.25">
      <c r="A38405" s="118"/>
      <c r="B38405" s="136"/>
    </row>
    <row r="38406" spans="1:2" x14ac:dyDescent="0.25">
      <c r="A38406" s="118"/>
      <c r="B38406" s="136"/>
    </row>
    <row r="38407" spans="1:2" x14ac:dyDescent="0.25">
      <c r="A38407" s="118"/>
      <c r="B38407" s="136"/>
    </row>
    <row r="38408" spans="1:2" x14ac:dyDescent="0.25">
      <c r="A38408" s="118"/>
      <c r="B38408" s="136"/>
    </row>
    <row r="38409" spans="1:2" x14ac:dyDescent="0.25">
      <c r="A38409" s="118"/>
      <c r="B38409" s="136"/>
    </row>
    <row r="38410" spans="1:2" x14ac:dyDescent="0.25">
      <c r="A38410" s="118"/>
      <c r="B38410" s="136"/>
    </row>
    <row r="38411" spans="1:2" x14ac:dyDescent="0.25">
      <c r="A38411" s="118"/>
      <c r="B38411" s="136"/>
    </row>
    <row r="38412" spans="1:2" x14ac:dyDescent="0.25">
      <c r="A38412" s="118"/>
      <c r="B38412" s="136"/>
    </row>
    <row r="38413" spans="1:2" x14ac:dyDescent="0.25">
      <c r="A38413" s="118"/>
      <c r="B38413" s="136"/>
    </row>
    <row r="38414" spans="1:2" x14ac:dyDescent="0.25">
      <c r="A38414" s="118"/>
      <c r="B38414" s="136"/>
    </row>
    <row r="38415" spans="1:2" x14ac:dyDescent="0.25">
      <c r="A38415" s="118"/>
      <c r="B38415" s="136"/>
    </row>
    <row r="38416" spans="1:2" x14ac:dyDescent="0.25">
      <c r="A38416" s="118"/>
      <c r="B38416" s="136"/>
    </row>
    <row r="38417" spans="1:2" x14ac:dyDescent="0.25">
      <c r="A38417" s="118"/>
      <c r="B38417" s="136"/>
    </row>
    <row r="38418" spans="1:2" x14ac:dyDescent="0.25">
      <c r="A38418" s="118"/>
      <c r="B38418" s="136"/>
    </row>
    <row r="38419" spans="1:2" x14ac:dyDescent="0.25">
      <c r="A38419" s="118"/>
      <c r="B38419" s="136"/>
    </row>
    <row r="38420" spans="1:2" x14ac:dyDescent="0.25">
      <c r="A38420" s="118"/>
      <c r="B38420" s="136"/>
    </row>
    <row r="38421" spans="1:2" x14ac:dyDescent="0.25">
      <c r="A38421" s="118"/>
      <c r="B38421" s="136"/>
    </row>
    <row r="38422" spans="1:2" x14ac:dyDescent="0.25">
      <c r="A38422" s="118"/>
      <c r="B38422" s="136"/>
    </row>
    <row r="38423" spans="1:2" x14ac:dyDescent="0.25">
      <c r="A38423" s="118"/>
      <c r="B38423" s="136"/>
    </row>
    <row r="38424" spans="1:2" x14ac:dyDescent="0.25">
      <c r="A38424" s="118"/>
      <c r="B38424" s="136"/>
    </row>
    <row r="38425" spans="1:2" x14ac:dyDescent="0.25">
      <c r="A38425" s="118"/>
      <c r="B38425" s="136"/>
    </row>
    <row r="38426" spans="1:2" x14ac:dyDescent="0.25">
      <c r="A38426" s="118"/>
      <c r="B38426" s="136"/>
    </row>
    <row r="38427" spans="1:2" x14ac:dyDescent="0.25">
      <c r="A38427" s="118"/>
      <c r="B38427" s="136"/>
    </row>
    <row r="38428" spans="1:2" x14ac:dyDescent="0.25">
      <c r="A38428" s="118"/>
      <c r="B38428" s="136"/>
    </row>
    <row r="38429" spans="1:2" x14ac:dyDescent="0.25">
      <c r="A38429" s="118"/>
      <c r="B38429" s="136"/>
    </row>
    <row r="38430" spans="1:2" x14ac:dyDescent="0.25">
      <c r="A38430" s="118"/>
      <c r="B38430" s="136"/>
    </row>
    <row r="38431" spans="1:2" x14ac:dyDescent="0.25">
      <c r="A38431" s="118"/>
      <c r="B38431" s="136"/>
    </row>
    <row r="38432" spans="1:2" x14ac:dyDescent="0.25">
      <c r="A38432" s="118"/>
      <c r="B38432" s="136"/>
    </row>
    <row r="38433" spans="1:2" x14ac:dyDescent="0.25">
      <c r="A38433" s="118"/>
      <c r="B38433" s="136"/>
    </row>
    <row r="38434" spans="1:2" x14ac:dyDescent="0.25">
      <c r="A38434" s="118"/>
      <c r="B38434" s="136"/>
    </row>
    <row r="38435" spans="1:2" x14ac:dyDescent="0.25">
      <c r="A38435" s="118"/>
      <c r="B38435" s="136"/>
    </row>
    <row r="38436" spans="1:2" x14ac:dyDescent="0.25">
      <c r="A38436" s="118"/>
      <c r="B38436" s="136"/>
    </row>
    <row r="38437" spans="1:2" x14ac:dyDescent="0.25">
      <c r="A38437" s="118"/>
      <c r="B38437" s="136"/>
    </row>
    <row r="38438" spans="1:2" x14ac:dyDescent="0.25">
      <c r="A38438" s="118"/>
      <c r="B38438" s="136"/>
    </row>
    <row r="38439" spans="1:2" x14ac:dyDescent="0.25">
      <c r="A38439" s="118"/>
      <c r="B38439" s="136"/>
    </row>
    <row r="38440" spans="1:2" x14ac:dyDescent="0.25">
      <c r="A38440" s="118"/>
      <c r="B38440" s="136"/>
    </row>
    <row r="38441" spans="1:2" x14ac:dyDescent="0.25">
      <c r="A38441" s="118"/>
      <c r="B38441" s="136"/>
    </row>
    <row r="38442" spans="1:2" x14ac:dyDescent="0.25">
      <c r="A38442" s="118"/>
      <c r="B38442" s="136"/>
    </row>
    <row r="38443" spans="1:2" x14ac:dyDescent="0.25">
      <c r="A38443" s="118"/>
      <c r="B38443" s="136"/>
    </row>
    <row r="38444" spans="1:2" x14ac:dyDescent="0.25">
      <c r="A38444" s="118"/>
      <c r="B38444" s="136"/>
    </row>
    <row r="38445" spans="1:2" x14ac:dyDescent="0.25">
      <c r="A38445" s="118"/>
      <c r="B38445" s="136"/>
    </row>
    <row r="38446" spans="1:2" x14ac:dyDescent="0.25">
      <c r="A38446" s="118"/>
      <c r="B38446" s="136"/>
    </row>
    <row r="38447" spans="1:2" x14ac:dyDescent="0.25">
      <c r="A38447" s="118"/>
      <c r="B38447" s="136"/>
    </row>
    <row r="38448" spans="1:2" x14ac:dyDescent="0.25">
      <c r="A38448" s="118"/>
      <c r="B38448" s="136"/>
    </row>
    <row r="38449" spans="1:2" x14ac:dyDescent="0.25">
      <c r="A38449" s="118"/>
      <c r="B38449" s="136"/>
    </row>
    <row r="38450" spans="1:2" x14ac:dyDescent="0.25">
      <c r="A38450" s="118"/>
      <c r="B38450" s="136"/>
    </row>
    <row r="38451" spans="1:2" x14ac:dyDescent="0.25">
      <c r="A38451" s="118"/>
      <c r="B38451" s="136"/>
    </row>
    <row r="38452" spans="1:2" x14ac:dyDescent="0.25">
      <c r="A38452" s="118"/>
      <c r="B38452" s="136"/>
    </row>
    <row r="38453" spans="1:2" x14ac:dyDescent="0.25">
      <c r="A38453" s="118"/>
      <c r="B38453" s="136"/>
    </row>
    <row r="38454" spans="1:2" x14ac:dyDescent="0.25">
      <c r="A38454" s="118"/>
      <c r="B38454" s="136"/>
    </row>
    <row r="38455" spans="1:2" x14ac:dyDescent="0.25">
      <c r="A38455" s="118"/>
      <c r="B38455" s="136"/>
    </row>
    <row r="38456" spans="1:2" x14ac:dyDescent="0.25">
      <c r="A38456" s="118"/>
      <c r="B38456" s="136"/>
    </row>
    <row r="38457" spans="1:2" x14ac:dyDescent="0.25">
      <c r="A38457" s="118"/>
      <c r="B38457" s="136"/>
    </row>
    <row r="38458" spans="1:2" x14ac:dyDescent="0.25">
      <c r="A38458" s="118"/>
      <c r="B38458" s="136"/>
    </row>
    <row r="38459" spans="1:2" x14ac:dyDescent="0.25">
      <c r="A38459" s="118"/>
      <c r="B38459" s="136"/>
    </row>
    <row r="38460" spans="1:2" x14ac:dyDescent="0.25">
      <c r="A38460" s="118"/>
      <c r="B38460" s="136"/>
    </row>
    <row r="38461" spans="1:2" x14ac:dyDescent="0.25">
      <c r="A38461" s="118"/>
      <c r="B38461" s="136"/>
    </row>
    <row r="38462" spans="1:2" x14ac:dyDescent="0.25">
      <c r="A38462" s="118"/>
      <c r="B38462" s="136"/>
    </row>
    <row r="38463" spans="1:2" x14ac:dyDescent="0.25">
      <c r="A38463" s="118"/>
      <c r="B38463" s="136"/>
    </row>
    <row r="38464" spans="1:2" x14ac:dyDescent="0.25">
      <c r="A38464" s="118"/>
      <c r="B38464" s="136"/>
    </row>
    <row r="38465" spans="1:2" x14ac:dyDescent="0.25">
      <c r="A38465" s="118"/>
      <c r="B38465" s="136"/>
    </row>
    <row r="38466" spans="1:2" x14ac:dyDescent="0.25">
      <c r="A38466" s="118"/>
      <c r="B38466" s="136"/>
    </row>
    <row r="38467" spans="1:2" x14ac:dyDescent="0.25">
      <c r="A38467" s="118"/>
      <c r="B38467" s="136"/>
    </row>
    <row r="38468" spans="1:2" x14ac:dyDescent="0.25">
      <c r="A38468" s="118"/>
      <c r="B38468" s="136"/>
    </row>
    <row r="38469" spans="1:2" x14ac:dyDescent="0.25">
      <c r="A38469" s="118"/>
      <c r="B38469" s="136"/>
    </row>
    <row r="38470" spans="1:2" x14ac:dyDescent="0.25">
      <c r="A38470" s="118"/>
      <c r="B38470" s="136"/>
    </row>
    <row r="38471" spans="1:2" x14ac:dyDescent="0.25">
      <c r="A38471" s="118"/>
      <c r="B38471" s="136"/>
    </row>
    <row r="38472" spans="1:2" x14ac:dyDescent="0.25">
      <c r="A38472" s="118"/>
      <c r="B38472" s="136"/>
    </row>
    <row r="38473" spans="1:2" x14ac:dyDescent="0.25">
      <c r="A38473" s="118"/>
      <c r="B38473" s="136"/>
    </row>
    <row r="38474" spans="1:2" x14ac:dyDescent="0.25">
      <c r="A38474" s="118"/>
      <c r="B38474" s="136"/>
    </row>
    <row r="38475" spans="1:2" x14ac:dyDescent="0.25">
      <c r="A38475" s="118"/>
      <c r="B38475" s="136"/>
    </row>
    <row r="38476" spans="1:2" x14ac:dyDescent="0.25">
      <c r="A38476" s="118"/>
      <c r="B38476" s="136"/>
    </row>
    <row r="38477" spans="1:2" x14ac:dyDescent="0.25">
      <c r="A38477" s="118"/>
      <c r="B38477" s="136"/>
    </row>
    <row r="38478" spans="1:2" x14ac:dyDescent="0.25">
      <c r="A38478" s="118"/>
      <c r="B38478" s="136"/>
    </row>
    <row r="38479" spans="1:2" x14ac:dyDescent="0.25">
      <c r="A38479" s="118"/>
      <c r="B38479" s="136"/>
    </row>
    <row r="38480" spans="1:2" x14ac:dyDescent="0.25">
      <c r="A38480" s="118"/>
      <c r="B38480" s="136"/>
    </row>
    <row r="38481" spans="1:2" x14ac:dyDescent="0.25">
      <c r="A38481" s="118"/>
      <c r="B38481" s="136"/>
    </row>
    <row r="38482" spans="1:2" x14ac:dyDescent="0.25">
      <c r="A38482" s="118"/>
      <c r="B38482" s="136"/>
    </row>
    <row r="38483" spans="1:2" x14ac:dyDescent="0.25">
      <c r="A38483" s="118"/>
      <c r="B38483" s="136"/>
    </row>
    <row r="38484" spans="1:2" x14ac:dyDescent="0.25">
      <c r="A38484" s="118"/>
      <c r="B38484" s="136"/>
    </row>
    <row r="38485" spans="1:2" x14ac:dyDescent="0.25">
      <c r="A38485" s="118"/>
      <c r="B38485" s="136"/>
    </row>
    <row r="38486" spans="1:2" x14ac:dyDescent="0.25">
      <c r="A38486" s="118"/>
      <c r="B38486" s="136"/>
    </row>
    <row r="38487" spans="1:2" x14ac:dyDescent="0.25">
      <c r="A38487" s="118"/>
      <c r="B38487" s="136"/>
    </row>
    <row r="38488" spans="1:2" x14ac:dyDescent="0.25">
      <c r="A38488" s="118"/>
      <c r="B38488" s="136"/>
    </row>
    <row r="38489" spans="1:2" x14ac:dyDescent="0.25">
      <c r="A38489" s="118"/>
      <c r="B38489" s="136"/>
    </row>
    <row r="38490" spans="1:2" x14ac:dyDescent="0.25">
      <c r="A38490" s="118"/>
      <c r="B38490" s="136"/>
    </row>
    <row r="38491" spans="1:2" x14ac:dyDescent="0.25">
      <c r="A38491" s="118"/>
      <c r="B38491" s="136"/>
    </row>
    <row r="38492" spans="1:2" x14ac:dyDescent="0.25">
      <c r="A38492" s="118"/>
      <c r="B38492" s="136"/>
    </row>
    <row r="38493" spans="1:2" x14ac:dyDescent="0.25">
      <c r="A38493" s="118"/>
      <c r="B38493" s="136"/>
    </row>
    <row r="38494" spans="1:2" x14ac:dyDescent="0.25">
      <c r="A38494" s="118"/>
      <c r="B38494" s="136"/>
    </row>
    <row r="38495" spans="1:2" x14ac:dyDescent="0.25">
      <c r="A38495" s="118"/>
      <c r="B38495" s="136"/>
    </row>
    <row r="38496" spans="1:2" x14ac:dyDescent="0.25">
      <c r="A38496" s="118"/>
      <c r="B38496" s="136"/>
    </row>
    <row r="38497" spans="1:2" x14ac:dyDescent="0.25">
      <c r="A38497" s="118"/>
      <c r="B38497" s="136"/>
    </row>
    <row r="38498" spans="1:2" x14ac:dyDescent="0.25">
      <c r="A38498" s="118"/>
      <c r="B38498" s="136"/>
    </row>
    <row r="38499" spans="1:2" x14ac:dyDescent="0.25">
      <c r="A38499" s="118"/>
      <c r="B38499" s="136"/>
    </row>
    <row r="38500" spans="1:2" x14ac:dyDescent="0.25">
      <c r="A38500" s="118"/>
      <c r="B38500" s="136"/>
    </row>
    <row r="38501" spans="1:2" x14ac:dyDescent="0.25">
      <c r="A38501" s="118"/>
      <c r="B38501" s="136"/>
    </row>
    <row r="38502" spans="1:2" x14ac:dyDescent="0.25">
      <c r="A38502" s="118"/>
      <c r="B38502" s="136"/>
    </row>
    <row r="38503" spans="1:2" x14ac:dyDescent="0.25">
      <c r="A38503" s="118"/>
      <c r="B38503" s="136"/>
    </row>
    <row r="38504" spans="1:2" x14ac:dyDescent="0.25">
      <c r="A38504" s="118"/>
      <c r="B38504" s="136"/>
    </row>
    <row r="38505" spans="1:2" x14ac:dyDescent="0.25">
      <c r="A38505" s="118"/>
      <c r="B38505" s="136"/>
    </row>
    <row r="38506" spans="1:2" x14ac:dyDescent="0.25">
      <c r="A38506" s="118"/>
      <c r="B38506" s="136"/>
    </row>
    <row r="38507" spans="1:2" x14ac:dyDescent="0.25">
      <c r="A38507" s="118"/>
      <c r="B38507" s="136"/>
    </row>
    <row r="38508" spans="1:2" x14ac:dyDescent="0.25">
      <c r="A38508" s="118"/>
      <c r="B38508" s="136"/>
    </row>
    <row r="38509" spans="1:2" x14ac:dyDescent="0.25">
      <c r="A38509" s="118"/>
      <c r="B38509" s="136"/>
    </row>
    <row r="38510" spans="1:2" x14ac:dyDescent="0.25">
      <c r="A38510" s="118"/>
      <c r="B38510" s="136"/>
    </row>
    <row r="38511" spans="1:2" x14ac:dyDescent="0.25">
      <c r="A38511" s="118"/>
      <c r="B38511" s="136"/>
    </row>
    <row r="38512" spans="1:2" x14ac:dyDescent="0.25">
      <c r="A38512" s="118"/>
      <c r="B38512" s="136"/>
    </row>
    <row r="38513" spans="1:2" x14ac:dyDescent="0.25">
      <c r="A38513" s="118"/>
      <c r="B38513" s="136"/>
    </row>
    <row r="38514" spans="1:2" x14ac:dyDescent="0.25">
      <c r="A38514" s="118"/>
      <c r="B38514" s="136"/>
    </row>
    <row r="38515" spans="1:2" x14ac:dyDescent="0.25">
      <c r="A38515" s="118"/>
      <c r="B38515" s="136"/>
    </row>
    <row r="38516" spans="1:2" x14ac:dyDescent="0.25">
      <c r="A38516" s="118"/>
      <c r="B38516" s="136"/>
    </row>
    <row r="38517" spans="1:2" x14ac:dyDescent="0.25">
      <c r="A38517" s="118"/>
      <c r="B38517" s="136"/>
    </row>
    <row r="38518" spans="1:2" x14ac:dyDescent="0.25">
      <c r="A38518" s="118"/>
      <c r="B38518" s="136"/>
    </row>
    <row r="38519" spans="1:2" x14ac:dyDescent="0.25">
      <c r="A38519" s="118"/>
      <c r="B38519" s="136"/>
    </row>
    <row r="38520" spans="1:2" x14ac:dyDescent="0.25">
      <c r="A38520" s="118"/>
      <c r="B38520" s="136"/>
    </row>
    <row r="38521" spans="1:2" x14ac:dyDescent="0.25">
      <c r="A38521" s="118"/>
      <c r="B38521" s="136"/>
    </row>
    <row r="38522" spans="1:2" x14ac:dyDescent="0.25">
      <c r="A38522" s="118"/>
      <c r="B38522" s="136"/>
    </row>
    <row r="38523" spans="1:2" x14ac:dyDescent="0.25">
      <c r="A38523" s="118"/>
      <c r="B38523" s="136"/>
    </row>
    <row r="38524" spans="1:2" x14ac:dyDescent="0.25">
      <c r="A38524" s="118"/>
      <c r="B38524" s="136"/>
    </row>
    <row r="38525" spans="1:2" x14ac:dyDescent="0.25">
      <c r="A38525" s="118"/>
      <c r="B38525" s="136"/>
    </row>
    <row r="38526" spans="1:2" x14ac:dyDescent="0.25">
      <c r="A38526" s="118"/>
      <c r="B38526" s="136"/>
    </row>
    <row r="38527" spans="1:2" x14ac:dyDescent="0.25">
      <c r="A38527" s="118"/>
      <c r="B38527" s="136"/>
    </row>
    <row r="38528" spans="1:2" x14ac:dyDescent="0.25">
      <c r="A38528" s="118"/>
      <c r="B38528" s="136"/>
    </row>
    <row r="38529" spans="1:2" x14ac:dyDescent="0.25">
      <c r="A38529" s="118"/>
      <c r="B38529" s="136"/>
    </row>
    <row r="38530" spans="1:2" x14ac:dyDescent="0.25">
      <c r="A38530" s="118"/>
      <c r="B38530" s="136"/>
    </row>
    <row r="38531" spans="1:2" x14ac:dyDescent="0.25">
      <c r="A38531" s="118"/>
      <c r="B38531" s="136"/>
    </row>
    <row r="38532" spans="1:2" x14ac:dyDescent="0.25">
      <c r="A38532" s="118"/>
      <c r="B38532" s="136"/>
    </row>
    <row r="38533" spans="1:2" x14ac:dyDescent="0.25">
      <c r="A38533" s="118"/>
      <c r="B38533" s="136"/>
    </row>
    <row r="38534" spans="1:2" x14ac:dyDescent="0.25">
      <c r="A38534" s="118"/>
      <c r="B38534" s="136"/>
    </row>
    <row r="38535" spans="1:2" x14ac:dyDescent="0.25">
      <c r="A38535" s="118"/>
      <c r="B38535" s="136"/>
    </row>
    <row r="38536" spans="1:2" x14ac:dyDescent="0.25">
      <c r="A38536" s="118"/>
      <c r="B38536" s="136"/>
    </row>
    <row r="38537" spans="1:2" x14ac:dyDescent="0.25">
      <c r="A38537" s="118"/>
      <c r="B38537" s="136"/>
    </row>
    <row r="38538" spans="1:2" x14ac:dyDescent="0.25">
      <c r="A38538" s="118"/>
      <c r="B38538" s="136"/>
    </row>
    <row r="38539" spans="1:2" x14ac:dyDescent="0.25">
      <c r="A38539" s="118"/>
      <c r="B38539" s="136"/>
    </row>
    <row r="38540" spans="1:2" x14ac:dyDescent="0.25">
      <c r="A38540" s="118"/>
      <c r="B38540" s="136"/>
    </row>
    <row r="38541" spans="1:2" x14ac:dyDescent="0.25">
      <c r="A38541" s="118"/>
      <c r="B38541" s="136"/>
    </row>
    <row r="38542" spans="1:2" x14ac:dyDescent="0.25">
      <c r="A38542" s="118"/>
      <c r="B38542" s="136"/>
    </row>
    <row r="38543" spans="1:2" x14ac:dyDescent="0.25">
      <c r="A38543" s="118"/>
      <c r="B38543" s="136"/>
    </row>
    <row r="38544" spans="1:2" x14ac:dyDescent="0.25">
      <c r="A38544" s="118"/>
      <c r="B38544" s="136"/>
    </row>
    <row r="38545" spans="1:2" x14ac:dyDescent="0.25">
      <c r="A38545" s="118"/>
      <c r="B38545" s="136"/>
    </row>
    <row r="38546" spans="1:2" x14ac:dyDescent="0.25">
      <c r="A38546" s="118"/>
      <c r="B38546" s="136"/>
    </row>
    <row r="38547" spans="1:2" x14ac:dyDescent="0.25">
      <c r="A38547" s="118"/>
      <c r="B38547" s="136"/>
    </row>
    <row r="38548" spans="1:2" x14ac:dyDescent="0.25">
      <c r="A38548" s="118"/>
      <c r="B38548" s="136"/>
    </row>
    <row r="38549" spans="1:2" x14ac:dyDescent="0.25">
      <c r="A38549" s="118"/>
      <c r="B38549" s="136"/>
    </row>
    <row r="38550" spans="1:2" x14ac:dyDescent="0.25">
      <c r="A38550" s="118"/>
      <c r="B38550" s="136"/>
    </row>
    <row r="38551" spans="1:2" x14ac:dyDescent="0.25">
      <c r="A38551" s="118"/>
      <c r="B38551" s="136"/>
    </row>
    <row r="38552" spans="1:2" x14ac:dyDescent="0.25">
      <c r="A38552" s="118"/>
      <c r="B38552" s="136"/>
    </row>
    <row r="38553" spans="1:2" x14ac:dyDescent="0.25">
      <c r="A38553" s="118"/>
      <c r="B38553" s="136"/>
    </row>
    <row r="38554" spans="1:2" x14ac:dyDescent="0.25">
      <c r="A38554" s="118"/>
      <c r="B38554" s="136"/>
    </row>
    <row r="38555" spans="1:2" x14ac:dyDescent="0.25">
      <c r="A38555" s="118"/>
      <c r="B38555" s="136"/>
    </row>
    <row r="38556" spans="1:2" x14ac:dyDescent="0.25">
      <c r="A38556" s="118"/>
      <c r="B38556" s="136"/>
    </row>
    <row r="38557" spans="1:2" x14ac:dyDescent="0.25">
      <c r="A38557" s="118"/>
      <c r="B38557" s="136"/>
    </row>
    <row r="38558" spans="1:2" x14ac:dyDescent="0.25">
      <c r="A38558" s="118"/>
      <c r="B38558" s="136"/>
    </row>
    <row r="38559" spans="1:2" x14ac:dyDescent="0.25">
      <c r="A38559" s="118"/>
      <c r="B38559" s="136"/>
    </row>
    <row r="38560" spans="1:2" x14ac:dyDescent="0.25">
      <c r="A38560" s="118"/>
      <c r="B38560" s="136"/>
    </row>
    <row r="38561" spans="1:2" x14ac:dyDescent="0.25">
      <c r="A38561" s="118"/>
      <c r="B38561" s="136"/>
    </row>
    <row r="38562" spans="1:2" x14ac:dyDescent="0.25">
      <c r="A38562" s="118"/>
      <c r="B38562" s="136"/>
    </row>
    <row r="38563" spans="1:2" x14ac:dyDescent="0.25">
      <c r="A38563" s="118"/>
      <c r="B38563" s="136"/>
    </row>
    <row r="38564" spans="1:2" x14ac:dyDescent="0.25">
      <c r="A38564" s="118"/>
      <c r="B38564" s="136"/>
    </row>
    <row r="38565" spans="1:2" x14ac:dyDescent="0.25">
      <c r="A38565" s="118"/>
      <c r="B38565" s="136"/>
    </row>
    <row r="38566" spans="1:2" x14ac:dyDescent="0.25">
      <c r="A38566" s="118"/>
      <c r="B38566" s="136"/>
    </row>
    <row r="38567" spans="1:2" x14ac:dyDescent="0.25">
      <c r="A38567" s="118"/>
      <c r="B38567" s="136"/>
    </row>
    <row r="38568" spans="1:2" x14ac:dyDescent="0.25">
      <c r="A38568" s="118"/>
      <c r="B38568" s="136"/>
    </row>
    <row r="38569" spans="1:2" x14ac:dyDescent="0.25">
      <c r="A38569" s="118"/>
      <c r="B38569" s="136"/>
    </row>
    <row r="38570" spans="1:2" x14ac:dyDescent="0.25">
      <c r="A38570" s="118"/>
      <c r="B38570" s="136"/>
    </row>
    <row r="38571" spans="1:2" x14ac:dyDescent="0.25">
      <c r="A38571" s="118"/>
      <c r="B38571" s="136"/>
    </row>
    <row r="38572" spans="1:2" x14ac:dyDescent="0.25">
      <c r="A38572" s="118"/>
      <c r="B38572" s="136"/>
    </row>
    <row r="38573" spans="1:2" x14ac:dyDescent="0.25">
      <c r="A38573" s="118"/>
      <c r="B38573" s="136"/>
    </row>
    <row r="38574" spans="1:2" x14ac:dyDescent="0.25">
      <c r="A38574" s="118"/>
      <c r="B38574" s="136"/>
    </row>
    <row r="38575" spans="1:2" x14ac:dyDescent="0.25">
      <c r="A38575" s="118"/>
      <c r="B38575" s="136"/>
    </row>
    <row r="38576" spans="1:2" x14ac:dyDescent="0.25">
      <c r="A38576" s="118"/>
      <c r="B38576" s="136"/>
    </row>
    <row r="38577" spans="1:2" x14ac:dyDescent="0.25">
      <c r="A38577" s="118"/>
      <c r="B38577" s="136"/>
    </row>
    <row r="38578" spans="1:2" x14ac:dyDescent="0.25">
      <c r="A38578" s="118"/>
      <c r="B38578" s="136"/>
    </row>
    <row r="38579" spans="1:2" x14ac:dyDescent="0.25">
      <c r="A38579" s="118"/>
      <c r="B38579" s="136"/>
    </row>
    <row r="38580" spans="1:2" x14ac:dyDescent="0.25">
      <c r="A38580" s="118"/>
      <c r="B38580" s="136"/>
    </row>
    <row r="38581" spans="1:2" x14ac:dyDescent="0.25">
      <c r="A38581" s="118"/>
      <c r="B38581" s="136"/>
    </row>
    <row r="38582" spans="1:2" x14ac:dyDescent="0.25">
      <c r="A38582" s="118"/>
      <c r="B38582" s="136"/>
    </row>
    <row r="38583" spans="1:2" x14ac:dyDescent="0.25">
      <c r="A38583" s="118"/>
      <c r="B38583" s="136"/>
    </row>
    <row r="38584" spans="1:2" x14ac:dyDescent="0.25">
      <c r="A38584" s="118"/>
      <c r="B38584" s="136"/>
    </row>
    <row r="38585" spans="1:2" x14ac:dyDescent="0.25">
      <c r="A38585" s="118"/>
      <c r="B38585" s="136"/>
    </row>
    <row r="38586" spans="1:2" x14ac:dyDescent="0.25">
      <c r="A38586" s="118"/>
      <c r="B38586" s="136"/>
    </row>
    <row r="38587" spans="1:2" x14ac:dyDescent="0.25">
      <c r="A38587" s="118"/>
      <c r="B38587" s="136"/>
    </row>
    <row r="38588" spans="1:2" x14ac:dyDescent="0.25">
      <c r="A38588" s="118"/>
      <c r="B38588" s="136"/>
    </row>
    <row r="38589" spans="1:2" x14ac:dyDescent="0.25">
      <c r="A38589" s="118"/>
      <c r="B38589" s="136"/>
    </row>
    <row r="38590" spans="1:2" x14ac:dyDescent="0.25">
      <c r="A38590" s="118"/>
      <c r="B38590" s="136"/>
    </row>
    <row r="38591" spans="1:2" x14ac:dyDescent="0.25">
      <c r="A38591" s="118"/>
      <c r="B38591" s="136"/>
    </row>
    <row r="38592" spans="1:2" x14ac:dyDescent="0.25">
      <c r="A38592" s="118"/>
      <c r="B38592" s="136"/>
    </row>
    <row r="38593" spans="1:2" x14ac:dyDescent="0.25">
      <c r="A38593" s="118"/>
      <c r="B38593" s="136"/>
    </row>
    <row r="38594" spans="1:2" x14ac:dyDescent="0.25">
      <c r="A38594" s="118"/>
      <c r="B38594" s="136"/>
    </row>
    <row r="38595" spans="1:2" x14ac:dyDescent="0.25">
      <c r="A38595" s="118"/>
      <c r="B38595" s="136"/>
    </row>
    <row r="38596" spans="1:2" x14ac:dyDescent="0.25">
      <c r="A38596" s="118"/>
      <c r="B38596" s="136"/>
    </row>
    <row r="38597" spans="1:2" x14ac:dyDescent="0.25">
      <c r="A38597" s="118"/>
      <c r="B38597" s="136"/>
    </row>
    <row r="38598" spans="1:2" x14ac:dyDescent="0.25">
      <c r="A38598" s="118"/>
      <c r="B38598" s="136"/>
    </row>
    <row r="38599" spans="1:2" x14ac:dyDescent="0.25">
      <c r="A38599" s="118"/>
      <c r="B38599" s="136"/>
    </row>
    <row r="38600" spans="1:2" x14ac:dyDescent="0.25">
      <c r="A38600" s="118"/>
      <c r="B38600" s="136"/>
    </row>
    <row r="38601" spans="1:2" x14ac:dyDescent="0.25">
      <c r="A38601" s="118"/>
      <c r="B38601" s="136"/>
    </row>
    <row r="38602" spans="1:2" x14ac:dyDescent="0.25">
      <c r="A38602" s="118"/>
      <c r="B38602" s="136"/>
    </row>
    <row r="38603" spans="1:2" x14ac:dyDescent="0.25">
      <c r="A38603" s="118"/>
      <c r="B38603" s="136"/>
    </row>
    <row r="38604" spans="1:2" x14ac:dyDescent="0.25">
      <c r="A38604" s="118"/>
      <c r="B38604" s="136"/>
    </row>
    <row r="38605" spans="1:2" x14ac:dyDescent="0.25">
      <c r="A38605" s="118"/>
      <c r="B38605" s="136"/>
    </row>
    <row r="38606" spans="1:2" x14ac:dyDescent="0.25">
      <c r="A38606" s="118"/>
      <c r="B38606" s="136"/>
    </row>
    <row r="38607" spans="1:2" x14ac:dyDescent="0.25">
      <c r="A38607" s="118"/>
      <c r="B38607" s="136"/>
    </row>
    <row r="38608" spans="1:2" x14ac:dyDescent="0.25">
      <c r="A38608" s="118"/>
      <c r="B38608" s="136"/>
    </row>
    <row r="38609" spans="1:2" x14ac:dyDescent="0.25">
      <c r="A38609" s="118"/>
      <c r="B38609" s="136"/>
    </row>
    <row r="38610" spans="1:2" x14ac:dyDescent="0.25">
      <c r="A38610" s="118"/>
      <c r="B38610" s="136"/>
    </row>
    <row r="38611" spans="1:2" x14ac:dyDescent="0.25">
      <c r="A38611" s="118"/>
      <c r="B38611" s="136"/>
    </row>
    <row r="38612" spans="1:2" x14ac:dyDescent="0.25">
      <c r="A38612" s="118"/>
      <c r="B38612" s="136"/>
    </row>
    <row r="38613" spans="1:2" x14ac:dyDescent="0.25">
      <c r="A38613" s="118"/>
      <c r="B38613" s="136"/>
    </row>
    <row r="38614" spans="1:2" x14ac:dyDescent="0.25">
      <c r="A38614" s="118"/>
      <c r="B38614" s="136"/>
    </row>
    <row r="38615" spans="1:2" x14ac:dyDescent="0.25">
      <c r="A38615" s="118"/>
      <c r="B38615" s="136"/>
    </row>
    <row r="38616" spans="1:2" x14ac:dyDescent="0.25">
      <c r="A38616" s="118"/>
      <c r="B38616" s="136"/>
    </row>
    <row r="38617" spans="1:2" x14ac:dyDescent="0.25">
      <c r="A38617" s="118"/>
      <c r="B38617" s="136"/>
    </row>
    <row r="38618" spans="1:2" x14ac:dyDescent="0.25">
      <c r="A38618" s="118"/>
      <c r="B38618" s="136"/>
    </row>
    <row r="38619" spans="1:2" x14ac:dyDescent="0.25">
      <c r="A38619" s="118"/>
      <c r="B38619" s="136"/>
    </row>
    <row r="38620" spans="1:2" x14ac:dyDescent="0.25">
      <c r="A38620" s="118"/>
      <c r="B38620" s="136"/>
    </row>
    <row r="38621" spans="1:2" x14ac:dyDescent="0.25">
      <c r="A38621" s="118"/>
      <c r="B38621" s="136"/>
    </row>
    <row r="38622" spans="1:2" x14ac:dyDescent="0.25">
      <c r="A38622" s="118"/>
      <c r="B38622" s="136"/>
    </row>
    <row r="38623" spans="1:2" x14ac:dyDescent="0.25">
      <c r="A38623" s="118"/>
      <c r="B38623" s="136"/>
    </row>
    <row r="38624" spans="1:2" x14ac:dyDescent="0.25">
      <c r="A38624" s="118"/>
      <c r="B38624" s="136"/>
    </row>
    <row r="38625" spans="1:2" x14ac:dyDescent="0.25">
      <c r="A38625" s="118"/>
      <c r="B38625" s="136"/>
    </row>
    <row r="38626" spans="1:2" x14ac:dyDescent="0.25">
      <c r="A38626" s="118"/>
      <c r="B38626" s="136"/>
    </row>
    <row r="38627" spans="1:2" x14ac:dyDescent="0.25">
      <c r="A38627" s="118"/>
      <c r="B38627" s="136"/>
    </row>
    <row r="38628" spans="1:2" x14ac:dyDescent="0.25">
      <c r="A38628" s="118"/>
      <c r="B38628" s="136"/>
    </row>
    <row r="38629" spans="1:2" x14ac:dyDescent="0.25">
      <c r="A38629" s="118"/>
      <c r="B38629" s="136"/>
    </row>
    <row r="38630" spans="1:2" x14ac:dyDescent="0.25">
      <c r="A38630" s="118"/>
      <c r="B38630" s="136"/>
    </row>
    <row r="38631" spans="1:2" x14ac:dyDescent="0.25">
      <c r="A38631" s="118"/>
      <c r="B38631" s="136"/>
    </row>
    <row r="38632" spans="1:2" x14ac:dyDescent="0.25">
      <c r="A38632" s="118"/>
      <c r="B38632" s="136"/>
    </row>
    <row r="38633" spans="1:2" x14ac:dyDescent="0.25">
      <c r="A38633" s="118"/>
      <c r="B38633" s="136"/>
    </row>
    <row r="38634" spans="1:2" x14ac:dyDescent="0.25">
      <c r="A38634" s="118"/>
      <c r="B38634" s="136"/>
    </row>
    <row r="38635" spans="1:2" x14ac:dyDescent="0.25">
      <c r="A38635" s="118"/>
      <c r="B38635" s="136"/>
    </row>
    <row r="38636" spans="1:2" x14ac:dyDescent="0.25">
      <c r="A38636" s="118"/>
      <c r="B38636" s="136"/>
    </row>
    <row r="38637" spans="1:2" x14ac:dyDescent="0.25">
      <c r="A38637" s="118"/>
      <c r="B38637" s="136"/>
    </row>
    <row r="38638" spans="1:2" x14ac:dyDescent="0.25">
      <c r="A38638" s="118"/>
      <c r="B38638" s="136"/>
    </row>
    <row r="38639" spans="1:2" x14ac:dyDescent="0.25">
      <c r="A38639" s="118"/>
      <c r="B38639" s="136"/>
    </row>
    <row r="38640" spans="1:2" x14ac:dyDescent="0.25">
      <c r="A38640" s="118"/>
      <c r="B38640" s="136"/>
    </row>
    <row r="38641" spans="1:2" x14ac:dyDescent="0.25">
      <c r="A38641" s="118"/>
      <c r="B38641" s="136"/>
    </row>
    <row r="38642" spans="1:2" x14ac:dyDescent="0.25">
      <c r="A38642" s="118"/>
      <c r="B38642" s="136"/>
    </row>
    <row r="38643" spans="1:2" x14ac:dyDescent="0.25">
      <c r="A38643" s="118"/>
      <c r="B38643" s="136"/>
    </row>
    <row r="38644" spans="1:2" x14ac:dyDescent="0.25">
      <c r="A38644" s="118"/>
      <c r="B38644" s="136"/>
    </row>
    <row r="38645" spans="1:2" x14ac:dyDescent="0.25">
      <c r="A38645" s="118"/>
      <c r="B38645" s="136"/>
    </row>
    <row r="38646" spans="1:2" x14ac:dyDescent="0.25">
      <c r="A38646" s="118"/>
      <c r="B38646" s="136"/>
    </row>
    <row r="38647" spans="1:2" x14ac:dyDescent="0.25">
      <c r="A38647" s="118"/>
      <c r="B38647" s="136"/>
    </row>
    <row r="38648" spans="1:2" x14ac:dyDescent="0.25">
      <c r="A38648" s="118"/>
      <c r="B38648" s="136"/>
    </row>
    <row r="38649" spans="1:2" x14ac:dyDescent="0.25">
      <c r="A38649" s="118"/>
      <c r="B38649" s="136"/>
    </row>
    <row r="38650" spans="1:2" x14ac:dyDescent="0.25">
      <c r="A38650" s="118"/>
      <c r="B38650" s="136"/>
    </row>
    <row r="38651" spans="1:2" x14ac:dyDescent="0.25">
      <c r="A38651" s="118"/>
      <c r="B38651" s="136"/>
    </row>
    <row r="38652" spans="1:2" x14ac:dyDescent="0.25">
      <c r="A38652" s="118"/>
      <c r="B38652" s="136"/>
    </row>
    <row r="38653" spans="1:2" x14ac:dyDescent="0.25">
      <c r="A38653" s="118"/>
      <c r="B38653" s="136"/>
    </row>
    <row r="38654" spans="1:2" x14ac:dyDescent="0.25">
      <c r="A38654" s="118"/>
      <c r="B38654" s="136"/>
    </row>
    <row r="38655" spans="1:2" x14ac:dyDescent="0.25">
      <c r="A38655" s="118"/>
      <c r="B38655" s="136"/>
    </row>
    <row r="38656" spans="1:2" x14ac:dyDescent="0.25">
      <c r="A38656" s="118"/>
      <c r="B38656" s="136"/>
    </row>
    <row r="38657" spans="1:2" x14ac:dyDescent="0.25">
      <c r="A38657" s="118"/>
      <c r="B38657" s="136"/>
    </row>
    <row r="38658" spans="1:2" x14ac:dyDescent="0.25">
      <c r="A38658" s="118"/>
      <c r="B38658" s="136"/>
    </row>
    <row r="38659" spans="1:2" x14ac:dyDescent="0.25">
      <c r="A38659" s="118"/>
      <c r="B38659" s="136"/>
    </row>
    <row r="38660" spans="1:2" x14ac:dyDescent="0.25">
      <c r="A38660" s="118"/>
      <c r="B38660" s="136"/>
    </row>
    <row r="38661" spans="1:2" x14ac:dyDescent="0.25">
      <c r="A38661" s="118"/>
      <c r="B38661" s="136"/>
    </row>
    <row r="38662" spans="1:2" x14ac:dyDescent="0.25">
      <c r="A38662" s="118"/>
      <c r="B38662" s="136"/>
    </row>
    <row r="38663" spans="1:2" x14ac:dyDescent="0.25">
      <c r="A38663" s="118"/>
      <c r="B38663" s="136"/>
    </row>
    <row r="38664" spans="1:2" x14ac:dyDescent="0.25">
      <c r="A38664" s="118"/>
      <c r="B38664" s="136"/>
    </row>
    <row r="38665" spans="1:2" x14ac:dyDescent="0.25">
      <c r="A38665" s="118"/>
      <c r="B38665" s="136"/>
    </row>
    <row r="38666" spans="1:2" x14ac:dyDescent="0.25">
      <c r="A38666" s="118"/>
      <c r="B38666" s="136"/>
    </row>
    <row r="38667" spans="1:2" x14ac:dyDescent="0.25">
      <c r="A38667" s="118"/>
      <c r="B38667" s="136"/>
    </row>
    <row r="38668" spans="1:2" x14ac:dyDescent="0.25">
      <c r="A38668" s="118"/>
      <c r="B38668" s="136"/>
    </row>
    <row r="38669" spans="1:2" x14ac:dyDescent="0.25">
      <c r="A38669" s="118"/>
      <c r="B38669" s="136"/>
    </row>
    <row r="38670" spans="1:2" x14ac:dyDescent="0.25">
      <c r="A38670" s="118"/>
      <c r="B38670" s="136"/>
    </row>
    <row r="38671" spans="1:2" x14ac:dyDescent="0.25">
      <c r="A38671" s="118"/>
      <c r="B38671" s="136"/>
    </row>
    <row r="38672" spans="1:2" x14ac:dyDescent="0.25">
      <c r="A38672" s="118"/>
      <c r="B38672" s="136"/>
    </row>
    <row r="38673" spans="1:2" x14ac:dyDescent="0.25">
      <c r="A38673" s="118"/>
      <c r="B38673" s="136"/>
    </row>
    <row r="38674" spans="1:2" x14ac:dyDescent="0.25">
      <c r="A38674" s="118"/>
      <c r="B38674" s="136"/>
    </row>
    <row r="38675" spans="1:2" x14ac:dyDescent="0.25">
      <c r="A38675" s="118"/>
      <c r="B38675" s="136"/>
    </row>
    <row r="38676" spans="1:2" x14ac:dyDescent="0.25">
      <c r="A38676" s="118"/>
      <c r="B38676" s="136"/>
    </row>
    <row r="38677" spans="1:2" x14ac:dyDescent="0.25">
      <c r="A38677" s="118"/>
      <c r="B38677" s="136"/>
    </row>
    <row r="38678" spans="1:2" x14ac:dyDescent="0.25">
      <c r="A38678" s="118"/>
      <c r="B38678" s="136"/>
    </row>
    <row r="38679" spans="1:2" x14ac:dyDescent="0.25">
      <c r="A38679" s="118"/>
      <c r="B38679" s="136"/>
    </row>
    <row r="38680" spans="1:2" x14ac:dyDescent="0.25">
      <c r="A38680" s="118"/>
      <c r="B38680" s="136"/>
    </row>
    <row r="38681" spans="1:2" x14ac:dyDescent="0.25">
      <c r="A38681" s="118"/>
      <c r="B38681" s="136"/>
    </row>
    <row r="38682" spans="1:2" x14ac:dyDescent="0.25">
      <c r="A38682" s="118"/>
      <c r="B38682" s="136"/>
    </row>
    <row r="38683" spans="1:2" x14ac:dyDescent="0.25">
      <c r="A38683" s="118"/>
      <c r="B38683" s="136"/>
    </row>
    <row r="38684" spans="1:2" x14ac:dyDescent="0.25">
      <c r="A38684" s="118"/>
      <c r="B38684" s="136"/>
    </row>
    <row r="38685" spans="1:2" x14ac:dyDescent="0.25">
      <c r="A38685" s="118"/>
      <c r="B38685" s="136"/>
    </row>
    <row r="38686" spans="1:2" x14ac:dyDescent="0.25">
      <c r="A38686" s="118"/>
      <c r="B38686" s="136"/>
    </row>
    <row r="38687" spans="1:2" x14ac:dyDescent="0.25">
      <c r="A38687" s="118"/>
      <c r="B38687" s="136"/>
    </row>
    <row r="38688" spans="1:2" x14ac:dyDescent="0.25">
      <c r="A38688" s="118"/>
      <c r="B38688" s="136"/>
    </row>
    <row r="38689" spans="1:2" x14ac:dyDescent="0.25">
      <c r="A38689" s="118"/>
      <c r="B38689" s="136"/>
    </row>
    <row r="38690" spans="1:2" x14ac:dyDescent="0.25">
      <c r="A38690" s="118"/>
      <c r="B38690" s="136"/>
    </row>
    <row r="38691" spans="1:2" x14ac:dyDescent="0.25">
      <c r="A38691" s="118"/>
      <c r="B38691" s="136"/>
    </row>
    <row r="38692" spans="1:2" x14ac:dyDescent="0.25">
      <c r="A38692" s="118"/>
      <c r="B38692" s="136"/>
    </row>
    <row r="38693" spans="1:2" x14ac:dyDescent="0.25">
      <c r="A38693" s="118"/>
      <c r="B38693" s="136"/>
    </row>
    <row r="38694" spans="1:2" x14ac:dyDescent="0.25">
      <c r="A38694" s="118"/>
      <c r="B38694" s="136"/>
    </row>
    <row r="38695" spans="1:2" x14ac:dyDescent="0.25">
      <c r="A38695" s="118"/>
      <c r="B38695" s="136"/>
    </row>
    <row r="38696" spans="1:2" x14ac:dyDescent="0.25">
      <c r="A38696" s="118"/>
      <c r="B38696" s="136"/>
    </row>
    <row r="38697" spans="1:2" x14ac:dyDescent="0.25">
      <c r="A38697" s="118"/>
      <c r="B38697" s="136"/>
    </row>
    <row r="38698" spans="1:2" x14ac:dyDescent="0.25">
      <c r="A38698" s="118"/>
      <c r="B38698" s="136"/>
    </row>
    <row r="38699" spans="1:2" x14ac:dyDescent="0.25">
      <c r="A38699" s="118"/>
      <c r="B38699" s="136"/>
    </row>
    <row r="38700" spans="1:2" x14ac:dyDescent="0.25">
      <c r="A38700" s="118"/>
      <c r="B38700" s="136"/>
    </row>
    <row r="38701" spans="1:2" x14ac:dyDescent="0.25">
      <c r="A38701" s="118"/>
      <c r="B38701" s="136"/>
    </row>
    <row r="38702" spans="1:2" x14ac:dyDescent="0.25">
      <c r="A38702" s="118"/>
      <c r="B38702" s="136"/>
    </row>
    <row r="38703" spans="1:2" x14ac:dyDescent="0.25">
      <c r="A38703" s="118"/>
      <c r="B38703" s="136"/>
    </row>
    <row r="38704" spans="1:2" x14ac:dyDescent="0.25">
      <c r="A38704" s="118"/>
      <c r="B38704" s="136"/>
    </row>
    <row r="38705" spans="1:2" x14ac:dyDescent="0.25">
      <c r="A38705" s="118"/>
      <c r="B38705" s="136"/>
    </row>
    <row r="38706" spans="1:2" x14ac:dyDescent="0.25">
      <c r="A38706" s="118"/>
      <c r="B38706" s="136"/>
    </row>
    <row r="38707" spans="1:2" x14ac:dyDescent="0.25">
      <c r="A38707" s="118"/>
      <c r="B38707" s="136"/>
    </row>
    <row r="38708" spans="1:2" x14ac:dyDescent="0.25">
      <c r="A38708" s="118"/>
      <c r="B38708" s="136"/>
    </row>
    <row r="38709" spans="1:2" x14ac:dyDescent="0.25">
      <c r="A38709" s="118"/>
      <c r="B38709" s="136"/>
    </row>
    <row r="38710" spans="1:2" x14ac:dyDescent="0.25">
      <c r="A38710" s="118"/>
      <c r="B38710" s="136"/>
    </row>
    <row r="38711" spans="1:2" x14ac:dyDescent="0.25">
      <c r="A38711" s="118"/>
      <c r="B38711" s="136"/>
    </row>
    <row r="38712" spans="1:2" x14ac:dyDescent="0.25">
      <c r="A38712" s="118"/>
      <c r="B38712" s="136"/>
    </row>
    <row r="38713" spans="1:2" x14ac:dyDescent="0.25">
      <c r="A38713" s="118"/>
      <c r="B38713" s="136"/>
    </row>
    <row r="38714" spans="1:2" x14ac:dyDescent="0.25">
      <c r="A38714" s="118"/>
      <c r="B38714" s="136"/>
    </row>
    <row r="38715" spans="1:2" x14ac:dyDescent="0.25">
      <c r="A38715" s="118"/>
      <c r="B38715" s="136"/>
    </row>
    <row r="38716" spans="1:2" x14ac:dyDescent="0.25">
      <c r="A38716" s="118"/>
      <c r="B38716" s="136"/>
    </row>
    <row r="38717" spans="1:2" x14ac:dyDescent="0.25">
      <c r="A38717" s="118"/>
      <c r="B38717" s="136"/>
    </row>
    <row r="38718" spans="1:2" x14ac:dyDescent="0.25">
      <c r="A38718" s="118"/>
      <c r="B38718" s="136"/>
    </row>
    <row r="38719" spans="1:2" x14ac:dyDescent="0.25">
      <c r="A38719" s="118"/>
      <c r="B38719" s="136"/>
    </row>
    <row r="38720" spans="1:2" x14ac:dyDescent="0.25">
      <c r="A38720" s="118"/>
      <c r="B38720" s="136"/>
    </row>
    <row r="38721" spans="1:2" x14ac:dyDescent="0.25">
      <c r="A38721" s="118"/>
      <c r="B38721" s="136"/>
    </row>
    <row r="38722" spans="1:2" x14ac:dyDescent="0.25">
      <c r="A38722" s="118"/>
      <c r="B38722" s="136"/>
    </row>
    <row r="38723" spans="1:2" x14ac:dyDescent="0.25">
      <c r="A38723" s="118"/>
      <c r="B38723" s="136"/>
    </row>
    <row r="38724" spans="1:2" x14ac:dyDescent="0.25">
      <c r="A38724" s="118"/>
      <c r="B38724" s="136"/>
    </row>
    <row r="38725" spans="1:2" x14ac:dyDescent="0.25">
      <c r="A38725" s="118"/>
      <c r="B38725" s="136"/>
    </row>
    <row r="38726" spans="1:2" x14ac:dyDescent="0.25">
      <c r="A38726" s="118"/>
      <c r="B38726" s="136"/>
    </row>
    <row r="38727" spans="1:2" x14ac:dyDescent="0.25">
      <c r="A38727" s="118"/>
      <c r="B38727" s="136"/>
    </row>
    <row r="38728" spans="1:2" x14ac:dyDescent="0.25">
      <c r="A38728" s="118"/>
      <c r="B38728" s="136"/>
    </row>
    <row r="38729" spans="1:2" x14ac:dyDescent="0.25">
      <c r="A38729" s="118"/>
      <c r="B38729" s="136"/>
    </row>
    <row r="38730" spans="1:2" x14ac:dyDescent="0.25">
      <c r="A38730" s="118"/>
      <c r="B38730" s="136"/>
    </row>
    <row r="38731" spans="1:2" x14ac:dyDescent="0.25">
      <c r="A38731" s="118"/>
      <c r="B38731" s="136"/>
    </row>
    <row r="38732" spans="1:2" x14ac:dyDescent="0.25">
      <c r="A38732" s="118"/>
      <c r="B38732" s="136"/>
    </row>
    <row r="38733" spans="1:2" x14ac:dyDescent="0.25">
      <c r="A38733" s="118"/>
      <c r="B38733" s="136"/>
    </row>
    <row r="38734" spans="1:2" x14ac:dyDescent="0.25">
      <c r="A38734" s="118"/>
      <c r="B38734" s="136"/>
    </row>
    <row r="38735" spans="1:2" x14ac:dyDescent="0.25">
      <c r="A38735" s="118"/>
      <c r="B38735" s="136"/>
    </row>
    <row r="38736" spans="1:2" x14ac:dyDescent="0.25">
      <c r="A38736" s="118"/>
      <c r="B38736" s="136"/>
    </row>
    <row r="38737" spans="1:2" x14ac:dyDescent="0.25">
      <c r="A38737" s="118"/>
      <c r="B38737" s="136"/>
    </row>
    <row r="38738" spans="1:2" x14ac:dyDescent="0.25">
      <c r="A38738" s="118"/>
      <c r="B38738" s="136"/>
    </row>
    <row r="38739" spans="1:2" x14ac:dyDescent="0.25">
      <c r="A38739" s="118"/>
      <c r="B38739" s="136"/>
    </row>
    <row r="38740" spans="1:2" x14ac:dyDescent="0.25">
      <c r="A38740" s="118"/>
      <c r="B38740" s="136"/>
    </row>
    <row r="38741" spans="1:2" x14ac:dyDescent="0.25">
      <c r="A38741" s="118"/>
      <c r="B38741" s="136"/>
    </row>
    <row r="38742" spans="1:2" x14ac:dyDescent="0.25">
      <c r="A38742" s="118"/>
      <c r="B38742" s="136"/>
    </row>
    <row r="38743" spans="1:2" x14ac:dyDescent="0.25">
      <c r="A38743" s="118"/>
      <c r="B38743" s="136"/>
    </row>
    <row r="38744" spans="1:2" x14ac:dyDescent="0.25">
      <c r="A38744" s="118"/>
      <c r="B38744" s="136"/>
    </row>
    <row r="38745" spans="1:2" x14ac:dyDescent="0.25">
      <c r="A38745" s="118"/>
      <c r="B38745" s="136"/>
    </row>
    <row r="38746" spans="1:2" x14ac:dyDescent="0.25">
      <c r="A38746" s="118"/>
      <c r="B38746" s="136"/>
    </row>
    <row r="38747" spans="1:2" x14ac:dyDescent="0.25">
      <c r="A38747" s="118"/>
      <c r="B38747" s="136"/>
    </row>
    <row r="38748" spans="1:2" x14ac:dyDescent="0.25">
      <c r="A38748" s="118"/>
      <c r="B38748" s="136"/>
    </row>
    <row r="38749" spans="1:2" x14ac:dyDescent="0.25">
      <c r="A38749" s="118"/>
      <c r="B38749" s="136"/>
    </row>
    <row r="38750" spans="1:2" x14ac:dyDescent="0.25">
      <c r="A38750" s="118"/>
      <c r="B38750" s="136"/>
    </row>
    <row r="38751" spans="1:2" x14ac:dyDescent="0.25">
      <c r="A38751" s="118"/>
      <c r="B38751" s="136"/>
    </row>
    <row r="38752" spans="1:2" x14ac:dyDescent="0.25">
      <c r="A38752" s="118"/>
      <c r="B38752" s="136"/>
    </row>
    <row r="38753" spans="1:2" x14ac:dyDescent="0.25">
      <c r="A38753" s="118"/>
      <c r="B38753" s="136"/>
    </row>
    <row r="38754" spans="1:2" x14ac:dyDescent="0.25">
      <c r="A38754" s="118"/>
      <c r="B38754" s="136"/>
    </row>
    <row r="38755" spans="1:2" x14ac:dyDescent="0.25">
      <c r="A38755" s="118"/>
      <c r="B38755" s="136"/>
    </row>
    <row r="38756" spans="1:2" x14ac:dyDescent="0.25">
      <c r="A38756" s="118"/>
      <c r="B38756" s="136"/>
    </row>
    <row r="38757" spans="1:2" x14ac:dyDescent="0.25">
      <c r="A38757" s="118"/>
      <c r="B38757" s="136"/>
    </row>
    <row r="38758" spans="1:2" x14ac:dyDescent="0.25">
      <c r="A38758" s="118"/>
      <c r="B38758" s="136"/>
    </row>
    <row r="38759" spans="1:2" x14ac:dyDescent="0.25">
      <c r="A38759" s="118"/>
      <c r="B38759" s="136"/>
    </row>
    <row r="38760" spans="1:2" x14ac:dyDescent="0.25">
      <c r="A38760" s="118"/>
      <c r="B38760" s="136"/>
    </row>
    <row r="38761" spans="1:2" x14ac:dyDescent="0.25">
      <c r="A38761" s="118"/>
      <c r="B38761" s="136"/>
    </row>
    <row r="38762" spans="1:2" x14ac:dyDescent="0.25">
      <c r="A38762" s="118"/>
      <c r="B38762" s="136"/>
    </row>
    <row r="38763" spans="1:2" x14ac:dyDescent="0.25">
      <c r="A38763" s="118"/>
      <c r="B38763" s="136"/>
    </row>
    <row r="38764" spans="1:2" x14ac:dyDescent="0.25">
      <c r="A38764" s="118"/>
      <c r="B38764" s="136"/>
    </row>
    <row r="38765" spans="1:2" x14ac:dyDescent="0.25">
      <c r="A38765" s="118"/>
      <c r="B38765" s="136"/>
    </row>
    <row r="38766" spans="1:2" x14ac:dyDescent="0.25">
      <c r="A38766" s="118"/>
      <c r="B38766" s="136"/>
    </row>
    <row r="38767" spans="1:2" x14ac:dyDescent="0.25">
      <c r="A38767" s="118"/>
      <c r="B38767" s="136"/>
    </row>
    <row r="38768" spans="1:2" x14ac:dyDescent="0.25">
      <c r="A38768" s="118"/>
      <c r="B38768" s="136"/>
    </row>
    <row r="38769" spans="1:2" x14ac:dyDescent="0.25">
      <c r="A38769" s="118"/>
      <c r="B38769" s="136"/>
    </row>
    <row r="38770" spans="1:2" x14ac:dyDescent="0.25">
      <c r="A38770" s="118"/>
      <c r="B38770" s="136"/>
    </row>
    <row r="38771" spans="1:2" x14ac:dyDescent="0.25">
      <c r="A38771" s="118"/>
      <c r="B38771" s="136"/>
    </row>
    <row r="38772" spans="1:2" x14ac:dyDescent="0.25">
      <c r="A38772" s="118"/>
      <c r="B38772" s="136"/>
    </row>
    <row r="38773" spans="1:2" x14ac:dyDescent="0.25">
      <c r="A38773" s="118"/>
      <c r="B38773" s="136"/>
    </row>
    <row r="38774" spans="1:2" x14ac:dyDescent="0.25">
      <c r="A38774" s="118"/>
      <c r="B38774" s="136"/>
    </row>
    <row r="38775" spans="1:2" x14ac:dyDescent="0.25">
      <c r="A38775" s="118"/>
      <c r="B38775" s="136"/>
    </row>
    <row r="38776" spans="1:2" x14ac:dyDescent="0.25">
      <c r="A38776" s="118"/>
      <c r="B38776" s="136"/>
    </row>
    <row r="38777" spans="1:2" x14ac:dyDescent="0.25">
      <c r="A38777" s="118"/>
      <c r="B38777" s="136"/>
    </row>
    <row r="38778" spans="1:2" x14ac:dyDescent="0.25">
      <c r="A38778" s="118"/>
      <c r="B38778" s="136"/>
    </row>
    <row r="38779" spans="1:2" x14ac:dyDescent="0.25">
      <c r="A38779" s="118"/>
      <c r="B38779" s="136"/>
    </row>
    <row r="38780" spans="1:2" x14ac:dyDescent="0.25">
      <c r="A38780" s="118"/>
      <c r="B38780" s="136"/>
    </row>
    <row r="38781" spans="1:2" x14ac:dyDescent="0.25">
      <c r="A38781" s="118"/>
      <c r="B38781" s="136"/>
    </row>
    <row r="38782" spans="1:2" x14ac:dyDescent="0.25">
      <c r="A38782" s="118"/>
      <c r="B38782" s="136"/>
    </row>
    <row r="38783" spans="1:2" x14ac:dyDescent="0.25">
      <c r="A38783" s="118"/>
      <c r="B38783" s="136"/>
    </row>
    <row r="38784" spans="1:2" x14ac:dyDescent="0.25">
      <c r="A38784" s="118"/>
      <c r="B38784" s="136"/>
    </row>
    <row r="38785" spans="1:2" x14ac:dyDescent="0.25">
      <c r="A38785" s="118"/>
      <c r="B38785" s="136"/>
    </row>
    <row r="38786" spans="1:2" x14ac:dyDescent="0.25">
      <c r="A38786" s="118"/>
      <c r="B38786" s="136"/>
    </row>
    <row r="38787" spans="1:2" x14ac:dyDescent="0.25">
      <c r="A38787" s="118"/>
      <c r="B38787" s="136"/>
    </row>
    <row r="38788" spans="1:2" x14ac:dyDescent="0.25">
      <c r="A38788" s="118"/>
      <c r="B38788" s="136"/>
    </row>
    <row r="38789" spans="1:2" x14ac:dyDescent="0.25">
      <c r="A38789" s="118"/>
      <c r="B38789" s="136"/>
    </row>
    <row r="38790" spans="1:2" x14ac:dyDescent="0.25">
      <c r="A38790" s="118"/>
      <c r="B38790" s="136"/>
    </row>
    <row r="38791" spans="1:2" x14ac:dyDescent="0.25">
      <c r="A38791" s="118"/>
      <c r="B38791" s="136"/>
    </row>
    <row r="38792" spans="1:2" x14ac:dyDescent="0.25">
      <c r="A38792" s="118"/>
      <c r="B38792" s="136"/>
    </row>
    <row r="38793" spans="1:2" x14ac:dyDescent="0.25">
      <c r="A38793" s="118"/>
      <c r="B38793" s="136"/>
    </row>
    <row r="38794" spans="1:2" x14ac:dyDescent="0.25">
      <c r="A38794" s="118"/>
      <c r="B38794" s="136"/>
    </row>
    <row r="38795" spans="1:2" x14ac:dyDescent="0.25">
      <c r="A38795" s="118"/>
      <c r="B38795" s="136"/>
    </row>
    <row r="38796" spans="1:2" x14ac:dyDescent="0.25">
      <c r="A38796" s="118"/>
      <c r="B38796" s="136"/>
    </row>
    <row r="38797" spans="1:2" x14ac:dyDescent="0.25">
      <c r="A38797" s="118"/>
      <c r="B38797" s="136"/>
    </row>
    <row r="38798" spans="1:2" x14ac:dyDescent="0.25">
      <c r="A38798" s="118"/>
      <c r="B38798" s="136"/>
    </row>
    <row r="38799" spans="1:2" x14ac:dyDescent="0.25">
      <c r="A38799" s="118"/>
      <c r="B38799" s="136"/>
    </row>
    <row r="38800" spans="1:2" x14ac:dyDescent="0.25">
      <c r="A38800" s="118"/>
      <c r="B38800" s="136"/>
    </row>
    <row r="38801" spans="1:2" x14ac:dyDescent="0.25">
      <c r="A38801" s="118"/>
      <c r="B38801" s="136"/>
    </row>
    <row r="38802" spans="1:2" x14ac:dyDescent="0.25">
      <c r="A38802" s="118"/>
      <c r="B38802" s="136"/>
    </row>
    <row r="38803" spans="1:2" x14ac:dyDescent="0.25">
      <c r="A38803" s="118"/>
      <c r="B38803" s="136"/>
    </row>
    <row r="38804" spans="1:2" x14ac:dyDescent="0.25">
      <c r="A38804" s="118"/>
      <c r="B38804" s="136"/>
    </row>
    <row r="38805" spans="1:2" x14ac:dyDescent="0.25">
      <c r="A38805" s="118"/>
      <c r="B38805" s="136"/>
    </row>
    <row r="38806" spans="1:2" x14ac:dyDescent="0.25">
      <c r="A38806" s="118"/>
      <c r="B38806" s="136"/>
    </row>
    <row r="38807" spans="1:2" x14ac:dyDescent="0.25">
      <c r="A38807" s="118"/>
      <c r="B38807" s="136"/>
    </row>
    <row r="38808" spans="1:2" x14ac:dyDescent="0.25">
      <c r="A38808" s="118"/>
      <c r="B38808" s="136"/>
    </row>
    <row r="38809" spans="1:2" x14ac:dyDescent="0.25">
      <c r="A38809" s="118"/>
      <c r="B38809" s="136"/>
    </row>
    <row r="38810" spans="1:2" x14ac:dyDescent="0.25">
      <c r="A38810" s="118"/>
      <c r="B38810" s="136"/>
    </row>
    <row r="38811" spans="1:2" x14ac:dyDescent="0.25">
      <c r="A38811" s="118"/>
      <c r="B38811" s="136"/>
    </row>
    <row r="38812" spans="1:2" x14ac:dyDescent="0.25">
      <c r="A38812" s="118"/>
      <c r="B38812" s="136"/>
    </row>
    <row r="38813" spans="1:2" x14ac:dyDescent="0.25">
      <c r="A38813" s="118"/>
      <c r="B38813" s="136"/>
    </row>
    <row r="38814" spans="1:2" x14ac:dyDescent="0.25">
      <c r="A38814" s="118"/>
      <c r="B38814" s="136"/>
    </row>
    <row r="38815" spans="1:2" x14ac:dyDescent="0.25">
      <c r="A38815" s="118"/>
      <c r="B38815" s="136"/>
    </row>
    <row r="38816" spans="1:2" x14ac:dyDescent="0.25">
      <c r="A38816" s="118"/>
      <c r="B38816" s="136"/>
    </row>
    <row r="38817" spans="1:2" x14ac:dyDescent="0.25">
      <c r="A38817" s="118"/>
      <c r="B38817" s="136"/>
    </row>
    <row r="38818" spans="1:2" x14ac:dyDescent="0.25">
      <c r="A38818" s="118"/>
      <c r="B38818" s="136"/>
    </row>
    <row r="38819" spans="1:2" x14ac:dyDescent="0.25">
      <c r="A38819" s="118"/>
      <c r="B38819" s="136"/>
    </row>
    <row r="38820" spans="1:2" x14ac:dyDescent="0.25">
      <c r="A38820" s="118"/>
      <c r="B38820" s="136"/>
    </row>
    <row r="38821" spans="1:2" x14ac:dyDescent="0.25">
      <c r="A38821" s="118"/>
      <c r="B38821" s="136"/>
    </row>
    <row r="38822" spans="1:2" x14ac:dyDescent="0.25">
      <c r="A38822" s="118"/>
      <c r="B38822" s="136"/>
    </row>
    <row r="38823" spans="1:2" x14ac:dyDescent="0.25">
      <c r="A38823" s="118"/>
      <c r="B38823" s="136"/>
    </row>
    <row r="38824" spans="1:2" x14ac:dyDescent="0.25">
      <c r="A38824" s="118"/>
      <c r="B38824" s="136"/>
    </row>
    <row r="38825" spans="1:2" x14ac:dyDescent="0.25">
      <c r="A38825" s="118"/>
      <c r="B38825" s="136"/>
    </row>
    <row r="38826" spans="1:2" x14ac:dyDescent="0.25">
      <c r="A38826" s="118"/>
      <c r="B38826" s="136"/>
    </row>
    <row r="38827" spans="1:2" x14ac:dyDescent="0.25">
      <c r="A38827" s="118"/>
      <c r="B38827" s="136"/>
    </row>
    <row r="38828" spans="1:2" x14ac:dyDescent="0.25">
      <c r="A38828" s="118"/>
      <c r="B38828" s="136"/>
    </row>
    <row r="38829" spans="1:2" x14ac:dyDescent="0.25">
      <c r="A38829" s="118"/>
      <c r="B38829" s="136"/>
    </row>
    <row r="38830" spans="1:2" x14ac:dyDescent="0.25">
      <c r="A38830" s="118"/>
      <c r="B38830" s="136"/>
    </row>
    <row r="38831" spans="1:2" x14ac:dyDescent="0.25">
      <c r="A38831" s="118"/>
      <c r="B38831" s="136"/>
    </row>
    <row r="38832" spans="1:2" x14ac:dyDescent="0.25">
      <c r="A38832" s="118"/>
      <c r="B38832" s="136"/>
    </row>
    <row r="38833" spans="1:2" x14ac:dyDescent="0.25">
      <c r="A38833" s="118"/>
      <c r="B38833" s="136"/>
    </row>
    <row r="38834" spans="1:2" x14ac:dyDescent="0.25">
      <c r="A38834" s="118"/>
      <c r="B38834" s="136"/>
    </row>
    <row r="38835" spans="1:2" x14ac:dyDescent="0.25">
      <c r="A38835" s="118"/>
      <c r="B38835" s="136"/>
    </row>
    <row r="38836" spans="1:2" x14ac:dyDescent="0.25">
      <c r="A38836" s="118"/>
      <c r="B38836" s="136"/>
    </row>
    <row r="38837" spans="1:2" x14ac:dyDescent="0.25">
      <c r="A38837" s="118"/>
      <c r="B38837" s="136"/>
    </row>
    <row r="38838" spans="1:2" x14ac:dyDescent="0.25">
      <c r="A38838" s="118"/>
      <c r="B38838" s="136"/>
    </row>
    <row r="38839" spans="1:2" x14ac:dyDescent="0.25">
      <c r="A38839" s="118"/>
      <c r="B38839" s="136"/>
    </row>
    <row r="38840" spans="1:2" x14ac:dyDescent="0.25">
      <c r="A38840" s="118"/>
      <c r="B38840" s="136"/>
    </row>
    <row r="38841" spans="1:2" x14ac:dyDescent="0.25">
      <c r="A38841" s="118"/>
      <c r="B38841" s="136"/>
    </row>
    <row r="38842" spans="1:2" x14ac:dyDescent="0.25">
      <c r="A38842" s="118"/>
      <c r="B38842" s="136"/>
    </row>
    <row r="38843" spans="1:2" x14ac:dyDescent="0.25">
      <c r="A38843" s="118"/>
      <c r="B38843" s="136"/>
    </row>
    <row r="38844" spans="1:2" x14ac:dyDescent="0.25">
      <c r="A38844" s="118"/>
      <c r="B38844" s="136"/>
    </row>
    <row r="38845" spans="1:2" x14ac:dyDescent="0.25">
      <c r="A38845" s="118"/>
      <c r="B38845" s="136"/>
    </row>
    <row r="38846" spans="1:2" x14ac:dyDescent="0.25">
      <c r="A38846" s="118"/>
      <c r="B38846" s="136"/>
    </row>
    <row r="38847" spans="1:2" x14ac:dyDescent="0.25">
      <c r="A38847" s="118"/>
      <c r="B38847" s="136"/>
    </row>
    <row r="38848" spans="1:2" x14ac:dyDescent="0.25">
      <c r="A38848" s="118"/>
      <c r="B38848" s="136"/>
    </row>
    <row r="38849" spans="1:2" x14ac:dyDescent="0.25">
      <c r="A38849" s="118"/>
      <c r="B38849" s="136"/>
    </row>
    <row r="38850" spans="1:2" x14ac:dyDescent="0.25">
      <c r="A38850" s="118"/>
      <c r="B38850" s="136"/>
    </row>
    <row r="38851" spans="1:2" x14ac:dyDescent="0.25">
      <c r="A38851" s="118"/>
      <c r="B38851" s="136"/>
    </row>
    <row r="38852" spans="1:2" x14ac:dyDescent="0.25">
      <c r="A38852" s="118"/>
      <c r="B38852" s="136"/>
    </row>
    <row r="38853" spans="1:2" x14ac:dyDescent="0.25">
      <c r="A38853" s="118"/>
      <c r="B38853" s="136"/>
    </row>
    <row r="38854" spans="1:2" x14ac:dyDescent="0.25">
      <c r="A38854" s="118"/>
      <c r="B38854" s="136"/>
    </row>
    <row r="38855" spans="1:2" x14ac:dyDescent="0.25">
      <c r="A38855" s="118"/>
      <c r="B38855" s="136"/>
    </row>
    <row r="38856" spans="1:2" x14ac:dyDescent="0.25">
      <c r="A38856" s="118"/>
      <c r="B38856" s="136"/>
    </row>
    <row r="38857" spans="1:2" x14ac:dyDescent="0.25">
      <c r="A38857" s="118"/>
      <c r="B38857" s="136"/>
    </row>
    <row r="38858" spans="1:2" x14ac:dyDescent="0.25">
      <c r="A38858" s="118"/>
      <c r="B38858" s="136"/>
    </row>
    <row r="38859" spans="1:2" x14ac:dyDescent="0.25">
      <c r="A38859" s="118"/>
      <c r="B38859" s="136"/>
    </row>
    <row r="38860" spans="1:2" x14ac:dyDescent="0.25">
      <c r="A38860" s="118"/>
      <c r="B38860" s="136"/>
    </row>
    <row r="38861" spans="1:2" x14ac:dyDescent="0.25">
      <c r="A38861" s="118"/>
      <c r="B38861" s="136"/>
    </row>
    <row r="38862" spans="1:2" x14ac:dyDescent="0.25">
      <c r="A38862" s="118"/>
      <c r="B38862" s="136"/>
    </row>
    <row r="38863" spans="1:2" x14ac:dyDescent="0.25">
      <c r="A38863" s="118"/>
      <c r="B38863" s="136"/>
    </row>
    <row r="38864" spans="1:2" x14ac:dyDescent="0.25">
      <c r="A38864" s="118"/>
      <c r="B38864" s="136"/>
    </row>
    <row r="38865" spans="1:2" x14ac:dyDescent="0.25">
      <c r="A38865" s="118"/>
      <c r="B38865" s="136"/>
    </row>
    <row r="38866" spans="1:2" x14ac:dyDescent="0.25">
      <c r="A38866" s="118"/>
      <c r="B38866" s="136"/>
    </row>
    <row r="38867" spans="1:2" x14ac:dyDescent="0.25">
      <c r="A38867" s="118"/>
      <c r="B38867" s="136"/>
    </row>
    <row r="38868" spans="1:2" x14ac:dyDescent="0.25">
      <c r="A38868" s="118"/>
      <c r="B38868" s="136"/>
    </row>
    <row r="38869" spans="1:2" x14ac:dyDescent="0.25">
      <c r="A38869" s="118"/>
      <c r="B38869" s="136"/>
    </row>
    <row r="38870" spans="1:2" x14ac:dyDescent="0.25">
      <c r="A38870" s="118"/>
      <c r="B38870" s="136"/>
    </row>
    <row r="38871" spans="1:2" x14ac:dyDescent="0.25">
      <c r="A38871" s="118"/>
      <c r="B38871" s="136"/>
    </row>
    <row r="38872" spans="1:2" x14ac:dyDescent="0.25">
      <c r="A38872" s="118"/>
      <c r="B38872" s="136"/>
    </row>
    <row r="38873" spans="1:2" x14ac:dyDescent="0.25">
      <c r="A38873" s="118"/>
      <c r="B38873" s="136"/>
    </row>
    <row r="38874" spans="1:2" x14ac:dyDescent="0.25">
      <c r="A38874" s="118"/>
      <c r="B38874" s="136"/>
    </row>
    <row r="38875" spans="1:2" x14ac:dyDescent="0.25">
      <c r="A38875" s="118"/>
      <c r="B38875" s="136"/>
    </row>
    <row r="38876" spans="1:2" x14ac:dyDescent="0.25">
      <c r="A38876" s="118"/>
      <c r="B38876" s="136"/>
    </row>
    <row r="38877" spans="1:2" x14ac:dyDescent="0.25">
      <c r="A38877" s="118"/>
      <c r="B38877" s="136"/>
    </row>
    <row r="38878" spans="1:2" x14ac:dyDescent="0.25">
      <c r="A38878" s="118"/>
      <c r="B38878" s="136"/>
    </row>
    <row r="38879" spans="1:2" x14ac:dyDescent="0.25">
      <c r="A38879" s="118"/>
      <c r="B38879" s="136"/>
    </row>
    <row r="38880" spans="1:2" x14ac:dyDescent="0.25">
      <c r="A38880" s="118"/>
      <c r="B38880" s="136"/>
    </row>
    <row r="38881" spans="1:2" x14ac:dyDescent="0.25">
      <c r="A38881" s="118"/>
      <c r="B38881" s="136"/>
    </row>
    <row r="38882" spans="1:2" x14ac:dyDescent="0.25">
      <c r="A38882" s="118"/>
      <c r="B38882" s="136"/>
    </row>
    <row r="38883" spans="1:2" x14ac:dyDescent="0.25">
      <c r="A38883" s="118"/>
      <c r="B38883" s="136"/>
    </row>
    <row r="38884" spans="1:2" x14ac:dyDescent="0.25">
      <c r="A38884" s="118"/>
      <c r="B38884" s="136"/>
    </row>
    <row r="38885" spans="1:2" x14ac:dyDescent="0.25">
      <c r="A38885" s="118"/>
      <c r="B38885" s="136"/>
    </row>
    <row r="38886" spans="1:2" x14ac:dyDescent="0.25">
      <c r="A38886" s="118"/>
      <c r="B38886" s="136"/>
    </row>
    <row r="38887" spans="1:2" x14ac:dyDescent="0.25">
      <c r="A38887" s="118"/>
      <c r="B38887" s="136"/>
    </row>
    <row r="38888" spans="1:2" x14ac:dyDescent="0.25">
      <c r="A38888" s="118"/>
      <c r="B38888" s="136"/>
    </row>
    <row r="38889" spans="1:2" x14ac:dyDescent="0.25">
      <c r="A38889" s="118"/>
      <c r="B38889" s="136"/>
    </row>
    <row r="38890" spans="1:2" x14ac:dyDescent="0.25">
      <c r="A38890" s="118"/>
      <c r="B38890" s="136"/>
    </row>
    <row r="38891" spans="1:2" x14ac:dyDescent="0.25">
      <c r="A38891" s="118"/>
      <c r="B38891" s="136"/>
    </row>
    <row r="38892" spans="1:2" x14ac:dyDescent="0.25">
      <c r="A38892" s="118"/>
      <c r="B38892" s="136"/>
    </row>
    <row r="38893" spans="1:2" x14ac:dyDescent="0.25">
      <c r="A38893" s="118"/>
      <c r="B38893" s="136"/>
    </row>
    <row r="38894" spans="1:2" x14ac:dyDescent="0.25">
      <c r="A38894" s="118"/>
      <c r="B38894" s="136"/>
    </row>
    <row r="38895" spans="1:2" x14ac:dyDescent="0.25">
      <c r="A38895" s="118"/>
      <c r="B38895" s="136"/>
    </row>
    <row r="38896" spans="1:2" x14ac:dyDescent="0.25">
      <c r="A38896" s="118"/>
      <c r="B38896" s="136"/>
    </row>
    <row r="38897" spans="1:2" x14ac:dyDescent="0.25">
      <c r="A38897" s="118"/>
      <c r="B38897" s="136"/>
    </row>
    <row r="38898" spans="1:2" x14ac:dyDescent="0.25">
      <c r="A38898" s="118"/>
      <c r="B38898" s="136"/>
    </row>
    <row r="38899" spans="1:2" x14ac:dyDescent="0.25">
      <c r="A38899" s="118"/>
      <c r="B38899" s="136"/>
    </row>
    <row r="38900" spans="1:2" x14ac:dyDescent="0.25">
      <c r="A38900" s="118"/>
      <c r="B38900" s="136"/>
    </row>
    <row r="38901" spans="1:2" x14ac:dyDescent="0.25">
      <c r="A38901" s="118"/>
      <c r="B38901" s="136"/>
    </row>
    <row r="38902" spans="1:2" x14ac:dyDescent="0.25">
      <c r="A38902" s="118"/>
      <c r="B38902" s="136"/>
    </row>
    <row r="38903" spans="1:2" x14ac:dyDescent="0.25">
      <c r="A38903" s="118"/>
      <c r="B38903" s="136"/>
    </row>
    <row r="38904" spans="1:2" x14ac:dyDescent="0.25">
      <c r="A38904" s="118"/>
      <c r="B38904" s="136"/>
    </row>
    <row r="38905" spans="1:2" x14ac:dyDescent="0.25">
      <c r="A38905" s="118"/>
      <c r="B38905" s="136"/>
    </row>
    <row r="38906" spans="1:2" x14ac:dyDescent="0.25">
      <c r="A38906" s="118"/>
      <c r="B38906" s="136"/>
    </row>
    <row r="38907" spans="1:2" x14ac:dyDescent="0.25">
      <c r="A38907" s="118"/>
      <c r="B38907" s="136"/>
    </row>
    <row r="38908" spans="1:2" x14ac:dyDescent="0.25">
      <c r="A38908" s="118"/>
      <c r="B38908" s="136"/>
    </row>
    <row r="38909" spans="1:2" x14ac:dyDescent="0.25">
      <c r="A38909" s="118"/>
      <c r="B38909" s="136"/>
    </row>
    <row r="38910" spans="1:2" x14ac:dyDescent="0.25">
      <c r="A38910" s="118"/>
      <c r="B38910" s="136"/>
    </row>
    <row r="38911" spans="1:2" x14ac:dyDescent="0.25">
      <c r="A38911" s="118"/>
      <c r="B38911" s="136"/>
    </row>
    <row r="38912" spans="1:2" x14ac:dyDescent="0.25">
      <c r="A38912" s="118"/>
      <c r="B38912" s="136"/>
    </row>
    <row r="38913" spans="1:2" x14ac:dyDescent="0.25">
      <c r="A38913" s="118"/>
      <c r="B38913" s="136"/>
    </row>
    <row r="38914" spans="1:2" x14ac:dyDescent="0.25">
      <c r="A38914" s="118"/>
      <c r="B38914" s="136"/>
    </row>
    <row r="38915" spans="1:2" x14ac:dyDescent="0.25">
      <c r="A38915" s="118"/>
      <c r="B38915" s="136"/>
    </row>
    <row r="38916" spans="1:2" x14ac:dyDescent="0.25">
      <c r="A38916" s="118"/>
      <c r="B38916" s="136"/>
    </row>
    <row r="38917" spans="1:2" x14ac:dyDescent="0.25">
      <c r="A38917" s="118"/>
      <c r="B38917" s="136"/>
    </row>
    <row r="38918" spans="1:2" x14ac:dyDescent="0.25">
      <c r="A38918" s="118"/>
      <c r="B38918" s="136"/>
    </row>
    <row r="38919" spans="1:2" x14ac:dyDescent="0.25">
      <c r="A38919" s="118"/>
      <c r="B38919" s="136"/>
    </row>
    <row r="38920" spans="1:2" x14ac:dyDescent="0.25">
      <c r="A38920" s="118"/>
      <c r="B38920" s="136"/>
    </row>
    <row r="38921" spans="1:2" x14ac:dyDescent="0.25">
      <c r="A38921" s="118"/>
      <c r="B38921" s="136"/>
    </row>
    <row r="38922" spans="1:2" x14ac:dyDescent="0.25">
      <c r="A38922" s="118"/>
      <c r="B38922" s="136"/>
    </row>
    <row r="38923" spans="1:2" x14ac:dyDescent="0.25">
      <c r="A38923" s="118"/>
      <c r="B38923" s="136"/>
    </row>
    <row r="38924" spans="1:2" x14ac:dyDescent="0.25">
      <c r="A38924" s="118"/>
      <c r="B38924" s="136"/>
    </row>
    <row r="38925" spans="1:2" x14ac:dyDescent="0.25">
      <c r="A38925" s="118"/>
      <c r="B38925" s="136"/>
    </row>
    <row r="38926" spans="1:2" x14ac:dyDescent="0.25">
      <c r="A38926" s="118"/>
      <c r="B38926" s="136"/>
    </row>
    <row r="38927" spans="1:2" x14ac:dyDescent="0.25">
      <c r="A38927" s="118"/>
      <c r="B38927" s="136"/>
    </row>
    <row r="38928" spans="1:2" x14ac:dyDescent="0.25">
      <c r="A38928" s="118"/>
      <c r="B38928" s="136"/>
    </row>
    <row r="38929" spans="1:2" x14ac:dyDescent="0.25">
      <c r="A38929" s="118"/>
      <c r="B38929" s="136"/>
    </row>
    <row r="38930" spans="1:2" x14ac:dyDescent="0.25">
      <c r="A38930" s="118"/>
      <c r="B38930" s="136"/>
    </row>
    <row r="38931" spans="1:2" x14ac:dyDescent="0.25">
      <c r="A38931" s="118"/>
      <c r="B38931" s="136"/>
    </row>
    <row r="38932" spans="1:2" x14ac:dyDescent="0.25">
      <c r="A38932" s="118"/>
      <c r="B38932" s="136"/>
    </row>
    <row r="38933" spans="1:2" x14ac:dyDescent="0.25">
      <c r="A38933" s="118"/>
      <c r="B38933" s="136"/>
    </row>
    <row r="38934" spans="1:2" x14ac:dyDescent="0.25">
      <c r="A38934" s="118"/>
      <c r="B38934" s="136"/>
    </row>
    <row r="38935" spans="1:2" x14ac:dyDescent="0.25">
      <c r="A38935" s="118"/>
      <c r="B38935" s="136"/>
    </row>
    <row r="38936" spans="1:2" x14ac:dyDescent="0.25">
      <c r="A38936" s="118"/>
      <c r="B38936" s="136"/>
    </row>
    <row r="38937" spans="1:2" x14ac:dyDescent="0.25">
      <c r="A38937" s="118"/>
      <c r="B38937" s="136"/>
    </row>
    <row r="38938" spans="1:2" x14ac:dyDescent="0.25">
      <c r="A38938" s="118"/>
      <c r="B38938" s="136"/>
    </row>
    <row r="38939" spans="1:2" x14ac:dyDescent="0.25">
      <c r="A38939" s="118"/>
      <c r="B38939" s="136"/>
    </row>
    <row r="38940" spans="1:2" x14ac:dyDescent="0.25">
      <c r="A38940" s="118"/>
      <c r="B38940" s="136"/>
    </row>
    <row r="38941" spans="1:2" x14ac:dyDescent="0.25">
      <c r="A38941" s="118"/>
      <c r="B38941" s="136"/>
    </row>
    <row r="38942" spans="1:2" x14ac:dyDescent="0.25">
      <c r="A38942" s="118"/>
      <c r="B38942" s="136"/>
    </row>
    <row r="38943" spans="1:2" x14ac:dyDescent="0.25">
      <c r="A38943" s="118"/>
      <c r="B38943" s="136"/>
    </row>
    <row r="38944" spans="1:2" x14ac:dyDescent="0.25">
      <c r="A38944" s="118"/>
      <c r="B38944" s="136"/>
    </row>
    <row r="38945" spans="1:2" x14ac:dyDescent="0.25">
      <c r="A38945" s="118"/>
      <c r="B38945" s="136"/>
    </row>
    <row r="38946" spans="1:2" x14ac:dyDescent="0.25">
      <c r="A38946" s="118"/>
      <c r="B38946" s="136"/>
    </row>
    <row r="38947" spans="1:2" x14ac:dyDescent="0.25">
      <c r="A38947" s="118"/>
      <c r="B38947" s="136"/>
    </row>
    <row r="38948" spans="1:2" x14ac:dyDescent="0.25">
      <c r="A38948" s="118"/>
      <c r="B38948" s="136"/>
    </row>
    <row r="38949" spans="1:2" x14ac:dyDescent="0.25">
      <c r="A38949" s="118"/>
      <c r="B38949" s="136"/>
    </row>
    <row r="38950" spans="1:2" x14ac:dyDescent="0.25">
      <c r="A38950" s="118"/>
      <c r="B38950" s="136"/>
    </row>
    <row r="38951" spans="1:2" x14ac:dyDescent="0.25">
      <c r="A38951" s="118"/>
      <c r="B38951" s="136"/>
    </row>
    <row r="38952" spans="1:2" x14ac:dyDescent="0.25">
      <c r="A38952" s="118"/>
      <c r="B38952" s="136"/>
    </row>
    <row r="38953" spans="1:2" x14ac:dyDescent="0.25">
      <c r="A38953" s="118"/>
      <c r="B38953" s="136"/>
    </row>
    <row r="38954" spans="1:2" x14ac:dyDescent="0.25">
      <c r="A38954" s="118"/>
      <c r="B38954" s="136"/>
    </row>
    <row r="38955" spans="1:2" x14ac:dyDescent="0.25">
      <c r="A38955" s="118"/>
      <c r="B38955" s="136"/>
    </row>
    <row r="38956" spans="1:2" x14ac:dyDescent="0.25">
      <c r="A38956" s="118"/>
      <c r="B38956" s="136"/>
    </row>
    <row r="38957" spans="1:2" x14ac:dyDescent="0.25">
      <c r="A38957" s="118"/>
      <c r="B38957" s="136"/>
    </row>
    <row r="38958" spans="1:2" x14ac:dyDescent="0.25">
      <c r="A38958" s="118"/>
      <c r="B38958" s="136"/>
    </row>
    <row r="38959" spans="1:2" x14ac:dyDescent="0.25">
      <c r="A38959" s="118"/>
      <c r="B38959" s="136"/>
    </row>
    <row r="38960" spans="1:2" x14ac:dyDescent="0.25">
      <c r="A38960" s="118"/>
      <c r="B38960" s="136"/>
    </row>
    <row r="38961" spans="1:2" x14ac:dyDescent="0.25">
      <c r="A38961" s="118"/>
      <c r="B38961" s="136"/>
    </row>
    <row r="38962" spans="1:2" x14ac:dyDescent="0.25">
      <c r="A38962" s="118"/>
      <c r="B38962" s="136"/>
    </row>
    <row r="38963" spans="1:2" x14ac:dyDescent="0.25">
      <c r="A38963" s="118"/>
      <c r="B38963" s="136"/>
    </row>
    <row r="38964" spans="1:2" x14ac:dyDescent="0.25">
      <c r="A38964" s="118"/>
      <c r="B38964" s="136"/>
    </row>
    <row r="38965" spans="1:2" x14ac:dyDescent="0.25">
      <c r="A38965" s="118"/>
      <c r="B38965" s="136"/>
    </row>
    <row r="38966" spans="1:2" x14ac:dyDescent="0.25">
      <c r="A38966" s="118"/>
      <c r="B38966" s="136"/>
    </row>
    <row r="38967" spans="1:2" x14ac:dyDescent="0.25">
      <c r="A38967" s="118"/>
      <c r="B38967" s="136"/>
    </row>
    <row r="38968" spans="1:2" x14ac:dyDescent="0.25">
      <c r="A38968" s="118"/>
      <c r="B38968" s="136"/>
    </row>
    <row r="38969" spans="1:2" x14ac:dyDescent="0.25">
      <c r="A38969" s="118"/>
      <c r="B38969" s="136"/>
    </row>
    <row r="38970" spans="1:2" x14ac:dyDescent="0.25">
      <c r="A38970" s="118"/>
      <c r="B38970" s="136"/>
    </row>
    <row r="38971" spans="1:2" x14ac:dyDescent="0.25">
      <c r="A38971" s="118"/>
      <c r="B38971" s="136"/>
    </row>
    <row r="38972" spans="1:2" x14ac:dyDescent="0.25">
      <c r="A38972" s="118"/>
      <c r="B38972" s="136"/>
    </row>
    <row r="38973" spans="1:2" x14ac:dyDescent="0.25">
      <c r="A38973" s="118"/>
      <c r="B38973" s="136"/>
    </row>
    <row r="38974" spans="1:2" x14ac:dyDescent="0.25">
      <c r="A38974" s="118"/>
      <c r="B38974" s="136"/>
    </row>
    <row r="38975" spans="1:2" x14ac:dyDescent="0.25">
      <c r="A38975" s="118"/>
      <c r="B38975" s="136"/>
    </row>
    <row r="38976" spans="1:2" x14ac:dyDescent="0.25">
      <c r="A38976" s="118"/>
      <c r="B38976" s="136"/>
    </row>
    <row r="38977" spans="1:2" x14ac:dyDescent="0.25">
      <c r="A38977" s="118"/>
      <c r="B38977" s="136"/>
    </row>
    <row r="38978" spans="1:2" x14ac:dyDescent="0.25">
      <c r="A38978" s="118"/>
      <c r="B38978" s="136"/>
    </row>
    <row r="38979" spans="1:2" x14ac:dyDescent="0.25">
      <c r="A38979" s="118"/>
      <c r="B38979" s="136"/>
    </row>
    <row r="38980" spans="1:2" x14ac:dyDescent="0.25">
      <c r="A38980" s="118"/>
      <c r="B38980" s="136"/>
    </row>
    <row r="38981" spans="1:2" x14ac:dyDescent="0.25">
      <c r="A38981" s="118"/>
      <c r="B38981" s="136"/>
    </row>
    <row r="38982" spans="1:2" x14ac:dyDescent="0.25">
      <c r="A38982" s="118"/>
      <c r="B38982" s="136"/>
    </row>
    <row r="38983" spans="1:2" x14ac:dyDescent="0.25">
      <c r="A38983" s="118"/>
      <c r="B38983" s="136"/>
    </row>
    <row r="38984" spans="1:2" x14ac:dyDescent="0.25">
      <c r="A38984" s="118"/>
      <c r="B38984" s="136"/>
    </row>
    <row r="38985" spans="1:2" x14ac:dyDescent="0.25">
      <c r="A38985" s="118"/>
      <c r="B38985" s="136"/>
    </row>
    <row r="38986" spans="1:2" x14ac:dyDescent="0.25">
      <c r="A38986" s="118"/>
      <c r="B38986" s="136"/>
    </row>
    <row r="38987" spans="1:2" x14ac:dyDescent="0.25">
      <c r="A38987" s="118"/>
      <c r="B38987" s="136"/>
    </row>
    <row r="38988" spans="1:2" x14ac:dyDescent="0.25">
      <c r="A38988" s="118"/>
      <c r="B38988" s="136"/>
    </row>
    <row r="38989" spans="1:2" x14ac:dyDescent="0.25">
      <c r="A38989" s="118"/>
      <c r="B38989" s="136"/>
    </row>
    <row r="38990" spans="1:2" x14ac:dyDescent="0.25">
      <c r="A38990" s="118"/>
      <c r="B38990" s="136"/>
    </row>
    <row r="38991" spans="1:2" x14ac:dyDescent="0.25">
      <c r="A38991" s="118"/>
      <c r="B38991" s="136"/>
    </row>
    <row r="38992" spans="1:2" x14ac:dyDescent="0.25">
      <c r="A38992" s="118"/>
      <c r="B38992" s="136"/>
    </row>
    <row r="38993" spans="1:2" x14ac:dyDescent="0.25">
      <c r="A38993" s="118"/>
      <c r="B38993" s="136"/>
    </row>
    <row r="38994" spans="1:2" x14ac:dyDescent="0.25">
      <c r="A38994" s="118"/>
      <c r="B38994" s="136"/>
    </row>
    <row r="38995" spans="1:2" x14ac:dyDescent="0.25">
      <c r="A38995" s="118"/>
      <c r="B38995" s="136"/>
    </row>
    <row r="38996" spans="1:2" x14ac:dyDescent="0.25">
      <c r="A38996" s="118"/>
      <c r="B38996" s="136"/>
    </row>
    <row r="38997" spans="1:2" x14ac:dyDescent="0.25">
      <c r="A38997" s="118"/>
      <c r="B38997" s="136"/>
    </row>
    <row r="38998" spans="1:2" x14ac:dyDescent="0.25">
      <c r="A38998" s="118"/>
      <c r="B38998" s="136"/>
    </row>
    <row r="38999" spans="1:2" x14ac:dyDescent="0.25">
      <c r="A38999" s="118"/>
      <c r="B38999" s="136"/>
    </row>
    <row r="39000" spans="1:2" x14ac:dyDescent="0.25">
      <c r="A39000" s="118"/>
      <c r="B39000" s="136"/>
    </row>
    <row r="39001" spans="1:2" x14ac:dyDescent="0.25">
      <c r="A39001" s="118"/>
      <c r="B39001" s="136"/>
    </row>
    <row r="39002" spans="1:2" x14ac:dyDescent="0.25">
      <c r="A39002" s="118"/>
      <c r="B39002" s="136"/>
    </row>
    <row r="39003" spans="1:2" x14ac:dyDescent="0.25">
      <c r="A39003" s="118"/>
      <c r="B39003" s="136"/>
    </row>
    <row r="39004" spans="1:2" x14ac:dyDescent="0.25">
      <c r="A39004" s="118"/>
      <c r="B39004" s="136"/>
    </row>
    <row r="39005" spans="1:2" x14ac:dyDescent="0.25">
      <c r="A39005" s="118"/>
      <c r="B39005" s="136"/>
    </row>
    <row r="39006" spans="1:2" x14ac:dyDescent="0.25">
      <c r="A39006" s="118"/>
      <c r="B39006" s="136"/>
    </row>
    <row r="39007" spans="1:2" x14ac:dyDescent="0.25">
      <c r="A39007" s="118"/>
      <c r="B39007" s="136"/>
    </row>
    <row r="39008" spans="1:2" x14ac:dyDescent="0.25">
      <c r="A39008" s="118"/>
      <c r="B39008" s="136"/>
    </row>
    <row r="39009" spans="1:2" x14ac:dyDescent="0.25">
      <c r="A39009" s="118"/>
      <c r="B39009" s="136"/>
    </row>
    <row r="39010" spans="1:2" x14ac:dyDescent="0.25">
      <c r="A39010" s="118"/>
      <c r="B39010" s="136"/>
    </row>
    <row r="39011" spans="1:2" x14ac:dyDescent="0.25">
      <c r="A39011" s="118"/>
      <c r="B39011" s="136"/>
    </row>
    <row r="39012" spans="1:2" x14ac:dyDescent="0.25">
      <c r="A39012" s="118"/>
      <c r="B39012" s="136"/>
    </row>
    <row r="39013" spans="1:2" x14ac:dyDescent="0.25">
      <c r="A39013" s="118"/>
      <c r="B39013" s="136"/>
    </row>
    <row r="39014" spans="1:2" x14ac:dyDescent="0.25">
      <c r="A39014" s="118"/>
      <c r="B39014" s="136"/>
    </row>
    <row r="39015" spans="1:2" x14ac:dyDescent="0.25">
      <c r="A39015" s="118"/>
      <c r="B39015" s="136"/>
    </row>
    <row r="39016" spans="1:2" x14ac:dyDescent="0.25">
      <c r="A39016" s="118"/>
      <c r="B39016" s="136"/>
    </row>
    <row r="39017" spans="1:2" x14ac:dyDescent="0.25">
      <c r="A39017" s="118"/>
      <c r="B39017" s="136"/>
    </row>
    <row r="39018" spans="1:2" x14ac:dyDescent="0.25">
      <c r="A39018" s="118"/>
      <c r="B39018" s="136"/>
    </row>
    <row r="39019" spans="1:2" x14ac:dyDescent="0.25">
      <c r="A39019" s="118"/>
      <c r="B39019" s="136"/>
    </row>
    <row r="39020" spans="1:2" x14ac:dyDescent="0.25">
      <c r="A39020" s="118"/>
      <c r="B39020" s="136"/>
    </row>
    <row r="39021" spans="1:2" x14ac:dyDescent="0.25">
      <c r="A39021" s="118"/>
      <c r="B39021" s="136"/>
    </row>
    <row r="39022" spans="1:2" x14ac:dyDescent="0.25">
      <c r="A39022" s="118"/>
      <c r="B39022" s="136"/>
    </row>
    <row r="39023" spans="1:2" x14ac:dyDescent="0.25">
      <c r="A39023" s="118"/>
      <c r="B39023" s="136"/>
    </row>
    <row r="39024" spans="1:2" x14ac:dyDescent="0.25">
      <c r="A39024" s="118"/>
      <c r="B39024" s="136"/>
    </row>
    <row r="39025" spans="1:2" x14ac:dyDescent="0.25">
      <c r="A39025" s="118"/>
      <c r="B39025" s="136"/>
    </row>
    <row r="39026" spans="1:2" x14ac:dyDescent="0.25">
      <c r="A39026" s="118"/>
      <c r="B39026" s="136"/>
    </row>
    <row r="39027" spans="1:2" x14ac:dyDescent="0.25">
      <c r="A39027" s="118"/>
      <c r="B39027" s="136"/>
    </row>
    <row r="39028" spans="1:2" x14ac:dyDescent="0.25">
      <c r="A39028" s="118"/>
      <c r="B39028" s="136"/>
    </row>
    <row r="39029" spans="1:2" x14ac:dyDescent="0.25">
      <c r="A39029" s="118"/>
      <c r="B39029" s="136"/>
    </row>
    <row r="39030" spans="1:2" x14ac:dyDescent="0.25">
      <c r="A39030" s="118"/>
      <c r="B39030" s="136"/>
    </row>
    <row r="39031" spans="1:2" x14ac:dyDescent="0.25">
      <c r="A39031" s="118"/>
      <c r="B39031" s="136"/>
    </row>
    <row r="39032" spans="1:2" x14ac:dyDescent="0.25">
      <c r="A39032" s="118"/>
      <c r="B39032" s="136"/>
    </row>
    <row r="39033" spans="1:2" x14ac:dyDescent="0.25">
      <c r="A39033" s="118"/>
      <c r="B39033" s="136"/>
    </row>
    <row r="39034" spans="1:2" x14ac:dyDescent="0.25">
      <c r="A39034" s="118"/>
      <c r="B39034" s="136"/>
    </row>
    <row r="39035" spans="1:2" x14ac:dyDescent="0.25">
      <c r="A39035" s="118"/>
      <c r="B39035" s="136"/>
    </row>
    <row r="39036" spans="1:2" x14ac:dyDescent="0.25">
      <c r="A39036" s="118"/>
      <c r="B39036" s="136"/>
    </row>
    <row r="39037" spans="1:2" x14ac:dyDescent="0.25">
      <c r="A39037" s="118"/>
      <c r="B39037" s="136"/>
    </row>
    <row r="39038" spans="1:2" x14ac:dyDescent="0.25">
      <c r="A39038" s="118"/>
      <c r="B39038" s="136"/>
    </row>
    <row r="39039" spans="1:2" x14ac:dyDescent="0.25">
      <c r="A39039" s="118"/>
      <c r="B39039" s="136"/>
    </row>
    <row r="39040" spans="1:2" x14ac:dyDescent="0.25">
      <c r="A39040" s="118"/>
      <c r="B39040" s="136"/>
    </row>
    <row r="39041" spans="1:2" x14ac:dyDescent="0.25">
      <c r="A39041" s="118"/>
      <c r="B39041" s="136"/>
    </row>
    <row r="39042" spans="1:2" x14ac:dyDescent="0.25">
      <c r="A39042" s="118"/>
      <c r="B39042" s="136"/>
    </row>
    <row r="39043" spans="1:2" x14ac:dyDescent="0.25">
      <c r="A39043" s="118"/>
      <c r="B39043" s="136"/>
    </row>
    <row r="39044" spans="1:2" x14ac:dyDescent="0.25">
      <c r="A39044" s="118"/>
      <c r="B39044" s="136"/>
    </row>
    <row r="39045" spans="1:2" x14ac:dyDescent="0.25">
      <c r="A39045" s="118"/>
      <c r="B39045" s="136"/>
    </row>
    <row r="39046" spans="1:2" x14ac:dyDescent="0.25">
      <c r="A39046" s="118"/>
      <c r="B39046" s="136"/>
    </row>
    <row r="39047" spans="1:2" x14ac:dyDescent="0.25">
      <c r="A39047" s="118"/>
      <c r="B39047" s="136"/>
    </row>
    <row r="39048" spans="1:2" x14ac:dyDescent="0.25">
      <c r="A39048" s="118"/>
      <c r="B39048" s="136"/>
    </row>
    <row r="39049" spans="1:2" x14ac:dyDescent="0.25">
      <c r="A39049" s="118"/>
      <c r="B39049" s="136"/>
    </row>
    <row r="39050" spans="1:2" x14ac:dyDescent="0.25">
      <c r="A39050" s="118"/>
      <c r="B39050" s="136"/>
    </row>
    <row r="39051" spans="1:2" x14ac:dyDescent="0.25">
      <c r="A39051" s="118"/>
      <c r="B39051" s="136"/>
    </row>
    <row r="39052" spans="1:2" x14ac:dyDescent="0.25">
      <c r="A39052" s="118"/>
      <c r="B39052" s="136"/>
    </row>
    <row r="39053" spans="1:2" x14ac:dyDescent="0.25">
      <c r="A39053" s="118"/>
      <c r="B39053" s="136"/>
    </row>
    <row r="39054" spans="1:2" x14ac:dyDescent="0.25">
      <c r="A39054" s="118"/>
      <c r="B39054" s="136"/>
    </row>
    <row r="39055" spans="1:2" x14ac:dyDescent="0.25">
      <c r="A39055" s="118"/>
      <c r="B39055" s="136"/>
    </row>
    <row r="39056" spans="1:2" x14ac:dyDescent="0.25">
      <c r="A39056" s="118"/>
      <c r="B39056" s="136"/>
    </row>
    <row r="39057" spans="1:2" x14ac:dyDescent="0.25">
      <c r="A39057" s="118"/>
      <c r="B39057" s="136"/>
    </row>
    <row r="39058" spans="1:2" x14ac:dyDescent="0.25">
      <c r="A39058" s="118"/>
      <c r="B39058" s="136"/>
    </row>
    <row r="39059" spans="1:2" x14ac:dyDescent="0.25">
      <c r="A39059" s="118"/>
      <c r="B39059" s="136"/>
    </row>
    <row r="39060" spans="1:2" x14ac:dyDescent="0.25">
      <c r="A39060" s="118"/>
      <c r="B39060" s="136"/>
    </row>
    <row r="39061" spans="1:2" x14ac:dyDescent="0.25">
      <c r="A39061" s="118"/>
      <c r="B39061" s="136"/>
    </row>
    <row r="39062" spans="1:2" x14ac:dyDescent="0.25">
      <c r="A39062" s="118"/>
      <c r="B39062" s="136"/>
    </row>
    <row r="39063" spans="1:2" x14ac:dyDescent="0.25">
      <c r="A39063" s="118"/>
      <c r="B39063" s="136"/>
    </row>
    <row r="39064" spans="1:2" x14ac:dyDescent="0.25">
      <c r="A39064" s="118"/>
      <c r="B39064" s="136"/>
    </row>
    <row r="39065" spans="1:2" x14ac:dyDescent="0.25">
      <c r="A39065" s="118"/>
      <c r="B39065" s="136"/>
    </row>
    <row r="39066" spans="1:2" x14ac:dyDescent="0.25">
      <c r="A39066" s="118"/>
      <c r="B39066" s="136"/>
    </row>
    <row r="39067" spans="1:2" x14ac:dyDescent="0.25">
      <c r="A39067" s="118"/>
      <c r="B39067" s="136"/>
    </row>
    <row r="39068" spans="1:2" x14ac:dyDescent="0.25">
      <c r="A39068" s="118"/>
      <c r="B39068" s="136"/>
    </row>
    <row r="39069" spans="1:2" x14ac:dyDescent="0.25">
      <c r="A39069" s="118"/>
      <c r="B39069" s="136"/>
    </row>
    <row r="39070" spans="1:2" x14ac:dyDescent="0.25">
      <c r="A39070" s="118"/>
      <c r="B39070" s="136"/>
    </row>
    <row r="39071" spans="1:2" x14ac:dyDescent="0.25">
      <c r="A39071" s="118"/>
      <c r="B39071" s="136"/>
    </row>
    <row r="39072" spans="1:2" x14ac:dyDescent="0.25">
      <c r="A39072" s="118"/>
      <c r="B39072" s="136"/>
    </row>
    <row r="39073" spans="1:2" x14ac:dyDescent="0.25">
      <c r="A39073" s="118"/>
      <c r="B39073" s="136"/>
    </row>
    <row r="39074" spans="1:2" x14ac:dyDescent="0.25">
      <c r="A39074" s="118"/>
      <c r="B39074" s="136"/>
    </row>
    <row r="39075" spans="1:2" x14ac:dyDescent="0.25">
      <c r="A39075" s="118"/>
      <c r="B39075" s="136"/>
    </row>
    <row r="39076" spans="1:2" x14ac:dyDescent="0.25">
      <c r="A39076" s="118"/>
      <c r="B39076" s="136"/>
    </row>
    <row r="39077" spans="1:2" x14ac:dyDescent="0.25">
      <c r="A39077" s="118"/>
      <c r="B39077" s="136"/>
    </row>
    <row r="39078" spans="1:2" x14ac:dyDescent="0.25">
      <c r="A39078" s="118"/>
      <c r="B39078" s="136"/>
    </row>
    <row r="39079" spans="1:2" x14ac:dyDescent="0.25">
      <c r="A39079" s="118"/>
      <c r="B39079" s="136"/>
    </row>
    <row r="39080" spans="1:2" x14ac:dyDescent="0.25">
      <c r="A39080" s="118"/>
      <c r="B39080" s="136"/>
    </row>
    <row r="39081" spans="1:2" x14ac:dyDescent="0.25">
      <c r="A39081" s="118"/>
      <c r="B39081" s="136"/>
    </row>
    <row r="39082" spans="1:2" x14ac:dyDescent="0.25">
      <c r="A39082" s="118"/>
      <c r="B39082" s="136"/>
    </row>
    <row r="39083" spans="1:2" x14ac:dyDescent="0.25">
      <c r="A39083" s="118"/>
      <c r="B39083" s="136"/>
    </row>
    <row r="39084" spans="1:2" x14ac:dyDescent="0.25">
      <c r="A39084" s="118"/>
      <c r="B39084" s="136"/>
    </row>
    <row r="39085" spans="1:2" x14ac:dyDescent="0.25">
      <c r="A39085" s="118"/>
      <c r="B39085" s="136"/>
    </row>
    <row r="39086" spans="1:2" x14ac:dyDescent="0.25">
      <c r="A39086" s="118"/>
      <c r="B39086" s="136"/>
    </row>
    <row r="39087" spans="1:2" x14ac:dyDescent="0.25">
      <c r="A39087" s="118"/>
      <c r="B39087" s="136"/>
    </row>
    <row r="39088" spans="1:2" x14ac:dyDescent="0.25">
      <c r="A39088" s="118"/>
      <c r="B39088" s="136"/>
    </row>
    <row r="39089" spans="1:2" x14ac:dyDescent="0.25">
      <c r="A39089" s="118"/>
      <c r="B39089" s="136"/>
    </row>
    <row r="39090" spans="1:2" x14ac:dyDescent="0.25">
      <c r="A39090" s="118"/>
      <c r="B39090" s="136"/>
    </row>
    <row r="39091" spans="1:2" x14ac:dyDescent="0.25">
      <c r="A39091" s="118"/>
      <c r="B39091" s="136"/>
    </row>
    <row r="39092" spans="1:2" x14ac:dyDescent="0.25">
      <c r="A39092" s="118"/>
      <c r="B39092" s="136"/>
    </row>
    <row r="39093" spans="1:2" x14ac:dyDescent="0.25">
      <c r="A39093" s="118"/>
      <c r="B39093" s="136"/>
    </row>
    <row r="39094" spans="1:2" x14ac:dyDescent="0.25">
      <c r="A39094" s="118"/>
      <c r="B39094" s="136"/>
    </row>
    <row r="39095" spans="1:2" x14ac:dyDescent="0.25">
      <c r="A39095" s="118"/>
      <c r="B39095" s="136"/>
    </row>
    <row r="39096" spans="1:2" x14ac:dyDescent="0.25">
      <c r="A39096" s="118"/>
      <c r="B39096" s="136"/>
    </row>
    <row r="39097" spans="1:2" x14ac:dyDescent="0.25">
      <c r="A39097" s="118"/>
      <c r="B39097" s="136"/>
    </row>
    <row r="39098" spans="1:2" x14ac:dyDescent="0.25">
      <c r="A39098" s="118"/>
      <c r="B39098" s="136"/>
    </row>
    <row r="39099" spans="1:2" x14ac:dyDescent="0.25">
      <c r="A39099" s="118"/>
      <c r="B39099" s="136"/>
    </row>
    <row r="39100" spans="1:2" x14ac:dyDescent="0.25">
      <c r="A39100" s="118"/>
      <c r="B39100" s="136"/>
    </row>
    <row r="39101" spans="1:2" x14ac:dyDescent="0.25">
      <c r="A39101" s="118"/>
      <c r="B39101" s="136"/>
    </row>
    <row r="39102" spans="1:2" x14ac:dyDescent="0.25">
      <c r="A39102" s="118"/>
      <c r="B39102" s="136"/>
    </row>
    <row r="39103" spans="1:2" x14ac:dyDescent="0.25">
      <c r="A39103" s="118"/>
      <c r="B39103" s="136"/>
    </row>
    <row r="39104" spans="1:2" x14ac:dyDescent="0.25">
      <c r="A39104" s="118"/>
      <c r="B39104" s="136"/>
    </row>
    <row r="39105" spans="1:2" x14ac:dyDescent="0.25">
      <c r="A39105" s="118"/>
      <c r="B39105" s="136"/>
    </row>
    <row r="39106" spans="1:2" x14ac:dyDescent="0.25">
      <c r="A39106" s="118"/>
      <c r="B39106" s="136"/>
    </row>
    <row r="39107" spans="1:2" x14ac:dyDescent="0.25">
      <c r="A39107" s="118"/>
      <c r="B39107" s="136"/>
    </row>
    <row r="39108" spans="1:2" x14ac:dyDescent="0.25">
      <c r="A39108" s="118"/>
      <c r="B39108" s="136"/>
    </row>
    <row r="39109" spans="1:2" x14ac:dyDescent="0.25">
      <c r="A39109" s="118"/>
      <c r="B39109" s="136"/>
    </row>
    <row r="39110" spans="1:2" x14ac:dyDescent="0.25">
      <c r="A39110" s="118"/>
      <c r="B39110" s="136"/>
    </row>
    <row r="39111" spans="1:2" x14ac:dyDescent="0.25">
      <c r="A39111" s="118"/>
      <c r="B39111" s="136"/>
    </row>
    <row r="39112" spans="1:2" x14ac:dyDescent="0.25">
      <c r="A39112" s="118"/>
      <c r="B39112" s="136"/>
    </row>
    <row r="39113" spans="1:2" x14ac:dyDescent="0.25">
      <c r="A39113" s="118"/>
      <c r="B39113" s="136"/>
    </row>
    <row r="39114" spans="1:2" x14ac:dyDescent="0.25">
      <c r="A39114" s="118"/>
      <c r="B39114" s="136"/>
    </row>
    <row r="39115" spans="1:2" x14ac:dyDescent="0.25">
      <c r="A39115" s="118"/>
      <c r="B39115" s="136"/>
    </row>
    <row r="39116" spans="1:2" x14ac:dyDescent="0.25">
      <c r="A39116" s="118"/>
      <c r="B39116" s="136"/>
    </row>
    <row r="39117" spans="1:2" x14ac:dyDescent="0.25">
      <c r="A39117" s="118"/>
      <c r="B39117" s="136"/>
    </row>
    <row r="39118" spans="1:2" x14ac:dyDescent="0.25">
      <c r="A39118" s="118"/>
      <c r="B39118" s="136"/>
    </row>
    <row r="39119" spans="1:2" x14ac:dyDescent="0.25">
      <c r="A39119" s="118"/>
      <c r="B39119" s="136"/>
    </row>
    <row r="39120" spans="1:2" x14ac:dyDescent="0.25">
      <c r="A39120" s="118"/>
      <c r="B39120" s="136"/>
    </row>
    <row r="39121" spans="1:2" x14ac:dyDescent="0.25">
      <c r="A39121" s="118"/>
      <c r="B39121" s="136"/>
    </row>
    <row r="39122" spans="1:2" x14ac:dyDescent="0.25">
      <c r="A39122" s="118"/>
      <c r="B39122" s="136"/>
    </row>
    <row r="39123" spans="1:2" x14ac:dyDescent="0.25">
      <c r="A39123" s="118"/>
      <c r="B39123" s="136"/>
    </row>
    <row r="39124" spans="1:2" x14ac:dyDescent="0.25">
      <c r="A39124" s="118"/>
      <c r="B39124" s="136"/>
    </row>
    <row r="39125" spans="1:2" x14ac:dyDescent="0.25">
      <c r="A39125" s="118"/>
      <c r="B39125" s="136"/>
    </row>
    <row r="39126" spans="1:2" x14ac:dyDescent="0.25">
      <c r="A39126" s="118"/>
      <c r="B39126" s="136"/>
    </row>
    <row r="39127" spans="1:2" x14ac:dyDescent="0.25">
      <c r="A39127" s="118"/>
      <c r="B39127" s="136"/>
    </row>
    <row r="39128" spans="1:2" x14ac:dyDescent="0.25">
      <c r="A39128" s="118"/>
      <c r="B39128" s="136"/>
    </row>
    <row r="39129" spans="1:2" x14ac:dyDescent="0.25">
      <c r="A39129" s="118"/>
      <c r="B39129" s="136"/>
    </row>
    <row r="39130" spans="1:2" x14ac:dyDescent="0.25">
      <c r="A39130" s="118"/>
      <c r="B39130" s="136"/>
    </row>
    <row r="39131" spans="1:2" x14ac:dyDescent="0.25">
      <c r="A39131" s="118"/>
      <c r="B39131" s="136"/>
    </row>
    <row r="39132" spans="1:2" x14ac:dyDescent="0.25">
      <c r="A39132" s="118"/>
      <c r="B39132" s="136"/>
    </row>
    <row r="39133" spans="1:2" x14ac:dyDescent="0.25">
      <c r="A39133" s="118"/>
      <c r="B39133" s="136"/>
    </row>
    <row r="39134" spans="1:2" x14ac:dyDescent="0.25">
      <c r="A39134" s="118"/>
      <c r="B39134" s="136"/>
    </row>
    <row r="39135" spans="1:2" x14ac:dyDescent="0.25">
      <c r="A39135" s="118"/>
      <c r="B39135" s="136"/>
    </row>
    <row r="39136" spans="1:2" x14ac:dyDescent="0.25">
      <c r="A39136" s="118"/>
      <c r="B39136" s="136"/>
    </row>
    <row r="39137" spans="1:2" x14ac:dyDescent="0.25">
      <c r="A39137" s="118"/>
      <c r="B39137" s="136"/>
    </row>
    <row r="39138" spans="1:2" x14ac:dyDescent="0.25">
      <c r="A39138" s="118"/>
      <c r="B39138" s="136"/>
    </row>
    <row r="39139" spans="1:2" x14ac:dyDescent="0.25">
      <c r="A39139" s="118"/>
      <c r="B39139" s="136"/>
    </row>
    <row r="39140" spans="1:2" x14ac:dyDescent="0.25">
      <c r="A39140" s="118"/>
      <c r="B39140" s="136"/>
    </row>
    <row r="39141" spans="1:2" x14ac:dyDescent="0.25">
      <c r="A39141" s="118"/>
      <c r="B39141" s="136"/>
    </row>
    <row r="39142" spans="1:2" x14ac:dyDescent="0.25">
      <c r="A39142" s="118"/>
      <c r="B39142" s="136"/>
    </row>
    <row r="39143" spans="1:2" x14ac:dyDescent="0.25">
      <c r="A39143" s="118"/>
      <c r="B39143" s="136"/>
    </row>
    <row r="39144" spans="1:2" x14ac:dyDescent="0.25">
      <c r="A39144" s="118"/>
      <c r="B39144" s="136"/>
    </row>
    <row r="39145" spans="1:2" x14ac:dyDescent="0.25">
      <c r="A39145" s="118"/>
      <c r="B39145" s="136"/>
    </row>
    <row r="39146" spans="1:2" x14ac:dyDescent="0.25">
      <c r="A39146" s="118"/>
      <c r="B39146" s="136"/>
    </row>
    <row r="39147" spans="1:2" x14ac:dyDescent="0.25">
      <c r="A39147" s="118"/>
      <c r="B39147" s="136"/>
    </row>
    <row r="39148" spans="1:2" x14ac:dyDescent="0.25">
      <c r="A39148" s="118"/>
      <c r="B39148" s="136"/>
    </row>
    <row r="39149" spans="1:2" x14ac:dyDescent="0.25">
      <c r="A39149" s="118"/>
      <c r="B39149" s="136"/>
    </row>
    <row r="39150" spans="1:2" x14ac:dyDescent="0.25">
      <c r="A39150" s="118"/>
      <c r="B39150" s="136"/>
    </row>
    <row r="39151" spans="1:2" x14ac:dyDescent="0.25">
      <c r="A39151" s="118"/>
      <c r="B39151" s="136"/>
    </row>
    <row r="39152" spans="1:2" x14ac:dyDescent="0.25">
      <c r="A39152" s="118"/>
      <c r="B39152" s="136"/>
    </row>
    <row r="39153" spans="1:2" x14ac:dyDescent="0.25">
      <c r="A39153" s="118"/>
      <c r="B39153" s="136"/>
    </row>
    <row r="39154" spans="1:2" x14ac:dyDescent="0.25">
      <c r="A39154" s="118"/>
      <c r="B39154" s="136"/>
    </row>
    <row r="39155" spans="1:2" x14ac:dyDescent="0.25">
      <c r="A39155" s="118"/>
      <c r="B39155" s="136"/>
    </row>
    <row r="39156" spans="1:2" x14ac:dyDescent="0.25">
      <c r="A39156" s="118"/>
      <c r="B39156" s="136"/>
    </row>
    <row r="39157" spans="1:2" x14ac:dyDescent="0.25">
      <c r="A39157" s="118"/>
      <c r="B39157" s="136"/>
    </row>
    <row r="39158" spans="1:2" x14ac:dyDescent="0.25">
      <c r="A39158" s="118"/>
      <c r="B39158" s="136"/>
    </row>
    <row r="39159" spans="1:2" x14ac:dyDescent="0.25">
      <c r="A39159" s="118"/>
      <c r="B39159" s="136"/>
    </row>
    <row r="39160" spans="1:2" x14ac:dyDescent="0.25">
      <c r="A39160" s="118"/>
      <c r="B39160" s="136"/>
    </row>
    <row r="39161" spans="1:2" x14ac:dyDescent="0.25">
      <c r="A39161" s="118"/>
      <c r="B39161" s="136"/>
    </row>
    <row r="39162" spans="1:2" x14ac:dyDescent="0.25">
      <c r="A39162" s="118"/>
      <c r="B39162" s="136"/>
    </row>
    <row r="39163" spans="1:2" x14ac:dyDescent="0.25">
      <c r="A39163" s="118"/>
      <c r="B39163" s="136"/>
    </row>
    <row r="39164" spans="1:2" x14ac:dyDescent="0.25">
      <c r="A39164" s="118"/>
      <c r="B39164" s="136"/>
    </row>
    <row r="39165" spans="1:2" x14ac:dyDescent="0.25">
      <c r="A39165" s="118"/>
      <c r="B39165" s="136"/>
    </row>
    <row r="39166" spans="1:2" x14ac:dyDescent="0.25">
      <c r="A39166" s="118"/>
      <c r="B39166" s="136"/>
    </row>
    <row r="39167" spans="1:2" x14ac:dyDescent="0.25">
      <c r="A39167" s="118"/>
      <c r="B39167" s="136"/>
    </row>
    <row r="39168" spans="1:2" x14ac:dyDescent="0.25">
      <c r="A39168" s="118"/>
      <c r="B39168" s="136"/>
    </row>
    <row r="39169" spans="1:2" x14ac:dyDescent="0.25">
      <c r="A39169" s="118"/>
      <c r="B39169" s="136"/>
    </row>
    <row r="39170" spans="1:2" x14ac:dyDescent="0.25">
      <c r="A39170" s="118"/>
      <c r="B39170" s="136"/>
    </row>
    <row r="39171" spans="1:2" x14ac:dyDescent="0.25">
      <c r="A39171" s="118"/>
      <c r="B39171" s="136"/>
    </row>
    <row r="39172" spans="1:2" x14ac:dyDescent="0.25">
      <c r="A39172" s="118"/>
      <c r="B39172" s="136"/>
    </row>
    <row r="39173" spans="1:2" x14ac:dyDescent="0.25">
      <c r="A39173" s="118"/>
      <c r="B39173" s="136"/>
    </row>
    <row r="39174" spans="1:2" x14ac:dyDescent="0.25">
      <c r="A39174" s="118"/>
      <c r="B39174" s="136"/>
    </row>
    <row r="39175" spans="1:2" x14ac:dyDescent="0.25">
      <c r="A39175" s="118"/>
      <c r="B39175" s="136"/>
    </row>
    <row r="39176" spans="1:2" x14ac:dyDescent="0.25">
      <c r="A39176" s="118"/>
      <c r="B39176" s="136"/>
    </row>
    <row r="39177" spans="1:2" x14ac:dyDescent="0.25">
      <c r="A39177" s="118"/>
      <c r="B39177" s="136"/>
    </row>
    <row r="39178" spans="1:2" x14ac:dyDescent="0.25">
      <c r="A39178" s="118"/>
      <c r="B39178" s="136"/>
    </row>
    <row r="39179" spans="1:2" x14ac:dyDescent="0.25">
      <c r="A39179" s="118"/>
      <c r="B39179" s="136"/>
    </row>
    <row r="39180" spans="1:2" x14ac:dyDescent="0.25">
      <c r="A39180" s="118"/>
      <c r="B39180" s="136"/>
    </row>
    <row r="39181" spans="1:2" x14ac:dyDescent="0.25">
      <c r="A39181" s="118"/>
      <c r="B39181" s="136"/>
    </row>
    <row r="39182" spans="1:2" x14ac:dyDescent="0.25">
      <c r="A39182" s="118"/>
      <c r="B39182" s="136"/>
    </row>
    <row r="39183" spans="1:2" x14ac:dyDescent="0.25">
      <c r="A39183" s="118"/>
      <c r="B39183" s="136"/>
    </row>
    <row r="39184" spans="1:2" x14ac:dyDescent="0.25">
      <c r="A39184" s="118"/>
      <c r="B39184" s="136"/>
    </row>
    <row r="39185" spans="1:2" x14ac:dyDescent="0.25">
      <c r="A39185" s="118"/>
      <c r="B39185" s="136"/>
    </row>
    <row r="39186" spans="1:2" x14ac:dyDescent="0.25">
      <c r="A39186" s="118"/>
      <c r="B39186" s="136"/>
    </row>
    <row r="39187" spans="1:2" x14ac:dyDescent="0.25">
      <c r="A39187" s="118"/>
      <c r="B39187" s="136"/>
    </row>
    <row r="39188" spans="1:2" x14ac:dyDescent="0.25">
      <c r="A39188" s="118"/>
      <c r="B39188" s="136"/>
    </row>
    <row r="39189" spans="1:2" x14ac:dyDescent="0.25">
      <c r="A39189" s="118"/>
      <c r="B39189" s="136"/>
    </row>
    <row r="39190" spans="1:2" x14ac:dyDescent="0.25">
      <c r="A39190" s="118"/>
      <c r="B39190" s="136"/>
    </row>
    <row r="39191" spans="1:2" x14ac:dyDescent="0.25">
      <c r="A39191" s="118"/>
      <c r="B39191" s="136"/>
    </row>
    <row r="39192" spans="1:2" x14ac:dyDescent="0.25">
      <c r="A39192" s="118"/>
      <c r="B39192" s="136"/>
    </row>
    <row r="39193" spans="1:2" x14ac:dyDescent="0.25">
      <c r="A39193" s="118"/>
      <c r="B39193" s="136"/>
    </row>
    <row r="39194" spans="1:2" x14ac:dyDescent="0.25">
      <c r="A39194" s="118"/>
      <c r="B39194" s="136"/>
    </row>
    <row r="39195" spans="1:2" x14ac:dyDescent="0.25">
      <c r="A39195" s="118"/>
      <c r="B39195" s="136"/>
    </row>
    <row r="39196" spans="1:2" x14ac:dyDescent="0.25">
      <c r="A39196" s="118"/>
      <c r="B39196" s="136"/>
    </row>
    <row r="39197" spans="1:2" x14ac:dyDescent="0.25">
      <c r="A39197" s="118"/>
      <c r="B39197" s="136"/>
    </row>
    <row r="39198" spans="1:2" x14ac:dyDescent="0.25">
      <c r="A39198" s="118"/>
      <c r="B39198" s="136"/>
    </row>
    <row r="39199" spans="1:2" x14ac:dyDescent="0.25">
      <c r="A39199" s="118"/>
      <c r="B39199" s="136"/>
    </row>
    <row r="39200" spans="1:2" x14ac:dyDescent="0.25">
      <c r="A39200" s="118"/>
      <c r="B39200" s="136"/>
    </row>
    <row r="39201" spans="1:2" x14ac:dyDescent="0.25">
      <c r="A39201" s="118"/>
      <c r="B39201" s="136"/>
    </row>
    <row r="39202" spans="1:2" x14ac:dyDescent="0.25">
      <c r="A39202" s="118"/>
      <c r="B39202" s="136"/>
    </row>
    <row r="39203" spans="1:2" x14ac:dyDescent="0.25">
      <c r="A39203" s="118"/>
      <c r="B39203" s="136"/>
    </row>
    <row r="39204" spans="1:2" x14ac:dyDescent="0.25">
      <c r="A39204" s="118"/>
      <c r="B39204" s="136"/>
    </row>
    <row r="39205" spans="1:2" x14ac:dyDescent="0.25">
      <c r="A39205" s="118"/>
      <c r="B39205" s="136"/>
    </row>
    <row r="39206" spans="1:2" x14ac:dyDescent="0.25">
      <c r="A39206" s="118"/>
      <c r="B39206" s="136"/>
    </row>
    <row r="39207" spans="1:2" x14ac:dyDescent="0.25">
      <c r="A39207" s="118"/>
      <c r="B39207" s="136"/>
    </row>
    <row r="39208" spans="1:2" x14ac:dyDescent="0.25">
      <c r="A39208" s="118"/>
      <c r="B39208" s="136"/>
    </row>
    <row r="39209" spans="1:2" x14ac:dyDescent="0.25">
      <c r="A39209" s="118"/>
      <c r="B39209" s="136"/>
    </row>
    <row r="39210" spans="1:2" x14ac:dyDescent="0.25">
      <c r="A39210" s="118"/>
      <c r="B39210" s="136"/>
    </row>
    <row r="39211" spans="1:2" x14ac:dyDescent="0.25">
      <c r="A39211" s="118"/>
      <c r="B39211" s="136"/>
    </row>
    <row r="39212" spans="1:2" x14ac:dyDescent="0.25">
      <c r="A39212" s="118"/>
      <c r="B39212" s="136"/>
    </row>
    <row r="39213" spans="1:2" x14ac:dyDescent="0.25">
      <c r="A39213" s="118"/>
      <c r="B39213" s="136"/>
    </row>
    <row r="39214" spans="1:2" x14ac:dyDescent="0.25">
      <c r="A39214" s="118"/>
      <c r="B39214" s="136"/>
    </row>
    <row r="39215" spans="1:2" x14ac:dyDescent="0.25">
      <c r="A39215" s="118"/>
      <c r="B39215" s="136"/>
    </row>
    <row r="39216" spans="1:2" x14ac:dyDescent="0.25">
      <c r="A39216" s="118"/>
      <c r="B39216" s="136"/>
    </row>
    <row r="39217" spans="1:2" x14ac:dyDescent="0.25">
      <c r="A39217" s="118"/>
      <c r="B39217" s="136"/>
    </row>
    <row r="39218" spans="1:2" x14ac:dyDescent="0.25">
      <c r="A39218" s="118"/>
      <c r="B39218" s="136"/>
    </row>
    <row r="39219" spans="1:2" x14ac:dyDescent="0.25">
      <c r="A39219" s="118"/>
      <c r="B39219" s="136"/>
    </row>
    <row r="39220" spans="1:2" x14ac:dyDescent="0.25">
      <c r="A39220" s="118"/>
      <c r="B39220" s="136"/>
    </row>
    <row r="39221" spans="1:2" x14ac:dyDescent="0.25">
      <c r="A39221" s="118"/>
      <c r="B39221" s="136"/>
    </row>
    <row r="39222" spans="1:2" x14ac:dyDescent="0.25">
      <c r="A39222" s="118"/>
      <c r="B39222" s="136"/>
    </row>
    <row r="39223" spans="1:2" x14ac:dyDescent="0.25">
      <c r="A39223" s="118"/>
      <c r="B39223" s="136"/>
    </row>
    <row r="39224" spans="1:2" x14ac:dyDescent="0.25">
      <c r="A39224" s="118"/>
      <c r="B39224" s="136"/>
    </row>
    <row r="39225" spans="1:2" x14ac:dyDescent="0.25">
      <c r="A39225" s="118"/>
      <c r="B39225" s="136"/>
    </row>
    <row r="39226" spans="1:2" x14ac:dyDescent="0.25">
      <c r="A39226" s="118"/>
      <c r="B39226" s="136"/>
    </row>
    <row r="39227" spans="1:2" x14ac:dyDescent="0.25">
      <c r="A39227" s="118"/>
      <c r="B39227" s="136"/>
    </row>
    <row r="39228" spans="1:2" x14ac:dyDescent="0.25">
      <c r="A39228" s="118"/>
      <c r="B39228" s="136"/>
    </row>
    <row r="39229" spans="1:2" x14ac:dyDescent="0.25">
      <c r="A39229" s="118"/>
      <c r="B39229" s="136"/>
    </row>
    <row r="39230" spans="1:2" x14ac:dyDescent="0.25">
      <c r="A39230" s="118"/>
      <c r="B39230" s="136"/>
    </row>
    <row r="39231" spans="1:2" x14ac:dyDescent="0.25">
      <c r="A39231" s="118"/>
      <c r="B39231" s="136"/>
    </row>
    <row r="39232" spans="1:2" x14ac:dyDescent="0.25">
      <c r="A39232" s="118"/>
      <c r="B39232" s="136"/>
    </row>
    <row r="39233" spans="1:2" x14ac:dyDescent="0.25">
      <c r="A39233" s="118"/>
      <c r="B39233" s="136"/>
    </row>
    <row r="39234" spans="1:2" x14ac:dyDescent="0.25">
      <c r="A39234" s="118"/>
      <c r="B39234" s="136"/>
    </row>
    <row r="39235" spans="1:2" x14ac:dyDescent="0.25">
      <c r="A39235" s="118"/>
      <c r="B39235" s="136"/>
    </row>
    <row r="39236" spans="1:2" x14ac:dyDescent="0.25">
      <c r="A39236" s="118"/>
      <c r="B39236" s="136"/>
    </row>
    <row r="39237" spans="1:2" x14ac:dyDescent="0.25">
      <c r="A39237" s="118"/>
      <c r="B39237" s="136"/>
    </row>
    <row r="39238" spans="1:2" x14ac:dyDescent="0.25">
      <c r="A39238" s="118"/>
      <c r="B39238" s="136"/>
    </row>
    <row r="39239" spans="1:2" x14ac:dyDescent="0.25">
      <c r="A39239" s="118"/>
      <c r="B39239" s="136"/>
    </row>
    <row r="39240" spans="1:2" x14ac:dyDescent="0.25">
      <c r="A39240" s="118"/>
      <c r="B39240" s="136"/>
    </row>
    <row r="39241" spans="1:2" x14ac:dyDescent="0.25">
      <c r="A39241" s="118"/>
      <c r="B39241" s="136"/>
    </row>
    <row r="39242" spans="1:2" x14ac:dyDescent="0.25">
      <c r="A39242" s="118"/>
      <c r="B39242" s="136"/>
    </row>
    <row r="39243" spans="1:2" x14ac:dyDescent="0.25">
      <c r="A39243" s="118"/>
      <c r="B39243" s="136"/>
    </row>
    <row r="39244" spans="1:2" x14ac:dyDescent="0.25">
      <c r="A39244" s="118"/>
      <c r="B39244" s="136"/>
    </row>
    <row r="39245" spans="1:2" x14ac:dyDescent="0.25">
      <c r="A39245" s="118"/>
      <c r="B39245" s="136"/>
    </row>
    <row r="39246" spans="1:2" x14ac:dyDescent="0.25">
      <c r="A39246" s="118"/>
      <c r="B39246" s="136"/>
    </row>
    <row r="39247" spans="1:2" x14ac:dyDescent="0.25">
      <c r="A39247" s="118"/>
      <c r="B39247" s="136"/>
    </row>
    <row r="39248" spans="1:2" x14ac:dyDescent="0.25">
      <c r="A39248" s="118"/>
      <c r="B39248" s="136"/>
    </row>
    <row r="39249" spans="1:2" x14ac:dyDescent="0.25">
      <c r="A39249" s="118"/>
      <c r="B39249" s="136"/>
    </row>
    <row r="39250" spans="1:2" x14ac:dyDescent="0.25">
      <c r="A39250" s="118"/>
      <c r="B39250" s="136"/>
    </row>
    <row r="39251" spans="1:2" x14ac:dyDescent="0.25">
      <c r="A39251" s="118"/>
      <c r="B39251" s="136"/>
    </row>
    <row r="39252" spans="1:2" x14ac:dyDescent="0.25">
      <c r="A39252" s="118"/>
      <c r="B39252" s="136"/>
    </row>
    <row r="39253" spans="1:2" x14ac:dyDescent="0.25">
      <c r="A39253" s="118"/>
      <c r="B39253" s="136"/>
    </row>
    <row r="39254" spans="1:2" x14ac:dyDescent="0.25">
      <c r="A39254" s="118"/>
      <c r="B39254" s="136"/>
    </row>
    <row r="39255" spans="1:2" x14ac:dyDescent="0.25">
      <c r="A39255" s="118"/>
      <c r="B39255" s="136"/>
    </row>
    <row r="39256" spans="1:2" x14ac:dyDescent="0.25">
      <c r="A39256" s="118"/>
      <c r="B39256" s="136"/>
    </row>
    <row r="39257" spans="1:2" x14ac:dyDescent="0.25">
      <c r="A39257" s="118"/>
      <c r="B39257" s="136"/>
    </row>
    <row r="39258" spans="1:2" x14ac:dyDescent="0.25">
      <c r="A39258" s="118"/>
      <c r="B39258" s="136"/>
    </row>
    <row r="39259" spans="1:2" x14ac:dyDescent="0.25">
      <c r="A39259" s="118"/>
      <c r="B39259" s="136"/>
    </row>
    <row r="39260" spans="1:2" x14ac:dyDescent="0.25">
      <c r="A39260" s="118"/>
      <c r="B39260" s="136"/>
    </row>
    <row r="39261" spans="1:2" x14ac:dyDescent="0.25">
      <c r="A39261" s="118"/>
      <c r="B39261" s="136"/>
    </row>
    <row r="39262" spans="1:2" x14ac:dyDescent="0.25">
      <c r="A39262" s="118"/>
      <c r="B39262" s="136"/>
    </row>
    <row r="39263" spans="1:2" x14ac:dyDescent="0.25">
      <c r="A39263" s="118"/>
      <c r="B39263" s="136"/>
    </row>
    <row r="39264" spans="1:2" x14ac:dyDescent="0.25">
      <c r="A39264" s="118"/>
      <c r="B39264" s="136"/>
    </row>
    <row r="39265" spans="1:2" x14ac:dyDescent="0.25">
      <c r="A39265" s="118"/>
      <c r="B39265" s="136"/>
    </row>
    <row r="39266" spans="1:2" x14ac:dyDescent="0.25">
      <c r="A39266" s="118"/>
      <c r="B39266" s="136"/>
    </row>
    <row r="39267" spans="1:2" x14ac:dyDescent="0.25">
      <c r="A39267" s="118"/>
      <c r="B39267" s="136"/>
    </row>
    <row r="39268" spans="1:2" x14ac:dyDescent="0.25">
      <c r="A39268" s="118"/>
      <c r="B39268" s="136"/>
    </row>
    <row r="39269" spans="1:2" x14ac:dyDescent="0.25">
      <c r="A39269" s="118"/>
      <c r="B39269" s="136"/>
    </row>
    <row r="39270" spans="1:2" x14ac:dyDescent="0.25">
      <c r="A39270" s="118"/>
      <c r="B39270" s="136"/>
    </row>
    <row r="39271" spans="1:2" x14ac:dyDescent="0.25">
      <c r="A39271" s="118"/>
      <c r="B39271" s="136"/>
    </row>
    <row r="39272" spans="1:2" x14ac:dyDescent="0.25">
      <c r="A39272" s="118"/>
      <c r="B39272" s="136"/>
    </row>
    <row r="39273" spans="1:2" x14ac:dyDescent="0.25">
      <c r="A39273" s="118"/>
      <c r="B39273" s="136"/>
    </row>
    <row r="39274" spans="1:2" x14ac:dyDescent="0.25">
      <c r="A39274" s="118"/>
      <c r="B39274" s="136"/>
    </row>
    <row r="39275" spans="1:2" x14ac:dyDescent="0.25">
      <c r="A39275" s="118"/>
      <c r="B39275" s="136"/>
    </row>
    <row r="39276" spans="1:2" x14ac:dyDescent="0.25">
      <c r="A39276" s="118"/>
      <c r="B39276" s="136"/>
    </row>
    <row r="39277" spans="1:2" x14ac:dyDescent="0.25">
      <c r="A39277" s="118"/>
      <c r="B39277" s="136"/>
    </row>
    <row r="39278" spans="1:2" x14ac:dyDescent="0.25">
      <c r="A39278" s="118"/>
      <c r="B39278" s="136"/>
    </row>
    <row r="39279" spans="1:2" x14ac:dyDescent="0.25">
      <c r="A39279" s="118"/>
      <c r="B39279" s="136"/>
    </row>
    <row r="39280" spans="1:2" x14ac:dyDescent="0.25">
      <c r="A39280" s="118"/>
      <c r="B39280" s="136"/>
    </row>
    <row r="39281" spans="1:2" x14ac:dyDescent="0.25">
      <c r="A39281" s="118"/>
      <c r="B39281" s="136"/>
    </row>
    <row r="39282" spans="1:2" x14ac:dyDescent="0.25">
      <c r="A39282" s="118"/>
      <c r="B39282" s="136"/>
    </row>
    <row r="39283" spans="1:2" x14ac:dyDescent="0.25">
      <c r="A39283" s="118"/>
      <c r="B39283" s="136"/>
    </row>
    <row r="39284" spans="1:2" x14ac:dyDescent="0.25">
      <c r="A39284" s="118"/>
      <c r="B39284" s="136"/>
    </row>
    <row r="39285" spans="1:2" x14ac:dyDescent="0.25">
      <c r="A39285" s="118"/>
      <c r="B39285" s="136"/>
    </row>
    <row r="39286" spans="1:2" x14ac:dyDescent="0.25">
      <c r="A39286" s="118"/>
      <c r="B39286" s="136"/>
    </row>
    <row r="39287" spans="1:2" x14ac:dyDescent="0.25">
      <c r="A39287" s="118"/>
      <c r="B39287" s="136"/>
    </row>
    <row r="39288" spans="1:2" x14ac:dyDescent="0.25">
      <c r="A39288" s="118"/>
      <c r="B39288" s="136"/>
    </row>
    <row r="39289" spans="1:2" x14ac:dyDescent="0.25">
      <c r="A39289" s="118"/>
      <c r="B39289" s="136"/>
    </row>
    <row r="39290" spans="1:2" x14ac:dyDescent="0.25">
      <c r="A39290" s="118"/>
      <c r="B39290" s="136"/>
    </row>
    <row r="39291" spans="1:2" x14ac:dyDescent="0.25">
      <c r="A39291" s="118"/>
      <c r="B39291" s="136"/>
    </row>
    <row r="39292" spans="1:2" x14ac:dyDescent="0.25">
      <c r="A39292" s="118"/>
      <c r="B39292" s="136"/>
    </row>
    <row r="39293" spans="1:2" x14ac:dyDescent="0.25">
      <c r="A39293" s="118"/>
      <c r="B39293" s="136"/>
    </row>
    <row r="39294" spans="1:2" x14ac:dyDescent="0.25">
      <c r="A39294" s="118"/>
      <c r="B39294" s="136"/>
    </row>
    <row r="39295" spans="1:2" x14ac:dyDescent="0.25">
      <c r="A39295" s="118"/>
      <c r="B39295" s="136"/>
    </row>
    <row r="39296" spans="1:2" x14ac:dyDescent="0.25">
      <c r="A39296" s="118"/>
      <c r="B39296" s="136"/>
    </row>
    <row r="39297" spans="1:2" x14ac:dyDescent="0.25">
      <c r="A39297" s="118"/>
      <c r="B39297" s="136"/>
    </row>
    <row r="39298" spans="1:2" x14ac:dyDescent="0.25">
      <c r="A39298" s="118"/>
      <c r="B39298" s="136"/>
    </row>
    <row r="39299" spans="1:2" x14ac:dyDescent="0.25">
      <c r="A39299" s="118"/>
      <c r="B39299" s="136"/>
    </row>
    <row r="39300" spans="1:2" x14ac:dyDescent="0.25">
      <c r="A39300" s="118"/>
      <c r="B39300" s="136"/>
    </row>
    <row r="39301" spans="1:2" x14ac:dyDescent="0.25">
      <c r="A39301" s="118"/>
      <c r="B39301" s="136"/>
    </row>
    <row r="39302" spans="1:2" x14ac:dyDescent="0.25">
      <c r="A39302" s="118"/>
      <c r="B39302" s="136"/>
    </row>
    <row r="39303" spans="1:2" x14ac:dyDescent="0.25">
      <c r="A39303" s="118"/>
      <c r="B39303" s="136"/>
    </row>
    <row r="39304" spans="1:2" x14ac:dyDescent="0.25">
      <c r="A39304" s="118"/>
      <c r="B39304" s="136"/>
    </row>
    <row r="39305" spans="1:2" x14ac:dyDescent="0.25">
      <c r="A39305" s="118"/>
      <c r="B39305" s="136"/>
    </row>
    <row r="39306" spans="1:2" x14ac:dyDescent="0.25">
      <c r="A39306" s="118"/>
      <c r="B39306" s="136"/>
    </row>
    <row r="39307" spans="1:2" x14ac:dyDescent="0.25">
      <c r="A39307" s="118"/>
      <c r="B39307" s="136"/>
    </row>
    <row r="39308" spans="1:2" x14ac:dyDescent="0.25">
      <c r="A39308" s="118"/>
      <c r="B39308" s="136"/>
    </row>
    <row r="39309" spans="1:2" x14ac:dyDescent="0.25">
      <c r="A39309" s="118"/>
      <c r="B39309" s="136"/>
    </row>
    <row r="39310" spans="1:2" x14ac:dyDescent="0.25">
      <c r="A39310" s="118"/>
      <c r="B39310" s="136"/>
    </row>
    <row r="39311" spans="1:2" x14ac:dyDescent="0.25">
      <c r="A39311" s="118"/>
      <c r="B39311" s="136"/>
    </row>
    <row r="39312" spans="1:2" x14ac:dyDescent="0.25">
      <c r="A39312" s="118"/>
      <c r="B39312" s="136"/>
    </row>
    <row r="39313" spans="1:2" x14ac:dyDescent="0.25">
      <c r="A39313" s="118"/>
      <c r="B39313" s="136"/>
    </row>
    <row r="39314" spans="1:2" x14ac:dyDescent="0.25">
      <c r="A39314" s="118"/>
      <c r="B39314" s="136"/>
    </row>
    <row r="39315" spans="1:2" x14ac:dyDescent="0.25">
      <c r="A39315" s="118"/>
      <c r="B39315" s="136"/>
    </row>
    <row r="39316" spans="1:2" x14ac:dyDescent="0.25">
      <c r="A39316" s="118"/>
      <c r="B39316" s="136"/>
    </row>
    <row r="39317" spans="1:2" x14ac:dyDescent="0.25">
      <c r="A39317" s="118"/>
      <c r="B39317" s="136"/>
    </row>
    <row r="39318" spans="1:2" x14ac:dyDescent="0.25">
      <c r="A39318" s="118"/>
      <c r="B39318" s="136"/>
    </row>
    <row r="39319" spans="1:2" x14ac:dyDescent="0.25">
      <c r="A39319" s="118"/>
      <c r="B39319" s="136"/>
    </row>
    <row r="39320" spans="1:2" x14ac:dyDescent="0.25">
      <c r="A39320" s="118"/>
      <c r="B39320" s="136"/>
    </row>
    <row r="39321" spans="1:2" x14ac:dyDescent="0.25">
      <c r="A39321" s="118"/>
      <c r="B39321" s="136"/>
    </row>
    <row r="39322" spans="1:2" x14ac:dyDescent="0.25">
      <c r="A39322" s="118"/>
      <c r="B39322" s="136"/>
    </row>
    <row r="39323" spans="1:2" x14ac:dyDescent="0.25">
      <c r="A39323" s="118"/>
      <c r="B39323" s="136"/>
    </row>
    <row r="39324" spans="1:2" x14ac:dyDescent="0.25">
      <c r="A39324" s="118"/>
      <c r="B39324" s="136"/>
    </row>
    <row r="39325" spans="1:2" x14ac:dyDescent="0.25">
      <c r="A39325" s="118"/>
      <c r="B39325" s="136"/>
    </row>
    <row r="39326" spans="1:2" x14ac:dyDescent="0.25">
      <c r="A39326" s="118"/>
      <c r="B39326" s="136"/>
    </row>
    <row r="39327" spans="1:2" x14ac:dyDescent="0.25">
      <c r="A39327" s="118"/>
      <c r="B39327" s="136"/>
    </row>
    <row r="39328" spans="1:2" x14ac:dyDescent="0.25">
      <c r="A39328" s="118"/>
      <c r="B39328" s="136"/>
    </row>
    <row r="39329" spans="1:2" x14ac:dyDescent="0.25">
      <c r="A39329" s="118"/>
      <c r="B39329" s="136"/>
    </row>
    <row r="39330" spans="1:2" x14ac:dyDescent="0.25">
      <c r="A39330" s="118"/>
      <c r="B39330" s="136"/>
    </row>
    <row r="39331" spans="1:2" x14ac:dyDescent="0.25">
      <c r="A39331" s="118"/>
      <c r="B39331" s="136"/>
    </row>
    <row r="39332" spans="1:2" x14ac:dyDescent="0.25">
      <c r="A39332" s="118"/>
      <c r="B39332" s="136"/>
    </row>
    <row r="39333" spans="1:2" x14ac:dyDescent="0.25">
      <c r="A39333" s="118"/>
      <c r="B39333" s="136"/>
    </row>
    <row r="39334" spans="1:2" x14ac:dyDescent="0.25">
      <c r="A39334" s="118"/>
      <c r="B39334" s="136"/>
    </row>
    <row r="39335" spans="1:2" x14ac:dyDescent="0.25">
      <c r="A39335" s="118"/>
      <c r="B39335" s="136"/>
    </row>
    <row r="39336" spans="1:2" x14ac:dyDescent="0.25">
      <c r="A39336" s="118"/>
      <c r="B39336" s="136"/>
    </row>
    <row r="39337" spans="1:2" x14ac:dyDescent="0.25">
      <c r="A39337" s="118"/>
      <c r="B39337" s="136"/>
    </row>
    <row r="39338" spans="1:2" x14ac:dyDescent="0.25">
      <c r="A39338" s="118"/>
      <c r="B39338" s="136"/>
    </row>
    <row r="39339" spans="1:2" x14ac:dyDescent="0.25">
      <c r="A39339" s="118"/>
      <c r="B39339" s="136"/>
    </row>
    <row r="39340" spans="1:2" x14ac:dyDescent="0.25">
      <c r="A39340" s="118"/>
      <c r="B39340" s="136"/>
    </row>
    <row r="39341" spans="1:2" x14ac:dyDescent="0.25">
      <c r="A39341" s="118"/>
      <c r="B39341" s="136"/>
    </row>
    <row r="39342" spans="1:2" x14ac:dyDescent="0.25">
      <c r="A39342" s="118"/>
      <c r="B39342" s="136"/>
    </row>
    <row r="39343" spans="1:2" x14ac:dyDescent="0.25">
      <c r="A39343" s="118"/>
      <c r="B39343" s="136"/>
    </row>
    <row r="39344" spans="1:2" x14ac:dyDescent="0.25">
      <c r="A39344" s="118"/>
      <c r="B39344" s="136"/>
    </row>
    <row r="39345" spans="1:2" x14ac:dyDescent="0.25">
      <c r="A39345" s="118"/>
      <c r="B39345" s="136"/>
    </row>
    <row r="39346" spans="1:2" x14ac:dyDescent="0.25">
      <c r="A39346" s="118"/>
      <c r="B39346" s="136"/>
    </row>
    <row r="39347" spans="1:2" x14ac:dyDescent="0.25">
      <c r="A39347" s="118"/>
      <c r="B39347" s="136"/>
    </row>
    <row r="39348" spans="1:2" x14ac:dyDescent="0.25">
      <c r="A39348" s="118"/>
      <c r="B39348" s="136"/>
    </row>
    <row r="39349" spans="1:2" x14ac:dyDescent="0.25">
      <c r="A39349" s="118"/>
      <c r="B39349" s="136"/>
    </row>
    <row r="39350" spans="1:2" x14ac:dyDescent="0.25">
      <c r="A39350" s="118"/>
      <c r="B39350" s="136"/>
    </row>
    <row r="39351" spans="1:2" x14ac:dyDescent="0.25">
      <c r="A39351" s="118"/>
      <c r="B39351" s="136"/>
    </row>
    <row r="39352" spans="1:2" x14ac:dyDescent="0.25">
      <c r="A39352" s="118"/>
      <c r="B39352" s="136"/>
    </row>
    <row r="39353" spans="1:2" x14ac:dyDescent="0.25">
      <c r="A39353" s="118"/>
      <c r="B39353" s="136"/>
    </row>
    <row r="39354" spans="1:2" x14ac:dyDescent="0.25">
      <c r="A39354" s="118"/>
      <c r="B39354" s="136"/>
    </row>
    <row r="39355" spans="1:2" x14ac:dyDescent="0.25">
      <c r="A39355" s="118"/>
      <c r="B39355" s="136"/>
    </row>
    <row r="39356" spans="1:2" x14ac:dyDescent="0.25">
      <c r="A39356" s="118"/>
      <c r="B39356" s="136"/>
    </row>
    <row r="39357" spans="1:2" x14ac:dyDescent="0.25">
      <c r="A39357" s="118"/>
      <c r="B39357" s="136"/>
    </row>
    <row r="39358" spans="1:2" x14ac:dyDescent="0.25">
      <c r="A39358" s="118"/>
      <c r="B39358" s="136"/>
    </row>
    <row r="39359" spans="1:2" x14ac:dyDescent="0.25">
      <c r="A39359" s="118"/>
      <c r="B39359" s="136"/>
    </row>
    <row r="39360" spans="1:2" x14ac:dyDescent="0.25">
      <c r="A39360" s="118"/>
      <c r="B39360" s="136"/>
    </row>
    <row r="39361" spans="1:2" x14ac:dyDescent="0.25">
      <c r="A39361" s="118"/>
      <c r="B39361" s="136"/>
    </row>
    <row r="39362" spans="1:2" x14ac:dyDescent="0.25">
      <c r="A39362" s="118"/>
      <c r="B39362" s="136"/>
    </row>
    <row r="39363" spans="1:2" x14ac:dyDescent="0.25">
      <c r="A39363" s="118"/>
      <c r="B39363" s="136"/>
    </row>
    <row r="39364" spans="1:2" x14ac:dyDescent="0.25">
      <c r="A39364" s="118"/>
      <c r="B39364" s="136"/>
    </row>
    <row r="39365" spans="1:2" x14ac:dyDescent="0.25">
      <c r="A39365" s="118"/>
      <c r="B39365" s="136"/>
    </row>
    <row r="39366" spans="1:2" x14ac:dyDescent="0.25">
      <c r="A39366" s="118"/>
      <c r="B39366" s="136"/>
    </row>
    <row r="39367" spans="1:2" x14ac:dyDescent="0.25">
      <c r="A39367" s="118"/>
      <c r="B39367" s="136"/>
    </row>
    <row r="39368" spans="1:2" x14ac:dyDescent="0.25">
      <c r="A39368" s="118"/>
      <c r="B39368" s="136"/>
    </row>
    <row r="39369" spans="1:2" x14ac:dyDescent="0.25">
      <c r="A39369" s="118"/>
      <c r="B39369" s="136"/>
    </row>
    <row r="39370" spans="1:2" x14ac:dyDescent="0.25">
      <c r="A39370" s="118"/>
      <c r="B39370" s="136"/>
    </row>
    <row r="39371" spans="1:2" x14ac:dyDescent="0.25">
      <c r="A39371" s="118"/>
      <c r="B39371" s="136"/>
    </row>
    <row r="39372" spans="1:2" x14ac:dyDescent="0.25">
      <c r="A39372" s="118"/>
      <c r="B39372" s="136"/>
    </row>
    <row r="39373" spans="1:2" x14ac:dyDescent="0.25">
      <c r="A39373" s="118"/>
      <c r="B39373" s="136"/>
    </row>
    <row r="39374" spans="1:2" x14ac:dyDescent="0.25">
      <c r="A39374" s="118"/>
      <c r="B39374" s="136"/>
    </row>
    <row r="39375" spans="1:2" x14ac:dyDescent="0.25">
      <c r="A39375" s="118"/>
      <c r="B39375" s="136"/>
    </row>
    <row r="39376" spans="1:2" x14ac:dyDescent="0.25">
      <c r="A39376" s="118"/>
      <c r="B39376" s="136"/>
    </row>
    <row r="39377" spans="1:2" x14ac:dyDescent="0.25">
      <c r="A39377" s="118"/>
      <c r="B39377" s="136"/>
    </row>
    <row r="39378" spans="1:2" x14ac:dyDescent="0.25">
      <c r="A39378" s="118"/>
      <c r="B39378" s="136"/>
    </row>
    <row r="39379" spans="1:2" x14ac:dyDescent="0.25">
      <c r="A39379" s="118"/>
      <c r="B39379" s="136"/>
    </row>
    <row r="39380" spans="1:2" x14ac:dyDescent="0.25">
      <c r="A39380" s="118"/>
      <c r="B39380" s="136"/>
    </row>
    <row r="39381" spans="1:2" x14ac:dyDescent="0.25">
      <c r="A39381" s="118"/>
      <c r="B39381" s="136"/>
    </row>
    <row r="39382" spans="1:2" x14ac:dyDescent="0.25">
      <c r="A39382" s="118"/>
      <c r="B39382" s="136"/>
    </row>
    <row r="39383" spans="1:2" x14ac:dyDescent="0.25">
      <c r="A39383" s="118"/>
      <c r="B39383" s="136"/>
    </row>
    <row r="39384" spans="1:2" x14ac:dyDescent="0.25">
      <c r="A39384" s="118"/>
      <c r="B39384" s="136"/>
    </row>
    <row r="39385" spans="1:2" x14ac:dyDescent="0.25">
      <c r="A39385" s="118"/>
      <c r="B39385" s="136"/>
    </row>
    <row r="39386" spans="1:2" x14ac:dyDescent="0.25">
      <c r="A39386" s="118"/>
      <c r="B39386" s="136"/>
    </row>
    <row r="39387" spans="1:2" x14ac:dyDescent="0.25">
      <c r="A39387" s="118"/>
      <c r="B39387" s="136"/>
    </row>
    <row r="39388" spans="1:2" x14ac:dyDescent="0.25">
      <c r="A39388" s="118"/>
      <c r="B39388" s="136"/>
    </row>
    <row r="39389" spans="1:2" x14ac:dyDescent="0.25">
      <c r="A39389" s="118"/>
      <c r="B39389" s="136"/>
    </row>
    <row r="39390" spans="1:2" x14ac:dyDescent="0.25">
      <c r="A39390" s="118"/>
      <c r="B39390" s="136"/>
    </row>
    <row r="39391" spans="1:2" x14ac:dyDescent="0.25">
      <c r="A39391" s="118"/>
      <c r="B39391" s="136"/>
    </row>
    <row r="39392" spans="1:2" x14ac:dyDescent="0.25">
      <c r="A39392" s="118"/>
      <c r="B39392" s="136"/>
    </row>
    <row r="39393" spans="1:2" x14ac:dyDescent="0.25">
      <c r="A39393" s="118"/>
      <c r="B39393" s="136"/>
    </row>
    <row r="39394" spans="1:2" x14ac:dyDescent="0.25">
      <c r="A39394" s="118"/>
      <c r="B39394" s="136"/>
    </row>
    <row r="39395" spans="1:2" x14ac:dyDescent="0.25">
      <c r="A39395" s="118"/>
      <c r="B39395" s="136"/>
    </row>
    <row r="39396" spans="1:2" x14ac:dyDescent="0.25">
      <c r="A39396" s="118"/>
      <c r="B39396" s="136"/>
    </row>
    <row r="39397" spans="1:2" x14ac:dyDescent="0.25">
      <c r="A39397" s="118"/>
      <c r="B39397" s="136"/>
    </row>
    <row r="39398" spans="1:2" x14ac:dyDescent="0.25">
      <c r="A39398" s="118"/>
      <c r="B39398" s="136"/>
    </row>
    <row r="39399" spans="1:2" x14ac:dyDescent="0.25">
      <c r="A39399" s="118"/>
      <c r="B39399" s="136"/>
    </row>
    <row r="39400" spans="1:2" x14ac:dyDescent="0.25">
      <c r="A39400" s="118"/>
      <c r="B39400" s="136"/>
    </row>
    <row r="39401" spans="1:2" x14ac:dyDescent="0.25">
      <c r="A39401" s="118"/>
      <c r="B39401" s="136"/>
    </row>
    <row r="39402" spans="1:2" x14ac:dyDescent="0.25">
      <c r="A39402" s="118"/>
      <c r="B39402" s="136"/>
    </row>
    <row r="39403" spans="1:2" x14ac:dyDescent="0.25">
      <c r="A39403" s="118"/>
      <c r="B39403" s="136"/>
    </row>
    <row r="39404" spans="1:2" x14ac:dyDescent="0.25">
      <c r="A39404" s="118"/>
      <c r="B39404" s="136"/>
    </row>
    <row r="39405" spans="1:2" x14ac:dyDescent="0.25">
      <c r="A39405" s="118"/>
      <c r="B39405" s="136"/>
    </row>
    <row r="39406" spans="1:2" x14ac:dyDescent="0.25">
      <c r="A39406" s="118"/>
      <c r="B39406" s="136"/>
    </row>
    <row r="39407" spans="1:2" x14ac:dyDescent="0.25">
      <c r="A39407" s="118"/>
      <c r="B39407" s="136"/>
    </row>
    <row r="39408" spans="1:2" x14ac:dyDescent="0.25">
      <c r="A39408" s="118"/>
      <c r="B39408" s="136"/>
    </row>
    <row r="39409" spans="1:2" x14ac:dyDescent="0.25">
      <c r="A39409" s="118"/>
      <c r="B39409" s="136"/>
    </row>
    <row r="39410" spans="1:2" x14ac:dyDescent="0.25">
      <c r="A39410" s="118"/>
      <c r="B39410" s="136"/>
    </row>
    <row r="39411" spans="1:2" x14ac:dyDescent="0.25">
      <c r="A39411" s="118"/>
      <c r="B39411" s="136"/>
    </row>
    <row r="39412" spans="1:2" x14ac:dyDescent="0.25">
      <c r="A39412" s="118"/>
      <c r="B39412" s="136"/>
    </row>
    <row r="39413" spans="1:2" x14ac:dyDescent="0.25">
      <c r="A39413" s="118"/>
      <c r="B39413" s="136"/>
    </row>
    <row r="39414" spans="1:2" x14ac:dyDescent="0.25">
      <c r="A39414" s="118"/>
      <c r="B39414" s="136"/>
    </row>
    <row r="39415" spans="1:2" x14ac:dyDescent="0.25">
      <c r="A39415" s="118"/>
      <c r="B39415" s="136"/>
    </row>
    <row r="39416" spans="1:2" x14ac:dyDescent="0.25">
      <c r="A39416" s="118"/>
      <c r="B39416" s="136"/>
    </row>
    <row r="39417" spans="1:2" x14ac:dyDescent="0.25">
      <c r="A39417" s="118"/>
      <c r="B39417" s="136"/>
    </row>
    <row r="39418" spans="1:2" x14ac:dyDescent="0.25">
      <c r="A39418" s="118"/>
      <c r="B39418" s="136"/>
    </row>
    <row r="39419" spans="1:2" x14ac:dyDescent="0.25">
      <c r="A39419" s="118"/>
      <c r="B39419" s="136"/>
    </row>
    <row r="39420" spans="1:2" x14ac:dyDescent="0.25">
      <c r="A39420" s="118"/>
      <c r="B39420" s="136"/>
    </row>
    <row r="39421" spans="1:2" x14ac:dyDescent="0.25">
      <c r="A39421" s="118"/>
      <c r="B39421" s="136"/>
    </row>
    <row r="39422" spans="1:2" x14ac:dyDescent="0.25">
      <c r="A39422" s="118"/>
      <c r="B39422" s="136"/>
    </row>
    <row r="39423" spans="1:2" x14ac:dyDescent="0.25">
      <c r="A39423" s="118"/>
      <c r="B39423" s="136"/>
    </row>
    <row r="39424" spans="1:2" x14ac:dyDescent="0.25">
      <c r="A39424" s="118"/>
      <c r="B39424" s="136"/>
    </row>
    <row r="39425" spans="1:2" x14ac:dyDescent="0.25">
      <c r="A39425" s="118"/>
      <c r="B39425" s="136"/>
    </row>
    <row r="39426" spans="1:2" x14ac:dyDescent="0.25">
      <c r="A39426" s="118"/>
      <c r="B39426" s="136"/>
    </row>
    <row r="39427" spans="1:2" x14ac:dyDescent="0.25">
      <c r="A39427" s="118"/>
      <c r="B39427" s="136"/>
    </row>
    <row r="39428" spans="1:2" x14ac:dyDescent="0.25">
      <c r="A39428" s="118"/>
      <c r="B39428" s="136"/>
    </row>
    <row r="39429" spans="1:2" x14ac:dyDescent="0.25">
      <c r="A39429" s="118"/>
      <c r="B39429" s="136"/>
    </row>
    <row r="39430" spans="1:2" x14ac:dyDescent="0.25">
      <c r="A39430" s="118"/>
      <c r="B39430" s="136"/>
    </row>
    <row r="39431" spans="1:2" x14ac:dyDescent="0.25">
      <c r="A39431" s="118"/>
      <c r="B39431" s="136"/>
    </row>
    <row r="39432" spans="1:2" x14ac:dyDescent="0.25">
      <c r="A39432" s="118"/>
      <c r="B39432" s="136"/>
    </row>
    <row r="39433" spans="1:2" x14ac:dyDescent="0.25">
      <c r="A39433" s="118"/>
      <c r="B39433" s="136"/>
    </row>
    <row r="39434" spans="1:2" x14ac:dyDescent="0.25">
      <c r="A39434" s="118"/>
      <c r="B39434" s="136"/>
    </row>
    <row r="39435" spans="1:2" x14ac:dyDescent="0.25">
      <c r="A39435" s="118"/>
      <c r="B39435" s="136"/>
    </row>
    <row r="39436" spans="1:2" x14ac:dyDescent="0.25">
      <c r="A39436" s="118"/>
      <c r="B39436" s="136"/>
    </row>
    <row r="39437" spans="1:2" x14ac:dyDescent="0.25">
      <c r="A39437" s="118"/>
      <c r="B39437" s="136"/>
    </row>
    <row r="39438" spans="1:2" x14ac:dyDescent="0.25">
      <c r="A39438" s="118"/>
      <c r="B39438" s="136"/>
    </row>
    <row r="39439" spans="1:2" x14ac:dyDescent="0.25">
      <c r="A39439" s="118"/>
      <c r="B39439" s="136"/>
    </row>
    <row r="39440" spans="1:2" x14ac:dyDescent="0.25">
      <c r="A39440" s="118"/>
      <c r="B39440" s="136"/>
    </row>
    <row r="39441" spans="1:2" x14ac:dyDescent="0.25">
      <c r="A39441" s="118"/>
      <c r="B39441" s="136"/>
    </row>
    <row r="39442" spans="1:2" x14ac:dyDescent="0.25">
      <c r="A39442" s="118"/>
      <c r="B39442" s="136"/>
    </row>
    <row r="39443" spans="1:2" x14ac:dyDescent="0.25">
      <c r="A39443" s="118"/>
      <c r="B39443" s="136"/>
    </row>
    <row r="39444" spans="1:2" x14ac:dyDescent="0.25">
      <c r="A39444" s="118"/>
      <c r="B39444" s="136"/>
    </row>
    <row r="39445" spans="1:2" x14ac:dyDescent="0.25">
      <c r="A39445" s="118"/>
      <c r="B39445" s="136"/>
    </row>
    <row r="39446" spans="1:2" x14ac:dyDescent="0.25">
      <c r="A39446" s="118"/>
      <c r="B39446" s="136"/>
    </row>
    <row r="39447" spans="1:2" x14ac:dyDescent="0.25">
      <c r="A39447" s="118"/>
      <c r="B39447" s="136"/>
    </row>
    <row r="39448" spans="1:2" x14ac:dyDescent="0.25">
      <c r="A39448" s="118"/>
      <c r="B39448" s="136"/>
    </row>
    <row r="39449" spans="1:2" x14ac:dyDescent="0.25">
      <c r="A39449" s="118"/>
      <c r="B39449" s="136"/>
    </row>
    <row r="39450" spans="1:2" x14ac:dyDescent="0.25">
      <c r="A39450" s="118"/>
      <c r="B39450" s="136"/>
    </row>
    <row r="39451" spans="1:2" x14ac:dyDescent="0.25">
      <c r="A39451" s="118"/>
      <c r="B39451" s="136"/>
    </row>
    <row r="39452" spans="1:2" x14ac:dyDescent="0.25">
      <c r="A39452" s="118"/>
      <c r="B39452" s="136"/>
    </row>
    <row r="39453" spans="1:2" x14ac:dyDescent="0.25">
      <c r="A39453" s="118"/>
      <c r="B39453" s="136"/>
    </row>
    <row r="39454" spans="1:2" x14ac:dyDescent="0.25">
      <c r="A39454" s="118"/>
      <c r="B39454" s="136"/>
    </row>
    <row r="39455" spans="1:2" x14ac:dyDescent="0.25">
      <c r="A39455" s="118"/>
      <c r="B39455" s="136"/>
    </row>
    <row r="39456" spans="1:2" x14ac:dyDescent="0.25">
      <c r="A39456" s="118"/>
      <c r="B39456" s="136"/>
    </row>
    <row r="39457" spans="1:2" x14ac:dyDescent="0.25">
      <c r="A39457" s="118"/>
      <c r="B39457" s="136"/>
    </row>
    <row r="39458" spans="1:2" x14ac:dyDescent="0.25">
      <c r="A39458" s="118"/>
      <c r="B39458" s="136"/>
    </row>
    <row r="39459" spans="1:2" x14ac:dyDescent="0.25">
      <c r="A39459" s="118"/>
      <c r="B39459" s="136"/>
    </row>
    <row r="39460" spans="1:2" x14ac:dyDescent="0.25">
      <c r="A39460" s="118"/>
      <c r="B39460" s="136"/>
    </row>
    <row r="39461" spans="1:2" x14ac:dyDescent="0.25">
      <c r="A39461" s="118"/>
      <c r="B39461" s="136"/>
    </row>
    <row r="39462" spans="1:2" x14ac:dyDescent="0.25">
      <c r="A39462" s="118"/>
      <c r="B39462" s="136"/>
    </row>
    <row r="39463" spans="1:2" x14ac:dyDescent="0.25">
      <c r="A39463" s="118"/>
      <c r="B39463" s="136"/>
    </row>
    <row r="39464" spans="1:2" x14ac:dyDescent="0.25">
      <c r="A39464" s="118"/>
      <c r="B39464" s="136"/>
    </row>
    <row r="39465" spans="1:2" x14ac:dyDescent="0.25">
      <c r="A39465" s="118"/>
      <c r="B39465" s="136"/>
    </row>
    <row r="39466" spans="1:2" x14ac:dyDescent="0.25">
      <c r="A39466" s="118"/>
      <c r="B39466" s="136"/>
    </row>
    <row r="39467" spans="1:2" x14ac:dyDescent="0.25">
      <c r="A39467" s="118"/>
      <c r="B39467" s="136"/>
    </row>
    <row r="39468" spans="1:2" x14ac:dyDescent="0.25">
      <c r="A39468" s="118"/>
      <c r="B39468" s="136"/>
    </row>
    <row r="39469" spans="1:2" x14ac:dyDescent="0.25">
      <c r="A39469" s="118"/>
      <c r="B39469" s="136"/>
    </row>
    <row r="39470" spans="1:2" x14ac:dyDescent="0.25">
      <c r="A39470" s="118"/>
      <c r="B39470" s="136"/>
    </row>
    <row r="39471" spans="1:2" x14ac:dyDescent="0.25">
      <c r="A39471" s="118"/>
      <c r="B39471" s="136"/>
    </row>
    <row r="39472" spans="1:2" x14ac:dyDescent="0.25">
      <c r="A39472" s="118"/>
      <c r="B39472" s="136"/>
    </row>
    <row r="39473" spans="1:2" x14ac:dyDescent="0.25">
      <c r="A39473" s="118"/>
      <c r="B39473" s="136"/>
    </row>
    <row r="39474" spans="1:2" x14ac:dyDescent="0.25">
      <c r="A39474" s="118"/>
      <c r="B39474" s="136"/>
    </row>
    <row r="39475" spans="1:2" x14ac:dyDescent="0.25">
      <c r="A39475" s="118"/>
      <c r="B39475" s="136"/>
    </row>
    <row r="39476" spans="1:2" x14ac:dyDescent="0.25">
      <c r="A39476" s="118"/>
      <c r="B39476" s="136"/>
    </row>
    <row r="39477" spans="1:2" x14ac:dyDescent="0.25">
      <c r="A39477" s="118"/>
      <c r="B39477" s="136"/>
    </row>
    <row r="39478" spans="1:2" x14ac:dyDescent="0.25">
      <c r="A39478" s="118"/>
      <c r="B39478" s="136"/>
    </row>
    <row r="39479" spans="1:2" x14ac:dyDescent="0.25">
      <c r="A39479" s="118"/>
      <c r="B39479" s="136"/>
    </row>
    <row r="39480" spans="1:2" x14ac:dyDescent="0.25">
      <c r="A39480" s="118"/>
      <c r="B39480" s="136"/>
    </row>
    <row r="39481" spans="1:2" x14ac:dyDescent="0.25">
      <c r="A39481" s="118"/>
      <c r="B39481" s="136"/>
    </row>
    <row r="39482" spans="1:2" x14ac:dyDescent="0.25">
      <c r="A39482" s="118"/>
      <c r="B39482" s="136"/>
    </row>
    <row r="39483" spans="1:2" x14ac:dyDescent="0.25">
      <c r="A39483" s="118"/>
      <c r="B39483" s="136"/>
    </row>
    <row r="39484" spans="1:2" x14ac:dyDescent="0.25">
      <c r="A39484" s="118"/>
      <c r="B39484" s="136"/>
    </row>
    <row r="39485" spans="1:2" x14ac:dyDescent="0.25">
      <c r="A39485" s="118"/>
      <c r="B39485" s="136"/>
    </row>
    <row r="39486" spans="1:2" x14ac:dyDescent="0.25">
      <c r="A39486" s="118"/>
      <c r="B39486" s="136"/>
    </row>
    <row r="39487" spans="1:2" x14ac:dyDescent="0.25">
      <c r="A39487" s="118"/>
      <c r="B39487" s="136"/>
    </row>
    <row r="39488" spans="1:2" x14ac:dyDescent="0.25">
      <c r="A39488" s="118"/>
      <c r="B39488" s="136"/>
    </row>
    <row r="39489" spans="1:2" x14ac:dyDescent="0.25">
      <c r="A39489" s="118"/>
      <c r="B39489" s="136"/>
    </row>
    <row r="39490" spans="1:2" x14ac:dyDescent="0.25">
      <c r="A39490" s="118"/>
      <c r="B39490" s="136"/>
    </row>
    <row r="39491" spans="1:2" x14ac:dyDescent="0.25">
      <c r="A39491" s="118"/>
      <c r="B39491" s="136"/>
    </row>
    <row r="39492" spans="1:2" x14ac:dyDescent="0.25">
      <c r="A39492" s="118"/>
      <c r="B39492" s="136"/>
    </row>
    <row r="39493" spans="1:2" x14ac:dyDescent="0.25">
      <c r="A39493" s="118"/>
      <c r="B39493" s="136"/>
    </row>
    <row r="39494" spans="1:2" x14ac:dyDescent="0.25">
      <c r="A39494" s="118"/>
      <c r="B39494" s="136"/>
    </row>
    <row r="39495" spans="1:2" x14ac:dyDescent="0.25">
      <c r="A39495" s="118"/>
      <c r="B39495" s="136"/>
    </row>
    <row r="39496" spans="1:2" x14ac:dyDescent="0.25">
      <c r="A39496" s="118"/>
      <c r="B39496" s="136"/>
    </row>
    <row r="39497" spans="1:2" x14ac:dyDescent="0.25">
      <c r="A39497" s="118"/>
      <c r="B39497" s="136"/>
    </row>
    <row r="39498" spans="1:2" x14ac:dyDescent="0.25">
      <c r="A39498" s="118"/>
      <c r="B39498" s="136"/>
    </row>
    <row r="39499" spans="1:2" x14ac:dyDescent="0.25">
      <c r="A39499" s="118"/>
      <c r="B39499" s="136"/>
    </row>
    <row r="39500" spans="1:2" x14ac:dyDescent="0.25">
      <c r="A39500" s="118"/>
      <c r="B39500" s="136"/>
    </row>
    <row r="39501" spans="1:2" x14ac:dyDescent="0.25">
      <c r="A39501" s="118"/>
      <c r="B39501" s="136"/>
    </row>
    <row r="39502" spans="1:2" x14ac:dyDescent="0.25">
      <c r="A39502" s="118"/>
      <c r="B39502" s="136"/>
    </row>
    <row r="39503" spans="1:2" x14ac:dyDescent="0.25">
      <c r="A39503" s="118"/>
      <c r="B39503" s="136"/>
    </row>
    <row r="39504" spans="1:2" x14ac:dyDescent="0.25">
      <c r="A39504" s="118"/>
      <c r="B39504" s="136"/>
    </row>
    <row r="39505" spans="1:2" x14ac:dyDescent="0.25">
      <c r="A39505" s="118"/>
      <c r="B39505" s="136"/>
    </row>
    <row r="39506" spans="1:2" x14ac:dyDescent="0.25">
      <c r="A39506" s="118"/>
      <c r="B39506" s="136"/>
    </row>
    <row r="39507" spans="1:2" x14ac:dyDescent="0.25">
      <c r="A39507" s="118"/>
      <c r="B39507" s="136"/>
    </row>
    <row r="39508" spans="1:2" x14ac:dyDescent="0.25">
      <c r="A39508" s="118"/>
      <c r="B39508" s="136"/>
    </row>
    <row r="39509" spans="1:2" x14ac:dyDescent="0.25">
      <c r="A39509" s="118"/>
      <c r="B39509" s="136"/>
    </row>
    <row r="39510" spans="1:2" x14ac:dyDescent="0.25">
      <c r="A39510" s="118"/>
      <c r="B39510" s="136"/>
    </row>
    <row r="39511" spans="1:2" x14ac:dyDescent="0.25">
      <c r="A39511" s="118"/>
      <c r="B39511" s="136"/>
    </row>
    <row r="39512" spans="1:2" x14ac:dyDescent="0.25">
      <c r="A39512" s="118"/>
      <c r="B39512" s="136"/>
    </row>
    <row r="39513" spans="1:2" x14ac:dyDescent="0.25">
      <c r="A39513" s="118"/>
      <c r="B39513" s="136"/>
    </row>
    <row r="39514" spans="1:2" x14ac:dyDescent="0.25">
      <c r="A39514" s="118"/>
      <c r="B39514" s="136"/>
    </row>
    <row r="39515" spans="1:2" x14ac:dyDescent="0.25">
      <c r="A39515" s="118"/>
      <c r="B39515" s="136"/>
    </row>
    <row r="39516" spans="1:2" x14ac:dyDescent="0.25">
      <c r="A39516" s="118"/>
      <c r="B39516" s="136"/>
    </row>
    <row r="39517" spans="1:2" x14ac:dyDescent="0.25">
      <c r="A39517" s="118"/>
      <c r="B39517" s="136"/>
    </row>
    <row r="39518" spans="1:2" x14ac:dyDescent="0.25">
      <c r="A39518" s="118"/>
      <c r="B39518" s="136"/>
    </row>
    <row r="39519" spans="1:2" x14ac:dyDescent="0.25">
      <c r="A39519" s="118"/>
      <c r="B39519" s="136"/>
    </row>
    <row r="39520" spans="1:2" x14ac:dyDescent="0.25">
      <c r="A39520" s="118"/>
      <c r="B39520" s="136"/>
    </row>
    <row r="39521" spans="1:2" x14ac:dyDescent="0.25">
      <c r="A39521" s="118"/>
      <c r="B39521" s="136"/>
    </row>
    <row r="39522" spans="1:2" x14ac:dyDescent="0.25">
      <c r="A39522" s="118"/>
      <c r="B39522" s="136"/>
    </row>
    <row r="39523" spans="1:2" x14ac:dyDescent="0.25">
      <c r="A39523" s="118"/>
      <c r="B39523" s="136"/>
    </row>
    <row r="39524" spans="1:2" x14ac:dyDescent="0.25">
      <c r="A39524" s="118"/>
      <c r="B39524" s="136"/>
    </row>
    <row r="39525" spans="1:2" x14ac:dyDescent="0.25">
      <c r="A39525" s="118"/>
      <c r="B39525" s="136"/>
    </row>
    <row r="39526" spans="1:2" x14ac:dyDescent="0.25">
      <c r="A39526" s="118"/>
      <c r="B39526" s="136"/>
    </row>
    <row r="39527" spans="1:2" x14ac:dyDescent="0.25">
      <c r="A39527" s="118"/>
      <c r="B39527" s="136"/>
    </row>
    <row r="39528" spans="1:2" x14ac:dyDescent="0.25">
      <c r="A39528" s="118"/>
      <c r="B39528" s="136"/>
    </row>
    <row r="39529" spans="1:2" x14ac:dyDescent="0.25">
      <c r="A39529" s="118"/>
      <c r="B39529" s="136"/>
    </row>
    <row r="39530" spans="1:2" x14ac:dyDescent="0.25">
      <c r="A39530" s="118"/>
      <c r="B39530" s="136"/>
    </row>
    <row r="39531" spans="1:2" x14ac:dyDescent="0.25">
      <c r="A39531" s="118"/>
      <c r="B39531" s="136"/>
    </row>
    <row r="39532" spans="1:2" x14ac:dyDescent="0.25">
      <c r="A39532" s="118"/>
      <c r="B39532" s="136"/>
    </row>
    <row r="39533" spans="1:2" x14ac:dyDescent="0.25">
      <c r="A39533" s="118"/>
      <c r="B39533" s="136"/>
    </row>
    <row r="39534" spans="1:2" x14ac:dyDescent="0.25">
      <c r="A39534" s="118"/>
      <c r="B39534" s="136"/>
    </row>
    <row r="39535" spans="1:2" x14ac:dyDescent="0.25">
      <c r="A39535" s="118"/>
      <c r="B39535" s="136"/>
    </row>
    <row r="39536" spans="1:2" x14ac:dyDescent="0.25">
      <c r="A39536" s="118"/>
      <c r="B39536" s="136"/>
    </row>
    <row r="39537" spans="1:2" x14ac:dyDescent="0.25">
      <c r="A39537" s="118"/>
      <c r="B39537" s="136"/>
    </row>
    <row r="39538" spans="1:2" x14ac:dyDescent="0.25">
      <c r="A39538" s="118"/>
      <c r="B39538" s="136"/>
    </row>
    <row r="39539" spans="1:2" x14ac:dyDescent="0.25">
      <c r="A39539" s="118"/>
      <c r="B39539" s="136"/>
    </row>
    <row r="39540" spans="1:2" x14ac:dyDescent="0.25">
      <c r="A39540" s="118"/>
      <c r="B39540" s="136"/>
    </row>
    <row r="39541" spans="1:2" x14ac:dyDescent="0.25">
      <c r="A39541" s="118"/>
      <c r="B39541" s="136"/>
    </row>
    <row r="39542" spans="1:2" x14ac:dyDescent="0.25">
      <c r="A39542" s="118"/>
      <c r="B39542" s="136"/>
    </row>
    <row r="39543" spans="1:2" x14ac:dyDescent="0.25">
      <c r="A39543" s="118"/>
      <c r="B39543" s="136"/>
    </row>
    <row r="39544" spans="1:2" x14ac:dyDescent="0.25">
      <c r="A39544" s="118"/>
      <c r="B39544" s="136"/>
    </row>
    <row r="39545" spans="1:2" x14ac:dyDescent="0.25">
      <c r="A39545" s="118"/>
      <c r="B39545" s="136"/>
    </row>
    <row r="39546" spans="1:2" x14ac:dyDescent="0.25">
      <c r="A39546" s="118"/>
      <c r="B39546" s="136"/>
    </row>
    <row r="39547" spans="1:2" x14ac:dyDescent="0.25">
      <c r="A39547" s="118"/>
      <c r="B39547" s="136"/>
    </row>
    <row r="39548" spans="1:2" x14ac:dyDescent="0.25">
      <c r="A39548" s="118"/>
      <c r="B39548" s="136"/>
    </row>
    <row r="39549" spans="1:2" x14ac:dyDescent="0.25">
      <c r="A39549" s="118"/>
      <c r="B39549" s="136"/>
    </row>
    <row r="39550" spans="1:2" x14ac:dyDescent="0.25">
      <c r="A39550" s="118"/>
      <c r="B39550" s="136"/>
    </row>
    <row r="39551" spans="1:2" x14ac:dyDescent="0.25">
      <c r="A39551" s="118"/>
      <c r="B39551" s="136"/>
    </row>
    <row r="39552" spans="1:2" x14ac:dyDescent="0.25">
      <c r="A39552" s="118"/>
      <c r="B39552" s="136"/>
    </row>
    <row r="39553" spans="1:2" x14ac:dyDescent="0.25">
      <c r="A39553" s="118"/>
      <c r="B39553" s="136"/>
    </row>
    <row r="39554" spans="1:2" x14ac:dyDescent="0.25">
      <c r="A39554" s="118"/>
      <c r="B39554" s="136"/>
    </row>
    <row r="39555" spans="1:2" x14ac:dyDescent="0.25">
      <c r="A39555" s="118"/>
      <c r="B39555" s="136"/>
    </row>
    <row r="39556" spans="1:2" x14ac:dyDescent="0.25">
      <c r="A39556" s="118"/>
      <c r="B39556" s="136"/>
    </row>
    <row r="39557" spans="1:2" x14ac:dyDescent="0.25">
      <c r="A39557" s="118"/>
      <c r="B39557" s="136"/>
    </row>
    <row r="39558" spans="1:2" x14ac:dyDescent="0.25">
      <c r="A39558" s="118"/>
      <c r="B39558" s="136"/>
    </row>
    <row r="39559" spans="1:2" x14ac:dyDescent="0.25">
      <c r="A39559" s="118"/>
      <c r="B39559" s="136"/>
    </row>
    <row r="39560" spans="1:2" x14ac:dyDescent="0.25">
      <c r="A39560" s="118"/>
      <c r="B39560" s="136"/>
    </row>
    <row r="39561" spans="1:2" x14ac:dyDescent="0.25">
      <c r="A39561" s="118"/>
      <c r="B39561" s="136"/>
    </row>
    <row r="39562" spans="1:2" x14ac:dyDescent="0.25">
      <c r="A39562" s="118"/>
      <c r="B39562" s="136"/>
    </row>
    <row r="39563" spans="1:2" x14ac:dyDescent="0.25">
      <c r="A39563" s="118"/>
      <c r="B39563" s="136"/>
    </row>
    <row r="39564" spans="1:2" x14ac:dyDescent="0.25">
      <c r="A39564" s="118"/>
      <c r="B39564" s="136"/>
    </row>
    <row r="39565" spans="1:2" x14ac:dyDescent="0.25">
      <c r="A39565" s="118"/>
      <c r="B39565" s="136"/>
    </row>
    <row r="39566" spans="1:2" x14ac:dyDescent="0.25">
      <c r="A39566" s="118"/>
      <c r="B39566" s="136"/>
    </row>
    <row r="39567" spans="1:2" x14ac:dyDescent="0.25">
      <c r="A39567" s="118"/>
      <c r="B39567" s="136"/>
    </row>
    <row r="39568" spans="1:2" x14ac:dyDescent="0.25">
      <c r="A39568" s="118"/>
      <c r="B39568" s="136"/>
    </row>
    <row r="39569" spans="1:2" x14ac:dyDescent="0.25">
      <c r="A39569" s="118"/>
      <c r="B39569" s="136"/>
    </row>
    <row r="39570" spans="1:2" x14ac:dyDescent="0.25">
      <c r="A39570" s="118"/>
      <c r="B39570" s="136"/>
    </row>
    <row r="39571" spans="1:2" x14ac:dyDescent="0.25">
      <c r="A39571" s="118"/>
      <c r="B39571" s="136"/>
    </row>
    <row r="39572" spans="1:2" x14ac:dyDescent="0.25">
      <c r="A39572" s="118"/>
      <c r="B39572" s="136"/>
    </row>
    <row r="39573" spans="1:2" x14ac:dyDescent="0.25">
      <c r="A39573" s="118"/>
      <c r="B39573" s="136"/>
    </row>
    <row r="39574" spans="1:2" x14ac:dyDescent="0.25">
      <c r="A39574" s="118"/>
      <c r="B39574" s="136"/>
    </row>
    <row r="39575" spans="1:2" x14ac:dyDescent="0.25">
      <c r="A39575" s="118"/>
      <c r="B39575" s="136"/>
    </row>
    <row r="39576" spans="1:2" x14ac:dyDescent="0.25">
      <c r="A39576" s="118"/>
      <c r="B39576" s="136"/>
    </row>
    <row r="39577" spans="1:2" x14ac:dyDescent="0.25">
      <c r="A39577" s="118"/>
      <c r="B39577" s="136"/>
    </row>
    <row r="39578" spans="1:2" x14ac:dyDescent="0.25">
      <c r="A39578" s="118"/>
      <c r="B39578" s="136"/>
    </row>
    <row r="39579" spans="1:2" x14ac:dyDescent="0.25">
      <c r="A39579" s="118"/>
      <c r="B39579" s="136"/>
    </row>
    <row r="39580" spans="1:2" x14ac:dyDescent="0.25">
      <c r="A39580" s="118"/>
      <c r="B39580" s="136"/>
    </row>
    <row r="39581" spans="1:2" x14ac:dyDescent="0.25">
      <c r="A39581" s="118"/>
      <c r="B39581" s="136"/>
    </row>
    <row r="39582" spans="1:2" x14ac:dyDescent="0.25">
      <c r="A39582" s="118"/>
      <c r="B39582" s="136"/>
    </row>
    <row r="39583" spans="1:2" x14ac:dyDescent="0.25">
      <c r="A39583" s="118"/>
      <c r="B39583" s="136"/>
    </row>
    <row r="39584" spans="1:2" x14ac:dyDescent="0.25">
      <c r="A39584" s="118"/>
      <c r="B39584" s="136"/>
    </row>
    <row r="39585" spans="1:2" x14ac:dyDescent="0.25">
      <c r="A39585" s="118"/>
      <c r="B39585" s="136"/>
    </row>
    <row r="39586" spans="1:2" x14ac:dyDescent="0.25">
      <c r="A39586" s="118"/>
      <c r="B39586" s="136"/>
    </row>
    <row r="39587" spans="1:2" x14ac:dyDescent="0.25">
      <c r="A39587" s="118"/>
      <c r="B39587" s="136"/>
    </row>
    <row r="39588" spans="1:2" x14ac:dyDescent="0.25">
      <c r="A39588" s="118"/>
      <c r="B39588" s="136"/>
    </row>
    <row r="39589" spans="1:2" x14ac:dyDescent="0.25">
      <c r="A39589" s="118"/>
      <c r="B39589" s="136"/>
    </row>
    <row r="39590" spans="1:2" x14ac:dyDescent="0.25">
      <c r="A39590" s="118"/>
      <c r="B39590" s="136"/>
    </row>
    <row r="39591" spans="1:2" x14ac:dyDescent="0.25">
      <c r="A39591" s="118"/>
      <c r="B39591" s="136"/>
    </row>
    <row r="39592" spans="1:2" x14ac:dyDescent="0.25">
      <c r="A39592" s="118"/>
      <c r="B39592" s="136"/>
    </row>
    <row r="39593" spans="1:2" x14ac:dyDescent="0.25">
      <c r="A39593" s="118"/>
      <c r="B39593" s="136"/>
    </row>
    <row r="39594" spans="1:2" x14ac:dyDescent="0.25">
      <c r="A39594" s="118"/>
      <c r="B39594" s="136"/>
    </row>
    <row r="39595" spans="1:2" x14ac:dyDescent="0.25">
      <c r="A39595" s="118"/>
      <c r="B39595" s="136"/>
    </row>
    <row r="39596" spans="1:2" x14ac:dyDescent="0.25">
      <c r="A39596" s="118"/>
      <c r="B39596" s="136"/>
    </row>
    <row r="39597" spans="1:2" x14ac:dyDescent="0.25">
      <c r="A39597" s="118"/>
      <c r="B39597" s="136"/>
    </row>
    <row r="39598" spans="1:2" x14ac:dyDescent="0.25">
      <c r="A39598" s="118"/>
      <c r="B39598" s="136"/>
    </row>
    <row r="39599" spans="1:2" x14ac:dyDescent="0.25">
      <c r="A39599" s="118"/>
      <c r="B39599" s="136"/>
    </row>
    <row r="39600" spans="1:2" x14ac:dyDescent="0.25">
      <c r="A39600" s="118"/>
      <c r="B39600" s="136"/>
    </row>
    <row r="39601" spans="1:2" x14ac:dyDescent="0.25">
      <c r="A39601" s="118"/>
      <c r="B39601" s="136"/>
    </row>
    <row r="39602" spans="1:2" x14ac:dyDescent="0.25">
      <c r="A39602" s="118"/>
      <c r="B39602" s="136"/>
    </row>
    <row r="39603" spans="1:2" x14ac:dyDescent="0.25">
      <c r="A39603" s="118"/>
      <c r="B39603" s="136"/>
    </row>
    <row r="39604" spans="1:2" x14ac:dyDescent="0.25">
      <c r="A39604" s="118"/>
      <c r="B39604" s="136"/>
    </row>
    <row r="39605" spans="1:2" x14ac:dyDescent="0.25">
      <c r="A39605" s="118"/>
      <c r="B39605" s="136"/>
    </row>
    <row r="39606" spans="1:2" x14ac:dyDescent="0.25">
      <c r="A39606" s="118"/>
      <c r="B39606" s="136"/>
    </row>
    <row r="39607" spans="1:2" x14ac:dyDescent="0.25">
      <c r="A39607" s="118"/>
      <c r="B39607" s="136"/>
    </row>
    <row r="39608" spans="1:2" x14ac:dyDescent="0.25">
      <c r="A39608" s="118"/>
      <c r="B39608" s="136"/>
    </row>
    <row r="39609" spans="1:2" x14ac:dyDescent="0.25">
      <c r="A39609" s="118"/>
      <c r="B39609" s="136"/>
    </row>
    <row r="39610" spans="1:2" x14ac:dyDescent="0.25">
      <c r="A39610" s="118"/>
      <c r="B39610" s="136"/>
    </row>
    <row r="39611" spans="1:2" x14ac:dyDescent="0.25">
      <c r="A39611" s="118"/>
      <c r="B39611" s="136"/>
    </row>
    <row r="39612" spans="1:2" x14ac:dyDescent="0.25">
      <c r="A39612" s="118"/>
      <c r="B39612" s="136"/>
    </row>
    <row r="39613" spans="1:2" x14ac:dyDescent="0.25">
      <c r="A39613" s="118"/>
      <c r="B39613" s="136"/>
    </row>
    <row r="39614" spans="1:2" x14ac:dyDescent="0.25">
      <c r="A39614" s="118"/>
      <c r="B39614" s="136"/>
    </row>
    <row r="39615" spans="1:2" x14ac:dyDescent="0.25">
      <c r="A39615" s="118"/>
      <c r="B39615" s="136"/>
    </row>
    <row r="39616" spans="1:2" x14ac:dyDescent="0.25">
      <c r="A39616" s="118"/>
      <c r="B39616" s="136"/>
    </row>
    <row r="39617" spans="1:2" x14ac:dyDescent="0.25">
      <c r="A39617" s="118"/>
      <c r="B39617" s="136"/>
    </row>
    <row r="39618" spans="1:2" x14ac:dyDescent="0.25">
      <c r="A39618" s="118"/>
      <c r="B39618" s="136"/>
    </row>
    <row r="39619" spans="1:2" x14ac:dyDescent="0.25">
      <c r="A39619" s="118"/>
      <c r="B39619" s="136"/>
    </row>
    <row r="39620" spans="1:2" x14ac:dyDescent="0.25">
      <c r="A39620" s="118"/>
      <c r="B39620" s="136"/>
    </row>
    <row r="39621" spans="1:2" x14ac:dyDescent="0.25">
      <c r="A39621" s="118"/>
      <c r="B39621" s="136"/>
    </row>
    <row r="39622" spans="1:2" x14ac:dyDescent="0.25">
      <c r="A39622" s="118"/>
      <c r="B39622" s="136"/>
    </row>
    <row r="39623" spans="1:2" x14ac:dyDescent="0.25">
      <c r="A39623" s="118"/>
      <c r="B39623" s="136"/>
    </row>
    <row r="39624" spans="1:2" x14ac:dyDescent="0.25">
      <c r="A39624" s="118"/>
      <c r="B39624" s="136"/>
    </row>
    <row r="39625" spans="1:2" x14ac:dyDescent="0.25">
      <c r="A39625" s="118"/>
      <c r="B39625" s="136"/>
    </row>
    <row r="39626" spans="1:2" x14ac:dyDescent="0.25">
      <c r="A39626" s="118"/>
      <c r="B39626" s="136"/>
    </row>
    <row r="39627" spans="1:2" x14ac:dyDescent="0.25">
      <c r="A39627" s="118"/>
      <c r="B39627" s="136"/>
    </row>
    <row r="39628" spans="1:2" x14ac:dyDescent="0.25">
      <c r="A39628" s="118"/>
      <c r="B39628" s="136"/>
    </row>
    <row r="39629" spans="1:2" x14ac:dyDescent="0.25">
      <c r="A39629" s="118"/>
      <c r="B39629" s="136"/>
    </row>
    <row r="39630" spans="1:2" x14ac:dyDescent="0.25">
      <c r="A39630" s="118"/>
      <c r="B39630" s="136"/>
    </row>
    <row r="39631" spans="1:2" x14ac:dyDescent="0.25">
      <c r="A39631" s="118"/>
      <c r="B39631" s="136"/>
    </row>
    <row r="39632" spans="1:2" x14ac:dyDescent="0.25">
      <c r="A39632" s="118"/>
      <c r="B39632" s="136"/>
    </row>
    <row r="39633" spans="1:2" x14ac:dyDescent="0.25">
      <c r="A39633" s="118"/>
      <c r="B39633" s="136"/>
    </row>
    <row r="39634" spans="1:2" x14ac:dyDescent="0.25">
      <c r="A39634" s="118"/>
      <c r="B39634" s="136"/>
    </row>
    <row r="39635" spans="1:2" x14ac:dyDescent="0.25">
      <c r="A39635" s="118"/>
      <c r="B39635" s="136"/>
    </row>
    <row r="39636" spans="1:2" x14ac:dyDescent="0.25">
      <c r="A39636" s="118"/>
      <c r="B39636" s="136"/>
    </row>
    <row r="39637" spans="1:2" x14ac:dyDescent="0.25">
      <c r="A39637" s="118"/>
      <c r="B39637" s="136"/>
    </row>
    <row r="39638" spans="1:2" x14ac:dyDescent="0.25">
      <c r="A39638" s="118"/>
      <c r="B39638" s="136"/>
    </row>
    <row r="39639" spans="1:2" x14ac:dyDescent="0.25">
      <c r="A39639" s="118"/>
      <c r="B39639" s="136"/>
    </row>
    <row r="39640" spans="1:2" x14ac:dyDescent="0.25">
      <c r="A39640" s="118"/>
      <c r="B39640" s="136"/>
    </row>
    <row r="39641" spans="1:2" x14ac:dyDescent="0.25">
      <c r="A39641" s="118"/>
      <c r="B39641" s="136"/>
    </row>
    <row r="39642" spans="1:2" x14ac:dyDescent="0.25">
      <c r="A39642" s="118"/>
      <c r="B39642" s="136"/>
    </row>
    <row r="39643" spans="1:2" x14ac:dyDescent="0.25">
      <c r="A39643" s="118"/>
      <c r="B39643" s="136"/>
    </row>
    <row r="39644" spans="1:2" x14ac:dyDescent="0.25">
      <c r="A39644" s="118"/>
      <c r="B39644" s="136"/>
    </row>
    <row r="39645" spans="1:2" x14ac:dyDescent="0.25">
      <c r="A39645" s="118"/>
      <c r="B39645" s="136"/>
    </row>
    <row r="39646" spans="1:2" x14ac:dyDescent="0.25">
      <c r="A39646" s="118"/>
      <c r="B39646" s="136"/>
    </row>
    <row r="39647" spans="1:2" x14ac:dyDescent="0.25">
      <c r="A39647" s="118"/>
      <c r="B39647" s="136"/>
    </row>
    <row r="39648" spans="1:2" x14ac:dyDescent="0.25">
      <c r="A39648" s="118"/>
      <c r="B39648" s="136"/>
    </row>
    <row r="39649" spans="1:2" x14ac:dyDescent="0.25">
      <c r="A39649" s="118"/>
      <c r="B39649" s="136"/>
    </row>
    <row r="39650" spans="1:2" x14ac:dyDescent="0.25">
      <c r="A39650" s="118"/>
      <c r="B39650" s="136"/>
    </row>
    <row r="39651" spans="1:2" x14ac:dyDescent="0.25">
      <c r="A39651" s="118"/>
      <c r="B39651" s="136"/>
    </row>
    <row r="39652" spans="1:2" x14ac:dyDescent="0.25">
      <c r="A39652" s="118"/>
      <c r="B39652" s="136"/>
    </row>
    <row r="39653" spans="1:2" x14ac:dyDescent="0.25">
      <c r="A39653" s="118"/>
      <c r="B39653" s="136"/>
    </row>
    <row r="39654" spans="1:2" x14ac:dyDescent="0.25">
      <c r="A39654" s="118"/>
      <c r="B39654" s="136"/>
    </row>
    <row r="39655" spans="1:2" x14ac:dyDescent="0.25">
      <c r="A39655" s="118"/>
      <c r="B39655" s="136"/>
    </row>
    <row r="39656" spans="1:2" x14ac:dyDescent="0.25">
      <c r="A39656" s="118"/>
      <c r="B39656" s="136"/>
    </row>
    <row r="39657" spans="1:2" x14ac:dyDescent="0.25">
      <c r="A39657" s="118"/>
      <c r="B39657" s="136"/>
    </row>
    <row r="39658" spans="1:2" x14ac:dyDescent="0.25">
      <c r="A39658" s="118"/>
      <c r="B39658" s="136"/>
    </row>
    <row r="39659" spans="1:2" x14ac:dyDescent="0.25">
      <c r="A39659" s="118"/>
      <c r="B39659" s="136"/>
    </row>
    <row r="39660" spans="1:2" x14ac:dyDescent="0.25">
      <c r="A39660" s="118"/>
      <c r="B39660" s="136"/>
    </row>
    <row r="39661" spans="1:2" x14ac:dyDescent="0.25">
      <c r="A39661" s="118"/>
      <c r="B39661" s="136"/>
    </row>
    <row r="39662" spans="1:2" x14ac:dyDescent="0.25">
      <c r="A39662" s="118"/>
      <c r="B39662" s="136"/>
    </row>
    <row r="39663" spans="1:2" x14ac:dyDescent="0.25">
      <c r="A39663" s="118"/>
      <c r="B39663" s="136"/>
    </row>
    <row r="39664" spans="1:2" x14ac:dyDescent="0.25">
      <c r="A39664" s="118"/>
      <c r="B39664" s="136"/>
    </row>
    <row r="39665" spans="1:2" x14ac:dyDescent="0.25">
      <c r="A39665" s="118"/>
      <c r="B39665" s="136"/>
    </row>
    <row r="39666" spans="1:2" x14ac:dyDescent="0.25">
      <c r="A39666" s="118"/>
      <c r="B39666" s="136"/>
    </row>
    <row r="39667" spans="1:2" x14ac:dyDescent="0.25">
      <c r="A39667" s="118"/>
      <c r="B39667" s="136"/>
    </row>
    <row r="39668" spans="1:2" x14ac:dyDescent="0.25">
      <c r="A39668" s="118"/>
      <c r="B39668" s="136"/>
    </row>
    <row r="39669" spans="1:2" x14ac:dyDescent="0.25">
      <c r="A39669" s="118"/>
      <c r="B39669" s="136"/>
    </row>
    <row r="39670" spans="1:2" x14ac:dyDescent="0.25">
      <c r="A39670" s="118"/>
      <c r="B39670" s="136"/>
    </row>
    <row r="39671" spans="1:2" x14ac:dyDescent="0.25">
      <c r="A39671" s="118"/>
      <c r="B39671" s="136"/>
    </row>
    <row r="39672" spans="1:2" x14ac:dyDescent="0.25">
      <c r="A39672" s="118"/>
      <c r="B39672" s="136"/>
    </row>
    <row r="39673" spans="1:2" x14ac:dyDescent="0.25">
      <c r="A39673" s="118"/>
      <c r="B39673" s="136"/>
    </row>
    <row r="39674" spans="1:2" x14ac:dyDescent="0.25">
      <c r="A39674" s="118"/>
      <c r="B39674" s="136"/>
    </row>
    <row r="39675" spans="1:2" x14ac:dyDescent="0.25">
      <c r="A39675" s="118"/>
      <c r="B39675" s="136"/>
    </row>
    <row r="39676" spans="1:2" x14ac:dyDescent="0.25">
      <c r="A39676" s="118"/>
      <c r="B39676" s="136"/>
    </row>
    <row r="39677" spans="1:2" x14ac:dyDescent="0.25">
      <c r="A39677" s="118"/>
      <c r="B39677" s="136"/>
    </row>
    <row r="39678" spans="1:2" x14ac:dyDescent="0.25">
      <c r="A39678" s="118"/>
      <c r="B39678" s="136"/>
    </row>
    <row r="39679" spans="1:2" x14ac:dyDescent="0.25">
      <c r="A39679" s="118"/>
      <c r="B39679" s="136"/>
    </row>
    <row r="39680" spans="1:2" x14ac:dyDescent="0.25">
      <c r="A39680" s="118"/>
      <c r="B39680" s="136"/>
    </row>
    <row r="39681" spans="1:2" x14ac:dyDescent="0.25">
      <c r="A39681" s="118"/>
      <c r="B39681" s="136"/>
    </row>
    <row r="39682" spans="1:2" x14ac:dyDescent="0.25">
      <c r="A39682" s="118"/>
      <c r="B39682" s="136"/>
    </row>
    <row r="39683" spans="1:2" x14ac:dyDescent="0.25">
      <c r="A39683" s="118"/>
      <c r="B39683" s="136"/>
    </row>
    <row r="39684" spans="1:2" x14ac:dyDescent="0.25">
      <c r="A39684" s="118"/>
      <c r="B39684" s="136"/>
    </row>
    <row r="39685" spans="1:2" x14ac:dyDescent="0.25">
      <c r="A39685" s="118"/>
      <c r="B39685" s="136"/>
    </row>
    <row r="39686" spans="1:2" x14ac:dyDescent="0.25">
      <c r="A39686" s="118"/>
      <c r="B39686" s="136"/>
    </row>
    <row r="39687" spans="1:2" x14ac:dyDescent="0.25">
      <c r="A39687" s="118"/>
      <c r="B39687" s="136"/>
    </row>
    <row r="39688" spans="1:2" x14ac:dyDescent="0.25">
      <c r="A39688" s="118"/>
      <c r="B39688" s="136"/>
    </row>
    <row r="39689" spans="1:2" x14ac:dyDescent="0.25">
      <c r="A39689" s="118"/>
      <c r="B39689" s="136"/>
    </row>
    <row r="39690" spans="1:2" x14ac:dyDescent="0.25">
      <c r="A39690" s="118"/>
      <c r="B39690" s="136"/>
    </row>
    <row r="39691" spans="1:2" x14ac:dyDescent="0.25">
      <c r="A39691" s="118"/>
      <c r="B39691" s="136"/>
    </row>
    <row r="39692" spans="1:2" x14ac:dyDescent="0.25">
      <c r="A39692" s="118"/>
      <c r="B39692" s="136"/>
    </row>
    <row r="39693" spans="1:2" x14ac:dyDescent="0.25">
      <c r="A39693" s="118"/>
      <c r="B39693" s="136"/>
    </row>
    <row r="39694" spans="1:2" x14ac:dyDescent="0.25">
      <c r="A39694" s="118"/>
      <c r="B39694" s="136"/>
    </row>
    <row r="39695" spans="1:2" x14ac:dyDescent="0.25">
      <c r="A39695" s="118"/>
      <c r="B39695" s="136"/>
    </row>
    <row r="39696" spans="1:2" x14ac:dyDescent="0.25">
      <c r="A39696" s="118"/>
      <c r="B39696" s="136"/>
    </row>
    <row r="39697" spans="1:2" x14ac:dyDescent="0.25">
      <c r="A39697" s="118"/>
      <c r="B39697" s="136"/>
    </row>
    <row r="39698" spans="1:2" x14ac:dyDescent="0.25">
      <c r="A39698" s="118"/>
      <c r="B39698" s="136"/>
    </row>
    <row r="39699" spans="1:2" x14ac:dyDescent="0.25">
      <c r="A39699" s="118"/>
      <c r="B39699" s="136"/>
    </row>
    <row r="39700" spans="1:2" x14ac:dyDescent="0.25">
      <c r="A39700" s="118"/>
      <c r="B39700" s="136"/>
    </row>
    <row r="39701" spans="1:2" x14ac:dyDescent="0.25">
      <c r="A39701" s="118"/>
      <c r="B39701" s="136"/>
    </row>
    <row r="39702" spans="1:2" x14ac:dyDescent="0.25">
      <c r="A39702" s="118"/>
      <c r="B39702" s="136"/>
    </row>
    <row r="39703" spans="1:2" x14ac:dyDescent="0.25">
      <c r="A39703" s="118"/>
      <c r="B39703" s="136"/>
    </row>
    <row r="39704" spans="1:2" x14ac:dyDescent="0.25">
      <c r="A39704" s="118"/>
      <c r="B39704" s="136"/>
    </row>
    <row r="39705" spans="1:2" x14ac:dyDescent="0.25">
      <c r="A39705" s="118"/>
      <c r="B39705" s="136"/>
    </row>
    <row r="39706" spans="1:2" x14ac:dyDescent="0.25">
      <c r="A39706" s="118"/>
      <c r="B39706" s="136"/>
    </row>
    <row r="39707" spans="1:2" x14ac:dyDescent="0.25">
      <c r="A39707" s="118"/>
      <c r="B39707" s="136"/>
    </row>
    <row r="39708" spans="1:2" x14ac:dyDescent="0.25">
      <c r="A39708" s="118"/>
      <c r="B39708" s="136"/>
    </row>
    <row r="39709" spans="1:2" x14ac:dyDescent="0.25">
      <c r="A39709" s="118"/>
      <c r="B39709" s="136"/>
    </row>
    <row r="39710" spans="1:2" x14ac:dyDescent="0.25">
      <c r="A39710" s="118"/>
      <c r="B39710" s="136"/>
    </row>
    <row r="39711" spans="1:2" x14ac:dyDescent="0.25">
      <c r="A39711" s="118"/>
      <c r="B39711" s="136"/>
    </row>
    <row r="39712" spans="1:2" x14ac:dyDescent="0.25">
      <c r="A39712" s="118"/>
      <c r="B39712" s="136"/>
    </row>
    <row r="39713" spans="1:2" x14ac:dyDescent="0.25">
      <c r="A39713" s="118"/>
      <c r="B39713" s="136"/>
    </row>
    <row r="39714" spans="1:2" x14ac:dyDescent="0.25">
      <c r="A39714" s="118"/>
      <c r="B39714" s="136"/>
    </row>
    <row r="39715" spans="1:2" x14ac:dyDescent="0.25">
      <c r="A39715" s="118"/>
      <c r="B39715" s="136"/>
    </row>
    <row r="39716" spans="1:2" x14ac:dyDescent="0.25">
      <c r="A39716" s="118"/>
      <c r="B39716" s="136"/>
    </row>
    <row r="39717" spans="1:2" x14ac:dyDescent="0.25">
      <c r="A39717" s="118"/>
      <c r="B39717" s="136"/>
    </row>
    <row r="39718" spans="1:2" x14ac:dyDescent="0.25">
      <c r="A39718" s="118"/>
      <c r="B39718" s="136"/>
    </row>
    <row r="39719" spans="1:2" x14ac:dyDescent="0.25">
      <c r="A39719" s="118"/>
      <c r="B39719" s="136"/>
    </row>
    <row r="39720" spans="1:2" x14ac:dyDescent="0.25">
      <c r="A39720" s="118"/>
      <c r="B39720" s="136"/>
    </row>
    <row r="39721" spans="1:2" x14ac:dyDescent="0.25">
      <c r="A39721" s="118"/>
      <c r="B39721" s="136"/>
    </row>
    <row r="39722" spans="1:2" x14ac:dyDescent="0.25">
      <c r="A39722" s="118"/>
      <c r="B39722" s="136"/>
    </row>
    <row r="39723" spans="1:2" x14ac:dyDescent="0.25">
      <c r="A39723" s="118"/>
      <c r="B39723" s="136"/>
    </row>
    <row r="39724" spans="1:2" x14ac:dyDescent="0.25">
      <c r="A39724" s="118"/>
      <c r="B39724" s="136"/>
    </row>
    <row r="39725" spans="1:2" x14ac:dyDescent="0.25">
      <c r="A39725" s="118"/>
      <c r="B39725" s="136"/>
    </row>
    <row r="39726" spans="1:2" x14ac:dyDescent="0.25">
      <c r="A39726" s="118"/>
      <c r="B39726" s="136"/>
    </row>
    <row r="39727" spans="1:2" x14ac:dyDescent="0.25">
      <c r="A39727" s="118"/>
      <c r="B39727" s="136"/>
    </row>
    <row r="39728" spans="1:2" x14ac:dyDescent="0.25">
      <c r="A39728" s="118"/>
      <c r="B39728" s="136"/>
    </row>
    <row r="39729" spans="1:2" x14ac:dyDescent="0.25">
      <c r="A39729" s="118"/>
      <c r="B39729" s="136"/>
    </row>
    <row r="39730" spans="1:2" x14ac:dyDescent="0.25">
      <c r="A39730" s="118"/>
      <c r="B39730" s="136"/>
    </row>
    <row r="39731" spans="1:2" x14ac:dyDescent="0.25">
      <c r="A39731" s="118"/>
      <c r="B39731" s="136"/>
    </row>
    <row r="39732" spans="1:2" x14ac:dyDescent="0.25">
      <c r="A39732" s="118"/>
      <c r="B39732" s="136"/>
    </row>
    <row r="39733" spans="1:2" x14ac:dyDescent="0.25">
      <c r="A39733" s="118"/>
      <c r="B39733" s="136"/>
    </row>
    <row r="39734" spans="1:2" x14ac:dyDescent="0.25">
      <c r="A39734" s="118"/>
      <c r="B39734" s="136"/>
    </row>
    <row r="39735" spans="1:2" x14ac:dyDescent="0.25">
      <c r="A39735" s="118"/>
      <c r="B39735" s="136"/>
    </row>
    <row r="39736" spans="1:2" x14ac:dyDescent="0.25">
      <c r="A39736" s="118"/>
      <c r="B39736" s="136"/>
    </row>
    <row r="39737" spans="1:2" x14ac:dyDescent="0.25">
      <c r="A39737" s="118"/>
      <c r="B39737" s="136"/>
    </row>
    <row r="39738" spans="1:2" x14ac:dyDescent="0.25">
      <c r="A39738" s="118"/>
      <c r="B39738" s="136"/>
    </row>
    <row r="39739" spans="1:2" x14ac:dyDescent="0.25">
      <c r="A39739" s="118"/>
      <c r="B39739" s="136"/>
    </row>
    <row r="39740" spans="1:2" x14ac:dyDescent="0.25">
      <c r="A39740" s="118"/>
      <c r="B39740" s="136"/>
    </row>
    <row r="39741" spans="1:2" x14ac:dyDescent="0.25">
      <c r="A39741" s="118"/>
      <c r="B39741" s="136"/>
    </row>
    <row r="39742" spans="1:2" x14ac:dyDescent="0.25">
      <c r="A39742" s="118"/>
      <c r="B39742" s="136"/>
    </row>
    <row r="39743" spans="1:2" x14ac:dyDescent="0.25">
      <c r="A39743" s="118"/>
      <c r="B39743" s="136"/>
    </row>
    <row r="39744" spans="1:2" x14ac:dyDescent="0.25">
      <c r="A39744" s="118"/>
      <c r="B39744" s="136"/>
    </row>
    <row r="39745" spans="1:2" x14ac:dyDescent="0.25">
      <c r="A39745" s="118"/>
      <c r="B39745" s="136"/>
    </row>
    <row r="39746" spans="1:2" x14ac:dyDescent="0.25">
      <c r="A39746" s="118"/>
      <c r="B39746" s="136"/>
    </row>
    <row r="39747" spans="1:2" x14ac:dyDescent="0.25">
      <c r="A39747" s="118"/>
      <c r="B39747" s="136"/>
    </row>
    <row r="39748" spans="1:2" x14ac:dyDescent="0.25">
      <c r="A39748" s="118"/>
      <c r="B39748" s="136"/>
    </row>
    <row r="39749" spans="1:2" x14ac:dyDescent="0.25">
      <c r="A39749" s="118"/>
      <c r="B39749" s="136"/>
    </row>
    <row r="39750" spans="1:2" x14ac:dyDescent="0.25">
      <c r="A39750" s="118"/>
      <c r="B39750" s="136"/>
    </row>
    <row r="39751" spans="1:2" x14ac:dyDescent="0.25">
      <c r="A39751" s="118"/>
      <c r="B39751" s="136"/>
    </row>
    <row r="39752" spans="1:2" x14ac:dyDescent="0.25">
      <c r="A39752" s="118"/>
      <c r="B39752" s="136"/>
    </row>
    <row r="39753" spans="1:2" x14ac:dyDescent="0.25">
      <c r="A39753" s="118"/>
      <c r="B39753" s="136"/>
    </row>
    <row r="39754" spans="1:2" x14ac:dyDescent="0.25">
      <c r="A39754" s="118"/>
      <c r="B39754" s="136"/>
    </row>
    <row r="39755" spans="1:2" x14ac:dyDescent="0.25">
      <c r="A39755" s="118"/>
      <c r="B39755" s="136"/>
    </row>
    <row r="39756" spans="1:2" x14ac:dyDescent="0.25">
      <c r="A39756" s="118"/>
      <c r="B39756" s="136"/>
    </row>
    <row r="39757" spans="1:2" x14ac:dyDescent="0.25">
      <c r="A39757" s="118"/>
      <c r="B39757" s="136"/>
    </row>
    <row r="39758" spans="1:2" x14ac:dyDescent="0.25">
      <c r="A39758" s="118"/>
      <c r="B39758" s="136"/>
    </row>
    <row r="39759" spans="1:2" x14ac:dyDescent="0.25">
      <c r="A39759" s="118"/>
      <c r="B39759" s="136"/>
    </row>
    <row r="39760" spans="1:2" x14ac:dyDescent="0.25">
      <c r="A39760" s="118"/>
      <c r="B39760" s="136"/>
    </row>
    <row r="39761" spans="1:2" x14ac:dyDescent="0.25">
      <c r="A39761" s="118"/>
      <c r="B39761" s="136"/>
    </row>
    <row r="39762" spans="1:2" x14ac:dyDescent="0.25">
      <c r="A39762" s="118"/>
      <c r="B39762" s="136"/>
    </row>
    <row r="39763" spans="1:2" x14ac:dyDescent="0.25">
      <c r="A39763" s="118"/>
      <c r="B39763" s="136"/>
    </row>
    <row r="39764" spans="1:2" x14ac:dyDescent="0.25">
      <c r="A39764" s="118"/>
      <c r="B39764" s="136"/>
    </row>
    <row r="39765" spans="1:2" x14ac:dyDescent="0.25">
      <c r="A39765" s="118"/>
      <c r="B39765" s="136"/>
    </row>
    <row r="39766" spans="1:2" x14ac:dyDescent="0.25">
      <c r="A39766" s="118"/>
      <c r="B39766" s="136"/>
    </row>
    <row r="39767" spans="1:2" x14ac:dyDescent="0.25">
      <c r="A39767" s="118"/>
      <c r="B39767" s="136"/>
    </row>
    <row r="39768" spans="1:2" x14ac:dyDescent="0.25">
      <c r="A39768" s="118"/>
      <c r="B39768" s="136"/>
    </row>
    <row r="39769" spans="1:2" x14ac:dyDescent="0.25">
      <c r="A39769" s="118"/>
      <c r="B39769" s="136"/>
    </row>
    <row r="39770" spans="1:2" x14ac:dyDescent="0.25">
      <c r="A39770" s="118"/>
      <c r="B39770" s="136"/>
    </row>
    <row r="39771" spans="1:2" x14ac:dyDescent="0.25">
      <c r="A39771" s="118"/>
      <c r="B39771" s="136"/>
    </row>
    <row r="39772" spans="1:2" x14ac:dyDescent="0.25">
      <c r="A39772" s="118"/>
      <c r="B39772" s="136"/>
    </row>
    <row r="39773" spans="1:2" x14ac:dyDescent="0.25">
      <c r="A39773" s="118"/>
      <c r="B39773" s="136"/>
    </row>
    <row r="39774" spans="1:2" x14ac:dyDescent="0.25">
      <c r="A39774" s="118"/>
      <c r="B39774" s="136"/>
    </row>
    <row r="39775" spans="1:2" x14ac:dyDescent="0.25">
      <c r="A39775" s="118"/>
      <c r="B39775" s="136"/>
    </row>
    <row r="39776" spans="1:2" x14ac:dyDescent="0.25">
      <c r="A39776" s="118"/>
      <c r="B39776" s="136"/>
    </row>
    <row r="39777" spans="1:2" x14ac:dyDescent="0.25">
      <c r="A39777" s="118"/>
      <c r="B39777" s="136"/>
    </row>
    <row r="39778" spans="1:2" x14ac:dyDescent="0.25">
      <c r="A39778" s="118"/>
      <c r="B39778" s="136"/>
    </row>
    <row r="39779" spans="1:2" x14ac:dyDescent="0.25">
      <c r="A39779" s="118"/>
      <c r="B39779" s="136"/>
    </row>
    <row r="39780" spans="1:2" x14ac:dyDescent="0.25">
      <c r="A39780" s="118"/>
      <c r="B39780" s="136"/>
    </row>
    <row r="39781" spans="1:2" x14ac:dyDescent="0.25">
      <c r="A39781" s="118"/>
      <c r="B39781" s="136"/>
    </row>
    <row r="39782" spans="1:2" x14ac:dyDescent="0.25">
      <c r="A39782" s="118"/>
      <c r="B39782" s="136"/>
    </row>
    <row r="39783" spans="1:2" x14ac:dyDescent="0.25">
      <c r="A39783" s="118"/>
      <c r="B39783" s="136"/>
    </row>
    <row r="39784" spans="1:2" x14ac:dyDescent="0.25">
      <c r="A39784" s="118"/>
      <c r="B39784" s="136"/>
    </row>
    <row r="39785" spans="1:2" x14ac:dyDescent="0.25">
      <c r="A39785" s="118"/>
      <c r="B39785" s="136"/>
    </row>
    <row r="39786" spans="1:2" x14ac:dyDescent="0.25">
      <c r="A39786" s="118"/>
      <c r="B39786" s="136"/>
    </row>
    <row r="39787" spans="1:2" x14ac:dyDescent="0.25">
      <c r="A39787" s="118"/>
      <c r="B39787" s="136"/>
    </row>
    <row r="39788" spans="1:2" x14ac:dyDescent="0.25">
      <c r="A39788" s="118"/>
      <c r="B39788" s="136"/>
    </row>
    <row r="39789" spans="1:2" x14ac:dyDescent="0.25">
      <c r="A39789" s="118"/>
      <c r="B39789" s="136"/>
    </row>
    <row r="39790" spans="1:2" x14ac:dyDescent="0.25">
      <c r="A39790" s="118"/>
      <c r="B39790" s="136"/>
    </row>
    <row r="39791" spans="1:2" x14ac:dyDescent="0.25">
      <c r="A39791" s="118"/>
      <c r="B39791" s="136"/>
    </row>
    <row r="39792" spans="1:2" x14ac:dyDescent="0.25">
      <c r="A39792" s="118"/>
      <c r="B39792" s="136"/>
    </row>
    <row r="39793" spans="1:2" x14ac:dyDescent="0.25">
      <c r="A39793" s="118"/>
      <c r="B39793" s="136"/>
    </row>
    <row r="39794" spans="1:2" x14ac:dyDescent="0.25">
      <c r="A39794" s="118"/>
      <c r="B39794" s="136"/>
    </row>
    <row r="39795" spans="1:2" x14ac:dyDescent="0.25">
      <c r="A39795" s="118"/>
      <c r="B39795" s="136"/>
    </row>
    <row r="39796" spans="1:2" x14ac:dyDescent="0.25">
      <c r="A39796" s="118"/>
      <c r="B39796" s="136"/>
    </row>
    <row r="39797" spans="1:2" x14ac:dyDescent="0.25">
      <c r="A39797" s="118"/>
      <c r="B39797" s="136"/>
    </row>
    <row r="39798" spans="1:2" x14ac:dyDescent="0.25">
      <c r="A39798" s="118"/>
      <c r="B39798" s="136"/>
    </row>
    <row r="39799" spans="1:2" x14ac:dyDescent="0.25">
      <c r="A39799" s="118"/>
      <c r="B39799" s="136"/>
    </row>
    <row r="39800" spans="1:2" x14ac:dyDescent="0.25">
      <c r="A39800" s="118"/>
      <c r="B39800" s="136"/>
    </row>
    <row r="39801" spans="1:2" x14ac:dyDescent="0.25">
      <c r="A39801" s="118"/>
      <c r="B39801" s="136"/>
    </row>
    <row r="39802" spans="1:2" x14ac:dyDescent="0.25">
      <c r="A39802" s="118"/>
      <c r="B39802" s="136"/>
    </row>
    <row r="39803" spans="1:2" x14ac:dyDescent="0.25">
      <c r="A39803" s="118"/>
      <c r="B39803" s="136"/>
    </row>
    <row r="39804" spans="1:2" x14ac:dyDescent="0.25">
      <c r="A39804" s="118"/>
      <c r="B39804" s="136"/>
    </row>
    <row r="39805" spans="1:2" x14ac:dyDescent="0.25">
      <c r="A39805" s="118"/>
      <c r="B39805" s="136"/>
    </row>
    <row r="39806" spans="1:2" x14ac:dyDescent="0.25">
      <c r="A39806" s="118"/>
      <c r="B39806" s="136"/>
    </row>
    <row r="39807" spans="1:2" x14ac:dyDescent="0.25">
      <c r="A39807" s="118"/>
      <c r="B39807" s="136"/>
    </row>
    <row r="39808" spans="1:2" x14ac:dyDescent="0.25">
      <c r="A39808" s="118"/>
      <c r="B39808" s="136"/>
    </row>
    <row r="39809" spans="1:2" x14ac:dyDescent="0.25">
      <c r="A39809" s="118"/>
      <c r="B39809" s="136"/>
    </row>
    <row r="39810" spans="1:2" x14ac:dyDescent="0.25">
      <c r="A39810" s="118"/>
      <c r="B39810" s="136"/>
    </row>
    <row r="39811" spans="1:2" x14ac:dyDescent="0.25">
      <c r="A39811" s="118"/>
      <c r="B39811" s="136"/>
    </row>
    <row r="39812" spans="1:2" x14ac:dyDescent="0.25">
      <c r="A39812" s="118"/>
      <c r="B39812" s="136"/>
    </row>
    <row r="39813" spans="1:2" x14ac:dyDescent="0.25">
      <c r="A39813" s="118"/>
      <c r="B39813" s="136"/>
    </row>
    <row r="39814" spans="1:2" x14ac:dyDescent="0.25">
      <c r="A39814" s="118"/>
      <c r="B39814" s="136"/>
    </row>
    <row r="39815" spans="1:2" x14ac:dyDescent="0.25">
      <c r="A39815" s="118"/>
      <c r="B39815" s="136"/>
    </row>
    <row r="39816" spans="1:2" x14ac:dyDescent="0.25">
      <c r="A39816" s="118"/>
      <c r="B39816" s="136"/>
    </row>
    <row r="39817" spans="1:2" x14ac:dyDescent="0.25">
      <c r="A39817" s="118"/>
      <c r="B39817" s="136"/>
    </row>
    <row r="39818" spans="1:2" x14ac:dyDescent="0.25">
      <c r="A39818" s="118"/>
      <c r="B39818" s="136"/>
    </row>
    <row r="39819" spans="1:2" x14ac:dyDescent="0.25">
      <c r="A39819" s="118"/>
      <c r="B39819" s="136"/>
    </row>
    <row r="39820" spans="1:2" x14ac:dyDescent="0.25">
      <c r="A39820" s="118"/>
      <c r="B39820" s="136"/>
    </row>
    <row r="39821" spans="1:2" x14ac:dyDescent="0.25">
      <c r="A39821" s="118"/>
      <c r="B39821" s="136"/>
    </row>
    <row r="39822" spans="1:2" x14ac:dyDescent="0.25">
      <c r="A39822" s="118"/>
      <c r="B39822" s="136"/>
    </row>
    <row r="39823" spans="1:2" x14ac:dyDescent="0.25">
      <c r="A39823" s="118"/>
      <c r="B39823" s="136"/>
    </row>
    <row r="39824" spans="1:2" x14ac:dyDescent="0.25">
      <c r="A39824" s="118"/>
      <c r="B39824" s="136"/>
    </row>
    <row r="39825" spans="1:2" x14ac:dyDescent="0.25">
      <c r="A39825" s="118"/>
      <c r="B39825" s="136"/>
    </row>
    <row r="39826" spans="1:2" x14ac:dyDescent="0.25">
      <c r="A39826" s="118"/>
      <c r="B39826" s="136"/>
    </row>
    <row r="39827" spans="1:2" x14ac:dyDescent="0.25">
      <c r="A39827" s="118"/>
      <c r="B39827" s="136"/>
    </row>
    <row r="39828" spans="1:2" x14ac:dyDescent="0.25">
      <c r="A39828" s="118"/>
      <c r="B39828" s="136"/>
    </row>
    <row r="39829" spans="1:2" x14ac:dyDescent="0.25">
      <c r="A39829" s="118"/>
      <c r="B39829" s="136"/>
    </row>
    <row r="39830" spans="1:2" x14ac:dyDescent="0.25">
      <c r="A39830" s="118"/>
      <c r="B39830" s="136"/>
    </row>
    <row r="39831" spans="1:2" x14ac:dyDescent="0.25">
      <c r="A39831" s="118"/>
      <c r="B39831" s="136"/>
    </row>
    <row r="39832" spans="1:2" x14ac:dyDescent="0.25">
      <c r="A39832" s="118"/>
      <c r="B39832" s="136"/>
    </row>
    <row r="39833" spans="1:2" x14ac:dyDescent="0.25">
      <c r="A39833" s="118"/>
      <c r="B39833" s="136"/>
    </row>
    <row r="39834" spans="1:2" x14ac:dyDescent="0.25">
      <c r="A39834" s="118"/>
      <c r="B39834" s="136"/>
    </row>
    <row r="39835" spans="1:2" x14ac:dyDescent="0.25">
      <c r="A39835" s="118"/>
      <c r="B39835" s="136"/>
    </row>
    <row r="39836" spans="1:2" x14ac:dyDescent="0.25">
      <c r="A39836" s="118"/>
      <c r="B39836" s="136"/>
    </row>
    <row r="39837" spans="1:2" x14ac:dyDescent="0.25">
      <c r="A39837" s="118"/>
      <c r="B39837" s="136"/>
    </row>
    <row r="39838" spans="1:2" x14ac:dyDescent="0.25">
      <c r="A39838" s="118"/>
      <c r="B39838" s="136"/>
    </row>
    <row r="39839" spans="1:2" x14ac:dyDescent="0.25">
      <c r="A39839" s="118"/>
      <c r="B39839" s="136"/>
    </row>
    <row r="39840" spans="1:2" x14ac:dyDescent="0.25">
      <c r="A39840" s="118"/>
      <c r="B39840" s="136"/>
    </row>
    <row r="39841" spans="1:2" x14ac:dyDescent="0.25">
      <c r="A39841" s="118"/>
      <c r="B39841" s="136"/>
    </row>
    <row r="39842" spans="1:2" x14ac:dyDescent="0.25">
      <c r="A39842" s="118"/>
      <c r="B39842" s="136"/>
    </row>
    <row r="39843" spans="1:2" x14ac:dyDescent="0.25">
      <c r="A39843" s="118"/>
      <c r="B39843" s="136"/>
    </row>
    <row r="39844" spans="1:2" x14ac:dyDescent="0.25">
      <c r="A39844" s="118"/>
      <c r="B39844" s="136"/>
    </row>
    <row r="39845" spans="1:2" x14ac:dyDescent="0.25">
      <c r="A39845" s="118"/>
      <c r="B39845" s="136"/>
    </row>
    <row r="39846" spans="1:2" x14ac:dyDescent="0.25">
      <c r="A39846" s="118"/>
      <c r="B39846" s="136"/>
    </row>
    <row r="39847" spans="1:2" x14ac:dyDescent="0.25">
      <c r="A39847" s="118"/>
      <c r="B39847" s="136"/>
    </row>
    <row r="39848" spans="1:2" x14ac:dyDescent="0.25">
      <c r="A39848" s="118"/>
      <c r="B39848" s="136"/>
    </row>
    <row r="39849" spans="1:2" x14ac:dyDescent="0.25">
      <c r="A39849" s="118"/>
      <c r="B39849" s="136"/>
    </row>
    <row r="39850" spans="1:2" x14ac:dyDescent="0.25">
      <c r="A39850" s="118"/>
      <c r="B39850" s="136"/>
    </row>
    <row r="39851" spans="1:2" x14ac:dyDescent="0.25">
      <c r="A39851" s="118"/>
      <c r="B39851" s="136"/>
    </row>
    <row r="39852" spans="1:2" x14ac:dyDescent="0.25">
      <c r="A39852" s="118"/>
      <c r="B39852" s="136"/>
    </row>
    <row r="39853" spans="1:2" x14ac:dyDescent="0.25">
      <c r="A39853" s="118"/>
      <c r="B39853" s="136"/>
    </row>
    <row r="39854" spans="1:2" x14ac:dyDescent="0.25">
      <c r="A39854" s="118"/>
      <c r="B39854" s="136"/>
    </row>
    <row r="39855" spans="1:2" x14ac:dyDescent="0.25">
      <c r="A39855" s="118"/>
      <c r="B39855" s="136"/>
    </row>
    <row r="39856" spans="1:2" x14ac:dyDescent="0.25">
      <c r="A39856" s="118"/>
      <c r="B39856" s="136"/>
    </row>
    <row r="39857" spans="1:2" x14ac:dyDescent="0.25">
      <c r="A39857" s="118"/>
      <c r="B39857" s="136"/>
    </row>
    <row r="39858" spans="1:2" x14ac:dyDescent="0.25">
      <c r="A39858" s="118"/>
      <c r="B39858" s="136"/>
    </row>
    <row r="39859" spans="1:2" x14ac:dyDescent="0.25">
      <c r="A39859" s="118"/>
      <c r="B39859" s="136"/>
    </row>
    <row r="39860" spans="1:2" x14ac:dyDescent="0.25">
      <c r="A39860" s="118"/>
      <c r="B39860" s="136"/>
    </row>
    <row r="39861" spans="1:2" x14ac:dyDescent="0.25">
      <c r="A39861" s="118"/>
      <c r="B39861" s="136"/>
    </row>
    <row r="39862" spans="1:2" x14ac:dyDescent="0.25">
      <c r="A39862" s="118"/>
      <c r="B39862" s="136"/>
    </row>
    <row r="39863" spans="1:2" x14ac:dyDescent="0.25">
      <c r="A39863" s="118"/>
      <c r="B39863" s="136"/>
    </row>
    <row r="39864" spans="1:2" x14ac:dyDescent="0.25">
      <c r="A39864" s="118"/>
      <c r="B39864" s="136"/>
    </row>
    <row r="39865" spans="1:2" x14ac:dyDescent="0.25">
      <c r="A39865" s="118"/>
      <c r="B39865" s="136"/>
    </row>
    <row r="39866" spans="1:2" x14ac:dyDescent="0.25">
      <c r="A39866" s="118"/>
      <c r="B39866" s="136"/>
    </row>
    <row r="39867" spans="1:2" x14ac:dyDescent="0.25">
      <c r="A39867" s="118"/>
      <c r="B39867" s="136"/>
    </row>
    <row r="39868" spans="1:2" x14ac:dyDescent="0.25">
      <c r="A39868" s="118"/>
      <c r="B39868" s="136"/>
    </row>
    <row r="39869" spans="1:2" x14ac:dyDescent="0.25">
      <c r="A39869" s="118"/>
      <c r="B39869" s="136"/>
    </row>
    <row r="39870" spans="1:2" x14ac:dyDescent="0.25">
      <c r="A39870" s="118"/>
      <c r="B39870" s="136"/>
    </row>
    <row r="39871" spans="1:2" x14ac:dyDescent="0.25">
      <c r="A39871" s="118"/>
      <c r="B39871" s="136"/>
    </row>
    <row r="39872" spans="1:2" x14ac:dyDescent="0.25">
      <c r="A39872" s="118"/>
      <c r="B39872" s="136"/>
    </row>
    <row r="39873" spans="1:2" x14ac:dyDescent="0.25">
      <c r="A39873" s="118"/>
      <c r="B39873" s="136"/>
    </row>
    <row r="39874" spans="1:2" x14ac:dyDescent="0.25">
      <c r="A39874" s="118"/>
      <c r="B39874" s="136"/>
    </row>
    <row r="39875" spans="1:2" x14ac:dyDescent="0.25">
      <c r="A39875" s="118"/>
      <c r="B39875" s="136"/>
    </row>
    <row r="39876" spans="1:2" x14ac:dyDescent="0.25">
      <c r="A39876" s="118"/>
      <c r="B39876" s="136"/>
    </row>
    <row r="39877" spans="1:2" x14ac:dyDescent="0.25">
      <c r="A39877" s="118"/>
      <c r="B39877" s="136"/>
    </row>
    <row r="39878" spans="1:2" x14ac:dyDescent="0.25">
      <c r="A39878" s="118"/>
      <c r="B39878" s="136"/>
    </row>
    <row r="39879" spans="1:2" x14ac:dyDescent="0.25">
      <c r="A39879" s="118"/>
      <c r="B39879" s="136"/>
    </row>
    <row r="39880" spans="1:2" x14ac:dyDescent="0.25">
      <c r="A39880" s="118"/>
      <c r="B39880" s="136"/>
    </row>
    <row r="39881" spans="1:2" x14ac:dyDescent="0.25">
      <c r="A39881" s="118"/>
      <c r="B39881" s="136"/>
    </row>
    <row r="39882" spans="1:2" x14ac:dyDescent="0.25">
      <c r="A39882" s="118"/>
      <c r="B39882" s="136"/>
    </row>
    <row r="39883" spans="1:2" x14ac:dyDescent="0.25">
      <c r="A39883" s="118"/>
      <c r="B39883" s="136"/>
    </row>
    <row r="39884" spans="1:2" x14ac:dyDescent="0.25">
      <c r="A39884" s="118"/>
      <c r="B39884" s="136"/>
    </row>
    <row r="39885" spans="1:2" x14ac:dyDescent="0.25">
      <c r="A39885" s="118"/>
      <c r="B39885" s="136"/>
    </row>
    <row r="39886" spans="1:2" x14ac:dyDescent="0.25">
      <c r="A39886" s="118"/>
      <c r="B39886" s="136"/>
    </row>
    <row r="39887" spans="1:2" x14ac:dyDescent="0.25">
      <c r="A39887" s="118"/>
      <c r="B39887" s="136"/>
    </row>
    <row r="39888" spans="1:2" x14ac:dyDescent="0.25">
      <c r="A39888" s="118"/>
      <c r="B39888" s="136"/>
    </row>
    <row r="39889" spans="1:2" x14ac:dyDescent="0.25">
      <c r="A39889" s="118"/>
      <c r="B39889" s="136"/>
    </row>
    <row r="39890" spans="1:2" x14ac:dyDescent="0.25">
      <c r="A39890" s="118"/>
      <c r="B39890" s="136"/>
    </row>
    <row r="39891" spans="1:2" x14ac:dyDescent="0.25">
      <c r="A39891" s="118"/>
      <c r="B39891" s="136"/>
    </row>
    <row r="39892" spans="1:2" x14ac:dyDescent="0.25">
      <c r="A39892" s="118"/>
      <c r="B39892" s="136"/>
    </row>
    <row r="39893" spans="1:2" x14ac:dyDescent="0.25">
      <c r="A39893" s="118"/>
      <c r="B39893" s="136"/>
    </row>
    <row r="39894" spans="1:2" x14ac:dyDescent="0.25">
      <c r="A39894" s="118"/>
      <c r="B39894" s="136"/>
    </row>
    <row r="39895" spans="1:2" x14ac:dyDescent="0.25">
      <c r="A39895" s="118"/>
      <c r="B39895" s="136"/>
    </row>
    <row r="39896" spans="1:2" x14ac:dyDescent="0.25">
      <c r="A39896" s="118"/>
      <c r="B39896" s="136"/>
    </row>
    <row r="39897" spans="1:2" x14ac:dyDescent="0.25">
      <c r="A39897" s="118"/>
      <c r="B39897" s="136"/>
    </row>
    <row r="39898" spans="1:2" x14ac:dyDescent="0.25">
      <c r="A39898" s="118"/>
      <c r="B39898" s="136"/>
    </row>
    <row r="39899" spans="1:2" x14ac:dyDescent="0.25">
      <c r="A39899" s="118"/>
      <c r="B39899" s="136"/>
    </row>
    <row r="39900" spans="1:2" x14ac:dyDescent="0.25">
      <c r="A39900" s="118"/>
      <c r="B39900" s="136"/>
    </row>
    <row r="39901" spans="1:2" x14ac:dyDescent="0.25">
      <c r="A39901" s="118"/>
      <c r="B39901" s="136"/>
    </row>
    <row r="39902" spans="1:2" x14ac:dyDescent="0.25">
      <c r="A39902" s="118"/>
      <c r="B39902" s="136"/>
    </row>
    <row r="39903" spans="1:2" x14ac:dyDescent="0.25">
      <c r="A39903" s="118"/>
      <c r="B39903" s="136"/>
    </row>
    <row r="39904" spans="1:2" x14ac:dyDescent="0.25">
      <c r="A39904" s="118"/>
      <c r="B39904" s="136"/>
    </row>
    <row r="39905" spans="1:2" x14ac:dyDescent="0.25">
      <c r="A39905" s="118"/>
      <c r="B39905" s="136"/>
    </row>
    <row r="39906" spans="1:2" x14ac:dyDescent="0.25">
      <c r="A39906" s="118"/>
      <c r="B39906" s="136"/>
    </row>
    <row r="39907" spans="1:2" x14ac:dyDescent="0.25">
      <c r="A39907" s="118"/>
      <c r="B39907" s="136"/>
    </row>
    <row r="39908" spans="1:2" x14ac:dyDescent="0.25">
      <c r="A39908" s="118"/>
      <c r="B39908" s="136"/>
    </row>
    <row r="39909" spans="1:2" x14ac:dyDescent="0.25">
      <c r="A39909" s="118"/>
      <c r="B39909" s="136"/>
    </row>
    <row r="39910" spans="1:2" x14ac:dyDescent="0.25">
      <c r="A39910" s="118"/>
      <c r="B39910" s="136"/>
    </row>
    <row r="39911" spans="1:2" x14ac:dyDescent="0.25">
      <c r="A39911" s="118"/>
      <c r="B39911" s="136"/>
    </row>
    <row r="39912" spans="1:2" x14ac:dyDescent="0.25">
      <c r="A39912" s="118"/>
      <c r="B39912" s="136"/>
    </row>
    <row r="39913" spans="1:2" x14ac:dyDescent="0.25">
      <c r="A39913" s="118"/>
      <c r="B39913" s="136"/>
    </row>
    <row r="39914" spans="1:2" x14ac:dyDescent="0.25">
      <c r="A39914" s="118"/>
      <c r="B39914" s="136"/>
    </row>
    <row r="39915" spans="1:2" x14ac:dyDescent="0.25">
      <c r="A39915" s="118"/>
      <c r="B39915" s="136"/>
    </row>
    <row r="39916" spans="1:2" x14ac:dyDescent="0.25">
      <c r="A39916" s="118"/>
      <c r="B39916" s="136"/>
    </row>
    <row r="39917" spans="1:2" x14ac:dyDescent="0.25">
      <c r="A39917" s="118"/>
      <c r="B39917" s="136"/>
    </row>
    <row r="39918" spans="1:2" x14ac:dyDescent="0.25">
      <c r="A39918" s="118"/>
      <c r="B39918" s="136"/>
    </row>
    <row r="39919" spans="1:2" x14ac:dyDescent="0.25">
      <c r="A39919" s="118"/>
      <c r="B39919" s="136"/>
    </row>
    <row r="39920" spans="1:2" x14ac:dyDescent="0.25">
      <c r="A39920" s="118"/>
      <c r="B39920" s="136"/>
    </row>
    <row r="39921" spans="1:2" x14ac:dyDescent="0.25">
      <c r="A39921" s="118"/>
      <c r="B39921" s="136"/>
    </row>
    <row r="39922" spans="1:2" x14ac:dyDescent="0.25">
      <c r="A39922" s="118"/>
      <c r="B39922" s="136"/>
    </row>
    <row r="39923" spans="1:2" x14ac:dyDescent="0.25">
      <c r="A39923" s="118"/>
      <c r="B39923" s="136"/>
    </row>
    <row r="39924" spans="1:2" x14ac:dyDescent="0.25">
      <c r="A39924" s="118"/>
      <c r="B39924" s="136"/>
    </row>
    <row r="39925" spans="1:2" x14ac:dyDescent="0.25">
      <c r="A39925" s="118"/>
      <c r="B39925" s="136"/>
    </row>
    <row r="39926" spans="1:2" x14ac:dyDescent="0.25">
      <c r="A39926" s="118"/>
      <c r="B39926" s="136"/>
    </row>
    <row r="39927" spans="1:2" x14ac:dyDescent="0.25">
      <c r="A39927" s="118"/>
      <c r="B39927" s="136"/>
    </row>
    <row r="39928" spans="1:2" x14ac:dyDescent="0.25">
      <c r="A39928" s="118"/>
      <c r="B39928" s="136"/>
    </row>
    <row r="39929" spans="1:2" x14ac:dyDescent="0.25">
      <c r="A39929" s="118"/>
      <c r="B39929" s="136"/>
    </row>
    <row r="39930" spans="1:2" x14ac:dyDescent="0.25">
      <c r="A39930" s="118"/>
      <c r="B39930" s="136"/>
    </row>
    <row r="39931" spans="1:2" x14ac:dyDescent="0.25">
      <c r="A39931" s="118"/>
      <c r="B39931" s="136"/>
    </row>
    <row r="39932" spans="1:2" x14ac:dyDescent="0.25">
      <c r="A39932" s="118"/>
      <c r="B39932" s="136"/>
    </row>
    <row r="39933" spans="1:2" x14ac:dyDescent="0.25">
      <c r="A39933" s="118"/>
      <c r="B39933" s="136"/>
    </row>
    <row r="39934" spans="1:2" x14ac:dyDescent="0.25">
      <c r="A39934" s="118"/>
      <c r="B39934" s="136"/>
    </row>
    <row r="39935" spans="1:2" x14ac:dyDescent="0.25">
      <c r="A39935" s="118"/>
      <c r="B39935" s="136"/>
    </row>
    <row r="39936" spans="1:2" x14ac:dyDescent="0.25">
      <c r="A39936" s="118"/>
      <c r="B39936" s="136"/>
    </row>
    <row r="39937" spans="1:2" x14ac:dyDescent="0.25">
      <c r="A39937" s="118"/>
      <c r="B39937" s="136"/>
    </row>
    <row r="39938" spans="1:2" x14ac:dyDescent="0.25">
      <c r="A39938" s="118"/>
      <c r="B39938" s="136"/>
    </row>
    <row r="39939" spans="1:2" x14ac:dyDescent="0.25">
      <c r="A39939" s="118"/>
      <c r="B39939" s="136"/>
    </row>
    <row r="39940" spans="1:2" x14ac:dyDescent="0.25">
      <c r="A39940" s="118"/>
      <c r="B39940" s="136"/>
    </row>
    <row r="39941" spans="1:2" x14ac:dyDescent="0.25">
      <c r="A39941" s="118"/>
      <c r="B39941" s="136"/>
    </row>
    <row r="39942" spans="1:2" x14ac:dyDescent="0.25">
      <c r="A39942" s="118"/>
      <c r="B39942" s="136"/>
    </row>
    <row r="39943" spans="1:2" x14ac:dyDescent="0.25">
      <c r="A39943" s="118"/>
      <c r="B39943" s="136"/>
    </row>
    <row r="39944" spans="1:2" x14ac:dyDescent="0.25">
      <c r="A39944" s="118"/>
      <c r="B39944" s="136"/>
    </row>
    <row r="39945" spans="1:2" x14ac:dyDescent="0.25">
      <c r="A39945" s="118"/>
      <c r="B39945" s="136"/>
    </row>
    <row r="39946" spans="1:2" x14ac:dyDescent="0.25">
      <c r="A39946" s="118"/>
      <c r="B39946" s="136"/>
    </row>
    <row r="39947" spans="1:2" x14ac:dyDescent="0.25">
      <c r="A39947" s="118"/>
      <c r="B39947" s="136"/>
    </row>
    <row r="39948" spans="1:2" x14ac:dyDescent="0.25">
      <c r="A39948" s="118"/>
      <c r="B39948" s="136"/>
    </row>
    <row r="39949" spans="1:2" x14ac:dyDescent="0.25">
      <c r="A39949" s="118"/>
      <c r="B39949" s="136"/>
    </row>
    <row r="39950" spans="1:2" x14ac:dyDescent="0.25">
      <c r="A39950" s="118"/>
      <c r="B39950" s="136"/>
    </row>
    <row r="39951" spans="1:2" x14ac:dyDescent="0.25">
      <c r="A39951" s="118"/>
      <c r="B39951" s="136"/>
    </row>
    <row r="39952" spans="1:2" x14ac:dyDescent="0.25">
      <c r="A39952" s="118"/>
      <c r="B39952" s="136"/>
    </row>
    <row r="39953" spans="1:2" x14ac:dyDescent="0.25">
      <c r="A39953" s="118"/>
      <c r="B39953" s="136"/>
    </row>
    <row r="39954" spans="1:2" x14ac:dyDescent="0.25">
      <c r="A39954" s="118"/>
      <c r="B39954" s="136"/>
    </row>
    <row r="39955" spans="1:2" x14ac:dyDescent="0.25">
      <c r="A39955" s="118"/>
      <c r="B39955" s="136"/>
    </row>
    <row r="39956" spans="1:2" x14ac:dyDescent="0.25">
      <c r="A39956" s="118"/>
      <c r="B39956" s="136"/>
    </row>
    <row r="39957" spans="1:2" x14ac:dyDescent="0.25">
      <c r="A39957" s="118"/>
      <c r="B39957" s="136"/>
    </row>
    <row r="39958" spans="1:2" x14ac:dyDescent="0.25">
      <c r="A39958" s="118"/>
      <c r="B39958" s="136"/>
    </row>
    <row r="39959" spans="1:2" x14ac:dyDescent="0.25">
      <c r="A39959" s="118"/>
      <c r="B39959" s="136"/>
    </row>
    <row r="39960" spans="1:2" x14ac:dyDescent="0.25">
      <c r="A39960" s="118"/>
      <c r="B39960" s="136"/>
    </row>
    <row r="39961" spans="1:2" x14ac:dyDescent="0.25">
      <c r="A39961" s="118"/>
      <c r="B39961" s="136"/>
    </row>
    <row r="39962" spans="1:2" x14ac:dyDescent="0.25">
      <c r="A39962" s="118"/>
      <c r="B39962" s="136"/>
    </row>
    <row r="39963" spans="1:2" x14ac:dyDescent="0.25">
      <c r="A39963" s="118"/>
      <c r="B39963" s="136"/>
    </row>
    <row r="39964" spans="1:2" x14ac:dyDescent="0.25">
      <c r="A39964" s="118"/>
      <c r="B39964" s="136"/>
    </row>
    <row r="39965" spans="1:2" x14ac:dyDescent="0.25">
      <c r="A39965" s="118"/>
      <c r="B39965" s="136"/>
    </row>
    <row r="39966" spans="1:2" x14ac:dyDescent="0.25">
      <c r="A39966" s="118"/>
      <c r="B39966" s="136"/>
    </row>
    <row r="39967" spans="1:2" x14ac:dyDescent="0.25">
      <c r="A39967" s="118"/>
      <c r="B39967" s="136"/>
    </row>
    <row r="39968" spans="1:2" x14ac:dyDescent="0.25">
      <c r="A39968" s="118"/>
      <c r="B39968" s="136"/>
    </row>
    <row r="39969" spans="1:2" x14ac:dyDescent="0.25">
      <c r="A39969" s="118"/>
      <c r="B39969" s="136"/>
    </row>
    <row r="39970" spans="1:2" x14ac:dyDescent="0.25">
      <c r="A39970" s="118"/>
      <c r="B39970" s="136"/>
    </row>
    <row r="39971" spans="1:2" x14ac:dyDescent="0.25">
      <c r="A39971" s="118"/>
      <c r="B39971" s="136"/>
    </row>
    <row r="39972" spans="1:2" x14ac:dyDescent="0.25">
      <c r="A39972" s="118"/>
      <c r="B39972" s="136"/>
    </row>
    <row r="39973" spans="1:2" x14ac:dyDescent="0.25">
      <c r="A39973" s="118"/>
      <c r="B39973" s="136"/>
    </row>
    <row r="39974" spans="1:2" x14ac:dyDescent="0.25">
      <c r="A39974" s="118"/>
      <c r="B39974" s="136"/>
    </row>
    <row r="39975" spans="1:2" x14ac:dyDescent="0.25">
      <c r="A39975" s="118"/>
      <c r="B39975" s="136"/>
    </row>
    <row r="39976" spans="1:2" x14ac:dyDescent="0.25">
      <c r="A39976" s="118"/>
      <c r="B39976" s="136"/>
    </row>
    <row r="39977" spans="1:2" x14ac:dyDescent="0.25">
      <c r="A39977" s="118"/>
      <c r="B39977" s="136"/>
    </row>
    <row r="39978" spans="1:2" x14ac:dyDescent="0.25">
      <c r="A39978" s="118"/>
      <c r="B39978" s="136"/>
    </row>
    <row r="39979" spans="1:2" x14ac:dyDescent="0.25">
      <c r="A39979" s="118"/>
      <c r="B39979" s="136"/>
    </row>
    <row r="39980" spans="1:2" x14ac:dyDescent="0.25">
      <c r="A39980" s="118"/>
      <c r="B39980" s="136"/>
    </row>
    <row r="39981" spans="1:2" x14ac:dyDescent="0.25">
      <c r="A39981" s="118"/>
      <c r="B39981" s="136"/>
    </row>
    <row r="39982" spans="1:2" x14ac:dyDescent="0.25">
      <c r="A39982" s="118"/>
      <c r="B39982" s="136"/>
    </row>
    <row r="39983" spans="1:2" x14ac:dyDescent="0.25">
      <c r="A39983" s="118"/>
      <c r="B39983" s="136"/>
    </row>
    <row r="39984" spans="1:2" x14ac:dyDescent="0.25">
      <c r="A39984" s="118"/>
      <c r="B39984" s="136"/>
    </row>
    <row r="39985" spans="1:2" x14ac:dyDescent="0.25">
      <c r="A39985" s="118"/>
      <c r="B39985" s="136"/>
    </row>
    <row r="39986" spans="1:2" x14ac:dyDescent="0.25">
      <c r="A39986" s="118"/>
      <c r="B39986" s="136"/>
    </row>
    <row r="39987" spans="1:2" x14ac:dyDescent="0.25">
      <c r="A39987" s="118"/>
      <c r="B39987" s="136"/>
    </row>
    <row r="39988" spans="1:2" x14ac:dyDescent="0.25">
      <c r="A39988" s="118"/>
      <c r="B39988" s="136"/>
    </row>
    <row r="39989" spans="1:2" x14ac:dyDescent="0.25">
      <c r="A39989" s="118"/>
      <c r="B39989" s="136"/>
    </row>
    <row r="39990" spans="1:2" x14ac:dyDescent="0.25">
      <c r="A39990" s="118"/>
      <c r="B39990" s="136"/>
    </row>
    <row r="39991" spans="1:2" x14ac:dyDescent="0.25">
      <c r="A39991" s="118"/>
      <c r="B39991" s="136"/>
    </row>
    <row r="39992" spans="1:2" x14ac:dyDescent="0.25">
      <c r="A39992" s="118"/>
      <c r="B39992" s="136"/>
    </row>
    <row r="39993" spans="1:2" x14ac:dyDescent="0.25">
      <c r="A39993" s="118"/>
      <c r="B39993" s="136"/>
    </row>
    <row r="39994" spans="1:2" x14ac:dyDescent="0.25">
      <c r="A39994" s="118"/>
      <c r="B39994" s="136"/>
    </row>
    <row r="39995" spans="1:2" x14ac:dyDescent="0.25">
      <c r="A39995" s="118"/>
      <c r="B39995" s="136"/>
    </row>
    <row r="39996" spans="1:2" x14ac:dyDescent="0.25">
      <c r="A39996" s="118"/>
      <c r="B39996" s="136"/>
    </row>
    <row r="39997" spans="1:2" x14ac:dyDescent="0.25">
      <c r="A39997" s="118"/>
      <c r="B39997" s="136"/>
    </row>
    <row r="39998" spans="1:2" x14ac:dyDescent="0.25">
      <c r="A39998" s="118"/>
      <c r="B39998" s="136"/>
    </row>
    <row r="39999" spans="1:2" x14ac:dyDescent="0.25">
      <c r="A39999" s="118"/>
      <c r="B39999" s="136"/>
    </row>
    <row r="40000" spans="1:2" x14ac:dyDescent="0.25">
      <c r="A40000" s="118"/>
      <c r="B40000" s="136"/>
    </row>
    <row r="40001" spans="1:2" x14ac:dyDescent="0.25">
      <c r="A40001" s="118"/>
      <c r="B40001" s="136"/>
    </row>
    <row r="40002" spans="1:2" x14ac:dyDescent="0.25">
      <c r="A40002" s="118"/>
      <c r="B40002" s="136"/>
    </row>
    <row r="40003" spans="1:2" x14ac:dyDescent="0.25">
      <c r="A40003" s="118"/>
      <c r="B40003" s="136"/>
    </row>
    <row r="40004" spans="1:2" x14ac:dyDescent="0.25">
      <c r="A40004" s="118"/>
      <c r="B40004" s="136"/>
    </row>
    <row r="40005" spans="1:2" x14ac:dyDescent="0.25">
      <c r="A40005" s="118"/>
      <c r="B40005" s="136"/>
    </row>
    <row r="40006" spans="1:2" x14ac:dyDescent="0.25">
      <c r="A40006" s="118"/>
      <c r="B40006" s="136"/>
    </row>
    <row r="40007" spans="1:2" x14ac:dyDescent="0.25">
      <c r="A40007" s="118"/>
      <c r="B40007" s="136"/>
    </row>
    <row r="40008" spans="1:2" x14ac:dyDescent="0.25">
      <c r="A40008" s="118"/>
      <c r="B40008" s="136"/>
    </row>
    <row r="40009" spans="1:2" x14ac:dyDescent="0.25">
      <c r="A40009" s="118"/>
      <c r="B40009" s="136"/>
    </row>
    <row r="40010" spans="1:2" x14ac:dyDescent="0.25">
      <c r="A40010" s="118"/>
      <c r="B40010" s="136"/>
    </row>
    <row r="40011" spans="1:2" x14ac:dyDescent="0.25">
      <c r="A40011" s="118"/>
      <c r="B40011" s="136"/>
    </row>
    <row r="40012" spans="1:2" x14ac:dyDescent="0.25">
      <c r="A40012" s="118"/>
      <c r="B40012" s="136"/>
    </row>
    <row r="40013" spans="1:2" x14ac:dyDescent="0.25">
      <c r="A40013" s="118"/>
      <c r="B40013" s="136"/>
    </row>
    <row r="40014" spans="1:2" x14ac:dyDescent="0.25">
      <c r="A40014" s="118"/>
      <c r="B40014" s="136"/>
    </row>
    <row r="40015" spans="1:2" x14ac:dyDescent="0.25">
      <c r="A40015" s="118"/>
      <c r="B40015" s="136"/>
    </row>
    <row r="40016" spans="1:2" x14ac:dyDescent="0.25">
      <c r="A40016" s="118"/>
      <c r="B40016" s="136"/>
    </row>
    <row r="40017" spans="1:2" x14ac:dyDescent="0.25">
      <c r="A40017" s="118"/>
      <c r="B40017" s="136"/>
    </row>
    <row r="40018" spans="1:2" x14ac:dyDescent="0.25">
      <c r="A40018" s="118"/>
      <c r="B40018" s="136"/>
    </row>
    <row r="40019" spans="1:2" x14ac:dyDescent="0.25">
      <c r="A40019" s="118"/>
      <c r="B40019" s="136"/>
    </row>
    <row r="40020" spans="1:2" x14ac:dyDescent="0.25">
      <c r="A40020" s="118"/>
      <c r="B40020" s="136"/>
    </row>
    <row r="40021" spans="1:2" x14ac:dyDescent="0.25">
      <c r="A40021" s="118"/>
      <c r="B40021" s="136"/>
    </row>
    <row r="40022" spans="1:2" x14ac:dyDescent="0.25">
      <c r="A40022" s="118"/>
      <c r="B40022" s="136"/>
    </row>
    <row r="40023" spans="1:2" x14ac:dyDescent="0.25">
      <c r="A40023" s="118"/>
      <c r="B40023" s="136"/>
    </row>
    <row r="40024" spans="1:2" x14ac:dyDescent="0.25">
      <c r="A40024" s="118"/>
      <c r="B40024" s="136"/>
    </row>
    <row r="40025" spans="1:2" x14ac:dyDescent="0.25">
      <c r="A40025" s="118"/>
      <c r="B40025" s="136"/>
    </row>
    <row r="40026" spans="1:2" x14ac:dyDescent="0.25">
      <c r="A40026" s="118"/>
      <c r="B40026" s="136"/>
    </row>
    <row r="40027" spans="1:2" x14ac:dyDescent="0.25">
      <c r="A40027" s="118"/>
      <c r="B40027" s="136"/>
    </row>
    <row r="40028" spans="1:2" x14ac:dyDescent="0.25">
      <c r="A40028" s="118"/>
      <c r="B40028" s="136"/>
    </row>
    <row r="40029" spans="1:2" x14ac:dyDescent="0.25">
      <c r="A40029" s="118"/>
      <c r="B40029" s="136"/>
    </row>
    <row r="40030" spans="1:2" x14ac:dyDescent="0.25">
      <c r="A40030" s="118"/>
      <c r="B40030" s="136"/>
    </row>
    <row r="40031" spans="1:2" x14ac:dyDescent="0.25">
      <c r="A40031" s="118"/>
      <c r="B40031" s="136"/>
    </row>
    <row r="40032" spans="1:2" x14ac:dyDescent="0.25">
      <c r="A40032" s="118"/>
      <c r="B40032" s="136"/>
    </row>
    <row r="40033" spans="1:2" x14ac:dyDescent="0.25">
      <c r="A40033" s="118"/>
      <c r="B40033" s="136"/>
    </row>
    <row r="40034" spans="1:2" x14ac:dyDescent="0.25">
      <c r="A40034" s="118"/>
      <c r="B40034" s="136"/>
    </row>
    <row r="40035" spans="1:2" x14ac:dyDescent="0.25">
      <c r="A40035" s="118"/>
      <c r="B40035" s="136"/>
    </row>
    <row r="40036" spans="1:2" x14ac:dyDescent="0.25">
      <c r="A40036" s="118"/>
      <c r="B40036" s="136"/>
    </row>
    <row r="40037" spans="1:2" x14ac:dyDescent="0.25">
      <c r="A40037" s="118"/>
      <c r="B40037" s="136"/>
    </row>
    <row r="40038" spans="1:2" x14ac:dyDescent="0.25">
      <c r="A40038" s="118"/>
      <c r="B40038" s="136"/>
    </row>
    <row r="40039" spans="1:2" x14ac:dyDescent="0.25">
      <c r="A40039" s="118"/>
      <c r="B40039" s="136"/>
    </row>
    <row r="40040" spans="1:2" x14ac:dyDescent="0.25">
      <c r="A40040" s="118"/>
      <c r="B40040" s="136"/>
    </row>
    <row r="40041" spans="1:2" x14ac:dyDescent="0.25">
      <c r="A40041" s="118"/>
      <c r="B40041" s="136"/>
    </row>
    <row r="40042" spans="1:2" x14ac:dyDescent="0.25">
      <c r="A40042" s="118"/>
      <c r="B40042" s="136"/>
    </row>
    <row r="40043" spans="1:2" x14ac:dyDescent="0.25">
      <c r="A40043" s="118"/>
      <c r="B40043" s="136"/>
    </row>
    <row r="40044" spans="1:2" x14ac:dyDescent="0.25">
      <c r="A40044" s="118"/>
      <c r="B40044" s="136"/>
    </row>
    <row r="40045" spans="1:2" x14ac:dyDescent="0.25">
      <c r="A40045" s="118"/>
      <c r="B40045" s="136"/>
    </row>
    <row r="40046" spans="1:2" x14ac:dyDescent="0.25">
      <c r="A40046" s="118"/>
      <c r="B40046" s="136"/>
    </row>
    <row r="40047" spans="1:2" x14ac:dyDescent="0.25">
      <c r="A40047" s="118"/>
      <c r="B40047" s="136"/>
    </row>
    <row r="40048" spans="1:2" x14ac:dyDescent="0.25">
      <c r="A40048" s="118"/>
      <c r="B40048" s="136"/>
    </row>
    <row r="40049" spans="1:2" x14ac:dyDescent="0.25">
      <c r="A40049" s="118"/>
      <c r="B40049" s="136"/>
    </row>
    <row r="40050" spans="1:2" x14ac:dyDescent="0.25">
      <c r="A40050" s="118"/>
      <c r="B40050" s="136"/>
    </row>
    <row r="40051" spans="1:2" x14ac:dyDescent="0.25">
      <c r="A40051" s="118"/>
      <c r="B40051" s="136"/>
    </row>
    <row r="40052" spans="1:2" x14ac:dyDescent="0.25">
      <c r="A40052" s="118"/>
      <c r="B40052" s="136"/>
    </row>
    <row r="40053" spans="1:2" x14ac:dyDescent="0.25">
      <c r="A40053" s="118"/>
      <c r="B40053" s="136"/>
    </row>
    <row r="40054" spans="1:2" x14ac:dyDescent="0.25">
      <c r="A40054" s="118"/>
      <c r="B40054" s="136"/>
    </row>
    <row r="40055" spans="1:2" x14ac:dyDescent="0.25">
      <c r="A40055" s="118"/>
      <c r="B40055" s="136"/>
    </row>
    <row r="40056" spans="1:2" x14ac:dyDescent="0.25">
      <c r="A40056" s="118"/>
      <c r="B40056" s="136"/>
    </row>
    <row r="40057" spans="1:2" x14ac:dyDescent="0.25">
      <c r="A40057" s="118"/>
      <c r="B40057" s="136"/>
    </row>
    <row r="40058" spans="1:2" x14ac:dyDescent="0.25">
      <c r="A40058" s="118"/>
      <c r="B40058" s="136"/>
    </row>
    <row r="40059" spans="1:2" x14ac:dyDescent="0.25">
      <c r="A40059" s="118"/>
      <c r="B40059" s="136"/>
    </row>
    <row r="40060" spans="1:2" x14ac:dyDescent="0.25">
      <c r="A40060" s="118"/>
      <c r="B40060" s="136"/>
    </row>
    <row r="40061" spans="1:2" x14ac:dyDescent="0.25">
      <c r="A40061" s="118"/>
      <c r="B40061" s="136"/>
    </row>
    <row r="40062" spans="1:2" x14ac:dyDescent="0.25">
      <c r="A40062" s="118"/>
      <c r="B40062" s="136"/>
    </row>
    <row r="40063" spans="1:2" x14ac:dyDescent="0.25">
      <c r="A40063" s="118"/>
      <c r="B40063" s="136"/>
    </row>
    <row r="40064" spans="1:2" x14ac:dyDescent="0.25">
      <c r="A40064" s="118"/>
      <c r="B40064" s="136"/>
    </row>
    <row r="40065" spans="1:2" x14ac:dyDescent="0.25">
      <c r="A40065" s="118"/>
      <c r="B40065" s="136"/>
    </row>
    <row r="40066" spans="1:2" x14ac:dyDescent="0.25">
      <c r="A40066" s="118"/>
      <c r="B40066" s="136"/>
    </row>
    <row r="40067" spans="1:2" x14ac:dyDescent="0.25">
      <c r="A40067" s="118"/>
      <c r="B40067" s="136"/>
    </row>
    <row r="40068" spans="1:2" x14ac:dyDescent="0.25">
      <c r="A40068" s="118"/>
      <c r="B40068" s="136"/>
    </row>
    <row r="40069" spans="1:2" x14ac:dyDescent="0.25">
      <c r="A40069" s="118"/>
      <c r="B40069" s="136"/>
    </row>
    <row r="40070" spans="1:2" x14ac:dyDescent="0.25">
      <c r="A40070" s="118"/>
      <c r="B40070" s="136"/>
    </row>
    <row r="40071" spans="1:2" x14ac:dyDescent="0.25">
      <c r="A40071" s="118"/>
      <c r="B40071" s="136"/>
    </row>
    <row r="40072" spans="1:2" x14ac:dyDescent="0.25">
      <c r="A40072" s="118"/>
      <c r="B40072" s="136"/>
    </row>
    <row r="40073" spans="1:2" x14ac:dyDescent="0.25">
      <c r="A40073" s="118"/>
      <c r="B40073" s="136"/>
    </row>
    <row r="40074" spans="1:2" x14ac:dyDescent="0.25">
      <c r="A40074" s="118"/>
      <c r="B40074" s="136"/>
    </row>
    <row r="40075" spans="1:2" x14ac:dyDescent="0.25">
      <c r="A40075" s="118"/>
      <c r="B40075" s="136"/>
    </row>
    <row r="40076" spans="1:2" x14ac:dyDescent="0.25">
      <c r="A40076" s="118"/>
      <c r="B40076" s="136"/>
    </row>
    <row r="40077" spans="1:2" x14ac:dyDescent="0.25">
      <c r="A40077" s="118"/>
      <c r="B40077" s="136"/>
    </row>
    <row r="40078" spans="1:2" x14ac:dyDescent="0.25">
      <c r="A40078" s="118"/>
      <c r="B40078" s="136"/>
    </row>
    <row r="40079" spans="1:2" x14ac:dyDescent="0.25">
      <c r="A40079" s="118"/>
      <c r="B40079" s="136"/>
    </row>
    <row r="40080" spans="1:2" x14ac:dyDescent="0.25">
      <c r="A40080" s="118"/>
      <c r="B40080" s="136"/>
    </row>
    <row r="40081" spans="1:2" x14ac:dyDescent="0.25">
      <c r="A40081" s="118"/>
      <c r="B40081" s="136"/>
    </row>
    <row r="40082" spans="1:2" x14ac:dyDescent="0.25">
      <c r="A40082" s="118"/>
      <c r="B40082" s="136"/>
    </row>
    <row r="40083" spans="1:2" x14ac:dyDescent="0.25">
      <c r="A40083" s="118"/>
      <c r="B40083" s="136"/>
    </row>
    <row r="40084" spans="1:2" x14ac:dyDescent="0.25">
      <c r="A40084" s="118"/>
      <c r="B40084" s="136"/>
    </row>
    <row r="40085" spans="1:2" x14ac:dyDescent="0.25">
      <c r="A40085" s="118"/>
      <c r="B40085" s="136"/>
    </row>
    <row r="40086" spans="1:2" x14ac:dyDescent="0.25">
      <c r="A40086" s="118"/>
      <c r="B40086" s="136"/>
    </row>
    <row r="40087" spans="1:2" x14ac:dyDescent="0.25">
      <c r="A40087" s="118"/>
      <c r="B40087" s="136"/>
    </row>
    <row r="40088" spans="1:2" x14ac:dyDescent="0.25">
      <c r="A40088" s="118"/>
      <c r="B40088" s="136"/>
    </row>
    <row r="40089" spans="1:2" x14ac:dyDescent="0.25">
      <c r="A40089" s="118"/>
      <c r="B40089" s="136"/>
    </row>
    <row r="40090" spans="1:2" x14ac:dyDescent="0.25">
      <c r="A40090" s="118"/>
      <c r="B40090" s="136"/>
    </row>
    <row r="40091" spans="1:2" x14ac:dyDescent="0.25">
      <c r="A40091" s="118"/>
      <c r="B40091" s="136"/>
    </row>
    <row r="40092" spans="1:2" x14ac:dyDescent="0.25">
      <c r="A40092" s="118"/>
      <c r="B40092" s="136"/>
    </row>
    <row r="40093" spans="1:2" x14ac:dyDescent="0.25">
      <c r="A40093" s="118"/>
      <c r="B40093" s="136"/>
    </row>
    <row r="40094" spans="1:2" x14ac:dyDescent="0.25">
      <c r="A40094" s="118"/>
      <c r="B40094" s="136"/>
    </row>
    <row r="40095" spans="1:2" x14ac:dyDescent="0.25">
      <c r="A40095" s="118"/>
      <c r="B40095" s="136"/>
    </row>
    <row r="40096" spans="1:2" x14ac:dyDescent="0.25">
      <c r="A40096" s="118"/>
      <c r="B40096" s="136"/>
    </row>
    <row r="40097" spans="1:2" x14ac:dyDescent="0.25">
      <c r="A40097" s="118"/>
      <c r="B40097" s="136"/>
    </row>
    <row r="40098" spans="1:2" x14ac:dyDescent="0.25">
      <c r="A40098" s="118"/>
      <c r="B40098" s="136"/>
    </row>
    <row r="40099" spans="1:2" x14ac:dyDescent="0.25">
      <c r="A40099" s="118"/>
      <c r="B40099" s="136"/>
    </row>
    <row r="40100" spans="1:2" x14ac:dyDescent="0.25">
      <c r="A40100" s="118"/>
      <c r="B40100" s="136"/>
    </row>
    <row r="40101" spans="1:2" x14ac:dyDescent="0.25">
      <c r="A40101" s="118"/>
      <c r="B40101" s="136"/>
    </row>
    <row r="40102" spans="1:2" x14ac:dyDescent="0.25">
      <c r="A40102" s="118"/>
      <c r="B40102" s="136"/>
    </row>
    <row r="40103" spans="1:2" x14ac:dyDescent="0.25">
      <c r="A40103" s="118"/>
      <c r="B40103" s="136"/>
    </row>
    <row r="40104" spans="1:2" x14ac:dyDescent="0.25">
      <c r="A40104" s="118"/>
      <c r="B40104" s="136"/>
    </row>
    <row r="40105" spans="1:2" x14ac:dyDescent="0.25">
      <c r="A40105" s="118"/>
      <c r="B40105" s="136"/>
    </row>
    <row r="40106" spans="1:2" x14ac:dyDescent="0.25">
      <c r="A40106" s="118"/>
      <c r="B40106" s="136"/>
    </row>
    <row r="40107" spans="1:2" x14ac:dyDescent="0.25">
      <c r="A40107" s="118"/>
      <c r="B40107" s="136"/>
    </row>
    <row r="40108" spans="1:2" x14ac:dyDescent="0.25">
      <c r="A40108" s="118"/>
      <c r="B40108" s="136"/>
    </row>
    <row r="40109" spans="1:2" x14ac:dyDescent="0.25">
      <c r="A40109" s="118"/>
      <c r="B40109" s="136"/>
    </row>
    <row r="40110" spans="1:2" x14ac:dyDescent="0.25">
      <c r="A40110" s="118"/>
      <c r="B40110" s="136"/>
    </row>
    <row r="40111" spans="1:2" x14ac:dyDescent="0.25">
      <c r="A40111" s="118"/>
      <c r="B40111" s="136"/>
    </row>
    <row r="40112" spans="1:2" x14ac:dyDescent="0.25">
      <c r="A40112" s="118"/>
      <c r="B40112" s="136"/>
    </row>
    <row r="40113" spans="1:2" x14ac:dyDescent="0.25">
      <c r="A40113" s="118"/>
      <c r="B40113" s="136"/>
    </row>
    <row r="40114" spans="1:2" x14ac:dyDescent="0.25">
      <c r="A40114" s="118"/>
      <c r="B40114" s="136"/>
    </row>
    <row r="40115" spans="1:2" x14ac:dyDescent="0.25">
      <c r="A40115" s="118"/>
      <c r="B40115" s="136"/>
    </row>
    <row r="40116" spans="1:2" x14ac:dyDescent="0.25">
      <c r="A40116" s="118"/>
      <c r="B40116" s="136"/>
    </row>
    <row r="40117" spans="1:2" x14ac:dyDescent="0.25">
      <c r="A40117" s="118"/>
      <c r="B40117" s="136"/>
    </row>
    <row r="40118" spans="1:2" x14ac:dyDescent="0.25">
      <c r="A40118" s="118"/>
      <c r="B40118" s="136"/>
    </row>
    <row r="40119" spans="1:2" x14ac:dyDescent="0.25">
      <c r="A40119" s="118"/>
      <c r="B40119" s="136"/>
    </row>
    <row r="40120" spans="1:2" x14ac:dyDescent="0.25">
      <c r="A40120" s="118"/>
      <c r="B40120" s="136"/>
    </row>
    <row r="40121" spans="1:2" x14ac:dyDescent="0.25">
      <c r="A40121" s="118"/>
      <c r="B40121" s="136"/>
    </row>
    <row r="40122" spans="1:2" x14ac:dyDescent="0.25">
      <c r="A40122" s="118"/>
      <c r="B40122" s="136"/>
    </row>
    <row r="40123" spans="1:2" x14ac:dyDescent="0.25">
      <c r="A40123" s="118"/>
      <c r="B40123" s="136"/>
    </row>
    <row r="40124" spans="1:2" x14ac:dyDescent="0.25">
      <c r="A40124" s="118"/>
      <c r="B40124" s="136"/>
    </row>
    <row r="40125" spans="1:2" x14ac:dyDescent="0.25">
      <c r="A40125" s="118"/>
      <c r="B40125" s="136"/>
    </row>
    <row r="40126" spans="1:2" x14ac:dyDescent="0.25">
      <c r="A40126" s="118"/>
      <c r="B40126" s="136"/>
    </row>
    <row r="40127" spans="1:2" x14ac:dyDescent="0.25">
      <c r="A40127" s="118"/>
      <c r="B40127" s="136"/>
    </row>
    <row r="40128" spans="1:2" x14ac:dyDescent="0.25">
      <c r="A40128" s="118"/>
      <c r="B40128" s="136"/>
    </row>
    <row r="40129" spans="1:2" x14ac:dyDescent="0.25">
      <c r="A40129" s="118"/>
      <c r="B40129" s="136"/>
    </row>
    <row r="40130" spans="1:2" x14ac:dyDescent="0.25">
      <c r="A40130" s="118"/>
      <c r="B40130" s="136"/>
    </row>
    <row r="40131" spans="1:2" x14ac:dyDescent="0.25">
      <c r="A40131" s="118"/>
      <c r="B40131" s="136"/>
    </row>
    <row r="40132" spans="1:2" x14ac:dyDescent="0.25">
      <c r="A40132" s="118"/>
      <c r="B40132" s="136"/>
    </row>
    <row r="40133" spans="1:2" x14ac:dyDescent="0.25">
      <c r="A40133" s="118"/>
      <c r="B40133" s="136"/>
    </row>
    <row r="40134" spans="1:2" x14ac:dyDescent="0.25">
      <c r="A40134" s="118"/>
      <c r="B40134" s="136"/>
    </row>
    <row r="40135" spans="1:2" x14ac:dyDescent="0.25">
      <c r="A40135" s="118"/>
      <c r="B40135" s="136"/>
    </row>
    <row r="40136" spans="1:2" x14ac:dyDescent="0.25">
      <c r="A40136" s="118"/>
      <c r="B40136" s="136"/>
    </row>
    <row r="40137" spans="1:2" x14ac:dyDescent="0.25">
      <c r="A40137" s="118"/>
      <c r="B40137" s="136"/>
    </row>
    <row r="40138" spans="1:2" x14ac:dyDescent="0.25">
      <c r="A40138" s="118"/>
      <c r="B40138" s="136"/>
    </row>
    <row r="40139" spans="1:2" x14ac:dyDescent="0.25">
      <c r="A40139" s="118"/>
      <c r="B40139" s="136"/>
    </row>
    <row r="40140" spans="1:2" x14ac:dyDescent="0.25">
      <c r="A40140" s="118"/>
      <c r="B40140" s="136"/>
    </row>
    <row r="40141" spans="1:2" x14ac:dyDescent="0.25">
      <c r="A40141" s="118"/>
      <c r="B40141" s="136"/>
    </row>
    <row r="40142" spans="1:2" x14ac:dyDescent="0.25">
      <c r="A40142" s="118"/>
      <c r="B40142" s="136"/>
    </row>
    <row r="40143" spans="1:2" x14ac:dyDescent="0.25">
      <c r="A40143" s="118"/>
      <c r="B40143" s="136"/>
    </row>
    <row r="40144" spans="1:2" x14ac:dyDescent="0.25">
      <c r="A40144" s="118"/>
      <c r="B40144" s="136"/>
    </row>
    <row r="40145" spans="1:2" x14ac:dyDescent="0.25">
      <c r="A40145" s="118"/>
      <c r="B40145" s="136"/>
    </row>
    <row r="40146" spans="1:2" x14ac:dyDescent="0.25">
      <c r="A40146" s="118"/>
      <c r="B40146" s="136"/>
    </row>
    <row r="40147" spans="1:2" x14ac:dyDescent="0.25">
      <c r="A40147" s="118"/>
      <c r="B40147" s="136"/>
    </row>
    <row r="40148" spans="1:2" x14ac:dyDescent="0.25">
      <c r="A40148" s="118"/>
      <c r="B40148" s="136"/>
    </row>
    <row r="40149" spans="1:2" x14ac:dyDescent="0.25">
      <c r="A40149" s="118"/>
      <c r="B40149" s="136"/>
    </row>
    <row r="40150" spans="1:2" x14ac:dyDescent="0.25">
      <c r="A40150" s="118"/>
      <c r="B40150" s="136"/>
    </row>
    <row r="40151" spans="1:2" x14ac:dyDescent="0.25">
      <c r="A40151" s="118"/>
      <c r="B40151" s="136"/>
    </row>
    <row r="40152" spans="1:2" x14ac:dyDescent="0.25">
      <c r="A40152" s="118"/>
      <c r="B40152" s="136"/>
    </row>
    <row r="40153" spans="1:2" x14ac:dyDescent="0.25">
      <c r="A40153" s="118"/>
      <c r="B40153" s="136"/>
    </row>
    <row r="40154" spans="1:2" x14ac:dyDescent="0.25">
      <c r="A40154" s="118"/>
      <c r="B40154" s="136"/>
    </row>
    <row r="40155" spans="1:2" x14ac:dyDescent="0.25">
      <c r="A40155" s="118"/>
      <c r="B40155" s="136"/>
    </row>
    <row r="40156" spans="1:2" x14ac:dyDescent="0.25">
      <c r="A40156" s="118"/>
      <c r="B40156" s="136"/>
    </row>
    <row r="40157" spans="1:2" x14ac:dyDescent="0.25">
      <c r="A40157" s="118"/>
      <c r="B40157" s="136"/>
    </row>
    <row r="40158" spans="1:2" x14ac:dyDescent="0.25">
      <c r="A40158" s="118"/>
      <c r="B40158" s="136"/>
    </row>
    <row r="40159" spans="1:2" x14ac:dyDescent="0.25">
      <c r="A40159" s="118"/>
      <c r="B40159" s="136"/>
    </row>
    <row r="40160" spans="1:2" x14ac:dyDescent="0.25">
      <c r="A40160" s="118"/>
      <c r="B40160" s="136"/>
    </row>
    <row r="40161" spans="1:2" x14ac:dyDescent="0.25">
      <c r="A40161" s="118"/>
      <c r="B40161" s="136"/>
    </row>
    <row r="40162" spans="1:2" x14ac:dyDescent="0.25">
      <c r="A40162" s="118"/>
      <c r="B40162" s="136"/>
    </row>
    <row r="40163" spans="1:2" x14ac:dyDescent="0.25">
      <c r="A40163" s="118"/>
      <c r="B40163" s="136"/>
    </row>
    <row r="40164" spans="1:2" x14ac:dyDescent="0.25">
      <c r="A40164" s="118"/>
      <c r="B40164" s="136"/>
    </row>
    <row r="40165" spans="1:2" x14ac:dyDescent="0.25">
      <c r="A40165" s="118"/>
      <c r="B40165" s="136"/>
    </row>
    <row r="40166" spans="1:2" x14ac:dyDescent="0.25">
      <c r="A40166" s="118"/>
      <c r="B40166" s="136"/>
    </row>
    <row r="40167" spans="1:2" x14ac:dyDescent="0.25">
      <c r="A40167" s="118"/>
      <c r="B40167" s="136"/>
    </row>
    <row r="40168" spans="1:2" x14ac:dyDescent="0.25">
      <c r="A40168" s="118"/>
      <c r="B40168" s="136"/>
    </row>
    <row r="40169" spans="1:2" x14ac:dyDescent="0.25">
      <c r="A40169" s="118"/>
      <c r="B40169" s="136"/>
    </row>
    <row r="40170" spans="1:2" x14ac:dyDescent="0.25">
      <c r="A40170" s="118"/>
      <c r="B40170" s="136"/>
    </row>
    <row r="40171" spans="1:2" x14ac:dyDescent="0.25">
      <c r="A40171" s="118"/>
      <c r="B40171" s="136"/>
    </row>
    <row r="40172" spans="1:2" x14ac:dyDescent="0.25">
      <c r="A40172" s="118"/>
      <c r="B40172" s="136"/>
    </row>
    <row r="40173" spans="1:2" x14ac:dyDescent="0.25">
      <c r="A40173" s="118"/>
      <c r="B40173" s="136"/>
    </row>
    <row r="40174" spans="1:2" x14ac:dyDescent="0.25">
      <c r="A40174" s="118"/>
      <c r="B40174" s="136"/>
    </row>
    <row r="40175" spans="1:2" x14ac:dyDescent="0.25">
      <c r="A40175" s="118"/>
      <c r="B40175" s="136"/>
    </row>
    <row r="40176" spans="1:2" x14ac:dyDescent="0.25">
      <c r="A40176" s="118"/>
      <c r="B40176" s="136"/>
    </row>
    <row r="40177" spans="1:2" x14ac:dyDescent="0.25">
      <c r="A40177" s="118"/>
      <c r="B40177" s="136"/>
    </row>
    <row r="40178" spans="1:2" x14ac:dyDescent="0.25">
      <c r="A40178" s="118"/>
      <c r="B40178" s="136"/>
    </row>
    <row r="40179" spans="1:2" x14ac:dyDescent="0.25">
      <c r="A40179" s="118"/>
      <c r="B40179" s="136"/>
    </row>
    <row r="40180" spans="1:2" x14ac:dyDescent="0.25">
      <c r="A40180" s="118"/>
      <c r="B40180" s="136"/>
    </row>
    <row r="40181" spans="1:2" x14ac:dyDescent="0.25">
      <c r="A40181" s="118"/>
      <c r="B40181" s="136"/>
    </row>
    <row r="40182" spans="1:2" x14ac:dyDescent="0.25">
      <c r="A40182" s="118"/>
      <c r="B40182" s="136"/>
    </row>
    <row r="40183" spans="1:2" x14ac:dyDescent="0.25">
      <c r="A40183" s="118"/>
      <c r="B40183" s="136"/>
    </row>
    <row r="40184" spans="1:2" x14ac:dyDescent="0.25">
      <c r="A40184" s="118"/>
      <c r="B40184" s="136"/>
    </row>
    <row r="40185" spans="1:2" x14ac:dyDescent="0.25">
      <c r="A40185" s="118"/>
      <c r="B40185" s="136"/>
    </row>
    <row r="40186" spans="1:2" x14ac:dyDescent="0.25">
      <c r="A40186" s="118"/>
      <c r="B40186" s="136"/>
    </row>
    <row r="40187" spans="1:2" x14ac:dyDescent="0.25">
      <c r="A40187" s="118"/>
      <c r="B40187" s="136"/>
    </row>
    <row r="40188" spans="1:2" x14ac:dyDescent="0.25">
      <c r="A40188" s="118"/>
      <c r="B40188" s="136"/>
    </row>
    <row r="40189" spans="1:2" x14ac:dyDescent="0.25">
      <c r="A40189" s="118"/>
      <c r="B40189" s="136"/>
    </row>
    <row r="40190" spans="1:2" x14ac:dyDescent="0.25">
      <c r="A40190" s="118"/>
      <c r="B40190" s="136"/>
    </row>
    <row r="40191" spans="1:2" x14ac:dyDescent="0.25">
      <c r="A40191" s="118"/>
      <c r="B40191" s="136"/>
    </row>
    <row r="40192" spans="1:2" x14ac:dyDescent="0.25">
      <c r="A40192" s="118"/>
      <c r="B40192" s="136"/>
    </row>
    <row r="40193" spans="1:2" x14ac:dyDescent="0.25">
      <c r="A40193" s="118"/>
      <c r="B40193" s="136"/>
    </row>
    <row r="40194" spans="1:2" x14ac:dyDescent="0.25">
      <c r="A40194" s="118"/>
      <c r="B40194" s="136"/>
    </row>
    <row r="40195" spans="1:2" x14ac:dyDescent="0.25">
      <c r="A40195" s="118"/>
      <c r="B40195" s="136"/>
    </row>
    <row r="40196" spans="1:2" x14ac:dyDescent="0.25">
      <c r="A40196" s="118"/>
      <c r="B40196" s="136"/>
    </row>
    <row r="40197" spans="1:2" x14ac:dyDescent="0.25">
      <c r="A40197" s="118"/>
      <c r="B40197" s="136"/>
    </row>
    <row r="40198" spans="1:2" x14ac:dyDescent="0.25">
      <c r="A40198" s="118"/>
      <c r="B40198" s="136"/>
    </row>
    <row r="40199" spans="1:2" x14ac:dyDescent="0.25">
      <c r="A40199" s="118"/>
      <c r="B40199" s="136"/>
    </row>
    <row r="40200" spans="1:2" x14ac:dyDescent="0.25">
      <c r="A40200" s="118"/>
      <c r="B40200" s="136"/>
    </row>
    <row r="40201" spans="1:2" x14ac:dyDescent="0.25">
      <c r="A40201" s="118"/>
      <c r="B40201" s="136"/>
    </row>
    <row r="40202" spans="1:2" x14ac:dyDescent="0.25">
      <c r="A40202" s="118"/>
      <c r="B40202" s="136"/>
    </row>
    <row r="40203" spans="1:2" x14ac:dyDescent="0.25">
      <c r="A40203" s="118"/>
      <c r="B40203" s="136"/>
    </row>
    <row r="40204" spans="1:2" x14ac:dyDescent="0.25">
      <c r="A40204" s="118"/>
      <c r="B40204" s="136"/>
    </row>
    <row r="40205" spans="1:2" x14ac:dyDescent="0.25">
      <c r="A40205" s="118"/>
      <c r="B40205" s="136"/>
    </row>
    <row r="40206" spans="1:2" x14ac:dyDescent="0.25">
      <c r="A40206" s="118"/>
      <c r="B40206" s="136"/>
    </row>
    <row r="40207" spans="1:2" x14ac:dyDescent="0.25">
      <c r="A40207" s="118"/>
      <c r="B40207" s="136"/>
    </row>
    <row r="40208" spans="1:2" x14ac:dyDescent="0.25">
      <c r="A40208" s="118"/>
      <c r="B40208" s="136"/>
    </row>
    <row r="40209" spans="1:2" x14ac:dyDescent="0.25">
      <c r="A40209" s="118"/>
      <c r="B40209" s="136"/>
    </row>
    <row r="40210" spans="1:2" x14ac:dyDescent="0.25">
      <c r="A40210" s="118"/>
      <c r="B40210" s="136"/>
    </row>
    <row r="40211" spans="1:2" x14ac:dyDescent="0.25">
      <c r="A40211" s="118"/>
      <c r="B40211" s="136"/>
    </row>
    <row r="40212" spans="1:2" x14ac:dyDescent="0.25">
      <c r="A40212" s="118"/>
      <c r="B40212" s="136"/>
    </row>
    <row r="40213" spans="1:2" x14ac:dyDescent="0.25">
      <c r="A40213" s="118"/>
      <c r="B40213" s="136"/>
    </row>
    <row r="40214" spans="1:2" x14ac:dyDescent="0.25">
      <c r="A40214" s="118"/>
      <c r="B40214" s="136"/>
    </row>
    <row r="40215" spans="1:2" x14ac:dyDescent="0.25">
      <c r="A40215" s="118"/>
      <c r="B40215" s="136"/>
    </row>
    <row r="40216" spans="1:2" x14ac:dyDescent="0.25">
      <c r="A40216" s="118"/>
      <c r="B40216" s="136"/>
    </row>
    <row r="40217" spans="1:2" x14ac:dyDescent="0.25">
      <c r="A40217" s="118"/>
      <c r="B40217" s="136"/>
    </row>
    <row r="40218" spans="1:2" x14ac:dyDescent="0.25">
      <c r="A40218" s="118"/>
      <c r="B40218" s="136"/>
    </row>
    <row r="40219" spans="1:2" x14ac:dyDescent="0.25">
      <c r="A40219" s="118"/>
      <c r="B40219" s="136"/>
    </row>
    <row r="40220" spans="1:2" x14ac:dyDescent="0.25">
      <c r="A40220" s="118"/>
      <c r="B40220" s="136"/>
    </row>
    <row r="40221" spans="1:2" x14ac:dyDescent="0.25">
      <c r="A40221" s="118"/>
      <c r="B40221" s="136"/>
    </row>
    <row r="40222" spans="1:2" x14ac:dyDescent="0.25">
      <c r="A40222" s="118"/>
      <c r="B40222" s="136"/>
    </row>
    <row r="40223" spans="1:2" x14ac:dyDescent="0.25">
      <c r="A40223" s="118"/>
      <c r="B40223" s="136"/>
    </row>
    <row r="40224" spans="1:2" x14ac:dyDescent="0.25">
      <c r="A40224" s="118"/>
      <c r="B40224" s="136"/>
    </row>
    <row r="40225" spans="1:2" x14ac:dyDescent="0.25">
      <c r="A40225" s="118"/>
      <c r="B40225" s="136"/>
    </row>
    <row r="40226" spans="1:2" x14ac:dyDescent="0.25">
      <c r="A40226" s="118"/>
      <c r="B40226" s="136"/>
    </row>
    <row r="40227" spans="1:2" x14ac:dyDescent="0.25">
      <c r="A40227" s="118"/>
      <c r="B40227" s="136"/>
    </row>
    <row r="40228" spans="1:2" x14ac:dyDescent="0.25">
      <c r="A40228" s="118"/>
      <c r="B40228" s="136"/>
    </row>
    <row r="40229" spans="1:2" x14ac:dyDescent="0.25">
      <c r="A40229" s="118"/>
      <c r="B40229" s="136"/>
    </row>
    <row r="40230" spans="1:2" x14ac:dyDescent="0.25">
      <c r="A40230" s="118"/>
      <c r="B40230" s="136"/>
    </row>
    <row r="40231" spans="1:2" x14ac:dyDescent="0.25">
      <c r="A40231" s="118"/>
      <c r="B40231" s="136"/>
    </row>
    <row r="40232" spans="1:2" x14ac:dyDescent="0.25">
      <c r="A40232" s="118"/>
      <c r="B40232" s="136"/>
    </row>
    <row r="40233" spans="1:2" x14ac:dyDescent="0.25">
      <c r="A40233" s="118"/>
      <c r="B40233" s="136"/>
    </row>
    <row r="40234" spans="1:2" x14ac:dyDescent="0.25">
      <c r="A40234" s="118"/>
      <c r="B40234" s="136"/>
    </row>
    <row r="40235" spans="1:2" x14ac:dyDescent="0.25">
      <c r="A40235" s="118"/>
      <c r="B40235" s="136"/>
    </row>
    <row r="40236" spans="1:2" x14ac:dyDescent="0.25">
      <c r="A40236" s="118"/>
      <c r="B40236" s="136"/>
    </row>
    <row r="40237" spans="1:2" x14ac:dyDescent="0.25">
      <c r="A40237" s="118"/>
      <c r="B40237" s="136"/>
    </row>
    <row r="40238" spans="1:2" x14ac:dyDescent="0.25">
      <c r="A40238" s="118"/>
      <c r="B40238" s="136"/>
    </row>
    <row r="40239" spans="1:2" x14ac:dyDescent="0.25">
      <c r="A40239" s="118"/>
      <c r="B40239" s="136"/>
    </row>
    <row r="40240" spans="1:2" x14ac:dyDescent="0.25">
      <c r="A40240" s="118"/>
      <c r="B40240" s="136"/>
    </row>
    <row r="40241" spans="1:2" x14ac:dyDescent="0.25">
      <c r="A40241" s="118"/>
      <c r="B40241" s="136"/>
    </row>
    <row r="40242" spans="1:2" x14ac:dyDescent="0.25">
      <c r="A40242" s="118"/>
      <c r="B40242" s="136"/>
    </row>
    <row r="40243" spans="1:2" x14ac:dyDescent="0.25">
      <c r="A40243" s="118"/>
      <c r="B40243" s="136"/>
    </row>
    <row r="40244" spans="1:2" x14ac:dyDescent="0.25">
      <c r="A40244" s="118"/>
      <c r="B40244" s="136"/>
    </row>
    <row r="40245" spans="1:2" x14ac:dyDescent="0.25">
      <c r="A40245" s="118"/>
      <c r="B40245" s="136"/>
    </row>
    <row r="40246" spans="1:2" x14ac:dyDescent="0.25">
      <c r="A40246" s="118"/>
      <c r="B40246" s="136"/>
    </row>
    <row r="40247" spans="1:2" x14ac:dyDescent="0.25">
      <c r="A40247" s="118"/>
      <c r="B40247" s="136"/>
    </row>
    <row r="40248" spans="1:2" x14ac:dyDescent="0.25">
      <c r="A40248" s="118"/>
      <c r="B40248" s="136"/>
    </row>
    <row r="40249" spans="1:2" x14ac:dyDescent="0.25">
      <c r="A40249" s="118"/>
      <c r="B40249" s="136"/>
    </row>
    <row r="40250" spans="1:2" x14ac:dyDescent="0.25">
      <c r="A40250" s="118"/>
      <c r="B40250" s="136"/>
    </row>
    <row r="40251" spans="1:2" x14ac:dyDescent="0.25">
      <c r="A40251" s="118"/>
      <c r="B40251" s="136"/>
    </row>
    <row r="40252" spans="1:2" x14ac:dyDescent="0.25">
      <c r="A40252" s="118"/>
      <c r="B40252" s="136"/>
    </row>
    <row r="40253" spans="1:2" x14ac:dyDescent="0.25">
      <c r="A40253" s="118"/>
      <c r="B40253" s="136"/>
    </row>
    <row r="40254" spans="1:2" x14ac:dyDescent="0.25">
      <c r="A40254" s="118"/>
      <c r="B40254" s="136"/>
    </row>
    <row r="40255" spans="1:2" x14ac:dyDescent="0.25">
      <c r="A40255" s="118"/>
      <c r="B40255" s="136"/>
    </row>
    <row r="40256" spans="1:2" x14ac:dyDescent="0.25">
      <c r="A40256" s="118"/>
      <c r="B40256" s="136"/>
    </row>
    <row r="40257" spans="1:2" x14ac:dyDescent="0.25">
      <c r="A40257" s="118"/>
      <c r="B40257" s="136"/>
    </row>
    <row r="40258" spans="1:2" x14ac:dyDescent="0.25">
      <c r="A40258" s="118"/>
      <c r="B40258" s="136"/>
    </row>
    <row r="40259" spans="1:2" x14ac:dyDescent="0.25">
      <c r="A40259" s="118"/>
      <c r="B40259" s="136"/>
    </row>
    <row r="40260" spans="1:2" x14ac:dyDescent="0.25">
      <c r="A40260" s="118"/>
      <c r="B40260" s="136"/>
    </row>
    <row r="40261" spans="1:2" x14ac:dyDescent="0.25">
      <c r="A40261" s="118"/>
      <c r="B40261" s="136"/>
    </row>
    <row r="40262" spans="1:2" x14ac:dyDescent="0.25">
      <c r="A40262" s="118"/>
      <c r="B40262" s="136"/>
    </row>
    <row r="40263" spans="1:2" x14ac:dyDescent="0.25">
      <c r="A40263" s="118"/>
      <c r="B40263" s="136"/>
    </row>
    <row r="40264" spans="1:2" x14ac:dyDescent="0.25">
      <c r="A40264" s="118"/>
      <c r="B40264" s="136"/>
    </row>
    <row r="40265" spans="1:2" x14ac:dyDescent="0.25">
      <c r="A40265" s="118"/>
      <c r="B40265" s="136"/>
    </row>
    <row r="40266" spans="1:2" x14ac:dyDescent="0.25">
      <c r="A40266" s="118"/>
      <c r="B40266" s="136"/>
    </row>
    <row r="40267" spans="1:2" x14ac:dyDescent="0.25">
      <c r="A40267" s="118"/>
      <c r="B40267" s="136"/>
    </row>
    <row r="40268" spans="1:2" x14ac:dyDescent="0.25">
      <c r="A40268" s="118"/>
      <c r="B40268" s="136"/>
    </row>
    <row r="40269" spans="1:2" x14ac:dyDescent="0.25">
      <c r="A40269" s="118"/>
      <c r="B40269" s="136"/>
    </row>
    <row r="40270" spans="1:2" x14ac:dyDescent="0.25">
      <c r="A40270" s="118"/>
      <c r="B40270" s="136"/>
    </row>
    <row r="40271" spans="1:2" x14ac:dyDescent="0.25">
      <c r="A40271" s="118"/>
      <c r="B40271" s="136"/>
    </row>
    <row r="40272" spans="1:2" x14ac:dyDescent="0.25">
      <c r="A40272" s="118"/>
      <c r="B40272" s="136"/>
    </row>
    <row r="40273" spans="1:2" x14ac:dyDescent="0.25">
      <c r="A40273" s="118"/>
      <c r="B40273" s="136"/>
    </row>
    <row r="40274" spans="1:2" x14ac:dyDescent="0.25">
      <c r="A40274" s="118"/>
      <c r="B40274" s="136"/>
    </row>
    <row r="40275" spans="1:2" x14ac:dyDescent="0.25">
      <c r="A40275" s="118"/>
      <c r="B40275" s="136"/>
    </row>
    <row r="40276" spans="1:2" x14ac:dyDescent="0.25">
      <c r="A40276" s="118"/>
      <c r="B40276" s="136"/>
    </row>
    <row r="40277" spans="1:2" x14ac:dyDescent="0.25">
      <c r="A40277" s="118"/>
      <c r="B40277" s="136"/>
    </row>
    <row r="40278" spans="1:2" x14ac:dyDescent="0.25">
      <c r="A40278" s="118"/>
      <c r="B40278" s="136"/>
    </row>
    <row r="40279" spans="1:2" x14ac:dyDescent="0.25">
      <c r="A40279" s="118"/>
      <c r="B40279" s="136"/>
    </row>
    <row r="40280" spans="1:2" x14ac:dyDescent="0.25">
      <c r="A40280" s="118"/>
      <c r="B40280" s="136"/>
    </row>
    <row r="40281" spans="1:2" x14ac:dyDescent="0.25">
      <c r="A40281" s="118"/>
      <c r="B40281" s="136"/>
    </row>
    <row r="40282" spans="1:2" x14ac:dyDescent="0.25">
      <c r="A40282" s="118"/>
      <c r="B40282" s="136"/>
    </row>
    <row r="40283" spans="1:2" x14ac:dyDescent="0.25">
      <c r="A40283" s="118"/>
      <c r="B40283" s="136"/>
    </row>
    <row r="40284" spans="1:2" x14ac:dyDescent="0.25">
      <c r="A40284" s="118"/>
      <c r="B40284" s="136"/>
    </row>
    <row r="40285" spans="1:2" x14ac:dyDescent="0.25">
      <c r="A40285" s="118"/>
      <c r="B40285" s="136"/>
    </row>
    <row r="40286" spans="1:2" x14ac:dyDescent="0.25">
      <c r="A40286" s="118"/>
      <c r="B40286" s="136"/>
    </row>
    <row r="40287" spans="1:2" x14ac:dyDescent="0.25">
      <c r="A40287" s="118"/>
      <c r="B40287" s="136"/>
    </row>
    <row r="40288" spans="1:2" x14ac:dyDescent="0.25">
      <c r="A40288" s="118"/>
      <c r="B40288" s="136"/>
    </row>
    <row r="40289" spans="1:2" x14ac:dyDescent="0.25">
      <c r="A40289" s="118"/>
      <c r="B40289" s="136"/>
    </row>
    <row r="40290" spans="1:2" x14ac:dyDescent="0.25">
      <c r="A40290" s="118"/>
      <c r="B40290" s="136"/>
    </row>
    <row r="40291" spans="1:2" x14ac:dyDescent="0.25">
      <c r="A40291" s="118"/>
      <c r="B40291" s="136"/>
    </row>
    <row r="40292" spans="1:2" x14ac:dyDescent="0.25">
      <c r="A40292" s="118"/>
      <c r="B40292" s="136"/>
    </row>
    <row r="40293" spans="1:2" x14ac:dyDescent="0.25">
      <c r="A40293" s="118"/>
      <c r="B40293" s="136"/>
    </row>
    <row r="40294" spans="1:2" x14ac:dyDescent="0.25">
      <c r="A40294" s="118"/>
      <c r="B40294" s="136"/>
    </row>
    <row r="40295" spans="1:2" x14ac:dyDescent="0.25">
      <c r="A40295" s="118"/>
      <c r="B40295" s="136"/>
    </row>
    <row r="40296" spans="1:2" x14ac:dyDescent="0.25">
      <c r="A40296" s="118"/>
      <c r="B40296" s="136"/>
    </row>
    <row r="40297" spans="1:2" x14ac:dyDescent="0.25">
      <c r="A40297" s="118"/>
      <c r="B40297" s="136"/>
    </row>
    <row r="40298" spans="1:2" x14ac:dyDescent="0.25">
      <c r="A40298" s="118"/>
      <c r="B40298" s="136"/>
    </row>
    <row r="40299" spans="1:2" x14ac:dyDescent="0.25">
      <c r="A40299" s="118"/>
      <c r="B40299" s="136"/>
    </row>
    <row r="40300" spans="1:2" x14ac:dyDescent="0.25">
      <c r="A40300" s="118"/>
      <c r="B40300" s="136"/>
    </row>
    <row r="40301" spans="1:2" x14ac:dyDescent="0.25">
      <c r="A40301" s="118"/>
      <c r="B40301" s="136"/>
    </row>
    <row r="40302" spans="1:2" x14ac:dyDescent="0.25">
      <c r="A40302" s="118"/>
      <c r="B40302" s="136"/>
    </row>
    <row r="40303" spans="1:2" x14ac:dyDescent="0.25">
      <c r="A40303" s="118"/>
      <c r="B40303" s="136"/>
    </row>
    <row r="40304" spans="1:2" x14ac:dyDescent="0.25">
      <c r="A40304" s="118"/>
      <c r="B40304" s="136"/>
    </row>
    <row r="40305" spans="1:2" x14ac:dyDescent="0.25">
      <c r="A40305" s="118"/>
      <c r="B40305" s="136"/>
    </row>
    <row r="40306" spans="1:2" x14ac:dyDescent="0.25">
      <c r="A40306" s="118"/>
      <c r="B40306" s="136"/>
    </row>
    <row r="40307" spans="1:2" x14ac:dyDescent="0.25">
      <c r="A40307" s="118"/>
      <c r="B40307" s="136"/>
    </row>
    <row r="40308" spans="1:2" x14ac:dyDescent="0.25">
      <c r="A40308" s="118"/>
      <c r="B40308" s="136"/>
    </row>
    <row r="40309" spans="1:2" x14ac:dyDescent="0.25">
      <c r="A40309" s="118"/>
      <c r="B40309" s="136"/>
    </row>
    <row r="40310" spans="1:2" x14ac:dyDescent="0.25">
      <c r="A40310" s="118"/>
      <c r="B40310" s="136"/>
    </row>
    <row r="40311" spans="1:2" x14ac:dyDescent="0.25">
      <c r="A40311" s="118"/>
      <c r="B40311" s="136"/>
    </row>
    <row r="40312" spans="1:2" x14ac:dyDescent="0.25">
      <c r="A40312" s="118"/>
      <c r="B40312" s="136"/>
    </row>
    <row r="40313" spans="1:2" x14ac:dyDescent="0.25">
      <c r="A40313" s="118"/>
      <c r="B40313" s="136"/>
    </row>
    <row r="40314" spans="1:2" x14ac:dyDescent="0.25">
      <c r="A40314" s="118"/>
      <c r="B40314" s="136"/>
    </row>
    <row r="40315" spans="1:2" x14ac:dyDescent="0.25">
      <c r="A40315" s="118"/>
      <c r="B40315" s="136"/>
    </row>
    <row r="40316" spans="1:2" x14ac:dyDescent="0.25">
      <c r="A40316" s="118"/>
      <c r="B40316" s="136"/>
    </row>
    <row r="40317" spans="1:2" x14ac:dyDescent="0.25">
      <c r="A40317" s="118"/>
      <c r="B40317" s="136"/>
    </row>
    <row r="40318" spans="1:2" x14ac:dyDescent="0.25">
      <c r="A40318" s="118"/>
      <c r="B40318" s="136"/>
    </row>
    <row r="40319" spans="1:2" x14ac:dyDescent="0.25">
      <c r="A40319" s="118"/>
      <c r="B40319" s="136"/>
    </row>
    <row r="40320" spans="1:2" x14ac:dyDescent="0.25">
      <c r="A40320" s="118"/>
      <c r="B40320" s="136"/>
    </row>
    <row r="40321" spans="1:2" x14ac:dyDescent="0.25">
      <c r="A40321" s="118"/>
      <c r="B40321" s="136"/>
    </row>
    <row r="40322" spans="1:2" x14ac:dyDescent="0.25">
      <c r="A40322" s="118"/>
      <c r="B40322" s="136"/>
    </row>
    <row r="40323" spans="1:2" x14ac:dyDescent="0.25">
      <c r="A40323" s="118"/>
      <c r="B40323" s="136"/>
    </row>
    <row r="40324" spans="1:2" x14ac:dyDescent="0.25">
      <c r="A40324" s="118"/>
      <c r="B40324" s="136"/>
    </row>
    <row r="40325" spans="1:2" x14ac:dyDescent="0.25">
      <c r="A40325" s="118"/>
      <c r="B40325" s="136"/>
    </row>
    <row r="40326" spans="1:2" x14ac:dyDescent="0.25">
      <c r="A40326" s="118"/>
      <c r="B40326" s="136"/>
    </row>
    <row r="40327" spans="1:2" x14ac:dyDescent="0.25">
      <c r="A40327" s="118"/>
      <c r="B40327" s="136"/>
    </row>
    <row r="40328" spans="1:2" x14ac:dyDescent="0.25">
      <c r="A40328" s="118"/>
      <c r="B40328" s="136"/>
    </row>
    <row r="40329" spans="1:2" x14ac:dyDescent="0.25">
      <c r="A40329" s="118"/>
      <c r="B40329" s="136"/>
    </row>
    <row r="40330" spans="1:2" x14ac:dyDescent="0.25">
      <c r="A40330" s="118"/>
      <c r="B40330" s="136"/>
    </row>
    <row r="40331" spans="1:2" x14ac:dyDescent="0.25">
      <c r="A40331" s="118"/>
      <c r="B40331" s="136"/>
    </row>
    <row r="40332" spans="1:2" x14ac:dyDescent="0.25">
      <c r="A40332" s="118"/>
      <c r="B40332" s="136"/>
    </row>
    <row r="40333" spans="1:2" x14ac:dyDescent="0.25">
      <c r="A40333" s="118"/>
      <c r="B40333" s="136"/>
    </row>
    <row r="40334" spans="1:2" x14ac:dyDescent="0.25">
      <c r="A40334" s="118"/>
      <c r="B40334" s="136"/>
    </row>
    <row r="40335" spans="1:2" x14ac:dyDescent="0.25">
      <c r="A40335" s="118"/>
      <c r="B40335" s="136"/>
    </row>
    <row r="40336" spans="1:2" x14ac:dyDescent="0.25">
      <c r="A40336" s="118"/>
      <c r="B40336" s="136"/>
    </row>
    <row r="40337" spans="1:2" x14ac:dyDescent="0.25">
      <c r="A40337" s="118"/>
      <c r="B40337" s="136"/>
    </row>
    <row r="40338" spans="1:2" x14ac:dyDescent="0.25">
      <c r="A40338" s="118"/>
      <c r="B40338" s="136"/>
    </row>
    <row r="40339" spans="1:2" x14ac:dyDescent="0.25">
      <c r="A40339" s="118"/>
      <c r="B40339" s="136"/>
    </row>
    <row r="40340" spans="1:2" x14ac:dyDescent="0.25">
      <c r="A40340" s="118"/>
      <c r="B40340" s="136"/>
    </row>
    <row r="40341" spans="1:2" x14ac:dyDescent="0.25">
      <c r="A40341" s="118"/>
      <c r="B40341" s="136"/>
    </row>
    <row r="40342" spans="1:2" x14ac:dyDescent="0.25">
      <c r="A40342" s="118"/>
      <c r="B40342" s="136"/>
    </row>
    <row r="40343" spans="1:2" x14ac:dyDescent="0.25">
      <c r="A40343" s="118"/>
      <c r="B40343" s="136"/>
    </row>
    <row r="40344" spans="1:2" x14ac:dyDescent="0.25">
      <c r="A40344" s="118"/>
      <c r="B40344" s="136"/>
    </row>
    <row r="40345" spans="1:2" x14ac:dyDescent="0.25">
      <c r="A40345" s="118"/>
      <c r="B40345" s="136"/>
    </row>
    <row r="40346" spans="1:2" x14ac:dyDescent="0.25">
      <c r="A40346" s="118"/>
      <c r="B40346" s="136"/>
    </row>
    <row r="40347" spans="1:2" x14ac:dyDescent="0.25">
      <c r="A40347" s="118"/>
      <c r="B40347" s="136"/>
    </row>
    <row r="40348" spans="1:2" x14ac:dyDescent="0.25">
      <c r="A40348" s="118"/>
      <c r="B40348" s="136"/>
    </row>
    <row r="40349" spans="1:2" x14ac:dyDescent="0.25">
      <c r="A40349" s="118"/>
      <c r="B40349" s="136"/>
    </row>
    <row r="40350" spans="1:2" x14ac:dyDescent="0.25">
      <c r="A40350" s="118"/>
      <c r="B40350" s="136"/>
    </row>
    <row r="40351" spans="1:2" x14ac:dyDescent="0.25">
      <c r="A40351" s="118"/>
      <c r="B40351" s="136"/>
    </row>
    <row r="40352" spans="1:2" x14ac:dyDescent="0.25">
      <c r="A40352" s="118"/>
      <c r="B40352" s="136"/>
    </row>
    <row r="40353" spans="1:2" x14ac:dyDescent="0.25">
      <c r="A40353" s="118"/>
      <c r="B40353" s="136"/>
    </row>
    <row r="40354" spans="1:2" x14ac:dyDescent="0.25">
      <c r="A40354" s="118"/>
      <c r="B40354" s="136"/>
    </row>
    <row r="40355" spans="1:2" x14ac:dyDescent="0.25">
      <c r="A40355" s="118"/>
      <c r="B40355" s="136"/>
    </row>
    <row r="40356" spans="1:2" x14ac:dyDescent="0.25">
      <c r="A40356" s="118"/>
      <c r="B40356" s="136"/>
    </row>
    <row r="40357" spans="1:2" x14ac:dyDescent="0.25">
      <c r="A40357" s="118"/>
      <c r="B40357" s="136"/>
    </row>
    <row r="40358" spans="1:2" x14ac:dyDescent="0.25">
      <c r="A40358" s="118"/>
      <c r="B40358" s="136"/>
    </row>
    <row r="40359" spans="1:2" x14ac:dyDescent="0.25">
      <c r="A40359" s="118"/>
      <c r="B40359" s="136"/>
    </row>
    <row r="40360" spans="1:2" x14ac:dyDescent="0.25">
      <c r="A40360" s="118"/>
      <c r="B40360" s="136"/>
    </row>
    <row r="40361" spans="1:2" x14ac:dyDescent="0.25">
      <c r="A40361" s="118"/>
      <c r="B40361" s="136"/>
    </row>
    <row r="40362" spans="1:2" x14ac:dyDescent="0.25">
      <c r="A40362" s="118"/>
      <c r="B40362" s="136"/>
    </row>
    <row r="40363" spans="1:2" x14ac:dyDescent="0.25">
      <c r="A40363" s="118"/>
      <c r="B40363" s="136"/>
    </row>
    <row r="40364" spans="1:2" x14ac:dyDescent="0.25">
      <c r="A40364" s="118"/>
      <c r="B40364" s="136"/>
    </row>
    <row r="40365" spans="1:2" x14ac:dyDescent="0.25">
      <c r="A40365" s="118"/>
      <c r="B40365" s="136"/>
    </row>
    <row r="40366" spans="1:2" x14ac:dyDescent="0.25">
      <c r="A40366" s="118"/>
      <c r="B40366" s="136"/>
    </row>
    <row r="40367" spans="1:2" x14ac:dyDescent="0.25">
      <c r="A40367" s="118"/>
      <c r="B40367" s="136"/>
    </row>
    <row r="40368" spans="1:2" x14ac:dyDescent="0.25">
      <c r="A40368" s="118"/>
      <c r="B40368" s="136"/>
    </row>
    <row r="40369" spans="1:2" x14ac:dyDescent="0.25">
      <c r="A40369" s="118"/>
      <c r="B40369" s="136"/>
    </row>
    <row r="40370" spans="1:2" x14ac:dyDescent="0.25">
      <c r="A40370" s="118"/>
      <c r="B40370" s="136"/>
    </row>
    <row r="40371" spans="1:2" x14ac:dyDescent="0.25">
      <c r="A40371" s="118"/>
      <c r="B40371" s="136"/>
    </row>
    <row r="40372" spans="1:2" x14ac:dyDescent="0.25">
      <c r="A40372" s="118"/>
      <c r="B40372" s="136"/>
    </row>
    <row r="40373" spans="1:2" x14ac:dyDescent="0.25">
      <c r="A40373" s="118"/>
      <c r="B40373" s="136"/>
    </row>
    <row r="40374" spans="1:2" x14ac:dyDescent="0.25">
      <c r="A40374" s="118"/>
      <c r="B40374" s="136"/>
    </row>
    <row r="40375" spans="1:2" x14ac:dyDescent="0.25">
      <c r="A40375" s="118"/>
      <c r="B40375" s="136"/>
    </row>
    <row r="40376" spans="1:2" x14ac:dyDescent="0.25">
      <c r="A40376" s="118"/>
      <c r="B40376" s="136"/>
    </row>
    <row r="40377" spans="1:2" x14ac:dyDescent="0.25">
      <c r="A40377" s="118"/>
      <c r="B40377" s="136"/>
    </row>
    <row r="40378" spans="1:2" x14ac:dyDescent="0.25">
      <c r="A40378" s="118"/>
      <c r="B40378" s="136"/>
    </row>
    <row r="40379" spans="1:2" x14ac:dyDescent="0.25">
      <c r="A40379" s="118"/>
      <c r="B40379" s="136"/>
    </row>
    <row r="40380" spans="1:2" x14ac:dyDescent="0.25">
      <c r="A40380" s="118"/>
      <c r="B40380" s="136"/>
    </row>
    <row r="40381" spans="1:2" x14ac:dyDescent="0.25">
      <c r="A40381" s="118"/>
      <c r="B40381" s="136"/>
    </row>
    <row r="40382" spans="1:2" x14ac:dyDescent="0.25">
      <c r="A40382" s="118"/>
      <c r="B40382" s="136"/>
    </row>
    <row r="40383" spans="1:2" x14ac:dyDescent="0.25">
      <c r="A40383" s="118"/>
      <c r="B40383" s="136"/>
    </row>
    <row r="40384" spans="1:2" x14ac:dyDescent="0.25">
      <c r="A40384" s="118"/>
      <c r="B40384" s="136"/>
    </row>
    <row r="40385" spans="1:2" x14ac:dyDescent="0.25">
      <c r="A40385" s="118"/>
      <c r="B40385" s="136"/>
    </row>
    <row r="40386" spans="1:2" x14ac:dyDescent="0.25">
      <c r="A40386" s="118"/>
      <c r="B40386" s="136"/>
    </row>
    <row r="40387" spans="1:2" x14ac:dyDescent="0.25">
      <c r="A40387" s="118"/>
      <c r="B40387" s="136"/>
    </row>
    <row r="40388" spans="1:2" x14ac:dyDescent="0.25">
      <c r="A40388" s="118"/>
      <c r="B40388" s="136"/>
    </row>
    <row r="40389" spans="1:2" x14ac:dyDescent="0.25">
      <c r="A40389" s="118"/>
      <c r="B40389" s="136"/>
    </row>
    <row r="40390" spans="1:2" x14ac:dyDescent="0.25">
      <c r="A40390" s="118"/>
      <c r="B40390" s="136"/>
    </row>
    <row r="40391" spans="1:2" x14ac:dyDescent="0.25">
      <c r="A40391" s="118"/>
      <c r="B40391" s="136"/>
    </row>
    <row r="40392" spans="1:2" x14ac:dyDescent="0.25">
      <c r="A40392" s="118"/>
      <c r="B40392" s="136"/>
    </row>
    <row r="40393" spans="1:2" x14ac:dyDescent="0.25">
      <c r="A40393" s="118"/>
      <c r="B40393" s="136"/>
    </row>
    <row r="40394" spans="1:2" x14ac:dyDescent="0.25">
      <c r="A40394" s="118"/>
      <c r="B40394" s="136"/>
    </row>
    <row r="40395" spans="1:2" x14ac:dyDescent="0.25">
      <c r="A40395" s="118"/>
      <c r="B40395" s="136"/>
    </row>
    <row r="40396" spans="1:2" x14ac:dyDescent="0.25">
      <c r="A40396" s="118"/>
      <c r="B40396" s="136"/>
    </row>
    <row r="40397" spans="1:2" x14ac:dyDescent="0.25">
      <c r="A40397" s="118"/>
      <c r="B40397" s="136"/>
    </row>
    <row r="40398" spans="1:2" x14ac:dyDescent="0.25">
      <c r="A40398" s="118"/>
      <c r="B40398" s="136"/>
    </row>
    <row r="40399" spans="1:2" x14ac:dyDescent="0.25">
      <c r="A40399" s="118"/>
      <c r="B40399" s="136"/>
    </row>
    <row r="40400" spans="1:2" x14ac:dyDescent="0.25">
      <c r="A40400" s="118"/>
      <c r="B40400" s="136"/>
    </row>
    <row r="40401" spans="1:2" x14ac:dyDescent="0.25">
      <c r="A40401" s="118"/>
      <c r="B40401" s="136"/>
    </row>
    <row r="40402" spans="1:2" x14ac:dyDescent="0.25">
      <c r="A40402" s="118"/>
      <c r="B40402" s="136"/>
    </row>
    <row r="40403" spans="1:2" x14ac:dyDescent="0.25">
      <c r="A40403" s="118"/>
      <c r="B40403" s="136"/>
    </row>
    <row r="40404" spans="1:2" x14ac:dyDescent="0.25">
      <c r="A40404" s="118"/>
      <c r="B40404" s="136"/>
    </row>
    <row r="40405" spans="1:2" x14ac:dyDescent="0.25">
      <c r="A40405" s="118"/>
      <c r="B40405" s="136"/>
    </row>
    <row r="40406" spans="1:2" x14ac:dyDescent="0.25">
      <c r="A40406" s="118"/>
      <c r="B40406" s="136"/>
    </row>
    <row r="40407" spans="1:2" x14ac:dyDescent="0.25">
      <c r="A40407" s="118"/>
      <c r="B40407" s="136"/>
    </row>
    <row r="40408" spans="1:2" x14ac:dyDescent="0.25">
      <c r="A40408" s="118"/>
      <c r="B40408" s="136"/>
    </row>
    <row r="40409" spans="1:2" x14ac:dyDescent="0.25">
      <c r="A40409" s="118"/>
      <c r="B40409" s="136"/>
    </row>
    <row r="40410" spans="1:2" x14ac:dyDescent="0.25">
      <c r="A40410" s="118"/>
      <c r="B40410" s="136"/>
    </row>
    <row r="40411" spans="1:2" x14ac:dyDescent="0.25">
      <c r="A40411" s="118"/>
      <c r="B40411" s="136"/>
    </row>
    <row r="40412" spans="1:2" x14ac:dyDescent="0.25">
      <c r="A40412" s="118"/>
      <c r="B40412" s="136"/>
    </row>
    <row r="40413" spans="1:2" x14ac:dyDescent="0.25">
      <c r="A40413" s="118"/>
      <c r="B40413" s="136"/>
    </row>
    <row r="40414" spans="1:2" x14ac:dyDescent="0.25">
      <c r="A40414" s="118"/>
      <c r="B40414" s="136"/>
    </row>
    <row r="40415" spans="1:2" x14ac:dyDescent="0.25">
      <c r="A40415" s="118"/>
      <c r="B40415" s="136"/>
    </row>
    <row r="40416" spans="1:2" x14ac:dyDescent="0.25">
      <c r="A40416" s="118"/>
      <c r="B40416" s="136"/>
    </row>
    <row r="40417" spans="1:2" x14ac:dyDescent="0.25">
      <c r="A40417" s="118"/>
      <c r="B40417" s="136"/>
    </row>
    <row r="40418" spans="1:2" x14ac:dyDescent="0.25">
      <c r="A40418" s="118"/>
      <c r="B40418" s="136"/>
    </row>
    <row r="40419" spans="1:2" x14ac:dyDescent="0.25">
      <c r="A40419" s="118"/>
      <c r="B40419" s="136"/>
    </row>
    <row r="40420" spans="1:2" x14ac:dyDescent="0.25">
      <c r="A40420" s="118"/>
      <c r="B40420" s="136"/>
    </row>
    <row r="40421" spans="1:2" x14ac:dyDescent="0.25">
      <c r="A40421" s="118"/>
      <c r="B40421" s="136"/>
    </row>
    <row r="40422" spans="1:2" x14ac:dyDescent="0.25">
      <c r="A40422" s="118"/>
      <c r="B40422" s="136"/>
    </row>
    <row r="40423" spans="1:2" x14ac:dyDescent="0.25">
      <c r="A40423" s="118"/>
      <c r="B40423" s="136"/>
    </row>
    <row r="40424" spans="1:2" x14ac:dyDescent="0.25">
      <c r="A40424" s="118"/>
      <c r="B40424" s="136"/>
    </row>
    <row r="40425" spans="1:2" x14ac:dyDescent="0.25">
      <c r="A40425" s="118"/>
      <c r="B40425" s="136"/>
    </row>
    <row r="40426" spans="1:2" x14ac:dyDescent="0.25">
      <c r="A40426" s="118"/>
      <c r="B40426" s="136"/>
    </row>
    <row r="40427" spans="1:2" x14ac:dyDescent="0.25">
      <c r="A40427" s="118"/>
      <c r="B40427" s="136"/>
    </row>
    <row r="40428" spans="1:2" x14ac:dyDescent="0.25">
      <c r="A40428" s="118"/>
      <c r="B40428" s="136"/>
    </row>
    <row r="40429" spans="1:2" x14ac:dyDescent="0.25">
      <c r="A40429" s="118"/>
      <c r="B40429" s="136"/>
    </row>
    <row r="40430" spans="1:2" x14ac:dyDescent="0.25">
      <c r="A40430" s="118"/>
      <c r="B40430" s="136"/>
    </row>
    <row r="40431" spans="1:2" x14ac:dyDescent="0.25">
      <c r="A40431" s="118"/>
      <c r="B40431" s="136"/>
    </row>
    <row r="40432" spans="1:2" x14ac:dyDescent="0.25">
      <c r="A40432" s="118"/>
      <c r="B40432" s="136"/>
    </row>
    <row r="40433" spans="1:2" x14ac:dyDescent="0.25">
      <c r="A40433" s="118"/>
      <c r="B40433" s="136"/>
    </row>
    <row r="40434" spans="1:2" x14ac:dyDescent="0.25">
      <c r="A40434" s="118"/>
      <c r="B40434" s="136"/>
    </row>
    <row r="40435" spans="1:2" x14ac:dyDescent="0.25">
      <c r="A40435" s="118"/>
      <c r="B40435" s="136"/>
    </row>
    <row r="40436" spans="1:2" x14ac:dyDescent="0.25">
      <c r="A40436" s="118"/>
      <c r="B40436" s="136"/>
    </row>
    <row r="40437" spans="1:2" x14ac:dyDescent="0.25">
      <c r="A40437" s="118"/>
      <c r="B40437" s="136"/>
    </row>
    <row r="40438" spans="1:2" x14ac:dyDescent="0.25">
      <c r="A40438" s="118"/>
      <c r="B40438" s="136"/>
    </row>
    <row r="40439" spans="1:2" x14ac:dyDescent="0.25">
      <c r="A40439" s="118"/>
      <c r="B40439" s="136"/>
    </row>
    <row r="40440" spans="1:2" x14ac:dyDescent="0.25">
      <c r="A40440" s="118"/>
      <c r="B40440" s="136"/>
    </row>
    <row r="40441" spans="1:2" x14ac:dyDescent="0.25">
      <c r="A40441" s="118"/>
      <c r="B40441" s="136"/>
    </row>
    <row r="40442" spans="1:2" x14ac:dyDescent="0.25">
      <c r="A40442" s="118"/>
      <c r="B40442" s="136"/>
    </row>
    <row r="40443" spans="1:2" x14ac:dyDescent="0.25">
      <c r="A40443" s="118"/>
      <c r="B40443" s="136"/>
    </row>
    <row r="40444" spans="1:2" x14ac:dyDescent="0.25">
      <c r="A40444" s="118"/>
      <c r="B40444" s="136"/>
    </row>
    <row r="40445" spans="1:2" x14ac:dyDescent="0.25">
      <c r="A40445" s="118"/>
      <c r="B40445" s="136"/>
    </row>
    <row r="40446" spans="1:2" x14ac:dyDescent="0.25">
      <c r="A40446" s="118"/>
      <c r="B40446" s="136"/>
    </row>
    <row r="40447" spans="1:2" x14ac:dyDescent="0.25">
      <c r="A40447" s="118"/>
      <c r="B40447" s="136"/>
    </row>
    <row r="40448" spans="1:2" x14ac:dyDescent="0.25">
      <c r="A40448" s="118"/>
      <c r="B40448" s="136"/>
    </row>
    <row r="40449" spans="1:2" x14ac:dyDescent="0.25">
      <c r="A40449" s="118"/>
      <c r="B40449" s="136"/>
    </row>
    <row r="40450" spans="1:2" x14ac:dyDescent="0.25">
      <c r="A40450" s="118"/>
      <c r="B40450" s="136"/>
    </row>
    <row r="40451" spans="1:2" x14ac:dyDescent="0.25">
      <c r="A40451" s="118"/>
      <c r="B40451" s="136"/>
    </row>
    <row r="40452" spans="1:2" x14ac:dyDescent="0.25">
      <c r="A40452" s="118"/>
      <c r="B40452" s="136"/>
    </row>
    <row r="40453" spans="1:2" x14ac:dyDescent="0.25">
      <c r="A40453" s="118"/>
      <c r="B40453" s="136"/>
    </row>
    <row r="40454" spans="1:2" x14ac:dyDescent="0.25">
      <c r="A40454" s="118"/>
      <c r="B40454" s="136"/>
    </row>
    <row r="40455" spans="1:2" x14ac:dyDescent="0.25">
      <c r="A40455" s="118"/>
      <c r="B40455" s="136"/>
    </row>
    <row r="40456" spans="1:2" x14ac:dyDescent="0.25">
      <c r="A40456" s="118"/>
      <c r="B40456" s="136"/>
    </row>
    <row r="40457" spans="1:2" x14ac:dyDescent="0.25">
      <c r="A40457" s="118"/>
      <c r="B40457" s="136"/>
    </row>
    <row r="40458" spans="1:2" x14ac:dyDescent="0.25">
      <c r="A40458" s="118"/>
      <c r="B40458" s="136"/>
    </row>
    <row r="40459" spans="1:2" x14ac:dyDescent="0.25">
      <c r="A40459" s="118"/>
      <c r="B40459" s="136"/>
    </row>
    <row r="40460" spans="1:2" x14ac:dyDescent="0.25">
      <c r="A40460" s="118"/>
      <c r="B40460" s="136"/>
    </row>
    <row r="40461" spans="1:2" x14ac:dyDescent="0.25">
      <c r="A40461" s="118"/>
      <c r="B40461" s="136"/>
    </row>
    <row r="40462" spans="1:2" x14ac:dyDescent="0.25">
      <c r="A40462" s="118"/>
      <c r="B40462" s="136"/>
    </row>
    <row r="40463" spans="1:2" x14ac:dyDescent="0.25">
      <c r="A40463" s="118"/>
      <c r="B40463" s="136"/>
    </row>
    <row r="40464" spans="1:2" x14ac:dyDescent="0.25">
      <c r="A40464" s="118"/>
      <c r="B40464" s="136"/>
    </row>
    <row r="40465" spans="1:2" x14ac:dyDescent="0.25">
      <c r="A40465" s="118"/>
      <c r="B40465" s="136"/>
    </row>
    <row r="40466" spans="1:2" x14ac:dyDescent="0.25">
      <c r="A40466" s="118"/>
      <c r="B40466" s="136"/>
    </row>
    <row r="40467" spans="1:2" x14ac:dyDescent="0.25">
      <c r="A40467" s="118"/>
      <c r="B40467" s="136"/>
    </row>
    <row r="40468" spans="1:2" x14ac:dyDescent="0.25">
      <c r="A40468" s="118"/>
      <c r="B40468" s="136"/>
    </row>
    <row r="40469" spans="1:2" x14ac:dyDescent="0.25">
      <c r="A40469" s="118"/>
      <c r="B40469" s="136"/>
    </row>
    <row r="40470" spans="1:2" x14ac:dyDescent="0.25">
      <c r="A40470" s="118"/>
      <c r="B40470" s="136"/>
    </row>
    <row r="40471" spans="1:2" x14ac:dyDescent="0.25">
      <c r="A40471" s="118"/>
      <c r="B40471" s="136"/>
    </row>
    <row r="40472" spans="1:2" x14ac:dyDescent="0.25">
      <c r="A40472" s="118"/>
      <c r="B40472" s="136"/>
    </row>
    <row r="40473" spans="1:2" x14ac:dyDescent="0.25">
      <c r="A40473" s="118"/>
      <c r="B40473" s="136"/>
    </row>
    <row r="40474" spans="1:2" x14ac:dyDescent="0.25">
      <c r="A40474" s="118"/>
      <c r="B40474" s="136"/>
    </row>
    <row r="40475" spans="1:2" x14ac:dyDescent="0.25">
      <c r="A40475" s="118"/>
      <c r="B40475" s="136"/>
    </row>
    <row r="40476" spans="1:2" x14ac:dyDescent="0.25">
      <c r="A40476" s="118"/>
      <c r="B40476" s="136"/>
    </row>
    <row r="40477" spans="1:2" x14ac:dyDescent="0.25">
      <c r="A40477" s="118"/>
      <c r="B40477" s="136"/>
    </row>
    <row r="40478" spans="1:2" x14ac:dyDescent="0.25">
      <c r="A40478" s="118"/>
      <c r="B40478" s="136"/>
    </row>
    <row r="40479" spans="1:2" x14ac:dyDescent="0.25">
      <c r="A40479" s="118"/>
      <c r="B40479" s="136"/>
    </row>
    <row r="40480" spans="1:2" x14ac:dyDescent="0.25">
      <c r="A40480" s="118"/>
      <c r="B40480" s="136"/>
    </row>
    <row r="40481" spans="1:2" x14ac:dyDescent="0.25">
      <c r="A40481" s="118"/>
      <c r="B40481" s="136"/>
    </row>
    <row r="40482" spans="1:2" x14ac:dyDescent="0.25">
      <c r="A40482" s="118"/>
      <c r="B40482" s="136"/>
    </row>
    <row r="40483" spans="1:2" x14ac:dyDescent="0.25">
      <c r="A40483" s="118"/>
      <c r="B40483" s="136"/>
    </row>
    <row r="40484" spans="1:2" x14ac:dyDescent="0.25">
      <c r="A40484" s="118"/>
      <c r="B40484" s="136"/>
    </row>
    <row r="40485" spans="1:2" x14ac:dyDescent="0.25">
      <c r="A40485" s="118"/>
      <c r="B40485" s="136"/>
    </row>
    <row r="40486" spans="1:2" x14ac:dyDescent="0.25">
      <c r="A40486" s="118"/>
      <c r="B40486" s="136"/>
    </row>
    <row r="40487" spans="1:2" x14ac:dyDescent="0.25">
      <c r="A40487" s="118"/>
      <c r="B40487" s="136"/>
    </row>
    <row r="40488" spans="1:2" x14ac:dyDescent="0.25">
      <c r="A40488" s="118"/>
      <c r="B40488" s="136"/>
    </row>
    <row r="40489" spans="1:2" x14ac:dyDescent="0.25">
      <c r="A40489" s="118"/>
      <c r="B40489" s="136"/>
    </row>
    <row r="40490" spans="1:2" x14ac:dyDescent="0.25">
      <c r="A40490" s="118"/>
      <c r="B40490" s="136"/>
    </row>
    <row r="40491" spans="1:2" x14ac:dyDescent="0.25">
      <c r="A40491" s="118"/>
      <c r="B40491" s="136"/>
    </row>
    <row r="40492" spans="1:2" x14ac:dyDescent="0.25">
      <c r="A40492" s="118"/>
      <c r="B40492" s="136"/>
    </row>
    <row r="40493" spans="1:2" x14ac:dyDescent="0.25">
      <c r="A40493" s="118"/>
      <c r="B40493" s="136"/>
    </row>
    <row r="40494" spans="1:2" x14ac:dyDescent="0.25">
      <c r="A40494" s="118"/>
      <c r="B40494" s="136"/>
    </row>
    <row r="40495" spans="1:2" x14ac:dyDescent="0.25">
      <c r="A40495" s="118"/>
      <c r="B40495" s="136"/>
    </row>
    <row r="40496" spans="1:2" x14ac:dyDescent="0.25">
      <c r="A40496" s="118"/>
      <c r="B40496" s="136"/>
    </row>
    <row r="40497" spans="1:2" x14ac:dyDescent="0.25">
      <c r="A40497" s="118"/>
      <c r="B40497" s="136"/>
    </row>
    <row r="40498" spans="1:2" x14ac:dyDescent="0.25">
      <c r="A40498" s="118"/>
      <c r="B40498" s="136"/>
    </row>
    <row r="40499" spans="1:2" x14ac:dyDescent="0.25">
      <c r="A40499" s="118"/>
      <c r="B40499" s="136"/>
    </row>
    <row r="40500" spans="1:2" x14ac:dyDescent="0.25">
      <c r="A40500" s="118"/>
      <c r="B40500" s="136"/>
    </row>
    <row r="40501" spans="1:2" x14ac:dyDescent="0.25">
      <c r="A40501" s="118"/>
      <c r="B40501" s="136"/>
    </row>
    <row r="40502" spans="1:2" x14ac:dyDescent="0.25">
      <c r="A40502" s="118"/>
      <c r="B40502" s="136"/>
    </row>
    <row r="40503" spans="1:2" x14ac:dyDescent="0.25">
      <c r="A40503" s="118"/>
      <c r="B40503" s="136"/>
    </row>
    <row r="40504" spans="1:2" x14ac:dyDescent="0.25">
      <c r="A40504" s="118"/>
      <c r="B40504" s="136"/>
    </row>
    <row r="40505" spans="1:2" x14ac:dyDescent="0.25">
      <c r="A40505" s="118"/>
      <c r="B40505" s="136"/>
    </row>
    <row r="40506" spans="1:2" x14ac:dyDescent="0.25">
      <c r="A40506" s="118"/>
      <c r="B40506" s="136"/>
    </row>
    <row r="40507" spans="1:2" x14ac:dyDescent="0.25">
      <c r="A40507" s="118"/>
      <c r="B40507" s="136"/>
    </row>
    <row r="40508" spans="1:2" x14ac:dyDescent="0.25">
      <c r="A40508" s="118"/>
      <c r="B40508" s="136"/>
    </row>
    <row r="40509" spans="1:2" x14ac:dyDescent="0.25">
      <c r="A40509" s="118"/>
      <c r="B40509" s="136"/>
    </row>
    <row r="40510" spans="1:2" x14ac:dyDescent="0.25">
      <c r="A40510" s="118"/>
      <c r="B40510" s="136"/>
    </row>
    <row r="40511" spans="1:2" x14ac:dyDescent="0.25">
      <c r="A40511" s="118"/>
      <c r="B40511" s="136"/>
    </row>
    <row r="40512" spans="1:2" x14ac:dyDescent="0.25">
      <c r="A40512" s="118"/>
      <c r="B40512" s="136"/>
    </row>
    <row r="40513" spans="1:2" x14ac:dyDescent="0.25">
      <c r="A40513" s="118"/>
      <c r="B40513" s="136"/>
    </row>
    <row r="40514" spans="1:2" x14ac:dyDescent="0.25">
      <c r="A40514" s="118"/>
      <c r="B40514" s="136"/>
    </row>
    <row r="40515" spans="1:2" x14ac:dyDescent="0.25">
      <c r="A40515" s="118"/>
      <c r="B40515" s="136"/>
    </row>
    <row r="40516" spans="1:2" x14ac:dyDescent="0.25">
      <c r="A40516" s="118"/>
      <c r="B40516" s="136"/>
    </row>
    <row r="40517" spans="1:2" x14ac:dyDescent="0.25">
      <c r="A40517" s="118"/>
      <c r="B40517" s="136"/>
    </row>
    <row r="40518" spans="1:2" x14ac:dyDescent="0.25">
      <c r="A40518" s="118"/>
      <c r="B40518" s="136"/>
    </row>
    <row r="40519" spans="1:2" x14ac:dyDescent="0.25">
      <c r="A40519" s="118"/>
      <c r="B40519" s="136"/>
    </row>
    <row r="40520" spans="1:2" x14ac:dyDescent="0.25">
      <c r="A40520" s="118"/>
      <c r="B40520" s="136"/>
    </row>
    <row r="40521" spans="1:2" x14ac:dyDescent="0.25">
      <c r="A40521" s="118"/>
      <c r="B40521" s="136"/>
    </row>
    <row r="40522" spans="1:2" x14ac:dyDescent="0.25">
      <c r="A40522" s="118"/>
      <c r="B40522" s="136"/>
    </row>
    <row r="40523" spans="1:2" x14ac:dyDescent="0.25">
      <c r="A40523" s="118"/>
      <c r="B40523" s="136"/>
    </row>
    <row r="40524" spans="1:2" x14ac:dyDescent="0.25">
      <c r="A40524" s="118"/>
      <c r="B40524" s="136"/>
    </row>
    <row r="40525" spans="1:2" x14ac:dyDescent="0.25">
      <c r="A40525" s="118"/>
      <c r="B40525" s="136"/>
    </row>
    <row r="40526" spans="1:2" x14ac:dyDescent="0.25">
      <c r="A40526" s="118"/>
      <c r="B40526" s="136"/>
    </row>
    <row r="40527" spans="1:2" x14ac:dyDescent="0.25">
      <c r="A40527" s="118"/>
      <c r="B40527" s="136"/>
    </row>
    <row r="40528" spans="1:2" x14ac:dyDescent="0.25">
      <c r="A40528" s="118"/>
      <c r="B40528" s="136"/>
    </row>
    <row r="40529" spans="1:2" x14ac:dyDescent="0.25">
      <c r="A40529" s="118"/>
      <c r="B40529" s="136"/>
    </row>
    <row r="40530" spans="1:2" x14ac:dyDescent="0.25">
      <c r="A40530" s="118"/>
      <c r="B40530" s="136"/>
    </row>
    <row r="40531" spans="1:2" x14ac:dyDescent="0.25">
      <c r="A40531" s="118"/>
      <c r="B40531" s="136"/>
    </row>
    <row r="40532" spans="1:2" x14ac:dyDescent="0.25">
      <c r="A40532" s="118"/>
      <c r="B40532" s="136"/>
    </row>
    <row r="40533" spans="1:2" x14ac:dyDescent="0.25">
      <c r="A40533" s="118"/>
      <c r="B40533" s="136"/>
    </row>
    <row r="40534" spans="1:2" x14ac:dyDescent="0.25">
      <c r="A40534" s="118"/>
      <c r="B40534" s="136"/>
    </row>
    <row r="40535" spans="1:2" x14ac:dyDescent="0.25">
      <c r="A40535" s="118"/>
      <c r="B40535" s="136"/>
    </row>
    <row r="40536" spans="1:2" x14ac:dyDescent="0.25">
      <c r="A40536" s="118"/>
      <c r="B40536" s="136"/>
    </row>
    <row r="40537" spans="1:2" x14ac:dyDescent="0.25">
      <c r="A40537" s="118"/>
      <c r="B40537" s="136"/>
    </row>
    <row r="40538" spans="1:2" x14ac:dyDescent="0.25">
      <c r="A40538" s="118"/>
      <c r="B40538" s="136"/>
    </row>
    <row r="40539" spans="1:2" x14ac:dyDescent="0.25">
      <c r="A40539" s="118"/>
      <c r="B40539" s="136"/>
    </row>
    <row r="40540" spans="1:2" x14ac:dyDescent="0.25">
      <c r="A40540" s="118"/>
      <c r="B40540" s="136"/>
    </row>
    <row r="40541" spans="1:2" x14ac:dyDescent="0.25">
      <c r="A40541" s="118"/>
      <c r="B40541" s="136"/>
    </row>
    <row r="40542" spans="1:2" x14ac:dyDescent="0.25">
      <c r="A40542" s="118"/>
      <c r="B40542" s="136"/>
    </row>
    <row r="40543" spans="1:2" x14ac:dyDescent="0.25">
      <c r="A40543" s="118"/>
      <c r="B40543" s="136"/>
    </row>
    <row r="40544" spans="1:2" x14ac:dyDescent="0.25">
      <c r="A40544" s="118"/>
      <c r="B40544" s="136"/>
    </row>
    <row r="40545" spans="1:2" x14ac:dyDescent="0.25">
      <c r="A40545" s="118"/>
      <c r="B40545" s="136"/>
    </row>
    <row r="40546" spans="1:2" x14ac:dyDescent="0.25">
      <c r="A40546" s="118"/>
      <c r="B40546" s="136"/>
    </row>
    <row r="40547" spans="1:2" x14ac:dyDescent="0.25">
      <c r="A40547" s="118"/>
      <c r="B40547" s="136"/>
    </row>
    <row r="40548" spans="1:2" x14ac:dyDescent="0.25">
      <c r="A40548" s="118"/>
      <c r="B40548" s="136"/>
    </row>
    <row r="40549" spans="1:2" x14ac:dyDescent="0.25">
      <c r="A40549" s="118"/>
      <c r="B40549" s="136"/>
    </row>
    <row r="40550" spans="1:2" x14ac:dyDescent="0.25">
      <c r="A40550" s="118"/>
      <c r="B40550" s="136"/>
    </row>
    <row r="40551" spans="1:2" x14ac:dyDescent="0.25">
      <c r="A40551" s="118"/>
      <c r="B40551" s="136"/>
    </row>
    <row r="40552" spans="1:2" x14ac:dyDescent="0.25">
      <c r="A40552" s="118"/>
      <c r="B40552" s="136"/>
    </row>
    <row r="40553" spans="1:2" x14ac:dyDescent="0.25">
      <c r="A40553" s="118"/>
      <c r="B40553" s="136"/>
    </row>
    <row r="40554" spans="1:2" x14ac:dyDescent="0.25">
      <c r="A40554" s="118"/>
      <c r="B40554" s="136"/>
    </row>
    <row r="40555" spans="1:2" x14ac:dyDescent="0.25">
      <c r="A40555" s="118"/>
      <c r="B40555" s="136"/>
    </row>
    <row r="40556" spans="1:2" x14ac:dyDescent="0.25">
      <c r="A40556" s="118"/>
      <c r="B40556" s="136"/>
    </row>
    <row r="40557" spans="1:2" x14ac:dyDescent="0.25">
      <c r="A40557" s="118"/>
      <c r="B40557" s="136"/>
    </row>
    <row r="40558" spans="1:2" x14ac:dyDescent="0.25">
      <c r="A40558" s="118"/>
      <c r="B40558" s="136"/>
    </row>
    <row r="40559" spans="1:2" x14ac:dyDescent="0.25">
      <c r="A40559" s="118"/>
      <c r="B40559" s="136"/>
    </row>
    <row r="40560" spans="1:2" x14ac:dyDescent="0.25">
      <c r="A40560" s="118"/>
      <c r="B40560" s="136"/>
    </row>
    <row r="40561" spans="1:2" x14ac:dyDescent="0.25">
      <c r="A40561" s="118"/>
      <c r="B40561" s="136"/>
    </row>
    <row r="40562" spans="1:2" x14ac:dyDescent="0.25">
      <c r="A40562" s="118"/>
      <c r="B40562" s="136"/>
    </row>
    <row r="40563" spans="1:2" x14ac:dyDescent="0.25">
      <c r="A40563" s="118"/>
      <c r="B40563" s="136"/>
    </row>
    <row r="40564" spans="1:2" x14ac:dyDescent="0.25">
      <c r="A40564" s="118"/>
      <c r="B40564" s="136"/>
    </row>
    <row r="40565" spans="1:2" x14ac:dyDescent="0.25">
      <c r="A40565" s="118"/>
      <c r="B40565" s="136"/>
    </row>
    <row r="40566" spans="1:2" x14ac:dyDescent="0.25">
      <c r="A40566" s="118"/>
      <c r="B40566" s="136"/>
    </row>
    <row r="40567" spans="1:2" x14ac:dyDescent="0.25">
      <c r="A40567" s="118"/>
      <c r="B40567" s="136"/>
    </row>
    <row r="40568" spans="1:2" x14ac:dyDescent="0.25">
      <c r="A40568" s="118"/>
      <c r="B40568" s="136"/>
    </row>
    <row r="40569" spans="1:2" x14ac:dyDescent="0.25">
      <c r="A40569" s="118"/>
      <c r="B40569" s="136"/>
    </row>
    <row r="40570" spans="1:2" x14ac:dyDescent="0.25">
      <c r="A40570" s="118"/>
      <c r="B40570" s="136"/>
    </row>
    <row r="40571" spans="1:2" x14ac:dyDescent="0.25">
      <c r="A40571" s="118"/>
      <c r="B40571" s="136"/>
    </row>
    <row r="40572" spans="1:2" x14ac:dyDescent="0.25">
      <c r="A40572" s="118"/>
      <c r="B40572" s="136"/>
    </row>
    <row r="40573" spans="1:2" x14ac:dyDescent="0.25">
      <c r="A40573" s="118"/>
      <c r="B40573" s="136"/>
    </row>
    <row r="40574" spans="1:2" x14ac:dyDescent="0.25">
      <c r="A40574" s="118"/>
      <c r="B40574" s="136"/>
    </row>
    <row r="40575" spans="1:2" x14ac:dyDescent="0.25">
      <c r="A40575" s="118"/>
      <c r="B40575" s="136"/>
    </row>
    <row r="40576" spans="1:2" x14ac:dyDescent="0.25">
      <c r="A40576" s="118"/>
      <c r="B40576" s="136"/>
    </row>
    <row r="40577" spans="1:2" x14ac:dyDescent="0.25">
      <c r="A40577" s="118"/>
      <c r="B40577" s="136"/>
    </row>
    <row r="40578" spans="1:2" x14ac:dyDescent="0.25">
      <c r="A40578" s="118"/>
      <c r="B40578" s="136"/>
    </row>
    <row r="40579" spans="1:2" x14ac:dyDescent="0.25">
      <c r="A40579" s="118"/>
      <c r="B40579" s="136"/>
    </row>
    <row r="40580" spans="1:2" x14ac:dyDescent="0.25">
      <c r="A40580" s="118"/>
      <c r="B40580" s="136"/>
    </row>
    <row r="40581" spans="1:2" x14ac:dyDescent="0.25">
      <c r="A40581" s="118"/>
      <c r="B40581" s="136"/>
    </row>
    <row r="40582" spans="1:2" x14ac:dyDescent="0.25">
      <c r="A40582" s="118"/>
      <c r="B40582" s="136"/>
    </row>
    <row r="40583" spans="1:2" x14ac:dyDescent="0.25">
      <c r="A40583" s="118"/>
      <c r="B40583" s="136"/>
    </row>
    <row r="40584" spans="1:2" x14ac:dyDescent="0.25">
      <c r="A40584" s="118"/>
      <c r="B40584" s="136"/>
    </row>
    <row r="40585" spans="1:2" x14ac:dyDescent="0.25">
      <c r="A40585" s="118"/>
      <c r="B40585" s="136"/>
    </row>
    <row r="40586" spans="1:2" x14ac:dyDescent="0.25">
      <c r="A40586" s="118"/>
      <c r="B40586" s="136"/>
    </row>
    <row r="40587" spans="1:2" x14ac:dyDescent="0.25">
      <c r="A40587" s="118"/>
      <c r="B40587" s="136"/>
    </row>
    <row r="40588" spans="1:2" x14ac:dyDescent="0.25">
      <c r="A40588" s="118"/>
      <c r="B40588" s="136"/>
    </row>
    <row r="40589" spans="1:2" x14ac:dyDescent="0.25">
      <c r="A40589" s="118"/>
      <c r="B40589" s="136"/>
    </row>
    <row r="40590" spans="1:2" x14ac:dyDescent="0.25">
      <c r="A40590" s="118"/>
      <c r="B40590" s="136"/>
    </row>
    <row r="40591" spans="1:2" x14ac:dyDescent="0.25">
      <c r="A40591" s="118"/>
      <c r="B40591" s="136"/>
    </row>
    <row r="40592" spans="1:2" x14ac:dyDescent="0.25">
      <c r="A40592" s="118"/>
      <c r="B40592" s="136"/>
    </row>
    <row r="40593" spans="1:2" x14ac:dyDescent="0.25">
      <c r="A40593" s="118"/>
      <c r="B40593" s="136"/>
    </row>
    <row r="40594" spans="1:2" x14ac:dyDescent="0.25">
      <c r="A40594" s="118"/>
      <c r="B40594" s="136"/>
    </row>
    <row r="40595" spans="1:2" x14ac:dyDescent="0.25">
      <c r="A40595" s="118"/>
      <c r="B40595" s="136"/>
    </row>
    <row r="40596" spans="1:2" x14ac:dyDescent="0.25">
      <c r="A40596" s="118"/>
      <c r="B40596" s="136"/>
    </row>
    <row r="40597" spans="1:2" x14ac:dyDescent="0.25">
      <c r="A40597" s="118"/>
      <c r="B40597" s="136"/>
    </row>
    <row r="40598" spans="1:2" x14ac:dyDescent="0.25">
      <c r="A40598" s="118"/>
      <c r="B40598" s="136"/>
    </row>
    <row r="40599" spans="1:2" x14ac:dyDescent="0.25">
      <c r="A40599" s="118"/>
      <c r="B40599" s="136"/>
    </row>
    <row r="40600" spans="1:2" x14ac:dyDescent="0.25">
      <c r="A40600" s="118"/>
      <c r="B40600" s="136"/>
    </row>
    <row r="40601" spans="1:2" x14ac:dyDescent="0.25">
      <c r="A40601" s="118"/>
      <c r="B40601" s="136"/>
    </row>
    <row r="40602" spans="1:2" x14ac:dyDescent="0.25">
      <c r="A40602" s="118"/>
      <c r="B40602" s="136"/>
    </row>
    <row r="40603" spans="1:2" x14ac:dyDescent="0.25">
      <c r="A40603" s="118"/>
      <c r="B40603" s="136"/>
    </row>
    <row r="40604" spans="1:2" x14ac:dyDescent="0.25">
      <c r="A40604" s="118"/>
      <c r="B40604" s="136"/>
    </row>
    <row r="40605" spans="1:2" x14ac:dyDescent="0.25">
      <c r="A40605" s="118"/>
      <c r="B40605" s="136"/>
    </row>
    <row r="40606" spans="1:2" x14ac:dyDescent="0.25">
      <c r="A40606" s="118"/>
      <c r="B40606" s="136"/>
    </row>
    <row r="40607" spans="1:2" x14ac:dyDescent="0.25">
      <c r="A40607" s="118"/>
      <c r="B40607" s="136"/>
    </row>
    <row r="40608" spans="1:2" x14ac:dyDescent="0.25">
      <c r="A40608" s="118"/>
      <c r="B40608" s="136"/>
    </row>
    <row r="40609" spans="1:2" x14ac:dyDescent="0.25">
      <c r="A40609" s="118"/>
      <c r="B40609" s="136"/>
    </row>
    <row r="40610" spans="1:2" x14ac:dyDescent="0.25">
      <c r="A40610" s="118"/>
      <c r="B40610" s="136"/>
    </row>
    <row r="40611" spans="1:2" x14ac:dyDescent="0.25">
      <c r="A40611" s="118"/>
      <c r="B40611" s="136"/>
    </row>
    <row r="40612" spans="1:2" x14ac:dyDescent="0.25">
      <c r="A40612" s="118"/>
      <c r="B40612" s="136"/>
    </row>
    <row r="40613" spans="1:2" x14ac:dyDescent="0.25">
      <c r="A40613" s="118"/>
      <c r="B40613" s="136"/>
    </row>
    <row r="40614" spans="1:2" x14ac:dyDescent="0.25">
      <c r="A40614" s="118"/>
      <c r="B40614" s="136"/>
    </row>
    <row r="40615" spans="1:2" x14ac:dyDescent="0.25">
      <c r="A40615" s="118"/>
      <c r="B40615" s="136"/>
    </row>
    <row r="40616" spans="1:2" x14ac:dyDescent="0.25">
      <c r="A40616" s="118"/>
      <c r="B40616" s="136"/>
    </row>
    <row r="40617" spans="1:2" x14ac:dyDescent="0.25">
      <c r="A40617" s="118"/>
      <c r="B40617" s="136"/>
    </row>
    <row r="40618" spans="1:2" x14ac:dyDescent="0.25">
      <c r="A40618" s="118"/>
      <c r="B40618" s="136"/>
    </row>
    <row r="40619" spans="1:2" x14ac:dyDescent="0.25">
      <c r="A40619" s="118"/>
      <c r="B40619" s="136"/>
    </row>
    <row r="40620" spans="1:2" x14ac:dyDescent="0.25">
      <c r="A40620" s="118"/>
      <c r="B40620" s="136"/>
    </row>
    <row r="40621" spans="1:2" x14ac:dyDescent="0.25">
      <c r="A40621" s="118"/>
      <c r="B40621" s="136"/>
    </row>
    <row r="40622" spans="1:2" x14ac:dyDescent="0.25">
      <c r="A40622" s="118"/>
      <c r="B40622" s="136"/>
    </row>
    <row r="40623" spans="1:2" x14ac:dyDescent="0.25">
      <c r="A40623" s="118"/>
      <c r="B40623" s="136"/>
    </row>
    <row r="40624" spans="1:2" x14ac:dyDescent="0.25">
      <c r="A40624" s="118"/>
      <c r="B40624" s="136"/>
    </row>
    <row r="40625" spans="1:2" x14ac:dyDescent="0.25">
      <c r="A40625" s="118"/>
      <c r="B40625" s="136"/>
    </row>
    <row r="40626" spans="1:2" x14ac:dyDescent="0.25">
      <c r="A40626" s="118"/>
      <c r="B40626" s="136"/>
    </row>
    <row r="40627" spans="1:2" x14ac:dyDescent="0.25">
      <c r="A40627" s="118"/>
      <c r="B40627" s="136"/>
    </row>
    <row r="40628" spans="1:2" x14ac:dyDescent="0.25">
      <c r="A40628" s="118"/>
      <c r="B40628" s="136"/>
    </row>
    <row r="40629" spans="1:2" x14ac:dyDescent="0.25">
      <c r="A40629" s="118"/>
      <c r="B40629" s="136"/>
    </row>
    <row r="40630" spans="1:2" x14ac:dyDescent="0.25">
      <c r="A40630" s="118"/>
      <c r="B40630" s="136"/>
    </row>
    <row r="40631" spans="1:2" x14ac:dyDescent="0.25">
      <c r="A40631" s="118"/>
      <c r="B40631" s="136"/>
    </row>
    <row r="40632" spans="1:2" x14ac:dyDescent="0.25">
      <c r="A40632" s="118"/>
      <c r="B40632" s="136"/>
    </row>
    <row r="40633" spans="1:2" x14ac:dyDescent="0.25">
      <c r="A40633" s="118"/>
      <c r="B40633" s="136"/>
    </row>
    <row r="40634" spans="1:2" x14ac:dyDescent="0.25">
      <c r="A40634" s="118"/>
      <c r="B40634" s="136"/>
    </row>
    <row r="40635" spans="1:2" x14ac:dyDescent="0.25">
      <c r="A40635" s="118"/>
      <c r="B40635" s="136"/>
    </row>
    <row r="40636" spans="1:2" x14ac:dyDescent="0.25">
      <c r="A40636" s="118"/>
      <c r="B40636" s="136"/>
    </row>
    <row r="40637" spans="1:2" x14ac:dyDescent="0.25">
      <c r="A40637" s="118"/>
      <c r="B40637" s="136"/>
    </row>
    <row r="40638" spans="1:2" x14ac:dyDescent="0.25">
      <c r="A40638" s="118"/>
      <c r="B40638" s="136"/>
    </row>
    <row r="40639" spans="1:2" x14ac:dyDescent="0.25">
      <c r="A40639" s="118"/>
      <c r="B40639" s="136"/>
    </row>
    <row r="40640" spans="1:2" x14ac:dyDescent="0.25">
      <c r="A40640" s="118"/>
      <c r="B40640" s="136"/>
    </row>
    <row r="40641" spans="1:2" x14ac:dyDescent="0.25">
      <c r="A40641" s="118"/>
      <c r="B40641" s="136"/>
    </row>
    <row r="40642" spans="1:2" x14ac:dyDescent="0.25">
      <c r="A40642" s="118"/>
      <c r="B40642" s="136"/>
    </row>
    <row r="40643" spans="1:2" x14ac:dyDescent="0.25">
      <c r="A40643" s="118"/>
      <c r="B40643" s="136"/>
    </row>
    <row r="40644" spans="1:2" x14ac:dyDescent="0.25">
      <c r="A40644" s="118"/>
      <c r="B40644" s="136"/>
    </row>
    <row r="40645" spans="1:2" x14ac:dyDescent="0.25">
      <c r="A40645" s="118"/>
      <c r="B40645" s="136"/>
    </row>
    <row r="40646" spans="1:2" x14ac:dyDescent="0.25">
      <c r="A40646" s="118"/>
      <c r="B40646" s="136"/>
    </row>
    <row r="40647" spans="1:2" x14ac:dyDescent="0.25">
      <c r="A40647" s="118"/>
      <c r="B40647" s="136"/>
    </row>
    <row r="40648" spans="1:2" x14ac:dyDescent="0.25">
      <c r="A40648" s="118"/>
      <c r="B40648" s="136"/>
    </row>
    <row r="40649" spans="1:2" x14ac:dyDescent="0.25">
      <c r="A40649" s="118"/>
      <c r="B40649" s="136"/>
    </row>
    <row r="40650" spans="1:2" x14ac:dyDescent="0.25">
      <c r="A40650" s="118"/>
      <c r="B40650" s="136"/>
    </row>
    <row r="40651" spans="1:2" x14ac:dyDescent="0.25">
      <c r="A40651" s="118"/>
      <c r="B40651" s="136"/>
    </row>
    <row r="40652" spans="1:2" x14ac:dyDescent="0.25">
      <c r="A40652" s="118"/>
      <c r="B40652" s="136"/>
    </row>
    <row r="40653" spans="1:2" x14ac:dyDescent="0.25">
      <c r="A40653" s="118"/>
      <c r="B40653" s="136"/>
    </row>
    <row r="40654" spans="1:2" x14ac:dyDescent="0.25">
      <c r="A40654" s="118"/>
      <c r="B40654" s="136"/>
    </row>
    <row r="40655" spans="1:2" x14ac:dyDescent="0.25">
      <c r="A40655" s="118"/>
      <c r="B40655" s="136"/>
    </row>
    <row r="40656" spans="1:2" x14ac:dyDescent="0.25">
      <c r="A40656" s="118"/>
      <c r="B40656" s="136"/>
    </row>
    <row r="40657" spans="1:2" x14ac:dyDescent="0.25">
      <c r="A40657" s="118"/>
      <c r="B40657" s="136"/>
    </row>
    <row r="40658" spans="1:2" x14ac:dyDescent="0.25">
      <c r="A40658" s="118"/>
      <c r="B40658" s="136"/>
    </row>
    <row r="40659" spans="1:2" x14ac:dyDescent="0.25">
      <c r="A40659" s="118"/>
      <c r="B40659" s="136"/>
    </row>
    <row r="40660" spans="1:2" x14ac:dyDescent="0.25">
      <c r="A40660" s="118"/>
      <c r="B40660" s="136"/>
    </row>
    <row r="40661" spans="1:2" x14ac:dyDescent="0.25">
      <c r="A40661" s="118"/>
      <c r="B40661" s="136"/>
    </row>
    <row r="40662" spans="1:2" x14ac:dyDescent="0.25">
      <c r="A40662" s="118"/>
      <c r="B40662" s="136"/>
    </row>
    <row r="40663" spans="1:2" x14ac:dyDescent="0.25">
      <c r="A40663" s="118"/>
      <c r="B40663" s="136"/>
    </row>
    <row r="40664" spans="1:2" x14ac:dyDescent="0.25">
      <c r="A40664" s="118"/>
      <c r="B40664" s="136"/>
    </row>
    <row r="40665" spans="1:2" x14ac:dyDescent="0.25">
      <c r="A40665" s="118"/>
      <c r="B40665" s="136"/>
    </row>
    <row r="40666" spans="1:2" x14ac:dyDescent="0.25">
      <c r="A40666" s="118"/>
      <c r="B40666" s="136"/>
    </row>
    <row r="40667" spans="1:2" x14ac:dyDescent="0.25">
      <c r="A40667" s="118"/>
      <c r="B40667" s="136"/>
    </row>
    <row r="40668" spans="1:2" x14ac:dyDescent="0.25">
      <c r="A40668" s="118"/>
      <c r="B40668" s="136"/>
    </row>
    <row r="40669" spans="1:2" x14ac:dyDescent="0.25">
      <c r="A40669" s="118"/>
      <c r="B40669" s="136"/>
    </row>
    <row r="40670" spans="1:2" x14ac:dyDescent="0.25">
      <c r="A40670" s="118"/>
      <c r="B40670" s="136"/>
    </row>
    <row r="40671" spans="1:2" x14ac:dyDescent="0.25">
      <c r="A40671" s="118"/>
      <c r="B40671" s="136"/>
    </row>
    <row r="40672" spans="1:2" x14ac:dyDescent="0.25">
      <c r="A40672" s="118"/>
      <c r="B40672" s="136"/>
    </row>
    <row r="40673" spans="1:2" x14ac:dyDescent="0.25">
      <c r="A40673" s="118"/>
      <c r="B40673" s="136"/>
    </row>
    <row r="40674" spans="1:2" x14ac:dyDescent="0.25">
      <c r="A40674" s="118"/>
      <c r="B40674" s="136"/>
    </row>
    <row r="40675" spans="1:2" x14ac:dyDescent="0.25">
      <c r="A40675" s="118"/>
      <c r="B40675" s="136"/>
    </row>
    <row r="40676" spans="1:2" x14ac:dyDescent="0.25">
      <c r="A40676" s="118"/>
      <c r="B40676" s="136"/>
    </row>
    <row r="40677" spans="1:2" x14ac:dyDescent="0.25">
      <c r="A40677" s="118"/>
      <c r="B40677" s="136"/>
    </row>
    <row r="40678" spans="1:2" x14ac:dyDescent="0.25">
      <c r="A40678" s="118"/>
      <c r="B40678" s="136"/>
    </row>
    <row r="40679" spans="1:2" x14ac:dyDescent="0.25">
      <c r="A40679" s="118"/>
      <c r="B40679" s="136"/>
    </row>
    <row r="40680" spans="1:2" x14ac:dyDescent="0.25">
      <c r="A40680" s="118"/>
      <c r="B40680" s="136"/>
    </row>
    <row r="40681" spans="1:2" x14ac:dyDescent="0.25">
      <c r="A40681" s="118"/>
      <c r="B40681" s="136"/>
    </row>
    <row r="40682" spans="1:2" x14ac:dyDescent="0.25">
      <c r="A40682" s="118"/>
      <c r="B40682" s="136"/>
    </row>
    <row r="40683" spans="1:2" x14ac:dyDescent="0.25">
      <c r="A40683" s="118"/>
      <c r="B40683" s="136"/>
    </row>
    <row r="40684" spans="1:2" x14ac:dyDescent="0.25">
      <c r="A40684" s="118"/>
      <c r="B40684" s="136"/>
    </row>
    <row r="40685" spans="1:2" x14ac:dyDescent="0.25">
      <c r="A40685" s="118"/>
      <c r="B40685" s="136"/>
    </row>
    <row r="40686" spans="1:2" x14ac:dyDescent="0.25">
      <c r="A40686" s="118"/>
      <c r="B40686" s="136"/>
    </row>
    <row r="40687" spans="1:2" x14ac:dyDescent="0.25">
      <c r="A40687" s="118"/>
      <c r="B40687" s="136"/>
    </row>
    <row r="40688" spans="1:2" x14ac:dyDescent="0.25">
      <c r="A40688" s="118"/>
      <c r="B40688" s="136"/>
    </row>
    <row r="40689" spans="1:2" x14ac:dyDescent="0.25">
      <c r="A40689" s="118"/>
      <c r="B40689" s="136"/>
    </row>
    <row r="40690" spans="1:2" x14ac:dyDescent="0.25">
      <c r="A40690" s="118"/>
      <c r="B40690" s="136"/>
    </row>
    <row r="40691" spans="1:2" x14ac:dyDescent="0.25">
      <c r="A40691" s="118"/>
      <c r="B40691" s="136"/>
    </row>
    <row r="40692" spans="1:2" x14ac:dyDescent="0.25">
      <c r="A40692" s="118"/>
      <c r="B40692" s="136"/>
    </row>
    <row r="40693" spans="1:2" x14ac:dyDescent="0.25">
      <c r="A40693" s="118"/>
      <c r="B40693" s="136"/>
    </row>
    <row r="40694" spans="1:2" x14ac:dyDescent="0.25">
      <c r="A40694" s="118"/>
      <c r="B40694" s="136"/>
    </row>
    <row r="40695" spans="1:2" x14ac:dyDescent="0.25">
      <c r="A40695" s="118"/>
      <c r="B40695" s="136"/>
    </row>
    <row r="40696" spans="1:2" x14ac:dyDescent="0.25">
      <c r="A40696" s="118"/>
      <c r="B40696" s="136"/>
    </row>
    <row r="40697" spans="1:2" x14ac:dyDescent="0.25">
      <c r="A40697" s="118"/>
      <c r="B40697" s="136"/>
    </row>
    <row r="40698" spans="1:2" x14ac:dyDescent="0.25">
      <c r="A40698" s="118"/>
      <c r="B40698" s="136"/>
    </row>
    <row r="40699" spans="1:2" x14ac:dyDescent="0.25">
      <c r="A40699" s="118"/>
      <c r="B40699" s="136"/>
    </row>
    <row r="40700" spans="1:2" x14ac:dyDescent="0.25">
      <c r="A40700" s="118"/>
      <c r="B40700" s="136"/>
    </row>
    <row r="40701" spans="1:2" x14ac:dyDescent="0.25">
      <c r="A40701" s="118"/>
      <c r="B40701" s="136"/>
    </row>
    <row r="40702" spans="1:2" x14ac:dyDescent="0.25">
      <c r="A40702" s="118"/>
      <c r="B40702" s="136"/>
    </row>
    <row r="40703" spans="1:2" x14ac:dyDescent="0.25">
      <c r="A40703" s="118"/>
      <c r="B40703" s="136"/>
    </row>
    <row r="40704" spans="1:2" x14ac:dyDescent="0.25">
      <c r="A40704" s="118"/>
      <c r="B40704" s="136"/>
    </row>
    <row r="40705" spans="1:2" x14ac:dyDescent="0.25">
      <c r="A40705" s="118"/>
      <c r="B40705" s="136"/>
    </row>
    <row r="40706" spans="1:2" x14ac:dyDescent="0.25">
      <c r="A40706" s="118"/>
      <c r="B40706" s="136"/>
    </row>
    <row r="40707" spans="1:2" x14ac:dyDescent="0.25">
      <c r="A40707" s="118"/>
      <c r="B40707" s="136"/>
    </row>
    <row r="40708" spans="1:2" x14ac:dyDescent="0.25">
      <c r="A40708" s="118"/>
      <c r="B40708" s="136"/>
    </row>
    <row r="40709" spans="1:2" x14ac:dyDescent="0.25">
      <c r="A40709" s="118"/>
      <c r="B40709" s="136"/>
    </row>
    <row r="40710" spans="1:2" x14ac:dyDescent="0.25">
      <c r="A40710" s="118"/>
      <c r="B40710" s="136"/>
    </row>
    <row r="40711" spans="1:2" x14ac:dyDescent="0.25">
      <c r="A40711" s="118"/>
      <c r="B40711" s="136"/>
    </row>
    <row r="40712" spans="1:2" x14ac:dyDescent="0.25">
      <c r="A40712" s="118"/>
      <c r="B40712" s="136"/>
    </row>
    <row r="40713" spans="1:2" x14ac:dyDescent="0.25">
      <c r="A40713" s="118"/>
      <c r="B40713" s="136"/>
    </row>
    <row r="40714" spans="1:2" x14ac:dyDescent="0.25">
      <c r="A40714" s="118"/>
      <c r="B40714" s="136"/>
    </row>
    <row r="40715" spans="1:2" x14ac:dyDescent="0.25">
      <c r="A40715" s="118"/>
      <c r="B40715" s="136"/>
    </row>
    <row r="40716" spans="1:2" x14ac:dyDescent="0.25">
      <c r="A40716" s="118"/>
      <c r="B40716" s="136"/>
    </row>
    <row r="40717" spans="1:2" x14ac:dyDescent="0.25">
      <c r="A40717" s="118"/>
      <c r="B40717" s="136"/>
    </row>
    <row r="40718" spans="1:2" x14ac:dyDescent="0.25">
      <c r="A40718" s="118"/>
      <c r="B40718" s="136"/>
    </row>
    <row r="40719" spans="1:2" x14ac:dyDescent="0.25">
      <c r="A40719" s="118"/>
      <c r="B40719" s="136"/>
    </row>
    <row r="40720" spans="1:2" x14ac:dyDescent="0.25">
      <c r="A40720" s="118"/>
      <c r="B40720" s="136"/>
    </row>
    <row r="40721" spans="1:2" x14ac:dyDescent="0.25">
      <c r="A40721" s="118"/>
      <c r="B40721" s="136"/>
    </row>
    <row r="40722" spans="1:2" x14ac:dyDescent="0.25">
      <c r="A40722" s="118"/>
      <c r="B40722" s="136"/>
    </row>
    <row r="40723" spans="1:2" x14ac:dyDescent="0.25">
      <c r="A40723" s="118"/>
      <c r="B40723" s="136"/>
    </row>
    <row r="40724" spans="1:2" x14ac:dyDescent="0.25">
      <c r="A40724" s="118"/>
      <c r="B40724" s="136"/>
    </row>
    <row r="40725" spans="1:2" x14ac:dyDescent="0.25">
      <c r="A40725" s="118"/>
      <c r="B40725" s="136"/>
    </row>
    <row r="40726" spans="1:2" x14ac:dyDescent="0.25">
      <c r="A40726" s="118"/>
      <c r="B40726" s="136"/>
    </row>
    <row r="40727" spans="1:2" x14ac:dyDescent="0.25">
      <c r="A40727" s="118"/>
      <c r="B40727" s="136"/>
    </row>
    <row r="40728" spans="1:2" x14ac:dyDescent="0.25">
      <c r="A40728" s="118"/>
      <c r="B40728" s="136"/>
    </row>
    <row r="40729" spans="1:2" x14ac:dyDescent="0.25">
      <c r="A40729" s="118"/>
      <c r="B40729" s="136"/>
    </row>
    <row r="40730" spans="1:2" x14ac:dyDescent="0.25">
      <c r="A40730" s="118"/>
      <c r="B40730" s="136"/>
    </row>
    <row r="40731" spans="1:2" x14ac:dyDescent="0.25">
      <c r="A40731" s="118"/>
      <c r="B40731" s="136"/>
    </row>
    <row r="40732" spans="1:2" x14ac:dyDescent="0.25">
      <c r="A40732" s="118"/>
      <c r="B40732" s="136"/>
    </row>
    <row r="40733" spans="1:2" x14ac:dyDescent="0.25">
      <c r="A40733" s="118"/>
      <c r="B40733" s="136"/>
    </row>
    <row r="40734" spans="1:2" x14ac:dyDescent="0.25">
      <c r="A40734" s="118"/>
      <c r="B40734" s="136"/>
    </row>
    <row r="40735" spans="1:2" x14ac:dyDescent="0.25">
      <c r="A40735" s="118"/>
      <c r="B40735" s="136"/>
    </row>
    <row r="40736" spans="1:2" x14ac:dyDescent="0.25">
      <c r="A40736" s="118"/>
      <c r="B40736" s="136"/>
    </row>
    <row r="40737" spans="1:2" x14ac:dyDescent="0.25">
      <c r="A40737" s="118"/>
      <c r="B40737" s="136"/>
    </row>
    <row r="40738" spans="1:2" x14ac:dyDescent="0.25">
      <c r="A40738" s="118"/>
      <c r="B40738" s="136"/>
    </row>
    <row r="40739" spans="1:2" x14ac:dyDescent="0.25">
      <c r="A40739" s="118"/>
      <c r="B40739" s="136"/>
    </row>
    <row r="40740" spans="1:2" x14ac:dyDescent="0.25">
      <c r="A40740" s="118"/>
      <c r="B40740" s="136"/>
    </row>
    <row r="40741" spans="1:2" x14ac:dyDescent="0.25">
      <c r="A40741" s="118"/>
      <c r="B40741" s="136"/>
    </row>
    <row r="40742" spans="1:2" x14ac:dyDescent="0.25">
      <c r="A40742" s="118"/>
      <c r="B40742" s="136"/>
    </row>
    <row r="40743" spans="1:2" x14ac:dyDescent="0.25">
      <c r="A40743" s="118"/>
      <c r="B40743" s="136"/>
    </row>
    <row r="40744" spans="1:2" x14ac:dyDescent="0.25">
      <c r="A40744" s="118"/>
      <c r="B40744" s="136"/>
    </row>
    <row r="40745" spans="1:2" x14ac:dyDescent="0.25">
      <c r="A40745" s="118"/>
      <c r="B40745" s="136"/>
    </row>
    <row r="40746" spans="1:2" x14ac:dyDescent="0.25">
      <c r="A40746" s="118"/>
      <c r="B40746" s="136"/>
    </row>
    <row r="40747" spans="1:2" x14ac:dyDescent="0.25">
      <c r="A40747" s="118"/>
      <c r="B40747" s="136"/>
    </row>
    <row r="40748" spans="1:2" x14ac:dyDescent="0.25">
      <c r="A40748" s="118"/>
      <c r="B40748" s="136"/>
    </row>
    <row r="40749" spans="1:2" x14ac:dyDescent="0.25">
      <c r="A40749" s="118"/>
      <c r="B40749" s="136"/>
    </row>
    <row r="40750" spans="1:2" x14ac:dyDescent="0.25">
      <c r="A40750" s="118"/>
      <c r="B40750" s="136"/>
    </row>
    <row r="40751" spans="1:2" x14ac:dyDescent="0.25">
      <c r="A40751" s="118"/>
      <c r="B40751" s="136"/>
    </row>
    <row r="40752" spans="1:2" x14ac:dyDescent="0.25">
      <c r="A40752" s="118"/>
      <c r="B40752" s="136"/>
    </row>
    <row r="40753" spans="1:2" x14ac:dyDescent="0.25">
      <c r="A40753" s="118"/>
      <c r="B40753" s="136"/>
    </row>
    <row r="40754" spans="1:2" x14ac:dyDescent="0.25">
      <c r="A40754" s="118"/>
      <c r="B40754" s="136"/>
    </row>
    <row r="40755" spans="1:2" x14ac:dyDescent="0.25">
      <c r="A40755" s="118"/>
      <c r="B40755" s="136"/>
    </row>
    <row r="40756" spans="1:2" x14ac:dyDescent="0.25">
      <c r="A40756" s="118"/>
      <c r="B40756" s="136"/>
    </row>
    <row r="40757" spans="1:2" x14ac:dyDescent="0.25">
      <c r="A40757" s="118"/>
      <c r="B40757" s="136"/>
    </row>
    <row r="40758" spans="1:2" x14ac:dyDescent="0.25">
      <c r="A40758" s="118"/>
      <c r="B40758" s="136"/>
    </row>
    <row r="40759" spans="1:2" x14ac:dyDescent="0.25">
      <c r="A40759" s="118"/>
      <c r="B40759" s="136"/>
    </row>
    <row r="40760" spans="1:2" x14ac:dyDescent="0.25">
      <c r="A40760" s="118"/>
      <c r="B40760" s="136"/>
    </row>
    <row r="40761" spans="1:2" x14ac:dyDescent="0.25">
      <c r="A40761" s="118"/>
      <c r="B40761" s="136"/>
    </row>
    <row r="40762" spans="1:2" x14ac:dyDescent="0.25">
      <c r="A40762" s="118"/>
      <c r="B40762" s="136"/>
    </row>
    <row r="40763" spans="1:2" x14ac:dyDescent="0.25">
      <c r="A40763" s="118"/>
      <c r="B40763" s="136"/>
    </row>
    <row r="40764" spans="1:2" x14ac:dyDescent="0.25">
      <c r="A40764" s="118"/>
      <c r="B40764" s="136"/>
    </row>
    <row r="40765" spans="1:2" x14ac:dyDescent="0.25">
      <c r="A40765" s="118"/>
      <c r="B40765" s="136"/>
    </row>
    <row r="40766" spans="1:2" x14ac:dyDescent="0.25">
      <c r="A40766" s="118"/>
      <c r="B40766" s="136"/>
    </row>
    <row r="40767" spans="1:2" x14ac:dyDescent="0.25">
      <c r="A40767" s="118"/>
      <c r="B40767" s="136"/>
    </row>
    <row r="40768" spans="1:2" x14ac:dyDescent="0.25">
      <c r="A40768" s="118"/>
      <c r="B40768" s="136"/>
    </row>
    <row r="40769" spans="1:2" x14ac:dyDescent="0.25">
      <c r="A40769" s="118"/>
      <c r="B40769" s="136"/>
    </row>
    <row r="40770" spans="1:2" x14ac:dyDescent="0.25">
      <c r="A40770" s="118"/>
      <c r="B40770" s="136"/>
    </row>
    <row r="40771" spans="1:2" x14ac:dyDescent="0.25">
      <c r="A40771" s="118"/>
      <c r="B40771" s="136"/>
    </row>
    <row r="40772" spans="1:2" x14ac:dyDescent="0.25">
      <c r="A40772" s="118"/>
      <c r="B40772" s="136"/>
    </row>
    <row r="40773" spans="1:2" x14ac:dyDescent="0.25">
      <c r="A40773" s="118"/>
      <c r="B40773" s="136"/>
    </row>
    <row r="40774" spans="1:2" x14ac:dyDescent="0.25">
      <c r="A40774" s="118"/>
      <c r="B40774" s="136"/>
    </row>
    <row r="40775" spans="1:2" x14ac:dyDescent="0.25">
      <c r="A40775" s="118"/>
      <c r="B40775" s="136"/>
    </row>
    <row r="40776" spans="1:2" x14ac:dyDescent="0.25">
      <c r="A40776" s="118"/>
      <c r="B40776" s="136"/>
    </row>
    <row r="40777" spans="1:2" x14ac:dyDescent="0.25">
      <c r="A40777" s="118"/>
      <c r="B40777" s="136"/>
    </row>
    <row r="40778" spans="1:2" x14ac:dyDescent="0.25">
      <c r="A40778" s="118"/>
      <c r="B40778" s="136"/>
    </row>
    <row r="40779" spans="1:2" x14ac:dyDescent="0.25">
      <c r="A40779" s="118"/>
      <c r="B40779" s="136"/>
    </row>
    <row r="40780" spans="1:2" x14ac:dyDescent="0.25">
      <c r="A40780" s="118"/>
      <c r="B40780" s="136"/>
    </row>
    <row r="40781" spans="1:2" x14ac:dyDescent="0.25">
      <c r="A40781" s="118"/>
      <c r="B40781" s="136"/>
    </row>
    <row r="40782" spans="1:2" x14ac:dyDescent="0.25">
      <c r="A40782" s="118"/>
      <c r="B40782" s="136"/>
    </row>
    <row r="40783" spans="1:2" x14ac:dyDescent="0.25">
      <c r="A40783" s="118"/>
      <c r="B40783" s="136"/>
    </row>
    <row r="40784" spans="1:2" x14ac:dyDescent="0.25">
      <c r="A40784" s="118"/>
      <c r="B40784" s="136"/>
    </row>
    <row r="40785" spans="1:2" x14ac:dyDescent="0.25">
      <c r="A40785" s="118"/>
      <c r="B40785" s="136"/>
    </row>
    <row r="40786" spans="1:2" x14ac:dyDescent="0.25">
      <c r="A40786" s="118"/>
      <c r="B40786" s="136"/>
    </row>
    <row r="40787" spans="1:2" x14ac:dyDescent="0.25">
      <c r="A40787" s="118"/>
      <c r="B40787" s="136"/>
    </row>
    <row r="40788" spans="1:2" x14ac:dyDescent="0.25">
      <c r="A40788" s="118"/>
      <c r="B40788" s="136"/>
    </row>
    <row r="40789" spans="1:2" x14ac:dyDescent="0.25">
      <c r="A40789" s="118"/>
      <c r="B40789" s="136"/>
    </row>
    <row r="40790" spans="1:2" x14ac:dyDescent="0.25">
      <c r="A40790" s="118"/>
      <c r="B40790" s="136"/>
    </row>
    <row r="40791" spans="1:2" x14ac:dyDescent="0.25">
      <c r="A40791" s="118"/>
      <c r="B40791" s="136"/>
    </row>
    <row r="40792" spans="1:2" x14ac:dyDescent="0.25">
      <c r="A40792" s="118"/>
      <c r="B40792" s="136"/>
    </row>
    <row r="40793" spans="1:2" x14ac:dyDescent="0.25">
      <c r="A40793" s="118"/>
      <c r="B40793" s="136"/>
    </row>
    <row r="40794" spans="1:2" x14ac:dyDescent="0.25">
      <c r="A40794" s="118"/>
      <c r="B40794" s="136"/>
    </row>
    <row r="40795" spans="1:2" x14ac:dyDescent="0.25">
      <c r="A40795" s="118"/>
      <c r="B40795" s="136"/>
    </row>
    <row r="40796" spans="1:2" x14ac:dyDescent="0.25">
      <c r="A40796" s="118"/>
      <c r="B40796" s="136"/>
    </row>
    <row r="40797" spans="1:2" x14ac:dyDescent="0.25">
      <c r="A40797" s="118"/>
      <c r="B40797" s="136"/>
    </row>
    <row r="40798" spans="1:2" x14ac:dyDescent="0.25">
      <c r="A40798" s="118"/>
      <c r="B40798" s="136"/>
    </row>
    <row r="40799" spans="1:2" x14ac:dyDescent="0.25">
      <c r="A40799" s="118"/>
      <c r="B40799" s="136"/>
    </row>
    <row r="40800" spans="1:2" x14ac:dyDescent="0.25">
      <c r="A40800" s="118"/>
      <c r="B40800" s="136"/>
    </row>
    <row r="40801" spans="1:2" x14ac:dyDescent="0.25">
      <c r="A40801" s="118"/>
      <c r="B40801" s="136"/>
    </row>
    <row r="40802" spans="1:2" x14ac:dyDescent="0.25">
      <c r="A40802" s="118"/>
      <c r="B40802" s="136"/>
    </row>
    <row r="40803" spans="1:2" x14ac:dyDescent="0.25">
      <c r="A40803" s="118"/>
      <c r="B40803" s="136"/>
    </row>
    <row r="40804" spans="1:2" x14ac:dyDescent="0.25">
      <c r="A40804" s="118"/>
      <c r="B40804" s="136"/>
    </row>
    <row r="40805" spans="1:2" x14ac:dyDescent="0.25">
      <c r="A40805" s="118"/>
      <c r="B40805" s="136"/>
    </row>
    <row r="40806" spans="1:2" x14ac:dyDescent="0.25">
      <c r="A40806" s="118"/>
      <c r="B40806" s="136"/>
    </row>
    <row r="40807" spans="1:2" x14ac:dyDescent="0.25">
      <c r="A40807" s="118"/>
      <c r="B40807" s="136"/>
    </row>
    <row r="40808" spans="1:2" x14ac:dyDescent="0.25">
      <c r="A40808" s="118"/>
      <c r="B40808" s="136"/>
    </row>
    <row r="40809" spans="1:2" x14ac:dyDescent="0.25">
      <c r="A40809" s="118"/>
      <c r="B40809" s="136"/>
    </row>
    <row r="40810" spans="1:2" x14ac:dyDescent="0.25">
      <c r="A40810" s="118"/>
      <c r="B40810" s="136"/>
    </row>
    <row r="40811" spans="1:2" x14ac:dyDescent="0.25">
      <c r="A40811" s="118"/>
      <c r="B40811" s="136"/>
    </row>
    <row r="40812" spans="1:2" x14ac:dyDescent="0.25">
      <c r="A40812" s="118"/>
      <c r="B40812" s="136"/>
    </row>
    <row r="40813" spans="1:2" x14ac:dyDescent="0.25">
      <c r="A40813" s="118"/>
      <c r="B40813" s="136"/>
    </row>
    <row r="40814" spans="1:2" x14ac:dyDescent="0.25">
      <c r="A40814" s="118"/>
      <c r="B40814" s="136"/>
    </row>
    <row r="40815" spans="1:2" x14ac:dyDescent="0.25">
      <c r="A40815" s="118"/>
      <c r="B40815" s="136"/>
    </row>
    <row r="40816" spans="1:2" x14ac:dyDescent="0.25">
      <c r="A40816" s="118"/>
      <c r="B40816" s="136"/>
    </row>
    <row r="40817" spans="1:2" x14ac:dyDescent="0.25">
      <c r="A40817" s="118"/>
      <c r="B40817" s="136"/>
    </row>
    <row r="40818" spans="1:2" x14ac:dyDescent="0.25">
      <c r="A40818" s="118"/>
      <c r="B40818" s="136"/>
    </row>
    <row r="40819" spans="1:2" x14ac:dyDescent="0.25">
      <c r="A40819" s="118"/>
      <c r="B40819" s="136"/>
    </row>
    <row r="40820" spans="1:2" x14ac:dyDescent="0.25">
      <c r="A40820" s="118"/>
      <c r="B40820" s="136"/>
    </row>
    <row r="40821" spans="1:2" x14ac:dyDescent="0.25">
      <c r="A40821" s="118"/>
      <c r="B40821" s="136"/>
    </row>
    <row r="40822" spans="1:2" x14ac:dyDescent="0.25">
      <c r="A40822" s="118"/>
      <c r="B40822" s="136"/>
    </row>
    <row r="40823" spans="1:2" x14ac:dyDescent="0.25">
      <c r="A40823" s="118"/>
      <c r="B40823" s="136"/>
    </row>
    <row r="40824" spans="1:2" x14ac:dyDescent="0.25">
      <c r="A40824" s="118"/>
      <c r="B40824" s="136"/>
    </row>
    <row r="40825" spans="1:2" x14ac:dyDescent="0.25">
      <c r="A40825" s="118"/>
      <c r="B40825" s="136"/>
    </row>
    <row r="40826" spans="1:2" x14ac:dyDescent="0.25">
      <c r="A40826" s="118"/>
      <c r="B40826" s="136"/>
    </row>
    <row r="40827" spans="1:2" x14ac:dyDescent="0.25">
      <c r="A40827" s="118"/>
      <c r="B40827" s="136"/>
    </row>
    <row r="40828" spans="1:2" x14ac:dyDescent="0.25">
      <c r="A40828" s="118"/>
      <c r="B40828" s="136"/>
    </row>
    <row r="40829" spans="1:2" x14ac:dyDescent="0.25">
      <c r="A40829" s="118"/>
      <c r="B40829" s="136"/>
    </row>
    <row r="40830" spans="1:2" x14ac:dyDescent="0.25">
      <c r="A40830" s="118"/>
      <c r="B40830" s="136"/>
    </row>
    <row r="40831" spans="1:2" x14ac:dyDescent="0.25">
      <c r="A40831" s="118"/>
      <c r="B40831" s="136"/>
    </row>
    <row r="40832" spans="1:2" x14ac:dyDescent="0.25">
      <c r="A40832" s="118"/>
      <c r="B40832" s="136"/>
    </row>
    <row r="40833" spans="1:2" x14ac:dyDescent="0.25">
      <c r="A40833" s="118"/>
      <c r="B40833" s="136"/>
    </row>
    <row r="40834" spans="1:2" x14ac:dyDescent="0.25">
      <c r="A40834" s="118"/>
      <c r="B40834" s="136"/>
    </row>
    <row r="40835" spans="1:2" x14ac:dyDescent="0.25">
      <c r="A40835" s="118"/>
      <c r="B40835" s="136"/>
    </row>
    <row r="40836" spans="1:2" x14ac:dyDescent="0.25">
      <c r="A40836" s="118"/>
      <c r="B40836" s="136"/>
    </row>
    <row r="40837" spans="1:2" x14ac:dyDescent="0.25">
      <c r="A40837" s="118"/>
      <c r="B40837" s="136"/>
    </row>
    <row r="40838" spans="1:2" x14ac:dyDescent="0.25">
      <c r="A40838" s="118"/>
      <c r="B40838" s="136"/>
    </row>
    <row r="40839" spans="1:2" x14ac:dyDescent="0.25">
      <c r="A40839" s="118"/>
      <c r="B40839" s="136"/>
    </row>
    <row r="40840" spans="1:2" x14ac:dyDescent="0.25">
      <c r="A40840" s="118"/>
      <c r="B40840" s="136"/>
    </row>
    <row r="40841" spans="1:2" x14ac:dyDescent="0.25">
      <c r="A40841" s="118"/>
      <c r="B40841" s="136"/>
    </row>
    <row r="40842" spans="1:2" x14ac:dyDescent="0.25">
      <c r="A40842" s="118"/>
      <c r="B40842" s="136"/>
    </row>
    <row r="40843" spans="1:2" x14ac:dyDescent="0.25">
      <c r="A40843" s="118"/>
      <c r="B40843" s="136"/>
    </row>
    <row r="40844" spans="1:2" x14ac:dyDescent="0.25">
      <c r="A40844" s="118"/>
      <c r="B40844" s="136"/>
    </row>
    <row r="40845" spans="1:2" x14ac:dyDescent="0.25">
      <c r="A40845" s="118"/>
      <c r="B40845" s="136"/>
    </row>
    <row r="40846" spans="1:2" x14ac:dyDescent="0.25">
      <c r="A40846" s="118"/>
      <c r="B40846" s="136"/>
    </row>
    <row r="40847" spans="1:2" x14ac:dyDescent="0.25">
      <c r="A40847" s="118"/>
      <c r="B40847" s="136"/>
    </row>
    <row r="40848" spans="1:2" x14ac:dyDescent="0.25">
      <c r="A40848" s="118"/>
      <c r="B40848" s="136"/>
    </row>
    <row r="40849" spans="1:2" x14ac:dyDescent="0.25">
      <c r="A40849" s="118"/>
      <c r="B40849" s="136"/>
    </row>
    <row r="40850" spans="1:2" x14ac:dyDescent="0.25">
      <c r="A40850" s="118"/>
      <c r="B40850" s="136"/>
    </row>
    <row r="40851" spans="1:2" x14ac:dyDescent="0.25">
      <c r="A40851" s="118"/>
      <c r="B40851" s="136"/>
    </row>
    <row r="40852" spans="1:2" x14ac:dyDescent="0.25">
      <c r="A40852" s="118"/>
      <c r="B40852" s="136"/>
    </row>
    <row r="40853" spans="1:2" x14ac:dyDescent="0.25">
      <c r="A40853" s="118"/>
      <c r="B40853" s="136"/>
    </row>
    <row r="40854" spans="1:2" x14ac:dyDescent="0.25">
      <c r="A40854" s="118"/>
      <c r="B40854" s="136"/>
    </row>
    <row r="40855" spans="1:2" x14ac:dyDescent="0.25">
      <c r="A40855" s="118"/>
      <c r="B40855" s="136"/>
    </row>
    <row r="40856" spans="1:2" x14ac:dyDescent="0.25">
      <c r="A40856" s="118"/>
      <c r="B40856" s="136"/>
    </row>
    <row r="40857" spans="1:2" x14ac:dyDescent="0.25">
      <c r="A40857" s="118"/>
      <c r="B40857" s="136"/>
    </row>
    <row r="40858" spans="1:2" x14ac:dyDescent="0.25">
      <c r="A40858" s="118"/>
      <c r="B40858" s="136"/>
    </row>
    <row r="40859" spans="1:2" x14ac:dyDescent="0.25">
      <c r="A40859" s="118"/>
      <c r="B40859" s="136"/>
    </row>
    <row r="40860" spans="1:2" x14ac:dyDescent="0.25">
      <c r="A40860" s="118"/>
      <c r="B40860" s="136"/>
    </row>
    <row r="40861" spans="1:2" x14ac:dyDescent="0.25">
      <c r="A40861" s="118"/>
      <c r="B40861" s="136"/>
    </row>
    <row r="40862" spans="1:2" x14ac:dyDescent="0.25">
      <c r="A40862" s="118"/>
      <c r="B40862" s="136"/>
    </row>
    <row r="40863" spans="1:2" x14ac:dyDescent="0.25">
      <c r="A40863" s="118"/>
      <c r="B40863" s="136"/>
    </row>
    <row r="40864" spans="1:2" x14ac:dyDescent="0.25">
      <c r="A40864" s="118"/>
      <c r="B40864" s="136"/>
    </row>
    <row r="40865" spans="1:2" x14ac:dyDescent="0.25">
      <c r="A40865" s="118"/>
      <c r="B40865" s="136"/>
    </row>
    <row r="40866" spans="1:2" x14ac:dyDescent="0.25">
      <c r="A40866" s="118"/>
      <c r="B40866" s="136"/>
    </row>
    <row r="40867" spans="1:2" x14ac:dyDescent="0.25">
      <c r="A40867" s="118"/>
      <c r="B40867" s="136"/>
    </row>
    <row r="40868" spans="1:2" x14ac:dyDescent="0.25">
      <c r="A40868" s="118"/>
      <c r="B40868" s="136"/>
    </row>
    <row r="40869" spans="1:2" x14ac:dyDescent="0.25">
      <c r="A40869" s="118"/>
      <c r="B40869" s="136"/>
    </row>
    <row r="40870" spans="1:2" x14ac:dyDescent="0.25">
      <c r="A40870" s="118"/>
      <c r="B40870" s="136"/>
    </row>
    <row r="40871" spans="1:2" x14ac:dyDescent="0.25">
      <c r="A40871" s="118"/>
      <c r="B40871" s="136"/>
    </row>
    <row r="40872" spans="1:2" x14ac:dyDescent="0.25">
      <c r="A40872" s="118"/>
      <c r="B40872" s="136"/>
    </row>
    <row r="40873" spans="1:2" x14ac:dyDescent="0.25">
      <c r="A40873" s="118"/>
      <c r="B40873" s="136"/>
    </row>
    <row r="40874" spans="1:2" x14ac:dyDescent="0.25">
      <c r="A40874" s="118"/>
      <c r="B40874" s="136"/>
    </row>
    <row r="40875" spans="1:2" x14ac:dyDescent="0.25">
      <c r="A40875" s="118"/>
      <c r="B40875" s="136"/>
    </row>
    <row r="40876" spans="1:2" x14ac:dyDescent="0.25">
      <c r="A40876" s="118"/>
      <c r="B40876" s="136"/>
    </row>
    <row r="40877" spans="1:2" x14ac:dyDescent="0.25">
      <c r="A40877" s="118"/>
      <c r="B40877" s="136"/>
    </row>
    <row r="40878" spans="1:2" x14ac:dyDescent="0.25">
      <c r="A40878" s="118"/>
      <c r="B40878" s="136"/>
    </row>
    <row r="40879" spans="1:2" x14ac:dyDescent="0.25">
      <c r="A40879" s="118"/>
      <c r="B40879" s="136"/>
    </row>
    <row r="40880" spans="1:2" x14ac:dyDescent="0.25">
      <c r="A40880" s="118"/>
      <c r="B40880" s="136"/>
    </row>
    <row r="40881" spans="1:2" x14ac:dyDescent="0.25">
      <c r="A40881" s="118"/>
      <c r="B40881" s="136"/>
    </row>
    <row r="40882" spans="1:2" x14ac:dyDescent="0.25">
      <c r="A40882" s="118"/>
      <c r="B40882" s="136"/>
    </row>
    <row r="40883" spans="1:2" x14ac:dyDescent="0.25">
      <c r="A40883" s="118"/>
      <c r="B40883" s="136"/>
    </row>
    <row r="40884" spans="1:2" x14ac:dyDescent="0.25">
      <c r="A40884" s="118"/>
      <c r="B40884" s="136"/>
    </row>
    <row r="40885" spans="1:2" x14ac:dyDescent="0.25">
      <c r="A40885" s="118"/>
      <c r="B40885" s="136"/>
    </row>
    <row r="40886" spans="1:2" x14ac:dyDescent="0.25">
      <c r="A40886" s="118"/>
      <c r="B40886" s="136"/>
    </row>
    <row r="40887" spans="1:2" x14ac:dyDescent="0.25">
      <c r="A40887" s="118"/>
      <c r="B40887" s="136"/>
    </row>
    <row r="40888" spans="1:2" x14ac:dyDescent="0.25">
      <c r="A40888" s="118"/>
      <c r="B40888" s="136"/>
    </row>
    <row r="40889" spans="1:2" x14ac:dyDescent="0.25">
      <c r="A40889" s="118"/>
      <c r="B40889" s="136"/>
    </row>
    <row r="40890" spans="1:2" x14ac:dyDescent="0.25">
      <c r="A40890" s="118"/>
      <c r="B40890" s="136"/>
    </row>
    <row r="40891" spans="1:2" x14ac:dyDescent="0.25">
      <c r="A40891" s="118"/>
      <c r="B40891" s="136"/>
    </row>
    <row r="40892" spans="1:2" x14ac:dyDescent="0.25">
      <c r="A40892" s="118"/>
      <c r="B40892" s="136"/>
    </row>
    <row r="40893" spans="1:2" x14ac:dyDescent="0.25">
      <c r="A40893" s="118"/>
      <c r="B40893" s="136"/>
    </row>
    <row r="40894" spans="1:2" x14ac:dyDescent="0.25">
      <c r="A40894" s="118"/>
      <c r="B40894" s="136"/>
    </row>
    <row r="40895" spans="1:2" x14ac:dyDescent="0.25">
      <c r="A40895" s="118"/>
      <c r="B40895" s="136"/>
    </row>
    <row r="40896" spans="1:2" x14ac:dyDescent="0.25">
      <c r="A40896" s="118"/>
      <c r="B40896" s="136"/>
    </row>
    <row r="40897" spans="1:2" x14ac:dyDescent="0.25">
      <c r="A40897" s="118"/>
      <c r="B40897" s="136"/>
    </row>
    <row r="40898" spans="1:2" x14ac:dyDescent="0.25">
      <c r="A40898" s="118"/>
      <c r="B40898" s="136"/>
    </row>
    <row r="40899" spans="1:2" x14ac:dyDescent="0.25">
      <c r="A40899" s="118"/>
      <c r="B40899" s="136"/>
    </row>
    <row r="40900" spans="1:2" x14ac:dyDescent="0.25">
      <c r="A40900" s="118"/>
      <c r="B40900" s="136"/>
    </row>
    <row r="40901" spans="1:2" x14ac:dyDescent="0.25">
      <c r="A40901" s="118"/>
      <c r="B40901" s="136"/>
    </row>
    <row r="40902" spans="1:2" x14ac:dyDescent="0.25">
      <c r="A40902" s="118"/>
      <c r="B40902" s="136"/>
    </row>
    <row r="40903" spans="1:2" x14ac:dyDescent="0.25">
      <c r="A40903" s="118"/>
      <c r="B40903" s="136"/>
    </row>
    <row r="40904" spans="1:2" x14ac:dyDescent="0.25">
      <c r="A40904" s="118"/>
      <c r="B40904" s="136"/>
    </row>
    <row r="40905" spans="1:2" x14ac:dyDescent="0.25">
      <c r="A40905" s="118"/>
      <c r="B40905" s="136"/>
    </row>
    <row r="40906" spans="1:2" x14ac:dyDescent="0.25">
      <c r="A40906" s="118"/>
      <c r="B40906" s="136"/>
    </row>
    <row r="40907" spans="1:2" x14ac:dyDescent="0.25">
      <c r="A40907" s="118"/>
      <c r="B40907" s="136"/>
    </row>
    <row r="40908" spans="1:2" x14ac:dyDescent="0.25">
      <c r="A40908" s="118"/>
      <c r="B40908" s="136"/>
    </row>
    <row r="40909" spans="1:2" x14ac:dyDescent="0.25">
      <c r="A40909" s="118"/>
      <c r="B40909" s="136"/>
    </row>
    <row r="40910" spans="1:2" x14ac:dyDescent="0.25">
      <c r="A40910" s="118"/>
      <c r="B40910" s="136"/>
    </row>
    <row r="40911" spans="1:2" x14ac:dyDescent="0.25">
      <c r="A40911" s="118"/>
      <c r="B40911" s="136"/>
    </row>
    <row r="40912" spans="1:2" x14ac:dyDescent="0.25">
      <c r="A40912" s="118"/>
      <c r="B40912" s="136"/>
    </row>
    <row r="40913" spans="1:2" x14ac:dyDescent="0.25">
      <c r="A40913" s="118"/>
      <c r="B40913" s="136"/>
    </row>
    <row r="40914" spans="1:2" x14ac:dyDescent="0.25">
      <c r="A40914" s="118"/>
      <c r="B40914" s="136"/>
    </row>
    <row r="40915" spans="1:2" x14ac:dyDescent="0.25">
      <c r="A40915" s="118"/>
      <c r="B40915" s="136"/>
    </row>
    <row r="40916" spans="1:2" x14ac:dyDescent="0.25">
      <c r="A40916" s="118"/>
      <c r="B40916" s="136"/>
    </row>
    <row r="40917" spans="1:2" x14ac:dyDescent="0.25">
      <c r="A40917" s="118"/>
      <c r="B40917" s="136"/>
    </row>
    <row r="40918" spans="1:2" x14ac:dyDescent="0.25">
      <c r="A40918" s="118"/>
      <c r="B40918" s="136"/>
    </row>
    <row r="40919" spans="1:2" x14ac:dyDescent="0.25">
      <c r="A40919" s="118"/>
      <c r="B40919" s="136"/>
    </row>
    <row r="40920" spans="1:2" x14ac:dyDescent="0.25">
      <c r="A40920" s="118"/>
      <c r="B40920" s="136"/>
    </row>
    <row r="40921" spans="1:2" x14ac:dyDescent="0.25">
      <c r="A40921" s="118"/>
      <c r="B40921" s="136"/>
    </row>
    <row r="40922" spans="1:2" x14ac:dyDescent="0.25">
      <c r="A40922" s="118"/>
      <c r="B40922" s="136"/>
    </row>
    <row r="40923" spans="1:2" x14ac:dyDescent="0.25">
      <c r="A40923" s="118"/>
      <c r="B40923" s="136"/>
    </row>
    <row r="40924" spans="1:2" x14ac:dyDescent="0.25">
      <c r="A40924" s="118"/>
      <c r="B40924" s="136"/>
    </row>
    <row r="40925" spans="1:2" x14ac:dyDescent="0.25">
      <c r="A40925" s="118"/>
      <c r="B40925" s="136"/>
    </row>
    <row r="40926" spans="1:2" x14ac:dyDescent="0.25">
      <c r="A40926" s="118"/>
      <c r="B40926" s="136"/>
    </row>
    <row r="40927" spans="1:2" x14ac:dyDescent="0.25">
      <c r="A40927" s="118"/>
      <c r="B40927" s="136"/>
    </row>
    <row r="40928" spans="1:2" x14ac:dyDescent="0.25">
      <c r="A40928" s="118"/>
      <c r="B40928" s="136"/>
    </row>
    <row r="40929" spans="1:2" x14ac:dyDescent="0.25">
      <c r="A40929" s="118"/>
      <c r="B40929" s="136"/>
    </row>
    <row r="40930" spans="1:2" x14ac:dyDescent="0.25">
      <c r="A40930" s="118"/>
      <c r="B40930" s="136"/>
    </row>
    <row r="40931" spans="1:2" x14ac:dyDescent="0.25">
      <c r="A40931" s="118"/>
      <c r="B40931" s="136"/>
    </row>
    <row r="40932" spans="1:2" x14ac:dyDescent="0.25">
      <c r="A40932" s="118"/>
      <c r="B40932" s="136"/>
    </row>
    <row r="40933" spans="1:2" x14ac:dyDescent="0.25">
      <c r="A40933" s="118"/>
      <c r="B40933" s="136"/>
    </row>
    <row r="40934" spans="1:2" x14ac:dyDescent="0.25">
      <c r="A40934" s="118"/>
      <c r="B40934" s="136"/>
    </row>
    <row r="40935" spans="1:2" x14ac:dyDescent="0.25">
      <c r="A40935" s="118"/>
      <c r="B40935" s="136"/>
    </row>
    <row r="40936" spans="1:2" x14ac:dyDescent="0.25">
      <c r="A40936" s="118"/>
      <c r="B40936" s="136"/>
    </row>
    <row r="40937" spans="1:2" x14ac:dyDescent="0.25">
      <c r="A40937" s="118"/>
      <c r="B40937" s="136"/>
    </row>
    <row r="40938" spans="1:2" x14ac:dyDescent="0.25">
      <c r="A40938" s="118"/>
      <c r="B40938" s="136"/>
    </row>
    <row r="40939" spans="1:2" x14ac:dyDescent="0.25">
      <c r="A40939" s="118"/>
      <c r="B40939" s="136"/>
    </row>
    <row r="40940" spans="1:2" x14ac:dyDescent="0.25">
      <c r="A40940" s="118"/>
      <c r="B40940" s="136"/>
    </row>
    <row r="40941" spans="1:2" x14ac:dyDescent="0.25">
      <c r="A40941" s="118"/>
      <c r="B40941" s="136"/>
    </row>
    <row r="40942" spans="1:2" x14ac:dyDescent="0.25">
      <c r="A40942" s="118"/>
      <c r="B40942" s="136"/>
    </row>
    <row r="40943" spans="1:2" x14ac:dyDescent="0.25">
      <c r="A40943" s="118"/>
      <c r="B40943" s="136"/>
    </row>
    <row r="40944" spans="1:2" x14ac:dyDescent="0.25">
      <c r="A40944" s="118"/>
      <c r="B40944" s="136"/>
    </row>
    <row r="40945" spans="1:2" x14ac:dyDescent="0.25">
      <c r="A40945" s="118"/>
      <c r="B40945" s="136"/>
    </row>
    <row r="40946" spans="1:2" x14ac:dyDescent="0.25">
      <c r="A40946" s="118"/>
      <c r="B40946" s="136"/>
    </row>
    <row r="40947" spans="1:2" x14ac:dyDescent="0.25">
      <c r="A40947" s="118"/>
      <c r="B40947" s="136"/>
    </row>
    <row r="40948" spans="1:2" x14ac:dyDescent="0.25">
      <c r="A40948" s="118"/>
      <c r="B40948" s="136"/>
    </row>
    <row r="40949" spans="1:2" x14ac:dyDescent="0.25">
      <c r="A40949" s="118"/>
      <c r="B40949" s="136"/>
    </row>
    <row r="40950" spans="1:2" x14ac:dyDescent="0.25">
      <c r="A40950" s="118"/>
      <c r="B40950" s="136"/>
    </row>
    <row r="40951" spans="1:2" x14ac:dyDescent="0.25">
      <c r="A40951" s="118"/>
      <c r="B40951" s="136"/>
    </row>
    <row r="40952" spans="1:2" x14ac:dyDescent="0.25">
      <c r="A40952" s="118"/>
      <c r="B40952" s="136"/>
    </row>
    <row r="40953" spans="1:2" x14ac:dyDescent="0.25">
      <c r="A40953" s="118"/>
      <c r="B40953" s="136"/>
    </row>
    <row r="40954" spans="1:2" x14ac:dyDescent="0.25">
      <c r="A40954" s="118"/>
      <c r="B40954" s="136"/>
    </row>
    <row r="40955" spans="1:2" x14ac:dyDescent="0.25">
      <c r="A40955" s="118"/>
      <c r="B40955" s="136"/>
    </row>
    <row r="40956" spans="1:2" x14ac:dyDescent="0.25">
      <c r="A40956" s="118"/>
      <c r="B40956" s="136"/>
    </row>
    <row r="40957" spans="1:2" x14ac:dyDescent="0.25">
      <c r="A40957" s="118"/>
      <c r="B40957" s="136"/>
    </row>
    <row r="40958" spans="1:2" x14ac:dyDescent="0.25">
      <c r="A40958" s="118"/>
      <c r="B40958" s="136"/>
    </row>
    <row r="40959" spans="1:2" x14ac:dyDescent="0.25">
      <c r="A40959" s="118"/>
      <c r="B40959" s="136"/>
    </row>
    <row r="40960" spans="1:2" x14ac:dyDescent="0.25">
      <c r="A40960" s="118"/>
      <c r="B40960" s="136"/>
    </row>
    <row r="40961" spans="1:2" x14ac:dyDescent="0.25">
      <c r="A40961" s="118"/>
      <c r="B40961" s="136"/>
    </row>
    <row r="40962" spans="1:2" x14ac:dyDescent="0.25">
      <c r="A40962" s="118"/>
      <c r="B40962" s="136"/>
    </row>
    <row r="40963" spans="1:2" x14ac:dyDescent="0.25">
      <c r="A40963" s="118"/>
      <c r="B40963" s="136"/>
    </row>
    <row r="40964" spans="1:2" x14ac:dyDescent="0.25">
      <c r="A40964" s="118"/>
      <c r="B40964" s="136"/>
    </row>
    <row r="40965" spans="1:2" x14ac:dyDescent="0.25">
      <c r="A40965" s="118"/>
      <c r="B40965" s="136"/>
    </row>
    <row r="40966" spans="1:2" x14ac:dyDescent="0.25">
      <c r="A40966" s="118"/>
      <c r="B40966" s="136"/>
    </row>
    <row r="40967" spans="1:2" x14ac:dyDescent="0.25">
      <c r="A40967" s="118"/>
      <c r="B40967" s="136"/>
    </row>
    <row r="40968" spans="1:2" x14ac:dyDescent="0.25">
      <c r="A40968" s="118"/>
      <c r="B40968" s="136"/>
    </row>
    <row r="40969" spans="1:2" x14ac:dyDescent="0.25">
      <c r="A40969" s="118"/>
      <c r="B40969" s="136"/>
    </row>
    <row r="40970" spans="1:2" x14ac:dyDescent="0.25">
      <c r="A40970" s="118"/>
      <c r="B40970" s="136"/>
    </row>
    <row r="40971" spans="1:2" x14ac:dyDescent="0.25">
      <c r="A40971" s="118"/>
      <c r="B40971" s="136"/>
    </row>
    <row r="40972" spans="1:2" x14ac:dyDescent="0.25">
      <c r="A40972" s="118"/>
      <c r="B40972" s="136"/>
    </row>
    <row r="40973" spans="1:2" x14ac:dyDescent="0.25">
      <c r="A40973" s="118"/>
      <c r="B40973" s="136"/>
    </row>
    <row r="40974" spans="1:2" x14ac:dyDescent="0.25">
      <c r="A40974" s="118"/>
      <c r="B40974" s="136"/>
    </row>
    <row r="40975" spans="1:2" x14ac:dyDescent="0.25">
      <c r="A40975" s="118"/>
      <c r="B40975" s="136"/>
    </row>
    <row r="40976" spans="1:2" x14ac:dyDescent="0.25">
      <c r="A40976" s="118"/>
      <c r="B40976" s="136"/>
    </row>
    <row r="40977" spans="1:2" x14ac:dyDescent="0.25">
      <c r="A40977" s="118"/>
      <c r="B40977" s="136"/>
    </row>
    <row r="40978" spans="1:2" x14ac:dyDescent="0.25">
      <c r="A40978" s="118"/>
      <c r="B40978" s="136"/>
    </row>
    <row r="40979" spans="1:2" x14ac:dyDescent="0.25">
      <c r="A40979" s="118"/>
      <c r="B40979" s="136"/>
    </row>
    <row r="40980" spans="1:2" x14ac:dyDescent="0.25">
      <c r="A40980" s="118"/>
      <c r="B40980" s="136"/>
    </row>
    <row r="40981" spans="1:2" x14ac:dyDescent="0.25">
      <c r="A40981" s="118"/>
      <c r="B40981" s="136"/>
    </row>
    <row r="40982" spans="1:2" x14ac:dyDescent="0.25">
      <c r="A40982" s="118"/>
      <c r="B40982" s="136"/>
    </row>
    <row r="40983" spans="1:2" x14ac:dyDescent="0.25">
      <c r="A40983" s="118"/>
      <c r="B40983" s="136"/>
    </row>
    <row r="40984" spans="1:2" x14ac:dyDescent="0.25">
      <c r="A40984" s="118"/>
      <c r="B40984" s="136"/>
    </row>
    <row r="40985" spans="1:2" x14ac:dyDescent="0.25">
      <c r="A40985" s="118"/>
      <c r="B40985" s="136"/>
    </row>
    <row r="40986" spans="1:2" x14ac:dyDescent="0.25">
      <c r="A40986" s="118"/>
      <c r="B40986" s="136"/>
    </row>
    <row r="40987" spans="1:2" x14ac:dyDescent="0.25">
      <c r="A40987" s="118"/>
      <c r="B40987" s="136"/>
    </row>
    <row r="40988" spans="1:2" x14ac:dyDescent="0.25">
      <c r="A40988" s="118"/>
      <c r="B40988" s="136"/>
    </row>
    <row r="40989" spans="1:2" x14ac:dyDescent="0.25">
      <c r="A40989" s="118"/>
      <c r="B40989" s="136"/>
    </row>
    <row r="40990" spans="1:2" x14ac:dyDescent="0.25">
      <c r="A40990" s="118"/>
      <c r="B40990" s="136"/>
    </row>
    <row r="40991" spans="1:2" x14ac:dyDescent="0.25">
      <c r="A40991" s="118"/>
      <c r="B40991" s="136"/>
    </row>
    <row r="40992" spans="1:2" x14ac:dyDescent="0.25">
      <c r="A40992" s="118"/>
      <c r="B40992" s="136"/>
    </row>
    <row r="40993" spans="1:2" x14ac:dyDescent="0.25">
      <c r="A40993" s="118"/>
      <c r="B40993" s="136"/>
    </row>
    <row r="40994" spans="1:2" x14ac:dyDescent="0.25">
      <c r="A40994" s="118"/>
      <c r="B40994" s="136"/>
    </row>
    <row r="40995" spans="1:2" x14ac:dyDescent="0.25">
      <c r="A40995" s="118"/>
      <c r="B40995" s="136"/>
    </row>
    <row r="40996" spans="1:2" x14ac:dyDescent="0.25">
      <c r="A40996" s="118"/>
      <c r="B40996" s="136"/>
    </row>
    <row r="40997" spans="1:2" x14ac:dyDescent="0.25">
      <c r="A40997" s="118"/>
      <c r="B40997" s="136"/>
    </row>
    <row r="40998" spans="1:2" x14ac:dyDescent="0.25">
      <c r="A40998" s="118"/>
      <c r="B40998" s="136"/>
    </row>
    <row r="40999" spans="1:2" x14ac:dyDescent="0.25">
      <c r="A40999" s="118"/>
      <c r="B40999" s="136"/>
    </row>
    <row r="41000" spans="1:2" x14ac:dyDescent="0.25">
      <c r="A41000" s="118"/>
      <c r="B41000" s="136"/>
    </row>
    <row r="41001" spans="1:2" x14ac:dyDescent="0.25">
      <c r="A41001" s="118"/>
      <c r="B41001" s="136"/>
    </row>
    <row r="41002" spans="1:2" x14ac:dyDescent="0.25">
      <c r="A41002" s="118"/>
      <c r="B41002" s="136"/>
    </row>
    <row r="41003" spans="1:2" x14ac:dyDescent="0.25">
      <c r="A41003" s="118"/>
      <c r="B41003" s="136"/>
    </row>
    <row r="41004" spans="1:2" x14ac:dyDescent="0.25">
      <c r="A41004" s="118"/>
      <c r="B41004" s="136"/>
    </row>
    <row r="41005" spans="1:2" x14ac:dyDescent="0.25">
      <c r="A41005" s="118"/>
      <c r="B41005" s="136"/>
    </row>
    <row r="41006" spans="1:2" x14ac:dyDescent="0.25">
      <c r="A41006" s="118"/>
      <c r="B41006" s="136"/>
    </row>
    <row r="41007" spans="1:2" x14ac:dyDescent="0.25">
      <c r="A41007" s="118"/>
      <c r="B41007" s="136"/>
    </row>
    <row r="41008" spans="1:2" x14ac:dyDescent="0.25">
      <c r="A41008" s="118"/>
      <c r="B41008" s="136"/>
    </row>
    <row r="41009" spans="1:2" x14ac:dyDescent="0.25">
      <c r="A41009" s="118"/>
      <c r="B41009" s="136"/>
    </row>
    <row r="41010" spans="1:2" x14ac:dyDescent="0.25">
      <c r="A41010" s="118"/>
      <c r="B41010" s="136"/>
    </row>
    <row r="41011" spans="1:2" x14ac:dyDescent="0.25">
      <c r="A41011" s="118"/>
      <c r="B41011" s="136"/>
    </row>
    <row r="41012" spans="1:2" x14ac:dyDescent="0.25">
      <c r="A41012" s="118"/>
      <c r="B41012" s="136"/>
    </row>
    <row r="41013" spans="1:2" x14ac:dyDescent="0.25">
      <c r="A41013" s="118"/>
      <c r="B41013" s="136"/>
    </row>
    <row r="41014" spans="1:2" x14ac:dyDescent="0.25">
      <c r="A41014" s="118"/>
      <c r="B41014" s="136"/>
    </row>
    <row r="41015" spans="1:2" x14ac:dyDescent="0.25">
      <c r="A41015" s="118"/>
      <c r="B41015" s="136"/>
    </row>
    <row r="41016" spans="1:2" x14ac:dyDescent="0.25">
      <c r="A41016" s="118"/>
      <c r="B41016" s="136"/>
    </row>
    <row r="41017" spans="1:2" x14ac:dyDescent="0.25">
      <c r="A41017" s="118"/>
      <c r="B41017" s="136"/>
    </row>
    <row r="41018" spans="1:2" x14ac:dyDescent="0.25">
      <c r="A41018" s="118"/>
      <c r="B41018" s="136"/>
    </row>
    <row r="41019" spans="1:2" x14ac:dyDescent="0.25">
      <c r="A41019" s="118"/>
      <c r="B41019" s="136"/>
    </row>
    <row r="41020" spans="1:2" x14ac:dyDescent="0.25">
      <c r="A41020" s="118"/>
      <c r="B41020" s="136"/>
    </row>
    <row r="41021" spans="1:2" x14ac:dyDescent="0.25">
      <c r="A41021" s="118"/>
      <c r="B41021" s="136"/>
    </row>
    <row r="41022" spans="1:2" x14ac:dyDescent="0.25">
      <c r="A41022" s="118"/>
      <c r="B41022" s="136"/>
    </row>
    <row r="41023" spans="1:2" x14ac:dyDescent="0.25">
      <c r="A41023" s="118"/>
      <c r="B41023" s="136"/>
    </row>
    <row r="41024" spans="1:2" x14ac:dyDescent="0.25">
      <c r="A41024" s="118"/>
      <c r="B41024" s="136"/>
    </row>
    <row r="41025" spans="1:2" x14ac:dyDescent="0.25">
      <c r="A41025" s="118"/>
      <c r="B41025" s="136"/>
    </row>
    <row r="41026" spans="1:2" x14ac:dyDescent="0.25">
      <c r="A41026" s="118"/>
      <c r="B41026" s="136"/>
    </row>
    <row r="41027" spans="1:2" x14ac:dyDescent="0.25">
      <c r="A41027" s="118"/>
      <c r="B41027" s="136"/>
    </row>
    <row r="41028" spans="1:2" x14ac:dyDescent="0.25">
      <c r="A41028" s="118"/>
      <c r="B41028" s="136"/>
    </row>
    <row r="41029" spans="1:2" x14ac:dyDescent="0.25">
      <c r="A41029" s="118"/>
      <c r="B41029" s="136"/>
    </row>
    <row r="41030" spans="1:2" x14ac:dyDescent="0.25">
      <c r="A41030" s="118"/>
      <c r="B41030" s="136"/>
    </row>
    <row r="41031" spans="1:2" x14ac:dyDescent="0.25">
      <c r="A41031" s="118"/>
      <c r="B41031" s="136"/>
    </row>
    <row r="41032" spans="1:2" x14ac:dyDescent="0.25">
      <c r="A41032" s="118"/>
      <c r="B41032" s="136"/>
    </row>
    <row r="41033" spans="1:2" x14ac:dyDescent="0.25">
      <c r="A41033" s="118"/>
      <c r="B41033" s="136"/>
    </row>
    <row r="41034" spans="1:2" x14ac:dyDescent="0.25">
      <c r="A41034" s="118"/>
      <c r="B41034" s="136"/>
    </row>
    <row r="41035" spans="1:2" x14ac:dyDescent="0.25">
      <c r="A41035" s="118"/>
      <c r="B41035" s="136"/>
    </row>
    <row r="41036" spans="1:2" x14ac:dyDescent="0.25">
      <c r="A41036" s="118"/>
      <c r="B41036" s="136"/>
    </row>
    <row r="41037" spans="1:2" x14ac:dyDescent="0.25">
      <c r="A41037" s="118"/>
      <c r="B41037" s="136"/>
    </row>
    <row r="41038" spans="1:2" x14ac:dyDescent="0.25">
      <c r="A41038" s="118"/>
      <c r="B41038" s="136"/>
    </row>
    <row r="41039" spans="1:2" x14ac:dyDescent="0.25">
      <c r="A41039" s="118"/>
      <c r="B41039" s="136"/>
    </row>
    <row r="41040" spans="1:2" x14ac:dyDescent="0.25">
      <c r="A41040" s="118"/>
      <c r="B41040" s="136"/>
    </row>
    <row r="41041" spans="1:2" x14ac:dyDescent="0.25">
      <c r="A41041" s="118"/>
      <c r="B41041" s="136"/>
    </row>
    <row r="41042" spans="1:2" x14ac:dyDescent="0.25">
      <c r="A41042" s="118"/>
      <c r="B41042" s="136"/>
    </row>
    <row r="41043" spans="1:2" x14ac:dyDescent="0.25">
      <c r="A41043" s="118"/>
      <c r="B41043" s="136"/>
    </row>
    <row r="41044" spans="1:2" x14ac:dyDescent="0.25">
      <c r="A41044" s="118"/>
      <c r="B41044" s="136"/>
    </row>
    <row r="41045" spans="1:2" x14ac:dyDescent="0.25">
      <c r="A41045" s="118"/>
      <c r="B41045" s="136"/>
    </row>
    <row r="41046" spans="1:2" x14ac:dyDescent="0.25">
      <c r="A41046" s="118"/>
      <c r="B41046" s="136"/>
    </row>
    <row r="41047" spans="1:2" x14ac:dyDescent="0.25">
      <c r="A41047" s="118"/>
      <c r="B41047" s="136"/>
    </row>
    <row r="41048" spans="1:2" x14ac:dyDescent="0.25">
      <c r="A41048" s="118"/>
      <c r="B41048" s="136"/>
    </row>
    <row r="41049" spans="1:2" x14ac:dyDescent="0.25">
      <c r="A41049" s="118"/>
      <c r="B41049" s="136"/>
    </row>
    <row r="41050" spans="1:2" x14ac:dyDescent="0.25">
      <c r="A41050" s="118"/>
      <c r="B41050" s="136"/>
    </row>
    <row r="41051" spans="1:2" x14ac:dyDescent="0.25">
      <c r="A41051" s="118"/>
      <c r="B41051" s="136"/>
    </row>
    <row r="41052" spans="1:2" x14ac:dyDescent="0.25">
      <c r="A41052" s="118"/>
      <c r="B41052" s="136"/>
    </row>
    <row r="41053" spans="1:2" x14ac:dyDescent="0.25">
      <c r="A41053" s="118"/>
      <c r="B41053" s="136"/>
    </row>
    <row r="41054" spans="1:2" x14ac:dyDescent="0.25">
      <c r="A41054" s="118"/>
      <c r="B41054" s="136"/>
    </row>
    <row r="41055" spans="1:2" x14ac:dyDescent="0.25">
      <c r="A41055" s="118"/>
      <c r="B41055" s="136"/>
    </row>
    <row r="41056" spans="1:2" x14ac:dyDescent="0.25">
      <c r="A41056" s="118"/>
      <c r="B41056" s="136"/>
    </row>
    <row r="41057" spans="1:2" x14ac:dyDescent="0.25">
      <c r="A41057" s="118"/>
      <c r="B41057" s="136"/>
    </row>
    <row r="41058" spans="1:2" x14ac:dyDescent="0.25">
      <c r="A41058" s="118"/>
      <c r="B41058" s="136"/>
    </row>
    <row r="41059" spans="1:2" x14ac:dyDescent="0.25">
      <c r="A41059" s="118"/>
      <c r="B41059" s="136"/>
    </row>
    <row r="41060" spans="1:2" x14ac:dyDescent="0.25">
      <c r="A41060" s="118"/>
      <c r="B41060" s="136"/>
    </row>
    <row r="41061" spans="1:2" x14ac:dyDescent="0.25">
      <c r="A41061" s="118"/>
      <c r="B41061" s="136"/>
    </row>
    <row r="41062" spans="1:2" x14ac:dyDescent="0.25">
      <c r="A41062" s="118"/>
      <c r="B41062" s="136"/>
    </row>
    <row r="41063" spans="1:2" x14ac:dyDescent="0.25">
      <c r="A41063" s="118"/>
      <c r="B41063" s="136"/>
    </row>
    <row r="41064" spans="1:2" x14ac:dyDescent="0.25">
      <c r="A41064" s="118"/>
      <c r="B41064" s="136"/>
    </row>
    <row r="41065" spans="1:2" x14ac:dyDescent="0.25">
      <c r="A41065" s="118"/>
      <c r="B41065" s="136"/>
    </row>
    <row r="41066" spans="1:2" x14ac:dyDescent="0.25">
      <c r="A41066" s="118"/>
      <c r="B41066" s="136"/>
    </row>
    <row r="41067" spans="1:2" x14ac:dyDescent="0.25">
      <c r="A41067" s="118"/>
      <c r="B41067" s="136"/>
    </row>
    <row r="41068" spans="1:2" x14ac:dyDescent="0.25">
      <c r="A41068" s="118"/>
      <c r="B41068" s="136"/>
    </row>
    <row r="41069" spans="1:2" x14ac:dyDescent="0.25">
      <c r="A41069" s="118"/>
      <c r="B41069" s="136"/>
    </row>
    <row r="41070" spans="1:2" x14ac:dyDescent="0.25">
      <c r="A41070" s="118"/>
      <c r="B41070" s="136"/>
    </row>
    <row r="41071" spans="1:2" x14ac:dyDescent="0.25">
      <c r="A41071" s="118"/>
      <c r="B41071" s="136"/>
    </row>
    <row r="41072" spans="1:2" x14ac:dyDescent="0.25">
      <c r="A41072" s="118"/>
      <c r="B41072" s="136"/>
    </row>
    <row r="41073" spans="1:2" x14ac:dyDescent="0.25">
      <c r="A41073" s="118"/>
      <c r="B41073" s="136"/>
    </row>
    <row r="41074" spans="1:2" x14ac:dyDescent="0.25">
      <c r="A41074" s="118"/>
      <c r="B41074" s="136"/>
    </row>
    <row r="41075" spans="1:2" x14ac:dyDescent="0.25">
      <c r="A41075" s="118"/>
      <c r="B41075" s="136"/>
    </row>
    <row r="41076" spans="1:2" x14ac:dyDescent="0.25">
      <c r="A41076" s="118"/>
      <c r="B41076" s="136"/>
    </row>
    <row r="41077" spans="1:2" x14ac:dyDescent="0.25">
      <c r="A41077" s="118"/>
      <c r="B41077" s="136"/>
    </row>
    <row r="41078" spans="1:2" x14ac:dyDescent="0.25">
      <c r="A41078" s="118"/>
      <c r="B41078" s="136"/>
    </row>
    <row r="41079" spans="1:2" x14ac:dyDescent="0.25">
      <c r="A41079" s="118"/>
      <c r="B41079" s="136"/>
    </row>
    <row r="41080" spans="1:2" x14ac:dyDescent="0.25">
      <c r="A41080" s="118"/>
      <c r="B41080" s="136"/>
    </row>
    <row r="41081" spans="1:2" x14ac:dyDescent="0.25">
      <c r="A41081" s="118"/>
      <c r="B41081" s="136"/>
    </row>
    <row r="41082" spans="1:2" x14ac:dyDescent="0.25">
      <c r="A41082" s="118"/>
      <c r="B41082" s="136"/>
    </row>
    <row r="41083" spans="1:2" x14ac:dyDescent="0.25">
      <c r="A41083" s="118"/>
      <c r="B41083" s="136"/>
    </row>
    <row r="41084" spans="1:2" x14ac:dyDescent="0.25">
      <c r="A41084" s="118"/>
      <c r="B41084" s="136"/>
    </row>
    <row r="41085" spans="1:2" x14ac:dyDescent="0.25">
      <c r="A41085" s="118"/>
      <c r="B41085" s="136"/>
    </row>
    <row r="41086" spans="1:2" x14ac:dyDescent="0.25">
      <c r="A41086" s="118"/>
      <c r="B41086" s="136"/>
    </row>
    <row r="41087" spans="1:2" x14ac:dyDescent="0.25">
      <c r="A41087" s="118"/>
      <c r="B41087" s="136"/>
    </row>
    <row r="41088" spans="1:2" x14ac:dyDescent="0.25">
      <c r="A41088" s="118"/>
      <c r="B41088" s="136"/>
    </row>
    <row r="41089" spans="1:2" x14ac:dyDescent="0.25">
      <c r="A41089" s="118"/>
      <c r="B41089" s="136"/>
    </row>
    <row r="41090" spans="1:2" x14ac:dyDescent="0.25">
      <c r="A41090" s="118"/>
      <c r="B41090" s="136"/>
    </row>
    <row r="41091" spans="1:2" x14ac:dyDescent="0.25">
      <c r="A41091" s="118"/>
      <c r="B41091" s="136"/>
    </row>
    <row r="41092" spans="1:2" x14ac:dyDescent="0.25">
      <c r="A41092" s="118"/>
      <c r="B41092" s="136"/>
    </row>
    <row r="41093" spans="1:2" x14ac:dyDescent="0.25">
      <c r="A41093" s="118"/>
      <c r="B41093" s="136"/>
    </row>
    <row r="41094" spans="1:2" x14ac:dyDescent="0.25">
      <c r="A41094" s="118"/>
      <c r="B41094" s="136"/>
    </row>
    <row r="41095" spans="1:2" x14ac:dyDescent="0.25">
      <c r="A41095" s="118"/>
      <c r="B41095" s="136"/>
    </row>
    <row r="41096" spans="1:2" x14ac:dyDescent="0.25">
      <c r="A41096" s="118"/>
      <c r="B41096" s="136"/>
    </row>
    <row r="41097" spans="1:2" x14ac:dyDescent="0.25">
      <c r="A41097" s="118"/>
      <c r="B41097" s="136"/>
    </row>
    <row r="41098" spans="1:2" x14ac:dyDescent="0.25">
      <c r="A41098" s="118"/>
      <c r="B41098" s="136"/>
    </row>
    <row r="41099" spans="1:2" x14ac:dyDescent="0.25">
      <c r="A41099" s="118"/>
      <c r="B41099" s="136"/>
    </row>
    <row r="41100" spans="1:2" x14ac:dyDescent="0.25">
      <c r="A41100" s="118"/>
      <c r="B41100" s="136"/>
    </row>
    <row r="41101" spans="1:2" x14ac:dyDescent="0.25">
      <c r="A41101" s="118"/>
      <c r="B41101" s="136"/>
    </row>
    <row r="41102" spans="1:2" x14ac:dyDescent="0.25">
      <c r="A41102" s="118"/>
      <c r="B41102" s="136"/>
    </row>
    <row r="41103" spans="1:2" x14ac:dyDescent="0.25">
      <c r="A41103" s="118"/>
      <c r="B41103" s="136"/>
    </row>
    <row r="41104" spans="1:2" x14ac:dyDescent="0.25">
      <c r="A41104" s="118"/>
      <c r="B41104" s="136"/>
    </row>
    <row r="41105" spans="1:2" x14ac:dyDescent="0.25">
      <c r="A41105" s="118"/>
      <c r="B41105" s="136"/>
    </row>
    <row r="41106" spans="1:2" x14ac:dyDescent="0.25">
      <c r="A41106" s="118"/>
      <c r="B41106" s="136"/>
    </row>
    <row r="41107" spans="1:2" x14ac:dyDescent="0.25">
      <c r="A41107" s="118"/>
      <c r="B41107" s="136"/>
    </row>
    <row r="41108" spans="1:2" x14ac:dyDescent="0.25">
      <c r="A41108" s="118"/>
      <c r="B41108" s="136"/>
    </row>
    <row r="41109" spans="1:2" x14ac:dyDescent="0.25">
      <c r="A41109" s="118"/>
      <c r="B41109" s="136"/>
    </row>
    <row r="41110" spans="1:2" x14ac:dyDescent="0.25">
      <c r="A41110" s="118"/>
      <c r="B41110" s="136"/>
    </row>
    <row r="41111" spans="1:2" x14ac:dyDescent="0.25">
      <c r="A41111" s="118"/>
      <c r="B41111" s="136"/>
    </row>
    <row r="41112" spans="1:2" x14ac:dyDescent="0.25">
      <c r="A41112" s="118"/>
      <c r="B41112" s="136"/>
    </row>
    <row r="41113" spans="1:2" x14ac:dyDescent="0.25">
      <c r="A41113" s="118"/>
      <c r="B41113" s="136"/>
    </row>
    <row r="41114" spans="1:2" x14ac:dyDescent="0.25">
      <c r="A41114" s="118"/>
      <c r="B41114" s="136"/>
    </row>
    <row r="41115" spans="1:2" x14ac:dyDescent="0.25">
      <c r="A41115" s="118"/>
      <c r="B41115" s="136"/>
    </row>
    <row r="41116" spans="1:2" x14ac:dyDescent="0.25">
      <c r="A41116" s="118"/>
      <c r="B41116" s="136"/>
    </row>
    <row r="41117" spans="1:2" x14ac:dyDescent="0.25">
      <c r="A41117" s="118"/>
      <c r="B41117" s="136"/>
    </row>
    <row r="41118" spans="1:2" x14ac:dyDescent="0.25">
      <c r="A41118" s="118"/>
      <c r="B41118" s="136"/>
    </row>
    <row r="41119" spans="1:2" x14ac:dyDescent="0.25">
      <c r="A41119" s="118"/>
      <c r="B41119" s="136"/>
    </row>
    <row r="41120" spans="1:2" x14ac:dyDescent="0.25">
      <c r="A41120" s="118"/>
      <c r="B41120" s="136"/>
    </row>
    <row r="41121" spans="1:2" x14ac:dyDescent="0.25">
      <c r="A41121" s="118"/>
      <c r="B41121" s="136"/>
    </row>
    <row r="41122" spans="1:2" x14ac:dyDescent="0.25">
      <c r="A41122" s="118"/>
      <c r="B41122" s="136"/>
    </row>
    <row r="41123" spans="1:2" x14ac:dyDescent="0.25">
      <c r="A41123" s="118"/>
      <c r="B41123" s="136"/>
    </row>
    <row r="41124" spans="1:2" x14ac:dyDescent="0.25">
      <c r="A41124" s="118"/>
      <c r="B41124" s="136"/>
    </row>
    <row r="41125" spans="1:2" x14ac:dyDescent="0.25">
      <c r="A41125" s="118"/>
      <c r="B41125" s="136"/>
    </row>
    <row r="41126" spans="1:2" x14ac:dyDescent="0.25">
      <c r="A41126" s="118"/>
      <c r="B41126" s="136"/>
    </row>
    <row r="41127" spans="1:2" x14ac:dyDescent="0.25">
      <c r="A41127" s="118"/>
      <c r="B41127" s="136"/>
    </row>
    <row r="41128" spans="1:2" x14ac:dyDescent="0.25">
      <c r="A41128" s="118"/>
      <c r="B41128" s="136"/>
    </row>
    <row r="41129" spans="1:2" x14ac:dyDescent="0.25">
      <c r="A41129" s="118"/>
      <c r="B41129" s="136"/>
    </row>
    <row r="41130" spans="1:2" x14ac:dyDescent="0.25">
      <c r="A41130" s="118"/>
      <c r="B41130" s="136"/>
    </row>
    <row r="41131" spans="1:2" x14ac:dyDescent="0.25">
      <c r="A41131" s="118"/>
      <c r="B41131" s="136"/>
    </row>
    <row r="41132" spans="1:2" x14ac:dyDescent="0.25">
      <c r="A41132" s="118"/>
      <c r="B41132" s="136"/>
    </row>
    <row r="41133" spans="1:2" x14ac:dyDescent="0.25">
      <c r="A41133" s="118"/>
      <c r="B41133" s="136"/>
    </row>
    <row r="41134" spans="1:2" x14ac:dyDescent="0.25">
      <c r="A41134" s="118"/>
      <c r="B41134" s="136"/>
    </row>
    <row r="41135" spans="1:2" x14ac:dyDescent="0.25">
      <c r="A41135" s="118"/>
      <c r="B41135" s="136"/>
    </row>
    <row r="41136" spans="1:2" x14ac:dyDescent="0.25">
      <c r="A41136" s="118"/>
      <c r="B41136" s="136"/>
    </row>
    <row r="41137" spans="1:2" x14ac:dyDescent="0.25">
      <c r="A41137" s="118"/>
      <c r="B41137" s="136"/>
    </row>
    <row r="41138" spans="1:2" x14ac:dyDescent="0.25">
      <c r="A41138" s="118"/>
      <c r="B41138" s="136"/>
    </row>
    <row r="41139" spans="1:2" x14ac:dyDescent="0.25">
      <c r="A41139" s="118"/>
      <c r="B41139" s="136"/>
    </row>
    <row r="41140" spans="1:2" x14ac:dyDescent="0.25">
      <c r="A41140" s="118"/>
      <c r="B41140" s="136"/>
    </row>
    <row r="41141" spans="1:2" x14ac:dyDescent="0.25">
      <c r="A41141" s="118"/>
      <c r="B41141" s="136"/>
    </row>
    <row r="41142" spans="1:2" x14ac:dyDescent="0.25">
      <c r="A41142" s="118"/>
      <c r="B41142" s="136"/>
    </row>
    <row r="41143" spans="1:2" x14ac:dyDescent="0.25">
      <c r="A41143" s="118"/>
      <c r="B41143" s="136"/>
    </row>
    <row r="41144" spans="1:2" x14ac:dyDescent="0.25">
      <c r="A41144" s="118"/>
      <c r="B41144" s="136"/>
    </row>
    <row r="41145" spans="1:2" x14ac:dyDescent="0.25">
      <c r="A41145" s="118"/>
      <c r="B41145" s="136"/>
    </row>
    <row r="41146" spans="1:2" x14ac:dyDescent="0.25">
      <c r="A41146" s="118"/>
      <c r="B41146" s="136"/>
    </row>
    <row r="41147" spans="1:2" x14ac:dyDescent="0.25">
      <c r="A41147" s="118"/>
      <c r="B41147" s="136"/>
    </row>
    <row r="41148" spans="1:2" x14ac:dyDescent="0.25">
      <c r="A41148" s="118"/>
      <c r="B41148" s="136"/>
    </row>
    <row r="41149" spans="1:2" x14ac:dyDescent="0.25">
      <c r="A41149" s="118"/>
      <c r="B41149" s="136"/>
    </row>
    <row r="41150" spans="1:2" x14ac:dyDescent="0.25">
      <c r="A41150" s="118"/>
      <c r="B41150" s="136"/>
    </row>
    <row r="41151" spans="1:2" x14ac:dyDescent="0.25">
      <c r="A41151" s="118"/>
      <c r="B41151" s="136"/>
    </row>
    <row r="41152" spans="1:2" x14ac:dyDescent="0.25">
      <c r="A41152" s="118"/>
      <c r="B41152" s="136"/>
    </row>
    <row r="41153" spans="1:2" x14ac:dyDescent="0.25">
      <c r="A41153" s="118"/>
      <c r="B41153" s="136"/>
    </row>
    <row r="41154" spans="1:2" x14ac:dyDescent="0.25">
      <c r="A41154" s="118"/>
      <c r="B41154" s="136"/>
    </row>
    <row r="41155" spans="1:2" x14ac:dyDescent="0.25">
      <c r="A41155" s="118"/>
      <c r="B41155" s="136"/>
    </row>
    <row r="41156" spans="1:2" x14ac:dyDescent="0.25">
      <c r="A41156" s="118"/>
      <c r="B41156" s="136"/>
    </row>
    <row r="41157" spans="1:2" x14ac:dyDescent="0.25">
      <c r="A41157" s="118"/>
      <c r="B41157" s="136"/>
    </row>
    <row r="41158" spans="1:2" x14ac:dyDescent="0.25">
      <c r="A41158" s="118"/>
      <c r="B41158" s="136"/>
    </row>
    <row r="41159" spans="1:2" x14ac:dyDescent="0.25">
      <c r="A41159" s="118"/>
      <c r="B41159" s="136"/>
    </row>
    <row r="41160" spans="1:2" x14ac:dyDescent="0.25">
      <c r="A41160" s="118"/>
      <c r="B41160" s="136"/>
    </row>
    <row r="41161" spans="1:2" x14ac:dyDescent="0.25">
      <c r="A41161" s="118"/>
      <c r="B41161" s="136"/>
    </row>
    <row r="41162" spans="1:2" x14ac:dyDescent="0.25">
      <c r="A41162" s="118"/>
      <c r="B41162" s="136"/>
    </row>
    <row r="41163" spans="1:2" x14ac:dyDescent="0.25">
      <c r="A41163" s="118"/>
      <c r="B41163" s="136"/>
    </row>
    <row r="41164" spans="1:2" x14ac:dyDescent="0.25">
      <c r="A41164" s="118"/>
      <c r="B41164" s="136"/>
    </row>
    <row r="41165" spans="1:2" x14ac:dyDescent="0.25">
      <c r="A41165" s="118"/>
      <c r="B41165" s="136"/>
    </row>
    <row r="41166" spans="1:2" x14ac:dyDescent="0.25">
      <c r="A41166" s="118"/>
      <c r="B41166" s="136"/>
    </row>
    <row r="41167" spans="1:2" x14ac:dyDescent="0.25">
      <c r="A41167" s="118"/>
      <c r="B41167" s="136"/>
    </row>
    <row r="41168" spans="1:2" x14ac:dyDescent="0.25">
      <c r="A41168" s="118"/>
      <c r="B41168" s="136"/>
    </row>
    <row r="41169" spans="1:2" x14ac:dyDescent="0.25">
      <c r="A41169" s="118"/>
      <c r="B41169" s="136"/>
    </row>
    <row r="41170" spans="1:2" x14ac:dyDescent="0.25">
      <c r="A41170" s="118"/>
      <c r="B41170" s="136"/>
    </row>
    <row r="41171" spans="1:2" x14ac:dyDescent="0.25">
      <c r="A41171" s="118"/>
      <c r="B41171" s="136"/>
    </row>
    <row r="41172" spans="1:2" x14ac:dyDescent="0.25">
      <c r="A41172" s="118"/>
      <c r="B41172" s="136"/>
    </row>
    <row r="41173" spans="1:2" x14ac:dyDescent="0.25">
      <c r="A41173" s="118"/>
      <c r="B41173" s="136"/>
    </row>
    <row r="41174" spans="1:2" x14ac:dyDescent="0.25">
      <c r="A41174" s="118"/>
      <c r="B41174" s="136"/>
    </row>
    <row r="41175" spans="1:2" x14ac:dyDescent="0.25">
      <c r="A41175" s="118"/>
      <c r="B41175" s="136"/>
    </row>
    <row r="41176" spans="1:2" x14ac:dyDescent="0.25">
      <c r="A41176" s="118"/>
      <c r="B41176" s="136"/>
    </row>
    <row r="41177" spans="1:2" x14ac:dyDescent="0.25">
      <c r="A41177" s="118"/>
      <c r="B41177" s="136"/>
    </row>
    <row r="41178" spans="1:2" x14ac:dyDescent="0.25">
      <c r="A41178" s="118"/>
      <c r="B41178" s="136"/>
    </row>
    <row r="41179" spans="1:2" x14ac:dyDescent="0.25">
      <c r="A41179" s="118"/>
      <c r="B41179" s="136"/>
    </row>
    <row r="41180" spans="1:2" x14ac:dyDescent="0.25">
      <c r="A41180" s="118"/>
      <c r="B41180" s="136"/>
    </row>
    <row r="41181" spans="1:2" x14ac:dyDescent="0.25">
      <c r="A41181" s="118"/>
      <c r="B41181" s="136"/>
    </row>
    <row r="41182" spans="1:2" x14ac:dyDescent="0.25">
      <c r="A41182" s="118"/>
      <c r="B41182" s="136"/>
    </row>
    <row r="41183" spans="1:2" x14ac:dyDescent="0.25">
      <c r="A41183" s="118"/>
      <c r="B41183" s="136"/>
    </row>
    <row r="41184" spans="1:2" x14ac:dyDescent="0.25">
      <c r="A41184" s="118"/>
      <c r="B41184" s="136"/>
    </row>
    <row r="41185" spans="1:2" x14ac:dyDescent="0.25">
      <c r="A41185" s="118"/>
      <c r="B41185" s="136"/>
    </row>
    <row r="41186" spans="1:2" x14ac:dyDescent="0.25">
      <c r="A41186" s="118"/>
      <c r="B41186" s="136"/>
    </row>
    <row r="41187" spans="1:2" x14ac:dyDescent="0.25">
      <c r="A41187" s="118"/>
      <c r="B41187" s="136"/>
    </row>
    <row r="41188" spans="1:2" x14ac:dyDescent="0.25">
      <c r="A41188" s="118"/>
      <c r="B41188" s="136"/>
    </row>
    <row r="41189" spans="1:2" x14ac:dyDescent="0.25">
      <c r="A41189" s="118"/>
      <c r="B41189" s="136"/>
    </row>
    <row r="41190" spans="1:2" x14ac:dyDescent="0.25">
      <c r="A41190" s="118"/>
      <c r="B41190" s="136"/>
    </row>
    <row r="41191" spans="1:2" x14ac:dyDescent="0.25">
      <c r="A41191" s="118"/>
      <c r="B41191" s="136"/>
    </row>
    <row r="41192" spans="1:2" x14ac:dyDescent="0.25">
      <c r="A41192" s="118"/>
      <c r="B41192" s="136"/>
    </row>
    <row r="41193" spans="1:2" x14ac:dyDescent="0.25">
      <c r="A41193" s="118"/>
      <c r="B41193" s="136"/>
    </row>
    <row r="41194" spans="1:2" x14ac:dyDescent="0.25">
      <c r="A41194" s="118"/>
      <c r="B41194" s="136"/>
    </row>
    <row r="41195" spans="1:2" x14ac:dyDescent="0.25">
      <c r="A41195" s="118"/>
      <c r="B41195" s="136"/>
    </row>
    <row r="41196" spans="1:2" x14ac:dyDescent="0.25">
      <c r="A41196" s="118"/>
      <c r="B41196" s="136"/>
    </row>
    <row r="41197" spans="1:2" x14ac:dyDescent="0.25">
      <c r="A41197" s="118"/>
      <c r="B41197" s="136"/>
    </row>
    <row r="41198" spans="1:2" x14ac:dyDescent="0.25">
      <c r="A41198" s="118"/>
      <c r="B41198" s="136"/>
    </row>
    <row r="41199" spans="1:2" x14ac:dyDescent="0.25">
      <c r="A41199" s="118"/>
      <c r="B41199" s="136"/>
    </row>
    <row r="41200" spans="1:2" x14ac:dyDescent="0.25">
      <c r="A41200" s="118"/>
      <c r="B41200" s="136"/>
    </row>
    <row r="41201" spans="1:2" x14ac:dyDescent="0.25">
      <c r="A41201" s="118"/>
      <c r="B41201" s="136"/>
    </row>
    <row r="41202" spans="1:2" x14ac:dyDescent="0.25">
      <c r="A41202" s="118"/>
      <c r="B41202" s="136"/>
    </row>
    <row r="41203" spans="1:2" x14ac:dyDescent="0.25">
      <c r="A41203" s="118"/>
      <c r="B41203" s="136"/>
    </row>
    <row r="41204" spans="1:2" x14ac:dyDescent="0.25">
      <c r="A41204" s="118"/>
      <c r="B41204" s="136"/>
    </row>
    <row r="41205" spans="1:2" x14ac:dyDescent="0.25">
      <c r="A41205" s="118"/>
      <c r="B41205" s="136"/>
    </row>
    <row r="41206" spans="1:2" x14ac:dyDescent="0.25">
      <c r="A41206" s="118"/>
      <c r="B41206" s="136"/>
    </row>
    <row r="41207" spans="1:2" x14ac:dyDescent="0.25">
      <c r="A41207" s="118"/>
      <c r="B41207" s="136"/>
    </row>
    <row r="41208" spans="1:2" x14ac:dyDescent="0.25">
      <c r="A41208" s="118"/>
      <c r="B41208" s="136"/>
    </row>
    <row r="41209" spans="1:2" x14ac:dyDescent="0.25">
      <c r="A41209" s="118"/>
      <c r="B41209" s="136"/>
    </row>
    <row r="41210" spans="1:2" x14ac:dyDescent="0.25">
      <c r="A41210" s="118"/>
      <c r="B41210" s="136"/>
    </row>
    <row r="41211" spans="1:2" x14ac:dyDescent="0.25">
      <c r="A41211" s="118"/>
      <c r="B41211" s="136"/>
    </row>
    <row r="41212" spans="1:2" x14ac:dyDescent="0.25">
      <c r="A41212" s="118"/>
      <c r="B41212" s="136"/>
    </row>
    <row r="41213" spans="1:2" x14ac:dyDescent="0.25">
      <c r="A41213" s="118"/>
      <c r="B41213" s="136"/>
    </row>
    <row r="41214" spans="1:2" x14ac:dyDescent="0.25">
      <c r="A41214" s="118"/>
      <c r="B41214" s="136"/>
    </row>
    <row r="41215" spans="1:2" x14ac:dyDescent="0.25">
      <c r="A41215" s="118"/>
      <c r="B41215" s="136"/>
    </row>
    <row r="41216" spans="1:2" x14ac:dyDescent="0.25">
      <c r="A41216" s="118"/>
      <c r="B41216" s="136"/>
    </row>
    <row r="41217" spans="1:2" x14ac:dyDescent="0.25">
      <c r="A41217" s="118"/>
      <c r="B41217" s="136"/>
    </row>
    <row r="41218" spans="1:2" x14ac:dyDescent="0.25">
      <c r="A41218" s="118"/>
      <c r="B41218" s="136"/>
    </row>
    <row r="41219" spans="1:2" x14ac:dyDescent="0.25">
      <c r="A41219" s="118"/>
      <c r="B41219" s="136"/>
    </row>
    <row r="41220" spans="1:2" x14ac:dyDescent="0.25">
      <c r="A41220" s="118"/>
      <c r="B41220" s="136"/>
    </row>
    <row r="41221" spans="1:2" x14ac:dyDescent="0.25">
      <c r="A41221" s="118"/>
      <c r="B41221" s="136"/>
    </row>
    <row r="41222" spans="1:2" x14ac:dyDescent="0.25">
      <c r="A41222" s="118"/>
      <c r="B41222" s="136"/>
    </row>
    <row r="41223" spans="1:2" x14ac:dyDescent="0.25">
      <c r="A41223" s="118"/>
      <c r="B41223" s="136"/>
    </row>
    <row r="41224" spans="1:2" x14ac:dyDescent="0.25">
      <c r="A41224" s="118"/>
      <c r="B41224" s="136"/>
    </row>
    <row r="41225" spans="1:2" x14ac:dyDescent="0.25">
      <c r="A41225" s="118"/>
      <c r="B41225" s="136"/>
    </row>
    <row r="41226" spans="1:2" x14ac:dyDescent="0.25">
      <c r="A41226" s="118"/>
      <c r="B41226" s="136"/>
    </row>
    <row r="41227" spans="1:2" x14ac:dyDescent="0.25">
      <c r="A41227" s="118"/>
      <c r="B41227" s="136"/>
    </row>
    <row r="41228" spans="1:2" x14ac:dyDescent="0.25">
      <c r="A41228" s="118"/>
      <c r="B41228" s="136"/>
    </row>
    <row r="41229" spans="1:2" x14ac:dyDescent="0.25">
      <c r="A41229" s="118"/>
      <c r="B41229" s="136"/>
    </row>
    <row r="41230" spans="1:2" x14ac:dyDescent="0.25">
      <c r="A41230" s="118"/>
      <c r="B41230" s="136"/>
    </row>
    <row r="41231" spans="1:2" x14ac:dyDescent="0.25">
      <c r="A41231" s="118"/>
      <c r="B41231" s="136"/>
    </row>
    <row r="41232" spans="1:2" x14ac:dyDescent="0.25">
      <c r="A41232" s="118"/>
      <c r="B41232" s="136"/>
    </row>
    <row r="41233" spans="1:2" x14ac:dyDescent="0.25">
      <c r="A41233" s="118"/>
      <c r="B41233" s="136"/>
    </row>
    <row r="41234" spans="1:2" x14ac:dyDescent="0.25">
      <c r="A41234" s="118"/>
      <c r="B41234" s="136"/>
    </row>
    <row r="41235" spans="1:2" x14ac:dyDescent="0.25">
      <c r="A41235" s="118"/>
      <c r="B41235" s="136"/>
    </row>
    <row r="41236" spans="1:2" x14ac:dyDescent="0.25">
      <c r="A41236" s="118"/>
      <c r="B41236" s="136"/>
    </row>
    <row r="41237" spans="1:2" x14ac:dyDescent="0.25">
      <c r="A41237" s="118"/>
      <c r="B41237" s="136"/>
    </row>
    <row r="41238" spans="1:2" x14ac:dyDescent="0.25">
      <c r="A41238" s="118"/>
      <c r="B41238" s="136"/>
    </row>
    <row r="41239" spans="1:2" x14ac:dyDescent="0.25">
      <c r="A41239" s="118"/>
      <c r="B41239" s="136"/>
    </row>
    <row r="41240" spans="1:2" x14ac:dyDescent="0.25">
      <c r="A41240" s="118"/>
      <c r="B41240" s="136"/>
    </row>
    <row r="41241" spans="1:2" x14ac:dyDescent="0.25">
      <c r="A41241" s="118"/>
      <c r="B41241" s="136"/>
    </row>
    <row r="41242" spans="1:2" x14ac:dyDescent="0.25">
      <c r="A41242" s="118"/>
      <c r="B41242" s="136"/>
    </row>
    <row r="41243" spans="1:2" x14ac:dyDescent="0.25">
      <c r="A41243" s="118"/>
      <c r="B41243" s="136"/>
    </row>
    <row r="41244" spans="1:2" x14ac:dyDescent="0.25">
      <c r="A41244" s="118"/>
      <c r="B41244" s="136"/>
    </row>
    <row r="41245" spans="1:2" x14ac:dyDescent="0.25">
      <c r="A41245" s="118"/>
      <c r="B41245" s="136"/>
    </row>
    <row r="41246" spans="1:2" x14ac:dyDescent="0.25">
      <c r="A41246" s="118"/>
      <c r="B41246" s="136"/>
    </row>
    <row r="41247" spans="1:2" x14ac:dyDescent="0.25">
      <c r="A41247" s="118"/>
      <c r="B41247" s="136"/>
    </row>
    <row r="41248" spans="1:2" x14ac:dyDescent="0.25">
      <c r="A41248" s="118"/>
      <c r="B41248" s="136"/>
    </row>
    <row r="41249" spans="1:2" x14ac:dyDescent="0.25">
      <c r="A41249" s="118"/>
      <c r="B41249" s="136"/>
    </row>
    <row r="41250" spans="1:2" x14ac:dyDescent="0.25">
      <c r="A41250" s="118"/>
      <c r="B41250" s="136"/>
    </row>
    <row r="41251" spans="1:2" x14ac:dyDescent="0.25">
      <c r="A41251" s="118"/>
      <c r="B41251" s="136"/>
    </row>
    <row r="41252" spans="1:2" x14ac:dyDescent="0.25">
      <c r="A41252" s="118"/>
      <c r="B41252" s="136"/>
    </row>
    <row r="41253" spans="1:2" x14ac:dyDescent="0.25">
      <c r="A41253" s="118"/>
      <c r="B41253" s="136"/>
    </row>
    <row r="41254" spans="1:2" x14ac:dyDescent="0.25">
      <c r="A41254" s="118"/>
      <c r="B41254" s="136"/>
    </row>
    <row r="41255" spans="1:2" x14ac:dyDescent="0.25">
      <c r="A41255" s="118"/>
      <c r="B41255" s="136"/>
    </row>
    <row r="41256" spans="1:2" x14ac:dyDescent="0.25">
      <c r="A41256" s="118"/>
      <c r="B41256" s="136"/>
    </row>
    <row r="41257" spans="1:2" x14ac:dyDescent="0.25">
      <c r="A41257" s="118"/>
      <c r="B41257" s="136"/>
    </row>
    <row r="41258" spans="1:2" x14ac:dyDescent="0.25">
      <c r="A41258" s="118"/>
      <c r="B41258" s="136"/>
    </row>
    <row r="41259" spans="1:2" x14ac:dyDescent="0.25">
      <c r="A41259" s="118"/>
      <c r="B41259" s="136"/>
    </row>
    <row r="41260" spans="1:2" x14ac:dyDescent="0.25">
      <c r="A41260" s="118"/>
      <c r="B41260" s="136"/>
    </row>
    <row r="41261" spans="1:2" x14ac:dyDescent="0.25">
      <c r="A41261" s="118"/>
      <c r="B41261" s="136"/>
    </row>
    <row r="41262" spans="1:2" x14ac:dyDescent="0.25">
      <c r="A41262" s="118"/>
      <c r="B41262" s="136"/>
    </row>
    <row r="41263" spans="1:2" x14ac:dyDescent="0.25">
      <c r="A41263" s="118"/>
      <c r="B41263" s="136"/>
    </row>
    <row r="41264" spans="1:2" x14ac:dyDescent="0.25">
      <c r="A41264" s="118"/>
      <c r="B41264" s="136"/>
    </row>
    <row r="41265" spans="1:2" x14ac:dyDescent="0.25">
      <c r="A41265" s="118"/>
      <c r="B41265" s="136"/>
    </row>
    <row r="41266" spans="1:2" x14ac:dyDescent="0.25">
      <c r="A41266" s="118"/>
      <c r="B41266" s="136"/>
    </row>
    <row r="41267" spans="1:2" x14ac:dyDescent="0.25">
      <c r="A41267" s="118"/>
      <c r="B41267" s="136"/>
    </row>
    <row r="41268" spans="1:2" x14ac:dyDescent="0.25">
      <c r="A41268" s="118"/>
      <c r="B41268" s="136"/>
    </row>
    <row r="41269" spans="1:2" x14ac:dyDescent="0.25">
      <c r="A41269" s="118"/>
      <c r="B41269" s="136"/>
    </row>
    <row r="41270" spans="1:2" x14ac:dyDescent="0.25">
      <c r="A41270" s="118"/>
      <c r="B41270" s="136"/>
    </row>
    <row r="41271" spans="1:2" x14ac:dyDescent="0.25">
      <c r="A41271" s="118"/>
      <c r="B41271" s="136"/>
    </row>
    <row r="41272" spans="1:2" x14ac:dyDescent="0.25">
      <c r="A41272" s="118"/>
      <c r="B41272" s="136"/>
    </row>
    <row r="41273" spans="1:2" x14ac:dyDescent="0.25">
      <c r="A41273" s="118"/>
      <c r="B41273" s="136"/>
    </row>
    <row r="41274" spans="1:2" x14ac:dyDescent="0.25">
      <c r="A41274" s="118"/>
      <c r="B41274" s="136"/>
    </row>
    <row r="41275" spans="1:2" x14ac:dyDescent="0.25">
      <c r="A41275" s="118"/>
      <c r="B41275" s="136"/>
    </row>
    <row r="41276" spans="1:2" x14ac:dyDescent="0.25">
      <c r="A41276" s="118"/>
      <c r="B41276" s="136"/>
    </row>
    <row r="41277" spans="1:2" x14ac:dyDescent="0.25">
      <c r="A41277" s="118"/>
      <c r="B41277" s="136"/>
    </row>
    <row r="41278" spans="1:2" x14ac:dyDescent="0.25">
      <c r="A41278" s="118"/>
      <c r="B41278" s="136"/>
    </row>
    <row r="41279" spans="1:2" x14ac:dyDescent="0.25">
      <c r="A41279" s="118"/>
      <c r="B41279" s="136"/>
    </row>
    <row r="41280" spans="1:2" x14ac:dyDescent="0.25">
      <c r="A41280" s="118"/>
      <c r="B41280" s="136"/>
    </row>
    <row r="41281" spans="1:2" x14ac:dyDescent="0.25">
      <c r="A41281" s="118"/>
      <c r="B41281" s="136"/>
    </row>
    <row r="41282" spans="1:2" x14ac:dyDescent="0.25">
      <c r="A41282" s="118"/>
      <c r="B41282" s="136"/>
    </row>
    <row r="41283" spans="1:2" x14ac:dyDescent="0.25">
      <c r="A41283" s="118"/>
      <c r="B41283" s="136"/>
    </row>
    <row r="41284" spans="1:2" x14ac:dyDescent="0.25">
      <c r="A41284" s="118"/>
      <c r="B41284" s="136"/>
    </row>
    <row r="41285" spans="1:2" x14ac:dyDescent="0.25">
      <c r="A41285" s="118"/>
      <c r="B41285" s="136"/>
    </row>
    <row r="41286" spans="1:2" x14ac:dyDescent="0.25">
      <c r="A41286" s="118"/>
      <c r="B41286" s="136"/>
    </row>
    <row r="41287" spans="1:2" x14ac:dyDescent="0.25">
      <c r="A41287" s="118"/>
      <c r="B41287" s="136"/>
    </row>
    <row r="41288" spans="1:2" x14ac:dyDescent="0.25">
      <c r="A41288" s="118"/>
      <c r="B41288" s="136"/>
    </row>
    <row r="41289" spans="1:2" x14ac:dyDescent="0.25">
      <c r="A41289" s="118"/>
      <c r="B41289" s="136"/>
    </row>
    <row r="41290" spans="1:2" x14ac:dyDescent="0.25">
      <c r="A41290" s="118"/>
      <c r="B41290" s="136"/>
    </row>
    <row r="41291" spans="1:2" x14ac:dyDescent="0.25">
      <c r="A41291" s="118"/>
      <c r="B41291" s="136"/>
    </row>
    <row r="41292" spans="1:2" x14ac:dyDescent="0.25">
      <c r="A41292" s="118"/>
      <c r="B41292" s="136"/>
    </row>
    <row r="41293" spans="1:2" x14ac:dyDescent="0.25">
      <c r="A41293" s="118"/>
      <c r="B41293" s="136"/>
    </row>
    <row r="41294" spans="1:2" x14ac:dyDescent="0.25">
      <c r="A41294" s="118"/>
      <c r="B41294" s="136"/>
    </row>
    <row r="41295" spans="1:2" x14ac:dyDescent="0.25">
      <c r="A41295" s="118"/>
      <c r="B41295" s="136"/>
    </row>
    <row r="41296" spans="1:2" x14ac:dyDescent="0.25">
      <c r="A41296" s="118"/>
      <c r="B41296" s="136"/>
    </row>
    <row r="41297" spans="1:2" x14ac:dyDescent="0.25">
      <c r="A41297" s="118"/>
      <c r="B41297" s="136"/>
    </row>
    <row r="41298" spans="1:2" x14ac:dyDescent="0.25">
      <c r="A41298" s="118"/>
      <c r="B41298" s="136"/>
    </row>
    <row r="41299" spans="1:2" x14ac:dyDescent="0.25">
      <c r="A41299" s="118"/>
      <c r="B41299" s="136"/>
    </row>
    <row r="41300" spans="1:2" x14ac:dyDescent="0.25">
      <c r="A41300" s="118"/>
      <c r="B41300" s="136"/>
    </row>
    <row r="41301" spans="1:2" x14ac:dyDescent="0.25">
      <c r="A41301" s="118"/>
      <c r="B41301" s="136"/>
    </row>
    <row r="41302" spans="1:2" x14ac:dyDescent="0.25">
      <c r="A41302" s="118"/>
      <c r="B41302" s="136"/>
    </row>
    <row r="41303" spans="1:2" x14ac:dyDescent="0.25">
      <c r="A41303" s="118"/>
      <c r="B41303" s="136"/>
    </row>
    <row r="41304" spans="1:2" x14ac:dyDescent="0.25">
      <c r="A41304" s="118"/>
      <c r="B41304" s="136"/>
    </row>
    <row r="41305" spans="1:2" x14ac:dyDescent="0.25">
      <c r="A41305" s="118"/>
      <c r="B41305" s="136"/>
    </row>
    <row r="41306" spans="1:2" x14ac:dyDescent="0.25">
      <c r="A41306" s="118"/>
      <c r="B41306" s="136"/>
    </row>
    <row r="41307" spans="1:2" x14ac:dyDescent="0.25">
      <c r="A41307" s="118"/>
      <c r="B41307" s="136"/>
    </row>
    <row r="41308" spans="1:2" x14ac:dyDescent="0.25">
      <c r="A41308" s="118"/>
      <c r="B41308" s="136"/>
    </row>
    <row r="41309" spans="1:2" x14ac:dyDescent="0.25">
      <c r="A41309" s="118"/>
      <c r="B41309" s="136"/>
    </row>
    <row r="41310" spans="1:2" x14ac:dyDescent="0.25">
      <c r="A41310" s="118"/>
      <c r="B41310" s="136"/>
    </row>
    <row r="41311" spans="1:2" x14ac:dyDescent="0.25">
      <c r="A41311" s="118"/>
      <c r="B41311" s="136"/>
    </row>
    <row r="41312" spans="1:2" x14ac:dyDescent="0.25">
      <c r="A41312" s="118"/>
      <c r="B41312" s="136"/>
    </row>
    <row r="41313" spans="1:2" x14ac:dyDescent="0.25">
      <c r="A41313" s="118"/>
      <c r="B41313" s="136"/>
    </row>
    <row r="41314" spans="1:2" x14ac:dyDescent="0.25">
      <c r="A41314" s="118"/>
      <c r="B41314" s="136"/>
    </row>
    <row r="41315" spans="1:2" x14ac:dyDescent="0.25">
      <c r="A41315" s="118"/>
      <c r="B41315" s="136"/>
    </row>
    <row r="41316" spans="1:2" x14ac:dyDescent="0.25">
      <c r="A41316" s="118"/>
      <c r="B41316" s="136"/>
    </row>
    <row r="41317" spans="1:2" x14ac:dyDescent="0.25">
      <c r="A41317" s="118"/>
      <c r="B41317" s="136"/>
    </row>
    <row r="41318" spans="1:2" x14ac:dyDescent="0.25">
      <c r="A41318" s="118"/>
      <c r="B41318" s="136"/>
    </row>
    <row r="41319" spans="1:2" x14ac:dyDescent="0.25">
      <c r="A41319" s="118"/>
      <c r="B41319" s="136"/>
    </row>
    <row r="41320" spans="1:2" x14ac:dyDescent="0.25">
      <c r="A41320" s="118"/>
      <c r="B41320" s="136"/>
    </row>
    <row r="41321" spans="1:2" x14ac:dyDescent="0.25">
      <c r="A41321" s="118"/>
      <c r="B41321" s="136"/>
    </row>
    <row r="41322" spans="1:2" x14ac:dyDescent="0.25">
      <c r="A41322" s="118"/>
      <c r="B41322" s="136"/>
    </row>
    <row r="41323" spans="1:2" x14ac:dyDescent="0.25">
      <c r="A41323" s="118"/>
      <c r="B41323" s="136"/>
    </row>
    <row r="41324" spans="1:2" x14ac:dyDescent="0.25">
      <c r="A41324" s="118"/>
      <c r="B41324" s="136"/>
    </row>
    <row r="41325" spans="1:2" x14ac:dyDescent="0.25">
      <c r="A41325" s="118"/>
      <c r="B41325" s="136"/>
    </row>
    <row r="41326" spans="1:2" x14ac:dyDescent="0.25">
      <c r="A41326" s="118"/>
      <c r="B41326" s="136"/>
    </row>
    <row r="41327" spans="1:2" x14ac:dyDescent="0.25">
      <c r="A41327" s="118"/>
      <c r="B41327" s="136"/>
    </row>
    <row r="41328" spans="1:2" x14ac:dyDescent="0.25">
      <c r="A41328" s="118"/>
      <c r="B41328" s="136"/>
    </row>
    <row r="41329" spans="1:2" x14ac:dyDescent="0.25">
      <c r="A41329" s="118"/>
      <c r="B41329" s="136"/>
    </row>
    <row r="41330" spans="1:2" x14ac:dyDescent="0.25">
      <c r="A41330" s="118"/>
      <c r="B41330" s="136"/>
    </row>
    <row r="41331" spans="1:2" x14ac:dyDescent="0.25">
      <c r="A41331" s="118"/>
      <c r="B41331" s="136"/>
    </row>
    <row r="41332" spans="1:2" x14ac:dyDescent="0.25">
      <c r="A41332" s="118"/>
      <c r="B41332" s="136"/>
    </row>
    <row r="41333" spans="1:2" x14ac:dyDescent="0.25">
      <c r="A41333" s="118"/>
      <c r="B41333" s="136"/>
    </row>
    <row r="41334" spans="1:2" x14ac:dyDescent="0.25">
      <c r="A41334" s="118"/>
      <c r="B41334" s="136"/>
    </row>
    <row r="41335" spans="1:2" x14ac:dyDescent="0.25">
      <c r="A41335" s="118"/>
      <c r="B41335" s="136"/>
    </row>
    <row r="41336" spans="1:2" x14ac:dyDescent="0.25">
      <c r="A41336" s="118"/>
      <c r="B41336" s="136"/>
    </row>
    <row r="41337" spans="1:2" x14ac:dyDescent="0.25">
      <c r="A41337" s="118"/>
      <c r="B41337" s="136"/>
    </row>
    <row r="41338" spans="1:2" x14ac:dyDescent="0.25">
      <c r="A41338" s="118"/>
      <c r="B41338" s="136"/>
    </row>
    <row r="41339" spans="1:2" x14ac:dyDescent="0.25">
      <c r="A41339" s="118"/>
      <c r="B41339" s="136"/>
    </row>
    <row r="41340" spans="1:2" x14ac:dyDescent="0.25">
      <c r="A41340" s="118"/>
      <c r="B41340" s="136"/>
    </row>
    <row r="41341" spans="1:2" x14ac:dyDescent="0.25">
      <c r="A41341" s="118"/>
      <c r="B41341" s="136"/>
    </row>
    <row r="41342" spans="1:2" x14ac:dyDescent="0.25">
      <c r="A41342" s="118"/>
      <c r="B41342" s="136"/>
    </row>
    <row r="41343" spans="1:2" x14ac:dyDescent="0.25">
      <c r="A41343" s="118"/>
      <c r="B41343" s="136"/>
    </row>
    <row r="41344" spans="1:2" x14ac:dyDescent="0.25">
      <c r="A41344" s="118"/>
      <c r="B41344" s="136"/>
    </row>
    <row r="41345" spans="1:2" x14ac:dyDescent="0.25">
      <c r="A41345" s="118"/>
      <c r="B41345" s="136"/>
    </row>
    <row r="41346" spans="1:2" x14ac:dyDescent="0.25">
      <c r="A41346" s="118"/>
      <c r="B41346" s="136"/>
    </row>
    <row r="41347" spans="1:2" x14ac:dyDescent="0.25">
      <c r="A41347" s="118"/>
      <c r="B41347" s="136"/>
    </row>
    <row r="41348" spans="1:2" x14ac:dyDescent="0.25">
      <c r="A41348" s="118"/>
      <c r="B41348" s="136"/>
    </row>
    <row r="41349" spans="1:2" x14ac:dyDescent="0.25">
      <c r="A41349" s="118"/>
      <c r="B41349" s="136"/>
    </row>
    <row r="41350" spans="1:2" x14ac:dyDescent="0.25">
      <c r="A41350" s="118"/>
      <c r="B41350" s="136"/>
    </row>
    <row r="41351" spans="1:2" x14ac:dyDescent="0.25">
      <c r="A41351" s="118"/>
      <c r="B41351" s="136"/>
    </row>
    <row r="41352" spans="1:2" x14ac:dyDescent="0.25">
      <c r="A41352" s="118"/>
      <c r="B41352" s="136"/>
    </row>
    <row r="41353" spans="1:2" x14ac:dyDescent="0.25">
      <c r="A41353" s="118"/>
      <c r="B41353" s="136"/>
    </row>
    <row r="41354" spans="1:2" x14ac:dyDescent="0.25">
      <c r="A41354" s="118"/>
      <c r="B41354" s="136"/>
    </row>
    <row r="41355" spans="1:2" x14ac:dyDescent="0.25">
      <c r="A41355" s="118"/>
      <c r="B41355" s="136"/>
    </row>
    <row r="41356" spans="1:2" x14ac:dyDescent="0.25">
      <c r="A41356" s="118"/>
      <c r="B41356" s="136"/>
    </row>
    <row r="41357" spans="1:2" x14ac:dyDescent="0.25">
      <c r="A41357" s="118"/>
      <c r="B41357" s="136"/>
    </row>
    <row r="41358" spans="1:2" x14ac:dyDescent="0.25">
      <c r="A41358" s="118"/>
      <c r="B41358" s="136"/>
    </row>
    <row r="41359" spans="1:2" x14ac:dyDescent="0.25">
      <c r="A41359" s="118"/>
      <c r="B41359" s="136"/>
    </row>
    <row r="41360" spans="1:2" x14ac:dyDescent="0.25">
      <c r="A41360" s="118"/>
      <c r="B41360" s="136"/>
    </row>
    <row r="41361" spans="1:2" x14ac:dyDescent="0.25">
      <c r="A41361" s="118"/>
      <c r="B41361" s="136"/>
    </row>
    <row r="41362" spans="1:2" x14ac:dyDescent="0.25">
      <c r="A41362" s="118"/>
      <c r="B41362" s="136"/>
    </row>
    <row r="41363" spans="1:2" x14ac:dyDescent="0.25">
      <c r="A41363" s="118"/>
      <c r="B41363" s="136"/>
    </row>
    <row r="41364" spans="1:2" x14ac:dyDescent="0.25">
      <c r="A41364" s="118"/>
      <c r="B41364" s="136"/>
    </row>
    <row r="41365" spans="1:2" x14ac:dyDescent="0.25">
      <c r="A41365" s="118"/>
      <c r="B41365" s="136"/>
    </row>
    <row r="41366" spans="1:2" x14ac:dyDescent="0.25">
      <c r="A41366" s="118"/>
      <c r="B41366" s="136"/>
    </row>
    <row r="41367" spans="1:2" x14ac:dyDescent="0.25">
      <c r="A41367" s="118"/>
      <c r="B41367" s="136"/>
    </row>
    <row r="41368" spans="1:2" x14ac:dyDescent="0.25">
      <c r="A41368" s="118"/>
      <c r="B41368" s="136"/>
    </row>
    <row r="41369" spans="1:2" x14ac:dyDescent="0.25">
      <c r="A41369" s="118"/>
      <c r="B41369" s="136"/>
    </row>
    <row r="41370" spans="1:2" x14ac:dyDescent="0.25">
      <c r="A41370" s="118"/>
      <c r="B41370" s="136"/>
    </row>
    <row r="41371" spans="1:2" x14ac:dyDescent="0.25">
      <c r="A41371" s="118"/>
      <c r="B41371" s="136"/>
    </row>
    <row r="41372" spans="1:2" x14ac:dyDescent="0.25">
      <c r="A41372" s="118"/>
      <c r="B41372" s="136"/>
    </row>
    <row r="41373" spans="1:2" x14ac:dyDescent="0.25">
      <c r="A41373" s="118"/>
      <c r="B41373" s="136"/>
    </row>
    <row r="41374" spans="1:2" x14ac:dyDescent="0.25">
      <c r="A41374" s="118"/>
      <c r="B41374" s="136"/>
    </row>
    <row r="41375" spans="1:2" x14ac:dyDescent="0.25">
      <c r="A41375" s="118"/>
      <c r="B41375" s="136"/>
    </row>
    <row r="41376" spans="1:2" x14ac:dyDescent="0.25">
      <c r="A41376" s="118"/>
      <c r="B41376" s="136"/>
    </row>
    <row r="41377" spans="1:2" x14ac:dyDescent="0.25">
      <c r="A41377" s="118"/>
      <c r="B41377" s="136"/>
    </row>
    <row r="41378" spans="1:2" x14ac:dyDescent="0.25">
      <c r="A41378" s="118"/>
      <c r="B41378" s="136"/>
    </row>
    <row r="41379" spans="1:2" x14ac:dyDescent="0.25">
      <c r="A41379" s="118"/>
      <c r="B41379" s="136"/>
    </row>
    <row r="41380" spans="1:2" x14ac:dyDescent="0.25">
      <c r="A41380" s="118"/>
      <c r="B41380" s="136"/>
    </row>
    <row r="41381" spans="1:2" x14ac:dyDescent="0.25">
      <c r="A41381" s="118"/>
      <c r="B41381" s="136"/>
    </row>
    <row r="41382" spans="1:2" x14ac:dyDescent="0.25">
      <c r="A41382" s="118"/>
      <c r="B41382" s="136"/>
    </row>
    <row r="41383" spans="1:2" x14ac:dyDescent="0.25">
      <c r="A41383" s="118"/>
      <c r="B41383" s="136"/>
    </row>
    <row r="41384" spans="1:2" x14ac:dyDescent="0.25">
      <c r="A41384" s="118"/>
      <c r="B41384" s="136"/>
    </row>
    <row r="41385" spans="1:2" x14ac:dyDescent="0.25">
      <c r="A41385" s="118"/>
      <c r="B41385" s="136"/>
    </row>
    <row r="41386" spans="1:2" x14ac:dyDescent="0.25">
      <c r="A41386" s="118"/>
      <c r="B41386" s="136"/>
    </row>
    <row r="41387" spans="1:2" x14ac:dyDescent="0.25">
      <c r="A41387" s="118"/>
      <c r="B41387" s="136"/>
    </row>
    <row r="41388" spans="1:2" x14ac:dyDescent="0.25">
      <c r="A41388" s="118"/>
      <c r="B41388" s="136"/>
    </row>
    <row r="41389" spans="1:2" x14ac:dyDescent="0.25">
      <c r="A41389" s="118"/>
      <c r="B41389" s="136"/>
    </row>
    <row r="41390" spans="1:2" x14ac:dyDescent="0.25">
      <c r="A41390" s="118"/>
      <c r="B41390" s="136"/>
    </row>
    <row r="41391" spans="1:2" x14ac:dyDescent="0.25">
      <c r="A41391" s="118"/>
      <c r="B41391" s="136"/>
    </row>
    <row r="41392" spans="1:2" x14ac:dyDescent="0.25">
      <c r="A41392" s="118"/>
      <c r="B41392" s="136"/>
    </row>
    <row r="41393" spans="1:2" x14ac:dyDescent="0.25">
      <c r="A41393" s="118"/>
      <c r="B41393" s="136"/>
    </row>
    <row r="41394" spans="1:2" x14ac:dyDescent="0.25">
      <c r="A41394" s="118"/>
      <c r="B41394" s="136"/>
    </row>
    <row r="41395" spans="1:2" x14ac:dyDescent="0.25">
      <c r="A41395" s="118"/>
      <c r="B41395" s="136"/>
    </row>
    <row r="41396" spans="1:2" x14ac:dyDescent="0.25">
      <c r="A41396" s="118"/>
      <c r="B41396" s="136"/>
    </row>
    <row r="41397" spans="1:2" x14ac:dyDescent="0.25">
      <c r="A41397" s="118"/>
      <c r="B41397" s="136"/>
    </row>
    <row r="41398" spans="1:2" x14ac:dyDescent="0.25">
      <c r="A41398" s="118"/>
      <c r="B41398" s="136"/>
    </row>
    <row r="41399" spans="1:2" x14ac:dyDescent="0.25">
      <c r="A41399" s="118"/>
      <c r="B41399" s="136"/>
    </row>
    <row r="41400" spans="1:2" x14ac:dyDescent="0.25">
      <c r="A41400" s="118"/>
      <c r="B41400" s="136"/>
    </row>
    <row r="41401" spans="1:2" x14ac:dyDescent="0.25">
      <c r="A41401" s="118"/>
      <c r="B41401" s="136"/>
    </row>
    <row r="41402" spans="1:2" x14ac:dyDescent="0.25">
      <c r="A41402" s="118"/>
      <c r="B41402" s="136"/>
    </row>
    <row r="41403" spans="1:2" x14ac:dyDescent="0.25">
      <c r="A41403" s="118"/>
      <c r="B41403" s="136"/>
    </row>
    <row r="41404" spans="1:2" x14ac:dyDescent="0.25">
      <c r="A41404" s="118"/>
      <c r="B41404" s="136"/>
    </row>
    <row r="41405" spans="1:2" x14ac:dyDescent="0.25">
      <c r="A41405" s="118"/>
      <c r="B41405" s="136"/>
    </row>
    <row r="41406" spans="1:2" x14ac:dyDescent="0.25">
      <c r="A41406" s="118"/>
      <c r="B41406" s="136"/>
    </row>
    <row r="41407" spans="1:2" x14ac:dyDescent="0.25">
      <c r="A41407" s="118"/>
      <c r="B41407" s="136"/>
    </row>
    <row r="41408" spans="1:2" x14ac:dyDescent="0.25">
      <c r="A41408" s="118"/>
      <c r="B41408" s="136"/>
    </row>
    <row r="41409" spans="1:2" x14ac:dyDescent="0.25">
      <c r="A41409" s="118"/>
      <c r="B41409" s="136"/>
    </row>
    <row r="41410" spans="1:2" x14ac:dyDescent="0.25">
      <c r="A41410" s="118"/>
      <c r="B41410" s="136"/>
    </row>
    <row r="41411" spans="1:2" x14ac:dyDescent="0.25">
      <c r="A41411" s="118"/>
      <c r="B41411" s="136"/>
    </row>
    <row r="41412" spans="1:2" x14ac:dyDescent="0.25">
      <c r="A41412" s="118"/>
      <c r="B41412" s="136"/>
    </row>
    <row r="41413" spans="1:2" x14ac:dyDescent="0.25">
      <c r="A41413" s="118"/>
      <c r="B41413" s="136"/>
    </row>
    <row r="41414" spans="1:2" x14ac:dyDescent="0.25">
      <c r="A41414" s="118"/>
      <c r="B41414" s="136"/>
    </row>
    <row r="41415" spans="1:2" x14ac:dyDescent="0.25">
      <c r="A41415" s="118"/>
      <c r="B41415" s="136"/>
    </row>
    <row r="41416" spans="1:2" x14ac:dyDescent="0.25">
      <c r="A41416" s="118"/>
      <c r="B41416" s="136"/>
    </row>
    <row r="41417" spans="1:2" x14ac:dyDescent="0.25">
      <c r="A41417" s="118"/>
      <c r="B41417" s="136"/>
    </row>
    <row r="41418" spans="1:2" x14ac:dyDescent="0.25">
      <c r="A41418" s="118"/>
      <c r="B41418" s="136"/>
    </row>
    <row r="41419" spans="1:2" x14ac:dyDescent="0.25">
      <c r="A41419" s="118"/>
      <c r="B41419" s="136"/>
    </row>
    <row r="41420" spans="1:2" x14ac:dyDescent="0.25">
      <c r="A41420" s="118"/>
      <c r="B41420" s="136"/>
    </row>
    <row r="41421" spans="1:2" x14ac:dyDescent="0.25">
      <c r="A41421" s="118"/>
      <c r="B41421" s="136"/>
    </row>
    <row r="41422" spans="1:2" x14ac:dyDescent="0.25">
      <c r="A41422" s="118"/>
      <c r="B41422" s="136"/>
    </row>
    <row r="41423" spans="1:2" x14ac:dyDescent="0.25">
      <c r="A41423" s="118"/>
      <c r="B41423" s="136"/>
    </row>
    <row r="41424" spans="1:2" x14ac:dyDescent="0.25">
      <c r="A41424" s="118"/>
      <c r="B41424" s="136"/>
    </row>
    <row r="41425" spans="1:2" x14ac:dyDescent="0.25">
      <c r="A41425" s="118"/>
      <c r="B41425" s="136"/>
    </row>
    <row r="41426" spans="1:2" x14ac:dyDescent="0.25">
      <c r="A41426" s="118"/>
      <c r="B41426" s="136"/>
    </row>
    <row r="41427" spans="1:2" x14ac:dyDescent="0.25">
      <c r="A41427" s="118"/>
      <c r="B41427" s="136"/>
    </row>
    <row r="41428" spans="1:2" x14ac:dyDescent="0.25">
      <c r="A41428" s="118"/>
      <c r="B41428" s="136"/>
    </row>
    <row r="41429" spans="1:2" x14ac:dyDescent="0.25">
      <c r="A41429" s="118"/>
      <c r="B41429" s="136"/>
    </row>
    <row r="41430" spans="1:2" x14ac:dyDescent="0.25">
      <c r="A41430" s="118"/>
      <c r="B41430" s="136"/>
    </row>
    <row r="41431" spans="1:2" x14ac:dyDescent="0.25">
      <c r="A41431" s="118"/>
      <c r="B41431" s="136"/>
    </row>
    <row r="41432" spans="1:2" x14ac:dyDescent="0.25">
      <c r="A41432" s="118"/>
      <c r="B41432" s="136"/>
    </row>
    <row r="41433" spans="1:2" x14ac:dyDescent="0.25">
      <c r="A41433" s="118"/>
      <c r="B41433" s="136"/>
    </row>
    <row r="41434" spans="1:2" x14ac:dyDescent="0.25">
      <c r="A41434" s="118"/>
      <c r="B41434" s="136"/>
    </row>
    <row r="41435" spans="1:2" x14ac:dyDescent="0.25">
      <c r="A41435" s="118"/>
      <c r="B41435" s="136"/>
    </row>
    <row r="41436" spans="1:2" x14ac:dyDescent="0.25">
      <c r="A41436" s="118"/>
      <c r="B41436" s="136"/>
    </row>
    <row r="41437" spans="1:2" x14ac:dyDescent="0.25">
      <c r="A41437" s="118"/>
      <c r="B41437" s="136"/>
    </row>
    <row r="41438" spans="1:2" x14ac:dyDescent="0.25">
      <c r="A41438" s="118"/>
      <c r="B41438" s="136"/>
    </row>
    <row r="41439" spans="1:2" x14ac:dyDescent="0.25">
      <c r="A41439" s="118"/>
      <c r="B41439" s="136"/>
    </row>
    <row r="41440" spans="1:2" x14ac:dyDescent="0.25">
      <c r="A41440" s="118"/>
      <c r="B41440" s="136"/>
    </row>
    <row r="41441" spans="1:2" x14ac:dyDescent="0.25">
      <c r="A41441" s="118"/>
      <c r="B41441" s="136"/>
    </row>
    <row r="41442" spans="1:2" x14ac:dyDescent="0.25">
      <c r="A41442" s="118"/>
      <c r="B41442" s="136"/>
    </row>
    <row r="41443" spans="1:2" x14ac:dyDescent="0.25">
      <c r="A41443" s="118"/>
      <c r="B41443" s="136"/>
    </row>
    <row r="41444" spans="1:2" x14ac:dyDescent="0.25">
      <c r="A41444" s="118"/>
      <c r="B41444" s="136"/>
    </row>
    <row r="41445" spans="1:2" x14ac:dyDescent="0.25">
      <c r="A41445" s="118"/>
      <c r="B41445" s="136"/>
    </row>
    <row r="41446" spans="1:2" x14ac:dyDescent="0.25">
      <c r="A41446" s="118"/>
      <c r="B41446" s="136"/>
    </row>
    <row r="41447" spans="1:2" x14ac:dyDescent="0.25">
      <c r="A41447" s="118"/>
      <c r="B41447" s="136"/>
    </row>
    <row r="41448" spans="1:2" x14ac:dyDescent="0.25">
      <c r="A41448" s="118"/>
      <c r="B41448" s="136"/>
    </row>
    <row r="41449" spans="1:2" x14ac:dyDescent="0.25">
      <c r="A41449" s="118"/>
      <c r="B41449" s="136"/>
    </row>
    <row r="41450" spans="1:2" x14ac:dyDescent="0.25">
      <c r="A41450" s="118"/>
      <c r="B41450" s="136"/>
    </row>
    <row r="41451" spans="1:2" x14ac:dyDescent="0.25">
      <c r="A41451" s="118"/>
      <c r="B41451" s="136"/>
    </row>
    <row r="41452" spans="1:2" x14ac:dyDescent="0.25">
      <c r="A41452" s="118"/>
      <c r="B41452" s="136"/>
    </row>
    <row r="41453" spans="1:2" x14ac:dyDescent="0.25">
      <c r="A41453" s="118"/>
      <c r="B41453" s="136"/>
    </row>
    <row r="41454" spans="1:2" x14ac:dyDescent="0.25">
      <c r="A41454" s="118"/>
      <c r="B41454" s="136"/>
    </row>
    <row r="41455" spans="1:2" x14ac:dyDescent="0.25">
      <c r="A41455" s="118"/>
      <c r="B41455" s="136"/>
    </row>
    <row r="41456" spans="1:2" x14ac:dyDescent="0.25">
      <c r="A41456" s="118"/>
      <c r="B41456" s="136"/>
    </row>
    <row r="41457" spans="1:2" x14ac:dyDescent="0.25">
      <c r="A41457" s="118"/>
      <c r="B41457" s="136"/>
    </row>
    <row r="41458" spans="1:2" x14ac:dyDescent="0.25">
      <c r="A41458" s="118"/>
      <c r="B41458" s="136"/>
    </row>
    <row r="41459" spans="1:2" x14ac:dyDescent="0.25">
      <c r="A41459" s="118"/>
      <c r="B41459" s="136"/>
    </row>
    <row r="41460" spans="1:2" x14ac:dyDescent="0.25">
      <c r="A41460" s="118"/>
      <c r="B41460" s="136"/>
    </row>
    <row r="41461" spans="1:2" x14ac:dyDescent="0.25">
      <c r="A41461" s="118"/>
      <c r="B41461" s="136"/>
    </row>
    <row r="41462" spans="1:2" x14ac:dyDescent="0.25">
      <c r="A41462" s="118"/>
      <c r="B41462" s="136"/>
    </row>
    <row r="41463" spans="1:2" x14ac:dyDescent="0.25">
      <c r="A41463" s="118"/>
      <c r="B41463" s="136"/>
    </row>
    <row r="41464" spans="1:2" x14ac:dyDescent="0.25">
      <c r="A41464" s="118"/>
      <c r="B41464" s="136"/>
    </row>
    <row r="41465" spans="1:2" x14ac:dyDescent="0.25">
      <c r="A41465" s="118"/>
      <c r="B41465" s="136"/>
    </row>
    <row r="41466" spans="1:2" x14ac:dyDescent="0.25">
      <c r="A41466" s="118"/>
      <c r="B41466" s="136"/>
    </row>
    <row r="41467" spans="1:2" x14ac:dyDescent="0.25">
      <c r="A41467" s="118"/>
      <c r="B41467" s="136"/>
    </row>
    <row r="41468" spans="1:2" x14ac:dyDescent="0.25">
      <c r="A41468" s="118"/>
      <c r="B41468" s="136"/>
    </row>
    <row r="41469" spans="1:2" x14ac:dyDescent="0.25">
      <c r="A41469" s="118"/>
      <c r="B41469" s="136"/>
    </row>
    <row r="41470" spans="1:2" x14ac:dyDescent="0.25">
      <c r="A41470" s="118"/>
      <c r="B41470" s="136"/>
    </row>
    <row r="41471" spans="1:2" x14ac:dyDescent="0.25">
      <c r="A41471" s="118"/>
      <c r="B41471" s="136"/>
    </row>
    <row r="41472" spans="1:2" x14ac:dyDescent="0.25">
      <c r="A41472" s="118"/>
      <c r="B41472" s="136"/>
    </row>
    <row r="41473" spans="1:2" x14ac:dyDescent="0.25">
      <c r="A41473" s="118"/>
      <c r="B41473" s="136"/>
    </row>
    <row r="41474" spans="1:2" x14ac:dyDescent="0.25">
      <c r="A41474" s="118"/>
      <c r="B41474" s="136"/>
    </row>
    <row r="41475" spans="1:2" x14ac:dyDescent="0.25">
      <c r="A41475" s="118"/>
      <c r="B41475" s="136"/>
    </row>
    <row r="41476" spans="1:2" x14ac:dyDescent="0.25">
      <c r="A41476" s="118"/>
      <c r="B41476" s="136"/>
    </row>
    <row r="41477" spans="1:2" x14ac:dyDescent="0.25">
      <c r="A41477" s="118"/>
      <c r="B41477" s="136"/>
    </row>
    <row r="41478" spans="1:2" x14ac:dyDescent="0.25">
      <c r="A41478" s="118"/>
      <c r="B41478" s="136"/>
    </row>
    <row r="41479" spans="1:2" x14ac:dyDescent="0.25">
      <c r="A41479" s="118"/>
      <c r="B41479" s="136"/>
    </row>
    <row r="41480" spans="1:2" x14ac:dyDescent="0.25">
      <c r="A41480" s="118"/>
      <c r="B41480" s="136"/>
    </row>
    <row r="41481" spans="1:2" x14ac:dyDescent="0.25">
      <c r="A41481" s="118"/>
      <c r="B41481" s="136"/>
    </row>
    <row r="41482" spans="1:2" x14ac:dyDescent="0.25">
      <c r="A41482" s="118"/>
      <c r="B41482" s="136"/>
    </row>
    <row r="41483" spans="1:2" x14ac:dyDescent="0.25">
      <c r="A41483" s="118"/>
      <c r="B41483" s="136"/>
    </row>
    <row r="41484" spans="1:2" x14ac:dyDescent="0.25">
      <c r="A41484" s="118"/>
      <c r="B41484" s="136"/>
    </row>
    <row r="41485" spans="1:2" x14ac:dyDescent="0.25">
      <c r="A41485" s="118"/>
      <c r="B41485" s="136"/>
    </row>
    <row r="41486" spans="1:2" x14ac:dyDescent="0.25">
      <c r="A41486" s="118"/>
      <c r="B41486" s="136"/>
    </row>
    <row r="41487" spans="1:2" x14ac:dyDescent="0.25">
      <c r="A41487" s="118"/>
      <c r="B41487" s="136"/>
    </row>
    <row r="41488" spans="1:2" x14ac:dyDescent="0.25">
      <c r="A41488" s="118"/>
      <c r="B41488" s="136"/>
    </row>
    <row r="41489" spans="1:2" x14ac:dyDescent="0.25">
      <c r="A41489" s="118"/>
      <c r="B41489" s="136"/>
    </row>
    <row r="41490" spans="1:2" x14ac:dyDescent="0.25">
      <c r="A41490" s="118"/>
      <c r="B41490" s="136"/>
    </row>
    <row r="41491" spans="1:2" x14ac:dyDescent="0.25">
      <c r="A41491" s="118"/>
      <c r="B41491" s="136"/>
    </row>
    <row r="41492" spans="1:2" x14ac:dyDescent="0.25">
      <c r="A41492" s="118"/>
      <c r="B41492" s="136"/>
    </row>
    <row r="41493" spans="1:2" x14ac:dyDescent="0.25">
      <c r="A41493" s="118"/>
      <c r="B41493" s="136"/>
    </row>
    <row r="41494" spans="1:2" x14ac:dyDescent="0.25">
      <c r="A41494" s="118"/>
      <c r="B41494" s="136"/>
    </row>
    <row r="41495" spans="1:2" x14ac:dyDescent="0.25">
      <c r="A41495" s="118"/>
      <c r="B41495" s="136"/>
    </row>
    <row r="41496" spans="1:2" x14ac:dyDescent="0.25">
      <c r="A41496" s="118"/>
      <c r="B41496" s="136"/>
    </row>
    <row r="41497" spans="1:2" x14ac:dyDescent="0.25">
      <c r="A41497" s="118"/>
      <c r="B41497" s="136"/>
    </row>
    <row r="41498" spans="1:2" x14ac:dyDescent="0.25">
      <c r="A41498" s="118"/>
      <c r="B41498" s="136"/>
    </row>
    <row r="41499" spans="1:2" x14ac:dyDescent="0.25">
      <c r="A41499" s="118"/>
      <c r="B41499" s="136"/>
    </row>
    <row r="41500" spans="1:2" x14ac:dyDescent="0.25">
      <c r="A41500" s="118"/>
      <c r="B41500" s="136"/>
    </row>
    <row r="41501" spans="1:2" x14ac:dyDescent="0.25">
      <c r="A41501" s="118"/>
      <c r="B41501" s="136"/>
    </row>
    <row r="41502" spans="1:2" x14ac:dyDescent="0.25">
      <c r="A41502" s="118"/>
      <c r="B41502" s="136"/>
    </row>
    <row r="41503" spans="1:2" x14ac:dyDescent="0.25">
      <c r="A41503" s="118"/>
      <c r="B41503" s="136"/>
    </row>
    <row r="41504" spans="1:2" x14ac:dyDescent="0.25">
      <c r="A41504" s="118"/>
      <c r="B41504" s="136"/>
    </row>
    <row r="41505" spans="1:2" x14ac:dyDescent="0.25">
      <c r="A41505" s="118"/>
      <c r="B41505" s="136"/>
    </row>
    <row r="41506" spans="1:2" x14ac:dyDescent="0.25">
      <c r="A41506" s="118"/>
      <c r="B41506" s="136"/>
    </row>
    <row r="41507" spans="1:2" x14ac:dyDescent="0.25">
      <c r="A41507" s="118"/>
      <c r="B41507" s="136"/>
    </row>
    <row r="41508" spans="1:2" x14ac:dyDescent="0.25">
      <c r="A41508" s="118"/>
      <c r="B41508" s="136"/>
    </row>
    <row r="41509" spans="1:2" x14ac:dyDescent="0.25">
      <c r="A41509" s="118"/>
      <c r="B41509" s="136"/>
    </row>
    <row r="41510" spans="1:2" x14ac:dyDescent="0.25">
      <c r="A41510" s="118"/>
      <c r="B41510" s="136"/>
    </row>
    <row r="41511" spans="1:2" x14ac:dyDescent="0.25">
      <c r="A41511" s="118"/>
      <c r="B41511" s="136"/>
    </row>
    <row r="41512" spans="1:2" x14ac:dyDescent="0.25">
      <c r="A41512" s="118"/>
      <c r="B41512" s="136"/>
    </row>
    <row r="41513" spans="1:2" x14ac:dyDescent="0.25">
      <c r="A41513" s="118"/>
      <c r="B41513" s="136"/>
    </row>
    <row r="41514" spans="1:2" x14ac:dyDescent="0.25">
      <c r="A41514" s="118"/>
      <c r="B41514" s="136"/>
    </row>
    <row r="41515" spans="1:2" x14ac:dyDescent="0.25">
      <c r="A41515" s="118"/>
      <c r="B41515" s="136"/>
    </row>
    <row r="41516" spans="1:2" x14ac:dyDescent="0.25">
      <c r="A41516" s="118"/>
      <c r="B41516" s="136"/>
    </row>
    <row r="41517" spans="1:2" x14ac:dyDescent="0.25">
      <c r="A41517" s="118"/>
      <c r="B41517" s="136"/>
    </row>
    <row r="41518" spans="1:2" x14ac:dyDescent="0.25">
      <c r="A41518" s="118"/>
      <c r="B41518" s="136"/>
    </row>
    <row r="41519" spans="1:2" x14ac:dyDescent="0.25">
      <c r="A41519" s="118"/>
      <c r="B41519" s="136"/>
    </row>
    <row r="41520" spans="1:2" x14ac:dyDescent="0.25">
      <c r="A41520" s="118"/>
      <c r="B41520" s="136"/>
    </row>
    <row r="41521" spans="1:2" x14ac:dyDescent="0.25">
      <c r="A41521" s="118"/>
      <c r="B41521" s="136"/>
    </row>
    <row r="41522" spans="1:2" x14ac:dyDescent="0.25">
      <c r="A41522" s="118"/>
      <c r="B41522" s="136"/>
    </row>
    <row r="41523" spans="1:2" x14ac:dyDescent="0.25">
      <c r="A41523" s="118"/>
      <c r="B41523" s="136"/>
    </row>
    <row r="41524" spans="1:2" x14ac:dyDescent="0.25">
      <c r="A41524" s="118"/>
      <c r="B41524" s="136"/>
    </row>
    <row r="41525" spans="1:2" x14ac:dyDescent="0.25">
      <c r="A41525" s="118"/>
      <c r="B41525" s="136"/>
    </row>
    <row r="41526" spans="1:2" x14ac:dyDescent="0.25">
      <c r="A41526" s="118"/>
      <c r="B41526" s="136"/>
    </row>
    <row r="41527" spans="1:2" x14ac:dyDescent="0.25">
      <c r="A41527" s="118"/>
      <c r="B41527" s="136"/>
    </row>
    <row r="41528" spans="1:2" x14ac:dyDescent="0.25">
      <c r="A41528" s="118"/>
      <c r="B41528" s="136"/>
    </row>
    <row r="41529" spans="1:2" x14ac:dyDescent="0.25">
      <c r="A41529" s="118"/>
      <c r="B41529" s="136"/>
    </row>
    <row r="41530" spans="1:2" x14ac:dyDescent="0.25">
      <c r="A41530" s="118"/>
      <c r="B41530" s="136"/>
    </row>
    <row r="41531" spans="1:2" x14ac:dyDescent="0.25">
      <c r="A41531" s="118"/>
      <c r="B41531" s="136"/>
    </row>
    <row r="41532" spans="1:2" x14ac:dyDescent="0.25">
      <c r="A41532" s="118"/>
      <c r="B41532" s="136"/>
    </row>
    <row r="41533" spans="1:2" x14ac:dyDescent="0.25">
      <c r="A41533" s="118"/>
      <c r="B41533" s="136"/>
    </row>
    <row r="41534" spans="1:2" x14ac:dyDescent="0.25">
      <c r="A41534" s="118"/>
      <c r="B41534" s="136"/>
    </row>
    <row r="41535" spans="1:2" x14ac:dyDescent="0.25">
      <c r="A41535" s="118"/>
      <c r="B41535" s="136"/>
    </row>
    <row r="41536" spans="1:2" x14ac:dyDescent="0.25">
      <c r="A41536" s="118"/>
      <c r="B41536" s="136"/>
    </row>
    <row r="41537" spans="1:2" x14ac:dyDescent="0.25">
      <c r="A41537" s="118"/>
      <c r="B41537" s="136"/>
    </row>
    <row r="41538" spans="1:2" x14ac:dyDescent="0.25">
      <c r="A41538" s="118"/>
      <c r="B41538" s="136"/>
    </row>
    <row r="41539" spans="1:2" x14ac:dyDescent="0.25">
      <c r="A41539" s="118"/>
      <c r="B41539" s="136"/>
    </row>
    <row r="41540" spans="1:2" x14ac:dyDescent="0.25">
      <c r="A41540" s="118"/>
      <c r="B41540" s="136"/>
    </row>
    <row r="41541" spans="1:2" x14ac:dyDescent="0.25">
      <c r="A41541" s="118"/>
      <c r="B41541" s="136"/>
    </row>
    <row r="41542" spans="1:2" x14ac:dyDescent="0.25">
      <c r="A41542" s="118"/>
      <c r="B41542" s="136"/>
    </row>
    <row r="41543" spans="1:2" x14ac:dyDescent="0.25">
      <c r="A41543" s="118"/>
      <c r="B41543" s="136"/>
    </row>
    <row r="41544" spans="1:2" x14ac:dyDescent="0.25">
      <c r="A41544" s="118"/>
      <c r="B41544" s="136"/>
    </row>
    <row r="41545" spans="1:2" x14ac:dyDescent="0.25">
      <c r="A41545" s="118"/>
      <c r="B41545" s="136"/>
    </row>
    <row r="41546" spans="1:2" x14ac:dyDescent="0.25">
      <c r="A41546" s="118"/>
      <c r="B41546" s="136"/>
    </row>
    <row r="41547" spans="1:2" x14ac:dyDescent="0.25">
      <c r="A41547" s="118"/>
      <c r="B41547" s="136"/>
    </row>
    <row r="41548" spans="1:2" x14ac:dyDescent="0.25">
      <c r="A41548" s="118"/>
      <c r="B41548" s="136"/>
    </row>
    <row r="41549" spans="1:2" x14ac:dyDescent="0.25">
      <c r="A41549" s="118"/>
      <c r="B41549" s="136"/>
    </row>
    <row r="41550" spans="1:2" x14ac:dyDescent="0.25">
      <c r="A41550" s="118"/>
      <c r="B41550" s="136"/>
    </row>
    <row r="41551" spans="1:2" x14ac:dyDescent="0.25">
      <c r="A41551" s="118"/>
      <c r="B41551" s="136"/>
    </row>
    <row r="41552" spans="1:2" x14ac:dyDescent="0.25">
      <c r="A41552" s="118"/>
      <c r="B41552" s="136"/>
    </row>
    <row r="41553" spans="1:2" x14ac:dyDescent="0.25">
      <c r="A41553" s="118"/>
      <c r="B41553" s="136"/>
    </row>
    <row r="41554" spans="1:2" x14ac:dyDescent="0.25">
      <c r="A41554" s="118"/>
      <c r="B41554" s="136"/>
    </row>
    <row r="41555" spans="1:2" x14ac:dyDescent="0.25">
      <c r="A41555" s="118"/>
      <c r="B41555" s="136"/>
    </row>
    <row r="41556" spans="1:2" x14ac:dyDescent="0.25">
      <c r="A41556" s="118"/>
      <c r="B41556" s="136"/>
    </row>
    <row r="41557" spans="1:2" x14ac:dyDescent="0.25">
      <c r="A41557" s="118"/>
      <c r="B41557" s="136"/>
    </row>
    <row r="41558" spans="1:2" x14ac:dyDescent="0.25">
      <c r="A41558" s="118"/>
      <c r="B41558" s="136"/>
    </row>
    <row r="41559" spans="1:2" x14ac:dyDescent="0.25">
      <c r="A41559" s="118"/>
      <c r="B41559" s="136"/>
    </row>
    <row r="41560" spans="1:2" x14ac:dyDescent="0.25">
      <c r="A41560" s="118"/>
      <c r="B41560" s="136"/>
    </row>
    <row r="41561" spans="1:2" x14ac:dyDescent="0.25">
      <c r="A41561" s="118"/>
      <c r="B41561" s="136"/>
    </row>
    <row r="41562" spans="1:2" x14ac:dyDescent="0.25">
      <c r="A41562" s="118"/>
      <c r="B41562" s="136"/>
    </row>
    <row r="41563" spans="1:2" x14ac:dyDescent="0.25">
      <c r="A41563" s="118"/>
      <c r="B41563" s="136"/>
    </row>
    <row r="41564" spans="1:2" x14ac:dyDescent="0.25">
      <c r="A41564" s="118"/>
      <c r="B41564" s="136"/>
    </row>
    <row r="41565" spans="1:2" x14ac:dyDescent="0.25">
      <c r="A41565" s="118"/>
      <c r="B41565" s="136"/>
    </row>
    <row r="41566" spans="1:2" x14ac:dyDescent="0.25">
      <c r="A41566" s="118"/>
      <c r="B41566" s="136"/>
    </row>
    <row r="41567" spans="1:2" x14ac:dyDescent="0.25">
      <c r="A41567" s="118"/>
      <c r="B41567" s="136"/>
    </row>
    <row r="41568" spans="1:2" x14ac:dyDescent="0.25">
      <c r="A41568" s="118"/>
      <c r="B41568" s="136"/>
    </row>
    <row r="41569" spans="1:2" x14ac:dyDescent="0.25">
      <c r="A41569" s="118"/>
      <c r="B41569" s="136"/>
    </row>
    <row r="41570" spans="1:2" x14ac:dyDescent="0.25">
      <c r="A41570" s="118"/>
      <c r="B41570" s="136"/>
    </row>
    <row r="41571" spans="1:2" x14ac:dyDescent="0.25">
      <c r="A41571" s="118"/>
      <c r="B41571" s="136"/>
    </row>
    <row r="41572" spans="1:2" x14ac:dyDescent="0.25">
      <c r="A41572" s="118"/>
      <c r="B41572" s="136"/>
    </row>
    <row r="41573" spans="1:2" x14ac:dyDescent="0.25">
      <c r="A41573" s="118"/>
      <c r="B41573" s="136"/>
    </row>
    <row r="41574" spans="1:2" x14ac:dyDescent="0.25">
      <c r="A41574" s="118"/>
      <c r="B41574" s="136"/>
    </row>
    <row r="41575" spans="1:2" x14ac:dyDescent="0.25">
      <c r="A41575" s="118"/>
      <c r="B41575" s="136"/>
    </row>
    <row r="41576" spans="1:2" x14ac:dyDescent="0.25">
      <c r="A41576" s="118"/>
      <c r="B41576" s="136"/>
    </row>
    <row r="41577" spans="1:2" x14ac:dyDescent="0.25">
      <c r="A41577" s="118"/>
      <c r="B41577" s="136"/>
    </row>
    <row r="41578" spans="1:2" x14ac:dyDescent="0.25">
      <c r="A41578" s="118"/>
      <c r="B41578" s="136"/>
    </row>
    <row r="41579" spans="1:2" x14ac:dyDescent="0.25">
      <c r="A41579" s="118"/>
      <c r="B41579" s="136"/>
    </row>
    <row r="41580" spans="1:2" x14ac:dyDescent="0.25">
      <c r="A41580" s="118"/>
      <c r="B41580" s="136"/>
    </row>
    <row r="41581" spans="1:2" x14ac:dyDescent="0.25">
      <c r="A41581" s="118"/>
      <c r="B41581" s="136"/>
    </row>
    <row r="41582" spans="1:2" x14ac:dyDescent="0.25">
      <c r="A41582" s="118"/>
      <c r="B41582" s="136"/>
    </row>
    <row r="41583" spans="1:2" x14ac:dyDescent="0.25">
      <c r="A41583" s="118"/>
      <c r="B41583" s="136"/>
    </row>
    <row r="41584" spans="1:2" x14ac:dyDescent="0.25">
      <c r="A41584" s="118"/>
      <c r="B41584" s="136"/>
    </row>
    <row r="41585" spans="1:2" x14ac:dyDescent="0.25">
      <c r="A41585" s="118"/>
      <c r="B41585" s="136"/>
    </row>
    <row r="41586" spans="1:2" x14ac:dyDescent="0.25">
      <c r="A41586" s="118"/>
      <c r="B41586" s="136"/>
    </row>
    <row r="41587" spans="1:2" x14ac:dyDescent="0.25">
      <c r="A41587" s="118"/>
      <c r="B41587" s="136"/>
    </row>
    <row r="41588" spans="1:2" x14ac:dyDescent="0.25">
      <c r="A41588" s="118"/>
      <c r="B41588" s="136"/>
    </row>
    <row r="41589" spans="1:2" x14ac:dyDescent="0.25">
      <c r="A41589" s="118"/>
      <c r="B41589" s="136"/>
    </row>
    <row r="41590" spans="1:2" x14ac:dyDescent="0.25">
      <c r="A41590" s="118"/>
      <c r="B41590" s="136"/>
    </row>
    <row r="41591" spans="1:2" x14ac:dyDescent="0.25">
      <c r="A41591" s="118"/>
      <c r="B41591" s="136"/>
    </row>
    <row r="41592" spans="1:2" x14ac:dyDescent="0.25">
      <c r="A41592" s="118"/>
      <c r="B41592" s="136"/>
    </row>
    <row r="41593" spans="1:2" x14ac:dyDescent="0.25">
      <c r="A41593" s="118"/>
      <c r="B41593" s="136"/>
    </row>
    <row r="41594" spans="1:2" x14ac:dyDescent="0.25">
      <c r="A41594" s="118"/>
      <c r="B41594" s="136"/>
    </row>
    <row r="41595" spans="1:2" x14ac:dyDescent="0.25">
      <c r="A41595" s="118"/>
      <c r="B41595" s="136"/>
    </row>
    <row r="41596" spans="1:2" x14ac:dyDescent="0.25">
      <c r="A41596" s="118"/>
      <c r="B41596" s="136"/>
    </row>
    <row r="41597" spans="1:2" x14ac:dyDescent="0.25">
      <c r="A41597" s="118"/>
      <c r="B41597" s="136"/>
    </row>
    <row r="41598" spans="1:2" x14ac:dyDescent="0.25">
      <c r="A41598" s="118"/>
      <c r="B41598" s="136"/>
    </row>
    <row r="41599" spans="1:2" x14ac:dyDescent="0.25">
      <c r="A41599" s="118"/>
      <c r="B41599" s="136"/>
    </row>
    <row r="41600" spans="1:2" x14ac:dyDescent="0.25">
      <c r="A41600" s="118"/>
      <c r="B41600" s="136"/>
    </row>
    <row r="41601" spans="1:2" x14ac:dyDescent="0.25">
      <c r="A41601" s="118"/>
      <c r="B41601" s="136"/>
    </row>
    <row r="41602" spans="1:2" x14ac:dyDescent="0.25">
      <c r="A41602" s="118"/>
      <c r="B41602" s="136"/>
    </row>
    <row r="41603" spans="1:2" x14ac:dyDescent="0.25">
      <c r="A41603" s="118"/>
      <c r="B41603" s="136"/>
    </row>
    <row r="41604" spans="1:2" x14ac:dyDescent="0.25">
      <c r="A41604" s="118"/>
      <c r="B41604" s="136"/>
    </row>
    <row r="41605" spans="1:2" x14ac:dyDescent="0.25">
      <c r="A41605" s="118"/>
      <c r="B41605" s="136"/>
    </row>
    <row r="41606" spans="1:2" x14ac:dyDescent="0.25">
      <c r="A41606" s="118"/>
      <c r="B41606" s="136"/>
    </row>
    <row r="41607" spans="1:2" x14ac:dyDescent="0.25">
      <c r="A41607" s="118"/>
      <c r="B41607" s="136"/>
    </row>
    <row r="41608" spans="1:2" x14ac:dyDescent="0.25">
      <c r="A41608" s="118"/>
      <c r="B41608" s="136"/>
    </row>
    <row r="41609" spans="1:2" x14ac:dyDescent="0.25">
      <c r="A41609" s="118"/>
      <c r="B41609" s="136"/>
    </row>
    <row r="41610" spans="1:2" x14ac:dyDescent="0.25">
      <c r="A41610" s="118"/>
      <c r="B41610" s="136"/>
    </row>
    <row r="41611" spans="1:2" x14ac:dyDescent="0.25">
      <c r="A41611" s="118"/>
      <c r="B41611" s="136"/>
    </row>
    <row r="41612" spans="1:2" x14ac:dyDescent="0.25">
      <c r="A41612" s="118"/>
      <c r="B41612" s="136"/>
    </row>
    <row r="41613" spans="1:2" x14ac:dyDescent="0.25">
      <c r="A41613" s="118"/>
      <c r="B41613" s="136"/>
    </row>
    <row r="41614" spans="1:2" x14ac:dyDescent="0.25">
      <c r="A41614" s="118"/>
      <c r="B41614" s="136"/>
    </row>
    <row r="41615" spans="1:2" x14ac:dyDescent="0.25">
      <c r="A41615" s="118"/>
      <c r="B41615" s="136"/>
    </row>
    <row r="41616" spans="1:2" x14ac:dyDescent="0.25">
      <c r="A41616" s="118"/>
      <c r="B41616" s="136"/>
    </row>
    <row r="41617" spans="1:2" x14ac:dyDescent="0.25">
      <c r="A41617" s="118"/>
      <c r="B41617" s="136"/>
    </row>
    <row r="41618" spans="1:2" x14ac:dyDescent="0.25">
      <c r="A41618" s="118"/>
      <c r="B41618" s="136"/>
    </row>
    <row r="41619" spans="1:2" x14ac:dyDescent="0.25">
      <c r="A41619" s="118"/>
      <c r="B41619" s="136"/>
    </row>
    <row r="41620" spans="1:2" x14ac:dyDescent="0.25">
      <c r="A41620" s="118"/>
      <c r="B41620" s="136"/>
    </row>
    <row r="41621" spans="1:2" x14ac:dyDescent="0.25">
      <c r="A41621" s="118"/>
      <c r="B41621" s="136"/>
    </row>
    <row r="41622" spans="1:2" x14ac:dyDescent="0.25">
      <c r="A41622" s="118"/>
      <c r="B41622" s="136"/>
    </row>
    <row r="41623" spans="1:2" x14ac:dyDescent="0.25">
      <c r="A41623" s="118"/>
      <c r="B41623" s="136"/>
    </row>
    <row r="41624" spans="1:2" x14ac:dyDescent="0.25">
      <c r="A41624" s="118"/>
      <c r="B41624" s="136"/>
    </row>
    <row r="41625" spans="1:2" x14ac:dyDescent="0.25">
      <c r="A41625" s="118"/>
      <c r="B41625" s="136"/>
    </row>
    <row r="41626" spans="1:2" x14ac:dyDescent="0.25">
      <c r="A41626" s="118"/>
      <c r="B41626" s="136"/>
    </row>
    <row r="41627" spans="1:2" x14ac:dyDescent="0.25">
      <c r="A41627" s="118"/>
      <c r="B41627" s="136"/>
    </row>
    <row r="41628" spans="1:2" x14ac:dyDescent="0.25">
      <c r="A41628" s="118"/>
      <c r="B41628" s="136"/>
    </row>
    <row r="41629" spans="1:2" x14ac:dyDescent="0.25">
      <c r="A41629" s="118"/>
      <c r="B41629" s="136"/>
    </row>
    <row r="41630" spans="1:2" x14ac:dyDescent="0.25">
      <c r="A41630" s="118"/>
      <c r="B41630" s="136"/>
    </row>
    <row r="41631" spans="1:2" x14ac:dyDescent="0.25">
      <c r="A41631" s="118"/>
      <c r="B41631" s="136"/>
    </row>
    <row r="41632" spans="1:2" x14ac:dyDescent="0.25">
      <c r="A41632" s="118"/>
      <c r="B41632" s="136"/>
    </row>
    <row r="41633" spans="1:2" x14ac:dyDescent="0.25">
      <c r="A41633" s="118"/>
      <c r="B41633" s="136"/>
    </row>
    <row r="41634" spans="1:2" x14ac:dyDescent="0.25">
      <c r="A41634" s="118"/>
      <c r="B41634" s="136"/>
    </row>
    <row r="41635" spans="1:2" x14ac:dyDescent="0.25">
      <c r="A41635" s="118"/>
      <c r="B41635" s="136"/>
    </row>
    <row r="41636" spans="1:2" x14ac:dyDescent="0.25">
      <c r="A41636" s="118"/>
      <c r="B41636" s="136"/>
    </row>
    <row r="41637" spans="1:2" x14ac:dyDescent="0.25">
      <c r="A41637" s="118"/>
      <c r="B41637" s="136"/>
    </row>
    <row r="41638" spans="1:2" x14ac:dyDescent="0.25">
      <c r="A41638" s="118"/>
      <c r="B41638" s="136"/>
    </row>
    <row r="41639" spans="1:2" x14ac:dyDescent="0.25">
      <c r="A41639" s="118"/>
      <c r="B41639" s="136"/>
    </row>
    <row r="41640" spans="1:2" x14ac:dyDescent="0.25">
      <c r="A41640" s="118"/>
      <c r="B41640" s="136"/>
    </row>
    <row r="41641" spans="1:2" x14ac:dyDescent="0.25">
      <c r="A41641" s="118"/>
      <c r="B41641" s="136"/>
    </row>
    <row r="41642" spans="1:2" x14ac:dyDescent="0.25">
      <c r="A41642" s="118"/>
      <c r="B41642" s="136"/>
    </row>
    <row r="41643" spans="1:2" x14ac:dyDescent="0.25">
      <c r="A41643" s="118"/>
      <c r="B41643" s="136"/>
    </row>
    <row r="41644" spans="1:2" x14ac:dyDescent="0.25">
      <c r="A41644" s="118"/>
      <c r="B41644" s="136"/>
    </row>
    <row r="41645" spans="1:2" x14ac:dyDescent="0.25">
      <c r="A41645" s="118"/>
      <c r="B41645" s="136"/>
    </row>
    <row r="41646" spans="1:2" x14ac:dyDescent="0.25">
      <c r="A41646" s="118"/>
      <c r="B41646" s="136"/>
    </row>
    <row r="41647" spans="1:2" x14ac:dyDescent="0.25">
      <c r="A41647" s="118"/>
      <c r="B41647" s="136"/>
    </row>
    <row r="41648" spans="1:2" x14ac:dyDescent="0.25">
      <c r="A41648" s="118"/>
      <c r="B41648" s="136"/>
    </row>
    <row r="41649" spans="1:2" x14ac:dyDescent="0.25">
      <c r="A41649" s="118"/>
      <c r="B41649" s="136"/>
    </row>
    <row r="41650" spans="1:2" x14ac:dyDescent="0.25">
      <c r="A41650" s="118"/>
      <c r="B41650" s="136"/>
    </row>
    <row r="41651" spans="1:2" x14ac:dyDescent="0.25">
      <c r="A41651" s="118"/>
      <c r="B41651" s="136"/>
    </row>
    <row r="41652" spans="1:2" x14ac:dyDescent="0.25">
      <c r="A41652" s="118"/>
      <c r="B41652" s="136"/>
    </row>
    <row r="41653" spans="1:2" x14ac:dyDescent="0.25">
      <c r="A41653" s="118"/>
      <c r="B41653" s="136"/>
    </row>
    <row r="41654" spans="1:2" x14ac:dyDescent="0.25">
      <c r="A41654" s="118"/>
      <c r="B41654" s="136"/>
    </row>
    <row r="41655" spans="1:2" x14ac:dyDescent="0.25">
      <c r="A41655" s="118"/>
      <c r="B41655" s="136"/>
    </row>
    <row r="41656" spans="1:2" x14ac:dyDescent="0.25">
      <c r="A41656" s="118"/>
      <c r="B41656" s="136"/>
    </row>
    <row r="41657" spans="1:2" x14ac:dyDescent="0.25">
      <c r="A41657" s="118"/>
      <c r="B41657" s="136"/>
    </row>
    <row r="41658" spans="1:2" x14ac:dyDescent="0.25">
      <c r="A41658" s="118"/>
      <c r="B41658" s="136"/>
    </row>
    <row r="41659" spans="1:2" x14ac:dyDescent="0.25">
      <c r="A41659" s="118"/>
      <c r="B41659" s="136"/>
    </row>
    <row r="41660" spans="1:2" x14ac:dyDescent="0.25">
      <c r="A41660" s="118"/>
      <c r="B41660" s="136"/>
    </row>
    <row r="41661" spans="1:2" x14ac:dyDescent="0.25">
      <c r="A41661" s="118"/>
      <c r="B41661" s="136"/>
    </row>
    <row r="41662" spans="1:2" x14ac:dyDescent="0.25">
      <c r="A41662" s="118"/>
      <c r="B41662" s="136"/>
    </row>
    <row r="41663" spans="1:2" x14ac:dyDescent="0.25">
      <c r="A41663" s="118"/>
      <c r="B41663" s="136"/>
    </row>
    <row r="41664" spans="1:2" x14ac:dyDescent="0.25">
      <c r="A41664" s="118"/>
      <c r="B41664" s="136"/>
    </row>
    <row r="41665" spans="1:2" x14ac:dyDescent="0.25">
      <c r="A41665" s="118"/>
      <c r="B41665" s="136"/>
    </row>
    <row r="41666" spans="1:2" x14ac:dyDescent="0.25">
      <c r="A41666" s="118"/>
      <c r="B41666" s="136"/>
    </row>
    <row r="41667" spans="1:2" x14ac:dyDescent="0.25">
      <c r="A41667" s="118"/>
      <c r="B41667" s="136"/>
    </row>
    <row r="41668" spans="1:2" x14ac:dyDescent="0.25">
      <c r="A41668" s="118"/>
      <c r="B41668" s="136"/>
    </row>
    <row r="41669" spans="1:2" x14ac:dyDescent="0.25">
      <c r="A41669" s="118"/>
      <c r="B41669" s="136"/>
    </row>
    <row r="41670" spans="1:2" x14ac:dyDescent="0.25">
      <c r="A41670" s="118"/>
      <c r="B41670" s="136"/>
    </row>
    <row r="41671" spans="1:2" x14ac:dyDescent="0.25">
      <c r="A41671" s="118"/>
      <c r="B41671" s="136"/>
    </row>
    <row r="41672" spans="1:2" x14ac:dyDescent="0.25">
      <c r="A41672" s="118"/>
      <c r="B41672" s="136"/>
    </row>
    <row r="41673" spans="1:2" x14ac:dyDescent="0.25">
      <c r="A41673" s="118"/>
      <c r="B41673" s="136"/>
    </row>
    <row r="41674" spans="1:2" x14ac:dyDescent="0.25">
      <c r="A41674" s="118"/>
      <c r="B41674" s="136"/>
    </row>
    <row r="41675" spans="1:2" x14ac:dyDescent="0.25">
      <c r="A41675" s="118"/>
      <c r="B41675" s="136"/>
    </row>
    <row r="41676" spans="1:2" x14ac:dyDescent="0.25">
      <c r="A41676" s="118"/>
      <c r="B41676" s="136"/>
    </row>
    <row r="41677" spans="1:2" x14ac:dyDescent="0.25">
      <c r="A41677" s="118"/>
      <c r="B41677" s="136"/>
    </row>
    <row r="41678" spans="1:2" x14ac:dyDescent="0.25">
      <c r="A41678" s="118"/>
      <c r="B41678" s="136"/>
    </row>
    <row r="41679" spans="1:2" x14ac:dyDescent="0.25">
      <c r="A41679" s="118"/>
      <c r="B41679" s="136"/>
    </row>
    <row r="41680" spans="1:2" x14ac:dyDescent="0.25">
      <c r="A41680" s="118"/>
      <c r="B41680" s="136"/>
    </row>
    <row r="41681" spans="1:2" x14ac:dyDescent="0.25">
      <c r="A41681" s="118"/>
      <c r="B41681" s="136"/>
    </row>
    <row r="41682" spans="1:2" x14ac:dyDescent="0.25">
      <c r="A41682" s="118"/>
      <c r="B41682" s="136"/>
    </row>
    <row r="41683" spans="1:2" x14ac:dyDescent="0.25">
      <c r="A41683" s="118"/>
      <c r="B41683" s="136"/>
    </row>
    <row r="41684" spans="1:2" x14ac:dyDescent="0.25">
      <c r="A41684" s="118"/>
      <c r="B41684" s="136"/>
    </row>
    <row r="41685" spans="1:2" x14ac:dyDescent="0.25">
      <c r="A41685" s="118"/>
      <c r="B41685" s="136"/>
    </row>
    <row r="41686" spans="1:2" x14ac:dyDescent="0.25">
      <c r="A41686" s="118"/>
      <c r="B41686" s="136"/>
    </row>
    <row r="41687" spans="1:2" x14ac:dyDescent="0.25">
      <c r="A41687" s="118"/>
      <c r="B41687" s="136"/>
    </row>
    <row r="41688" spans="1:2" x14ac:dyDescent="0.25">
      <c r="A41688" s="118"/>
      <c r="B41688" s="136"/>
    </row>
    <row r="41689" spans="1:2" x14ac:dyDescent="0.25">
      <c r="A41689" s="118"/>
      <c r="B41689" s="136"/>
    </row>
    <row r="41690" spans="1:2" x14ac:dyDescent="0.25">
      <c r="A41690" s="118"/>
      <c r="B41690" s="136"/>
    </row>
    <row r="41691" spans="1:2" x14ac:dyDescent="0.25">
      <c r="A41691" s="118"/>
      <c r="B41691" s="136"/>
    </row>
    <row r="41692" spans="1:2" x14ac:dyDescent="0.25">
      <c r="A41692" s="118"/>
      <c r="B41692" s="136"/>
    </row>
    <row r="41693" spans="1:2" x14ac:dyDescent="0.25">
      <c r="A41693" s="118"/>
      <c r="B41693" s="136"/>
    </row>
    <row r="41694" spans="1:2" x14ac:dyDescent="0.25">
      <c r="A41694" s="118"/>
      <c r="B41694" s="136"/>
    </row>
    <row r="41695" spans="1:2" x14ac:dyDescent="0.25">
      <c r="A41695" s="118"/>
      <c r="B41695" s="136"/>
    </row>
    <row r="41696" spans="1:2" x14ac:dyDescent="0.25">
      <c r="A41696" s="118"/>
      <c r="B41696" s="136"/>
    </row>
    <row r="41697" spans="1:2" x14ac:dyDescent="0.25">
      <c r="A41697" s="118"/>
      <c r="B41697" s="136"/>
    </row>
    <row r="41698" spans="1:2" x14ac:dyDescent="0.25">
      <c r="A41698" s="118"/>
      <c r="B41698" s="136"/>
    </row>
    <row r="41699" spans="1:2" x14ac:dyDescent="0.25">
      <c r="A41699" s="118"/>
      <c r="B41699" s="136"/>
    </row>
    <row r="41700" spans="1:2" x14ac:dyDescent="0.25">
      <c r="A41700" s="118"/>
      <c r="B41700" s="136"/>
    </row>
    <row r="41701" spans="1:2" x14ac:dyDescent="0.25">
      <c r="A41701" s="118"/>
      <c r="B41701" s="136"/>
    </row>
    <row r="41702" spans="1:2" x14ac:dyDescent="0.25">
      <c r="A41702" s="118"/>
      <c r="B41702" s="136"/>
    </row>
    <row r="41703" spans="1:2" x14ac:dyDescent="0.25">
      <c r="A41703" s="118"/>
      <c r="B41703" s="136"/>
    </row>
    <row r="41704" spans="1:2" x14ac:dyDescent="0.25">
      <c r="A41704" s="118"/>
      <c r="B41704" s="136"/>
    </row>
    <row r="41705" spans="1:2" x14ac:dyDescent="0.25">
      <c r="A41705" s="118"/>
      <c r="B41705" s="136"/>
    </row>
    <row r="41706" spans="1:2" x14ac:dyDescent="0.25">
      <c r="A41706" s="118"/>
      <c r="B41706" s="136"/>
    </row>
    <row r="41707" spans="1:2" x14ac:dyDescent="0.25">
      <c r="A41707" s="118"/>
      <c r="B41707" s="136"/>
    </row>
    <row r="41708" spans="1:2" x14ac:dyDescent="0.25">
      <c r="A41708" s="118"/>
      <c r="B41708" s="136"/>
    </row>
    <row r="41709" spans="1:2" x14ac:dyDescent="0.25">
      <c r="A41709" s="118"/>
      <c r="B41709" s="136"/>
    </row>
    <row r="41710" spans="1:2" x14ac:dyDescent="0.25">
      <c r="A41710" s="118"/>
      <c r="B41710" s="136"/>
    </row>
    <row r="41711" spans="1:2" x14ac:dyDescent="0.25">
      <c r="A41711" s="118"/>
      <c r="B41711" s="136"/>
    </row>
    <row r="41712" spans="1:2" x14ac:dyDescent="0.25">
      <c r="A41712" s="118"/>
      <c r="B41712" s="136"/>
    </row>
    <row r="41713" spans="1:2" x14ac:dyDescent="0.25">
      <c r="A41713" s="118"/>
      <c r="B41713" s="136"/>
    </row>
    <row r="41714" spans="1:2" x14ac:dyDescent="0.25">
      <c r="A41714" s="118"/>
      <c r="B41714" s="136"/>
    </row>
    <row r="41715" spans="1:2" x14ac:dyDescent="0.25">
      <c r="A41715" s="118"/>
      <c r="B41715" s="136"/>
    </row>
    <row r="41716" spans="1:2" x14ac:dyDescent="0.25">
      <c r="A41716" s="118"/>
      <c r="B41716" s="136"/>
    </row>
    <row r="41717" spans="1:2" x14ac:dyDescent="0.25">
      <c r="A41717" s="118"/>
      <c r="B41717" s="136"/>
    </row>
    <row r="41718" spans="1:2" x14ac:dyDescent="0.25">
      <c r="A41718" s="118"/>
      <c r="B41718" s="136"/>
    </row>
    <row r="41719" spans="1:2" x14ac:dyDescent="0.25">
      <c r="A41719" s="118"/>
      <c r="B41719" s="136"/>
    </row>
    <row r="41720" spans="1:2" x14ac:dyDescent="0.25">
      <c r="A41720" s="118"/>
      <c r="B41720" s="136"/>
    </row>
    <row r="41721" spans="1:2" x14ac:dyDescent="0.25">
      <c r="A41721" s="118"/>
      <c r="B41721" s="136"/>
    </row>
    <row r="41722" spans="1:2" x14ac:dyDescent="0.25">
      <c r="A41722" s="118"/>
      <c r="B41722" s="136"/>
    </row>
    <row r="41723" spans="1:2" x14ac:dyDescent="0.25">
      <c r="A41723" s="118"/>
      <c r="B41723" s="136"/>
    </row>
    <row r="41724" spans="1:2" x14ac:dyDescent="0.25">
      <c r="A41724" s="118"/>
      <c r="B41724" s="136"/>
    </row>
    <row r="41725" spans="1:2" x14ac:dyDescent="0.25">
      <c r="A41725" s="118"/>
      <c r="B41725" s="136"/>
    </row>
    <row r="41726" spans="1:2" x14ac:dyDescent="0.25">
      <c r="A41726" s="118"/>
      <c r="B41726" s="136"/>
    </row>
    <row r="41727" spans="1:2" x14ac:dyDescent="0.25">
      <c r="A41727" s="118"/>
      <c r="B41727" s="136"/>
    </row>
    <row r="41728" spans="1:2" x14ac:dyDescent="0.25">
      <c r="A41728" s="118"/>
      <c r="B41728" s="136"/>
    </row>
    <row r="41729" spans="1:2" x14ac:dyDescent="0.25">
      <c r="A41729" s="118"/>
      <c r="B41729" s="136"/>
    </row>
    <row r="41730" spans="1:2" x14ac:dyDescent="0.25">
      <c r="A41730" s="118"/>
      <c r="B41730" s="136"/>
    </row>
    <row r="41731" spans="1:2" x14ac:dyDescent="0.25">
      <c r="A41731" s="118"/>
      <c r="B41731" s="136"/>
    </row>
    <row r="41732" spans="1:2" x14ac:dyDescent="0.25">
      <c r="A41732" s="118"/>
      <c r="B41732" s="136"/>
    </row>
    <row r="41733" spans="1:2" x14ac:dyDescent="0.25">
      <c r="A41733" s="118"/>
      <c r="B41733" s="136"/>
    </row>
    <row r="41734" spans="1:2" x14ac:dyDescent="0.25">
      <c r="A41734" s="118"/>
      <c r="B41734" s="136"/>
    </row>
    <row r="41735" spans="1:2" x14ac:dyDescent="0.25">
      <c r="A41735" s="118"/>
      <c r="B41735" s="136"/>
    </row>
    <row r="41736" spans="1:2" x14ac:dyDescent="0.25">
      <c r="A41736" s="118"/>
      <c r="B41736" s="136"/>
    </row>
    <row r="41737" spans="1:2" x14ac:dyDescent="0.25">
      <c r="A41737" s="118"/>
      <c r="B41737" s="136"/>
    </row>
    <row r="41738" spans="1:2" x14ac:dyDescent="0.25">
      <c r="A41738" s="118"/>
      <c r="B41738" s="136"/>
    </row>
    <row r="41739" spans="1:2" x14ac:dyDescent="0.25">
      <c r="A41739" s="118"/>
      <c r="B41739" s="136"/>
    </row>
    <row r="41740" spans="1:2" x14ac:dyDescent="0.25">
      <c r="A41740" s="118"/>
      <c r="B41740" s="136"/>
    </row>
    <row r="41741" spans="1:2" x14ac:dyDescent="0.25">
      <c r="A41741" s="118"/>
      <c r="B41741" s="136"/>
    </row>
    <row r="41742" spans="1:2" x14ac:dyDescent="0.25">
      <c r="A41742" s="118"/>
      <c r="B41742" s="136"/>
    </row>
    <row r="41743" spans="1:2" x14ac:dyDescent="0.25">
      <c r="A41743" s="118"/>
      <c r="B41743" s="136"/>
    </row>
    <row r="41744" spans="1:2" x14ac:dyDescent="0.25">
      <c r="A41744" s="118"/>
      <c r="B41744" s="136"/>
    </row>
    <row r="41745" spans="1:2" x14ac:dyDescent="0.25">
      <c r="A41745" s="118"/>
      <c r="B41745" s="136"/>
    </row>
    <row r="41746" spans="1:2" x14ac:dyDescent="0.25">
      <c r="A41746" s="118"/>
      <c r="B41746" s="136"/>
    </row>
    <row r="41747" spans="1:2" x14ac:dyDescent="0.25">
      <c r="A41747" s="118"/>
      <c r="B41747" s="136"/>
    </row>
    <row r="41748" spans="1:2" x14ac:dyDescent="0.25">
      <c r="A41748" s="118"/>
      <c r="B41748" s="136"/>
    </row>
    <row r="41749" spans="1:2" x14ac:dyDescent="0.25">
      <c r="A41749" s="118"/>
      <c r="B41749" s="136"/>
    </row>
    <row r="41750" spans="1:2" x14ac:dyDescent="0.25">
      <c r="A41750" s="118"/>
      <c r="B41750" s="136"/>
    </row>
    <row r="41751" spans="1:2" x14ac:dyDescent="0.25">
      <c r="A41751" s="118"/>
      <c r="B41751" s="136"/>
    </row>
    <row r="41752" spans="1:2" x14ac:dyDescent="0.25">
      <c r="A41752" s="118"/>
      <c r="B41752" s="136"/>
    </row>
    <row r="41753" spans="1:2" x14ac:dyDescent="0.25">
      <c r="A41753" s="118"/>
      <c r="B41753" s="136"/>
    </row>
    <row r="41754" spans="1:2" x14ac:dyDescent="0.25">
      <c r="A41754" s="118"/>
      <c r="B41754" s="136"/>
    </row>
    <row r="41755" spans="1:2" x14ac:dyDescent="0.25">
      <c r="A41755" s="118"/>
      <c r="B41755" s="136"/>
    </row>
    <row r="41756" spans="1:2" x14ac:dyDescent="0.25">
      <c r="A41756" s="118"/>
      <c r="B41756" s="136"/>
    </row>
    <row r="41757" spans="1:2" x14ac:dyDescent="0.25">
      <c r="A41757" s="118"/>
      <c r="B41757" s="136"/>
    </row>
    <row r="41758" spans="1:2" x14ac:dyDescent="0.25">
      <c r="A41758" s="118"/>
      <c r="B41758" s="136"/>
    </row>
    <row r="41759" spans="1:2" x14ac:dyDescent="0.25">
      <c r="A41759" s="118"/>
      <c r="B41759" s="136"/>
    </row>
    <row r="41760" spans="1:2" x14ac:dyDescent="0.25">
      <c r="A41760" s="118"/>
      <c r="B41760" s="136"/>
    </row>
    <row r="41761" spans="1:2" x14ac:dyDescent="0.25">
      <c r="A41761" s="118"/>
      <c r="B41761" s="136"/>
    </row>
    <row r="41762" spans="1:2" x14ac:dyDescent="0.25">
      <c r="A41762" s="118"/>
      <c r="B41762" s="136"/>
    </row>
    <row r="41763" spans="1:2" x14ac:dyDescent="0.25">
      <c r="A41763" s="118"/>
      <c r="B41763" s="136"/>
    </row>
    <row r="41764" spans="1:2" x14ac:dyDescent="0.25">
      <c r="A41764" s="118"/>
      <c r="B41764" s="136"/>
    </row>
    <row r="41765" spans="1:2" x14ac:dyDescent="0.25">
      <c r="A41765" s="118"/>
      <c r="B41765" s="136"/>
    </row>
    <row r="41766" spans="1:2" x14ac:dyDescent="0.25">
      <c r="A41766" s="118"/>
      <c r="B41766" s="136"/>
    </row>
    <row r="41767" spans="1:2" x14ac:dyDescent="0.25">
      <c r="A41767" s="118"/>
      <c r="B41767" s="136"/>
    </row>
    <row r="41768" spans="1:2" x14ac:dyDescent="0.25">
      <c r="A41768" s="118"/>
      <c r="B41768" s="136"/>
    </row>
    <row r="41769" spans="1:2" x14ac:dyDescent="0.25">
      <c r="A41769" s="118"/>
      <c r="B41769" s="136"/>
    </row>
    <row r="41770" spans="1:2" x14ac:dyDescent="0.25">
      <c r="A41770" s="118"/>
      <c r="B41770" s="136"/>
    </row>
    <row r="41771" spans="1:2" x14ac:dyDescent="0.25">
      <c r="A41771" s="118"/>
      <c r="B41771" s="136"/>
    </row>
    <row r="41772" spans="1:2" x14ac:dyDescent="0.25">
      <c r="A41772" s="118"/>
      <c r="B41772" s="136"/>
    </row>
    <row r="41773" spans="1:2" x14ac:dyDescent="0.25">
      <c r="A41773" s="118"/>
      <c r="B41773" s="136"/>
    </row>
    <row r="41774" spans="1:2" x14ac:dyDescent="0.25">
      <c r="A41774" s="118"/>
      <c r="B41774" s="136"/>
    </row>
    <row r="41775" spans="1:2" x14ac:dyDescent="0.25">
      <c r="A41775" s="118"/>
      <c r="B41775" s="136"/>
    </row>
    <row r="41776" spans="1:2" x14ac:dyDescent="0.25">
      <c r="A41776" s="118"/>
      <c r="B41776" s="136"/>
    </row>
    <row r="41777" spans="1:2" x14ac:dyDescent="0.25">
      <c r="A41777" s="118"/>
      <c r="B41777" s="136"/>
    </row>
    <row r="41778" spans="1:2" x14ac:dyDescent="0.25">
      <c r="A41778" s="118"/>
      <c r="B41778" s="136"/>
    </row>
    <row r="41779" spans="1:2" x14ac:dyDescent="0.25">
      <c r="A41779" s="118"/>
      <c r="B41779" s="136"/>
    </row>
    <row r="41780" spans="1:2" x14ac:dyDescent="0.25">
      <c r="A41780" s="118"/>
      <c r="B41780" s="136"/>
    </row>
    <row r="41781" spans="1:2" x14ac:dyDescent="0.25">
      <c r="A41781" s="118"/>
      <c r="B41781" s="136"/>
    </row>
    <row r="41782" spans="1:2" x14ac:dyDescent="0.25">
      <c r="A41782" s="118"/>
      <c r="B41782" s="136"/>
    </row>
    <row r="41783" spans="1:2" x14ac:dyDescent="0.25">
      <c r="A41783" s="118"/>
      <c r="B41783" s="136"/>
    </row>
    <row r="41784" spans="1:2" x14ac:dyDescent="0.25">
      <c r="A41784" s="118"/>
      <c r="B41784" s="136"/>
    </row>
    <row r="41785" spans="1:2" x14ac:dyDescent="0.25">
      <c r="A41785" s="118"/>
      <c r="B41785" s="136"/>
    </row>
    <row r="41786" spans="1:2" x14ac:dyDescent="0.25">
      <c r="A41786" s="118"/>
      <c r="B41786" s="136"/>
    </row>
    <row r="41787" spans="1:2" x14ac:dyDescent="0.25">
      <c r="A41787" s="118"/>
      <c r="B41787" s="136"/>
    </row>
    <row r="41788" spans="1:2" x14ac:dyDescent="0.25">
      <c r="A41788" s="118"/>
      <c r="B41788" s="136"/>
    </row>
    <row r="41789" spans="1:2" x14ac:dyDescent="0.25">
      <c r="A41789" s="118"/>
      <c r="B41789" s="136"/>
    </row>
    <row r="41790" spans="1:2" x14ac:dyDescent="0.25">
      <c r="A41790" s="118"/>
      <c r="B41790" s="136"/>
    </row>
    <row r="41791" spans="1:2" x14ac:dyDescent="0.25">
      <c r="A41791" s="118"/>
      <c r="B41791" s="136"/>
    </row>
    <row r="41792" spans="1:2" x14ac:dyDescent="0.25">
      <c r="A41792" s="118"/>
      <c r="B41792" s="136"/>
    </row>
    <row r="41793" spans="1:2" x14ac:dyDescent="0.25">
      <c r="A41793" s="118"/>
      <c r="B41793" s="136"/>
    </row>
    <row r="41794" spans="1:2" x14ac:dyDescent="0.25">
      <c r="A41794" s="118"/>
      <c r="B41794" s="136"/>
    </row>
    <row r="41795" spans="1:2" x14ac:dyDescent="0.25">
      <c r="A41795" s="118"/>
      <c r="B41795" s="136"/>
    </row>
    <row r="41796" spans="1:2" x14ac:dyDescent="0.25">
      <c r="A41796" s="118"/>
      <c r="B41796" s="136"/>
    </row>
    <row r="41797" spans="1:2" x14ac:dyDescent="0.25">
      <c r="A41797" s="118"/>
      <c r="B41797" s="136"/>
    </row>
    <row r="41798" spans="1:2" x14ac:dyDescent="0.25">
      <c r="A41798" s="118"/>
      <c r="B41798" s="136"/>
    </row>
    <row r="41799" spans="1:2" x14ac:dyDescent="0.25">
      <c r="A41799" s="118"/>
      <c r="B41799" s="136"/>
    </row>
    <row r="41800" spans="1:2" x14ac:dyDescent="0.25">
      <c r="A41800" s="118"/>
      <c r="B41800" s="136"/>
    </row>
    <row r="41801" spans="1:2" x14ac:dyDescent="0.25">
      <c r="A41801" s="118"/>
      <c r="B41801" s="136"/>
    </row>
    <row r="41802" spans="1:2" x14ac:dyDescent="0.25">
      <c r="A41802" s="118"/>
      <c r="B41802" s="136"/>
    </row>
    <row r="41803" spans="1:2" x14ac:dyDescent="0.25">
      <c r="A41803" s="118"/>
      <c r="B41803" s="136"/>
    </row>
    <row r="41804" spans="1:2" x14ac:dyDescent="0.25">
      <c r="A41804" s="118"/>
      <c r="B41804" s="136"/>
    </row>
    <row r="41805" spans="1:2" x14ac:dyDescent="0.25">
      <c r="A41805" s="118"/>
      <c r="B41805" s="136"/>
    </row>
    <row r="41806" spans="1:2" x14ac:dyDescent="0.25">
      <c r="A41806" s="118"/>
      <c r="B41806" s="136"/>
    </row>
    <row r="41807" spans="1:2" x14ac:dyDescent="0.25">
      <c r="A41807" s="118"/>
      <c r="B41807" s="136"/>
    </row>
    <row r="41808" spans="1:2" x14ac:dyDescent="0.25">
      <c r="A41808" s="118"/>
      <c r="B41808" s="136"/>
    </row>
    <row r="41809" spans="1:2" x14ac:dyDescent="0.25">
      <c r="A41809" s="118"/>
      <c r="B41809" s="136"/>
    </row>
    <row r="41810" spans="1:2" x14ac:dyDescent="0.25">
      <c r="A41810" s="118"/>
      <c r="B41810" s="136"/>
    </row>
    <row r="41811" spans="1:2" x14ac:dyDescent="0.25">
      <c r="A41811" s="118"/>
      <c r="B41811" s="136"/>
    </row>
    <row r="41812" spans="1:2" x14ac:dyDescent="0.25">
      <c r="A41812" s="118"/>
      <c r="B41812" s="136"/>
    </row>
    <row r="41813" spans="1:2" x14ac:dyDescent="0.25">
      <c r="A41813" s="118"/>
      <c r="B41813" s="136"/>
    </row>
    <row r="41814" spans="1:2" x14ac:dyDescent="0.25">
      <c r="A41814" s="118"/>
      <c r="B41814" s="136"/>
    </row>
    <row r="41815" spans="1:2" x14ac:dyDescent="0.25">
      <c r="A41815" s="118"/>
      <c r="B41815" s="136"/>
    </row>
    <row r="41816" spans="1:2" x14ac:dyDescent="0.25">
      <c r="A41816" s="118"/>
      <c r="B41816" s="136"/>
    </row>
    <row r="41817" spans="1:2" x14ac:dyDescent="0.25">
      <c r="A41817" s="118"/>
      <c r="B41817" s="136"/>
    </row>
    <row r="41818" spans="1:2" x14ac:dyDescent="0.25">
      <c r="A41818" s="118"/>
      <c r="B41818" s="136"/>
    </row>
    <row r="41819" spans="1:2" x14ac:dyDescent="0.25">
      <c r="A41819" s="118"/>
      <c r="B41819" s="136"/>
    </row>
    <row r="41820" spans="1:2" x14ac:dyDescent="0.25">
      <c r="A41820" s="118"/>
      <c r="B41820" s="136"/>
    </row>
    <row r="41821" spans="1:2" x14ac:dyDescent="0.25">
      <c r="A41821" s="118"/>
      <c r="B41821" s="136"/>
    </row>
    <row r="41822" spans="1:2" x14ac:dyDescent="0.25">
      <c r="A41822" s="118"/>
      <c r="B41822" s="136"/>
    </row>
    <row r="41823" spans="1:2" x14ac:dyDescent="0.25">
      <c r="A41823" s="118"/>
      <c r="B41823" s="136"/>
    </row>
    <row r="41824" spans="1:2" x14ac:dyDescent="0.25">
      <c r="A41824" s="118"/>
      <c r="B41824" s="136"/>
    </row>
    <row r="41825" spans="1:2" x14ac:dyDescent="0.25">
      <c r="A41825" s="118"/>
      <c r="B41825" s="136"/>
    </row>
    <row r="41826" spans="1:2" x14ac:dyDescent="0.25">
      <c r="A41826" s="118"/>
      <c r="B41826" s="136"/>
    </row>
    <row r="41827" spans="1:2" x14ac:dyDescent="0.25">
      <c r="A41827" s="118"/>
      <c r="B41827" s="136"/>
    </row>
    <row r="41828" spans="1:2" x14ac:dyDescent="0.25">
      <c r="A41828" s="118"/>
      <c r="B41828" s="136"/>
    </row>
    <row r="41829" spans="1:2" x14ac:dyDescent="0.25">
      <c r="A41829" s="118"/>
      <c r="B41829" s="136"/>
    </row>
    <row r="41830" spans="1:2" x14ac:dyDescent="0.25">
      <c r="A41830" s="118"/>
      <c r="B41830" s="136"/>
    </row>
    <row r="41831" spans="1:2" x14ac:dyDescent="0.25">
      <c r="A41831" s="118"/>
      <c r="B41831" s="136"/>
    </row>
    <row r="41832" spans="1:2" x14ac:dyDescent="0.25">
      <c r="A41832" s="118"/>
      <c r="B41832" s="136"/>
    </row>
    <row r="41833" spans="1:2" x14ac:dyDescent="0.25">
      <c r="A41833" s="118"/>
      <c r="B41833" s="136"/>
    </row>
    <row r="41834" spans="1:2" x14ac:dyDescent="0.25">
      <c r="A41834" s="118"/>
      <c r="B41834" s="136"/>
    </row>
    <row r="41835" spans="1:2" x14ac:dyDescent="0.25">
      <c r="A41835" s="118"/>
      <c r="B41835" s="136"/>
    </row>
    <row r="41836" spans="1:2" x14ac:dyDescent="0.25">
      <c r="A41836" s="118"/>
      <c r="B41836" s="136"/>
    </row>
    <row r="41837" spans="1:2" x14ac:dyDescent="0.25">
      <c r="A41837" s="118"/>
      <c r="B41837" s="136"/>
    </row>
    <row r="41838" spans="1:2" x14ac:dyDescent="0.25">
      <c r="A41838" s="118"/>
      <c r="B41838" s="136"/>
    </row>
    <row r="41839" spans="1:2" x14ac:dyDescent="0.25">
      <c r="A41839" s="118"/>
      <c r="B41839" s="136"/>
    </row>
    <row r="41840" spans="1:2" x14ac:dyDescent="0.25">
      <c r="A41840" s="118"/>
      <c r="B41840" s="136"/>
    </row>
    <row r="41841" spans="1:2" x14ac:dyDescent="0.25">
      <c r="A41841" s="118"/>
      <c r="B41841" s="136"/>
    </row>
    <row r="41842" spans="1:2" x14ac:dyDescent="0.25">
      <c r="A41842" s="118"/>
      <c r="B41842" s="136"/>
    </row>
    <row r="41843" spans="1:2" x14ac:dyDescent="0.25">
      <c r="A41843" s="118"/>
      <c r="B41843" s="136"/>
    </row>
    <row r="41844" spans="1:2" x14ac:dyDescent="0.25">
      <c r="A41844" s="118"/>
      <c r="B41844" s="136"/>
    </row>
    <row r="41845" spans="1:2" x14ac:dyDescent="0.25">
      <c r="A41845" s="118"/>
      <c r="B41845" s="136"/>
    </row>
    <row r="41846" spans="1:2" x14ac:dyDescent="0.25">
      <c r="A41846" s="118"/>
      <c r="B41846" s="136"/>
    </row>
    <row r="41847" spans="1:2" x14ac:dyDescent="0.25">
      <c r="A41847" s="118"/>
      <c r="B41847" s="136"/>
    </row>
    <row r="41848" spans="1:2" x14ac:dyDescent="0.25">
      <c r="A41848" s="118"/>
      <c r="B41848" s="136"/>
    </row>
    <row r="41849" spans="1:2" x14ac:dyDescent="0.25">
      <c r="A41849" s="118"/>
      <c r="B41849" s="136"/>
    </row>
    <row r="41850" spans="1:2" x14ac:dyDescent="0.25">
      <c r="A41850" s="118"/>
      <c r="B41850" s="136"/>
    </row>
    <row r="41851" spans="1:2" x14ac:dyDescent="0.25">
      <c r="A41851" s="118"/>
      <c r="B41851" s="136"/>
    </row>
    <row r="41852" spans="1:2" x14ac:dyDescent="0.25">
      <c r="A41852" s="118"/>
      <c r="B41852" s="136"/>
    </row>
    <row r="41853" spans="1:2" x14ac:dyDescent="0.25">
      <c r="A41853" s="118"/>
      <c r="B41853" s="136"/>
    </row>
    <row r="41854" spans="1:2" x14ac:dyDescent="0.25">
      <c r="A41854" s="118"/>
      <c r="B41854" s="136"/>
    </row>
    <row r="41855" spans="1:2" x14ac:dyDescent="0.25">
      <c r="A41855" s="118"/>
      <c r="B41855" s="136"/>
    </row>
    <row r="41856" spans="1:2" x14ac:dyDescent="0.25">
      <c r="A41856" s="118"/>
      <c r="B41856" s="136"/>
    </row>
    <row r="41857" spans="1:2" x14ac:dyDescent="0.25">
      <c r="A41857" s="118"/>
      <c r="B41857" s="136"/>
    </row>
    <row r="41858" spans="1:2" x14ac:dyDescent="0.25">
      <c r="A41858" s="118"/>
      <c r="B41858" s="136"/>
    </row>
    <row r="41859" spans="1:2" x14ac:dyDescent="0.25">
      <c r="A41859" s="118"/>
      <c r="B41859" s="136"/>
    </row>
    <row r="41860" spans="1:2" x14ac:dyDescent="0.25">
      <c r="A41860" s="118"/>
      <c r="B41860" s="136"/>
    </row>
    <row r="41861" spans="1:2" x14ac:dyDescent="0.25">
      <c r="A41861" s="118"/>
      <c r="B41861" s="136"/>
    </row>
    <row r="41862" spans="1:2" x14ac:dyDescent="0.25">
      <c r="A41862" s="118"/>
      <c r="B41862" s="136"/>
    </row>
    <row r="41863" spans="1:2" x14ac:dyDescent="0.25">
      <c r="A41863" s="118"/>
      <c r="B41863" s="136"/>
    </row>
    <row r="41864" spans="1:2" x14ac:dyDescent="0.25">
      <c r="A41864" s="118"/>
      <c r="B41864" s="136"/>
    </row>
    <row r="41865" spans="1:2" x14ac:dyDescent="0.25">
      <c r="A41865" s="118"/>
      <c r="B41865" s="136"/>
    </row>
    <row r="41866" spans="1:2" x14ac:dyDescent="0.25">
      <c r="A41866" s="118"/>
      <c r="B41866" s="136"/>
    </row>
    <row r="41867" spans="1:2" x14ac:dyDescent="0.25">
      <c r="A41867" s="118"/>
      <c r="B41867" s="136"/>
    </row>
    <row r="41868" spans="1:2" x14ac:dyDescent="0.25">
      <c r="A41868" s="118"/>
      <c r="B41868" s="136"/>
    </row>
    <row r="41869" spans="1:2" x14ac:dyDescent="0.25">
      <c r="A41869" s="118"/>
      <c r="B41869" s="136"/>
    </row>
    <row r="41870" spans="1:2" x14ac:dyDescent="0.25">
      <c r="A41870" s="118"/>
      <c r="B41870" s="136"/>
    </row>
    <row r="41871" spans="1:2" x14ac:dyDescent="0.25">
      <c r="A41871" s="118"/>
      <c r="B41871" s="136"/>
    </row>
    <row r="41872" spans="1:2" x14ac:dyDescent="0.25">
      <c r="A41872" s="118"/>
      <c r="B41872" s="136"/>
    </row>
    <row r="41873" spans="1:2" x14ac:dyDescent="0.25">
      <c r="A41873" s="118"/>
      <c r="B41873" s="136"/>
    </row>
    <row r="41874" spans="1:2" x14ac:dyDescent="0.25">
      <c r="A41874" s="118"/>
      <c r="B41874" s="136"/>
    </row>
    <row r="41875" spans="1:2" x14ac:dyDescent="0.25">
      <c r="A41875" s="118"/>
      <c r="B41875" s="136"/>
    </row>
    <row r="41876" spans="1:2" x14ac:dyDescent="0.25">
      <c r="A41876" s="118"/>
      <c r="B41876" s="136"/>
    </row>
    <row r="41877" spans="1:2" x14ac:dyDescent="0.25">
      <c r="A41877" s="118"/>
      <c r="B41877" s="136"/>
    </row>
    <row r="41878" spans="1:2" x14ac:dyDescent="0.25">
      <c r="A41878" s="118"/>
      <c r="B41878" s="136"/>
    </row>
    <row r="41879" spans="1:2" x14ac:dyDescent="0.25">
      <c r="A41879" s="118"/>
      <c r="B41879" s="136"/>
    </row>
    <row r="41880" spans="1:2" x14ac:dyDescent="0.25">
      <c r="A41880" s="118"/>
      <c r="B41880" s="136"/>
    </row>
    <row r="41881" spans="1:2" x14ac:dyDescent="0.25">
      <c r="A41881" s="118"/>
      <c r="B41881" s="136"/>
    </row>
    <row r="41882" spans="1:2" x14ac:dyDescent="0.25">
      <c r="A41882" s="118"/>
      <c r="B41882" s="136"/>
    </row>
    <row r="41883" spans="1:2" x14ac:dyDescent="0.25">
      <c r="A41883" s="118"/>
      <c r="B41883" s="136"/>
    </row>
    <row r="41884" spans="1:2" x14ac:dyDescent="0.25">
      <c r="A41884" s="118"/>
      <c r="B41884" s="136"/>
    </row>
    <row r="41885" spans="1:2" x14ac:dyDescent="0.25">
      <c r="A41885" s="118"/>
      <c r="B41885" s="136"/>
    </row>
    <row r="41886" spans="1:2" x14ac:dyDescent="0.25">
      <c r="A41886" s="118"/>
      <c r="B41886" s="136"/>
    </row>
    <row r="41887" spans="1:2" x14ac:dyDescent="0.25">
      <c r="A41887" s="118"/>
      <c r="B41887" s="136"/>
    </row>
    <row r="41888" spans="1:2" x14ac:dyDescent="0.25">
      <c r="A41888" s="118"/>
      <c r="B41888" s="136"/>
    </row>
    <row r="41889" spans="1:2" x14ac:dyDescent="0.25">
      <c r="A41889" s="118"/>
      <c r="B41889" s="136"/>
    </row>
    <row r="41890" spans="1:2" x14ac:dyDescent="0.25">
      <c r="A41890" s="118"/>
      <c r="B41890" s="136"/>
    </row>
    <row r="41891" spans="1:2" x14ac:dyDescent="0.25">
      <c r="A41891" s="118"/>
      <c r="B41891" s="136"/>
    </row>
    <row r="41892" spans="1:2" x14ac:dyDescent="0.25">
      <c r="A41892" s="118"/>
      <c r="B41892" s="136"/>
    </row>
    <row r="41893" spans="1:2" x14ac:dyDescent="0.25">
      <c r="A41893" s="118"/>
      <c r="B41893" s="136"/>
    </row>
    <row r="41894" spans="1:2" x14ac:dyDescent="0.25">
      <c r="A41894" s="118"/>
      <c r="B41894" s="136"/>
    </row>
    <row r="41895" spans="1:2" x14ac:dyDescent="0.25">
      <c r="A41895" s="118"/>
      <c r="B41895" s="136"/>
    </row>
    <row r="41896" spans="1:2" x14ac:dyDescent="0.25">
      <c r="A41896" s="118"/>
      <c r="B41896" s="136"/>
    </row>
    <row r="41897" spans="1:2" x14ac:dyDescent="0.25">
      <c r="A41897" s="118"/>
      <c r="B41897" s="136"/>
    </row>
    <row r="41898" spans="1:2" x14ac:dyDescent="0.25">
      <c r="A41898" s="118"/>
      <c r="B41898" s="136"/>
    </row>
    <row r="41899" spans="1:2" x14ac:dyDescent="0.25">
      <c r="A41899" s="118"/>
      <c r="B41899" s="136"/>
    </row>
    <row r="41900" spans="1:2" x14ac:dyDescent="0.25">
      <c r="A41900" s="118"/>
      <c r="B41900" s="136"/>
    </row>
    <row r="41901" spans="1:2" x14ac:dyDescent="0.25">
      <c r="A41901" s="118"/>
      <c r="B41901" s="136"/>
    </row>
    <row r="41902" spans="1:2" x14ac:dyDescent="0.25">
      <c r="A41902" s="118"/>
      <c r="B41902" s="136"/>
    </row>
    <row r="41903" spans="1:2" x14ac:dyDescent="0.25">
      <c r="A41903" s="118"/>
      <c r="B41903" s="136"/>
    </row>
    <row r="41904" spans="1:2" x14ac:dyDescent="0.25">
      <c r="A41904" s="118"/>
      <c r="B41904" s="136"/>
    </row>
    <row r="41905" spans="1:2" x14ac:dyDescent="0.25">
      <c r="A41905" s="118"/>
      <c r="B41905" s="136"/>
    </row>
    <row r="41906" spans="1:2" x14ac:dyDescent="0.25">
      <c r="A41906" s="118"/>
      <c r="B41906" s="136"/>
    </row>
    <row r="41907" spans="1:2" x14ac:dyDescent="0.25">
      <c r="A41907" s="118"/>
      <c r="B41907" s="136"/>
    </row>
    <row r="41908" spans="1:2" x14ac:dyDescent="0.25">
      <c r="A41908" s="118"/>
      <c r="B41908" s="136"/>
    </row>
    <row r="41909" spans="1:2" x14ac:dyDescent="0.25">
      <c r="A41909" s="118"/>
      <c r="B41909" s="136"/>
    </row>
    <row r="41910" spans="1:2" x14ac:dyDescent="0.25">
      <c r="A41910" s="118"/>
      <c r="B41910" s="136"/>
    </row>
    <row r="41911" spans="1:2" x14ac:dyDescent="0.25">
      <c r="A41911" s="118"/>
      <c r="B41911" s="136"/>
    </row>
    <row r="41912" spans="1:2" x14ac:dyDescent="0.25">
      <c r="A41912" s="118"/>
      <c r="B41912" s="136"/>
    </row>
    <row r="41913" spans="1:2" x14ac:dyDescent="0.25">
      <c r="A41913" s="118"/>
      <c r="B41913" s="136"/>
    </row>
    <row r="41914" spans="1:2" x14ac:dyDescent="0.25">
      <c r="A41914" s="118"/>
      <c r="B41914" s="136"/>
    </row>
    <row r="41915" spans="1:2" x14ac:dyDescent="0.25">
      <c r="A41915" s="118"/>
      <c r="B41915" s="136"/>
    </row>
    <row r="41916" spans="1:2" x14ac:dyDescent="0.25">
      <c r="A41916" s="118"/>
      <c r="B41916" s="136"/>
    </row>
    <row r="41917" spans="1:2" x14ac:dyDescent="0.25">
      <c r="A41917" s="118"/>
      <c r="B41917" s="136"/>
    </row>
    <row r="41918" spans="1:2" x14ac:dyDescent="0.25">
      <c r="A41918" s="118"/>
      <c r="B41918" s="136"/>
    </row>
    <row r="41919" spans="1:2" x14ac:dyDescent="0.25">
      <c r="A41919" s="118"/>
      <c r="B41919" s="136"/>
    </row>
    <row r="41920" spans="1:2" x14ac:dyDescent="0.25">
      <c r="A41920" s="118"/>
      <c r="B41920" s="136"/>
    </row>
    <row r="41921" spans="1:2" x14ac:dyDescent="0.25">
      <c r="A41921" s="118"/>
      <c r="B41921" s="136"/>
    </row>
    <row r="41922" spans="1:2" x14ac:dyDescent="0.25">
      <c r="A41922" s="118"/>
      <c r="B41922" s="136"/>
    </row>
    <row r="41923" spans="1:2" x14ac:dyDescent="0.25">
      <c r="A41923" s="118"/>
      <c r="B41923" s="136"/>
    </row>
    <row r="41924" spans="1:2" x14ac:dyDescent="0.25">
      <c r="A41924" s="118"/>
      <c r="B41924" s="136"/>
    </row>
    <row r="41925" spans="1:2" x14ac:dyDescent="0.25">
      <c r="A41925" s="118"/>
      <c r="B41925" s="136"/>
    </row>
    <row r="41926" spans="1:2" x14ac:dyDescent="0.25">
      <c r="A41926" s="118"/>
      <c r="B41926" s="136"/>
    </row>
    <row r="41927" spans="1:2" x14ac:dyDescent="0.25">
      <c r="A41927" s="118"/>
      <c r="B41927" s="136"/>
    </row>
    <row r="41928" spans="1:2" x14ac:dyDescent="0.25">
      <c r="A41928" s="118"/>
      <c r="B41928" s="136"/>
    </row>
    <row r="41929" spans="1:2" x14ac:dyDescent="0.25">
      <c r="A41929" s="118"/>
      <c r="B41929" s="136"/>
    </row>
    <row r="41930" spans="1:2" x14ac:dyDescent="0.25">
      <c r="A41930" s="118"/>
      <c r="B41930" s="136"/>
    </row>
    <row r="41931" spans="1:2" x14ac:dyDescent="0.25">
      <c r="A41931" s="118"/>
      <c r="B41931" s="136"/>
    </row>
    <row r="41932" spans="1:2" x14ac:dyDescent="0.25">
      <c r="A41932" s="118"/>
      <c r="B41932" s="136"/>
    </row>
    <row r="41933" spans="1:2" x14ac:dyDescent="0.25">
      <c r="A41933" s="118"/>
      <c r="B41933" s="136"/>
    </row>
    <row r="41934" spans="1:2" x14ac:dyDescent="0.25">
      <c r="A41934" s="118"/>
      <c r="B41934" s="136"/>
    </row>
    <row r="41935" spans="1:2" x14ac:dyDescent="0.25">
      <c r="A41935" s="118"/>
      <c r="B41935" s="136"/>
    </row>
    <row r="41936" spans="1:2" x14ac:dyDescent="0.25">
      <c r="A41936" s="118"/>
      <c r="B41936" s="136"/>
    </row>
    <row r="41937" spans="1:2" x14ac:dyDescent="0.25">
      <c r="A41937" s="118"/>
      <c r="B41937" s="136"/>
    </row>
    <row r="41938" spans="1:2" x14ac:dyDescent="0.25">
      <c r="A41938" s="118"/>
      <c r="B41938" s="136"/>
    </row>
    <row r="41939" spans="1:2" x14ac:dyDescent="0.25">
      <c r="A41939" s="118"/>
      <c r="B41939" s="136"/>
    </row>
    <row r="41940" spans="1:2" x14ac:dyDescent="0.25">
      <c r="A41940" s="118"/>
      <c r="B41940" s="136"/>
    </row>
    <row r="41941" spans="1:2" x14ac:dyDescent="0.25">
      <c r="A41941" s="118"/>
      <c r="B41941" s="136"/>
    </row>
    <row r="41942" spans="1:2" x14ac:dyDescent="0.25">
      <c r="A41942" s="118"/>
      <c r="B41942" s="136"/>
    </row>
    <row r="41943" spans="1:2" x14ac:dyDescent="0.25">
      <c r="A41943" s="118"/>
      <c r="B41943" s="136"/>
    </row>
    <row r="41944" spans="1:2" x14ac:dyDescent="0.25">
      <c r="A41944" s="118"/>
      <c r="B41944" s="136"/>
    </row>
    <row r="41945" spans="1:2" x14ac:dyDescent="0.25">
      <c r="A41945" s="118"/>
      <c r="B41945" s="136"/>
    </row>
    <row r="41946" spans="1:2" x14ac:dyDescent="0.25">
      <c r="A41946" s="118"/>
      <c r="B41946" s="136"/>
    </row>
    <row r="41947" spans="1:2" x14ac:dyDescent="0.25">
      <c r="A41947" s="118"/>
      <c r="B41947" s="136"/>
    </row>
    <row r="41948" spans="1:2" x14ac:dyDescent="0.25">
      <c r="A41948" s="118"/>
      <c r="B41948" s="136"/>
    </row>
    <row r="41949" spans="1:2" x14ac:dyDescent="0.25">
      <c r="A41949" s="118"/>
      <c r="B41949" s="136"/>
    </row>
    <row r="41950" spans="1:2" x14ac:dyDescent="0.25">
      <c r="A41950" s="118"/>
      <c r="B41950" s="136"/>
    </row>
    <row r="41951" spans="1:2" x14ac:dyDescent="0.25">
      <c r="A41951" s="118"/>
      <c r="B41951" s="136"/>
    </row>
    <row r="41952" spans="1:2" x14ac:dyDescent="0.25">
      <c r="A41952" s="118"/>
      <c r="B41952" s="136"/>
    </row>
    <row r="41953" spans="1:2" x14ac:dyDescent="0.25">
      <c r="A41953" s="118"/>
      <c r="B41953" s="136"/>
    </row>
    <row r="41954" spans="1:2" x14ac:dyDescent="0.25">
      <c r="A41954" s="118"/>
      <c r="B41954" s="136"/>
    </row>
    <row r="41955" spans="1:2" x14ac:dyDescent="0.25">
      <c r="A41955" s="118"/>
      <c r="B41955" s="136"/>
    </row>
    <row r="41956" spans="1:2" x14ac:dyDescent="0.25">
      <c r="A41956" s="118"/>
      <c r="B41956" s="136"/>
    </row>
    <row r="41957" spans="1:2" x14ac:dyDescent="0.25">
      <c r="A41957" s="118"/>
      <c r="B41957" s="136"/>
    </row>
    <row r="41958" spans="1:2" x14ac:dyDescent="0.25">
      <c r="A41958" s="118"/>
      <c r="B41958" s="136"/>
    </row>
    <row r="41959" spans="1:2" x14ac:dyDescent="0.25">
      <c r="A41959" s="118"/>
      <c r="B41959" s="136"/>
    </row>
    <row r="41960" spans="1:2" x14ac:dyDescent="0.25">
      <c r="A41960" s="118"/>
      <c r="B41960" s="136"/>
    </row>
    <row r="41961" spans="1:2" x14ac:dyDescent="0.25">
      <c r="A41961" s="118"/>
      <c r="B41961" s="136"/>
    </row>
    <row r="41962" spans="1:2" x14ac:dyDescent="0.25">
      <c r="A41962" s="118"/>
      <c r="B41962" s="136"/>
    </row>
    <row r="41963" spans="1:2" x14ac:dyDescent="0.25">
      <c r="A41963" s="118"/>
      <c r="B41963" s="136"/>
    </row>
    <row r="41964" spans="1:2" x14ac:dyDescent="0.25">
      <c r="A41964" s="118"/>
      <c r="B41964" s="136"/>
    </row>
    <row r="41965" spans="1:2" x14ac:dyDescent="0.25">
      <c r="A41965" s="118"/>
      <c r="B41965" s="136"/>
    </row>
    <row r="41966" spans="1:2" x14ac:dyDescent="0.25">
      <c r="A41966" s="118"/>
      <c r="B41966" s="136"/>
    </row>
    <row r="41967" spans="1:2" x14ac:dyDescent="0.25">
      <c r="A41967" s="118"/>
      <c r="B41967" s="136"/>
    </row>
    <row r="41968" spans="1:2" x14ac:dyDescent="0.25">
      <c r="A41968" s="118"/>
      <c r="B41968" s="136"/>
    </row>
    <row r="41969" spans="1:2" x14ac:dyDescent="0.25">
      <c r="A41969" s="118"/>
      <c r="B41969" s="136"/>
    </row>
    <row r="41970" spans="1:2" x14ac:dyDescent="0.25">
      <c r="A41970" s="118"/>
      <c r="B41970" s="136"/>
    </row>
    <row r="41971" spans="1:2" x14ac:dyDescent="0.25">
      <c r="A41971" s="118"/>
      <c r="B41971" s="136"/>
    </row>
    <row r="41972" spans="1:2" x14ac:dyDescent="0.25">
      <c r="A41972" s="118"/>
      <c r="B41972" s="136"/>
    </row>
    <row r="41973" spans="1:2" x14ac:dyDescent="0.25">
      <c r="A41973" s="118"/>
      <c r="B41973" s="136"/>
    </row>
    <row r="41974" spans="1:2" x14ac:dyDescent="0.25">
      <c r="A41974" s="118"/>
      <c r="B41974" s="136"/>
    </row>
    <row r="41975" spans="1:2" x14ac:dyDescent="0.25">
      <c r="A41975" s="118"/>
      <c r="B41975" s="136"/>
    </row>
    <row r="41976" spans="1:2" x14ac:dyDescent="0.25">
      <c r="A41976" s="118"/>
      <c r="B41976" s="136"/>
    </row>
    <row r="41977" spans="1:2" x14ac:dyDescent="0.25">
      <c r="A41977" s="118"/>
      <c r="B41977" s="136"/>
    </row>
    <row r="41978" spans="1:2" x14ac:dyDescent="0.25">
      <c r="A41978" s="118"/>
      <c r="B41978" s="136"/>
    </row>
    <row r="41979" spans="1:2" x14ac:dyDescent="0.25">
      <c r="A41979" s="118"/>
      <c r="B41979" s="136"/>
    </row>
    <row r="41980" spans="1:2" x14ac:dyDescent="0.25">
      <c r="A41980" s="118"/>
      <c r="B41980" s="136"/>
    </row>
    <row r="41981" spans="1:2" x14ac:dyDescent="0.25">
      <c r="A41981" s="118"/>
      <c r="B41981" s="136"/>
    </row>
    <row r="41982" spans="1:2" x14ac:dyDescent="0.25">
      <c r="A41982" s="118"/>
      <c r="B41982" s="136"/>
    </row>
    <row r="41983" spans="1:2" x14ac:dyDescent="0.25">
      <c r="A41983" s="118"/>
      <c r="B41983" s="136"/>
    </row>
    <row r="41984" spans="1:2" x14ac:dyDescent="0.25">
      <c r="A41984" s="118"/>
      <c r="B41984" s="136"/>
    </row>
    <row r="41985" spans="1:2" x14ac:dyDescent="0.25">
      <c r="A41985" s="118"/>
      <c r="B41985" s="136"/>
    </row>
    <row r="41986" spans="1:2" x14ac:dyDescent="0.25">
      <c r="A41986" s="118"/>
      <c r="B41986" s="136"/>
    </row>
    <row r="41987" spans="1:2" x14ac:dyDescent="0.25">
      <c r="A41987" s="118"/>
      <c r="B41987" s="136"/>
    </row>
    <row r="41988" spans="1:2" x14ac:dyDescent="0.25">
      <c r="A41988" s="118"/>
      <c r="B41988" s="136"/>
    </row>
    <row r="41989" spans="1:2" x14ac:dyDescent="0.25">
      <c r="A41989" s="118"/>
      <c r="B41989" s="136"/>
    </row>
    <row r="41990" spans="1:2" x14ac:dyDescent="0.25">
      <c r="A41990" s="118"/>
      <c r="B41990" s="136"/>
    </row>
    <row r="41991" spans="1:2" x14ac:dyDescent="0.25">
      <c r="A41991" s="118"/>
      <c r="B41991" s="136"/>
    </row>
    <row r="41992" spans="1:2" x14ac:dyDescent="0.25">
      <c r="A41992" s="118"/>
      <c r="B41992" s="136"/>
    </row>
    <row r="41993" spans="1:2" x14ac:dyDescent="0.25">
      <c r="A41993" s="118"/>
      <c r="B41993" s="136"/>
    </row>
    <row r="41994" spans="1:2" x14ac:dyDescent="0.25">
      <c r="A41994" s="118"/>
      <c r="B41994" s="136"/>
    </row>
    <row r="41995" spans="1:2" x14ac:dyDescent="0.25">
      <c r="A41995" s="118"/>
      <c r="B41995" s="136"/>
    </row>
    <row r="41996" spans="1:2" x14ac:dyDescent="0.25">
      <c r="A41996" s="118"/>
      <c r="B41996" s="136"/>
    </row>
    <row r="41997" spans="1:2" x14ac:dyDescent="0.25">
      <c r="A41997" s="118"/>
      <c r="B41997" s="136"/>
    </row>
    <row r="41998" spans="1:2" x14ac:dyDescent="0.25">
      <c r="A41998" s="118"/>
      <c r="B41998" s="136"/>
    </row>
    <row r="41999" spans="1:2" x14ac:dyDescent="0.25">
      <c r="A41999" s="118"/>
      <c r="B41999" s="136"/>
    </row>
    <row r="42000" spans="1:2" x14ac:dyDescent="0.25">
      <c r="A42000" s="118"/>
      <c r="B42000" s="136"/>
    </row>
    <row r="42001" spans="1:2" x14ac:dyDescent="0.25">
      <c r="A42001" s="118"/>
      <c r="B42001" s="136"/>
    </row>
    <row r="42002" spans="1:2" x14ac:dyDescent="0.25">
      <c r="A42002" s="118"/>
      <c r="B42002" s="136"/>
    </row>
    <row r="42003" spans="1:2" x14ac:dyDescent="0.25">
      <c r="A42003" s="118"/>
      <c r="B42003" s="136"/>
    </row>
    <row r="42004" spans="1:2" x14ac:dyDescent="0.25">
      <c r="A42004" s="118"/>
      <c r="B42004" s="136"/>
    </row>
    <row r="42005" spans="1:2" x14ac:dyDescent="0.25">
      <c r="A42005" s="118"/>
      <c r="B42005" s="136"/>
    </row>
    <row r="42006" spans="1:2" x14ac:dyDescent="0.25">
      <c r="A42006" s="118"/>
      <c r="B42006" s="136"/>
    </row>
    <row r="42007" spans="1:2" x14ac:dyDescent="0.25">
      <c r="A42007" s="118"/>
      <c r="B42007" s="136"/>
    </row>
    <row r="42008" spans="1:2" x14ac:dyDescent="0.25">
      <c r="A42008" s="118"/>
      <c r="B42008" s="136"/>
    </row>
    <row r="42009" spans="1:2" x14ac:dyDescent="0.25">
      <c r="A42009" s="118"/>
      <c r="B42009" s="136"/>
    </row>
    <row r="42010" spans="1:2" x14ac:dyDescent="0.25">
      <c r="A42010" s="118"/>
      <c r="B42010" s="136"/>
    </row>
    <row r="42011" spans="1:2" x14ac:dyDescent="0.25">
      <c r="A42011" s="118"/>
      <c r="B42011" s="136"/>
    </row>
    <row r="42012" spans="1:2" x14ac:dyDescent="0.25">
      <c r="A42012" s="118"/>
      <c r="B42012" s="136"/>
    </row>
    <row r="42013" spans="1:2" x14ac:dyDescent="0.25">
      <c r="A42013" s="118"/>
      <c r="B42013" s="136"/>
    </row>
    <row r="42014" spans="1:2" x14ac:dyDescent="0.25">
      <c r="A42014" s="118"/>
      <c r="B42014" s="136"/>
    </row>
    <row r="42015" spans="1:2" x14ac:dyDescent="0.25">
      <c r="A42015" s="118"/>
      <c r="B42015" s="136"/>
    </row>
    <row r="42016" spans="1:2" x14ac:dyDescent="0.25">
      <c r="A42016" s="118"/>
      <c r="B42016" s="136"/>
    </row>
    <row r="42017" spans="1:2" x14ac:dyDescent="0.25">
      <c r="A42017" s="118"/>
      <c r="B42017" s="136"/>
    </row>
    <row r="42018" spans="1:2" x14ac:dyDescent="0.25">
      <c r="A42018" s="118"/>
      <c r="B42018" s="136"/>
    </row>
    <row r="42019" spans="1:2" x14ac:dyDescent="0.25">
      <c r="A42019" s="118"/>
      <c r="B42019" s="136"/>
    </row>
    <row r="42020" spans="1:2" x14ac:dyDescent="0.25">
      <c r="A42020" s="118"/>
      <c r="B42020" s="136"/>
    </row>
    <row r="42021" spans="1:2" x14ac:dyDescent="0.25">
      <c r="A42021" s="118"/>
      <c r="B42021" s="136"/>
    </row>
    <row r="42022" spans="1:2" x14ac:dyDescent="0.25">
      <c r="A42022" s="118"/>
      <c r="B42022" s="136"/>
    </row>
    <row r="42023" spans="1:2" x14ac:dyDescent="0.25">
      <c r="A42023" s="118"/>
      <c r="B42023" s="136"/>
    </row>
    <row r="42024" spans="1:2" x14ac:dyDescent="0.25">
      <c r="A42024" s="118"/>
      <c r="B42024" s="136"/>
    </row>
    <row r="42025" spans="1:2" x14ac:dyDescent="0.25">
      <c r="A42025" s="118"/>
      <c r="B42025" s="136"/>
    </row>
    <row r="42026" spans="1:2" x14ac:dyDescent="0.25">
      <c r="A42026" s="118"/>
      <c r="B42026" s="136"/>
    </row>
    <row r="42027" spans="1:2" x14ac:dyDescent="0.25">
      <c r="A42027" s="118"/>
      <c r="B42027" s="136"/>
    </row>
    <row r="42028" spans="1:2" x14ac:dyDescent="0.25">
      <c r="A42028" s="118"/>
      <c r="B42028" s="136"/>
    </row>
    <row r="42029" spans="1:2" x14ac:dyDescent="0.25">
      <c r="A42029" s="118"/>
      <c r="B42029" s="136"/>
    </row>
    <row r="42030" spans="1:2" x14ac:dyDescent="0.25">
      <c r="A42030" s="118"/>
      <c r="B42030" s="136"/>
    </row>
    <row r="42031" spans="1:2" x14ac:dyDescent="0.25">
      <c r="A42031" s="118"/>
      <c r="B42031" s="136"/>
    </row>
    <row r="42032" spans="1:2" x14ac:dyDescent="0.25">
      <c r="A42032" s="118"/>
      <c r="B42032" s="136"/>
    </row>
    <row r="42033" spans="1:2" x14ac:dyDescent="0.25">
      <c r="A42033" s="118"/>
      <c r="B42033" s="136"/>
    </row>
    <row r="42034" spans="1:2" x14ac:dyDescent="0.25">
      <c r="A42034" s="118"/>
      <c r="B42034" s="136"/>
    </row>
    <row r="42035" spans="1:2" x14ac:dyDescent="0.25">
      <c r="A42035" s="118"/>
      <c r="B42035" s="136"/>
    </row>
    <row r="42036" spans="1:2" x14ac:dyDescent="0.25">
      <c r="A42036" s="118"/>
      <c r="B42036" s="136"/>
    </row>
    <row r="42037" spans="1:2" x14ac:dyDescent="0.25">
      <c r="A42037" s="118"/>
      <c r="B42037" s="136"/>
    </row>
    <row r="42038" spans="1:2" x14ac:dyDescent="0.25">
      <c r="A42038" s="118"/>
      <c r="B42038" s="136"/>
    </row>
    <row r="42039" spans="1:2" x14ac:dyDescent="0.25">
      <c r="A42039" s="118"/>
      <c r="B42039" s="136"/>
    </row>
    <row r="42040" spans="1:2" x14ac:dyDescent="0.25">
      <c r="A42040" s="118"/>
      <c r="B42040" s="136"/>
    </row>
    <row r="42041" spans="1:2" x14ac:dyDescent="0.25">
      <c r="A42041" s="118"/>
      <c r="B42041" s="136"/>
    </row>
    <row r="42042" spans="1:2" x14ac:dyDescent="0.25">
      <c r="A42042" s="118"/>
      <c r="B42042" s="136"/>
    </row>
    <row r="42043" spans="1:2" x14ac:dyDescent="0.25">
      <c r="A42043" s="118"/>
      <c r="B42043" s="136"/>
    </row>
    <row r="42044" spans="1:2" x14ac:dyDescent="0.25">
      <c r="A42044" s="118"/>
      <c r="B42044" s="136"/>
    </row>
    <row r="42045" spans="1:2" x14ac:dyDescent="0.25">
      <c r="A42045" s="118"/>
      <c r="B42045" s="136"/>
    </row>
    <row r="42046" spans="1:2" x14ac:dyDescent="0.25">
      <c r="A42046" s="118"/>
      <c r="B42046" s="136"/>
    </row>
    <row r="42047" spans="1:2" x14ac:dyDescent="0.25">
      <c r="A42047" s="118"/>
      <c r="B42047" s="136"/>
    </row>
    <row r="42048" spans="1:2" x14ac:dyDescent="0.25">
      <c r="A42048" s="118"/>
      <c r="B42048" s="136"/>
    </row>
    <row r="42049" spans="1:2" x14ac:dyDescent="0.25">
      <c r="A42049" s="118"/>
      <c r="B42049" s="136"/>
    </row>
    <row r="42050" spans="1:2" x14ac:dyDescent="0.25">
      <c r="A42050" s="118"/>
      <c r="B42050" s="136"/>
    </row>
    <row r="42051" spans="1:2" x14ac:dyDescent="0.25">
      <c r="A42051" s="118"/>
      <c r="B42051" s="136"/>
    </row>
    <row r="42052" spans="1:2" x14ac:dyDescent="0.25">
      <c r="A42052" s="118"/>
      <c r="B42052" s="136"/>
    </row>
    <row r="42053" spans="1:2" x14ac:dyDescent="0.25">
      <c r="A42053" s="118"/>
      <c r="B42053" s="136"/>
    </row>
    <row r="42054" spans="1:2" x14ac:dyDescent="0.25">
      <c r="A42054" s="118"/>
      <c r="B42054" s="136"/>
    </row>
    <row r="42055" spans="1:2" x14ac:dyDescent="0.25">
      <c r="A42055" s="118"/>
      <c r="B42055" s="136"/>
    </row>
    <row r="42056" spans="1:2" x14ac:dyDescent="0.25">
      <c r="A42056" s="118"/>
      <c r="B42056" s="136"/>
    </row>
    <row r="42057" spans="1:2" x14ac:dyDescent="0.25">
      <c r="A42057" s="118"/>
      <c r="B42057" s="136"/>
    </row>
    <row r="42058" spans="1:2" x14ac:dyDescent="0.25">
      <c r="A42058" s="118"/>
      <c r="B42058" s="136"/>
    </row>
    <row r="42059" spans="1:2" x14ac:dyDescent="0.25">
      <c r="A42059" s="118"/>
      <c r="B42059" s="136"/>
    </row>
    <row r="42060" spans="1:2" x14ac:dyDescent="0.25">
      <c r="A42060" s="118"/>
      <c r="B42060" s="136"/>
    </row>
    <row r="42061" spans="1:2" x14ac:dyDescent="0.25">
      <c r="A42061" s="118"/>
      <c r="B42061" s="136"/>
    </row>
    <row r="42062" spans="1:2" x14ac:dyDescent="0.25">
      <c r="A42062" s="118"/>
      <c r="B42062" s="136"/>
    </row>
    <row r="42063" spans="1:2" x14ac:dyDescent="0.25">
      <c r="A42063" s="118"/>
      <c r="B42063" s="136"/>
    </row>
    <row r="42064" spans="1:2" x14ac:dyDescent="0.25">
      <c r="A42064" s="118"/>
      <c r="B42064" s="136"/>
    </row>
    <row r="42065" spans="1:2" x14ac:dyDescent="0.25">
      <c r="A42065" s="118"/>
      <c r="B42065" s="136"/>
    </row>
    <row r="42066" spans="1:2" x14ac:dyDescent="0.25">
      <c r="A42066" s="118"/>
      <c r="B42066" s="136"/>
    </row>
    <row r="42067" spans="1:2" x14ac:dyDescent="0.25">
      <c r="A42067" s="118"/>
      <c r="B42067" s="136"/>
    </row>
    <row r="42068" spans="1:2" x14ac:dyDescent="0.25">
      <c r="A42068" s="118"/>
      <c r="B42068" s="136"/>
    </row>
    <row r="42069" spans="1:2" x14ac:dyDescent="0.25">
      <c r="A42069" s="118"/>
      <c r="B42069" s="136"/>
    </row>
    <row r="42070" spans="1:2" x14ac:dyDescent="0.25">
      <c r="A42070" s="118"/>
      <c r="B42070" s="136"/>
    </row>
    <row r="42071" spans="1:2" x14ac:dyDescent="0.25">
      <c r="A42071" s="118"/>
      <c r="B42071" s="136"/>
    </row>
    <row r="42072" spans="1:2" x14ac:dyDescent="0.25">
      <c r="A42072" s="118"/>
      <c r="B42072" s="136"/>
    </row>
    <row r="42073" spans="1:2" x14ac:dyDescent="0.25">
      <c r="A42073" s="118"/>
      <c r="B42073" s="136"/>
    </row>
    <row r="42074" spans="1:2" x14ac:dyDescent="0.25">
      <c r="A42074" s="118"/>
      <c r="B42074" s="136"/>
    </row>
    <row r="42075" spans="1:2" x14ac:dyDescent="0.25">
      <c r="A42075" s="118"/>
      <c r="B42075" s="136"/>
    </row>
    <row r="42076" spans="1:2" x14ac:dyDescent="0.25">
      <c r="A42076" s="118"/>
      <c r="B42076" s="136"/>
    </row>
    <row r="42077" spans="1:2" x14ac:dyDescent="0.25">
      <c r="A42077" s="118"/>
      <c r="B42077" s="136"/>
    </row>
    <row r="42078" spans="1:2" x14ac:dyDescent="0.25">
      <c r="A42078" s="118"/>
      <c r="B42078" s="136"/>
    </row>
    <row r="42079" spans="1:2" x14ac:dyDescent="0.25">
      <c r="A42079" s="118"/>
      <c r="B42079" s="136"/>
    </row>
    <row r="42080" spans="1:2" x14ac:dyDescent="0.25">
      <c r="A42080" s="118"/>
      <c r="B42080" s="136"/>
    </row>
    <row r="42081" spans="1:2" x14ac:dyDescent="0.25">
      <c r="A42081" s="118"/>
      <c r="B42081" s="136"/>
    </row>
    <row r="42082" spans="1:2" x14ac:dyDescent="0.25">
      <c r="A42082" s="118"/>
      <c r="B42082" s="136"/>
    </row>
    <row r="42083" spans="1:2" x14ac:dyDescent="0.25">
      <c r="A42083" s="118"/>
      <c r="B42083" s="136"/>
    </row>
    <row r="42084" spans="1:2" x14ac:dyDescent="0.25">
      <c r="A42084" s="118"/>
      <c r="B42084" s="136"/>
    </row>
    <row r="42085" spans="1:2" x14ac:dyDescent="0.25">
      <c r="A42085" s="118"/>
      <c r="B42085" s="136"/>
    </row>
    <row r="42086" spans="1:2" x14ac:dyDescent="0.25">
      <c r="A42086" s="118"/>
      <c r="B42086" s="136"/>
    </row>
    <row r="42087" spans="1:2" x14ac:dyDescent="0.25">
      <c r="A42087" s="118"/>
      <c r="B42087" s="136"/>
    </row>
    <row r="42088" spans="1:2" x14ac:dyDescent="0.25">
      <c r="A42088" s="118"/>
      <c r="B42088" s="136"/>
    </row>
    <row r="42089" spans="1:2" x14ac:dyDescent="0.25">
      <c r="A42089" s="118"/>
      <c r="B42089" s="136"/>
    </row>
    <row r="42090" spans="1:2" x14ac:dyDescent="0.25">
      <c r="A42090" s="118"/>
      <c r="B42090" s="136"/>
    </row>
    <row r="42091" spans="1:2" x14ac:dyDescent="0.25">
      <c r="A42091" s="118"/>
      <c r="B42091" s="136"/>
    </row>
    <row r="42092" spans="1:2" x14ac:dyDescent="0.25">
      <c r="A42092" s="118"/>
      <c r="B42092" s="136"/>
    </row>
    <row r="42093" spans="1:2" x14ac:dyDescent="0.25">
      <c r="A42093" s="118"/>
      <c r="B42093" s="136"/>
    </row>
    <row r="42094" spans="1:2" x14ac:dyDescent="0.25">
      <c r="A42094" s="118"/>
      <c r="B42094" s="136"/>
    </row>
    <row r="42095" spans="1:2" x14ac:dyDescent="0.25">
      <c r="A42095" s="118"/>
      <c r="B42095" s="136"/>
    </row>
    <row r="42096" spans="1:2" x14ac:dyDescent="0.25">
      <c r="A42096" s="118"/>
      <c r="B42096" s="136"/>
    </row>
    <row r="42097" spans="1:2" x14ac:dyDescent="0.25">
      <c r="A42097" s="118"/>
      <c r="B42097" s="136"/>
    </row>
    <row r="42098" spans="1:2" x14ac:dyDescent="0.25">
      <c r="A42098" s="118"/>
      <c r="B42098" s="136"/>
    </row>
    <row r="42099" spans="1:2" x14ac:dyDescent="0.25">
      <c r="A42099" s="118"/>
      <c r="B42099" s="136"/>
    </row>
    <row r="42100" spans="1:2" x14ac:dyDescent="0.25">
      <c r="A42100" s="118"/>
      <c r="B42100" s="136"/>
    </row>
    <row r="42101" spans="1:2" x14ac:dyDescent="0.25">
      <c r="A42101" s="118"/>
      <c r="B42101" s="136"/>
    </row>
    <row r="42102" spans="1:2" x14ac:dyDescent="0.25">
      <c r="A42102" s="118"/>
      <c r="B42102" s="136"/>
    </row>
    <row r="42103" spans="1:2" x14ac:dyDescent="0.25">
      <c r="A42103" s="118"/>
      <c r="B42103" s="136"/>
    </row>
    <row r="42104" spans="1:2" x14ac:dyDescent="0.25">
      <c r="A42104" s="118"/>
      <c r="B42104" s="136"/>
    </row>
    <row r="42105" spans="1:2" x14ac:dyDescent="0.25">
      <c r="A42105" s="118"/>
      <c r="B42105" s="136"/>
    </row>
    <row r="42106" spans="1:2" x14ac:dyDescent="0.25">
      <c r="A42106" s="118"/>
      <c r="B42106" s="136"/>
    </row>
    <row r="42107" spans="1:2" x14ac:dyDescent="0.25">
      <c r="A42107" s="118"/>
      <c r="B42107" s="136"/>
    </row>
    <row r="42108" spans="1:2" x14ac:dyDescent="0.25">
      <c r="A42108" s="118"/>
      <c r="B42108" s="136"/>
    </row>
    <row r="42109" spans="1:2" x14ac:dyDescent="0.25">
      <c r="A42109" s="118"/>
      <c r="B42109" s="136"/>
    </row>
    <row r="42110" spans="1:2" x14ac:dyDescent="0.25">
      <c r="A42110" s="118"/>
      <c r="B42110" s="136"/>
    </row>
    <row r="42111" spans="1:2" x14ac:dyDescent="0.25">
      <c r="A42111" s="118"/>
      <c r="B42111" s="136"/>
    </row>
    <row r="42112" spans="1:2" x14ac:dyDescent="0.25">
      <c r="A42112" s="118"/>
      <c r="B42112" s="136"/>
    </row>
    <row r="42113" spans="1:2" x14ac:dyDescent="0.25">
      <c r="A42113" s="118"/>
      <c r="B42113" s="136"/>
    </row>
    <row r="42114" spans="1:2" x14ac:dyDescent="0.25">
      <c r="A42114" s="118"/>
      <c r="B42114" s="136"/>
    </row>
    <row r="42115" spans="1:2" x14ac:dyDescent="0.25">
      <c r="A42115" s="118"/>
      <c r="B42115" s="136"/>
    </row>
    <row r="42116" spans="1:2" x14ac:dyDescent="0.25">
      <c r="A42116" s="118"/>
      <c r="B42116" s="136"/>
    </row>
    <row r="42117" spans="1:2" x14ac:dyDescent="0.25">
      <c r="A42117" s="118"/>
      <c r="B42117" s="136"/>
    </row>
    <row r="42118" spans="1:2" x14ac:dyDescent="0.25">
      <c r="A42118" s="118"/>
      <c r="B42118" s="136"/>
    </row>
    <row r="42119" spans="1:2" x14ac:dyDescent="0.25">
      <c r="A42119" s="118"/>
      <c r="B42119" s="136"/>
    </row>
    <row r="42120" spans="1:2" x14ac:dyDescent="0.25">
      <c r="A42120" s="118"/>
      <c r="B42120" s="136"/>
    </row>
    <row r="42121" spans="1:2" x14ac:dyDescent="0.25">
      <c r="A42121" s="118"/>
      <c r="B42121" s="136"/>
    </row>
    <row r="42122" spans="1:2" x14ac:dyDescent="0.25">
      <c r="A42122" s="118"/>
      <c r="B42122" s="136"/>
    </row>
    <row r="42123" spans="1:2" x14ac:dyDescent="0.25">
      <c r="A42123" s="118"/>
      <c r="B42123" s="136"/>
    </row>
    <row r="42124" spans="1:2" x14ac:dyDescent="0.25">
      <c r="A42124" s="118"/>
      <c r="B42124" s="136"/>
    </row>
    <row r="42125" spans="1:2" x14ac:dyDescent="0.25">
      <c r="A42125" s="118"/>
      <c r="B42125" s="136"/>
    </row>
    <row r="42126" spans="1:2" x14ac:dyDescent="0.25">
      <c r="A42126" s="118"/>
      <c r="B42126" s="136"/>
    </row>
    <row r="42127" spans="1:2" x14ac:dyDescent="0.25">
      <c r="A42127" s="118"/>
      <c r="B42127" s="136"/>
    </row>
    <row r="42128" spans="1:2" x14ac:dyDescent="0.25">
      <c r="A42128" s="118"/>
      <c r="B42128" s="136"/>
    </row>
    <row r="42129" spans="1:2" x14ac:dyDescent="0.25">
      <c r="A42129" s="118"/>
      <c r="B42129" s="136"/>
    </row>
    <row r="42130" spans="1:2" x14ac:dyDescent="0.25">
      <c r="A42130" s="118"/>
      <c r="B42130" s="136"/>
    </row>
    <row r="42131" spans="1:2" x14ac:dyDescent="0.25">
      <c r="A42131" s="118"/>
      <c r="B42131" s="136"/>
    </row>
    <row r="42132" spans="1:2" x14ac:dyDescent="0.25">
      <c r="A42132" s="118"/>
      <c r="B42132" s="136"/>
    </row>
    <row r="42133" spans="1:2" x14ac:dyDescent="0.25">
      <c r="A42133" s="118"/>
      <c r="B42133" s="136"/>
    </row>
    <row r="42134" spans="1:2" x14ac:dyDescent="0.25">
      <c r="A42134" s="118"/>
      <c r="B42134" s="136"/>
    </row>
    <row r="42135" spans="1:2" x14ac:dyDescent="0.25">
      <c r="A42135" s="118"/>
      <c r="B42135" s="136"/>
    </row>
    <row r="42136" spans="1:2" x14ac:dyDescent="0.25">
      <c r="A42136" s="118"/>
      <c r="B42136" s="136"/>
    </row>
    <row r="42137" spans="1:2" x14ac:dyDescent="0.25">
      <c r="A42137" s="118"/>
      <c r="B42137" s="136"/>
    </row>
    <row r="42138" spans="1:2" x14ac:dyDescent="0.25">
      <c r="A42138" s="118"/>
      <c r="B42138" s="136"/>
    </row>
    <row r="42139" spans="1:2" x14ac:dyDescent="0.25">
      <c r="A42139" s="118"/>
      <c r="B42139" s="136"/>
    </row>
    <row r="42140" spans="1:2" x14ac:dyDescent="0.25">
      <c r="A42140" s="118"/>
      <c r="B42140" s="136"/>
    </row>
    <row r="42141" spans="1:2" x14ac:dyDescent="0.25">
      <c r="A42141" s="118"/>
      <c r="B42141" s="136"/>
    </row>
    <row r="42142" spans="1:2" x14ac:dyDescent="0.25">
      <c r="A42142" s="118"/>
      <c r="B42142" s="136"/>
    </row>
    <row r="42143" spans="1:2" x14ac:dyDescent="0.25">
      <c r="A42143" s="118"/>
      <c r="B42143" s="136"/>
    </row>
    <row r="42144" spans="1:2" x14ac:dyDescent="0.25">
      <c r="A42144" s="118"/>
      <c r="B42144" s="136"/>
    </row>
    <row r="42145" spans="1:2" x14ac:dyDescent="0.25">
      <c r="A42145" s="118"/>
      <c r="B42145" s="136"/>
    </row>
    <row r="42146" spans="1:2" x14ac:dyDescent="0.25">
      <c r="A42146" s="118"/>
      <c r="B42146" s="136"/>
    </row>
    <row r="42147" spans="1:2" x14ac:dyDescent="0.25">
      <c r="A42147" s="118"/>
      <c r="B42147" s="136"/>
    </row>
    <row r="42148" spans="1:2" x14ac:dyDescent="0.25">
      <c r="A42148" s="118"/>
      <c r="B42148" s="136"/>
    </row>
    <row r="42149" spans="1:2" x14ac:dyDescent="0.25">
      <c r="A42149" s="118"/>
      <c r="B42149" s="136"/>
    </row>
    <row r="42150" spans="1:2" x14ac:dyDescent="0.25">
      <c r="A42150" s="118"/>
      <c r="B42150" s="136"/>
    </row>
    <row r="42151" spans="1:2" x14ac:dyDescent="0.25">
      <c r="A42151" s="118"/>
      <c r="B42151" s="136"/>
    </row>
    <row r="42152" spans="1:2" x14ac:dyDescent="0.25">
      <c r="A42152" s="118"/>
      <c r="B42152" s="136"/>
    </row>
    <row r="42153" spans="1:2" x14ac:dyDescent="0.25">
      <c r="A42153" s="118"/>
      <c r="B42153" s="136"/>
    </row>
    <row r="42154" spans="1:2" x14ac:dyDescent="0.25">
      <c r="A42154" s="118"/>
      <c r="B42154" s="136"/>
    </row>
    <row r="42155" spans="1:2" x14ac:dyDescent="0.25">
      <c r="A42155" s="118"/>
      <c r="B42155" s="136"/>
    </row>
    <row r="42156" spans="1:2" x14ac:dyDescent="0.25">
      <c r="A42156" s="118"/>
      <c r="B42156" s="136"/>
    </row>
    <row r="42157" spans="1:2" x14ac:dyDescent="0.25">
      <c r="A42157" s="118"/>
      <c r="B42157" s="136"/>
    </row>
    <row r="42158" spans="1:2" x14ac:dyDescent="0.25">
      <c r="A42158" s="118"/>
      <c r="B42158" s="136"/>
    </row>
    <row r="42159" spans="1:2" x14ac:dyDescent="0.25">
      <c r="A42159" s="118"/>
      <c r="B42159" s="136"/>
    </row>
    <row r="42160" spans="1:2" x14ac:dyDescent="0.25">
      <c r="A42160" s="118"/>
      <c r="B42160" s="136"/>
    </row>
    <row r="42161" spans="1:2" x14ac:dyDescent="0.25">
      <c r="A42161" s="118"/>
      <c r="B42161" s="136"/>
    </row>
    <row r="42162" spans="1:2" x14ac:dyDescent="0.25">
      <c r="A42162" s="118"/>
      <c r="B42162" s="136"/>
    </row>
    <row r="42163" spans="1:2" x14ac:dyDescent="0.25">
      <c r="A42163" s="118"/>
      <c r="B42163" s="136"/>
    </row>
    <row r="42164" spans="1:2" x14ac:dyDescent="0.25">
      <c r="A42164" s="118"/>
      <c r="B42164" s="136"/>
    </row>
    <row r="42165" spans="1:2" x14ac:dyDescent="0.25">
      <c r="A42165" s="118"/>
      <c r="B42165" s="136"/>
    </row>
    <row r="42166" spans="1:2" x14ac:dyDescent="0.25">
      <c r="A42166" s="118"/>
      <c r="B42166" s="136"/>
    </row>
    <row r="42167" spans="1:2" x14ac:dyDescent="0.25">
      <c r="A42167" s="118"/>
      <c r="B42167" s="136"/>
    </row>
    <row r="42168" spans="1:2" x14ac:dyDescent="0.25">
      <c r="A42168" s="118"/>
      <c r="B42168" s="136"/>
    </row>
    <row r="42169" spans="1:2" x14ac:dyDescent="0.25">
      <c r="A42169" s="118"/>
      <c r="B42169" s="136"/>
    </row>
    <row r="42170" spans="1:2" x14ac:dyDescent="0.25">
      <c r="A42170" s="118"/>
      <c r="B42170" s="136"/>
    </row>
    <row r="42171" spans="1:2" x14ac:dyDescent="0.25">
      <c r="A42171" s="118"/>
      <c r="B42171" s="136"/>
    </row>
    <row r="42172" spans="1:2" x14ac:dyDescent="0.25">
      <c r="A42172" s="118"/>
      <c r="B42172" s="136"/>
    </row>
    <row r="42173" spans="1:2" x14ac:dyDescent="0.25">
      <c r="A42173" s="118"/>
      <c r="B42173" s="136"/>
    </row>
    <row r="42174" spans="1:2" x14ac:dyDescent="0.25">
      <c r="A42174" s="118"/>
      <c r="B42174" s="136"/>
    </row>
    <row r="42175" spans="1:2" x14ac:dyDescent="0.25">
      <c r="A42175" s="118"/>
      <c r="B42175" s="136"/>
    </row>
    <row r="42176" spans="1:2" x14ac:dyDescent="0.25">
      <c r="A42176" s="118"/>
      <c r="B42176" s="136"/>
    </row>
    <row r="42177" spans="1:2" x14ac:dyDescent="0.25">
      <c r="A42177" s="118"/>
      <c r="B42177" s="136"/>
    </row>
    <row r="42178" spans="1:2" x14ac:dyDescent="0.25">
      <c r="A42178" s="118"/>
      <c r="B42178" s="136"/>
    </row>
    <row r="42179" spans="1:2" x14ac:dyDescent="0.25">
      <c r="A42179" s="118"/>
      <c r="B42179" s="136"/>
    </row>
    <row r="42180" spans="1:2" x14ac:dyDescent="0.25">
      <c r="A42180" s="118"/>
      <c r="B42180" s="136"/>
    </row>
    <row r="42181" spans="1:2" x14ac:dyDescent="0.25">
      <c r="A42181" s="118"/>
      <c r="B42181" s="136"/>
    </row>
    <row r="42182" spans="1:2" x14ac:dyDescent="0.25">
      <c r="A42182" s="118"/>
      <c r="B42182" s="136"/>
    </row>
    <row r="42183" spans="1:2" x14ac:dyDescent="0.25">
      <c r="A42183" s="118"/>
      <c r="B42183" s="136"/>
    </row>
    <row r="42184" spans="1:2" x14ac:dyDescent="0.25">
      <c r="A42184" s="118"/>
      <c r="B42184" s="136"/>
    </row>
    <row r="42185" spans="1:2" x14ac:dyDescent="0.25">
      <c r="A42185" s="118"/>
      <c r="B42185" s="136"/>
    </row>
    <row r="42186" spans="1:2" x14ac:dyDescent="0.25">
      <c r="A42186" s="118"/>
      <c r="B42186" s="136"/>
    </row>
    <row r="42187" spans="1:2" x14ac:dyDescent="0.25">
      <c r="A42187" s="118"/>
      <c r="B42187" s="136"/>
    </row>
    <row r="42188" spans="1:2" x14ac:dyDescent="0.25">
      <c r="A42188" s="118"/>
      <c r="B42188" s="136"/>
    </row>
    <row r="42189" spans="1:2" x14ac:dyDescent="0.25">
      <c r="A42189" s="118"/>
      <c r="B42189" s="136"/>
    </row>
    <row r="42190" spans="1:2" x14ac:dyDescent="0.25">
      <c r="A42190" s="118"/>
      <c r="B42190" s="136"/>
    </row>
    <row r="42191" spans="1:2" x14ac:dyDescent="0.25">
      <c r="A42191" s="118"/>
      <c r="B42191" s="136"/>
    </row>
    <row r="42192" spans="1:2" x14ac:dyDescent="0.25">
      <c r="A42192" s="118"/>
      <c r="B42192" s="136"/>
    </row>
    <row r="42193" spans="1:2" x14ac:dyDescent="0.25">
      <c r="A42193" s="118"/>
      <c r="B42193" s="136"/>
    </row>
    <row r="42194" spans="1:2" x14ac:dyDescent="0.25">
      <c r="A42194" s="118"/>
      <c r="B42194" s="136"/>
    </row>
    <row r="42195" spans="1:2" x14ac:dyDescent="0.25">
      <c r="A42195" s="118"/>
      <c r="B42195" s="136"/>
    </row>
    <row r="42196" spans="1:2" x14ac:dyDescent="0.25">
      <c r="A42196" s="118"/>
      <c r="B42196" s="136"/>
    </row>
    <row r="42197" spans="1:2" x14ac:dyDescent="0.25">
      <c r="A42197" s="118"/>
      <c r="B42197" s="136"/>
    </row>
    <row r="42198" spans="1:2" x14ac:dyDescent="0.25">
      <c r="A42198" s="118"/>
      <c r="B42198" s="136"/>
    </row>
    <row r="42199" spans="1:2" x14ac:dyDescent="0.25">
      <c r="A42199" s="118"/>
      <c r="B42199" s="136"/>
    </row>
    <row r="42200" spans="1:2" x14ac:dyDescent="0.25">
      <c r="A42200" s="118"/>
      <c r="B42200" s="136"/>
    </row>
    <row r="42201" spans="1:2" x14ac:dyDescent="0.25">
      <c r="A42201" s="118"/>
      <c r="B42201" s="136"/>
    </row>
    <row r="42202" spans="1:2" x14ac:dyDescent="0.25">
      <c r="A42202" s="118"/>
      <c r="B42202" s="136"/>
    </row>
    <row r="42203" spans="1:2" x14ac:dyDescent="0.25">
      <c r="A42203" s="118"/>
      <c r="B42203" s="136"/>
    </row>
    <row r="42204" spans="1:2" x14ac:dyDescent="0.25">
      <c r="A42204" s="118"/>
      <c r="B42204" s="136"/>
    </row>
    <row r="42205" spans="1:2" x14ac:dyDescent="0.25">
      <c r="A42205" s="118"/>
      <c r="B42205" s="136"/>
    </row>
    <row r="42206" spans="1:2" x14ac:dyDescent="0.25">
      <c r="A42206" s="118"/>
      <c r="B42206" s="136"/>
    </row>
    <row r="42207" spans="1:2" x14ac:dyDescent="0.25">
      <c r="A42207" s="118"/>
      <c r="B42207" s="136"/>
    </row>
    <row r="42208" spans="1:2" x14ac:dyDescent="0.25">
      <c r="A42208" s="118"/>
      <c r="B42208" s="136"/>
    </row>
    <row r="42209" spans="1:2" x14ac:dyDescent="0.25">
      <c r="A42209" s="118"/>
      <c r="B42209" s="136"/>
    </row>
    <row r="42210" spans="1:2" x14ac:dyDescent="0.25">
      <c r="A42210" s="118"/>
      <c r="B42210" s="136"/>
    </row>
    <row r="42211" spans="1:2" x14ac:dyDescent="0.25">
      <c r="A42211" s="118"/>
      <c r="B42211" s="136"/>
    </row>
    <row r="42212" spans="1:2" x14ac:dyDescent="0.25">
      <c r="A42212" s="118"/>
      <c r="B42212" s="136"/>
    </row>
    <row r="42213" spans="1:2" x14ac:dyDescent="0.25">
      <c r="A42213" s="118"/>
      <c r="B42213" s="136"/>
    </row>
    <row r="42214" spans="1:2" x14ac:dyDescent="0.25">
      <c r="A42214" s="118"/>
      <c r="B42214" s="136"/>
    </row>
    <row r="42215" spans="1:2" x14ac:dyDescent="0.25">
      <c r="A42215" s="118"/>
      <c r="B42215" s="136"/>
    </row>
    <row r="42216" spans="1:2" x14ac:dyDescent="0.25">
      <c r="A42216" s="118"/>
      <c r="B42216" s="136"/>
    </row>
    <row r="42217" spans="1:2" x14ac:dyDescent="0.25">
      <c r="A42217" s="118"/>
      <c r="B42217" s="136"/>
    </row>
    <row r="42218" spans="1:2" x14ac:dyDescent="0.25">
      <c r="A42218" s="118"/>
      <c r="B42218" s="136"/>
    </row>
    <row r="42219" spans="1:2" x14ac:dyDescent="0.25">
      <c r="A42219" s="118"/>
      <c r="B42219" s="136"/>
    </row>
    <row r="42220" spans="1:2" x14ac:dyDescent="0.25">
      <c r="A42220" s="118"/>
      <c r="B42220" s="136"/>
    </row>
    <row r="42221" spans="1:2" x14ac:dyDescent="0.25">
      <c r="A42221" s="118"/>
      <c r="B42221" s="136"/>
    </row>
    <row r="42222" spans="1:2" x14ac:dyDescent="0.25">
      <c r="A42222" s="118"/>
      <c r="B42222" s="136"/>
    </row>
    <row r="42223" spans="1:2" x14ac:dyDescent="0.25">
      <c r="A42223" s="118"/>
      <c r="B42223" s="136"/>
    </row>
    <row r="42224" spans="1:2" x14ac:dyDescent="0.25">
      <c r="A42224" s="118"/>
      <c r="B42224" s="136"/>
    </row>
    <row r="42225" spans="1:2" x14ac:dyDescent="0.25">
      <c r="A42225" s="118"/>
      <c r="B42225" s="136"/>
    </row>
    <row r="42226" spans="1:2" x14ac:dyDescent="0.25">
      <c r="A42226" s="118"/>
      <c r="B42226" s="136"/>
    </row>
    <row r="42227" spans="1:2" x14ac:dyDescent="0.25">
      <c r="A42227" s="118"/>
      <c r="B42227" s="136"/>
    </row>
    <row r="42228" spans="1:2" x14ac:dyDescent="0.25">
      <c r="A42228" s="118"/>
      <c r="B42228" s="136"/>
    </row>
    <row r="42229" spans="1:2" x14ac:dyDescent="0.25">
      <c r="A42229" s="118"/>
      <c r="B42229" s="136"/>
    </row>
    <row r="42230" spans="1:2" x14ac:dyDescent="0.25">
      <c r="A42230" s="118"/>
      <c r="B42230" s="136"/>
    </row>
    <row r="42231" spans="1:2" x14ac:dyDescent="0.25">
      <c r="A42231" s="118"/>
      <c r="B42231" s="136"/>
    </row>
    <row r="42232" spans="1:2" x14ac:dyDescent="0.25">
      <c r="A42232" s="118"/>
      <c r="B42232" s="136"/>
    </row>
    <row r="42233" spans="1:2" x14ac:dyDescent="0.25">
      <c r="A42233" s="118"/>
      <c r="B42233" s="136"/>
    </row>
    <row r="42234" spans="1:2" x14ac:dyDescent="0.25">
      <c r="A42234" s="118"/>
      <c r="B42234" s="136"/>
    </row>
    <row r="42235" spans="1:2" x14ac:dyDescent="0.25">
      <c r="A42235" s="118"/>
      <c r="B42235" s="136"/>
    </row>
    <row r="42236" spans="1:2" x14ac:dyDescent="0.25">
      <c r="A42236" s="118"/>
      <c r="B42236" s="136"/>
    </row>
    <row r="42237" spans="1:2" x14ac:dyDescent="0.25">
      <c r="A42237" s="118"/>
      <c r="B42237" s="136"/>
    </row>
    <row r="42238" spans="1:2" x14ac:dyDescent="0.25">
      <c r="A42238" s="118"/>
      <c r="B42238" s="136"/>
    </row>
    <row r="42239" spans="1:2" x14ac:dyDescent="0.25">
      <c r="A42239" s="118"/>
      <c r="B42239" s="136"/>
    </row>
    <row r="42240" spans="1:2" x14ac:dyDescent="0.25">
      <c r="A42240" s="118"/>
      <c r="B42240" s="136"/>
    </row>
    <row r="42241" spans="1:2" x14ac:dyDescent="0.25">
      <c r="A42241" s="118"/>
      <c r="B42241" s="136"/>
    </row>
    <row r="42242" spans="1:2" x14ac:dyDescent="0.25">
      <c r="A42242" s="118"/>
      <c r="B42242" s="136"/>
    </row>
    <row r="42243" spans="1:2" x14ac:dyDescent="0.25">
      <c r="A42243" s="118"/>
      <c r="B42243" s="136"/>
    </row>
    <row r="42244" spans="1:2" x14ac:dyDescent="0.25">
      <c r="A42244" s="118"/>
      <c r="B42244" s="136"/>
    </row>
    <row r="42245" spans="1:2" x14ac:dyDescent="0.25">
      <c r="A42245" s="118"/>
      <c r="B42245" s="136"/>
    </row>
    <row r="42246" spans="1:2" x14ac:dyDescent="0.25">
      <c r="A42246" s="118"/>
      <c r="B42246" s="136"/>
    </row>
    <row r="42247" spans="1:2" x14ac:dyDescent="0.25">
      <c r="A42247" s="118"/>
      <c r="B42247" s="136"/>
    </row>
    <row r="42248" spans="1:2" x14ac:dyDescent="0.25">
      <c r="A42248" s="118"/>
      <c r="B42248" s="136"/>
    </row>
    <row r="42249" spans="1:2" x14ac:dyDescent="0.25">
      <c r="A42249" s="118"/>
      <c r="B42249" s="136"/>
    </row>
    <row r="42250" spans="1:2" x14ac:dyDescent="0.25">
      <c r="A42250" s="118"/>
      <c r="B42250" s="136"/>
    </row>
    <row r="42251" spans="1:2" x14ac:dyDescent="0.25">
      <c r="A42251" s="118"/>
      <c r="B42251" s="136"/>
    </row>
    <row r="42252" spans="1:2" x14ac:dyDescent="0.25">
      <c r="A42252" s="118"/>
      <c r="B42252" s="136"/>
    </row>
    <row r="42253" spans="1:2" x14ac:dyDescent="0.25">
      <c r="A42253" s="118"/>
      <c r="B42253" s="136"/>
    </row>
    <row r="42254" spans="1:2" x14ac:dyDescent="0.25">
      <c r="A42254" s="118"/>
      <c r="B42254" s="136"/>
    </row>
    <row r="42255" spans="1:2" x14ac:dyDescent="0.25">
      <c r="A42255" s="118"/>
      <c r="B42255" s="136"/>
    </row>
    <row r="42256" spans="1:2" x14ac:dyDescent="0.25">
      <c r="A42256" s="118"/>
      <c r="B42256" s="136"/>
    </row>
    <row r="42257" spans="1:2" x14ac:dyDescent="0.25">
      <c r="A42257" s="118"/>
      <c r="B42257" s="136"/>
    </row>
    <row r="42258" spans="1:2" x14ac:dyDescent="0.25">
      <c r="A42258" s="118"/>
      <c r="B42258" s="136"/>
    </row>
    <row r="42259" spans="1:2" x14ac:dyDescent="0.25">
      <c r="A42259" s="118"/>
      <c r="B42259" s="136"/>
    </row>
    <row r="42260" spans="1:2" x14ac:dyDescent="0.25">
      <c r="A42260" s="118"/>
      <c r="B42260" s="136"/>
    </row>
    <row r="42261" spans="1:2" x14ac:dyDescent="0.25">
      <c r="A42261" s="118"/>
      <c r="B42261" s="136"/>
    </row>
    <row r="42262" spans="1:2" x14ac:dyDescent="0.25">
      <c r="A42262" s="118"/>
      <c r="B42262" s="136"/>
    </row>
    <row r="42263" spans="1:2" x14ac:dyDescent="0.25">
      <c r="A42263" s="118"/>
      <c r="B42263" s="136"/>
    </row>
    <row r="42264" spans="1:2" x14ac:dyDescent="0.25">
      <c r="A42264" s="118"/>
      <c r="B42264" s="136"/>
    </row>
    <row r="42265" spans="1:2" x14ac:dyDescent="0.25">
      <c r="A42265" s="118"/>
      <c r="B42265" s="136"/>
    </row>
    <row r="42266" spans="1:2" x14ac:dyDescent="0.25">
      <c r="A42266" s="118"/>
      <c r="B42266" s="136"/>
    </row>
    <row r="42267" spans="1:2" x14ac:dyDescent="0.25">
      <c r="A42267" s="118"/>
      <c r="B42267" s="136"/>
    </row>
    <row r="42268" spans="1:2" x14ac:dyDescent="0.25">
      <c r="A42268" s="118"/>
      <c r="B42268" s="136"/>
    </row>
    <row r="42269" spans="1:2" x14ac:dyDescent="0.25">
      <c r="A42269" s="118"/>
      <c r="B42269" s="136"/>
    </row>
    <row r="42270" spans="1:2" x14ac:dyDescent="0.25">
      <c r="A42270" s="118"/>
      <c r="B42270" s="136"/>
    </row>
    <row r="42271" spans="1:2" x14ac:dyDescent="0.25">
      <c r="A42271" s="118"/>
      <c r="B42271" s="136"/>
    </row>
    <row r="42272" spans="1:2" x14ac:dyDescent="0.25">
      <c r="A42272" s="118"/>
      <c r="B42272" s="136"/>
    </row>
    <row r="42273" spans="1:2" x14ac:dyDescent="0.25">
      <c r="A42273" s="118"/>
      <c r="B42273" s="136"/>
    </row>
    <row r="42274" spans="1:2" x14ac:dyDescent="0.25">
      <c r="A42274" s="118"/>
      <c r="B42274" s="136"/>
    </row>
    <row r="42275" spans="1:2" x14ac:dyDescent="0.25">
      <c r="A42275" s="118"/>
      <c r="B42275" s="136"/>
    </row>
    <row r="42276" spans="1:2" x14ac:dyDescent="0.25">
      <c r="A42276" s="118"/>
      <c r="B42276" s="136"/>
    </row>
    <row r="42277" spans="1:2" x14ac:dyDescent="0.25">
      <c r="A42277" s="118"/>
      <c r="B42277" s="136"/>
    </row>
    <row r="42278" spans="1:2" x14ac:dyDescent="0.25">
      <c r="A42278" s="118"/>
      <c r="B42278" s="136"/>
    </row>
    <row r="42279" spans="1:2" x14ac:dyDescent="0.25">
      <c r="A42279" s="118"/>
      <c r="B42279" s="136"/>
    </row>
    <row r="42280" spans="1:2" x14ac:dyDescent="0.25">
      <c r="A42280" s="118"/>
      <c r="B42280" s="136"/>
    </row>
    <row r="42281" spans="1:2" x14ac:dyDescent="0.25">
      <c r="A42281" s="118"/>
      <c r="B42281" s="136"/>
    </row>
    <row r="42282" spans="1:2" x14ac:dyDescent="0.25">
      <c r="A42282" s="118"/>
      <c r="B42282" s="136"/>
    </row>
    <row r="42283" spans="1:2" x14ac:dyDescent="0.25">
      <c r="A42283" s="118"/>
      <c r="B42283" s="136"/>
    </row>
    <row r="42284" spans="1:2" x14ac:dyDescent="0.25">
      <c r="A42284" s="118"/>
      <c r="B42284" s="136"/>
    </row>
    <row r="42285" spans="1:2" x14ac:dyDescent="0.25">
      <c r="A42285" s="118"/>
      <c r="B42285" s="136"/>
    </row>
    <row r="42286" spans="1:2" x14ac:dyDescent="0.25">
      <c r="A42286" s="118"/>
      <c r="B42286" s="136"/>
    </row>
    <row r="42287" spans="1:2" x14ac:dyDescent="0.25">
      <c r="A42287" s="118"/>
      <c r="B42287" s="136"/>
    </row>
    <row r="42288" spans="1:2" x14ac:dyDescent="0.25">
      <c r="A42288" s="118"/>
      <c r="B42288" s="136"/>
    </row>
    <row r="42289" spans="1:2" x14ac:dyDescent="0.25">
      <c r="A42289" s="118"/>
      <c r="B42289" s="136"/>
    </row>
    <row r="42290" spans="1:2" x14ac:dyDescent="0.25">
      <c r="A42290" s="118"/>
      <c r="B42290" s="136"/>
    </row>
    <row r="42291" spans="1:2" x14ac:dyDescent="0.25">
      <c r="A42291" s="118"/>
      <c r="B42291" s="136"/>
    </row>
    <row r="42292" spans="1:2" x14ac:dyDescent="0.25">
      <c r="A42292" s="118"/>
      <c r="B42292" s="136"/>
    </row>
    <row r="42293" spans="1:2" x14ac:dyDescent="0.25">
      <c r="A42293" s="118"/>
      <c r="B42293" s="136"/>
    </row>
    <row r="42294" spans="1:2" x14ac:dyDescent="0.25">
      <c r="A42294" s="118"/>
      <c r="B42294" s="136"/>
    </row>
    <row r="42295" spans="1:2" x14ac:dyDescent="0.25">
      <c r="A42295" s="118"/>
      <c r="B42295" s="136"/>
    </row>
    <row r="42296" spans="1:2" x14ac:dyDescent="0.25">
      <c r="A42296" s="118"/>
      <c r="B42296" s="136"/>
    </row>
    <row r="42297" spans="1:2" x14ac:dyDescent="0.25">
      <c r="A42297" s="118"/>
      <c r="B42297" s="136"/>
    </row>
    <row r="42298" spans="1:2" x14ac:dyDescent="0.25">
      <c r="A42298" s="118"/>
      <c r="B42298" s="136"/>
    </row>
    <row r="42299" spans="1:2" x14ac:dyDescent="0.25">
      <c r="A42299" s="118"/>
      <c r="B42299" s="136"/>
    </row>
    <row r="42300" spans="1:2" x14ac:dyDescent="0.25">
      <c r="A42300" s="118"/>
      <c r="B42300" s="136"/>
    </row>
    <row r="42301" spans="1:2" x14ac:dyDescent="0.25">
      <c r="A42301" s="118"/>
      <c r="B42301" s="136"/>
    </row>
    <row r="42302" spans="1:2" x14ac:dyDescent="0.25">
      <c r="A42302" s="118"/>
      <c r="B42302" s="136"/>
    </row>
    <row r="42303" spans="1:2" x14ac:dyDescent="0.25">
      <c r="A42303" s="118"/>
      <c r="B42303" s="136"/>
    </row>
    <row r="42304" spans="1:2" x14ac:dyDescent="0.25">
      <c r="A42304" s="118"/>
      <c r="B42304" s="136"/>
    </row>
    <row r="42305" spans="1:2" x14ac:dyDescent="0.25">
      <c r="A42305" s="118"/>
      <c r="B42305" s="136"/>
    </row>
    <row r="42306" spans="1:2" x14ac:dyDescent="0.25">
      <c r="A42306" s="118"/>
      <c r="B42306" s="136"/>
    </row>
    <row r="42307" spans="1:2" x14ac:dyDescent="0.25">
      <c r="A42307" s="118"/>
      <c r="B42307" s="136"/>
    </row>
    <row r="42308" spans="1:2" x14ac:dyDescent="0.25">
      <c r="A42308" s="118"/>
      <c r="B42308" s="136"/>
    </row>
    <row r="42309" spans="1:2" x14ac:dyDescent="0.25">
      <c r="A42309" s="118"/>
      <c r="B42309" s="136"/>
    </row>
    <row r="42310" spans="1:2" x14ac:dyDescent="0.25">
      <c r="A42310" s="118"/>
      <c r="B42310" s="136"/>
    </row>
    <row r="42311" spans="1:2" x14ac:dyDescent="0.25">
      <c r="A42311" s="118"/>
      <c r="B42311" s="136"/>
    </row>
    <row r="42312" spans="1:2" x14ac:dyDescent="0.25">
      <c r="A42312" s="118"/>
      <c r="B42312" s="136"/>
    </row>
    <row r="42313" spans="1:2" x14ac:dyDescent="0.25">
      <c r="A42313" s="118"/>
      <c r="B42313" s="136"/>
    </row>
    <row r="42314" spans="1:2" x14ac:dyDescent="0.25">
      <c r="A42314" s="118"/>
      <c r="B42314" s="136"/>
    </row>
    <row r="42315" spans="1:2" x14ac:dyDescent="0.25">
      <c r="A42315" s="118"/>
      <c r="B42315" s="136"/>
    </row>
    <row r="42316" spans="1:2" x14ac:dyDescent="0.25">
      <c r="A42316" s="118"/>
      <c r="B42316" s="136"/>
    </row>
    <row r="42317" spans="1:2" x14ac:dyDescent="0.25">
      <c r="A42317" s="118"/>
      <c r="B42317" s="136"/>
    </row>
    <row r="42318" spans="1:2" x14ac:dyDescent="0.25">
      <c r="A42318" s="118"/>
      <c r="B42318" s="136"/>
    </row>
    <row r="42319" spans="1:2" x14ac:dyDescent="0.25">
      <c r="A42319" s="118"/>
      <c r="B42319" s="136"/>
    </row>
    <row r="42320" spans="1:2" x14ac:dyDescent="0.25">
      <c r="A42320" s="118"/>
      <c r="B42320" s="136"/>
    </row>
    <row r="42321" spans="1:2" x14ac:dyDescent="0.25">
      <c r="A42321" s="118"/>
      <c r="B42321" s="136"/>
    </row>
    <row r="42322" spans="1:2" x14ac:dyDescent="0.25">
      <c r="A42322" s="118"/>
      <c r="B42322" s="136"/>
    </row>
    <row r="42323" spans="1:2" x14ac:dyDescent="0.25">
      <c r="A42323" s="118"/>
      <c r="B42323" s="136"/>
    </row>
    <row r="42324" spans="1:2" x14ac:dyDescent="0.25">
      <c r="A42324" s="118"/>
      <c r="B42324" s="136"/>
    </row>
    <row r="42325" spans="1:2" x14ac:dyDescent="0.25">
      <c r="A42325" s="118"/>
      <c r="B42325" s="136"/>
    </row>
    <row r="42326" spans="1:2" x14ac:dyDescent="0.25">
      <c r="A42326" s="118"/>
      <c r="B42326" s="136"/>
    </row>
    <row r="42327" spans="1:2" x14ac:dyDescent="0.25">
      <c r="A42327" s="118"/>
      <c r="B42327" s="136"/>
    </row>
    <row r="42328" spans="1:2" x14ac:dyDescent="0.25">
      <c r="A42328" s="118"/>
      <c r="B42328" s="136"/>
    </row>
    <row r="42329" spans="1:2" x14ac:dyDescent="0.25">
      <c r="A42329" s="118"/>
      <c r="B42329" s="136"/>
    </row>
    <row r="42330" spans="1:2" x14ac:dyDescent="0.25">
      <c r="A42330" s="118"/>
      <c r="B42330" s="136"/>
    </row>
    <row r="42331" spans="1:2" x14ac:dyDescent="0.25">
      <c r="A42331" s="118"/>
      <c r="B42331" s="136"/>
    </row>
    <row r="42332" spans="1:2" x14ac:dyDescent="0.25">
      <c r="A42332" s="118"/>
      <c r="B42332" s="136"/>
    </row>
    <row r="42333" spans="1:2" x14ac:dyDescent="0.25">
      <c r="A42333" s="118"/>
      <c r="B42333" s="136"/>
    </row>
    <row r="42334" spans="1:2" x14ac:dyDescent="0.25">
      <c r="A42334" s="118"/>
      <c r="B42334" s="136"/>
    </row>
    <row r="42335" spans="1:2" x14ac:dyDescent="0.25">
      <c r="A42335" s="118"/>
      <c r="B42335" s="136"/>
    </row>
    <row r="42336" spans="1:2" x14ac:dyDescent="0.25">
      <c r="A42336" s="118"/>
      <c r="B42336" s="136"/>
    </row>
    <row r="42337" spans="1:2" x14ac:dyDescent="0.25">
      <c r="A42337" s="118"/>
      <c r="B42337" s="136"/>
    </row>
    <row r="42338" spans="1:2" x14ac:dyDescent="0.25">
      <c r="A42338" s="118"/>
      <c r="B42338" s="136"/>
    </row>
    <row r="42339" spans="1:2" x14ac:dyDescent="0.25">
      <c r="A42339" s="118"/>
      <c r="B42339" s="136"/>
    </row>
    <row r="42340" spans="1:2" x14ac:dyDescent="0.25">
      <c r="A42340" s="118"/>
      <c r="B42340" s="136"/>
    </row>
    <row r="42341" spans="1:2" x14ac:dyDescent="0.25">
      <c r="A42341" s="118"/>
      <c r="B42341" s="136"/>
    </row>
    <row r="42342" spans="1:2" x14ac:dyDescent="0.25">
      <c r="A42342" s="118"/>
      <c r="B42342" s="136"/>
    </row>
    <row r="42343" spans="1:2" x14ac:dyDescent="0.25">
      <c r="A42343" s="118"/>
      <c r="B42343" s="136"/>
    </row>
    <row r="42344" spans="1:2" x14ac:dyDescent="0.25">
      <c r="A42344" s="118"/>
      <c r="B42344" s="136"/>
    </row>
    <row r="42345" spans="1:2" x14ac:dyDescent="0.25">
      <c r="A42345" s="118"/>
      <c r="B42345" s="136"/>
    </row>
    <row r="42346" spans="1:2" x14ac:dyDescent="0.25">
      <c r="A42346" s="118"/>
      <c r="B42346" s="136"/>
    </row>
    <row r="42347" spans="1:2" x14ac:dyDescent="0.25">
      <c r="A42347" s="118"/>
      <c r="B42347" s="136"/>
    </row>
    <row r="42348" spans="1:2" x14ac:dyDescent="0.25">
      <c r="A42348" s="118"/>
      <c r="B42348" s="136"/>
    </row>
    <row r="42349" spans="1:2" x14ac:dyDescent="0.25">
      <c r="A42349" s="118"/>
      <c r="B42349" s="136"/>
    </row>
    <row r="42350" spans="1:2" x14ac:dyDescent="0.25">
      <c r="A42350" s="118"/>
      <c r="B42350" s="136"/>
    </row>
    <row r="42351" spans="1:2" x14ac:dyDescent="0.25">
      <c r="A42351" s="118"/>
      <c r="B42351" s="136"/>
    </row>
    <row r="42352" spans="1:2" x14ac:dyDescent="0.25">
      <c r="A42352" s="118"/>
      <c r="B42352" s="136"/>
    </row>
    <row r="42353" spans="1:2" x14ac:dyDescent="0.25">
      <c r="A42353" s="118"/>
      <c r="B42353" s="136"/>
    </row>
    <row r="42354" spans="1:2" x14ac:dyDescent="0.25">
      <c r="A42354" s="118"/>
      <c r="B42354" s="136"/>
    </row>
    <row r="42355" spans="1:2" x14ac:dyDescent="0.25">
      <c r="A42355" s="118"/>
      <c r="B42355" s="136"/>
    </row>
    <row r="42356" spans="1:2" x14ac:dyDescent="0.25">
      <c r="A42356" s="118"/>
      <c r="B42356" s="136"/>
    </row>
    <row r="42357" spans="1:2" x14ac:dyDescent="0.25">
      <c r="A42357" s="118"/>
      <c r="B42357" s="136"/>
    </row>
    <row r="42358" spans="1:2" x14ac:dyDescent="0.25">
      <c r="A42358" s="118"/>
      <c r="B42358" s="136"/>
    </row>
    <row r="42359" spans="1:2" x14ac:dyDescent="0.25">
      <c r="A42359" s="118"/>
      <c r="B42359" s="136"/>
    </row>
    <row r="42360" spans="1:2" x14ac:dyDescent="0.25">
      <c r="A42360" s="118"/>
      <c r="B42360" s="136"/>
    </row>
    <row r="42361" spans="1:2" x14ac:dyDescent="0.25">
      <c r="A42361" s="118"/>
      <c r="B42361" s="136"/>
    </row>
    <row r="42362" spans="1:2" x14ac:dyDescent="0.25">
      <c r="A42362" s="118"/>
      <c r="B42362" s="136"/>
    </row>
    <row r="42363" spans="1:2" x14ac:dyDescent="0.25">
      <c r="A42363" s="118"/>
      <c r="B42363" s="136"/>
    </row>
    <row r="42364" spans="1:2" x14ac:dyDescent="0.25">
      <c r="A42364" s="118"/>
      <c r="B42364" s="136"/>
    </row>
    <row r="42365" spans="1:2" x14ac:dyDescent="0.25">
      <c r="A42365" s="118"/>
      <c r="B42365" s="136"/>
    </row>
    <row r="42366" spans="1:2" x14ac:dyDescent="0.25">
      <c r="A42366" s="118"/>
      <c r="B42366" s="136"/>
    </row>
    <row r="42367" spans="1:2" x14ac:dyDescent="0.25">
      <c r="A42367" s="118"/>
      <c r="B42367" s="136"/>
    </row>
    <row r="42368" spans="1:2" x14ac:dyDescent="0.25">
      <c r="A42368" s="118"/>
      <c r="B42368" s="136"/>
    </row>
    <row r="42369" spans="1:2" x14ac:dyDescent="0.25">
      <c r="A42369" s="118"/>
      <c r="B42369" s="136"/>
    </row>
    <row r="42370" spans="1:2" x14ac:dyDescent="0.25">
      <c r="A42370" s="118"/>
      <c r="B42370" s="136"/>
    </row>
    <row r="42371" spans="1:2" x14ac:dyDescent="0.25">
      <c r="A42371" s="118"/>
      <c r="B42371" s="136"/>
    </row>
    <row r="42372" spans="1:2" x14ac:dyDescent="0.25">
      <c r="A42372" s="118"/>
      <c r="B42372" s="136"/>
    </row>
    <row r="42373" spans="1:2" x14ac:dyDescent="0.25">
      <c r="A42373" s="118"/>
      <c r="B42373" s="136"/>
    </row>
    <row r="42374" spans="1:2" x14ac:dyDescent="0.25">
      <c r="A42374" s="118"/>
      <c r="B42374" s="136"/>
    </row>
    <row r="42375" spans="1:2" x14ac:dyDescent="0.25">
      <c r="A42375" s="118"/>
      <c r="B42375" s="136"/>
    </row>
    <row r="42376" spans="1:2" x14ac:dyDescent="0.25">
      <c r="A42376" s="118"/>
      <c r="B42376" s="136"/>
    </row>
    <row r="42377" spans="1:2" x14ac:dyDescent="0.25">
      <c r="A42377" s="118"/>
      <c r="B42377" s="136"/>
    </row>
    <row r="42378" spans="1:2" x14ac:dyDescent="0.25">
      <c r="A42378" s="118"/>
      <c r="B42378" s="136"/>
    </row>
    <row r="42379" spans="1:2" x14ac:dyDescent="0.25">
      <c r="A42379" s="118"/>
      <c r="B42379" s="136"/>
    </row>
    <row r="42380" spans="1:2" x14ac:dyDescent="0.25">
      <c r="A42380" s="118"/>
      <c r="B42380" s="136"/>
    </row>
    <row r="42381" spans="1:2" x14ac:dyDescent="0.25">
      <c r="A42381" s="118"/>
      <c r="B42381" s="136"/>
    </row>
    <row r="42382" spans="1:2" x14ac:dyDescent="0.25">
      <c r="A42382" s="118"/>
      <c r="B42382" s="136"/>
    </row>
    <row r="42383" spans="1:2" x14ac:dyDescent="0.25">
      <c r="A42383" s="118"/>
      <c r="B42383" s="136"/>
    </row>
    <row r="42384" spans="1:2" x14ac:dyDescent="0.25">
      <c r="A42384" s="118"/>
      <c r="B42384" s="136"/>
    </row>
    <row r="42385" spans="1:2" x14ac:dyDescent="0.25">
      <c r="A42385" s="118"/>
      <c r="B42385" s="136"/>
    </row>
    <row r="42386" spans="1:2" x14ac:dyDescent="0.25">
      <c r="A42386" s="118"/>
      <c r="B42386" s="136"/>
    </row>
    <row r="42387" spans="1:2" x14ac:dyDescent="0.25">
      <c r="A42387" s="118"/>
      <c r="B42387" s="136"/>
    </row>
    <row r="42388" spans="1:2" x14ac:dyDescent="0.25">
      <c r="A42388" s="118"/>
      <c r="B42388" s="136"/>
    </row>
    <row r="42389" spans="1:2" x14ac:dyDescent="0.25">
      <c r="A42389" s="118"/>
      <c r="B42389" s="136"/>
    </row>
    <row r="42390" spans="1:2" x14ac:dyDescent="0.25">
      <c r="A42390" s="118"/>
      <c r="B42390" s="136"/>
    </row>
    <row r="42391" spans="1:2" x14ac:dyDescent="0.25">
      <c r="A42391" s="118"/>
      <c r="B42391" s="136"/>
    </row>
    <row r="42392" spans="1:2" x14ac:dyDescent="0.25">
      <c r="A42392" s="118"/>
      <c r="B42392" s="136"/>
    </row>
    <row r="42393" spans="1:2" x14ac:dyDescent="0.25">
      <c r="A42393" s="118"/>
      <c r="B42393" s="136"/>
    </row>
    <row r="42394" spans="1:2" x14ac:dyDescent="0.25">
      <c r="A42394" s="118"/>
      <c r="B42394" s="136"/>
    </row>
    <row r="42395" spans="1:2" x14ac:dyDescent="0.25">
      <c r="A42395" s="118"/>
      <c r="B42395" s="136"/>
    </row>
    <row r="42396" spans="1:2" x14ac:dyDescent="0.25">
      <c r="A42396" s="118"/>
      <c r="B42396" s="136"/>
    </row>
    <row r="42397" spans="1:2" x14ac:dyDescent="0.25">
      <c r="A42397" s="118"/>
      <c r="B42397" s="136"/>
    </row>
    <row r="42398" spans="1:2" x14ac:dyDescent="0.25">
      <c r="A42398" s="118"/>
      <c r="B42398" s="136"/>
    </row>
    <row r="42399" spans="1:2" x14ac:dyDescent="0.25">
      <c r="A42399" s="118"/>
      <c r="B42399" s="136"/>
    </row>
    <row r="42400" spans="1:2" x14ac:dyDescent="0.25">
      <c r="A42400" s="118"/>
      <c r="B42400" s="136"/>
    </row>
    <row r="42401" spans="1:2" x14ac:dyDescent="0.25">
      <c r="A42401" s="118"/>
      <c r="B42401" s="136"/>
    </row>
    <row r="42402" spans="1:2" x14ac:dyDescent="0.25">
      <c r="A42402" s="118"/>
      <c r="B42402" s="136"/>
    </row>
    <row r="42403" spans="1:2" x14ac:dyDescent="0.25">
      <c r="A42403" s="118"/>
      <c r="B42403" s="136"/>
    </row>
    <row r="42404" spans="1:2" x14ac:dyDescent="0.25">
      <c r="A42404" s="118"/>
      <c r="B42404" s="136"/>
    </row>
    <row r="42405" spans="1:2" x14ac:dyDescent="0.25">
      <c r="A42405" s="118"/>
      <c r="B42405" s="136"/>
    </row>
    <row r="42406" spans="1:2" x14ac:dyDescent="0.25">
      <c r="A42406" s="118"/>
      <c r="B42406" s="136"/>
    </row>
    <row r="42407" spans="1:2" x14ac:dyDescent="0.25">
      <c r="A42407" s="118"/>
      <c r="B42407" s="136"/>
    </row>
    <row r="42408" spans="1:2" x14ac:dyDescent="0.25">
      <c r="A42408" s="118"/>
      <c r="B42408" s="136"/>
    </row>
    <row r="42409" spans="1:2" x14ac:dyDescent="0.25">
      <c r="A42409" s="118"/>
      <c r="B42409" s="136"/>
    </row>
    <row r="42410" spans="1:2" x14ac:dyDescent="0.25">
      <c r="A42410" s="118"/>
      <c r="B42410" s="136"/>
    </row>
    <row r="42411" spans="1:2" x14ac:dyDescent="0.25">
      <c r="A42411" s="118"/>
      <c r="B42411" s="136"/>
    </row>
    <row r="42412" spans="1:2" x14ac:dyDescent="0.25">
      <c r="A42412" s="118"/>
      <c r="B42412" s="136"/>
    </row>
    <row r="42413" spans="1:2" x14ac:dyDescent="0.25">
      <c r="A42413" s="118"/>
      <c r="B42413" s="136"/>
    </row>
    <row r="42414" spans="1:2" x14ac:dyDescent="0.25">
      <c r="A42414" s="118"/>
      <c r="B42414" s="136"/>
    </row>
    <row r="42415" spans="1:2" x14ac:dyDescent="0.25">
      <c r="A42415" s="118"/>
      <c r="B42415" s="136"/>
    </row>
    <row r="42416" spans="1:2" x14ac:dyDescent="0.25">
      <c r="A42416" s="118"/>
      <c r="B42416" s="136"/>
    </row>
    <row r="42417" spans="1:2" x14ac:dyDescent="0.25">
      <c r="A42417" s="118"/>
      <c r="B42417" s="136"/>
    </row>
    <row r="42418" spans="1:2" x14ac:dyDescent="0.25">
      <c r="A42418" s="118"/>
      <c r="B42418" s="136"/>
    </row>
    <row r="42419" spans="1:2" x14ac:dyDescent="0.25">
      <c r="A42419" s="118"/>
      <c r="B42419" s="136"/>
    </row>
    <row r="42420" spans="1:2" x14ac:dyDescent="0.25">
      <c r="A42420" s="118"/>
      <c r="B42420" s="136"/>
    </row>
    <row r="42421" spans="1:2" x14ac:dyDescent="0.25">
      <c r="A42421" s="118"/>
      <c r="B42421" s="136"/>
    </row>
    <row r="42422" spans="1:2" x14ac:dyDescent="0.25">
      <c r="A42422" s="118"/>
      <c r="B42422" s="136"/>
    </row>
    <row r="42423" spans="1:2" x14ac:dyDescent="0.25">
      <c r="A42423" s="118"/>
      <c r="B42423" s="136"/>
    </row>
    <row r="42424" spans="1:2" x14ac:dyDescent="0.25">
      <c r="A42424" s="118"/>
      <c r="B42424" s="136"/>
    </row>
    <row r="42425" spans="1:2" x14ac:dyDescent="0.25">
      <c r="A42425" s="118"/>
      <c r="B42425" s="136"/>
    </row>
    <row r="42426" spans="1:2" x14ac:dyDescent="0.25">
      <c r="A42426" s="118"/>
      <c r="B42426" s="136"/>
    </row>
    <row r="42427" spans="1:2" x14ac:dyDescent="0.25">
      <c r="A42427" s="118"/>
      <c r="B42427" s="136"/>
    </row>
    <row r="42428" spans="1:2" x14ac:dyDescent="0.25">
      <c r="A42428" s="118"/>
      <c r="B42428" s="136"/>
    </row>
    <row r="42429" spans="1:2" x14ac:dyDescent="0.25">
      <c r="A42429" s="118"/>
      <c r="B42429" s="136"/>
    </row>
    <row r="42430" spans="1:2" x14ac:dyDescent="0.25">
      <c r="A42430" s="118"/>
      <c r="B42430" s="136"/>
    </row>
    <row r="42431" spans="1:2" x14ac:dyDescent="0.25">
      <c r="A42431" s="118"/>
      <c r="B42431" s="136"/>
    </row>
    <row r="42432" spans="1:2" x14ac:dyDescent="0.25">
      <c r="A42432" s="118"/>
      <c r="B42432" s="136"/>
    </row>
    <row r="42433" spans="1:2" x14ac:dyDescent="0.25">
      <c r="A42433" s="118"/>
      <c r="B42433" s="136"/>
    </row>
    <row r="42434" spans="1:2" x14ac:dyDescent="0.25">
      <c r="A42434" s="118"/>
      <c r="B42434" s="136"/>
    </row>
    <row r="42435" spans="1:2" x14ac:dyDescent="0.25">
      <c r="A42435" s="118"/>
      <c r="B42435" s="136"/>
    </row>
    <row r="42436" spans="1:2" x14ac:dyDescent="0.25">
      <c r="A42436" s="118"/>
      <c r="B42436" s="136"/>
    </row>
    <row r="42437" spans="1:2" x14ac:dyDescent="0.25">
      <c r="A42437" s="118"/>
      <c r="B42437" s="136"/>
    </row>
    <row r="42438" spans="1:2" x14ac:dyDescent="0.25">
      <c r="A42438" s="118"/>
      <c r="B42438" s="136"/>
    </row>
    <row r="42439" spans="1:2" x14ac:dyDescent="0.25">
      <c r="A42439" s="118"/>
      <c r="B42439" s="136"/>
    </row>
    <row r="42440" spans="1:2" x14ac:dyDescent="0.25">
      <c r="A42440" s="118"/>
      <c r="B42440" s="136"/>
    </row>
    <row r="42441" spans="1:2" x14ac:dyDescent="0.25">
      <c r="A42441" s="118"/>
      <c r="B42441" s="136"/>
    </row>
    <row r="42442" spans="1:2" x14ac:dyDescent="0.25">
      <c r="A42442" s="118"/>
      <c r="B42442" s="136"/>
    </row>
    <row r="42443" spans="1:2" x14ac:dyDescent="0.25">
      <c r="A42443" s="118"/>
      <c r="B42443" s="136"/>
    </row>
    <row r="42444" spans="1:2" x14ac:dyDescent="0.25">
      <c r="A42444" s="118"/>
      <c r="B42444" s="136"/>
    </row>
    <row r="42445" spans="1:2" x14ac:dyDescent="0.25">
      <c r="A42445" s="118"/>
      <c r="B42445" s="136"/>
    </row>
    <row r="42446" spans="1:2" x14ac:dyDescent="0.25">
      <c r="A42446" s="118"/>
      <c r="B42446" s="136"/>
    </row>
    <row r="42447" spans="1:2" x14ac:dyDescent="0.25">
      <c r="A42447" s="118"/>
      <c r="B42447" s="136"/>
    </row>
    <row r="42448" spans="1:2" x14ac:dyDescent="0.25">
      <c r="A42448" s="118"/>
      <c r="B42448" s="136"/>
    </row>
    <row r="42449" spans="1:2" x14ac:dyDescent="0.25">
      <c r="A42449" s="118"/>
      <c r="B42449" s="136"/>
    </row>
    <row r="42450" spans="1:2" x14ac:dyDescent="0.25">
      <c r="A42450" s="118"/>
      <c r="B42450" s="136"/>
    </row>
    <row r="42451" spans="1:2" x14ac:dyDescent="0.25">
      <c r="A42451" s="118"/>
      <c r="B42451" s="136"/>
    </row>
    <row r="42452" spans="1:2" x14ac:dyDescent="0.25">
      <c r="A42452" s="118"/>
      <c r="B42452" s="136"/>
    </row>
    <row r="42453" spans="1:2" x14ac:dyDescent="0.25">
      <c r="A42453" s="118"/>
      <c r="B42453" s="136"/>
    </row>
    <row r="42454" spans="1:2" x14ac:dyDescent="0.25">
      <c r="A42454" s="118"/>
      <c r="B42454" s="136"/>
    </row>
    <row r="42455" spans="1:2" x14ac:dyDescent="0.25">
      <c r="A42455" s="118"/>
      <c r="B42455" s="136"/>
    </row>
    <row r="42456" spans="1:2" x14ac:dyDescent="0.25">
      <c r="A42456" s="118"/>
      <c r="B42456" s="136"/>
    </row>
    <row r="42457" spans="1:2" x14ac:dyDescent="0.25">
      <c r="A42457" s="118"/>
      <c r="B42457" s="136"/>
    </row>
    <row r="42458" spans="1:2" x14ac:dyDescent="0.25">
      <c r="A42458" s="118"/>
      <c r="B42458" s="136"/>
    </row>
    <row r="42459" spans="1:2" x14ac:dyDescent="0.25">
      <c r="A42459" s="118"/>
      <c r="B42459" s="136"/>
    </row>
    <row r="42460" spans="1:2" x14ac:dyDescent="0.25">
      <c r="A42460" s="118"/>
      <c r="B42460" s="136"/>
    </row>
    <row r="42461" spans="1:2" x14ac:dyDescent="0.25">
      <c r="A42461" s="118"/>
      <c r="B42461" s="136"/>
    </row>
    <row r="42462" spans="1:2" x14ac:dyDescent="0.25">
      <c r="A42462" s="118"/>
      <c r="B42462" s="136"/>
    </row>
    <row r="42463" spans="1:2" x14ac:dyDescent="0.25">
      <c r="A42463" s="118"/>
      <c r="B42463" s="136"/>
    </row>
    <row r="42464" spans="1:2" x14ac:dyDescent="0.25">
      <c r="A42464" s="118"/>
      <c r="B42464" s="136"/>
    </row>
    <row r="42465" spans="1:2" x14ac:dyDescent="0.25">
      <c r="A42465" s="118"/>
      <c r="B42465" s="136"/>
    </row>
    <row r="42466" spans="1:2" x14ac:dyDescent="0.25">
      <c r="A42466" s="118"/>
      <c r="B42466" s="136"/>
    </row>
    <row r="42467" spans="1:2" x14ac:dyDescent="0.25">
      <c r="A42467" s="118"/>
      <c r="B42467" s="136"/>
    </row>
    <row r="42468" spans="1:2" x14ac:dyDescent="0.25">
      <c r="A42468" s="118"/>
      <c r="B42468" s="136"/>
    </row>
    <row r="42469" spans="1:2" x14ac:dyDescent="0.25">
      <c r="A42469" s="118"/>
      <c r="B42469" s="136"/>
    </row>
    <row r="42470" spans="1:2" x14ac:dyDescent="0.25">
      <c r="A42470" s="118"/>
      <c r="B42470" s="136"/>
    </row>
    <row r="42471" spans="1:2" x14ac:dyDescent="0.25">
      <c r="A42471" s="118"/>
      <c r="B42471" s="136"/>
    </row>
    <row r="42472" spans="1:2" x14ac:dyDescent="0.25">
      <c r="A42472" s="118"/>
      <c r="B42472" s="136"/>
    </row>
    <row r="42473" spans="1:2" x14ac:dyDescent="0.25">
      <c r="A42473" s="118"/>
      <c r="B42473" s="136"/>
    </row>
    <row r="42474" spans="1:2" x14ac:dyDescent="0.25">
      <c r="A42474" s="118"/>
      <c r="B42474" s="136"/>
    </row>
    <row r="42475" spans="1:2" x14ac:dyDescent="0.25">
      <c r="A42475" s="118"/>
      <c r="B42475" s="136"/>
    </row>
    <row r="42476" spans="1:2" x14ac:dyDescent="0.25">
      <c r="A42476" s="118"/>
      <c r="B42476" s="136"/>
    </row>
    <row r="42477" spans="1:2" x14ac:dyDescent="0.25">
      <c r="A42477" s="118"/>
      <c r="B42477" s="136"/>
    </row>
    <row r="42478" spans="1:2" x14ac:dyDescent="0.25">
      <c r="A42478" s="118"/>
      <c r="B42478" s="136"/>
    </row>
    <row r="42479" spans="1:2" x14ac:dyDescent="0.25">
      <c r="A42479" s="118"/>
      <c r="B42479" s="136"/>
    </row>
    <row r="42480" spans="1:2" x14ac:dyDescent="0.25">
      <c r="A42480" s="118"/>
      <c r="B42480" s="136"/>
    </row>
    <row r="42481" spans="1:2" x14ac:dyDescent="0.25">
      <c r="A42481" s="118"/>
      <c r="B42481" s="136"/>
    </row>
    <row r="42482" spans="1:2" x14ac:dyDescent="0.25">
      <c r="A42482" s="118"/>
      <c r="B42482" s="136"/>
    </row>
    <row r="42483" spans="1:2" x14ac:dyDescent="0.25">
      <c r="A42483" s="118"/>
      <c r="B42483" s="136"/>
    </row>
    <row r="42484" spans="1:2" x14ac:dyDescent="0.25">
      <c r="A42484" s="118"/>
      <c r="B42484" s="136"/>
    </row>
    <row r="42485" spans="1:2" x14ac:dyDescent="0.25">
      <c r="A42485" s="118"/>
      <c r="B42485" s="136"/>
    </row>
    <row r="42486" spans="1:2" x14ac:dyDescent="0.25">
      <c r="A42486" s="118"/>
      <c r="B42486" s="136"/>
    </row>
    <row r="42487" spans="1:2" x14ac:dyDescent="0.25">
      <c r="A42487" s="118"/>
      <c r="B42487" s="136"/>
    </row>
    <row r="42488" spans="1:2" x14ac:dyDescent="0.25">
      <c r="A42488" s="118"/>
      <c r="B42488" s="136"/>
    </row>
    <row r="42489" spans="1:2" x14ac:dyDescent="0.25">
      <c r="A42489" s="118"/>
      <c r="B42489" s="136"/>
    </row>
    <row r="42490" spans="1:2" x14ac:dyDescent="0.25">
      <c r="A42490" s="118"/>
      <c r="B42490" s="136"/>
    </row>
    <row r="42491" spans="1:2" x14ac:dyDescent="0.25">
      <c r="A42491" s="118"/>
      <c r="B42491" s="136"/>
    </row>
    <row r="42492" spans="1:2" x14ac:dyDescent="0.25">
      <c r="A42492" s="118"/>
      <c r="B42492" s="136"/>
    </row>
    <row r="42493" spans="1:2" x14ac:dyDescent="0.25">
      <c r="A42493" s="118"/>
      <c r="B42493" s="136"/>
    </row>
    <row r="42494" spans="1:2" x14ac:dyDescent="0.25">
      <c r="A42494" s="118"/>
      <c r="B42494" s="136"/>
    </row>
    <row r="42495" spans="1:2" x14ac:dyDescent="0.25">
      <c r="A42495" s="118"/>
      <c r="B42495" s="136"/>
    </row>
    <row r="42496" spans="1:2" x14ac:dyDescent="0.25">
      <c r="A42496" s="118"/>
      <c r="B42496" s="136"/>
    </row>
    <row r="42497" spans="1:2" x14ac:dyDescent="0.25">
      <c r="A42497" s="118"/>
      <c r="B42497" s="136"/>
    </row>
    <row r="42498" spans="1:2" x14ac:dyDescent="0.25">
      <c r="A42498" s="118"/>
      <c r="B42498" s="136"/>
    </row>
    <row r="42499" spans="1:2" x14ac:dyDescent="0.25">
      <c r="A42499" s="118"/>
      <c r="B42499" s="136"/>
    </row>
    <row r="42500" spans="1:2" x14ac:dyDescent="0.25">
      <c r="A42500" s="118"/>
      <c r="B42500" s="136"/>
    </row>
    <row r="42501" spans="1:2" x14ac:dyDescent="0.25">
      <c r="A42501" s="118"/>
      <c r="B42501" s="136"/>
    </row>
    <row r="42502" spans="1:2" x14ac:dyDescent="0.25">
      <c r="A42502" s="118"/>
      <c r="B42502" s="136"/>
    </row>
    <row r="42503" spans="1:2" x14ac:dyDescent="0.25">
      <c r="A42503" s="118"/>
      <c r="B42503" s="136"/>
    </row>
    <row r="42504" spans="1:2" x14ac:dyDescent="0.25">
      <c r="A42504" s="118"/>
      <c r="B42504" s="136"/>
    </row>
    <row r="42505" spans="1:2" x14ac:dyDescent="0.25">
      <c r="A42505" s="118"/>
      <c r="B42505" s="136"/>
    </row>
    <row r="42506" spans="1:2" x14ac:dyDescent="0.25">
      <c r="A42506" s="118"/>
      <c r="B42506" s="136"/>
    </row>
    <row r="42507" spans="1:2" x14ac:dyDescent="0.25">
      <c r="A42507" s="118"/>
      <c r="B42507" s="136"/>
    </row>
    <row r="42508" spans="1:2" x14ac:dyDescent="0.25">
      <c r="A42508" s="118"/>
      <c r="B42508" s="136"/>
    </row>
    <row r="42509" spans="1:2" x14ac:dyDescent="0.25">
      <c r="A42509" s="118"/>
      <c r="B42509" s="136"/>
    </row>
    <row r="42510" spans="1:2" x14ac:dyDescent="0.25">
      <c r="A42510" s="118"/>
      <c r="B42510" s="136"/>
    </row>
    <row r="42511" spans="1:2" x14ac:dyDescent="0.25">
      <c r="A42511" s="118"/>
      <c r="B42511" s="136"/>
    </row>
    <row r="42512" spans="1:2" x14ac:dyDescent="0.25">
      <c r="A42512" s="118"/>
      <c r="B42512" s="136"/>
    </row>
    <row r="42513" spans="1:2" x14ac:dyDescent="0.25">
      <c r="A42513" s="118"/>
      <c r="B42513" s="136"/>
    </row>
    <row r="42514" spans="1:2" x14ac:dyDescent="0.25">
      <c r="A42514" s="118"/>
      <c r="B42514" s="136"/>
    </row>
    <row r="42515" spans="1:2" x14ac:dyDescent="0.25">
      <c r="A42515" s="118"/>
      <c r="B42515" s="136"/>
    </row>
    <row r="42516" spans="1:2" x14ac:dyDescent="0.25">
      <c r="A42516" s="118"/>
      <c r="B42516" s="136"/>
    </row>
    <row r="42517" spans="1:2" x14ac:dyDescent="0.25">
      <c r="A42517" s="118"/>
      <c r="B42517" s="136"/>
    </row>
    <row r="42518" spans="1:2" x14ac:dyDescent="0.25">
      <c r="A42518" s="118"/>
      <c r="B42518" s="136"/>
    </row>
    <row r="42519" spans="1:2" x14ac:dyDescent="0.25">
      <c r="A42519" s="118"/>
      <c r="B42519" s="136"/>
    </row>
    <row r="42520" spans="1:2" x14ac:dyDescent="0.25">
      <c r="A42520" s="118"/>
      <c r="B42520" s="136"/>
    </row>
    <row r="42521" spans="1:2" x14ac:dyDescent="0.25">
      <c r="A42521" s="118"/>
      <c r="B42521" s="136"/>
    </row>
    <row r="42522" spans="1:2" x14ac:dyDescent="0.25">
      <c r="A42522" s="118"/>
      <c r="B42522" s="136"/>
    </row>
    <row r="42523" spans="1:2" x14ac:dyDescent="0.25">
      <c r="A42523" s="118"/>
      <c r="B42523" s="136"/>
    </row>
    <row r="42524" spans="1:2" x14ac:dyDescent="0.25">
      <c r="A42524" s="118"/>
      <c r="B42524" s="136"/>
    </row>
    <row r="42525" spans="1:2" x14ac:dyDescent="0.25">
      <c r="A42525" s="118"/>
      <c r="B42525" s="136"/>
    </row>
    <row r="42526" spans="1:2" x14ac:dyDescent="0.25">
      <c r="A42526" s="118"/>
      <c r="B42526" s="136"/>
    </row>
    <row r="42527" spans="1:2" x14ac:dyDescent="0.25">
      <c r="A42527" s="118"/>
      <c r="B42527" s="136"/>
    </row>
    <row r="42528" spans="1:2" x14ac:dyDescent="0.25">
      <c r="A42528" s="118"/>
      <c r="B42528" s="136"/>
    </row>
    <row r="42529" spans="1:2" x14ac:dyDescent="0.25">
      <c r="A42529" s="118"/>
      <c r="B42529" s="136"/>
    </row>
    <row r="42530" spans="1:2" x14ac:dyDescent="0.25">
      <c r="A42530" s="118"/>
      <c r="B42530" s="136"/>
    </row>
    <row r="42531" spans="1:2" x14ac:dyDescent="0.25">
      <c r="A42531" s="118"/>
      <c r="B42531" s="136"/>
    </row>
    <row r="42532" spans="1:2" x14ac:dyDescent="0.25">
      <c r="A42532" s="118"/>
      <c r="B42532" s="136"/>
    </row>
    <row r="42533" spans="1:2" x14ac:dyDescent="0.25">
      <c r="A42533" s="118"/>
      <c r="B42533" s="136"/>
    </row>
    <row r="42534" spans="1:2" x14ac:dyDescent="0.25">
      <c r="A42534" s="118"/>
      <c r="B42534" s="136"/>
    </row>
    <row r="42535" spans="1:2" x14ac:dyDescent="0.25">
      <c r="A42535" s="118"/>
      <c r="B42535" s="136"/>
    </row>
    <row r="42536" spans="1:2" x14ac:dyDescent="0.25">
      <c r="A42536" s="118"/>
      <c r="B42536" s="136"/>
    </row>
    <row r="42537" spans="1:2" x14ac:dyDescent="0.25">
      <c r="A42537" s="118"/>
      <c r="B42537" s="136"/>
    </row>
    <row r="42538" spans="1:2" x14ac:dyDescent="0.25">
      <c r="A42538" s="118"/>
      <c r="B42538" s="136"/>
    </row>
    <row r="42539" spans="1:2" x14ac:dyDescent="0.25">
      <c r="A42539" s="118"/>
      <c r="B42539" s="136"/>
    </row>
    <row r="42540" spans="1:2" x14ac:dyDescent="0.25">
      <c r="A42540" s="118"/>
      <c r="B42540" s="136"/>
    </row>
    <row r="42541" spans="1:2" x14ac:dyDescent="0.25">
      <c r="A42541" s="118"/>
      <c r="B42541" s="136"/>
    </row>
    <row r="42542" spans="1:2" x14ac:dyDescent="0.25">
      <c r="A42542" s="118"/>
      <c r="B42542" s="136"/>
    </row>
    <row r="42543" spans="1:2" x14ac:dyDescent="0.25">
      <c r="A42543" s="118"/>
      <c r="B42543" s="136"/>
    </row>
    <row r="42544" spans="1:2" x14ac:dyDescent="0.25">
      <c r="A42544" s="118"/>
      <c r="B42544" s="136"/>
    </row>
    <row r="42545" spans="1:2" x14ac:dyDescent="0.25">
      <c r="A42545" s="118"/>
      <c r="B42545" s="136"/>
    </row>
    <row r="42546" spans="1:2" x14ac:dyDescent="0.25">
      <c r="A42546" s="118"/>
      <c r="B42546" s="136"/>
    </row>
    <row r="42547" spans="1:2" x14ac:dyDescent="0.25">
      <c r="A42547" s="118"/>
      <c r="B42547" s="136"/>
    </row>
    <row r="42548" spans="1:2" x14ac:dyDescent="0.25">
      <c r="A42548" s="118"/>
      <c r="B42548" s="136"/>
    </row>
    <row r="42549" spans="1:2" x14ac:dyDescent="0.25">
      <c r="A42549" s="118"/>
      <c r="B42549" s="136"/>
    </row>
    <row r="42550" spans="1:2" x14ac:dyDescent="0.25">
      <c r="A42550" s="118"/>
      <c r="B42550" s="136"/>
    </row>
    <row r="42551" spans="1:2" x14ac:dyDescent="0.25">
      <c r="A42551" s="118"/>
      <c r="B42551" s="136"/>
    </row>
    <row r="42552" spans="1:2" x14ac:dyDescent="0.25">
      <c r="A42552" s="118"/>
      <c r="B42552" s="136"/>
    </row>
    <row r="42553" spans="1:2" x14ac:dyDescent="0.25">
      <c r="A42553" s="118"/>
      <c r="B42553" s="136"/>
    </row>
    <row r="42554" spans="1:2" x14ac:dyDescent="0.25">
      <c r="A42554" s="118"/>
      <c r="B42554" s="136"/>
    </row>
    <row r="42555" spans="1:2" x14ac:dyDescent="0.25">
      <c r="A42555" s="118"/>
      <c r="B42555" s="136"/>
    </row>
    <row r="42556" spans="1:2" x14ac:dyDescent="0.25">
      <c r="A42556" s="118"/>
      <c r="B42556" s="136"/>
    </row>
    <row r="42557" spans="1:2" x14ac:dyDescent="0.25">
      <c r="A42557" s="118"/>
      <c r="B42557" s="136"/>
    </row>
    <row r="42558" spans="1:2" x14ac:dyDescent="0.25">
      <c r="A42558" s="118"/>
      <c r="B42558" s="136"/>
    </row>
    <row r="42559" spans="1:2" x14ac:dyDescent="0.25">
      <c r="A42559" s="118"/>
      <c r="B42559" s="136"/>
    </row>
    <row r="42560" spans="1:2" x14ac:dyDescent="0.25">
      <c r="A42560" s="118"/>
      <c r="B42560" s="136"/>
    </row>
    <row r="42561" spans="1:2" x14ac:dyDescent="0.25">
      <c r="A42561" s="118"/>
      <c r="B42561" s="136"/>
    </row>
    <row r="42562" spans="1:2" x14ac:dyDescent="0.25">
      <c r="A42562" s="118"/>
      <c r="B42562" s="136"/>
    </row>
    <row r="42563" spans="1:2" x14ac:dyDescent="0.25">
      <c r="A42563" s="118"/>
      <c r="B42563" s="136"/>
    </row>
    <row r="42564" spans="1:2" x14ac:dyDescent="0.25">
      <c r="A42564" s="118"/>
      <c r="B42564" s="136"/>
    </row>
    <row r="42565" spans="1:2" x14ac:dyDescent="0.25">
      <c r="A42565" s="118"/>
      <c r="B42565" s="136"/>
    </row>
    <row r="42566" spans="1:2" x14ac:dyDescent="0.25">
      <c r="A42566" s="118"/>
      <c r="B42566" s="136"/>
    </row>
    <row r="42567" spans="1:2" x14ac:dyDescent="0.25">
      <c r="A42567" s="118"/>
      <c r="B42567" s="136"/>
    </row>
    <row r="42568" spans="1:2" x14ac:dyDescent="0.25">
      <c r="A42568" s="118"/>
      <c r="B42568" s="136"/>
    </row>
    <row r="42569" spans="1:2" x14ac:dyDescent="0.25">
      <c r="A42569" s="118"/>
      <c r="B42569" s="136"/>
    </row>
    <row r="42570" spans="1:2" x14ac:dyDescent="0.25">
      <c r="A42570" s="118"/>
      <c r="B42570" s="136"/>
    </row>
    <row r="42571" spans="1:2" x14ac:dyDescent="0.25">
      <c r="A42571" s="118"/>
      <c r="B42571" s="136"/>
    </row>
    <row r="42572" spans="1:2" x14ac:dyDescent="0.25">
      <c r="A42572" s="118"/>
      <c r="B42572" s="136"/>
    </row>
    <row r="42573" spans="1:2" x14ac:dyDescent="0.25">
      <c r="A42573" s="118"/>
      <c r="B42573" s="136"/>
    </row>
    <row r="42574" spans="1:2" x14ac:dyDescent="0.25">
      <c r="A42574" s="118"/>
      <c r="B42574" s="136"/>
    </row>
    <row r="42575" spans="1:2" x14ac:dyDescent="0.25">
      <c r="A42575" s="118"/>
      <c r="B42575" s="136"/>
    </row>
    <row r="42576" spans="1:2" x14ac:dyDescent="0.25">
      <c r="A42576" s="118"/>
      <c r="B42576" s="136"/>
    </row>
    <row r="42577" spans="1:2" x14ac:dyDescent="0.25">
      <c r="A42577" s="118"/>
      <c r="B42577" s="136"/>
    </row>
    <row r="42578" spans="1:2" x14ac:dyDescent="0.25">
      <c r="A42578" s="118"/>
      <c r="B42578" s="136"/>
    </row>
    <row r="42579" spans="1:2" x14ac:dyDescent="0.25">
      <c r="A42579" s="118"/>
      <c r="B42579" s="136"/>
    </row>
    <row r="42580" spans="1:2" x14ac:dyDescent="0.25">
      <c r="A42580" s="118"/>
      <c r="B42580" s="136"/>
    </row>
    <row r="42581" spans="1:2" x14ac:dyDescent="0.25">
      <c r="A42581" s="118"/>
      <c r="B42581" s="136"/>
    </row>
    <row r="42582" spans="1:2" x14ac:dyDescent="0.25">
      <c r="A42582" s="118"/>
      <c r="B42582" s="136"/>
    </row>
    <row r="42583" spans="1:2" x14ac:dyDescent="0.25">
      <c r="A42583" s="118"/>
      <c r="B42583" s="136"/>
    </row>
    <row r="42584" spans="1:2" x14ac:dyDescent="0.25">
      <c r="A42584" s="118"/>
      <c r="B42584" s="136"/>
    </row>
    <row r="42585" spans="1:2" x14ac:dyDescent="0.25">
      <c r="A42585" s="118"/>
      <c r="B42585" s="136"/>
    </row>
    <row r="42586" spans="1:2" x14ac:dyDescent="0.25">
      <c r="A42586" s="118"/>
      <c r="B42586" s="136"/>
    </row>
    <row r="42587" spans="1:2" x14ac:dyDescent="0.25">
      <c r="A42587" s="118"/>
      <c r="B42587" s="136"/>
    </row>
    <row r="42588" spans="1:2" x14ac:dyDescent="0.25">
      <c r="A42588" s="118"/>
      <c r="B42588" s="136"/>
    </row>
    <row r="42589" spans="1:2" x14ac:dyDescent="0.25">
      <c r="A42589" s="118"/>
      <c r="B42589" s="136"/>
    </row>
    <row r="42590" spans="1:2" x14ac:dyDescent="0.25">
      <c r="A42590" s="118"/>
      <c r="B42590" s="136"/>
    </row>
    <row r="42591" spans="1:2" x14ac:dyDescent="0.25">
      <c r="A42591" s="118"/>
      <c r="B42591" s="136"/>
    </row>
    <row r="42592" spans="1:2" x14ac:dyDescent="0.25">
      <c r="A42592" s="118"/>
      <c r="B42592" s="136"/>
    </row>
    <row r="42593" spans="1:2" x14ac:dyDescent="0.25">
      <c r="A42593" s="118"/>
      <c r="B42593" s="136"/>
    </row>
    <row r="42594" spans="1:2" x14ac:dyDescent="0.25">
      <c r="A42594" s="118"/>
      <c r="B42594" s="136"/>
    </row>
    <row r="42595" spans="1:2" x14ac:dyDescent="0.25">
      <c r="A42595" s="118"/>
      <c r="B42595" s="136"/>
    </row>
    <row r="42596" spans="1:2" x14ac:dyDescent="0.25">
      <c r="A42596" s="118"/>
      <c r="B42596" s="136"/>
    </row>
    <row r="42597" spans="1:2" x14ac:dyDescent="0.25">
      <c r="A42597" s="118"/>
      <c r="B42597" s="136"/>
    </row>
    <row r="42598" spans="1:2" x14ac:dyDescent="0.25">
      <c r="A42598" s="118"/>
      <c r="B42598" s="136"/>
    </row>
    <row r="42599" spans="1:2" x14ac:dyDescent="0.25">
      <c r="A42599" s="118"/>
      <c r="B42599" s="136"/>
    </row>
    <row r="42600" spans="1:2" x14ac:dyDescent="0.25">
      <c r="A42600" s="118"/>
      <c r="B42600" s="136"/>
    </row>
    <row r="42601" spans="1:2" x14ac:dyDescent="0.25">
      <c r="A42601" s="118"/>
      <c r="B42601" s="136"/>
    </row>
    <row r="42602" spans="1:2" x14ac:dyDescent="0.25">
      <c r="A42602" s="118"/>
      <c r="B42602" s="136"/>
    </row>
    <row r="42603" spans="1:2" x14ac:dyDescent="0.25">
      <c r="A42603" s="118"/>
      <c r="B42603" s="136"/>
    </row>
    <row r="42604" spans="1:2" x14ac:dyDescent="0.25">
      <c r="A42604" s="118"/>
      <c r="B42604" s="136"/>
    </row>
    <row r="42605" spans="1:2" x14ac:dyDescent="0.25">
      <c r="A42605" s="118"/>
      <c r="B42605" s="136"/>
    </row>
    <row r="42606" spans="1:2" x14ac:dyDescent="0.25">
      <c r="A42606" s="118"/>
      <c r="B42606" s="136"/>
    </row>
    <row r="42607" spans="1:2" x14ac:dyDescent="0.25">
      <c r="A42607" s="118"/>
      <c r="B42607" s="136"/>
    </row>
    <row r="42608" spans="1:2" x14ac:dyDescent="0.25">
      <c r="A42608" s="118"/>
      <c r="B42608" s="136"/>
    </row>
    <row r="42609" spans="1:2" x14ac:dyDescent="0.25">
      <c r="A42609" s="118"/>
      <c r="B42609" s="136"/>
    </row>
    <row r="42610" spans="1:2" x14ac:dyDescent="0.25">
      <c r="A42610" s="118"/>
      <c r="B42610" s="136"/>
    </row>
    <row r="42611" spans="1:2" x14ac:dyDescent="0.25">
      <c r="A42611" s="118"/>
      <c r="B42611" s="136"/>
    </row>
    <row r="42612" spans="1:2" x14ac:dyDescent="0.25">
      <c r="A42612" s="118"/>
      <c r="B42612" s="136"/>
    </row>
    <row r="42613" spans="1:2" x14ac:dyDescent="0.25">
      <c r="A42613" s="118"/>
      <c r="B42613" s="136"/>
    </row>
    <row r="42614" spans="1:2" x14ac:dyDescent="0.25">
      <c r="A42614" s="118"/>
      <c r="B42614" s="136"/>
    </row>
    <row r="42615" spans="1:2" x14ac:dyDescent="0.25">
      <c r="A42615" s="118"/>
      <c r="B42615" s="136"/>
    </row>
    <row r="42616" spans="1:2" x14ac:dyDescent="0.25">
      <c r="A42616" s="118"/>
      <c r="B42616" s="136"/>
    </row>
    <row r="42617" spans="1:2" x14ac:dyDescent="0.25">
      <c r="A42617" s="118"/>
      <c r="B42617" s="136"/>
    </row>
    <row r="42618" spans="1:2" x14ac:dyDescent="0.25">
      <c r="A42618" s="118"/>
      <c r="B42618" s="136"/>
    </row>
    <row r="42619" spans="1:2" x14ac:dyDescent="0.25">
      <c r="A42619" s="118"/>
      <c r="B42619" s="136"/>
    </row>
    <row r="42620" spans="1:2" x14ac:dyDescent="0.25">
      <c r="A42620" s="118"/>
      <c r="B42620" s="136"/>
    </row>
    <row r="42621" spans="1:2" x14ac:dyDescent="0.25">
      <c r="A42621" s="118"/>
      <c r="B42621" s="136"/>
    </row>
    <row r="42622" spans="1:2" x14ac:dyDescent="0.25">
      <c r="A42622" s="118"/>
      <c r="B42622" s="136"/>
    </row>
    <row r="42623" spans="1:2" x14ac:dyDescent="0.25">
      <c r="A42623" s="118"/>
      <c r="B42623" s="136"/>
    </row>
    <row r="42624" spans="1:2" x14ac:dyDescent="0.25">
      <c r="A42624" s="118"/>
      <c r="B42624" s="136"/>
    </row>
    <row r="42625" spans="1:2" x14ac:dyDescent="0.25">
      <c r="A42625" s="118"/>
      <c r="B42625" s="136"/>
    </row>
    <row r="42626" spans="1:2" x14ac:dyDescent="0.25">
      <c r="A42626" s="118"/>
      <c r="B42626" s="136"/>
    </row>
    <row r="42627" spans="1:2" x14ac:dyDescent="0.25">
      <c r="A42627" s="118"/>
      <c r="B42627" s="136"/>
    </row>
    <row r="42628" spans="1:2" x14ac:dyDescent="0.25">
      <c r="A42628" s="118"/>
      <c r="B42628" s="136"/>
    </row>
    <row r="42629" spans="1:2" x14ac:dyDescent="0.25">
      <c r="A42629" s="118"/>
      <c r="B42629" s="136"/>
    </row>
    <row r="42630" spans="1:2" x14ac:dyDescent="0.25">
      <c r="A42630" s="118"/>
      <c r="B42630" s="136"/>
    </row>
    <row r="42631" spans="1:2" x14ac:dyDescent="0.25">
      <c r="A42631" s="118"/>
      <c r="B42631" s="136"/>
    </row>
    <row r="42632" spans="1:2" x14ac:dyDescent="0.25">
      <c r="A42632" s="118"/>
      <c r="B42632" s="136"/>
    </row>
    <row r="42633" spans="1:2" x14ac:dyDescent="0.25">
      <c r="A42633" s="118"/>
      <c r="B42633" s="136"/>
    </row>
    <row r="42634" spans="1:2" x14ac:dyDescent="0.25">
      <c r="A42634" s="118"/>
      <c r="B42634" s="136"/>
    </row>
    <row r="42635" spans="1:2" x14ac:dyDescent="0.25">
      <c r="A42635" s="118"/>
      <c r="B42635" s="136"/>
    </row>
    <row r="42636" spans="1:2" x14ac:dyDescent="0.25">
      <c r="A42636" s="118"/>
      <c r="B42636" s="136"/>
    </row>
    <row r="42637" spans="1:2" x14ac:dyDescent="0.25">
      <c r="A42637" s="118"/>
      <c r="B42637" s="136"/>
    </row>
    <row r="42638" spans="1:2" x14ac:dyDescent="0.25">
      <c r="A42638" s="118"/>
      <c r="B42638" s="136"/>
    </row>
    <row r="42639" spans="1:2" x14ac:dyDescent="0.25">
      <c r="A42639" s="118"/>
      <c r="B42639" s="136"/>
    </row>
    <row r="42640" spans="1:2" x14ac:dyDescent="0.25">
      <c r="A42640" s="118"/>
      <c r="B42640" s="136"/>
    </row>
    <row r="42641" spans="1:2" x14ac:dyDescent="0.25">
      <c r="A42641" s="118"/>
      <c r="B42641" s="136"/>
    </row>
    <row r="42642" spans="1:2" x14ac:dyDescent="0.25">
      <c r="A42642" s="118"/>
      <c r="B42642" s="136"/>
    </row>
    <row r="42643" spans="1:2" x14ac:dyDescent="0.25">
      <c r="A42643" s="118"/>
      <c r="B42643" s="136"/>
    </row>
    <row r="42644" spans="1:2" x14ac:dyDescent="0.25">
      <c r="A42644" s="118"/>
      <c r="B42644" s="136"/>
    </row>
    <row r="42645" spans="1:2" x14ac:dyDescent="0.25">
      <c r="A42645" s="118"/>
      <c r="B42645" s="136"/>
    </row>
    <row r="42646" spans="1:2" x14ac:dyDescent="0.25">
      <c r="A42646" s="118"/>
      <c r="B42646" s="136"/>
    </row>
    <row r="42647" spans="1:2" x14ac:dyDescent="0.25">
      <c r="A42647" s="118"/>
      <c r="B42647" s="136"/>
    </row>
    <row r="42648" spans="1:2" x14ac:dyDescent="0.25">
      <c r="A42648" s="118"/>
      <c r="B42648" s="136"/>
    </row>
    <row r="42649" spans="1:2" x14ac:dyDescent="0.25">
      <c r="A42649" s="118"/>
      <c r="B42649" s="136"/>
    </row>
    <row r="42650" spans="1:2" x14ac:dyDescent="0.25">
      <c r="A42650" s="118"/>
      <c r="B42650" s="136"/>
    </row>
    <row r="42651" spans="1:2" x14ac:dyDescent="0.25">
      <c r="A42651" s="118"/>
      <c r="B42651" s="136"/>
    </row>
    <row r="42652" spans="1:2" x14ac:dyDescent="0.25">
      <c r="A42652" s="118"/>
      <c r="B42652" s="136"/>
    </row>
    <row r="42653" spans="1:2" x14ac:dyDescent="0.25">
      <c r="A42653" s="118"/>
      <c r="B42653" s="136"/>
    </row>
    <row r="42654" spans="1:2" x14ac:dyDescent="0.25">
      <c r="A42654" s="118"/>
      <c r="B42654" s="136"/>
    </row>
    <row r="42655" spans="1:2" x14ac:dyDescent="0.25">
      <c r="A42655" s="118"/>
      <c r="B42655" s="136"/>
    </row>
    <row r="42656" spans="1:2" x14ac:dyDescent="0.25">
      <c r="A42656" s="118"/>
      <c r="B42656" s="136"/>
    </row>
    <row r="42657" spans="1:2" x14ac:dyDescent="0.25">
      <c r="A42657" s="118"/>
      <c r="B42657" s="136"/>
    </row>
    <row r="42658" spans="1:2" x14ac:dyDescent="0.25">
      <c r="A42658" s="118"/>
      <c r="B42658" s="136"/>
    </row>
    <row r="42659" spans="1:2" x14ac:dyDescent="0.25">
      <c r="A42659" s="118"/>
      <c r="B42659" s="136"/>
    </row>
    <row r="42660" spans="1:2" x14ac:dyDescent="0.25">
      <c r="A42660" s="118"/>
      <c r="B42660" s="136"/>
    </row>
    <row r="42661" spans="1:2" x14ac:dyDescent="0.25">
      <c r="A42661" s="118"/>
      <c r="B42661" s="136"/>
    </row>
    <row r="42662" spans="1:2" x14ac:dyDescent="0.25">
      <c r="A42662" s="118"/>
      <c r="B42662" s="136"/>
    </row>
    <row r="42663" spans="1:2" x14ac:dyDescent="0.25">
      <c r="A42663" s="118"/>
      <c r="B42663" s="136"/>
    </row>
    <row r="42664" spans="1:2" x14ac:dyDescent="0.25">
      <c r="A42664" s="118"/>
      <c r="B42664" s="136"/>
    </row>
    <row r="42665" spans="1:2" x14ac:dyDescent="0.25">
      <c r="A42665" s="118"/>
      <c r="B42665" s="136"/>
    </row>
    <row r="42666" spans="1:2" x14ac:dyDescent="0.25">
      <c r="A42666" s="118"/>
      <c r="B42666" s="136"/>
    </row>
    <row r="42667" spans="1:2" x14ac:dyDescent="0.25">
      <c r="A42667" s="118"/>
      <c r="B42667" s="136"/>
    </row>
    <row r="42668" spans="1:2" x14ac:dyDescent="0.25">
      <c r="A42668" s="118"/>
      <c r="B42668" s="136"/>
    </row>
    <row r="42669" spans="1:2" x14ac:dyDescent="0.25">
      <c r="A42669" s="118"/>
      <c r="B42669" s="136"/>
    </row>
    <row r="42670" spans="1:2" x14ac:dyDescent="0.25">
      <c r="A42670" s="118"/>
      <c r="B42670" s="136"/>
    </row>
    <row r="42671" spans="1:2" x14ac:dyDescent="0.25">
      <c r="A42671" s="118"/>
      <c r="B42671" s="136"/>
    </row>
    <row r="42672" spans="1:2" x14ac:dyDescent="0.25">
      <c r="A42672" s="118"/>
      <c r="B42672" s="136"/>
    </row>
    <row r="42673" spans="1:2" x14ac:dyDescent="0.25">
      <c r="A42673" s="118"/>
      <c r="B42673" s="136"/>
    </row>
    <row r="42674" spans="1:2" x14ac:dyDescent="0.25">
      <c r="A42674" s="118"/>
      <c r="B42674" s="136"/>
    </row>
    <row r="42675" spans="1:2" x14ac:dyDescent="0.25">
      <c r="A42675" s="118"/>
      <c r="B42675" s="136"/>
    </row>
    <row r="42676" spans="1:2" x14ac:dyDescent="0.25">
      <c r="A42676" s="118"/>
      <c r="B42676" s="136"/>
    </row>
    <row r="42677" spans="1:2" x14ac:dyDescent="0.25">
      <c r="A42677" s="118"/>
      <c r="B42677" s="136"/>
    </row>
    <row r="42678" spans="1:2" x14ac:dyDescent="0.25">
      <c r="A42678" s="118"/>
      <c r="B42678" s="136"/>
    </row>
    <row r="42679" spans="1:2" x14ac:dyDescent="0.25">
      <c r="A42679" s="118"/>
      <c r="B42679" s="136"/>
    </row>
    <row r="42680" spans="1:2" x14ac:dyDescent="0.25">
      <c r="A42680" s="118"/>
      <c r="B42680" s="136"/>
    </row>
    <row r="42681" spans="1:2" x14ac:dyDescent="0.25">
      <c r="A42681" s="118"/>
      <c r="B42681" s="136"/>
    </row>
    <row r="42682" spans="1:2" x14ac:dyDescent="0.25">
      <c r="A42682" s="118"/>
      <c r="B42682" s="136"/>
    </row>
    <row r="42683" spans="1:2" x14ac:dyDescent="0.25">
      <c r="A42683" s="118"/>
      <c r="B42683" s="136"/>
    </row>
    <row r="42684" spans="1:2" x14ac:dyDescent="0.25">
      <c r="A42684" s="118"/>
      <c r="B42684" s="136"/>
    </row>
    <row r="42685" spans="1:2" x14ac:dyDescent="0.25">
      <c r="A42685" s="118"/>
      <c r="B42685" s="136"/>
    </row>
    <row r="42686" spans="1:2" x14ac:dyDescent="0.25">
      <c r="A42686" s="118"/>
      <c r="B42686" s="136"/>
    </row>
    <row r="42687" spans="1:2" x14ac:dyDescent="0.25">
      <c r="A42687" s="118"/>
      <c r="B42687" s="136"/>
    </row>
    <row r="42688" spans="1:2" x14ac:dyDescent="0.25">
      <c r="A42688" s="118"/>
      <c r="B42688" s="136"/>
    </row>
    <row r="42689" spans="1:2" x14ac:dyDescent="0.25">
      <c r="A42689" s="118"/>
      <c r="B42689" s="136"/>
    </row>
    <row r="42690" spans="1:2" x14ac:dyDescent="0.25">
      <c r="A42690" s="118"/>
      <c r="B42690" s="136"/>
    </row>
    <row r="42691" spans="1:2" x14ac:dyDescent="0.25">
      <c r="A42691" s="118"/>
      <c r="B42691" s="136"/>
    </row>
    <row r="42692" spans="1:2" x14ac:dyDescent="0.25">
      <c r="A42692" s="118"/>
      <c r="B42692" s="136"/>
    </row>
    <row r="42693" spans="1:2" x14ac:dyDescent="0.25">
      <c r="A42693" s="118"/>
      <c r="B42693" s="136"/>
    </row>
    <row r="42694" spans="1:2" x14ac:dyDescent="0.25">
      <c r="A42694" s="118"/>
      <c r="B42694" s="136"/>
    </row>
    <row r="42695" spans="1:2" x14ac:dyDescent="0.25">
      <c r="A42695" s="118"/>
      <c r="B42695" s="136"/>
    </row>
    <row r="42696" spans="1:2" x14ac:dyDescent="0.25">
      <c r="A42696" s="118"/>
      <c r="B42696" s="136"/>
    </row>
    <row r="42697" spans="1:2" x14ac:dyDescent="0.25">
      <c r="A42697" s="118"/>
      <c r="B42697" s="136"/>
    </row>
    <row r="42698" spans="1:2" x14ac:dyDescent="0.25">
      <c r="A42698" s="118"/>
      <c r="B42698" s="136"/>
    </row>
    <row r="42699" spans="1:2" x14ac:dyDescent="0.25">
      <c r="A42699" s="118"/>
      <c r="B42699" s="136"/>
    </row>
    <row r="42700" spans="1:2" x14ac:dyDescent="0.25">
      <c r="A42700" s="118"/>
      <c r="B42700" s="136"/>
    </row>
    <row r="42701" spans="1:2" x14ac:dyDescent="0.25">
      <c r="A42701" s="118"/>
      <c r="B42701" s="136"/>
    </row>
    <row r="42702" spans="1:2" x14ac:dyDescent="0.25">
      <c r="A42702" s="118"/>
      <c r="B42702" s="136"/>
    </row>
    <row r="42703" spans="1:2" x14ac:dyDescent="0.25">
      <c r="A42703" s="118"/>
      <c r="B42703" s="136"/>
    </row>
    <row r="42704" spans="1:2" x14ac:dyDescent="0.25">
      <c r="A42704" s="118"/>
      <c r="B42704" s="136"/>
    </row>
    <row r="42705" spans="1:2" x14ac:dyDescent="0.25">
      <c r="A42705" s="118"/>
      <c r="B42705" s="136"/>
    </row>
    <row r="42706" spans="1:2" x14ac:dyDescent="0.25">
      <c r="A42706" s="118"/>
      <c r="B42706" s="136"/>
    </row>
    <row r="42707" spans="1:2" x14ac:dyDescent="0.25">
      <c r="A42707" s="118"/>
      <c r="B42707" s="136"/>
    </row>
    <row r="42708" spans="1:2" x14ac:dyDescent="0.25">
      <c r="A42708" s="118"/>
      <c r="B42708" s="136"/>
    </row>
    <row r="42709" spans="1:2" x14ac:dyDescent="0.25">
      <c r="A42709" s="118"/>
      <c r="B42709" s="136"/>
    </row>
    <row r="42710" spans="1:2" x14ac:dyDescent="0.25">
      <c r="A42710" s="118"/>
      <c r="B42710" s="136"/>
    </row>
    <row r="42711" spans="1:2" x14ac:dyDescent="0.25">
      <c r="A42711" s="118"/>
      <c r="B42711" s="136"/>
    </row>
    <row r="42712" spans="1:2" x14ac:dyDescent="0.25">
      <c r="A42712" s="118"/>
      <c r="B42712" s="136"/>
    </row>
    <row r="42713" spans="1:2" x14ac:dyDescent="0.25">
      <c r="A42713" s="118"/>
      <c r="B42713" s="136"/>
    </row>
    <row r="42714" spans="1:2" x14ac:dyDescent="0.25">
      <c r="A42714" s="118"/>
      <c r="B42714" s="136"/>
    </row>
    <row r="42715" spans="1:2" x14ac:dyDescent="0.25">
      <c r="A42715" s="118"/>
      <c r="B42715" s="136"/>
    </row>
    <row r="42716" spans="1:2" x14ac:dyDescent="0.25">
      <c r="A42716" s="118"/>
      <c r="B42716" s="136"/>
    </row>
    <row r="42717" spans="1:2" x14ac:dyDescent="0.25">
      <c r="A42717" s="118"/>
      <c r="B42717" s="136"/>
    </row>
    <row r="42718" spans="1:2" x14ac:dyDescent="0.25">
      <c r="A42718" s="118"/>
      <c r="B42718" s="136"/>
    </row>
    <row r="42719" spans="1:2" x14ac:dyDescent="0.25">
      <c r="A42719" s="118"/>
      <c r="B42719" s="136"/>
    </row>
    <row r="42720" spans="1:2" x14ac:dyDescent="0.25">
      <c r="A42720" s="118"/>
      <c r="B42720" s="136"/>
    </row>
    <row r="42721" spans="1:2" x14ac:dyDescent="0.25">
      <c r="A42721" s="118"/>
      <c r="B42721" s="136"/>
    </row>
    <row r="42722" spans="1:2" x14ac:dyDescent="0.25">
      <c r="A42722" s="118"/>
      <c r="B42722" s="136"/>
    </row>
    <row r="42723" spans="1:2" x14ac:dyDescent="0.25">
      <c r="A42723" s="118"/>
      <c r="B42723" s="136"/>
    </row>
    <row r="42724" spans="1:2" x14ac:dyDescent="0.25">
      <c r="A42724" s="118"/>
      <c r="B42724" s="136"/>
    </row>
    <row r="42725" spans="1:2" x14ac:dyDescent="0.25">
      <c r="A42725" s="118"/>
      <c r="B42725" s="136"/>
    </row>
    <row r="42726" spans="1:2" x14ac:dyDescent="0.25">
      <c r="A42726" s="118"/>
      <c r="B42726" s="136"/>
    </row>
    <row r="42727" spans="1:2" x14ac:dyDescent="0.25">
      <c r="A42727" s="118"/>
      <c r="B42727" s="136"/>
    </row>
    <row r="42728" spans="1:2" x14ac:dyDescent="0.25">
      <c r="A42728" s="118"/>
      <c r="B42728" s="136"/>
    </row>
    <row r="42729" spans="1:2" x14ac:dyDescent="0.25">
      <c r="A42729" s="118"/>
      <c r="B42729" s="136"/>
    </row>
    <row r="42730" spans="1:2" x14ac:dyDescent="0.25">
      <c r="A42730" s="118"/>
      <c r="B42730" s="136"/>
    </row>
    <row r="42731" spans="1:2" x14ac:dyDescent="0.25">
      <c r="A42731" s="118"/>
      <c r="B42731" s="136"/>
    </row>
    <row r="42732" spans="1:2" x14ac:dyDescent="0.25">
      <c r="A42732" s="118"/>
      <c r="B42732" s="136"/>
    </row>
    <row r="42733" spans="1:2" x14ac:dyDescent="0.25">
      <c r="A42733" s="118"/>
      <c r="B42733" s="136"/>
    </row>
    <row r="42734" spans="1:2" x14ac:dyDescent="0.25">
      <c r="A42734" s="118"/>
      <c r="B42734" s="136"/>
    </row>
    <row r="42735" spans="1:2" x14ac:dyDescent="0.25">
      <c r="A42735" s="118"/>
      <c r="B42735" s="136"/>
    </row>
    <row r="42736" spans="1:2" x14ac:dyDescent="0.25">
      <c r="A42736" s="118"/>
      <c r="B42736" s="136"/>
    </row>
    <row r="42737" spans="1:2" x14ac:dyDescent="0.25">
      <c r="A42737" s="118"/>
      <c r="B42737" s="136"/>
    </row>
    <row r="42738" spans="1:2" x14ac:dyDescent="0.25">
      <c r="A42738" s="118"/>
      <c r="B42738" s="136"/>
    </row>
    <row r="42739" spans="1:2" x14ac:dyDescent="0.25">
      <c r="A42739" s="118"/>
      <c r="B42739" s="136"/>
    </row>
    <row r="42740" spans="1:2" x14ac:dyDescent="0.25">
      <c r="A42740" s="118"/>
      <c r="B42740" s="136"/>
    </row>
    <row r="42741" spans="1:2" x14ac:dyDescent="0.25">
      <c r="A42741" s="118"/>
      <c r="B42741" s="136"/>
    </row>
    <row r="42742" spans="1:2" x14ac:dyDescent="0.25">
      <c r="A42742" s="118"/>
      <c r="B42742" s="136"/>
    </row>
    <row r="42743" spans="1:2" x14ac:dyDescent="0.25">
      <c r="A42743" s="118"/>
      <c r="B42743" s="136"/>
    </row>
    <row r="42744" spans="1:2" x14ac:dyDescent="0.25">
      <c r="A42744" s="118"/>
      <c r="B42744" s="136"/>
    </row>
    <row r="42745" spans="1:2" x14ac:dyDescent="0.25">
      <c r="A42745" s="118"/>
      <c r="B42745" s="136"/>
    </row>
    <row r="42746" spans="1:2" x14ac:dyDescent="0.25">
      <c r="A42746" s="118"/>
      <c r="B42746" s="136"/>
    </row>
    <row r="42747" spans="1:2" x14ac:dyDescent="0.25">
      <c r="A42747" s="118"/>
      <c r="B42747" s="136"/>
    </row>
    <row r="42748" spans="1:2" x14ac:dyDescent="0.25">
      <c r="A42748" s="118"/>
      <c r="B42748" s="136"/>
    </row>
    <row r="42749" spans="1:2" x14ac:dyDescent="0.25">
      <c r="A42749" s="118"/>
      <c r="B42749" s="136"/>
    </row>
    <row r="42750" spans="1:2" x14ac:dyDescent="0.25">
      <c r="A42750" s="118"/>
      <c r="B42750" s="136"/>
    </row>
    <row r="42751" spans="1:2" x14ac:dyDescent="0.25">
      <c r="A42751" s="118"/>
      <c r="B42751" s="136"/>
    </row>
    <row r="42752" spans="1:2" x14ac:dyDescent="0.25">
      <c r="A42752" s="118"/>
      <c r="B42752" s="136"/>
    </row>
    <row r="42753" spans="1:2" x14ac:dyDescent="0.25">
      <c r="A42753" s="118"/>
      <c r="B42753" s="136"/>
    </row>
    <row r="42754" spans="1:2" x14ac:dyDescent="0.25">
      <c r="A42754" s="118"/>
      <c r="B42754" s="136"/>
    </row>
    <row r="42755" spans="1:2" x14ac:dyDescent="0.25">
      <c r="A42755" s="118"/>
      <c r="B42755" s="136"/>
    </row>
    <row r="42756" spans="1:2" x14ac:dyDescent="0.25">
      <c r="A42756" s="118"/>
      <c r="B42756" s="136"/>
    </row>
    <row r="42757" spans="1:2" x14ac:dyDescent="0.25">
      <c r="A42757" s="118"/>
      <c r="B42757" s="136"/>
    </row>
    <row r="42758" spans="1:2" x14ac:dyDescent="0.25">
      <c r="A42758" s="118"/>
      <c r="B42758" s="136"/>
    </row>
    <row r="42759" spans="1:2" x14ac:dyDescent="0.25">
      <c r="A42759" s="118"/>
      <c r="B42759" s="136"/>
    </row>
    <row r="42760" spans="1:2" x14ac:dyDescent="0.25">
      <c r="A42760" s="118"/>
      <c r="B42760" s="136"/>
    </row>
    <row r="42761" spans="1:2" x14ac:dyDescent="0.25">
      <c r="A42761" s="118"/>
      <c r="B42761" s="136"/>
    </row>
    <row r="42762" spans="1:2" x14ac:dyDescent="0.25">
      <c r="A42762" s="118"/>
      <c r="B42762" s="136"/>
    </row>
    <row r="42763" spans="1:2" x14ac:dyDescent="0.25">
      <c r="A42763" s="118"/>
      <c r="B42763" s="136"/>
    </row>
    <row r="42764" spans="1:2" x14ac:dyDescent="0.25">
      <c r="A42764" s="118"/>
      <c r="B42764" s="136"/>
    </row>
    <row r="42765" spans="1:2" x14ac:dyDescent="0.25">
      <c r="A42765" s="118"/>
      <c r="B42765" s="136"/>
    </row>
    <row r="42766" spans="1:2" x14ac:dyDescent="0.25">
      <c r="A42766" s="118"/>
      <c r="B42766" s="136"/>
    </row>
    <row r="42767" spans="1:2" x14ac:dyDescent="0.25">
      <c r="A42767" s="118"/>
      <c r="B42767" s="136"/>
    </row>
    <row r="42768" spans="1:2" x14ac:dyDescent="0.25">
      <c r="A42768" s="118"/>
      <c r="B42768" s="136"/>
    </row>
    <row r="42769" spans="1:2" x14ac:dyDescent="0.25">
      <c r="A42769" s="118"/>
      <c r="B42769" s="136"/>
    </row>
    <row r="42770" spans="1:2" x14ac:dyDescent="0.25">
      <c r="A42770" s="118"/>
      <c r="B42770" s="136"/>
    </row>
    <row r="42771" spans="1:2" x14ac:dyDescent="0.25">
      <c r="A42771" s="118"/>
      <c r="B42771" s="136"/>
    </row>
    <row r="42772" spans="1:2" x14ac:dyDescent="0.25">
      <c r="A42772" s="118"/>
      <c r="B42772" s="136"/>
    </row>
    <row r="42773" spans="1:2" x14ac:dyDescent="0.25">
      <c r="A42773" s="118"/>
      <c r="B42773" s="136"/>
    </row>
    <row r="42774" spans="1:2" x14ac:dyDescent="0.25">
      <c r="A42774" s="118"/>
      <c r="B42774" s="136"/>
    </row>
    <row r="42775" spans="1:2" x14ac:dyDescent="0.25">
      <c r="A42775" s="118"/>
      <c r="B42775" s="136"/>
    </row>
    <row r="42776" spans="1:2" x14ac:dyDescent="0.25">
      <c r="A42776" s="118"/>
      <c r="B42776" s="136"/>
    </row>
    <row r="42777" spans="1:2" x14ac:dyDescent="0.25">
      <c r="A42777" s="118"/>
      <c r="B42777" s="136"/>
    </row>
    <row r="42778" spans="1:2" x14ac:dyDescent="0.25">
      <c r="A42778" s="118"/>
      <c r="B42778" s="136"/>
    </row>
    <row r="42779" spans="1:2" x14ac:dyDescent="0.25">
      <c r="A42779" s="118"/>
      <c r="B42779" s="136"/>
    </row>
    <row r="42780" spans="1:2" x14ac:dyDescent="0.25">
      <c r="A42780" s="118"/>
      <c r="B42780" s="136"/>
    </row>
    <row r="42781" spans="1:2" x14ac:dyDescent="0.25">
      <c r="A42781" s="118"/>
      <c r="B42781" s="136"/>
    </row>
    <row r="42782" spans="1:2" x14ac:dyDescent="0.25">
      <c r="A42782" s="118"/>
      <c r="B42782" s="136"/>
    </row>
    <row r="42783" spans="1:2" x14ac:dyDescent="0.25">
      <c r="A42783" s="118"/>
      <c r="B42783" s="136"/>
    </row>
    <row r="42784" spans="1:2" x14ac:dyDescent="0.25">
      <c r="A42784" s="118"/>
      <c r="B42784" s="136"/>
    </row>
    <row r="42785" spans="1:2" x14ac:dyDescent="0.25">
      <c r="A42785" s="118"/>
      <c r="B42785" s="136"/>
    </row>
    <row r="42786" spans="1:2" x14ac:dyDescent="0.25">
      <c r="A42786" s="118"/>
      <c r="B42786" s="136"/>
    </row>
    <row r="42787" spans="1:2" x14ac:dyDescent="0.25">
      <c r="A42787" s="118"/>
      <c r="B42787" s="136"/>
    </row>
    <row r="42788" spans="1:2" x14ac:dyDescent="0.25">
      <c r="A42788" s="118"/>
      <c r="B42788" s="136"/>
    </row>
    <row r="42789" spans="1:2" x14ac:dyDescent="0.25">
      <c r="A42789" s="118"/>
      <c r="B42789" s="136"/>
    </row>
    <row r="42790" spans="1:2" x14ac:dyDescent="0.25">
      <c r="A42790" s="118"/>
      <c r="B42790" s="136"/>
    </row>
    <row r="42791" spans="1:2" x14ac:dyDescent="0.25">
      <c r="A42791" s="118"/>
      <c r="B42791" s="136"/>
    </row>
    <row r="42792" spans="1:2" x14ac:dyDescent="0.25">
      <c r="A42792" s="118"/>
      <c r="B42792" s="136"/>
    </row>
    <row r="42793" spans="1:2" x14ac:dyDescent="0.25">
      <c r="A42793" s="118"/>
      <c r="B42793" s="136"/>
    </row>
    <row r="42794" spans="1:2" x14ac:dyDescent="0.25">
      <c r="A42794" s="118"/>
      <c r="B42794" s="136"/>
    </row>
    <row r="42795" spans="1:2" x14ac:dyDescent="0.25">
      <c r="A42795" s="118"/>
      <c r="B42795" s="136"/>
    </row>
    <row r="42796" spans="1:2" x14ac:dyDescent="0.25">
      <c r="A42796" s="118"/>
      <c r="B42796" s="136"/>
    </row>
    <row r="42797" spans="1:2" x14ac:dyDescent="0.25">
      <c r="A42797" s="118"/>
      <c r="B42797" s="136"/>
    </row>
    <row r="42798" spans="1:2" x14ac:dyDescent="0.25">
      <c r="A42798" s="118"/>
      <c r="B42798" s="136"/>
    </row>
    <row r="42799" spans="1:2" x14ac:dyDescent="0.25">
      <c r="A42799" s="118"/>
      <c r="B42799" s="136"/>
    </row>
    <row r="42800" spans="1:2" x14ac:dyDescent="0.25">
      <c r="A42800" s="118"/>
      <c r="B42800" s="136"/>
    </row>
    <row r="42801" spans="1:2" x14ac:dyDescent="0.25">
      <c r="A42801" s="118"/>
      <c r="B42801" s="136"/>
    </row>
    <row r="42802" spans="1:2" x14ac:dyDescent="0.25">
      <c r="A42802" s="118"/>
      <c r="B42802" s="136"/>
    </row>
    <row r="42803" spans="1:2" x14ac:dyDescent="0.25">
      <c r="A42803" s="118"/>
      <c r="B42803" s="136"/>
    </row>
    <row r="42804" spans="1:2" x14ac:dyDescent="0.25">
      <c r="A42804" s="118"/>
      <c r="B42804" s="136"/>
    </row>
    <row r="42805" spans="1:2" x14ac:dyDescent="0.25">
      <c r="A42805" s="118"/>
      <c r="B42805" s="136"/>
    </row>
    <row r="42806" spans="1:2" x14ac:dyDescent="0.25">
      <c r="A42806" s="118"/>
      <c r="B42806" s="136"/>
    </row>
    <row r="42807" spans="1:2" x14ac:dyDescent="0.25">
      <c r="A42807" s="118"/>
      <c r="B42807" s="136"/>
    </row>
    <row r="42808" spans="1:2" x14ac:dyDescent="0.25">
      <c r="A42808" s="118"/>
      <c r="B42808" s="136"/>
    </row>
    <row r="42809" spans="1:2" x14ac:dyDescent="0.25">
      <c r="A42809" s="118"/>
      <c r="B42809" s="136"/>
    </row>
    <row r="42810" spans="1:2" x14ac:dyDescent="0.25">
      <c r="A42810" s="118"/>
      <c r="B42810" s="136"/>
    </row>
    <row r="42811" spans="1:2" x14ac:dyDescent="0.25">
      <c r="A42811" s="118"/>
      <c r="B42811" s="136"/>
    </row>
    <row r="42812" spans="1:2" x14ac:dyDescent="0.25">
      <c r="A42812" s="118"/>
      <c r="B42812" s="136"/>
    </row>
    <row r="42813" spans="1:2" x14ac:dyDescent="0.25">
      <c r="A42813" s="118"/>
      <c r="B42813" s="136"/>
    </row>
    <row r="42814" spans="1:2" x14ac:dyDescent="0.25">
      <c r="A42814" s="118"/>
      <c r="B42814" s="136"/>
    </row>
    <row r="42815" spans="1:2" x14ac:dyDescent="0.25">
      <c r="A42815" s="118"/>
      <c r="B42815" s="136"/>
    </row>
    <row r="42816" spans="1:2" x14ac:dyDescent="0.25">
      <c r="A42816" s="118"/>
      <c r="B42816" s="136"/>
    </row>
    <row r="42817" spans="1:2" x14ac:dyDescent="0.25">
      <c r="A42817" s="118"/>
      <c r="B42817" s="136"/>
    </row>
    <row r="42818" spans="1:2" x14ac:dyDescent="0.25">
      <c r="A42818" s="118"/>
      <c r="B42818" s="136"/>
    </row>
    <row r="42819" spans="1:2" x14ac:dyDescent="0.25">
      <c r="A42819" s="118"/>
      <c r="B42819" s="136"/>
    </row>
    <row r="42820" spans="1:2" x14ac:dyDescent="0.25">
      <c r="A42820" s="118"/>
      <c r="B42820" s="136"/>
    </row>
    <row r="42821" spans="1:2" x14ac:dyDescent="0.25">
      <c r="A42821" s="118"/>
      <c r="B42821" s="136"/>
    </row>
    <row r="42822" spans="1:2" x14ac:dyDescent="0.25">
      <c r="A42822" s="118"/>
      <c r="B42822" s="136"/>
    </row>
    <row r="42823" spans="1:2" x14ac:dyDescent="0.25">
      <c r="A42823" s="118"/>
      <c r="B42823" s="136"/>
    </row>
    <row r="42824" spans="1:2" x14ac:dyDescent="0.25">
      <c r="A42824" s="118"/>
      <c r="B42824" s="136"/>
    </row>
    <row r="42825" spans="1:2" x14ac:dyDescent="0.25">
      <c r="A42825" s="118"/>
      <c r="B42825" s="136"/>
    </row>
    <row r="42826" spans="1:2" x14ac:dyDescent="0.25">
      <c r="A42826" s="118"/>
      <c r="B42826" s="136"/>
    </row>
    <row r="42827" spans="1:2" x14ac:dyDescent="0.25">
      <c r="A42827" s="118"/>
      <c r="B42827" s="136"/>
    </row>
    <row r="42828" spans="1:2" x14ac:dyDescent="0.25">
      <c r="A42828" s="118"/>
      <c r="B42828" s="136"/>
    </row>
    <row r="42829" spans="1:2" x14ac:dyDescent="0.25">
      <c r="A42829" s="118"/>
      <c r="B42829" s="136"/>
    </row>
    <row r="42830" spans="1:2" x14ac:dyDescent="0.25">
      <c r="A42830" s="118"/>
      <c r="B42830" s="136"/>
    </row>
    <row r="42831" spans="1:2" x14ac:dyDescent="0.25">
      <c r="A42831" s="118"/>
      <c r="B42831" s="136"/>
    </row>
    <row r="42832" spans="1:2" x14ac:dyDescent="0.25">
      <c r="A42832" s="118"/>
      <c r="B42832" s="136"/>
    </row>
    <row r="42833" spans="1:2" x14ac:dyDescent="0.25">
      <c r="A42833" s="118"/>
      <c r="B42833" s="136"/>
    </row>
    <row r="42834" spans="1:2" x14ac:dyDescent="0.25">
      <c r="A42834" s="118"/>
      <c r="B42834" s="136"/>
    </row>
    <row r="42835" spans="1:2" x14ac:dyDescent="0.25">
      <c r="A42835" s="118"/>
      <c r="B42835" s="136"/>
    </row>
    <row r="42836" spans="1:2" x14ac:dyDescent="0.25">
      <c r="A42836" s="118"/>
      <c r="B42836" s="136"/>
    </row>
    <row r="42837" spans="1:2" x14ac:dyDescent="0.25">
      <c r="A42837" s="118"/>
      <c r="B42837" s="136"/>
    </row>
    <row r="42838" spans="1:2" x14ac:dyDescent="0.25">
      <c r="A42838" s="118"/>
      <c r="B42838" s="136"/>
    </row>
    <row r="42839" spans="1:2" x14ac:dyDescent="0.25">
      <c r="A42839" s="118"/>
      <c r="B42839" s="136"/>
    </row>
    <row r="42840" spans="1:2" x14ac:dyDescent="0.25">
      <c r="A42840" s="118"/>
      <c r="B42840" s="136"/>
    </row>
    <row r="42841" spans="1:2" x14ac:dyDescent="0.25">
      <c r="A42841" s="118"/>
      <c r="B42841" s="136"/>
    </row>
    <row r="42842" spans="1:2" x14ac:dyDescent="0.25">
      <c r="A42842" s="118"/>
      <c r="B42842" s="136"/>
    </row>
    <row r="42843" spans="1:2" x14ac:dyDescent="0.25">
      <c r="A42843" s="118"/>
      <c r="B42843" s="136"/>
    </row>
    <row r="42844" spans="1:2" x14ac:dyDescent="0.25">
      <c r="A42844" s="118"/>
      <c r="B42844" s="136"/>
    </row>
    <row r="42845" spans="1:2" x14ac:dyDescent="0.25">
      <c r="A42845" s="118"/>
      <c r="B42845" s="136"/>
    </row>
    <row r="42846" spans="1:2" x14ac:dyDescent="0.25">
      <c r="A42846" s="118"/>
      <c r="B42846" s="136"/>
    </row>
    <row r="42847" spans="1:2" x14ac:dyDescent="0.25">
      <c r="A42847" s="118"/>
      <c r="B42847" s="136"/>
    </row>
    <row r="42848" spans="1:2" x14ac:dyDescent="0.25">
      <c r="A42848" s="118"/>
      <c r="B42848" s="136"/>
    </row>
    <row r="42849" spans="1:2" x14ac:dyDescent="0.25">
      <c r="A42849" s="118"/>
      <c r="B42849" s="136"/>
    </row>
    <row r="42850" spans="1:2" x14ac:dyDescent="0.25">
      <c r="A42850" s="118"/>
      <c r="B42850" s="136"/>
    </row>
    <row r="42851" spans="1:2" x14ac:dyDescent="0.25">
      <c r="A42851" s="118"/>
      <c r="B42851" s="136"/>
    </row>
    <row r="42852" spans="1:2" x14ac:dyDescent="0.25">
      <c r="A42852" s="118"/>
      <c r="B42852" s="136"/>
    </row>
    <row r="42853" spans="1:2" x14ac:dyDescent="0.25">
      <c r="A42853" s="118"/>
      <c r="B42853" s="136"/>
    </row>
    <row r="42854" spans="1:2" x14ac:dyDescent="0.25">
      <c r="A42854" s="118"/>
      <c r="B42854" s="136"/>
    </row>
    <row r="42855" spans="1:2" x14ac:dyDescent="0.25">
      <c r="A42855" s="118"/>
      <c r="B42855" s="136"/>
    </row>
    <row r="42856" spans="1:2" x14ac:dyDescent="0.25">
      <c r="A42856" s="118"/>
      <c r="B42856" s="136"/>
    </row>
    <row r="42857" spans="1:2" x14ac:dyDescent="0.25">
      <c r="A42857" s="118"/>
      <c r="B42857" s="136"/>
    </row>
    <row r="42858" spans="1:2" x14ac:dyDescent="0.25">
      <c r="A42858" s="118"/>
      <c r="B42858" s="136"/>
    </row>
    <row r="42859" spans="1:2" x14ac:dyDescent="0.25">
      <c r="A42859" s="118"/>
      <c r="B42859" s="136"/>
    </row>
    <row r="42860" spans="1:2" x14ac:dyDescent="0.25">
      <c r="A42860" s="118"/>
      <c r="B42860" s="136"/>
    </row>
    <row r="42861" spans="1:2" x14ac:dyDescent="0.25">
      <c r="A42861" s="118"/>
      <c r="B42861" s="136"/>
    </row>
    <row r="42862" spans="1:2" x14ac:dyDescent="0.25">
      <c r="A42862" s="118"/>
      <c r="B42862" s="136"/>
    </row>
    <row r="42863" spans="1:2" x14ac:dyDescent="0.25">
      <c r="A42863" s="118"/>
      <c r="B42863" s="136"/>
    </row>
    <row r="42864" spans="1:2" x14ac:dyDescent="0.25">
      <c r="A42864" s="118"/>
      <c r="B42864" s="136"/>
    </row>
    <row r="42865" spans="1:2" x14ac:dyDescent="0.25">
      <c r="A42865" s="118"/>
      <c r="B42865" s="136"/>
    </row>
    <row r="42866" spans="1:2" x14ac:dyDescent="0.25">
      <c r="A42866" s="118"/>
      <c r="B42866" s="136"/>
    </row>
    <row r="42867" spans="1:2" x14ac:dyDescent="0.25">
      <c r="A42867" s="118"/>
      <c r="B42867" s="136"/>
    </row>
    <row r="42868" spans="1:2" x14ac:dyDescent="0.25">
      <c r="A42868" s="118"/>
      <c r="B42868" s="136"/>
    </row>
    <row r="42869" spans="1:2" x14ac:dyDescent="0.25">
      <c r="A42869" s="118"/>
      <c r="B42869" s="136"/>
    </row>
    <row r="42870" spans="1:2" x14ac:dyDescent="0.25">
      <c r="A42870" s="118"/>
      <c r="B42870" s="136"/>
    </row>
    <row r="42871" spans="1:2" x14ac:dyDescent="0.25">
      <c r="A42871" s="118"/>
      <c r="B42871" s="136"/>
    </row>
    <row r="42872" spans="1:2" x14ac:dyDescent="0.25">
      <c r="A42872" s="118"/>
      <c r="B42872" s="136"/>
    </row>
    <row r="42873" spans="1:2" x14ac:dyDescent="0.25">
      <c r="A42873" s="118"/>
      <c r="B42873" s="136"/>
    </row>
    <row r="42874" spans="1:2" x14ac:dyDescent="0.25">
      <c r="A42874" s="118"/>
      <c r="B42874" s="136"/>
    </row>
    <row r="42875" spans="1:2" x14ac:dyDescent="0.25">
      <c r="A42875" s="118"/>
      <c r="B42875" s="136"/>
    </row>
    <row r="42876" spans="1:2" x14ac:dyDescent="0.25">
      <c r="A42876" s="118"/>
      <c r="B42876" s="136"/>
    </row>
    <row r="42877" spans="1:2" x14ac:dyDescent="0.25">
      <c r="A42877" s="118"/>
      <c r="B42877" s="136"/>
    </row>
    <row r="42878" spans="1:2" x14ac:dyDescent="0.25">
      <c r="A42878" s="118"/>
      <c r="B42878" s="136"/>
    </row>
    <row r="42879" spans="1:2" x14ac:dyDescent="0.25">
      <c r="A42879" s="118"/>
      <c r="B42879" s="136"/>
    </row>
    <row r="42880" spans="1:2" x14ac:dyDescent="0.25">
      <c r="A42880" s="118"/>
      <c r="B42880" s="136"/>
    </row>
    <row r="42881" spans="1:2" x14ac:dyDescent="0.25">
      <c r="A42881" s="118"/>
      <c r="B42881" s="136"/>
    </row>
    <row r="42882" spans="1:2" x14ac:dyDescent="0.25">
      <c r="A42882" s="118"/>
      <c r="B42882" s="136"/>
    </row>
    <row r="42883" spans="1:2" x14ac:dyDescent="0.25">
      <c r="A42883" s="118"/>
      <c r="B42883" s="136"/>
    </row>
    <row r="42884" spans="1:2" x14ac:dyDescent="0.25">
      <c r="A42884" s="118"/>
      <c r="B42884" s="136"/>
    </row>
    <row r="42885" spans="1:2" x14ac:dyDescent="0.25">
      <c r="A42885" s="118"/>
      <c r="B42885" s="136"/>
    </row>
    <row r="42886" spans="1:2" x14ac:dyDescent="0.25">
      <c r="A42886" s="118"/>
      <c r="B42886" s="136"/>
    </row>
    <row r="42887" spans="1:2" x14ac:dyDescent="0.25">
      <c r="A42887" s="118"/>
      <c r="B42887" s="136"/>
    </row>
    <row r="42888" spans="1:2" x14ac:dyDescent="0.25">
      <c r="A42888" s="118"/>
      <c r="B42888" s="136"/>
    </row>
    <row r="42889" spans="1:2" x14ac:dyDescent="0.25">
      <c r="A42889" s="118"/>
      <c r="B42889" s="136"/>
    </row>
    <row r="42890" spans="1:2" x14ac:dyDescent="0.25">
      <c r="A42890" s="118"/>
      <c r="B42890" s="136"/>
    </row>
    <row r="42891" spans="1:2" x14ac:dyDescent="0.25">
      <c r="A42891" s="118"/>
      <c r="B42891" s="136"/>
    </row>
    <row r="42892" spans="1:2" x14ac:dyDescent="0.25">
      <c r="A42892" s="118"/>
      <c r="B42892" s="136"/>
    </row>
    <row r="42893" spans="1:2" x14ac:dyDescent="0.25">
      <c r="A42893" s="118"/>
      <c r="B42893" s="136"/>
    </row>
    <row r="42894" spans="1:2" x14ac:dyDescent="0.25">
      <c r="A42894" s="118"/>
      <c r="B42894" s="136"/>
    </row>
    <row r="42895" spans="1:2" x14ac:dyDescent="0.25">
      <c r="A42895" s="118"/>
      <c r="B42895" s="136"/>
    </row>
    <row r="42896" spans="1:2" x14ac:dyDescent="0.25">
      <c r="A42896" s="118"/>
      <c r="B42896" s="136"/>
    </row>
    <row r="42897" spans="1:2" x14ac:dyDescent="0.25">
      <c r="A42897" s="118"/>
      <c r="B42897" s="136"/>
    </row>
    <row r="42898" spans="1:2" x14ac:dyDescent="0.25">
      <c r="A42898" s="118"/>
      <c r="B42898" s="136"/>
    </row>
    <row r="42899" spans="1:2" x14ac:dyDescent="0.25">
      <c r="A42899" s="118"/>
      <c r="B42899" s="136"/>
    </row>
    <row r="42900" spans="1:2" x14ac:dyDescent="0.25">
      <c r="A42900" s="118"/>
      <c r="B42900" s="136"/>
    </row>
    <row r="42901" spans="1:2" x14ac:dyDescent="0.25">
      <c r="A42901" s="118"/>
      <c r="B42901" s="136"/>
    </row>
    <row r="42902" spans="1:2" x14ac:dyDescent="0.25">
      <c r="A42902" s="118"/>
      <c r="B42902" s="136"/>
    </row>
    <row r="42903" spans="1:2" x14ac:dyDescent="0.25">
      <c r="A42903" s="118"/>
      <c r="B42903" s="136"/>
    </row>
    <row r="42904" spans="1:2" x14ac:dyDescent="0.25">
      <c r="A42904" s="118"/>
      <c r="B42904" s="136"/>
    </row>
    <row r="42905" spans="1:2" x14ac:dyDescent="0.25">
      <c r="A42905" s="118"/>
      <c r="B42905" s="136"/>
    </row>
    <row r="42906" spans="1:2" x14ac:dyDescent="0.25">
      <c r="A42906" s="118"/>
      <c r="B42906" s="136"/>
    </row>
    <row r="42907" spans="1:2" x14ac:dyDescent="0.25">
      <c r="A42907" s="118"/>
      <c r="B42907" s="136"/>
    </row>
    <row r="42908" spans="1:2" x14ac:dyDescent="0.25">
      <c r="A42908" s="118"/>
      <c r="B42908" s="136"/>
    </row>
    <row r="42909" spans="1:2" x14ac:dyDescent="0.25">
      <c r="A42909" s="118"/>
      <c r="B42909" s="136"/>
    </row>
    <row r="42910" spans="1:2" x14ac:dyDescent="0.25">
      <c r="A42910" s="118"/>
      <c r="B42910" s="136"/>
    </row>
    <row r="42911" spans="1:2" x14ac:dyDescent="0.25">
      <c r="A42911" s="118"/>
      <c r="B42911" s="136"/>
    </row>
    <row r="42912" spans="1:2" x14ac:dyDescent="0.25">
      <c r="A42912" s="118"/>
      <c r="B42912" s="136"/>
    </row>
    <row r="42913" spans="1:2" x14ac:dyDescent="0.25">
      <c r="A42913" s="118"/>
      <c r="B42913" s="136"/>
    </row>
    <row r="42914" spans="1:2" x14ac:dyDescent="0.25">
      <c r="A42914" s="118"/>
      <c r="B42914" s="136"/>
    </row>
    <row r="42915" spans="1:2" x14ac:dyDescent="0.25">
      <c r="A42915" s="118"/>
      <c r="B42915" s="136"/>
    </row>
    <row r="42916" spans="1:2" x14ac:dyDescent="0.25">
      <c r="A42916" s="118"/>
      <c r="B42916" s="136"/>
    </row>
    <row r="42917" spans="1:2" x14ac:dyDescent="0.25">
      <c r="A42917" s="118"/>
      <c r="B42917" s="136"/>
    </row>
    <row r="42918" spans="1:2" x14ac:dyDescent="0.25">
      <c r="A42918" s="118"/>
      <c r="B42918" s="136"/>
    </row>
    <row r="42919" spans="1:2" x14ac:dyDescent="0.25">
      <c r="A42919" s="118"/>
      <c r="B42919" s="136"/>
    </row>
    <row r="42920" spans="1:2" x14ac:dyDescent="0.25">
      <c r="A42920" s="118"/>
      <c r="B42920" s="136"/>
    </row>
    <row r="42921" spans="1:2" x14ac:dyDescent="0.25">
      <c r="A42921" s="118"/>
      <c r="B42921" s="136"/>
    </row>
    <row r="42922" spans="1:2" x14ac:dyDescent="0.25">
      <c r="A42922" s="118"/>
      <c r="B42922" s="136"/>
    </row>
    <row r="42923" spans="1:2" x14ac:dyDescent="0.25">
      <c r="A42923" s="118"/>
      <c r="B42923" s="136"/>
    </row>
    <row r="42924" spans="1:2" x14ac:dyDescent="0.25">
      <c r="A42924" s="118"/>
      <c r="B42924" s="136"/>
    </row>
    <row r="42925" spans="1:2" x14ac:dyDescent="0.25">
      <c r="A42925" s="118"/>
      <c r="B42925" s="136"/>
    </row>
    <row r="42926" spans="1:2" x14ac:dyDescent="0.25">
      <c r="A42926" s="118"/>
      <c r="B42926" s="136"/>
    </row>
    <row r="42927" spans="1:2" x14ac:dyDescent="0.25">
      <c r="A42927" s="118"/>
      <c r="B42927" s="136"/>
    </row>
    <row r="42928" spans="1:2" x14ac:dyDescent="0.25">
      <c r="A42928" s="118"/>
      <c r="B42928" s="136"/>
    </row>
    <row r="42929" spans="1:2" x14ac:dyDescent="0.25">
      <c r="A42929" s="118"/>
      <c r="B42929" s="136"/>
    </row>
    <row r="42930" spans="1:2" x14ac:dyDescent="0.25">
      <c r="A42930" s="118"/>
      <c r="B42930" s="136"/>
    </row>
    <row r="42931" spans="1:2" x14ac:dyDescent="0.25">
      <c r="A42931" s="118"/>
      <c r="B42931" s="136"/>
    </row>
    <row r="42932" spans="1:2" x14ac:dyDescent="0.25">
      <c r="A42932" s="118"/>
      <c r="B42932" s="136"/>
    </row>
    <row r="42933" spans="1:2" x14ac:dyDescent="0.25">
      <c r="A42933" s="118"/>
      <c r="B42933" s="136"/>
    </row>
    <row r="42934" spans="1:2" x14ac:dyDescent="0.25">
      <c r="A42934" s="118"/>
      <c r="B42934" s="136"/>
    </row>
    <row r="42935" spans="1:2" x14ac:dyDescent="0.25">
      <c r="A42935" s="118"/>
      <c r="B42935" s="136"/>
    </row>
    <row r="42936" spans="1:2" x14ac:dyDescent="0.25">
      <c r="A42936" s="118"/>
      <c r="B42936" s="136"/>
    </row>
    <row r="42937" spans="1:2" x14ac:dyDescent="0.25">
      <c r="A42937" s="118"/>
      <c r="B42937" s="136"/>
    </row>
    <row r="42938" spans="1:2" x14ac:dyDescent="0.25">
      <c r="A42938" s="118"/>
      <c r="B42938" s="136"/>
    </row>
    <row r="42939" spans="1:2" x14ac:dyDescent="0.25">
      <c r="A42939" s="118"/>
      <c r="B42939" s="136"/>
    </row>
    <row r="42940" spans="1:2" x14ac:dyDescent="0.25">
      <c r="A42940" s="118"/>
      <c r="B42940" s="136"/>
    </row>
    <row r="42941" spans="1:2" x14ac:dyDescent="0.25">
      <c r="A42941" s="118"/>
      <c r="B42941" s="136"/>
    </row>
    <row r="42942" spans="1:2" x14ac:dyDescent="0.25">
      <c r="A42942" s="118"/>
      <c r="B42942" s="136"/>
    </row>
    <row r="42943" spans="1:2" x14ac:dyDescent="0.25">
      <c r="A42943" s="118"/>
      <c r="B42943" s="136"/>
    </row>
    <row r="42944" spans="1:2" x14ac:dyDescent="0.25">
      <c r="A42944" s="118"/>
      <c r="B42944" s="136"/>
    </row>
    <row r="42945" spans="1:2" x14ac:dyDescent="0.25">
      <c r="A42945" s="118"/>
      <c r="B42945" s="136"/>
    </row>
    <row r="42946" spans="1:2" x14ac:dyDescent="0.25">
      <c r="A42946" s="118"/>
      <c r="B42946" s="136"/>
    </row>
    <row r="42947" spans="1:2" x14ac:dyDescent="0.25">
      <c r="A42947" s="118"/>
      <c r="B42947" s="136"/>
    </row>
    <row r="42948" spans="1:2" x14ac:dyDescent="0.25">
      <c r="A42948" s="118"/>
      <c r="B42948" s="136"/>
    </row>
    <row r="42949" spans="1:2" x14ac:dyDescent="0.25">
      <c r="A42949" s="118"/>
      <c r="B42949" s="136"/>
    </row>
    <row r="42950" spans="1:2" x14ac:dyDescent="0.25">
      <c r="A42950" s="118"/>
      <c r="B42950" s="136"/>
    </row>
    <row r="42951" spans="1:2" x14ac:dyDescent="0.25">
      <c r="A42951" s="118"/>
      <c r="B42951" s="136"/>
    </row>
    <row r="42952" spans="1:2" x14ac:dyDescent="0.25">
      <c r="A42952" s="118"/>
      <c r="B42952" s="136"/>
    </row>
    <row r="42953" spans="1:2" x14ac:dyDescent="0.25">
      <c r="A42953" s="118"/>
      <c r="B42953" s="136"/>
    </row>
    <row r="42954" spans="1:2" x14ac:dyDescent="0.25">
      <c r="A42954" s="118"/>
      <c r="B42954" s="136"/>
    </row>
    <row r="42955" spans="1:2" x14ac:dyDescent="0.25">
      <c r="A42955" s="118"/>
      <c r="B42955" s="136"/>
    </row>
    <row r="42956" spans="1:2" x14ac:dyDescent="0.25">
      <c r="A42956" s="118"/>
      <c r="B42956" s="136"/>
    </row>
    <row r="42957" spans="1:2" x14ac:dyDescent="0.25">
      <c r="A42957" s="118"/>
      <c r="B42957" s="136"/>
    </row>
    <row r="42958" spans="1:2" x14ac:dyDescent="0.25">
      <c r="A42958" s="118"/>
      <c r="B42958" s="136"/>
    </row>
    <row r="42959" spans="1:2" x14ac:dyDescent="0.25">
      <c r="A42959" s="118"/>
      <c r="B42959" s="136"/>
    </row>
    <row r="42960" spans="1:2" x14ac:dyDescent="0.25">
      <c r="A42960" s="118"/>
      <c r="B42960" s="136"/>
    </row>
    <row r="42961" spans="1:2" x14ac:dyDescent="0.25">
      <c r="A42961" s="118"/>
      <c r="B42961" s="136"/>
    </row>
    <row r="42962" spans="1:2" x14ac:dyDescent="0.25">
      <c r="A42962" s="118"/>
      <c r="B42962" s="136"/>
    </row>
    <row r="42963" spans="1:2" x14ac:dyDescent="0.25">
      <c r="A42963" s="118"/>
      <c r="B42963" s="136"/>
    </row>
    <row r="42964" spans="1:2" x14ac:dyDescent="0.25">
      <c r="A42964" s="118"/>
      <c r="B42964" s="136"/>
    </row>
    <row r="42965" spans="1:2" x14ac:dyDescent="0.25">
      <c r="A42965" s="118"/>
      <c r="B42965" s="136"/>
    </row>
    <row r="42966" spans="1:2" x14ac:dyDescent="0.25">
      <c r="A42966" s="118"/>
      <c r="B42966" s="136"/>
    </row>
    <row r="42967" spans="1:2" x14ac:dyDescent="0.25">
      <c r="A42967" s="118"/>
      <c r="B42967" s="136"/>
    </row>
    <row r="42968" spans="1:2" x14ac:dyDescent="0.25">
      <c r="A42968" s="118"/>
      <c r="B42968" s="136"/>
    </row>
    <row r="42969" spans="1:2" x14ac:dyDescent="0.25">
      <c r="A42969" s="118"/>
      <c r="B42969" s="136"/>
    </row>
    <row r="42970" spans="1:2" x14ac:dyDescent="0.25">
      <c r="A42970" s="118"/>
      <c r="B42970" s="136"/>
    </row>
    <row r="42971" spans="1:2" x14ac:dyDescent="0.25">
      <c r="A42971" s="118"/>
      <c r="B42971" s="136"/>
    </row>
    <row r="42972" spans="1:2" x14ac:dyDescent="0.25">
      <c r="A42972" s="118"/>
      <c r="B42972" s="136"/>
    </row>
    <row r="42973" spans="1:2" x14ac:dyDescent="0.25">
      <c r="A42973" s="118"/>
      <c r="B42973" s="136"/>
    </row>
    <row r="42974" spans="1:2" x14ac:dyDescent="0.25">
      <c r="A42974" s="118"/>
      <c r="B42974" s="136"/>
    </row>
    <row r="42975" spans="1:2" x14ac:dyDescent="0.25">
      <c r="A42975" s="118"/>
      <c r="B42975" s="136"/>
    </row>
    <row r="42976" spans="1:2" x14ac:dyDescent="0.25">
      <c r="A42976" s="118"/>
      <c r="B42976" s="136"/>
    </row>
    <row r="42977" spans="1:2" x14ac:dyDescent="0.25">
      <c r="A42977" s="118"/>
      <c r="B42977" s="136"/>
    </row>
    <row r="42978" spans="1:2" x14ac:dyDescent="0.25">
      <c r="A42978" s="118"/>
      <c r="B42978" s="136"/>
    </row>
    <row r="42979" spans="1:2" x14ac:dyDescent="0.25">
      <c r="A42979" s="118"/>
      <c r="B42979" s="136"/>
    </row>
    <row r="42980" spans="1:2" x14ac:dyDescent="0.25">
      <c r="A42980" s="118"/>
      <c r="B42980" s="136"/>
    </row>
    <row r="42981" spans="1:2" x14ac:dyDescent="0.25">
      <c r="A42981" s="118"/>
      <c r="B42981" s="136"/>
    </row>
    <row r="42982" spans="1:2" x14ac:dyDescent="0.25">
      <c r="A42982" s="118"/>
      <c r="B42982" s="136"/>
    </row>
    <row r="42983" spans="1:2" x14ac:dyDescent="0.25">
      <c r="A42983" s="118"/>
      <c r="B42983" s="136"/>
    </row>
    <row r="42984" spans="1:2" x14ac:dyDescent="0.25">
      <c r="A42984" s="118"/>
      <c r="B42984" s="136"/>
    </row>
    <row r="42985" spans="1:2" x14ac:dyDescent="0.25">
      <c r="A42985" s="118"/>
      <c r="B42985" s="136"/>
    </row>
    <row r="42986" spans="1:2" x14ac:dyDescent="0.25">
      <c r="A42986" s="118"/>
      <c r="B42986" s="136"/>
    </row>
    <row r="42987" spans="1:2" x14ac:dyDescent="0.25">
      <c r="A42987" s="118"/>
      <c r="B42987" s="136"/>
    </row>
    <row r="42988" spans="1:2" x14ac:dyDescent="0.25">
      <c r="A42988" s="118"/>
      <c r="B42988" s="136"/>
    </row>
    <row r="42989" spans="1:2" x14ac:dyDescent="0.25">
      <c r="A42989" s="118"/>
      <c r="B42989" s="136"/>
    </row>
    <row r="42990" spans="1:2" x14ac:dyDescent="0.25">
      <c r="A42990" s="118"/>
      <c r="B42990" s="136"/>
    </row>
    <row r="42991" spans="1:2" x14ac:dyDescent="0.25">
      <c r="A42991" s="118"/>
      <c r="B42991" s="136"/>
    </row>
    <row r="42992" spans="1:2" x14ac:dyDescent="0.25">
      <c r="A42992" s="118"/>
      <c r="B42992" s="136"/>
    </row>
    <row r="42993" spans="1:2" x14ac:dyDescent="0.25">
      <c r="A42993" s="118"/>
      <c r="B42993" s="136"/>
    </row>
    <row r="42994" spans="1:2" x14ac:dyDescent="0.25">
      <c r="A42994" s="118"/>
      <c r="B42994" s="136"/>
    </row>
    <row r="42995" spans="1:2" x14ac:dyDescent="0.25">
      <c r="A42995" s="118"/>
      <c r="B42995" s="136"/>
    </row>
    <row r="42996" spans="1:2" x14ac:dyDescent="0.25">
      <c r="A42996" s="118"/>
      <c r="B42996" s="136"/>
    </row>
    <row r="42997" spans="1:2" x14ac:dyDescent="0.25">
      <c r="A42997" s="118"/>
      <c r="B42997" s="136"/>
    </row>
    <row r="42998" spans="1:2" x14ac:dyDescent="0.25">
      <c r="A42998" s="118"/>
      <c r="B42998" s="136"/>
    </row>
    <row r="42999" spans="1:2" x14ac:dyDescent="0.25">
      <c r="A42999" s="118"/>
      <c r="B42999" s="136"/>
    </row>
    <row r="43000" spans="1:2" x14ac:dyDescent="0.25">
      <c r="A43000" s="118"/>
      <c r="B43000" s="136"/>
    </row>
    <row r="43001" spans="1:2" x14ac:dyDescent="0.25">
      <c r="A43001" s="118"/>
      <c r="B43001" s="136"/>
    </row>
    <row r="43002" spans="1:2" x14ac:dyDescent="0.25">
      <c r="A43002" s="118"/>
      <c r="B43002" s="136"/>
    </row>
    <row r="43003" spans="1:2" x14ac:dyDescent="0.25">
      <c r="A43003" s="118"/>
      <c r="B43003" s="136"/>
    </row>
    <row r="43004" spans="1:2" x14ac:dyDescent="0.25">
      <c r="A43004" s="118"/>
      <c r="B43004" s="136"/>
    </row>
    <row r="43005" spans="1:2" x14ac:dyDescent="0.25">
      <c r="A43005" s="118"/>
      <c r="B43005" s="136"/>
    </row>
    <row r="43006" spans="1:2" x14ac:dyDescent="0.25">
      <c r="A43006" s="118"/>
      <c r="B43006" s="136"/>
    </row>
    <row r="43007" spans="1:2" x14ac:dyDescent="0.25">
      <c r="A43007" s="118"/>
      <c r="B43007" s="136"/>
    </row>
    <row r="43008" spans="1:2" x14ac:dyDescent="0.25">
      <c r="A43008" s="118"/>
      <c r="B43008" s="136"/>
    </row>
    <row r="43009" spans="1:2" x14ac:dyDescent="0.25">
      <c r="A43009" s="118"/>
      <c r="B43009" s="136"/>
    </row>
    <row r="43010" spans="1:2" x14ac:dyDescent="0.25">
      <c r="A43010" s="118"/>
      <c r="B43010" s="136"/>
    </row>
    <row r="43011" spans="1:2" x14ac:dyDescent="0.25">
      <c r="A43011" s="118"/>
      <c r="B43011" s="136"/>
    </row>
    <row r="43012" spans="1:2" x14ac:dyDescent="0.25">
      <c r="A43012" s="118"/>
      <c r="B43012" s="136"/>
    </row>
    <row r="43013" spans="1:2" x14ac:dyDescent="0.25">
      <c r="A43013" s="118"/>
      <c r="B43013" s="136"/>
    </row>
    <row r="43014" spans="1:2" x14ac:dyDescent="0.25">
      <c r="A43014" s="118"/>
      <c r="B43014" s="136"/>
    </row>
    <row r="43015" spans="1:2" x14ac:dyDescent="0.25">
      <c r="A43015" s="118"/>
      <c r="B43015" s="136"/>
    </row>
    <row r="43016" spans="1:2" x14ac:dyDescent="0.25">
      <c r="A43016" s="118"/>
      <c r="B43016" s="136"/>
    </row>
    <row r="43017" spans="1:2" x14ac:dyDescent="0.25">
      <c r="A43017" s="118"/>
      <c r="B43017" s="136"/>
    </row>
    <row r="43018" spans="1:2" x14ac:dyDescent="0.25">
      <c r="A43018" s="118"/>
      <c r="B43018" s="136"/>
    </row>
    <row r="43019" spans="1:2" x14ac:dyDescent="0.25">
      <c r="A43019" s="118"/>
      <c r="B43019" s="136"/>
    </row>
    <row r="43020" spans="1:2" x14ac:dyDescent="0.25">
      <c r="A43020" s="118"/>
      <c r="B43020" s="136"/>
    </row>
    <row r="43021" spans="1:2" x14ac:dyDescent="0.25">
      <c r="A43021" s="118"/>
      <c r="B43021" s="136"/>
    </row>
    <row r="43022" spans="1:2" x14ac:dyDescent="0.25">
      <c r="A43022" s="118"/>
      <c r="B43022" s="136"/>
    </row>
    <row r="43023" spans="1:2" x14ac:dyDescent="0.25">
      <c r="A43023" s="118"/>
      <c r="B43023" s="136"/>
    </row>
    <row r="43024" spans="1:2" x14ac:dyDescent="0.25">
      <c r="A43024" s="118"/>
      <c r="B43024" s="136"/>
    </row>
    <row r="43025" spans="1:2" x14ac:dyDescent="0.25">
      <c r="A43025" s="118"/>
      <c r="B43025" s="136"/>
    </row>
    <row r="43026" spans="1:2" x14ac:dyDescent="0.25">
      <c r="A43026" s="118"/>
      <c r="B43026" s="136"/>
    </row>
    <row r="43027" spans="1:2" x14ac:dyDescent="0.25">
      <c r="A43027" s="118"/>
      <c r="B43027" s="136"/>
    </row>
    <row r="43028" spans="1:2" x14ac:dyDescent="0.25">
      <c r="A43028" s="118"/>
      <c r="B43028" s="136"/>
    </row>
    <row r="43029" spans="1:2" x14ac:dyDescent="0.25">
      <c r="A43029" s="118"/>
      <c r="B43029" s="136"/>
    </row>
    <row r="43030" spans="1:2" x14ac:dyDescent="0.25">
      <c r="A43030" s="118"/>
      <c r="B43030" s="136"/>
    </row>
    <row r="43031" spans="1:2" x14ac:dyDescent="0.25">
      <c r="A43031" s="118"/>
      <c r="B43031" s="136"/>
    </row>
    <row r="43032" spans="1:2" x14ac:dyDescent="0.25">
      <c r="A43032" s="118"/>
      <c r="B43032" s="136"/>
    </row>
    <row r="43033" spans="1:2" x14ac:dyDescent="0.25">
      <c r="A43033" s="118"/>
      <c r="B43033" s="136"/>
    </row>
    <row r="43034" spans="1:2" x14ac:dyDescent="0.25">
      <c r="A43034" s="118"/>
      <c r="B43034" s="136"/>
    </row>
    <row r="43035" spans="1:2" x14ac:dyDescent="0.25">
      <c r="A43035" s="118"/>
      <c r="B43035" s="136"/>
    </row>
    <row r="43036" spans="1:2" x14ac:dyDescent="0.25">
      <c r="A43036" s="118"/>
      <c r="B43036" s="136"/>
    </row>
    <row r="43037" spans="1:2" x14ac:dyDescent="0.25">
      <c r="A43037" s="118"/>
      <c r="B43037" s="136"/>
    </row>
    <row r="43038" spans="1:2" x14ac:dyDescent="0.25">
      <c r="A43038" s="118"/>
      <c r="B43038" s="136"/>
    </row>
    <row r="43039" spans="1:2" x14ac:dyDescent="0.25">
      <c r="A43039" s="118"/>
      <c r="B43039" s="136"/>
    </row>
    <row r="43040" spans="1:2" x14ac:dyDescent="0.25">
      <c r="A43040" s="118"/>
      <c r="B43040" s="136"/>
    </row>
    <row r="43041" spans="1:2" x14ac:dyDescent="0.25">
      <c r="A43041" s="118"/>
      <c r="B43041" s="136"/>
    </row>
    <row r="43042" spans="1:2" x14ac:dyDescent="0.25">
      <c r="A43042" s="118"/>
      <c r="B43042" s="136"/>
    </row>
    <row r="43043" spans="1:2" x14ac:dyDescent="0.25">
      <c r="A43043" s="118"/>
      <c r="B43043" s="136"/>
    </row>
    <row r="43044" spans="1:2" x14ac:dyDescent="0.25">
      <c r="A43044" s="118"/>
      <c r="B43044" s="136"/>
    </row>
    <row r="43045" spans="1:2" x14ac:dyDescent="0.25">
      <c r="A43045" s="118"/>
      <c r="B43045" s="136"/>
    </row>
    <row r="43046" spans="1:2" x14ac:dyDescent="0.25">
      <c r="A43046" s="118"/>
      <c r="B43046" s="136"/>
    </row>
    <row r="43047" spans="1:2" x14ac:dyDescent="0.25">
      <c r="A43047" s="118"/>
      <c r="B43047" s="136"/>
    </row>
    <row r="43048" spans="1:2" x14ac:dyDescent="0.25">
      <c r="A43048" s="118"/>
      <c r="B43048" s="136"/>
    </row>
    <row r="43049" spans="1:2" x14ac:dyDescent="0.25">
      <c r="A43049" s="118"/>
      <c r="B43049" s="136"/>
    </row>
    <row r="43050" spans="1:2" x14ac:dyDescent="0.25">
      <c r="A43050" s="118"/>
      <c r="B43050" s="136"/>
    </row>
    <row r="43051" spans="1:2" x14ac:dyDescent="0.25">
      <c r="A43051" s="118"/>
      <c r="B43051" s="136"/>
    </row>
    <row r="43052" spans="1:2" x14ac:dyDescent="0.25">
      <c r="A43052" s="118"/>
      <c r="B43052" s="136"/>
    </row>
    <row r="43053" spans="1:2" x14ac:dyDescent="0.25">
      <c r="A43053" s="118"/>
      <c r="B43053" s="136"/>
    </row>
    <row r="43054" spans="1:2" x14ac:dyDescent="0.25">
      <c r="A43054" s="118"/>
      <c r="B43054" s="136"/>
    </row>
    <row r="43055" spans="1:2" x14ac:dyDescent="0.25">
      <c r="A43055" s="118"/>
      <c r="B43055" s="136"/>
    </row>
    <row r="43056" spans="1:2" x14ac:dyDescent="0.25">
      <c r="A43056" s="118"/>
      <c r="B43056" s="136"/>
    </row>
    <row r="43057" spans="1:2" x14ac:dyDescent="0.25">
      <c r="A43057" s="118"/>
      <c r="B43057" s="136"/>
    </row>
    <row r="43058" spans="1:2" x14ac:dyDescent="0.25">
      <c r="A43058" s="118"/>
      <c r="B43058" s="136"/>
    </row>
    <row r="43059" spans="1:2" x14ac:dyDescent="0.25">
      <c r="A43059" s="118"/>
      <c r="B43059" s="136"/>
    </row>
    <row r="43060" spans="1:2" x14ac:dyDescent="0.25">
      <c r="A43060" s="118"/>
      <c r="B43060" s="136"/>
    </row>
    <row r="43061" spans="1:2" x14ac:dyDescent="0.25">
      <c r="A43061" s="118"/>
      <c r="B43061" s="136"/>
    </row>
    <row r="43062" spans="1:2" x14ac:dyDescent="0.25">
      <c r="A43062" s="118"/>
      <c r="B43062" s="136"/>
    </row>
    <row r="43063" spans="1:2" x14ac:dyDescent="0.25">
      <c r="A43063" s="118"/>
      <c r="B43063" s="136"/>
    </row>
    <row r="43064" spans="1:2" x14ac:dyDescent="0.25">
      <c r="A43064" s="118"/>
      <c r="B43064" s="136"/>
    </row>
    <row r="43065" spans="1:2" x14ac:dyDescent="0.25">
      <c r="A43065" s="118"/>
      <c r="B43065" s="136"/>
    </row>
    <row r="43066" spans="1:2" x14ac:dyDescent="0.25">
      <c r="A43066" s="118"/>
      <c r="B43066" s="136"/>
    </row>
    <row r="43067" spans="1:2" x14ac:dyDescent="0.25">
      <c r="A43067" s="118"/>
      <c r="B43067" s="136"/>
    </row>
    <row r="43068" spans="1:2" x14ac:dyDescent="0.25">
      <c r="A43068" s="118"/>
      <c r="B43068" s="136"/>
    </row>
    <row r="43069" spans="1:2" x14ac:dyDescent="0.25">
      <c r="A43069" s="118"/>
      <c r="B43069" s="136"/>
    </row>
    <row r="43070" spans="1:2" x14ac:dyDescent="0.25">
      <c r="A43070" s="118"/>
      <c r="B43070" s="136"/>
    </row>
    <row r="43071" spans="1:2" x14ac:dyDescent="0.25">
      <c r="A43071" s="118"/>
      <c r="B43071" s="136"/>
    </row>
    <row r="43072" spans="1:2" x14ac:dyDescent="0.25">
      <c r="A43072" s="118"/>
      <c r="B43072" s="136"/>
    </row>
    <row r="43073" spans="1:2" x14ac:dyDescent="0.25">
      <c r="A43073" s="118"/>
      <c r="B43073" s="136"/>
    </row>
    <row r="43074" spans="1:2" x14ac:dyDescent="0.25">
      <c r="A43074" s="118"/>
      <c r="B43074" s="136"/>
    </row>
    <row r="43075" spans="1:2" x14ac:dyDescent="0.25">
      <c r="A43075" s="118"/>
      <c r="B43075" s="136"/>
    </row>
    <row r="43076" spans="1:2" x14ac:dyDescent="0.25">
      <c r="A43076" s="118"/>
      <c r="B43076" s="136"/>
    </row>
    <row r="43077" spans="1:2" x14ac:dyDescent="0.25">
      <c r="A43077" s="118"/>
      <c r="B43077" s="136"/>
    </row>
    <row r="43078" spans="1:2" x14ac:dyDescent="0.25">
      <c r="A43078" s="118"/>
      <c r="B43078" s="136"/>
    </row>
    <row r="43079" spans="1:2" x14ac:dyDescent="0.25">
      <c r="A43079" s="118"/>
      <c r="B43079" s="136"/>
    </row>
    <row r="43080" spans="1:2" x14ac:dyDescent="0.25">
      <c r="A43080" s="118"/>
      <c r="B43080" s="136"/>
    </row>
    <row r="43081" spans="1:2" x14ac:dyDescent="0.25">
      <c r="A43081" s="118"/>
      <c r="B43081" s="136"/>
    </row>
    <row r="43082" spans="1:2" x14ac:dyDescent="0.25">
      <c r="A43082" s="118"/>
      <c r="B43082" s="136"/>
    </row>
    <row r="43083" spans="1:2" x14ac:dyDescent="0.25">
      <c r="A43083" s="118"/>
      <c r="B43083" s="136"/>
    </row>
    <row r="43084" spans="1:2" x14ac:dyDescent="0.25">
      <c r="A43084" s="118"/>
      <c r="B43084" s="136"/>
    </row>
    <row r="43085" spans="1:2" x14ac:dyDescent="0.25">
      <c r="A43085" s="118"/>
      <c r="B43085" s="136"/>
    </row>
    <row r="43086" spans="1:2" x14ac:dyDescent="0.25">
      <c r="A43086" s="118"/>
      <c r="B43086" s="136"/>
    </row>
    <row r="43087" spans="1:2" x14ac:dyDescent="0.25">
      <c r="A43087" s="118"/>
      <c r="B43087" s="136"/>
    </row>
    <row r="43088" spans="1:2" x14ac:dyDescent="0.25">
      <c r="A43088" s="118"/>
      <c r="B43088" s="136"/>
    </row>
    <row r="43089" spans="1:2" x14ac:dyDescent="0.25">
      <c r="A43089" s="118"/>
      <c r="B43089" s="136"/>
    </row>
    <row r="43090" spans="1:2" x14ac:dyDescent="0.25">
      <c r="A43090" s="118"/>
      <c r="B43090" s="136"/>
    </row>
    <row r="43091" spans="1:2" x14ac:dyDescent="0.25">
      <c r="A43091" s="118"/>
      <c r="B43091" s="136"/>
    </row>
    <row r="43092" spans="1:2" x14ac:dyDescent="0.25">
      <c r="A43092" s="118"/>
      <c r="B43092" s="136"/>
    </row>
    <row r="43093" spans="1:2" x14ac:dyDescent="0.25">
      <c r="A43093" s="118"/>
      <c r="B43093" s="136"/>
    </row>
    <row r="43094" spans="1:2" x14ac:dyDescent="0.25">
      <c r="A43094" s="118"/>
      <c r="B43094" s="136"/>
    </row>
    <row r="43095" spans="1:2" x14ac:dyDescent="0.25">
      <c r="A43095" s="118"/>
      <c r="B43095" s="136"/>
    </row>
    <row r="43096" spans="1:2" x14ac:dyDescent="0.25">
      <c r="A43096" s="118"/>
      <c r="B43096" s="136"/>
    </row>
    <row r="43097" spans="1:2" x14ac:dyDescent="0.25">
      <c r="A43097" s="118"/>
      <c r="B43097" s="136"/>
    </row>
    <row r="43098" spans="1:2" x14ac:dyDescent="0.25">
      <c r="A43098" s="118"/>
      <c r="B43098" s="136"/>
    </row>
    <row r="43099" spans="1:2" x14ac:dyDescent="0.25">
      <c r="A43099" s="118"/>
      <c r="B43099" s="136"/>
    </row>
    <row r="43100" spans="1:2" x14ac:dyDescent="0.25">
      <c r="A43100" s="118"/>
      <c r="B43100" s="136"/>
    </row>
    <row r="43101" spans="1:2" x14ac:dyDescent="0.25">
      <c r="A43101" s="118"/>
      <c r="B43101" s="136"/>
    </row>
    <row r="43102" spans="1:2" x14ac:dyDescent="0.25">
      <c r="A43102" s="118"/>
      <c r="B43102" s="136"/>
    </row>
    <row r="43103" spans="1:2" x14ac:dyDescent="0.25">
      <c r="A43103" s="118"/>
      <c r="B43103" s="136"/>
    </row>
    <row r="43104" spans="1:2" x14ac:dyDescent="0.25">
      <c r="A43104" s="118"/>
      <c r="B43104" s="136"/>
    </row>
    <row r="43105" spans="1:2" x14ac:dyDescent="0.25">
      <c r="A43105" s="118"/>
      <c r="B43105" s="136"/>
    </row>
    <row r="43106" spans="1:2" x14ac:dyDescent="0.25">
      <c r="A43106" s="118"/>
      <c r="B43106" s="136"/>
    </row>
    <row r="43107" spans="1:2" x14ac:dyDescent="0.25">
      <c r="A43107" s="118"/>
      <c r="B43107" s="136"/>
    </row>
    <row r="43108" spans="1:2" x14ac:dyDescent="0.25">
      <c r="A43108" s="118"/>
      <c r="B43108" s="136"/>
    </row>
    <row r="43109" spans="1:2" x14ac:dyDescent="0.25">
      <c r="A43109" s="118"/>
      <c r="B43109" s="136"/>
    </row>
    <row r="43110" spans="1:2" x14ac:dyDescent="0.25">
      <c r="A43110" s="118"/>
      <c r="B43110" s="136"/>
    </row>
    <row r="43111" spans="1:2" x14ac:dyDescent="0.25">
      <c r="A43111" s="118"/>
      <c r="B43111" s="136"/>
    </row>
    <row r="43112" spans="1:2" x14ac:dyDescent="0.25">
      <c r="A43112" s="118"/>
      <c r="B43112" s="136"/>
    </row>
    <row r="43113" spans="1:2" x14ac:dyDescent="0.25">
      <c r="A43113" s="118"/>
      <c r="B43113" s="136"/>
    </row>
    <row r="43114" spans="1:2" x14ac:dyDescent="0.25">
      <c r="A43114" s="118"/>
      <c r="B43114" s="136"/>
    </row>
    <row r="43115" spans="1:2" x14ac:dyDescent="0.25">
      <c r="A43115" s="118"/>
      <c r="B43115" s="136"/>
    </row>
    <row r="43116" spans="1:2" x14ac:dyDescent="0.25">
      <c r="A43116" s="118"/>
      <c r="B43116" s="136"/>
    </row>
    <row r="43117" spans="1:2" x14ac:dyDescent="0.25">
      <c r="A43117" s="118"/>
      <c r="B43117" s="136"/>
    </row>
    <row r="43118" spans="1:2" x14ac:dyDescent="0.25">
      <c r="A43118" s="118"/>
      <c r="B43118" s="136"/>
    </row>
    <row r="43119" spans="1:2" x14ac:dyDescent="0.25">
      <c r="A43119" s="118"/>
      <c r="B43119" s="136"/>
    </row>
    <row r="43120" spans="1:2" x14ac:dyDescent="0.25">
      <c r="A43120" s="118"/>
      <c r="B43120" s="136"/>
    </row>
    <row r="43121" spans="1:2" x14ac:dyDescent="0.25">
      <c r="A43121" s="118"/>
      <c r="B43121" s="136"/>
    </row>
    <row r="43122" spans="1:2" x14ac:dyDescent="0.25">
      <c r="A43122" s="118"/>
      <c r="B43122" s="136"/>
    </row>
    <row r="43123" spans="1:2" x14ac:dyDescent="0.25">
      <c r="A43123" s="118"/>
      <c r="B43123" s="136"/>
    </row>
    <row r="43124" spans="1:2" x14ac:dyDescent="0.25">
      <c r="A43124" s="118"/>
      <c r="B43124" s="136"/>
    </row>
    <row r="43125" spans="1:2" x14ac:dyDescent="0.25">
      <c r="A43125" s="118"/>
      <c r="B43125" s="136"/>
    </row>
    <row r="43126" spans="1:2" x14ac:dyDescent="0.25">
      <c r="A43126" s="118"/>
      <c r="B43126" s="136"/>
    </row>
    <row r="43127" spans="1:2" x14ac:dyDescent="0.25">
      <c r="A43127" s="118"/>
      <c r="B43127" s="136"/>
    </row>
    <row r="43128" spans="1:2" x14ac:dyDescent="0.25">
      <c r="A43128" s="118"/>
      <c r="B43128" s="136"/>
    </row>
    <row r="43129" spans="1:2" x14ac:dyDescent="0.25">
      <c r="A43129" s="118"/>
      <c r="B43129" s="136"/>
    </row>
    <row r="43130" spans="1:2" x14ac:dyDescent="0.25">
      <c r="A43130" s="118"/>
      <c r="B43130" s="136"/>
    </row>
    <row r="43131" spans="1:2" x14ac:dyDescent="0.25">
      <c r="A43131" s="118"/>
      <c r="B43131" s="136"/>
    </row>
    <row r="43132" spans="1:2" x14ac:dyDescent="0.25">
      <c r="A43132" s="118"/>
      <c r="B43132" s="136"/>
    </row>
    <row r="43133" spans="1:2" x14ac:dyDescent="0.25">
      <c r="A43133" s="118"/>
      <c r="B43133" s="136"/>
    </row>
    <row r="43134" spans="1:2" x14ac:dyDescent="0.25">
      <c r="A43134" s="118"/>
      <c r="B43134" s="136"/>
    </row>
    <row r="43135" spans="1:2" x14ac:dyDescent="0.25">
      <c r="A43135" s="118"/>
      <c r="B43135" s="136"/>
    </row>
    <row r="43136" spans="1:2" x14ac:dyDescent="0.25">
      <c r="A43136" s="118"/>
      <c r="B43136" s="136"/>
    </row>
    <row r="43137" spans="1:2" x14ac:dyDescent="0.25">
      <c r="A43137" s="118"/>
      <c r="B43137" s="136"/>
    </row>
    <row r="43138" spans="1:2" x14ac:dyDescent="0.25">
      <c r="A43138" s="118"/>
      <c r="B43138" s="136"/>
    </row>
    <row r="43139" spans="1:2" x14ac:dyDescent="0.25">
      <c r="A43139" s="118"/>
      <c r="B43139" s="136"/>
    </row>
    <row r="43140" spans="1:2" x14ac:dyDescent="0.25">
      <c r="A43140" s="118"/>
      <c r="B43140" s="136"/>
    </row>
    <row r="43141" spans="1:2" x14ac:dyDescent="0.25">
      <c r="A43141" s="118"/>
      <c r="B43141" s="136"/>
    </row>
    <row r="43142" spans="1:2" x14ac:dyDescent="0.25">
      <c r="A43142" s="118"/>
      <c r="B43142" s="136"/>
    </row>
    <row r="43143" spans="1:2" x14ac:dyDescent="0.25">
      <c r="A43143" s="118"/>
      <c r="B43143" s="136"/>
    </row>
    <row r="43144" spans="1:2" x14ac:dyDescent="0.25">
      <c r="A43144" s="118"/>
      <c r="B43144" s="136"/>
    </row>
    <row r="43145" spans="1:2" x14ac:dyDescent="0.25">
      <c r="A43145" s="118"/>
      <c r="B43145" s="136"/>
    </row>
    <row r="43146" spans="1:2" x14ac:dyDescent="0.25">
      <c r="A43146" s="118"/>
      <c r="B43146" s="136"/>
    </row>
    <row r="43147" spans="1:2" x14ac:dyDescent="0.25">
      <c r="A43147" s="118"/>
      <c r="B43147" s="136"/>
    </row>
    <row r="43148" spans="1:2" x14ac:dyDescent="0.25">
      <c r="A43148" s="118"/>
      <c r="B43148" s="136"/>
    </row>
    <row r="43149" spans="1:2" x14ac:dyDescent="0.25">
      <c r="A43149" s="118"/>
      <c r="B43149" s="136"/>
    </row>
    <row r="43150" spans="1:2" x14ac:dyDescent="0.25">
      <c r="A43150" s="118"/>
      <c r="B43150" s="136"/>
    </row>
    <row r="43151" spans="1:2" x14ac:dyDescent="0.25">
      <c r="A43151" s="118"/>
      <c r="B43151" s="136"/>
    </row>
    <row r="43152" spans="1:2" x14ac:dyDescent="0.25">
      <c r="A43152" s="118"/>
      <c r="B43152" s="136"/>
    </row>
    <row r="43153" spans="1:2" x14ac:dyDescent="0.25">
      <c r="A43153" s="118"/>
      <c r="B43153" s="136"/>
    </row>
    <row r="43154" spans="1:2" x14ac:dyDescent="0.25">
      <c r="A43154" s="118"/>
      <c r="B43154" s="136"/>
    </row>
    <row r="43155" spans="1:2" x14ac:dyDescent="0.25">
      <c r="A43155" s="118"/>
      <c r="B43155" s="136"/>
    </row>
    <row r="43156" spans="1:2" x14ac:dyDescent="0.25">
      <c r="A43156" s="118"/>
      <c r="B43156" s="136"/>
    </row>
    <row r="43157" spans="1:2" x14ac:dyDescent="0.25">
      <c r="A43157" s="118"/>
      <c r="B43157" s="136"/>
    </row>
    <row r="43158" spans="1:2" x14ac:dyDescent="0.25">
      <c r="A43158" s="118"/>
      <c r="B43158" s="136"/>
    </row>
    <row r="43159" spans="1:2" x14ac:dyDescent="0.25">
      <c r="A43159" s="118"/>
      <c r="B43159" s="136"/>
    </row>
    <row r="43160" spans="1:2" x14ac:dyDescent="0.25">
      <c r="A43160" s="118"/>
      <c r="B43160" s="136"/>
    </row>
    <row r="43161" spans="1:2" x14ac:dyDescent="0.25">
      <c r="A43161" s="118"/>
      <c r="B43161" s="136"/>
    </row>
    <row r="43162" spans="1:2" x14ac:dyDescent="0.25">
      <c r="A43162" s="118"/>
      <c r="B43162" s="136"/>
    </row>
    <row r="43163" spans="1:2" x14ac:dyDescent="0.25">
      <c r="A43163" s="118"/>
      <c r="B43163" s="136"/>
    </row>
    <row r="43164" spans="1:2" x14ac:dyDescent="0.25">
      <c r="A43164" s="118"/>
      <c r="B43164" s="136"/>
    </row>
    <row r="43165" spans="1:2" x14ac:dyDescent="0.25">
      <c r="A43165" s="118"/>
      <c r="B43165" s="136"/>
    </row>
    <row r="43166" spans="1:2" x14ac:dyDescent="0.25">
      <c r="A43166" s="118"/>
      <c r="B43166" s="136"/>
    </row>
    <row r="43167" spans="1:2" x14ac:dyDescent="0.25">
      <c r="A43167" s="118"/>
      <c r="B43167" s="136"/>
    </row>
    <row r="43168" spans="1:2" x14ac:dyDescent="0.25">
      <c r="A43168" s="118"/>
      <c r="B43168" s="136"/>
    </row>
    <row r="43169" spans="1:2" x14ac:dyDescent="0.25">
      <c r="A43169" s="118"/>
      <c r="B43169" s="136"/>
    </row>
    <row r="43170" spans="1:2" x14ac:dyDescent="0.25">
      <c r="A43170" s="118"/>
      <c r="B43170" s="136"/>
    </row>
    <row r="43171" spans="1:2" x14ac:dyDescent="0.25">
      <c r="A43171" s="118"/>
      <c r="B43171" s="136"/>
    </row>
    <row r="43172" spans="1:2" x14ac:dyDescent="0.25">
      <c r="A43172" s="118"/>
      <c r="B43172" s="136"/>
    </row>
    <row r="43173" spans="1:2" x14ac:dyDescent="0.25">
      <c r="A43173" s="118"/>
      <c r="B43173" s="136"/>
    </row>
    <row r="43174" spans="1:2" x14ac:dyDescent="0.25">
      <c r="A43174" s="118"/>
      <c r="B43174" s="136"/>
    </row>
    <row r="43175" spans="1:2" x14ac:dyDescent="0.25">
      <c r="A43175" s="118"/>
      <c r="B43175" s="136"/>
    </row>
    <row r="43176" spans="1:2" x14ac:dyDescent="0.25">
      <c r="A43176" s="118"/>
      <c r="B43176" s="136"/>
    </row>
    <row r="43177" spans="1:2" x14ac:dyDescent="0.25">
      <c r="A43177" s="118"/>
      <c r="B43177" s="136"/>
    </row>
    <row r="43178" spans="1:2" x14ac:dyDescent="0.25">
      <c r="A43178" s="118"/>
      <c r="B43178" s="136"/>
    </row>
    <row r="43179" spans="1:2" x14ac:dyDescent="0.25">
      <c r="A43179" s="118"/>
      <c r="B43179" s="136"/>
    </row>
    <row r="43180" spans="1:2" x14ac:dyDescent="0.25">
      <c r="A43180" s="118"/>
      <c r="B43180" s="136"/>
    </row>
    <row r="43181" spans="1:2" x14ac:dyDescent="0.25">
      <c r="A43181" s="118"/>
      <c r="B43181" s="136"/>
    </row>
    <row r="43182" spans="1:2" x14ac:dyDescent="0.25">
      <c r="A43182" s="118"/>
      <c r="B43182" s="136"/>
    </row>
    <row r="43183" spans="1:2" x14ac:dyDescent="0.25">
      <c r="A43183" s="118"/>
      <c r="B43183" s="136"/>
    </row>
    <row r="43184" spans="1:2" x14ac:dyDescent="0.25">
      <c r="A43184" s="118"/>
      <c r="B43184" s="136"/>
    </row>
    <row r="43185" spans="1:2" x14ac:dyDescent="0.25">
      <c r="A43185" s="118"/>
      <c r="B43185" s="136"/>
    </row>
    <row r="43186" spans="1:2" x14ac:dyDescent="0.25">
      <c r="A43186" s="118"/>
      <c r="B43186" s="136"/>
    </row>
    <row r="43187" spans="1:2" x14ac:dyDescent="0.25">
      <c r="A43187" s="118"/>
      <c r="B43187" s="136"/>
    </row>
    <row r="43188" spans="1:2" x14ac:dyDescent="0.25">
      <c r="A43188" s="118"/>
      <c r="B43188" s="136"/>
    </row>
    <row r="43189" spans="1:2" x14ac:dyDescent="0.25">
      <c r="A43189" s="118"/>
      <c r="B43189" s="136"/>
    </row>
    <row r="43190" spans="1:2" x14ac:dyDescent="0.25">
      <c r="A43190" s="118"/>
      <c r="B43190" s="136"/>
    </row>
    <row r="43191" spans="1:2" x14ac:dyDescent="0.25">
      <c r="A43191" s="118"/>
      <c r="B43191" s="136"/>
    </row>
    <row r="43192" spans="1:2" x14ac:dyDescent="0.25">
      <c r="A43192" s="118"/>
      <c r="B43192" s="136"/>
    </row>
    <row r="43193" spans="1:2" x14ac:dyDescent="0.25">
      <c r="A43193" s="118"/>
      <c r="B43193" s="136"/>
    </row>
    <row r="43194" spans="1:2" x14ac:dyDescent="0.25">
      <c r="A43194" s="118"/>
      <c r="B43194" s="136"/>
    </row>
    <row r="43195" spans="1:2" x14ac:dyDescent="0.25">
      <c r="A43195" s="118"/>
      <c r="B43195" s="136"/>
    </row>
    <row r="43196" spans="1:2" x14ac:dyDescent="0.25">
      <c r="A43196" s="118"/>
      <c r="B43196" s="136"/>
    </row>
    <row r="43197" spans="1:2" x14ac:dyDescent="0.25">
      <c r="A43197" s="118"/>
      <c r="B43197" s="136"/>
    </row>
    <row r="43198" spans="1:2" x14ac:dyDescent="0.25">
      <c r="A43198" s="118"/>
      <c r="B43198" s="136"/>
    </row>
    <row r="43199" spans="1:2" x14ac:dyDescent="0.25">
      <c r="A43199" s="118"/>
      <c r="B43199" s="136"/>
    </row>
    <row r="43200" spans="1:2" x14ac:dyDescent="0.25">
      <c r="A43200" s="118"/>
      <c r="B43200" s="136"/>
    </row>
    <row r="43201" spans="1:2" x14ac:dyDescent="0.25">
      <c r="A43201" s="118"/>
      <c r="B43201" s="136"/>
    </row>
    <row r="43202" spans="1:2" x14ac:dyDescent="0.25">
      <c r="A43202" s="118"/>
      <c r="B43202" s="136"/>
    </row>
    <row r="43203" spans="1:2" x14ac:dyDescent="0.25">
      <c r="A43203" s="118"/>
      <c r="B43203" s="136"/>
    </row>
    <row r="43204" spans="1:2" x14ac:dyDescent="0.25">
      <c r="A43204" s="118"/>
      <c r="B43204" s="136"/>
    </row>
    <row r="43205" spans="1:2" x14ac:dyDescent="0.25">
      <c r="A43205" s="118"/>
      <c r="B43205" s="136"/>
    </row>
    <row r="43206" spans="1:2" x14ac:dyDescent="0.25">
      <c r="A43206" s="118"/>
      <c r="B43206" s="136"/>
    </row>
    <row r="43207" spans="1:2" x14ac:dyDescent="0.25">
      <c r="A43207" s="118"/>
      <c r="B43207" s="136"/>
    </row>
    <row r="43208" spans="1:2" x14ac:dyDescent="0.25">
      <c r="A43208" s="118"/>
      <c r="B43208" s="136"/>
    </row>
    <row r="43209" spans="1:2" x14ac:dyDescent="0.25">
      <c r="A43209" s="118"/>
      <c r="B43209" s="136"/>
    </row>
    <row r="43210" spans="1:2" x14ac:dyDescent="0.25">
      <c r="A43210" s="118"/>
      <c r="B43210" s="136"/>
    </row>
    <row r="43211" spans="1:2" x14ac:dyDescent="0.25">
      <c r="A43211" s="118"/>
      <c r="B43211" s="136"/>
    </row>
    <row r="43212" spans="1:2" x14ac:dyDescent="0.25">
      <c r="A43212" s="118"/>
      <c r="B43212" s="136"/>
    </row>
    <row r="43213" spans="1:2" x14ac:dyDescent="0.25">
      <c r="A43213" s="118"/>
      <c r="B43213" s="136"/>
    </row>
    <row r="43214" spans="1:2" x14ac:dyDescent="0.25">
      <c r="A43214" s="118"/>
      <c r="B43214" s="136"/>
    </row>
    <row r="43215" spans="1:2" x14ac:dyDescent="0.25">
      <c r="A43215" s="118"/>
      <c r="B43215" s="136"/>
    </row>
    <row r="43216" spans="1:2" x14ac:dyDescent="0.25">
      <c r="A43216" s="118"/>
      <c r="B43216" s="136"/>
    </row>
    <row r="43217" spans="1:2" x14ac:dyDescent="0.25">
      <c r="A43217" s="118"/>
      <c r="B43217" s="136"/>
    </row>
    <row r="43218" spans="1:2" x14ac:dyDescent="0.25">
      <c r="A43218" s="118"/>
      <c r="B43218" s="136"/>
    </row>
    <row r="43219" spans="1:2" x14ac:dyDescent="0.25">
      <c r="A43219" s="118"/>
      <c r="B43219" s="136"/>
    </row>
    <row r="43220" spans="1:2" x14ac:dyDescent="0.25">
      <c r="A43220" s="118"/>
      <c r="B43220" s="136"/>
    </row>
    <row r="43221" spans="1:2" x14ac:dyDescent="0.25">
      <c r="A43221" s="118"/>
      <c r="B43221" s="136"/>
    </row>
    <row r="43222" spans="1:2" x14ac:dyDescent="0.25">
      <c r="A43222" s="118"/>
      <c r="B43222" s="136"/>
    </row>
    <row r="43223" spans="1:2" x14ac:dyDescent="0.25">
      <c r="A43223" s="118"/>
      <c r="B43223" s="136"/>
    </row>
    <row r="43224" spans="1:2" x14ac:dyDescent="0.25">
      <c r="A43224" s="118"/>
      <c r="B43224" s="136"/>
    </row>
    <row r="43225" spans="1:2" x14ac:dyDescent="0.25">
      <c r="A43225" s="118"/>
      <c r="B43225" s="136"/>
    </row>
    <row r="43226" spans="1:2" x14ac:dyDescent="0.25">
      <c r="A43226" s="118"/>
      <c r="B43226" s="136"/>
    </row>
    <row r="43227" spans="1:2" x14ac:dyDescent="0.25">
      <c r="A43227" s="118"/>
      <c r="B43227" s="136"/>
    </row>
    <row r="43228" spans="1:2" x14ac:dyDescent="0.25">
      <c r="A43228" s="118"/>
      <c r="B43228" s="136"/>
    </row>
    <row r="43229" spans="1:2" x14ac:dyDescent="0.25">
      <c r="A43229" s="118"/>
      <c r="B43229" s="136"/>
    </row>
    <row r="43230" spans="1:2" x14ac:dyDescent="0.25">
      <c r="A43230" s="118"/>
      <c r="B43230" s="136"/>
    </row>
    <row r="43231" spans="1:2" x14ac:dyDescent="0.25">
      <c r="A43231" s="118"/>
      <c r="B43231" s="136"/>
    </row>
    <row r="43232" spans="1:2" x14ac:dyDescent="0.25">
      <c r="A43232" s="118"/>
      <c r="B43232" s="136"/>
    </row>
    <row r="43233" spans="1:2" x14ac:dyDescent="0.25">
      <c r="A43233" s="118"/>
      <c r="B43233" s="136"/>
    </row>
    <row r="43234" spans="1:2" x14ac:dyDescent="0.25">
      <c r="A43234" s="118"/>
      <c r="B43234" s="136"/>
    </row>
    <row r="43235" spans="1:2" x14ac:dyDescent="0.25">
      <c r="A43235" s="118"/>
      <c r="B43235" s="136"/>
    </row>
    <row r="43236" spans="1:2" x14ac:dyDescent="0.25">
      <c r="A43236" s="118"/>
      <c r="B43236" s="136"/>
    </row>
    <row r="43237" spans="1:2" x14ac:dyDescent="0.25">
      <c r="A43237" s="118"/>
      <c r="B43237" s="136"/>
    </row>
    <row r="43238" spans="1:2" x14ac:dyDescent="0.25">
      <c r="A43238" s="118"/>
      <c r="B43238" s="136"/>
    </row>
    <row r="43239" spans="1:2" x14ac:dyDescent="0.25">
      <c r="A43239" s="118"/>
      <c r="B43239" s="136"/>
    </row>
    <row r="43240" spans="1:2" x14ac:dyDescent="0.25">
      <c r="A43240" s="118"/>
      <c r="B43240" s="136"/>
    </row>
    <row r="43241" spans="1:2" x14ac:dyDescent="0.25">
      <c r="A43241" s="118"/>
      <c r="B43241" s="136"/>
    </row>
    <row r="43242" spans="1:2" x14ac:dyDescent="0.25">
      <c r="A43242" s="118"/>
      <c r="B43242" s="136"/>
    </row>
    <row r="43243" spans="1:2" x14ac:dyDescent="0.25">
      <c r="A43243" s="118"/>
      <c r="B43243" s="136"/>
    </row>
    <row r="43244" spans="1:2" x14ac:dyDescent="0.25">
      <c r="A43244" s="118"/>
      <c r="B43244" s="136"/>
    </row>
    <row r="43245" spans="1:2" x14ac:dyDescent="0.25">
      <c r="A43245" s="118"/>
      <c r="B43245" s="136"/>
    </row>
    <row r="43246" spans="1:2" x14ac:dyDescent="0.25">
      <c r="A43246" s="118"/>
      <c r="B43246" s="136"/>
    </row>
    <row r="43247" spans="1:2" x14ac:dyDescent="0.25">
      <c r="A43247" s="118"/>
      <c r="B43247" s="136"/>
    </row>
    <row r="43248" spans="1:2" x14ac:dyDescent="0.25">
      <c r="A43248" s="118"/>
      <c r="B43248" s="136"/>
    </row>
    <row r="43249" spans="1:2" x14ac:dyDescent="0.25">
      <c r="A43249" s="118"/>
      <c r="B43249" s="136"/>
    </row>
    <row r="43250" spans="1:2" x14ac:dyDescent="0.25">
      <c r="A43250" s="118"/>
      <c r="B43250" s="136"/>
    </row>
    <row r="43251" spans="1:2" x14ac:dyDescent="0.25">
      <c r="A43251" s="118"/>
      <c r="B43251" s="136"/>
    </row>
    <row r="43252" spans="1:2" x14ac:dyDescent="0.25">
      <c r="A43252" s="118"/>
      <c r="B43252" s="136"/>
    </row>
    <row r="43253" spans="1:2" x14ac:dyDescent="0.25">
      <c r="A43253" s="118"/>
      <c r="B43253" s="136"/>
    </row>
    <row r="43254" spans="1:2" x14ac:dyDescent="0.25">
      <c r="A43254" s="118"/>
      <c r="B43254" s="136"/>
    </row>
    <row r="43255" spans="1:2" x14ac:dyDescent="0.25">
      <c r="A43255" s="118"/>
      <c r="B43255" s="136"/>
    </row>
    <row r="43256" spans="1:2" x14ac:dyDescent="0.25">
      <c r="A43256" s="118"/>
      <c r="B43256" s="136"/>
    </row>
    <row r="43257" spans="1:2" x14ac:dyDescent="0.25">
      <c r="A43257" s="118"/>
      <c r="B43257" s="136"/>
    </row>
    <row r="43258" spans="1:2" x14ac:dyDescent="0.25">
      <c r="A43258" s="118"/>
      <c r="B43258" s="136"/>
    </row>
    <row r="43259" spans="1:2" x14ac:dyDescent="0.25">
      <c r="A43259" s="118"/>
      <c r="B43259" s="136"/>
    </row>
    <row r="43260" spans="1:2" x14ac:dyDescent="0.25">
      <c r="A43260" s="118"/>
      <c r="B43260" s="136"/>
    </row>
    <row r="43261" spans="1:2" x14ac:dyDescent="0.25">
      <c r="A43261" s="118"/>
      <c r="B43261" s="136"/>
    </row>
    <row r="43262" spans="1:2" x14ac:dyDescent="0.25">
      <c r="A43262" s="118"/>
      <c r="B43262" s="136"/>
    </row>
    <row r="43263" spans="1:2" x14ac:dyDescent="0.25">
      <c r="A43263" s="118"/>
      <c r="B43263" s="136"/>
    </row>
    <row r="43264" spans="1:2" x14ac:dyDescent="0.25">
      <c r="A43264" s="118"/>
      <c r="B43264" s="136"/>
    </row>
    <row r="43265" spans="1:2" x14ac:dyDescent="0.25">
      <c r="A43265" s="118"/>
      <c r="B43265" s="136"/>
    </row>
    <row r="43266" spans="1:2" x14ac:dyDescent="0.25">
      <c r="A43266" s="118"/>
      <c r="B43266" s="136"/>
    </row>
    <row r="43267" spans="1:2" x14ac:dyDescent="0.25">
      <c r="A43267" s="118"/>
      <c r="B43267" s="136"/>
    </row>
    <row r="43268" spans="1:2" x14ac:dyDescent="0.25">
      <c r="A43268" s="118"/>
      <c r="B43268" s="136"/>
    </row>
    <row r="43269" spans="1:2" x14ac:dyDescent="0.25">
      <c r="A43269" s="118"/>
      <c r="B43269" s="136"/>
    </row>
    <row r="43270" spans="1:2" x14ac:dyDescent="0.25">
      <c r="A43270" s="118"/>
      <c r="B43270" s="136"/>
    </row>
    <row r="43271" spans="1:2" x14ac:dyDescent="0.25">
      <c r="A43271" s="118"/>
      <c r="B43271" s="136"/>
    </row>
    <row r="43272" spans="1:2" x14ac:dyDescent="0.25">
      <c r="A43272" s="118"/>
      <c r="B43272" s="136"/>
    </row>
    <row r="43273" spans="1:2" x14ac:dyDescent="0.25">
      <c r="A43273" s="118"/>
      <c r="B43273" s="136"/>
    </row>
    <row r="43274" spans="1:2" x14ac:dyDescent="0.25">
      <c r="A43274" s="118"/>
      <c r="B43274" s="136"/>
    </row>
    <row r="43275" spans="1:2" x14ac:dyDescent="0.25">
      <c r="A43275" s="118"/>
      <c r="B43275" s="136"/>
    </row>
    <row r="43276" spans="1:2" x14ac:dyDescent="0.25">
      <c r="A43276" s="118"/>
      <c r="B43276" s="136"/>
    </row>
    <row r="43277" spans="1:2" x14ac:dyDescent="0.25">
      <c r="A43277" s="118"/>
      <c r="B43277" s="136"/>
    </row>
    <row r="43278" spans="1:2" x14ac:dyDescent="0.25">
      <c r="A43278" s="118"/>
      <c r="B43278" s="136"/>
    </row>
    <row r="43279" spans="1:2" x14ac:dyDescent="0.25">
      <c r="A43279" s="118"/>
      <c r="B43279" s="136"/>
    </row>
    <row r="43280" spans="1:2" x14ac:dyDescent="0.25">
      <c r="A43280" s="118"/>
      <c r="B43280" s="136"/>
    </row>
    <row r="43281" spans="1:2" x14ac:dyDescent="0.25">
      <c r="A43281" s="118"/>
      <c r="B43281" s="136"/>
    </row>
    <row r="43282" spans="1:2" x14ac:dyDescent="0.25">
      <c r="A43282" s="118"/>
      <c r="B43282" s="136"/>
    </row>
    <row r="43283" spans="1:2" x14ac:dyDescent="0.25">
      <c r="A43283" s="118"/>
      <c r="B43283" s="136"/>
    </row>
    <row r="43284" spans="1:2" x14ac:dyDescent="0.25">
      <c r="A43284" s="118"/>
      <c r="B43284" s="136"/>
    </row>
    <row r="43285" spans="1:2" x14ac:dyDescent="0.25">
      <c r="A43285" s="118"/>
      <c r="B43285" s="136"/>
    </row>
    <row r="43286" spans="1:2" x14ac:dyDescent="0.25">
      <c r="A43286" s="118"/>
      <c r="B43286" s="136"/>
    </row>
    <row r="43287" spans="1:2" x14ac:dyDescent="0.25">
      <c r="A43287" s="118"/>
      <c r="B43287" s="136"/>
    </row>
    <row r="43288" spans="1:2" x14ac:dyDescent="0.25">
      <c r="A43288" s="118"/>
      <c r="B43288" s="136"/>
    </row>
    <row r="43289" spans="1:2" x14ac:dyDescent="0.25">
      <c r="A43289" s="118"/>
      <c r="B43289" s="136"/>
    </row>
    <row r="43290" spans="1:2" x14ac:dyDescent="0.25">
      <c r="A43290" s="118"/>
      <c r="B43290" s="136"/>
    </row>
    <row r="43291" spans="1:2" x14ac:dyDescent="0.25">
      <c r="A43291" s="118"/>
      <c r="B43291" s="136"/>
    </row>
    <row r="43292" spans="1:2" x14ac:dyDescent="0.25">
      <c r="A43292" s="118"/>
      <c r="B43292" s="136"/>
    </row>
    <row r="43293" spans="1:2" x14ac:dyDescent="0.25">
      <c r="A43293" s="118"/>
      <c r="B43293" s="136"/>
    </row>
    <row r="43294" spans="1:2" x14ac:dyDescent="0.25">
      <c r="A43294" s="118"/>
      <c r="B43294" s="136"/>
    </row>
    <row r="43295" spans="1:2" x14ac:dyDescent="0.25">
      <c r="A43295" s="118"/>
      <c r="B43295" s="136"/>
    </row>
    <row r="43296" spans="1:2" x14ac:dyDescent="0.25">
      <c r="A43296" s="118"/>
      <c r="B43296" s="136"/>
    </row>
    <row r="43297" spans="1:2" x14ac:dyDescent="0.25">
      <c r="A43297" s="118"/>
      <c r="B43297" s="136"/>
    </row>
    <row r="43298" spans="1:2" x14ac:dyDescent="0.25">
      <c r="A43298" s="118"/>
      <c r="B43298" s="136"/>
    </row>
    <row r="43299" spans="1:2" x14ac:dyDescent="0.25">
      <c r="A43299" s="118"/>
      <c r="B43299" s="136"/>
    </row>
    <row r="43300" spans="1:2" x14ac:dyDescent="0.25">
      <c r="A43300" s="118"/>
      <c r="B43300" s="136"/>
    </row>
    <row r="43301" spans="1:2" x14ac:dyDescent="0.25">
      <c r="A43301" s="118"/>
      <c r="B43301" s="136"/>
    </row>
    <row r="43302" spans="1:2" x14ac:dyDescent="0.25">
      <c r="A43302" s="118"/>
      <c r="B43302" s="136"/>
    </row>
    <row r="43303" spans="1:2" x14ac:dyDescent="0.25">
      <c r="A43303" s="118"/>
      <c r="B43303" s="136"/>
    </row>
    <row r="43304" spans="1:2" x14ac:dyDescent="0.25">
      <c r="A43304" s="118"/>
      <c r="B43304" s="136"/>
    </row>
    <row r="43305" spans="1:2" x14ac:dyDescent="0.25">
      <c r="A43305" s="118"/>
      <c r="B43305" s="136"/>
    </row>
    <row r="43306" spans="1:2" x14ac:dyDescent="0.25">
      <c r="A43306" s="118"/>
      <c r="B43306" s="136"/>
    </row>
    <row r="43307" spans="1:2" x14ac:dyDescent="0.25">
      <c r="A43307" s="118"/>
      <c r="B43307" s="136"/>
    </row>
    <row r="43308" spans="1:2" x14ac:dyDescent="0.25">
      <c r="A43308" s="118"/>
      <c r="B43308" s="136"/>
    </row>
    <row r="43309" spans="1:2" x14ac:dyDescent="0.25">
      <c r="A43309" s="118"/>
      <c r="B43309" s="136"/>
    </row>
    <row r="43310" spans="1:2" x14ac:dyDescent="0.25">
      <c r="A43310" s="118"/>
      <c r="B43310" s="136"/>
    </row>
    <row r="43311" spans="1:2" x14ac:dyDescent="0.25">
      <c r="A43311" s="118"/>
      <c r="B43311" s="136"/>
    </row>
    <row r="43312" spans="1:2" x14ac:dyDescent="0.25">
      <c r="A43312" s="118"/>
      <c r="B43312" s="136"/>
    </row>
    <row r="43313" spans="1:2" x14ac:dyDescent="0.25">
      <c r="A43313" s="118"/>
      <c r="B43313" s="136"/>
    </row>
    <row r="43314" spans="1:2" x14ac:dyDescent="0.25">
      <c r="A43314" s="118"/>
      <c r="B43314" s="136"/>
    </row>
    <row r="43315" spans="1:2" x14ac:dyDescent="0.25">
      <c r="A43315" s="118"/>
      <c r="B43315" s="136"/>
    </row>
    <row r="43316" spans="1:2" x14ac:dyDescent="0.25">
      <c r="A43316" s="118"/>
      <c r="B43316" s="136"/>
    </row>
    <row r="43317" spans="1:2" x14ac:dyDescent="0.25">
      <c r="A43317" s="118"/>
      <c r="B43317" s="136"/>
    </row>
    <row r="43318" spans="1:2" x14ac:dyDescent="0.25">
      <c r="A43318" s="118"/>
      <c r="B43318" s="136"/>
    </row>
    <row r="43319" spans="1:2" x14ac:dyDescent="0.25">
      <c r="A43319" s="118"/>
      <c r="B43319" s="136"/>
    </row>
    <row r="43320" spans="1:2" x14ac:dyDescent="0.25">
      <c r="A43320" s="118"/>
      <c r="B43320" s="136"/>
    </row>
    <row r="43321" spans="1:2" x14ac:dyDescent="0.25">
      <c r="A43321" s="118"/>
      <c r="B43321" s="136"/>
    </row>
    <row r="43322" spans="1:2" x14ac:dyDescent="0.25">
      <c r="A43322" s="118"/>
      <c r="B43322" s="136"/>
    </row>
    <row r="43323" spans="1:2" x14ac:dyDescent="0.25">
      <c r="A43323" s="118"/>
      <c r="B43323" s="136"/>
    </row>
    <row r="43324" spans="1:2" x14ac:dyDescent="0.25">
      <c r="A43324" s="118"/>
      <c r="B43324" s="136"/>
    </row>
    <row r="43325" spans="1:2" x14ac:dyDescent="0.25">
      <c r="A43325" s="118"/>
      <c r="B43325" s="136"/>
    </row>
    <row r="43326" spans="1:2" x14ac:dyDescent="0.25">
      <c r="A43326" s="118"/>
      <c r="B43326" s="136"/>
    </row>
    <row r="43327" spans="1:2" x14ac:dyDescent="0.25">
      <c r="A43327" s="118"/>
      <c r="B43327" s="136"/>
    </row>
    <row r="43328" spans="1:2" x14ac:dyDescent="0.25">
      <c r="A43328" s="118"/>
      <c r="B43328" s="136"/>
    </row>
    <row r="43329" spans="1:2" x14ac:dyDescent="0.25">
      <c r="A43329" s="118"/>
      <c r="B43329" s="136"/>
    </row>
    <row r="43330" spans="1:2" x14ac:dyDescent="0.25">
      <c r="A43330" s="118"/>
      <c r="B43330" s="136"/>
    </row>
    <row r="43331" spans="1:2" x14ac:dyDescent="0.25">
      <c r="A43331" s="118"/>
      <c r="B43331" s="136"/>
    </row>
    <row r="43332" spans="1:2" x14ac:dyDescent="0.25">
      <c r="A43332" s="118"/>
      <c r="B43332" s="136"/>
    </row>
    <row r="43333" spans="1:2" x14ac:dyDescent="0.25">
      <c r="A43333" s="118"/>
      <c r="B43333" s="136"/>
    </row>
    <row r="43334" spans="1:2" x14ac:dyDescent="0.25">
      <c r="A43334" s="118"/>
      <c r="B43334" s="136"/>
    </row>
    <row r="43335" spans="1:2" x14ac:dyDescent="0.25">
      <c r="A43335" s="118"/>
      <c r="B43335" s="136"/>
    </row>
    <row r="43336" spans="1:2" x14ac:dyDescent="0.25">
      <c r="A43336" s="118"/>
      <c r="B43336" s="136"/>
    </row>
    <row r="43337" spans="1:2" x14ac:dyDescent="0.25">
      <c r="A43337" s="118"/>
      <c r="B43337" s="136"/>
    </row>
    <row r="43338" spans="1:2" x14ac:dyDescent="0.25">
      <c r="A43338" s="118"/>
      <c r="B43338" s="136"/>
    </row>
    <row r="43339" spans="1:2" x14ac:dyDescent="0.25">
      <c r="A43339" s="118"/>
      <c r="B43339" s="136"/>
    </row>
    <row r="43340" spans="1:2" x14ac:dyDescent="0.25">
      <c r="A43340" s="118"/>
      <c r="B43340" s="136"/>
    </row>
    <row r="43341" spans="1:2" x14ac:dyDescent="0.25">
      <c r="A43341" s="118"/>
      <c r="B43341" s="136"/>
    </row>
    <row r="43342" spans="1:2" x14ac:dyDescent="0.25">
      <c r="A43342" s="118"/>
      <c r="B43342" s="136"/>
    </row>
    <row r="43343" spans="1:2" x14ac:dyDescent="0.25">
      <c r="A43343" s="118"/>
      <c r="B43343" s="136"/>
    </row>
    <row r="43344" spans="1:2" x14ac:dyDescent="0.25">
      <c r="A43344" s="118"/>
      <c r="B43344" s="136"/>
    </row>
    <row r="43345" spans="1:2" x14ac:dyDescent="0.25">
      <c r="A43345" s="118"/>
      <c r="B43345" s="136"/>
    </row>
    <row r="43346" spans="1:2" x14ac:dyDescent="0.25">
      <c r="A43346" s="118"/>
      <c r="B43346" s="136"/>
    </row>
    <row r="43347" spans="1:2" x14ac:dyDescent="0.25">
      <c r="A43347" s="118"/>
      <c r="B43347" s="136"/>
    </row>
    <row r="43348" spans="1:2" x14ac:dyDescent="0.25">
      <c r="A43348" s="118"/>
      <c r="B43348" s="136"/>
    </row>
    <row r="43349" spans="1:2" x14ac:dyDescent="0.25">
      <c r="A43349" s="118"/>
      <c r="B43349" s="136"/>
    </row>
    <row r="43350" spans="1:2" x14ac:dyDescent="0.25">
      <c r="A43350" s="118"/>
      <c r="B43350" s="136"/>
    </row>
    <row r="43351" spans="1:2" x14ac:dyDescent="0.25">
      <c r="A43351" s="118"/>
      <c r="B43351" s="136"/>
    </row>
    <row r="43352" spans="1:2" x14ac:dyDescent="0.25">
      <c r="A43352" s="118"/>
      <c r="B43352" s="136"/>
    </row>
    <row r="43353" spans="1:2" x14ac:dyDescent="0.25">
      <c r="A43353" s="118"/>
      <c r="B43353" s="136"/>
    </row>
    <row r="43354" spans="1:2" x14ac:dyDescent="0.25">
      <c r="A43354" s="118"/>
      <c r="B43354" s="136"/>
    </row>
    <row r="43355" spans="1:2" x14ac:dyDescent="0.25">
      <c r="A43355" s="118"/>
      <c r="B43355" s="136"/>
    </row>
    <row r="43356" spans="1:2" x14ac:dyDescent="0.25">
      <c r="A43356" s="118"/>
      <c r="B43356" s="136"/>
    </row>
    <row r="43357" spans="1:2" x14ac:dyDescent="0.25">
      <c r="A43357" s="118"/>
      <c r="B43357" s="136"/>
    </row>
    <row r="43358" spans="1:2" x14ac:dyDescent="0.25">
      <c r="A43358" s="118"/>
      <c r="B43358" s="136"/>
    </row>
    <row r="43359" spans="1:2" x14ac:dyDescent="0.25">
      <c r="A43359" s="118"/>
      <c r="B43359" s="136"/>
    </row>
    <row r="43360" spans="1:2" x14ac:dyDescent="0.25">
      <c r="A43360" s="118"/>
      <c r="B43360" s="136"/>
    </row>
    <row r="43361" spans="1:2" x14ac:dyDescent="0.25">
      <c r="A43361" s="118"/>
      <c r="B43361" s="136"/>
    </row>
    <row r="43362" spans="1:2" x14ac:dyDescent="0.25">
      <c r="A43362" s="118"/>
      <c r="B43362" s="136"/>
    </row>
    <row r="43363" spans="1:2" x14ac:dyDescent="0.25">
      <c r="A43363" s="118"/>
      <c r="B43363" s="136"/>
    </row>
    <row r="43364" spans="1:2" x14ac:dyDescent="0.25">
      <c r="A43364" s="118"/>
      <c r="B43364" s="136"/>
    </row>
    <row r="43365" spans="1:2" x14ac:dyDescent="0.25">
      <c r="A43365" s="118"/>
      <c r="B43365" s="136"/>
    </row>
    <row r="43366" spans="1:2" x14ac:dyDescent="0.25">
      <c r="A43366" s="118"/>
      <c r="B43366" s="136"/>
    </row>
    <row r="43367" spans="1:2" x14ac:dyDescent="0.25">
      <c r="A43367" s="118"/>
      <c r="B43367" s="136"/>
    </row>
    <row r="43368" spans="1:2" x14ac:dyDescent="0.25">
      <c r="A43368" s="118"/>
      <c r="B43368" s="136"/>
    </row>
    <row r="43369" spans="1:2" x14ac:dyDescent="0.25">
      <c r="A43369" s="118"/>
      <c r="B43369" s="136"/>
    </row>
    <row r="43370" spans="1:2" x14ac:dyDescent="0.25">
      <c r="A43370" s="118"/>
      <c r="B43370" s="136"/>
    </row>
    <row r="43371" spans="1:2" x14ac:dyDescent="0.25">
      <c r="A43371" s="118"/>
      <c r="B43371" s="136"/>
    </row>
    <row r="43372" spans="1:2" x14ac:dyDescent="0.25">
      <c r="A43372" s="118"/>
      <c r="B43372" s="136"/>
    </row>
    <row r="43373" spans="1:2" x14ac:dyDescent="0.25">
      <c r="A43373" s="118"/>
      <c r="B43373" s="136"/>
    </row>
    <row r="43374" spans="1:2" x14ac:dyDescent="0.25">
      <c r="A43374" s="118"/>
      <c r="B43374" s="136"/>
    </row>
    <row r="43375" spans="1:2" x14ac:dyDescent="0.25">
      <c r="A43375" s="118"/>
      <c r="B43375" s="136"/>
    </row>
    <row r="43376" spans="1:2" x14ac:dyDescent="0.25">
      <c r="A43376" s="118"/>
      <c r="B43376" s="136"/>
    </row>
    <row r="43377" spans="1:2" x14ac:dyDescent="0.25">
      <c r="A43377" s="118"/>
      <c r="B43377" s="136"/>
    </row>
    <row r="43378" spans="1:2" x14ac:dyDescent="0.25">
      <c r="A43378" s="118"/>
      <c r="B43378" s="136"/>
    </row>
    <row r="43379" spans="1:2" x14ac:dyDescent="0.25">
      <c r="A43379" s="118"/>
      <c r="B43379" s="136"/>
    </row>
    <row r="43380" spans="1:2" x14ac:dyDescent="0.25">
      <c r="A43380" s="118"/>
      <c r="B43380" s="136"/>
    </row>
    <row r="43381" spans="1:2" x14ac:dyDescent="0.25">
      <c r="A43381" s="118"/>
      <c r="B43381" s="136"/>
    </row>
    <row r="43382" spans="1:2" x14ac:dyDescent="0.25">
      <c r="A43382" s="118"/>
      <c r="B43382" s="136"/>
    </row>
    <row r="43383" spans="1:2" x14ac:dyDescent="0.25">
      <c r="A43383" s="118"/>
      <c r="B43383" s="136"/>
    </row>
    <row r="43384" spans="1:2" x14ac:dyDescent="0.25">
      <c r="A43384" s="118"/>
      <c r="B43384" s="136"/>
    </row>
    <row r="43385" spans="1:2" x14ac:dyDescent="0.25">
      <c r="A43385" s="118"/>
      <c r="B43385" s="136"/>
    </row>
    <row r="43386" spans="1:2" x14ac:dyDescent="0.25">
      <c r="A43386" s="118"/>
      <c r="B43386" s="136"/>
    </row>
    <row r="43387" spans="1:2" x14ac:dyDescent="0.25">
      <c r="A43387" s="118"/>
      <c r="B43387" s="136"/>
    </row>
    <row r="43388" spans="1:2" x14ac:dyDescent="0.25">
      <c r="A43388" s="118"/>
      <c r="B43388" s="136"/>
    </row>
    <row r="43389" spans="1:2" x14ac:dyDescent="0.25">
      <c r="A43389" s="118"/>
      <c r="B43389" s="136"/>
    </row>
    <row r="43390" spans="1:2" x14ac:dyDescent="0.25">
      <c r="A43390" s="118"/>
      <c r="B43390" s="136"/>
    </row>
    <row r="43391" spans="1:2" x14ac:dyDescent="0.25">
      <c r="A43391" s="118"/>
      <c r="B43391" s="136"/>
    </row>
    <row r="43392" spans="1:2" x14ac:dyDescent="0.25">
      <c r="A43392" s="118"/>
      <c r="B43392" s="136"/>
    </row>
    <row r="43393" spans="1:2" x14ac:dyDescent="0.25">
      <c r="A43393" s="118"/>
      <c r="B43393" s="136"/>
    </row>
    <row r="43394" spans="1:2" x14ac:dyDescent="0.25">
      <c r="A43394" s="118"/>
      <c r="B43394" s="136"/>
    </row>
    <row r="43395" spans="1:2" x14ac:dyDescent="0.25">
      <c r="A43395" s="118"/>
      <c r="B43395" s="136"/>
    </row>
    <row r="43396" spans="1:2" x14ac:dyDescent="0.25">
      <c r="A43396" s="118"/>
      <c r="B43396" s="136"/>
    </row>
    <row r="43397" spans="1:2" x14ac:dyDescent="0.25">
      <c r="A43397" s="118"/>
      <c r="B43397" s="136"/>
    </row>
    <row r="43398" spans="1:2" x14ac:dyDescent="0.25">
      <c r="A43398" s="118"/>
      <c r="B43398" s="136"/>
    </row>
    <row r="43399" spans="1:2" x14ac:dyDescent="0.25">
      <c r="A43399" s="118"/>
      <c r="B43399" s="136"/>
    </row>
    <row r="43400" spans="1:2" x14ac:dyDescent="0.25">
      <c r="A43400" s="118"/>
      <c r="B43400" s="136"/>
    </row>
    <row r="43401" spans="1:2" x14ac:dyDescent="0.25">
      <c r="A43401" s="118"/>
      <c r="B43401" s="136"/>
    </row>
    <row r="43402" spans="1:2" x14ac:dyDescent="0.25">
      <c r="A43402" s="118"/>
      <c r="B43402" s="136"/>
    </row>
    <row r="43403" spans="1:2" x14ac:dyDescent="0.25">
      <c r="A43403" s="118"/>
      <c r="B43403" s="136"/>
    </row>
    <row r="43404" spans="1:2" x14ac:dyDescent="0.25">
      <c r="A43404" s="118"/>
      <c r="B43404" s="136"/>
    </row>
    <row r="43405" spans="1:2" x14ac:dyDescent="0.25">
      <c r="A43405" s="118"/>
      <c r="B43405" s="136"/>
    </row>
    <row r="43406" spans="1:2" x14ac:dyDescent="0.25">
      <c r="A43406" s="118"/>
      <c r="B43406" s="136"/>
    </row>
    <row r="43407" spans="1:2" x14ac:dyDescent="0.25">
      <c r="A43407" s="118"/>
      <c r="B43407" s="136"/>
    </row>
    <row r="43408" spans="1:2" x14ac:dyDescent="0.25">
      <c r="A43408" s="118"/>
      <c r="B43408" s="136"/>
    </row>
    <row r="43409" spans="1:2" x14ac:dyDescent="0.25">
      <c r="A43409" s="118"/>
      <c r="B43409" s="136"/>
    </row>
    <row r="43410" spans="1:2" x14ac:dyDescent="0.25">
      <c r="A43410" s="118"/>
      <c r="B43410" s="136"/>
    </row>
    <row r="43411" spans="1:2" x14ac:dyDescent="0.25">
      <c r="A43411" s="118"/>
      <c r="B43411" s="136"/>
    </row>
    <row r="43412" spans="1:2" x14ac:dyDescent="0.25">
      <c r="A43412" s="118"/>
      <c r="B43412" s="136"/>
    </row>
    <row r="43413" spans="1:2" x14ac:dyDescent="0.25">
      <c r="A43413" s="118"/>
      <c r="B43413" s="136"/>
    </row>
    <row r="43414" spans="1:2" x14ac:dyDescent="0.25">
      <c r="A43414" s="118"/>
      <c r="B43414" s="136"/>
    </row>
    <row r="43415" spans="1:2" x14ac:dyDescent="0.25">
      <c r="A43415" s="118"/>
      <c r="B43415" s="136"/>
    </row>
    <row r="43416" spans="1:2" x14ac:dyDescent="0.25">
      <c r="A43416" s="118"/>
      <c r="B43416" s="136"/>
    </row>
    <row r="43417" spans="1:2" x14ac:dyDescent="0.25">
      <c r="A43417" s="118"/>
      <c r="B43417" s="136"/>
    </row>
    <row r="43418" spans="1:2" x14ac:dyDescent="0.25">
      <c r="A43418" s="118"/>
      <c r="B43418" s="136"/>
    </row>
    <row r="43419" spans="1:2" x14ac:dyDescent="0.25">
      <c r="A43419" s="118"/>
      <c r="B43419" s="136"/>
    </row>
    <row r="43420" spans="1:2" x14ac:dyDescent="0.25">
      <c r="A43420" s="118"/>
      <c r="B43420" s="136"/>
    </row>
    <row r="43421" spans="1:2" x14ac:dyDescent="0.25">
      <c r="A43421" s="118"/>
      <c r="B43421" s="136"/>
    </row>
    <row r="43422" spans="1:2" x14ac:dyDescent="0.25">
      <c r="A43422" s="118"/>
      <c r="B43422" s="136"/>
    </row>
    <row r="43423" spans="1:2" x14ac:dyDescent="0.25">
      <c r="A43423" s="118"/>
      <c r="B43423" s="136"/>
    </row>
    <row r="43424" spans="1:2" x14ac:dyDescent="0.25">
      <c r="A43424" s="118"/>
      <c r="B43424" s="136"/>
    </row>
    <row r="43425" spans="1:2" x14ac:dyDescent="0.25">
      <c r="A43425" s="118"/>
      <c r="B43425" s="136"/>
    </row>
    <row r="43426" spans="1:2" x14ac:dyDescent="0.25">
      <c r="A43426" s="118"/>
      <c r="B43426" s="136"/>
    </row>
    <row r="43427" spans="1:2" x14ac:dyDescent="0.25">
      <c r="A43427" s="118"/>
      <c r="B43427" s="136"/>
    </row>
    <row r="43428" spans="1:2" x14ac:dyDescent="0.25">
      <c r="A43428" s="118"/>
      <c r="B43428" s="136"/>
    </row>
    <row r="43429" spans="1:2" x14ac:dyDescent="0.25">
      <c r="A43429" s="118"/>
      <c r="B43429" s="136"/>
    </row>
    <row r="43430" spans="1:2" x14ac:dyDescent="0.25">
      <c r="A43430" s="118"/>
      <c r="B43430" s="136"/>
    </row>
    <row r="43431" spans="1:2" x14ac:dyDescent="0.25">
      <c r="A43431" s="118"/>
      <c r="B43431" s="136"/>
    </row>
    <row r="43432" spans="1:2" x14ac:dyDescent="0.25">
      <c r="A43432" s="118"/>
      <c r="B43432" s="136"/>
    </row>
    <row r="43433" spans="1:2" x14ac:dyDescent="0.25">
      <c r="A43433" s="118"/>
      <c r="B43433" s="136"/>
    </row>
    <row r="43434" spans="1:2" x14ac:dyDescent="0.25">
      <c r="A43434" s="118"/>
      <c r="B43434" s="136"/>
    </row>
    <row r="43435" spans="1:2" x14ac:dyDescent="0.25">
      <c r="A43435" s="118"/>
      <c r="B43435" s="136"/>
    </row>
    <row r="43436" spans="1:2" x14ac:dyDescent="0.25">
      <c r="A43436" s="118"/>
      <c r="B43436" s="136"/>
    </row>
    <row r="43437" spans="1:2" x14ac:dyDescent="0.25">
      <c r="A43437" s="118"/>
      <c r="B43437" s="136"/>
    </row>
    <row r="43438" spans="1:2" x14ac:dyDescent="0.25">
      <c r="A43438" s="118"/>
      <c r="B43438" s="136"/>
    </row>
    <row r="43439" spans="1:2" x14ac:dyDescent="0.25">
      <c r="A43439" s="118"/>
      <c r="B43439" s="136"/>
    </row>
    <row r="43440" spans="1:2" x14ac:dyDescent="0.25">
      <c r="A43440" s="118"/>
      <c r="B43440" s="136"/>
    </row>
    <row r="43441" spans="1:2" x14ac:dyDescent="0.25">
      <c r="A43441" s="118"/>
      <c r="B43441" s="136"/>
    </row>
    <row r="43442" spans="1:2" x14ac:dyDescent="0.25">
      <c r="A43442" s="118"/>
      <c r="B43442" s="136"/>
    </row>
    <row r="43443" spans="1:2" x14ac:dyDescent="0.25">
      <c r="A43443" s="118"/>
      <c r="B43443" s="136"/>
    </row>
    <row r="43444" spans="1:2" x14ac:dyDescent="0.25">
      <c r="A43444" s="118"/>
      <c r="B43444" s="136"/>
    </row>
    <row r="43445" spans="1:2" x14ac:dyDescent="0.25">
      <c r="A43445" s="118"/>
      <c r="B43445" s="136"/>
    </row>
    <row r="43446" spans="1:2" x14ac:dyDescent="0.25">
      <c r="A43446" s="118"/>
      <c r="B43446" s="136"/>
    </row>
    <row r="43447" spans="1:2" x14ac:dyDescent="0.25">
      <c r="A43447" s="118"/>
      <c r="B43447" s="136"/>
    </row>
    <row r="43448" spans="1:2" x14ac:dyDescent="0.25">
      <c r="A43448" s="118"/>
      <c r="B43448" s="136"/>
    </row>
    <row r="43449" spans="1:2" x14ac:dyDescent="0.25">
      <c r="A43449" s="118"/>
      <c r="B43449" s="136"/>
    </row>
    <row r="43450" spans="1:2" x14ac:dyDescent="0.25">
      <c r="A43450" s="118"/>
      <c r="B43450" s="136"/>
    </row>
    <row r="43451" spans="1:2" x14ac:dyDescent="0.25">
      <c r="A43451" s="118"/>
      <c r="B43451" s="136"/>
    </row>
    <row r="43452" spans="1:2" x14ac:dyDescent="0.25">
      <c r="A43452" s="118"/>
      <c r="B43452" s="136"/>
    </row>
    <row r="43453" spans="1:2" x14ac:dyDescent="0.25">
      <c r="A43453" s="118"/>
      <c r="B43453" s="136"/>
    </row>
    <row r="43454" spans="1:2" x14ac:dyDescent="0.25">
      <c r="A43454" s="118"/>
      <c r="B43454" s="136"/>
    </row>
    <row r="43455" spans="1:2" x14ac:dyDescent="0.25">
      <c r="A43455" s="118"/>
      <c r="B43455" s="136"/>
    </row>
    <row r="43456" spans="1:2" x14ac:dyDescent="0.25">
      <c r="A43456" s="118"/>
      <c r="B43456" s="136"/>
    </row>
    <row r="43457" spans="1:2" x14ac:dyDescent="0.25">
      <c r="A43457" s="118"/>
      <c r="B43457" s="136"/>
    </row>
    <row r="43458" spans="1:2" x14ac:dyDescent="0.25">
      <c r="A43458" s="118"/>
      <c r="B43458" s="136"/>
    </row>
    <row r="43459" spans="1:2" x14ac:dyDescent="0.25">
      <c r="A43459" s="118"/>
      <c r="B43459" s="136"/>
    </row>
    <row r="43460" spans="1:2" x14ac:dyDescent="0.25">
      <c r="A43460" s="118"/>
      <c r="B43460" s="136"/>
    </row>
    <row r="43461" spans="1:2" x14ac:dyDescent="0.25">
      <c r="A43461" s="118"/>
      <c r="B43461" s="136"/>
    </row>
    <row r="43462" spans="1:2" x14ac:dyDescent="0.25">
      <c r="A43462" s="118"/>
      <c r="B43462" s="136"/>
    </row>
    <row r="43463" spans="1:2" x14ac:dyDescent="0.25">
      <c r="A43463" s="118"/>
      <c r="B43463" s="136"/>
    </row>
    <row r="43464" spans="1:2" x14ac:dyDescent="0.25">
      <c r="A43464" s="118"/>
      <c r="B43464" s="136"/>
    </row>
    <row r="43465" spans="1:2" x14ac:dyDescent="0.25">
      <c r="A43465" s="118"/>
      <c r="B43465" s="136"/>
    </row>
    <row r="43466" spans="1:2" x14ac:dyDescent="0.25">
      <c r="A43466" s="118"/>
      <c r="B43466" s="136"/>
    </row>
    <row r="43467" spans="1:2" x14ac:dyDescent="0.25">
      <c r="A43467" s="118"/>
      <c r="B43467" s="136"/>
    </row>
    <row r="43468" spans="1:2" x14ac:dyDescent="0.25">
      <c r="A43468" s="118"/>
      <c r="B43468" s="136"/>
    </row>
    <row r="43469" spans="1:2" x14ac:dyDescent="0.25">
      <c r="A43469" s="118"/>
      <c r="B43469" s="136"/>
    </row>
    <row r="43470" spans="1:2" x14ac:dyDescent="0.25">
      <c r="A43470" s="118"/>
      <c r="B43470" s="136"/>
    </row>
    <row r="43471" spans="1:2" x14ac:dyDescent="0.25">
      <c r="A43471" s="118"/>
      <c r="B43471" s="136"/>
    </row>
    <row r="43472" spans="1:2" x14ac:dyDescent="0.25">
      <c r="A43472" s="118"/>
      <c r="B43472" s="136"/>
    </row>
    <row r="43473" spans="1:2" x14ac:dyDescent="0.25">
      <c r="A43473" s="118"/>
      <c r="B43473" s="136"/>
    </row>
    <row r="43474" spans="1:2" x14ac:dyDescent="0.25">
      <c r="A43474" s="118"/>
      <c r="B43474" s="136"/>
    </row>
    <row r="43475" spans="1:2" x14ac:dyDescent="0.25">
      <c r="A43475" s="118"/>
      <c r="B43475" s="136"/>
    </row>
    <row r="43476" spans="1:2" x14ac:dyDescent="0.25">
      <c r="A43476" s="118"/>
      <c r="B43476" s="136"/>
    </row>
    <row r="43477" spans="1:2" x14ac:dyDescent="0.25">
      <c r="A43477" s="118"/>
      <c r="B43477" s="136"/>
    </row>
    <row r="43478" spans="1:2" x14ac:dyDescent="0.25">
      <c r="A43478" s="118"/>
      <c r="B43478" s="136"/>
    </row>
    <row r="43479" spans="1:2" x14ac:dyDescent="0.25">
      <c r="A43479" s="118"/>
      <c r="B43479" s="136"/>
    </row>
    <row r="43480" spans="1:2" x14ac:dyDescent="0.25">
      <c r="A43480" s="118"/>
      <c r="B43480" s="136"/>
    </row>
    <row r="43481" spans="1:2" x14ac:dyDescent="0.25">
      <c r="A43481" s="118"/>
      <c r="B43481" s="136"/>
    </row>
    <row r="43482" spans="1:2" x14ac:dyDescent="0.25">
      <c r="A43482" s="118"/>
      <c r="B43482" s="136"/>
    </row>
    <row r="43483" spans="1:2" x14ac:dyDescent="0.25">
      <c r="A43483" s="118"/>
      <c r="B43483" s="136"/>
    </row>
    <row r="43484" spans="1:2" x14ac:dyDescent="0.25">
      <c r="A43484" s="118"/>
      <c r="B43484" s="136"/>
    </row>
    <row r="43485" spans="1:2" x14ac:dyDescent="0.25">
      <c r="A43485" s="118"/>
      <c r="B43485" s="136"/>
    </row>
    <row r="43486" spans="1:2" x14ac:dyDescent="0.25">
      <c r="A43486" s="118"/>
      <c r="B43486" s="136"/>
    </row>
    <row r="43487" spans="1:2" x14ac:dyDescent="0.25">
      <c r="A43487" s="118"/>
      <c r="B43487" s="136"/>
    </row>
    <row r="43488" spans="1:2" x14ac:dyDescent="0.25">
      <c r="A43488" s="118"/>
      <c r="B43488" s="136"/>
    </row>
    <row r="43489" spans="1:2" x14ac:dyDescent="0.25">
      <c r="A43489" s="118"/>
      <c r="B43489" s="136"/>
    </row>
    <row r="43490" spans="1:2" x14ac:dyDescent="0.25">
      <c r="A43490" s="118"/>
      <c r="B43490" s="136"/>
    </row>
    <row r="43491" spans="1:2" x14ac:dyDescent="0.25">
      <c r="A43491" s="118"/>
      <c r="B43491" s="136"/>
    </row>
    <row r="43492" spans="1:2" x14ac:dyDescent="0.25">
      <c r="A43492" s="118"/>
      <c r="B43492" s="136"/>
    </row>
    <row r="43493" spans="1:2" x14ac:dyDescent="0.25">
      <c r="A43493" s="118"/>
      <c r="B43493" s="136"/>
    </row>
    <row r="43494" spans="1:2" x14ac:dyDescent="0.25">
      <c r="A43494" s="118"/>
      <c r="B43494" s="136"/>
    </row>
    <row r="43495" spans="1:2" x14ac:dyDescent="0.25">
      <c r="A43495" s="118"/>
      <c r="B43495" s="136"/>
    </row>
    <row r="43496" spans="1:2" x14ac:dyDescent="0.25">
      <c r="A43496" s="118"/>
      <c r="B43496" s="136"/>
    </row>
    <row r="43497" spans="1:2" x14ac:dyDescent="0.25">
      <c r="A43497" s="118"/>
      <c r="B43497" s="136"/>
    </row>
    <row r="43498" spans="1:2" x14ac:dyDescent="0.25">
      <c r="A43498" s="118"/>
      <c r="B43498" s="136"/>
    </row>
    <row r="43499" spans="1:2" x14ac:dyDescent="0.25">
      <c r="A43499" s="118"/>
      <c r="B43499" s="136"/>
    </row>
    <row r="43500" spans="1:2" x14ac:dyDescent="0.25">
      <c r="A43500" s="118"/>
      <c r="B43500" s="136"/>
    </row>
    <row r="43501" spans="1:2" x14ac:dyDescent="0.25">
      <c r="A43501" s="118"/>
      <c r="B43501" s="136"/>
    </row>
    <row r="43502" spans="1:2" x14ac:dyDescent="0.25">
      <c r="A43502" s="118"/>
      <c r="B43502" s="136"/>
    </row>
    <row r="43503" spans="1:2" x14ac:dyDescent="0.25">
      <c r="A43503" s="118"/>
      <c r="B43503" s="136"/>
    </row>
    <row r="43504" spans="1:2" x14ac:dyDescent="0.25">
      <c r="A43504" s="118"/>
      <c r="B43504" s="136"/>
    </row>
    <row r="43505" spans="1:2" x14ac:dyDescent="0.25">
      <c r="A43505" s="118"/>
      <c r="B43505" s="136"/>
    </row>
    <row r="43506" spans="1:2" x14ac:dyDescent="0.25">
      <c r="A43506" s="118"/>
      <c r="B43506" s="136"/>
    </row>
    <row r="43507" spans="1:2" x14ac:dyDescent="0.25">
      <c r="A43507" s="118"/>
      <c r="B43507" s="136"/>
    </row>
    <row r="43508" spans="1:2" x14ac:dyDescent="0.25">
      <c r="A43508" s="118"/>
      <c r="B43508" s="136"/>
    </row>
    <row r="43509" spans="1:2" x14ac:dyDescent="0.25">
      <c r="A43509" s="118"/>
      <c r="B43509" s="136"/>
    </row>
    <row r="43510" spans="1:2" x14ac:dyDescent="0.25">
      <c r="A43510" s="118"/>
      <c r="B43510" s="136"/>
    </row>
    <row r="43511" spans="1:2" x14ac:dyDescent="0.25">
      <c r="A43511" s="118"/>
      <c r="B43511" s="136"/>
    </row>
    <row r="43512" spans="1:2" x14ac:dyDescent="0.25">
      <c r="A43512" s="118"/>
      <c r="B43512" s="136"/>
    </row>
    <row r="43513" spans="1:2" x14ac:dyDescent="0.25">
      <c r="A43513" s="118"/>
      <c r="B43513" s="136"/>
    </row>
    <row r="43514" spans="1:2" x14ac:dyDescent="0.25">
      <c r="A43514" s="118"/>
      <c r="B43514" s="136"/>
    </row>
    <row r="43515" spans="1:2" x14ac:dyDescent="0.25">
      <c r="A43515" s="118"/>
      <c r="B43515" s="136"/>
    </row>
    <row r="43516" spans="1:2" x14ac:dyDescent="0.25">
      <c r="A43516" s="118"/>
      <c r="B43516" s="136"/>
    </row>
    <row r="43517" spans="1:2" x14ac:dyDescent="0.25">
      <c r="A43517" s="118"/>
      <c r="B43517" s="136"/>
    </row>
    <row r="43518" spans="1:2" x14ac:dyDescent="0.25">
      <c r="A43518" s="118"/>
      <c r="B43518" s="136"/>
    </row>
    <row r="43519" spans="1:2" x14ac:dyDescent="0.25">
      <c r="A43519" s="118"/>
      <c r="B43519" s="136"/>
    </row>
    <row r="43520" spans="1:2" x14ac:dyDescent="0.25">
      <c r="A43520" s="118"/>
      <c r="B43520" s="136"/>
    </row>
    <row r="43521" spans="1:2" x14ac:dyDescent="0.25">
      <c r="A43521" s="118"/>
      <c r="B43521" s="136"/>
    </row>
    <row r="43522" spans="1:2" x14ac:dyDescent="0.25">
      <c r="A43522" s="118"/>
      <c r="B43522" s="136"/>
    </row>
    <row r="43523" spans="1:2" x14ac:dyDescent="0.25">
      <c r="A43523" s="118"/>
      <c r="B43523" s="136"/>
    </row>
    <row r="43524" spans="1:2" x14ac:dyDescent="0.25">
      <c r="A43524" s="118"/>
      <c r="B43524" s="136"/>
    </row>
    <row r="43525" spans="1:2" x14ac:dyDescent="0.25">
      <c r="A43525" s="118"/>
      <c r="B43525" s="136"/>
    </row>
    <row r="43526" spans="1:2" x14ac:dyDescent="0.25">
      <c r="A43526" s="118"/>
      <c r="B43526" s="136"/>
    </row>
    <row r="43527" spans="1:2" x14ac:dyDescent="0.25">
      <c r="A43527" s="118"/>
      <c r="B43527" s="136"/>
    </row>
    <row r="43528" spans="1:2" x14ac:dyDescent="0.25">
      <c r="A43528" s="118"/>
      <c r="B43528" s="136"/>
    </row>
    <row r="43529" spans="1:2" x14ac:dyDescent="0.25">
      <c r="A43529" s="118"/>
      <c r="B43529" s="136"/>
    </row>
    <row r="43530" spans="1:2" x14ac:dyDescent="0.25">
      <c r="A43530" s="118"/>
      <c r="B43530" s="136"/>
    </row>
    <row r="43531" spans="1:2" x14ac:dyDescent="0.25">
      <c r="A43531" s="118"/>
      <c r="B43531" s="136"/>
    </row>
    <row r="43532" spans="1:2" x14ac:dyDescent="0.25">
      <c r="A43532" s="118"/>
      <c r="B43532" s="136"/>
    </row>
    <row r="43533" spans="1:2" x14ac:dyDescent="0.25">
      <c r="A43533" s="118"/>
      <c r="B43533" s="136"/>
    </row>
    <row r="43534" spans="1:2" x14ac:dyDescent="0.25">
      <c r="A43534" s="118"/>
      <c r="B43534" s="136"/>
    </row>
    <row r="43535" spans="1:2" x14ac:dyDescent="0.25">
      <c r="A43535" s="118"/>
      <c r="B43535" s="136"/>
    </row>
    <row r="43536" spans="1:2" x14ac:dyDescent="0.25">
      <c r="A43536" s="118"/>
      <c r="B43536" s="136"/>
    </row>
    <row r="43537" spans="1:2" x14ac:dyDescent="0.25">
      <c r="A43537" s="118"/>
      <c r="B43537" s="136"/>
    </row>
    <row r="43538" spans="1:2" x14ac:dyDescent="0.25">
      <c r="A43538" s="118"/>
      <c r="B43538" s="136"/>
    </row>
    <row r="43539" spans="1:2" x14ac:dyDescent="0.25">
      <c r="A43539" s="118"/>
      <c r="B43539" s="136"/>
    </row>
    <row r="43540" spans="1:2" x14ac:dyDescent="0.25">
      <c r="A43540" s="118"/>
      <c r="B43540" s="136"/>
    </row>
    <row r="43541" spans="1:2" x14ac:dyDescent="0.25">
      <c r="A43541" s="118"/>
      <c r="B43541" s="136"/>
    </row>
    <row r="43542" spans="1:2" x14ac:dyDescent="0.25">
      <c r="A43542" s="118"/>
      <c r="B43542" s="136"/>
    </row>
    <row r="43543" spans="1:2" x14ac:dyDescent="0.25">
      <c r="A43543" s="118"/>
      <c r="B43543" s="136"/>
    </row>
    <row r="43544" spans="1:2" x14ac:dyDescent="0.25">
      <c r="A43544" s="118"/>
      <c r="B43544" s="136"/>
    </row>
    <row r="43545" spans="1:2" x14ac:dyDescent="0.25">
      <c r="A43545" s="118"/>
      <c r="B43545" s="136"/>
    </row>
    <row r="43546" spans="1:2" x14ac:dyDescent="0.25">
      <c r="A43546" s="118"/>
      <c r="B43546" s="136"/>
    </row>
    <row r="43547" spans="1:2" x14ac:dyDescent="0.25">
      <c r="A43547" s="118"/>
      <c r="B43547" s="136"/>
    </row>
    <row r="43548" spans="1:2" x14ac:dyDescent="0.25">
      <c r="A43548" s="118"/>
      <c r="B43548" s="136"/>
    </row>
    <row r="43549" spans="1:2" x14ac:dyDescent="0.25">
      <c r="A43549" s="118"/>
      <c r="B43549" s="136"/>
    </row>
    <row r="43550" spans="1:2" x14ac:dyDescent="0.25">
      <c r="A43550" s="118"/>
      <c r="B43550" s="136"/>
    </row>
    <row r="43551" spans="1:2" x14ac:dyDescent="0.25">
      <c r="A43551" s="118"/>
      <c r="B43551" s="136"/>
    </row>
    <row r="43552" spans="1:2" x14ac:dyDescent="0.25">
      <c r="A43552" s="118"/>
      <c r="B43552" s="136"/>
    </row>
    <row r="43553" spans="1:2" x14ac:dyDescent="0.25">
      <c r="A43553" s="118"/>
      <c r="B43553" s="136"/>
    </row>
    <row r="43554" spans="1:2" x14ac:dyDescent="0.25">
      <c r="A43554" s="118"/>
      <c r="B43554" s="136"/>
    </row>
    <row r="43555" spans="1:2" x14ac:dyDescent="0.25">
      <c r="A43555" s="118"/>
      <c r="B43555" s="136"/>
    </row>
    <row r="43556" spans="1:2" x14ac:dyDescent="0.25">
      <c r="A43556" s="118"/>
      <c r="B43556" s="136"/>
    </row>
    <row r="43557" spans="1:2" x14ac:dyDescent="0.25">
      <c r="A43557" s="118"/>
      <c r="B43557" s="136"/>
    </row>
    <row r="43558" spans="1:2" x14ac:dyDescent="0.25">
      <c r="A43558" s="118"/>
      <c r="B43558" s="136"/>
    </row>
    <row r="43559" spans="1:2" x14ac:dyDescent="0.25">
      <c r="A43559" s="118"/>
      <c r="B43559" s="136"/>
    </row>
    <row r="43560" spans="1:2" x14ac:dyDescent="0.25">
      <c r="A43560" s="118"/>
      <c r="B43560" s="136"/>
    </row>
    <row r="43561" spans="1:2" x14ac:dyDescent="0.25">
      <c r="A43561" s="118"/>
      <c r="B43561" s="136"/>
    </row>
    <row r="43562" spans="1:2" x14ac:dyDescent="0.25">
      <c r="A43562" s="118"/>
      <c r="B43562" s="136"/>
    </row>
    <row r="43563" spans="1:2" x14ac:dyDescent="0.25">
      <c r="A43563" s="118"/>
      <c r="B43563" s="136"/>
    </row>
    <row r="43564" spans="1:2" x14ac:dyDescent="0.25">
      <c r="A43564" s="118"/>
      <c r="B43564" s="136"/>
    </row>
    <row r="43565" spans="1:2" x14ac:dyDescent="0.25">
      <c r="A43565" s="118"/>
      <c r="B43565" s="136"/>
    </row>
    <row r="43566" spans="1:2" x14ac:dyDescent="0.25">
      <c r="A43566" s="118"/>
      <c r="B43566" s="136"/>
    </row>
    <row r="43567" spans="1:2" x14ac:dyDescent="0.25">
      <c r="A43567" s="118"/>
      <c r="B43567" s="136"/>
    </row>
    <row r="43568" spans="1:2" x14ac:dyDescent="0.25">
      <c r="A43568" s="118"/>
      <c r="B43568" s="136"/>
    </row>
    <row r="43569" spans="1:2" x14ac:dyDescent="0.25">
      <c r="A43569" s="118"/>
      <c r="B43569" s="136"/>
    </row>
    <row r="43570" spans="1:2" x14ac:dyDescent="0.25">
      <c r="A43570" s="118"/>
      <c r="B43570" s="136"/>
    </row>
    <row r="43571" spans="1:2" x14ac:dyDescent="0.25">
      <c r="A43571" s="118"/>
      <c r="B43571" s="136"/>
    </row>
    <row r="43572" spans="1:2" x14ac:dyDescent="0.25">
      <c r="A43572" s="118"/>
      <c r="B43572" s="136"/>
    </row>
    <row r="43573" spans="1:2" x14ac:dyDescent="0.25">
      <c r="A43573" s="118"/>
      <c r="B43573" s="136"/>
    </row>
    <row r="43574" spans="1:2" x14ac:dyDescent="0.25">
      <c r="A43574" s="118"/>
      <c r="B43574" s="136"/>
    </row>
    <row r="43575" spans="1:2" x14ac:dyDescent="0.25">
      <c r="A43575" s="118"/>
      <c r="B43575" s="136"/>
    </row>
    <row r="43576" spans="1:2" x14ac:dyDescent="0.25">
      <c r="A43576" s="118"/>
      <c r="B43576" s="136"/>
    </row>
    <row r="43577" spans="1:2" x14ac:dyDescent="0.25">
      <c r="A43577" s="118"/>
      <c r="B43577" s="136"/>
    </row>
    <row r="43578" spans="1:2" x14ac:dyDescent="0.25">
      <c r="A43578" s="118"/>
      <c r="B43578" s="136"/>
    </row>
    <row r="43579" spans="1:2" x14ac:dyDescent="0.25">
      <c r="A43579" s="118"/>
      <c r="B43579" s="136"/>
    </row>
    <row r="43580" spans="1:2" x14ac:dyDescent="0.25">
      <c r="A43580" s="118"/>
      <c r="B43580" s="136"/>
    </row>
    <row r="43581" spans="1:2" x14ac:dyDescent="0.25">
      <c r="A43581" s="118"/>
      <c r="B43581" s="136"/>
    </row>
    <row r="43582" spans="1:2" x14ac:dyDescent="0.25">
      <c r="A43582" s="118"/>
      <c r="B43582" s="136"/>
    </row>
    <row r="43583" spans="1:2" x14ac:dyDescent="0.25">
      <c r="A43583" s="118"/>
      <c r="B43583" s="136"/>
    </row>
    <row r="43584" spans="1:2" x14ac:dyDescent="0.25">
      <c r="A43584" s="118"/>
      <c r="B43584" s="136"/>
    </row>
    <row r="43585" spans="1:2" x14ac:dyDescent="0.25">
      <c r="A43585" s="118"/>
      <c r="B43585" s="136"/>
    </row>
    <row r="43586" spans="1:2" x14ac:dyDescent="0.25">
      <c r="A43586" s="118"/>
      <c r="B43586" s="136"/>
    </row>
    <row r="43587" spans="1:2" x14ac:dyDescent="0.25">
      <c r="A43587" s="118"/>
      <c r="B43587" s="136"/>
    </row>
    <row r="43588" spans="1:2" x14ac:dyDescent="0.25">
      <c r="A43588" s="118"/>
      <c r="B43588" s="136"/>
    </row>
    <row r="43589" spans="1:2" x14ac:dyDescent="0.25">
      <c r="A43589" s="118"/>
      <c r="B43589" s="136"/>
    </row>
    <row r="43590" spans="1:2" x14ac:dyDescent="0.25">
      <c r="A43590" s="118"/>
      <c r="B43590" s="136"/>
    </row>
    <row r="43591" spans="1:2" x14ac:dyDescent="0.25">
      <c r="A43591" s="118"/>
      <c r="B43591" s="136"/>
    </row>
    <row r="43592" spans="1:2" x14ac:dyDescent="0.25">
      <c r="A43592" s="118"/>
      <c r="B43592" s="136"/>
    </row>
    <row r="43593" spans="1:2" x14ac:dyDescent="0.25">
      <c r="A43593" s="118"/>
      <c r="B43593" s="136"/>
    </row>
    <row r="43594" spans="1:2" x14ac:dyDescent="0.25">
      <c r="A43594" s="118"/>
      <c r="B43594" s="136"/>
    </row>
    <row r="43595" spans="1:2" x14ac:dyDescent="0.25">
      <c r="A43595" s="118"/>
      <c r="B43595" s="136"/>
    </row>
    <row r="43596" spans="1:2" x14ac:dyDescent="0.25">
      <c r="A43596" s="118"/>
      <c r="B43596" s="136"/>
    </row>
    <row r="43597" spans="1:2" x14ac:dyDescent="0.25">
      <c r="A43597" s="118"/>
      <c r="B43597" s="136"/>
    </row>
    <row r="43598" spans="1:2" x14ac:dyDescent="0.25">
      <c r="A43598" s="118"/>
      <c r="B43598" s="136"/>
    </row>
    <row r="43599" spans="1:2" x14ac:dyDescent="0.25">
      <c r="A43599" s="118"/>
      <c r="B43599" s="136"/>
    </row>
    <row r="43600" spans="1:2" x14ac:dyDescent="0.25">
      <c r="A43600" s="118"/>
      <c r="B43600" s="136"/>
    </row>
    <row r="43601" spans="1:2" x14ac:dyDescent="0.25">
      <c r="A43601" s="118"/>
      <c r="B43601" s="136"/>
    </row>
    <row r="43602" spans="1:2" x14ac:dyDescent="0.25">
      <c r="A43602" s="118"/>
      <c r="B43602" s="136"/>
    </row>
    <row r="43603" spans="1:2" x14ac:dyDescent="0.25">
      <c r="A43603" s="118"/>
      <c r="B43603" s="136"/>
    </row>
    <row r="43604" spans="1:2" x14ac:dyDescent="0.25">
      <c r="A43604" s="118"/>
      <c r="B43604" s="136"/>
    </row>
    <row r="43605" spans="1:2" x14ac:dyDescent="0.25">
      <c r="A43605" s="118"/>
      <c r="B43605" s="136"/>
    </row>
    <row r="43606" spans="1:2" x14ac:dyDescent="0.25">
      <c r="A43606" s="118"/>
      <c r="B43606" s="136"/>
    </row>
    <row r="43607" spans="1:2" x14ac:dyDescent="0.25">
      <c r="A43607" s="118"/>
      <c r="B43607" s="136"/>
    </row>
    <row r="43608" spans="1:2" x14ac:dyDescent="0.25">
      <c r="A43608" s="118"/>
      <c r="B43608" s="136"/>
    </row>
    <row r="43609" spans="1:2" x14ac:dyDescent="0.25">
      <c r="A43609" s="118"/>
      <c r="B43609" s="136"/>
    </row>
    <row r="43610" spans="1:2" x14ac:dyDescent="0.25">
      <c r="A43610" s="118"/>
      <c r="B43610" s="136"/>
    </row>
    <row r="43611" spans="1:2" x14ac:dyDescent="0.25">
      <c r="A43611" s="118"/>
      <c r="B43611" s="136"/>
    </row>
    <row r="43612" spans="1:2" x14ac:dyDescent="0.25">
      <c r="A43612" s="118"/>
      <c r="B43612" s="136"/>
    </row>
    <row r="43613" spans="1:2" x14ac:dyDescent="0.25">
      <c r="A43613" s="118"/>
      <c r="B43613" s="136"/>
    </row>
    <row r="43614" spans="1:2" x14ac:dyDescent="0.25">
      <c r="A43614" s="118"/>
      <c r="B43614" s="136"/>
    </row>
    <row r="43615" spans="1:2" x14ac:dyDescent="0.25">
      <c r="A43615" s="118"/>
      <c r="B43615" s="136"/>
    </row>
    <row r="43616" spans="1:2" x14ac:dyDescent="0.25">
      <c r="A43616" s="118"/>
      <c r="B43616" s="136"/>
    </row>
    <row r="43617" spans="1:2" x14ac:dyDescent="0.25">
      <c r="A43617" s="118"/>
      <c r="B43617" s="136"/>
    </row>
    <row r="43618" spans="1:2" x14ac:dyDescent="0.25">
      <c r="A43618" s="118"/>
      <c r="B43618" s="136"/>
    </row>
    <row r="43619" spans="1:2" x14ac:dyDescent="0.25">
      <c r="A43619" s="118"/>
      <c r="B43619" s="136"/>
    </row>
    <row r="43620" spans="1:2" x14ac:dyDescent="0.25">
      <c r="A43620" s="118"/>
      <c r="B43620" s="136"/>
    </row>
    <row r="43621" spans="1:2" x14ac:dyDescent="0.25">
      <c r="A43621" s="118"/>
      <c r="B43621" s="136"/>
    </row>
    <row r="43622" spans="1:2" x14ac:dyDescent="0.25">
      <c r="A43622" s="118"/>
      <c r="B43622" s="136"/>
    </row>
    <row r="43623" spans="1:2" x14ac:dyDescent="0.25">
      <c r="A43623" s="118"/>
      <c r="B43623" s="136"/>
    </row>
    <row r="43624" spans="1:2" x14ac:dyDescent="0.25">
      <c r="A43624" s="118"/>
      <c r="B43624" s="136"/>
    </row>
    <row r="43625" spans="1:2" x14ac:dyDescent="0.25">
      <c r="A43625" s="118"/>
      <c r="B43625" s="136"/>
    </row>
    <row r="43626" spans="1:2" x14ac:dyDescent="0.25">
      <c r="A43626" s="118"/>
      <c r="B43626" s="136"/>
    </row>
    <row r="43627" spans="1:2" x14ac:dyDescent="0.25">
      <c r="A43627" s="118"/>
      <c r="B43627" s="136"/>
    </row>
    <row r="43628" spans="1:2" x14ac:dyDescent="0.25">
      <c r="A43628" s="118"/>
      <c r="B43628" s="136"/>
    </row>
    <row r="43629" spans="1:2" x14ac:dyDescent="0.25">
      <c r="A43629" s="118"/>
      <c r="B43629" s="136"/>
    </row>
    <row r="43630" spans="1:2" x14ac:dyDescent="0.25">
      <c r="A43630" s="118"/>
      <c r="B43630" s="136"/>
    </row>
    <row r="43631" spans="1:2" x14ac:dyDescent="0.25">
      <c r="A43631" s="118"/>
      <c r="B43631" s="136"/>
    </row>
    <row r="43632" spans="1:2" x14ac:dyDescent="0.25">
      <c r="A43632" s="118"/>
      <c r="B43632" s="136"/>
    </row>
    <row r="43633" spans="1:2" x14ac:dyDescent="0.25">
      <c r="A43633" s="118"/>
      <c r="B43633" s="136"/>
    </row>
    <row r="43634" spans="1:2" x14ac:dyDescent="0.25">
      <c r="A43634" s="118"/>
      <c r="B43634" s="136"/>
    </row>
    <row r="43635" spans="1:2" x14ac:dyDescent="0.25">
      <c r="A43635" s="118"/>
      <c r="B43635" s="136"/>
    </row>
    <row r="43636" spans="1:2" x14ac:dyDescent="0.25">
      <c r="A43636" s="118"/>
      <c r="B43636" s="136"/>
    </row>
    <row r="43637" spans="1:2" x14ac:dyDescent="0.25">
      <c r="A43637" s="118"/>
      <c r="B43637" s="136"/>
    </row>
    <row r="43638" spans="1:2" x14ac:dyDescent="0.25">
      <c r="A43638" s="118"/>
      <c r="B43638" s="136"/>
    </row>
    <row r="43639" spans="1:2" x14ac:dyDescent="0.25">
      <c r="A43639" s="118"/>
      <c r="B43639" s="136"/>
    </row>
    <row r="43640" spans="1:2" x14ac:dyDescent="0.25">
      <c r="A43640" s="118"/>
      <c r="B43640" s="136"/>
    </row>
    <row r="43641" spans="1:2" x14ac:dyDescent="0.25">
      <c r="A43641" s="118"/>
      <c r="B43641" s="136"/>
    </row>
    <row r="43642" spans="1:2" x14ac:dyDescent="0.25">
      <c r="A43642" s="118"/>
      <c r="B43642" s="136"/>
    </row>
    <row r="43643" spans="1:2" x14ac:dyDescent="0.25">
      <c r="A43643" s="118"/>
      <c r="B43643" s="136"/>
    </row>
    <row r="43644" spans="1:2" x14ac:dyDescent="0.25">
      <c r="A43644" s="118"/>
      <c r="B43644" s="136"/>
    </row>
    <row r="43645" spans="1:2" x14ac:dyDescent="0.25">
      <c r="A43645" s="118"/>
      <c r="B43645" s="136"/>
    </row>
    <row r="43646" spans="1:2" x14ac:dyDescent="0.25">
      <c r="A43646" s="118"/>
      <c r="B43646" s="136"/>
    </row>
    <row r="43647" spans="1:2" x14ac:dyDescent="0.25">
      <c r="A43647" s="118"/>
      <c r="B43647" s="136"/>
    </row>
    <row r="43648" spans="1:2" x14ac:dyDescent="0.25">
      <c r="A43648" s="118"/>
      <c r="B43648" s="136"/>
    </row>
    <row r="43649" spans="1:2" x14ac:dyDescent="0.25">
      <c r="A43649" s="118"/>
      <c r="B43649" s="136"/>
    </row>
    <row r="43650" spans="1:2" x14ac:dyDescent="0.25">
      <c r="A43650" s="118"/>
      <c r="B43650" s="136"/>
    </row>
    <row r="43651" spans="1:2" x14ac:dyDescent="0.25">
      <c r="A43651" s="118"/>
      <c r="B43651" s="136"/>
    </row>
    <row r="43652" spans="1:2" x14ac:dyDescent="0.25">
      <c r="A43652" s="118"/>
      <c r="B43652" s="136"/>
    </row>
    <row r="43653" spans="1:2" x14ac:dyDescent="0.25">
      <c r="A43653" s="118"/>
      <c r="B43653" s="136"/>
    </row>
    <row r="43654" spans="1:2" x14ac:dyDescent="0.25">
      <c r="A43654" s="118"/>
      <c r="B43654" s="136"/>
    </row>
    <row r="43655" spans="1:2" x14ac:dyDescent="0.25">
      <c r="A43655" s="118"/>
      <c r="B43655" s="136"/>
    </row>
    <row r="43656" spans="1:2" x14ac:dyDescent="0.25">
      <c r="A43656" s="118"/>
      <c r="B43656" s="136"/>
    </row>
    <row r="43657" spans="1:2" x14ac:dyDescent="0.25">
      <c r="A43657" s="118"/>
      <c r="B43657" s="136"/>
    </row>
    <row r="43658" spans="1:2" x14ac:dyDescent="0.25">
      <c r="A43658" s="118"/>
      <c r="B43658" s="136"/>
    </row>
    <row r="43659" spans="1:2" x14ac:dyDescent="0.25">
      <c r="A43659" s="118"/>
      <c r="B43659" s="136"/>
    </row>
    <row r="43660" spans="1:2" x14ac:dyDescent="0.25">
      <c r="A43660" s="118"/>
      <c r="B43660" s="136"/>
    </row>
    <row r="43661" spans="1:2" x14ac:dyDescent="0.25">
      <c r="A43661" s="118"/>
      <c r="B43661" s="136"/>
    </row>
    <row r="43662" spans="1:2" x14ac:dyDescent="0.25">
      <c r="A43662" s="118"/>
      <c r="B43662" s="136"/>
    </row>
    <row r="43663" spans="1:2" x14ac:dyDescent="0.25">
      <c r="A43663" s="118"/>
      <c r="B43663" s="136"/>
    </row>
    <row r="43664" spans="1:2" x14ac:dyDescent="0.25">
      <c r="A43664" s="118"/>
      <c r="B43664" s="136"/>
    </row>
    <row r="43665" spans="1:2" x14ac:dyDescent="0.25">
      <c r="A43665" s="118"/>
      <c r="B43665" s="136"/>
    </row>
    <row r="43666" spans="1:2" x14ac:dyDescent="0.25">
      <c r="A43666" s="118"/>
      <c r="B43666" s="136"/>
    </row>
    <row r="43667" spans="1:2" x14ac:dyDescent="0.25">
      <c r="A43667" s="118"/>
      <c r="B43667" s="136"/>
    </row>
    <row r="43668" spans="1:2" x14ac:dyDescent="0.25">
      <c r="A43668" s="118"/>
      <c r="B43668" s="136"/>
    </row>
    <row r="43669" spans="1:2" x14ac:dyDescent="0.25">
      <c r="A43669" s="118"/>
      <c r="B43669" s="136"/>
    </row>
    <row r="43670" spans="1:2" x14ac:dyDescent="0.25">
      <c r="A43670" s="118"/>
      <c r="B43670" s="136"/>
    </row>
    <row r="43671" spans="1:2" x14ac:dyDescent="0.25">
      <c r="A43671" s="118"/>
      <c r="B43671" s="136"/>
    </row>
    <row r="43672" spans="1:2" x14ac:dyDescent="0.25">
      <c r="A43672" s="118"/>
      <c r="B43672" s="136"/>
    </row>
    <row r="43673" spans="1:2" x14ac:dyDescent="0.25">
      <c r="A43673" s="118"/>
      <c r="B43673" s="136"/>
    </row>
    <row r="43674" spans="1:2" x14ac:dyDescent="0.25">
      <c r="A43674" s="118"/>
      <c r="B43674" s="136"/>
    </row>
    <row r="43675" spans="1:2" x14ac:dyDescent="0.25">
      <c r="A43675" s="118"/>
      <c r="B43675" s="136"/>
    </row>
    <row r="43676" spans="1:2" x14ac:dyDescent="0.25">
      <c r="A43676" s="118"/>
      <c r="B43676" s="136"/>
    </row>
    <row r="43677" spans="1:2" x14ac:dyDescent="0.25">
      <c r="A43677" s="118"/>
      <c r="B43677" s="136"/>
    </row>
    <row r="43678" spans="1:2" x14ac:dyDescent="0.25">
      <c r="A43678" s="118"/>
      <c r="B43678" s="136"/>
    </row>
    <row r="43679" spans="1:2" x14ac:dyDescent="0.25">
      <c r="A43679" s="118"/>
      <c r="B43679" s="136"/>
    </row>
    <row r="43680" spans="1:2" x14ac:dyDescent="0.25">
      <c r="A43680" s="118"/>
      <c r="B43680" s="136"/>
    </row>
    <row r="43681" spans="1:2" x14ac:dyDescent="0.25">
      <c r="A43681" s="118"/>
      <c r="B43681" s="136"/>
    </row>
    <row r="43682" spans="1:2" x14ac:dyDescent="0.25">
      <c r="A43682" s="118"/>
      <c r="B43682" s="136"/>
    </row>
    <row r="43683" spans="1:2" x14ac:dyDescent="0.25">
      <c r="A43683" s="118"/>
      <c r="B43683" s="136"/>
    </row>
    <row r="43684" spans="1:2" x14ac:dyDescent="0.25">
      <c r="A43684" s="118"/>
      <c r="B43684" s="136"/>
    </row>
    <row r="43685" spans="1:2" x14ac:dyDescent="0.25">
      <c r="A43685" s="118"/>
      <c r="B43685" s="136"/>
    </row>
    <row r="43686" spans="1:2" x14ac:dyDescent="0.25">
      <c r="A43686" s="118"/>
      <c r="B43686" s="136"/>
    </row>
    <row r="43687" spans="1:2" x14ac:dyDescent="0.25">
      <c r="A43687" s="118"/>
      <c r="B43687" s="136"/>
    </row>
    <row r="43688" spans="1:2" x14ac:dyDescent="0.25">
      <c r="A43688" s="118"/>
      <c r="B43688" s="136"/>
    </row>
    <row r="43689" spans="1:2" x14ac:dyDescent="0.25">
      <c r="A43689" s="118"/>
      <c r="B43689" s="136"/>
    </row>
    <row r="43690" spans="1:2" x14ac:dyDescent="0.25">
      <c r="A43690" s="118"/>
      <c r="B43690" s="136"/>
    </row>
    <row r="43691" spans="1:2" x14ac:dyDescent="0.25">
      <c r="A43691" s="118"/>
      <c r="B43691" s="136"/>
    </row>
    <row r="43692" spans="1:2" x14ac:dyDescent="0.25">
      <c r="A43692" s="118"/>
      <c r="B43692" s="136"/>
    </row>
    <row r="43693" spans="1:2" x14ac:dyDescent="0.25">
      <c r="A43693" s="118"/>
      <c r="B43693" s="136"/>
    </row>
    <row r="43694" spans="1:2" x14ac:dyDescent="0.25">
      <c r="A43694" s="118"/>
      <c r="B43694" s="136"/>
    </row>
    <row r="43695" spans="1:2" x14ac:dyDescent="0.25">
      <c r="A43695" s="118"/>
      <c r="B43695" s="136"/>
    </row>
    <row r="43696" spans="1:2" x14ac:dyDescent="0.25">
      <c r="A43696" s="118"/>
      <c r="B43696" s="136"/>
    </row>
    <row r="43697" spans="1:2" x14ac:dyDescent="0.25">
      <c r="A43697" s="118"/>
      <c r="B43697" s="136"/>
    </row>
    <row r="43698" spans="1:2" x14ac:dyDescent="0.25">
      <c r="A43698" s="118"/>
      <c r="B43698" s="136"/>
    </row>
    <row r="43699" spans="1:2" x14ac:dyDescent="0.25">
      <c r="A43699" s="118"/>
      <c r="B43699" s="136"/>
    </row>
    <row r="43700" spans="1:2" x14ac:dyDescent="0.25">
      <c r="A43700" s="118"/>
      <c r="B43700" s="136"/>
    </row>
    <row r="43701" spans="1:2" x14ac:dyDescent="0.25">
      <c r="A43701" s="118"/>
      <c r="B43701" s="136"/>
    </row>
    <row r="43702" spans="1:2" x14ac:dyDescent="0.25">
      <c r="A43702" s="118"/>
      <c r="B43702" s="136"/>
    </row>
    <row r="43703" spans="1:2" x14ac:dyDescent="0.25">
      <c r="A43703" s="118"/>
      <c r="B43703" s="136"/>
    </row>
    <row r="43704" spans="1:2" x14ac:dyDescent="0.25">
      <c r="A43704" s="118"/>
      <c r="B43704" s="136"/>
    </row>
    <row r="43705" spans="1:2" x14ac:dyDescent="0.25">
      <c r="A43705" s="118"/>
      <c r="B43705" s="136"/>
    </row>
    <row r="43706" spans="1:2" x14ac:dyDescent="0.25">
      <c r="A43706" s="118"/>
      <c r="B43706" s="136"/>
    </row>
    <row r="43707" spans="1:2" x14ac:dyDescent="0.25">
      <c r="A43707" s="118"/>
      <c r="B43707" s="136"/>
    </row>
    <row r="43708" spans="1:2" x14ac:dyDescent="0.25">
      <c r="A43708" s="118"/>
      <c r="B43708" s="136"/>
    </row>
    <row r="43709" spans="1:2" x14ac:dyDescent="0.25">
      <c r="A43709" s="118"/>
      <c r="B43709" s="136"/>
    </row>
    <row r="43710" spans="1:2" x14ac:dyDescent="0.25">
      <c r="A43710" s="118"/>
      <c r="B43710" s="136"/>
    </row>
    <row r="43711" spans="1:2" x14ac:dyDescent="0.25">
      <c r="A43711" s="118"/>
      <c r="B43711" s="136"/>
    </row>
    <row r="43712" spans="1:2" x14ac:dyDescent="0.25">
      <c r="A43712" s="118"/>
      <c r="B43712" s="136"/>
    </row>
    <row r="43713" spans="1:2" x14ac:dyDescent="0.25">
      <c r="A43713" s="118"/>
      <c r="B43713" s="136"/>
    </row>
    <row r="43714" spans="1:2" x14ac:dyDescent="0.25">
      <c r="A43714" s="118"/>
      <c r="B43714" s="136"/>
    </row>
    <row r="43715" spans="1:2" x14ac:dyDescent="0.25">
      <c r="A43715" s="118"/>
      <c r="B43715" s="136"/>
    </row>
    <row r="43716" spans="1:2" x14ac:dyDescent="0.25">
      <c r="A43716" s="118"/>
      <c r="B43716" s="136"/>
    </row>
    <row r="43717" spans="1:2" x14ac:dyDescent="0.25">
      <c r="A43717" s="118"/>
      <c r="B43717" s="136"/>
    </row>
    <row r="43718" spans="1:2" x14ac:dyDescent="0.25">
      <c r="A43718" s="118"/>
      <c r="B43718" s="136"/>
    </row>
    <row r="43719" spans="1:2" x14ac:dyDescent="0.25">
      <c r="A43719" s="118"/>
      <c r="B43719" s="136"/>
    </row>
    <row r="43720" spans="1:2" x14ac:dyDescent="0.25">
      <c r="A43720" s="118"/>
      <c r="B43720" s="136"/>
    </row>
    <row r="43721" spans="1:2" x14ac:dyDescent="0.25">
      <c r="A43721" s="118"/>
      <c r="B43721" s="136"/>
    </row>
    <row r="43722" spans="1:2" x14ac:dyDescent="0.25">
      <c r="A43722" s="118"/>
      <c r="B43722" s="136"/>
    </row>
    <row r="43723" spans="1:2" x14ac:dyDescent="0.25">
      <c r="A43723" s="118"/>
      <c r="B43723" s="136"/>
    </row>
    <row r="43724" spans="1:2" x14ac:dyDescent="0.25">
      <c r="A43724" s="118"/>
      <c r="B43724" s="136"/>
    </row>
    <row r="43725" spans="1:2" x14ac:dyDescent="0.25">
      <c r="A43725" s="118"/>
      <c r="B43725" s="136"/>
    </row>
    <row r="43726" spans="1:2" x14ac:dyDescent="0.25">
      <c r="A43726" s="118"/>
      <c r="B43726" s="136"/>
    </row>
    <row r="43727" spans="1:2" x14ac:dyDescent="0.25">
      <c r="A43727" s="118"/>
      <c r="B43727" s="136"/>
    </row>
    <row r="43728" spans="1:2" x14ac:dyDescent="0.25">
      <c r="A43728" s="118"/>
      <c r="B43728" s="136"/>
    </row>
    <row r="43729" spans="1:2" x14ac:dyDescent="0.25">
      <c r="A43729" s="118"/>
      <c r="B43729" s="136"/>
    </row>
    <row r="43730" spans="1:2" x14ac:dyDescent="0.25">
      <c r="A43730" s="118"/>
      <c r="B43730" s="136"/>
    </row>
    <row r="43731" spans="1:2" x14ac:dyDescent="0.25">
      <c r="A43731" s="118"/>
      <c r="B43731" s="136"/>
    </row>
    <row r="43732" spans="1:2" x14ac:dyDescent="0.25">
      <c r="A43732" s="118"/>
      <c r="B43732" s="136"/>
    </row>
    <row r="43733" spans="1:2" x14ac:dyDescent="0.25">
      <c r="A43733" s="118"/>
      <c r="B43733" s="136"/>
    </row>
    <row r="43734" spans="1:2" x14ac:dyDescent="0.25">
      <c r="A43734" s="118"/>
      <c r="B43734" s="136"/>
    </row>
    <row r="43735" spans="1:2" x14ac:dyDescent="0.25">
      <c r="A43735" s="118"/>
      <c r="B43735" s="136"/>
    </row>
    <row r="43736" spans="1:2" x14ac:dyDescent="0.25">
      <c r="A43736" s="118"/>
      <c r="B43736" s="136"/>
    </row>
    <row r="43737" spans="1:2" x14ac:dyDescent="0.25">
      <c r="A43737" s="118"/>
      <c r="B43737" s="136"/>
    </row>
    <row r="43738" spans="1:2" x14ac:dyDescent="0.25">
      <c r="A43738" s="118"/>
      <c r="B43738" s="136"/>
    </row>
    <row r="43739" spans="1:2" x14ac:dyDescent="0.25">
      <c r="A43739" s="118"/>
      <c r="B43739" s="136"/>
    </row>
    <row r="43740" spans="1:2" x14ac:dyDescent="0.25">
      <c r="A43740" s="118"/>
      <c r="B43740" s="136"/>
    </row>
    <row r="43741" spans="1:2" x14ac:dyDescent="0.25">
      <c r="A43741" s="118"/>
      <c r="B43741" s="136"/>
    </row>
    <row r="43742" spans="1:2" x14ac:dyDescent="0.25">
      <c r="A43742" s="118"/>
      <c r="B43742" s="136"/>
    </row>
    <row r="43743" spans="1:2" x14ac:dyDescent="0.25">
      <c r="A43743" s="118"/>
      <c r="B43743" s="136"/>
    </row>
    <row r="43744" spans="1:2" x14ac:dyDescent="0.25">
      <c r="A43744" s="118"/>
      <c r="B43744" s="136"/>
    </row>
    <row r="43745" spans="1:2" x14ac:dyDescent="0.25">
      <c r="A43745" s="118"/>
      <c r="B43745" s="136"/>
    </row>
    <row r="43746" spans="1:2" x14ac:dyDescent="0.25">
      <c r="A43746" s="118"/>
      <c r="B43746" s="136"/>
    </row>
    <row r="43747" spans="1:2" x14ac:dyDescent="0.25">
      <c r="A43747" s="118"/>
      <c r="B43747" s="136"/>
    </row>
    <row r="43748" spans="1:2" x14ac:dyDescent="0.25">
      <c r="A43748" s="118"/>
      <c r="B43748" s="136"/>
    </row>
    <row r="43749" spans="1:2" x14ac:dyDescent="0.25">
      <c r="A43749" s="118"/>
      <c r="B43749" s="136"/>
    </row>
    <row r="43750" spans="1:2" x14ac:dyDescent="0.25">
      <c r="A43750" s="118"/>
      <c r="B43750" s="136"/>
    </row>
    <row r="43751" spans="1:2" x14ac:dyDescent="0.25">
      <c r="A43751" s="118"/>
      <c r="B43751" s="136"/>
    </row>
    <row r="43752" spans="1:2" x14ac:dyDescent="0.25">
      <c r="A43752" s="118"/>
      <c r="B43752" s="136"/>
    </row>
    <row r="43753" spans="1:2" x14ac:dyDescent="0.25">
      <c r="A43753" s="118"/>
      <c r="B43753" s="136"/>
    </row>
    <row r="43754" spans="1:2" x14ac:dyDescent="0.25">
      <c r="A43754" s="118"/>
      <c r="B43754" s="136"/>
    </row>
    <row r="43755" spans="1:2" x14ac:dyDescent="0.25">
      <c r="A43755" s="118"/>
      <c r="B43755" s="136"/>
    </row>
    <row r="43756" spans="1:2" x14ac:dyDescent="0.25">
      <c r="A43756" s="118"/>
      <c r="B43756" s="136"/>
    </row>
    <row r="43757" spans="1:2" x14ac:dyDescent="0.25">
      <c r="A43757" s="118"/>
      <c r="B43757" s="136"/>
    </row>
    <row r="43758" spans="1:2" x14ac:dyDescent="0.25">
      <c r="A43758" s="118"/>
      <c r="B43758" s="136"/>
    </row>
    <row r="43759" spans="1:2" x14ac:dyDescent="0.25">
      <c r="A43759" s="118"/>
      <c r="B43759" s="136"/>
    </row>
    <row r="43760" spans="1:2" x14ac:dyDescent="0.25">
      <c r="A43760" s="118"/>
      <c r="B43760" s="136"/>
    </row>
    <row r="43761" spans="1:2" x14ac:dyDescent="0.25">
      <c r="A43761" s="118"/>
      <c r="B43761" s="136"/>
    </row>
    <row r="43762" spans="1:2" x14ac:dyDescent="0.25">
      <c r="A43762" s="118"/>
      <c r="B43762" s="136"/>
    </row>
    <row r="43763" spans="1:2" x14ac:dyDescent="0.25">
      <c r="A43763" s="118"/>
      <c r="B43763" s="136"/>
    </row>
    <row r="43764" spans="1:2" x14ac:dyDescent="0.25">
      <c r="A43764" s="118"/>
      <c r="B43764" s="136"/>
    </row>
    <row r="43765" spans="1:2" x14ac:dyDescent="0.25">
      <c r="A43765" s="118"/>
      <c r="B43765" s="136"/>
    </row>
    <row r="43766" spans="1:2" x14ac:dyDescent="0.25">
      <c r="A43766" s="118"/>
      <c r="B43766" s="136"/>
    </row>
    <row r="43767" spans="1:2" x14ac:dyDescent="0.25">
      <c r="A43767" s="118"/>
      <c r="B43767" s="136"/>
    </row>
    <row r="43768" spans="1:2" x14ac:dyDescent="0.25">
      <c r="A43768" s="118"/>
      <c r="B43768" s="136"/>
    </row>
    <row r="43769" spans="1:2" x14ac:dyDescent="0.25">
      <c r="A43769" s="118"/>
      <c r="B43769" s="136"/>
    </row>
    <row r="43770" spans="1:2" x14ac:dyDescent="0.25">
      <c r="A43770" s="118"/>
      <c r="B43770" s="136"/>
    </row>
    <row r="43771" spans="1:2" x14ac:dyDescent="0.25">
      <c r="A43771" s="118"/>
      <c r="B43771" s="136"/>
    </row>
    <row r="43772" spans="1:2" x14ac:dyDescent="0.25">
      <c r="A43772" s="118"/>
      <c r="B43772" s="136"/>
    </row>
    <row r="43773" spans="1:2" x14ac:dyDescent="0.25">
      <c r="A43773" s="118"/>
      <c r="B43773" s="136"/>
    </row>
    <row r="43774" spans="1:2" x14ac:dyDescent="0.25">
      <c r="A43774" s="118"/>
      <c r="B43774" s="136"/>
    </row>
    <row r="43775" spans="1:2" x14ac:dyDescent="0.25">
      <c r="A43775" s="118"/>
      <c r="B43775" s="136"/>
    </row>
    <row r="43776" spans="1:2" x14ac:dyDescent="0.25">
      <c r="A43776" s="118"/>
      <c r="B43776" s="136"/>
    </row>
    <row r="43777" spans="1:2" x14ac:dyDescent="0.25">
      <c r="A43777" s="118"/>
      <c r="B43777" s="136"/>
    </row>
    <row r="43778" spans="1:2" x14ac:dyDescent="0.25">
      <c r="A43778" s="118"/>
      <c r="B43778" s="136"/>
    </row>
    <row r="43779" spans="1:2" x14ac:dyDescent="0.25">
      <c r="A43779" s="118"/>
      <c r="B43779" s="136"/>
    </row>
    <row r="43780" spans="1:2" x14ac:dyDescent="0.25">
      <c r="A43780" s="118"/>
      <c r="B43780" s="136"/>
    </row>
    <row r="43781" spans="1:2" x14ac:dyDescent="0.25">
      <c r="A43781" s="118"/>
      <c r="B43781" s="136"/>
    </row>
    <row r="43782" spans="1:2" x14ac:dyDescent="0.25">
      <c r="A43782" s="118"/>
      <c r="B43782" s="136"/>
    </row>
    <row r="43783" spans="1:2" x14ac:dyDescent="0.25">
      <c r="A43783" s="118"/>
      <c r="B43783" s="136"/>
    </row>
    <row r="43784" spans="1:2" x14ac:dyDescent="0.25">
      <c r="A43784" s="118"/>
      <c r="B43784" s="136"/>
    </row>
    <row r="43785" spans="1:2" x14ac:dyDescent="0.25">
      <c r="A43785" s="118"/>
      <c r="B43785" s="136"/>
    </row>
    <row r="43786" spans="1:2" x14ac:dyDescent="0.25">
      <c r="A43786" s="118"/>
      <c r="B43786" s="136"/>
    </row>
    <row r="43787" spans="1:2" x14ac:dyDescent="0.25">
      <c r="A43787" s="118"/>
      <c r="B43787" s="136"/>
    </row>
    <row r="43788" spans="1:2" x14ac:dyDescent="0.25">
      <c r="A43788" s="118"/>
      <c r="B43788" s="136"/>
    </row>
    <row r="43789" spans="1:2" x14ac:dyDescent="0.25">
      <c r="A43789" s="118"/>
      <c r="B43789" s="136"/>
    </row>
    <row r="43790" spans="1:2" x14ac:dyDescent="0.25">
      <c r="A43790" s="118"/>
      <c r="B43790" s="136"/>
    </row>
    <row r="43791" spans="1:2" x14ac:dyDescent="0.25">
      <c r="A43791" s="118"/>
      <c r="B43791" s="136"/>
    </row>
    <row r="43792" spans="1:2" x14ac:dyDescent="0.25">
      <c r="A43792" s="118"/>
      <c r="B43792" s="136"/>
    </row>
    <row r="43793" spans="1:2" x14ac:dyDescent="0.25">
      <c r="A43793" s="118"/>
      <c r="B43793" s="136"/>
    </row>
    <row r="43794" spans="1:2" x14ac:dyDescent="0.25">
      <c r="A43794" s="118"/>
      <c r="B43794" s="136"/>
    </row>
    <row r="43795" spans="1:2" x14ac:dyDescent="0.25">
      <c r="A43795" s="118"/>
      <c r="B43795" s="136"/>
    </row>
    <row r="43796" spans="1:2" x14ac:dyDescent="0.25">
      <c r="A43796" s="118"/>
      <c r="B43796" s="136"/>
    </row>
    <row r="43797" spans="1:2" x14ac:dyDescent="0.25">
      <c r="A43797" s="118"/>
      <c r="B43797" s="136"/>
    </row>
    <row r="43798" spans="1:2" x14ac:dyDescent="0.25">
      <c r="A43798" s="118"/>
      <c r="B43798" s="136"/>
    </row>
    <row r="43799" spans="1:2" x14ac:dyDescent="0.25">
      <c r="A43799" s="118"/>
      <c r="B43799" s="136"/>
    </row>
    <row r="43800" spans="1:2" x14ac:dyDescent="0.25">
      <c r="A43800" s="118"/>
      <c r="B43800" s="136"/>
    </row>
    <row r="43801" spans="1:2" x14ac:dyDescent="0.25">
      <c r="A43801" s="118"/>
      <c r="B43801" s="136"/>
    </row>
    <row r="43802" spans="1:2" x14ac:dyDescent="0.25">
      <c r="A43802" s="118"/>
      <c r="B43802" s="136"/>
    </row>
    <row r="43803" spans="1:2" x14ac:dyDescent="0.25">
      <c r="A43803" s="118"/>
      <c r="B43803" s="136"/>
    </row>
    <row r="43804" spans="1:2" x14ac:dyDescent="0.25">
      <c r="A43804" s="118"/>
      <c r="B43804" s="136"/>
    </row>
    <row r="43805" spans="1:2" x14ac:dyDescent="0.25">
      <c r="A43805" s="118"/>
      <c r="B43805" s="136"/>
    </row>
    <row r="43806" spans="1:2" x14ac:dyDescent="0.25">
      <c r="A43806" s="118"/>
      <c r="B43806" s="136"/>
    </row>
    <row r="43807" spans="1:2" x14ac:dyDescent="0.25">
      <c r="A43807" s="118"/>
      <c r="B43807" s="136"/>
    </row>
    <row r="43808" spans="1:2" x14ac:dyDescent="0.25">
      <c r="A43808" s="118"/>
      <c r="B43808" s="136"/>
    </row>
    <row r="43809" spans="1:2" x14ac:dyDescent="0.25">
      <c r="A43809" s="118"/>
      <c r="B43809" s="136"/>
    </row>
    <row r="43810" spans="1:2" x14ac:dyDescent="0.25">
      <c r="A43810" s="118"/>
      <c r="B43810" s="136"/>
    </row>
    <row r="43811" spans="1:2" x14ac:dyDescent="0.25">
      <c r="A43811" s="118"/>
      <c r="B43811" s="136"/>
    </row>
    <row r="43812" spans="1:2" x14ac:dyDescent="0.25">
      <c r="A43812" s="118"/>
      <c r="B43812" s="136"/>
    </row>
    <row r="43813" spans="1:2" x14ac:dyDescent="0.25">
      <c r="A43813" s="118"/>
      <c r="B43813" s="136"/>
    </row>
    <row r="43814" spans="1:2" x14ac:dyDescent="0.25">
      <c r="A43814" s="118"/>
      <c r="B43814" s="136"/>
    </row>
    <row r="43815" spans="1:2" x14ac:dyDescent="0.25">
      <c r="A43815" s="118"/>
      <c r="B43815" s="136"/>
    </row>
    <row r="43816" spans="1:2" x14ac:dyDescent="0.25">
      <c r="A43816" s="118"/>
      <c r="B43816" s="136"/>
    </row>
    <row r="43817" spans="1:2" x14ac:dyDescent="0.25">
      <c r="A43817" s="118"/>
      <c r="B43817" s="136"/>
    </row>
    <row r="43818" spans="1:2" x14ac:dyDescent="0.25">
      <c r="A43818" s="118"/>
      <c r="B43818" s="136"/>
    </row>
    <row r="43819" spans="1:2" x14ac:dyDescent="0.25">
      <c r="A43819" s="118"/>
      <c r="B43819" s="136"/>
    </row>
    <row r="43820" spans="1:2" x14ac:dyDescent="0.25">
      <c r="A43820" s="118"/>
      <c r="B43820" s="136"/>
    </row>
    <row r="43821" spans="1:2" x14ac:dyDescent="0.25">
      <c r="A43821" s="118"/>
      <c r="B43821" s="136"/>
    </row>
    <row r="43822" spans="1:2" x14ac:dyDescent="0.25">
      <c r="A43822" s="118"/>
      <c r="B43822" s="136"/>
    </row>
    <row r="43823" spans="1:2" x14ac:dyDescent="0.25">
      <c r="A43823" s="118"/>
      <c r="B43823" s="136"/>
    </row>
    <row r="43824" spans="1:2" x14ac:dyDescent="0.25">
      <c r="A43824" s="118"/>
      <c r="B43824" s="136"/>
    </row>
    <row r="43825" spans="1:2" x14ac:dyDescent="0.25">
      <c r="A43825" s="118"/>
      <c r="B43825" s="136"/>
    </row>
    <row r="43826" spans="1:2" x14ac:dyDescent="0.25">
      <c r="A43826" s="118"/>
      <c r="B43826" s="136"/>
    </row>
    <row r="43827" spans="1:2" x14ac:dyDescent="0.25">
      <c r="A43827" s="118"/>
      <c r="B43827" s="136"/>
    </row>
    <row r="43828" spans="1:2" x14ac:dyDescent="0.25">
      <c r="A43828" s="118"/>
      <c r="B43828" s="136"/>
    </row>
    <row r="43829" spans="1:2" x14ac:dyDescent="0.25">
      <c r="A43829" s="118"/>
      <c r="B43829" s="136"/>
    </row>
    <row r="43830" spans="1:2" x14ac:dyDescent="0.25">
      <c r="A43830" s="118"/>
      <c r="B43830" s="136"/>
    </row>
    <row r="43831" spans="1:2" x14ac:dyDescent="0.25">
      <c r="A43831" s="118"/>
      <c r="B43831" s="136"/>
    </row>
    <row r="43832" spans="1:2" x14ac:dyDescent="0.25">
      <c r="A43832" s="118"/>
      <c r="B43832" s="136"/>
    </row>
    <row r="43833" spans="1:2" x14ac:dyDescent="0.25">
      <c r="A43833" s="118"/>
      <c r="B43833" s="136"/>
    </row>
    <row r="43834" spans="1:2" x14ac:dyDescent="0.25">
      <c r="A43834" s="118"/>
      <c r="B43834" s="136"/>
    </row>
    <row r="43835" spans="1:2" x14ac:dyDescent="0.25">
      <c r="A43835" s="118"/>
      <c r="B43835" s="136"/>
    </row>
    <row r="43836" spans="1:2" x14ac:dyDescent="0.25">
      <c r="A43836" s="118"/>
      <c r="B43836" s="136"/>
    </row>
    <row r="43837" spans="1:2" x14ac:dyDescent="0.25">
      <c r="A43837" s="118"/>
      <c r="B43837" s="136"/>
    </row>
    <row r="43838" spans="1:2" x14ac:dyDescent="0.25">
      <c r="A43838" s="118"/>
      <c r="B43838" s="136"/>
    </row>
    <row r="43839" spans="1:2" x14ac:dyDescent="0.25">
      <c r="A43839" s="118"/>
      <c r="B43839" s="136"/>
    </row>
    <row r="43840" spans="1:2" x14ac:dyDescent="0.25">
      <c r="A43840" s="118"/>
      <c r="B43840" s="136"/>
    </row>
    <row r="43841" spans="1:2" x14ac:dyDescent="0.25">
      <c r="A43841" s="118"/>
      <c r="B43841" s="136"/>
    </row>
    <row r="43842" spans="1:2" x14ac:dyDescent="0.25">
      <c r="A43842" s="118"/>
      <c r="B43842" s="136"/>
    </row>
    <row r="43843" spans="1:2" x14ac:dyDescent="0.25">
      <c r="A43843" s="118"/>
      <c r="B43843" s="136"/>
    </row>
    <row r="43844" spans="1:2" x14ac:dyDescent="0.25">
      <c r="A43844" s="118"/>
      <c r="B43844" s="136"/>
    </row>
    <row r="43845" spans="1:2" x14ac:dyDescent="0.25">
      <c r="A43845" s="118"/>
      <c r="B43845" s="136"/>
    </row>
    <row r="43846" spans="1:2" x14ac:dyDescent="0.25">
      <c r="A43846" s="118"/>
      <c r="B43846" s="136"/>
    </row>
    <row r="43847" spans="1:2" x14ac:dyDescent="0.25">
      <c r="A43847" s="118"/>
      <c r="B43847" s="136"/>
    </row>
    <row r="43848" spans="1:2" x14ac:dyDescent="0.25">
      <c r="A43848" s="118"/>
      <c r="B43848" s="136"/>
    </row>
    <row r="43849" spans="1:2" x14ac:dyDescent="0.25">
      <c r="A43849" s="118"/>
      <c r="B43849" s="136"/>
    </row>
    <row r="43850" spans="1:2" x14ac:dyDescent="0.25">
      <c r="A43850" s="118"/>
      <c r="B43850" s="136"/>
    </row>
    <row r="43851" spans="1:2" x14ac:dyDescent="0.25">
      <c r="A43851" s="118"/>
      <c r="B43851" s="136"/>
    </row>
    <row r="43852" spans="1:2" x14ac:dyDescent="0.25">
      <c r="A43852" s="118"/>
      <c r="B43852" s="136"/>
    </row>
    <row r="43853" spans="1:2" x14ac:dyDescent="0.25">
      <c r="A43853" s="118"/>
      <c r="B43853" s="136"/>
    </row>
    <row r="43854" spans="1:2" x14ac:dyDescent="0.25">
      <c r="A43854" s="118"/>
      <c r="B43854" s="136"/>
    </row>
    <row r="43855" spans="1:2" x14ac:dyDescent="0.25">
      <c r="A43855" s="118"/>
      <c r="B43855" s="136"/>
    </row>
    <row r="43856" spans="1:2" x14ac:dyDescent="0.25">
      <c r="A43856" s="118"/>
      <c r="B43856" s="136"/>
    </row>
    <row r="43857" spans="1:2" x14ac:dyDescent="0.25">
      <c r="A43857" s="118"/>
      <c r="B43857" s="136"/>
    </row>
    <row r="43858" spans="1:2" x14ac:dyDescent="0.25">
      <c r="A43858" s="118"/>
      <c r="B43858" s="136"/>
    </row>
    <row r="43859" spans="1:2" x14ac:dyDescent="0.25">
      <c r="A43859" s="118"/>
      <c r="B43859" s="136"/>
    </row>
    <row r="43860" spans="1:2" x14ac:dyDescent="0.25">
      <c r="A43860" s="118"/>
      <c r="B43860" s="136"/>
    </row>
    <row r="43861" spans="1:2" x14ac:dyDescent="0.25">
      <c r="A43861" s="118"/>
      <c r="B43861" s="136"/>
    </row>
    <row r="43862" spans="1:2" x14ac:dyDescent="0.25">
      <c r="A43862" s="118"/>
      <c r="B43862" s="136"/>
    </row>
    <row r="43863" spans="1:2" x14ac:dyDescent="0.25">
      <c r="A43863" s="118"/>
      <c r="B43863" s="136"/>
    </row>
    <row r="43864" spans="1:2" x14ac:dyDescent="0.25">
      <c r="A43864" s="118"/>
      <c r="B43864" s="136"/>
    </row>
    <row r="43865" spans="1:2" x14ac:dyDescent="0.25">
      <c r="A43865" s="118"/>
      <c r="B43865" s="136"/>
    </row>
    <row r="43866" spans="1:2" x14ac:dyDescent="0.25">
      <c r="A43866" s="118"/>
      <c r="B43866" s="136"/>
    </row>
    <row r="43867" spans="1:2" x14ac:dyDescent="0.25">
      <c r="A43867" s="118"/>
      <c r="B43867" s="136"/>
    </row>
    <row r="43868" spans="1:2" x14ac:dyDescent="0.25">
      <c r="A43868" s="118"/>
      <c r="B43868" s="136"/>
    </row>
    <row r="43869" spans="1:2" x14ac:dyDescent="0.25">
      <c r="A43869" s="118"/>
      <c r="B43869" s="136"/>
    </row>
    <row r="43870" spans="1:2" x14ac:dyDescent="0.25">
      <c r="A43870" s="118"/>
      <c r="B43870" s="136"/>
    </row>
    <row r="43871" spans="1:2" x14ac:dyDescent="0.25">
      <c r="A43871" s="118"/>
      <c r="B43871" s="136"/>
    </row>
    <row r="43872" spans="1:2" x14ac:dyDescent="0.25">
      <c r="A43872" s="118"/>
      <c r="B43872" s="136"/>
    </row>
    <row r="43873" spans="1:2" x14ac:dyDescent="0.25">
      <c r="A43873" s="118"/>
      <c r="B43873" s="136"/>
    </row>
    <row r="43874" spans="1:2" x14ac:dyDescent="0.25">
      <c r="A43874" s="118"/>
      <c r="B43874" s="136"/>
    </row>
    <row r="43875" spans="1:2" x14ac:dyDescent="0.25">
      <c r="A43875" s="118"/>
      <c r="B43875" s="136"/>
    </row>
    <row r="43876" spans="1:2" x14ac:dyDescent="0.25">
      <c r="A43876" s="118"/>
      <c r="B43876" s="136"/>
    </row>
    <row r="43877" spans="1:2" x14ac:dyDescent="0.25">
      <c r="A43877" s="118"/>
      <c r="B43877" s="136"/>
    </row>
    <row r="43878" spans="1:2" x14ac:dyDescent="0.25">
      <c r="A43878" s="118"/>
      <c r="B43878" s="136"/>
    </row>
    <row r="43879" spans="1:2" x14ac:dyDescent="0.25">
      <c r="A43879" s="118"/>
      <c r="B43879" s="136"/>
    </row>
    <row r="43880" spans="1:2" x14ac:dyDescent="0.25">
      <c r="A43880" s="118"/>
      <c r="B43880" s="136"/>
    </row>
    <row r="43881" spans="1:2" x14ac:dyDescent="0.25">
      <c r="A43881" s="118"/>
      <c r="B43881" s="136"/>
    </row>
    <row r="43882" spans="1:2" x14ac:dyDescent="0.25">
      <c r="A43882" s="118"/>
      <c r="B43882" s="136"/>
    </row>
    <row r="43883" spans="1:2" x14ac:dyDescent="0.25">
      <c r="A43883" s="118"/>
      <c r="B43883" s="136"/>
    </row>
    <row r="43884" spans="1:2" x14ac:dyDescent="0.25">
      <c r="A43884" s="118"/>
      <c r="B43884" s="136"/>
    </row>
    <row r="43885" spans="1:2" x14ac:dyDescent="0.25">
      <c r="A43885" s="118"/>
      <c r="B43885" s="136"/>
    </row>
    <row r="43886" spans="1:2" x14ac:dyDescent="0.25">
      <c r="A43886" s="118"/>
      <c r="B43886" s="136"/>
    </row>
    <row r="43887" spans="1:2" x14ac:dyDescent="0.25">
      <c r="A43887" s="118"/>
      <c r="B43887" s="136"/>
    </row>
    <row r="43888" spans="1:2" x14ac:dyDescent="0.25">
      <c r="A43888" s="118"/>
      <c r="B43888" s="136"/>
    </row>
    <row r="43889" spans="1:2" x14ac:dyDescent="0.25">
      <c r="A43889" s="118"/>
      <c r="B43889" s="136"/>
    </row>
    <row r="43890" spans="1:2" x14ac:dyDescent="0.25">
      <c r="A43890" s="118"/>
      <c r="B43890" s="136"/>
    </row>
    <row r="43891" spans="1:2" x14ac:dyDescent="0.25">
      <c r="A43891" s="118"/>
      <c r="B43891" s="136"/>
    </row>
    <row r="43892" spans="1:2" x14ac:dyDescent="0.25">
      <c r="A43892" s="118"/>
      <c r="B43892" s="136"/>
    </row>
    <row r="43893" spans="1:2" x14ac:dyDescent="0.25">
      <c r="A43893" s="118"/>
      <c r="B43893" s="136"/>
    </row>
    <row r="43894" spans="1:2" x14ac:dyDescent="0.25">
      <c r="A43894" s="118"/>
      <c r="B43894" s="136"/>
    </row>
    <row r="43895" spans="1:2" x14ac:dyDescent="0.25">
      <c r="A43895" s="118"/>
      <c r="B43895" s="136"/>
    </row>
    <row r="43896" spans="1:2" x14ac:dyDescent="0.25">
      <c r="A43896" s="118"/>
      <c r="B43896" s="136"/>
    </row>
    <row r="43897" spans="1:2" x14ac:dyDescent="0.25">
      <c r="A43897" s="118"/>
      <c r="B43897" s="136"/>
    </row>
    <row r="43898" spans="1:2" x14ac:dyDescent="0.25">
      <c r="A43898" s="118"/>
      <c r="B43898" s="136"/>
    </row>
    <row r="43899" spans="1:2" x14ac:dyDescent="0.25">
      <c r="A43899" s="118"/>
      <c r="B43899" s="136"/>
    </row>
    <row r="43900" spans="1:2" x14ac:dyDescent="0.25">
      <c r="A43900" s="118"/>
      <c r="B43900" s="136"/>
    </row>
    <row r="43901" spans="1:2" x14ac:dyDescent="0.25">
      <c r="A43901" s="118"/>
      <c r="B43901" s="136"/>
    </row>
    <row r="43902" spans="1:2" x14ac:dyDescent="0.25">
      <c r="A43902" s="118"/>
      <c r="B43902" s="136"/>
    </row>
    <row r="43903" spans="1:2" x14ac:dyDescent="0.25">
      <c r="A43903" s="118"/>
      <c r="B43903" s="136"/>
    </row>
    <row r="43904" spans="1:2" x14ac:dyDescent="0.25">
      <c r="A43904" s="118"/>
      <c r="B43904" s="136"/>
    </row>
    <row r="43905" spans="1:2" x14ac:dyDescent="0.25">
      <c r="A43905" s="118"/>
      <c r="B43905" s="136"/>
    </row>
    <row r="43906" spans="1:2" x14ac:dyDescent="0.25">
      <c r="A43906" s="118"/>
      <c r="B43906" s="136"/>
    </row>
    <row r="43907" spans="1:2" x14ac:dyDescent="0.25">
      <c r="A43907" s="118"/>
      <c r="B43907" s="136"/>
    </row>
    <row r="43908" spans="1:2" x14ac:dyDescent="0.25">
      <c r="A43908" s="118"/>
      <c r="B43908" s="136"/>
    </row>
    <row r="43909" spans="1:2" x14ac:dyDescent="0.25">
      <c r="A43909" s="118"/>
      <c r="B43909" s="136"/>
    </row>
    <row r="43910" spans="1:2" x14ac:dyDescent="0.25">
      <c r="A43910" s="118"/>
      <c r="B43910" s="136"/>
    </row>
    <row r="43911" spans="1:2" x14ac:dyDescent="0.25">
      <c r="A43911" s="118"/>
      <c r="B43911" s="136"/>
    </row>
    <row r="43912" spans="1:2" x14ac:dyDescent="0.25">
      <c r="A43912" s="118"/>
      <c r="B43912" s="136"/>
    </row>
    <row r="43913" spans="1:2" x14ac:dyDescent="0.25">
      <c r="A43913" s="118"/>
      <c r="B43913" s="136"/>
    </row>
    <row r="43914" spans="1:2" x14ac:dyDescent="0.25">
      <c r="A43914" s="118"/>
      <c r="B43914" s="136"/>
    </row>
    <row r="43915" spans="1:2" x14ac:dyDescent="0.25">
      <c r="A43915" s="118"/>
      <c r="B43915" s="136"/>
    </row>
    <row r="43916" spans="1:2" x14ac:dyDescent="0.25">
      <c r="A43916" s="118"/>
      <c r="B43916" s="136"/>
    </row>
    <row r="43917" spans="1:2" x14ac:dyDescent="0.25">
      <c r="A43917" s="118"/>
      <c r="B43917" s="136"/>
    </row>
    <row r="43918" spans="1:2" x14ac:dyDescent="0.25">
      <c r="A43918" s="118"/>
      <c r="B43918" s="136"/>
    </row>
    <row r="43919" spans="1:2" x14ac:dyDescent="0.25">
      <c r="A43919" s="118"/>
      <c r="B43919" s="136"/>
    </row>
    <row r="43920" spans="1:2" x14ac:dyDescent="0.25">
      <c r="A43920" s="118"/>
      <c r="B43920" s="136"/>
    </row>
    <row r="43921" spans="1:2" x14ac:dyDescent="0.25">
      <c r="A43921" s="118"/>
      <c r="B43921" s="136"/>
    </row>
    <row r="43922" spans="1:2" x14ac:dyDescent="0.25">
      <c r="A43922" s="118"/>
      <c r="B43922" s="136"/>
    </row>
    <row r="43923" spans="1:2" x14ac:dyDescent="0.25">
      <c r="A43923" s="118"/>
      <c r="B43923" s="136"/>
    </row>
    <row r="43924" spans="1:2" x14ac:dyDescent="0.25">
      <c r="A43924" s="118"/>
      <c r="B43924" s="136"/>
    </row>
    <row r="43925" spans="1:2" x14ac:dyDescent="0.25">
      <c r="A43925" s="118"/>
      <c r="B43925" s="136"/>
    </row>
    <row r="43926" spans="1:2" x14ac:dyDescent="0.25">
      <c r="A43926" s="118"/>
      <c r="B43926" s="136"/>
    </row>
    <row r="43927" spans="1:2" x14ac:dyDescent="0.25">
      <c r="A43927" s="118"/>
      <c r="B43927" s="136"/>
    </row>
    <row r="43928" spans="1:2" x14ac:dyDescent="0.25">
      <c r="A43928" s="118"/>
      <c r="B43928" s="136"/>
    </row>
    <row r="43929" spans="1:2" x14ac:dyDescent="0.25">
      <c r="A43929" s="118"/>
      <c r="B43929" s="136"/>
    </row>
    <row r="43930" spans="1:2" x14ac:dyDescent="0.25">
      <c r="A43930" s="118"/>
      <c r="B43930" s="136"/>
    </row>
    <row r="43931" spans="1:2" x14ac:dyDescent="0.25">
      <c r="A43931" s="118"/>
      <c r="B43931" s="136"/>
    </row>
    <row r="43932" spans="1:2" x14ac:dyDescent="0.25">
      <c r="A43932" s="118"/>
      <c r="B43932" s="136"/>
    </row>
    <row r="43933" spans="1:2" x14ac:dyDescent="0.25">
      <c r="A43933" s="118"/>
      <c r="B43933" s="136"/>
    </row>
    <row r="43934" spans="1:2" x14ac:dyDescent="0.25">
      <c r="A43934" s="118"/>
      <c r="B43934" s="136"/>
    </row>
    <row r="43935" spans="1:2" x14ac:dyDescent="0.25">
      <c r="A43935" s="118"/>
      <c r="B43935" s="136"/>
    </row>
    <row r="43936" spans="1:2" x14ac:dyDescent="0.25">
      <c r="A43936" s="118"/>
      <c r="B43936" s="136"/>
    </row>
    <row r="43937" spans="1:2" x14ac:dyDescent="0.25">
      <c r="A43937" s="118"/>
      <c r="B43937" s="136"/>
    </row>
    <row r="43938" spans="1:2" x14ac:dyDescent="0.25">
      <c r="A43938" s="118"/>
      <c r="B43938" s="136"/>
    </row>
    <row r="43939" spans="1:2" x14ac:dyDescent="0.25">
      <c r="A43939" s="118"/>
      <c r="B43939" s="136"/>
    </row>
    <row r="43940" spans="1:2" x14ac:dyDescent="0.25">
      <c r="A43940" s="118"/>
      <c r="B43940" s="136"/>
    </row>
    <row r="43941" spans="1:2" x14ac:dyDescent="0.25">
      <c r="A43941" s="118"/>
      <c r="B43941" s="136"/>
    </row>
    <row r="43942" spans="1:2" x14ac:dyDescent="0.25">
      <c r="A43942" s="118"/>
      <c r="B43942" s="136"/>
    </row>
    <row r="43943" spans="1:2" x14ac:dyDescent="0.25">
      <c r="A43943" s="118"/>
      <c r="B43943" s="136"/>
    </row>
    <row r="43944" spans="1:2" x14ac:dyDescent="0.25">
      <c r="A43944" s="118"/>
      <c r="B43944" s="136"/>
    </row>
    <row r="43945" spans="1:2" x14ac:dyDescent="0.25">
      <c r="A43945" s="118"/>
      <c r="B43945" s="136"/>
    </row>
    <row r="43946" spans="1:2" x14ac:dyDescent="0.25">
      <c r="A43946" s="118"/>
      <c r="B43946" s="136"/>
    </row>
    <row r="43947" spans="1:2" x14ac:dyDescent="0.25">
      <c r="A43947" s="118"/>
      <c r="B43947" s="136"/>
    </row>
    <row r="43948" spans="1:2" x14ac:dyDescent="0.25">
      <c r="A43948" s="118"/>
      <c r="B43948" s="136"/>
    </row>
    <row r="43949" spans="1:2" x14ac:dyDescent="0.25">
      <c r="A43949" s="118"/>
      <c r="B43949" s="136"/>
    </row>
    <row r="43950" spans="1:2" x14ac:dyDescent="0.25">
      <c r="A43950" s="118"/>
      <c r="B43950" s="136"/>
    </row>
    <row r="43951" spans="1:2" x14ac:dyDescent="0.25">
      <c r="A43951" s="118"/>
      <c r="B43951" s="136"/>
    </row>
    <row r="43952" spans="1:2" x14ac:dyDescent="0.25">
      <c r="A43952" s="118"/>
      <c r="B43952" s="136"/>
    </row>
    <row r="43953" spans="1:2" x14ac:dyDescent="0.25">
      <c r="A43953" s="118"/>
      <c r="B43953" s="136"/>
    </row>
    <row r="43954" spans="1:2" x14ac:dyDescent="0.25">
      <c r="A43954" s="118"/>
      <c r="B43954" s="136"/>
    </row>
    <row r="43955" spans="1:2" x14ac:dyDescent="0.25">
      <c r="A43955" s="118"/>
      <c r="B43955" s="136"/>
    </row>
    <row r="43956" spans="1:2" x14ac:dyDescent="0.25">
      <c r="A43956" s="118"/>
      <c r="B43956" s="136"/>
    </row>
    <row r="43957" spans="1:2" x14ac:dyDescent="0.25">
      <c r="A43957" s="118"/>
      <c r="B43957" s="136"/>
    </row>
    <row r="43958" spans="1:2" x14ac:dyDescent="0.25">
      <c r="A43958" s="118"/>
      <c r="B43958" s="136"/>
    </row>
    <row r="43959" spans="1:2" x14ac:dyDescent="0.25">
      <c r="A43959" s="118"/>
      <c r="B43959" s="136"/>
    </row>
    <row r="43960" spans="1:2" x14ac:dyDescent="0.25">
      <c r="A43960" s="118"/>
      <c r="B43960" s="136"/>
    </row>
    <row r="43961" spans="1:2" x14ac:dyDescent="0.25">
      <c r="A43961" s="118"/>
      <c r="B43961" s="136"/>
    </row>
    <row r="43962" spans="1:2" x14ac:dyDescent="0.25">
      <c r="A43962" s="118"/>
      <c r="B43962" s="136"/>
    </row>
    <row r="43963" spans="1:2" x14ac:dyDescent="0.25">
      <c r="A43963" s="118"/>
      <c r="B43963" s="136"/>
    </row>
    <row r="43964" spans="1:2" x14ac:dyDescent="0.25">
      <c r="A43964" s="118"/>
      <c r="B43964" s="136"/>
    </row>
    <row r="43965" spans="1:2" x14ac:dyDescent="0.25">
      <c r="A43965" s="118"/>
      <c r="B43965" s="136"/>
    </row>
    <row r="43966" spans="1:2" x14ac:dyDescent="0.25">
      <c r="A43966" s="118"/>
      <c r="B43966" s="136"/>
    </row>
    <row r="43967" spans="1:2" x14ac:dyDescent="0.25">
      <c r="A43967" s="118"/>
      <c r="B43967" s="136"/>
    </row>
    <row r="43968" spans="1:2" x14ac:dyDescent="0.25">
      <c r="A43968" s="118"/>
      <c r="B43968" s="136"/>
    </row>
    <row r="43969" spans="1:2" x14ac:dyDescent="0.25">
      <c r="A43969" s="118"/>
      <c r="B43969" s="136"/>
    </row>
    <row r="43970" spans="1:2" x14ac:dyDescent="0.25">
      <c r="A43970" s="118"/>
      <c r="B43970" s="136"/>
    </row>
    <row r="43971" spans="1:2" x14ac:dyDescent="0.25">
      <c r="A43971" s="118"/>
      <c r="B43971" s="136"/>
    </row>
    <row r="43972" spans="1:2" x14ac:dyDescent="0.25">
      <c r="A43972" s="118"/>
      <c r="B43972" s="136"/>
    </row>
    <row r="43973" spans="1:2" x14ac:dyDescent="0.25">
      <c r="A43973" s="118"/>
      <c r="B43973" s="136"/>
    </row>
    <row r="43974" spans="1:2" x14ac:dyDescent="0.25">
      <c r="A43974" s="118"/>
      <c r="B43974" s="136"/>
    </row>
    <row r="43975" spans="1:2" x14ac:dyDescent="0.25">
      <c r="A43975" s="118"/>
      <c r="B43975" s="136"/>
    </row>
    <row r="43976" spans="1:2" x14ac:dyDescent="0.25">
      <c r="A43976" s="118"/>
      <c r="B43976" s="136"/>
    </row>
    <row r="43977" spans="1:2" x14ac:dyDescent="0.25">
      <c r="A43977" s="118"/>
      <c r="B43977" s="136"/>
    </row>
    <row r="43978" spans="1:2" x14ac:dyDescent="0.25">
      <c r="A43978" s="118"/>
      <c r="B43978" s="136"/>
    </row>
    <row r="43979" spans="1:2" x14ac:dyDescent="0.25">
      <c r="A43979" s="118"/>
      <c r="B43979" s="136"/>
    </row>
    <row r="43980" spans="1:2" x14ac:dyDescent="0.25">
      <c r="A43980" s="118"/>
      <c r="B43980" s="136"/>
    </row>
    <row r="43981" spans="1:2" x14ac:dyDescent="0.25">
      <c r="A43981" s="118"/>
      <c r="B43981" s="136"/>
    </row>
    <row r="43982" spans="1:2" x14ac:dyDescent="0.25">
      <c r="A43982" s="118"/>
      <c r="B43982" s="136"/>
    </row>
    <row r="43983" spans="1:2" x14ac:dyDescent="0.25">
      <c r="A43983" s="118"/>
      <c r="B43983" s="136"/>
    </row>
    <row r="43984" spans="1:2" x14ac:dyDescent="0.25">
      <c r="A43984" s="118"/>
      <c r="B43984" s="136"/>
    </row>
    <row r="43985" spans="1:2" x14ac:dyDescent="0.25">
      <c r="A43985" s="118"/>
      <c r="B43985" s="136"/>
    </row>
    <row r="43986" spans="1:2" x14ac:dyDescent="0.25">
      <c r="A43986" s="118"/>
      <c r="B43986" s="136"/>
    </row>
    <row r="43987" spans="1:2" x14ac:dyDescent="0.25">
      <c r="A43987" s="118"/>
      <c r="B43987" s="136"/>
    </row>
    <row r="43988" spans="1:2" x14ac:dyDescent="0.25">
      <c r="A43988" s="118"/>
      <c r="B43988" s="136"/>
    </row>
    <row r="43989" spans="1:2" x14ac:dyDescent="0.25">
      <c r="A43989" s="118"/>
      <c r="B43989" s="136"/>
    </row>
    <row r="43990" spans="1:2" x14ac:dyDescent="0.25">
      <c r="A43990" s="118"/>
      <c r="B43990" s="136"/>
    </row>
    <row r="43991" spans="1:2" x14ac:dyDescent="0.25">
      <c r="A43991" s="118"/>
      <c r="B43991" s="136"/>
    </row>
    <row r="43992" spans="1:2" x14ac:dyDescent="0.25">
      <c r="A43992" s="118"/>
      <c r="B43992" s="136"/>
    </row>
    <row r="43993" spans="1:2" x14ac:dyDescent="0.25">
      <c r="A43993" s="118"/>
      <c r="B43993" s="136"/>
    </row>
    <row r="43994" spans="1:2" x14ac:dyDescent="0.25">
      <c r="A43994" s="118"/>
      <c r="B43994" s="136"/>
    </row>
    <row r="43995" spans="1:2" x14ac:dyDescent="0.25">
      <c r="A43995" s="118"/>
      <c r="B43995" s="136"/>
    </row>
    <row r="43996" spans="1:2" x14ac:dyDescent="0.25">
      <c r="A43996" s="118"/>
      <c r="B43996" s="136"/>
    </row>
    <row r="43997" spans="1:2" x14ac:dyDescent="0.25">
      <c r="A43997" s="118"/>
      <c r="B43997" s="136"/>
    </row>
    <row r="43998" spans="1:2" x14ac:dyDescent="0.25">
      <c r="A43998" s="118"/>
      <c r="B43998" s="136"/>
    </row>
    <row r="43999" spans="1:2" x14ac:dyDescent="0.25">
      <c r="A43999" s="118"/>
      <c r="B43999" s="136"/>
    </row>
    <row r="44000" spans="1:2" x14ac:dyDescent="0.25">
      <c r="A44000" s="118"/>
      <c r="B44000" s="136"/>
    </row>
    <row r="44001" spans="1:2" x14ac:dyDescent="0.25">
      <c r="A44001" s="118"/>
      <c r="B44001" s="136"/>
    </row>
    <row r="44002" spans="1:2" x14ac:dyDescent="0.25">
      <c r="A44002" s="118"/>
      <c r="B44002" s="136"/>
    </row>
    <row r="44003" spans="1:2" x14ac:dyDescent="0.25">
      <c r="A44003" s="118"/>
      <c r="B44003" s="136"/>
    </row>
    <row r="44004" spans="1:2" x14ac:dyDescent="0.25">
      <c r="A44004" s="118"/>
      <c r="B44004" s="136"/>
    </row>
    <row r="44005" spans="1:2" x14ac:dyDescent="0.25">
      <c r="A44005" s="118"/>
      <c r="B44005" s="136"/>
    </row>
    <row r="44006" spans="1:2" x14ac:dyDescent="0.25">
      <c r="A44006" s="118"/>
      <c r="B44006" s="136"/>
    </row>
    <row r="44007" spans="1:2" x14ac:dyDescent="0.25">
      <c r="A44007" s="118"/>
      <c r="B44007" s="136"/>
    </row>
    <row r="44008" spans="1:2" x14ac:dyDescent="0.25">
      <c r="A44008" s="118"/>
      <c r="B44008" s="136"/>
    </row>
    <row r="44009" spans="1:2" x14ac:dyDescent="0.25">
      <c r="A44009" s="118"/>
      <c r="B44009" s="136"/>
    </row>
    <row r="44010" spans="1:2" x14ac:dyDescent="0.25">
      <c r="A44010" s="118"/>
      <c r="B44010" s="136"/>
    </row>
    <row r="44011" spans="1:2" x14ac:dyDescent="0.25">
      <c r="A44011" s="118"/>
      <c r="B44011" s="136"/>
    </row>
    <row r="44012" spans="1:2" x14ac:dyDescent="0.25">
      <c r="A44012" s="118"/>
      <c r="B44012" s="136"/>
    </row>
    <row r="44013" spans="1:2" x14ac:dyDescent="0.25">
      <c r="A44013" s="118"/>
      <c r="B44013" s="136"/>
    </row>
    <row r="44014" spans="1:2" x14ac:dyDescent="0.25">
      <c r="A44014" s="118"/>
      <c r="B44014" s="136"/>
    </row>
    <row r="44015" spans="1:2" x14ac:dyDescent="0.25">
      <c r="A44015" s="118"/>
      <c r="B44015" s="136"/>
    </row>
    <row r="44016" spans="1:2" x14ac:dyDescent="0.25">
      <c r="A44016" s="118"/>
      <c r="B44016" s="136"/>
    </row>
    <row r="44017" spans="1:2" x14ac:dyDescent="0.25">
      <c r="A44017" s="118"/>
      <c r="B44017" s="136"/>
    </row>
    <row r="44018" spans="1:2" x14ac:dyDescent="0.25">
      <c r="A44018" s="118"/>
      <c r="B44018" s="136"/>
    </row>
    <row r="44019" spans="1:2" x14ac:dyDescent="0.25">
      <c r="A44019" s="118"/>
      <c r="B44019" s="136"/>
    </row>
    <row r="44020" spans="1:2" x14ac:dyDescent="0.25">
      <c r="A44020" s="118"/>
      <c r="B44020" s="136"/>
    </row>
    <row r="44021" spans="1:2" x14ac:dyDescent="0.25">
      <c r="A44021" s="118"/>
      <c r="B44021" s="136"/>
    </row>
    <row r="44022" spans="1:2" x14ac:dyDescent="0.25">
      <c r="A44022" s="118"/>
      <c r="B44022" s="136"/>
    </row>
    <row r="44023" spans="1:2" x14ac:dyDescent="0.25">
      <c r="A44023" s="118"/>
      <c r="B44023" s="136"/>
    </row>
    <row r="44024" spans="1:2" x14ac:dyDescent="0.25">
      <c r="A44024" s="118"/>
      <c r="B44024" s="136"/>
    </row>
    <row r="44025" spans="1:2" x14ac:dyDescent="0.25">
      <c r="A44025" s="118"/>
      <c r="B44025" s="136"/>
    </row>
    <row r="44026" spans="1:2" x14ac:dyDescent="0.25">
      <c r="A44026" s="118"/>
      <c r="B44026" s="136"/>
    </row>
    <row r="44027" spans="1:2" x14ac:dyDescent="0.25">
      <c r="A44027" s="118"/>
      <c r="B44027" s="136"/>
    </row>
    <row r="44028" spans="1:2" x14ac:dyDescent="0.25">
      <c r="A44028" s="118"/>
      <c r="B44028" s="136"/>
    </row>
    <row r="44029" spans="1:2" x14ac:dyDescent="0.25">
      <c r="A44029" s="118"/>
      <c r="B44029" s="136"/>
    </row>
    <row r="44030" spans="1:2" x14ac:dyDescent="0.25">
      <c r="A44030" s="118"/>
      <c r="B44030" s="136"/>
    </row>
    <row r="44031" spans="1:2" x14ac:dyDescent="0.25">
      <c r="A44031" s="118"/>
      <c r="B44031" s="136"/>
    </row>
    <row r="44032" spans="1:2" x14ac:dyDescent="0.25">
      <c r="A44032" s="118"/>
      <c r="B44032" s="136"/>
    </row>
    <row r="44033" spans="1:2" x14ac:dyDescent="0.25">
      <c r="A44033" s="118"/>
      <c r="B44033" s="136"/>
    </row>
    <row r="44034" spans="1:2" x14ac:dyDescent="0.25">
      <c r="A44034" s="118"/>
      <c r="B44034" s="136"/>
    </row>
    <row r="44035" spans="1:2" x14ac:dyDescent="0.25">
      <c r="A44035" s="118"/>
      <c r="B44035" s="136"/>
    </row>
    <row r="44036" spans="1:2" x14ac:dyDescent="0.25">
      <c r="A44036" s="118"/>
      <c r="B44036" s="136"/>
    </row>
    <row r="44037" spans="1:2" x14ac:dyDescent="0.25">
      <c r="A44037" s="118"/>
      <c r="B44037" s="136"/>
    </row>
    <row r="44038" spans="1:2" x14ac:dyDescent="0.25">
      <c r="A44038" s="118"/>
      <c r="B44038" s="136"/>
    </row>
    <row r="44039" spans="1:2" x14ac:dyDescent="0.25">
      <c r="A44039" s="118"/>
      <c r="B44039" s="136"/>
    </row>
    <row r="44040" spans="1:2" x14ac:dyDescent="0.25">
      <c r="A44040" s="118"/>
      <c r="B44040" s="136"/>
    </row>
    <row r="44041" spans="1:2" x14ac:dyDescent="0.25">
      <c r="A44041" s="118"/>
      <c r="B44041" s="136"/>
    </row>
    <row r="44042" spans="1:2" x14ac:dyDescent="0.25">
      <c r="A44042" s="118"/>
      <c r="B44042" s="136"/>
    </row>
    <row r="44043" spans="1:2" x14ac:dyDescent="0.25">
      <c r="A44043" s="118"/>
      <c r="B44043" s="136"/>
    </row>
    <row r="44044" spans="1:2" x14ac:dyDescent="0.25">
      <c r="A44044" s="118"/>
      <c r="B44044" s="136"/>
    </row>
    <row r="44045" spans="1:2" x14ac:dyDescent="0.25">
      <c r="A44045" s="118"/>
      <c r="B44045" s="136"/>
    </row>
    <row r="44046" spans="1:2" x14ac:dyDescent="0.25">
      <c r="A44046" s="118"/>
      <c r="B44046" s="136"/>
    </row>
    <row r="44047" spans="1:2" x14ac:dyDescent="0.25">
      <c r="A44047" s="118"/>
      <c r="B44047" s="136"/>
    </row>
    <row r="44048" spans="1:2" x14ac:dyDescent="0.25">
      <c r="A44048" s="118"/>
      <c r="B44048" s="136"/>
    </row>
    <row r="44049" spans="1:2" x14ac:dyDescent="0.25">
      <c r="A44049" s="118"/>
      <c r="B44049" s="136"/>
    </row>
    <row r="44050" spans="1:2" x14ac:dyDescent="0.25">
      <c r="A44050" s="118"/>
      <c r="B44050" s="136"/>
    </row>
    <row r="44051" spans="1:2" x14ac:dyDescent="0.25">
      <c r="A44051" s="118"/>
      <c r="B44051" s="136"/>
    </row>
    <row r="44052" spans="1:2" x14ac:dyDescent="0.25">
      <c r="A44052" s="118"/>
      <c r="B44052" s="136"/>
    </row>
    <row r="44053" spans="1:2" x14ac:dyDescent="0.25">
      <c r="A44053" s="118"/>
      <c r="B44053" s="136"/>
    </row>
    <row r="44054" spans="1:2" x14ac:dyDescent="0.25">
      <c r="A44054" s="118"/>
      <c r="B44054" s="136"/>
    </row>
    <row r="44055" spans="1:2" x14ac:dyDescent="0.25">
      <c r="A44055" s="118"/>
      <c r="B44055" s="136"/>
    </row>
    <row r="44056" spans="1:2" x14ac:dyDescent="0.25">
      <c r="A44056" s="118"/>
      <c r="B44056" s="136"/>
    </row>
    <row r="44057" spans="1:2" x14ac:dyDescent="0.25">
      <c r="A44057" s="118"/>
      <c r="B44057" s="136"/>
    </row>
    <row r="44058" spans="1:2" x14ac:dyDescent="0.25">
      <c r="A44058" s="118"/>
      <c r="B44058" s="136"/>
    </row>
    <row r="44059" spans="1:2" x14ac:dyDescent="0.25">
      <c r="A44059" s="118"/>
      <c r="B44059" s="136"/>
    </row>
    <row r="44060" spans="1:2" x14ac:dyDescent="0.25">
      <c r="A44060" s="118"/>
      <c r="B44060" s="136"/>
    </row>
    <row r="44061" spans="1:2" x14ac:dyDescent="0.25">
      <c r="A44061" s="118"/>
      <c r="B44061" s="136"/>
    </row>
    <row r="44062" spans="1:2" x14ac:dyDescent="0.25">
      <c r="A44062" s="118"/>
      <c r="B44062" s="136"/>
    </row>
    <row r="44063" spans="1:2" x14ac:dyDescent="0.25">
      <c r="A44063" s="118"/>
      <c r="B44063" s="136"/>
    </row>
    <row r="44064" spans="1:2" x14ac:dyDescent="0.25">
      <c r="A44064" s="118"/>
      <c r="B44064" s="136"/>
    </row>
    <row r="44065" spans="1:2" x14ac:dyDescent="0.25">
      <c r="A44065" s="118"/>
      <c r="B44065" s="136"/>
    </row>
    <row r="44066" spans="1:2" x14ac:dyDescent="0.25">
      <c r="A44066" s="118"/>
      <c r="B44066" s="136"/>
    </row>
    <row r="44067" spans="1:2" x14ac:dyDescent="0.25">
      <c r="A44067" s="118"/>
      <c r="B44067" s="136"/>
    </row>
    <row r="44068" spans="1:2" x14ac:dyDescent="0.25">
      <c r="A44068" s="118"/>
      <c r="B44068" s="136"/>
    </row>
    <row r="44069" spans="1:2" x14ac:dyDescent="0.25">
      <c r="A44069" s="118"/>
      <c r="B44069" s="136"/>
    </row>
    <row r="44070" spans="1:2" x14ac:dyDescent="0.25">
      <c r="A44070" s="118"/>
      <c r="B44070" s="136"/>
    </row>
    <row r="44071" spans="1:2" x14ac:dyDescent="0.25">
      <c r="A44071" s="118"/>
      <c r="B44071" s="136"/>
    </row>
    <row r="44072" spans="1:2" x14ac:dyDescent="0.25">
      <c r="A44072" s="118"/>
      <c r="B44072" s="136"/>
    </row>
    <row r="44073" spans="1:2" x14ac:dyDescent="0.25">
      <c r="A44073" s="118"/>
      <c r="B44073" s="136"/>
    </row>
    <row r="44074" spans="1:2" x14ac:dyDescent="0.25">
      <c r="A44074" s="118"/>
      <c r="B44074" s="136"/>
    </row>
    <row r="44075" spans="1:2" x14ac:dyDescent="0.25">
      <c r="A44075" s="118"/>
      <c r="B44075" s="136"/>
    </row>
    <row r="44076" spans="1:2" x14ac:dyDescent="0.25">
      <c r="A44076" s="118"/>
      <c r="B44076" s="136"/>
    </row>
    <row r="44077" spans="1:2" x14ac:dyDescent="0.25">
      <c r="A44077" s="118"/>
      <c r="B44077" s="136"/>
    </row>
    <row r="44078" spans="1:2" x14ac:dyDescent="0.25">
      <c r="A44078" s="118"/>
      <c r="B44078" s="136"/>
    </row>
    <row r="44079" spans="1:2" x14ac:dyDescent="0.25">
      <c r="A44079" s="118"/>
      <c r="B44079" s="136"/>
    </row>
    <row r="44080" spans="1:2" x14ac:dyDescent="0.25">
      <c r="A44080" s="118"/>
      <c r="B44080" s="136"/>
    </row>
    <row r="44081" spans="1:2" x14ac:dyDescent="0.25">
      <c r="A44081" s="118"/>
      <c r="B44081" s="136"/>
    </row>
    <row r="44082" spans="1:2" x14ac:dyDescent="0.25">
      <c r="A44082" s="118"/>
      <c r="B44082" s="136"/>
    </row>
    <row r="44083" spans="1:2" x14ac:dyDescent="0.25">
      <c r="A44083" s="118"/>
      <c r="B44083" s="136"/>
    </row>
    <row r="44084" spans="1:2" x14ac:dyDescent="0.25">
      <c r="A44084" s="118"/>
      <c r="B44084" s="136"/>
    </row>
    <row r="44085" spans="1:2" x14ac:dyDescent="0.25">
      <c r="A44085" s="118"/>
      <c r="B44085" s="136"/>
    </row>
    <row r="44086" spans="1:2" x14ac:dyDescent="0.25">
      <c r="A44086" s="118"/>
      <c r="B44086" s="136"/>
    </row>
    <row r="44087" spans="1:2" x14ac:dyDescent="0.25">
      <c r="A44087" s="118"/>
      <c r="B44087" s="136"/>
    </row>
    <row r="44088" spans="1:2" x14ac:dyDescent="0.25">
      <c r="A44088" s="118"/>
      <c r="B44088" s="136"/>
    </row>
    <row r="44089" spans="1:2" x14ac:dyDescent="0.25">
      <c r="A44089" s="118"/>
      <c r="B44089" s="136"/>
    </row>
    <row r="44090" spans="1:2" x14ac:dyDescent="0.25">
      <c r="A44090" s="118"/>
      <c r="B44090" s="136"/>
    </row>
    <row r="44091" spans="1:2" x14ac:dyDescent="0.25">
      <c r="A44091" s="118"/>
      <c r="B44091" s="136"/>
    </row>
    <row r="44092" spans="1:2" x14ac:dyDescent="0.25">
      <c r="A44092" s="118"/>
      <c r="B44092" s="136"/>
    </row>
    <row r="44093" spans="1:2" x14ac:dyDescent="0.25">
      <c r="A44093" s="118"/>
      <c r="B44093" s="136"/>
    </row>
    <row r="44094" spans="1:2" x14ac:dyDescent="0.25">
      <c r="A44094" s="118"/>
      <c r="B44094" s="136"/>
    </row>
    <row r="44095" spans="1:2" x14ac:dyDescent="0.25">
      <c r="A44095" s="118"/>
      <c r="B44095" s="136"/>
    </row>
    <row r="44096" spans="1:2" x14ac:dyDescent="0.25">
      <c r="A44096" s="118"/>
      <c r="B44096" s="136"/>
    </row>
    <row r="44097" spans="1:2" x14ac:dyDescent="0.25">
      <c r="A44097" s="118"/>
      <c r="B44097" s="136"/>
    </row>
    <row r="44098" spans="1:2" x14ac:dyDescent="0.25">
      <c r="A44098" s="118"/>
      <c r="B44098" s="136"/>
    </row>
    <row r="44099" spans="1:2" x14ac:dyDescent="0.25">
      <c r="A44099" s="118"/>
      <c r="B44099" s="136"/>
    </row>
    <row r="44100" spans="1:2" x14ac:dyDescent="0.25">
      <c r="A44100" s="118"/>
      <c r="B44100" s="136"/>
    </row>
    <row r="44101" spans="1:2" x14ac:dyDescent="0.25">
      <c r="A44101" s="118"/>
      <c r="B44101" s="136"/>
    </row>
    <row r="44102" spans="1:2" x14ac:dyDescent="0.25">
      <c r="A44102" s="118"/>
      <c r="B44102" s="136"/>
    </row>
    <row r="44103" spans="1:2" x14ac:dyDescent="0.25">
      <c r="A44103" s="118"/>
      <c r="B44103" s="136"/>
    </row>
    <row r="44104" spans="1:2" x14ac:dyDescent="0.25">
      <c r="A44104" s="118"/>
      <c r="B44104" s="136"/>
    </row>
    <row r="44105" spans="1:2" x14ac:dyDescent="0.25">
      <c r="A44105" s="118"/>
      <c r="B44105" s="136"/>
    </row>
    <row r="44106" spans="1:2" x14ac:dyDescent="0.25">
      <c r="A44106" s="118"/>
      <c r="B44106" s="136"/>
    </row>
    <row r="44107" spans="1:2" x14ac:dyDescent="0.25">
      <c r="A44107" s="118"/>
      <c r="B44107" s="136"/>
    </row>
    <row r="44108" spans="1:2" x14ac:dyDescent="0.25">
      <c r="A44108" s="118"/>
      <c r="B44108" s="136"/>
    </row>
    <row r="44109" spans="1:2" x14ac:dyDescent="0.25">
      <c r="A44109" s="118"/>
      <c r="B44109" s="136"/>
    </row>
    <row r="44110" spans="1:2" x14ac:dyDescent="0.25">
      <c r="A44110" s="118"/>
      <c r="B44110" s="136"/>
    </row>
    <row r="44111" spans="1:2" x14ac:dyDescent="0.25">
      <c r="A44111" s="118"/>
      <c r="B44111" s="136"/>
    </row>
    <row r="44112" spans="1:2" x14ac:dyDescent="0.25">
      <c r="A44112" s="118"/>
      <c r="B44112" s="136"/>
    </row>
    <row r="44113" spans="1:2" x14ac:dyDescent="0.25">
      <c r="A44113" s="118"/>
      <c r="B44113" s="136"/>
    </row>
    <row r="44114" spans="1:2" x14ac:dyDescent="0.25">
      <c r="A44114" s="118"/>
      <c r="B44114" s="136"/>
    </row>
    <row r="44115" spans="1:2" x14ac:dyDescent="0.25">
      <c r="A44115" s="118"/>
      <c r="B44115" s="136"/>
    </row>
    <row r="44116" spans="1:2" x14ac:dyDescent="0.25">
      <c r="A44116" s="118"/>
      <c r="B44116" s="136"/>
    </row>
    <row r="44117" spans="1:2" x14ac:dyDescent="0.25">
      <c r="A44117" s="118"/>
      <c r="B44117" s="136"/>
    </row>
    <row r="44118" spans="1:2" x14ac:dyDescent="0.25">
      <c r="A44118" s="118"/>
      <c r="B44118" s="136"/>
    </row>
    <row r="44119" spans="1:2" x14ac:dyDescent="0.25">
      <c r="A44119" s="118"/>
      <c r="B44119" s="136"/>
    </row>
    <row r="44120" spans="1:2" x14ac:dyDescent="0.25">
      <c r="A44120" s="118"/>
      <c r="B44120" s="136"/>
    </row>
    <row r="44121" spans="1:2" x14ac:dyDescent="0.25">
      <c r="A44121" s="118"/>
      <c r="B44121" s="136"/>
    </row>
    <row r="44122" spans="1:2" x14ac:dyDescent="0.25">
      <c r="A44122" s="118"/>
      <c r="B44122" s="136"/>
    </row>
    <row r="44123" spans="1:2" x14ac:dyDescent="0.25">
      <c r="A44123" s="118"/>
      <c r="B44123" s="136"/>
    </row>
    <row r="44124" spans="1:2" x14ac:dyDescent="0.25">
      <c r="A44124" s="118"/>
      <c r="B44124" s="136"/>
    </row>
    <row r="44125" spans="1:2" x14ac:dyDescent="0.25">
      <c r="A44125" s="118"/>
      <c r="B44125" s="136"/>
    </row>
    <row r="44126" spans="1:2" x14ac:dyDescent="0.25">
      <c r="A44126" s="118"/>
      <c r="B44126" s="136"/>
    </row>
    <row r="44127" spans="1:2" x14ac:dyDescent="0.25">
      <c r="A44127" s="118"/>
      <c r="B44127" s="136"/>
    </row>
    <row r="44128" spans="1:2" x14ac:dyDescent="0.25">
      <c r="A44128" s="118"/>
      <c r="B44128" s="136"/>
    </row>
    <row r="44129" spans="1:2" x14ac:dyDescent="0.25">
      <c r="A44129" s="118"/>
      <c r="B44129" s="136"/>
    </row>
    <row r="44130" spans="1:2" x14ac:dyDescent="0.25">
      <c r="A44130" s="118"/>
      <c r="B44130" s="136"/>
    </row>
    <row r="44131" spans="1:2" x14ac:dyDescent="0.25">
      <c r="A44131" s="118"/>
      <c r="B44131" s="136"/>
    </row>
    <row r="44132" spans="1:2" x14ac:dyDescent="0.25">
      <c r="A44132" s="118"/>
      <c r="B44132" s="136"/>
    </row>
    <row r="44133" spans="1:2" x14ac:dyDescent="0.25">
      <c r="A44133" s="118"/>
      <c r="B44133" s="136"/>
    </row>
    <row r="44134" spans="1:2" x14ac:dyDescent="0.25">
      <c r="A44134" s="118"/>
      <c r="B44134" s="136"/>
    </row>
    <row r="44135" spans="1:2" x14ac:dyDescent="0.25">
      <c r="A44135" s="118"/>
      <c r="B44135" s="136"/>
    </row>
    <row r="44136" spans="1:2" x14ac:dyDescent="0.25">
      <c r="A44136" s="118"/>
      <c r="B44136" s="136"/>
    </row>
    <row r="44137" spans="1:2" x14ac:dyDescent="0.25">
      <c r="A44137" s="118"/>
      <c r="B44137" s="136"/>
    </row>
    <row r="44138" spans="1:2" x14ac:dyDescent="0.25">
      <c r="A44138" s="118"/>
      <c r="B44138" s="136"/>
    </row>
    <row r="44139" spans="1:2" x14ac:dyDescent="0.25">
      <c r="A44139" s="118"/>
      <c r="B44139" s="136"/>
    </row>
    <row r="44140" spans="1:2" x14ac:dyDescent="0.25">
      <c r="A44140" s="118"/>
      <c r="B44140" s="136"/>
    </row>
    <row r="44141" spans="1:2" x14ac:dyDescent="0.25">
      <c r="A44141" s="118"/>
      <c r="B44141" s="136"/>
    </row>
    <row r="44142" spans="1:2" x14ac:dyDescent="0.25">
      <c r="A44142" s="118"/>
      <c r="B44142" s="136"/>
    </row>
    <row r="44143" spans="1:2" x14ac:dyDescent="0.25">
      <c r="A44143" s="118"/>
      <c r="B44143" s="136"/>
    </row>
    <row r="44144" spans="1:2" x14ac:dyDescent="0.25">
      <c r="A44144" s="118"/>
      <c r="B44144" s="136"/>
    </row>
    <row r="44145" spans="1:2" x14ac:dyDescent="0.25">
      <c r="A44145" s="118"/>
      <c r="B44145" s="136"/>
    </row>
    <row r="44146" spans="1:2" x14ac:dyDescent="0.25">
      <c r="A44146" s="118"/>
      <c r="B44146" s="136"/>
    </row>
    <row r="44147" spans="1:2" x14ac:dyDescent="0.25">
      <c r="A44147" s="118"/>
      <c r="B44147" s="136"/>
    </row>
    <row r="44148" spans="1:2" x14ac:dyDescent="0.25">
      <c r="A44148" s="118"/>
      <c r="B44148" s="136"/>
    </row>
    <row r="44149" spans="1:2" x14ac:dyDescent="0.25">
      <c r="A44149" s="118"/>
      <c r="B44149" s="136"/>
    </row>
    <row r="44150" spans="1:2" x14ac:dyDescent="0.25">
      <c r="A44150" s="118"/>
      <c r="B44150" s="136"/>
    </row>
    <row r="44151" spans="1:2" x14ac:dyDescent="0.25">
      <c r="A44151" s="118"/>
      <c r="B44151" s="136"/>
    </row>
    <row r="44152" spans="1:2" x14ac:dyDescent="0.25">
      <c r="A44152" s="118"/>
      <c r="B44152" s="136"/>
    </row>
    <row r="44153" spans="1:2" x14ac:dyDescent="0.25">
      <c r="A44153" s="118"/>
      <c r="B44153" s="136"/>
    </row>
    <row r="44154" spans="1:2" x14ac:dyDescent="0.25">
      <c r="A44154" s="118"/>
      <c r="B44154" s="136"/>
    </row>
    <row r="44155" spans="1:2" x14ac:dyDescent="0.25">
      <c r="A44155" s="118"/>
      <c r="B44155" s="136"/>
    </row>
    <row r="44156" spans="1:2" x14ac:dyDescent="0.25">
      <c r="A44156" s="118"/>
      <c r="B44156" s="136"/>
    </row>
    <row r="44157" spans="1:2" x14ac:dyDescent="0.25">
      <c r="A44157" s="118"/>
      <c r="B44157" s="136"/>
    </row>
    <row r="44158" spans="1:2" x14ac:dyDescent="0.25">
      <c r="A44158" s="118"/>
      <c r="B44158" s="136"/>
    </row>
    <row r="44159" spans="1:2" x14ac:dyDescent="0.25">
      <c r="A44159" s="118"/>
      <c r="B44159" s="136"/>
    </row>
    <row r="44160" spans="1:2" x14ac:dyDescent="0.25">
      <c r="A44160" s="118"/>
      <c r="B44160" s="136"/>
    </row>
    <row r="44161" spans="1:2" x14ac:dyDescent="0.25">
      <c r="A44161" s="118"/>
      <c r="B44161" s="136"/>
    </row>
    <row r="44162" spans="1:2" x14ac:dyDescent="0.25">
      <c r="A44162" s="118"/>
      <c r="B44162" s="136"/>
    </row>
    <row r="44163" spans="1:2" x14ac:dyDescent="0.25">
      <c r="A44163" s="118"/>
      <c r="B44163" s="136"/>
    </row>
    <row r="44164" spans="1:2" x14ac:dyDescent="0.25">
      <c r="A44164" s="118"/>
      <c r="B44164" s="136"/>
    </row>
    <row r="44165" spans="1:2" x14ac:dyDescent="0.25">
      <c r="A44165" s="118"/>
      <c r="B44165" s="136"/>
    </row>
    <row r="44166" spans="1:2" x14ac:dyDescent="0.25">
      <c r="A44166" s="118"/>
      <c r="B44166" s="136"/>
    </row>
    <row r="44167" spans="1:2" x14ac:dyDescent="0.25">
      <c r="A44167" s="118"/>
      <c r="B44167" s="136"/>
    </row>
    <row r="44168" spans="1:2" x14ac:dyDescent="0.25">
      <c r="A44168" s="118"/>
      <c r="B44168" s="136"/>
    </row>
    <row r="44169" spans="1:2" x14ac:dyDescent="0.25">
      <c r="A44169" s="118"/>
      <c r="B44169" s="136"/>
    </row>
    <row r="44170" spans="1:2" x14ac:dyDescent="0.25">
      <c r="A44170" s="118"/>
      <c r="B44170" s="136"/>
    </row>
    <row r="44171" spans="1:2" x14ac:dyDescent="0.25">
      <c r="A44171" s="118"/>
      <c r="B44171" s="136"/>
    </row>
    <row r="44172" spans="1:2" x14ac:dyDescent="0.25">
      <c r="A44172" s="118"/>
      <c r="B44172" s="136"/>
    </row>
    <row r="44173" spans="1:2" x14ac:dyDescent="0.25">
      <c r="A44173" s="118"/>
      <c r="B44173" s="136"/>
    </row>
    <row r="44174" spans="1:2" x14ac:dyDescent="0.25">
      <c r="A44174" s="118"/>
      <c r="B44174" s="136"/>
    </row>
    <row r="44175" spans="1:2" x14ac:dyDescent="0.25">
      <c r="A44175" s="118"/>
      <c r="B44175" s="136"/>
    </row>
    <row r="44176" spans="1:2" x14ac:dyDescent="0.25">
      <c r="A44176" s="118"/>
      <c r="B44176" s="136"/>
    </row>
    <row r="44177" spans="1:2" x14ac:dyDescent="0.25">
      <c r="A44177" s="118"/>
      <c r="B44177" s="136"/>
    </row>
    <row r="44178" spans="1:2" x14ac:dyDescent="0.25">
      <c r="A44178" s="118"/>
      <c r="B44178" s="136"/>
    </row>
    <row r="44179" spans="1:2" x14ac:dyDescent="0.25">
      <c r="A44179" s="118"/>
      <c r="B44179" s="136"/>
    </row>
    <row r="44180" spans="1:2" x14ac:dyDescent="0.25">
      <c r="A44180" s="118"/>
      <c r="B44180" s="136"/>
    </row>
    <row r="44181" spans="1:2" x14ac:dyDescent="0.25">
      <c r="A44181" s="118"/>
      <c r="B44181" s="136"/>
    </row>
    <row r="44182" spans="1:2" x14ac:dyDescent="0.25">
      <c r="A44182" s="118"/>
      <c r="B44182" s="136"/>
    </row>
    <row r="44183" spans="1:2" x14ac:dyDescent="0.25">
      <c r="A44183" s="118"/>
      <c r="B44183" s="136"/>
    </row>
    <row r="44184" spans="1:2" x14ac:dyDescent="0.25">
      <c r="A44184" s="118"/>
      <c r="B44184" s="136"/>
    </row>
    <row r="44185" spans="1:2" x14ac:dyDescent="0.25">
      <c r="A44185" s="118"/>
      <c r="B44185" s="136"/>
    </row>
    <row r="44186" spans="1:2" x14ac:dyDescent="0.25">
      <c r="A44186" s="118"/>
      <c r="B44186" s="136"/>
    </row>
    <row r="44187" spans="1:2" x14ac:dyDescent="0.25">
      <c r="A44187" s="118"/>
      <c r="B44187" s="136"/>
    </row>
    <row r="44188" spans="1:2" x14ac:dyDescent="0.25">
      <c r="A44188" s="118"/>
      <c r="B44188" s="136"/>
    </row>
    <row r="44189" spans="1:2" x14ac:dyDescent="0.25">
      <c r="A44189" s="118"/>
      <c r="B44189" s="136"/>
    </row>
    <row r="44190" spans="1:2" x14ac:dyDescent="0.25">
      <c r="A44190" s="118"/>
      <c r="B44190" s="136"/>
    </row>
    <row r="44191" spans="1:2" x14ac:dyDescent="0.25">
      <c r="A44191" s="118"/>
      <c r="B44191" s="136"/>
    </row>
    <row r="44192" spans="1:2" x14ac:dyDescent="0.25">
      <c r="A44192" s="118"/>
      <c r="B44192" s="136"/>
    </row>
    <row r="44193" spans="1:2" x14ac:dyDescent="0.25">
      <c r="A44193" s="118"/>
      <c r="B44193" s="136"/>
    </row>
    <row r="44194" spans="1:2" x14ac:dyDescent="0.25">
      <c r="A44194" s="118"/>
      <c r="B44194" s="136"/>
    </row>
    <row r="44195" spans="1:2" x14ac:dyDescent="0.25">
      <c r="A44195" s="118"/>
      <c r="B44195" s="136"/>
    </row>
    <row r="44196" spans="1:2" x14ac:dyDescent="0.25">
      <c r="A44196" s="118"/>
      <c r="B44196" s="136"/>
    </row>
    <row r="44197" spans="1:2" x14ac:dyDescent="0.25">
      <c r="A44197" s="118"/>
      <c r="B44197" s="136"/>
    </row>
    <row r="44198" spans="1:2" x14ac:dyDescent="0.25">
      <c r="A44198" s="118"/>
      <c r="B44198" s="136"/>
    </row>
    <row r="44199" spans="1:2" x14ac:dyDescent="0.25">
      <c r="A44199" s="118"/>
      <c r="B44199" s="136"/>
    </row>
    <row r="44200" spans="1:2" x14ac:dyDescent="0.25">
      <c r="A44200" s="118"/>
      <c r="B44200" s="136"/>
    </row>
    <row r="44201" spans="1:2" x14ac:dyDescent="0.25">
      <c r="A44201" s="118"/>
      <c r="B44201" s="136"/>
    </row>
    <row r="44202" spans="1:2" x14ac:dyDescent="0.25">
      <c r="A44202" s="118"/>
      <c r="B44202" s="136"/>
    </row>
    <row r="44203" spans="1:2" x14ac:dyDescent="0.25">
      <c r="A44203" s="118"/>
      <c r="B44203" s="136"/>
    </row>
    <row r="44204" spans="1:2" x14ac:dyDescent="0.25">
      <c r="A44204" s="118"/>
      <c r="B44204" s="136"/>
    </row>
    <row r="44205" spans="1:2" x14ac:dyDescent="0.25">
      <c r="A44205" s="118"/>
      <c r="B44205" s="136"/>
    </row>
    <row r="44206" spans="1:2" x14ac:dyDescent="0.25">
      <c r="A44206" s="118"/>
      <c r="B44206" s="136"/>
    </row>
    <row r="44207" spans="1:2" x14ac:dyDescent="0.25">
      <c r="A44207" s="118"/>
      <c r="B44207" s="136"/>
    </row>
    <row r="44208" spans="1:2" x14ac:dyDescent="0.25">
      <c r="A44208" s="118"/>
      <c r="B44208" s="136"/>
    </row>
    <row r="44209" spans="1:2" x14ac:dyDescent="0.25">
      <c r="A44209" s="118"/>
      <c r="B44209" s="136"/>
    </row>
    <row r="44210" spans="1:2" x14ac:dyDescent="0.25">
      <c r="A44210" s="118"/>
      <c r="B44210" s="136"/>
    </row>
    <row r="44211" spans="1:2" x14ac:dyDescent="0.25">
      <c r="A44211" s="118"/>
      <c r="B44211" s="136"/>
    </row>
    <row r="44212" spans="1:2" x14ac:dyDescent="0.25">
      <c r="A44212" s="118"/>
      <c r="B44212" s="136"/>
    </row>
    <row r="44213" spans="1:2" x14ac:dyDescent="0.25">
      <c r="A44213" s="118"/>
      <c r="B44213" s="136"/>
    </row>
    <row r="44214" spans="1:2" x14ac:dyDescent="0.25">
      <c r="A44214" s="118"/>
      <c r="B44214" s="136"/>
    </row>
    <row r="44215" spans="1:2" x14ac:dyDescent="0.25">
      <c r="A44215" s="118"/>
      <c r="B44215" s="136"/>
    </row>
    <row r="44216" spans="1:2" x14ac:dyDescent="0.25">
      <c r="A44216" s="118"/>
      <c r="B44216" s="136"/>
    </row>
    <row r="44217" spans="1:2" x14ac:dyDescent="0.25">
      <c r="A44217" s="118"/>
      <c r="B44217" s="136"/>
    </row>
    <row r="44218" spans="1:2" x14ac:dyDescent="0.25">
      <c r="A44218" s="118"/>
      <c r="B44218" s="136"/>
    </row>
    <row r="44219" spans="1:2" x14ac:dyDescent="0.25">
      <c r="A44219" s="118"/>
      <c r="B44219" s="136"/>
    </row>
    <row r="44220" spans="1:2" x14ac:dyDescent="0.25">
      <c r="A44220" s="118"/>
      <c r="B44220" s="136"/>
    </row>
    <row r="44221" spans="1:2" x14ac:dyDescent="0.25">
      <c r="A44221" s="118"/>
      <c r="B44221" s="136"/>
    </row>
    <row r="44222" spans="1:2" x14ac:dyDescent="0.25">
      <c r="A44222" s="118"/>
      <c r="B44222" s="136"/>
    </row>
    <row r="44223" spans="1:2" x14ac:dyDescent="0.25">
      <c r="A44223" s="118"/>
      <c r="B44223" s="136"/>
    </row>
    <row r="44224" spans="1:2" x14ac:dyDescent="0.25">
      <c r="A44224" s="118"/>
      <c r="B44224" s="136"/>
    </row>
    <row r="44225" spans="1:2" x14ac:dyDescent="0.25">
      <c r="A44225" s="118"/>
      <c r="B44225" s="136"/>
    </row>
    <row r="44226" spans="1:2" x14ac:dyDescent="0.25">
      <c r="A44226" s="118"/>
      <c r="B44226" s="136"/>
    </row>
    <row r="44227" spans="1:2" x14ac:dyDescent="0.25">
      <c r="A44227" s="118"/>
      <c r="B44227" s="136"/>
    </row>
    <row r="44228" spans="1:2" x14ac:dyDescent="0.25">
      <c r="A44228" s="118"/>
      <c r="B44228" s="136"/>
    </row>
    <row r="44229" spans="1:2" x14ac:dyDescent="0.25">
      <c r="A44229" s="118"/>
      <c r="B44229" s="136"/>
    </row>
    <row r="44230" spans="1:2" x14ac:dyDescent="0.25">
      <c r="A44230" s="118"/>
      <c r="B44230" s="136"/>
    </row>
    <row r="44231" spans="1:2" x14ac:dyDescent="0.25">
      <c r="A44231" s="118"/>
      <c r="B44231" s="136"/>
    </row>
    <row r="44232" spans="1:2" x14ac:dyDescent="0.25">
      <c r="A44232" s="118"/>
      <c r="B44232" s="136"/>
    </row>
    <row r="44233" spans="1:2" x14ac:dyDescent="0.25">
      <c r="A44233" s="118"/>
      <c r="B44233" s="136"/>
    </row>
    <row r="44234" spans="1:2" x14ac:dyDescent="0.25">
      <c r="A44234" s="118"/>
      <c r="B44234" s="136"/>
    </row>
    <row r="44235" spans="1:2" x14ac:dyDescent="0.25">
      <c r="A44235" s="118"/>
      <c r="B44235" s="136"/>
    </row>
    <row r="44236" spans="1:2" x14ac:dyDescent="0.25">
      <c r="A44236" s="118"/>
      <c r="B44236" s="136"/>
    </row>
    <row r="44237" spans="1:2" x14ac:dyDescent="0.25">
      <c r="A44237" s="118"/>
      <c r="B44237" s="136"/>
    </row>
    <row r="44238" spans="1:2" x14ac:dyDescent="0.25">
      <c r="A44238" s="118"/>
      <c r="B44238" s="136"/>
    </row>
    <row r="44239" spans="1:2" x14ac:dyDescent="0.25">
      <c r="A44239" s="118"/>
      <c r="B44239" s="136"/>
    </row>
    <row r="44240" spans="1:2" x14ac:dyDescent="0.25">
      <c r="A44240" s="118"/>
      <c r="B44240" s="136"/>
    </row>
    <row r="44241" spans="1:2" x14ac:dyDescent="0.25">
      <c r="A44241" s="118"/>
      <c r="B44241" s="136"/>
    </row>
    <row r="44242" spans="1:2" x14ac:dyDescent="0.25">
      <c r="A44242" s="118"/>
      <c r="B44242" s="136"/>
    </row>
    <row r="44243" spans="1:2" x14ac:dyDescent="0.25">
      <c r="A44243" s="118"/>
      <c r="B44243" s="136"/>
    </row>
    <row r="44244" spans="1:2" x14ac:dyDescent="0.25">
      <c r="A44244" s="118"/>
      <c r="B44244" s="136"/>
    </row>
    <row r="44245" spans="1:2" x14ac:dyDescent="0.25">
      <c r="A44245" s="118"/>
      <c r="B44245" s="136"/>
    </row>
    <row r="44246" spans="1:2" x14ac:dyDescent="0.25">
      <c r="A44246" s="118"/>
      <c r="B44246" s="136"/>
    </row>
    <row r="44247" spans="1:2" x14ac:dyDescent="0.25">
      <c r="A44247" s="118"/>
      <c r="B44247" s="136"/>
    </row>
    <row r="44248" spans="1:2" x14ac:dyDescent="0.25">
      <c r="A44248" s="118"/>
      <c r="B44248" s="136"/>
    </row>
    <row r="44249" spans="1:2" x14ac:dyDescent="0.25">
      <c r="A44249" s="118"/>
      <c r="B44249" s="136"/>
    </row>
    <row r="44250" spans="1:2" x14ac:dyDescent="0.25">
      <c r="A44250" s="118"/>
      <c r="B44250" s="136"/>
    </row>
    <row r="44251" spans="1:2" x14ac:dyDescent="0.25">
      <c r="A44251" s="118"/>
      <c r="B44251" s="136"/>
    </row>
    <row r="44252" spans="1:2" x14ac:dyDescent="0.25">
      <c r="A44252" s="118"/>
      <c r="B44252" s="136"/>
    </row>
    <row r="44253" spans="1:2" x14ac:dyDescent="0.25">
      <c r="A44253" s="118"/>
      <c r="B44253" s="136"/>
    </row>
    <row r="44254" spans="1:2" x14ac:dyDescent="0.25">
      <c r="A44254" s="118"/>
      <c r="B44254" s="136"/>
    </row>
    <row r="44255" spans="1:2" x14ac:dyDescent="0.25">
      <c r="A44255" s="118"/>
      <c r="B44255" s="136"/>
    </row>
    <row r="44256" spans="1:2" x14ac:dyDescent="0.25">
      <c r="A44256" s="118"/>
      <c r="B44256" s="136"/>
    </row>
    <row r="44257" spans="1:2" x14ac:dyDescent="0.25">
      <c r="A44257" s="118"/>
      <c r="B44257" s="136"/>
    </row>
    <row r="44258" spans="1:2" x14ac:dyDescent="0.25">
      <c r="A44258" s="118"/>
      <c r="B44258" s="136"/>
    </row>
    <row r="44259" spans="1:2" x14ac:dyDescent="0.25">
      <c r="A44259" s="118"/>
      <c r="B44259" s="136"/>
    </row>
    <row r="44260" spans="1:2" x14ac:dyDescent="0.25">
      <c r="A44260" s="118"/>
      <c r="B44260" s="136"/>
    </row>
    <row r="44261" spans="1:2" x14ac:dyDescent="0.25">
      <c r="A44261" s="118"/>
      <c r="B44261" s="136"/>
    </row>
    <row r="44262" spans="1:2" x14ac:dyDescent="0.25">
      <c r="A44262" s="118"/>
      <c r="B44262" s="136"/>
    </row>
    <row r="44263" spans="1:2" x14ac:dyDescent="0.25">
      <c r="A44263" s="118"/>
      <c r="B44263" s="136"/>
    </row>
    <row r="44264" spans="1:2" x14ac:dyDescent="0.25">
      <c r="A44264" s="118"/>
      <c r="B44264" s="136"/>
    </row>
    <row r="44265" spans="1:2" x14ac:dyDescent="0.25">
      <c r="A44265" s="118"/>
      <c r="B44265" s="136"/>
    </row>
    <row r="44266" spans="1:2" x14ac:dyDescent="0.25">
      <c r="A44266" s="118"/>
      <c r="B44266" s="136"/>
    </row>
    <row r="44267" spans="1:2" x14ac:dyDescent="0.25">
      <c r="A44267" s="118"/>
      <c r="B44267" s="136"/>
    </row>
    <row r="44268" spans="1:2" x14ac:dyDescent="0.25">
      <c r="A44268" s="118"/>
      <c r="B44268" s="136"/>
    </row>
    <row r="44269" spans="1:2" x14ac:dyDescent="0.25">
      <c r="A44269" s="118"/>
      <c r="B44269" s="136"/>
    </row>
    <row r="44270" spans="1:2" x14ac:dyDescent="0.25">
      <c r="A44270" s="118"/>
      <c r="B44270" s="136"/>
    </row>
    <row r="44271" spans="1:2" x14ac:dyDescent="0.25">
      <c r="A44271" s="118"/>
      <c r="B44271" s="136"/>
    </row>
    <row r="44272" spans="1:2" x14ac:dyDescent="0.25">
      <c r="A44272" s="118"/>
      <c r="B44272" s="136"/>
    </row>
    <row r="44273" spans="1:2" x14ac:dyDescent="0.25">
      <c r="A44273" s="118"/>
      <c r="B44273" s="136"/>
    </row>
    <row r="44274" spans="1:2" x14ac:dyDescent="0.25">
      <c r="A44274" s="118"/>
      <c r="B44274" s="136"/>
    </row>
    <row r="44275" spans="1:2" x14ac:dyDescent="0.25">
      <c r="A44275" s="118"/>
      <c r="B44275" s="136"/>
    </row>
    <row r="44276" spans="1:2" x14ac:dyDescent="0.25">
      <c r="A44276" s="118"/>
      <c r="B44276" s="136"/>
    </row>
    <row r="44277" spans="1:2" x14ac:dyDescent="0.25">
      <c r="A44277" s="118"/>
      <c r="B44277" s="136"/>
    </row>
    <row r="44278" spans="1:2" x14ac:dyDescent="0.25">
      <c r="A44278" s="118"/>
      <c r="B44278" s="136"/>
    </row>
    <row r="44279" spans="1:2" x14ac:dyDescent="0.25">
      <c r="A44279" s="118"/>
      <c r="B44279" s="136"/>
    </row>
    <row r="44280" spans="1:2" x14ac:dyDescent="0.25">
      <c r="A44280" s="118"/>
      <c r="B44280" s="136"/>
    </row>
    <row r="44281" spans="1:2" x14ac:dyDescent="0.25">
      <c r="A44281" s="118"/>
      <c r="B44281" s="136"/>
    </row>
    <row r="44282" spans="1:2" x14ac:dyDescent="0.25">
      <c r="A44282" s="118"/>
      <c r="B44282" s="136"/>
    </row>
    <row r="44283" spans="1:2" x14ac:dyDescent="0.25">
      <c r="A44283" s="118"/>
      <c r="B44283" s="136"/>
    </row>
    <row r="44284" spans="1:2" x14ac:dyDescent="0.25">
      <c r="A44284" s="118"/>
      <c r="B44284" s="136"/>
    </row>
    <row r="44285" spans="1:2" x14ac:dyDescent="0.25">
      <c r="A44285" s="118"/>
      <c r="B44285" s="136"/>
    </row>
    <row r="44286" spans="1:2" x14ac:dyDescent="0.25">
      <c r="A44286" s="118"/>
      <c r="B44286" s="136"/>
    </row>
    <row r="44287" spans="1:2" x14ac:dyDescent="0.25">
      <c r="A44287" s="118"/>
      <c r="B44287" s="136"/>
    </row>
    <row r="44288" spans="1:2" x14ac:dyDescent="0.25">
      <c r="A44288" s="118"/>
      <c r="B44288" s="136"/>
    </row>
    <row r="44289" spans="1:2" x14ac:dyDescent="0.25">
      <c r="A44289" s="118"/>
      <c r="B44289" s="136"/>
    </row>
    <row r="44290" spans="1:2" x14ac:dyDescent="0.25">
      <c r="A44290" s="118"/>
      <c r="B44290" s="136"/>
    </row>
    <row r="44291" spans="1:2" x14ac:dyDescent="0.25">
      <c r="A44291" s="118"/>
      <c r="B44291" s="136"/>
    </row>
    <row r="44292" spans="1:2" x14ac:dyDescent="0.25">
      <c r="A44292" s="118"/>
      <c r="B44292" s="136"/>
    </row>
    <row r="44293" spans="1:2" x14ac:dyDescent="0.25">
      <c r="A44293" s="118"/>
      <c r="B44293" s="136"/>
    </row>
    <row r="44294" spans="1:2" x14ac:dyDescent="0.25">
      <c r="A44294" s="118"/>
      <c r="B44294" s="136"/>
    </row>
    <row r="44295" spans="1:2" x14ac:dyDescent="0.25">
      <c r="A44295" s="118"/>
      <c r="B44295" s="136"/>
    </row>
    <row r="44296" spans="1:2" x14ac:dyDescent="0.25">
      <c r="A44296" s="118"/>
      <c r="B44296" s="136"/>
    </row>
    <row r="44297" spans="1:2" x14ac:dyDescent="0.25">
      <c r="A44297" s="118"/>
      <c r="B44297" s="136"/>
    </row>
    <row r="44298" spans="1:2" x14ac:dyDescent="0.25">
      <c r="A44298" s="118"/>
      <c r="B44298" s="136"/>
    </row>
    <row r="44299" spans="1:2" x14ac:dyDescent="0.25">
      <c r="A44299" s="118"/>
      <c r="B44299" s="136"/>
    </row>
    <row r="44300" spans="1:2" x14ac:dyDescent="0.25">
      <c r="A44300" s="118"/>
      <c r="B44300" s="136"/>
    </row>
    <row r="44301" spans="1:2" x14ac:dyDescent="0.25">
      <c r="A44301" s="118"/>
      <c r="B44301" s="136"/>
    </row>
    <row r="44302" spans="1:2" x14ac:dyDescent="0.25">
      <c r="A44302" s="118"/>
      <c r="B44302" s="136"/>
    </row>
    <row r="44303" spans="1:2" x14ac:dyDescent="0.25">
      <c r="A44303" s="118"/>
      <c r="B44303" s="136"/>
    </row>
    <row r="44304" spans="1:2" x14ac:dyDescent="0.25">
      <c r="A44304" s="118"/>
      <c r="B44304" s="136"/>
    </row>
    <row r="44305" spans="1:2" x14ac:dyDescent="0.25">
      <c r="A44305" s="118"/>
      <c r="B44305" s="136"/>
    </row>
    <row r="44306" spans="1:2" x14ac:dyDescent="0.25">
      <c r="A44306" s="118"/>
      <c r="B44306" s="136"/>
    </row>
    <row r="44307" spans="1:2" x14ac:dyDescent="0.25">
      <c r="A44307" s="118"/>
      <c r="B44307" s="136"/>
    </row>
    <row r="44308" spans="1:2" x14ac:dyDescent="0.25">
      <c r="A44308" s="118"/>
      <c r="B44308" s="136"/>
    </row>
    <row r="44309" spans="1:2" x14ac:dyDescent="0.25">
      <c r="A44309" s="118"/>
      <c r="B44309" s="136"/>
    </row>
    <row r="44310" spans="1:2" x14ac:dyDescent="0.25">
      <c r="A44310" s="118"/>
      <c r="B44310" s="136"/>
    </row>
    <row r="44311" spans="1:2" x14ac:dyDescent="0.25">
      <c r="A44311" s="118"/>
      <c r="B44311" s="136"/>
    </row>
    <row r="44312" spans="1:2" x14ac:dyDescent="0.25">
      <c r="A44312" s="118"/>
      <c r="B44312" s="136"/>
    </row>
    <row r="44313" spans="1:2" x14ac:dyDescent="0.25">
      <c r="A44313" s="118"/>
      <c r="B44313" s="136"/>
    </row>
    <row r="44314" spans="1:2" x14ac:dyDescent="0.25">
      <c r="A44314" s="118"/>
      <c r="B44314" s="136"/>
    </row>
    <row r="44315" spans="1:2" x14ac:dyDescent="0.25">
      <c r="A44315" s="118"/>
      <c r="B44315" s="136"/>
    </row>
    <row r="44316" spans="1:2" x14ac:dyDescent="0.25">
      <c r="A44316" s="118"/>
      <c r="B44316" s="136"/>
    </row>
    <row r="44317" spans="1:2" x14ac:dyDescent="0.25">
      <c r="A44317" s="118"/>
      <c r="B44317" s="136"/>
    </row>
    <row r="44318" spans="1:2" x14ac:dyDescent="0.25">
      <c r="A44318" s="118"/>
      <c r="B44318" s="136"/>
    </row>
    <row r="44319" spans="1:2" x14ac:dyDescent="0.25">
      <c r="A44319" s="118"/>
      <c r="B44319" s="136"/>
    </row>
    <row r="44320" spans="1:2" x14ac:dyDescent="0.25">
      <c r="A44320" s="118"/>
      <c r="B44320" s="136"/>
    </row>
    <row r="44321" spans="1:2" x14ac:dyDescent="0.25">
      <c r="A44321" s="118"/>
      <c r="B44321" s="136"/>
    </row>
    <row r="44322" spans="1:2" x14ac:dyDescent="0.25">
      <c r="A44322" s="118"/>
      <c r="B44322" s="136"/>
    </row>
    <row r="44323" spans="1:2" x14ac:dyDescent="0.25">
      <c r="A44323" s="118"/>
      <c r="B44323" s="136"/>
    </row>
    <row r="44324" spans="1:2" x14ac:dyDescent="0.25">
      <c r="A44324" s="118"/>
      <c r="B44324" s="136"/>
    </row>
    <row r="44325" spans="1:2" x14ac:dyDescent="0.25">
      <c r="A44325" s="118"/>
      <c r="B44325" s="136"/>
    </row>
    <row r="44326" spans="1:2" x14ac:dyDescent="0.25">
      <c r="A44326" s="118"/>
      <c r="B44326" s="136"/>
    </row>
    <row r="44327" spans="1:2" x14ac:dyDescent="0.25">
      <c r="A44327" s="118"/>
      <c r="B44327" s="136"/>
    </row>
    <row r="44328" spans="1:2" x14ac:dyDescent="0.25">
      <c r="A44328" s="118"/>
      <c r="B44328" s="136"/>
    </row>
    <row r="44329" spans="1:2" x14ac:dyDescent="0.25">
      <c r="A44329" s="118"/>
      <c r="B44329" s="136"/>
    </row>
    <row r="44330" spans="1:2" x14ac:dyDescent="0.25">
      <c r="A44330" s="118"/>
      <c r="B44330" s="136"/>
    </row>
    <row r="44331" spans="1:2" x14ac:dyDescent="0.25">
      <c r="A44331" s="118"/>
      <c r="B44331" s="136"/>
    </row>
    <row r="44332" spans="1:2" x14ac:dyDescent="0.25">
      <c r="A44332" s="118"/>
      <c r="B44332" s="136"/>
    </row>
    <row r="44333" spans="1:2" x14ac:dyDescent="0.25">
      <c r="A44333" s="118"/>
      <c r="B44333" s="136"/>
    </row>
    <row r="44334" spans="1:2" x14ac:dyDescent="0.25">
      <c r="A44334" s="118"/>
      <c r="B44334" s="136"/>
    </row>
    <row r="44335" spans="1:2" x14ac:dyDescent="0.25">
      <c r="A44335" s="118"/>
      <c r="B44335" s="136"/>
    </row>
    <row r="44336" spans="1:2" x14ac:dyDescent="0.25">
      <c r="A44336" s="118"/>
      <c r="B44336" s="136"/>
    </row>
    <row r="44337" spans="1:2" x14ac:dyDescent="0.25">
      <c r="A44337" s="118"/>
      <c r="B44337" s="136"/>
    </row>
    <row r="44338" spans="1:2" x14ac:dyDescent="0.25">
      <c r="A44338" s="118"/>
      <c r="B44338" s="136"/>
    </row>
    <row r="44339" spans="1:2" x14ac:dyDescent="0.25">
      <c r="A44339" s="118"/>
      <c r="B44339" s="136"/>
    </row>
    <row r="44340" spans="1:2" x14ac:dyDescent="0.25">
      <c r="A44340" s="118"/>
      <c r="B44340" s="136"/>
    </row>
    <row r="44341" spans="1:2" x14ac:dyDescent="0.25">
      <c r="A44341" s="118"/>
      <c r="B44341" s="136"/>
    </row>
    <row r="44342" spans="1:2" x14ac:dyDescent="0.25">
      <c r="A44342" s="118"/>
      <c r="B44342" s="136"/>
    </row>
    <row r="44343" spans="1:2" x14ac:dyDescent="0.25">
      <c r="A44343" s="118"/>
      <c r="B44343" s="136"/>
    </row>
    <row r="44344" spans="1:2" x14ac:dyDescent="0.25">
      <c r="A44344" s="118"/>
      <c r="B44344" s="136"/>
    </row>
    <row r="44345" spans="1:2" x14ac:dyDescent="0.25">
      <c r="A44345" s="118"/>
      <c r="B44345" s="136"/>
    </row>
    <row r="44346" spans="1:2" x14ac:dyDescent="0.25">
      <c r="A44346" s="118"/>
      <c r="B44346" s="136"/>
    </row>
    <row r="44347" spans="1:2" x14ac:dyDescent="0.25">
      <c r="A44347" s="118"/>
      <c r="B44347" s="136"/>
    </row>
    <row r="44348" spans="1:2" x14ac:dyDescent="0.25">
      <c r="A44348" s="118"/>
      <c r="B44348" s="136"/>
    </row>
    <row r="44349" spans="1:2" x14ac:dyDescent="0.25">
      <c r="A44349" s="118"/>
      <c r="B44349" s="136"/>
    </row>
    <row r="44350" spans="1:2" x14ac:dyDescent="0.25">
      <c r="A44350" s="118"/>
      <c r="B44350" s="136"/>
    </row>
    <row r="44351" spans="1:2" x14ac:dyDescent="0.25">
      <c r="A44351" s="118"/>
      <c r="B44351" s="136"/>
    </row>
    <row r="44352" spans="1:2" x14ac:dyDescent="0.25">
      <c r="A44352" s="118"/>
      <c r="B44352" s="136"/>
    </row>
    <row r="44353" spans="1:2" x14ac:dyDescent="0.25">
      <c r="A44353" s="118"/>
      <c r="B44353" s="136"/>
    </row>
    <row r="44354" spans="1:2" x14ac:dyDescent="0.25">
      <c r="A44354" s="118"/>
      <c r="B44354" s="136"/>
    </row>
    <row r="44355" spans="1:2" x14ac:dyDescent="0.25">
      <c r="A44355" s="118"/>
      <c r="B44355" s="136"/>
    </row>
    <row r="44356" spans="1:2" x14ac:dyDescent="0.25">
      <c r="A44356" s="118"/>
      <c r="B44356" s="136"/>
    </row>
    <row r="44357" spans="1:2" x14ac:dyDescent="0.25">
      <c r="A44357" s="118"/>
      <c r="B44357" s="136"/>
    </row>
    <row r="44358" spans="1:2" x14ac:dyDescent="0.25">
      <c r="A44358" s="118"/>
      <c r="B44358" s="136"/>
    </row>
    <row r="44359" spans="1:2" x14ac:dyDescent="0.25">
      <c r="A44359" s="118"/>
      <c r="B44359" s="136"/>
    </row>
    <row r="44360" spans="1:2" x14ac:dyDescent="0.25">
      <c r="A44360" s="118"/>
      <c r="B44360" s="136"/>
    </row>
    <row r="44361" spans="1:2" x14ac:dyDescent="0.25">
      <c r="A44361" s="118"/>
      <c r="B44361" s="136"/>
    </row>
    <row r="44362" spans="1:2" x14ac:dyDescent="0.25">
      <c r="A44362" s="118"/>
      <c r="B44362" s="136"/>
    </row>
    <row r="44363" spans="1:2" x14ac:dyDescent="0.25">
      <c r="A44363" s="118"/>
      <c r="B44363" s="136"/>
    </row>
    <row r="44364" spans="1:2" x14ac:dyDescent="0.25">
      <c r="A44364" s="118"/>
      <c r="B44364" s="136"/>
    </row>
    <row r="44365" spans="1:2" x14ac:dyDescent="0.25">
      <c r="A44365" s="118"/>
      <c r="B44365" s="136"/>
    </row>
    <row r="44366" spans="1:2" x14ac:dyDescent="0.25">
      <c r="A44366" s="118"/>
      <c r="B44366" s="136"/>
    </row>
    <row r="44367" spans="1:2" x14ac:dyDescent="0.25">
      <c r="A44367" s="118"/>
      <c r="B44367" s="136"/>
    </row>
    <row r="44368" spans="1:2" x14ac:dyDescent="0.25">
      <c r="A44368" s="118"/>
      <c r="B44368" s="136"/>
    </row>
    <row r="44369" spans="1:2" x14ac:dyDescent="0.25">
      <c r="A44369" s="118"/>
      <c r="B44369" s="136"/>
    </row>
    <row r="44370" spans="1:2" x14ac:dyDescent="0.25">
      <c r="A44370" s="118"/>
      <c r="B44370" s="136"/>
    </row>
    <row r="44371" spans="1:2" x14ac:dyDescent="0.25">
      <c r="A44371" s="118"/>
      <c r="B44371" s="136"/>
    </row>
    <row r="44372" spans="1:2" x14ac:dyDescent="0.25">
      <c r="A44372" s="118"/>
      <c r="B44372" s="136"/>
    </row>
    <row r="44373" spans="1:2" x14ac:dyDescent="0.25">
      <c r="A44373" s="118"/>
      <c r="B44373" s="136"/>
    </row>
    <row r="44374" spans="1:2" x14ac:dyDescent="0.25">
      <c r="A44374" s="118"/>
      <c r="B44374" s="136"/>
    </row>
    <row r="44375" spans="1:2" x14ac:dyDescent="0.25">
      <c r="A44375" s="118"/>
      <c r="B44375" s="136"/>
    </row>
    <row r="44376" spans="1:2" x14ac:dyDescent="0.25">
      <c r="A44376" s="118"/>
      <c r="B44376" s="136"/>
    </row>
    <row r="44377" spans="1:2" x14ac:dyDescent="0.25">
      <c r="A44377" s="118"/>
      <c r="B44377" s="136"/>
    </row>
    <row r="44378" spans="1:2" x14ac:dyDescent="0.25">
      <c r="A44378" s="118"/>
      <c r="B44378" s="136"/>
    </row>
    <row r="44379" spans="1:2" x14ac:dyDescent="0.25">
      <c r="A44379" s="118"/>
      <c r="B44379" s="136"/>
    </row>
    <row r="44380" spans="1:2" x14ac:dyDescent="0.25">
      <c r="A44380" s="118"/>
      <c r="B44380" s="136"/>
    </row>
    <row r="44381" spans="1:2" x14ac:dyDescent="0.25">
      <c r="A44381" s="118"/>
      <c r="B44381" s="136"/>
    </row>
    <row r="44382" spans="1:2" x14ac:dyDescent="0.25">
      <c r="A44382" s="118"/>
      <c r="B44382" s="136"/>
    </row>
    <row r="44383" spans="1:2" x14ac:dyDescent="0.25">
      <c r="A44383" s="118"/>
      <c r="B44383" s="136"/>
    </row>
    <row r="44384" spans="1:2" x14ac:dyDescent="0.25">
      <c r="A44384" s="118"/>
      <c r="B44384" s="136"/>
    </row>
    <row r="44385" spans="1:2" x14ac:dyDescent="0.25">
      <c r="A44385" s="118"/>
      <c r="B44385" s="136"/>
    </row>
    <row r="44386" spans="1:2" x14ac:dyDescent="0.25">
      <c r="A44386" s="118"/>
      <c r="B44386" s="136"/>
    </row>
    <row r="44387" spans="1:2" x14ac:dyDescent="0.25">
      <c r="A44387" s="118"/>
      <c r="B44387" s="136"/>
    </row>
    <row r="44388" spans="1:2" x14ac:dyDescent="0.25">
      <c r="A44388" s="118"/>
      <c r="B44388" s="136"/>
    </row>
    <row r="44389" spans="1:2" x14ac:dyDescent="0.25">
      <c r="A44389" s="118"/>
      <c r="B44389" s="136"/>
    </row>
    <row r="44390" spans="1:2" x14ac:dyDescent="0.25">
      <c r="A44390" s="118"/>
      <c r="B44390" s="136"/>
    </row>
    <row r="44391" spans="1:2" x14ac:dyDescent="0.25">
      <c r="A44391" s="118"/>
      <c r="B44391" s="136"/>
    </row>
    <row r="44392" spans="1:2" x14ac:dyDescent="0.25">
      <c r="A44392" s="118"/>
      <c r="B44392" s="136"/>
    </row>
    <row r="44393" spans="1:2" x14ac:dyDescent="0.25">
      <c r="A44393" s="118"/>
      <c r="B44393" s="136"/>
    </row>
    <row r="44394" spans="1:2" x14ac:dyDescent="0.25">
      <c r="A44394" s="118"/>
      <c r="B44394" s="136"/>
    </row>
    <row r="44395" spans="1:2" x14ac:dyDescent="0.25">
      <c r="A44395" s="118"/>
      <c r="B44395" s="136"/>
    </row>
    <row r="44396" spans="1:2" x14ac:dyDescent="0.25">
      <c r="A44396" s="118"/>
      <c r="B44396" s="136"/>
    </row>
    <row r="44397" spans="1:2" x14ac:dyDescent="0.25">
      <c r="A44397" s="118"/>
      <c r="B44397" s="136"/>
    </row>
    <row r="44398" spans="1:2" x14ac:dyDescent="0.25">
      <c r="A44398" s="118"/>
      <c r="B44398" s="136"/>
    </row>
    <row r="44399" spans="1:2" x14ac:dyDescent="0.25">
      <c r="A44399" s="118"/>
      <c r="B44399" s="136"/>
    </row>
    <row r="44400" spans="1:2" x14ac:dyDescent="0.25">
      <c r="A44400" s="118"/>
      <c r="B44400" s="136"/>
    </row>
    <row r="44401" spans="1:2" x14ac:dyDescent="0.25">
      <c r="A44401" s="118"/>
      <c r="B44401" s="136"/>
    </row>
    <row r="44402" spans="1:2" x14ac:dyDescent="0.25">
      <c r="A44402" s="118"/>
      <c r="B44402" s="136"/>
    </row>
    <row r="44403" spans="1:2" x14ac:dyDescent="0.25">
      <c r="A44403" s="118"/>
      <c r="B44403" s="136"/>
    </row>
    <row r="44404" spans="1:2" x14ac:dyDescent="0.25">
      <c r="A44404" s="118"/>
      <c r="B44404" s="136"/>
    </row>
    <row r="44405" spans="1:2" x14ac:dyDescent="0.25">
      <c r="A44405" s="118"/>
      <c r="B44405" s="136"/>
    </row>
    <row r="44406" spans="1:2" x14ac:dyDescent="0.25">
      <c r="A44406" s="118"/>
      <c r="B44406" s="136"/>
    </row>
    <row r="44407" spans="1:2" x14ac:dyDescent="0.25">
      <c r="A44407" s="118"/>
      <c r="B44407" s="136"/>
    </row>
    <row r="44408" spans="1:2" x14ac:dyDescent="0.25">
      <c r="A44408" s="118"/>
      <c r="B44408" s="136"/>
    </row>
    <row r="44409" spans="1:2" x14ac:dyDescent="0.25">
      <c r="A44409" s="118"/>
      <c r="B44409" s="136"/>
    </row>
    <row r="44410" spans="1:2" x14ac:dyDescent="0.25">
      <c r="A44410" s="118"/>
      <c r="B44410" s="136"/>
    </row>
    <row r="44411" spans="1:2" x14ac:dyDescent="0.25">
      <c r="A44411" s="118"/>
      <c r="B44411" s="136"/>
    </row>
    <row r="44412" spans="1:2" x14ac:dyDescent="0.25">
      <c r="A44412" s="118"/>
      <c r="B44412" s="136"/>
    </row>
    <row r="44413" spans="1:2" x14ac:dyDescent="0.25">
      <c r="A44413" s="118"/>
      <c r="B44413" s="136"/>
    </row>
    <row r="44414" spans="1:2" x14ac:dyDescent="0.25">
      <c r="A44414" s="118"/>
      <c r="B44414" s="136"/>
    </row>
    <row r="44415" spans="1:2" x14ac:dyDescent="0.25">
      <c r="A44415" s="118"/>
      <c r="B44415" s="136"/>
    </row>
    <row r="44416" spans="1:2" x14ac:dyDescent="0.25">
      <c r="A44416" s="118"/>
      <c r="B44416" s="136"/>
    </row>
    <row r="44417" spans="1:2" x14ac:dyDescent="0.25">
      <c r="A44417" s="118"/>
      <c r="B44417" s="136"/>
    </row>
    <row r="44418" spans="1:2" x14ac:dyDescent="0.25">
      <c r="A44418" s="118"/>
      <c r="B44418" s="136"/>
    </row>
    <row r="44419" spans="1:2" x14ac:dyDescent="0.25">
      <c r="A44419" s="118"/>
      <c r="B44419" s="136"/>
    </row>
    <row r="44420" spans="1:2" x14ac:dyDescent="0.25">
      <c r="A44420" s="118"/>
      <c r="B44420" s="136"/>
    </row>
    <row r="44421" spans="1:2" x14ac:dyDescent="0.25">
      <c r="A44421" s="118"/>
      <c r="B44421" s="136"/>
    </row>
    <row r="44422" spans="1:2" x14ac:dyDescent="0.25">
      <c r="A44422" s="118"/>
      <c r="B44422" s="136"/>
    </row>
    <row r="44423" spans="1:2" x14ac:dyDescent="0.25">
      <c r="A44423" s="118"/>
      <c r="B44423" s="136"/>
    </row>
    <row r="44424" spans="1:2" x14ac:dyDescent="0.25">
      <c r="A44424" s="118"/>
      <c r="B44424" s="136"/>
    </row>
    <row r="44425" spans="1:2" x14ac:dyDescent="0.25">
      <c r="A44425" s="118"/>
      <c r="B44425" s="136"/>
    </row>
    <row r="44426" spans="1:2" x14ac:dyDescent="0.25">
      <c r="A44426" s="118"/>
      <c r="B44426" s="136"/>
    </row>
    <row r="44427" spans="1:2" x14ac:dyDescent="0.25">
      <c r="A44427" s="118"/>
      <c r="B44427" s="136"/>
    </row>
    <row r="44428" spans="1:2" x14ac:dyDescent="0.25">
      <c r="A44428" s="118"/>
      <c r="B44428" s="136"/>
    </row>
    <row r="44429" spans="1:2" x14ac:dyDescent="0.25">
      <c r="A44429" s="118"/>
      <c r="B44429" s="136"/>
    </row>
    <row r="44430" spans="1:2" x14ac:dyDescent="0.25">
      <c r="A44430" s="118"/>
      <c r="B44430" s="136"/>
    </row>
    <row r="44431" spans="1:2" x14ac:dyDescent="0.25">
      <c r="A44431" s="118"/>
      <c r="B44431" s="136"/>
    </row>
    <row r="44432" spans="1:2" x14ac:dyDescent="0.25">
      <c r="A44432" s="118"/>
      <c r="B44432" s="136"/>
    </row>
    <row r="44433" spans="1:2" x14ac:dyDescent="0.25">
      <c r="A44433" s="118"/>
      <c r="B44433" s="136"/>
    </row>
    <row r="44434" spans="1:2" x14ac:dyDescent="0.25">
      <c r="A44434" s="118"/>
      <c r="B44434" s="136"/>
    </row>
    <row r="44435" spans="1:2" x14ac:dyDescent="0.25">
      <c r="A44435" s="118"/>
      <c r="B44435" s="136"/>
    </row>
    <row r="44436" spans="1:2" x14ac:dyDescent="0.25">
      <c r="A44436" s="118"/>
      <c r="B44436" s="136"/>
    </row>
    <row r="44437" spans="1:2" x14ac:dyDescent="0.25">
      <c r="A44437" s="118"/>
      <c r="B44437" s="136"/>
    </row>
    <row r="44438" spans="1:2" x14ac:dyDescent="0.25">
      <c r="A44438" s="118"/>
      <c r="B44438" s="136"/>
    </row>
    <row r="44439" spans="1:2" x14ac:dyDescent="0.25">
      <c r="A44439" s="118"/>
      <c r="B44439" s="136"/>
    </row>
    <row r="44440" spans="1:2" x14ac:dyDescent="0.25">
      <c r="A44440" s="118"/>
      <c r="B44440" s="136"/>
    </row>
    <row r="44441" spans="1:2" x14ac:dyDescent="0.25">
      <c r="A44441" s="118"/>
      <c r="B44441" s="136"/>
    </row>
    <row r="44442" spans="1:2" x14ac:dyDescent="0.25">
      <c r="A44442" s="118"/>
      <c r="B44442" s="136"/>
    </row>
    <row r="44443" spans="1:2" x14ac:dyDescent="0.25">
      <c r="A44443" s="118"/>
      <c r="B44443" s="136"/>
    </row>
    <row r="44444" spans="1:2" x14ac:dyDescent="0.25">
      <c r="A44444" s="118"/>
      <c r="B44444" s="136"/>
    </row>
    <row r="44445" spans="1:2" x14ac:dyDescent="0.25">
      <c r="A44445" s="118"/>
      <c r="B44445" s="136"/>
    </row>
    <row r="44446" spans="1:2" x14ac:dyDescent="0.25">
      <c r="A44446" s="118"/>
      <c r="B44446" s="136"/>
    </row>
    <row r="44447" spans="1:2" x14ac:dyDescent="0.25">
      <c r="A44447" s="118"/>
      <c r="B44447" s="136"/>
    </row>
    <row r="44448" spans="1:2" x14ac:dyDescent="0.25">
      <c r="A44448" s="118"/>
      <c r="B44448" s="136"/>
    </row>
    <row r="44449" spans="1:2" x14ac:dyDescent="0.25">
      <c r="A44449" s="118"/>
      <c r="B44449" s="136"/>
    </row>
    <row r="44450" spans="1:2" x14ac:dyDescent="0.25">
      <c r="A44450" s="118"/>
      <c r="B44450" s="136"/>
    </row>
    <row r="44451" spans="1:2" x14ac:dyDescent="0.25">
      <c r="A44451" s="118"/>
      <c r="B44451" s="136"/>
    </row>
    <row r="44452" spans="1:2" x14ac:dyDescent="0.25">
      <c r="A44452" s="118"/>
      <c r="B44452" s="136"/>
    </row>
    <row r="44453" spans="1:2" x14ac:dyDescent="0.25">
      <c r="A44453" s="118"/>
      <c r="B44453" s="136"/>
    </row>
    <row r="44454" spans="1:2" x14ac:dyDescent="0.25">
      <c r="A44454" s="118"/>
      <c r="B44454" s="136"/>
    </row>
    <row r="44455" spans="1:2" x14ac:dyDescent="0.25">
      <c r="A44455" s="118"/>
      <c r="B44455" s="136"/>
    </row>
    <row r="44456" spans="1:2" x14ac:dyDescent="0.25">
      <c r="A44456" s="118"/>
      <c r="B44456" s="136"/>
    </row>
    <row r="44457" spans="1:2" x14ac:dyDescent="0.25">
      <c r="A44457" s="118"/>
      <c r="B44457" s="136"/>
    </row>
    <row r="44458" spans="1:2" x14ac:dyDescent="0.25">
      <c r="A44458" s="118"/>
      <c r="B44458" s="136"/>
    </row>
    <row r="44459" spans="1:2" x14ac:dyDescent="0.25">
      <c r="A44459" s="118"/>
      <c r="B44459" s="136"/>
    </row>
    <row r="44460" spans="1:2" x14ac:dyDescent="0.25">
      <c r="A44460" s="118"/>
      <c r="B44460" s="136"/>
    </row>
    <row r="44461" spans="1:2" x14ac:dyDescent="0.25">
      <c r="A44461" s="118"/>
      <c r="B44461" s="136"/>
    </row>
    <row r="44462" spans="1:2" x14ac:dyDescent="0.25">
      <c r="A44462" s="118"/>
      <c r="B44462" s="136"/>
    </row>
    <row r="44463" spans="1:2" x14ac:dyDescent="0.25">
      <c r="A44463" s="118"/>
      <c r="B44463" s="136"/>
    </row>
    <row r="44464" spans="1:2" x14ac:dyDescent="0.25">
      <c r="A44464" s="118"/>
      <c r="B44464" s="136"/>
    </row>
    <row r="44465" spans="1:2" x14ac:dyDescent="0.25">
      <c r="A44465" s="118"/>
      <c r="B44465" s="136"/>
    </row>
    <row r="44466" spans="1:2" x14ac:dyDescent="0.25">
      <c r="A44466" s="118"/>
      <c r="B44466" s="136"/>
    </row>
    <row r="44467" spans="1:2" x14ac:dyDescent="0.25">
      <c r="A44467" s="118"/>
      <c r="B44467" s="136"/>
    </row>
    <row r="44468" spans="1:2" x14ac:dyDescent="0.25">
      <c r="A44468" s="118"/>
      <c r="B44468" s="136"/>
    </row>
    <row r="44469" spans="1:2" x14ac:dyDescent="0.25">
      <c r="A44469" s="118"/>
      <c r="B44469" s="136"/>
    </row>
    <row r="44470" spans="1:2" x14ac:dyDescent="0.25">
      <c r="A44470" s="118"/>
      <c r="B44470" s="136"/>
    </row>
    <row r="44471" spans="1:2" x14ac:dyDescent="0.25">
      <c r="A44471" s="118"/>
      <c r="B44471" s="136"/>
    </row>
    <row r="44472" spans="1:2" x14ac:dyDescent="0.25">
      <c r="A44472" s="118"/>
      <c r="B44472" s="136"/>
    </row>
    <row r="44473" spans="1:2" x14ac:dyDescent="0.25">
      <c r="A44473" s="118"/>
      <c r="B44473" s="136"/>
    </row>
    <row r="44474" spans="1:2" x14ac:dyDescent="0.25">
      <c r="A44474" s="118"/>
      <c r="B44474" s="136"/>
    </row>
    <row r="44475" spans="1:2" x14ac:dyDescent="0.25">
      <c r="A44475" s="118"/>
      <c r="B44475" s="136"/>
    </row>
    <row r="44476" spans="1:2" x14ac:dyDescent="0.25">
      <c r="A44476" s="118"/>
      <c r="B44476" s="136"/>
    </row>
    <row r="44477" spans="1:2" x14ac:dyDescent="0.25">
      <c r="A44477" s="118"/>
      <c r="B44477" s="136"/>
    </row>
    <row r="44478" spans="1:2" x14ac:dyDescent="0.25">
      <c r="A44478" s="118"/>
      <c r="B44478" s="136"/>
    </row>
    <row r="44479" spans="1:2" x14ac:dyDescent="0.25">
      <c r="A44479" s="118"/>
      <c r="B44479" s="136"/>
    </row>
    <row r="44480" spans="1:2" x14ac:dyDescent="0.25">
      <c r="A44480" s="118"/>
      <c r="B44480" s="136"/>
    </row>
    <row r="44481" spans="1:2" x14ac:dyDescent="0.25">
      <c r="A44481" s="118"/>
      <c r="B44481" s="136"/>
    </row>
    <row r="44482" spans="1:2" x14ac:dyDescent="0.25">
      <c r="A44482" s="118"/>
      <c r="B44482" s="136"/>
    </row>
    <row r="44483" spans="1:2" x14ac:dyDescent="0.25">
      <c r="A44483" s="118"/>
      <c r="B44483" s="136"/>
    </row>
    <row r="44484" spans="1:2" x14ac:dyDescent="0.25">
      <c r="A44484" s="118"/>
      <c r="B44484" s="136"/>
    </row>
    <row r="44485" spans="1:2" x14ac:dyDescent="0.25">
      <c r="A44485" s="118"/>
      <c r="B44485" s="136"/>
    </row>
    <row r="44486" spans="1:2" x14ac:dyDescent="0.25">
      <c r="A44486" s="118"/>
      <c r="B44486" s="136"/>
    </row>
    <row r="44487" spans="1:2" x14ac:dyDescent="0.25">
      <c r="A44487" s="118"/>
      <c r="B44487" s="136"/>
    </row>
    <row r="44488" spans="1:2" x14ac:dyDescent="0.25">
      <c r="A44488" s="118"/>
      <c r="B44488" s="136"/>
    </row>
    <row r="44489" spans="1:2" x14ac:dyDescent="0.25">
      <c r="A44489" s="118"/>
      <c r="B44489" s="136"/>
    </row>
    <row r="44490" spans="1:2" x14ac:dyDescent="0.25">
      <c r="A44490" s="118"/>
      <c r="B44490" s="136"/>
    </row>
    <row r="44491" spans="1:2" x14ac:dyDescent="0.25">
      <c r="A44491" s="118"/>
      <c r="B44491" s="136"/>
    </row>
    <row r="44492" spans="1:2" x14ac:dyDescent="0.25">
      <c r="A44492" s="118"/>
      <c r="B44492" s="136"/>
    </row>
    <row r="44493" spans="1:2" x14ac:dyDescent="0.25">
      <c r="A44493" s="118"/>
      <c r="B44493" s="136"/>
    </row>
    <row r="44494" spans="1:2" x14ac:dyDescent="0.25">
      <c r="A44494" s="118"/>
      <c r="B44494" s="136"/>
    </row>
    <row r="44495" spans="1:2" x14ac:dyDescent="0.25">
      <c r="A44495" s="118"/>
      <c r="B44495" s="136"/>
    </row>
    <row r="44496" spans="1:2" x14ac:dyDescent="0.25">
      <c r="A44496" s="118"/>
      <c r="B44496" s="136"/>
    </row>
    <row r="44497" spans="1:2" x14ac:dyDescent="0.25">
      <c r="A44497" s="118"/>
      <c r="B44497" s="136"/>
    </row>
    <row r="44498" spans="1:2" x14ac:dyDescent="0.25">
      <c r="A44498" s="118"/>
      <c r="B44498" s="136"/>
    </row>
    <row r="44499" spans="1:2" x14ac:dyDescent="0.25">
      <c r="A44499" s="118"/>
      <c r="B44499" s="136"/>
    </row>
    <row r="44500" spans="1:2" x14ac:dyDescent="0.25">
      <c r="A44500" s="118"/>
      <c r="B44500" s="136"/>
    </row>
    <row r="44501" spans="1:2" x14ac:dyDescent="0.25">
      <c r="A44501" s="118"/>
      <c r="B44501" s="136"/>
    </row>
    <row r="44502" spans="1:2" x14ac:dyDescent="0.25">
      <c r="A44502" s="118"/>
      <c r="B44502" s="136"/>
    </row>
    <row r="44503" spans="1:2" x14ac:dyDescent="0.25">
      <c r="A44503" s="118"/>
      <c r="B44503" s="136"/>
    </row>
    <row r="44504" spans="1:2" x14ac:dyDescent="0.25">
      <c r="A44504" s="118"/>
      <c r="B44504" s="136"/>
    </row>
    <row r="44505" spans="1:2" x14ac:dyDescent="0.25">
      <c r="A44505" s="118"/>
      <c r="B44505" s="136"/>
    </row>
    <row r="44506" spans="1:2" x14ac:dyDescent="0.25">
      <c r="A44506" s="118"/>
      <c r="B44506" s="136"/>
    </row>
    <row r="44507" spans="1:2" x14ac:dyDescent="0.25">
      <c r="A44507" s="118"/>
      <c r="B44507" s="136"/>
    </row>
    <row r="44508" spans="1:2" x14ac:dyDescent="0.25">
      <c r="A44508" s="118"/>
      <c r="B44508" s="136"/>
    </row>
    <row r="44509" spans="1:2" x14ac:dyDescent="0.25">
      <c r="A44509" s="118"/>
      <c r="B44509" s="136"/>
    </row>
    <row r="44510" spans="1:2" x14ac:dyDescent="0.25">
      <c r="A44510" s="118"/>
      <c r="B44510" s="136"/>
    </row>
    <row r="44511" spans="1:2" x14ac:dyDescent="0.25">
      <c r="A44511" s="118"/>
      <c r="B44511" s="136"/>
    </row>
    <row r="44512" spans="1:2" x14ac:dyDescent="0.25">
      <c r="A44512" s="118"/>
      <c r="B44512" s="136"/>
    </row>
    <row r="44513" spans="1:2" x14ac:dyDescent="0.25">
      <c r="A44513" s="118"/>
      <c r="B44513" s="136"/>
    </row>
    <row r="44514" spans="1:2" x14ac:dyDescent="0.25">
      <c r="A44514" s="118"/>
      <c r="B44514" s="136"/>
    </row>
    <row r="44515" spans="1:2" x14ac:dyDescent="0.25">
      <c r="A44515" s="118"/>
      <c r="B44515" s="136"/>
    </row>
    <row r="44516" spans="1:2" x14ac:dyDescent="0.25">
      <c r="A44516" s="118"/>
      <c r="B44516" s="136"/>
    </row>
    <row r="44517" spans="1:2" x14ac:dyDescent="0.25">
      <c r="A44517" s="118"/>
      <c r="B44517" s="136"/>
    </row>
    <row r="44518" spans="1:2" x14ac:dyDescent="0.25">
      <c r="A44518" s="118"/>
      <c r="B44518" s="136"/>
    </row>
    <row r="44519" spans="1:2" x14ac:dyDescent="0.25">
      <c r="A44519" s="118"/>
      <c r="B44519" s="136"/>
    </row>
    <row r="44520" spans="1:2" x14ac:dyDescent="0.25">
      <c r="A44520" s="118"/>
      <c r="B44520" s="136"/>
    </row>
    <row r="44521" spans="1:2" x14ac:dyDescent="0.25">
      <c r="A44521" s="118"/>
      <c r="B44521" s="136"/>
    </row>
    <row r="44522" spans="1:2" x14ac:dyDescent="0.25">
      <c r="A44522" s="118"/>
      <c r="B44522" s="136"/>
    </row>
    <row r="44523" spans="1:2" x14ac:dyDescent="0.25">
      <c r="A44523" s="118"/>
      <c r="B44523" s="136"/>
    </row>
    <row r="44524" spans="1:2" x14ac:dyDescent="0.25">
      <c r="A44524" s="118"/>
      <c r="B44524" s="136"/>
    </row>
    <row r="44525" spans="1:2" x14ac:dyDescent="0.25">
      <c r="A44525" s="118"/>
      <c r="B44525" s="136"/>
    </row>
    <row r="44526" spans="1:2" x14ac:dyDescent="0.25">
      <c r="A44526" s="118"/>
      <c r="B44526" s="136"/>
    </row>
    <row r="44527" spans="1:2" x14ac:dyDescent="0.25">
      <c r="A44527" s="118"/>
      <c r="B44527" s="136"/>
    </row>
    <row r="44528" spans="1:2" x14ac:dyDescent="0.25">
      <c r="A44528" s="118"/>
      <c r="B44528" s="136"/>
    </row>
    <row r="44529" spans="1:2" x14ac:dyDescent="0.25">
      <c r="A44529" s="118"/>
      <c r="B44529" s="136"/>
    </row>
    <row r="44530" spans="1:2" x14ac:dyDescent="0.25">
      <c r="A44530" s="118"/>
      <c r="B44530" s="136"/>
    </row>
    <row r="44531" spans="1:2" x14ac:dyDescent="0.25">
      <c r="A44531" s="118"/>
      <c r="B44531" s="136"/>
    </row>
    <row r="44532" spans="1:2" x14ac:dyDescent="0.25">
      <c r="A44532" s="118"/>
      <c r="B44532" s="136"/>
    </row>
    <row r="44533" spans="1:2" x14ac:dyDescent="0.25">
      <c r="A44533" s="118"/>
      <c r="B44533" s="136"/>
    </row>
    <row r="44534" spans="1:2" x14ac:dyDescent="0.25">
      <c r="A44534" s="118"/>
      <c r="B44534" s="136"/>
    </row>
    <row r="44535" spans="1:2" x14ac:dyDescent="0.25">
      <c r="A44535" s="118"/>
      <c r="B44535" s="136"/>
    </row>
    <row r="44536" spans="1:2" x14ac:dyDescent="0.25">
      <c r="A44536" s="118"/>
      <c r="B44536" s="136"/>
    </row>
    <row r="44537" spans="1:2" x14ac:dyDescent="0.25">
      <c r="A44537" s="118"/>
      <c r="B44537" s="136"/>
    </row>
    <row r="44538" spans="1:2" x14ac:dyDescent="0.25">
      <c r="A44538" s="118"/>
      <c r="B44538" s="136"/>
    </row>
    <row r="44539" spans="1:2" x14ac:dyDescent="0.25">
      <c r="A44539" s="118"/>
      <c r="B44539" s="136"/>
    </row>
    <row r="44540" spans="1:2" x14ac:dyDescent="0.25">
      <c r="A44540" s="118"/>
      <c r="B44540" s="136"/>
    </row>
    <row r="44541" spans="1:2" x14ac:dyDescent="0.25">
      <c r="A44541" s="118"/>
      <c r="B44541" s="136"/>
    </row>
    <row r="44542" spans="1:2" x14ac:dyDescent="0.25">
      <c r="A44542" s="118"/>
      <c r="B44542" s="136"/>
    </row>
    <row r="44543" spans="1:2" x14ac:dyDescent="0.25">
      <c r="A44543" s="118"/>
      <c r="B44543" s="136"/>
    </row>
    <row r="44544" spans="1:2" x14ac:dyDescent="0.25">
      <c r="A44544" s="118"/>
      <c r="B44544" s="136"/>
    </row>
    <row r="44545" spans="1:2" x14ac:dyDescent="0.25">
      <c r="A44545" s="118"/>
      <c r="B44545" s="136"/>
    </row>
    <row r="44546" spans="1:2" x14ac:dyDescent="0.25">
      <c r="A44546" s="118"/>
      <c r="B44546" s="136"/>
    </row>
    <row r="44547" spans="1:2" x14ac:dyDescent="0.25">
      <c r="A44547" s="118"/>
      <c r="B44547" s="136"/>
    </row>
    <row r="44548" spans="1:2" x14ac:dyDescent="0.25">
      <c r="A44548" s="118"/>
      <c r="B44548" s="136"/>
    </row>
    <row r="44549" spans="1:2" x14ac:dyDescent="0.25">
      <c r="A44549" s="118"/>
      <c r="B44549" s="136"/>
    </row>
    <row r="44550" spans="1:2" x14ac:dyDescent="0.25">
      <c r="A44550" s="118"/>
      <c r="B44550" s="136"/>
    </row>
    <row r="44551" spans="1:2" x14ac:dyDescent="0.25">
      <c r="A44551" s="118"/>
      <c r="B44551" s="136"/>
    </row>
    <row r="44552" spans="1:2" x14ac:dyDescent="0.25">
      <c r="A44552" s="118"/>
      <c r="B44552" s="136"/>
    </row>
    <row r="44553" spans="1:2" x14ac:dyDescent="0.25">
      <c r="A44553" s="118"/>
      <c r="B44553" s="136"/>
    </row>
    <row r="44554" spans="1:2" x14ac:dyDescent="0.25">
      <c r="A44554" s="118"/>
      <c r="B44554" s="136"/>
    </row>
    <row r="44555" spans="1:2" x14ac:dyDescent="0.25">
      <c r="A44555" s="118"/>
      <c r="B44555" s="136"/>
    </row>
    <row r="44556" spans="1:2" x14ac:dyDescent="0.25">
      <c r="A44556" s="118"/>
      <c r="B44556" s="136"/>
    </row>
    <row r="44557" spans="1:2" x14ac:dyDescent="0.25">
      <c r="A44557" s="118"/>
      <c r="B44557" s="136"/>
    </row>
    <row r="44558" spans="1:2" x14ac:dyDescent="0.25">
      <c r="A44558" s="118"/>
      <c r="B44558" s="136"/>
    </row>
    <row r="44559" spans="1:2" x14ac:dyDescent="0.25">
      <c r="A44559" s="118"/>
      <c r="B44559" s="136"/>
    </row>
    <row r="44560" spans="1:2" x14ac:dyDescent="0.25">
      <c r="A44560" s="118"/>
      <c r="B44560" s="136"/>
    </row>
    <row r="44561" spans="1:2" x14ac:dyDescent="0.25">
      <c r="A44561" s="118"/>
      <c r="B44561" s="136"/>
    </row>
    <row r="44562" spans="1:2" x14ac:dyDescent="0.25">
      <c r="A44562" s="118"/>
      <c r="B44562" s="136"/>
    </row>
    <row r="44563" spans="1:2" x14ac:dyDescent="0.25">
      <c r="A44563" s="118"/>
      <c r="B44563" s="136"/>
    </row>
    <row r="44564" spans="1:2" x14ac:dyDescent="0.25">
      <c r="A44564" s="118"/>
      <c r="B44564" s="136"/>
    </row>
    <row r="44565" spans="1:2" x14ac:dyDescent="0.25">
      <c r="A44565" s="118"/>
      <c r="B44565" s="136"/>
    </row>
    <row r="44566" spans="1:2" x14ac:dyDescent="0.25">
      <c r="A44566" s="118"/>
      <c r="B44566" s="136"/>
    </row>
    <row r="44567" spans="1:2" x14ac:dyDescent="0.25">
      <c r="A44567" s="118"/>
      <c r="B44567" s="136"/>
    </row>
    <row r="44568" spans="1:2" x14ac:dyDescent="0.25">
      <c r="A44568" s="118"/>
      <c r="B44568" s="136"/>
    </row>
    <row r="44569" spans="1:2" x14ac:dyDescent="0.25">
      <c r="A44569" s="118"/>
      <c r="B44569" s="136"/>
    </row>
    <row r="44570" spans="1:2" x14ac:dyDescent="0.25">
      <c r="A44570" s="118"/>
      <c r="B44570" s="136"/>
    </row>
    <row r="44571" spans="1:2" x14ac:dyDescent="0.25">
      <c r="A44571" s="118"/>
      <c r="B44571" s="136"/>
    </row>
    <row r="44572" spans="1:2" x14ac:dyDescent="0.25">
      <c r="A44572" s="118"/>
      <c r="B44572" s="136"/>
    </row>
    <row r="44573" spans="1:2" x14ac:dyDescent="0.25">
      <c r="A44573" s="118"/>
      <c r="B44573" s="136"/>
    </row>
    <row r="44574" spans="1:2" x14ac:dyDescent="0.25">
      <c r="A44574" s="118"/>
      <c r="B44574" s="136"/>
    </row>
    <row r="44575" spans="1:2" x14ac:dyDescent="0.25">
      <c r="A44575" s="118"/>
      <c r="B44575" s="136"/>
    </row>
    <row r="44576" spans="1:2" x14ac:dyDescent="0.25">
      <c r="A44576" s="118"/>
      <c r="B44576" s="136"/>
    </row>
    <row r="44577" spans="1:2" x14ac:dyDescent="0.25">
      <c r="A44577" s="118"/>
      <c r="B44577" s="136"/>
    </row>
    <row r="44578" spans="1:2" x14ac:dyDescent="0.25">
      <c r="A44578" s="118"/>
      <c r="B44578" s="136"/>
    </row>
    <row r="44579" spans="1:2" x14ac:dyDescent="0.25">
      <c r="A44579" s="118"/>
      <c r="B44579" s="136"/>
    </row>
    <row r="44580" spans="1:2" x14ac:dyDescent="0.25">
      <c r="A44580" s="118"/>
      <c r="B44580" s="136"/>
    </row>
    <row r="44581" spans="1:2" x14ac:dyDescent="0.25">
      <c r="A44581" s="118"/>
      <c r="B44581" s="136"/>
    </row>
    <row r="44582" spans="1:2" x14ac:dyDescent="0.25">
      <c r="A44582" s="118"/>
      <c r="B44582" s="136"/>
    </row>
    <row r="44583" spans="1:2" x14ac:dyDescent="0.25">
      <c r="A44583" s="118"/>
      <c r="B44583" s="136"/>
    </row>
    <row r="44584" spans="1:2" x14ac:dyDescent="0.25">
      <c r="A44584" s="118"/>
      <c r="B44584" s="136"/>
    </row>
    <row r="44585" spans="1:2" x14ac:dyDescent="0.25">
      <c r="A44585" s="118"/>
      <c r="B44585" s="136"/>
    </row>
    <row r="44586" spans="1:2" x14ac:dyDescent="0.25">
      <c r="A44586" s="118"/>
      <c r="B44586" s="136"/>
    </row>
    <row r="44587" spans="1:2" x14ac:dyDescent="0.25">
      <c r="A44587" s="118"/>
      <c r="B44587" s="136"/>
    </row>
    <row r="44588" spans="1:2" x14ac:dyDescent="0.25">
      <c r="A44588" s="118"/>
      <c r="B44588" s="136"/>
    </row>
    <row r="44589" spans="1:2" x14ac:dyDescent="0.25">
      <c r="A44589" s="118"/>
      <c r="B44589" s="136"/>
    </row>
    <row r="44590" spans="1:2" x14ac:dyDescent="0.25">
      <c r="A44590" s="118"/>
      <c r="B44590" s="136"/>
    </row>
    <row r="44591" spans="1:2" x14ac:dyDescent="0.25">
      <c r="A44591" s="118"/>
      <c r="B44591" s="136"/>
    </row>
    <row r="44592" spans="1:2" x14ac:dyDescent="0.25">
      <c r="A44592" s="118"/>
      <c r="B44592" s="136"/>
    </row>
    <row r="44593" spans="1:2" x14ac:dyDescent="0.25">
      <c r="A44593" s="118"/>
      <c r="B44593" s="136"/>
    </row>
    <row r="44594" spans="1:2" x14ac:dyDescent="0.25">
      <c r="A44594" s="118"/>
      <c r="B44594" s="136"/>
    </row>
    <row r="44595" spans="1:2" x14ac:dyDescent="0.25">
      <c r="A44595" s="118"/>
      <c r="B44595" s="136"/>
    </row>
    <row r="44596" spans="1:2" x14ac:dyDescent="0.25">
      <c r="A44596" s="118"/>
      <c r="B44596" s="136"/>
    </row>
    <row r="44597" spans="1:2" x14ac:dyDescent="0.25">
      <c r="A44597" s="118"/>
      <c r="B44597" s="136"/>
    </row>
    <row r="44598" spans="1:2" x14ac:dyDescent="0.25">
      <c r="A44598" s="118"/>
      <c r="B44598" s="136"/>
    </row>
    <row r="44599" spans="1:2" x14ac:dyDescent="0.25">
      <c r="A44599" s="118"/>
      <c r="B44599" s="136"/>
    </row>
    <row r="44600" spans="1:2" x14ac:dyDescent="0.25">
      <c r="A44600" s="118"/>
      <c r="B44600" s="136"/>
    </row>
    <row r="44601" spans="1:2" x14ac:dyDescent="0.25">
      <c r="A44601" s="118"/>
      <c r="B44601" s="136"/>
    </row>
    <row r="44602" spans="1:2" x14ac:dyDescent="0.25">
      <c r="A44602" s="118"/>
      <c r="B44602" s="136"/>
    </row>
    <row r="44603" spans="1:2" x14ac:dyDescent="0.25">
      <c r="A44603" s="118"/>
      <c r="B44603" s="136"/>
    </row>
    <row r="44604" spans="1:2" x14ac:dyDescent="0.25">
      <c r="A44604" s="118"/>
      <c r="B44604" s="136"/>
    </row>
    <row r="44605" spans="1:2" x14ac:dyDescent="0.25">
      <c r="A44605" s="118"/>
      <c r="B44605" s="136"/>
    </row>
    <row r="44606" spans="1:2" x14ac:dyDescent="0.25">
      <c r="A44606" s="118"/>
      <c r="B44606" s="136"/>
    </row>
    <row r="44607" spans="1:2" x14ac:dyDescent="0.25">
      <c r="A44607" s="118"/>
      <c r="B44607" s="136"/>
    </row>
    <row r="44608" spans="1:2" x14ac:dyDescent="0.25">
      <c r="A44608" s="118"/>
      <c r="B44608" s="136"/>
    </row>
    <row r="44609" spans="1:2" x14ac:dyDescent="0.25">
      <c r="A44609" s="118"/>
      <c r="B44609" s="136"/>
    </row>
    <row r="44610" spans="1:2" x14ac:dyDescent="0.25">
      <c r="A44610" s="118"/>
      <c r="B44610" s="136"/>
    </row>
    <row r="44611" spans="1:2" x14ac:dyDescent="0.25">
      <c r="A44611" s="118"/>
      <c r="B44611" s="136"/>
    </row>
    <row r="44612" spans="1:2" x14ac:dyDescent="0.25">
      <c r="A44612" s="118"/>
      <c r="B44612" s="136"/>
    </row>
    <row r="44613" spans="1:2" x14ac:dyDescent="0.25">
      <c r="A44613" s="118"/>
      <c r="B44613" s="136"/>
    </row>
    <row r="44614" spans="1:2" x14ac:dyDescent="0.25">
      <c r="A44614" s="118"/>
      <c r="B44614" s="136"/>
    </row>
    <row r="44615" spans="1:2" x14ac:dyDescent="0.25">
      <c r="A44615" s="118"/>
      <c r="B44615" s="136"/>
    </row>
    <row r="44616" spans="1:2" x14ac:dyDescent="0.25">
      <c r="A44616" s="118"/>
      <c r="B44616" s="136"/>
    </row>
    <row r="44617" spans="1:2" x14ac:dyDescent="0.25">
      <c r="A44617" s="118"/>
      <c r="B44617" s="136"/>
    </row>
    <row r="44618" spans="1:2" x14ac:dyDescent="0.25">
      <c r="A44618" s="118"/>
      <c r="B44618" s="136"/>
    </row>
    <row r="44619" spans="1:2" x14ac:dyDescent="0.25">
      <c r="A44619" s="118"/>
      <c r="B44619" s="136"/>
    </row>
    <row r="44620" spans="1:2" x14ac:dyDescent="0.25">
      <c r="A44620" s="118"/>
      <c r="B44620" s="136"/>
    </row>
    <row r="44621" spans="1:2" x14ac:dyDescent="0.25">
      <c r="A44621" s="118"/>
      <c r="B44621" s="136"/>
    </row>
    <row r="44622" spans="1:2" x14ac:dyDescent="0.25">
      <c r="A44622" s="118"/>
      <c r="B44622" s="136"/>
    </row>
    <row r="44623" spans="1:2" x14ac:dyDescent="0.25">
      <c r="A44623" s="118"/>
      <c r="B44623" s="136"/>
    </row>
    <row r="44624" spans="1:2" x14ac:dyDescent="0.25">
      <c r="A44624" s="118"/>
      <c r="B44624" s="136"/>
    </row>
    <row r="44625" spans="1:2" x14ac:dyDescent="0.25">
      <c r="A44625" s="118"/>
      <c r="B44625" s="136"/>
    </row>
    <row r="44626" spans="1:2" x14ac:dyDescent="0.25">
      <c r="A44626" s="118"/>
      <c r="B44626" s="136"/>
    </row>
    <row r="44627" spans="1:2" x14ac:dyDescent="0.25">
      <c r="A44627" s="118"/>
      <c r="B44627" s="136"/>
    </row>
    <row r="44628" spans="1:2" x14ac:dyDescent="0.25">
      <c r="A44628" s="118"/>
      <c r="B44628" s="136"/>
    </row>
    <row r="44629" spans="1:2" x14ac:dyDescent="0.25">
      <c r="A44629" s="118"/>
      <c r="B44629" s="136"/>
    </row>
    <row r="44630" spans="1:2" x14ac:dyDescent="0.25">
      <c r="A44630" s="118"/>
      <c r="B44630" s="136"/>
    </row>
    <row r="44631" spans="1:2" x14ac:dyDescent="0.25">
      <c r="A44631" s="118"/>
      <c r="B44631" s="136"/>
    </row>
    <row r="44632" spans="1:2" x14ac:dyDescent="0.25">
      <c r="A44632" s="118"/>
      <c r="B44632" s="136"/>
    </row>
    <row r="44633" spans="1:2" x14ac:dyDescent="0.25">
      <c r="A44633" s="118"/>
      <c r="B44633" s="136"/>
    </row>
    <row r="44634" spans="1:2" x14ac:dyDescent="0.25">
      <c r="A44634" s="118"/>
      <c r="B44634" s="136"/>
    </row>
    <row r="44635" spans="1:2" x14ac:dyDescent="0.25">
      <c r="A44635" s="118"/>
      <c r="B44635" s="136"/>
    </row>
    <row r="44636" spans="1:2" x14ac:dyDescent="0.25">
      <c r="A44636" s="118"/>
      <c r="B44636" s="136"/>
    </row>
    <row r="44637" spans="1:2" x14ac:dyDescent="0.25">
      <c r="A44637" s="118"/>
      <c r="B44637" s="136"/>
    </row>
    <row r="44638" spans="1:2" x14ac:dyDescent="0.25">
      <c r="A44638" s="118"/>
      <c r="B44638" s="136"/>
    </row>
    <row r="44639" spans="1:2" x14ac:dyDescent="0.25">
      <c r="A44639" s="118"/>
      <c r="B44639" s="136"/>
    </row>
    <row r="44640" spans="1:2" x14ac:dyDescent="0.25">
      <c r="A44640" s="118"/>
      <c r="B44640" s="136"/>
    </row>
    <row r="44641" spans="1:2" x14ac:dyDescent="0.25">
      <c r="A44641" s="118"/>
      <c r="B44641" s="136"/>
    </row>
    <row r="44642" spans="1:2" x14ac:dyDescent="0.25">
      <c r="A44642" s="118"/>
      <c r="B44642" s="136"/>
    </row>
    <row r="44643" spans="1:2" x14ac:dyDescent="0.25">
      <c r="A44643" s="118"/>
      <c r="B44643" s="136"/>
    </row>
    <row r="44644" spans="1:2" x14ac:dyDescent="0.25">
      <c r="A44644" s="118"/>
      <c r="B44644" s="136"/>
    </row>
    <row r="44645" spans="1:2" x14ac:dyDescent="0.25">
      <c r="A44645" s="118"/>
      <c r="B44645" s="136"/>
    </row>
    <row r="44646" spans="1:2" x14ac:dyDescent="0.25">
      <c r="A44646" s="118"/>
      <c r="B44646" s="136"/>
    </row>
    <row r="44647" spans="1:2" x14ac:dyDescent="0.25">
      <c r="A44647" s="118"/>
      <c r="B44647" s="136"/>
    </row>
    <row r="44648" spans="1:2" x14ac:dyDescent="0.25">
      <c r="A44648" s="118"/>
      <c r="B44648" s="136"/>
    </row>
    <row r="44649" spans="1:2" x14ac:dyDescent="0.25">
      <c r="A44649" s="118"/>
      <c r="B44649" s="136"/>
    </row>
    <row r="44650" spans="1:2" x14ac:dyDescent="0.25">
      <c r="A44650" s="118"/>
      <c r="B44650" s="136"/>
    </row>
    <row r="44651" spans="1:2" x14ac:dyDescent="0.25">
      <c r="A44651" s="118"/>
      <c r="B44651" s="136"/>
    </row>
    <row r="44652" spans="1:2" x14ac:dyDescent="0.25">
      <c r="A44652" s="118"/>
      <c r="B44652" s="136"/>
    </row>
    <row r="44653" spans="1:2" x14ac:dyDescent="0.25">
      <c r="A44653" s="118"/>
      <c r="B44653" s="136"/>
    </row>
    <row r="44654" spans="1:2" x14ac:dyDescent="0.25">
      <c r="A44654" s="118"/>
      <c r="B44654" s="136"/>
    </row>
    <row r="44655" spans="1:2" x14ac:dyDescent="0.25">
      <c r="A44655" s="118"/>
      <c r="B44655" s="136"/>
    </row>
    <row r="44656" spans="1:2" x14ac:dyDescent="0.25">
      <c r="A44656" s="118"/>
      <c r="B44656" s="136"/>
    </row>
    <row r="44657" spans="1:2" x14ac:dyDescent="0.25">
      <c r="A44657" s="118"/>
      <c r="B44657" s="136"/>
    </row>
    <row r="44658" spans="1:2" x14ac:dyDescent="0.25">
      <c r="A44658" s="118"/>
      <c r="B44658" s="136"/>
    </row>
    <row r="44659" spans="1:2" x14ac:dyDescent="0.25">
      <c r="A44659" s="118"/>
      <c r="B44659" s="136"/>
    </row>
    <row r="44660" spans="1:2" x14ac:dyDescent="0.25">
      <c r="A44660" s="118"/>
      <c r="B44660" s="136"/>
    </row>
    <row r="44661" spans="1:2" x14ac:dyDescent="0.25">
      <c r="A44661" s="118"/>
      <c r="B44661" s="136"/>
    </row>
    <row r="44662" spans="1:2" x14ac:dyDescent="0.25">
      <c r="A44662" s="118"/>
      <c r="B44662" s="136"/>
    </row>
    <row r="44663" spans="1:2" x14ac:dyDescent="0.25">
      <c r="A44663" s="118"/>
      <c r="B44663" s="136"/>
    </row>
    <row r="44664" spans="1:2" x14ac:dyDescent="0.25">
      <c r="A44664" s="118"/>
      <c r="B44664" s="136"/>
    </row>
    <row r="44665" spans="1:2" x14ac:dyDescent="0.25">
      <c r="A44665" s="118"/>
      <c r="B44665" s="136"/>
    </row>
    <row r="44666" spans="1:2" x14ac:dyDescent="0.25">
      <c r="A44666" s="118"/>
      <c r="B44666" s="136"/>
    </row>
    <row r="44667" spans="1:2" x14ac:dyDescent="0.25">
      <c r="A44667" s="118"/>
      <c r="B44667" s="136"/>
    </row>
    <row r="44668" spans="1:2" x14ac:dyDescent="0.25">
      <c r="A44668" s="118"/>
      <c r="B44668" s="136"/>
    </row>
    <row r="44669" spans="1:2" x14ac:dyDescent="0.25">
      <c r="A44669" s="118"/>
      <c r="B44669" s="136"/>
    </row>
    <row r="44670" spans="1:2" x14ac:dyDescent="0.25">
      <c r="A44670" s="118"/>
      <c r="B44670" s="136"/>
    </row>
    <row r="44671" spans="1:2" x14ac:dyDescent="0.25">
      <c r="A44671" s="118"/>
      <c r="B44671" s="136"/>
    </row>
    <row r="44672" spans="1:2" x14ac:dyDescent="0.25">
      <c r="A44672" s="118"/>
      <c r="B44672" s="136"/>
    </row>
    <row r="44673" spans="1:2" x14ac:dyDescent="0.25">
      <c r="A44673" s="118"/>
      <c r="B44673" s="136"/>
    </row>
    <row r="44674" spans="1:2" x14ac:dyDescent="0.25">
      <c r="A44674" s="118"/>
      <c r="B44674" s="136"/>
    </row>
    <row r="44675" spans="1:2" x14ac:dyDescent="0.25">
      <c r="A44675" s="118"/>
      <c r="B44675" s="136"/>
    </row>
    <row r="44676" spans="1:2" x14ac:dyDescent="0.25">
      <c r="A44676" s="118"/>
      <c r="B44676" s="136"/>
    </row>
    <row r="44677" spans="1:2" x14ac:dyDescent="0.25">
      <c r="A44677" s="118"/>
      <c r="B44677" s="136"/>
    </row>
    <row r="44678" spans="1:2" x14ac:dyDescent="0.25">
      <c r="A44678" s="118"/>
      <c r="B44678" s="136"/>
    </row>
    <row r="44679" spans="1:2" x14ac:dyDescent="0.25">
      <c r="A44679" s="118"/>
      <c r="B44679" s="136"/>
    </row>
    <row r="44680" spans="1:2" x14ac:dyDescent="0.25">
      <c r="A44680" s="118"/>
      <c r="B44680" s="136"/>
    </row>
    <row r="44681" spans="1:2" x14ac:dyDescent="0.25">
      <c r="A44681" s="118"/>
      <c r="B44681" s="136"/>
    </row>
    <row r="44682" spans="1:2" x14ac:dyDescent="0.25">
      <c r="A44682" s="118"/>
      <c r="B44682" s="136"/>
    </row>
    <row r="44683" spans="1:2" x14ac:dyDescent="0.25">
      <c r="A44683" s="118"/>
      <c r="B44683" s="136"/>
    </row>
    <row r="44684" spans="1:2" x14ac:dyDescent="0.25">
      <c r="A44684" s="118"/>
      <c r="B44684" s="136"/>
    </row>
    <row r="44685" spans="1:2" x14ac:dyDescent="0.25">
      <c r="A44685" s="118"/>
      <c r="B44685" s="136"/>
    </row>
    <row r="44686" spans="1:2" x14ac:dyDescent="0.25">
      <c r="A44686" s="118"/>
      <c r="B44686" s="136"/>
    </row>
    <row r="44687" spans="1:2" x14ac:dyDescent="0.25">
      <c r="A44687" s="118"/>
      <c r="B44687" s="136"/>
    </row>
    <row r="44688" spans="1:2" x14ac:dyDescent="0.25">
      <c r="A44688" s="118"/>
      <c r="B44688" s="136"/>
    </row>
    <row r="44689" spans="1:2" x14ac:dyDescent="0.25">
      <c r="A44689" s="118"/>
      <c r="B44689" s="136"/>
    </row>
    <row r="44690" spans="1:2" x14ac:dyDescent="0.25">
      <c r="A44690" s="118"/>
      <c r="B44690" s="136"/>
    </row>
    <row r="44691" spans="1:2" x14ac:dyDescent="0.25">
      <c r="A44691" s="118"/>
      <c r="B44691" s="136"/>
    </row>
    <row r="44692" spans="1:2" x14ac:dyDescent="0.25">
      <c r="A44692" s="118"/>
      <c r="B44692" s="136"/>
    </row>
    <row r="44693" spans="1:2" x14ac:dyDescent="0.25">
      <c r="A44693" s="118"/>
      <c r="B44693" s="136"/>
    </row>
    <row r="44694" spans="1:2" x14ac:dyDescent="0.25">
      <c r="A44694" s="118"/>
      <c r="B44694" s="136"/>
    </row>
    <row r="44695" spans="1:2" x14ac:dyDescent="0.25">
      <c r="A44695" s="118"/>
      <c r="B44695" s="136"/>
    </row>
    <row r="44696" spans="1:2" x14ac:dyDescent="0.25">
      <c r="A44696" s="118"/>
      <c r="B44696" s="136"/>
    </row>
    <row r="44697" spans="1:2" x14ac:dyDescent="0.25">
      <c r="A44697" s="118"/>
      <c r="B44697" s="136"/>
    </row>
    <row r="44698" spans="1:2" x14ac:dyDescent="0.25">
      <c r="A44698" s="118"/>
      <c r="B44698" s="136"/>
    </row>
    <row r="44699" spans="1:2" x14ac:dyDescent="0.25">
      <c r="A44699" s="118"/>
      <c r="B44699" s="136"/>
    </row>
    <row r="44700" spans="1:2" x14ac:dyDescent="0.25">
      <c r="A44700" s="118"/>
      <c r="B44700" s="136"/>
    </row>
    <row r="44701" spans="1:2" x14ac:dyDescent="0.25">
      <c r="A44701" s="118"/>
      <c r="B44701" s="136"/>
    </row>
    <row r="44702" spans="1:2" x14ac:dyDescent="0.25">
      <c r="A44702" s="118"/>
      <c r="B44702" s="136"/>
    </row>
    <row r="44703" spans="1:2" x14ac:dyDescent="0.25">
      <c r="A44703" s="118"/>
      <c r="B44703" s="136"/>
    </row>
    <row r="44704" spans="1:2" x14ac:dyDescent="0.25">
      <c r="A44704" s="118"/>
      <c r="B44704" s="136"/>
    </row>
    <row r="44705" spans="1:2" x14ac:dyDescent="0.25">
      <c r="A44705" s="118"/>
      <c r="B44705" s="136"/>
    </row>
    <row r="44706" spans="1:2" x14ac:dyDescent="0.25">
      <c r="A44706" s="118"/>
      <c r="B44706" s="136"/>
    </row>
    <row r="44707" spans="1:2" x14ac:dyDescent="0.25">
      <c r="A44707" s="118"/>
      <c r="B44707" s="136"/>
    </row>
    <row r="44708" spans="1:2" x14ac:dyDescent="0.25">
      <c r="A44708" s="118"/>
      <c r="B44708" s="136"/>
    </row>
    <row r="44709" spans="1:2" x14ac:dyDescent="0.25">
      <c r="A44709" s="118"/>
      <c r="B44709" s="136"/>
    </row>
    <row r="44710" spans="1:2" x14ac:dyDescent="0.25">
      <c r="A44710" s="118"/>
      <c r="B44710" s="136"/>
    </row>
    <row r="44711" spans="1:2" x14ac:dyDescent="0.25">
      <c r="A44711" s="118"/>
      <c r="B44711" s="136"/>
    </row>
    <row r="44712" spans="1:2" x14ac:dyDescent="0.25">
      <c r="A44712" s="118"/>
      <c r="B44712" s="136"/>
    </row>
    <row r="44713" spans="1:2" x14ac:dyDescent="0.25">
      <c r="A44713" s="118"/>
      <c r="B44713" s="136"/>
    </row>
    <row r="44714" spans="1:2" x14ac:dyDescent="0.25">
      <c r="A44714" s="118"/>
      <c r="B44714" s="136"/>
    </row>
    <row r="44715" spans="1:2" x14ac:dyDescent="0.25">
      <c r="A44715" s="118"/>
      <c r="B44715" s="136"/>
    </row>
    <row r="44716" spans="1:2" x14ac:dyDescent="0.25">
      <c r="A44716" s="118"/>
      <c r="B44716" s="136"/>
    </row>
    <row r="44717" spans="1:2" x14ac:dyDescent="0.25">
      <c r="A44717" s="118"/>
      <c r="B44717" s="136"/>
    </row>
    <row r="44718" spans="1:2" x14ac:dyDescent="0.25">
      <c r="A44718" s="118"/>
      <c r="B44718" s="136"/>
    </row>
    <row r="44719" spans="1:2" x14ac:dyDescent="0.25">
      <c r="A44719" s="118"/>
      <c r="B44719" s="136"/>
    </row>
    <row r="44720" spans="1:2" x14ac:dyDescent="0.25">
      <c r="A44720" s="118"/>
      <c r="B44720" s="136"/>
    </row>
    <row r="44721" spans="1:2" x14ac:dyDescent="0.25">
      <c r="A44721" s="118"/>
      <c r="B44721" s="136"/>
    </row>
    <row r="44722" spans="1:2" x14ac:dyDescent="0.25">
      <c r="A44722" s="118"/>
      <c r="B44722" s="136"/>
    </row>
    <row r="44723" spans="1:2" x14ac:dyDescent="0.25">
      <c r="A44723" s="118"/>
      <c r="B44723" s="136"/>
    </row>
    <row r="44724" spans="1:2" x14ac:dyDescent="0.25">
      <c r="A44724" s="118"/>
      <c r="B44724" s="136"/>
    </row>
    <row r="44725" spans="1:2" x14ac:dyDescent="0.25">
      <c r="A44725" s="118"/>
      <c r="B44725" s="136"/>
    </row>
    <row r="44726" spans="1:2" x14ac:dyDescent="0.25">
      <c r="A44726" s="118"/>
      <c r="B44726" s="136"/>
    </row>
    <row r="44727" spans="1:2" x14ac:dyDescent="0.25">
      <c r="A44727" s="118"/>
      <c r="B44727" s="136"/>
    </row>
    <row r="44728" spans="1:2" x14ac:dyDescent="0.25">
      <c r="A44728" s="118"/>
      <c r="B44728" s="136"/>
    </row>
    <row r="44729" spans="1:2" x14ac:dyDescent="0.25">
      <c r="A44729" s="118"/>
      <c r="B44729" s="136"/>
    </row>
    <row r="44730" spans="1:2" x14ac:dyDescent="0.25">
      <c r="A44730" s="118"/>
      <c r="B44730" s="136"/>
    </row>
    <row r="44731" spans="1:2" x14ac:dyDescent="0.25">
      <c r="A44731" s="118"/>
      <c r="B44731" s="136"/>
    </row>
    <row r="44732" spans="1:2" x14ac:dyDescent="0.25">
      <c r="A44732" s="118"/>
      <c r="B44732" s="136"/>
    </row>
    <row r="44733" spans="1:2" x14ac:dyDescent="0.25">
      <c r="A44733" s="118"/>
      <c r="B44733" s="136"/>
    </row>
    <row r="44734" spans="1:2" x14ac:dyDescent="0.25">
      <c r="A44734" s="118"/>
      <c r="B44734" s="136"/>
    </row>
    <row r="44735" spans="1:2" x14ac:dyDescent="0.25">
      <c r="A44735" s="118"/>
      <c r="B44735" s="136"/>
    </row>
    <row r="44736" spans="1:2" x14ac:dyDescent="0.25">
      <c r="A44736" s="118"/>
      <c r="B44736" s="136"/>
    </row>
    <row r="44737" spans="1:2" x14ac:dyDescent="0.25">
      <c r="A44737" s="118"/>
      <c r="B44737" s="136"/>
    </row>
    <row r="44738" spans="1:2" x14ac:dyDescent="0.25">
      <c r="A44738" s="118"/>
      <c r="B44738" s="136"/>
    </row>
    <row r="44739" spans="1:2" x14ac:dyDescent="0.25">
      <c r="A44739" s="118"/>
      <c r="B44739" s="136"/>
    </row>
    <row r="44740" spans="1:2" x14ac:dyDescent="0.25">
      <c r="A44740" s="118"/>
      <c r="B44740" s="136"/>
    </row>
    <row r="44741" spans="1:2" x14ac:dyDescent="0.25">
      <c r="A44741" s="118"/>
      <c r="B44741" s="136"/>
    </row>
    <row r="44742" spans="1:2" x14ac:dyDescent="0.25">
      <c r="A44742" s="118"/>
      <c r="B44742" s="136"/>
    </row>
    <row r="44743" spans="1:2" x14ac:dyDescent="0.25">
      <c r="A44743" s="118"/>
      <c r="B44743" s="136"/>
    </row>
    <row r="44744" spans="1:2" x14ac:dyDescent="0.25">
      <c r="A44744" s="118"/>
      <c r="B44744" s="136"/>
    </row>
    <row r="44745" spans="1:2" x14ac:dyDescent="0.25">
      <c r="A44745" s="118"/>
      <c r="B44745" s="136"/>
    </row>
    <row r="44746" spans="1:2" x14ac:dyDescent="0.25">
      <c r="A44746" s="118"/>
      <c r="B44746" s="136"/>
    </row>
    <row r="44747" spans="1:2" x14ac:dyDescent="0.25">
      <c r="A44747" s="118"/>
      <c r="B44747" s="136"/>
    </row>
    <row r="44748" spans="1:2" x14ac:dyDescent="0.25">
      <c r="A44748" s="118"/>
      <c r="B44748" s="136"/>
    </row>
    <row r="44749" spans="1:2" x14ac:dyDescent="0.25">
      <c r="A44749" s="118"/>
      <c r="B44749" s="136"/>
    </row>
    <row r="44750" spans="1:2" x14ac:dyDescent="0.25">
      <c r="A44750" s="118"/>
      <c r="B44750" s="136"/>
    </row>
    <row r="44751" spans="1:2" x14ac:dyDescent="0.25">
      <c r="A44751" s="118"/>
      <c r="B44751" s="136"/>
    </row>
    <row r="44752" spans="1:2" x14ac:dyDescent="0.25">
      <c r="A44752" s="118"/>
      <c r="B44752" s="136"/>
    </row>
    <row r="44753" spans="1:2" x14ac:dyDescent="0.25">
      <c r="A44753" s="118"/>
      <c r="B44753" s="136"/>
    </row>
    <row r="44754" spans="1:2" x14ac:dyDescent="0.25">
      <c r="A44754" s="118"/>
      <c r="B44754" s="136"/>
    </row>
    <row r="44755" spans="1:2" x14ac:dyDescent="0.25">
      <c r="A44755" s="118"/>
      <c r="B44755" s="136"/>
    </row>
    <row r="44756" spans="1:2" x14ac:dyDescent="0.25">
      <c r="A44756" s="118"/>
      <c r="B44756" s="136"/>
    </row>
    <row r="44757" spans="1:2" x14ac:dyDescent="0.25">
      <c r="A44757" s="118"/>
      <c r="B44757" s="136"/>
    </row>
    <row r="44758" spans="1:2" x14ac:dyDescent="0.25">
      <c r="A44758" s="118"/>
      <c r="B44758" s="136"/>
    </row>
    <row r="44759" spans="1:2" x14ac:dyDescent="0.25">
      <c r="A44759" s="118"/>
      <c r="B44759" s="136"/>
    </row>
    <row r="44760" spans="1:2" x14ac:dyDescent="0.25">
      <c r="A44760" s="118"/>
      <c r="B44760" s="136"/>
    </row>
    <row r="44761" spans="1:2" x14ac:dyDescent="0.25">
      <c r="A44761" s="118"/>
      <c r="B44761" s="136"/>
    </row>
    <row r="44762" spans="1:2" x14ac:dyDescent="0.25">
      <c r="A44762" s="118"/>
      <c r="B44762" s="136"/>
    </row>
    <row r="44763" spans="1:2" x14ac:dyDescent="0.25">
      <c r="A44763" s="118"/>
      <c r="B44763" s="136"/>
    </row>
    <row r="44764" spans="1:2" x14ac:dyDescent="0.25">
      <c r="A44764" s="118"/>
      <c r="B44764" s="136"/>
    </row>
    <row r="44765" spans="1:2" x14ac:dyDescent="0.25">
      <c r="A44765" s="118"/>
      <c r="B44765" s="136"/>
    </row>
    <row r="44766" spans="1:2" x14ac:dyDescent="0.25">
      <c r="A44766" s="118"/>
      <c r="B44766" s="136"/>
    </row>
    <row r="44767" spans="1:2" x14ac:dyDescent="0.25">
      <c r="A44767" s="118"/>
      <c r="B44767" s="136"/>
    </row>
    <row r="44768" spans="1:2" x14ac:dyDescent="0.25">
      <c r="A44768" s="118"/>
      <c r="B44768" s="136"/>
    </row>
    <row r="44769" spans="1:2" x14ac:dyDescent="0.25">
      <c r="A44769" s="118"/>
      <c r="B44769" s="136"/>
    </row>
    <row r="44770" spans="1:2" x14ac:dyDescent="0.25">
      <c r="A44770" s="118"/>
      <c r="B44770" s="136"/>
    </row>
    <row r="44771" spans="1:2" x14ac:dyDescent="0.25">
      <c r="A44771" s="118"/>
      <c r="B44771" s="136"/>
    </row>
    <row r="44772" spans="1:2" x14ac:dyDescent="0.25">
      <c r="A44772" s="118"/>
      <c r="B44772" s="136"/>
    </row>
    <row r="44773" spans="1:2" x14ac:dyDescent="0.25">
      <c r="A44773" s="118"/>
      <c r="B44773" s="136"/>
    </row>
    <row r="44774" spans="1:2" x14ac:dyDescent="0.25">
      <c r="A44774" s="118"/>
      <c r="B44774" s="136"/>
    </row>
    <row r="44775" spans="1:2" x14ac:dyDescent="0.25">
      <c r="A44775" s="118"/>
      <c r="B44775" s="136"/>
    </row>
    <row r="44776" spans="1:2" x14ac:dyDescent="0.25">
      <c r="A44776" s="118"/>
      <c r="B44776" s="136"/>
    </row>
    <row r="44777" spans="1:2" x14ac:dyDescent="0.25">
      <c r="A44777" s="118"/>
      <c r="B44777" s="136"/>
    </row>
    <row r="44778" spans="1:2" x14ac:dyDescent="0.25">
      <c r="A44778" s="118"/>
      <c r="B44778" s="136"/>
    </row>
    <row r="44779" spans="1:2" x14ac:dyDescent="0.25">
      <c r="A44779" s="118"/>
      <c r="B44779" s="136"/>
    </row>
    <row r="44780" spans="1:2" x14ac:dyDescent="0.25">
      <c r="A44780" s="118"/>
      <c r="B44780" s="136"/>
    </row>
    <row r="44781" spans="1:2" x14ac:dyDescent="0.25">
      <c r="A44781" s="118"/>
      <c r="B44781" s="136"/>
    </row>
    <row r="44782" spans="1:2" x14ac:dyDescent="0.25">
      <c r="A44782" s="118"/>
      <c r="B44782" s="136"/>
    </row>
    <row r="44783" spans="1:2" x14ac:dyDescent="0.25">
      <c r="A44783" s="118"/>
      <c r="B44783" s="136"/>
    </row>
    <row r="44784" spans="1:2" x14ac:dyDescent="0.25">
      <c r="A44784" s="118"/>
      <c r="B44784" s="136"/>
    </row>
    <row r="44785" spans="1:2" x14ac:dyDescent="0.25">
      <c r="A44785" s="118"/>
      <c r="B44785" s="136"/>
    </row>
    <row r="44786" spans="1:2" x14ac:dyDescent="0.25">
      <c r="A44786" s="118"/>
      <c r="B44786" s="136"/>
    </row>
    <row r="44787" spans="1:2" x14ac:dyDescent="0.25">
      <c r="A44787" s="118"/>
      <c r="B44787" s="136"/>
    </row>
    <row r="44788" spans="1:2" x14ac:dyDescent="0.25">
      <c r="A44788" s="118"/>
      <c r="B44788" s="136"/>
    </row>
    <row r="44789" spans="1:2" x14ac:dyDescent="0.25">
      <c r="A44789" s="118"/>
      <c r="B44789" s="136"/>
    </row>
    <row r="44790" spans="1:2" x14ac:dyDescent="0.25">
      <c r="A44790" s="118"/>
      <c r="B44790" s="136"/>
    </row>
    <row r="44791" spans="1:2" x14ac:dyDescent="0.25">
      <c r="A44791" s="118"/>
      <c r="B44791" s="136"/>
    </row>
    <row r="44792" spans="1:2" x14ac:dyDescent="0.25">
      <c r="A44792" s="118"/>
      <c r="B44792" s="136"/>
    </row>
    <row r="44793" spans="1:2" x14ac:dyDescent="0.25">
      <c r="A44793" s="118"/>
      <c r="B44793" s="136"/>
    </row>
    <row r="44794" spans="1:2" x14ac:dyDescent="0.25">
      <c r="A44794" s="118"/>
      <c r="B44794" s="136"/>
    </row>
    <row r="44795" spans="1:2" x14ac:dyDescent="0.25">
      <c r="A44795" s="118"/>
      <c r="B44795" s="136"/>
    </row>
    <row r="44796" spans="1:2" x14ac:dyDescent="0.25">
      <c r="A44796" s="118"/>
      <c r="B44796" s="136"/>
    </row>
    <row r="44797" spans="1:2" x14ac:dyDescent="0.25">
      <c r="A44797" s="118"/>
      <c r="B44797" s="136"/>
    </row>
    <row r="44798" spans="1:2" x14ac:dyDescent="0.25">
      <c r="A44798" s="118"/>
      <c r="B44798" s="136"/>
    </row>
    <row r="44799" spans="1:2" x14ac:dyDescent="0.25">
      <c r="A44799" s="118"/>
      <c r="B44799" s="136"/>
    </row>
    <row r="44800" spans="1:2" x14ac:dyDescent="0.25">
      <c r="A44800" s="118"/>
      <c r="B44800" s="136"/>
    </row>
    <row r="44801" spans="1:2" x14ac:dyDescent="0.25">
      <c r="A44801" s="118"/>
      <c r="B44801" s="136"/>
    </row>
    <row r="44802" spans="1:2" x14ac:dyDescent="0.25">
      <c r="A44802" s="118"/>
      <c r="B44802" s="136"/>
    </row>
    <row r="44803" spans="1:2" x14ac:dyDescent="0.25">
      <c r="A44803" s="118"/>
      <c r="B44803" s="136"/>
    </row>
    <row r="44804" spans="1:2" x14ac:dyDescent="0.25">
      <c r="A44804" s="118"/>
      <c r="B44804" s="136"/>
    </row>
    <row r="44805" spans="1:2" x14ac:dyDescent="0.25">
      <c r="A44805" s="118"/>
      <c r="B44805" s="136"/>
    </row>
    <row r="44806" spans="1:2" x14ac:dyDescent="0.25">
      <c r="A44806" s="118"/>
      <c r="B44806" s="136"/>
    </row>
    <row r="44807" spans="1:2" x14ac:dyDescent="0.25">
      <c r="A44807" s="118"/>
      <c r="B44807" s="136"/>
    </row>
    <row r="44808" spans="1:2" x14ac:dyDescent="0.25">
      <c r="A44808" s="118"/>
      <c r="B44808" s="136"/>
    </row>
    <row r="44809" spans="1:2" x14ac:dyDescent="0.25">
      <c r="A44809" s="118"/>
      <c r="B44809" s="136"/>
    </row>
    <row r="44810" spans="1:2" x14ac:dyDescent="0.25">
      <c r="A44810" s="118"/>
      <c r="B44810" s="136"/>
    </row>
    <row r="44811" spans="1:2" x14ac:dyDescent="0.25">
      <c r="A44811" s="118"/>
      <c r="B44811" s="136"/>
    </row>
    <row r="44812" spans="1:2" x14ac:dyDescent="0.25">
      <c r="A44812" s="118"/>
      <c r="B44812" s="136"/>
    </row>
    <row r="44813" spans="1:2" x14ac:dyDescent="0.25">
      <c r="A44813" s="118"/>
      <c r="B44813" s="136"/>
    </row>
    <row r="44814" spans="1:2" x14ac:dyDescent="0.25">
      <c r="A44814" s="118"/>
      <c r="B44814" s="136"/>
    </row>
    <row r="44815" spans="1:2" x14ac:dyDescent="0.25">
      <c r="A44815" s="118"/>
      <c r="B44815" s="136"/>
    </row>
    <row r="44816" spans="1:2" x14ac:dyDescent="0.25">
      <c r="A44816" s="118"/>
      <c r="B44816" s="136"/>
    </row>
    <row r="44817" spans="1:2" x14ac:dyDescent="0.25">
      <c r="A44817" s="118"/>
      <c r="B44817" s="136"/>
    </row>
    <row r="44818" spans="1:2" x14ac:dyDescent="0.25">
      <c r="A44818" s="118"/>
      <c r="B44818" s="136"/>
    </row>
    <row r="44819" spans="1:2" x14ac:dyDescent="0.25">
      <c r="A44819" s="118"/>
      <c r="B44819" s="136"/>
    </row>
    <row r="44820" spans="1:2" x14ac:dyDescent="0.25">
      <c r="A44820" s="118"/>
      <c r="B44820" s="136"/>
    </row>
    <row r="44821" spans="1:2" x14ac:dyDescent="0.25">
      <c r="A44821" s="118"/>
      <c r="B44821" s="136"/>
    </row>
    <row r="44822" spans="1:2" x14ac:dyDescent="0.25">
      <c r="A44822" s="118"/>
      <c r="B44822" s="136"/>
    </row>
    <row r="44823" spans="1:2" x14ac:dyDescent="0.25">
      <c r="A44823" s="118"/>
      <c r="B44823" s="136"/>
    </row>
    <row r="44824" spans="1:2" x14ac:dyDescent="0.25">
      <c r="A44824" s="118"/>
      <c r="B44824" s="136"/>
    </row>
    <row r="44825" spans="1:2" x14ac:dyDescent="0.25">
      <c r="A44825" s="118"/>
      <c r="B44825" s="136"/>
    </row>
    <row r="44826" spans="1:2" x14ac:dyDescent="0.25">
      <c r="A44826" s="118"/>
      <c r="B44826" s="136"/>
    </row>
    <row r="44827" spans="1:2" x14ac:dyDescent="0.25">
      <c r="A44827" s="118"/>
      <c r="B44827" s="136"/>
    </row>
    <row r="44828" spans="1:2" x14ac:dyDescent="0.25">
      <c r="A44828" s="118"/>
      <c r="B44828" s="136"/>
    </row>
    <row r="44829" spans="1:2" x14ac:dyDescent="0.25">
      <c r="A44829" s="118"/>
      <c r="B44829" s="136"/>
    </row>
    <row r="44830" spans="1:2" x14ac:dyDescent="0.25">
      <c r="A44830" s="118"/>
      <c r="B44830" s="136"/>
    </row>
    <row r="44831" spans="1:2" x14ac:dyDescent="0.25">
      <c r="A44831" s="118"/>
      <c r="B44831" s="136"/>
    </row>
    <row r="44832" spans="1:2" x14ac:dyDescent="0.25">
      <c r="A44832" s="118"/>
      <c r="B44832" s="136"/>
    </row>
    <row r="44833" spans="1:2" x14ac:dyDescent="0.25">
      <c r="A44833" s="118"/>
      <c r="B44833" s="136"/>
    </row>
    <row r="44834" spans="1:2" x14ac:dyDescent="0.25">
      <c r="A44834" s="118"/>
      <c r="B44834" s="136"/>
    </row>
    <row r="44835" spans="1:2" x14ac:dyDescent="0.25">
      <c r="A44835" s="118"/>
      <c r="B44835" s="136"/>
    </row>
    <row r="44836" spans="1:2" x14ac:dyDescent="0.25">
      <c r="A44836" s="118"/>
      <c r="B44836" s="136"/>
    </row>
    <row r="44837" spans="1:2" x14ac:dyDescent="0.25">
      <c r="A44837" s="118"/>
      <c r="B44837" s="136"/>
    </row>
    <row r="44838" spans="1:2" x14ac:dyDescent="0.25">
      <c r="A44838" s="118"/>
      <c r="B44838" s="136"/>
    </row>
    <row r="44839" spans="1:2" x14ac:dyDescent="0.25">
      <c r="A44839" s="118"/>
      <c r="B44839" s="136"/>
    </row>
    <row r="44840" spans="1:2" x14ac:dyDescent="0.25">
      <c r="A44840" s="118"/>
      <c r="B44840" s="136"/>
    </row>
    <row r="44841" spans="1:2" x14ac:dyDescent="0.25">
      <c r="A44841" s="118"/>
      <c r="B44841" s="136"/>
    </row>
    <row r="44842" spans="1:2" x14ac:dyDescent="0.25">
      <c r="A44842" s="118"/>
      <c r="B44842" s="136"/>
    </row>
    <row r="44843" spans="1:2" x14ac:dyDescent="0.25">
      <c r="A44843" s="118"/>
      <c r="B44843" s="136"/>
    </row>
    <row r="44844" spans="1:2" x14ac:dyDescent="0.25">
      <c r="A44844" s="118"/>
      <c r="B44844" s="136"/>
    </row>
    <row r="44845" spans="1:2" x14ac:dyDescent="0.25">
      <c r="A44845" s="118"/>
      <c r="B44845" s="136"/>
    </row>
    <row r="44846" spans="1:2" x14ac:dyDescent="0.25">
      <c r="A44846" s="118"/>
      <c r="B44846" s="136"/>
    </row>
    <row r="44847" spans="1:2" x14ac:dyDescent="0.25">
      <c r="A44847" s="118"/>
      <c r="B44847" s="136"/>
    </row>
    <row r="44848" spans="1:2" x14ac:dyDescent="0.25">
      <c r="A44848" s="118"/>
      <c r="B44848" s="136"/>
    </row>
    <row r="44849" spans="1:2" x14ac:dyDescent="0.25">
      <c r="A44849" s="118"/>
      <c r="B44849" s="136"/>
    </row>
    <row r="44850" spans="1:2" x14ac:dyDescent="0.25">
      <c r="A44850" s="118"/>
      <c r="B44850" s="136"/>
    </row>
    <row r="44851" spans="1:2" x14ac:dyDescent="0.25">
      <c r="A44851" s="118"/>
      <c r="B44851" s="136"/>
    </row>
    <row r="44852" spans="1:2" x14ac:dyDescent="0.25">
      <c r="A44852" s="118"/>
      <c r="B44852" s="136"/>
    </row>
    <row r="44853" spans="1:2" x14ac:dyDescent="0.25">
      <c r="A44853" s="118"/>
      <c r="B44853" s="136"/>
    </row>
    <row r="44854" spans="1:2" x14ac:dyDescent="0.25">
      <c r="A44854" s="118"/>
      <c r="B44854" s="136"/>
    </row>
    <row r="44855" spans="1:2" x14ac:dyDescent="0.25">
      <c r="A44855" s="118"/>
      <c r="B44855" s="136"/>
    </row>
    <row r="44856" spans="1:2" x14ac:dyDescent="0.25">
      <c r="A44856" s="118"/>
      <c r="B44856" s="136"/>
    </row>
    <row r="44857" spans="1:2" x14ac:dyDescent="0.25">
      <c r="A44857" s="118"/>
      <c r="B44857" s="136"/>
    </row>
    <row r="44858" spans="1:2" x14ac:dyDescent="0.25">
      <c r="A44858" s="118"/>
      <c r="B44858" s="136"/>
    </row>
    <row r="44859" spans="1:2" x14ac:dyDescent="0.25">
      <c r="A44859" s="118"/>
      <c r="B44859" s="136"/>
    </row>
    <row r="44860" spans="1:2" x14ac:dyDescent="0.25">
      <c r="A44860" s="118"/>
      <c r="B44860" s="136"/>
    </row>
    <row r="44861" spans="1:2" x14ac:dyDescent="0.25">
      <c r="A44861" s="118"/>
      <c r="B44861" s="136"/>
    </row>
    <row r="44862" spans="1:2" x14ac:dyDescent="0.25">
      <c r="A44862" s="118"/>
      <c r="B44862" s="136"/>
    </row>
    <row r="44863" spans="1:2" x14ac:dyDescent="0.25">
      <c r="A44863" s="118"/>
      <c r="B44863" s="136"/>
    </row>
    <row r="44864" spans="1:2" x14ac:dyDescent="0.25">
      <c r="A44864" s="118"/>
      <c r="B44864" s="136"/>
    </row>
    <row r="44865" spans="1:2" x14ac:dyDescent="0.25">
      <c r="A44865" s="118"/>
      <c r="B44865" s="136"/>
    </row>
    <row r="44866" spans="1:2" x14ac:dyDescent="0.25">
      <c r="A44866" s="118"/>
      <c r="B44866" s="136"/>
    </row>
    <row r="44867" spans="1:2" x14ac:dyDescent="0.25">
      <c r="A44867" s="118"/>
      <c r="B44867" s="136"/>
    </row>
    <row r="44868" spans="1:2" x14ac:dyDescent="0.25">
      <c r="A44868" s="118"/>
      <c r="B44868" s="136"/>
    </row>
    <row r="44869" spans="1:2" x14ac:dyDescent="0.25">
      <c r="A44869" s="118"/>
      <c r="B44869" s="136"/>
    </row>
    <row r="44870" spans="1:2" x14ac:dyDescent="0.25">
      <c r="A44870" s="118"/>
      <c r="B44870" s="136"/>
    </row>
    <row r="44871" spans="1:2" x14ac:dyDescent="0.25">
      <c r="A44871" s="118"/>
      <c r="B44871" s="136"/>
    </row>
    <row r="44872" spans="1:2" x14ac:dyDescent="0.25">
      <c r="A44872" s="118"/>
      <c r="B44872" s="136"/>
    </row>
    <row r="44873" spans="1:2" x14ac:dyDescent="0.25">
      <c r="A44873" s="118"/>
      <c r="B44873" s="136"/>
    </row>
    <row r="44874" spans="1:2" x14ac:dyDescent="0.25">
      <c r="A44874" s="118"/>
      <c r="B44874" s="136"/>
    </row>
    <row r="44875" spans="1:2" x14ac:dyDescent="0.25">
      <c r="A44875" s="118"/>
      <c r="B44875" s="136"/>
    </row>
    <row r="44876" spans="1:2" x14ac:dyDescent="0.25">
      <c r="A44876" s="118"/>
      <c r="B44876" s="136"/>
    </row>
    <row r="44877" spans="1:2" x14ac:dyDescent="0.25">
      <c r="A44877" s="118"/>
      <c r="B44877" s="136"/>
    </row>
    <row r="44878" spans="1:2" x14ac:dyDescent="0.25">
      <c r="A44878" s="118"/>
      <c r="B44878" s="136"/>
    </row>
    <row r="44879" spans="1:2" x14ac:dyDescent="0.25">
      <c r="A44879" s="118"/>
      <c r="B44879" s="136"/>
    </row>
    <row r="44880" spans="1:2" x14ac:dyDescent="0.25">
      <c r="A44880" s="118"/>
      <c r="B44880" s="136"/>
    </row>
    <row r="44881" spans="1:2" x14ac:dyDescent="0.25">
      <c r="A44881" s="118"/>
      <c r="B44881" s="136"/>
    </row>
    <row r="44882" spans="1:2" x14ac:dyDescent="0.25">
      <c r="A44882" s="118"/>
      <c r="B44882" s="136"/>
    </row>
    <row r="44883" spans="1:2" x14ac:dyDescent="0.25">
      <c r="A44883" s="118"/>
      <c r="B44883" s="136"/>
    </row>
    <row r="44884" spans="1:2" x14ac:dyDescent="0.25">
      <c r="A44884" s="118"/>
      <c r="B44884" s="136"/>
    </row>
    <row r="44885" spans="1:2" x14ac:dyDescent="0.25">
      <c r="A44885" s="118"/>
      <c r="B44885" s="136"/>
    </row>
    <row r="44886" spans="1:2" x14ac:dyDescent="0.25">
      <c r="A44886" s="118"/>
      <c r="B44886" s="136"/>
    </row>
    <row r="44887" spans="1:2" x14ac:dyDescent="0.25">
      <c r="A44887" s="118"/>
      <c r="B44887" s="136"/>
    </row>
    <row r="44888" spans="1:2" x14ac:dyDescent="0.25">
      <c r="A44888" s="118"/>
      <c r="B44888" s="136"/>
    </row>
    <row r="44889" spans="1:2" x14ac:dyDescent="0.25">
      <c r="A44889" s="118"/>
      <c r="B44889" s="136"/>
    </row>
    <row r="44890" spans="1:2" x14ac:dyDescent="0.25">
      <c r="A44890" s="118"/>
      <c r="B44890" s="136"/>
    </row>
    <row r="44891" spans="1:2" x14ac:dyDescent="0.25">
      <c r="A44891" s="118"/>
      <c r="B44891" s="136"/>
    </row>
    <row r="44892" spans="1:2" x14ac:dyDescent="0.25">
      <c r="A44892" s="118"/>
      <c r="B44892" s="136"/>
    </row>
    <row r="44893" spans="1:2" x14ac:dyDescent="0.25">
      <c r="A44893" s="118"/>
      <c r="B44893" s="136"/>
    </row>
    <row r="44894" spans="1:2" x14ac:dyDescent="0.25">
      <c r="A44894" s="118"/>
      <c r="B44894" s="136"/>
    </row>
    <row r="44895" spans="1:2" x14ac:dyDescent="0.25">
      <c r="A44895" s="118"/>
      <c r="B44895" s="136"/>
    </row>
    <row r="44896" spans="1:2" x14ac:dyDescent="0.25">
      <c r="A44896" s="118"/>
      <c r="B44896" s="136"/>
    </row>
    <row r="44897" spans="1:2" x14ac:dyDescent="0.25">
      <c r="A44897" s="118"/>
      <c r="B44897" s="136"/>
    </row>
    <row r="44898" spans="1:2" x14ac:dyDescent="0.25">
      <c r="A44898" s="118"/>
      <c r="B44898" s="136"/>
    </row>
    <row r="44899" spans="1:2" x14ac:dyDescent="0.25">
      <c r="A44899" s="118"/>
      <c r="B44899" s="136"/>
    </row>
    <row r="44900" spans="1:2" x14ac:dyDescent="0.25">
      <c r="A44900" s="118"/>
      <c r="B44900" s="136"/>
    </row>
    <row r="44901" spans="1:2" x14ac:dyDescent="0.25">
      <c r="A44901" s="118"/>
      <c r="B44901" s="136"/>
    </row>
    <row r="44902" spans="1:2" x14ac:dyDescent="0.25">
      <c r="A44902" s="118"/>
      <c r="B44902" s="136"/>
    </row>
    <row r="44903" spans="1:2" x14ac:dyDescent="0.25">
      <c r="A44903" s="118"/>
      <c r="B44903" s="136"/>
    </row>
    <row r="44904" spans="1:2" x14ac:dyDescent="0.25">
      <c r="A44904" s="118"/>
      <c r="B44904" s="136"/>
    </row>
    <row r="44905" spans="1:2" x14ac:dyDescent="0.25">
      <c r="A44905" s="118"/>
      <c r="B44905" s="136"/>
    </row>
    <row r="44906" spans="1:2" x14ac:dyDescent="0.25">
      <c r="A44906" s="118"/>
      <c r="B44906" s="136"/>
    </row>
    <row r="44907" spans="1:2" x14ac:dyDescent="0.25">
      <c r="A44907" s="118"/>
      <c r="B44907" s="136"/>
    </row>
    <row r="44908" spans="1:2" x14ac:dyDescent="0.25">
      <c r="A44908" s="118"/>
      <c r="B44908" s="136"/>
    </row>
    <row r="44909" spans="1:2" x14ac:dyDescent="0.25">
      <c r="A44909" s="118"/>
      <c r="B44909" s="136"/>
    </row>
    <row r="44910" spans="1:2" x14ac:dyDescent="0.25">
      <c r="A44910" s="118"/>
      <c r="B44910" s="136"/>
    </row>
    <row r="44911" spans="1:2" x14ac:dyDescent="0.25">
      <c r="A44911" s="118"/>
      <c r="B44911" s="136"/>
    </row>
    <row r="44912" spans="1:2" x14ac:dyDescent="0.25">
      <c r="A44912" s="118"/>
      <c r="B44912" s="136"/>
    </row>
    <row r="44913" spans="1:2" x14ac:dyDescent="0.25">
      <c r="A44913" s="118"/>
      <c r="B44913" s="136"/>
    </row>
    <row r="44914" spans="1:2" x14ac:dyDescent="0.25">
      <c r="A44914" s="118"/>
      <c r="B44914" s="136"/>
    </row>
    <row r="44915" spans="1:2" x14ac:dyDescent="0.25">
      <c r="A44915" s="118"/>
      <c r="B44915" s="136"/>
    </row>
    <row r="44916" spans="1:2" x14ac:dyDescent="0.25">
      <c r="A44916" s="118"/>
      <c r="B44916" s="136"/>
    </row>
    <row r="44917" spans="1:2" x14ac:dyDescent="0.25">
      <c r="A44917" s="118"/>
      <c r="B44917" s="136"/>
    </row>
    <row r="44918" spans="1:2" x14ac:dyDescent="0.25">
      <c r="A44918" s="118"/>
      <c r="B44918" s="136"/>
    </row>
    <row r="44919" spans="1:2" x14ac:dyDescent="0.25">
      <c r="A44919" s="118"/>
      <c r="B44919" s="136"/>
    </row>
    <row r="44920" spans="1:2" x14ac:dyDescent="0.25">
      <c r="A44920" s="118"/>
      <c r="B44920" s="136"/>
    </row>
    <row r="44921" spans="1:2" x14ac:dyDescent="0.25">
      <c r="A44921" s="118"/>
      <c r="B44921" s="136"/>
    </row>
    <row r="44922" spans="1:2" x14ac:dyDescent="0.25">
      <c r="A44922" s="118"/>
      <c r="B44922" s="136"/>
    </row>
    <row r="44923" spans="1:2" x14ac:dyDescent="0.25">
      <c r="A44923" s="118"/>
      <c r="B44923" s="136"/>
    </row>
    <row r="44924" spans="1:2" x14ac:dyDescent="0.25">
      <c r="A44924" s="118"/>
      <c r="B44924" s="136"/>
    </row>
    <row r="44925" spans="1:2" x14ac:dyDescent="0.25">
      <c r="A44925" s="118"/>
      <c r="B44925" s="136"/>
    </row>
    <row r="44926" spans="1:2" x14ac:dyDescent="0.25">
      <c r="A44926" s="118"/>
      <c r="B44926" s="136"/>
    </row>
    <row r="44927" spans="1:2" x14ac:dyDescent="0.25">
      <c r="A44927" s="118"/>
      <c r="B44927" s="136"/>
    </row>
    <row r="44928" spans="1:2" x14ac:dyDescent="0.25">
      <c r="A44928" s="118"/>
      <c r="B44928" s="136"/>
    </row>
    <row r="44929" spans="1:2" x14ac:dyDescent="0.25">
      <c r="A44929" s="118"/>
      <c r="B44929" s="136"/>
    </row>
    <row r="44930" spans="1:2" x14ac:dyDescent="0.25">
      <c r="A44930" s="118"/>
      <c r="B44930" s="136"/>
    </row>
    <row r="44931" spans="1:2" x14ac:dyDescent="0.25">
      <c r="A44931" s="118"/>
      <c r="B44931" s="136"/>
    </row>
    <row r="44932" spans="1:2" x14ac:dyDescent="0.25">
      <c r="A44932" s="118"/>
      <c r="B44932" s="136"/>
    </row>
    <row r="44933" spans="1:2" x14ac:dyDescent="0.25">
      <c r="A44933" s="118"/>
      <c r="B44933" s="136"/>
    </row>
    <row r="44934" spans="1:2" x14ac:dyDescent="0.25">
      <c r="A44934" s="118"/>
      <c r="B44934" s="136"/>
    </row>
    <row r="44935" spans="1:2" x14ac:dyDescent="0.25">
      <c r="A44935" s="118"/>
      <c r="B44935" s="136"/>
    </row>
    <row r="44936" spans="1:2" x14ac:dyDescent="0.25">
      <c r="A44936" s="118"/>
      <c r="B44936" s="136"/>
    </row>
    <row r="44937" spans="1:2" x14ac:dyDescent="0.25">
      <c r="A44937" s="118"/>
      <c r="B44937" s="136"/>
    </row>
    <row r="44938" spans="1:2" x14ac:dyDescent="0.25">
      <c r="A44938" s="118"/>
      <c r="B44938" s="136"/>
    </row>
    <row r="44939" spans="1:2" x14ac:dyDescent="0.25">
      <c r="A44939" s="118"/>
      <c r="B44939" s="136"/>
    </row>
    <row r="44940" spans="1:2" x14ac:dyDescent="0.25">
      <c r="A44940" s="118"/>
      <c r="B44940" s="136"/>
    </row>
    <row r="44941" spans="1:2" x14ac:dyDescent="0.25">
      <c r="A44941" s="118"/>
      <c r="B44941" s="136"/>
    </row>
    <row r="44942" spans="1:2" x14ac:dyDescent="0.25">
      <c r="A44942" s="118"/>
      <c r="B44942" s="136"/>
    </row>
    <row r="44943" spans="1:2" x14ac:dyDescent="0.25">
      <c r="A44943" s="118"/>
      <c r="B44943" s="136"/>
    </row>
    <row r="44944" spans="1:2" x14ac:dyDescent="0.25">
      <c r="A44944" s="118"/>
      <c r="B44944" s="136"/>
    </row>
    <row r="44945" spans="1:2" x14ac:dyDescent="0.25">
      <c r="A44945" s="118"/>
      <c r="B44945" s="136"/>
    </row>
    <row r="44946" spans="1:2" x14ac:dyDescent="0.25">
      <c r="A44946" s="118"/>
      <c r="B44946" s="136"/>
    </row>
    <row r="44947" spans="1:2" x14ac:dyDescent="0.25">
      <c r="A44947" s="118"/>
      <c r="B44947" s="136"/>
    </row>
    <row r="44948" spans="1:2" x14ac:dyDescent="0.25">
      <c r="A44948" s="118"/>
      <c r="B44948" s="136"/>
    </row>
    <row r="44949" spans="1:2" x14ac:dyDescent="0.25">
      <c r="A44949" s="118"/>
      <c r="B44949" s="136"/>
    </row>
    <row r="44950" spans="1:2" x14ac:dyDescent="0.25">
      <c r="A44950" s="118"/>
      <c r="B44950" s="136"/>
    </row>
    <row r="44951" spans="1:2" x14ac:dyDescent="0.25">
      <c r="A44951" s="118"/>
      <c r="B44951" s="136"/>
    </row>
    <row r="44952" spans="1:2" x14ac:dyDescent="0.25">
      <c r="A44952" s="118"/>
      <c r="B44952" s="136"/>
    </row>
    <row r="44953" spans="1:2" x14ac:dyDescent="0.25">
      <c r="A44953" s="118"/>
      <c r="B44953" s="136"/>
    </row>
    <row r="44954" spans="1:2" x14ac:dyDescent="0.25">
      <c r="A44954" s="118"/>
      <c r="B44954" s="136"/>
    </row>
    <row r="44955" spans="1:2" x14ac:dyDescent="0.25">
      <c r="A44955" s="118"/>
      <c r="B44955" s="136"/>
    </row>
    <row r="44956" spans="1:2" x14ac:dyDescent="0.25">
      <c r="A44956" s="118"/>
      <c r="B44956" s="136"/>
    </row>
    <row r="44957" spans="1:2" x14ac:dyDescent="0.25">
      <c r="A44957" s="118"/>
      <c r="B44957" s="136"/>
    </row>
    <row r="44958" spans="1:2" x14ac:dyDescent="0.25">
      <c r="A44958" s="118"/>
      <c r="B44958" s="136"/>
    </row>
    <row r="44959" spans="1:2" x14ac:dyDescent="0.25">
      <c r="A44959" s="118"/>
      <c r="B44959" s="136"/>
    </row>
    <row r="44960" spans="1:2" x14ac:dyDescent="0.25">
      <c r="A44960" s="118"/>
      <c r="B44960" s="136"/>
    </row>
    <row r="44961" spans="1:2" x14ac:dyDescent="0.25">
      <c r="A44961" s="118"/>
      <c r="B44961" s="136"/>
    </row>
    <row r="44962" spans="1:2" x14ac:dyDescent="0.25">
      <c r="A44962" s="118"/>
      <c r="B44962" s="136"/>
    </row>
    <row r="44963" spans="1:2" x14ac:dyDescent="0.25">
      <c r="A44963" s="118"/>
      <c r="B44963" s="136"/>
    </row>
    <row r="44964" spans="1:2" x14ac:dyDescent="0.25">
      <c r="A44964" s="118"/>
      <c r="B44964" s="136"/>
    </row>
    <row r="44965" spans="1:2" x14ac:dyDescent="0.25">
      <c r="A44965" s="118"/>
      <c r="B44965" s="136"/>
    </row>
    <row r="44966" spans="1:2" x14ac:dyDescent="0.25">
      <c r="A44966" s="118"/>
      <c r="B44966" s="136"/>
    </row>
    <row r="44967" spans="1:2" x14ac:dyDescent="0.25">
      <c r="A44967" s="118"/>
      <c r="B44967" s="136"/>
    </row>
    <row r="44968" spans="1:2" x14ac:dyDescent="0.25">
      <c r="A44968" s="118"/>
      <c r="B44968" s="136"/>
    </row>
    <row r="44969" spans="1:2" x14ac:dyDescent="0.25">
      <c r="A44969" s="118"/>
      <c r="B44969" s="136"/>
    </row>
    <row r="44970" spans="1:2" x14ac:dyDescent="0.25">
      <c r="A44970" s="118"/>
      <c r="B44970" s="136"/>
    </row>
    <row r="44971" spans="1:2" x14ac:dyDescent="0.25">
      <c r="A44971" s="118"/>
      <c r="B44971" s="136"/>
    </row>
    <row r="44972" spans="1:2" x14ac:dyDescent="0.25">
      <c r="A44972" s="118"/>
      <c r="B44972" s="136"/>
    </row>
    <row r="44973" spans="1:2" x14ac:dyDescent="0.25">
      <c r="A44973" s="118"/>
      <c r="B44973" s="136"/>
    </row>
    <row r="44974" spans="1:2" x14ac:dyDescent="0.25">
      <c r="A44974" s="118"/>
      <c r="B44974" s="136"/>
    </row>
    <row r="44975" spans="1:2" x14ac:dyDescent="0.25">
      <c r="A44975" s="118"/>
      <c r="B44975" s="136"/>
    </row>
    <row r="44976" spans="1:2" x14ac:dyDescent="0.25">
      <c r="A44976" s="118"/>
      <c r="B44976" s="136"/>
    </row>
    <row r="44977" spans="1:2" x14ac:dyDescent="0.25">
      <c r="A44977" s="118"/>
      <c r="B44977" s="136"/>
    </row>
    <row r="44978" spans="1:2" x14ac:dyDescent="0.25">
      <c r="A44978" s="118"/>
      <c r="B44978" s="136"/>
    </row>
    <row r="44979" spans="1:2" x14ac:dyDescent="0.25">
      <c r="A44979" s="118"/>
      <c r="B44979" s="136"/>
    </row>
    <row r="44980" spans="1:2" x14ac:dyDescent="0.25">
      <c r="A44980" s="118"/>
      <c r="B44980" s="136"/>
    </row>
    <row r="44981" spans="1:2" x14ac:dyDescent="0.25">
      <c r="A44981" s="118"/>
      <c r="B44981" s="136"/>
    </row>
    <row r="44982" spans="1:2" x14ac:dyDescent="0.25">
      <c r="A44982" s="118"/>
      <c r="B44982" s="136"/>
    </row>
    <row r="44983" spans="1:2" x14ac:dyDescent="0.25">
      <c r="A44983" s="118"/>
      <c r="B44983" s="136"/>
    </row>
    <row r="44984" spans="1:2" x14ac:dyDescent="0.25">
      <c r="A44984" s="118"/>
      <c r="B44984" s="136"/>
    </row>
    <row r="44985" spans="1:2" x14ac:dyDescent="0.25">
      <c r="A44985" s="118"/>
      <c r="B44985" s="136"/>
    </row>
    <row r="44986" spans="1:2" x14ac:dyDescent="0.25">
      <c r="A44986" s="118"/>
      <c r="B44986" s="136"/>
    </row>
    <row r="44987" spans="1:2" x14ac:dyDescent="0.25">
      <c r="A44987" s="118"/>
      <c r="B44987" s="136"/>
    </row>
    <row r="44988" spans="1:2" x14ac:dyDescent="0.25">
      <c r="A44988" s="118"/>
      <c r="B44988" s="136"/>
    </row>
    <row r="44989" spans="1:2" x14ac:dyDescent="0.25">
      <c r="A44989" s="118"/>
      <c r="B44989" s="136"/>
    </row>
    <row r="44990" spans="1:2" x14ac:dyDescent="0.25">
      <c r="A44990" s="118"/>
      <c r="B44990" s="136"/>
    </row>
    <row r="44991" spans="1:2" x14ac:dyDescent="0.25">
      <c r="A44991" s="118"/>
      <c r="B44991" s="136"/>
    </row>
    <row r="44992" spans="1:2" x14ac:dyDescent="0.25">
      <c r="A44992" s="118"/>
      <c r="B44992" s="136"/>
    </row>
    <row r="44993" spans="1:2" x14ac:dyDescent="0.25">
      <c r="A44993" s="118"/>
      <c r="B44993" s="136"/>
    </row>
    <row r="44994" spans="1:2" x14ac:dyDescent="0.25">
      <c r="A44994" s="118"/>
      <c r="B44994" s="136"/>
    </row>
    <row r="44995" spans="1:2" x14ac:dyDescent="0.25">
      <c r="A44995" s="118"/>
      <c r="B44995" s="136"/>
    </row>
    <row r="44996" spans="1:2" x14ac:dyDescent="0.25">
      <c r="A44996" s="118"/>
      <c r="B44996" s="136"/>
    </row>
    <row r="44997" spans="1:2" x14ac:dyDescent="0.25">
      <c r="A44997" s="118"/>
      <c r="B44997" s="136"/>
    </row>
    <row r="44998" spans="1:2" x14ac:dyDescent="0.25">
      <c r="A44998" s="118"/>
      <c r="B44998" s="136"/>
    </row>
    <row r="44999" spans="1:2" x14ac:dyDescent="0.25">
      <c r="A44999" s="118"/>
      <c r="B44999" s="136"/>
    </row>
    <row r="45000" spans="1:2" x14ac:dyDescent="0.25">
      <c r="A45000" s="118"/>
      <c r="B45000" s="136"/>
    </row>
    <row r="45001" spans="1:2" x14ac:dyDescent="0.25">
      <c r="A45001" s="118"/>
      <c r="B45001" s="136"/>
    </row>
    <row r="45002" spans="1:2" x14ac:dyDescent="0.25">
      <c r="A45002" s="118"/>
      <c r="B45002" s="136"/>
    </row>
    <row r="45003" spans="1:2" x14ac:dyDescent="0.25">
      <c r="A45003" s="118"/>
      <c r="B45003" s="136"/>
    </row>
    <row r="45004" spans="1:2" x14ac:dyDescent="0.25">
      <c r="A45004" s="118"/>
      <c r="B45004" s="136"/>
    </row>
    <row r="45005" spans="1:2" x14ac:dyDescent="0.25">
      <c r="A45005" s="118"/>
      <c r="B45005" s="136"/>
    </row>
    <row r="45006" spans="1:2" x14ac:dyDescent="0.25">
      <c r="A45006" s="118"/>
      <c r="B45006" s="136"/>
    </row>
    <row r="45007" spans="1:2" x14ac:dyDescent="0.25">
      <c r="A45007" s="118"/>
      <c r="B45007" s="136"/>
    </row>
    <row r="45008" spans="1:2" x14ac:dyDescent="0.25">
      <c r="A45008" s="118"/>
      <c r="B45008" s="136"/>
    </row>
    <row r="45009" spans="1:2" x14ac:dyDescent="0.25">
      <c r="A45009" s="118"/>
      <c r="B45009" s="136"/>
    </row>
    <row r="45010" spans="1:2" x14ac:dyDescent="0.25">
      <c r="A45010" s="118"/>
      <c r="B45010" s="136"/>
    </row>
    <row r="45011" spans="1:2" x14ac:dyDescent="0.25">
      <c r="A45011" s="118"/>
      <c r="B45011" s="136"/>
    </row>
    <row r="45012" spans="1:2" x14ac:dyDescent="0.25">
      <c r="A45012" s="118"/>
      <c r="B45012" s="136"/>
    </row>
    <row r="45013" spans="1:2" x14ac:dyDescent="0.25">
      <c r="A45013" s="118"/>
      <c r="B45013" s="136"/>
    </row>
    <row r="45014" spans="1:2" x14ac:dyDescent="0.25">
      <c r="A45014" s="118"/>
      <c r="B45014" s="136"/>
    </row>
    <row r="45015" spans="1:2" x14ac:dyDescent="0.25">
      <c r="A45015" s="118"/>
      <c r="B45015" s="136"/>
    </row>
    <row r="45016" spans="1:2" x14ac:dyDescent="0.25">
      <c r="A45016" s="118"/>
      <c r="B45016" s="136"/>
    </row>
    <row r="45017" spans="1:2" x14ac:dyDescent="0.25">
      <c r="A45017" s="118"/>
      <c r="B45017" s="136"/>
    </row>
    <row r="45018" spans="1:2" x14ac:dyDescent="0.25">
      <c r="A45018" s="118"/>
      <c r="B45018" s="136"/>
    </row>
    <row r="45019" spans="1:2" x14ac:dyDescent="0.25">
      <c r="A45019" s="118"/>
      <c r="B45019" s="136"/>
    </row>
    <row r="45020" spans="1:2" x14ac:dyDescent="0.25">
      <c r="A45020" s="118"/>
      <c r="B45020" s="136"/>
    </row>
    <row r="45021" spans="1:2" x14ac:dyDescent="0.25">
      <c r="A45021" s="118"/>
      <c r="B45021" s="136"/>
    </row>
    <row r="45022" spans="1:2" x14ac:dyDescent="0.25">
      <c r="A45022" s="118"/>
      <c r="B45022" s="136"/>
    </row>
    <row r="45023" spans="1:2" x14ac:dyDescent="0.25">
      <c r="A45023" s="118"/>
      <c r="B45023" s="136"/>
    </row>
    <row r="45024" spans="1:2" x14ac:dyDescent="0.25">
      <c r="A45024" s="118"/>
      <c r="B45024" s="136"/>
    </row>
    <row r="45025" spans="1:2" x14ac:dyDescent="0.25">
      <c r="A45025" s="118"/>
      <c r="B45025" s="136"/>
    </row>
    <row r="45026" spans="1:2" x14ac:dyDescent="0.25">
      <c r="A45026" s="118"/>
      <c r="B45026" s="136"/>
    </row>
    <row r="45027" spans="1:2" x14ac:dyDescent="0.25">
      <c r="A45027" s="118"/>
      <c r="B45027" s="136"/>
    </row>
    <row r="45028" spans="1:2" x14ac:dyDescent="0.25">
      <c r="A45028" s="118"/>
      <c r="B45028" s="136"/>
    </row>
    <row r="45029" spans="1:2" x14ac:dyDescent="0.25">
      <c r="A45029" s="118"/>
      <c r="B45029" s="136"/>
    </row>
    <row r="45030" spans="1:2" x14ac:dyDescent="0.25">
      <c r="A45030" s="118"/>
      <c r="B45030" s="136"/>
    </row>
    <row r="45031" spans="1:2" x14ac:dyDescent="0.25">
      <c r="A45031" s="118"/>
      <c r="B45031" s="136"/>
    </row>
    <row r="45032" spans="1:2" x14ac:dyDescent="0.25">
      <c r="A45032" s="118"/>
      <c r="B45032" s="136"/>
    </row>
    <row r="45033" spans="1:2" x14ac:dyDescent="0.25">
      <c r="A45033" s="118"/>
      <c r="B45033" s="136"/>
    </row>
    <row r="45034" spans="1:2" x14ac:dyDescent="0.25">
      <c r="A45034" s="118"/>
      <c r="B45034" s="136"/>
    </row>
    <row r="45035" spans="1:2" x14ac:dyDescent="0.25">
      <c r="A45035" s="118"/>
      <c r="B45035" s="136"/>
    </row>
    <row r="45036" spans="1:2" x14ac:dyDescent="0.25">
      <c r="A45036" s="118"/>
      <c r="B45036" s="136"/>
    </row>
    <row r="45037" spans="1:2" x14ac:dyDescent="0.25">
      <c r="A45037" s="118"/>
      <c r="B45037" s="136"/>
    </row>
    <row r="45038" spans="1:2" x14ac:dyDescent="0.25">
      <c r="A45038" s="118"/>
      <c r="B45038" s="136"/>
    </row>
    <row r="45039" spans="1:2" x14ac:dyDescent="0.25">
      <c r="A45039" s="118"/>
      <c r="B45039" s="136"/>
    </row>
    <row r="45040" spans="1:2" x14ac:dyDescent="0.25">
      <c r="A45040" s="118"/>
      <c r="B45040" s="136"/>
    </row>
    <row r="45041" spans="1:2" x14ac:dyDescent="0.25">
      <c r="A45041" s="118"/>
      <c r="B45041" s="136"/>
    </row>
    <row r="45042" spans="1:2" x14ac:dyDescent="0.25">
      <c r="A45042" s="118"/>
      <c r="B45042" s="136"/>
    </row>
    <row r="45043" spans="1:2" x14ac:dyDescent="0.25">
      <c r="A45043" s="118"/>
      <c r="B45043" s="136"/>
    </row>
    <row r="45044" spans="1:2" x14ac:dyDescent="0.25">
      <c r="A45044" s="118"/>
      <c r="B45044" s="136"/>
    </row>
    <row r="45045" spans="1:2" x14ac:dyDescent="0.25">
      <c r="A45045" s="118"/>
      <c r="B45045" s="136"/>
    </row>
    <row r="45046" spans="1:2" x14ac:dyDescent="0.25">
      <c r="A45046" s="118"/>
      <c r="B45046" s="136"/>
    </row>
    <row r="45047" spans="1:2" x14ac:dyDescent="0.25">
      <c r="A45047" s="118"/>
      <c r="B45047" s="136"/>
    </row>
    <row r="45048" spans="1:2" x14ac:dyDescent="0.25">
      <c r="A45048" s="118"/>
      <c r="B45048" s="136"/>
    </row>
    <row r="45049" spans="1:2" x14ac:dyDescent="0.25">
      <c r="A45049" s="118"/>
      <c r="B45049" s="136"/>
    </row>
    <row r="45050" spans="1:2" x14ac:dyDescent="0.25">
      <c r="A45050" s="118"/>
      <c r="B45050" s="136"/>
    </row>
    <row r="45051" spans="1:2" x14ac:dyDescent="0.25">
      <c r="A45051" s="118"/>
      <c r="B45051" s="136"/>
    </row>
    <row r="45052" spans="1:2" x14ac:dyDescent="0.25">
      <c r="A45052" s="118"/>
      <c r="B45052" s="136"/>
    </row>
    <row r="45053" spans="1:2" x14ac:dyDescent="0.25">
      <c r="A45053" s="118"/>
      <c r="B45053" s="136"/>
    </row>
    <row r="45054" spans="1:2" x14ac:dyDescent="0.25">
      <c r="A45054" s="118"/>
      <c r="B45054" s="136"/>
    </row>
    <row r="45055" spans="1:2" x14ac:dyDescent="0.25">
      <c r="A45055" s="118"/>
      <c r="B45055" s="136"/>
    </row>
    <row r="45056" spans="1:2" x14ac:dyDescent="0.25">
      <c r="A45056" s="118"/>
      <c r="B45056" s="136"/>
    </row>
    <row r="45057" spans="1:2" x14ac:dyDescent="0.25">
      <c r="A45057" s="118"/>
      <c r="B45057" s="136"/>
    </row>
    <row r="45058" spans="1:2" x14ac:dyDescent="0.25">
      <c r="A45058" s="118"/>
      <c r="B45058" s="136"/>
    </row>
    <row r="45059" spans="1:2" x14ac:dyDescent="0.25">
      <c r="A45059" s="118"/>
      <c r="B45059" s="136"/>
    </row>
    <row r="45060" spans="1:2" x14ac:dyDescent="0.25">
      <c r="A45060" s="118"/>
      <c r="B45060" s="136"/>
    </row>
    <row r="45061" spans="1:2" x14ac:dyDescent="0.25">
      <c r="A45061" s="118"/>
      <c r="B45061" s="136"/>
    </row>
    <row r="45062" spans="1:2" x14ac:dyDescent="0.25">
      <c r="A45062" s="118"/>
      <c r="B45062" s="136"/>
    </row>
    <row r="45063" spans="1:2" x14ac:dyDescent="0.25">
      <c r="A45063" s="118"/>
      <c r="B45063" s="136"/>
    </row>
    <row r="45064" spans="1:2" x14ac:dyDescent="0.25">
      <c r="A45064" s="118"/>
      <c r="B45064" s="136"/>
    </row>
    <row r="45065" spans="1:2" x14ac:dyDescent="0.25">
      <c r="A45065" s="118"/>
      <c r="B45065" s="136"/>
    </row>
    <row r="45066" spans="1:2" x14ac:dyDescent="0.25">
      <c r="A45066" s="118"/>
      <c r="B45066" s="136"/>
    </row>
    <row r="45067" spans="1:2" x14ac:dyDescent="0.25">
      <c r="A45067" s="118"/>
      <c r="B45067" s="136"/>
    </row>
    <row r="45068" spans="1:2" x14ac:dyDescent="0.25">
      <c r="A45068" s="118"/>
      <c r="B45068" s="136"/>
    </row>
    <row r="45069" spans="1:2" x14ac:dyDescent="0.25">
      <c r="A45069" s="118"/>
      <c r="B45069" s="136"/>
    </row>
    <row r="45070" spans="1:2" x14ac:dyDescent="0.25">
      <c r="A45070" s="118"/>
      <c r="B45070" s="136"/>
    </row>
    <row r="45071" spans="1:2" x14ac:dyDescent="0.25">
      <c r="A45071" s="118"/>
      <c r="B45071" s="136"/>
    </row>
    <row r="45072" spans="1:2" x14ac:dyDescent="0.25">
      <c r="A45072" s="118"/>
      <c r="B45072" s="136"/>
    </row>
    <row r="45073" spans="1:2" x14ac:dyDescent="0.25">
      <c r="A45073" s="118"/>
      <c r="B45073" s="136"/>
    </row>
    <row r="45074" spans="1:2" x14ac:dyDescent="0.25">
      <c r="A45074" s="118"/>
      <c r="B45074" s="136"/>
    </row>
    <row r="45075" spans="1:2" x14ac:dyDescent="0.25">
      <c r="A45075" s="118"/>
      <c r="B45075" s="136"/>
    </row>
    <row r="45076" spans="1:2" x14ac:dyDescent="0.25">
      <c r="A45076" s="118"/>
      <c r="B45076" s="136"/>
    </row>
    <row r="45077" spans="1:2" x14ac:dyDescent="0.25">
      <c r="A45077" s="118"/>
      <c r="B45077" s="136"/>
    </row>
    <row r="45078" spans="1:2" x14ac:dyDescent="0.25">
      <c r="A45078" s="118"/>
      <c r="B45078" s="136"/>
    </row>
    <row r="45079" spans="1:2" x14ac:dyDescent="0.25">
      <c r="A45079" s="118"/>
      <c r="B45079" s="136"/>
    </row>
    <row r="45080" spans="1:2" x14ac:dyDescent="0.25">
      <c r="A45080" s="118"/>
      <c r="B45080" s="136"/>
    </row>
    <row r="45081" spans="1:2" x14ac:dyDescent="0.25">
      <c r="A45081" s="118"/>
      <c r="B45081" s="136"/>
    </row>
    <row r="45082" spans="1:2" x14ac:dyDescent="0.25">
      <c r="A45082" s="118"/>
      <c r="B45082" s="136"/>
    </row>
    <row r="45083" spans="1:2" x14ac:dyDescent="0.25">
      <c r="A45083" s="118"/>
      <c r="B45083" s="136"/>
    </row>
    <row r="45084" spans="1:2" x14ac:dyDescent="0.25">
      <c r="A45084" s="118"/>
      <c r="B45084" s="136"/>
    </row>
    <row r="45085" spans="1:2" x14ac:dyDescent="0.25">
      <c r="A45085" s="118"/>
      <c r="B45085" s="136"/>
    </row>
    <row r="45086" spans="1:2" x14ac:dyDescent="0.25">
      <c r="A45086" s="118"/>
      <c r="B45086" s="136"/>
    </row>
    <row r="45087" spans="1:2" x14ac:dyDescent="0.25">
      <c r="A45087" s="118"/>
      <c r="B45087" s="136"/>
    </row>
    <row r="45088" spans="1:2" x14ac:dyDescent="0.25">
      <c r="A45088" s="118"/>
      <c r="B45088" s="136"/>
    </row>
    <row r="45089" spans="1:2" x14ac:dyDescent="0.25">
      <c r="A45089" s="118"/>
      <c r="B45089" s="136"/>
    </row>
    <row r="45090" spans="1:2" x14ac:dyDescent="0.25">
      <c r="A45090" s="118"/>
      <c r="B45090" s="136"/>
    </row>
    <row r="45091" spans="1:2" x14ac:dyDescent="0.25">
      <c r="A45091" s="118"/>
      <c r="B45091" s="136"/>
    </row>
    <row r="45092" spans="1:2" x14ac:dyDescent="0.25">
      <c r="A45092" s="118"/>
      <c r="B45092" s="136"/>
    </row>
    <row r="45093" spans="1:2" x14ac:dyDescent="0.25">
      <c r="A45093" s="118"/>
      <c r="B45093" s="136"/>
    </row>
    <row r="45094" spans="1:2" x14ac:dyDescent="0.25">
      <c r="A45094" s="118"/>
      <c r="B45094" s="136"/>
    </row>
    <row r="45095" spans="1:2" x14ac:dyDescent="0.25">
      <c r="A45095" s="118"/>
      <c r="B45095" s="136"/>
    </row>
    <row r="45096" spans="1:2" x14ac:dyDescent="0.25">
      <c r="A45096" s="118"/>
      <c r="B45096" s="136"/>
    </row>
    <row r="45097" spans="1:2" x14ac:dyDescent="0.25">
      <c r="A45097" s="118"/>
      <c r="B45097" s="136"/>
    </row>
    <row r="45098" spans="1:2" x14ac:dyDescent="0.25">
      <c r="A45098" s="118"/>
      <c r="B45098" s="136"/>
    </row>
    <row r="45099" spans="1:2" x14ac:dyDescent="0.25">
      <c r="A45099" s="118"/>
      <c r="B45099" s="136"/>
    </row>
    <row r="45100" spans="1:2" x14ac:dyDescent="0.25">
      <c r="A45100" s="118"/>
      <c r="B45100" s="136"/>
    </row>
    <row r="45101" spans="1:2" x14ac:dyDescent="0.25">
      <c r="A45101" s="118"/>
      <c r="B45101" s="136"/>
    </row>
    <row r="45102" spans="1:2" x14ac:dyDescent="0.25">
      <c r="A45102" s="118"/>
      <c r="B45102" s="136"/>
    </row>
    <row r="45103" spans="1:2" x14ac:dyDescent="0.25">
      <c r="A45103" s="118"/>
      <c r="B45103" s="136"/>
    </row>
    <row r="45104" spans="1:2" x14ac:dyDescent="0.25">
      <c r="A45104" s="118"/>
      <c r="B45104" s="136"/>
    </row>
    <row r="45105" spans="1:2" x14ac:dyDescent="0.25">
      <c r="A45105" s="118"/>
      <c r="B45105" s="136"/>
    </row>
    <row r="45106" spans="1:2" x14ac:dyDescent="0.25">
      <c r="A45106" s="118"/>
      <c r="B45106" s="136"/>
    </row>
    <row r="45107" spans="1:2" x14ac:dyDescent="0.25">
      <c r="A45107" s="118"/>
      <c r="B45107" s="136"/>
    </row>
    <row r="45108" spans="1:2" x14ac:dyDescent="0.25">
      <c r="A45108" s="118"/>
      <c r="B45108" s="136"/>
    </row>
    <row r="45109" spans="1:2" x14ac:dyDescent="0.25">
      <c r="A45109" s="118"/>
      <c r="B45109" s="136"/>
    </row>
    <row r="45110" spans="1:2" x14ac:dyDescent="0.25">
      <c r="A45110" s="118"/>
      <c r="B45110" s="136"/>
    </row>
    <row r="45111" spans="1:2" x14ac:dyDescent="0.25">
      <c r="A45111" s="118"/>
      <c r="B45111" s="136"/>
    </row>
    <row r="45112" spans="1:2" x14ac:dyDescent="0.25">
      <c r="A45112" s="118"/>
      <c r="B45112" s="136"/>
    </row>
    <row r="45113" spans="1:2" x14ac:dyDescent="0.25">
      <c r="A45113" s="118"/>
      <c r="B45113" s="136"/>
    </row>
    <row r="45114" spans="1:2" x14ac:dyDescent="0.25">
      <c r="A45114" s="118"/>
      <c r="B45114" s="136"/>
    </row>
    <row r="45115" spans="1:2" x14ac:dyDescent="0.25">
      <c r="A45115" s="118"/>
      <c r="B45115" s="136"/>
    </row>
    <row r="45116" spans="1:2" x14ac:dyDescent="0.25">
      <c r="A45116" s="118"/>
      <c r="B45116" s="136"/>
    </row>
    <row r="45117" spans="1:2" x14ac:dyDescent="0.25">
      <c r="A45117" s="118"/>
      <c r="B45117" s="136"/>
    </row>
    <row r="45118" spans="1:2" x14ac:dyDescent="0.25">
      <c r="A45118" s="118"/>
      <c r="B45118" s="136"/>
    </row>
    <row r="45119" spans="1:2" x14ac:dyDescent="0.25">
      <c r="A45119" s="118"/>
      <c r="B45119" s="136"/>
    </row>
    <row r="45120" spans="1:2" x14ac:dyDescent="0.25">
      <c r="A45120" s="118"/>
      <c r="B45120" s="136"/>
    </row>
    <row r="45121" spans="1:2" x14ac:dyDescent="0.25">
      <c r="A45121" s="118"/>
      <c r="B45121" s="136"/>
    </row>
    <row r="45122" spans="1:2" x14ac:dyDescent="0.25">
      <c r="A45122" s="118"/>
      <c r="B45122" s="136"/>
    </row>
    <row r="45123" spans="1:2" x14ac:dyDescent="0.25">
      <c r="A45123" s="118"/>
      <c r="B45123" s="136"/>
    </row>
    <row r="45124" spans="1:2" x14ac:dyDescent="0.25">
      <c r="A45124" s="118"/>
      <c r="B45124" s="136"/>
    </row>
    <row r="45125" spans="1:2" x14ac:dyDescent="0.25">
      <c r="A45125" s="118"/>
      <c r="B45125" s="136"/>
    </row>
    <row r="45126" spans="1:2" x14ac:dyDescent="0.25">
      <c r="A45126" s="118"/>
      <c r="B45126" s="136"/>
    </row>
    <row r="45127" spans="1:2" x14ac:dyDescent="0.25">
      <c r="A45127" s="118"/>
      <c r="B45127" s="136"/>
    </row>
    <row r="45128" spans="1:2" x14ac:dyDescent="0.25">
      <c r="A45128" s="118"/>
      <c r="B45128" s="136"/>
    </row>
    <row r="45129" spans="1:2" x14ac:dyDescent="0.25">
      <c r="A45129" s="118"/>
      <c r="B45129" s="136"/>
    </row>
    <row r="45130" spans="1:2" x14ac:dyDescent="0.25">
      <c r="A45130" s="118"/>
      <c r="B45130" s="136"/>
    </row>
    <row r="45131" spans="1:2" x14ac:dyDescent="0.25">
      <c r="A45131" s="118"/>
      <c r="B45131" s="136"/>
    </row>
    <row r="45132" spans="1:2" x14ac:dyDescent="0.25">
      <c r="A45132" s="118"/>
      <c r="B45132" s="136"/>
    </row>
    <row r="45133" spans="1:2" x14ac:dyDescent="0.25">
      <c r="A45133" s="118"/>
      <c r="B45133" s="136"/>
    </row>
    <row r="45134" spans="1:2" x14ac:dyDescent="0.25">
      <c r="A45134" s="118"/>
      <c r="B45134" s="136"/>
    </row>
    <row r="45135" spans="1:2" x14ac:dyDescent="0.25">
      <c r="A45135" s="118"/>
      <c r="B45135" s="136"/>
    </row>
    <row r="45136" spans="1:2" x14ac:dyDescent="0.25">
      <c r="A45136" s="118"/>
      <c r="B45136" s="136"/>
    </row>
    <row r="45137" spans="1:2" x14ac:dyDescent="0.25">
      <c r="A45137" s="118"/>
      <c r="B45137" s="136"/>
    </row>
    <row r="45138" spans="1:2" x14ac:dyDescent="0.25">
      <c r="A45138" s="118"/>
      <c r="B45138" s="136"/>
    </row>
    <row r="45139" spans="1:2" x14ac:dyDescent="0.25">
      <c r="A45139" s="118"/>
      <c r="B45139" s="136"/>
    </row>
    <row r="45140" spans="1:2" x14ac:dyDescent="0.25">
      <c r="A45140" s="118"/>
      <c r="B45140" s="136"/>
    </row>
    <row r="45141" spans="1:2" x14ac:dyDescent="0.25">
      <c r="A45141" s="118"/>
      <c r="B45141" s="136"/>
    </row>
    <row r="45142" spans="1:2" x14ac:dyDescent="0.25">
      <c r="A45142" s="118"/>
      <c r="B45142" s="136"/>
    </row>
    <row r="45143" spans="1:2" x14ac:dyDescent="0.25">
      <c r="A45143" s="118"/>
      <c r="B45143" s="136"/>
    </row>
    <row r="45144" spans="1:2" x14ac:dyDescent="0.25">
      <c r="A45144" s="118"/>
      <c r="B45144" s="136"/>
    </row>
    <row r="45145" spans="1:2" x14ac:dyDescent="0.25">
      <c r="A45145" s="118"/>
      <c r="B45145" s="136"/>
    </row>
    <row r="45146" spans="1:2" x14ac:dyDescent="0.25">
      <c r="A45146" s="118"/>
      <c r="B45146" s="136"/>
    </row>
    <row r="45147" spans="1:2" x14ac:dyDescent="0.25">
      <c r="A45147" s="118"/>
      <c r="B45147" s="136"/>
    </row>
    <row r="45148" spans="1:2" x14ac:dyDescent="0.25">
      <c r="A45148" s="118"/>
      <c r="B45148" s="136"/>
    </row>
    <row r="45149" spans="1:2" x14ac:dyDescent="0.25">
      <c r="A45149" s="118"/>
      <c r="B45149" s="136"/>
    </row>
    <row r="45150" spans="1:2" x14ac:dyDescent="0.25">
      <c r="A45150" s="118"/>
      <c r="B45150" s="136"/>
    </row>
    <row r="45151" spans="1:2" x14ac:dyDescent="0.25">
      <c r="A45151" s="118"/>
      <c r="B45151" s="136"/>
    </row>
    <row r="45152" spans="1:2" x14ac:dyDescent="0.25">
      <c r="A45152" s="118"/>
      <c r="B45152" s="136"/>
    </row>
    <row r="45153" spans="1:2" x14ac:dyDescent="0.25">
      <c r="A45153" s="118"/>
      <c r="B45153" s="136"/>
    </row>
    <row r="45154" spans="1:2" x14ac:dyDescent="0.25">
      <c r="A45154" s="118"/>
      <c r="B45154" s="136"/>
    </row>
    <row r="45155" spans="1:2" x14ac:dyDescent="0.25">
      <c r="A45155" s="118"/>
      <c r="B45155" s="136"/>
    </row>
    <row r="45156" spans="1:2" x14ac:dyDescent="0.25">
      <c r="A45156" s="118"/>
      <c r="B45156" s="136"/>
    </row>
    <row r="45157" spans="1:2" x14ac:dyDescent="0.25">
      <c r="A45157" s="118"/>
      <c r="B45157" s="136"/>
    </row>
    <row r="45158" spans="1:2" x14ac:dyDescent="0.25">
      <c r="A45158" s="118"/>
      <c r="B45158" s="136"/>
    </row>
    <row r="45159" spans="1:2" x14ac:dyDescent="0.25">
      <c r="A45159" s="118"/>
      <c r="B45159" s="136"/>
    </row>
    <row r="45160" spans="1:2" x14ac:dyDescent="0.25">
      <c r="A45160" s="118"/>
      <c r="B45160" s="136"/>
    </row>
    <row r="45161" spans="1:2" x14ac:dyDescent="0.25">
      <c r="A45161" s="118"/>
      <c r="B45161" s="136"/>
    </row>
    <row r="45162" spans="1:2" x14ac:dyDescent="0.25">
      <c r="A45162" s="118"/>
      <c r="B45162" s="136"/>
    </row>
    <row r="45163" spans="1:2" x14ac:dyDescent="0.25">
      <c r="A45163" s="118"/>
      <c r="B45163" s="136"/>
    </row>
    <row r="45164" spans="1:2" x14ac:dyDescent="0.25">
      <c r="A45164" s="118"/>
      <c r="B45164" s="136"/>
    </row>
    <row r="45165" spans="1:2" x14ac:dyDescent="0.25">
      <c r="A45165" s="118"/>
      <c r="B45165" s="136"/>
    </row>
    <row r="45166" spans="1:2" x14ac:dyDescent="0.25">
      <c r="A45166" s="118"/>
      <c r="B45166" s="136"/>
    </row>
    <row r="45167" spans="1:2" x14ac:dyDescent="0.25">
      <c r="A45167" s="118"/>
      <c r="B45167" s="136"/>
    </row>
    <row r="45168" spans="1:2" x14ac:dyDescent="0.25">
      <c r="A45168" s="118"/>
      <c r="B45168" s="136"/>
    </row>
    <row r="45169" spans="1:2" x14ac:dyDescent="0.25">
      <c r="A45169" s="118"/>
      <c r="B45169" s="136"/>
    </row>
    <row r="45170" spans="1:2" x14ac:dyDescent="0.25">
      <c r="A45170" s="118"/>
      <c r="B45170" s="136"/>
    </row>
    <row r="45171" spans="1:2" x14ac:dyDescent="0.25">
      <c r="A45171" s="118"/>
      <c r="B45171" s="136"/>
    </row>
    <row r="45172" spans="1:2" x14ac:dyDescent="0.25">
      <c r="A45172" s="118"/>
      <c r="B45172" s="136"/>
    </row>
    <row r="45173" spans="1:2" x14ac:dyDescent="0.25">
      <c r="A45173" s="118"/>
      <c r="B45173" s="136"/>
    </row>
    <row r="45174" spans="1:2" x14ac:dyDescent="0.25">
      <c r="A45174" s="118"/>
      <c r="B45174" s="136"/>
    </row>
    <row r="45175" spans="1:2" x14ac:dyDescent="0.25">
      <c r="A45175" s="118"/>
      <c r="B45175" s="136"/>
    </row>
    <row r="45176" spans="1:2" x14ac:dyDescent="0.25">
      <c r="A45176" s="118"/>
      <c r="B45176" s="136"/>
    </row>
    <row r="45177" spans="1:2" x14ac:dyDescent="0.25">
      <c r="A45177" s="118"/>
      <c r="B45177" s="136"/>
    </row>
    <row r="45178" spans="1:2" x14ac:dyDescent="0.25">
      <c r="A45178" s="118"/>
      <c r="B45178" s="136"/>
    </row>
    <row r="45179" spans="1:2" x14ac:dyDescent="0.25">
      <c r="A45179" s="118"/>
      <c r="B45179" s="136"/>
    </row>
    <row r="45180" spans="1:2" x14ac:dyDescent="0.25">
      <c r="A45180" s="118"/>
      <c r="B45180" s="136"/>
    </row>
    <row r="45181" spans="1:2" x14ac:dyDescent="0.25">
      <c r="A45181" s="118"/>
      <c r="B45181" s="136"/>
    </row>
    <row r="45182" spans="1:2" x14ac:dyDescent="0.25">
      <c r="A45182" s="118"/>
      <c r="B45182" s="136"/>
    </row>
    <row r="45183" spans="1:2" x14ac:dyDescent="0.25">
      <c r="A45183" s="118"/>
      <c r="B45183" s="136"/>
    </row>
    <row r="45184" spans="1:2" x14ac:dyDescent="0.25">
      <c r="A45184" s="118"/>
      <c r="B45184" s="136"/>
    </row>
    <row r="45185" spans="1:2" x14ac:dyDescent="0.25">
      <c r="A45185" s="118"/>
      <c r="B45185" s="136"/>
    </row>
    <row r="45186" spans="1:2" x14ac:dyDescent="0.25">
      <c r="A45186" s="118"/>
      <c r="B45186" s="136"/>
    </row>
    <row r="45187" spans="1:2" x14ac:dyDescent="0.25">
      <c r="A45187" s="118"/>
      <c r="B45187" s="136"/>
    </row>
    <row r="45188" spans="1:2" x14ac:dyDescent="0.25">
      <c r="A45188" s="118"/>
      <c r="B45188" s="136"/>
    </row>
    <row r="45189" spans="1:2" x14ac:dyDescent="0.25">
      <c r="A45189" s="118"/>
      <c r="B45189" s="136"/>
    </row>
    <row r="45190" spans="1:2" x14ac:dyDescent="0.25">
      <c r="A45190" s="118"/>
      <c r="B45190" s="136"/>
    </row>
    <row r="45191" spans="1:2" x14ac:dyDescent="0.25">
      <c r="A45191" s="118"/>
      <c r="B45191" s="136"/>
    </row>
    <row r="45192" spans="1:2" x14ac:dyDescent="0.25">
      <c r="A45192" s="118"/>
      <c r="B45192" s="136"/>
    </row>
    <row r="45193" spans="1:2" x14ac:dyDescent="0.25">
      <c r="A45193" s="118"/>
      <c r="B45193" s="136"/>
    </row>
    <row r="45194" spans="1:2" x14ac:dyDescent="0.25">
      <c r="A45194" s="118"/>
      <c r="B45194" s="136"/>
    </row>
    <row r="45195" spans="1:2" x14ac:dyDescent="0.25">
      <c r="A45195" s="118"/>
      <c r="B45195" s="136"/>
    </row>
    <row r="45196" spans="1:2" x14ac:dyDescent="0.25">
      <c r="A45196" s="118"/>
      <c r="B45196" s="136"/>
    </row>
    <row r="45197" spans="1:2" x14ac:dyDescent="0.25">
      <c r="A45197" s="118"/>
      <c r="B45197" s="136"/>
    </row>
    <row r="45198" spans="1:2" x14ac:dyDescent="0.25">
      <c r="A45198" s="118"/>
      <c r="B45198" s="136"/>
    </row>
    <row r="45199" spans="1:2" x14ac:dyDescent="0.25">
      <c r="A45199" s="118"/>
      <c r="B45199" s="136"/>
    </row>
    <row r="45200" spans="1:2" x14ac:dyDescent="0.25">
      <c r="A45200" s="118"/>
      <c r="B45200" s="136"/>
    </row>
    <row r="45201" spans="1:2" x14ac:dyDescent="0.25">
      <c r="A45201" s="118"/>
      <c r="B45201" s="136"/>
    </row>
    <row r="45202" spans="1:2" x14ac:dyDescent="0.25">
      <c r="A45202" s="118"/>
      <c r="B45202" s="136"/>
    </row>
    <row r="45203" spans="1:2" x14ac:dyDescent="0.25">
      <c r="A45203" s="118"/>
      <c r="B45203" s="136"/>
    </row>
    <row r="45204" spans="1:2" x14ac:dyDescent="0.25">
      <c r="A45204" s="118"/>
      <c r="B45204" s="136"/>
    </row>
    <row r="45205" spans="1:2" x14ac:dyDescent="0.25">
      <c r="A45205" s="118"/>
      <c r="B45205" s="136"/>
    </row>
    <row r="45206" spans="1:2" x14ac:dyDescent="0.25">
      <c r="A45206" s="118"/>
      <c r="B45206" s="136"/>
    </row>
    <row r="45207" spans="1:2" x14ac:dyDescent="0.25">
      <c r="A45207" s="118"/>
      <c r="B45207" s="136"/>
    </row>
    <row r="45208" spans="1:2" x14ac:dyDescent="0.25">
      <c r="A45208" s="118"/>
      <c r="B45208" s="136"/>
    </row>
    <row r="45209" spans="1:2" x14ac:dyDescent="0.25">
      <c r="A45209" s="118"/>
      <c r="B45209" s="136"/>
    </row>
    <row r="45210" spans="1:2" x14ac:dyDescent="0.25">
      <c r="A45210" s="118"/>
      <c r="B45210" s="136"/>
    </row>
    <row r="45211" spans="1:2" x14ac:dyDescent="0.25">
      <c r="A45211" s="118"/>
      <c r="B45211" s="136"/>
    </row>
    <row r="45212" spans="1:2" x14ac:dyDescent="0.25">
      <c r="A45212" s="118"/>
      <c r="B45212" s="136"/>
    </row>
    <row r="45213" spans="1:2" x14ac:dyDescent="0.25">
      <c r="A45213" s="118"/>
      <c r="B45213" s="136"/>
    </row>
    <row r="45214" spans="1:2" x14ac:dyDescent="0.25">
      <c r="A45214" s="118"/>
      <c r="B45214" s="136"/>
    </row>
    <row r="45215" spans="1:2" x14ac:dyDescent="0.25">
      <c r="A45215" s="118"/>
      <c r="B45215" s="136"/>
    </row>
    <row r="45216" spans="1:2" x14ac:dyDescent="0.25">
      <c r="A45216" s="118"/>
      <c r="B45216" s="136"/>
    </row>
    <row r="45217" spans="1:2" x14ac:dyDescent="0.25">
      <c r="A45217" s="118"/>
      <c r="B45217" s="136"/>
    </row>
    <row r="45218" spans="1:2" x14ac:dyDescent="0.25">
      <c r="A45218" s="118"/>
      <c r="B45218" s="136"/>
    </row>
    <row r="45219" spans="1:2" x14ac:dyDescent="0.25">
      <c r="A45219" s="118"/>
      <c r="B45219" s="136"/>
    </row>
    <row r="45220" spans="1:2" x14ac:dyDescent="0.25">
      <c r="A45220" s="118"/>
      <c r="B45220" s="136"/>
    </row>
    <row r="45221" spans="1:2" x14ac:dyDescent="0.25">
      <c r="A45221" s="118"/>
      <c r="B45221" s="136"/>
    </row>
    <row r="45222" spans="1:2" x14ac:dyDescent="0.25">
      <c r="A45222" s="118"/>
      <c r="B45222" s="136"/>
    </row>
    <row r="45223" spans="1:2" x14ac:dyDescent="0.25">
      <c r="A45223" s="118"/>
      <c r="B45223" s="136"/>
    </row>
    <row r="45224" spans="1:2" x14ac:dyDescent="0.25">
      <c r="A45224" s="118"/>
      <c r="B45224" s="136"/>
    </row>
    <row r="45225" spans="1:2" x14ac:dyDescent="0.25">
      <c r="A45225" s="118"/>
      <c r="B45225" s="136"/>
    </row>
    <row r="45226" spans="1:2" x14ac:dyDescent="0.25">
      <c r="A45226" s="118"/>
      <c r="B45226" s="136"/>
    </row>
    <row r="45227" spans="1:2" x14ac:dyDescent="0.25">
      <c r="A45227" s="118"/>
      <c r="B45227" s="136"/>
    </row>
    <row r="45228" spans="1:2" x14ac:dyDescent="0.25">
      <c r="A45228" s="118"/>
      <c r="B45228" s="136"/>
    </row>
    <row r="45229" spans="1:2" x14ac:dyDescent="0.25">
      <c r="A45229" s="118"/>
      <c r="B45229" s="136"/>
    </row>
    <row r="45230" spans="1:2" x14ac:dyDescent="0.25">
      <c r="A45230" s="118"/>
      <c r="B45230" s="136"/>
    </row>
    <row r="45231" spans="1:2" x14ac:dyDescent="0.25">
      <c r="A45231" s="118"/>
      <c r="B45231" s="136"/>
    </row>
    <row r="45232" spans="1:2" x14ac:dyDescent="0.25">
      <c r="A45232" s="118"/>
      <c r="B45232" s="136"/>
    </row>
    <row r="45233" spans="1:2" x14ac:dyDescent="0.25">
      <c r="A45233" s="118"/>
      <c r="B45233" s="136"/>
    </row>
    <row r="45234" spans="1:2" x14ac:dyDescent="0.25">
      <c r="A45234" s="118"/>
      <c r="B45234" s="136"/>
    </row>
    <row r="45235" spans="1:2" x14ac:dyDescent="0.25">
      <c r="A45235" s="118"/>
      <c r="B45235" s="136"/>
    </row>
    <row r="45236" spans="1:2" x14ac:dyDescent="0.25">
      <c r="A45236" s="118"/>
      <c r="B45236" s="136"/>
    </row>
    <row r="45237" spans="1:2" x14ac:dyDescent="0.25">
      <c r="A45237" s="118"/>
      <c r="B45237" s="136"/>
    </row>
    <row r="45238" spans="1:2" x14ac:dyDescent="0.25">
      <c r="A45238" s="118"/>
      <c r="B45238" s="136"/>
    </row>
    <row r="45239" spans="1:2" x14ac:dyDescent="0.25">
      <c r="A45239" s="118"/>
      <c r="B45239" s="136"/>
    </row>
    <row r="45240" spans="1:2" x14ac:dyDescent="0.25">
      <c r="A45240" s="118"/>
      <c r="B45240" s="136"/>
    </row>
    <row r="45241" spans="1:2" x14ac:dyDescent="0.25">
      <c r="A45241" s="118"/>
      <c r="B45241" s="136"/>
    </row>
    <row r="45242" spans="1:2" x14ac:dyDescent="0.25">
      <c r="A45242" s="118"/>
      <c r="B45242" s="136"/>
    </row>
    <row r="45243" spans="1:2" x14ac:dyDescent="0.25">
      <c r="A45243" s="118"/>
      <c r="B45243" s="136"/>
    </row>
    <row r="45244" spans="1:2" x14ac:dyDescent="0.25">
      <c r="A45244" s="118"/>
      <c r="B45244" s="136"/>
    </row>
    <row r="45245" spans="1:2" x14ac:dyDescent="0.25">
      <c r="A45245" s="118"/>
      <c r="B45245" s="136"/>
    </row>
    <row r="45246" spans="1:2" x14ac:dyDescent="0.25">
      <c r="A45246" s="118"/>
      <c r="B45246" s="136"/>
    </row>
    <row r="45247" spans="1:2" x14ac:dyDescent="0.25">
      <c r="A45247" s="118"/>
      <c r="B45247" s="136"/>
    </row>
    <row r="45248" spans="1:2" x14ac:dyDescent="0.25">
      <c r="A45248" s="118"/>
      <c r="B45248" s="136"/>
    </row>
    <row r="45249" spans="1:2" x14ac:dyDescent="0.25">
      <c r="A45249" s="118"/>
      <c r="B45249" s="136"/>
    </row>
    <row r="45250" spans="1:2" x14ac:dyDescent="0.25">
      <c r="A45250" s="118"/>
      <c r="B45250" s="136"/>
    </row>
    <row r="45251" spans="1:2" x14ac:dyDescent="0.25">
      <c r="A45251" s="118"/>
      <c r="B45251" s="136"/>
    </row>
    <row r="45252" spans="1:2" x14ac:dyDescent="0.25">
      <c r="A45252" s="118"/>
      <c r="B45252" s="136"/>
    </row>
    <row r="45253" spans="1:2" x14ac:dyDescent="0.25">
      <c r="A45253" s="118"/>
      <c r="B45253" s="136"/>
    </row>
    <row r="45254" spans="1:2" x14ac:dyDescent="0.25">
      <c r="A45254" s="118"/>
      <c r="B45254" s="136"/>
    </row>
    <row r="45255" spans="1:2" x14ac:dyDescent="0.25">
      <c r="A45255" s="118"/>
      <c r="B45255" s="136"/>
    </row>
    <row r="45256" spans="1:2" x14ac:dyDescent="0.25">
      <c r="A45256" s="118"/>
      <c r="B45256" s="136"/>
    </row>
    <row r="45257" spans="1:2" x14ac:dyDescent="0.25">
      <c r="A45257" s="118"/>
      <c r="B45257" s="136"/>
    </row>
    <row r="45258" spans="1:2" x14ac:dyDescent="0.25">
      <c r="A45258" s="118"/>
      <c r="B45258" s="136"/>
    </row>
    <row r="45259" spans="1:2" x14ac:dyDescent="0.25">
      <c r="A45259" s="118"/>
      <c r="B45259" s="136"/>
    </row>
    <row r="45260" spans="1:2" x14ac:dyDescent="0.25">
      <c r="A45260" s="118"/>
      <c r="B45260" s="136"/>
    </row>
    <row r="45261" spans="1:2" x14ac:dyDescent="0.25">
      <c r="A45261" s="118"/>
      <c r="B45261" s="136"/>
    </row>
    <row r="45262" spans="1:2" x14ac:dyDescent="0.25">
      <c r="A45262" s="118"/>
      <c r="B45262" s="136"/>
    </row>
    <row r="45263" spans="1:2" x14ac:dyDescent="0.25">
      <c r="A45263" s="118"/>
      <c r="B45263" s="136"/>
    </row>
    <row r="45264" spans="1:2" x14ac:dyDescent="0.25">
      <c r="A45264" s="118"/>
      <c r="B45264" s="136"/>
    </row>
    <row r="45265" spans="1:2" x14ac:dyDescent="0.25">
      <c r="A45265" s="118"/>
      <c r="B45265" s="136"/>
    </row>
    <row r="45266" spans="1:2" x14ac:dyDescent="0.25">
      <c r="A45266" s="118"/>
      <c r="B45266" s="136"/>
    </row>
    <row r="45267" spans="1:2" x14ac:dyDescent="0.25">
      <c r="A45267" s="118"/>
      <c r="B45267" s="136"/>
    </row>
    <row r="45268" spans="1:2" x14ac:dyDescent="0.25">
      <c r="A45268" s="118"/>
      <c r="B45268" s="136"/>
    </row>
    <row r="45269" spans="1:2" x14ac:dyDescent="0.25">
      <c r="A45269" s="118"/>
      <c r="B45269" s="136"/>
    </row>
    <row r="45270" spans="1:2" x14ac:dyDescent="0.25">
      <c r="A45270" s="118"/>
      <c r="B45270" s="136"/>
    </row>
    <row r="45271" spans="1:2" x14ac:dyDescent="0.25">
      <c r="A45271" s="118"/>
      <c r="B45271" s="136"/>
    </row>
    <row r="45272" spans="1:2" x14ac:dyDescent="0.25">
      <c r="A45272" s="118"/>
      <c r="B45272" s="136"/>
    </row>
    <row r="45273" spans="1:2" x14ac:dyDescent="0.25">
      <c r="A45273" s="118"/>
      <c r="B45273" s="136"/>
    </row>
    <row r="45274" spans="1:2" x14ac:dyDescent="0.25">
      <c r="A45274" s="118"/>
      <c r="B45274" s="136"/>
    </row>
    <row r="45275" spans="1:2" x14ac:dyDescent="0.25">
      <c r="A45275" s="118"/>
      <c r="B45275" s="136"/>
    </row>
    <row r="45276" spans="1:2" x14ac:dyDescent="0.25">
      <c r="A45276" s="118"/>
      <c r="B45276" s="136"/>
    </row>
    <row r="45277" spans="1:2" x14ac:dyDescent="0.25">
      <c r="A45277" s="118"/>
      <c r="B45277" s="136"/>
    </row>
    <row r="45278" spans="1:2" x14ac:dyDescent="0.25">
      <c r="A45278" s="118"/>
      <c r="B45278" s="136"/>
    </row>
    <row r="45279" spans="1:2" x14ac:dyDescent="0.25">
      <c r="A45279" s="118"/>
      <c r="B45279" s="136"/>
    </row>
    <row r="45280" spans="1:2" x14ac:dyDescent="0.25">
      <c r="A45280" s="118"/>
      <c r="B45280" s="136"/>
    </row>
    <row r="45281" spans="1:2" x14ac:dyDescent="0.25">
      <c r="A45281" s="118"/>
      <c r="B45281" s="136"/>
    </row>
    <row r="45282" spans="1:2" x14ac:dyDescent="0.25">
      <c r="A45282" s="118"/>
      <c r="B45282" s="136"/>
    </row>
    <row r="45283" spans="1:2" x14ac:dyDescent="0.25">
      <c r="A45283" s="118"/>
      <c r="B45283" s="136"/>
    </row>
    <row r="45284" spans="1:2" x14ac:dyDescent="0.25">
      <c r="A45284" s="118"/>
      <c r="B45284" s="136"/>
    </row>
    <row r="45285" spans="1:2" x14ac:dyDescent="0.25">
      <c r="A45285" s="118"/>
      <c r="B45285" s="136"/>
    </row>
    <row r="45286" spans="1:2" x14ac:dyDescent="0.25">
      <c r="A45286" s="118"/>
      <c r="B45286" s="136"/>
    </row>
    <row r="45287" spans="1:2" x14ac:dyDescent="0.25">
      <c r="A45287" s="118"/>
      <c r="B45287" s="136"/>
    </row>
    <row r="45288" spans="1:2" x14ac:dyDescent="0.25">
      <c r="A45288" s="118"/>
      <c r="B45288" s="136"/>
    </row>
    <row r="45289" spans="1:2" x14ac:dyDescent="0.25">
      <c r="A45289" s="118"/>
      <c r="B45289" s="136"/>
    </row>
    <row r="45290" spans="1:2" x14ac:dyDescent="0.25">
      <c r="A45290" s="118"/>
      <c r="B45290" s="136"/>
    </row>
    <row r="45291" spans="1:2" x14ac:dyDescent="0.25">
      <c r="A45291" s="118"/>
      <c r="B45291" s="136"/>
    </row>
    <row r="45292" spans="1:2" x14ac:dyDescent="0.25">
      <c r="A45292" s="118"/>
      <c r="B45292" s="136"/>
    </row>
    <row r="45293" spans="1:2" x14ac:dyDescent="0.25">
      <c r="A45293" s="118"/>
      <c r="B45293" s="136"/>
    </row>
    <row r="45294" spans="1:2" x14ac:dyDescent="0.25">
      <c r="A45294" s="118"/>
      <c r="B45294" s="136"/>
    </row>
    <row r="45295" spans="1:2" x14ac:dyDescent="0.25">
      <c r="A45295" s="118"/>
      <c r="B45295" s="136"/>
    </row>
    <row r="45296" spans="1:2" x14ac:dyDescent="0.25">
      <c r="A45296" s="118"/>
      <c r="B45296" s="136"/>
    </row>
    <row r="45297" spans="1:2" x14ac:dyDescent="0.25">
      <c r="A45297" s="118"/>
      <c r="B45297" s="136"/>
    </row>
    <row r="45298" spans="1:2" x14ac:dyDescent="0.25">
      <c r="A45298" s="118"/>
      <c r="B45298" s="136"/>
    </row>
    <row r="45299" spans="1:2" x14ac:dyDescent="0.25">
      <c r="A45299" s="118"/>
      <c r="B45299" s="136"/>
    </row>
    <row r="45300" spans="1:2" x14ac:dyDescent="0.25">
      <c r="A45300" s="118"/>
      <c r="B45300" s="136"/>
    </row>
    <row r="45301" spans="1:2" x14ac:dyDescent="0.25">
      <c r="A45301" s="118"/>
      <c r="B45301" s="136"/>
    </row>
    <row r="45302" spans="1:2" x14ac:dyDescent="0.25">
      <c r="A45302" s="118"/>
      <c r="B45302" s="136"/>
    </row>
    <row r="45303" spans="1:2" x14ac:dyDescent="0.25">
      <c r="A45303" s="118"/>
      <c r="B45303" s="136"/>
    </row>
    <row r="45304" spans="1:2" x14ac:dyDescent="0.25">
      <c r="A45304" s="118"/>
      <c r="B45304" s="136"/>
    </row>
    <row r="45305" spans="1:2" x14ac:dyDescent="0.25">
      <c r="A45305" s="118"/>
      <c r="B45305" s="136"/>
    </row>
    <row r="45306" spans="1:2" x14ac:dyDescent="0.25">
      <c r="A45306" s="118"/>
      <c r="B45306" s="136"/>
    </row>
    <row r="45307" spans="1:2" x14ac:dyDescent="0.25">
      <c r="A45307" s="118"/>
      <c r="B45307" s="136"/>
    </row>
    <row r="45308" spans="1:2" x14ac:dyDescent="0.25">
      <c r="A45308" s="118"/>
      <c r="B45308" s="136"/>
    </row>
    <row r="45309" spans="1:2" x14ac:dyDescent="0.25">
      <c r="A45309" s="118"/>
      <c r="B45309" s="136"/>
    </row>
    <row r="45310" spans="1:2" x14ac:dyDescent="0.25">
      <c r="A45310" s="118"/>
      <c r="B45310" s="136"/>
    </row>
    <row r="45311" spans="1:2" x14ac:dyDescent="0.25">
      <c r="A45311" s="118"/>
      <c r="B45311" s="136"/>
    </row>
    <row r="45312" spans="1:2" x14ac:dyDescent="0.25">
      <c r="A45312" s="118"/>
      <c r="B45312" s="136"/>
    </row>
    <row r="45313" spans="1:2" x14ac:dyDescent="0.25">
      <c r="A45313" s="118"/>
      <c r="B45313" s="136"/>
    </row>
    <row r="45314" spans="1:2" x14ac:dyDescent="0.25">
      <c r="A45314" s="118"/>
      <c r="B45314" s="136"/>
    </row>
    <row r="45315" spans="1:2" x14ac:dyDescent="0.25">
      <c r="A45315" s="118"/>
      <c r="B45315" s="136"/>
    </row>
    <row r="45316" spans="1:2" x14ac:dyDescent="0.25">
      <c r="A45316" s="118"/>
      <c r="B45316" s="136"/>
    </row>
    <row r="45317" spans="1:2" x14ac:dyDescent="0.25">
      <c r="A45317" s="118"/>
      <c r="B45317" s="136"/>
    </row>
    <row r="45318" spans="1:2" x14ac:dyDescent="0.25">
      <c r="A45318" s="118"/>
      <c r="B45318" s="136"/>
    </row>
    <row r="45319" spans="1:2" x14ac:dyDescent="0.25">
      <c r="A45319" s="118"/>
      <c r="B45319" s="136"/>
    </row>
    <row r="45320" spans="1:2" x14ac:dyDescent="0.25">
      <c r="A45320" s="118"/>
      <c r="B45320" s="136"/>
    </row>
    <row r="45321" spans="1:2" x14ac:dyDescent="0.25">
      <c r="A45321" s="118"/>
      <c r="B45321" s="136"/>
    </row>
    <row r="45322" spans="1:2" x14ac:dyDescent="0.25">
      <c r="A45322" s="118"/>
      <c r="B45322" s="136"/>
    </row>
    <row r="45323" spans="1:2" x14ac:dyDescent="0.25">
      <c r="A45323" s="118"/>
      <c r="B45323" s="136"/>
    </row>
    <row r="45324" spans="1:2" x14ac:dyDescent="0.25">
      <c r="A45324" s="118"/>
      <c r="B45324" s="136"/>
    </row>
    <row r="45325" spans="1:2" x14ac:dyDescent="0.25">
      <c r="A45325" s="118"/>
      <c r="B45325" s="136"/>
    </row>
    <row r="45326" spans="1:2" x14ac:dyDescent="0.25">
      <c r="A45326" s="118"/>
      <c r="B45326" s="136"/>
    </row>
    <row r="45327" spans="1:2" x14ac:dyDescent="0.25">
      <c r="A45327" s="118"/>
      <c r="B45327" s="136"/>
    </row>
    <row r="45328" spans="1:2" x14ac:dyDescent="0.25">
      <c r="A45328" s="118"/>
      <c r="B45328" s="136"/>
    </row>
    <row r="45329" spans="1:2" x14ac:dyDescent="0.25">
      <c r="A45329" s="118"/>
      <c r="B45329" s="136"/>
    </row>
    <row r="45330" spans="1:2" x14ac:dyDescent="0.25">
      <c r="A45330" s="118"/>
      <c r="B45330" s="136"/>
    </row>
    <row r="45331" spans="1:2" x14ac:dyDescent="0.25">
      <c r="A45331" s="118"/>
      <c r="B45331" s="136"/>
    </row>
    <row r="45332" spans="1:2" x14ac:dyDescent="0.25">
      <c r="A45332" s="118"/>
      <c r="B45332" s="136"/>
    </row>
    <row r="45333" spans="1:2" x14ac:dyDescent="0.25">
      <c r="A45333" s="118"/>
      <c r="B45333" s="136"/>
    </row>
    <row r="45334" spans="1:2" x14ac:dyDescent="0.25">
      <c r="A45334" s="118"/>
      <c r="B45334" s="136"/>
    </row>
    <row r="45335" spans="1:2" x14ac:dyDescent="0.25">
      <c r="A45335" s="118"/>
      <c r="B45335" s="136"/>
    </row>
    <row r="45336" spans="1:2" x14ac:dyDescent="0.25">
      <c r="A45336" s="118"/>
      <c r="B45336" s="136"/>
    </row>
    <row r="45337" spans="1:2" x14ac:dyDescent="0.25">
      <c r="A45337" s="118"/>
      <c r="B45337" s="136"/>
    </row>
    <row r="45338" spans="1:2" x14ac:dyDescent="0.25">
      <c r="A45338" s="118"/>
      <c r="B45338" s="136"/>
    </row>
    <row r="45339" spans="1:2" x14ac:dyDescent="0.25">
      <c r="A45339" s="118"/>
      <c r="B45339" s="136"/>
    </row>
    <row r="45340" spans="1:2" x14ac:dyDescent="0.25">
      <c r="A45340" s="118"/>
      <c r="B45340" s="136"/>
    </row>
    <row r="45341" spans="1:2" x14ac:dyDescent="0.25">
      <c r="A45341" s="118"/>
      <c r="B45341" s="136"/>
    </row>
    <row r="45342" spans="1:2" x14ac:dyDescent="0.25">
      <c r="A45342" s="118"/>
      <c r="B45342" s="136"/>
    </row>
    <row r="45343" spans="1:2" x14ac:dyDescent="0.25">
      <c r="A45343" s="118"/>
      <c r="B45343" s="136"/>
    </row>
    <row r="45344" spans="1:2" x14ac:dyDescent="0.25">
      <c r="A45344" s="118"/>
      <c r="B45344" s="136"/>
    </row>
    <row r="45345" spans="1:2" x14ac:dyDescent="0.25">
      <c r="A45345" s="118"/>
      <c r="B45345" s="136"/>
    </row>
    <row r="45346" spans="1:2" x14ac:dyDescent="0.25">
      <c r="A45346" s="118"/>
      <c r="B45346" s="136"/>
    </row>
    <row r="45347" spans="1:2" x14ac:dyDescent="0.25">
      <c r="A45347" s="118"/>
      <c r="B45347" s="136"/>
    </row>
    <row r="45348" spans="1:2" x14ac:dyDescent="0.25">
      <c r="A45348" s="118"/>
      <c r="B45348" s="136"/>
    </row>
    <row r="45349" spans="1:2" x14ac:dyDescent="0.25">
      <c r="A45349" s="118"/>
      <c r="B45349" s="136"/>
    </row>
    <row r="45350" spans="1:2" x14ac:dyDescent="0.25">
      <c r="A45350" s="118"/>
      <c r="B45350" s="136"/>
    </row>
    <row r="45351" spans="1:2" x14ac:dyDescent="0.25">
      <c r="A45351" s="118"/>
      <c r="B45351" s="136"/>
    </row>
    <row r="45352" spans="1:2" x14ac:dyDescent="0.25">
      <c r="A45352" s="118"/>
      <c r="B45352" s="136"/>
    </row>
    <row r="45353" spans="1:2" x14ac:dyDescent="0.25">
      <c r="A45353" s="118"/>
      <c r="B45353" s="136"/>
    </row>
    <row r="45354" spans="1:2" x14ac:dyDescent="0.25">
      <c r="A45354" s="118"/>
      <c r="B45354" s="136"/>
    </row>
    <row r="45355" spans="1:2" x14ac:dyDescent="0.25">
      <c r="A45355" s="118"/>
      <c r="B45355" s="136"/>
    </row>
    <row r="45356" spans="1:2" x14ac:dyDescent="0.25">
      <c r="A45356" s="118"/>
      <c r="B45356" s="136"/>
    </row>
    <row r="45357" spans="1:2" x14ac:dyDescent="0.25">
      <c r="A45357" s="118"/>
      <c r="B45357" s="136"/>
    </row>
    <row r="45358" spans="1:2" x14ac:dyDescent="0.25">
      <c r="A45358" s="118"/>
      <c r="B45358" s="136"/>
    </row>
    <row r="45359" spans="1:2" x14ac:dyDescent="0.25">
      <c r="A45359" s="118"/>
      <c r="B45359" s="136"/>
    </row>
    <row r="45360" spans="1:2" x14ac:dyDescent="0.25">
      <c r="A45360" s="118"/>
      <c r="B45360" s="136"/>
    </row>
    <row r="45361" spans="1:2" x14ac:dyDescent="0.25">
      <c r="A45361" s="118"/>
      <c r="B45361" s="136"/>
    </row>
    <row r="45362" spans="1:2" x14ac:dyDescent="0.25">
      <c r="A45362" s="118"/>
      <c r="B45362" s="136"/>
    </row>
    <row r="45363" spans="1:2" x14ac:dyDescent="0.25">
      <c r="A45363" s="118"/>
      <c r="B45363" s="136"/>
    </row>
    <row r="45364" spans="1:2" x14ac:dyDescent="0.25">
      <c r="A45364" s="118"/>
      <c r="B45364" s="136"/>
    </row>
    <row r="45365" spans="1:2" x14ac:dyDescent="0.25">
      <c r="A45365" s="118"/>
      <c r="B45365" s="136"/>
    </row>
    <row r="45366" spans="1:2" x14ac:dyDescent="0.25">
      <c r="A45366" s="118"/>
      <c r="B45366" s="136"/>
    </row>
    <row r="45367" spans="1:2" x14ac:dyDescent="0.25">
      <c r="A45367" s="118"/>
      <c r="B45367" s="136"/>
    </row>
    <row r="45368" spans="1:2" x14ac:dyDescent="0.25">
      <c r="A45368" s="118"/>
      <c r="B45368" s="136"/>
    </row>
    <row r="45369" spans="1:2" x14ac:dyDescent="0.25">
      <c r="A45369" s="118"/>
      <c r="B45369" s="136"/>
    </row>
    <row r="45370" spans="1:2" x14ac:dyDescent="0.25">
      <c r="A45370" s="118"/>
      <c r="B45370" s="136"/>
    </row>
    <row r="45371" spans="1:2" x14ac:dyDescent="0.25">
      <c r="A45371" s="118"/>
      <c r="B45371" s="136"/>
    </row>
    <row r="45372" spans="1:2" x14ac:dyDescent="0.25">
      <c r="A45372" s="118"/>
      <c r="B45372" s="136"/>
    </row>
    <row r="45373" spans="1:2" x14ac:dyDescent="0.25">
      <c r="A45373" s="118"/>
      <c r="B45373" s="136"/>
    </row>
    <row r="45374" spans="1:2" x14ac:dyDescent="0.25">
      <c r="A45374" s="118"/>
      <c r="B45374" s="136"/>
    </row>
    <row r="45375" spans="1:2" x14ac:dyDescent="0.25">
      <c r="A45375" s="118"/>
      <c r="B45375" s="136"/>
    </row>
    <row r="45376" spans="1:2" x14ac:dyDescent="0.25">
      <c r="A45376" s="118"/>
      <c r="B45376" s="136"/>
    </row>
    <row r="45377" spans="1:2" x14ac:dyDescent="0.25">
      <c r="A45377" s="118"/>
      <c r="B45377" s="136"/>
    </row>
    <row r="45378" spans="1:2" x14ac:dyDescent="0.25">
      <c r="A45378" s="118"/>
      <c r="B45378" s="136"/>
    </row>
    <row r="45379" spans="1:2" x14ac:dyDescent="0.25">
      <c r="A45379" s="118"/>
      <c r="B45379" s="136"/>
    </row>
    <row r="45380" spans="1:2" x14ac:dyDescent="0.25">
      <c r="A45380" s="118"/>
      <c r="B45380" s="136"/>
    </row>
    <row r="45381" spans="1:2" x14ac:dyDescent="0.25">
      <c r="A45381" s="118"/>
      <c r="B45381" s="136"/>
    </row>
    <row r="45382" spans="1:2" x14ac:dyDescent="0.25">
      <c r="A45382" s="118"/>
      <c r="B45382" s="136"/>
    </row>
    <row r="45383" spans="1:2" x14ac:dyDescent="0.25">
      <c r="A45383" s="118"/>
      <c r="B45383" s="136"/>
    </row>
    <row r="45384" spans="1:2" x14ac:dyDescent="0.25">
      <c r="A45384" s="118"/>
      <c r="B45384" s="136"/>
    </row>
    <row r="45385" spans="1:2" x14ac:dyDescent="0.25">
      <c r="A45385" s="118"/>
      <c r="B45385" s="136"/>
    </row>
    <row r="45386" spans="1:2" x14ac:dyDescent="0.25">
      <c r="A45386" s="118"/>
      <c r="B45386" s="136"/>
    </row>
    <row r="45387" spans="1:2" x14ac:dyDescent="0.25">
      <c r="A45387" s="118"/>
      <c r="B45387" s="136"/>
    </row>
    <row r="45388" spans="1:2" x14ac:dyDescent="0.25">
      <c r="A45388" s="118"/>
      <c r="B45388" s="136"/>
    </row>
    <row r="45389" spans="1:2" x14ac:dyDescent="0.25">
      <c r="A45389" s="118"/>
      <c r="B45389" s="136"/>
    </row>
    <row r="45390" spans="1:2" x14ac:dyDescent="0.25">
      <c r="A45390" s="118"/>
      <c r="B45390" s="136"/>
    </row>
    <row r="45391" spans="1:2" x14ac:dyDescent="0.25">
      <c r="A45391" s="118"/>
      <c r="B45391" s="136"/>
    </row>
    <row r="45392" spans="1:2" x14ac:dyDescent="0.25">
      <c r="A45392" s="118"/>
      <c r="B45392" s="136"/>
    </row>
    <row r="45393" spans="1:2" x14ac:dyDescent="0.25">
      <c r="A45393" s="118"/>
      <c r="B45393" s="136"/>
    </row>
    <row r="45394" spans="1:2" x14ac:dyDescent="0.25">
      <c r="A45394" s="118"/>
      <c r="B45394" s="136"/>
    </row>
    <row r="45395" spans="1:2" x14ac:dyDescent="0.25">
      <c r="A45395" s="118"/>
      <c r="B45395" s="136"/>
    </row>
    <row r="45396" spans="1:2" x14ac:dyDescent="0.25">
      <c r="A45396" s="118"/>
      <c r="B45396" s="136"/>
    </row>
    <row r="45397" spans="1:2" x14ac:dyDescent="0.25">
      <c r="A45397" s="118"/>
      <c r="B45397" s="136"/>
    </row>
    <row r="45398" spans="1:2" x14ac:dyDescent="0.25">
      <c r="A45398" s="118"/>
      <c r="B45398" s="136"/>
    </row>
    <row r="45399" spans="1:2" x14ac:dyDescent="0.25">
      <c r="A45399" s="118"/>
      <c r="B45399" s="136"/>
    </row>
    <row r="45400" spans="1:2" x14ac:dyDescent="0.25">
      <c r="A45400" s="118"/>
      <c r="B45400" s="136"/>
    </row>
    <row r="45401" spans="1:2" x14ac:dyDescent="0.25">
      <c r="A45401" s="118"/>
      <c r="B45401" s="136"/>
    </row>
    <row r="45402" spans="1:2" x14ac:dyDescent="0.25">
      <c r="A45402" s="118"/>
      <c r="B45402" s="136"/>
    </row>
    <row r="45403" spans="1:2" x14ac:dyDescent="0.25">
      <c r="A45403" s="118"/>
      <c r="B45403" s="136"/>
    </row>
    <row r="45404" spans="1:2" x14ac:dyDescent="0.25">
      <c r="A45404" s="118"/>
      <c r="B45404" s="136"/>
    </row>
    <row r="45405" spans="1:2" x14ac:dyDescent="0.25">
      <c r="A45405" s="118"/>
      <c r="B45405" s="136"/>
    </row>
    <row r="45406" spans="1:2" x14ac:dyDescent="0.25">
      <c r="A45406" s="118"/>
      <c r="B45406" s="136"/>
    </row>
    <row r="45407" spans="1:2" x14ac:dyDescent="0.25">
      <c r="A45407" s="118"/>
      <c r="B45407" s="136"/>
    </row>
    <row r="45408" spans="1:2" x14ac:dyDescent="0.25">
      <c r="A45408" s="118"/>
      <c r="B45408" s="136"/>
    </row>
    <row r="45409" spans="1:2" x14ac:dyDescent="0.25">
      <c r="A45409" s="118"/>
      <c r="B45409" s="136"/>
    </row>
    <row r="45410" spans="1:2" x14ac:dyDescent="0.25">
      <c r="A45410" s="118"/>
      <c r="B45410" s="136"/>
    </row>
    <row r="45411" spans="1:2" x14ac:dyDescent="0.25">
      <c r="A45411" s="118"/>
      <c r="B45411" s="136"/>
    </row>
    <row r="45412" spans="1:2" x14ac:dyDescent="0.25">
      <c r="A45412" s="118"/>
      <c r="B45412" s="136"/>
    </row>
    <row r="45413" spans="1:2" x14ac:dyDescent="0.25">
      <c r="A45413" s="118"/>
      <c r="B45413" s="136"/>
    </row>
    <row r="45414" spans="1:2" x14ac:dyDescent="0.25">
      <c r="A45414" s="118"/>
      <c r="B45414" s="136"/>
    </row>
    <row r="45415" spans="1:2" x14ac:dyDescent="0.25">
      <c r="A45415" s="118"/>
      <c r="B45415" s="136"/>
    </row>
    <row r="45416" spans="1:2" x14ac:dyDescent="0.25">
      <c r="A45416" s="118"/>
      <c r="B45416" s="136"/>
    </row>
    <row r="45417" spans="1:2" x14ac:dyDescent="0.25">
      <c r="A45417" s="118"/>
      <c r="B45417" s="136"/>
    </row>
    <row r="45418" spans="1:2" x14ac:dyDescent="0.25">
      <c r="A45418" s="118"/>
      <c r="B45418" s="136"/>
    </row>
    <row r="45419" spans="1:2" x14ac:dyDescent="0.25">
      <c r="A45419" s="118"/>
      <c r="B45419" s="136"/>
    </row>
    <row r="45420" spans="1:2" x14ac:dyDescent="0.25">
      <c r="A45420" s="118"/>
      <c r="B45420" s="136"/>
    </row>
    <row r="45421" spans="1:2" x14ac:dyDescent="0.25">
      <c r="A45421" s="118"/>
      <c r="B45421" s="136"/>
    </row>
    <row r="45422" spans="1:2" x14ac:dyDescent="0.25">
      <c r="A45422" s="118"/>
      <c r="B45422" s="136"/>
    </row>
    <row r="45423" spans="1:2" x14ac:dyDescent="0.25">
      <c r="A45423" s="118"/>
      <c r="B45423" s="136"/>
    </row>
    <row r="45424" spans="1:2" x14ac:dyDescent="0.25">
      <c r="A45424" s="118"/>
      <c r="B45424" s="136"/>
    </row>
    <row r="45425" spans="1:2" x14ac:dyDescent="0.25">
      <c r="A45425" s="118"/>
      <c r="B45425" s="136"/>
    </row>
    <row r="45426" spans="1:2" x14ac:dyDescent="0.25">
      <c r="A45426" s="118"/>
      <c r="B45426" s="136"/>
    </row>
    <row r="45427" spans="1:2" x14ac:dyDescent="0.25">
      <c r="A45427" s="118"/>
      <c r="B45427" s="136"/>
    </row>
    <row r="45428" spans="1:2" x14ac:dyDescent="0.25">
      <c r="A45428" s="118"/>
      <c r="B45428" s="136"/>
    </row>
    <row r="45429" spans="1:2" x14ac:dyDescent="0.25">
      <c r="A45429" s="118"/>
      <c r="B45429" s="136"/>
    </row>
    <row r="45430" spans="1:2" x14ac:dyDescent="0.25">
      <c r="A45430" s="118"/>
      <c r="B45430" s="136"/>
    </row>
    <row r="45431" spans="1:2" x14ac:dyDescent="0.25">
      <c r="A45431" s="118"/>
      <c r="B45431" s="136"/>
    </row>
    <row r="45432" spans="1:2" x14ac:dyDescent="0.25">
      <c r="A45432" s="118"/>
      <c r="B45432" s="136"/>
    </row>
    <row r="45433" spans="1:2" x14ac:dyDescent="0.25">
      <c r="A45433" s="118"/>
      <c r="B45433" s="136"/>
    </row>
    <row r="45434" spans="1:2" x14ac:dyDescent="0.25">
      <c r="A45434" s="118"/>
      <c r="B45434" s="136"/>
    </row>
    <row r="45435" spans="1:2" x14ac:dyDescent="0.25">
      <c r="A45435" s="118"/>
      <c r="B45435" s="136"/>
    </row>
    <row r="45436" spans="1:2" x14ac:dyDescent="0.25">
      <c r="A45436" s="118"/>
      <c r="B45436" s="136"/>
    </row>
    <row r="45437" spans="1:2" x14ac:dyDescent="0.25">
      <c r="A45437" s="118"/>
      <c r="B45437" s="136"/>
    </row>
    <row r="45438" spans="1:2" x14ac:dyDescent="0.25">
      <c r="A45438" s="118"/>
      <c r="B45438" s="136"/>
    </row>
    <row r="45439" spans="1:2" x14ac:dyDescent="0.25">
      <c r="A45439" s="118"/>
      <c r="B45439" s="136"/>
    </row>
    <row r="45440" spans="1:2" x14ac:dyDescent="0.25">
      <c r="A45440" s="118"/>
      <c r="B45440" s="136"/>
    </row>
    <row r="45441" spans="1:2" x14ac:dyDescent="0.25">
      <c r="A45441" s="118"/>
      <c r="B45441" s="136"/>
    </row>
    <row r="45442" spans="1:2" x14ac:dyDescent="0.25">
      <c r="A45442" s="118"/>
      <c r="B45442" s="136"/>
    </row>
    <row r="45443" spans="1:2" x14ac:dyDescent="0.25">
      <c r="A45443" s="118"/>
      <c r="B45443" s="136"/>
    </row>
    <row r="45444" spans="1:2" x14ac:dyDescent="0.25">
      <c r="A45444" s="118"/>
      <c r="B45444" s="136"/>
    </row>
    <row r="45445" spans="1:2" x14ac:dyDescent="0.25">
      <c r="A45445" s="118"/>
      <c r="B45445" s="136"/>
    </row>
    <row r="45446" spans="1:2" x14ac:dyDescent="0.25">
      <c r="A45446" s="118"/>
      <c r="B45446" s="136"/>
    </row>
    <row r="45447" spans="1:2" x14ac:dyDescent="0.25">
      <c r="A45447" s="118"/>
      <c r="B45447" s="136"/>
    </row>
    <row r="45448" spans="1:2" x14ac:dyDescent="0.25">
      <c r="A45448" s="118"/>
      <c r="B45448" s="136"/>
    </row>
    <row r="45449" spans="1:2" x14ac:dyDescent="0.25">
      <c r="A45449" s="118"/>
      <c r="B45449" s="136"/>
    </row>
    <row r="45450" spans="1:2" x14ac:dyDescent="0.25">
      <c r="A45450" s="118"/>
      <c r="B45450" s="136"/>
    </row>
    <row r="45451" spans="1:2" x14ac:dyDescent="0.25">
      <c r="A45451" s="118"/>
      <c r="B45451" s="136"/>
    </row>
    <row r="45452" spans="1:2" x14ac:dyDescent="0.25">
      <c r="A45452" s="118"/>
      <c r="B45452" s="136"/>
    </row>
    <row r="45453" spans="1:2" x14ac:dyDescent="0.25">
      <c r="A45453" s="118"/>
      <c r="B45453" s="136"/>
    </row>
    <row r="45454" spans="1:2" x14ac:dyDescent="0.25">
      <c r="A45454" s="118"/>
      <c r="B45454" s="136"/>
    </row>
    <row r="45455" spans="1:2" x14ac:dyDescent="0.25">
      <c r="A45455" s="118"/>
      <c r="B45455" s="136"/>
    </row>
    <row r="45456" spans="1:2" x14ac:dyDescent="0.25">
      <c r="A45456" s="118"/>
      <c r="B45456" s="136"/>
    </row>
    <row r="45457" spans="1:2" x14ac:dyDescent="0.25">
      <c r="A45457" s="118"/>
      <c r="B45457" s="136"/>
    </row>
    <row r="45458" spans="1:2" x14ac:dyDescent="0.25">
      <c r="A45458" s="118"/>
      <c r="B45458" s="136"/>
    </row>
    <row r="45459" spans="1:2" x14ac:dyDescent="0.25">
      <c r="A45459" s="118"/>
      <c r="B45459" s="136"/>
    </row>
    <row r="45460" spans="1:2" x14ac:dyDescent="0.25">
      <c r="A45460" s="118"/>
      <c r="B45460" s="136"/>
    </row>
    <row r="45461" spans="1:2" x14ac:dyDescent="0.25">
      <c r="A45461" s="118"/>
      <c r="B45461" s="136"/>
    </row>
    <row r="45462" spans="1:2" x14ac:dyDescent="0.25">
      <c r="A45462" s="118"/>
      <c r="B45462" s="136"/>
    </row>
    <row r="45463" spans="1:2" x14ac:dyDescent="0.25">
      <c r="A45463" s="118"/>
      <c r="B45463" s="136"/>
    </row>
    <row r="45464" spans="1:2" x14ac:dyDescent="0.25">
      <c r="A45464" s="118"/>
      <c r="B45464" s="136"/>
    </row>
    <row r="45465" spans="1:2" x14ac:dyDescent="0.25">
      <c r="A45465" s="118"/>
      <c r="B45465" s="136"/>
    </row>
    <row r="45466" spans="1:2" x14ac:dyDescent="0.25">
      <c r="A45466" s="118"/>
      <c r="B45466" s="136"/>
    </row>
    <row r="45467" spans="1:2" x14ac:dyDescent="0.25">
      <c r="A45467" s="118"/>
      <c r="B45467" s="136"/>
    </row>
    <row r="45468" spans="1:2" x14ac:dyDescent="0.25">
      <c r="A45468" s="118"/>
      <c r="B45468" s="136"/>
    </row>
    <row r="45469" spans="1:2" x14ac:dyDescent="0.25">
      <c r="A45469" s="118"/>
      <c r="B45469" s="136"/>
    </row>
    <row r="45470" spans="1:2" x14ac:dyDescent="0.25">
      <c r="A45470" s="118"/>
      <c r="B45470" s="136"/>
    </row>
    <row r="45471" spans="1:2" x14ac:dyDescent="0.25">
      <c r="A45471" s="118"/>
      <c r="B45471" s="136"/>
    </row>
    <row r="45472" spans="1:2" x14ac:dyDescent="0.25">
      <c r="A45472" s="118"/>
      <c r="B45472" s="136"/>
    </row>
    <row r="45473" spans="1:2" x14ac:dyDescent="0.25">
      <c r="A45473" s="118"/>
      <c r="B45473" s="136"/>
    </row>
    <row r="45474" spans="1:2" x14ac:dyDescent="0.25">
      <c r="A45474" s="118"/>
      <c r="B45474" s="136"/>
    </row>
    <row r="45475" spans="1:2" x14ac:dyDescent="0.25">
      <c r="A45475" s="118"/>
      <c r="B45475" s="136"/>
    </row>
    <row r="45476" spans="1:2" x14ac:dyDescent="0.25">
      <c r="A45476" s="118"/>
      <c r="B45476" s="136"/>
    </row>
    <row r="45477" spans="1:2" x14ac:dyDescent="0.25">
      <c r="A45477" s="118"/>
      <c r="B45477" s="136"/>
    </row>
    <row r="45478" spans="1:2" x14ac:dyDescent="0.25">
      <c r="A45478" s="118"/>
      <c r="B45478" s="136"/>
    </row>
    <row r="45479" spans="1:2" x14ac:dyDescent="0.25">
      <c r="A45479" s="118"/>
      <c r="B45479" s="136"/>
    </row>
    <row r="45480" spans="1:2" x14ac:dyDescent="0.25">
      <c r="A45480" s="118"/>
      <c r="B45480" s="136"/>
    </row>
    <row r="45481" spans="1:2" x14ac:dyDescent="0.25">
      <c r="A45481" s="118"/>
      <c r="B45481" s="136"/>
    </row>
    <row r="45482" spans="1:2" x14ac:dyDescent="0.25">
      <c r="A45482" s="118"/>
      <c r="B45482" s="136"/>
    </row>
    <row r="45483" spans="1:2" x14ac:dyDescent="0.25">
      <c r="A45483" s="118"/>
      <c r="B45483" s="136"/>
    </row>
    <row r="45484" spans="1:2" x14ac:dyDescent="0.25">
      <c r="A45484" s="118"/>
      <c r="B45484" s="136"/>
    </row>
    <row r="45485" spans="1:2" x14ac:dyDescent="0.25">
      <c r="A45485" s="118"/>
      <c r="B45485" s="136"/>
    </row>
    <row r="45486" spans="1:2" x14ac:dyDescent="0.25">
      <c r="A45486" s="118"/>
      <c r="B45486" s="136"/>
    </row>
    <row r="45487" spans="1:2" x14ac:dyDescent="0.25">
      <c r="A45487" s="118"/>
      <c r="B45487" s="136"/>
    </row>
    <row r="45488" spans="1:2" x14ac:dyDescent="0.25">
      <c r="A45488" s="118"/>
      <c r="B45488" s="136"/>
    </row>
    <row r="45489" spans="1:2" x14ac:dyDescent="0.25">
      <c r="A45489" s="118"/>
      <c r="B45489" s="136"/>
    </row>
    <row r="45490" spans="1:2" x14ac:dyDescent="0.25">
      <c r="A45490" s="118"/>
      <c r="B45490" s="136"/>
    </row>
    <row r="45491" spans="1:2" x14ac:dyDescent="0.25">
      <c r="A45491" s="118"/>
      <c r="B45491" s="136"/>
    </row>
    <row r="45492" spans="1:2" x14ac:dyDescent="0.25">
      <c r="A45492" s="118"/>
      <c r="B45492" s="136"/>
    </row>
    <row r="45493" spans="1:2" x14ac:dyDescent="0.25">
      <c r="A45493" s="118"/>
      <c r="B45493" s="136"/>
    </row>
    <row r="45494" spans="1:2" x14ac:dyDescent="0.25">
      <c r="A45494" s="118"/>
      <c r="B45494" s="136"/>
    </row>
    <row r="45495" spans="1:2" x14ac:dyDescent="0.25">
      <c r="A45495" s="118"/>
      <c r="B45495" s="136"/>
    </row>
    <row r="45496" spans="1:2" x14ac:dyDescent="0.25">
      <c r="A45496" s="118"/>
      <c r="B45496" s="136"/>
    </row>
    <row r="45497" spans="1:2" x14ac:dyDescent="0.25">
      <c r="A45497" s="118"/>
      <c r="B45497" s="136"/>
    </row>
    <row r="45498" spans="1:2" x14ac:dyDescent="0.25">
      <c r="A45498" s="118"/>
      <c r="B45498" s="136"/>
    </row>
    <row r="45499" spans="1:2" x14ac:dyDescent="0.25">
      <c r="A45499" s="118"/>
      <c r="B45499" s="136"/>
    </row>
    <row r="45500" spans="1:2" x14ac:dyDescent="0.25">
      <c r="A45500" s="118"/>
      <c r="B45500" s="136"/>
    </row>
    <row r="45501" spans="1:2" x14ac:dyDescent="0.25">
      <c r="A45501" s="118"/>
      <c r="B45501" s="136"/>
    </row>
    <row r="45502" spans="1:2" x14ac:dyDescent="0.25">
      <c r="A45502" s="118"/>
      <c r="B45502" s="136"/>
    </row>
    <row r="45503" spans="1:2" x14ac:dyDescent="0.25">
      <c r="A45503" s="118"/>
      <c r="B45503" s="136"/>
    </row>
    <row r="45504" spans="1:2" x14ac:dyDescent="0.25">
      <c r="A45504" s="118"/>
      <c r="B45504" s="136"/>
    </row>
    <row r="45505" spans="1:2" x14ac:dyDescent="0.25">
      <c r="A45505" s="118"/>
      <c r="B45505" s="136"/>
    </row>
    <row r="45506" spans="1:2" x14ac:dyDescent="0.25">
      <c r="A45506" s="118"/>
      <c r="B45506" s="136"/>
    </row>
    <row r="45507" spans="1:2" x14ac:dyDescent="0.25">
      <c r="A45507" s="118"/>
      <c r="B45507" s="136"/>
    </row>
    <row r="45508" spans="1:2" x14ac:dyDescent="0.25">
      <c r="A45508" s="118"/>
      <c r="B45508" s="136"/>
    </row>
    <row r="45509" spans="1:2" x14ac:dyDescent="0.25">
      <c r="A45509" s="118"/>
      <c r="B45509" s="136"/>
    </row>
    <row r="45510" spans="1:2" x14ac:dyDescent="0.25">
      <c r="A45510" s="118"/>
      <c r="B45510" s="136"/>
    </row>
    <row r="45511" spans="1:2" x14ac:dyDescent="0.25">
      <c r="A45511" s="118"/>
      <c r="B45511" s="136"/>
    </row>
    <row r="45512" spans="1:2" x14ac:dyDescent="0.25">
      <c r="A45512" s="118"/>
      <c r="B45512" s="136"/>
    </row>
    <row r="45513" spans="1:2" x14ac:dyDescent="0.25">
      <c r="A45513" s="118"/>
      <c r="B45513" s="136"/>
    </row>
    <row r="45514" spans="1:2" x14ac:dyDescent="0.25">
      <c r="A45514" s="118"/>
      <c r="B45514" s="136"/>
    </row>
    <row r="45515" spans="1:2" x14ac:dyDescent="0.25">
      <c r="A45515" s="118"/>
      <c r="B45515" s="136"/>
    </row>
    <row r="45516" spans="1:2" x14ac:dyDescent="0.25">
      <c r="A45516" s="118"/>
      <c r="B45516" s="136"/>
    </row>
    <row r="45517" spans="1:2" x14ac:dyDescent="0.25">
      <c r="A45517" s="118"/>
      <c r="B45517" s="136"/>
    </row>
    <row r="45518" spans="1:2" x14ac:dyDescent="0.25">
      <c r="A45518" s="118"/>
      <c r="B45518" s="136"/>
    </row>
    <row r="45519" spans="1:2" x14ac:dyDescent="0.25">
      <c r="A45519" s="118"/>
      <c r="B45519" s="136"/>
    </row>
    <row r="45520" spans="1:2" x14ac:dyDescent="0.25">
      <c r="A45520" s="118"/>
      <c r="B45520" s="136"/>
    </row>
    <row r="45521" spans="1:2" x14ac:dyDescent="0.25">
      <c r="A45521" s="118"/>
      <c r="B45521" s="136"/>
    </row>
    <row r="45522" spans="1:2" x14ac:dyDescent="0.25">
      <c r="A45522" s="118"/>
      <c r="B45522" s="136"/>
    </row>
    <row r="45523" spans="1:2" x14ac:dyDescent="0.25">
      <c r="A45523" s="118"/>
      <c r="B45523" s="136"/>
    </row>
    <row r="45524" spans="1:2" x14ac:dyDescent="0.25">
      <c r="A45524" s="118"/>
      <c r="B45524" s="136"/>
    </row>
    <row r="45525" spans="1:2" x14ac:dyDescent="0.25">
      <c r="A45525" s="118"/>
      <c r="B45525" s="136"/>
    </row>
    <row r="45526" spans="1:2" x14ac:dyDescent="0.25">
      <c r="A45526" s="118"/>
      <c r="B45526" s="136"/>
    </row>
    <row r="45527" spans="1:2" x14ac:dyDescent="0.25">
      <c r="A45527" s="118"/>
      <c r="B45527" s="136"/>
    </row>
    <row r="45528" spans="1:2" x14ac:dyDescent="0.25">
      <c r="A45528" s="118"/>
      <c r="B45528" s="136"/>
    </row>
    <row r="45529" spans="1:2" x14ac:dyDescent="0.25">
      <c r="A45529" s="118"/>
      <c r="B45529" s="136"/>
    </row>
    <row r="45530" spans="1:2" x14ac:dyDescent="0.25">
      <c r="A45530" s="118"/>
      <c r="B45530" s="136"/>
    </row>
    <row r="45531" spans="1:2" x14ac:dyDescent="0.25">
      <c r="A45531" s="118"/>
      <c r="B45531" s="136"/>
    </row>
    <row r="45532" spans="1:2" x14ac:dyDescent="0.25">
      <c r="A45532" s="118"/>
      <c r="B45532" s="136"/>
    </row>
    <row r="45533" spans="1:2" x14ac:dyDescent="0.25">
      <c r="A45533" s="118"/>
      <c r="B45533" s="136"/>
    </row>
    <row r="45534" spans="1:2" x14ac:dyDescent="0.25">
      <c r="A45534" s="118"/>
      <c r="B45534" s="136"/>
    </row>
    <row r="45535" spans="1:2" x14ac:dyDescent="0.25">
      <c r="A45535" s="118"/>
      <c r="B45535" s="136"/>
    </row>
    <row r="45536" spans="1:2" x14ac:dyDescent="0.25">
      <c r="A45536" s="118"/>
      <c r="B45536" s="136"/>
    </row>
    <row r="45537" spans="1:2" x14ac:dyDescent="0.25">
      <c r="A45537" s="118"/>
      <c r="B45537" s="136"/>
    </row>
    <row r="45538" spans="1:2" x14ac:dyDescent="0.25">
      <c r="A45538" s="118"/>
      <c r="B45538" s="136"/>
    </row>
    <row r="45539" spans="1:2" x14ac:dyDescent="0.25">
      <c r="A45539" s="118"/>
      <c r="B45539" s="136"/>
    </row>
    <row r="45540" spans="1:2" x14ac:dyDescent="0.25">
      <c r="A45540" s="118"/>
      <c r="B45540" s="136"/>
    </row>
    <row r="45541" spans="1:2" x14ac:dyDescent="0.25">
      <c r="A45541" s="118"/>
      <c r="B45541" s="136"/>
    </row>
    <row r="45542" spans="1:2" x14ac:dyDescent="0.25">
      <c r="A45542" s="118"/>
      <c r="B45542" s="136"/>
    </row>
    <row r="45543" spans="1:2" x14ac:dyDescent="0.25">
      <c r="A45543" s="118"/>
      <c r="B45543" s="136"/>
    </row>
    <row r="45544" spans="1:2" x14ac:dyDescent="0.25">
      <c r="A45544" s="118"/>
      <c r="B45544" s="136"/>
    </row>
    <row r="45545" spans="1:2" x14ac:dyDescent="0.25">
      <c r="A45545" s="118"/>
      <c r="B45545" s="136"/>
    </row>
    <row r="45546" spans="1:2" x14ac:dyDescent="0.25">
      <c r="A45546" s="118"/>
      <c r="B45546" s="136"/>
    </row>
    <row r="45547" spans="1:2" x14ac:dyDescent="0.25">
      <c r="A45547" s="118"/>
      <c r="B45547" s="136"/>
    </row>
    <row r="45548" spans="1:2" x14ac:dyDescent="0.25">
      <c r="A45548" s="118"/>
      <c r="B45548" s="136"/>
    </row>
    <row r="45549" spans="1:2" x14ac:dyDescent="0.25">
      <c r="A45549" s="118"/>
      <c r="B45549" s="136"/>
    </row>
    <row r="45550" spans="1:2" x14ac:dyDescent="0.25">
      <c r="A45550" s="118"/>
      <c r="B45550" s="136"/>
    </row>
    <row r="45551" spans="1:2" x14ac:dyDescent="0.25">
      <c r="A45551" s="118"/>
      <c r="B45551" s="136"/>
    </row>
    <row r="45552" spans="1:2" x14ac:dyDescent="0.25">
      <c r="A45552" s="118"/>
      <c r="B45552" s="136"/>
    </row>
    <row r="45553" spans="1:2" x14ac:dyDescent="0.25">
      <c r="A45553" s="118"/>
      <c r="B45553" s="136"/>
    </row>
    <row r="45554" spans="1:2" x14ac:dyDescent="0.25">
      <c r="A45554" s="118"/>
      <c r="B45554" s="136"/>
    </row>
    <row r="45555" spans="1:2" x14ac:dyDescent="0.25">
      <c r="A45555" s="118"/>
      <c r="B45555" s="136"/>
    </row>
    <row r="45556" spans="1:2" x14ac:dyDescent="0.25">
      <c r="A45556" s="118"/>
      <c r="B45556" s="136"/>
    </row>
    <row r="45557" spans="1:2" x14ac:dyDescent="0.25">
      <c r="A45557" s="118"/>
      <c r="B45557" s="136"/>
    </row>
    <row r="45558" spans="1:2" x14ac:dyDescent="0.25">
      <c r="A45558" s="118"/>
      <c r="B45558" s="136"/>
    </row>
    <row r="45559" spans="1:2" x14ac:dyDescent="0.25">
      <c r="A45559" s="118"/>
      <c r="B45559" s="136"/>
    </row>
    <row r="45560" spans="1:2" x14ac:dyDescent="0.25">
      <c r="A45560" s="118"/>
      <c r="B45560" s="136"/>
    </row>
    <row r="45561" spans="1:2" x14ac:dyDescent="0.25">
      <c r="A45561" s="118"/>
      <c r="B45561" s="136"/>
    </row>
    <row r="45562" spans="1:2" x14ac:dyDescent="0.25">
      <c r="A45562" s="118"/>
      <c r="B45562" s="136"/>
    </row>
    <row r="45563" spans="1:2" x14ac:dyDescent="0.25">
      <c r="A45563" s="118"/>
      <c r="B45563" s="136"/>
    </row>
    <row r="45564" spans="1:2" x14ac:dyDescent="0.25">
      <c r="A45564" s="118"/>
      <c r="B45564" s="136"/>
    </row>
    <row r="45565" spans="1:2" x14ac:dyDescent="0.25">
      <c r="A45565" s="118"/>
      <c r="B45565" s="136"/>
    </row>
    <row r="45566" spans="1:2" x14ac:dyDescent="0.25">
      <c r="A45566" s="118"/>
      <c r="B45566" s="136"/>
    </row>
    <row r="45567" spans="1:2" x14ac:dyDescent="0.25">
      <c r="A45567" s="118"/>
      <c r="B45567" s="136"/>
    </row>
    <row r="45568" spans="1:2" x14ac:dyDescent="0.25">
      <c r="A45568" s="118"/>
      <c r="B45568" s="136"/>
    </row>
    <row r="45569" spans="1:2" x14ac:dyDescent="0.25">
      <c r="A45569" s="118"/>
      <c r="B45569" s="136"/>
    </row>
    <row r="45570" spans="1:2" x14ac:dyDescent="0.25">
      <c r="A45570" s="118"/>
      <c r="B45570" s="136"/>
    </row>
    <row r="45571" spans="1:2" x14ac:dyDescent="0.25">
      <c r="A45571" s="118"/>
      <c r="B45571" s="136"/>
    </row>
    <row r="45572" spans="1:2" x14ac:dyDescent="0.25">
      <c r="A45572" s="118"/>
      <c r="B45572" s="136"/>
    </row>
    <row r="45573" spans="1:2" x14ac:dyDescent="0.25">
      <c r="A45573" s="118"/>
      <c r="B45573" s="136"/>
    </row>
    <row r="45574" spans="1:2" x14ac:dyDescent="0.25">
      <c r="A45574" s="118"/>
      <c r="B45574" s="136"/>
    </row>
    <row r="45575" spans="1:2" x14ac:dyDescent="0.25">
      <c r="A45575" s="118"/>
      <c r="B45575" s="136"/>
    </row>
    <row r="45576" spans="1:2" x14ac:dyDescent="0.25">
      <c r="A45576" s="118"/>
      <c r="B45576" s="136"/>
    </row>
    <row r="45577" spans="1:2" x14ac:dyDescent="0.25">
      <c r="A45577" s="118"/>
      <c r="B45577" s="136"/>
    </row>
    <row r="45578" spans="1:2" x14ac:dyDescent="0.25">
      <c r="A45578" s="118"/>
      <c r="B45578" s="136"/>
    </row>
    <row r="45579" spans="1:2" x14ac:dyDescent="0.25">
      <c r="A45579" s="118"/>
      <c r="B45579" s="136"/>
    </row>
    <row r="45580" spans="1:2" x14ac:dyDescent="0.25">
      <c r="A45580" s="118"/>
      <c r="B45580" s="136"/>
    </row>
    <row r="45581" spans="1:2" x14ac:dyDescent="0.25">
      <c r="A45581" s="118"/>
      <c r="B45581" s="136"/>
    </row>
    <row r="45582" spans="1:2" x14ac:dyDescent="0.25">
      <c r="A45582" s="118"/>
      <c r="B45582" s="136"/>
    </row>
    <row r="45583" spans="1:2" x14ac:dyDescent="0.25">
      <c r="A45583" s="118"/>
      <c r="B45583" s="136"/>
    </row>
    <row r="45584" spans="1:2" x14ac:dyDescent="0.25">
      <c r="A45584" s="118"/>
      <c r="B45584" s="136"/>
    </row>
    <row r="45585" spans="1:2" x14ac:dyDescent="0.25">
      <c r="A45585" s="118"/>
      <c r="B45585" s="136"/>
    </row>
    <row r="45586" spans="1:2" x14ac:dyDescent="0.25">
      <c r="A45586" s="118"/>
      <c r="B45586" s="136"/>
    </row>
    <row r="45587" spans="1:2" x14ac:dyDescent="0.25">
      <c r="A45587" s="118"/>
      <c r="B45587" s="136"/>
    </row>
    <row r="45588" spans="1:2" x14ac:dyDescent="0.25">
      <c r="A45588" s="118"/>
      <c r="B45588" s="136"/>
    </row>
    <row r="45589" spans="1:2" x14ac:dyDescent="0.25">
      <c r="A45589" s="118"/>
      <c r="B45589" s="136"/>
    </row>
    <row r="45590" spans="1:2" x14ac:dyDescent="0.25">
      <c r="A45590" s="118"/>
      <c r="B45590" s="136"/>
    </row>
    <row r="45591" spans="1:2" x14ac:dyDescent="0.25">
      <c r="A45591" s="118"/>
      <c r="B45591" s="136"/>
    </row>
    <row r="45592" spans="1:2" x14ac:dyDescent="0.25">
      <c r="A45592" s="118"/>
      <c r="B45592" s="136"/>
    </row>
    <row r="45593" spans="1:2" x14ac:dyDescent="0.25">
      <c r="A45593" s="118"/>
      <c r="B45593" s="136"/>
    </row>
    <row r="45594" spans="1:2" x14ac:dyDescent="0.25">
      <c r="A45594" s="118"/>
      <c r="B45594" s="136"/>
    </row>
    <row r="45595" spans="1:2" x14ac:dyDescent="0.25">
      <c r="A45595" s="118"/>
      <c r="B45595" s="136"/>
    </row>
    <row r="45596" spans="1:2" x14ac:dyDescent="0.25">
      <c r="A45596" s="118"/>
      <c r="B45596" s="136"/>
    </row>
    <row r="45597" spans="1:2" x14ac:dyDescent="0.25">
      <c r="A45597" s="118"/>
      <c r="B45597" s="136"/>
    </row>
    <row r="45598" spans="1:2" x14ac:dyDescent="0.25">
      <c r="A45598" s="118"/>
      <c r="B45598" s="136"/>
    </row>
    <row r="45599" spans="1:2" x14ac:dyDescent="0.25">
      <c r="A45599" s="118"/>
      <c r="B45599" s="136"/>
    </row>
    <row r="45600" spans="1:2" x14ac:dyDescent="0.25">
      <c r="A45600" s="118"/>
      <c r="B45600" s="136"/>
    </row>
    <row r="45601" spans="1:2" x14ac:dyDescent="0.25">
      <c r="A45601" s="118"/>
      <c r="B45601" s="136"/>
    </row>
    <row r="45602" spans="1:2" x14ac:dyDescent="0.25">
      <c r="A45602" s="118"/>
      <c r="B45602" s="136"/>
    </row>
    <row r="45603" spans="1:2" x14ac:dyDescent="0.25">
      <c r="A45603" s="118"/>
      <c r="B45603" s="136"/>
    </row>
    <row r="45604" spans="1:2" x14ac:dyDescent="0.25">
      <c r="A45604" s="118"/>
      <c r="B45604" s="136"/>
    </row>
    <row r="45605" spans="1:2" x14ac:dyDescent="0.25">
      <c r="A45605" s="118"/>
      <c r="B45605" s="136"/>
    </row>
    <row r="45606" spans="1:2" x14ac:dyDescent="0.25">
      <c r="A45606" s="118"/>
      <c r="B45606" s="136"/>
    </row>
    <row r="45607" spans="1:2" x14ac:dyDescent="0.25">
      <c r="A45607" s="118"/>
      <c r="B45607" s="136"/>
    </row>
    <row r="45608" spans="1:2" x14ac:dyDescent="0.25">
      <c r="A45608" s="118"/>
      <c r="B45608" s="136"/>
    </row>
    <row r="45609" spans="1:2" x14ac:dyDescent="0.25">
      <c r="A45609" s="118"/>
      <c r="B45609" s="136"/>
    </row>
    <row r="45610" spans="1:2" x14ac:dyDescent="0.25">
      <c r="A45610" s="118"/>
      <c r="B45610" s="136"/>
    </row>
    <row r="45611" spans="1:2" x14ac:dyDescent="0.25">
      <c r="A45611" s="118"/>
      <c r="B45611" s="136"/>
    </row>
    <row r="45612" spans="1:2" x14ac:dyDescent="0.25">
      <c r="A45612" s="118"/>
      <c r="B45612" s="136"/>
    </row>
    <row r="45613" spans="1:2" x14ac:dyDescent="0.25">
      <c r="A45613" s="118"/>
      <c r="B45613" s="136"/>
    </row>
    <row r="45614" spans="1:2" x14ac:dyDescent="0.25">
      <c r="A45614" s="118"/>
      <c r="B45614" s="136"/>
    </row>
    <row r="45615" spans="1:2" x14ac:dyDescent="0.25">
      <c r="A45615" s="118"/>
      <c r="B45615" s="136"/>
    </row>
    <row r="45616" spans="1:2" x14ac:dyDescent="0.25">
      <c r="A45616" s="118"/>
      <c r="B45616" s="136"/>
    </row>
    <row r="45617" spans="1:2" x14ac:dyDescent="0.25">
      <c r="A45617" s="118"/>
      <c r="B45617" s="136"/>
    </row>
    <row r="45618" spans="1:2" x14ac:dyDescent="0.25">
      <c r="A45618" s="118"/>
      <c r="B45618" s="136"/>
    </row>
    <row r="45619" spans="1:2" x14ac:dyDescent="0.25">
      <c r="A45619" s="118"/>
      <c r="B45619" s="136"/>
    </row>
    <row r="45620" spans="1:2" x14ac:dyDescent="0.25">
      <c r="A45620" s="118"/>
      <c r="B45620" s="136"/>
    </row>
    <row r="45621" spans="1:2" x14ac:dyDescent="0.25">
      <c r="A45621" s="118"/>
      <c r="B45621" s="136"/>
    </row>
    <row r="45622" spans="1:2" x14ac:dyDescent="0.25">
      <c r="A45622" s="118"/>
      <c r="B45622" s="136"/>
    </row>
    <row r="45623" spans="1:2" x14ac:dyDescent="0.25">
      <c r="A45623" s="118"/>
      <c r="B45623" s="136"/>
    </row>
    <row r="45624" spans="1:2" x14ac:dyDescent="0.25">
      <c r="A45624" s="118"/>
      <c r="B45624" s="136"/>
    </row>
    <row r="45625" spans="1:2" x14ac:dyDescent="0.25">
      <c r="A45625" s="118"/>
      <c r="B45625" s="136"/>
    </row>
    <row r="45626" spans="1:2" x14ac:dyDescent="0.25">
      <c r="A45626" s="118"/>
      <c r="B45626" s="136"/>
    </row>
    <row r="45627" spans="1:2" x14ac:dyDescent="0.25">
      <c r="A45627" s="118"/>
      <c r="B45627" s="136"/>
    </row>
    <row r="45628" spans="1:2" x14ac:dyDescent="0.25">
      <c r="A45628" s="118"/>
      <c r="B45628" s="136"/>
    </row>
    <row r="45629" spans="1:2" x14ac:dyDescent="0.25">
      <c r="A45629" s="118"/>
      <c r="B45629" s="136"/>
    </row>
    <row r="45630" spans="1:2" x14ac:dyDescent="0.25">
      <c r="A45630" s="118"/>
      <c r="B45630" s="136"/>
    </row>
    <row r="45631" spans="1:2" x14ac:dyDescent="0.25">
      <c r="A45631" s="118"/>
      <c r="B45631" s="136"/>
    </row>
    <row r="45632" spans="1:2" x14ac:dyDescent="0.25">
      <c r="A45632" s="118"/>
      <c r="B45632" s="136"/>
    </row>
    <row r="45633" spans="1:2" x14ac:dyDescent="0.25">
      <c r="A45633" s="118"/>
      <c r="B45633" s="136"/>
    </row>
    <row r="45634" spans="1:2" x14ac:dyDescent="0.25">
      <c r="A45634" s="118"/>
      <c r="B45634" s="136"/>
    </row>
    <row r="45635" spans="1:2" x14ac:dyDescent="0.25">
      <c r="A45635" s="118"/>
      <c r="B45635" s="136"/>
    </row>
    <row r="45636" spans="1:2" x14ac:dyDescent="0.25">
      <c r="A45636" s="118"/>
      <c r="B45636" s="136"/>
    </row>
    <row r="45637" spans="1:2" x14ac:dyDescent="0.25">
      <c r="A45637" s="118"/>
      <c r="B45637" s="136"/>
    </row>
    <row r="45638" spans="1:2" x14ac:dyDescent="0.25">
      <c r="A45638" s="118"/>
      <c r="B45638" s="136"/>
    </row>
    <row r="45639" spans="1:2" x14ac:dyDescent="0.25">
      <c r="A45639" s="118"/>
      <c r="B45639" s="136"/>
    </row>
    <row r="45640" spans="1:2" x14ac:dyDescent="0.25">
      <c r="A45640" s="118"/>
      <c r="B45640" s="136"/>
    </row>
    <row r="45641" spans="1:2" x14ac:dyDescent="0.25">
      <c r="A45641" s="118"/>
      <c r="B45641" s="136"/>
    </row>
    <row r="45642" spans="1:2" x14ac:dyDescent="0.25">
      <c r="A45642" s="118"/>
      <c r="B45642" s="136"/>
    </row>
    <row r="45643" spans="1:2" x14ac:dyDescent="0.25">
      <c r="A45643" s="118"/>
      <c r="B45643" s="136"/>
    </row>
    <row r="45644" spans="1:2" x14ac:dyDescent="0.25">
      <c r="A45644" s="118"/>
      <c r="B45644" s="136"/>
    </row>
    <row r="45645" spans="1:2" x14ac:dyDescent="0.25">
      <c r="A45645" s="118"/>
      <c r="B45645" s="136"/>
    </row>
    <row r="45646" spans="1:2" x14ac:dyDescent="0.25">
      <c r="A45646" s="118"/>
      <c r="B45646" s="136"/>
    </row>
    <row r="45647" spans="1:2" x14ac:dyDescent="0.25">
      <c r="A45647" s="118"/>
      <c r="B45647" s="136"/>
    </row>
    <row r="45648" spans="1:2" x14ac:dyDescent="0.25">
      <c r="A45648" s="118"/>
      <c r="B45648" s="136"/>
    </row>
    <row r="45649" spans="1:2" x14ac:dyDescent="0.25">
      <c r="A45649" s="118"/>
      <c r="B45649" s="136"/>
    </row>
    <row r="45650" spans="1:2" x14ac:dyDescent="0.25">
      <c r="A45650" s="118"/>
      <c r="B45650" s="136"/>
    </row>
    <row r="45651" spans="1:2" x14ac:dyDescent="0.25">
      <c r="A45651" s="118"/>
      <c r="B45651" s="136"/>
    </row>
    <row r="45652" spans="1:2" x14ac:dyDescent="0.25">
      <c r="A45652" s="118"/>
      <c r="B45652" s="136"/>
    </row>
    <row r="45653" spans="1:2" x14ac:dyDescent="0.25">
      <c r="A45653" s="118"/>
      <c r="B45653" s="136"/>
    </row>
    <row r="45654" spans="1:2" x14ac:dyDescent="0.25">
      <c r="A45654" s="118"/>
      <c r="B45654" s="136"/>
    </row>
    <row r="45655" spans="1:2" x14ac:dyDescent="0.25">
      <c r="A45655" s="118"/>
      <c r="B45655" s="136"/>
    </row>
    <row r="45656" spans="1:2" x14ac:dyDescent="0.25">
      <c r="A45656" s="118"/>
      <c r="B45656" s="136"/>
    </row>
    <row r="45657" spans="1:2" x14ac:dyDescent="0.25">
      <c r="A45657" s="118"/>
      <c r="B45657" s="136"/>
    </row>
    <row r="45658" spans="1:2" x14ac:dyDescent="0.25">
      <c r="A45658" s="118"/>
      <c r="B45658" s="136"/>
    </row>
    <row r="45659" spans="1:2" x14ac:dyDescent="0.25">
      <c r="A45659" s="118"/>
      <c r="B45659" s="136"/>
    </row>
    <row r="45660" spans="1:2" x14ac:dyDescent="0.25">
      <c r="A45660" s="118"/>
      <c r="B45660" s="136"/>
    </row>
    <row r="45661" spans="1:2" x14ac:dyDescent="0.25">
      <c r="A45661" s="118"/>
      <c r="B45661" s="136"/>
    </row>
    <row r="45662" spans="1:2" x14ac:dyDescent="0.25">
      <c r="A45662" s="118"/>
      <c r="B45662" s="136"/>
    </row>
    <row r="45663" spans="1:2" x14ac:dyDescent="0.25">
      <c r="A45663" s="118"/>
      <c r="B45663" s="136"/>
    </row>
    <row r="45664" spans="1:2" x14ac:dyDescent="0.25">
      <c r="A45664" s="118"/>
      <c r="B45664" s="136"/>
    </row>
    <row r="45665" spans="1:2" x14ac:dyDescent="0.25">
      <c r="A45665" s="118"/>
      <c r="B45665" s="136"/>
    </row>
    <row r="45666" spans="1:2" x14ac:dyDescent="0.25">
      <c r="A45666" s="118"/>
      <c r="B45666" s="136"/>
    </row>
    <row r="45667" spans="1:2" x14ac:dyDescent="0.25">
      <c r="A45667" s="118"/>
      <c r="B45667" s="136"/>
    </row>
    <row r="45668" spans="1:2" x14ac:dyDescent="0.25">
      <c r="A45668" s="118"/>
      <c r="B45668" s="136"/>
    </row>
    <row r="45669" spans="1:2" x14ac:dyDescent="0.25">
      <c r="A45669" s="118"/>
      <c r="B45669" s="136"/>
    </row>
    <row r="45670" spans="1:2" x14ac:dyDescent="0.25">
      <c r="A45670" s="118"/>
      <c r="B45670" s="136"/>
    </row>
    <row r="45671" spans="1:2" x14ac:dyDescent="0.25">
      <c r="A45671" s="118"/>
      <c r="B45671" s="136"/>
    </row>
    <row r="45672" spans="1:2" x14ac:dyDescent="0.25">
      <c r="A45672" s="118"/>
      <c r="B45672" s="136"/>
    </row>
    <row r="45673" spans="1:2" x14ac:dyDescent="0.25">
      <c r="A45673" s="118"/>
      <c r="B45673" s="136"/>
    </row>
    <row r="45674" spans="1:2" x14ac:dyDescent="0.25">
      <c r="A45674" s="118"/>
      <c r="B45674" s="136"/>
    </row>
    <row r="45675" spans="1:2" x14ac:dyDescent="0.25">
      <c r="A45675" s="118"/>
      <c r="B45675" s="136"/>
    </row>
    <row r="45676" spans="1:2" x14ac:dyDescent="0.25">
      <c r="A45676" s="118"/>
      <c r="B45676" s="136"/>
    </row>
    <row r="45677" spans="1:2" x14ac:dyDescent="0.25">
      <c r="A45677" s="118"/>
      <c r="B45677" s="136"/>
    </row>
    <row r="45678" spans="1:2" x14ac:dyDescent="0.25">
      <c r="A45678" s="118"/>
      <c r="B45678" s="136"/>
    </row>
    <row r="45679" spans="1:2" x14ac:dyDescent="0.25">
      <c r="A45679" s="118"/>
      <c r="B45679" s="136"/>
    </row>
    <row r="45680" spans="1:2" x14ac:dyDescent="0.25">
      <c r="A45680" s="118"/>
      <c r="B45680" s="136"/>
    </row>
    <row r="45681" spans="1:2" x14ac:dyDescent="0.25">
      <c r="A45681" s="118"/>
      <c r="B45681" s="136"/>
    </row>
    <row r="45682" spans="1:2" x14ac:dyDescent="0.25">
      <c r="A45682" s="118"/>
      <c r="B45682" s="136"/>
    </row>
    <row r="45683" spans="1:2" x14ac:dyDescent="0.25">
      <c r="A45683" s="118"/>
      <c r="B45683" s="136"/>
    </row>
    <row r="45684" spans="1:2" x14ac:dyDescent="0.25">
      <c r="A45684" s="118"/>
      <c r="B45684" s="136"/>
    </row>
    <row r="45685" spans="1:2" x14ac:dyDescent="0.25">
      <c r="A45685" s="118"/>
      <c r="B45685" s="136"/>
    </row>
    <row r="45686" spans="1:2" x14ac:dyDescent="0.25">
      <c r="A45686" s="118"/>
      <c r="B45686" s="136"/>
    </row>
    <row r="45687" spans="1:2" x14ac:dyDescent="0.25">
      <c r="A45687" s="118"/>
      <c r="B45687" s="136"/>
    </row>
    <row r="45688" spans="1:2" x14ac:dyDescent="0.25">
      <c r="A45688" s="118"/>
      <c r="B45688" s="136"/>
    </row>
    <row r="45689" spans="1:2" x14ac:dyDescent="0.25">
      <c r="A45689" s="118"/>
      <c r="B45689" s="136"/>
    </row>
    <row r="45690" spans="1:2" x14ac:dyDescent="0.25">
      <c r="A45690" s="118"/>
      <c r="B45690" s="136"/>
    </row>
    <row r="45691" spans="1:2" x14ac:dyDescent="0.25">
      <c r="A45691" s="118"/>
      <c r="B45691" s="136"/>
    </row>
    <row r="45692" spans="1:2" x14ac:dyDescent="0.25">
      <c r="A45692" s="118"/>
      <c r="B45692" s="136"/>
    </row>
    <row r="45693" spans="1:2" x14ac:dyDescent="0.25">
      <c r="A45693" s="118"/>
      <c r="B45693" s="136"/>
    </row>
    <row r="45694" spans="1:2" x14ac:dyDescent="0.25">
      <c r="A45694" s="118"/>
      <c r="B45694" s="136"/>
    </row>
    <row r="45695" spans="1:2" x14ac:dyDescent="0.25">
      <c r="A45695" s="118"/>
      <c r="B45695" s="136"/>
    </row>
    <row r="45696" spans="1:2" x14ac:dyDescent="0.25">
      <c r="A45696" s="118"/>
      <c r="B45696" s="136"/>
    </row>
    <row r="45697" spans="1:2" x14ac:dyDescent="0.25">
      <c r="A45697" s="118"/>
      <c r="B45697" s="136"/>
    </row>
    <row r="45698" spans="1:2" x14ac:dyDescent="0.25">
      <c r="A45698" s="118"/>
      <c r="B45698" s="136"/>
    </row>
    <row r="45699" spans="1:2" x14ac:dyDescent="0.25">
      <c r="A45699" s="118"/>
      <c r="B45699" s="136"/>
    </row>
    <row r="45700" spans="1:2" x14ac:dyDescent="0.25">
      <c r="A45700" s="118"/>
      <c r="B45700" s="136"/>
    </row>
    <row r="45701" spans="1:2" x14ac:dyDescent="0.25">
      <c r="A45701" s="118"/>
      <c r="B45701" s="136"/>
    </row>
    <row r="45702" spans="1:2" x14ac:dyDescent="0.25">
      <c r="A45702" s="118"/>
      <c r="B45702" s="136"/>
    </row>
    <row r="45703" spans="1:2" x14ac:dyDescent="0.25">
      <c r="A45703" s="118"/>
      <c r="B45703" s="136"/>
    </row>
    <row r="45704" spans="1:2" x14ac:dyDescent="0.25">
      <c r="A45704" s="118"/>
      <c r="B45704" s="136"/>
    </row>
    <row r="45705" spans="1:2" x14ac:dyDescent="0.25">
      <c r="A45705" s="118"/>
      <c r="B45705" s="136"/>
    </row>
    <row r="45706" spans="1:2" x14ac:dyDescent="0.25">
      <c r="A45706" s="118"/>
      <c r="B45706" s="136"/>
    </row>
    <row r="45707" spans="1:2" x14ac:dyDescent="0.25">
      <c r="A45707" s="118"/>
      <c r="B45707" s="136"/>
    </row>
    <row r="45708" spans="1:2" x14ac:dyDescent="0.25">
      <c r="A45708" s="118"/>
      <c r="B45708" s="136"/>
    </row>
    <row r="45709" spans="1:2" x14ac:dyDescent="0.25">
      <c r="A45709" s="118"/>
      <c r="B45709" s="136"/>
    </row>
    <row r="45710" spans="1:2" x14ac:dyDescent="0.25">
      <c r="A45710" s="118"/>
      <c r="B45710" s="136"/>
    </row>
    <row r="45711" spans="1:2" x14ac:dyDescent="0.25">
      <c r="A45711" s="118"/>
      <c r="B45711" s="136"/>
    </row>
    <row r="45712" spans="1:2" x14ac:dyDescent="0.25">
      <c r="A45712" s="118"/>
      <c r="B45712" s="136"/>
    </row>
    <row r="45713" spans="1:2" x14ac:dyDescent="0.25">
      <c r="A45713" s="118"/>
      <c r="B45713" s="136"/>
    </row>
    <row r="45714" spans="1:2" x14ac:dyDescent="0.25">
      <c r="A45714" s="118"/>
      <c r="B45714" s="136"/>
    </row>
    <row r="45715" spans="1:2" x14ac:dyDescent="0.25">
      <c r="A45715" s="118"/>
      <c r="B45715" s="136"/>
    </row>
    <row r="45716" spans="1:2" x14ac:dyDescent="0.25">
      <c r="A45716" s="118"/>
      <c r="B45716" s="136"/>
    </row>
    <row r="45717" spans="1:2" x14ac:dyDescent="0.25">
      <c r="A45717" s="118"/>
      <c r="B45717" s="136"/>
    </row>
    <row r="45718" spans="1:2" x14ac:dyDescent="0.25">
      <c r="A45718" s="118"/>
      <c r="B45718" s="136"/>
    </row>
    <row r="45719" spans="1:2" x14ac:dyDescent="0.25">
      <c r="A45719" s="118"/>
      <c r="B45719" s="136"/>
    </row>
    <row r="45720" spans="1:2" x14ac:dyDescent="0.25">
      <c r="A45720" s="118"/>
      <c r="B45720" s="136"/>
    </row>
    <row r="45721" spans="1:2" x14ac:dyDescent="0.25">
      <c r="A45721" s="118"/>
      <c r="B45721" s="136"/>
    </row>
    <row r="45722" spans="1:2" x14ac:dyDescent="0.25">
      <c r="A45722" s="118"/>
      <c r="B45722" s="136"/>
    </row>
    <row r="45723" spans="1:2" x14ac:dyDescent="0.25">
      <c r="A45723" s="118"/>
      <c r="B45723" s="136"/>
    </row>
    <row r="45724" spans="1:2" x14ac:dyDescent="0.25">
      <c r="A45724" s="118"/>
      <c r="B45724" s="136"/>
    </row>
    <row r="45725" spans="1:2" x14ac:dyDescent="0.25">
      <c r="A45725" s="118"/>
      <c r="B45725" s="136"/>
    </row>
    <row r="45726" spans="1:2" x14ac:dyDescent="0.25">
      <c r="A45726" s="118"/>
      <c r="B45726" s="136"/>
    </row>
    <row r="45727" spans="1:2" x14ac:dyDescent="0.25">
      <c r="A45727" s="118"/>
      <c r="B45727" s="136"/>
    </row>
    <row r="45728" spans="1:2" x14ac:dyDescent="0.25">
      <c r="A45728" s="118"/>
      <c r="B45728" s="136"/>
    </row>
    <row r="45729" spans="1:2" x14ac:dyDescent="0.25">
      <c r="A45729" s="118"/>
      <c r="B45729" s="136"/>
    </row>
    <row r="45730" spans="1:2" x14ac:dyDescent="0.25">
      <c r="A45730" s="118"/>
      <c r="B45730" s="136"/>
    </row>
    <row r="45731" spans="1:2" x14ac:dyDescent="0.25">
      <c r="A45731" s="118"/>
      <c r="B45731" s="136"/>
    </row>
    <row r="45732" spans="1:2" x14ac:dyDescent="0.25">
      <c r="A45732" s="118"/>
      <c r="B45732" s="136"/>
    </row>
    <row r="45733" spans="1:2" x14ac:dyDescent="0.25">
      <c r="A45733" s="118"/>
      <c r="B45733" s="136"/>
    </row>
    <row r="45734" spans="1:2" x14ac:dyDescent="0.25">
      <c r="A45734" s="118"/>
      <c r="B45734" s="136"/>
    </row>
    <row r="45735" spans="1:2" x14ac:dyDescent="0.25">
      <c r="A45735" s="118"/>
      <c r="B45735" s="136"/>
    </row>
    <row r="45736" spans="1:2" x14ac:dyDescent="0.25">
      <c r="A45736" s="118"/>
      <c r="B45736" s="136"/>
    </row>
    <row r="45737" spans="1:2" x14ac:dyDescent="0.25">
      <c r="A45737" s="118"/>
      <c r="B45737" s="136"/>
    </row>
    <row r="45738" spans="1:2" x14ac:dyDescent="0.25">
      <c r="A45738" s="118"/>
      <c r="B45738" s="136"/>
    </row>
    <row r="45739" spans="1:2" x14ac:dyDescent="0.25">
      <c r="A45739" s="118"/>
      <c r="B45739" s="136"/>
    </row>
    <row r="45740" spans="1:2" x14ac:dyDescent="0.25">
      <c r="A45740" s="118"/>
      <c r="B45740" s="136"/>
    </row>
    <row r="45741" spans="1:2" x14ac:dyDescent="0.25">
      <c r="A45741" s="118"/>
      <c r="B45741" s="136"/>
    </row>
    <row r="45742" spans="1:2" x14ac:dyDescent="0.25">
      <c r="A45742" s="118"/>
      <c r="B45742" s="136"/>
    </row>
    <row r="45743" spans="1:2" x14ac:dyDescent="0.25">
      <c r="A45743" s="118"/>
      <c r="B45743" s="136"/>
    </row>
    <row r="45744" spans="1:2" x14ac:dyDescent="0.25">
      <c r="A45744" s="118"/>
      <c r="B45744" s="136"/>
    </row>
    <row r="45745" spans="1:2" x14ac:dyDescent="0.25">
      <c r="A45745" s="118"/>
      <c r="B45745" s="136"/>
    </row>
    <row r="45746" spans="1:2" x14ac:dyDescent="0.25">
      <c r="A45746" s="118"/>
      <c r="B45746" s="136"/>
    </row>
    <row r="45747" spans="1:2" x14ac:dyDescent="0.25">
      <c r="A45747" s="118"/>
      <c r="B45747" s="136"/>
    </row>
    <row r="45748" spans="1:2" x14ac:dyDescent="0.25">
      <c r="A45748" s="118"/>
      <c r="B45748" s="136"/>
    </row>
    <row r="45749" spans="1:2" x14ac:dyDescent="0.25">
      <c r="A45749" s="118"/>
      <c r="B45749" s="136"/>
    </row>
    <row r="45750" spans="1:2" x14ac:dyDescent="0.25">
      <c r="A45750" s="118"/>
      <c r="B45750" s="136"/>
    </row>
    <row r="45751" spans="1:2" x14ac:dyDescent="0.25">
      <c r="A45751" s="118"/>
      <c r="B45751" s="136"/>
    </row>
    <row r="45752" spans="1:2" x14ac:dyDescent="0.25">
      <c r="A45752" s="118"/>
      <c r="B45752" s="136"/>
    </row>
    <row r="45753" spans="1:2" x14ac:dyDescent="0.25">
      <c r="A45753" s="118"/>
      <c r="B45753" s="136"/>
    </row>
    <row r="45754" spans="1:2" x14ac:dyDescent="0.25">
      <c r="A45754" s="118"/>
      <c r="B45754" s="136"/>
    </row>
    <row r="45755" spans="1:2" x14ac:dyDescent="0.25">
      <c r="A45755" s="118"/>
      <c r="B45755" s="136"/>
    </row>
    <row r="45756" spans="1:2" x14ac:dyDescent="0.25">
      <c r="A45756" s="118"/>
      <c r="B45756" s="136"/>
    </row>
    <row r="45757" spans="1:2" x14ac:dyDescent="0.25">
      <c r="A45757" s="118"/>
      <c r="B45757" s="136"/>
    </row>
    <row r="45758" spans="1:2" x14ac:dyDescent="0.25">
      <c r="A45758" s="118"/>
      <c r="B45758" s="136"/>
    </row>
    <row r="45759" spans="1:2" x14ac:dyDescent="0.25">
      <c r="A45759" s="118"/>
      <c r="B45759" s="136"/>
    </row>
    <row r="45760" spans="1:2" x14ac:dyDescent="0.25">
      <c r="A45760" s="118"/>
      <c r="B45760" s="136"/>
    </row>
    <row r="45761" spans="1:2" x14ac:dyDescent="0.25">
      <c r="A45761" s="118"/>
      <c r="B45761" s="136"/>
    </row>
    <row r="45762" spans="1:2" x14ac:dyDescent="0.25">
      <c r="A45762" s="118"/>
      <c r="B45762" s="136"/>
    </row>
    <row r="45763" spans="1:2" x14ac:dyDescent="0.25">
      <c r="A45763" s="118"/>
      <c r="B45763" s="136"/>
    </row>
    <row r="45764" spans="1:2" x14ac:dyDescent="0.25">
      <c r="A45764" s="118"/>
      <c r="B45764" s="136"/>
    </row>
    <row r="45765" spans="1:2" x14ac:dyDescent="0.25">
      <c r="A45765" s="118"/>
      <c r="B45765" s="136"/>
    </row>
    <row r="45766" spans="1:2" x14ac:dyDescent="0.25">
      <c r="A45766" s="118"/>
      <c r="B45766" s="136"/>
    </row>
    <row r="45767" spans="1:2" x14ac:dyDescent="0.25">
      <c r="A45767" s="118"/>
      <c r="B45767" s="136"/>
    </row>
    <row r="45768" spans="1:2" x14ac:dyDescent="0.25">
      <c r="A45768" s="118"/>
      <c r="B45768" s="136"/>
    </row>
    <row r="45769" spans="1:2" x14ac:dyDescent="0.25">
      <c r="A45769" s="118"/>
      <c r="B45769" s="136"/>
    </row>
    <row r="45770" spans="1:2" x14ac:dyDescent="0.25">
      <c r="A45770" s="118"/>
      <c r="B45770" s="136"/>
    </row>
    <row r="45771" spans="1:2" x14ac:dyDescent="0.25">
      <c r="A45771" s="118"/>
      <c r="B45771" s="136"/>
    </row>
    <row r="45772" spans="1:2" x14ac:dyDescent="0.25">
      <c r="A45772" s="118"/>
      <c r="B45772" s="136"/>
    </row>
    <row r="45773" spans="1:2" x14ac:dyDescent="0.25">
      <c r="A45773" s="118"/>
      <c r="B45773" s="136"/>
    </row>
    <row r="45774" spans="1:2" x14ac:dyDescent="0.25">
      <c r="A45774" s="118"/>
      <c r="B45774" s="136"/>
    </row>
    <row r="45775" spans="1:2" x14ac:dyDescent="0.25">
      <c r="A45775" s="118"/>
      <c r="B45775" s="136"/>
    </row>
    <row r="45776" spans="1:2" x14ac:dyDescent="0.25">
      <c r="A45776" s="118"/>
      <c r="B45776" s="136"/>
    </row>
    <row r="45777" spans="1:2" x14ac:dyDescent="0.25">
      <c r="A45777" s="118"/>
      <c r="B45777" s="136"/>
    </row>
    <row r="45778" spans="1:2" x14ac:dyDescent="0.25">
      <c r="A45778" s="118"/>
      <c r="B45778" s="136"/>
    </row>
    <row r="45779" spans="1:2" x14ac:dyDescent="0.25">
      <c r="A45779" s="118"/>
      <c r="B45779" s="136"/>
    </row>
    <row r="45780" spans="1:2" x14ac:dyDescent="0.25">
      <c r="A45780" s="118"/>
      <c r="B45780" s="136"/>
    </row>
    <row r="45781" spans="1:2" x14ac:dyDescent="0.25">
      <c r="A45781" s="118"/>
      <c r="B45781" s="136"/>
    </row>
    <row r="45782" spans="1:2" x14ac:dyDescent="0.25">
      <c r="A45782" s="118"/>
      <c r="B45782" s="136"/>
    </row>
    <row r="45783" spans="1:2" x14ac:dyDescent="0.25">
      <c r="A45783" s="118"/>
      <c r="B45783" s="136"/>
    </row>
    <row r="45784" spans="1:2" x14ac:dyDescent="0.25">
      <c r="A45784" s="118"/>
      <c r="B45784" s="136"/>
    </row>
    <row r="45785" spans="1:2" x14ac:dyDescent="0.25">
      <c r="A45785" s="118"/>
      <c r="B45785" s="136"/>
    </row>
    <row r="45786" spans="1:2" x14ac:dyDescent="0.25">
      <c r="A45786" s="118"/>
      <c r="B45786" s="136"/>
    </row>
    <row r="45787" spans="1:2" x14ac:dyDescent="0.25">
      <c r="A45787" s="118"/>
      <c r="B45787" s="136"/>
    </row>
    <row r="45788" spans="1:2" x14ac:dyDescent="0.25">
      <c r="A45788" s="118"/>
      <c r="B45788" s="136"/>
    </row>
    <row r="45789" spans="1:2" x14ac:dyDescent="0.25">
      <c r="A45789" s="118"/>
      <c r="B45789" s="136"/>
    </row>
    <row r="45790" spans="1:2" x14ac:dyDescent="0.25">
      <c r="A45790" s="118"/>
      <c r="B45790" s="136"/>
    </row>
    <row r="45791" spans="1:2" x14ac:dyDescent="0.25">
      <c r="A45791" s="118"/>
      <c r="B45791" s="136"/>
    </row>
    <row r="45792" spans="1:2" x14ac:dyDescent="0.25">
      <c r="A45792" s="118"/>
      <c r="B45792" s="136"/>
    </row>
    <row r="45793" spans="1:2" x14ac:dyDescent="0.25">
      <c r="A45793" s="118"/>
      <c r="B45793" s="136"/>
    </row>
    <row r="45794" spans="1:2" x14ac:dyDescent="0.25">
      <c r="A45794" s="118"/>
      <c r="B45794" s="136"/>
    </row>
    <row r="45795" spans="1:2" x14ac:dyDescent="0.25">
      <c r="A45795" s="118"/>
      <c r="B45795" s="136"/>
    </row>
    <row r="45796" spans="1:2" x14ac:dyDescent="0.25">
      <c r="A45796" s="118"/>
      <c r="B45796" s="136"/>
    </row>
    <row r="45797" spans="1:2" x14ac:dyDescent="0.25">
      <c r="A45797" s="118"/>
      <c r="B45797" s="136"/>
    </row>
    <row r="45798" spans="1:2" x14ac:dyDescent="0.25">
      <c r="A45798" s="118"/>
      <c r="B45798" s="136"/>
    </row>
    <row r="45799" spans="1:2" x14ac:dyDescent="0.25">
      <c r="A45799" s="118"/>
      <c r="B45799" s="136"/>
    </row>
    <row r="45800" spans="1:2" x14ac:dyDescent="0.25">
      <c r="A45800" s="118"/>
      <c r="B45800" s="136"/>
    </row>
    <row r="45801" spans="1:2" x14ac:dyDescent="0.25">
      <c r="A45801" s="118"/>
      <c r="B45801" s="136"/>
    </row>
    <row r="45802" spans="1:2" x14ac:dyDescent="0.25">
      <c r="A45802" s="118"/>
      <c r="B45802" s="136"/>
    </row>
    <row r="45803" spans="1:2" x14ac:dyDescent="0.25">
      <c r="A45803" s="118"/>
      <c r="B45803" s="136"/>
    </row>
    <row r="45804" spans="1:2" x14ac:dyDescent="0.25">
      <c r="A45804" s="118"/>
      <c r="B45804" s="136"/>
    </row>
    <row r="45805" spans="1:2" x14ac:dyDescent="0.25">
      <c r="A45805" s="118"/>
      <c r="B45805" s="136"/>
    </row>
    <row r="45806" spans="1:2" x14ac:dyDescent="0.25">
      <c r="A45806" s="118"/>
      <c r="B45806" s="136"/>
    </row>
    <row r="45807" spans="1:2" x14ac:dyDescent="0.25">
      <c r="A45807" s="118"/>
      <c r="B45807" s="136"/>
    </row>
    <row r="45808" spans="1:2" x14ac:dyDescent="0.25">
      <c r="A45808" s="118"/>
      <c r="B45808" s="136"/>
    </row>
    <row r="45809" spans="1:2" x14ac:dyDescent="0.25">
      <c r="A45809" s="118"/>
      <c r="B45809" s="136"/>
    </row>
    <row r="45810" spans="1:2" x14ac:dyDescent="0.25">
      <c r="A45810" s="118"/>
      <c r="B45810" s="136"/>
    </row>
    <row r="45811" spans="1:2" x14ac:dyDescent="0.25">
      <c r="A45811" s="118"/>
      <c r="B45811" s="136"/>
    </row>
    <row r="45812" spans="1:2" x14ac:dyDescent="0.25">
      <c r="A45812" s="118"/>
      <c r="B45812" s="136"/>
    </row>
    <row r="45813" spans="1:2" x14ac:dyDescent="0.25">
      <c r="A45813" s="118"/>
      <c r="B45813" s="136"/>
    </row>
    <row r="45814" spans="1:2" x14ac:dyDescent="0.25">
      <c r="A45814" s="118"/>
      <c r="B45814" s="136"/>
    </row>
    <row r="45815" spans="1:2" x14ac:dyDescent="0.25">
      <c r="A45815" s="118"/>
      <c r="B45815" s="136"/>
    </row>
    <row r="45816" spans="1:2" x14ac:dyDescent="0.25">
      <c r="A45816" s="118"/>
      <c r="B45816" s="136"/>
    </row>
    <row r="45817" spans="1:2" x14ac:dyDescent="0.25">
      <c r="A45817" s="118"/>
      <c r="B45817" s="136"/>
    </row>
    <row r="45818" spans="1:2" x14ac:dyDescent="0.25">
      <c r="A45818" s="118"/>
      <c r="B45818" s="136"/>
    </row>
    <row r="45819" spans="1:2" x14ac:dyDescent="0.25">
      <c r="A45819" s="118"/>
      <c r="B45819" s="136"/>
    </row>
    <row r="45820" spans="1:2" x14ac:dyDescent="0.25">
      <c r="A45820" s="118"/>
      <c r="B45820" s="136"/>
    </row>
    <row r="45821" spans="1:2" x14ac:dyDescent="0.25">
      <c r="A45821" s="118"/>
      <c r="B45821" s="136"/>
    </row>
    <row r="45822" spans="1:2" x14ac:dyDescent="0.25">
      <c r="A45822" s="118"/>
      <c r="B45822" s="136"/>
    </row>
    <row r="45823" spans="1:2" x14ac:dyDescent="0.25">
      <c r="A45823" s="118"/>
      <c r="B45823" s="136"/>
    </row>
    <row r="45824" spans="1:2" x14ac:dyDescent="0.25">
      <c r="A45824" s="118"/>
      <c r="B45824" s="136"/>
    </row>
    <row r="45825" spans="1:2" x14ac:dyDescent="0.25">
      <c r="A45825" s="118"/>
      <c r="B45825" s="136"/>
    </row>
    <row r="45826" spans="1:2" x14ac:dyDescent="0.25">
      <c r="A45826" s="118"/>
      <c r="B45826" s="136"/>
    </row>
    <row r="45827" spans="1:2" x14ac:dyDescent="0.25">
      <c r="A45827" s="118"/>
      <c r="B45827" s="136"/>
    </row>
    <row r="45828" spans="1:2" x14ac:dyDescent="0.25">
      <c r="A45828" s="118"/>
      <c r="B45828" s="136"/>
    </row>
    <row r="45829" spans="1:2" x14ac:dyDescent="0.25">
      <c r="A45829" s="118"/>
      <c r="B45829" s="136"/>
    </row>
    <row r="45830" spans="1:2" x14ac:dyDescent="0.25">
      <c r="A45830" s="118"/>
      <c r="B45830" s="136"/>
    </row>
    <row r="45831" spans="1:2" x14ac:dyDescent="0.25">
      <c r="A45831" s="118"/>
      <c r="B45831" s="136"/>
    </row>
    <row r="45832" spans="1:2" x14ac:dyDescent="0.25">
      <c r="A45832" s="118"/>
      <c r="B45832" s="136"/>
    </row>
    <row r="45833" spans="1:2" x14ac:dyDescent="0.25">
      <c r="A45833" s="118"/>
      <c r="B45833" s="136"/>
    </row>
    <row r="45834" spans="1:2" x14ac:dyDescent="0.25">
      <c r="A45834" s="118"/>
      <c r="B45834" s="136"/>
    </row>
    <row r="45835" spans="1:2" x14ac:dyDescent="0.25">
      <c r="A45835" s="118"/>
      <c r="B45835" s="136"/>
    </row>
    <row r="45836" spans="1:2" x14ac:dyDescent="0.25">
      <c r="A45836" s="118"/>
      <c r="B45836" s="136"/>
    </row>
    <row r="45837" spans="1:2" x14ac:dyDescent="0.25">
      <c r="A45837" s="118"/>
      <c r="B45837" s="136"/>
    </row>
    <row r="45838" spans="1:2" x14ac:dyDescent="0.25">
      <c r="A45838" s="118"/>
      <c r="B45838" s="136"/>
    </row>
    <row r="45839" spans="1:2" x14ac:dyDescent="0.25">
      <c r="A45839" s="118"/>
      <c r="B45839" s="136"/>
    </row>
    <row r="45840" spans="1:2" x14ac:dyDescent="0.25">
      <c r="A45840" s="118"/>
      <c r="B45840" s="136"/>
    </row>
    <row r="45841" spans="1:2" x14ac:dyDescent="0.25">
      <c r="A45841" s="118"/>
      <c r="B45841" s="136"/>
    </row>
    <row r="45842" spans="1:2" x14ac:dyDescent="0.25">
      <c r="A45842" s="118"/>
      <c r="B45842" s="136"/>
    </row>
    <row r="45843" spans="1:2" x14ac:dyDescent="0.25">
      <c r="A45843" s="118"/>
      <c r="B45843" s="136"/>
    </row>
    <row r="45844" spans="1:2" x14ac:dyDescent="0.25">
      <c r="A45844" s="118"/>
      <c r="B45844" s="136"/>
    </row>
    <row r="45845" spans="1:2" x14ac:dyDescent="0.25">
      <c r="A45845" s="118"/>
      <c r="B45845" s="136"/>
    </row>
    <row r="45846" spans="1:2" x14ac:dyDescent="0.25">
      <c r="A45846" s="118"/>
      <c r="B45846" s="136"/>
    </row>
    <row r="45847" spans="1:2" x14ac:dyDescent="0.25">
      <c r="A45847" s="118"/>
      <c r="B45847" s="136"/>
    </row>
    <row r="45848" spans="1:2" x14ac:dyDescent="0.25">
      <c r="A45848" s="118"/>
      <c r="B45848" s="136"/>
    </row>
    <row r="45849" spans="1:2" x14ac:dyDescent="0.25">
      <c r="A45849" s="118"/>
      <c r="B45849" s="136"/>
    </row>
    <row r="45850" spans="1:2" x14ac:dyDescent="0.25">
      <c r="A45850" s="118"/>
      <c r="B45850" s="136"/>
    </row>
    <row r="45851" spans="1:2" x14ac:dyDescent="0.25">
      <c r="A45851" s="118"/>
      <c r="B45851" s="136"/>
    </row>
    <row r="45852" spans="1:2" x14ac:dyDescent="0.25">
      <c r="A45852" s="118"/>
      <c r="B45852" s="136"/>
    </row>
    <row r="45853" spans="1:2" x14ac:dyDescent="0.25">
      <c r="A45853" s="118"/>
      <c r="B45853" s="136"/>
    </row>
    <row r="45854" spans="1:2" x14ac:dyDescent="0.25">
      <c r="A45854" s="118"/>
      <c r="B45854" s="136"/>
    </row>
    <row r="45855" spans="1:2" x14ac:dyDescent="0.25">
      <c r="A45855" s="118"/>
      <c r="B45855" s="136"/>
    </row>
    <row r="45856" spans="1:2" x14ac:dyDescent="0.25">
      <c r="A45856" s="118"/>
      <c r="B45856" s="136"/>
    </row>
    <row r="45857" spans="1:2" x14ac:dyDescent="0.25">
      <c r="A45857" s="118"/>
      <c r="B45857" s="136"/>
    </row>
    <row r="45858" spans="1:2" x14ac:dyDescent="0.25">
      <c r="A45858" s="118"/>
      <c r="B45858" s="136"/>
    </row>
    <row r="45859" spans="1:2" x14ac:dyDescent="0.25">
      <c r="A45859" s="118"/>
      <c r="B45859" s="136"/>
    </row>
    <row r="45860" spans="1:2" x14ac:dyDescent="0.25">
      <c r="A45860" s="118"/>
      <c r="B45860" s="136"/>
    </row>
    <row r="45861" spans="1:2" x14ac:dyDescent="0.25">
      <c r="A45861" s="118"/>
      <c r="B45861" s="136"/>
    </row>
    <row r="45862" spans="1:2" x14ac:dyDescent="0.25">
      <c r="A45862" s="118"/>
      <c r="B45862" s="136"/>
    </row>
    <row r="45863" spans="1:2" x14ac:dyDescent="0.25">
      <c r="A45863" s="118"/>
      <c r="B45863" s="136"/>
    </row>
    <row r="45864" spans="1:2" x14ac:dyDescent="0.25">
      <c r="A45864" s="118"/>
      <c r="B45864" s="136"/>
    </row>
    <row r="45865" spans="1:2" x14ac:dyDescent="0.25">
      <c r="A45865" s="118"/>
      <c r="B45865" s="136"/>
    </row>
    <row r="45866" spans="1:2" x14ac:dyDescent="0.25">
      <c r="A45866" s="118"/>
      <c r="B45866" s="136"/>
    </row>
    <row r="45867" spans="1:2" x14ac:dyDescent="0.25">
      <c r="A45867" s="118"/>
      <c r="B45867" s="136"/>
    </row>
    <row r="45868" spans="1:2" x14ac:dyDescent="0.25">
      <c r="A45868" s="118"/>
      <c r="B45868" s="136"/>
    </row>
    <row r="45869" spans="1:2" x14ac:dyDescent="0.25">
      <c r="A45869" s="118"/>
      <c r="B45869" s="136"/>
    </row>
    <row r="45870" spans="1:2" x14ac:dyDescent="0.25">
      <c r="A45870" s="118"/>
      <c r="B45870" s="136"/>
    </row>
    <row r="45871" spans="1:2" x14ac:dyDescent="0.25">
      <c r="A45871" s="118"/>
      <c r="B45871" s="136"/>
    </row>
    <row r="45872" spans="1:2" x14ac:dyDescent="0.25">
      <c r="A45872" s="118"/>
      <c r="B45872" s="136"/>
    </row>
    <row r="45873" spans="1:2" x14ac:dyDescent="0.25">
      <c r="A45873" s="118"/>
      <c r="B45873" s="136"/>
    </row>
    <row r="45874" spans="1:2" x14ac:dyDescent="0.25">
      <c r="A45874" s="118"/>
      <c r="B45874" s="136"/>
    </row>
    <row r="45875" spans="1:2" x14ac:dyDescent="0.25">
      <c r="A45875" s="118"/>
      <c r="B45875" s="136"/>
    </row>
    <row r="45876" spans="1:2" x14ac:dyDescent="0.25">
      <c r="A45876" s="118"/>
      <c r="B45876" s="136"/>
    </row>
    <row r="45877" spans="1:2" x14ac:dyDescent="0.25">
      <c r="A45877" s="118"/>
      <c r="B45877" s="136"/>
    </row>
    <row r="45878" spans="1:2" x14ac:dyDescent="0.25">
      <c r="A45878" s="118"/>
      <c r="B45878" s="136"/>
    </row>
    <row r="45879" spans="1:2" x14ac:dyDescent="0.25">
      <c r="A45879" s="118"/>
      <c r="B45879" s="136"/>
    </row>
    <row r="45880" spans="1:2" x14ac:dyDescent="0.25">
      <c r="A45880" s="118"/>
      <c r="B45880" s="136"/>
    </row>
    <row r="45881" spans="1:2" x14ac:dyDescent="0.25">
      <c r="A45881" s="118"/>
      <c r="B45881" s="136"/>
    </row>
    <row r="45882" spans="1:2" x14ac:dyDescent="0.25">
      <c r="A45882" s="118"/>
      <c r="B45882" s="136"/>
    </row>
    <row r="45883" spans="1:2" x14ac:dyDescent="0.25">
      <c r="A45883" s="118"/>
      <c r="B45883" s="136"/>
    </row>
    <row r="45884" spans="1:2" x14ac:dyDescent="0.25">
      <c r="A45884" s="118"/>
      <c r="B45884" s="136"/>
    </row>
    <row r="45885" spans="1:2" x14ac:dyDescent="0.25">
      <c r="A45885" s="118"/>
      <c r="B45885" s="136"/>
    </row>
    <row r="45886" spans="1:2" x14ac:dyDescent="0.25">
      <c r="A45886" s="118"/>
      <c r="B45886" s="136"/>
    </row>
    <row r="45887" spans="1:2" x14ac:dyDescent="0.25">
      <c r="A45887" s="118"/>
      <c r="B45887" s="136"/>
    </row>
    <row r="45888" spans="1:2" x14ac:dyDescent="0.25">
      <c r="A45888" s="118"/>
      <c r="B45888" s="136"/>
    </row>
    <row r="45889" spans="1:2" x14ac:dyDescent="0.25">
      <c r="A45889" s="118"/>
      <c r="B45889" s="136"/>
    </row>
    <row r="45890" spans="1:2" x14ac:dyDescent="0.25">
      <c r="A45890" s="118"/>
      <c r="B45890" s="136"/>
    </row>
    <row r="45891" spans="1:2" x14ac:dyDescent="0.25">
      <c r="A45891" s="118"/>
      <c r="B45891" s="136"/>
    </row>
    <row r="45892" spans="1:2" x14ac:dyDescent="0.25">
      <c r="A45892" s="118"/>
      <c r="B45892" s="136"/>
    </row>
    <row r="45893" spans="1:2" x14ac:dyDescent="0.25">
      <c r="A45893" s="118"/>
      <c r="B45893" s="136"/>
    </row>
    <row r="45894" spans="1:2" x14ac:dyDescent="0.25">
      <c r="A45894" s="118"/>
      <c r="B45894" s="136"/>
    </row>
    <row r="45895" spans="1:2" x14ac:dyDescent="0.25">
      <c r="A45895" s="118"/>
      <c r="B45895" s="136"/>
    </row>
    <row r="45896" spans="1:2" x14ac:dyDescent="0.25">
      <c r="A45896" s="118"/>
      <c r="B45896" s="136"/>
    </row>
    <row r="45897" spans="1:2" x14ac:dyDescent="0.25">
      <c r="A45897" s="118"/>
      <c r="B45897" s="136"/>
    </row>
    <row r="45898" spans="1:2" x14ac:dyDescent="0.25">
      <c r="A45898" s="118"/>
      <c r="B45898" s="136"/>
    </row>
    <row r="45899" spans="1:2" x14ac:dyDescent="0.25">
      <c r="A45899" s="118"/>
      <c r="B45899" s="136"/>
    </row>
    <row r="45900" spans="1:2" x14ac:dyDescent="0.25">
      <c r="A45900" s="118"/>
      <c r="B45900" s="136"/>
    </row>
    <row r="45901" spans="1:2" x14ac:dyDescent="0.25">
      <c r="A45901" s="118"/>
      <c r="B45901" s="136"/>
    </row>
    <row r="45902" spans="1:2" x14ac:dyDescent="0.25">
      <c r="A45902" s="118"/>
      <c r="B45902" s="136"/>
    </row>
    <row r="45903" spans="1:2" x14ac:dyDescent="0.25">
      <c r="A45903" s="118"/>
      <c r="B45903" s="136"/>
    </row>
    <row r="45904" spans="1:2" x14ac:dyDescent="0.25">
      <c r="A45904" s="118"/>
      <c r="B45904" s="136"/>
    </row>
    <row r="45905" spans="1:2" x14ac:dyDescent="0.25">
      <c r="A45905" s="118"/>
      <c r="B45905" s="136"/>
    </row>
    <row r="45906" spans="1:2" x14ac:dyDescent="0.25">
      <c r="A45906" s="118"/>
      <c r="B45906" s="136"/>
    </row>
    <row r="45907" spans="1:2" x14ac:dyDescent="0.25">
      <c r="A45907" s="118"/>
      <c r="B45907" s="136"/>
    </row>
    <row r="45908" spans="1:2" x14ac:dyDescent="0.25">
      <c r="A45908" s="118"/>
      <c r="B45908" s="136"/>
    </row>
    <row r="45909" spans="1:2" x14ac:dyDescent="0.25">
      <c r="A45909" s="118"/>
      <c r="B45909" s="136"/>
    </row>
    <row r="45910" spans="1:2" x14ac:dyDescent="0.25">
      <c r="A45910" s="118"/>
      <c r="B45910" s="136"/>
    </row>
    <row r="45911" spans="1:2" x14ac:dyDescent="0.25">
      <c r="A45911" s="118"/>
      <c r="B45911" s="136"/>
    </row>
    <row r="45912" spans="1:2" x14ac:dyDescent="0.25">
      <c r="A45912" s="118"/>
      <c r="B45912" s="136"/>
    </row>
    <row r="45913" spans="1:2" x14ac:dyDescent="0.25">
      <c r="A45913" s="118"/>
      <c r="B45913" s="136"/>
    </row>
    <row r="45914" spans="1:2" x14ac:dyDescent="0.25">
      <c r="A45914" s="118"/>
      <c r="B45914" s="136"/>
    </row>
    <row r="45915" spans="1:2" x14ac:dyDescent="0.25">
      <c r="A45915" s="118"/>
      <c r="B45915" s="136"/>
    </row>
    <row r="45916" spans="1:2" x14ac:dyDescent="0.25">
      <c r="A45916" s="118"/>
      <c r="B45916" s="136"/>
    </row>
    <row r="45917" spans="1:2" x14ac:dyDescent="0.25">
      <c r="A45917" s="118"/>
      <c r="B45917" s="136"/>
    </row>
    <row r="45918" spans="1:2" x14ac:dyDescent="0.25">
      <c r="A45918" s="118"/>
      <c r="B45918" s="136"/>
    </row>
    <row r="45919" spans="1:2" x14ac:dyDescent="0.25">
      <c r="A45919" s="118"/>
      <c r="B45919" s="136"/>
    </row>
    <row r="45920" spans="1:2" x14ac:dyDescent="0.25">
      <c r="A45920" s="118"/>
      <c r="B45920" s="136"/>
    </row>
    <row r="45921" spans="1:2" x14ac:dyDescent="0.25">
      <c r="A45921" s="118"/>
      <c r="B45921" s="136"/>
    </row>
    <row r="45922" spans="1:2" x14ac:dyDescent="0.25">
      <c r="A45922" s="118"/>
      <c r="B45922" s="136"/>
    </row>
    <row r="45923" spans="1:2" x14ac:dyDescent="0.25">
      <c r="A45923" s="118"/>
      <c r="B45923" s="136"/>
    </row>
    <row r="45924" spans="1:2" x14ac:dyDescent="0.25">
      <c r="A45924" s="118"/>
      <c r="B45924" s="136"/>
    </row>
    <row r="45925" spans="1:2" x14ac:dyDescent="0.25">
      <c r="A45925" s="118"/>
      <c r="B45925" s="136"/>
    </row>
    <row r="45926" spans="1:2" x14ac:dyDescent="0.25">
      <c r="A45926" s="118"/>
      <c r="B45926" s="136"/>
    </row>
    <row r="45927" spans="1:2" x14ac:dyDescent="0.25">
      <c r="A45927" s="118"/>
      <c r="B45927" s="136"/>
    </row>
    <row r="45928" spans="1:2" x14ac:dyDescent="0.25">
      <c r="A45928" s="118"/>
      <c r="B45928" s="136"/>
    </row>
    <row r="45929" spans="1:2" x14ac:dyDescent="0.25">
      <c r="A45929" s="118"/>
      <c r="B45929" s="136"/>
    </row>
    <row r="45930" spans="1:2" x14ac:dyDescent="0.25">
      <c r="A45930" s="118"/>
      <c r="B45930" s="136"/>
    </row>
    <row r="45931" spans="1:2" x14ac:dyDescent="0.25">
      <c r="A45931" s="118"/>
      <c r="B45931" s="136"/>
    </row>
    <row r="45932" spans="1:2" x14ac:dyDescent="0.25">
      <c r="A45932" s="118"/>
      <c r="B45932" s="136"/>
    </row>
    <row r="45933" spans="1:2" x14ac:dyDescent="0.25">
      <c r="A45933" s="118"/>
      <c r="B45933" s="136"/>
    </row>
    <row r="45934" spans="1:2" x14ac:dyDescent="0.25">
      <c r="A45934" s="118"/>
      <c r="B45934" s="136"/>
    </row>
    <row r="45935" spans="1:2" x14ac:dyDescent="0.25">
      <c r="A45935" s="118"/>
      <c r="B45935" s="136"/>
    </row>
    <row r="45936" spans="1:2" x14ac:dyDescent="0.25">
      <c r="A45936" s="118"/>
      <c r="B45936" s="136"/>
    </row>
    <row r="45937" spans="1:2" x14ac:dyDescent="0.25">
      <c r="A45937" s="118"/>
      <c r="B45937" s="136"/>
    </row>
    <row r="45938" spans="1:2" x14ac:dyDescent="0.25">
      <c r="A45938" s="118"/>
      <c r="B45938" s="136"/>
    </row>
    <row r="45939" spans="1:2" x14ac:dyDescent="0.25">
      <c r="A45939" s="118"/>
      <c r="B45939" s="136"/>
    </row>
    <row r="45940" spans="1:2" x14ac:dyDescent="0.25">
      <c r="A45940" s="118"/>
      <c r="B45940" s="136"/>
    </row>
    <row r="45941" spans="1:2" x14ac:dyDescent="0.25">
      <c r="A45941" s="118"/>
      <c r="B45941" s="136"/>
    </row>
    <row r="45942" spans="1:2" x14ac:dyDescent="0.25">
      <c r="A45942" s="118"/>
      <c r="B45942" s="136"/>
    </row>
    <row r="45943" spans="1:2" x14ac:dyDescent="0.25">
      <c r="A45943" s="118"/>
      <c r="B45943" s="136"/>
    </row>
    <row r="45944" spans="1:2" x14ac:dyDescent="0.25">
      <c r="A45944" s="118"/>
      <c r="B45944" s="136"/>
    </row>
    <row r="45945" spans="1:2" x14ac:dyDescent="0.25">
      <c r="A45945" s="118"/>
      <c r="B45945" s="136"/>
    </row>
    <row r="45946" spans="1:2" x14ac:dyDescent="0.25">
      <c r="A45946" s="118"/>
      <c r="B45946" s="136"/>
    </row>
    <row r="45947" spans="1:2" x14ac:dyDescent="0.25">
      <c r="A45947" s="118"/>
      <c r="B45947" s="136"/>
    </row>
    <row r="45948" spans="1:2" x14ac:dyDescent="0.25">
      <c r="A45948" s="118"/>
      <c r="B45948" s="136"/>
    </row>
    <row r="45949" spans="1:2" x14ac:dyDescent="0.25">
      <c r="A45949" s="118"/>
      <c r="B45949" s="136"/>
    </row>
    <row r="45950" spans="1:2" x14ac:dyDescent="0.25">
      <c r="A45950" s="118"/>
      <c r="B45950" s="136"/>
    </row>
    <row r="45951" spans="1:2" x14ac:dyDescent="0.25">
      <c r="A45951" s="118"/>
      <c r="B45951" s="136"/>
    </row>
    <row r="45952" spans="1:2" x14ac:dyDescent="0.25">
      <c r="A45952" s="118"/>
      <c r="B45952" s="136"/>
    </row>
    <row r="45953" spans="1:2" x14ac:dyDescent="0.25">
      <c r="A45953" s="118"/>
      <c r="B45953" s="136"/>
    </row>
    <row r="45954" spans="1:2" x14ac:dyDescent="0.25">
      <c r="A45954" s="118"/>
      <c r="B45954" s="136"/>
    </row>
    <row r="45955" spans="1:2" x14ac:dyDescent="0.25">
      <c r="A45955" s="118"/>
      <c r="B45955" s="136"/>
    </row>
    <row r="45956" spans="1:2" x14ac:dyDescent="0.25">
      <c r="A45956" s="118"/>
      <c r="B45956" s="136"/>
    </row>
    <row r="45957" spans="1:2" x14ac:dyDescent="0.25">
      <c r="A45957" s="118"/>
      <c r="B45957" s="136"/>
    </row>
    <row r="45958" spans="1:2" x14ac:dyDescent="0.25">
      <c r="A45958" s="118"/>
      <c r="B45958" s="136"/>
    </row>
    <row r="45959" spans="1:2" x14ac:dyDescent="0.25">
      <c r="A45959" s="118"/>
      <c r="B45959" s="136"/>
    </row>
    <row r="45960" spans="1:2" x14ac:dyDescent="0.25">
      <c r="A45960" s="118"/>
      <c r="B45960" s="136"/>
    </row>
    <row r="45961" spans="1:2" x14ac:dyDescent="0.25">
      <c r="A45961" s="118"/>
      <c r="B45961" s="136"/>
    </row>
    <row r="45962" spans="1:2" x14ac:dyDescent="0.25">
      <c r="A45962" s="118"/>
      <c r="B45962" s="136"/>
    </row>
    <row r="45963" spans="1:2" x14ac:dyDescent="0.25">
      <c r="A45963" s="118"/>
      <c r="B45963" s="136"/>
    </row>
    <row r="45964" spans="1:2" x14ac:dyDescent="0.25">
      <c r="A45964" s="118"/>
      <c r="B45964" s="136"/>
    </row>
    <row r="45965" spans="1:2" x14ac:dyDescent="0.25">
      <c r="A45965" s="118"/>
      <c r="B45965" s="136"/>
    </row>
    <row r="45966" spans="1:2" x14ac:dyDescent="0.25">
      <c r="A45966" s="118"/>
      <c r="B45966" s="136"/>
    </row>
    <row r="45967" spans="1:2" x14ac:dyDescent="0.25">
      <c r="A45967" s="118"/>
      <c r="B45967" s="136"/>
    </row>
    <row r="45968" spans="1:2" x14ac:dyDescent="0.25">
      <c r="A45968" s="118"/>
      <c r="B45968" s="136"/>
    </row>
    <row r="45969" spans="1:2" x14ac:dyDescent="0.25">
      <c r="A45969" s="118"/>
      <c r="B45969" s="136"/>
    </row>
    <row r="45970" spans="1:2" x14ac:dyDescent="0.25">
      <c r="A45970" s="118"/>
      <c r="B45970" s="136"/>
    </row>
    <row r="45971" spans="1:2" x14ac:dyDescent="0.25">
      <c r="A45971" s="118"/>
      <c r="B45971" s="136"/>
    </row>
    <row r="45972" spans="1:2" x14ac:dyDescent="0.25">
      <c r="A45972" s="118"/>
      <c r="B45972" s="136"/>
    </row>
    <row r="45973" spans="1:2" x14ac:dyDescent="0.25">
      <c r="A45973" s="118"/>
      <c r="B45973" s="136"/>
    </row>
    <row r="45974" spans="1:2" x14ac:dyDescent="0.25">
      <c r="A45974" s="118"/>
      <c r="B45974" s="136"/>
    </row>
    <row r="45975" spans="1:2" x14ac:dyDescent="0.25">
      <c r="A45975" s="118"/>
      <c r="B45975" s="136"/>
    </row>
    <row r="45976" spans="1:2" x14ac:dyDescent="0.25">
      <c r="A45976" s="118"/>
      <c r="B45976" s="136"/>
    </row>
    <row r="45977" spans="1:2" x14ac:dyDescent="0.25">
      <c r="A45977" s="118"/>
      <c r="B45977" s="136"/>
    </row>
    <row r="45978" spans="1:2" x14ac:dyDescent="0.25">
      <c r="A45978" s="118"/>
      <c r="B45978" s="136"/>
    </row>
    <row r="45979" spans="1:2" x14ac:dyDescent="0.25">
      <c r="A45979" s="118"/>
      <c r="B45979" s="136"/>
    </row>
    <row r="45980" spans="1:2" x14ac:dyDescent="0.25">
      <c r="A45980" s="118"/>
      <c r="B45980" s="136"/>
    </row>
    <row r="45981" spans="1:2" x14ac:dyDescent="0.25">
      <c r="A45981" s="118"/>
      <c r="B45981" s="136"/>
    </row>
    <row r="45982" spans="1:2" x14ac:dyDescent="0.25">
      <c r="A45982" s="118"/>
      <c r="B45982" s="136"/>
    </row>
    <row r="45983" spans="1:2" x14ac:dyDescent="0.25">
      <c r="A45983" s="118"/>
      <c r="B45983" s="136"/>
    </row>
    <row r="45984" spans="1:2" x14ac:dyDescent="0.25">
      <c r="A45984" s="118"/>
      <c r="B45984" s="136"/>
    </row>
    <row r="45985" spans="1:2" x14ac:dyDescent="0.25">
      <c r="A45985" s="118"/>
      <c r="B45985" s="136"/>
    </row>
    <row r="45986" spans="1:2" x14ac:dyDescent="0.25">
      <c r="A45986" s="118"/>
      <c r="B45986" s="136"/>
    </row>
    <row r="45987" spans="1:2" x14ac:dyDescent="0.25">
      <c r="A45987" s="118"/>
      <c r="B45987" s="136"/>
    </row>
    <row r="45988" spans="1:2" x14ac:dyDescent="0.25">
      <c r="A45988" s="118"/>
      <c r="B45988" s="136"/>
    </row>
    <row r="45989" spans="1:2" x14ac:dyDescent="0.25">
      <c r="A45989" s="118"/>
      <c r="B45989" s="136"/>
    </row>
    <row r="45990" spans="1:2" x14ac:dyDescent="0.25">
      <c r="A45990" s="118"/>
      <c r="B45990" s="136"/>
    </row>
    <row r="45991" spans="1:2" x14ac:dyDescent="0.25">
      <c r="A45991" s="118"/>
      <c r="B45991" s="136"/>
    </row>
    <row r="45992" spans="1:2" x14ac:dyDescent="0.25">
      <c r="A45992" s="118"/>
      <c r="B45992" s="136"/>
    </row>
    <row r="45993" spans="1:2" x14ac:dyDescent="0.25">
      <c r="A45993" s="118"/>
      <c r="B45993" s="136"/>
    </row>
    <row r="45994" spans="1:2" x14ac:dyDescent="0.25">
      <c r="A45994" s="118"/>
      <c r="B45994" s="136"/>
    </row>
    <row r="45995" spans="1:2" x14ac:dyDescent="0.25">
      <c r="A45995" s="118"/>
      <c r="B45995" s="136"/>
    </row>
    <row r="45996" spans="1:2" x14ac:dyDescent="0.25">
      <c r="A45996" s="118"/>
      <c r="B45996" s="136"/>
    </row>
    <row r="45997" spans="1:2" x14ac:dyDescent="0.25">
      <c r="A45997" s="118"/>
      <c r="B45997" s="136"/>
    </row>
    <row r="45998" spans="1:2" x14ac:dyDescent="0.25">
      <c r="A45998" s="118"/>
      <c r="B45998" s="136"/>
    </row>
    <row r="45999" spans="1:2" x14ac:dyDescent="0.25">
      <c r="A45999" s="118"/>
      <c r="B45999" s="136"/>
    </row>
    <row r="46000" spans="1:2" x14ac:dyDescent="0.25">
      <c r="A46000" s="118"/>
      <c r="B46000" s="136"/>
    </row>
    <row r="46001" spans="1:2" x14ac:dyDescent="0.25">
      <c r="A46001" s="118"/>
      <c r="B46001" s="136"/>
    </row>
    <row r="46002" spans="1:2" x14ac:dyDescent="0.25">
      <c r="A46002" s="118"/>
      <c r="B46002" s="136"/>
    </row>
    <row r="46003" spans="1:2" x14ac:dyDescent="0.25">
      <c r="A46003" s="118"/>
      <c r="B46003" s="136"/>
    </row>
    <row r="46004" spans="1:2" x14ac:dyDescent="0.25">
      <c r="A46004" s="118"/>
      <c r="B46004" s="136"/>
    </row>
    <row r="46005" spans="1:2" x14ac:dyDescent="0.25">
      <c r="A46005" s="118"/>
      <c r="B46005" s="136"/>
    </row>
    <row r="46006" spans="1:2" x14ac:dyDescent="0.25">
      <c r="A46006" s="118"/>
      <c r="B46006" s="136"/>
    </row>
    <row r="46007" spans="1:2" x14ac:dyDescent="0.25">
      <c r="A46007" s="118"/>
      <c r="B46007" s="136"/>
    </row>
    <row r="46008" spans="1:2" x14ac:dyDescent="0.25">
      <c r="A46008" s="118"/>
      <c r="B46008" s="136"/>
    </row>
    <row r="46009" spans="1:2" x14ac:dyDescent="0.25">
      <c r="A46009" s="118"/>
      <c r="B46009" s="136"/>
    </row>
    <row r="46010" spans="1:2" x14ac:dyDescent="0.25">
      <c r="A46010" s="118"/>
      <c r="B46010" s="136"/>
    </row>
    <row r="46011" spans="1:2" x14ac:dyDescent="0.25">
      <c r="A46011" s="118"/>
      <c r="B46011" s="136"/>
    </row>
    <row r="46012" spans="1:2" x14ac:dyDescent="0.25">
      <c r="A46012" s="118"/>
      <c r="B46012" s="136"/>
    </row>
    <row r="46013" spans="1:2" x14ac:dyDescent="0.25">
      <c r="A46013" s="118"/>
      <c r="B46013" s="136"/>
    </row>
    <row r="46014" spans="1:2" x14ac:dyDescent="0.25">
      <c r="A46014" s="118"/>
      <c r="B46014" s="136"/>
    </row>
    <row r="46015" spans="1:2" x14ac:dyDescent="0.25">
      <c r="A46015" s="118"/>
      <c r="B46015" s="136"/>
    </row>
    <row r="46016" spans="1:2" x14ac:dyDescent="0.25">
      <c r="A46016" s="118"/>
      <c r="B46016" s="136"/>
    </row>
    <row r="46017" spans="1:2" x14ac:dyDescent="0.25">
      <c r="A46017" s="118"/>
      <c r="B46017" s="136"/>
    </row>
    <row r="46018" spans="1:2" x14ac:dyDescent="0.25">
      <c r="A46018" s="118"/>
      <c r="B46018" s="136"/>
    </row>
    <row r="46019" spans="1:2" x14ac:dyDescent="0.25">
      <c r="A46019" s="118"/>
      <c r="B46019" s="136"/>
    </row>
    <row r="46020" spans="1:2" x14ac:dyDescent="0.25">
      <c r="A46020" s="118"/>
      <c r="B46020" s="136"/>
    </row>
    <row r="46021" spans="1:2" x14ac:dyDescent="0.25">
      <c r="A46021" s="118"/>
      <c r="B46021" s="136"/>
    </row>
    <row r="46022" spans="1:2" x14ac:dyDescent="0.25">
      <c r="A46022" s="118"/>
      <c r="B46022" s="136"/>
    </row>
    <row r="46023" spans="1:2" x14ac:dyDescent="0.25">
      <c r="A46023" s="118"/>
      <c r="B46023" s="136"/>
    </row>
    <row r="46024" spans="1:2" x14ac:dyDescent="0.25">
      <c r="A46024" s="118"/>
      <c r="B46024" s="136"/>
    </row>
    <row r="46025" spans="1:2" x14ac:dyDescent="0.25">
      <c r="A46025" s="118"/>
      <c r="B46025" s="136"/>
    </row>
    <row r="46026" spans="1:2" x14ac:dyDescent="0.25">
      <c r="A46026" s="118"/>
      <c r="B46026" s="136"/>
    </row>
    <row r="46027" spans="1:2" x14ac:dyDescent="0.25">
      <c r="A46027" s="118"/>
      <c r="B46027" s="136"/>
    </row>
    <row r="46028" spans="1:2" x14ac:dyDescent="0.25">
      <c r="A46028" s="118"/>
      <c r="B46028" s="136"/>
    </row>
    <row r="46029" spans="1:2" x14ac:dyDescent="0.25">
      <c r="A46029" s="118"/>
      <c r="B46029" s="136"/>
    </row>
    <row r="46030" spans="1:2" x14ac:dyDescent="0.25">
      <c r="A46030" s="118"/>
      <c r="B46030" s="136"/>
    </row>
    <row r="46031" spans="1:2" x14ac:dyDescent="0.25">
      <c r="A46031" s="118"/>
      <c r="B46031" s="136"/>
    </row>
    <row r="46032" spans="1:2" x14ac:dyDescent="0.25">
      <c r="A46032" s="118"/>
      <c r="B46032" s="136"/>
    </row>
    <row r="46033" spans="1:2" x14ac:dyDescent="0.25">
      <c r="A46033" s="118"/>
      <c r="B46033" s="136"/>
    </row>
    <row r="46034" spans="1:2" x14ac:dyDescent="0.25">
      <c r="A46034" s="118"/>
      <c r="B46034" s="136"/>
    </row>
    <row r="46035" spans="1:2" x14ac:dyDescent="0.25">
      <c r="A46035" s="118"/>
      <c r="B46035" s="136"/>
    </row>
    <row r="46036" spans="1:2" x14ac:dyDescent="0.25">
      <c r="A46036" s="118"/>
      <c r="B46036" s="136"/>
    </row>
    <row r="46037" spans="1:2" x14ac:dyDescent="0.25">
      <c r="A46037" s="118"/>
      <c r="B46037" s="136"/>
    </row>
    <row r="46038" spans="1:2" x14ac:dyDescent="0.25">
      <c r="A46038" s="118"/>
      <c r="B46038" s="136"/>
    </row>
    <row r="46039" spans="1:2" x14ac:dyDescent="0.25">
      <c r="A46039" s="118"/>
      <c r="B46039" s="136"/>
    </row>
    <row r="46040" spans="1:2" x14ac:dyDescent="0.25">
      <c r="A46040" s="118"/>
      <c r="B46040" s="136"/>
    </row>
    <row r="46041" spans="1:2" x14ac:dyDescent="0.25">
      <c r="A46041" s="118"/>
      <c r="B46041" s="136"/>
    </row>
    <row r="46042" spans="1:2" x14ac:dyDescent="0.25">
      <c r="A46042" s="118"/>
      <c r="B46042" s="136"/>
    </row>
    <row r="46043" spans="1:2" x14ac:dyDescent="0.25">
      <c r="A46043" s="118"/>
      <c r="B46043" s="136"/>
    </row>
    <row r="46044" spans="1:2" x14ac:dyDescent="0.25">
      <c r="A46044" s="118"/>
      <c r="B46044" s="136"/>
    </row>
    <row r="46045" spans="1:2" x14ac:dyDescent="0.25">
      <c r="A46045" s="118"/>
      <c r="B46045" s="136"/>
    </row>
    <row r="46046" spans="1:2" x14ac:dyDescent="0.25">
      <c r="A46046" s="118"/>
      <c r="B46046" s="136"/>
    </row>
    <row r="46047" spans="1:2" x14ac:dyDescent="0.25">
      <c r="A46047" s="118"/>
      <c r="B46047" s="136"/>
    </row>
    <row r="46048" spans="1:2" x14ac:dyDescent="0.25">
      <c r="A46048" s="118"/>
      <c r="B46048" s="136"/>
    </row>
    <row r="46049" spans="1:2" x14ac:dyDescent="0.25">
      <c r="A46049" s="118"/>
      <c r="B46049" s="136"/>
    </row>
    <row r="46050" spans="1:2" x14ac:dyDescent="0.25">
      <c r="A46050" s="118"/>
      <c r="B46050" s="136"/>
    </row>
    <row r="46051" spans="1:2" x14ac:dyDescent="0.25">
      <c r="A46051" s="118"/>
      <c r="B46051" s="136"/>
    </row>
    <row r="46052" spans="1:2" x14ac:dyDescent="0.25">
      <c r="A46052" s="118"/>
      <c r="B46052" s="136"/>
    </row>
    <row r="46053" spans="1:2" x14ac:dyDescent="0.25">
      <c r="A46053" s="118"/>
      <c r="B46053" s="136"/>
    </row>
    <row r="46054" spans="1:2" x14ac:dyDescent="0.25">
      <c r="A46054" s="118"/>
      <c r="B46054" s="136"/>
    </row>
    <row r="46055" spans="1:2" x14ac:dyDescent="0.25">
      <c r="A46055" s="118"/>
      <c r="B46055" s="136"/>
    </row>
    <row r="46056" spans="1:2" x14ac:dyDescent="0.25">
      <c r="A46056" s="118"/>
      <c r="B46056" s="136"/>
    </row>
    <row r="46057" spans="1:2" x14ac:dyDescent="0.25">
      <c r="A46057" s="118"/>
      <c r="B46057" s="136"/>
    </row>
    <row r="46058" spans="1:2" x14ac:dyDescent="0.25">
      <c r="A46058" s="118"/>
      <c r="B46058" s="136"/>
    </row>
    <row r="46059" spans="1:2" x14ac:dyDescent="0.25">
      <c r="A46059" s="118"/>
      <c r="B46059" s="136"/>
    </row>
    <row r="46060" spans="1:2" x14ac:dyDescent="0.25">
      <c r="A46060" s="118"/>
      <c r="B46060" s="136"/>
    </row>
    <row r="46061" spans="1:2" x14ac:dyDescent="0.25">
      <c r="A46061" s="118"/>
      <c r="B46061" s="136"/>
    </row>
    <row r="46062" spans="1:2" x14ac:dyDescent="0.25">
      <c r="A46062" s="118"/>
      <c r="B46062" s="136"/>
    </row>
    <row r="46063" spans="1:2" x14ac:dyDescent="0.25">
      <c r="A46063" s="118"/>
      <c r="B46063" s="136"/>
    </row>
    <row r="46064" spans="1:2" x14ac:dyDescent="0.25">
      <c r="A46064" s="118"/>
      <c r="B46064" s="136"/>
    </row>
    <row r="46065" spans="1:2" x14ac:dyDescent="0.25">
      <c r="A46065" s="118"/>
      <c r="B46065" s="136"/>
    </row>
    <row r="46066" spans="1:2" x14ac:dyDescent="0.25">
      <c r="A46066" s="118"/>
      <c r="B46066" s="136"/>
    </row>
    <row r="46067" spans="1:2" x14ac:dyDescent="0.25">
      <c r="A46067" s="118"/>
      <c r="B46067" s="136"/>
    </row>
    <row r="46068" spans="1:2" x14ac:dyDescent="0.25">
      <c r="A46068" s="118"/>
      <c r="B46068" s="136"/>
    </row>
    <row r="46069" spans="1:2" x14ac:dyDescent="0.25">
      <c r="A46069" s="118"/>
      <c r="B46069" s="136"/>
    </row>
    <row r="46070" spans="1:2" x14ac:dyDescent="0.25">
      <c r="A46070" s="118"/>
      <c r="B46070" s="136"/>
    </row>
    <row r="46071" spans="1:2" x14ac:dyDescent="0.25">
      <c r="A46071" s="118"/>
      <c r="B46071" s="136"/>
    </row>
    <row r="46072" spans="1:2" x14ac:dyDescent="0.25">
      <c r="A46072" s="118"/>
      <c r="B46072" s="136"/>
    </row>
    <row r="46073" spans="1:2" x14ac:dyDescent="0.25">
      <c r="A46073" s="118"/>
      <c r="B46073" s="136"/>
    </row>
    <row r="46074" spans="1:2" x14ac:dyDescent="0.25">
      <c r="A46074" s="118"/>
      <c r="B46074" s="136"/>
    </row>
    <row r="46075" spans="1:2" x14ac:dyDescent="0.25">
      <c r="A46075" s="118"/>
      <c r="B46075" s="136"/>
    </row>
    <row r="46076" spans="1:2" x14ac:dyDescent="0.25">
      <c r="A46076" s="118"/>
      <c r="B46076" s="136"/>
    </row>
    <row r="46077" spans="1:2" x14ac:dyDescent="0.25">
      <c r="A46077" s="118"/>
      <c r="B46077" s="136"/>
    </row>
    <row r="46078" spans="1:2" x14ac:dyDescent="0.25">
      <c r="A46078" s="118"/>
      <c r="B46078" s="136"/>
    </row>
    <row r="46079" spans="1:2" x14ac:dyDescent="0.25">
      <c r="A46079" s="118"/>
      <c r="B46079" s="136"/>
    </row>
    <row r="46080" spans="1:2" x14ac:dyDescent="0.25">
      <c r="A46080" s="118"/>
      <c r="B46080" s="136"/>
    </row>
    <row r="46081" spans="1:2" x14ac:dyDescent="0.25">
      <c r="A46081" s="118"/>
      <c r="B46081" s="136"/>
    </row>
    <row r="46082" spans="1:2" x14ac:dyDescent="0.25">
      <c r="A46082" s="118"/>
      <c r="B46082" s="136"/>
    </row>
    <row r="46083" spans="1:2" x14ac:dyDescent="0.25">
      <c r="A46083" s="118"/>
      <c r="B46083" s="136"/>
    </row>
    <row r="46084" spans="1:2" x14ac:dyDescent="0.25">
      <c r="A46084" s="118"/>
      <c r="B46084" s="136"/>
    </row>
    <row r="46085" spans="1:2" x14ac:dyDescent="0.25">
      <c r="A46085" s="118"/>
      <c r="B46085" s="136"/>
    </row>
    <row r="46086" spans="1:2" x14ac:dyDescent="0.25">
      <c r="A46086" s="118"/>
      <c r="B46086" s="136"/>
    </row>
    <row r="46087" spans="1:2" x14ac:dyDescent="0.25">
      <c r="A46087" s="118"/>
      <c r="B46087" s="136"/>
    </row>
    <row r="46088" spans="1:2" x14ac:dyDescent="0.25">
      <c r="A46088" s="118"/>
      <c r="B46088" s="136"/>
    </row>
    <row r="46089" spans="1:2" x14ac:dyDescent="0.25">
      <c r="A46089" s="118"/>
      <c r="B46089" s="136"/>
    </row>
    <row r="46090" spans="1:2" x14ac:dyDescent="0.25">
      <c r="A46090" s="118"/>
      <c r="B46090" s="136"/>
    </row>
    <row r="46091" spans="1:2" x14ac:dyDescent="0.25">
      <c r="A46091" s="118"/>
      <c r="B46091" s="136"/>
    </row>
    <row r="46092" spans="1:2" x14ac:dyDescent="0.25">
      <c r="A46092" s="118"/>
      <c r="B46092" s="136"/>
    </row>
    <row r="46093" spans="1:2" x14ac:dyDescent="0.25">
      <c r="A46093" s="118"/>
      <c r="B46093" s="136"/>
    </row>
    <row r="46094" spans="1:2" x14ac:dyDescent="0.25">
      <c r="A46094" s="118"/>
      <c r="B46094" s="136"/>
    </row>
    <row r="46095" spans="1:2" x14ac:dyDescent="0.25">
      <c r="A46095" s="118"/>
      <c r="B46095" s="136"/>
    </row>
    <row r="46096" spans="1:2" x14ac:dyDescent="0.25">
      <c r="A46096" s="118"/>
      <c r="B46096" s="136"/>
    </row>
    <row r="46097" spans="1:2" x14ac:dyDescent="0.25">
      <c r="A46097" s="118"/>
      <c r="B46097" s="136"/>
    </row>
    <row r="46098" spans="1:2" x14ac:dyDescent="0.25">
      <c r="A46098" s="118"/>
      <c r="B46098" s="136"/>
    </row>
    <row r="46099" spans="1:2" x14ac:dyDescent="0.25">
      <c r="A46099" s="118"/>
      <c r="B46099" s="136"/>
    </row>
    <row r="46100" spans="1:2" x14ac:dyDescent="0.25">
      <c r="A46100" s="118"/>
      <c r="B46100" s="136"/>
    </row>
    <row r="46101" spans="1:2" x14ac:dyDescent="0.25">
      <c r="A46101" s="118"/>
      <c r="B46101" s="136"/>
    </row>
    <row r="46102" spans="1:2" x14ac:dyDescent="0.25">
      <c r="A46102" s="118"/>
      <c r="B46102" s="136"/>
    </row>
    <row r="46103" spans="1:2" x14ac:dyDescent="0.25">
      <c r="A46103" s="118"/>
      <c r="B46103" s="136"/>
    </row>
    <row r="46104" spans="1:2" x14ac:dyDescent="0.25">
      <c r="A46104" s="118"/>
      <c r="B46104" s="136"/>
    </row>
    <row r="46105" spans="1:2" x14ac:dyDescent="0.25">
      <c r="A46105" s="118"/>
      <c r="B46105" s="136"/>
    </row>
    <row r="46106" spans="1:2" x14ac:dyDescent="0.25">
      <c r="A46106" s="118"/>
      <c r="B46106" s="136"/>
    </row>
    <row r="46107" spans="1:2" x14ac:dyDescent="0.25">
      <c r="A46107" s="118"/>
      <c r="B46107" s="136"/>
    </row>
    <row r="46108" spans="1:2" x14ac:dyDescent="0.25">
      <c r="A46108" s="118"/>
      <c r="B46108" s="136"/>
    </row>
    <row r="46109" spans="1:2" x14ac:dyDescent="0.25">
      <c r="A46109" s="118"/>
      <c r="B46109" s="136"/>
    </row>
    <row r="46110" spans="1:2" x14ac:dyDescent="0.25">
      <c r="A46110" s="118"/>
      <c r="B46110" s="136"/>
    </row>
    <row r="46111" spans="1:2" x14ac:dyDescent="0.25">
      <c r="A46111" s="118"/>
      <c r="B46111" s="136"/>
    </row>
    <row r="46112" spans="1:2" x14ac:dyDescent="0.25">
      <c r="A46112" s="118"/>
      <c r="B46112" s="136"/>
    </row>
    <row r="46113" spans="1:2" x14ac:dyDescent="0.25">
      <c r="A46113" s="118"/>
      <c r="B46113" s="136"/>
    </row>
    <row r="46114" spans="1:2" x14ac:dyDescent="0.25">
      <c r="A46114" s="118"/>
      <c r="B46114" s="136"/>
    </row>
    <row r="46115" spans="1:2" x14ac:dyDescent="0.25">
      <c r="A46115" s="118"/>
      <c r="B46115" s="136"/>
    </row>
    <row r="46116" spans="1:2" x14ac:dyDescent="0.25">
      <c r="A46116" s="118"/>
      <c r="B46116" s="136"/>
    </row>
    <row r="46117" spans="1:2" x14ac:dyDescent="0.25">
      <c r="A46117" s="118"/>
      <c r="B46117" s="136"/>
    </row>
    <row r="46118" spans="1:2" x14ac:dyDescent="0.25">
      <c r="A46118" s="118"/>
      <c r="B46118" s="136"/>
    </row>
    <row r="46119" spans="1:2" x14ac:dyDescent="0.25">
      <c r="A46119" s="118"/>
      <c r="B46119" s="136"/>
    </row>
    <row r="46120" spans="1:2" x14ac:dyDescent="0.25">
      <c r="A46120" s="118"/>
      <c r="B46120" s="136"/>
    </row>
    <row r="46121" spans="1:2" x14ac:dyDescent="0.25">
      <c r="A46121" s="118"/>
      <c r="B46121" s="136"/>
    </row>
    <row r="46122" spans="1:2" x14ac:dyDescent="0.25">
      <c r="A46122" s="118"/>
      <c r="B46122" s="136"/>
    </row>
    <row r="46123" spans="1:2" x14ac:dyDescent="0.25">
      <c r="A46123" s="118"/>
      <c r="B46123" s="136"/>
    </row>
    <row r="46124" spans="1:2" x14ac:dyDescent="0.25">
      <c r="A46124" s="118"/>
      <c r="B46124" s="136"/>
    </row>
    <row r="46125" spans="1:2" x14ac:dyDescent="0.25">
      <c r="A46125" s="118"/>
      <c r="B46125" s="136"/>
    </row>
    <row r="46126" spans="1:2" x14ac:dyDescent="0.25">
      <c r="A46126" s="118"/>
      <c r="B46126" s="136"/>
    </row>
    <row r="46127" spans="1:2" x14ac:dyDescent="0.25">
      <c r="A46127" s="118"/>
      <c r="B46127" s="136"/>
    </row>
    <row r="46128" spans="1:2" x14ac:dyDescent="0.25">
      <c r="A46128" s="118"/>
      <c r="B46128" s="136"/>
    </row>
    <row r="46129" spans="1:2" x14ac:dyDescent="0.25">
      <c r="A46129" s="118"/>
      <c r="B46129" s="136"/>
    </row>
    <row r="46130" spans="1:2" x14ac:dyDescent="0.25">
      <c r="A46130" s="118"/>
      <c r="B46130" s="136"/>
    </row>
    <row r="46131" spans="1:2" x14ac:dyDescent="0.25">
      <c r="A46131" s="118"/>
      <c r="B46131" s="136"/>
    </row>
    <row r="46132" spans="1:2" x14ac:dyDescent="0.25">
      <c r="A46132" s="118"/>
      <c r="B46132" s="136"/>
    </row>
    <row r="46133" spans="1:2" x14ac:dyDescent="0.25">
      <c r="A46133" s="118"/>
      <c r="B46133" s="136"/>
    </row>
    <row r="46134" spans="1:2" x14ac:dyDescent="0.25">
      <c r="A46134" s="118"/>
      <c r="B46134" s="136"/>
    </row>
    <row r="46135" spans="1:2" x14ac:dyDescent="0.25">
      <c r="A46135" s="118"/>
      <c r="B46135" s="136"/>
    </row>
    <row r="46136" spans="1:2" x14ac:dyDescent="0.25">
      <c r="A46136" s="118"/>
      <c r="B46136" s="136"/>
    </row>
    <row r="46137" spans="1:2" x14ac:dyDescent="0.25">
      <c r="A46137" s="118"/>
      <c r="B46137" s="136"/>
    </row>
    <row r="46138" spans="1:2" x14ac:dyDescent="0.25">
      <c r="A46138" s="118"/>
      <c r="B46138" s="136"/>
    </row>
    <row r="46139" spans="1:2" x14ac:dyDescent="0.25">
      <c r="A46139" s="118"/>
      <c r="B46139" s="136"/>
    </row>
    <row r="46140" spans="1:2" x14ac:dyDescent="0.25">
      <c r="A46140" s="118"/>
      <c r="B46140" s="136"/>
    </row>
    <row r="46141" spans="1:2" x14ac:dyDescent="0.25">
      <c r="A46141" s="118"/>
      <c r="B46141" s="136"/>
    </row>
    <row r="46142" spans="1:2" x14ac:dyDescent="0.25">
      <c r="A46142" s="118"/>
      <c r="B46142" s="136"/>
    </row>
    <row r="46143" spans="1:2" x14ac:dyDescent="0.25">
      <c r="A46143" s="118"/>
      <c r="B46143" s="136"/>
    </row>
    <row r="46144" spans="1:2" x14ac:dyDescent="0.25">
      <c r="A46144" s="118"/>
      <c r="B46144" s="136"/>
    </row>
    <row r="46145" spans="1:2" x14ac:dyDescent="0.25">
      <c r="A46145" s="118"/>
      <c r="B46145" s="136"/>
    </row>
    <row r="46146" spans="1:2" x14ac:dyDescent="0.25">
      <c r="A46146" s="118"/>
      <c r="B46146" s="136"/>
    </row>
    <row r="46147" spans="1:2" x14ac:dyDescent="0.25">
      <c r="A46147" s="118"/>
      <c r="B46147" s="136"/>
    </row>
    <row r="46148" spans="1:2" x14ac:dyDescent="0.25">
      <c r="A46148" s="118"/>
      <c r="B46148" s="136"/>
    </row>
    <row r="46149" spans="1:2" x14ac:dyDescent="0.25">
      <c r="A46149" s="118"/>
      <c r="B46149" s="136"/>
    </row>
    <row r="46150" spans="1:2" x14ac:dyDescent="0.25">
      <c r="A46150" s="118"/>
      <c r="B46150" s="136"/>
    </row>
    <row r="46151" spans="1:2" x14ac:dyDescent="0.25">
      <c r="A46151" s="118"/>
      <c r="B46151" s="136"/>
    </row>
    <row r="46152" spans="1:2" x14ac:dyDescent="0.25">
      <c r="A46152" s="118"/>
      <c r="B46152" s="136"/>
    </row>
    <row r="46153" spans="1:2" x14ac:dyDescent="0.25">
      <c r="A46153" s="118"/>
      <c r="B46153" s="136"/>
    </row>
    <row r="46154" spans="1:2" x14ac:dyDescent="0.25">
      <c r="A46154" s="118"/>
      <c r="B46154" s="136"/>
    </row>
    <row r="46155" spans="1:2" x14ac:dyDescent="0.25">
      <c r="A46155" s="118"/>
      <c r="B46155" s="136"/>
    </row>
    <row r="46156" spans="1:2" x14ac:dyDescent="0.25">
      <c r="A46156" s="118"/>
      <c r="B46156" s="136"/>
    </row>
    <row r="46157" spans="1:2" x14ac:dyDescent="0.25">
      <c r="A46157" s="118"/>
      <c r="B46157" s="136"/>
    </row>
    <row r="46158" spans="1:2" x14ac:dyDescent="0.25">
      <c r="A46158" s="118"/>
      <c r="B46158" s="136"/>
    </row>
    <row r="46159" spans="1:2" x14ac:dyDescent="0.25">
      <c r="A46159" s="118"/>
      <c r="B46159" s="136"/>
    </row>
    <row r="46160" spans="1:2" x14ac:dyDescent="0.25">
      <c r="A46160" s="118"/>
      <c r="B46160" s="136"/>
    </row>
    <row r="46161" spans="1:2" x14ac:dyDescent="0.25">
      <c r="A46161" s="118"/>
      <c r="B46161" s="136"/>
    </row>
    <row r="46162" spans="1:2" x14ac:dyDescent="0.25">
      <c r="A46162" s="118"/>
      <c r="B46162" s="136"/>
    </row>
    <row r="46163" spans="1:2" x14ac:dyDescent="0.25">
      <c r="A46163" s="118"/>
      <c r="B46163" s="136"/>
    </row>
    <row r="46164" spans="1:2" x14ac:dyDescent="0.25">
      <c r="A46164" s="118"/>
      <c r="B46164" s="136"/>
    </row>
    <row r="46165" spans="1:2" x14ac:dyDescent="0.25">
      <c r="A46165" s="118"/>
      <c r="B46165" s="136"/>
    </row>
    <row r="46166" spans="1:2" x14ac:dyDescent="0.25">
      <c r="A46166" s="118"/>
      <c r="B46166" s="136"/>
    </row>
    <row r="46167" spans="1:2" x14ac:dyDescent="0.25">
      <c r="A46167" s="118"/>
      <c r="B46167" s="136"/>
    </row>
    <row r="46168" spans="1:2" x14ac:dyDescent="0.25">
      <c r="A46168" s="118"/>
      <c r="B46168" s="136"/>
    </row>
    <row r="46169" spans="1:2" x14ac:dyDescent="0.25">
      <c r="A46169" s="118"/>
      <c r="B46169" s="136"/>
    </row>
    <row r="46170" spans="1:2" x14ac:dyDescent="0.25">
      <c r="A46170" s="118"/>
      <c r="B46170" s="136"/>
    </row>
    <row r="46171" spans="1:2" x14ac:dyDescent="0.25">
      <c r="A46171" s="118"/>
      <c r="B46171" s="136"/>
    </row>
    <row r="46172" spans="1:2" x14ac:dyDescent="0.25">
      <c r="A46172" s="118"/>
      <c r="B46172" s="136"/>
    </row>
    <row r="46173" spans="1:2" x14ac:dyDescent="0.25">
      <c r="A46173" s="118"/>
      <c r="B46173" s="136"/>
    </row>
    <row r="46174" spans="1:2" x14ac:dyDescent="0.25">
      <c r="A46174" s="118"/>
      <c r="B46174" s="136"/>
    </row>
    <row r="46175" spans="1:2" x14ac:dyDescent="0.25">
      <c r="A46175" s="118"/>
      <c r="B46175" s="136"/>
    </row>
    <row r="46176" spans="1:2" x14ac:dyDescent="0.25">
      <c r="A46176" s="118"/>
      <c r="B46176" s="136"/>
    </row>
    <row r="46177" spans="1:2" x14ac:dyDescent="0.25">
      <c r="A46177" s="118"/>
      <c r="B46177" s="136"/>
    </row>
    <row r="46178" spans="1:2" x14ac:dyDescent="0.25">
      <c r="A46178" s="118"/>
      <c r="B46178" s="136"/>
    </row>
    <row r="46179" spans="1:2" x14ac:dyDescent="0.25">
      <c r="A46179" s="118"/>
      <c r="B46179" s="136"/>
    </row>
    <row r="46180" spans="1:2" x14ac:dyDescent="0.25">
      <c r="A46180" s="118"/>
      <c r="B46180" s="136"/>
    </row>
    <row r="46181" spans="1:2" x14ac:dyDescent="0.25">
      <c r="A46181" s="118"/>
      <c r="B46181" s="136"/>
    </row>
    <row r="46182" spans="1:2" x14ac:dyDescent="0.25">
      <c r="A46182" s="118"/>
      <c r="B46182" s="136"/>
    </row>
    <row r="46183" spans="1:2" x14ac:dyDescent="0.25">
      <c r="A46183" s="118"/>
      <c r="B46183" s="136"/>
    </row>
    <row r="46184" spans="1:2" x14ac:dyDescent="0.25">
      <c r="A46184" s="118"/>
      <c r="B46184" s="136"/>
    </row>
    <row r="46185" spans="1:2" x14ac:dyDescent="0.25">
      <c r="A46185" s="118"/>
      <c r="B46185" s="136"/>
    </row>
    <row r="46186" spans="1:2" x14ac:dyDescent="0.25">
      <c r="A46186" s="118"/>
      <c r="B46186" s="136"/>
    </row>
    <row r="46187" spans="1:2" x14ac:dyDescent="0.25">
      <c r="A46187" s="118"/>
      <c r="B46187" s="136"/>
    </row>
    <row r="46188" spans="1:2" x14ac:dyDescent="0.25">
      <c r="A46188" s="118"/>
      <c r="B46188" s="136"/>
    </row>
    <row r="46189" spans="1:2" x14ac:dyDescent="0.25">
      <c r="A46189" s="118"/>
      <c r="B46189" s="136"/>
    </row>
    <row r="46190" spans="1:2" x14ac:dyDescent="0.25">
      <c r="A46190" s="118"/>
      <c r="B46190" s="136"/>
    </row>
    <row r="46191" spans="1:2" x14ac:dyDescent="0.25">
      <c r="A46191" s="118"/>
      <c r="B46191" s="136"/>
    </row>
    <row r="46192" spans="1:2" x14ac:dyDescent="0.25">
      <c r="A46192" s="118"/>
      <c r="B46192" s="136"/>
    </row>
    <row r="46193" spans="1:2" x14ac:dyDescent="0.25">
      <c r="A46193" s="118"/>
      <c r="B46193" s="136"/>
    </row>
    <row r="46194" spans="1:2" x14ac:dyDescent="0.25">
      <c r="A46194" s="118"/>
      <c r="B46194" s="136"/>
    </row>
    <row r="46195" spans="1:2" x14ac:dyDescent="0.25">
      <c r="A46195" s="118"/>
      <c r="B46195" s="136"/>
    </row>
    <row r="46196" spans="1:2" x14ac:dyDescent="0.25">
      <c r="A46196" s="118"/>
      <c r="B46196" s="136"/>
    </row>
    <row r="46197" spans="1:2" x14ac:dyDescent="0.25">
      <c r="A46197" s="118"/>
      <c r="B46197" s="136"/>
    </row>
    <row r="46198" spans="1:2" x14ac:dyDescent="0.25">
      <c r="A46198" s="118"/>
      <c r="B46198" s="136"/>
    </row>
    <row r="46199" spans="1:2" x14ac:dyDescent="0.25">
      <c r="A46199" s="118"/>
      <c r="B46199" s="136"/>
    </row>
    <row r="46200" spans="1:2" x14ac:dyDescent="0.25">
      <c r="A46200" s="118"/>
      <c r="B46200" s="136"/>
    </row>
    <row r="46201" spans="1:2" x14ac:dyDescent="0.25">
      <c r="A46201" s="118"/>
      <c r="B46201" s="136"/>
    </row>
    <row r="46202" spans="1:2" x14ac:dyDescent="0.25">
      <c r="A46202" s="118"/>
      <c r="B46202" s="136"/>
    </row>
    <row r="46203" spans="1:2" x14ac:dyDescent="0.25">
      <c r="A46203" s="118"/>
      <c r="B46203" s="136"/>
    </row>
    <row r="46204" spans="1:2" x14ac:dyDescent="0.25">
      <c r="A46204" s="118"/>
      <c r="B46204" s="136"/>
    </row>
    <row r="46205" spans="1:2" x14ac:dyDescent="0.25">
      <c r="A46205" s="118"/>
      <c r="B46205" s="136"/>
    </row>
    <row r="46206" spans="1:2" x14ac:dyDescent="0.25">
      <c r="A46206" s="118"/>
      <c r="B46206" s="136"/>
    </row>
    <row r="46207" spans="1:2" x14ac:dyDescent="0.25">
      <c r="A46207" s="118"/>
      <c r="B46207" s="136"/>
    </row>
    <row r="46208" spans="1:2" x14ac:dyDescent="0.25">
      <c r="A46208" s="118"/>
      <c r="B46208" s="136"/>
    </row>
    <row r="46209" spans="1:2" x14ac:dyDescent="0.25">
      <c r="A46209" s="118"/>
      <c r="B46209" s="136"/>
    </row>
    <row r="46210" spans="1:2" x14ac:dyDescent="0.25">
      <c r="A46210" s="118"/>
      <c r="B46210" s="136"/>
    </row>
    <row r="46211" spans="1:2" x14ac:dyDescent="0.25">
      <c r="A46211" s="118"/>
      <c r="B46211" s="136"/>
    </row>
    <row r="46212" spans="1:2" x14ac:dyDescent="0.25">
      <c r="A46212" s="118"/>
      <c r="B46212" s="136"/>
    </row>
    <row r="46213" spans="1:2" x14ac:dyDescent="0.25">
      <c r="A46213" s="118"/>
      <c r="B46213" s="136"/>
    </row>
    <row r="46214" spans="1:2" x14ac:dyDescent="0.25">
      <c r="A46214" s="118"/>
      <c r="B46214" s="136"/>
    </row>
    <row r="46215" spans="1:2" x14ac:dyDescent="0.25">
      <c r="A46215" s="118"/>
      <c r="B46215" s="136"/>
    </row>
    <row r="46216" spans="1:2" x14ac:dyDescent="0.25">
      <c r="A46216" s="118"/>
      <c r="B46216" s="136"/>
    </row>
    <row r="46217" spans="1:2" x14ac:dyDescent="0.25">
      <c r="A46217" s="118"/>
      <c r="B46217" s="136"/>
    </row>
    <row r="46218" spans="1:2" x14ac:dyDescent="0.25">
      <c r="A46218" s="118"/>
      <c r="B46218" s="136"/>
    </row>
    <row r="46219" spans="1:2" x14ac:dyDescent="0.25">
      <c r="A46219" s="118"/>
      <c r="B46219" s="136"/>
    </row>
    <row r="46220" spans="1:2" x14ac:dyDescent="0.25">
      <c r="A46220" s="118"/>
      <c r="B46220" s="136"/>
    </row>
    <row r="46221" spans="1:2" x14ac:dyDescent="0.25">
      <c r="A46221" s="118"/>
      <c r="B46221" s="136"/>
    </row>
    <row r="46222" spans="1:2" x14ac:dyDescent="0.25">
      <c r="A46222" s="118"/>
      <c r="B46222" s="136"/>
    </row>
    <row r="46223" spans="1:2" x14ac:dyDescent="0.25">
      <c r="A46223" s="118"/>
      <c r="B46223" s="136"/>
    </row>
    <row r="46224" spans="1:2" x14ac:dyDescent="0.25">
      <c r="A46224" s="118"/>
      <c r="B46224" s="136"/>
    </row>
    <row r="46225" spans="1:2" x14ac:dyDescent="0.25">
      <c r="A46225" s="118"/>
      <c r="B46225" s="136"/>
    </row>
    <row r="46226" spans="1:2" x14ac:dyDescent="0.25">
      <c r="A46226" s="118"/>
      <c r="B46226" s="136"/>
    </row>
    <row r="46227" spans="1:2" x14ac:dyDescent="0.25">
      <c r="A46227" s="118"/>
      <c r="B46227" s="136"/>
    </row>
    <row r="46228" spans="1:2" x14ac:dyDescent="0.25">
      <c r="A46228" s="118"/>
      <c r="B46228" s="136"/>
    </row>
    <row r="46229" spans="1:2" x14ac:dyDescent="0.25">
      <c r="A46229" s="118"/>
      <c r="B46229" s="136"/>
    </row>
    <row r="46230" spans="1:2" x14ac:dyDescent="0.25">
      <c r="A46230" s="118"/>
      <c r="B46230" s="136"/>
    </row>
    <row r="46231" spans="1:2" x14ac:dyDescent="0.25">
      <c r="A46231" s="118"/>
      <c r="B46231" s="136"/>
    </row>
    <row r="46232" spans="1:2" x14ac:dyDescent="0.25">
      <c r="A46232" s="118"/>
      <c r="B46232" s="136"/>
    </row>
    <row r="46233" spans="1:2" x14ac:dyDescent="0.25">
      <c r="A46233" s="118"/>
      <c r="B46233" s="136"/>
    </row>
    <row r="46234" spans="1:2" x14ac:dyDescent="0.25">
      <c r="A46234" s="118"/>
      <c r="B46234" s="136"/>
    </row>
    <row r="46235" spans="1:2" x14ac:dyDescent="0.25">
      <c r="A46235" s="118"/>
      <c r="B46235" s="136"/>
    </row>
    <row r="46236" spans="1:2" x14ac:dyDescent="0.25">
      <c r="A46236" s="118"/>
      <c r="B46236" s="136"/>
    </row>
    <row r="46237" spans="1:2" x14ac:dyDescent="0.25">
      <c r="A46237" s="118"/>
      <c r="B46237" s="136"/>
    </row>
    <row r="46238" spans="1:2" x14ac:dyDescent="0.25">
      <c r="A46238" s="118"/>
      <c r="B46238" s="136"/>
    </row>
    <row r="46239" spans="1:2" x14ac:dyDescent="0.25">
      <c r="A46239" s="118"/>
      <c r="B46239" s="136"/>
    </row>
    <row r="46240" spans="1:2" x14ac:dyDescent="0.25">
      <c r="A46240" s="118"/>
      <c r="B46240" s="136"/>
    </row>
    <row r="46241" spans="1:2" x14ac:dyDescent="0.25">
      <c r="A46241" s="118"/>
      <c r="B46241" s="136"/>
    </row>
    <row r="46242" spans="1:2" x14ac:dyDescent="0.25">
      <c r="A46242" s="118"/>
      <c r="B46242" s="136"/>
    </row>
    <row r="46243" spans="1:2" x14ac:dyDescent="0.25">
      <c r="A46243" s="118"/>
      <c r="B46243" s="136"/>
    </row>
    <row r="46244" spans="1:2" x14ac:dyDescent="0.25">
      <c r="A46244" s="118"/>
      <c r="B46244" s="136"/>
    </row>
    <row r="46245" spans="1:2" x14ac:dyDescent="0.25">
      <c r="A46245" s="118"/>
      <c r="B46245" s="136"/>
    </row>
    <row r="46246" spans="1:2" x14ac:dyDescent="0.25">
      <c r="A46246" s="118"/>
      <c r="B46246" s="136"/>
    </row>
    <row r="46247" spans="1:2" x14ac:dyDescent="0.25">
      <c r="A46247" s="118"/>
      <c r="B46247" s="136"/>
    </row>
    <row r="46248" spans="1:2" x14ac:dyDescent="0.25">
      <c r="A46248" s="118"/>
      <c r="B46248" s="136"/>
    </row>
    <row r="46249" spans="1:2" x14ac:dyDescent="0.25">
      <c r="A46249" s="118"/>
      <c r="B46249" s="136"/>
    </row>
    <row r="46250" spans="1:2" x14ac:dyDescent="0.25">
      <c r="A46250" s="118"/>
      <c r="B46250" s="136"/>
    </row>
    <row r="46251" spans="1:2" x14ac:dyDescent="0.25">
      <c r="A46251" s="118"/>
      <c r="B46251" s="136"/>
    </row>
    <row r="46252" spans="1:2" x14ac:dyDescent="0.25">
      <c r="A46252" s="118"/>
      <c r="B46252" s="136"/>
    </row>
    <row r="46253" spans="1:2" x14ac:dyDescent="0.25">
      <c r="A46253" s="118"/>
      <c r="B46253" s="136"/>
    </row>
    <row r="46254" spans="1:2" x14ac:dyDescent="0.25">
      <c r="A46254" s="118"/>
      <c r="B46254" s="136"/>
    </row>
    <row r="46255" spans="1:2" x14ac:dyDescent="0.25">
      <c r="A46255" s="118"/>
      <c r="B46255" s="136"/>
    </row>
    <row r="46256" spans="1:2" x14ac:dyDescent="0.25">
      <c r="A46256" s="118"/>
      <c r="B46256" s="136"/>
    </row>
    <row r="46257" spans="1:2" x14ac:dyDescent="0.25">
      <c r="A46257" s="118"/>
      <c r="B46257" s="136"/>
    </row>
    <row r="46258" spans="1:2" x14ac:dyDescent="0.25">
      <c r="A46258" s="118"/>
      <c r="B46258" s="136"/>
    </row>
    <row r="46259" spans="1:2" x14ac:dyDescent="0.25">
      <c r="A46259" s="118"/>
      <c r="B46259" s="136"/>
    </row>
    <row r="46260" spans="1:2" x14ac:dyDescent="0.25">
      <c r="A46260" s="118"/>
      <c r="B46260" s="136"/>
    </row>
    <row r="46261" spans="1:2" x14ac:dyDescent="0.25">
      <c r="A46261" s="118"/>
      <c r="B46261" s="136"/>
    </row>
    <row r="46262" spans="1:2" x14ac:dyDescent="0.25">
      <c r="A46262" s="118"/>
      <c r="B46262" s="136"/>
    </row>
    <row r="46263" spans="1:2" x14ac:dyDescent="0.25">
      <c r="A46263" s="118"/>
      <c r="B46263" s="136"/>
    </row>
    <row r="46264" spans="1:2" x14ac:dyDescent="0.25">
      <c r="A46264" s="118"/>
      <c r="B46264" s="136"/>
    </row>
    <row r="46265" spans="1:2" x14ac:dyDescent="0.25">
      <c r="A46265" s="118"/>
      <c r="B46265" s="136"/>
    </row>
    <row r="46266" spans="1:2" x14ac:dyDescent="0.25">
      <c r="A46266" s="118"/>
      <c r="B46266" s="136"/>
    </row>
    <row r="46267" spans="1:2" x14ac:dyDescent="0.25">
      <c r="A46267" s="118"/>
      <c r="B46267" s="136"/>
    </row>
    <row r="46268" spans="1:2" x14ac:dyDescent="0.25">
      <c r="A46268" s="118"/>
      <c r="B46268" s="136"/>
    </row>
    <row r="46269" spans="1:2" x14ac:dyDescent="0.25">
      <c r="A46269" s="118"/>
      <c r="B46269" s="136"/>
    </row>
    <row r="46270" spans="1:2" x14ac:dyDescent="0.25">
      <c r="A46270" s="118"/>
      <c r="B46270" s="136"/>
    </row>
    <row r="46271" spans="1:2" x14ac:dyDescent="0.25">
      <c r="A46271" s="118"/>
      <c r="B46271" s="136"/>
    </row>
    <row r="46272" spans="1:2" x14ac:dyDescent="0.25">
      <c r="A46272" s="118"/>
      <c r="B46272" s="136"/>
    </row>
    <row r="46273" spans="1:2" x14ac:dyDescent="0.25">
      <c r="A46273" s="118"/>
      <c r="B46273" s="136"/>
    </row>
    <row r="46274" spans="1:2" x14ac:dyDescent="0.25">
      <c r="A46274" s="118"/>
      <c r="B46274" s="136"/>
    </row>
    <row r="46275" spans="1:2" x14ac:dyDescent="0.25">
      <c r="A46275" s="118"/>
      <c r="B46275" s="136"/>
    </row>
    <row r="46276" spans="1:2" x14ac:dyDescent="0.25">
      <c r="A46276" s="118"/>
      <c r="B46276" s="136"/>
    </row>
    <row r="46277" spans="1:2" x14ac:dyDescent="0.25">
      <c r="A46277" s="118"/>
      <c r="B46277" s="136"/>
    </row>
    <row r="46278" spans="1:2" x14ac:dyDescent="0.25">
      <c r="A46278" s="118"/>
      <c r="B46278" s="136"/>
    </row>
    <row r="46279" spans="1:2" x14ac:dyDescent="0.25">
      <c r="A46279" s="118"/>
      <c r="B46279" s="136"/>
    </row>
    <row r="46280" spans="1:2" x14ac:dyDescent="0.25">
      <c r="A46280" s="118"/>
      <c r="B46280" s="136"/>
    </row>
    <row r="46281" spans="1:2" x14ac:dyDescent="0.25">
      <c r="A46281" s="118"/>
      <c r="B46281" s="136"/>
    </row>
    <row r="46282" spans="1:2" x14ac:dyDescent="0.25">
      <c r="A46282" s="118"/>
      <c r="B46282" s="136"/>
    </row>
    <row r="46283" spans="1:2" x14ac:dyDescent="0.25">
      <c r="A46283" s="118"/>
      <c r="B46283" s="136"/>
    </row>
    <row r="46284" spans="1:2" x14ac:dyDescent="0.25">
      <c r="A46284" s="118"/>
      <c r="B46284" s="136"/>
    </row>
    <row r="46285" spans="1:2" x14ac:dyDescent="0.25">
      <c r="A46285" s="118"/>
      <c r="B46285" s="136"/>
    </row>
    <row r="46286" spans="1:2" x14ac:dyDescent="0.25">
      <c r="A46286" s="118"/>
      <c r="B46286" s="136"/>
    </row>
    <row r="46287" spans="1:2" x14ac:dyDescent="0.25">
      <c r="A46287" s="118"/>
      <c r="B46287" s="136"/>
    </row>
    <row r="46288" spans="1:2" x14ac:dyDescent="0.25">
      <c r="A46288" s="118"/>
      <c r="B46288" s="136"/>
    </row>
    <row r="46289" spans="1:2" x14ac:dyDescent="0.25">
      <c r="A46289" s="118"/>
      <c r="B46289" s="136"/>
    </row>
    <row r="46290" spans="1:2" x14ac:dyDescent="0.25">
      <c r="A46290" s="118"/>
      <c r="B46290" s="136"/>
    </row>
    <row r="46291" spans="1:2" x14ac:dyDescent="0.25">
      <c r="A46291" s="118"/>
      <c r="B46291" s="136"/>
    </row>
    <row r="46292" spans="1:2" x14ac:dyDescent="0.25">
      <c r="A46292" s="118"/>
      <c r="B46292" s="136"/>
    </row>
    <row r="46293" spans="1:2" x14ac:dyDescent="0.25">
      <c r="A46293" s="118"/>
      <c r="B46293" s="136"/>
    </row>
    <row r="46294" spans="1:2" x14ac:dyDescent="0.25">
      <c r="A46294" s="118"/>
      <c r="B46294" s="136"/>
    </row>
    <row r="46295" spans="1:2" x14ac:dyDescent="0.25">
      <c r="A46295" s="118"/>
      <c r="B46295" s="136"/>
    </row>
    <row r="46296" spans="1:2" x14ac:dyDescent="0.25">
      <c r="A46296" s="118"/>
      <c r="B46296" s="136"/>
    </row>
    <row r="46297" spans="1:2" x14ac:dyDescent="0.25">
      <c r="A46297" s="118"/>
      <c r="B46297" s="136"/>
    </row>
    <row r="46298" spans="1:2" x14ac:dyDescent="0.25">
      <c r="A46298" s="118"/>
      <c r="B46298" s="136"/>
    </row>
    <row r="46299" spans="1:2" x14ac:dyDescent="0.25">
      <c r="A46299" s="118"/>
      <c r="B46299" s="136"/>
    </row>
    <row r="46300" spans="1:2" x14ac:dyDescent="0.25">
      <c r="A46300" s="118"/>
      <c r="B46300" s="136"/>
    </row>
    <row r="46301" spans="1:2" x14ac:dyDescent="0.25">
      <c r="A46301" s="118"/>
      <c r="B46301" s="136"/>
    </row>
    <row r="46302" spans="1:2" x14ac:dyDescent="0.25">
      <c r="A46302" s="118"/>
      <c r="B46302" s="136"/>
    </row>
    <row r="46303" spans="1:2" x14ac:dyDescent="0.25">
      <c r="A46303" s="118"/>
      <c r="B46303" s="136"/>
    </row>
    <row r="46304" spans="1:2" x14ac:dyDescent="0.25">
      <c r="A46304" s="118"/>
      <c r="B46304" s="136"/>
    </row>
    <row r="46305" spans="1:2" x14ac:dyDescent="0.25">
      <c r="A46305" s="118"/>
      <c r="B46305" s="136"/>
    </row>
    <row r="46306" spans="1:2" x14ac:dyDescent="0.25">
      <c r="A46306" s="118"/>
      <c r="B46306" s="136"/>
    </row>
    <row r="46307" spans="1:2" x14ac:dyDescent="0.25">
      <c r="A46307" s="118"/>
      <c r="B46307" s="136"/>
    </row>
    <row r="46308" spans="1:2" x14ac:dyDescent="0.25">
      <c r="A46308" s="118"/>
      <c r="B46308" s="136"/>
    </row>
    <row r="46309" spans="1:2" x14ac:dyDescent="0.25">
      <c r="A46309" s="118"/>
      <c r="B46309" s="136"/>
    </row>
    <row r="46310" spans="1:2" x14ac:dyDescent="0.25">
      <c r="A46310" s="118"/>
      <c r="B46310" s="136"/>
    </row>
    <row r="46311" spans="1:2" x14ac:dyDescent="0.25">
      <c r="A46311" s="118"/>
      <c r="B46311" s="136"/>
    </row>
    <row r="46312" spans="1:2" x14ac:dyDescent="0.25">
      <c r="A46312" s="118"/>
      <c r="B46312" s="136"/>
    </row>
    <row r="46313" spans="1:2" x14ac:dyDescent="0.25">
      <c r="A46313" s="118"/>
      <c r="B46313" s="136"/>
    </row>
    <row r="46314" spans="1:2" x14ac:dyDescent="0.25">
      <c r="A46314" s="118"/>
      <c r="B46314" s="136"/>
    </row>
    <row r="46315" spans="1:2" x14ac:dyDescent="0.25">
      <c r="A46315" s="118"/>
      <c r="B46315" s="136"/>
    </row>
    <row r="46316" spans="1:2" x14ac:dyDescent="0.25">
      <c r="A46316" s="118"/>
      <c r="B46316" s="136"/>
    </row>
    <row r="46317" spans="1:2" x14ac:dyDescent="0.25">
      <c r="A46317" s="118"/>
      <c r="B46317" s="136"/>
    </row>
    <row r="46318" spans="1:2" x14ac:dyDescent="0.25">
      <c r="A46318" s="118"/>
      <c r="B46318" s="136"/>
    </row>
    <row r="46319" spans="1:2" x14ac:dyDescent="0.25">
      <c r="A46319" s="118"/>
      <c r="B46319" s="136"/>
    </row>
    <row r="46320" spans="1:2" x14ac:dyDescent="0.25">
      <c r="A46320" s="118"/>
      <c r="B46320" s="136"/>
    </row>
    <row r="46321" spans="1:2" x14ac:dyDescent="0.25">
      <c r="A46321" s="118"/>
      <c r="B46321" s="136"/>
    </row>
    <row r="46322" spans="1:2" x14ac:dyDescent="0.25">
      <c r="A46322" s="118"/>
      <c r="B46322" s="136"/>
    </row>
    <row r="46323" spans="1:2" x14ac:dyDescent="0.25">
      <c r="A46323" s="118"/>
      <c r="B46323" s="136"/>
    </row>
    <row r="46324" spans="1:2" x14ac:dyDescent="0.25">
      <c r="A46324" s="118"/>
      <c r="B46324" s="136"/>
    </row>
    <row r="46325" spans="1:2" x14ac:dyDescent="0.25">
      <c r="A46325" s="118"/>
      <c r="B46325" s="136"/>
    </row>
    <row r="46326" spans="1:2" x14ac:dyDescent="0.25">
      <c r="A46326" s="118"/>
      <c r="B46326" s="136"/>
    </row>
    <row r="46327" spans="1:2" x14ac:dyDescent="0.25">
      <c r="A46327" s="118"/>
      <c r="B46327" s="136"/>
    </row>
    <row r="46328" spans="1:2" x14ac:dyDescent="0.25">
      <c r="A46328" s="118"/>
      <c r="B46328" s="136"/>
    </row>
    <row r="46329" spans="1:2" x14ac:dyDescent="0.25">
      <c r="A46329" s="118"/>
      <c r="B46329" s="136"/>
    </row>
    <row r="46330" spans="1:2" x14ac:dyDescent="0.25">
      <c r="A46330" s="118"/>
      <c r="B46330" s="136"/>
    </row>
    <row r="46331" spans="1:2" x14ac:dyDescent="0.25">
      <c r="A46331" s="118"/>
      <c r="B46331" s="136"/>
    </row>
    <row r="46332" spans="1:2" x14ac:dyDescent="0.25">
      <c r="A46332" s="118"/>
      <c r="B46332" s="136"/>
    </row>
    <row r="46333" spans="1:2" x14ac:dyDescent="0.25">
      <c r="A46333" s="118"/>
      <c r="B46333" s="136"/>
    </row>
    <row r="46334" spans="1:2" x14ac:dyDescent="0.25">
      <c r="A46334" s="118"/>
      <c r="B46334" s="136"/>
    </row>
    <row r="46335" spans="1:2" x14ac:dyDescent="0.25">
      <c r="A46335" s="118"/>
      <c r="B46335" s="136"/>
    </row>
    <row r="46336" spans="1:2" x14ac:dyDescent="0.25">
      <c r="A46336" s="118"/>
      <c r="B46336" s="136"/>
    </row>
    <row r="46337" spans="1:2" x14ac:dyDescent="0.25">
      <c r="A46337" s="118"/>
      <c r="B46337" s="136"/>
    </row>
    <row r="46338" spans="1:2" x14ac:dyDescent="0.25">
      <c r="A46338" s="118"/>
      <c r="B46338" s="136"/>
    </row>
    <row r="46339" spans="1:2" x14ac:dyDescent="0.25">
      <c r="A46339" s="118"/>
      <c r="B46339" s="136"/>
    </row>
    <row r="46340" spans="1:2" x14ac:dyDescent="0.25">
      <c r="A46340" s="118"/>
      <c r="B46340" s="136"/>
    </row>
    <row r="46341" spans="1:2" x14ac:dyDescent="0.25">
      <c r="A46341" s="118"/>
      <c r="B46341" s="136"/>
    </row>
    <row r="46342" spans="1:2" x14ac:dyDescent="0.25">
      <c r="A46342" s="118"/>
      <c r="B46342" s="136"/>
    </row>
    <row r="46343" spans="1:2" x14ac:dyDescent="0.25">
      <c r="A46343" s="118"/>
      <c r="B46343" s="136"/>
    </row>
    <row r="46344" spans="1:2" x14ac:dyDescent="0.25">
      <c r="A46344" s="118"/>
      <c r="B46344" s="136"/>
    </row>
    <row r="46345" spans="1:2" x14ac:dyDescent="0.25">
      <c r="A46345" s="118"/>
      <c r="B46345" s="136"/>
    </row>
    <row r="46346" spans="1:2" x14ac:dyDescent="0.25">
      <c r="A46346" s="118"/>
      <c r="B46346" s="136"/>
    </row>
    <row r="46347" spans="1:2" x14ac:dyDescent="0.25">
      <c r="A46347" s="118"/>
      <c r="B46347" s="136"/>
    </row>
    <row r="46348" spans="1:2" x14ac:dyDescent="0.25">
      <c r="A46348" s="118"/>
      <c r="B46348" s="136"/>
    </row>
    <row r="46349" spans="1:2" x14ac:dyDescent="0.25">
      <c r="A46349" s="118"/>
      <c r="B46349" s="136"/>
    </row>
    <row r="46350" spans="1:2" x14ac:dyDescent="0.25">
      <c r="A46350" s="118"/>
      <c r="B46350" s="136"/>
    </row>
    <row r="46351" spans="1:2" x14ac:dyDescent="0.25">
      <c r="A46351" s="118"/>
      <c r="B46351" s="136"/>
    </row>
    <row r="46352" spans="1:2" x14ac:dyDescent="0.25">
      <c r="A46352" s="118"/>
      <c r="B46352" s="136"/>
    </row>
    <row r="46353" spans="1:2" x14ac:dyDescent="0.25">
      <c r="A46353" s="118"/>
      <c r="B46353" s="136"/>
    </row>
    <row r="46354" spans="1:2" x14ac:dyDescent="0.25">
      <c r="A46354" s="118"/>
      <c r="B46354" s="136"/>
    </row>
    <row r="46355" spans="1:2" x14ac:dyDescent="0.25">
      <c r="A46355" s="118"/>
      <c r="B46355" s="136"/>
    </row>
    <row r="46356" spans="1:2" x14ac:dyDescent="0.25">
      <c r="A46356" s="118"/>
      <c r="B46356" s="136"/>
    </row>
    <row r="46357" spans="1:2" x14ac:dyDescent="0.25">
      <c r="A46357" s="118"/>
      <c r="B46357" s="136"/>
    </row>
    <row r="46358" spans="1:2" x14ac:dyDescent="0.25">
      <c r="A46358" s="118"/>
      <c r="B46358" s="136"/>
    </row>
    <row r="46359" spans="1:2" x14ac:dyDescent="0.25">
      <c r="A46359" s="118"/>
      <c r="B46359" s="136"/>
    </row>
    <row r="46360" spans="1:2" x14ac:dyDescent="0.25">
      <c r="A46360" s="118"/>
      <c r="B46360" s="136"/>
    </row>
    <row r="46361" spans="1:2" x14ac:dyDescent="0.25">
      <c r="A46361" s="118"/>
      <c r="B46361" s="136"/>
    </row>
    <row r="46362" spans="1:2" x14ac:dyDescent="0.25">
      <c r="A46362" s="118"/>
      <c r="B46362" s="136"/>
    </row>
    <row r="46363" spans="1:2" x14ac:dyDescent="0.25">
      <c r="A46363" s="118"/>
      <c r="B46363" s="136"/>
    </row>
    <row r="46364" spans="1:2" x14ac:dyDescent="0.25">
      <c r="A46364" s="118"/>
      <c r="B46364" s="136"/>
    </row>
    <row r="46365" spans="1:2" x14ac:dyDescent="0.25">
      <c r="A46365" s="118"/>
      <c r="B46365" s="136"/>
    </row>
    <row r="46366" spans="1:2" x14ac:dyDescent="0.25">
      <c r="A46366" s="118"/>
      <c r="B46366" s="136"/>
    </row>
    <row r="46367" spans="1:2" x14ac:dyDescent="0.25">
      <c r="A46367" s="118"/>
      <c r="B46367" s="136"/>
    </row>
    <row r="46368" spans="1:2" x14ac:dyDescent="0.25">
      <c r="A46368" s="118"/>
      <c r="B46368" s="136"/>
    </row>
    <row r="46369" spans="1:2" x14ac:dyDescent="0.25">
      <c r="A46369" s="118"/>
      <c r="B46369" s="136"/>
    </row>
    <row r="46370" spans="1:2" x14ac:dyDescent="0.25">
      <c r="A46370" s="118"/>
      <c r="B46370" s="136"/>
    </row>
    <row r="46371" spans="1:2" x14ac:dyDescent="0.25">
      <c r="A46371" s="118"/>
      <c r="B46371" s="136"/>
    </row>
    <row r="46372" spans="1:2" x14ac:dyDescent="0.25">
      <c r="A46372" s="118"/>
      <c r="B46372" s="136"/>
    </row>
    <row r="46373" spans="1:2" x14ac:dyDescent="0.25">
      <c r="A46373" s="118"/>
      <c r="B46373" s="136"/>
    </row>
    <row r="46374" spans="1:2" x14ac:dyDescent="0.25">
      <c r="A46374" s="118"/>
      <c r="B46374" s="136"/>
    </row>
    <row r="46375" spans="1:2" x14ac:dyDescent="0.25">
      <c r="A46375" s="118"/>
      <c r="B46375" s="136"/>
    </row>
    <row r="46376" spans="1:2" x14ac:dyDescent="0.25">
      <c r="A46376" s="118"/>
      <c r="B46376" s="136"/>
    </row>
    <row r="46377" spans="1:2" x14ac:dyDescent="0.25">
      <c r="A46377" s="118"/>
      <c r="B46377" s="136"/>
    </row>
    <row r="46378" spans="1:2" x14ac:dyDescent="0.25">
      <c r="A46378" s="118"/>
      <c r="B46378" s="136"/>
    </row>
    <row r="46379" spans="1:2" x14ac:dyDescent="0.25">
      <c r="A46379" s="118"/>
      <c r="B46379" s="136"/>
    </row>
    <row r="46380" spans="1:2" x14ac:dyDescent="0.25">
      <c r="A46380" s="118"/>
      <c r="B46380" s="136"/>
    </row>
    <row r="46381" spans="1:2" x14ac:dyDescent="0.25">
      <c r="A46381" s="118"/>
      <c r="B46381" s="136"/>
    </row>
    <row r="46382" spans="1:2" x14ac:dyDescent="0.25">
      <c r="A46382" s="118"/>
      <c r="B46382" s="136"/>
    </row>
    <row r="46383" spans="1:2" x14ac:dyDescent="0.25">
      <c r="A46383" s="118"/>
      <c r="B46383" s="136"/>
    </row>
    <row r="46384" spans="1:2" x14ac:dyDescent="0.25">
      <c r="A46384" s="118"/>
      <c r="B46384" s="136"/>
    </row>
    <row r="46385" spans="1:2" x14ac:dyDescent="0.25">
      <c r="A46385" s="118"/>
      <c r="B46385" s="136"/>
    </row>
    <row r="46386" spans="1:2" x14ac:dyDescent="0.25">
      <c r="A46386" s="118"/>
      <c r="B46386" s="136"/>
    </row>
    <row r="46387" spans="1:2" x14ac:dyDescent="0.25">
      <c r="A46387" s="118"/>
      <c r="B46387" s="136"/>
    </row>
    <row r="46388" spans="1:2" x14ac:dyDescent="0.25">
      <c r="A46388" s="118"/>
      <c r="B46388" s="136"/>
    </row>
    <row r="46389" spans="1:2" x14ac:dyDescent="0.25">
      <c r="A46389" s="118"/>
      <c r="B46389" s="136"/>
    </row>
    <row r="46390" spans="1:2" x14ac:dyDescent="0.25">
      <c r="A46390" s="118"/>
      <c r="B46390" s="136"/>
    </row>
    <row r="46391" spans="1:2" x14ac:dyDescent="0.25">
      <c r="A46391" s="118"/>
      <c r="B46391" s="136"/>
    </row>
    <row r="46392" spans="1:2" x14ac:dyDescent="0.25">
      <c r="A46392" s="118"/>
      <c r="B46392" s="136"/>
    </row>
    <row r="46393" spans="1:2" x14ac:dyDescent="0.25">
      <c r="A46393" s="118"/>
      <c r="B46393" s="136"/>
    </row>
    <row r="46394" spans="1:2" x14ac:dyDescent="0.25">
      <c r="A46394" s="118"/>
      <c r="B46394" s="136"/>
    </row>
    <row r="46395" spans="1:2" x14ac:dyDescent="0.25">
      <c r="A46395" s="118"/>
      <c r="B46395" s="136"/>
    </row>
    <row r="46396" spans="1:2" x14ac:dyDescent="0.25">
      <c r="A46396" s="118"/>
      <c r="B46396" s="136"/>
    </row>
    <row r="46397" spans="1:2" x14ac:dyDescent="0.25">
      <c r="A46397" s="118"/>
      <c r="B46397" s="136"/>
    </row>
    <row r="46398" spans="1:2" x14ac:dyDescent="0.25">
      <c r="A46398" s="118"/>
      <c r="B46398" s="136"/>
    </row>
    <row r="46399" spans="1:2" x14ac:dyDescent="0.25">
      <c r="A46399" s="118"/>
      <c r="B46399" s="136"/>
    </row>
    <row r="46400" spans="1:2" x14ac:dyDescent="0.25">
      <c r="A46400" s="118"/>
      <c r="B46400" s="136"/>
    </row>
    <row r="46401" spans="1:2" x14ac:dyDescent="0.25">
      <c r="A46401" s="118"/>
      <c r="B46401" s="136"/>
    </row>
    <row r="46402" spans="1:2" x14ac:dyDescent="0.25">
      <c r="A46402" s="118"/>
      <c r="B46402" s="136"/>
    </row>
    <row r="46403" spans="1:2" x14ac:dyDescent="0.25">
      <c r="A46403" s="118"/>
      <c r="B46403" s="136"/>
    </row>
    <row r="46404" spans="1:2" x14ac:dyDescent="0.25">
      <c r="A46404" s="118"/>
      <c r="B46404" s="136"/>
    </row>
    <row r="46405" spans="1:2" x14ac:dyDescent="0.25">
      <c r="A46405" s="118"/>
      <c r="B46405" s="136"/>
    </row>
    <row r="46406" spans="1:2" x14ac:dyDescent="0.25">
      <c r="A46406" s="118"/>
      <c r="B46406" s="136"/>
    </row>
    <row r="46407" spans="1:2" x14ac:dyDescent="0.25">
      <c r="A46407" s="118"/>
      <c r="B46407" s="136"/>
    </row>
    <row r="46408" spans="1:2" x14ac:dyDescent="0.25">
      <c r="A46408" s="118"/>
      <c r="B46408" s="136"/>
    </row>
    <row r="46409" spans="1:2" x14ac:dyDescent="0.25">
      <c r="A46409" s="118"/>
      <c r="B46409" s="136"/>
    </row>
    <row r="46410" spans="1:2" x14ac:dyDescent="0.25">
      <c r="A46410" s="118"/>
      <c r="B46410" s="136"/>
    </row>
    <row r="46411" spans="1:2" x14ac:dyDescent="0.25">
      <c r="A46411" s="118"/>
      <c r="B46411" s="136"/>
    </row>
    <row r="46412" spans="1:2" x14ac:dyDescent="0.25">
      <c r="A46412" s="118"/>
      <c r="B46412" s="136"/>
    </row>
    <row r="46413" spans="1:2" x14ac:dyDescent="0.25">
      <c r="A46413" s="118"/>
      <c r="B46413" s="136"/>
    </row>
    <row r="46414" spans="1:2" x14ac:dyDescent="0.25">
      <c r="A46414" s="118"/>
      <c r="B46414" s="136"/>
    </row>
    <row r="46415" spans="1:2" x14ac:dyDescent="0.25">
      <c r="A46415" s="118"/>
      <c r="B46415" s="136"/>
    </row>
    <row r="46416" spans="1:2" x14ac:dyDescent="0.25">
      <c r="A46416" s="118"/>
      <c r="B46416" s="136"/>
    </row>
    <row r="46417" spans="1:2" x14ac:dyDescent="0.25">
      <c r="A46417" s="118"/>
      <c r="B46417" s="136"/>
    </row>
    <row r="46418" spans="1:2" x14ac:dyDescent="0.25">
      <c r="A46418" s="118"/>
      <c r="B46418" s="136"/>
    </row>
    <row r="46419" spans="1:2" x14ac:dyDescent="0.25">
      <c r="A46419" s="118"/>
      <c r="B46419" s="136"/>
    </row>
    <row r="46420" spans="1:2" x14ac:dyDescent="0.25">
      <c r="A46420" s="118"/>
      <c r="B46420" s="136"/>
    </row>
    <row r="46421" spans="1:2" x14ac:dyDescent="0.25">
      <c r="A46421" s="118"/>
      <c r="B46421" s="136"/>
    </row>
    <row r="46422" spans="1:2" x14ac:dyDescent="0.25">
      <c r="A46422" s="118"/>
      <c r="B46422" s="136"/>
    </row>
    <row r="46423" spans="1:2" x14ac:dyDescent="0.25">
      <c r="A46423" s="118"/>
      <c r="B46423" s="136"/>
    </row>
    <row r="46424" spans="1:2" x14ac:dyDescent="0.25">
      <c r="A46424" s="118"/>
      <c r="B46424" s="136"/>
    </row>
    <row r="46425" spans="1:2" x14ac:dyDescent="0.25">
      <c r="A46425" s="118"/>
      <c r="B46425" s="136"/>
    </row>
    <row r="46426" spans="1:2" x14ac:dyDescent="0.25">
      <c r="A46426" s="118"/>
      <c r="B46426" s="136"/>
    </row>
    <row r="46427" spans="1:2" x14ac:dyDescent="0.25">
      <c r="A46427" s="118"/>
      <c r="B46427" s="136"/>
    </row>
    <row r="46428" spans="1:2" x14ac:dyDescent="0.25">
      <c r="A46428" s="118"/>
      <c r="B46428" s="136"/>
    </row>
    <row r="46429" spans="1:2" x14ac:dyDescent="0.25">
      <c r="A46429" s="118"/>
      <c r="B46429" s="136"/>
    </row>
    <row r="46430" spans="1:2" x14ac:dyDescent="0.25">
      <c r="A46430" s="118"/>
      <c r="B46430" s="136"/>
    </row>
    <row r="46431" spans="1:2" x14ac:dyDescent="0.25">
      <c r="A46431" s="118"/>
      <c r="B46431" s="136"/>
    </row>
    <row r="46432" spans="1:2" x14ac:dyDescent="0.25">
      <c r="A46432" s="118"/>
      <c r="B46432" s="136"/>
    </row>
    <row r="46433" spans="1:2" x14ac:dyDescent="0.25">
      <c r="A46433" s="118"/>
      <c r="B46433" s="136"/>
    </row>
    <row r="46434" spans="1:2" x14ac:dyDescent="0.25">
      <c r="A46434" s="118"/>
      <c r="B46434" s="136"/>
    </row>
    <row r="46435" spans="1:2" x14ac:dyDescent="0.25">
      <c r="A46435" s="118"/>
      <c r="B46435" s="136"/>
    </row>
    <row r="46436" spans="1:2" x14ac:dyDescent="0.25">
      <c r="A46436" s="118"/>
      <c r="B46436" s="136"/>
    </row>
    <row r="46437" spans="1:2" x14ac:dyDescent="0.25">
      <c r="A46437" s="118"/>
      <c r="B46437" s="136"/>
    </row>
    <row r="46438" spans="1:2" x14ac:dyDescent="0.25">
      <c r="A46438" s="118"/>
      <c r="B46438" s="136"/>
    </row>
    <row r="46439" spans="1:2" x14ac:dyDescent="0.25">
      <c r="A46439" s="118"/>
      <c r="B46439" s="136"/>
    </row>
    <row r="46440" spans="1:2" x14ac:dyDescent="0.25">
      <c r="A46440" s="118"/>
      <c r="B46440" s="136"/>
    </row>
    <row r="46441" spans="1:2" x14ac:dyDescent="0.25">
      <c r="A46441" s="118"/>
      <c r="B46441" s="136"/>
    </row>
    <row r="46442" spans="1:2" x14ac:dyDescent="0.25">
      <c r="A46442" s="118"/>
      <c r="B46442" s="136"/>
    </row>
    <row r="46443" spans="1:2" x14ac:dyDescent="0.25">
      <c r="A46443" s="118"/>
      <c r="B46443" s="136"/>
    </row>
    <row r="46444" spans="1:2" x14ac:dyDescent="0.25">
      <c r="A46444" s="118"/>
      <c r="B46444" s="136"/>
    </row>
    <row r="46445" spans="1:2" x14ac:dyDescent="0.25">
      <c r="A46445" s="118"/>
      <c r="B46445" s="136"/>
    </row>
    <row r="46446" spans="1:2" x14ac:dyDescent="0.25">
      <c r="A46446" s="118"/>
      <c r="B46446" s="136"/>
    </row>
    <row r="46447" spans="1:2" x14ac:dyDescent="0.25">
      <c r="A46447" s="118"/>
      <c r="B46447" s="136"/>
    </row>
    <row r="46448" spans="1:2" x14ac:dyDescent="0.25">
      <c r="A46448" s="118"/>
      <c r="B46448" s="136"/>
    </row>
    <row r="46449" spans="1:2" x14ac:dyDescent="0.25">
      <c r="A46449" s="118"/>
      <c r="B46449" s="136"/>
    </row>
    <row r="46450" spans="1:2" x14ac:dyDescent="0.25">
      <c r="A46450" s="118"/>
      <c r="B46450" s="136"/>
    </row>
    <row r="46451" spans="1:2" x14ac:dyDescent="0.25">
      <c r="A46451" s="118"/>
      <c r="B46451" s="136"/>
    </row>
    <row r="46452" spans="1:2" x14ac:dyDescent="0.25">
      <c r="A46452" s="118"/>
      <c r="B46452" s="136"/>
    </row>
    <row r="46453" spans="1:2" x14ac:dyDescent="0.25">
      <c r="A46453" s="118"/>
      <c r="B46453" s="136"/>
    </row>
    <row r="46454" spans="1:2" x14ac:dyDescent="0.25">
      <c r="A46454" s="118"/>
      <c r="B46454" s="136"/>
    </row>
    <row r="46455" spans="1:2" x14ac:dyDescent="0.25">
      <c r="A46455" s="118"/>
      <c r="B46455" s="136"/>
    </row>
    <row r="46456" spans="1:2" x14ac:dyDescent="0.25">
      <c r="A46456" s="118"/>
      <c r="B46456" s="136"/>
    </row>
    <row r="46457" spans="1:2" x14ac:dyDescent="0.25">
      <c r="A46457" s="118"/>
      <c r="B46457" s="136"/>
    </row>
    <row r="46458" spans="1:2" x14ac:dyDescent="0.25">
      <c r="A46458" s="118"/>
      <c r="B46458" s="136"/>
    </row>
    <row r="46459" spans="1:2" x14ac:dyDescent="0.25">
      <c r="A46459" s="118"/>
      <c r="B46459" s="136"/>
    </row>
    <row r="46460" spans="1:2" x14ac:dyDescent="0.25">
      <c r="A46460" s="118"/>
      <c r="B46460" s="136"/>
    </row>
    <row r="46461" spans="1:2" x14ac:dyDescent="0.25">
      <c r="A46461" s="118"/>
      <c r="B46461" s="136"/>
    </row>
    <row r="46462" spans="1:2" x14ac:dyDescent="0.25">
      <c r="A46462" s="118"/>
      <c r="B46462" s="136"/>
    </row>
    <row r="46463" spans="1:2" x14ac:dyDescent="0.25">
      <c r="A46463" s="118"/>
      <c r="B46463" s="136"/>
    </row>
    <row r="46464" spans="1:2" x14ac:dyDescent="0.25">
      <c r="A46464" s="118"/>
      <c r="B46464" s="136"/>
    </row>
    <row r="46465" spans="1:2" x14ac:dyDescent="0.25">
      <c r="A46465" s="118"/>
      <c r="B46465" s="136"/>
    </row>
    <row r="46466" spans="1:2" x14ac:dyDescent="0.25">
      <c r="A46466" s="118"/>
      <c r="B46466" s="136"/>
    </row>
    <row r="46467" spans="1:2" x14ac:dyDescent="0.25">
      <c r="A46467" s="118"/>
      <c r="B46467" s="136"/>
    </row>
    <row r="46468" spans="1:2" x14ac:dyDescent="0.25">
      <c r="A46468" s="118"/>
      <c r="B46468" s="136"/>
    </row>
    <row r="46469" spans="1:2" x14ac:dyDescent="0.25">
      <c r="A46469" s="118"/>
      <c r="B46469" s="136"/>
    </row>
    <row r="46470" spans="1:2" x14ac:dyDescent="0.25">
      <c r="A46470" s="118"/>
      <c r="B46470" s="136"/>
    </row>
    <row r="46471" spans="1:2" x14ac:dyDescent="0.25">
      <c r="A46471" s="118"/>
      <c r="B46471" s="136"/>
    </row>
    <row r="46472" spans="1:2" x14ac:dyDescent="0.25">
      <c r="A46472" s="118"/>
      <c r="B46472" s="136"/>
    </row>
    <row r="46473" spans="1:2" x14ac:dyDescent="0.25">
      <c r="A46473" s="118"/>
      <c r="B46473" s="136"/>
    </row>
    <row r="46474" spans="1:2" x14ac:dyDescent="0.25">
      <c r="A46474" s="118"/>
      <c r="B46474" s="136"/>
    </row>
    <row r="46475" spans="1:2" x14ac:dyDescent="0.25">
      <c r="A46475" s="118"/>
      <c r="B46475" s="136"/>
    </row>
    <row r="46476" spans="1:2" x14ac:dyDescent="0.25">
      <c r="A46476" s="118"/>
      <c r="B46476" s="136"/>
    </row>
    <row r="46477" spans="1:2" x14ac:dyDescent="0.25">
      <c r="A46477" s="118"/>
      <c r="B46477" s="136"/>
    </row>
    <row r="46478" spans="1:2" x14ac:dyDescent="0.25">
      <c r="A46478" s="118"/>
      <c r="B46478" s="136"/>
    </row>
    <row r="46479" spans="1:2" x14ac:dyDescent="0.25">
      <c r="A46479" s="118"/>
      <c r="B46479" s="136"/>
    </row>
    <row r="46480" spans="1:2" x14ac:dyDescent="0.25">
      <c r="A46480" s="118"/>
      <c r="B46480" s="136"/>
    </row>
    <row r="46481" spans="1:2" x14ac:dyDescent="0.25">
      <c r="A46481" s="118"/>
      <c r="B46481" s="136"/>
    </row>
    <row r="46482" spans="1:2" x14ac:dyDescent="0.25">
      <c r="A46482" s="118"/>
      <c r="B46482" s="136"/>
    </row>
    <row r="46483" spans="1:2" x14ac:dyDescent="0.25">
      <c r="A46483" s="118"/>
      <c r="B46483" s="136"/>
    </row>
    <row r="46484" spans="1:2" x14ac:dyDescent="0.25">
      <c r="A46484" s="118"/>
      <c r="B46484" s="136"/>
    </row>
    <row r="46485" spans="1:2" x14ac:dyDescent="0.25">
      <c r="A46485" s="118"/>
      <c r="B46485" s="136"/>
    </row>
    <row r="46486" spans="1:2" x14ac:dyDescent="0.25">
      <c r="A46486" s="118"/>
      <c r="B46486" s="136"/>
    </row>
    <row r="46487" spans="1:2" x14ac:dyDescent="0.25">
      <c r="A46487" s="118"/>
      <c r="B46487" s="136"/>
    </row>
    <row r="46488" spans="1:2" x14ac:dyDescent="0.25">
      <c r="A46488" s="118"/>
      <c r="B46488" s="136"/>
    </row>
    <row r="46489" spans="1:2" x14ac:dyDescent="0.25">
      <c r="A46489" s="118"/>
      <c r="B46489" s="136"/>
    </row>
    <row r="46490" spans="1:2" x14ac:dyDescent="0.25">
      <c r="A46490" s="118"/>
      <c r="B46490" s="136"/>
    </row>
    <row r="46491" spans="1:2" x14ac:dyDescent="0.25">
      <c r="A46491" s="118"/>
      <c r="B46491" s="136"/>
    </row>
    <row r="46492" spans="1:2" x14ac:dyDescent="0.25">
      <c r="A46492" s="118"/>
      <c r="B46492" s="136"/>
    </row>
    <row r="46493" spans="1:2" x14ac:dyDescent="0.25">
      <c r="A46493" s="118"/>
      <c r="B46493" s="136"/>
    </row>
    <row r="46494" spans="1:2" x14ac:dyDescent="0.25">
      <c r="A46494" s="118"/>
      <c r="B46494" s="136"/>
    </row>
    <row r="46495" spans="1:2" x14ac:dyDescent="0.25">
      <c r="A46495" s="118"/>
      <c r="B46495" s="136"/>
    </row>
    <row r="46496" spans="1:2" x14ac:dyDescent="0.25">
      <c r="A46496" s="118"/>
      <c r="B46496" s="136"/>
    </row>
    <row r="46497" spans="1:2" x14ac:dyDescent="0.25">
      <c r="A46497" s="118"/>
      <c r="B46497" s="136"/>
    </row>
    <row r="46498" spans="1:2" x14ac:dyDescent="0.25">
      <c r="A46498" s="118"/>
      <c r="B46498" s="136"/>
    </row>
    <row r="46499" spans="1:2" x14ac:dyDescent="0.25">
      <c r="A46499" s="118"/>
      <c r="B46499" s="136"/>
    </row>
    <row r="46500" spans="1:2" x14ac:dyDescent="0.25">
      <c r="A46500" s="118"/>
      <c r="B46500" s="136"/>
    </row>
    <row r="46501" spans="1:2" x14ac:dyDescent="0.25">
      <c r="A46501" s="118"/>
      <c r="B46501" s="136"/>
    </row>
    <row r="46502" spans="1:2" x14ac:dyDescent="0.25">
      <c r="A46502" s="118"/>
      <c r="B46502" s="136"/>
    </row>
    <row r="46503" spans="1:2" x14ac:dyDescent="0.25">
      <c r="A46503" s="118"/>
      <c r="B46503" s="136"/>
    </row>
    <row r="46504" spans="1:2" x14ac:dyDescent="0.25">
      <c r="A46504" s="118"/>
      <c r="B46504" s="136"/>
    </row>
    <row r="46505" spans="1:2" x14ac:dyDescent="0.25">
      <c r="A46505" s="118"/>
      <c r="B46505" s="136"/>
    </row>
    <row r="46506" spans="1:2" x14ac:dyDescent="0.25">
      <c r="A46506" s="118"/>
      <c r="B46506" s="136"/>
    </row>
    <row r="46507" spans="1:2" x14ac:dyDescent="0.25">
      <c r="A46507" s="118"/>
      <c r="B46507" s="136"/>
    </row>
    <row r="46508" spans="1:2" x14ac:dyDescent="0.25">
      <c r="A46508" s="118"/>
      <c r="B46508" s="136"/>
    </row>
    <row r="46509" spans="1:2" x14ac:dyDescent="0.25">
      <c r="A46509" s="118"/>
      <c r="B46509" s="136"/>
    </row>
    <row r="46510" spans="1:2" x14ac:dyDescent="0.25">
      <c r="A46510" s="118"/>
      <c r="B46510" s="136"/>
    </row>
    <row r="46511" spans="1:2" x14ac:dyDescent="0.25">
      <c r="A46511" s="118"/>
      <c r="B46511" s="136"/>
    </row>
    <row r="46512" spans="1:2" x14ac:dyDescent="0.25">
      <c r="A46512" s="118"/>
      <c r="B46512" s="136"/>
    </row>
    <row r="46513" spans="1:2" x14ac:dyDescent="0.25">
      <c r="A46513" s="118"/>
      <c r="B46513" s="136"/>
    </row>
    <row r="46514" spans="1:2" x14ac:dyDescent="0.25">
      <c r="A46514" s="118"/>
      <c r="B46514" s="136"/>
    </row>
    <row r="46515" spans="1:2" x14ac:dyDescent="0.25">
      <c r="A46515" s="118"/>
      <c r="B46515" s="136"/>
    </row>
    <row r="46516" spans="1:2" x14ac:dyDescent="0.25">
      <c r="A46516" s="118"/>
      <c r="B46516" s="136"/>
    </row>
    <row r="46517" spans="1:2" x14ac:dyDescent="0.25">
      <c r="A46517" s="118"/>
      <c r="B46517" s="136"/>
    </row>
    <row r="46518" spans="1:2" x14ac:dyDescent="0.25">
      <c r="A46518" s="118"/>
      <c r="B46518" s="136"/>
    </row>
    <row r="46519" spans="1:2" x14ac:dyDescent="0.25">
      <c r="A46519" s="118"/>
      <c r="B46519" s="136"/>
    </row>
    <row r="46520" spans="1:2" x14ac:dyDescent="0.25">
      <c r="A46520" s="118"/>
      <c r="B46520" s="136"/>
    </row>
    <row r="46521" spans="1:2" x14ac:dyDescent="0.25">
      <c r="A46521" s="118"/>
      <c r="B46521" s="136"/>
    </row>
    <row r="46522" spans="1:2" x14ac:dyDescent="0.25">
      <c r="A46522" s="118"/>
      <c r="B46522" s="136"/>
    </row>
    <row r="46523" spans="1:2" x14ac:dyDescent="0.25">
      <c r="A46523" s="118"/>
      <c r="B46523" s="136"/>
    </row>
    <row r="46524" spans="1:2" x14ac:dyDescent="0.25">
      <c r="A46524" s="118"/>
      <c r="B46524" s="136"/>
    </row>
    <row r="46525" spans="1:2" x14ac:dyDescent="0.25">
      <c r="A46525" s="118"/>
      <c r="B46525" s="136"/>
    </row>
    <row r="46526" spans="1:2" x14ac:dyDescent="0.25">
      <c r="A46526" s="118"/>
      <c r="B46526" s="136"/>
    </row>
    <row r="46527" spans="1:2" x14ac:dyDescent="0.25">
      <c r="A46527" s="118"/>
      <c r="B46527" s="136"/>
    </row>
    <row r="46528" spans="1:2" x14ac:dyDescent="0.25">
      <c r="A46528" s="118"/>
      <c r="B46528" s="136"/>
    </row>
    <row r="46529" spans="1:2" x14ac:dyDescent="0.25">
      <c r="A46529" s="118"/>
      <c r="B46529" s="136"/>
    </row>
    <row r="46530" spans="1:2" x14ac:dyDescent="0.25">
      <c r="A46530" s="118"/>
      <c r="B46530" s="136"/>
    </row>
    <row r="46531" spans="1:2" x14ac:dyDescent="0.25">
      <c r="A46531" s="118"/>
      <c r="B46531" s="136"/>
    </row>
    <row r="46532" spans="1:2" x14ac:dyDescent="0.25">
      <c r="A46532" s="118"/>
      <c r="B46532" s="136"/>
    </row>
    <row r="46533" spans="1:2" x14ac:dyDescent="0.25">
      <c r="A46533" s="118"/>
      <c r="B46533" s="136"/>
    </row>
    <row r="46534" spans="1:2" x14ac:dyDescent="0.25">
      <c r="A46534" s="118"/>
      <c r="B46534" s="136"/>
    </row>
    <row r="46535" spans="1:2" x14ac:dyDescent="0.25">
      <c r="A46535" s="118"/>
      <c r="B46535" s="136"/>
    </row>
    <row r="46536" spans="1:2" x14ac:dyDescent="0.25">
      <c r="A46536" s="118"/>
      <c r="B46536" s="136"/>
    </row>
    <row r="46537" spans="1:2" x14ac:dyDescent="0.25">
      <c r="A46537" s="118"/>
      <c r="B46537" s="136"/>
    </row>
    <row r="46538" spans="1:2" x14ac:dyDescent="0.25">
      <c r="A46538" s="118"/>
      <c r="B46538" s="136"/>
    </row>
    <row r="46539" spans="1:2" x14ac:dyDescent="0.25">
      <c r="A46539" s="118"/>
      <c r="B46539" s="136"/>
    </row>
    <row r="46540" spans="1:2" x14ac:dyDescent="0.25">
      <c r="A46540" s="118"/>
      <c r="B46540" s="136"/>
    </row>
    <row r="46541" spans="1:2" x14ac:dyDescent="0.25">
      <c r="A46541" s="118"/>
      <c r="B46541" s="136"/>
    </row>
    <row r="46542" spans="1:2" x14ac:dyDescent="0.25">
      <c r="A46542" s="118"/>
      <c r="B46542" s="136"/>
    </row>
    <row r="46543" spans="1:2" x14ac:dyDescent="0.25">
      <c r="A46543" s="118"/>
      <c r="B46543" s="136"/>
    </row>
    <row r="46544" spans="1:2" x14ac:dyDescent="0.25">
      <c r="A46544" s="118"/>
      <c r="B46544" s="136"/>
    </row>
    <row r="46545" spans="1:2" x14ac:dyDescent="0.25">
      <c r="A46545" s="118"/>
      <c r="B46545" s="136"/>
    </row>
    <row r="46546" spans="1:2" x14ac:dyDescent="0.25">
      <c r="A46546" s="118"/>
      <c r="B46546" s="136"/>
    </row>
    <row r="46547" spans="1:2" x14ac:dyDescent="0.25">
      <c r="A46547" s="118"/>
      <c r="B46547" s="136"/>
    </row>
    <row r="46548" spans="1:2" x14ac:dyDescent="0.25">
      <c r="A46548" s="118"/>
      <c r="B46548" s="136"/>
    </row>
    <row r="46549" spans="1:2" x14ac:dyDescent="0.25">
      <c r="A46549" s="118"/>
      <c r="B46549" s="136"/>
    </row>
    <row r="46550" spans="1:2" x14ac:dyDescent="0.25">
      <c r="A46550" s="118"/>
      <c r="B46550" s="136"/>
    </row>
    <row r="46551" spans="1:2" x14ac:dyDescent="0.25">
      <c r="A46551" s="118"/>
      <c r="B46551" s="136"/>
    </row>
    <row r="46552" spans="1:2" x14ac:dyDescent="0.25">
      <c r="A46552" s="118"/>
      <c r="B46552" s="136"/>
    </row>
    <row r="46553" spans="1:2" x14ac:dyDescent="0.25">
      <c r="A46553" s="118"/>
      <c r="B46553" s="136"/>
    </row>
    <row r="46554" spans="1:2" x14ac:dyDescent="0.25">
      <c r="A46554" s="118"/>
      <c r="B46554" s="136"/>
    </row>
    <row r="46555" spans="1:2" x14ac:dyDescent="0.25">
      <c r="A46555" s="118"/>
      <c r="B46555" s="136"/>
    </row>
    <row r="46556" spans="1:2" x14ac:dyDescent="0.25">
      <c r="A46556" s="118"/>
      <c r="B46556" s="136"/>
    </row>
    <row r="46557" spans="1:2" x14ac:dyDescent="0.25">
      <c r="A46557" s="118"/>
      <c r="B46557" s="136"/>
    </row>
    <row r="46558" spans="1:2" x14ac:dyDescent="0.25">
      <c r="A46558" s="118"/>
      <c r="B46558" s="136"/>
    </row>
    <row r="46559" spans="1:2" x14ac:dyDescent="0.25">
      <c r="A46559" s="118"/>
      <c r="B46559" s="136"/>
    </row>
    <row r="46560" spans="1:2" x14ac:dyDescent="0.25">
      <c r="A46560" s="118"/>
      <c r="B46560" s="136"/>
    </row>
    <row r="46561" spans="1:2" x14ac:dyDescent="0.25">
      <c r="A46561" s="118"/>
      <c r="B46561" s="136"/>
    </row>
    <row r="46562" spans="1:2" x14ac:dyDescent="0.25">
      <c r="A46562" s="118"/>
      <c r="B46562" s="136"/>
    </row>
    <row r="46563" spans="1:2" x14ac:dyDescent="0.25">
      <c r="A46563" s="118"/>
      <c r="B46563" s="136"/>
    </row>
    <row r="46564" spans="1:2" x14ac:dyDescent="0.25">
      <c r="A46564" s="118"/>
      <c r="B46564" s="136"/>
    </row>
    <row r="46565" spans="1:2" x14ac:dyDescent="0.25">
      <c r="A46565" s="118"/>
      <c r="B46565" s="136"/>
    </row>
    <row r="46566" spans="1:2" x14ac:dyDescent="0.25">
      <c r="A46566" s="118"/>
      <c r="B46566" s="136"/>
    </row>
    <row r="46567" spans="1:2" x14ac:dyDescent="0.25">
      <c r="A46567" s="118"/>
      <c r="B46567" s="136"/>
    </row>
    <row r="46568" spans="1:2" x14ac:dyDescent="0.25">
      <c r="A46568" s="118"/>
      <c r="B46568" s="136"/>
    </row>
    <row r="46569" spans="1:2" x14ac:dyDescent="0.25">
      <c r="A46569" s="118"/>
      <c r="B46569" s="136"/>
    </row>
    <row r="46570" spans="1:2" x14ac:dyDescent="0.25">
      <c r="A46570" s="118"/>
      <c r="B46570" s="136"/>
    </row>
    <row r="46571" spans="1:2" x14ac:dyDescent="0.25">
      <c r="A46571" s="118"/>
      <c r="B46571" s="136"/>
    </row>
    <row r="46572" spans="1:2" x14ac:dyDescent="0.25">
      <c r="A46572" s="118"/>
      <c r="B46572" s="136"/>
    </row>
    <row r="46573" spans="1:2" x14ac:dyDescent="0.25">
      <c r="A46573" s="118"/>
      <c r="B46573" s="136"/>
    </row>
    <row r="46574" spans="1:2" x14ac:dyDescent="0.25">
      <c r="A46574" s="118"/>
      <c r="B46574" s="136"/>
    </row>
    <row r="46575" spans="1:2" x14ac:dyDescent="0.25">
      <c r="A46575" s="118"/>
      <c r="B46575" s="136"/>
    </row>
    <row r="46576" spans="1:2" x14ac:dyDescent="0.25">
      <c r="A46576" s="118"/>
      <c r="B46576" s="136"/>
    </row>
    <row r="46577" spans="1:2" x14ac:dyDescent="0.25">
      <c r="A46577" s="118"/>
      <c r="B46577" s="136"/>
    </row>
    <row r="46578" spans="1:2" x14ac:dyDescent="0.25">
      <c r="A46578" s="118"/>
      <c r="B46578" s="136"/>
    </row>
    <row r="46579" spans="1:2" x14ac:dyDescent="0.25">
      <c r="A46579" s="118"/>
      <c r="B46579" s="136"/>
    </row>
    <row r="46580" spans="1:2" x14ac:dyDescent="0.25">
      <c r="A46580" s="118"/>
      <c r="B46580" s="136"/>
    </row>
    <row r="46581" spans="1:2" x14ac:dyDescent="0.25">
      <c r="A46581" s="118"/>
      <c r="B46581" s="136"/>
    </row>
    <row r="46582" spans="1:2" x14ac:dyDescent="0.25">
      <c r="A46582" s="118"/>
      <c r="B46582" s="136"/>
    </row>
    <row r="46583" spans="1:2" x14ac:dyDescent="0.25">
      <c r="A46583" s="118"/>
      <c r="B46583" s="136"/>
    </row>
    <row r="46584" spans="1:2" x14ac:dyDescent="0.25">
      <c r="A46584" s="118"/>
      <c r="B46584" s="136"/>
    </row>
    <row r="46585" spans="1:2" x14ac:dyDescent="0.25">
      <c r="A46585" s="118"/>
      <c r="B46585" s="136"/>
    </row>
    <row r="46586" spans="1:2" x14ac:dyDescent="0.25">
      <c r="A46586" s="118"/>
      <c r="B46586" s="136"/>
    </row>
    <row r="46587" spans="1:2" x14ac:dyDescent="0.25">
      <c r="A46587" s="118"/>
      <c r="B46587" s="136"/>
    </row>
    <row r="46588" spans="1:2" x14ac:dyDescent="0.25">
      <c r="A46588" s="118"/>
      <c r="B46588" s="136"/>
    </row>
    <row r="46589" spans="1:2" x14ac:dyDescent="0.25">
      <c r="A46589" s="118"/>
      <c r="B46589" s="136"/>
    </row>
    <row r="46590" spans="1:2" x14ac:dyDescent="0.25">
      <c r="A46590" s="118"/>
      <c r="B46590" s="136"/>
    </row>
    <row r="46591" spans="1:2" x14ac:dyDescent="0.25">
      <c r="A46591" s="118"/>
      <c r="B46591" s="136"/>
    </row>
    <row r="46592" spans="1:2" x14ac:dyDescent="0.25">
      <c r="A46592" s="118"/>
      <c r="B46592" s="136"/>
    </row>
    <row r="46593" spans="1:2" x14ac:dyDescent="0.25">
      <c r="A46593" s="118"/>
      <c r="B46593" s="136"/>
    </row>
    <row r="46594" spans="1:2" x14ac:dyDescent="0.25">
      <c r="A46594" s="118"/>
      <c r="B46594" s="136"/>
    </row>
    <row r="46595" spans="1:2" x14ac:dyDescent="0.25">
      <c r="A46595" s="118"/>
      <c r="B46595" s="136"/>
    </row>
    <row r="46596" spans="1:2" x14ac:dyDescent="0.25">
      <c r="A46596" s="118"/>
      <c r="B46596" s="136"/>
    </row>
    <row r="46597" spans="1:2" x14ac:dyDescent="0.25">
      <c r="A46597" s="118"/>
      <c r="B46597" s="136"/>
    </row>
    <row r="46598" spans="1:2" x14ac:dyDescent="0.25">
      <c r="A46598" s="118"/>
      <c r="B46598" s="136"/>
    </row>
    <row r="46599" spans="1:2" x14ac:dyDescent="0.25">
      <c r="A46599" s="118"/>
      <c r="B46599" s="136"/>
    </row>
    <row r="46600" spans="1:2" x14ac:dyDescent="0.25">
      <c r="A46600" s="118"/>
      <c r="B46600" s="136"/>
    </row>
    <row r="46601" spans="1:2" x14ac:dyDescent="0.25">
      <c r="A46601" s="118"/>
      <c r="B46601" s="136"/>
    </row>
    <row r="46602" spans="1:2" x14ac:dyDescent="0.25">
      <c r="A46602" s="118"/>
      <c r="B46602" s="136"/>
    </row>
    <row r="46603" spans="1:2" x14ac:dyDescent="0.25">
      <c r="A46603" s="118"/>
      <c r="B46603" s="136"/>
    </row>
    <row r="46604" spans="1:2" x14ac:dyDescent="0.25">
      <c r="A46604" s="118"/>
      <c r="B46604" s="136"/>
    </row>
    <row r="46605" spans="1:2" x14ac:dyDescent="0.25">
      <c r="A46605" s="118"/>
      <c r="B46605" s="136"/>
    </row>
    <row r="46606" spans="1:2" x14ac:dyDescent="0.25">
      <c r="A46606" s="118"/>
      <c r="B46606" s="136"/>
    </row>
    <row r="46607" spans="1:2" x14ac:dyDescent="0.25">
      <c r="A46607" s="118"/>
      <c r="B46607" s="136"/>
    </row>
    <row r="46608" spans="1:2" x14ac:dyDescent="0.25">
      <c r="A46608" s="118"/>
      <c r="B46608" s="136"/>
    </row>
    <row r="46609" spans="1:2" x14ac:dyDescent="0.25">
      <c r="A46609" s="118"/>
      <c r="B46609" s="136"/>
    </row>
    <row r="46610" spans="1:2" x14ac:dyDescent="0.25">
      <c r="A46610" s="118"/>
      <c r="B46610" s="136"/>
    </row>
    <row r="46611" spans="1:2" x14ac:dyDescent="0.25">
      <c r="A46611" s="118"/>
      <c r="B46611" s="136"/>
    </row>
    <row r="46612" spans="1:2" x14ac:dyDescent="0.25">
      <c r="A46612" s="118"/>
      <c r="B46612" s="136"/>
    </row>
    <row r="46613" spans="1:2" x14ac:dyDescent="0.25">
      <c r="A46613" s="118"/>
      <c r="B46613" s="136"/>
    </row>
    <row r="46614" spans="1:2" x14ac:dyDescent="0.25">
      <c r="A46614" s="118"/>
      <c r="B46614" s="136"/>
    </row>
    <row r="46615" spans="1:2" x14ac:dyDescent="0.25">
      <c r="A46615" s="118"/>
      <c r="B46615" s="136"/>
    </row>
    <row r="46616" spans="1:2" x14ac:dyDescent="0.25">
      <c r="A46616" s="118"/>
      <c r="B46616" s="136"/>
    </row>
    <row r="46617" spans="1:2" x14ac:dyDescent="0.25">
      <c r="A46617" s="118"/>
      <c r="B46617" s="136"/>
    </row>
    <row r="46618" spans="1:2" x14ac:dyDescent="0.25">
      <c r="A46618" s="118"/>
      <c r="B46618" s="136"/>
    </row>
    <row r="46619" spans="1:2" x14ac:dyDescent="0.25">
      <c r="A46619" s="118"/>
      <c r="B46619" s="136"/>
    </row>
    <row r="46620" spans="1:2" x14ac:dyDescent="0.25">
      <c r="A46620" s="118"/>
      <c r="B46620" s="136"/>
    </row>
    <row r="46621" spans="1:2" x14ac:dyDescent="0.25">
      <c r="A46621" s="118"/>
      <c r="B46621" s="136"/>
    </row>
    <row r="46622" spans="1:2" x14ac:dyDescent="0.25">
      <c r="A46622" s="118"/>
      <c r="B46622" s="136"/>
    </row>
    <row r="46623" spans="1:2" x14ac:dyDescent="0.25">
      <c r="A46623" s="118"/>
      <c r="B46623" s="136"/>
    </row>
    <row r="46624" spans="1:2" x14ac:dyDescent="0.25">
      <c r="A46624" s="118"/>
      <c r="B46624" s="136"/>
    </row>
    <row r="46625" spans="1:2" x14ac:dyDescent="0.25">
      <c r="A46625" s="118"/>
      <c r="B46625" s="136"/>
    </row>
    <row r="46626" spans="1:2" x14ac:dyDescent="0.25">
      <c r="A46626" s="118"/>
      <c r="B46626" s="136"/>
    </row>
    <row r="46627" spans="1:2" x14ac:dyDescent="0.25">
      <c r="A46627" s="118"/>
      <c r="B46627" s="136"/>
    </row>
    <row r="46628" spans="1:2" x14ac:dyDescent="0.25">
      <c r="A46628" s="118"/>
      <c r="B46628" s="136"/>
    </row>
    <row r="46629" spans="1:2" x14ac:dyDescent="0.25">
      <c r="A46629" s="118"/>
      <c r="B46629" s="136"/>
    </row>
    <row r="46630" spans="1:2" x14ac:dyDescent="0.25">
      <c r="A46630" s="118"/>
      <c r="B46630" s="136"/>
    </row>
    <row r="46631" spans="1:2" x14ac:dyDescent="0.25">
      <c r="A46631" s="118"/>
      <c r="B46631" s="136"/>
    </row>
    <row r="46632" spans="1:2" x14ac:dyDescent="0.25">
      <c r="A46632" s="118"/>
      <c r="B46632" s="136"/>
    </row>
    <row r="46633" spans="1:2" x14ac:dyDescent="0.25">
      <c r="A46633" s="118"/>
      <c r="B46633" s="136"/>
    </row>
    <row r="46634" spans="1:2" x14ac:dyDescent="0.25">
      <c r="A46634" s="118"/>
      <c r="B46634" s="136"/>
    </row>
    <row r="46635" spans="1:2" x14ac:dyDescent="0.25">
      <c r="A46635" s="118"/>
      <c r="B46635" s="136"/>
    </row>
    <row r="46636" spans="1:2" x14ac:dyDescent="0.25">
      <c r="A46636" s="118"/>
      <c r="B46636" s="136"/>
    </row>
    <row r="46637" spans="1:2" x14ac:dyDescent="0.25">
      <c r="A46637" s="118"/>
      <c r="B46637" s="136"/>
    </row>
    <row r="46638" spans="1:2" x14ac:dyDescent="0.25">
      <c r="A46638" s="118"/>
      <c r="B46638" s="136"/>
    </row>
    <row r="46639" spans="1:2" x14ac:dyDescent="0.25">
      <c r="A46639" s="118"/>
      <c r="B46639" s="136"/>
    </row>
    <row r="46640" spans="1:2" x14ac:dyDescent="0.25">
      <c r="A46640" s="118"/>
      <c r="B46640" s="136"/>
    </row>
    <row r="46641" spans="1:2" x14ac:dyDescent="0.25">
      <c r="A46641" s="118"/>
      <c r="B46641" s="136"/>
    </row>
    <row r="46642" spans="1:2" x14ac:dyDescent="0.25">
      <c r="A46642" s="118"/>
      <c r="B46642" s="136"/>
    </row>
    <row r="46643" spans="1:2" x14ac:dyDescent="0.25">
      <c r="A46643" s="118"/>
      <c r="B46643" s="136"/>
    </row>
    <row r="46644" spans="1:2" x14ac:dyDescent="0.25">
      <c r="A46644" s="118"/>
      <c r="B46644" s="136"/>
    </row>
    <row r="46645" spans="1:2" x14ac:dyDescent="0.25">
      <c r="A46645" s="118"/>
      <c r="B46645" s="136"/>
    </row>
    <row r="46646" spans="1:2" x14ac:dyDescent="0.25">
      <c r="A46646" s="118"/>
      <c r="B46646" s="136"/>
    </row>
    <row r="46647" spans="1:2" x14ac:dyDescent="0.25">
      <c r="A46647" s="118"/>
      <c r="B46647" s="136"/>
    </row>
    <row r="46648" spans="1:2" x14ac:dyDescent="0.25">
      <c r="A46648" s="118"/>
      <c r="B46648" s="136"/>
    </row>
    <row r="46649" spans="1:2" x14ac:dyDescent="0.25">
      <c r="A46649" s="118"/>
      <c r="B46649" s="136"/>
    </row>
    <row r="46650" spans="1:2" x14ac:dyDescent="0.25">
      <c r="A46650" s="118"/>
      <c r="B46650" s="136"/>
    </row>
    <row r="46651" spans="1:2" x14ac:dyDescent="0.25">
      <c r="A46651" s="118"/>
      <c r="B46651" s="136"/>
    </row>
    <row r="46652" spans="1:2" x14ac:dyDescent="0.25">
      <c r="A46652" s="118"/>
      <c r="B46652" s="136"/>
    </row>
    <row r="46653" spans="1:2" x14ac:dyDescent="0.25">
      <c r="A46653" s="118"/>
      <c r="B46653" s="136"/>
    </row>
    <row r="46654" spans="1:2" x14ac:dyDescent="0.25">
      <c r="A46654" s="118"/>
      <c r="B46654" s="136"/>
    </row>
    <row r="46655" spans="1:2" x14ac:dyDescent="0.25">
      <c r="A46655" s="118"/>
      <c r="B46655" s="136"/>
    </row>
    <row r="46656" spans="1:2" x14ac:dyDescent="0.25">
      <c r="A46656" s="118"/>
      <c r="B46656" s="136"/>
    </row>
    <row r="46657" spans="1:2" x14ac:dyDescent="0.25">
      <c r="A46657" s="118"/>
      <c r="B46657" s="136"/>
    </row>
    <row r="46658" spans="1:2" x14ac:dyDescent="0.25">
      <c r="A46658" s="118"/>
      <c r="B46658" s="136"/>
    </row>
    <row r="46659" spans="1:2" x14ac:dyDescent="0.25">
      <c r="A46659" s="118"/>
      <c r="B46659" s="136"/>
    </row>
    <row r="46660" spans="1:2" x14ac:dyDescent="0.25">
      <c r="A46660" s="118"/>
      <c r="B46660" s="136"/>
    </row>
    <row r="46661" spans="1:2" x14ac:dyDescent="0.25">
      <c r="A46661" s="118"/>
      <c r="B46661" s="136"/>
    </row>
    <row r="46662" spans="1:2" x14ac:dyDescent="0.25">
      <c r="A46662" s="118"/>
      <c r="B46662" s="136"/>
    </row>
    <row r="46663" spans="1:2" x14ac:dyDescent="0.25">
      <c r="A46663" s="118"/>
      <c r="B46663" s="136"/>
    </row>
    <row r="46664" spans="1:2" x14ac:dyDescent="0.25">
      <c r="A46664" s="118"/>
      <c r="B46664" s="136"/>
    </row>
    <row r="46665" spans="1:2" x14ac:dyDescent="0.25">
      <c r="A46665" s="118"/>
      <c r="B46665" s="136"/>
    </row>
    <row r="46666" spans="1:2" x14ac:dyDescent="0.25">
      <c r="A46666" s="118"/>
      <c r="B46666" s="136"/>
    </row>
    <row r="46667" spans="1:2" x14ac:dyDescent="0.25">
      <c r="A46667" s="118"/>
      <c r="B46667" s="136"/>
    </row>
    <row r="46668" spans="1:2" x14ac:dyDescent="0.25">
      <c r="A46668" s="118"/>
      <c r="B46668" s="136"/>
    </row>
    <row r="46669" spans="1:2" x14ac:dyDescent="0.25">
      <c r="A46669" s="118"/>
      <c r="B46669" s="136"/>
    </row>
    <row r="46670" spans="1:2" x14ac:dyDescent="0.25">
      <c r="A46670" s="118"/>
      <c r="B46670" s="136"/>
    </row>
    <row r="46671" spans="1:2" x14ac:dyDescent="0.25">
      <c r="A46671" s="118"/>
      <c r="B46671" s="136"/>
    </row>
    <row r="46672" spans="1:2" x14ac:dyDescent="0.25">
      <c r="A46672" s="118"/>
      <c r="B46672" s="136"/>
    </row>
    <row r="46673" spans="1:2" x14ac:dyDescent="0.25">
      <c r="A46673" s="118"/>
      <c r="B46673" s="136"/>
    </row>
    <row r="46674" spans="1:2" x14ac:dyDescent="0.25">
      <c r="A46674" s="118"/>
      <c r="B46674" s="136"/>
    </row>
    <row r="46675" spans="1:2" x14ac:dyDescent="0.25">
      <c r="A46675" s="118"/>
      <c r="B46675" s="136"/>
    </row>
    <row r="46676" spans="1:2" x14ac:dyDescent="0.25">
      <c r="A46676" s="118"/>
      <c r="B46676" s="136"/>
    </row>
    <row r="46677" spans="1:2" x14ac:dyDescent="0.25">
      <c r="A46677" s="118"/>
      <c r="B46677" s="136"/>
    </row>
    <row r="46678" spans="1:2" x14ac:dyDescent="0.25">
      <c r="A46678" s="118"/>
      <c r="B46678" s="136"/>
    </row>
    <row r="46679" spans="1:2" x14ac:dyDescent="0.25">
      <c r="A46679" s="118"/>
      <c r="B46679" s="136"/>
    </row>
    <row r="46680" spans="1:2" x14ac:dyDescent="0.25">
      <c r="A46680" s="118"/>
      <c r="B46680" s="136"/>
    </row>
    <row r="46681" spans="1:2" x14ac:dyDescent="0.25">
      <c r="A46681" s="118"/>
      <c r="B46681" s="136"/>
    </row>
    <row r="46682" spans="1:2" x14ac:dyDescent="0.25">
      <c r="A46682" s="118"/>
      <c r="B46682" s="136"/>
    </row>
    <row r="46683" spans="1:2" x14ac:dyDescent="0.25">
      <c r="A46683" s="118"/>
      <c r="B46683" s="136"/>
    </row>
    <row r="46684" spans="1:2" x14ac:dyDescent="0.25">
      <c r="A46684" s="118"/>
      <c r="B46684" s="136"/>
    </row>
    <row r="46685" spans="1:2" x14ac:dyDescent="0.25">
      <c r="A46685" s="118"/>
      <c r="B46685" s="136"/>
    </row>
    <row r="46686" spans="1:2" x14ac:dyDescent="0.25">
      <c r="A46686" s="118"/>
      <c r="B46686" s="136"/>
    </row>
    <row r="46687" spans="1:2" x14ac:dyDescent="0.25">
      <c r="A46687" s="118"/>
      <c r="B46687" s="136"/>
    </row>
    <row r="46688" spans="1:2" x14ac:dyDescent="0.25">
      <c r="A46688" s="118"/>
      <c r="B46688" s="136"/>
    </row>
    <row r="46689" spans="1:2" x14ac:dyDescent="0.25">
      <c r="A46689" s="118"/>
      <c r="B46689" s="136"/>
    </row>
    <row r="46690" spans="1:2" x14ac:dyDescent="0.25">
      <c r="A46690" s="118"/>
      <c r="B46690" s="136"/>
    </row>
    <row r="46691" spans="1:2" x14ac:dyDescent="0.25">
      <c r="A46691" s="118"/>
      <c r="B46691" s="136"/>
    </row>
    <row r="46692" spans="1:2" x14ac:dyDescent="0.25">
      <c r="A46692" s="118"/>
      <c r="B46692" s="136"/>
    </row>
    <row r="46693" spans="1:2" x14ac:dyDescent="0.25">
      <c r="A46693" s="118"/>
      <c r="B46693" s="136"/>
    </row>
    <row r="46694" spans="1:2" x14ac:dyDescent="0.25">
      <c r="A46694" s="118"/>
      <c r="B46694" s="136"/>
    </row>
    <row r="46695" spans="1:2" x14ac:dyDescent="0.25">
      <c r="A46695" s="118"/>
      <c r="B46695" s="136"/>
    </row>
    <row r="46696" spans="1:2" x14ac:dyDescent="0.25">
      <c r="A46696" s="118"/>
      <c r="B46696" s="136"/>
    </row>
    <row r="46697" spans="1:2" x14ac:dyDescent="0.25">
      <c r="A46697" s="118"/>
      <c r="B46697" s="136"/>
    </row>
    <row r="46698" spans="1:2" x14ac:dyDescent="0.25">
      <c r="A46698" s="118"/>
      <c r="B46698" s="136"/>
    </row>
    <row r="46699" spans="1:2" x14ac:dyDescent="0.25">
      <c r="A46699" s="118"/>
      <c r="B46699" s="136"/>
    </row>
    <row r="46700" spans="1:2" x14ac:dyDescent="0.25">
      <c r="A46700" s="118"/>
      <c r="B46700" s="136"/>
    </row>
    <row r="46701" spans="1:2" x14ac:dyDescent="0.25">
      <c r="A46701" s="118"/>
      <c r="B46701" s="136"/>
    </row>
    <row r="46702" spans="1:2" x14ac:dyDescent="0.25">
      <c r="A46702" s="118"/>
      <c r="B46702" s="136"/>
    </row>
    <row r="46703" spans="1:2" x14ac:dyDescent="0.25">
      <c r="A46703" s="118"/>
      <c r="B46703" s="136"/>
    </row>
    <row r="46704" spans="1:2" x14ac:dyDescent="0.25">
      <c r="A46704" s="118"/>
      <c r="B46704" s="136"/>
    </row>
    <row r="46705" spans="1:2" x14ac:dyDescent="0.25">
      <c r="A46705" s="118"/>
      <c r="B46705" s="136"/>
    </row>
    <row r="46706" spans="1:2" x14ac:dyDescent="0.25">
      <c r="A46706" s="118"/>
      <c r="B46706" s="136"/>
    </row>
    <row r="46707" spans="1:2" x14ac:dyDescent="0.25">
      <c r="A46707" s="118"/>
      <c r="B46707" s="136"/>
    </row>
    <row r="46708" spans="1:2" x14ac:dyDescent="0.25">
      <c r="A46708" s="118"/>
      <c r="B46708" s="136"/>
    </row>
    <row r="46709" spans="1:2" x14ac:dyDescent="0.25">
      <c r="A46709" s="118"/>
      <c r="B46709" s="136"/>
    </row>
    <row r="46710" spans="1:2" x14ac:dyDescent="0.25">
      <c r="A46710" s="118"/>
      <c r="B46710" s="136"/>
    </row>
    <row r="46711" spans="1:2" x14ac:dyDescent="0.25">
      <c r="A46711" s="118"/>
      <c r="B46711" s="136"/>
    </row>
    <row r="46712" spans="1:2" x14ac:dyDescent="0.25">
      <c r="A46712" s="118"/>
      <c r="B46712" s="136"/>
    </row>
    <row r="46713" spans="1:2" x14ac:dyDescent="0.25">
      <c r="A46713" s="118"/>
      <c r="B46713" s="136"/>
    </row>
    <row r="46714" spans="1:2" x14ac:dyDescent="0.25">
      <c r="A46714" s="118"/>
      <c r="B46714" s="136"/>
    </row>
    <row r="46715" spans="1:2" x14ac:dyDescent="0.25">
      <c r="A46715" s="118"/>
      <c r="B46715" s="136"/>
    </row>
    <row r="46716" spans="1:2" x14ac:dyDescent="0.25">
      <c r="A46716" s="118"/>
      <c r="B46716" s="136"/>
    </row>
    <row r="46717" spans="1:2" x14ac:dyDescent="0.25">
      <c r="A46717" s="118"/>
      <c r="B46717" s="136"/>
    </row>
    <row r="46718" spans="1:2" x14ac:dyDescent="0.25">
      <c r="A46718" s="118"/>
      <c r="B46718" s="136"/>
    </row>
    <row r="46719" spans="1:2" x14ac:dyDescent="0.25">
      <c r="A46719" s="118"/>
      <c r="B46719" s="136"/>
    </row>
    <row r="46720" spans="1:2" x14ac:dyDescent="0.25">
      <c r="A46720" s="118"/>
      <c r="B46720" s="136"/>
    </row>
    <row r="46721" spans="1:2" x14ac:dyDescent="0.25">
      <c r="A46721" s="118"/>
      <c r="B46721" s="136"/>
    </row>
    <row r="46722" spans="1:2" x14ac:dyDescent="0.25">
      <c r="A46722" s="118"/>
      <c r="B46722" s="136"/>
    </row>
    <row r="46723" spans="1:2" x14ac:dyDescent="0.25">
      <c r="A46723" s="118"/>
      <c r="B46723" s="136"/>
    </row>
    <row r="46724" spans="1:2" x14ac:dyDescent="0.25">
      <c r="A46724" s="118"/>
      <c r="B46724" s="136"/>
    </row>
    <row r="46725" spans="1:2" x14ac:dyDescent="0.25">
      <c r="A46725" s="118"/>
      <c r="B46725" s="136"/>
    </row>
    <row r="46726" spans="1:2" x14ac:dyDescent="0.25">
      <c r="A46726" s="118"/>
      <c r="B46726" s="136"/>
    </row>
    <row r="46727" spans="1:2" x14ac:dyDescent="0.25">
      <c r="A46727" s="118"/>
      <c r="B46727" s="136"/>
    </row>
    <row r="46728" spans="1:2" x14ac:dyDescent="0.25">
      <c r="A46728" s="118"/>
      <c r="B46728" s="136"/>
    </row>
    <row r="46729" spans="1:2" x14ac:dyDescent="0.25">
      <c r="A46729" s="118"/>
      <c r="B46729" s="136"/>
    </row>
    <row r="46730" spans="1:2" x14ac:dyDescent="0.25">
      <c r="A46730" s="118"/>
      <c r="B46730" s="136"/>
    </row>
    <row r="46731" spans="1:2" x14ac:dyDescent="0.25">
      <c r="A46731" s="118"/>
      <c r="B46731" s="136"/>
    </row>
    <row r="46732" spans="1:2" x14ac:dyDescent="0.25">
      <c r="A46732" s="118"/>
      <c r="B46732" s="136"/>
    </row>
    <row r="46733" spans="1:2" x14ac:dyDescent="0.25">
      <c r="A46733" s="118"/>
      <c r="B46733" s="136"/>
    </row>
    <row r="46734" spans="1:2" x14ac:dyDescent="0.25">
      <c r="A46734" s="118"/>
      <c r="B46734" s="136"/>
    </row>
    <row r="46735" spans="1:2" x14ac:dyDescent="0.25">
      <c r="A46735" s="118"/>
      <c r="B46735" s="136"/>
    </row>
    <row r="46736" spans="1:2" x14ac:dyDescent="0.25">
      <c r="A46736" s="118"/>
      <c r="B46736" s="136"/>
    </row>
    <row r="46737" spans="1:2" x14ac:dyDescent="0.25">
      <c r="A46737" s="118"/>
      <c r="B46737" s="136"/>
    </row>
    <row r="46738" spans="1:2" x14ac:dyDescent="0.25">
      <c r="A46738" s="118"/>
      <c r="B46738" s="136"/>
    </row>
    <row r="46739" spans="1:2" x14ac:dyDescent="0.25">
      <c r="A46739" s="118"/>
      <c r="B46739" s="136"/>
    </row>
    <row r="46740" spans="1:2" x14ac:dyDescent="0.25">
      <c r="A46740" s="118"/>
      <c r="B46740" s="136"/>
    </row>
    <row r="46741" spans="1:2" x14ac:dyDescent="0.25">
      <c r="A46741" s="118"/>
      <c r="B46741" s="136"/>
    </row>
    <row r="46742" spans="1:2" x14ac:dyDescent="0.25">
      <c r="A46742" s="118"/>
      <c r="B46742" s="136"/>
    </row>
    <row r="46743" spans="1:2" x14ac:dyDescent="0.25">
      <c r="A46743" s="118"/>
      <c r="B46743" s="136"/>
    </row>
    <row r="46744" spans="1:2" x14ac:dyDescent="0.25">
      <c r="A46744" s="118"/>
      <c r="B46744" s="136"/>
    </row>
    <row r="46745" spans="1:2" x14ac:dyDescent="0.25">
      <c r="A46745" s="118"/>
      <c r="B46745" s="136"/>
    </row>
    <row r="46746" spans="1:2" x14ac:dyDescent="0.25">
      <c r="A46746" s="118"/>
      <c r="B46746" s="136"/>
    </row>
    <row r="46747" spans="1:2" x14ac:dyDescent="0.25">
      <c r="A46747" s="118"/>
      <c r="B46747" s="136"/>
    </row>
    <row r="46748" spans="1:2" x14ac:dyDescent="0.25">
      <c r="A46748" s="118"/>
      <c r="B46748" s="136"/>
    </row>
    <row r="46749" spans="1:2" x14ac:dyDescent="0.25">
      <c r="A46749" s="118"/>
      <c r="B46749" s="136"/>
    </row>
    <row r="46750" spans="1:2" x14ac:dyDescent="0.25">
      <c r="A46750" s="118"/>
      <c r="B46750" s="136"/>
    </row>
    <row r="46751" spans="1:2" x14ac:dyDescent="0.25">
      <c r="A46751" s="118"/>
      <c r="B46751" s="136"/>
    </row>
    <row r="46752" spans="1:2" x14ac:dyDescent="0.25">
      <c r="A46752" s="118"/>
      <c r="B46752" s="136"/>
    </row>
    <row r="46753" spans="1:2" x14ac:dyDescent="0.25">
      <c r="A46753" s="118"/>
      <c r="B46753" s="136"/>
    </row>
    <row r="46754" spans="1:2" x14ac:dyDescent="0.25">
      <c r="A46754" s="118"/>
      <c r="B46754" s="136"/>
    </row>
    <row r="46755" spans="1:2" x14ac:dyDescent="0.25">
      <c r="A46755" s="118"/>
      <c r="B46755" s="136"/>
    </row>
    <row r="46756" spans="1:2" x14ac:dyDescent="0.25">
      <c r="A46756" s="118"/>
      <c r="B46756" s="136"/>
    </row>
    <row r="46757" spans="1:2" x14ac:dyDescent="0.25">
      <c r="A46757" s="118"/>
      <c r="B46757" s="136"/>
    </row>
    <row r="46758" spans="1:2" x14ac:dyDescent="0.25">
      <c r="A46758" s="118"/>
      <c r="B46758" s="136"/>
    </row>
    <row r="46759" spans="1:2" x14ac:dyDescent="0.25">
      <c r="A46759" s="118"/>
      <c r="B46759" s="136"/>
    </row>
    <row r="46760" spans="1:2" x14ac:dyDescent="0.25">
      <c r="A46760" s="118"/>
      <c r="B46760" s="136"/>
    </row>
    <row r="46761" spans="1:2" x14ac:dyDescent="0.25">
      <c r="A46761" s="118"/>
      <c r="B46761" s="136"/>
    </row>
    <row r="46762" spans="1:2" x14ac:dyDescent="0.25">
      <c r="A46762" s="118"/>
      <c r="B46762" s="136"/>
    </row>
    <row r="46763" spans="1:2" x14ac:dyDescent="0.25">
      <c r="A46763" s="118"/>
      <c r="B46763" s="136"/>
    </row>
    <row r="46764" spans="1:2" x14ac:dyDescent="0.25">
      <c r="A46764" s="118"/>
      <c r="B46764" s="136"/>
    </row>
    <row r="46765" spans="1:2" x14ac:dyDescent="0.25">
      <c r="A46765" s="118"/>
      <c r="B46765" s="136"/>
    </row>
    <row r="46766" spans="1:2" x14ac:dyDescent="0.25">
      <c r="A46766" s="118"/>
      <c r="B46766" s="136"/>
    </row>
    <row r="46767" spans="1:2" x14ac:dyDescent="0.25">
      <c r="A46767" s="118"/>
      <c r="B46767" s="136"/>
    </row>
    <row r="46768" spans="1:2" x14ac:dyDescent="0.25">
      <c r="A46768" s="118"/>
      <c r="B46768" s="136"/>
    </row>
    <row r="46769" spans="1:2" x14ac:dyDescent="0.25">
      <c r="A46769" s="118"/>
      <c r="B46769" s="136"/>
    </row>
    <row r="46770" spans="1:2" x14ac:dyDescent="0.25">
      <c r="A46770" s="118"/>
      <c r="B46770" s="136"/>
    </row>
    <row r="46771" spans="1:2" x14ac:dyDescent="0.25">
      <c r="A46771" s="118"/>
      <c r="B46771" s="136"/>
    </row>
    <row r="46772" spans="1:2" x14ac:dyDescent="0.25">
      <c r="A46772" s="118"/>
      <c r="B46772" s="136"/>
    </row>
    <row r="46773" spans="1:2" x14ac:dyDescent="0.25">
      <c r="A46773" s="118"/>
      <c r="B46773" s="136"/>
    </row>
    <row r="46774" spans="1:2" x14ac:dyDescent="0.25">
      <c r="A46774" s="118"/>
      <c r="B46774" s="136"/>
    </row>
    <row r="46775" spans="1:2" x14ac:dyDescent="0.25">
      <c r="A46775" s="118"/>
      <c r="B46775" s="136"/>
    </row>
    <row r="46776" spans="1:2" x14ac:dyDescent="0.25">
      <c r="A46776" s="118"/>
      <c r="B46776" s="136"/>
    </row>
    <row r="46777" spans="1:2" x14ac:dyDescent="0.25">
      <c r="A46777" s="118"/>
      <c r="B46777" s="136"/>
    </row>
    <row r="46778" spans="1:2" x14ac:dyDescent="0.25">
      <c r="A46778" s="118"/>
      <c r="B46778" s="136"/>
    </row>
    <row r="46779" spans="1:2" x14ac:dyDescent="0.25">
      <c r="A46779" s="118"/>
      <c r="B46779" s="136"/>
    </row>
    <row r="46780" spans="1:2" x14ac:dyDescent="0.25">
      <c r="A46780" s="118"/>
      <c r="B46780" s="136"/>
    </row>
    <row r="46781" spans="1:2" x14ac:dyDescent="0.25">
      <c r="A46781" s="118"/>
      <c r="B46781" s="136"/>
    </row>
    <row r="46782" spans="1:2" x14ac:dyDescent="0.25">
      <c r="A46782" s="118"/>
      <c r="B46782" s="136"/>
    </row>
    <row r="46783" spans="1:2" x14ac:dyDescent="0.25">
      <c r="A46783" s="118"/>
      <c r="B46783" s="136"/>
    </row>
    <row r="46784" spans="1:2" x14ac:dyDescent="0.25">
      <c r="A46784" s="118"/>
      <c r="B46784" s="136"/>
    </row>
    <row r="46785" spans="1:2" x14ac:dyDescent="0.25">
      <c r="A46785" s="118"/>
      <c r="B46785" s="136"/>
    </row>
    <row r="46786" spans="1:2" x14ac:dyDescent="0.25">
      <c r="A46786" s="118"/>
      <c r="B46786" s="136"/>
    </row>
    <row r="46787" spans="1:2" x14ac:dyDescent="0.25">
      <c r="A46787" s="118"/>
      <c r="B46787" s="136"/>
    </row>
    <row r="46788" spans="1:2" x14ac:dyDescent="0.25">
      <c r="A46788" s="118"/>
      <c r="B46788" s="136"/>
    </row>
    <row r="46789" spans="1:2" x14ac:dyDescent="0.25">
      <c r="A46789" s="118"/>
      <c r="B46789" s="136"/>
    </row>
    <row r="46790" spans="1:2" x14ac:dyDescent="0.25">
      <c r="A46790" s="118"/>
      <c r="B46790" s="136"/>
    </row>
    <row r="46791" spans="1:2" x14ac:dyDescent="0.25">
      <c r="A46791" s="118"/>
      <c r="B46791" s="136"/>
    </row>
    <row r="46792" spans="1:2" x14ac:dyDescent="0.25">
      <c r="A46792" s="118"/>
      <c r="B46792" s="136"/>
    </row>
    <row r="46793" spans="1:2" x14ac:dyDescent="0.25">
      <c r="A46793" s="118"/>
      <c r="B46793" s="136"/>
    </row>
    <row r="46794" spans="1:2" x14ac:dyDescent="0.25">
      <c r="A46794" s="118"/>
      <c r="B46794" s="136"/>
    </row>
    <row r="46795" spans="1:2" x14ac:dyDescent="0.25">
      <c r="A46795" s="118"/>
      <c r="B46795" s="136"/>
    </row>
    <row r="46796" spans="1:2" x14ac:dyDescent="0.25">
      <c r="A46796" s="118"/>
      <c r="B46796" s="136"/>
    </row>
    <row r="46797" spans="1:2" x14ac:dyDescent="0.25">
      <c r="A46797" s="118"/>
      <c r="B46797" s="136"/>
    </row>
    <row r="46798" spans="1:2" x14ac:dyDescent="0.25">
      <c r="A46798" s="118"/>
      <c r="B46798" s="136"/>
    </row>
    <row r="46799" spans="1:2" x14ac:dyDescent="0.25">
      <c r="A46799" s="118"/>
      <c r="B46799" s="136"/>
    </row>
    <row r="46800" spans="1:2" x14ac:dyDescent="0.25">
      <c r="A46800" s="118"/>
      <c r="B46800" s="136"/>
    </row>
    <row r="46801" spans="1:2" x14ac:dyDescent="0.25">
      <c r="A46801" s="118"/>
      <c r="B46801" s="136"/>
    </row>
    <row r="46802" spans="1:2" x14ac:dyDescent="0.25">
      <c r="A46802" s="118"/>
      <c r="B46802" s="136"/>
    </row>
    <row r="46803" spans="1:2" x14ac:dyDescent="0.25">
      <c r="A46803" s="118"/>
      <c r="B46803" s="136"/>
    </row>
    <row r="46804" spans="1:2" x14ac:dyDescent="0.25">
      <c r="A46804" s="118"/>
      <c r="B46804" s="136"/>
    </row>
    <row r="46805" spans="1:2" x14ac:dyDescent="0.25">
      <c r="A46805" s="118"/>
      <c r="B46805" s="136"/>
    </row>
    <row r="46806" spans="1:2" x14ac:dyDescent="0.25">
      <c r="A46806" s="118"/>
      <c r="B46806" s="136"/>
    </row>
    <row r="46807" spans="1:2" x14ac:dyDescent="0.25">
      <c r="A46807" s="118"/>
      <c r="B46807" s="136"/>
    </row>
    <row r="46808" spans="1:2" x14ac:dyDescent="0.25">
      <c r="A46808" s="118"/>
      <c r="B46808" s="136"/>
    </row>
    <row r="46809" spans="1:2" x14ac:dyDescent="0.25">
      <c r="A46809" s="118"/>
      <c r="B46809" s="136"/>
    </row>
    <row r="46810" spans="1:2" x14ac:dyDescent="0.25">
      <c r="A46810" s="118"/>
      <c r="B46810" s="136"/>
    </row>
    <row r="46811" spans="1:2" x14ac:dyDescent="0.25">
      <c r="A46811" s="118"/>
      <c r="B46811" s="136"/>
    </row>
    <row r="46812" spans="1:2" x14ac:dyDescent="0.25">
      <c r="A46812" s="118"/>
      <c r="B46812" s="136"/>
    </row>
    <row r="46813" spans="1:2" x14ac:dyDescent="0.25">
      <c r="A46813" s="118"/>
      <c r="B46813" s="136"/>
    </row>
    <row r="46814" spans="1:2" x14ac:dyDescent="0.25">
      <c r="A46814" s="118"/>
      <c r="B46814" s="136"/>
    </row>
    <row r="46815" spans="1:2" x14ac:dyDescent="0.25">
      <c r="A46815" s="118"/>
      <c r="B46815" s="136"/>
    </row>
    <row r="46816" spans="1:2" x14ac:dyDescent="0.25">
      <c r="A46816" s="118"/>
      <c r="B46816" s="136"/>
    </row>
    <row r="46817" spans="1:2" x14ac:dyDescent="0.25">
      <c r="A46817" s="118"/>
      <c r="B46817" s="136"/>
    </row>
    <row r="46818" spans="1:2" x14ac:dyDescent="0.25">
      <c r="A46818" s="118"/>
      <c r="B46818" s="136"/>
    </row>
    <row r="46819" spans="1:2" x14ac:dyDescent="0.25">
      <c r="A46819" s="118"/>
      <c r="B46819" s="136"/>
    </row>
    <row r="46820" spans="1:2" x14ac:dyDescent="0.25">
      <c r="A46820" s="118"/>
      <c r="B46820" s="136"/>
    </row>
    <row r="46821" spans="1:2" x14ac:dyDescent="0.25">
      <c r="A46821" s="118"/>
      <c r="B46821" s="136"/>
    </row>
    <row r="46822" spans="1:2" x14ac:dyDescent="0.25">
      <c r="A46822" s="118"/>
      <c r="B46822" s="136"/>
    </row>
    <row r="46823" spans="1:2" x14ac:dyDescent="0.25">
      <c r="A46823" s="118"/>
      <c r="B46823" s="136"/>
    </row>
    <row r="46824" spans="1:2" x14ac:dyDescent="0.25">
      <c r="A46824" s="118"/>
      <c r="B46824" s="136"/>
    </row>
    <row r="46825" spans="1:2" x14ac:dyDescent="0.25">
      <c r="A46825" s="118"/>
      <c r="B46825" s="136"/>
    </row>
    <row r="46826" spans="1:2" x14ac:dyDescent="0.25">
      <c r="A46826" s="118"/>
      <c r="B46826" s="136"/>
    </row>
    <row r="46827" spans="1:2" x14ac:dyDescent="0.25">
      <c r="A46827" s="118"/>
      <c r="B46827" s="136"/>
    </row>
    <row r="46828" spans="1:2" x14ac:dyDescent="0.25">
      <c r="A46828" s="118"/>
      <c r="B46828" s="136"/>
    </row>
    <row r="46829" spans="1:2" x14ac:dyDescent="0.25">
      <c r="A46829" s="118"/>
      <c r="B46829" s="136"/>
    </row>
    <row r="46830" spans="1:2" x14ac:dyDescent="0.25">
      <c r="A46830" s="118"/>
      <c r="B46830" s="136"/>
    </row>
    <row r="46831" spans="1:2" x14ac:dyDescent="0.25">
      <c r="A46831" s="118"/>
      <c r="B46831" s="136"/>
    </row>
    <row r="46832" spans="1:2" x14ac:dyDescent="0.25">
      <c r="A46832" s="118"/>
      <c r="B46832" s="136"/>
    </row>
    <row r="46833" spans="1:2" x14ac:dyDescent="0.25">
      <c r="A46833" s="118"/>
      <c r="B46833" s="136"/>
    </row>
    <row r="46834" spans="1:2" x14ac:dyDescent="0.25">
      <c r="A46834" s="118"/>
      <c r="B46834" s="136"/>
    </row>
    <row r="46835" spans="1:2" x14ac:dyDescent="0.25">
      <c r="A46835" s="118"/>
      <c r="B46835" s="136"/>
    </row>
    <row r="46836" spans="1:2" x14ac:dyDescent="0.25">
      <c r="A46836" s="118"/>
      <c r="B46836" s="136"/>
    </row>
    <row r="46837" spans="1:2" x14ac:dyDescent="0.25">
      <c r="A46837" s="118"/>
      <c r="B46837" s="136"/>
    </row>
    <row r="46838" spans="1:2" x14ac:dyDescent="0.25">
      <c r="A46838" s="118"/>
      <c r="B46838" s="136"/>
    </row>
    <row r="46839" spans="1:2" x14ac:dyDescent="0.25">
      <c r="A46839" s="118"/>
      <c r="B46839" s="136"/>
    </row>
    <row r="46840" spans="1:2" x14ac:dyDescent="0.25">
      <c r="A46840" s="118"/>
      <c r="B46840" s="136"/>
    </row>
    <row r="46841" spans="1:2" x14ac:dyDescent="0.25">
      <c r="A46841" s="118"/>
      <c r="B46841" s="136"/>
    </row>
    <row r="46842" spans="1:2" x14ac:dyDescent="0.25">
      <c r="A46842" s="118"/>
      <c r="B46842" s="136"/>
    </row>
    <row r="46843" spans="1:2" x14ac:dyDescent="0.25">
      <c r="A46843" s="118"/>
      <c r="B46843" s="136"/>
    </row>
    <row r="46844" spans="1:2" x14ac:dyDescent="0.25">
      <c r="A46844" s="118"/>
      <c r="B46844" s="136"/>
    </row>
    <row r="46845" spans="1:2" x14ac:dyDescent="0.25">
      <c r="A46845" s="118"/>
      <c r="B46845" s="136"/>
    </row>
    <row r="46846" spans="1:2" x14ac:dyDescent="0.25">
      <c r="A46846" s="118"/>
      <c r="B46846" s="136"/>
    </row>
    <row r="46847" spans="1:2" x14ac:dyDescent="0.25">
      <c r="A46847" s="118"/>
      <c r="B46847" s="136"/>
    </row>
    <row r="46848" spans="1:2" x14ac:dyDescent="0.25">
      <c r="A46848" s="118"/>
      <c r="B46848" s="136"/>
    </row>
    <row r="46849" spans="1:2" x14ac:dyDescent="0.25">
      <c r="A46849" s="118"/>
      <c r="B46849" s="136"/>
    </row>
    <row r="46850" spans="1:2" x14ac:dyDescent="0.25">
      <c r="A46850" s="118"/>
      <c r="B46850" s="136"/>
    </row>
    <row r="46851" spans="1:2" x14ac:dyDescent="0.25">
      <c r="A46851" s="118"/>
      <c r="B46851" s="136"/>
    </row>
    <row r="46852" spans="1:2" x14ac:dyDescent="0.25">
      <c r="A46852" s="118"/>
      <c r="B46852" s="136"/>
    </row>
    <row r="46853" spans="1:2" x14ac:dyDescent="0.25">
      <c r="A46853" s="118"/>
      <c r="B46853" s="136"/>
    </row>
    <row r="46854" spans="1:2" x14ac:dyDescent="0.25">
      <c r="A46854" s="118"/>
      <c r="B46854" s="136"/>
    </row>
    <row r="46855" spans="1:2" x14ac:dyDescent="0.25">
      <c r="A46855" s="118"/>
      <c r="B46855" s="136"/>
    </row>
    <row r="46856" spans="1:2" x14ac:dyDescent="0.25">
      <c r="A46856" s="118"/>
      <c r="B46856" s="136"/>
    </row>
    <row r="46857" spans="1:2" x14ac:dyDescent="0.25">
      <c r="A46857" s="118"/>
      <c r="B46857" s="136"/>
    </row>
    <row r="46858" spans="1:2" x14ac:dyDescent="0.25">
      <c r="A46858" s="118"/>
      <c r="B46858" s="136"/>
    </row>
    <row r="46859" spans="1:2" x14ac:dyDescent="0.25">
      <c r="A46859" s="118"/>
      <c r="B46859" s="136"/>
    </row>
    <row r="46860" spans="1:2" x14ac:dyDescent="0.25">
      <c r="A46860" s="118"/>
      <c r="B46860" s="136"/>
    </row>
    <row r="46861" spans="1:2" x14ac:dyDescent="0.25">
      <c r="A46861" s="118"/>
      <c r="B46861" s="136"/>
    </row>
    <row r="46862" spans="1:2" x14ac:dyDescent="0.25">
      <c r="A46862" s="118"/>
      <c r="B46862" s="136"/>
    </row>
    <row r="46863" spans="1:2" x14ac:dyDescent="0.25">
      <c r="A46863" s="118"/>
      <c r="B46863" s="136"/>
    </row>
    <row r="46864" spans="1:2" x14ac:dyDescent="0.25">
      <c r="A46864" s="118"/>
      <c r="B46864" s="136"/>
    </row>
    <row r="46865" spans="1:2" x14ac:dyDescent="0.25">
      <c r="A46865" s="118"/>
      <c r="B46865" s="136"/>
    </row>
    <row r="46866" spans="1:2" x14ac:dyDescent="0.25">
      <c r="A46866" s="118"/>
      <c r="B46866" s="136"/>
    </row>
    <row r="46867" spans="1:2" x14ac:dyDescent="0.25">
      <c r="A46867" s="118"/>
      <c r="B46867" s="136"/>
    </row>
    <row r="46868" spans="1:2" x14ac:dyDescent="0.25">
      <c r="A46868" s="118"/>
      <c r="B46868" s="136"/>
    </row>
    <row r="46869" spans="1:2" x14ac:dyDescent="0.25">
      <c r="A46869" s="118"/>
      <c r="B46869" s="136"/>
    </row>
    <row r="46870" spans="1:2" x14ac:dyDescent="0.25">
      <c r="A46870" s="118"/>
      <c r="B46870" s="136"/>
    </row>
    <row r="46871" spans="1:2" x14ac:dyDescent="0.25">
      <c r="A46871" s="118"/>
      <c r="B46871" s="136"/>
    </row>
    <row r="46872" spans="1:2" x14ac:dyDescent="0.25">
      <c r="A46872" s="118"/>
      <c r="B46872" s="136"/>
    </row>
    <row r="46873" spans="1:2" x14ac:dyDescent="0.25">
      <c r="A46873" s="118"/>
      <c r="B46873" s="136"/>
    </row>
    <row r="46874" spans="1:2" x14ac:dyDescent="0.25">
      <c r="A46874" s="118"/>
      <c r="B46874" s="136"/>
    </row>
    <row r="46875" spans="1:2" x14ac:dyDescent="0.25">
      <c r="A46875" s="118"/>
      <c r="B46875" s="136"/>
    </row>
    <row r="46876" spans="1:2" x14ac:dyDescent="0.25">
      <c r="A46876" s="118"/>
      <c r="B46876" s="136"/>
    </row>
    <row r="46877" spans="1:2" x14ac:dyDescent="0.25">
      <c r="A46877" s="118"/>
      <c r="B46877" s="136"/>
    </row>
    <row r="46878" spans="1:2" x14ac:dyDescent="0.25">
      <c r="A46878" s="118"/>
      <c r="B46878" s="136"/>
    </row>
    <row r="46879" spans="1:2" x14ac:dyDescent="0.25">
      <c r="A46879" s="118"/>
      <c r="B46879" s="136"/>
    </row>
    <row r="46880" spans="1:2" x14ac:dyDescent="0.25">
      <c r="A46880" s="118"/>
      <c r="B46880" s="136"/>
    </row>
    <row r="46881" spans="1:2" x14ac:dyDescent="0.25">
      <c r="A46881" s="118"/>
      <c r="B46881" s="136"/>
    </row>
    <row r="46882" spans="1:2" x14ac:dyDescent="0.25">
      <c r="A46882" s="118"/>
      <c r="B46882" s="136"/>
    </row>
    <row r="46883" spans="1:2" x14ac:dyDescent="0.25">
      <c r="A46883" s="118"/>
      <c r="B46883" s="136"/>
    </row>
    <row r="46884" spans="1:2" x14ac:dyDescent="0.25">
      <c r="A46884" s="118"/>
      <c r="B46884" s="136"/>
    </row>
    <row r="46885" spans="1:2" x14ac:dyDescent="0.25">
      <c r="A46885" s="118"/>
      <c r="B46885" s="136"/>
    </row>
    <row r="46886" spans="1:2" x14ac:dyDescent="0.25">
      <c r="A46886" s="118"/>
      <c r="B46886" s="136"/>
    </row>
    <row r="46887" spans="1:2" x14ac:dyDescent="0.25">
      <c r="A46887" s="118"/>
      <c r="B46887" s="136"/>
    </row>
    <row r="46888" spans="1:2" x14ac:dyDescent="0.25">
      <c r="A46888" s="118"/>
      <c r="B46888" s="136"/>
    </row>
    <row r="46889" spans="1:2" x14ac:dyDescent="0.25">
      <c r="A46889" s="118"/>
      <c r="B46889" s="136"/>
    </row>
    <row r="46890" spans="1:2" x14ac:dyDescent="0.25">
      <c r="A46890" s="118"/>
      <c r="B46890" s="136"/>
    </row>
    <row r="46891" spans="1:2" x14ac:dyDescent="0.25">
      <c r="A46891" s="118"/>
      <c r="B46891" s="136"/>
    </row>
    <row r="46892" spans="1:2" x14ac:dyDescent="0.25">
      <c r="A46892" s="118"/>
      <c r="B46892" s="136"/>
    </row>
    <row r="46893" spans="1:2" x14ac:dyDescent="0.25">
      <c r="A46893" s="118"/>
      <c r="B46893" s="136"/>
    </row>
    <row r="46894" spans="1:2" x14ac:dyDescent="0.25">
      <c r="A46894" s="118"/>
      <c r="B46894" s="136"/>
    </row>
    <row r="46895" spans="1:2" x14ac:dyDescent="0.25">
      <c r="A46895" s="118"/>
      <c r="B46895" s="136"/>
    </row>
    <row r="46896" spans="1:2" x14ac:dyDescent="0.25">
      <c r="A46896" s="118"/>
      <c r="B46896" s="136"/>
    </row>
    <row r="46897" spans="1:2" x14ac:dyDescent="0.25">
      <c r="A46897" s="118"/>
      <c r="B46897" s="136"/>
    </row>
    <row r="46898" spans="1:2" x14ac:dyDescent="0.25">
      <c r="A46898" s="118"/>
      <c r="B46898" s="136"/>
    </row>
    <row r="46899" spans="1:2" x14ac:dyDescent="0.25">
      <c r="A46899" s="118"/>
      <c r="B46899" s="136"/>
    </row>
    <row r="46900" spans="1:2" x14ac:dyDescent="0.25">
      <c r="A46900" s="118"/>
      <c r="B46900" s="136"/>
    </row>
    <row r="46901" spans="1:2" x14ac:dyDescent="0.25">
      <c r="A46901" s="118"/>
      <c r="B46901" s="136"/>
    </row>
    <row r="46902" spans="1:2" x14ac:dyDescent="0.25">
      <c r="A46902" s="118"/>
      <c r="B46902" s="136"/>
    </row>
    <row r="46903" spans="1:2" x14ac:dyDescent="0.25">
      <c r="A46903" s="118"/>
      <c r="B46903" s="136"/>
    </row>
    <row r="46904" spans="1:2" x14ac:dyDescent="0.25">
      <c r="A46904" s="118"/>
      <c r="B46904" s="136"/>
    </row>
    <row r="46905" spans="1:2" x14ac:dyDescent="0.25">
      <c r="A46905" s="118"/>
      <c r="B46905" s="136"/>
    </row>
    <row r="46906" spans="1:2" x14ac:dyDescent="0.25">
      <c r="A46906" s="118"/>
      <c r="B46906" s="136"/>
    </row>
    <row r="46907" spans="1:2" x14ac:dyDescent="0.25">
      <c r="A46907" s="118"/>
      <c r="B46907" s="136"/>
    </row>
    <row r="46908" spans="1:2" x14ac:dyDescent="0.25">
      <c r="A46908" s="118"/>
      <c r="B46908" s="136"/>
    </row>
    <row r="46909" spans="1:2" x14ac:dyDescent="0.25">
      <c r="A46909" s="118"/>
      <c r="B46909" s="136"/>
    </row>
    <row r="46910" spans="1:2" x14ac:dyDescent="0.25">
      <c r="A46910" s="118"/>
      <c r="B46910" s="136"/>
    </row>
    <row r="46911" spans="1:2" x14ac:dyDescent="0.25">
      <c r="A46911" s="118"/>
      <c r="B46911" s="136"/>
    </row>
    <row r="46912" spans="1:2" x14ac:dyDescent="0.25">
      <c r="A46912" s="118"/>
      <c r="B46912" s="136"/>
    </row>
    <row r="46913" spans="1:2" x14ac:dyDescent="0.25">
      <c r="A46913" s="118"/>
      <c r="B46913" s="136"/>
    </row>
    <row r="46914" spans="1:2" x14ac:dyDescent="0.25">
      <c r="A46914" s="118"/>
      <c r="B46914" s="136"/>
    </row>
    <row r="46915" spans="1:2" x14ac:dyDescent="0.25">
      <c r="A46915" s="118"/>
      <c r="B46915" s="136"/>
    </row>
    <row r="46916" spans="1:2" x14ac:dyDescent="0.25">
      <c r="A46916" s="118"/>
      <c r="B46916" s="136"/>
    </row>
    <row r="46917" spans="1:2" x14ac:dyDescent="0.25">
      <c r="A46917" s="118"/>
      <c r="B46917" s="136"/>
    </row>
    <row r="46918" spans="1:2" x14ac:dyDescent="0.25">
      <c r="A46918" s="118"/>
      <c r="B46918" s="136"/>
    </row>
    <row r="46919" spans="1:2" x14ac:dyDescent="0.25">
      <c r="A46919" s="118"/>
      <c r="B46919" s="136"/>
    </row>
    <row r="46920" spans="1:2" x14ac:dyDescent="0.25">
      <c r="A46920" s="118"/>
      <c r="B46920" s="136"/>
    </row>
    <row r="46921" spans="1:2" x14ac:dyDescent="0.25">
      <c r="A46921" s="118"/>
      <c r="B46921" s="136"/>
    </row>
    <row r="46922" spans="1:2" x14ac:dyDescent="0.25">
      <c r="A46922" s="118"/>
      <c r="B46922" s="136"/>
    </row>
    <row r="46923" spans="1:2" x14ac:dyDescent="0.25">
      <c r="A46923" s="118"/>
      <c r="B46923" s="136"/>
    </row>
    <row r="46924" spans="1:2" x14ac:dyDescent="0.25">
      <c r="A46924" s="118"/>
      <c r="B46924" s="136"/>
    </row>
    <row r="46925" spans="1:2" x14ac:dyDescent="0.25">
      <c r="A46925" s="118"/>
      <c r="B46925" s="136"/>
    </row>
    <row r="46926" spans="1:2" x14ac:dyDescent="0.25">
      <c r="A46926" s="118"/>
      <c r="B46926" s="136"/>
    </row>
    <row r="46927" spans="1:2" x14ac:dyDescent="0.25">
      <c r="A46927" s="118"/>
      <c r="B46927" s="136"/>
    </row>
    <row r="46928" spans="1:2" x14ac:dyDescent="0.25">
      <c r="A46928" s="118"/>
      <c r="B46928" s="136"/>
    </row>
    <row r="46929" spans="1:2" x14ac:dyDescent="0.25">
      <c r="A46929" s="118"/>
      <c r="B46929" s="136"/>
    </row>
    <row r="46930" spans="1:2" x14ac:dyDescent="0.25">
      <c r="A46930" s="118"/>
      <c r="B46930" s="136"/>
    </row>
    <row r="46931" spans="1:2" x14ac:dyDescent="0.25">
      <c r="A46931" s="118"/>
      <c r="B46931" s="136"/>
    </row>
    <row r="46932" spans="1:2" x14ac:dyDescent="0.25">
      <c r="A46932" s="118"/>
      <c r="B46932" s="136"/>
    </row>
    <row r="46933" spans="1:2" x14ac:dyDescent="0.25">
      <c r="A46933" s="118"/>
      <c r="B46933" s="136"/>
    </row>
    <row r="46934" spans="1:2" x14ac:dyDescent="0.25">
      <c r="A46934" s="118"/>
      <c r="B46934" s="136"/>
    </row>
    <row r="46935" spans="1:2" x14ac:dyDescent="0.25">
      <c r="A46935" s="118"/>
      <c r="B46935" s="136"/>
    </row>
    <row r="46936" spans="1:2" x14ac:dyDescent="0.25">
      <c r="A46936" s="118"/>
      <c r="B46936" s="136"/>
    </row>
    <row r="46937" spans="1:2" x14ac:dyDescent="0.25">
      <c r="A46937" s="118"/>
      <c r="B46937" s="136"/>
    </row>
    <row r="46938" spans="1:2" x14ac:dyDescent="0.25">
      <c r="A46938" s="118"/>
      <c r="B46938" s="136"/>
    </row>
    <row r="46939" spans="1:2" x14ac:dyDescent="0.25">
      <c r="A46939" s="118"/>
      <c r="B46939" s="136"/>
    </row>
    <row r="46940" spans="1:2" x14ac:dyDescent="0.25">
      <c r="A46940" s="118"/>
      <c r="B46940" s="136"/>
    </row>
    <row r="46941" spans="1:2" x14ac:dyDescent="0.25">
      <c r="A46941" s="118"/>
      <c r="B46941" s="136"/>
    </row>
    <row r="46942" spans="1:2" x14ac:dyDescent="0.25">
      <c r="A46942" s="118"/>
      <c r="B46942" s="136"/>
    </row>
    <row r="46943" spans="1:2" x14ac:dyDescent="0.25">
      <c r="A46943" s="118"/>
      <c r="B46943" s="136"/>
    </row>
    <row r="46944" spans="1:2" x14ac:dyDescent="0.25">
      <c r="A46944" s="118"/>
      <c r="B46944" s="136"/>
    </row>
    <row r="46945" spans="1:2" x14ac:dyDescent="0.25">
      <c r="A46945" s="118"/>
      <c r="B46945" s="136"/>
    </row>
    <row r="46946" spans="1:2" x14ac:dyDescent="0.25">
      <c r="A46946" s="118"/>
      <c r="B46946" s="136"/>
    </row>
    <row r="46947" spans="1:2" x14ac:dyDescent="0.25">
      <c r="A46947" s="118"/>
      <c r="B46947" s="136"/>
    </row>
    <row r="46948" spans="1:2" x14ac:dyDescent="0.25">
      <c r="A46948" s="118"/>
      <c r="B46948" s="136"/>
    </row>
    <row r="46949" spans="1:2" x14ac:dyDescent="0.25">
      <c r="A46949" s="118"/>
      <c r="B46949" s="136"/>
    </row>
    <row r="46950" spans="1:2" x14ac:dyDescent="0.25">
      <c r="A46950" s="118"/>
      <c r="B46950" s="136"/>
    </row>
    <row r="46951" spans="1:2" x14ac:dyDescent="0.25">
      <c r="A46951" s="118"/>
      <c r="B46951" s="136"/>
    </row>
    <row r="46952" spans="1:2" x14ac:dyDescent="0.25">
      <c r="A46952" s="118"/>
      <c r="B46952" s="136"/>
    </row>
    <row r="46953" spans="1:2" x14ac:dyDescent="0.25">
      <c r="A46953" s="118"/>
      <c r="B46953" s="136"/>
    </row>
    <row r="46954" spans="1:2" x14ac:dyDescent="0.25">
      <c r="A46954" s="118"/>
      <c r="B46954" s="136"/>
    </row>
    <row r="46955" spans="1:2" x14ac:dyDescent="0.25">
      <c r="A46955" s="118"/>
      <c r="B46955" s="136"/>
    </row>
    <row r="46956" spans="1:2" x14ac:dyDescent="0.25">
      <c r="A46956" s="118"/>
      <c r="B46956" s="136"/>
    </row>
    <row r="46957" spans="1:2" x14ac:dyDescent="0.25">
      <c r="A46957" s="118"/>
      <c r="B46957" s="136"/>
    </row>
    <row r="46958" spans="1:2" x14ac:dyDescent="0.25">
      <c r="A46958" s="118"/>
      <c r="B46958" s="136"/>
    </row>
    <row r="46959" spans="1:2" x14ac:dyDescent="0.25">
      <c r="A46959" s="118"/>
      <c r="B46959" s="136"/>
    </row>
    <row r="46960" spans="1:2" x14ac:dyDescent="0.25">
      <c r="A46960" s="118"/>
      <c r="B46960" s="136"/>
    </row>
    <row r="46961" spans="1:2" x14ac:dyDescent="0.25">
      <c r="A46961" s="118"/>
      <c r="B46961" s="136"/>
    </row>
    <row r="46962" spans="1:2" x14ac:dyDescent="0.25">
      <c r="A46962" s="118"/>
      <c r="B46962" s="136"/>
    </row>
    <row r="46963" spans="1:2" x14ac:dyDescent="0.25">
      <c r="A46963" s="118"/>
      <c r="B46963" s="136"/>
    </row>
    <row r="46964" spans="1:2" x14ac:dyDescent="0.25">
      <c r="A46964" s="118"/>
      <c r="B46964" s="136"/>
    </row>
    <row r="46965" spans="1:2" x14ac:dyDescent="0.25">
      <c r="A46965" s="118"/>
      <c r="B46965" s="136"/>
    </row>
    <row r="46966" spans="1:2" x14ac:dyDescent="0.25">
      <c r="A46966" s="118"/>
      <c r="B46966" s="136"/>
    </row>
    <row r="46967" spans="1:2" x14ac:dyDescent="0.25">
      <c r="A46967" s="118"/>
      <c r="B46967" s="136"/>
    </row>
    <row r="46968" spans="1:2" x14ac:dyDescent="0.25">
      <c r="A46968" s="118"/>
      <c r="B46968" s="136"/>
    </row>
    <row r="46969" spans="1:2" x14ac:dyDescent="0.25">
      <c r="A46969" s="118"/>
      <c r="B46969" s="136"/>
    </row>
    <row r="46970" spans="1:2" x14ac:dyDescent="0.25">
      <c r="A46970" s="118"/>
      <c r="B46970" s="136"/>
    </row>
    <row r="46971" spans="1:2" x14ac:dyDescent="0.25">
      <c r="A46971" s="118"/>
      <c r="B46971" s="136"/>
    </row>
    <row r="46972" spans="1:2" x14ac:dyDescent="0.25">
      <c r="A46972" s="118"/>
      <c r="B46972" s="136"/>
    </row>
    <row r="46973" spans="1:2" x14ac:dyDescent="0.25">
      <c r="A46973" s="118"/>
      <c r="B46973" s="136"/>
    </row>
    <row r="46974" spans="1:2" x14ac:dyDescent="0.25">
      <c r="A46974" s="118"/>
      <c r="B46974" s="136"/>
    </row>
    <row r="46975" spans="1:2" x14ac:dyDescent="0.25">
      <c r="A46975" s="118"/>
      <c r="B46975" s="136"/>
    </row>
    <row r="46976" spans="1:2" x14ac:dyDescent="0.25">
      <c r="A46976" s="118"/>
      <c r="B46976" s="136"/>
    </row>
    <row r="46977" spans="1:2" x14ac:dyDescent="0.25">
      <c r="A46977" s="118"/>
      <c r="B46977" s="136"/>
    </row>
    <row r="46978" spans="1:2" x14ac:dyDescent="0.25">
      <c r="A46978" s="118"/>
      <c r="B46978" s="136"/>
    </row>
    <row r="46979" spans="1:2" x14ac:dyDescent="0.25">
      <c r="A46979" s="118"/>
      <c r="B46979" s="136"/>
    </row>
    <row r="46980" spans="1:2" x14ac:dyDescent="0.25">
      <c r="A46980" s="118"/>
      <c r="B46980" s="136"/>
    </row>
    <row r="46981" spans="1:2" x14ac:dyDescent="0.25">
      <c r="A46981" s="118"/>
      <c r="B46981" s="136"/>
    </row>
    <row r="46982" spans="1:2" x14ac:dyDescent="0.25">
      <c r="A46982" s="118"/>
      <c r="B46982" s="136"/>
    </row>
    <row r="46983" spans="1:2" x14ac:dyDescent="0.25">
      <c r="A46983" s="118"/>
      <c r="B46983" s="136"/>
    </row>
    <row r="46984" spans="1:2" x14ac:dyDescent="0.25">
      <c r="A46984" s="118"/>
      <c r="B46984" s="136"/>
    </row>
    <row r="46985" spans="1:2" x14ac:dyDescent="0.25">
      <c r="A46985" s="118"/>
      <c r="B46985" s="136"/>
    </row>
    <row r="46986" spans="1:2" x14ac:dyDescent="0.25">
      <c r="A46986" s="118"/>
      <c r="B46986" s="136"/>
    </row>
    <row r="46987" spans="1:2" x14ac:dyDescent="0.25">
      <c r="A46987" s="118"/>
      <c r="B46987" s="136"/>
    </row>
    <row r="46988" spans="1:2" x14ac:dyDescent="0.25">
      <c r="A46988" s="118"/>
      <c r="B46988" s="136"/>
    </row>
    <row r="46989" spans="1:2" x14ac:dyDescent="0.25">
      <c r="A46989" s="118"/>
      <c r="B46989" s="136"/>
    </row>
    <row r="46990" spans="1:2" x14ac:dyDescent="0.25">
      <c r="A46990" s="118"/>
      <c r="B46990" s="136"/>
    </row>
    <row r="46991" spans="1:2" x14ac:dyDescent="0.25">
      <c r="A46991" s="118"/>
      <c r="B46991" s="136"/>
    </row>
    <row r="46992" spans="1:2" x14ac:dyDescent="0.25">
      <c r="A46992" s="118"/>
      <c r="B46992" s="136"/>
    </row>
    <row r="46993" spans="1:2" x14ac:dyDescent="0.25">
      <c r="A46993" s="118"/>
      <c r="B46993" s="136"/>
    </row>
    <row r="46994" spans="1:2" x14ac:dyDescent="0.25">
      <c r="A46994" s="118"/>
      <c r="B46994" s="136"/>
    </row>
    <row r="46995" spans="1:2" x14ac:dyDescent="0.25">
      <c r="A46995" s="118"/>
      <c r="B46995" s="136"/>
    </row>
    <row r="46996" spans="1:2" x14ac:dyDescent="0.25">
      <c r="A46996" s="118"/>
      <c r="B46996" s="136"/>
    </row>
    <row r="46997" spans="1:2" x14ac:dyDescent="0.25">
      <c r="A46997" s="118"/>
      <c r="B46997" s="136"/>
    </row>
    <row r="46998" spans="1:2" x14ac:dyDescent="0.25">
      <c r="A46998" s="118"/>
      <c r="B46998" s="136"/>
    </row>
    <row r="46999" spans="1:2" x14ac:dyDescent="0.25">
      <c r="A46999" s="118"/>
      <c r="B46999" s="136"/>
    </row>
    <row r="47000" spans="1:2" x14ac:dyDescent="0.25">
      <c r="A47000" s="118"/>
      <c r="B47000" s="136"/>
    </row>
    <row r="47001" spans="1:2" x14ac:dyDescent="0.25">
      <c r="A47001" s="118"/>
      <c r="B47001" s="136"/>
    </row>
    <row r="47002" spans="1:2" x14ac:dyDescent="0.25">
      <c r="A47002" s="118"/>
      <c r="B47002" s="136"/>
    </row>
    <row r="47003" spans="1:2" x14ac:dyDescent="0.25">
      <c r="A47003" s="118"/>
      <c r="B47003" s="136"/>
    </row>
    <row r="47004" spans="1:2" x14ac:dyDescent="0.25">
      <c r="A47004" s="118"/>
      <c r="B47004" s="136"/>
    </row>
    <row r="47005" spans="1:2" x14ac:dyDescent="0.25">
      <c r="A47005" s="118"/>
      <c r="B47005" s="136"/>
    </row>
    <row r="47006" spans="1:2" x14ac:dyDescent="0.25">
      <c r="A47006" s="118"/>
      <c r="B47006" s="136"/>
    </row>
    <row r="47007" spans="1:2" x14ac:dyDescent="0.25">
      <c r="A47007" s="118"/>
      <c r="B47007" s="136"/>
    </row>
    <row r="47008" spans="1:2" x14ac:dyDescent="0.25">
      <c r="A47008" s="118"/>
      <c r="B47008" s="136"/>
    </row>
    <row r="47009" spans="1:2" x14ac:dyDescent="0.25">
      <c r="A47009" s="118"/>
      <c r="B47009" s="136"/>
    </row>
    <row r="47010" spans="1:2" x14ac:dyDescent="0.25">
      <c r="A47010" s="118"/>
      <c r="B47010" s="136"/>
    </row>
    <row r="47011" spans="1:2" x14ac:dyDescent="0.25">
      <c r="A47011" s="118"/>
      <c r="B47011" s="136"/>
    </row>
    <row r="47012" spans="1:2" x14ac:dyDescent="0.25">
      <c r="A47012" s="118"/>
      <c r="B47012" s="136"/>
    </row>
    <row r="47013" spans="1:2" x14ac:dyDescent="0.25">
      <c r="A47013" s="118"/>
      <c r="B47013" s="136"/>
    </row>
    <row r="47014" spans="1:2" x14ac:dyDescent="0.25">
      <c r="A47014" s="118"/>
      <c r="B47014" s="136"/>
    </row>
    <row r="47015" spans="1:2" x14ac:dyDescent="0.25">
      <c r="A47015" s="118"/>
      <c r="B47015" s="136"/>
    </row>
    <row r="47016" spans="1:2" x14ac:dyDescent="0.25">
      <c r="A47016" s="118"/>
      <c r="B47016" s="136"/>
    </row>
    <row r="47017" spans="1:2" x14ac:dyDescent="0.25">
      <c r="A47017" s="118"/>
      <c r="B47017" s="136"/>
    </row>
    <row r="47018" spans="1:2" x14ac:dyDescent="0.25">
      <c r="A47018" s="118"/>
      <c r="B47018" s="136"/>
    </row>
    <row r="47019" spans="1:2" x14ac:dyDescent="0.25">
      <c r="A47019" s="118"/>
      <c r="B47019" s="136"/>
    </row>
    <row r="47020" spans="1:2" x14ac:dyDescent="0.25">
      <c r="A47020" s="118"/>
      <c r="B47020" s="136"/>
    </row>
    <row r="47021" spans="1:2" x14ac:dyDescent="0.25">
      <c r="A47021" s="118"/>
      <c r="B47021" s="136"/>
    </row>
    <row r="47022" spans="1:2" x14ac:dyDescent="0.25">
      <c r="A47022" s="118"/>
      <c r="B47022" s="136"/>
    </row>
    <row r="47023" spans="1:2" x14ac:dyDescent="0.25">
      <c r="A47023" s="118"/>
      <c r="B47023" s="136"/>
    </row>
    <row r="47024" spans="1:2" x14ac:dyDescent="0.25">
      <c r="A47024" s="118"/>
      <c r="B47024" s="136"/>
    </row>
    <row r="47025" spans="1:2" x14ac:dyDescent="0.25">
      <c r="A47025" s="118"/>
      <c r="B47025" s="136"/>
    </row>
    <row r="47026" spans="1:2" x14ac:dyDescent="0.25">
      <c r="A47026" s="118"/>
      <c r="B47026" s="136"/>
    </row>
    <row r="47027" spans="1:2" x14ac:dyDescent="0.25">
      <c r="A47027" s="118"/>
      <c r="B47027" s="136"/>
    </row>
    <row r="47028" spans="1:2" x14ac:dyDescent="0.25">
      <c r="A47028" s="118"/>
      <c r="B47028" s="136"/>
    </row>
    <row r="47029" spans="1:2" x14ac:dyDescent="0.25">
      <c r="A47029" s="118"/>
      <c r="B47029" s="136"/>
    </row>
    <row r="47030" spans="1:2" x14ac:dyDescent="0.25">
      <c r="A47030" s="118"/>
      <c r="B47030" s="136"/>
    </row>
    <row r="47031" spans="1:2" x14ac:dyDescent="0.25">
      <c r="A47031" s="118"/>
      <c r="B47031" s="136"/>
    </row>
    <row r="47032" spans="1:2" x14ac:dyDescent="0.25">
      <c r="A47032" s="118"/>
      <c r="B47032" s="136"/>
    </row>
    <row r="47033" spans="1:2" x14ac:dyDescent="0.25">
      <c r="A47033" s="118"/>
      <c r="B47033" s="136"/>
    </row>
    <row r="47034" spans="1:2" x14ac:dyDescent="0.25">
      <c r="A47034" s="118"/>
      <c r="B47034" s="136"/>
    </row>
    <row r="47035" spans="1:2" x14ac:dyDescent="0.25">
      <c r="A47035" s="118"/>
      <c r="B47035" s="136"/>
    </row>
    <row r="47036" spans="1:2" x14ac:dyDescent="0.25">
      <c r="A47036" s="118"/>
      <c r="B47036" s="136"/>
    </row>
    <row r="47037" spans="1:2" x14ac:dyDescent="0.25">
      <c r="A47037" s="118"/>
      <c r="B47037" s="136"/>
    </row>
    <row r="47038" spans="1:2" x14ac:dyDescent="0.25">
      <c r="A47038" s="118"/>
      <c r="B47038" s="136"/>
    </row>
    <row r="47039" spans="1:2" x14ac:dyDescent="0.25">
      <c r="A47039" s="118"/>
      <c r="B47039" s="136"/>
    </row>
    <row r="47040" spans="1:2" x14ac:dyDescent="0.25">
      <c r="A47040" s="118"/>
      <c r="B47040" s="136"/>
    </row>
    <row r="47041" spans="1:2" x14ac:dyDescent="0.25">
      <c r="A47041" s="118"/>
      <c r="B47041" s="136"/>
    </row>
    <row r="47042" spans="1:2" x14ac:dyDescent="0.25">
      <c r="A47042" s="118"/>
      <c r="B47042" s="136"/>
    </row>
    <row r="47043" spans="1:2" x14ac:dyDescent="0.25">
      <c r="A47043" s="118"/>
      <c r="B47043" s="136"/>
    </row>
    <row r="47044" spans="1:2" x14ac:dyDescent="0.25">
      <c r="A47044" s="118"/>
      <c r="B47044" s="136"/>
    </row>
    <row r="47045" spans="1:2" x14ac:dyDescent="0.25">
      <c r="A47045" s="118"/>
      <c r="B47045" s="136"/>
    </row>
    <row r="47046" spans="1:2" x14ac:dyDescent="0.25">
      <c r="A47046" s="118"/>
      <c r="B47046" s="136"/>
    </row>
    <row r="47047" spans="1:2" x14ac:dyDescent="0.25">
      <c r="A47047" s="118"/>
      <c r="B47047" s="136"/>
    </row>
    <row r="47048" spans="1:2" x14ac:dyDescent="0.25">
      <c r="A47048" s="118"/>
      <c r="B47048" s="136"/>
    </row>
    <row r="47049" spans="1:2" x14ac:dyDescent="0.25">
      <c r="A47049" s="118"/>
      <c r="B47049" s="136"/>
    </row>
    <row r="47050" spans="1:2" x14ac:dyDescent="0.25">
      <c r="A47050" s="118"/>
      <c r="B47050" s="136"/>
    </row>
    <row r="47051" spans="1:2" x14ac:dyDescent="0.25">
      <c r="A47051" s="118"/>
      <c r="B47051" s="136"/>
    </row>
    <row r="47052" spans="1:2" x14ac:dyDescent="0.25">
      <c r="A47052" s="118"/>
      <c r="B47052" s="136"/>
    </row>
    <row r="47053" spans="1:2" x14ac:dyDescent="0.25">
      <c r="A47053" s="118"/>
      <c r="B47053" s="136"/>
    </row>
    <row r="47054" spans="1:2" x14ac:dyDescent="0.25">
      <c r="A47054" s="118"/>
      <c r="B47054" s="136"/>
    </row>
    <row r="47055" spans="1:2" x14ac:dyDescent="0.25">
      <c r="A47055" s="118"/>
      <c r="B47055" s="136"/>
    </row>
    <row r="47056" spans="1:2" x14ac:dyDescent="0.25">
      <c r="A47056" s="118"/>
      <c r="B47056" s="136"/>
    </row>
    <row r="47057" spans="1:2" x14ac:dyDescent="0.25">
      <c r="A47057" s="118"/>
      <c r="B47057" s="136"/>
    </row>
    <row r="47058" spans="1:2" x14ac:dyDescent="0.25">
      <c r="A47058" s="118"/>
      <c r="B47058" s="136"/>
    </row>
    <row r="47059" spans="1:2" x14ac:dyDescent="0.25">
      <c r="A47059" s="118"/>
      <c r="B47059" s="136"/>
    </row>
    <row r="47060" spans="1:2" x14ac:dyDescent="0.25">
      <c r="A47060" s="118"/>
      <c r="B47060" s="136"/>
    </row>
    <row r="47061" spans="1:2" x14ac:dyDescent="0.25">
      <c r="A47061" s="118"/>
      <c r="B47061" s="136"/>
    </row>
    <row r="47062" spans="1:2" x14ac:dyDescent="0.25">
      <c r="A47062" s="118"/>
      <c r="B47062" s="136"/>
    </row>
    <row r="47063" spans="1:2" x14ac:dyDescent="0.25">
      <c r="A47063" s="118"/>
      <c r="B47063" s="136"/>
    </row>
    <row r="47064" spans="1:2" x14ac:dyDescent="0.25">
      <c r="A47064" s="118"/>
      <c r="B47064" s="136"/>
    </row>
    <row r="47065" spans="1:2" x14ac:dyDescent="0.25">
      <c r="A47065" s="118"/>
      <c r="B47065" s="136"/>
    </row>
    <row r="47066" spans="1:2" x14ac:dyDescent="0.25">
      <c r="A47066" s="118"/>
      <c r="B47066" s="136"/>
    </row>
    <row r="47067" spans="1:2" x14ac:dyDescent="0.25">
      <c r="A47067" s="118"/>
      <c r="B47067" s="136"/>
    </row>
    <row r="47068" spans="1:2" x14ac:dyDescent="0.25">
      <c r="A47068" s="118"/>
      <c r="B47068" s="136"/>
    </row>
    <row r="47069" spans="1:2" x14ac:dyDescent="0.25">
      <c r="A47069" s="118"/>
      <c r="B47069" s="136"/>
    </row>
    <row r="47070" spans="1:2" x14ac:dyDescent="0.25">
      <c r="A47070" s="118"/>
      <c r="B47070" s="136"/>
    </row>
    <row r="47071" spans="1:2" x14ac:dyDescent="0.25">
      <c r="A47071" s="118"/>
      <c r="B47071" s="136"/>
    </row>
    <row r="47072" spans="1:2" x14ac:dyDescent="0.25">
      <c r="A47072" s="118"/>
      <c r="B47072" s="136"/>
    </row>
    <row r="47073" spans="1:2" x14ac:dyDescent="0.25">
      <c r="A47073" s="118"/>
      <c r="B47073" s="136"/>
    </row>
    <row r="47074" spans="1:2" x14ac:dyDescent="0.25">
      <c r="A47074" s="118"/>
      <c r="B47074" s="136"/>
    </row>
    <row r="47075" spans="1:2" x14ac:dyDescent="0.25">
      <c r="A47075" s="118"/>
      <c r="B47075" s="136"/>
    </row>
    <row r="47076" spans="1:2" x14ac:dyDescent="0.25">
      <c r="A47076" s="118"/>
      <c r="B47076" s="136"/>
    </row>
    <row r="47077" spans="1:2" x14ac:dyDescent="0.25">
      <c r="A47077" s="118"/>
      <c r="B47077" s="136"/>
    </row>
    <row r="47078" spans="1:2" x14ac:dyDescent="0.25">
      <c r="A47078" s="118"/>
      <c r="B47078" s="136"/>
    </row>
    <row r="47079" spans="1:2" x14ac:dyDescent="0.25">
      <c r="A47079" s="118"/>
      <c r="B47079" s="136"/>
    </row>
    <row r="47080" spans="1:2" x14ac:dyDescent="0.25">
      <c r="A47080" s="118"/>
      <c r="B47080" s="136"/>
    </row>
    <row r="47081" spans="1:2" x14ac:dyDescent="0.25">
      <c r="A47081" s="118"/>
      <c r="B47081" s="136"/>
    </row>
    <row r="47082" spans="1:2" x14ac:dyDescent="0.25">
      <c r="A47082" s="118"/>
      <c r="B47082" s="136"/>
    </row>
    <row r="47083" spans="1:2" x14ac:dyDescent="0.25">
      <c r="A47083" s="118"/>
      <c r="B47083" s="136"/>
    </row>
    <row r="47084" spans="1:2" x14ac:dyDescent="0.25">
      <c r="A47084" s="118"/>
      <c r="B47084" s="136"/>
    </row>
    <row r="47085" spans="1:2" x14ac:dyDescent="0.25">
      <c r="A47085" s="118"/>
      <c r="B47085" s="136"/>
    </row>
    <row r="47086" spans="1:2" x14ac:dyDescent="0.25">
      <c r="A47086" s="118"/>
      <c r="B47086" s="136"/>
    </row>
    <row r="47087" spans="1:2" x14ac:dyDescent="0.25">
      <c r="A47087" s="118"/>
      <c r="B47087" s="136"/>
    </row>
    <row r="47088" spans="1:2" x14ac:dyDescent="0.25">
      <c r="A47088" s="118"/>
      <c r="B47088" s="136"/>
    </row>
    <row r="47089" spans="1:2" x14ac:dyDescent="0.25">
      <c r="A47089" s="118"/>
      <c r="B47089" s="136"/>
    </row>
    <row r="47090" spans="1:2" x14ac:dyDescent="0.25">
      <c r="A47090" s="118"/>
      <c r="B47090" s="136"/>
    </row>
    <row r="47091" spans="1:2" x14ac:dyDescent="0.25">
      <c r="A47091" s="118"/>
      <c r="B47091" s="136"/>
    </row>
    <row r="47092" spans="1:2" x14ac:dyDescent="0.25">
      <c r="A47092" s="118"/>
      <c r="B47092" s="136"/>
    </row>
    <row r="47093" spans="1:2" x14ac:dyDescent="0.25">
      <c r="A47093" s="118"/>
      <c r="B47093" s="136"/>
    </row>
    <row r="47094" spans="1:2" x14ac:dyDescent="0.25">
      <c r="A47094" s="118"/>
      <c r="B47094" s="136"/>
    </row>
    <row r="47095" spans="1:2" x14ac:dyDescent="0.25">
      <c r="A47095" s="118"/>
      <c r="B47095" s="136"/>
    </row>
    <row r="47096" spans="1:2" x14ac:dyDescent="0.25">
      <c r="A47096" s="118"/>
      <c r="B47096" s="136"/>
    </row>
    <row r="47097" spans="1:2" x14ac:dyDescent="0.25">
      <c r="A47097" s="118"/>
      <c r="B47097" s="136"/>
    </row>
    <row r="47098" spans="1:2" x14ac:dyDescent="0.25">
      <c r="A47098" s="118"/>
      <c r="B47098" s="136"/>
    </row>
    <row r="47099" spans="1:2" x14ac:dyDescent="0.25">
      <c r="A47099" s="118"/>
      <c r="B47099" s="136"/>
    </row>
    <row r="47100" spans="1:2" x14ac:dyDescent="0.25">
      <c r="A47100" s="118"/>
      <c r="B47100" s="136"/>
    </row>
    <row r="47101" spans="1:2" x14ac:dyDescent="0.25">
      <c r="A47101" s="118"/>
      <c r="B47101" s="136"/>
    </row>
    <row r="47102" spans="1:2" x14ac:dyDescent="0.25">
      <c r="A47102" s="118"/>
      <c r="B47102" s="136"/>
    </row>
    <row r="47103" spans="1:2" x14ac:dyDescent="0.25">
      <c r="A47103" s="118"/>
      <c r="B47103" s="136"/>
    </row>
    <row r="47104" spans="1:2" x14ac:dyDescent="0.25">
      <c r="A47104" s="118"/>
      <c r="B47104" s="136"/>
    </row>
    <row r="47105" spans="1:2" x14ac:dyDescent="0.25">
      <c r="A47105" s="118"/>
      <c r="B47105" s="136"/>
    </row>
    <row r="47106" spans="1:2" x14ac:dyDescent="0.25">
      <c r="A47106" s="118"/>
      <c r="B47106" s="136"/>
    </row>
    <row r="47107" spans="1:2" x14ac:dyDescent="0.25">
      <c r="A47107" s="118"/>
      <c r="B47107" s="136"/>
    </row>
    <row r="47108" spans="1:2" x14ac:dyDescent="0.25">
      <c r="A47108" s="118"/>
      <c r="B47108" s="136"/>
    </row>
    <row r="47109" spans="1:2" x14ac:dyDescent="0.25">
      <c r="A47109" s="118"/>
      <c r="B47109" s="136"/>
    </row>
    <row r="47110" spans="1:2" x14ac:dyDescent="0.25">
      <c r="A47110" s="118"/>
      <c r="B47110" s="136"/>
    </row>
    <row r="47111" spans="1:2" x14ac:dyDescent="0.25">
      <c r="A47111" s="118"/>
      <c r="B47111" s="136"/>
    </row>
    <row r="47112" spans="1:2" x14ac:dyDescent="0.25">
      <c r="A47112" s="118"/>
      <c r="B47112" s="136"/>
    </row>
    <row r="47113" spans="1:2" x14ac:dyDescent="0.25">
      <c r="A47113" s="118"/>
      <c r="B47113" s="136"/>
    </row>
    <row r="47114" spans="1:2" x14ac:dyDescent="0.25">
      <c r="A47114" s="118"/>
      <c r="B47114" s="136"/>
    </row>
    <row r="47115" spans="1:2" x14ac:dyDescent="0.25">
      <c r="A47115" s="118"/>
      <c r="B47115" s="136"/>
    </row>
    <row r="47116" spans="1:2" x14ac:dyDescent="0.25">
      <c r="A47116" s="118"/>
      <c r="B47116" s="136"/>
    </row>
    <row r="47117" spans="1:2" x14ac:dyDescent="0.25">
      <c r="A47117" s="118"/>
      <c r="B47117" s="136"/>
    </row>
    <row r="47118" spans="1:2" x14ac:dyDescent="0.25">
      <c r="A47118" s="118"/>
      <c r="B47118" s="136"/>
    </row>
    <row r="47119" spans="1:2" x14ac:dyDescent="0.25">
      <c r="A47119" s="118"/>
      <c r="B47119" s="136"/>
    </row>
    <row r="47120" spans="1:2" x14ac:dyDescent="0.25">
      <c r="A47120" s="118"/>
      <c r="B47120" s="136"/>
    </row>
    <row r="47121" spans="1:2" x14ac:dyDescent="0.25">
      <c r="A47121" s="118"/>
      <c r="B47121" s="136"/>
    </row>
    <row r="47122" spans="1:2" x14ac:dyDescent="0.25">
      <c r="A47122" s="118"/>
      <c r="B47122" s="136"/>
    </row>
    <row r="47123" spans="1:2" x14ac:dyDescent="0.25">
      <c r="A47123" s="118"/>
      <c r="B47123" s="136"/>
    </row>
    <row r="47124" spans="1:2" x14ac:dyDescent="0.25">
      <c r="A47124" s="118"/>
      <c r="B47124" s="136"/>
    </row>
    <row r="47125" spans="1:2" x14ac:dyDescent="0.25">
      <c r="A47125" s="118"/>
      <c r="B47125" s="136"/>
    </row>
    <row r="47126" spans="1:2" x14ac:dyDescent="0.25">
      <c r="A47126" s="118"/>
      <c r="B47126" s="136"/>
    </row>
    <row r="47127" spans="1:2" x14ac:dyDescent="0.25">
      <c r="A47127" s="118"/>
      <c r="B47127" s="136"/>
    </row>
    <row r="47128" spans="1:2" x14ac:dyDescent="0.25">
      <c r="A47128" s="118"/>
      <c r="B47128" s="136"/>
    </row>
    <row r="47129" spans="1:2" x14ac:dyDescent="0.25">
      <c r="A47129" s="118"/>
      <c r="B47129" s="136"/>
    </row>
    <row r="47130" spans="1:2" x14ac:dyDescent="0.25">
      <c r="A47130" s="118"/>
      <c r="B47130" s="136"/>
    </row>
    <row r="47131" spans="1:2" x14ac:dyDescent="0.25">
      <c r="A47131" s="118"/>
      <c r="B47131" s="136"/>
    </row>
    <row r="47132" spans="1:2" x14ac:dyDescent="0.25">
      <c r="A47132" s="118"/>
      <c r="B47132" s="136"/>
    </row>
    <row r="47133" spans="1:2" x14ac:dyDescent="0.25">
      <c r="A47133" s="118"/>
      <c r="B47133" s="136"/>
    </row>
    <row r="47134" spans="1:2" x14ac:dyDescent="0.25">
      <c r="A47134" s="118"/>
      <c r="B47134" s="136"/>
    </row>
    <row r="47135" spans="1:2" x14ac:dyDescent="0.25">
      <c r="A47135" s="118"/>
      <c r="B47135" s="136"/>
    </row>
    <row r="47136" spans="1:2" x14ac:dyDescent="0.25">
      <c r="A47136" s="118"/>
      <c r="B47136" s="136"/>
    </row>
    <row r="47137" spans="1:2" x14ac:dyDescent="0.25">
      <c r="A47137" s="118"/>
      <c r="B47137" s="136"/>
    </row>
    <row r="47138" spans="1:2" x14ac:dyDescent="0.25">
      <c r="A47138" s="118"/>
      <c r="B47138" s="136"/>
    </row>
    <row r="47139" spans="1:2" x14ac:dyDescent="0.25">
      <c r="A47139" s="118"/>
      <c r="B47139" s="136"/>
    </row>
    <row r="47140" spans="1:2" x14ac:dyDescent="0.25">
      <c r="A47140" s="118"/>
      <c r="B47140" s="136"/>
    </row>
    <row r="47141" spans="1:2" x14ac:dyDescent="0.25">
      <c r="A47141" s="118"/>
      <c r="B47141" s="136"/>
    </row>
    <row r="47142" spans="1:2" x14ac:dyDescent="0.25">
      <c r="A47142" s="118"/>
      <c r="B47142" s="136"/>
    </row>
    <row r="47143" spans="1:2" x14ac:dyDescent="0.25">
      <c r="A47143" s="118"/>
      <c r="B47143" s="136"/>
    </row>
    <row r="47144" spans="1:2" x14ac:dyDescent="0.25">
      <c r="A47144" s="118"/>
      <c r="B47144" s="136"/>
    </row>
    <row r="47145" spans="1:2" x14ac:dyDescent="0.25">
      <c r="A47145" s="118"/>
      <c r="B47145" s="136"/>
    </row>
    <row r="47146" spans="1:2" x14ac:dyDescent="0.25">
      <c r="A47146" s="118"/>
      <c r="B47146" s="136"/>
    </row>
    <row r="47147" spans="1:2" x14ac:dyDescent="0.25">
      <c r="A47147" s="118"/>
      <c r="B47147" s="136"/>
    </row>
    <row r="47148" spans="1:2" x14ac:dyDescent="0.25">
      <c r="A47148" s="118"/>
      <c r="B47148" s="136"/>
    </row>
    <row r="47149" spans="1:2" x14ac:dyDescent="0.25">
      <c r="A47149" s="118"/>
      <c r="B47149" s="136"/>
    </row>
    <row r="47150" spans="1:2" x14ac:dyDescent="0.25">
      <c r="A47150" s="118"/>
      <c r="B47150" s="136"/>
    </row>
    <row r="47151" spans="1:2" x14ac:dyDescent="0.25">
      <c r="A47151" s="118"/>
      <c r="B47151" s="136"/>
    </row>
    <row r="47152" spans="1:2" x14ac:dyDescent="0.25">
      <c r="A47152" s="118"/>
      <c r="B47152" s="136"/>
    </row>
    <row r="47153" spans="1:2" x14ac:dyDescent="0.25">
      <c r="A47153" s="118"/>
      <c r="B47153" s="136"/>
    </row>
    <row r="47154" spans="1:2" x14ac:dyDescent="0.25">
      <c r="A47154" s="118"/>
      <c r="B47154" s="136"/>
    </row>
    <row r="47155" spans="1:2" x14ac:dyDescent="0.25">
      <c r="A47155" s="118"/>
      <c r="B47155" s="136"/>
    </row>
    <row r="47156" spans="1:2" x14ac:dyDescent="0.25">
      <c r="A47156" s="118"/>
      <c r="B47156" s="136"/>
    </row>
    <row r="47157" spans="1:2" x14ac:dyDescent="0.25">
      <c r="A47157" s="118"/>
      <c r="B47157" s="136"/>
    </row>
    <row r="47158" spans="1:2" x14ac:dyDescent="0.25">
      <c r="A47158" s="118"/>
      <c r="B47158" s="136"/>
    </row>
    <row r="47159" spans="1:2" x14ac:dyDescent="0.25">
      <c r="A47159" s="118"/>
      <c r="B47159" s="136"/>
    </row>
    <row r="47160" spans="1:2" x14ac:dyDescent="0.25">
      <c r="A47160" s="118"/>
      <c r="B47160" s="136"/>
    </row>
    <row r="47161" spans="1:2" x14ac:dyDescent="0.25">
      <c r="A47161" s="118"/>
      <c r="B47161" s="136"/>
    </row>
    <row r="47162" spans="1:2" x14ac:dyDescent="0.25">
      <c r="A47162" s="118"/>
      <c r="B47162" s="136"/>
    </row>
    <row r="47163" spans="1:2" x14ac:dyDescent="0.25">
      <c r="A47163" s="118"/>
      <c r="B47163" s="136"/>
    </row>
    <row r="47164" spans="1:2" x14ac:dyDescent="0.25">
      <c r="A47164" s="118"/>
      <c r="B47164" s="136"/>
    </row>
    <row r="47165" spans="1:2" x14ac:dyDescent="0.25">
      <c r="A47165" s="118"/>
      <c r="B47165" s="136"/>
    </row>
    <row r="47166" spans="1:2" x14ac:dyDescent="0.25">
      <c r="A47166" s="118"/>
      <c r="B47166" s="136"/>
    </row>
    <row r="47167" spans="1:2" x14ac:dyDescent="0.25">
      <c r="A47167" s="118"/>
      <c r="B47167" s="136"/>
    </row>
    <row r="47168" spans="1:2" x14ac:dyDescent="0.25">
      <c r="A47168" s="118"/>
      <c r="B47168" s="136"/>
    </row>
    <row r="47169" spans="1:2" x14ac:dyDescent="0.25">
      <c r="A47169" s="118"/>
      <c r="B47169" s="136"/>
    </row>
    <row r="47170" spans="1:2" x14ac:dyDescent="0.25">
      <c r="A47170" s="118"/>
      <c r="B47170" s="136"/>
    </row>
    <row r="47171" spans="1:2" x14ac:dyDescent="0.25">
      <c r="A47171" s="118"/>
      <c r="B47171" s="136"/>
    </row>
    <row r="47172" spans="1:2" x14ac:dyDescent="0.25">
      <c r="A47172" s="118"/>
      <c r="B47172" s="136"/>
    </row>
    <row r="47173" spans="1:2" x14ac:dyDescent="0.25">
      <c r="A47173" s="118"/>
      <c r="B47173" s="136"/>
    </row>
    <row r="47174" spans="1:2" x14ac:dyDescent="0.25">
      <c r="A47174" s="118"/>
      <c r="B47174" s="136"/>
    </row>
    <row r="47175" spans="1:2" x14ac:dyDescent="0.25">
      <c r="A47175" s="118"/>
      <c r="B47175" s="136"/>
    </row>
    <row r="47176" spans="1:2" x14ac:dyDescent="0.25">
      <c r="A47176" s="118"/>
      <c r="B47176" s="136"/>
    </row>
    <row r="47177" spans="1:2" x14ac:dyDescent="0.25">
      <c r="A47177" s="118"/>
      <c r="B47177" s="136"/>
    </row>
    <row r="47178" spans="1:2" x14ac:dyDescent="0.25">
      <c r="A47178" s="118"/>
      <c r="B47178" s="136"/>
    </row>
    <row r="47179" spans="1:2" x14ac:dyDescent="0.25">
      <c r="A47179" s="118"/>
      <c r="B47179" s="136"/>
    </row>
    <row r="47180" spans="1:2" x14ac:dyDescent="0.25">
      <c r="A47180" s="118"/>
      <c r="B47180" s="136"/>
    </row>
    <row r="47181" spans="1:2" x14ac:dyDescent="0.25">
      <c r="A47181" s="118"/>
      <c r="B47181" s="136"/>
    </row>
    <row r="47182" spans="1:2" x14ac:dyDescent="0.25">
      <c r="A47182" s="118"/>
      <c r="B47182" s="136"/>
    </row>
    <row r="47183" spans="1:2" x14ac:dyDescent="0.25">
      <c r="A47183" s="118"/>
      <c r="B47183" s="136"/>
    </row>
    <row r="47184" spans="1:2" x14ac:dyDescent="0.25">
      <c r="A47184" s="118"/>
      <c r="B47184" s="136"/>
    </row>
    <row r="47185" spans="1:2" x14ac:dyDescent="0.25">
      <c r="A47185" s="118"/>
      <c r="B47185" s="136"/>
    </row>
    <row r="47186" spans="1:2" x14ac:dyDescent="0.25">
      <c r="A47186" s="118"/>
      <c r="B47186" s="136"/>
    </row>
    <row r="47187" spans="1:2" x14ac:dyDescent="0.25">
      <c r="A47187" s="118"/>
      <c r="B47187" s="136"/>
    </row>
    <row r="47188" spans="1:2" x14ac:dyDescent="0.25">
      <c r="A47188" s="118"/>
      <c r="B47188" s="136"/>
    </row>
    <row r="47189" spans="1:2" x14ac:dyDescent="0.25">
      <c r="A47189" s="118"/>
      <c r="B47189" s="136"/>
    </row>
    <row r="47190" spans="1:2" x14ac:dyDescent="0.25">
      <c r="A47190" s="118"/>
      <c r="B47190" s="136"/>
    </row>
    <row r="47191" spans="1:2" x14ac:dyDescent="0.25">
      <c r="A47191" s="118"/>
      <c r="B47191" s="136"/>
    </row>
    <row r="47192" spans="1:2" x14ac:dyDescent="0.25">
      <c r="A47192" s="118"/>
      <c r="B47192" s="136"/>
    </row>
    <row r="47193" spans="1:2" x14ac:dyDescent="0.25">
      <c r="A47193" s="118"/>
      <c r="B47193" s="136"/>
    </row>
    <row r="47194" spans="1:2" x14ac:dyDescent="0.25">
      <c r="A47194" s="118"/>
      <c r="B47194" s="136"/>
    </row>
    <row r="47195" spans="1:2" x14ac:dyDescent="0.25">
      <c r="A47195" s="118"/>
      <c r="B47195" s="136"/>
    </row>
    <row r="47196" spans="1:2" x14ac:dyDescent="0.25">
      <c r="A47196" s="118"/>
      <c r="B47196" s="136"/>
    </row>
    <row r="47197" spans="1:2" x14ac:dyDescent="0.25">
      <c r="A47197" s="118"/>
      <c r="B47197" s="136"/>
    </row>
    <row r="47198" spans="1:2" x14ac:dyDescent="0.25">
      <c r="A47198" s="118"/>
      <c r="B47198" s="136"/>
    </row>
    <row r="47199" spans="1:2" x14ac:dyDescent="0.25">
      <c r="A47199" s="118"/>
      <c r="B47199" s="136"/>
    </row>
    <row r="47200" spans="1:2" x14ac:dyDescent="0.25">
      <c r="A47200" s="118"/>
      <c r="B47200" s="136"/>
    </row>
    <row r="47201" spans="1:2" x14ac:dyDescent="0.25">
      <c r="A47201" s="118"/>
      <c r="B47201" s="136"/>
    </row>
    <row r="47202" spans="1:2" x14ac:dyDescent="0.25">
      <c r="A47202" s="118"/>
      <c r="B47202" s="136"/>
    </row>
    <row r="47203" spans="1:2" x14ac:dyDescent="0.25">
      <c r="A47203" s="118"/>
      <c r="B47203" s="136"/>
    </row>
    <row r="47204" spans="1:2" x14ac:dyDescent="0.25">
      <c r="A47204" s="118"/>
      <c r="B47204" s="136"/>
    </row>
    <row r="47205" spans="1:2" x14ac:dyDescent="0.25">
      <c r="A47205" s="118"/>
      <c r="B47205" s="136"/>
    </row>
    <row r="47206" spans="1:2" x14ac:dyDescent="0.25">
      <c r="A47206" s="118"/>
      <c r="B47206" s="136"/>
    </row>
    <row r="47207" spans="1:2" x14ac:dyDescent="0.25">
      <c r="A47207" s="118"/>
      <c r="B47207" s="136"/>
    </row>
    <row r="47208" spans="1:2" x14ac:dyDescent="0.25">
      <c r="A47208" s="118"/>
      <c r="B47208" s="136"/>
    </row>
    <row r="47209" spans="1:2" x14ac:dyDescent="0.25">
      <c r="A47209" s="118"/>
      <c r="B47209" s="136"/>
    </row>
    <row r="47210" spans="1:2" x14ac:dyDescent="0.25">
      <c r="A47210" s="118"/>
      <c r="B47210" s="136"/>
    </row>
    <row r="47211" spans="1:2" x14ac:dyDescent="0.25">
      <c r="A47211" s="118"/>
      <c r="B47211" s="136"/>
    </row>
    <row r="47212" spans="1:2" x14ac:dyDescent="0.25">
      <c r="A47212" s="118"/>
      <c r="B47212" s="136"/>
    </row>
    <row r="47213" spans="1:2" x14ac:dyDescent="0.25">
      <c r="A47213" s="118"/>
      <c r="B47213" s="136"/>
    </row>
    <row r="47214" spans="1:2" x14ac:dyDescent="0.25">
      <c r="A47214" s="118"/>
      <c r="B47214" s="136"/>
    </row>
    <row r="47215" spans="1:2" x14ac:dyDescent="0.25">
      <c r="A47215" s="118"/>
      <c r="B47215" s="136"/>
    </row>
    <row r="47216" spans="1:2" x14ac:dyDescent="0.25">
      <c r="A47216" s="118"/>
      <c r="B47216" s="136"/>
    </row>
    <row r="47217" spans="1:2" x14ac:dyDescent="0.25">
      <c r="A47217" s="118"/>
      <c r="B47217" s="136"/>
    </row>
    <row r="47218" spans="1:2" x14ac:dyDescent="0.25">
      <c r="A47218" s="118"/>
      <c r="B47218" s="136"/>
    </row>
    <row r="47219" spans="1:2" x14ac:dyDescent="0.25">
      <c r="A47219" s="118"/>
      <c r="B47219" s="136"/>
    </row>
    <row r="47220" spans="1:2" x14ac:dyDescent="0.25">
      <c r="A47220" s="118"/>
      <c r="B47220" s="136"/>
    </row>
    <row r="47221" spans="1:2" x14ac:dyDescent="0.25">
      <c r="A47221" s="118"/>
      <c r="B47221" s="136"/>
    </row>
    <row r="47222" spans="1:2" x14ac:dyDescent="0.25">
      <c r="A47222" s="118"/>
      <c r="B47222" s="136"/>
    </row>
    <row r="47223" spans="1:2" x14ac:dyDescent="0.25">
      <c r="A47223" s="118"/>
      <c r="B47223" s="136"/>
    </row>
    <row r="47224" spans="1:2" x14ac:dyDescent="0.25">
      <c r="A47224" s="118"/>
      <c r="B47224" s="136"/>
    </row>
    <row r="47225" spans="1:2" x14ac:dyDescent="0.25">
      <c r="A47225" s="118"/>
      <c r="B47225" s="136"/>
    </row>
    <row r="47226" spans="1:2" x14ac:dyDescent="0.25">
      <c r="A47226" s="118"/>
      <c r="B47226" s="136"/>
    </row>
    <row r="47227" spans="1:2" x14ac:dyDescent="0.25">
      <c r="A47227" s="118"/>
      <c r="B47227" s="136"/>
    </row>
    <row r="47228" spans="1:2" x14ac:dyDescent="0.25">
      <c r="A47228" s="118"/>
      <c r="B47228" s="136"/>
    </row>
    <row r="47229" spans="1:2" x14ac:dyDescent="0.25">
      <c r="A47229" s="118"/>
      <c r="B47229" s="136"/>
    </row>
    <row r="47230" spans="1:2" x14ac:dyDescent="0.25">
      <c r="A47230" s="118"/>
      <c r="B47230" s="136"/>
    </row>
    <row r="47231" spans="1:2" x14ac:dyDescent="0.25">
      <c r="A47231" s="118"/>
      <c r="B47231" s="136"/>
    </row>
    <row r="47232" spans="1:2" x14ac:dyDescent="0.25">
      <c r="A47232" s="118"/>
      <c r="B47232" s="136"/>
    </row>
    <row r="47233" spans="1:2" x14ac:dyDescent="0.25">
      <c r="A47233" s="118"/>
      <c r="B47233" s="136"/>
    </row>
    <row r="47234" spans="1:2" x14ac:dyDescent="0.25">
      <c r="A47234" s="118"/>
      <c r="B47234" s="136"/>
    </row>
    <row r="47235" spans="1:2" x14ac:dyDescent="0.25">
      <c r="A47235" s="118"/>
      <c r="B47235" s="136"/>
    </row>
    <row r="47236" spans="1:2" x14ac:dyDescent="0.25">
      <c r="A47236" s="118"/>
      <c r="B47236" s="136"/>
    </row>
    <row r="47237" spans="1:2" x14ac:dyDescent="0.25">
      <c r="A47237" s="118"/>
      <c r="B47237" s="136"/>
    </row>
    <row r="47238" spans="1:2" x14ac:dyDescent="0.25">
      <c r="A47238" s="118"/>
      <c r="B47238" s="136"/>
    </row>
    <row r="47239" spans="1:2" x14ac:dyDescent="0.25">
      <c r="A47239" s="118"/>
      <c r="B47239" s="136"/>
    </row>
    <row r="47240" spans="1:2" x14ac:dyDescent="0.25">
      <c r="A47240" s="118"/>
      <c r="B47240" s="136"/>
    </row>
    <row r="47241" spans="1:2" x14ac:dyDescent="0.25">
      <c r="A47241" s="118"/>
      <c r="B47241" s="136"/>
    </row>
    <row r="47242" spans="1:2" x14ac:dyDescent="0.25">
      <c r="A47242" s="118"/>
      <c r="B47242" s="136"/>
    </row>
    <row r="47243" spans="1:2" x14ac:dyDescent="0.25">
      <c r="A47243" s="118"/>
      <c r="B47243" s="136"/>
    </row>
    <row r="47244" spans="1:2" x14ac:dyDescent="0.25">
      <c r="A47244" s="118"/>
      <c r="B47244" s="136"/>
    </row>
    <row r="47245" spans="1:2" x14ac:dyDescent="0.25">
      <c r="A47245" s="118"/>
      <c r="B47245" s="136"/>
    </row>
    <row r="47246" spans="1:2" x14ac:dyDescent="0.25">
      <c r="A47246" s="118"/>
      <c r="B47246" s="136"/>
    </row>
    <row r="47247" spans="1:2" x14ac:dyDescent="0.25">
      <c r="A47247" s="118"/>
      <c r="B47247" s="136"/>
    </row>
    <row r="47248" spans="1:2" x14ac:dyDescent="0.25">
      <c r="A47248" s="118"/>
      <c r="B47248" s="136"/>
    </row>
    <row r="47249" spans="1:2" x14ac:dyDescent="0.25">
      <c r="A47249" s="118"/>
      <c r="B47249" s="136"/>
    </row>
    <row r="47250" spans="1:2" x14ac:dyDescent="0.25">
      <c r="A47250" s="118"/>
      <c r="B47250" s="136"/>
    </row>
    <row r="47251" spans="1:2" x14ac:dyDescent="0.25">
      <c r="A47251" s="118"/>
      <c r="B47251" s="136"/>
    </row>
    <row r="47252" spans="1:2" x14ac:dyDescent="0.25">
      <c r="A47252" s="118"/>
      <c r="B47252" s="136"/>
    </row>
    <row r="47253" spans="1:2" x14ac:dyDescent="0.25">
      <c r="A47253" s="118"/>
      <c r="B47253" s="136"/>
    </row>
    <row r="47254" spans="1:2" x14ac:dyDescent="0.25">
      <c r="A47254" s="118"/>
      <c r="B47254" s="136"/>
    </row>
    <row r="47255" spans="1:2" x14ac:dyDescent="0.25">
      <c r="A47255" s="118"/>
      <c r="B47255" s="136"/>
    </row>
    <row r="47256" spans="1:2" x14ac:dyDescent="0.25">
      <c r="A47256" s="118"/>
      <c r="B47256" s="136"/>
    </row>
    <row r="47257" spans="1:2" x14ac:dyDescent="0.25">
      <c r="A47257" s="118"/>
      <c r="B47257" s="136"/>
    </row>
    <row r="47258" spans="1:2" x14ac:dyDescent="0.25">
      <c r="A47258" s="118"/>
      <c r="B47258" s="136"/>
    </row>
    <row r="47259" spans="1:2" x14ac:dyDescent="0.25">
      <c r="A47259" s="118"/>
      <c r="B47259" s="136"/>
    </row>
    <row r="47260" spans="1:2" x14ac:dyDescent="0.25">
      <c r="A47260" s="118"/>
      <c r="B47260" s="136"/>
    </row>
    <row r="47261" spans="1:2" x14ac:dyDescent="0.25">
      <c r="A47261" s="118"/>
      <c r="B47261" s="136"/>
    </row>
    <row r="47262" spans="1:2" x14ac:dyDescent="0.25">
      <c r="A47262" s="118"/>
      <c r="B47262" s="136"/>
    </row>
    <row r="47263" spans="1:2" x14ac:dyDescent="0.25">
      <c r="A47263" s="118"/>
      <c r="B47263" s="136"/>
    </row>
    <row r="47264" spans="1:2" x14ac:dyDescent="0.25">
      <c r="A47264" s="118"/>
      <c r="B47264" s="136"/>
    </row>
    <row r="47265" spans="1:2" x14ac:dyDescent="0.25">
      <c r="A47265" s="118"/>
      <c r="B47265" s="136"/>
    </row>
    <row r="47266" spans="1:2" x14ac:dyDescent="0.25">
      <c r="A47266" s="118"/>
      <c r="B47266" s="136"/>
    </row>
    <row r="47267" spans="1:2" x14ac:dyDescent="0.25">
      <c r="A47267" s="118"/>
      <c r="B47267" s="136"/>
    </row>
    <row r="47268" spans="1:2" x14ac:dyDescent="0.25">
      <c r="A47268" s="118"/>
      <c r="B47268" s="136"/>
    </row>
    <row r="47269" spans="1:2" x14ac:dyDescent="0.25">
      <c r="A47269" s="118"/>
      <c r="B47269" s="136"/>
    </row>
    <row r="47270" spans="1:2" x14ac:dyDescent="0.25">
      <c r="A47270" s="118"/>
      <c r="B47270" s="136"/>
    </row>
    <row r="47271" spans="1:2" x14ac:dyDescent="0.25">
      <c r="A47271" s="118"/>
      <c r="B47271" s="136"/>
    </row>
    <row r="47272" spans="1:2" x14ac:dyDescent="0.25">
      <c r="A47272" s="118"/>
      <c r="B47272" s="136"/>
    </row>
    <row r="47273" spans="1:2" x14ac:dyDescent="0.25">
      <c r="A47273" s="118"/>
      <c r="B47273" s="136"/>
    </row>
    <row r="47274" spans="1:2" x14ac:dyDescent="0.25">
      <c r="A47274" s="118"/>
      <c r="B47274" s="136"/>
    </row>
    <row r="47275" spans="1:2" x14ac:dyDescent="0.25">
      <c r="A47275" s="118"/>
      <c r="B47275" s="136"/>
    </row>
    <row r="47276" spans="1:2" x14ac:dyDescent="0.25">
      <c r="A47276" s="118"/>
      <c r="B47276" s="136"/>
    </row>
    <row r="47277" spans="1:2" x14ac:dyDescent="0.25">
      <c r="A47277" s="118"/>
      <c r="B47277" s="136"/>
    </row>
    <row r="47278" spans="1:2" x14ac:dyDescent="0.25">
      <c r="A47278" s="118"/>
      <c r="B47278" s="136"/>
    </row>
    <row r="47279" spans="1:2" x14ac:dyDescent="0.25">
      <c r="A47279" s="118"/>
      <c r="B47279" s="136"/>
    </row>
    <row r="47280" spans="1:2" x14ac:dyDescent="0.25">
      <c r="A47280" s="118"/>
      <c r="B47280" s="136"/>
    </row>
    <row r="47281" spans="1:2" x14ac:dyDescent="0.25">
      <c r="A47281" s="118"/>
      <c r="B47281" s="136"/>
    </row>
    <row r="47282" spans="1:2" x14ac:dyDescent="0.25">
      <c r="A47282" s="118"/>
      <c r="B47282" s="136"/>
    </row>
    <row r="47283" spans="1:2" x14ac:dyDescent="0.25">
      <c r="A47283" s="118"/>
      <c r="B47283" s="136"/>
    </row>
    <row r="47284" spans="1:2" x14ac:dyDescent="0.25">
      <c r="A47284" s="118"/>
      <c r="B47284" s="136"/>
    </row>
    <row r="47285" spans="1:2" x14ac:dyDescent="0.25">
      <c r="A47285" s="118"/>
      <c r="B47285" s="136"/>
    </row>
    <row r="47286" spans="1:2" x14ac:dyDescent="0.25">
      <c r="A47286" s="118"/>
      <c r="B47286" s="136"/>
    </row>
    <row r="47287" spans="1:2" x14ac:dyDescent="0.25">
      <c r="A47287" s="118"/>
      <c r="B47287" s="136"/>
    </row>
    <row r="47288" spans="1:2" x14ac:dyDescent="0.25">
      <c r="A47288" s="118"/>
      <c r="B47288" s="136"/>
    </row>
    <row r="47289" spans="1:2" x14ac:dyDescent="0.25">
      <c r="A47289" s="118"/>
      <c r="B47289" s="136"/>
    </row>
    <row r="47290" spans="1:2" x14ac:dyDescent="0.25">
      <c r="A47290" s="118"/>
      <c r="B47290" s="136"/>
    </row>
    <row r="47291" spans="1:2" x14ac:dyDescent="0.25">
      <c r="A47291" s="118"/>
      <c r="B47291" s="136"/>
    </row>
    <row r="47292" spans="1:2" x14ac:dyDescent="0.25">
      <c r="A47292" s="118"/>
      <c r="B47292" s="136"/>
    </row>
    <row r="47293" spans="1:2" x14ac:dyDescent="0.25">
      <c r="A47293" s="118"/>
      <c r="B47293" s="136"/>
    </row>
    <row r="47294" spans="1:2" x14ac:dyDescent="0.25">
      <c r="A47294" s="118"/>
      <c r="B47294" s="136"/>
    </row>
    <row r="47295" spans="1:2" x14ac:dyDescent="0.25">
      <c r="A47295" s="118"/>
      <c r="B47295" s="136"/>
    </row>
    <row r="47296" spans="1:2" x14ac:dyDescent="0.25">
      <c r="A47296" s="118"/>
      <c r="B47296" s="136"/>
    </row>
    <row r="47297" spans="1:2" x14ac:dyDescent="0.25">
      <c r="A47297" s="118"/>
      <c r="B47297" s="136"/>
    </row>
    <row r="47298" spans="1:2" x14ac:dyDescent="0.25">
      <c r="A47298" s="118"/>
      <c r="B47298" s="136"/>
    </row>
    <row r="47299" spans="1:2" x14ac:dyDescent="0.25">
      <c r="A47299" s="118"/>
      <c r="B47299" s="136"/>
    </row>
    <row r="47300" spans="1:2" x14ac:dyDescent="0.25">
      <c r="A47300" s="118"/>
      <c r="B47300" s="136"/>
    </row>
    <row r="47301" spans="1:2" x14ac:dyDescent="0.25">
      <c r="A47301" s="118"/>
      <c r="B47301" s="136"/>
    </row>
    <row r="47302" spans="1:2" x14ac:dyDescent="0.25">
      <c r="A47302" s="118"/>
      <c r="B47302" s="136"/>
    </row>
    <row r="47303" spans="1:2" x14ac:dyDescent="0.25">
      <c r="A47303" s="118"/>
      <c r="B47303" s="136"/>
    </row>
    <row r="47304" spans="1:2" x14ac:dyDescent="0.25">
      <c r="A47304" s="118"/>
      <c r="B47304" s="136"/>
    </row>
    <row r="47305" spans="1:2" x14ac:dyDescent="0.25">
      <c r="A47305" s="118"/>
      <c r="B47305" s="136"/>
    </row>
    <row r="47306" spans="1:2" x14ac:dyDescent="0.25">
      <c r="A47306" s="118"/>
      <c r="B47306" s="136"/>
    </row>
    <row r="47307" spans="1:2" x14ac:dyDescent="0.25">
      <c r="A47307" s="118"/>
      <c r="B47307" s="136"/>
    </row>
    <row r="47308" spans="1:2" x14ac:dyDescent="0.25">
      <c r="A47308" s="118"/>
      <c r="B47308" s="136"/>
    </row>
    <row r="47309" spans="1:2" x14ac:dyDescent="0.25">
      <c r="A47309" s="118"/>
      <c r="B47309" s="136"/>
    </row>
    <row r="47310" spans="1:2" x14ac:dyDescent="0.25">
      <c r="A47310" s="118"/>
      <c r="B47310" s="136"/>
    </row>
    <row r="47311" spans="1:2" x14ac:dyDescent="0.25">
      <c r="A47311" s="118"/>
      <c r="B47311" s="136"/>
    </row>
    <row r="47312" spans="1:2" x14ac:dyDescent="0.25">
      <c r="A47312" s="118"/>
      <c r="B47312" s="136"/>
    </row>
    <row r="47313" spans="1:2" x14ac:dyDescent="0.25">
      <c r="A47313" s="118"/>
      <c r="B47313" s="136"/>
    </row>
    <row r="47314" spans="1:2" x14ac:dyDescent="0.25">
      <c r="A47314" s="118"/>
      <c r="B47314" s="136"/>
    </row>
    <row r="47315" spans="1:2" x14ac:dyDescent="0.25">
      <c r="A47315" s="118"/>
      <c r="B47315" s="136"/>
    </row>
    <row r="47316" spans="1:2" x14ac:dyDescent="0.25">
      <c r="A47316" s="118"/>
      <c r="B47316" s="136"/>
    </row>
    <row r="47317" spans="1:2" x14ac:dyDescent="0.25">
      <c r="A47317" s="118"/>
      <c r="B47317" s="136"/>
    </row>
    <row r="47318" spans="1:2" x14ac:dyDescent="0.25">
      <c r="A47318" s="118"/>
      <c r="B47318" s="136"/>
    </row>
    <row r="47319" spans="1:2" x14ac:dyDescent="0.25">
      <c r="A47319" s="118"/>
      <c r="B47319" s="136"/>
    </row>
    <row r="47320" spans="1:2" x14ac:dyDescent="0.25">
      <c r="A47320" s="118"/>
      <c r="B47320" s="136"/>
    </row>
    <row r="47321" spans="1:2" x14ac:dyDescent="0.25">
      <c r="A47321" s="118"/>
      <c r="B47321" s="136"/>
    </row>
    <row r="47322" spans="1:2" x14ac:dyDescent="0.25">
      <c r="A47322" s="118"/>
      <c r="B47322" s="136"/>
    </row>
    <row r="47323" spans="1:2" x14ac:dyDescent="0.25">
      <c r="A47323" s="118"/>
      <c r="B47323" s="136"/>
    </row>
    <row r="47324" spans="1:2" x14ac:dyDescent="0.25">
      <c r="A47324" s="118"/>
      <c r="B47324" s="136"/>
    </row>
    <row r="47325" spans="1:2" x14ac:dyDescent="0.25">
      <c r="A47325" s="118"/>
      <c r="B47325" s="136"/>
    </row>
    <row r="47326" spans="1:2" x14ac:dyDescent="0.25">
      <c r="A47326" s="118"/>
      <c r="B47326" s="136"/>
    </row>
    <row r="47327" spans="1:2" x14ac:dyDescent="0.25">
      <c r="A47327" s="118"/>
      <c r="B47327" s="136"/>
    </row>
    <row r="47328" spans="1:2" x14ac:dyDescent="0.25">
      <c r="A47328" s="118"/>
      <c r="B47328" s="136"/>
    </row>
    <row r="47329" spans="1:2" x14ac:dyDescent="0.25">
      <c r="A47329" s="118"/>
      <c r="B47329" s="136"/>
    </row>
    <row r="47330" spans="1:2" x14ac:dyDescent="0.25">
      <c r="A47330" s="118"/>
      <c r="B47330" s="136"/>
    </row>
    <row r="47331" spans="1:2" x14ac:dyDescent="0.25">
      <c r="A47331" s="118"/>
      <c r="B47331" s="136"/>
    </row>
    <row r="47332" spans="1:2" x14ac:dyDescent="0.25">
      <c r="A47332" s="118"/>
      <c r="B47332" s="136"/>
    </row>
    <row r="47333" spans="1:2" x14ac:dyDescent="0.25">
      <c r="A47333" s="118"/>
      <c r="B47333" s="136"/>
    </row>
    <row r="47334" spans="1:2" x14ac:dyDescent="0.25">
      <c r="A47334" s="118"/>
      <c r="B47334" s="136"/>
    </row>
    <row r="47335" spans="1:2" x14ac:dyDescent="0.25">
      <c r="A47335" s="118"/>
      <c r="B47335" s="136"/>
    </row>
    <row r="47336" spans="1:2" x14ac:dyDescent="0.25">
      <c r="A47336" s="118"/>
      <c r="B47336" s="136"/>
    </row>
    <row r="47337" spans="1:2" x14ac:dyDescent="0.25">
      <c r="A47337" s="118"/>
      <c r="B47337" s="136"/>
    </row>
    <row r="47338" spans="1:2" x14ac:dyDescent="0.25">
      <c r="A47338" s="118"/>
      <c r="B47338" s="136"/>
    </row>
    <row r="47339" spans="1:2" x14ac:dyDescent="0.25">
      <c r="A47339" s="118"/>
      <c r="B47339" s="136"/>
    </row>
    <row r="47340" spans="1:2" x14ac:dyDescent="0.25">
      <c r="A47340" s="118"/>
      <c r="B47340" s="136"/>
    </row>
    <row r="47341" spans="1:2" x14ac:dyDescent="0.25">
      <c r="A47341" s="118"/>
      <c r="B47341" s="136"/>
    </row>
    <row r="47342" spans="1:2" x14ac:dyDescent="0.25">
      <c r="A47342" s="118"/>
      <c r="B47342" s="136"/>
    </row>
    <row r="47343" spans="1:2" x14ac:dyDescent="0.25">
      <c r="A47343" s="118"/>
      <c r="B47343" s="136"/>
    </row>
    <row r="47344" spans="1:2" x14ac:dyDescent="0.25">
      <c r="A47344" s="118"/>
      <c r="B47344" s="136"/>
    </row>
    <row r="47345" spans="1:2" x14ac:dyDescent="0.25">
      <c r="A47345" s="118"/>
      <c r="B47345" s="136"/>
    </row>
    <row r="47346" spans="1:2" x14ac:dyDescent="0.25">
      <c r="A47346" s="118"/>
      <c r="B47346" s="136"/>
    </row>
    <row r="47347" spans="1:2" x14ac:dyDescent="0.25">
      <c r="A47347" s="118"/>
      <c r="B47347" s="136"/>
    </row>
    <row r="47348" spans="1:2" x14ac:dyDescent="0.25">
      <c r="A47348" s="118"/>
      <c r="B47348" s="136"/>
    </row>
    <row r="47349" spans="1:2" x14ac:dyDescent="0.25">
      <c r="A47349" s="118"/>
      <c r="B47349" s="136"/>
    </row>
    <row r="47350" spans="1:2" x14ac:dyDescent="0.25">
      <c r="A47350" s="118"/>
      <c r="B47350" s="136"/>
    </row>
    <row r="47351" spans="1:2" x14ac:dyDescent="0.25">
      <c r="A47351" s="118"/>
      <c r="B47351" s="136"/>
    </row>
    <row r="47352" spans="1:2" x14ac:dyDescent="0.25">
      <c r="A47352" s="118"/>
      <c r="B47352" s="136"/>
    </row>
    <row r="47353" spans="1:2" x14ac:dyDescent="0.25">
      <c r="A47353" s="118"/>
      <c r="B47353" s="136"/>
    </row>
    <row r="47354" spans="1:2" x14ac:dyDescent="0.25">
      <c r="A47354" s="118"/>
      <c r="B47354" s="136"/>
    </row>
    <row r="47355" spans="1:2" x14ac:dyDescent="0.25">
      <c r="A47355" s="118"/>
      <c r="B47355" s="136"/>
    </row>
    <row r="47356" spans="1:2" x14ac:dyDescent="0.25">
      <c r="A47356" s="118"/>
      <c r="B47356" s="136"/>
    </row>
    <row r="47357" spans="1:2" x14ac:dyDescent="0.25">
      <c r="A47357" s="118"/>
      <c r="B47357" s="136"/>
    </row>
    <row r="47358" spans="1:2" x14ac:dyDescent="0.25">
      <c r="A47358" s="118"/>
      <c r="B47358" s="136"/>
    </row>
    <row r="47359" spans="1:2" x14ac:dyDescent="0.25">
      <c r="A47359" s="118"/>
      <c r="B47359" s="136"/>
    </row>
    <row r="47360" spans="1:2" x14ac:dyDescent="0.25">
      <c r="A47360" s="118"/>
      <c r="B47360" s="136"/>
    </row>
    <row r="47361" spans="1:2" x14ac:dyDescent="0.25">
      <c r="A47361" s="118"/>
      <c r="B47361" s="136"/>
    </row>
    <row r="47362" spans="1:2" x14ac:dyDescent="0.25">
      <c r="A47362" s="118"/>
      <c r="B47362" s="136"/>
    </row>
    <row r="47363" spans="1:2" x14ac:dyDescent="0.25">
      <c r="A47363" s="118"/>
      <c r="B47363" s="136"/>
    </row>
    <row r="47364" spans="1:2" x14ac:dyDescent="0.25">
      <c r="A47364" s="118"/>
      <c r="B47364" s="136"/>
    </row>
    <row r="47365" spans="1:2" x14ac:dyDescent="0.25">
      <c r="A47365" s="118"/>
      <c r="B47365" s="136"/>
    </row>
    <row r="47366" spans="1:2" x14ac:dyDescent="0.25">
      <c r="A47366" s="118"/>
      <c r="B47366" s="136"/>
    </row>
    <row r="47367" spans="1:2" x14ac:dyDescent="0.25">
      <c r="A47367" s="118"/>
      <c r="B47367" s="136"/>
    </row>
    <row r="47368" spans="1:2" x14ac:dyDescent="0.25">
      <c r="A47368" s="118"/>
      <c r="B47368" s="136"/>
    </row>
    <row r="47369" spans="1:2" x14ac:dyDescent="0.25">
      <c r="A47369" s="118"/>
      <c r="B47369" s="136"/>
    </row>
    <row r="47370" spans="1:2" x14ac:dyDescent="0.25">
      <c r="A47370" s="118"/>
      <c r="B47370" s="136"/>
    </row>
    <row r="47371" spans="1:2" x14ac:dyDescent="0.25">
      <c r="A47371" s="118"/>
      <c r="B47371" s="136"/>
    </row>
    <row r="47372" spans="1:2" x14ac:dyDescent="0.25">
      <c r="A47372" s="118"/>
      <c r="B47372" s="136"/>
    </row>
    <row r="47373" spans="1:2" x14ac:dyDescent="0.25">
      <c r="A47373" s="118"/>
      <c r="B47373" s="136"/>
    </row>
    <row r="47374" spans="1:2" x14ac:dyDescent="0.25">
      <c r="A47374" s="118"/>
      <c r="B47374" s="136"/>
    </row>
    <row r="47375" spans="1:2" x14ac:dyDescent="0.25">
      <c r="A47375" s="118"/>
      <c r="B47375" s="136"/>
    </row>
    <row r="47376" spans="1:2" x14ac:dyDescent="0.25">
      <c r="A47376" s="118"/>
      <c r="B47376" s="136"/>
    </row>
    <row r="47377" spans="1:2" x14ac:dyDescent="0.25">
      <c r="A47377" s="118"/>
      <c r="B47377" s="136"/>
    </row>
    <row r="47378" spans="1:2" x14ac:dyDescent="0.25">
      <c r="A47378" s="118"/>
      <c r="B47378" s="136"/>
    </row>
    <row r="47379" spans="1:2" x14ac:dyDescent="0.25">
      <c r="A47379" s="118"/>
      <c r="B47379" s="136"/>
    </row>
    <row r="47380" spans="1:2" x14ac:dyDescent="0.25">
      <c r="A47380" s="118"/>
      <c r="B47380" s="136"/>
    </row>
    <row r="47381" spans="1:2" x14ac:dyDescent="0.25">
      <c r="A47381" s="118"/>
      <c r="B47381" s="136"/>
    </row>
    <row r="47382" spans="1:2" x14ac:dyDescent="0.25">
      <c r="A47382" s="118"/>
      <c r="B47382" s="136"/>
    </row>
    <row r="47383" spans="1:2" x14ac:dyDescent="0.25">
      <c r="A47383" s="118"/>
      <c r="B47383" s="136"/>
    </row>
    <row r="47384" spans="1:2" x14ac:dyDescent="0.25">
      <c r="A47384" s="118"/>
      <c r="B47384" s="136"/>
    </row>
    <row r="47385" spans="1:2" x14ac:dyDescent="0.25">
      <c r="A47385" s="118"/>
      <c r="B47385" s="136"/>
    </row>
    <row r="47386" spans="1:2" x14ac:dyDescent="0.25">
      <c r="A47386" s="118"/>
      <c r="B47386" s="136"/>
    </row>
    <row r="47387" spans="1:2" x14ac:dyDescent="0.25">
      <c r="A47387" s="118"/>
      <c r="B47387" s="136"/>
    </row>
    <row r="47388" spans="1:2" x14ac:dyDescent="0.25">
      <c r="A47388" s="118"/>
      <c r="B47388" s="136"/>
    </row>
    <row r="47389" spans="1:2" x14ac:dyDescent="0.25">
      <c r="A47389" s="118"/>
      <c r="B47389" s="136"/>
    </row>
    <row r="47390" spans="1:2" x14ac:dyDescent="0.25">
      <c r="A47390" s="118"/>
      <c r="B47390" s="136"/>
    </row>
    <row r="47391" spans="1:2" x14ac:dyDescent="0.25">
      <c r="A47391" s="118"/>
      <c r="B47391" s="136"/>
    </row>
    <row r="47392" spans="1:2" x14ac:dyDescent="0.25">
      <c r="A47392" s="118"/>
      <c r="B47392" s="136"/>
    </row>
    <row r="47393" spans="1:2" x14ac:dyDescent="0.25">
      <c r="A47393" s="118"/>
      <c r="B47393" s="136"/>
    </row>
    <row r="47394" spans="1:2" x14ac:dyDescent="0.25">
      <c r="A47394" s="118"/>
      <c r="B47394" s="136"/>
    </row>
    <row r="47395" spans="1:2" x14ac:dyDescent="0.25">
      <c r="A47395" s="118"/>
      <c r="B47395" s="136"/>
    </row>
    <row r="47396" spans="1:2" x14ac:dyDescent="0.25">
      <c r="A47396" s="118"/>
      <c r="B47396" s="136"/>
    </row>
    <row r="47397" spans="1:2" x14ac:dyDescent="0.25">
      <c r="A47397" s="118"/>
      <c r="B47397" s="136"/>
    </row>
    <row r="47398" spans="1:2" x14ac:dyDescent="0.25">
      <c r="A47398" s="118"/>
      <c r="B47398" s="136"/>
    </row>
    <row r="47399" spans="1:2" x14ac:dyDescent="0.25">
      <c r="A47399" s="118"/>
      <c r="B47399" s="136"/>
    </row>
    <row r="47400" spans="1:2" x14ac:dyDescent="0.25">
      <c r="A47400" s="118"/>
      <c r="B47400" s="136"/>
    </row>
    <row r="47401" spans="1:2" x14ac:dyDescent="0.25">
      <c r="A47401" s="118"/>
      <c r="B47401" s="136"/>
    </row>
    <row r="47402" spans="1:2" x14ac:dyDescent="0.25">
      <c r="A47402" s="118"/>
      <c r="B47402" s="136"/>
    </row>
    <row r="47403" spans="1:2" x14ac:dyDescent="0.25">
      <c r="A47403" s="118"/>
      <c r="B47403" s="136"/>
    </row>
    <row r="47404" spans="1:2" x14ac:dyDescent="0.25">
      <c r="A47404" s="118"/>
      <c r="B47404" s="136"/>
    </row>
    <row r="47405" spans="1:2" x14ac:dyDescent="0.25">
      <c r="A47405" s="118"/>
      <c r="B47405" s="136"/>
    </row>
    <row r="47406" spans="1:2" x14ac:dyDescent="0.25">
      <c r="A47406" s="118"/>
      <c r="B47406" s="136"/>
    </row>
    <row r="47407" spans="1:2" x14ac:dyDescent="0.25">
      <c r="A47407" s="118"/>
      <c r="B47407" s="136"/>
    </row>
    <row r="47408" spans="1:2" x14ac:dyDescent="0.25">
      <c r="A47408" s="118"/>
      <c r="B47408" s="136"/>
    </row>
    <row r="47409" spans="1:2" x14ac:dyDescent="0.25">
      <c r="A47409" s="118"/>
      <c r="B47409" s="136"/>
    </row>
    <row r="47410" spans="1:2" x14ac:dyDescent="0.25">
      <c r="A47410" s="118"/>
      <c r="B47410" s="136"/>
    </row>
    <row r="47411" spans="1:2" x14ac:dyDescent="0.25">
      <c r="A47411" s="118"/>
      <c r="B47411" s="136"/>
    </row>
    <row r="47412" spans="1:2" x14ac:dyDescent="0.25">
      <c r="A47412" s="118"/>
      <c r="B47412" s="136"/>
    </row>
    <row r="47413" spans="1:2" x14ac:dyDescent="0.25">
      <c r="A47413" s="118"/>
      <c r="B47413" s="136"/>
    </row>
    <row r="47414" spans="1:2" x14ac:dyDescent="0.25">
      <c r="A47414" s="118"/>
      <c r="B47414" s="136"/>
    </row>
    <row r="47415" spans="1:2" x14ac:dyDescent="0.25">
      <c r="A47415" s="118"/>
      <c r="B47415" s="136"/>
    </row>
    <row r="47416" spans="1:2" x14ac:dyDescent="0.25">
      <c r="A47416" s="118"/>
      <c r="B47416" s="136"/>
    </row>
    <row r="47417" spans="1:2" x14ac:dyDescent="0.25">
      <c r="A47417" s="118"/>
      <c r="B47417" s="136"/>
    </row>
    <row r="47418" spans="1:2" x14ac:dyDescent="0.25">
      <c r="A47418" s="118"/>
      <c r="B47418" s="136"/>
    </row>
    <row r="47419" spans="1:2" x14ac:dyDescent="0.25">
      <c r="A47419" s="118"/>
      <c r="B47419" s="136"/>
    </row>
    <row r="47420" spans="1:2" x14ac:dyDescent="0.25">
      <c r="A47420" s="118"/>
      <c r="B47420" s="136"/>
    </row>
    <row r="47421" spans="1:2" x14ac:dyDescent="0.25">
      <c r="A47421" s="118"/>
      <c r="B47421" s="136"/>
    </row>
    <row r="47422" spans="1:2" x14ac:dyDescent="0.25">
      <c r="A47422" s="118"/>
      <c r="B47422" s="136"/>
    </row>
    <row r="47423" spans="1:2" x14ac:dyDescent="0.25">
      <c r="A47423" s="118"/>
      <c r="B47423" s="136"/>
    </row>
    <row r="47424" spans="1:2" x14ac:dyDescent="0.25">
      <c r="A47424" s="118"/>
      <c r="B47424" s="136"/>
    </row>
    <row r="47425" spans="1:2" x14ac:dyDescent="0.25">
      <c r="A47425" s="118"/>
      <c r="B47425" s="136"/>
    </row>
    <row r="47426" spans="1:2" x14ac:dyDescent="0.25">
      <c r="A47426" s="118"/>
      <c r="B47426" s="136"/>
    </row>
    <row r="47427" spans="1:2" x14ac:dyDescent="0.25">
      <c r="A47427" s="118"/>
      <c r="B47427" s="136"/>
    </row>
    <row r="47428" spans="1:2" x14ac:dyDescent="0.25">
      <c r="A47428" s="118"/>
      <c r="B47428" s="136"/>
    </row>
    <row r="47429" spans="1:2" x14ac:dyDescent="0.25">
      <c r="A47429" s="118"/>
      <c r="B47429" s="136"/>
    </row>
    <row r="47430" spans="1:2" x14ac:dyDescent="0.25">
      <c r="A47430" s="118"/>
      <c r="B47430" s="136"/>
    </row>
    <row r="47431" spans="1:2" x14ac:dyDescent="0.25">
      <c r="A47431" s="118"/>
      <c r="B47431" s="136"/>
    </row>
    <row r="47432" spans="1:2" x14ac:dyDescent="0.25">
      <c r="A47432" s="118"/>
      <c r="B47432" s="136"/>
    </row>
    <row r="47433" spans="1:2" x14ac:dyDescent="0.25">
      <c r="A47433" s="118"/>
      <c r="B47433" s="136"/>
    </row>
    <row r="47434" spans="1:2" x14ac:dyDescent="0.25">
      <c r="A47434" s="118"/>
      <c r="B47434" s="136"/>
    </row>
    <row r="47435" spans="1:2" x14ac:dyDescent="0.25">
      <c r="A47435" s="118"/>
      <c r="B47435" s="136"/>
    </row>
    <row r="47436" spans="1:2" x14ac:dyDescent="0.25">
      <c r="A47436" s="118"/>
      <c r="B47436" s="136"/>
    </row>
    <row r="47437" spans="1:2" x14ac:dyDescent="0.25">
      <c r="A47437" s="118"/>
      <c r="B47437" s="136"/>
    </row>
    <row r="47438" spans="1:2" x14ac:dyDescent="0.25">
      <c r="A47438" s="118"/>
      <c r="B47438" s="136"/>
    </row>
    <row r="47439" spans="1:2" x14ac:dyDescent="0.25">
      <c r="A47439" s="118"/>
      <c r="B47439" s="136"/>
    </row>
    <row r="47440" spans="1:2" x14ac:dyDescent="0.25">
      <c r="A47440" s="118"/>
      <c r="B47440" s="136"/>
    </row>
    <row r="47441" spans="1:2" x14ac:dyDescent="0.25">
      <c r="A47441" s="118"/>
      <c r="B47441" s="136"/>
    </row>
    <row r="47442" spans="1:2" x14ac:dyDescent="0.25">
      <c r="A47442" s="118"/>
      <c r="B47442" s="136"/>
    </row>
    <row r="47443" spans="1:2" x14ac:dyDescent="0.25">
      <c r="A47443" s="118"/>
      <c r="B47443" s="136"/>
    </row>
    <row r="47444" spans="1:2" x14ac:dyDescent="0.25">
      <c r="A47444" s="118"/>
      <c r="B47444" s="136"/>
    </row>
    <row r="47445" spans="1:2" x14ac:dyDescent="0.25">
      <c r="A47445" s="118"/>
      <c r="B47445" s="136"/>
    </row>
    <row r="47446" spans="1:2" x14ac:dyDescent="0.25">
      <c r="A47446" s="118"/>
      <c r="B47446" s="136"/>
    </row>
    <row r="47447" spans="1:2" x14ac:dyDescent="0.25">
      <c r="A47447" s="118"/>
      <c r="B47447" s="136"/>
    </row>
    <row r="47448" spans="1:2" x14ac:dyDescent="0.25">
      <c r="A47448" s="118"/>
      <c r="B47448" s="136"/>
    </row>
    <row r="47449" spans="1:2" x14ac:dyDescent="0.25">
      <c r="A47449" s="118"/>
      <c r="B47449" s="136"/>
    </row>
    <row r="47450" spans="1:2" x14ac:dyDescent="0.25">
      <c r="A47450" s="118"/>
      <c r="B47450" s="136"/>
    </row>
    <row r="47451" spans="1:2" x14ac:dyDescent="0.25">
      <c r="A47451" s="118"/>
      <c r="B47451" s="136"/>
    </row>
    <row r="47452" spans="1:2" x14ac:dyDescent="0.25">
      <c r="A47452" s="118"/>
      <c r="B47452" s="136"/>
    </row>
    <row r="47453" spans="1:2" x14ac:dyDescent="0.25">
      <c r="A47453" s="118"/>
      <c r="B47453" s="136"/>
    </row>
    <row r="47454" spans="1:2" x14ac:dyDescent="0.25">
      <c r="A47454" s="118"/>
      <c r="B47454" s="136"/>
    </row>
    <row r="47455" spans="1:2" x14ac:dyDescent="0.25">
      <c r="A47455" s="118"/>
      <c r="B47455" s="136"/>
    </row>
    <row r="47456" spans="1:2" x14ac:dyDescent="0.25">
      <c r="A47456" s="118"/>
      <c r="B47456" s="136"/>
    </row>
    <row r="47457" spans="1:2" x14ac:dyDescent="0.25">
      <c r="A47457" s="118"/>
      <c r="B47457" s="136"/>
    </row>
    <row r="47458" spans="1:2" x14ac:dyDescent="0.25">
      <c r="A47458" s="118"/>
      <c r="B47458" s="136"/>
    </row>
    <row r="47459" spans="1:2" x14ac:dyDescent="0.25">
      <c r="A47459" s="118"/>
      <c r="B47459" s="136"/>
    </row>
    <row r="47460" spans="1:2" x14ac:dyDescent="0.25">
      <c r="A47460" s="118"/>
      <c r="B47460" s="136"/>
    </row>
    <row r="47461" spans="1:2" x14ac:dyDescent="0.25">
      <c r="A47461" s="118"/>
      <c r="B47461" s="136"/>
    </row>
    <row r="47462" spans="1:2" x14ac:dyDescent="0.25">
      <c r="A47462" s="118"/>
      <c r="B47462" s="136"/>
    </row>
    <row r="47463" spans="1:2" x14ac:dyDescent="0.25">
      <c r="A47463" s="118"/>
      <c r="B47463" s="136"/>
    </row>
    <row r="47464" spans="1:2" x14ac:dyDescent="0.25">
      <c r="A47464" s="118"/>
      <c r="B47464" s="136"/>
    </row>
    <row r="47465" spans="1:2" x14ac:dyDescent="0.25">
      <c r="A47465" s="118"/>
      <c r="B47465" s="136"/>
    </row>
    <row r="47466" spans="1:2" x14ac:dyDescent="0.25">
      <c r="A47466" s="118"/>
      <c r="B47466" s="136"/>
    </row>
    <row r="47467" spans="1:2" x14ac:dyDescent="0.25">
      <c r="A47467" s="118"/>
      <c r="B47467" s="136"/>
    </row>
    <row r="47468" spans="1:2" x14ac:dyDescent="0.25">
      <c r="A47468" s="118"/>
      <c r="B47468" s="136"/>
    </row>
    <row r="47469" spans="1:2" x14ac:dyDescent="0.25">
      <c r="A47469" s="118"/>
      <c r="B47469" s="136"/>
    </row>
    <row r="47470" spans="1:2" x14ac:dyDescent="0.25">
      <c r="A47470" s="118"/>
      <c r="B47470" s="136"/>
    </row>
    <row r="47471" spans="1:2" x14ac:dyDescent="0.25">
      <c r="A47471" s="118"/>
      <c r="B47471" s="136"/>
    </row>
    <row r="47472" spans="1:2" x14ac:dyDescent="0.25">
      <c r="A47472" s="118"/>
      <c r="B47472" s="136"/>
    </row>
    <row r="47473" spans="1:2" x14ac:dyDescent="0.25">
      <c r="A47473" s="118"/>
      <c r="B47473" s="136"/>
    </row>
    <row r="47474" spans="1:2" x14ac:dyDescent="0.25">
      <c r="A47474" s="118"/>
      <c r="B47474" s="136"/>
    </row>
    <row r="47475" spans="1:2" x14ac:dyDescent="0.25">
      <c r="A47475" s="118"/>
      <c r="B47475" s="136"/>
    </row>
    <row r="47476" spans="1:2" x14ac:dyDescent="0.25">
      <c r="A47476" s="118"/>
      <c r="B47476" s="136"/>
    </row>
    <row r="47477" spans="1:2" x14ac:dyDescent="0.25">
      <c r="A47477" s="118"/>
      <c r="B47477" s="136"/>
    </row>
    <row r="47478" spans="1:2" x14ac:dyDescent="0.25">
      <c r="A47478" s="118"/>
      <c r="B47478" s="136"/>
    </row>
    <row r="47479" spans="1:2" x14ac:dyDescent="0.25">
      <c r="A47479" s="118"/>
      <c r="B47479" s="136"/>
    </row>
    <row r="47480" spans="1:2" x14ac:dyDescent="0.25">
      <c r="A47480" s="118"/>
      <c r="B47480" s="136"/>
    </row>
    <row r="47481" spans="1:2" x14ac:dyDescent="0.25">
      <c r="A47481" s="118"/>
      <c r="B47481" s="136"/>
    </row>
    <row r="47482" spans="1:2" x14ac:dyDescent="0.25">
      <c r="A47482" s="118"/>
      <c r="B47482" s="136"/>
    </row>
    <row r="47483" spans="1:2" x14ac:dyDescent="0.25">
      <c r="A47483" s="118"/>
      <c r="B47483" s="136"/>
    </row>
    <row r="47484" spans="1:2" x14ac:dyDescent="0.25">
      <c r="A47484" s="118"/>
      <c r="B47484" s="136"/>
    </row>
    <row r="47485" spans="1:2" x14ac:dyDescent="0.25">
      <c r="A47485" s="118"/>
      <c r="B47485" s="136"/>
    </row>
    <row r="47486" spans="1:2" x14ac:dyDescent="0.25">
      <c r="A47486" s="118"/>
      <c r="B47486" s="136"/>
    </row>
    <row r="47487" spans="1:2" x14ac:dyDescent="0.25">
      <c r="A47487" s="118"/>
      <c r="B47487" s="136"/>
    </row>
    <row r="47488" spans="1:2" x14ac:dyDescent="0.25">
      <c r="A47488" s="118"/>
      <c r="B47488" s="136"/>
    </row>
    <row r="47489" spans="1:2" x14ac:dyDescent="0.25">
      <c r="A47489" s="118"/>
      <c r="B47489" s="136"/>
    </row>
    <row r="47490" spans="1:2" x14ac:dyDescent="0.25">
      <c r="A47490" s="118"/>
      <c r="B47490" s="136"/>
    </row>
    <row r="47491" spans="1:2" x14ac:dyDescent="0.25">
      <c r="A47491" s="118"/>
      <c r="B47491" s="136"/>
    </row>
    <row r="47492" spans="1:2" x14ac:dyDescent="0.25">
      <c r="A47492" s="118"/>
      <c r="B47492" s="136"/>
    </row>
    <row r="47493" spans="1:2" x14ac:dyDescent="0.25">
      <c r="A47493" s="118"/>
      <c r="B47493" s="136"/>
    </row>
    <row r="47494" spans="1:2" x14ac:dyDescent="0.25">
      <c r="A47494" s="118"/>
      <c r="B47494" s="136"/>
    </row>
    <row r="47495" spans="1:2" x14ac:dyDescent="0.25">
      <c r="A47495" s="118"/>
      <c r="B47495" s="136"/>
    </row>
    <row r="47496" spans="1:2" x14ac:dyDescent="0.25">
      <c r="A47496" s="118"/>
      <c r="B47496" s="136"/>
    </row>
    <row r="47497" spans="1:2" x14ac:dyDescent="0.25">
      <c r="A47497" s="118"/>
      <c r="B47497" s="136"/>
    </row>
    <row r="47498" spans="1:2" x14ac:dyDescent="0.25">
      <c r="A47498" s="118"/>
      <c r="B47498" s="136"/>
    </row>
    <row r="47499" spans="1:2" x14ac:dyDescent="0.25">
      <c r="A47499" s="118"/>
      <c r="B47499" s="136"/>
    </row>
    <row r="47500" spans="1:2" x14ac:dyDescent="0.25">
      <c r="A47500" s="118"/>
      <c r="B47500" s="136"/>
    </row>
    <row r="47501" spans="1:2" x14ac:dyDescent="0.25">
      <c r="A47501" s="118"/>
      <c r="B47501" s="136"/>
    </row>
    <row r="47502" spans="1:2" x14ac:dyDescent="0.25">
      <c r="A47502" s="118"/>
      <c r="B47502" s="136"/>
    </row>
    <row r="47503" spans="1:2" x14ac:dyDescent="0.25">
      <c r="A47503" s="118"/>
      <c r="B47503" s="136"/>
    </row>
    <row r="47504" spans="1:2" x14ac:dyDescent="0.25">
      <c r="A47504" s="118"/>
      <c r="B47504" s="136"/>
    </row>
    <row r="47505" spans="1:2" x14ac:dyDescent="0.25">
      <c r="A47505" s="118"/>
      <c r="B47505" s="136"/>
    </row>
    <row r="47506" spans="1:2" x14ac:dyDescent="0.25">
      <c r="A47506" s="118"/>
      <c r="B47506" s="136"/>
    </row>
    <row r="47507" spans="1:2" x14ac:dyDescent="0.25">
      <c r="A47507" s="118"/>
      <c r="B47507" s="136"/>
    </row>
    <row r="47508" spans="1:2" x14ac:dyDescent="0.25">
      <c r="A47508" s="118"/>
      <c r="B47508" s="136"/>
    </row>
    <row r="47509" spans="1:2" x14ac:dyDescent="0.25">
      <c r="A47509" s="118"/>
      <c r="B47509" s="136"/>
    </row>
    <row r="47510" spans="1:2" x14ac:dyDescent="0.25">
      <c r="A47510" s="118"/>
      <c r="B47510" s="136"/>
    </row>
    <row r="47511" spans="1:2" x14ac:dyDescent="0.25">
      <c r="A47511" s="118"/>
      <c r="B47511" s="136"/>
    </row>
    <row r="47512" spans="1:2" x14ac:dyDescent="0.25">
      <c r="A47512" s="118"/>
      <c r="B47512" s="136"/>
    </row>
    <row r="47513" spans="1:2" x14ac:dyDescent="0.25">
      <c r="A47513" s="118"/>
      <c r="B47513" s="136"/>
    </row>
    <row r="47514" spans="1:2" x14ac:dyDescent="0.25">
      <c r="A47514" s="118"/>
      <c r="B47514" s="136"/>
    </row>
    <row r="47515" spans="1:2" x14ac:dyDescent="0.25">
      <c r="A47515" s="118"/>
      <c r="B47515" s="136"/>
    </row>
    <row r="47516" spans="1:2" x14ac:dyDescent="0.25">
      <c r="A47516" s="118"/>
      <c r="B47516" s="136"/>
    </row>
    <row r="47517" spans="1:2" x14ac:dyDescent="0.25">
      <c r="A47517" s="118"/>
      <c r="B47517" s="136"/>
    </row>
    <row r="47518" spans="1:2" x14ac:dyDescent="0.25">
      <c r="A47518" s="118"/>
      <c r="B47518" s="136"/>
    </row>
    <row r="47519" spans="1:2" x14ac:dyDescent="0.25">
      <c r="A47519" s="118"/>
      <c r="B47519" s="136"/>
    </row>
    <row r="47520" spans="1:2" x14ac:dyDescent="0.25">
      <c r="A47520" s="118"/>
      <c r="B47520" s="136"/>
    </row>
    <row r="47521" spans="1:2" x14ac:dyDescent="0.25">
      <c r="A47521" s="118"/>
      <c r="B47521" s="136"/>
    </row>
    <row r="47522" spans="1:2" x14ac:dyDescent="0.25">
      <c r="A47522" s="118"/>
      <c r="B47522" s="136"/>
    </row>
    <row r="47523" spans="1:2" x14ac:dyDescent="0.25">
      <c r="A47523" s="118"/>
      <c r="B47523" s="136"/>
    </row>
    <row r="47524" spans="1:2" x14ac:dyDescent="0.25">
      <c r="A47524" s="118"/>
      <c r="B47524" s="136"/>
    </row>
    <row r="47525" spans="1:2" x14ac:dyDescent="0.25">
      <c r="A47525" s="118"/>
      <c r="B47525" s="136"/>
    </row>
    <row r="47526" spans="1:2" x14ac:dyDescent="0.25">
      <c r="A47526" s="118"/>
      <c r="B47526" s="136"/>
    </row>
    <row r="47527" spans="1:2" x14ac:dyDescent="0.25">
      <c r="A47527" s="118"/>
      <c r="B47527" s="136"/>
    </row>
    <row r="47528" spans="1:2" x14ac:dyDescent="0.25">
      <c r="A47528" s="118"/>
      <c r="B47528" s="136"/>
    </row>
    <row r="47529" spans="1:2" x14ac:dyDescent="0.25">
      <c r="A47529" s="118"/>
      <c r="B47529" s="136"/>
    </row>
    <row r="47530" spans="1:2" x14ac:dyDescent="0.25">
      <c r="A47530" s="118"/>
      <c r="B47530" s="136"/>
    </row>
    <row r="47531" spans="1:2" x14ac:dyDescent="0.25">
      <c r="A47531" s="118"/>
      <c r="B47531" s="136"/>
    </row>
    <row r="47532" spans="1:2" x14ac:dyDescent="0.25">
      <c r="A47532" s="118"/>
      <c r="B47532" s="136"/>
    </row>
    <row r="47533" spans="1:2" x14ac:dyDescent="0.25">
      <c r="A47533" s="118"/>
      <c r="B47533" s="136"/>
    </row>
    <row r="47534" spans="1:2" x14ac:dyDescent="0.25">
      <c r="A47534" s="118"/>
      <c r="B47534" s="136"/>
    </row>
    <row r="47535" spans="1:2" x14ac:dyDescent="0.25">
      <c r="A47535" s="118"/>
      <c r="B47535" s="136"/>
    </row>
    <row r="47536" spans="1:2" x14ac:dyDescent="0.25">
      <c r="A47536" s="118"/>
      <c r="B47536" s="136"/>
    </row>
    <row r="47537" spans="1:2" x14ac:dyDescent="0.25">
      <c r="A47537" s="118"/>
      <c r="B47537" s="136"/>
    </row>
    <row r="47538" spans="1:2" x14ac:dyDescent="0.25">
      <c r="A47538" s="118"/>
      <c r="B47538" s="136"/>
    </row>
    <row r="47539" spans="1:2" x14ac:dyDescent="0.25">
      <c r="A47539" s="118"/>
      <c r="B47539" s="136"/>
    </row>
    <row r="47540" spans="1:2" x14ac:dyDescent="0.25">
      <c r="A47540" s="118"/>
      <c r="B47540" s="136"/>
    </row>
    <row r="47541" spans="1:2" x14ac:dyDescent="0.25">
      <c r="A47541" s="118"/>
      <c r="B47541" s="136"/>
    </row>
    <row r="47542" spans="1:2" x14ac:dyDescent="0.25">
      <c r="A47542" s="118"/>
      <c r="B47542" s="136"/>
    </row>
    <row r="47543" spans="1:2" x14ac:dyDescent="0.25">
      <c r="A47543" s="118"/>
      <c r="B47543" s="136"/>
    </row>
    <row r="47544" spans="1:2" x14ac:dyDescent="0.25">
      <c r="A47544" s="118"/>
      <c r="B47544" s="136"/>
    </row>
    <row r="47545" spans="1:2" x14ac:dyDescent="0.25">
      <c r="A47545" s="118"/>
      <c r="B47545" s="136"/>
    </row>
    <row r="47546" spans="1:2" x14ac:dyDescent="0.25">
      <c r="A47546" s="118"/>
      <c r="B47546" s="136"/>
    </row>
    <row r="47547" spans="1:2" x14ac:dyDescent="0.25">
      <c r="A47547" s="118"/>
      <c r="B47547" s="136"/>
    </row>
    <row r="47548" spans="1:2" x14ac:dyDescent="0.25">
      <c r="A47548" s="118"/>
      <c r="B47548" s="136"/>
    </row>
    <row r="47549" spans="1:2" x14ac:dyDescent="0.25">
      <c r="A47549" s="118"/>
      <c r="B47549" s="136"/>
    </row>
    <row r="47550" spans="1:2" x14ac:dyDescent="0.25">
      <c r="A47550" s="118"/>
      <c r="B47550" s="136"/>
    </row>
    <row r="47551" spans="1:2" x14ac:dyDescent="0.25">
      <c r="A47551" s="118"/>
      <c r="B47551" s="136"/>
    </row>
    <row r="47552" spans="1:2" x14ac:dyDescent="0.25">
      <c r="A47552" s="118"/>
      <c r="B47552" s="136"/>
    </row>
    <row r="47553" spans="1:2" x14ac:dyDescent="0.25">
      <c r="A47553" s="118"/>
      <c r="B47553" s="136"/>
    </row>
    <row r="47554" spans="1:2" x14ac:dyDescent="0.25">
      <c r="A47554" s="118"/>
      <c r="B47554" s="136"/>
    </row>
    <row r="47555" spans="1:2" x14ac:dyDescent="0.25">
      <c r="A47555" s="118"/>
      <c r="B47555" s="136"/>
    </row>
    <row r="47556" spans="1:2" x14ac:dyDescent="0.25">
      <c r="A47556" s="118"/>
      <c r="B47556" s="136"/>
    </row>
    <row r="47557" spans="1:2" x14ac:dyDescent="0.25">
      <c r="A47557" s="118"/>
      <c r="B47557" s="136"/>
    </row>
    <row r="47558" spans="1:2" x14ac:dyDescent="0.25">
      <c r="A47558" s="118"/>
      <c r="B47558" s="136"/>
    </row>
    <row r="47559" spans="1:2" x14ac:dyDescent="0.25">
      <c r="A47559" s="118"/>
      <c r="B47559" s="136"/>
    </row>
    <row r="47560" spans="1:2" x14ac:dyDescent="0.25">
      <c r="A47560" s="118"/>
      <c r="B47560" s="136"/>
    </row>
    <row r="47561" spans="1:2" x14ac:dyDescent="0.25">
      <c r="A47561" s="118"/>
      <c r="B47561" s="136"/>
    </row>
    <row r="47562" spans="1:2" x14ac:dyDescent="0.25">
      <c r="A47562" s="118"/>
      <c r="B47562" s="136"/>
    </row>
    <row r="47563" spans="1:2" x14ac:dyDescent="0.25">
      <c r="A47563" s="118"/>
      <c r="B47563" s="136"/>
    </row>
    <row r="47564" spans="1:2" x14ac:dyDescent="0.25">
      <c r="A47564" s="118"/>
      <c r="B47564" s="136"/>
    </row>
    <row r="47565" spans="1:2" x14ac:dyDescent="0.25">
      <c r="A47565" s="118"/>
      <c r="B47565" s="136"/>
    </row>
    <row r="47566" spans="1:2" x14ac:dyDescent="0.25">
      <c r="A47566" s="118"/>
      <c r="B47566" s="136"/>
    </row>
    <row r="47567" spans="1:2" x14ac:dyDescent="0.25">
      <c r="A47567" s="118"/>
      <c r="B47567" s="136"/>
    </row>
    <row r="47568" spans="1:2" x14ac:dyDescent="0.25">
      <c r="A47568" s="118"/>
      <c r="B47568" s="136"/>
    </row>
    <row r="47569" spans="1:2" x14ac:dyDescent="0.25">
      <c r="A47569" s="118"/>
      <c r="B47569" s="136"/>
    </row>
    <row r="47570" spans="1:2" x14ac:dyDescent="0.25">
      <c r="A47570" s="118"/>
      <c r="B47570" s="136"/>
    </row>
    <row r="47571" spans="1:2" x14ac:dyDescent="0.25">
      <c r="A47571" s="118"/>
      <c r="B47571" s="136"/>
    </row>
    <row r="47572" spans="1:2" x14ac:dyDescent="0.25">
      <c r="A47572" s="118"/>
      <c r="B47572" s="136"/>
    </row>
    <row r="47573" spans="1:2" x14ac:dyDescent="0.25">
      <c r="A47573" s="118"/>
      <c r="B47573" s="136"/>
    </row>
    <row r="47574" spans="1:2" x14ac:dyDescent="0.25">
      <c r="A47574" s="118"/>
      <c r="B47574" s="136"/>
    </row>
    <row r="47575" spans="1:2" x14ac:dyDescent="0.25">
      <c r="A47575" s="118"/>
      <c r="B47575" s="136"/>
    </row>
    <row r="47576" spans="1:2" x14ac:dyDescent="0.25">
      <c r="A47576" s="118"/>
      <c r="B47576" s="136"/>
    </row>
    <row r="47577" spans="1:2" x14ac:dyDescent="0.25">
      <c r="A47577" s="118"/>
      <c r="B47577" s="136"/>
    </row>
    <row r="47578" spans="1:2" x14ac:dyDescent="0.25">
      <c r="A47578" s="118"/>
      <c r="B47578" s="136"/>
    </row>
    <row r="47579" spans="1:2" x14ac:dyDescent="0.25">
      <c r="A47579" s="118"/>
      <c r="B47579" s="136"/>
    </row>
    <row r="47580" spans="1:2" x14ac:dyDescent="0.25">
      <c r="A47580" s="118"/>
      <c r="B47580" s="136"/>
    </row>
    <row r="47581" spans="1:2" x14ac:dyDescent="0.25">
      <c r="A47581" s="118"/>
      <c r="B47581" s="136"/>
    </row>
    <row r="47582" spans="1:2" x14ac:dyDescent="0.25">
      <c r="A47582" s="118"/>
      <c r="B47582" s="136"/>
    </row>
    <row r="47583" spans="1:2" x14ac:dyDescent="0.25">
      <c r="A47583" s="118"/>
      <c r="B47583" s="136"/>
    </row>
    <row r="47584" spans="1:2" x14ac:dyDescent="0.25">
      <c r="A47584" s="118"/>
      <c r="B47584" s="136"/>
    </row>
    <row r="47585" spans="1:2" x14ac:dyDescent="0.25">
      <c r="A47585" s="118"/>
      <c r="B47585" s="136"/>
    </row>
    <row r="47586" spans="1:2" x14ac:dyDescent="0.25">
      <c r="A47586" s="118"/>
      <c r="B47586" s="136"/>
    </row>
    <row r="47587" spans="1:2" x14ac:dyDescent="0.25">
      <c r="A47587" s="118"/>
      <c r="B47587" s="136"/>
    </row>
    <row r="47588" spans="1:2" x14ac:dyDescent="0.25">
      <c r="A47588" s="118"/>
      <c r="B47588" s="136"/>
    </row>
    <row r="47589" spans="1:2" x14ac:dyDescent="0.25">
      <c r="A47589" s="118"/>
      <c r="B47589" s="136"/>
    </row>
    <row r="47590" spans="1:2" x14ac:dyDescent="0.25">
      <c r="A47590" s="118"/>
      <c r="B47590" s="136"/>
    </row>
    <row r="47591" spans="1:2" x14ac:dyDescent="0.25">
      <c r="A47591" s="118"/>
      <c r="B47591" s="136"/>
    </row>
    <row r="47592" spans="1:2" x14ac:dyDescent="0.25">
      <c r="A47592" s="118"/>
      <c r="B47592" s="136"/>
    </row>
    <row r="47593" spans="1:2" x14ac:dyDescent="0.25">
      <c r="A47593" s="118"/>
      <c r="B47593" s="136"/>
    </row>
    <row r="47594" spans="1:2" x14ac:dyDescent="0.25">
      <c r="A47594" s="118"/>
      <c r="B47594" s="136"/>
    </row>
    <row r="47595" spans="1:2" x14ac:dyDescent="0.25">
      <c r="A47595" s="118"/>
      <c r="B47595" s="136"/>
    </row>
    <row r="47596" spans="1:2" x14ac:dyDescent="0.25">
      <c r="A47596" s="118"/>
      <c r="B47596" s="136"/>
    </row>
    <row r="47597" spans="1:2" x14ac:dyDescent="0.25">
      <c r="A47597" s="118"/>
      <c r="B47597" s="136"/>
    </row>
    <row r="47598" spans="1:2" x14ac:dyDescent="0.25">
      <c r="A47598" s="118"/>
      <c r="B47598" s="136"/>
    </row>
    <row r="47599" spans="1:2" x14ac:dyDescent="0.25">
      <c r="A47599" s="118"/>
      <c r="B47599" s="136"/>
    </row>
    <row r="47600" spans="1:2" x14ac:dyDescent="0.25">
      <c r="A47600" s="118"/>
      <c r="B47600" s="136"/>
    </row>
    <row r="47601" spans="1:2" x14ac:dyDescent="0.25">
      <c r="A47601" s="118"/>
      <c r="B47601" s="136"/>
    </row>
    <row r="47602" spans="1:2" x14ac:dyDescent="0.25">
      <c r="A47602" s="118"/>
      <c r="B47602" s="136"/>
    </row>
    <row r="47603" spans="1:2" x14ac:dyDescent="0.25">
      <c r="A47603" s="118"/>
      <c r="B47603" s="136"/>
    </row>
    <row r="47604" spans="1:2" x14ac:dyDescent="0.25">
      <c r="A47604" s="118"/>
      <c r="B47604" s="136"/>
    </row>
    <row r="47605" spans="1:2" x14ac:dyDescent="0.25">
      <c r="A47605" s="118"/>
      <c r="B47605" s="136"/>
    </row>
    <row r="47606" spans="1:2" x14ac:dyDescent="0.25">
      <c r="A47606" s="118"/>
      <c r="B47606" s="136"/>
    </row>
    <row r="47607" spans="1:2" x14ac:dyDescent="0.25">
      <c r="A47607" s="118"/>
      <c r="B47607" s="136"/>
    </row>
    <row r="47608" spans="1:2" x14ac:dyDescent="0.25">
      <c r="A47608" s="118"/>
      <c r="B47608" s="136"/>
    </row>
    <row r="47609" spans="1:2" x14ac:dyDescent="0.25">
      <c r="A47609" s="118"/>
      <c r="B47609" s="136"/>
    </row>
    <row r="47610" spans="1:2" x14ac:dyDescent="0.25">
      <c r="A47610" s="118"/>
      <c r="B47610" s="136"/>
    </row>
    <row r="47611" spans="1:2" x14ac:dyDescent="0.25">
      <c r="A47611" s="118"/>
      <c r="B47611" s="136"/>
    </row>
    <row r="47612" spans="1:2" x14ac:dyDescent="0.25">
      <c r="A47612" s="118"/>
      <c r="B47612" s="136"/>
    </row>
    <row r="47613" spans="1:2" x14ac:dyDescent="0.25">
      <c r="A47613" s="118"/>
      <c r="B47613" s="136"/>
    </row>
    <row r="47614" spans="1:2" x14ac:dyDescent="0.25">
      <c r="A47614" s="118"/>
      <c r="B47614" s="136"/>
    </row>
    <row r="47615" spans="1:2" x14ac:dyDescent="0.25">
      <c r="A47615" s="118"/>
      <c r="B47615" s="136"/>
    </row>
    <row r="47616" spans="1:2" x14ac:dyDescent="0.25">
      <c r="A47616" s="118"/>
      <c r="B47616" s="136"/>
    </row>
    <row r="47617" spans="1:2" x14ac:dyDescent="0.25">
      <c r="A47617" s="118"/>
      <c r="B47617" s="136"/>
    </row>
    <row r="47618" spans="1:2" x14ac:dyDescent="0.25">
      <c r="A47618" s="118"/>
      <c r="B47618" s="136"/>
    </row>
    <row r="47619" spans="1:2" x14ac:dyDescent="0.25">
      <c r="A47619" s="118"/>
      <c r="B47619" s="136"/>
    </row>
    <row r="47620" spans="1:2" x14ac:dyDescent="0.25">
      <c r="A47620" s="118"/>
      <c r="B47620" s="136"/>
    </row>
    <row r="47621" spans="1:2" x14ac:dyDescent="0.25">
      <c r="A47621" s="118"/>
      <c r="B47621" s="136"/>
    </row>
    <row r="47622" spans="1:2" x14ac:dyDescent="0.25">
      <c r="A47622" s="118"/>
      <c r="B47622" s="136"/>
    </row>
    <row r="47623" spans="1:2" x14ac:dyDescent="0.25">
      <c r="A47623" s="118"/>
      <c r="B47623" s="136"/>
    </row>
    <row r="47624" spans="1:2" x14ac:dyDescent="0.25">
      <c r="A47624" s="118"/>
      <c r="B47624" s="136"/>
    </row>
    <row r="47625" spans="1:2" x14ac:dyDescent="0.25">
      <c r="A47625" s="118"/>
      <c r="B47625" s="136"/>
    </row>
    <row r="47626" spans="1:2" x14ac:dyDescent="0.25">
      <c r="A47626" s="118"/>
      <c r="B47626" s="136"/>
    </row>
    <row r="47627" spans="1:2" x14ac:dyDescent="0.25">
      <c r="A47627" s="118"/>
      <c r="B47627" s="136"/>
    </row>
    <row r="47628" spans="1:2" x14ac:dyDescent="0.25">
      <c r="A47628" s="118"/>
      <c r="B47628" s="136"/>
    </row>
    <row r="47629" spans="1:2" x14ac:dyDescent="0.25">
      <c r="A47629" s="118"/>
      <c r="B47629" s="136"/>
    </row>
    <row r="47630" spans="1:2" x14ac:dyDescent="0.25">
      <c r="A47630" s="118"/>
      <c r="B47630" s="136"/>
    </row>
    <row r="47631" spans="1:2" x14ac:dyDescent="0.25">
      <c r="A47631" s="118"/>
      <c r="B47631" s="136"/>
    </row>
    <row r="47632" spans="1:2" x14ac:dyDescent="0.25">
      <c r="A47632" s="118"/>
      <c r="B47632" s="136"/>
    </row>
    <row r="47633" spans="1:2" x14ac:dyDescent="0.25">
      <c r="A47633" s="118"/>
      <c r="B47633" s="136"/>
    </row>
    <row r="47634" spans="1:2" x14ac:dyDescent="0.25">
      <c r="A47634" s="118"/>
      <c r="B47634" s="136"/>
    </row>
    <row r="47635" spans="1:2" x14ac:dyDescent="0.25">
      <c r="A47635" s="118"/>
      <c r="B47635" s="136"/>
    </row>
    <row r="47636" spans="1:2" x14ac:dyDescent="0.25">
      <c r="A47636" s="118"/>
      <c r="B47636" s="136"/>
    </row>
    <row r="47637" spans="1:2" x14ac:dyDescent="0.25">
      <c r="A47637" s="118"/>
      <c r="B47637" s="136"/>
    </row>
    <row r="47638" spans="1:2" x14ac:dyDescent="0.25">
      <c r="A47638" s="118"/>
      <c r="B47638" s="136"/>
    </row>
    <row r="47639" spans="1:2" x14ac:dyDescent="0.25">
      <c r="A47639" s="118"/>
      <c r="B47639" s="136"/>
    </row>
    <row r="47640" spans="1:2" x14ac:dyDescent="0.25">
      <c r="A47640" s="118"/>
      <c r="B47640" s="136"/>
    </row>
    <row r="47641" spans="1:2" x14ac:dyDescent="0.25">
      <c r="A47641" s="118"/>
      <c r="B47641" s="136"/>
    </row>
    <row r="47642" spans="1:2" x14ac:dyDescent="0.25">
      <c r="A47642" s="118"/>
      <c r="B47642" s="136"/>
    </row>
    <row r="47643" spans="1:2" x14ac:dyDescent="0.25">
      <c r="A47643" s="118"/>
      <c r="B47643" s="136"/>
    </row>
    <row r="47644" spans="1:2" x14ac:dyDescent="0.25">
      <c r="A47644" s="118"/>
      <c r="B47644" s="136"/>
    </row>
    <row r="47645" spans="1:2" x14ac:dyDescent="0.25">
      <c r="A47645" s="118"/>
      <c r="B47645" s="136"/>
    </row>
    <row r="47646" spans="1:2" x14ac:dyDescent="0.25">
      <c r="A47646" s="118"/>
      <c r="B47646" s="136"/>
    </row>
    <row r="47647" spans="1:2" x14ac:dyDescent="0.25">
      <c r="A47647" s="118"/>
      <c r="B47647" s="136"/>
    </row>
    <row r="47648" spans="1:2" x14ac:dyDescent="0.25">
      <c r="A47648" s="118"/>
      <c r="B47648" s="136"/>
    </row>
    <row r="47649" spans="1:2" x14ac:dyDescent="0.25">
      <c r="A47649" s="118"/>
      <c r="B47649" s="136"/>
    </row>
    <row r="47650" spans="1:2" x14ac:dyDescent="0.25">
      <c r="A47650" s="118"/>
      <c r="B47650" s="136"/>
    </row>
    <row r="47651" spans="1:2" x14ac:dyDescent="0.25">
      <c r="A47651" s="118"/>
      <c r="B47651" s="136"/>
    </row>
    <row r="47652" spans="1:2" x14ac:dyDescent="0.25">
      <c r="A47652" s="118"/>
      <c r="B47652" s="136"/>
    </row>
    <row r="47653" spans="1:2" x14ac:dyDescent="0.25">
      <c r="A47653" s="118"/>
      <c r="B47653" s="136"/>
    </row>
    <row r="47654" spans="1:2" x14ac:dyDescent="0.25">
      <c r="A47654" s="118"/>
      <c r="B47654" s="136"/>
    </row>
    <row r="47655" spans="1:2" x14ac:dyDescent="0.25">
      <c r="A47655" s="118"/>
      <c r="B47655" s="136"/>
    </row>
    <row r="47656" spans="1:2" x14ac:dyDescent="0.25">
      <c r="A47656" s="118"/>
      <c r="B47656" s="136"/>
    </row>
    <row r="47657" spans="1:2" x14ac:dyDescent="0.25">
      <c r="A47657" s="118"/>
      <c r="B47657" s="136"/>
    </row>
    <row r="47658" spans="1:2" x14ac:dyDescent="0.25">
      <c r="A47658" s="118"/>
      <c r="B47658" s="136"/>
    </row>
    <row r="47659" spans="1:2" x14ac:dyDescent="0.25">
      <c r="A47659" s="118"/>
      <c r="B47659" s="136"/>
    </row>
    <row r="47660" spans="1:2" x14ac:dyDescent="0.25">
      <c r="A47660" s="118"/>
      <c r="B47660" s="136"/>
    </row>
    <row r="47661" spans="1:2" x14ac:dyDescent="0.25">
      <c r="A47661" s="118"/>
      <c r="B47661" s="136"/>
    </row>
    <row r="47662" spans="1:2" x14ac:dyDescent="0.25">
      <c r="A47662" s="118"/>
      <c r="B47662" s="136"/>
    </row>
    <row r="47663" spans="1:2" x14ac:dyDescent="0.25">
      <c r="A47663" s="118"/>
      <c r="B47663" s="136"/>
    </row>
    <row r="47664" spans="1:2" x14ac:dyDescent="0.25">
      <c r="A47664" s="118"/>
      <c r="B47664" s="136"/>
    </row>
    <row r="47665" spans="1:2" x14ac:dyDescent="0.25">
      <c r="A47665" s="118"/>
      <c r="B47665" s="136"/>
    </row>
    <row r="47666" spans="1:2" x14ac:dyDescent="0.25">
      <c r="A47666" s="118"/>
      <c r="B47666" s="136"/>
    </row>
    <row r="47667" spans="1:2" x14ac:dyDescent="0.25">
      <c r="A47667" s="118"/>
      <c r="B47667" s="136"/>
    </row>
    <row r="47668" spans="1:2" x14ac:dyDescent="0.25">
      <c r="A47668" s="118"/>
      <c r="B47668" s="136"/>
    </row>
    <row r="47669" spans="1:2" x14ac:dyDescent="0.25">
      <c r="A47669" s="118"/>
      <c r="B47669" s="136"/>
    </row>
    <row r="47670" spans="1:2" x14ac:dyDescent="0.25">
      <c r="A47670" s="118"/>
      <c r="B47670" s="136"/>
    </row>
    <row r="47671" spans="1:2" x14ac:dyDescent="0.25">
      <c r="A47671" s="118"/>
      <c r="B47671" s="136"/>
    </row>
    <row r="47672" spans="1:2" x14ac:dyDescent="0.25">
      <c r="A47672" s="118"/>
      <c r="B47672" s="136"/>
    </row>
    <row r="47673" spans="1:2" x14ac:dyDescent="0.25">
      <c r="A47673" s="118"/>
      <c r="B47673" s="136"/>
    </row>
    <row r="47674" spans="1:2" x14ac:dyDescent="0.25">
      <c r="A47674" s="118"/>
      <c r="B47674" s="136"/>
    </row>
    <row r="47675" spans="1:2" x14ac:dyDescent="0.25">
      <c r="A47675" s="118"/>
      <c r="B47675" s="136"/>
    </row>
    <row r="47676" spans="1:2" x14ac:dyDescent="0.25">
      <c r="A47676" s="118"/>
      <c r="B47676" s="136"/>
    </row>
    <row r="47677" spans="1:2" x14ac:dyDescent="0.25">
      <c r="A47677" s="118"/>
      <c r="B47677" s="136"/>
    </row>
    <row r="47678" spans="1:2" x14ac:dyDescent="0.25">
      <c r="A47678" s="118"/>
      <c r="B47678" s="136"/>
    </row>
    <row r="47679" spans="1:2" x14ac:dyDescent="0.25">
      <c r="A47679" s="118"/>
      <c r="B47679" s="136"/>
    </row>
    <row r="47680" spans="1:2" x14ac:dyDescent="0.25">
      <c r="A47680" s="118"/>
      <c r="B47680" s="136"/>
    </row>
    <row r="47681" spans="1:2" x14ac:dyDescent="0.25">
      <c r="A47681" s="118"/>
      <c r="B47681" s="136"/>
    </row>
    <row r="47682" spans="1:2" x14ac:dyDescent="0.25">
      <c r="A47682" s="118"/>
      <c r="B47682" s="136"/>
    </row>
    <row r="47683" spans="1:2" x14ac:dyDescent="0.25">
      <c r="A47683" s="118"/>
      <c r="B47683" s="136"/>
    </row>
    <row r="47684" spans="1:2" x14ac:dyDescent="0.25">
      <c r="A47684" s="118"/>
      <c r="B47684" s="136"/>
    </row>
    <row r="47685" spans="1:2" x14ac:dyDescent="0.25">
      <c r="A47685" s="118"/>
      <c r="B47685" s="136"/>
    </row>
    <row r="47686" spans="1:2" x14ac:dyDescent="0.25">
      <c r="A47686" s="118"/>
      <c r="B47686" s="136"/>
    </row>
    <row r="47687" spans="1:2" x14ac:dyDescent="0.25">
      <c r="A47687" s="118"/>
      <c r="B47687" s="136"/>
    </row>
    <row r="47688" spans="1:2" x14ac:dyDescent="0.25">
      <c r="A47688" s="118"/>
      <c r="B47688" s="136"/>
    </row>
    <row r="47689" spans="1:2" x14ac:dyDescent="0.25">
      <c r="A47689" s="118"/>
      <c r="B47689" s="136"/>
    </row>
    <row r="47690" spans="1:2" x14ac:dyDescent="0.25">
      <c r="A47690" s="118"/>
      <c r="B47690" s="136"/>
    </row>
    <row r="47691" spans="1:2" x14ac:dyDescent="0.25">
      <c r="A47691" s="118"/>
      <c r="B47691" s="136"/>
    </row>
    <row r="47692" spans="1:2" x14ac:dyDescent="0.25">
      <c r="A47692" s="118"/>
      <c r="B47692" s="136"/>
    </row>
    <row r="47693" spans="1:2" x14ac:dyDescent="0.25">
      <c r="A47693" s="118"/>
      <c r="B47693" s="136"/>
    </row>
    <row r="47694" spans="1:2" x14ac:dyDescent="0.25">
      <c r="A47694" s="118"/>
      <c r="B47694" s="136"/>
    </row>
    <row r="47695" spans="1:2" x14ac:dyDescent="0.25">
      <c r="A47695" s="118"/>
      <c r="B47695" s="136"/>
    </row>
    <row r="47696" spans="1:2" x14ac:dyDescent="0.25">
      <c r="A47696" s="118"/>
      <c r="B47696" s="136"/>
    </row>
    <row r="47697" spans="1:2" x14ac:dyDescent="0.25">
      <c r="A47697" s="118"/>
      <c r="B47697" s="136"/>
    </row>
    <row r="47698" spans="1:2" x14ac:dyDescent="0.25">
      <c r="A47698" s="118"/>
      <c r="B47698" s="136"/>
    </row>
    <row r="47699" spans="1:2" x14ac:dyDescent="0.25">
      <c r="A47699" s="118"/>
      <c r="B47699" s="136"/>
    </row>
    <row r="47700" spans="1:2" x14ac:dyDescent="0.25">
      <c r="A47700" s="118"/>
      <c r="B47700" s="136"/>
    </row>
    <row r="47701" spans="1:2" x14ac:dyDescent="0.25">
      <c r="A47701" s="118"/>
      <c r="B47701" s="136"/>
    </row>
    <row r="47702" spans="1:2" x14ac:dyDescent="0.25">
      <c r="A47702" s="118"/>
      <c r="B47702" s="136"/>
    </row>
    <row r="47703" spans="1:2" x14ac:dyDescent="0.25">
      <c r="A47703" s="118"/>
      <c r="B47703" s="136"/>
    </row>
    <row r="47704" spans="1:2" x14ac:dyDescent="0.25">
      <c r="A47704" s="118"/>
      <c r="B47704" s="136"/>
    </row>
    <row r="47705" spans="1:2" x14ac:dyDescent="0.25">
      <c r="A47705" s="118"/>
      <c r="B47705" s="136"/>
    </row>
    <row r="47706" spans="1:2" x14ac:dyDescent="0.25">
      <c r="A47706" s="118"/>
      <c r="B47706" s="136"/>
    </row>
    <row r="47707" spans="1:2" x14ac:dyDescent="0.25">
      <c r="A47707" s="118"/>
      <c r="B47707" s="136"/>
    </row>
    <row r="47708" spans="1:2" x14ac:dyDescent="0.25">
      <c r="A47708" s="118"/>
      <c r="B47708" s="136"/>
    </row>
    <row r="47709" spans="1:2" x14ac:dyDescent="0.25">
      <c r="A47709" s="118"/>
      <c r="B47709" s="136"/>
    </row>
    <row r="47710" spans="1:2" x14ac:dyDescent="0.25">
      <c r="A47710" s="118"/>
      <c r="B47710" s="136"/>
    </row>
    <row r="47711" spans="1:2" x14ac:dyDescent="0.25">
      <c r="A47711" s="118"/>
      <c r="B47711" s="136"/>
    </row>
    <row r="47712" spans="1:2" x14ac:dyDescent="0.25">
      <c r="A47712" s="118"/>
      <c r="B47712" s="136"/>
    </row>
    <row r="47713" spans="1:2" x14ac:dyDescent="0.25">
      <c r="A47713" s="118"/>
      <c r="B47713" s="136"/>
    </row>
    <row r="47714" spans="1:2" x14ac:dyDescent="0.25">
      <c r="A47714" s="118"/>
      <c r="B47714" s="136"/>
    </row>
    <row r="47715" spans="1:2" x14ac:dyDescent="0.25">
      <c r="A47715" s="118"/>
      <c r="B47715" s="136"/>
    </row>
    <row r="47716" spans="1:2" x14ac:dyDescent="0.25">
      <c r="A47716" s="118"/>
      <c r="B47716" s="136"/>
    </row>
    <row r="47717" spans="1:2" x14ac:dyDescent="0.25">
      <c r="A47717" s="118"/>
      <c r="B47717" s="136"/>
    </row>
    <row r="47718" spans="1:2" x14ac:dyDescent="0.25">
      <c r="A47718" s="118"/>
      <c r="B47718" s="136"/>
    </row>
    <row r="47719" spans="1:2" x14ac:dyDescent="0.25">
      <c r="A47719" s="118"/>
      <c r="B47719" s="136"/>
    </row>
    <row r="47720" spans="1:2" x14ac:dyDescent="0.25">
      <c r="A47720" s="118"/>
      <c r="B47720" s="136"/>
    </row>
    <row r="47721" spans="1:2" x14ac:dyDescent="0.25">
      <c r="A47721" s="118"/>
      <c r="B47721" s="136"/>
    </row>
    <row r="47722" spans="1:2" x14ac:dyDescent="0.25">
      <c r="A47722" s="118"/>
      <c r="B47722" s="136"/>
    </row>
    <row r="47723" spans="1:2" x14ac:dyDescent="0.25">
      <c r="A47723" s="118"/>
      <c r="B47723" s="136"/>
    </row>
    <row r="47724" spans="1:2" x14ac:dyDescent="0.25">
      <c r="A47724" s="118"/>
      <c r="B47724" s="136"/>
    </row>
    <row r="47725" spans="1:2" x14ac:dyDescent="0.25">
      <c r="A47725" s="118"/>
      <c r="B47725" s="136"/>
    </row>
    <row r="47726" spans="1:2" x14ac:dyDescent="0.25">
      <c r="A47726" s="118"/>
      <c r="B47726" s="136"/>
    </row>
    <row r="47727" spans="1:2" x14ac:dyDescent="0.25">
      <c r="A47727" s="118"/>
      <c r="B47727" s="136"/>
    </row>
    <row r="47728" spans="1:2" x14ac:dyDescent="0.25">
      <c r="A47728" s="118"/>
      <c r="B47728" s="136"/>
    </row>
    <row r="47729" spans="1:2" x14ac:dyDescent="0.25">
      <c r="A47729" s="118"/>
      <c r="B47729" s="136"/>
    </row>
    <row r="47730" spans="1:2" x14ac:dyDescent="0.25">
      <c r="A47730" s="118"/>
      <c r="B47730" s="136"/>
    </row>
    <row r="47731" spans="1:2" x14ac:dyDescent="0.25">
      <c r="A47731" s="118"/>
      <c r="B47731" s="136"/>
    </row>
    <row r="47732" spans="1:2" x14ac:dyDescent="0.25">
      <c r="A47732" s="118"/>
      <c r="B47732" s="136"/>
    </row>
    <row r="47733" spans="1:2" x14ac:dyDescent="0.25">
      <c r="A47733" s="118"/>
      <c r="B47733" s="136"/>
    </row>
    <row r="47734" spans="1:2" x14ac:dyDescent="0.25">
      <c r="A47734" s="118"/>
      <c r="B47734" s="136"/>
    </row>
    <row r="47735" spans="1:2" x14ac:dyDescent="0.25">
      <c r="A47735" s="118"/>
      <c r="B47735" s="136"/>
    </row>
    <row r="47736" spans="1:2" x14ac:dyDescent="0.25">
      <c r="A47736" s="118"/>
      <c r="B47736" s="136"/>
    </row>
    <row r="47737" spans="1:2" x14ac:dyDescent="0.25">
      <c r="A47737" s="118"/>
      <c r="B47737" s="136"/>
    </row>
    <row r="47738" spans="1:2" x14ac:dyDescent="0.25">
      <c r="A47738" s="118"/>
      <c r="B47738" s="136"/>
    </row>
    <row r="47739" spans="1:2" x14ac:dyDescent="0.25">
      <c r="A47739" s="118"/>
      <c r="B47739" s="136"/>
    </row>
    <row r="47740" spans="1:2" x14ac:dyDescent="0.25">
      <c r="A47740" s="118"/>
      <c r="B47740" s="136"/>
    </row>
    <row r="47741" spans="1:2" x14ac:dyDescent="0.25">
      <c r="A47741" s="118"/>
      <c r="B47741" s="136"/>
    </row>
    <row r="47742" spans="1:2" x14ac:dyDescent="0.25">
      <c r="A47742" s="118"/>
      <c r="B47742" s="136"/>
    </row>
    <row r="47743" spans="1:2" x14ac:dyDescent="0.25">
      <c r="A47743" s="118"/>
      <c r="B47743" s="136"/>
    </row>
    <row r="47744" spans="1:2" x14ac:dyDescent="0.25">
      <c r="A47744" s="118"/>
      <c r="B47744" s="136"/>
    </row>
    <row r="47745" spans="1:2" x14ac:dyDescent="0.25">
      <c r="A47745" s="118"/>
      <c r="B47745" s="136"/>
    </row>
    <row r="47746" spans="1:2" x14ac:dyDescent="0.25">
      <c r="A47746" s="118"/>
      <c r="B47746" s="136"/>
    </row>
    <row r="47747" spans="1:2" x14ac:dyDescent="0.25">
      <c r="A47747" s="118"/>
      <c r="B47747" s="136"/>
    </row>
    <row r="47748" spans="1:2" x14ac:dyDescent="0.25">
      <c r="A47748" s="118"/>
      <c r="B47748" s="136"/>
    </row>
    <row r="47749" spans="1:2" x14ac:dyDescent="0.25">
      <c r="A47749" s="118"/>
      <c r="B47749" s="136"/>
    </row>
    <row r="47750" spans="1:2" x14ac:dyDescent="0.25">
      <c r="A47750" s="118"/>
      <c r="B47750" s="136"/>
    </row>
    <row r="47751" spans="1:2" x14ac:dyDescent="0.25">
      <c r="A47751" s="118"/>
      <c r="B47751" s="136"/>
    </row>
    <row r="47752" spans="1:2" x14ac:dyDescent="0.25">
      <c r="A47752" s="118"/>
      <c r="B47752" s="136"/>
    </row>
    <row r="47753" spans="1:2" x14ac:dyDescent="0.25">
      <c r="A47753" s="118"/>
      <c r="B47753" s="136"/>
    </row>
    <row r="47754" spans="1:2" x14ac:dyDescent="0.25">
      <c r="A47754" s="118"/>
      <c r="B47754" s="136"/>
    </row>
    <row r="47755" spans="1:2" x14ac:dyDescent="0.25">
      <c r="A47755" s="118"/>
      <c r="B47755" s="136"/>
    </row>
    <row r="47756" spans="1:2" x14ac:dyDescent="0.25">
      <c r="A47756" s="118"/>
      <c r="B47756" s="136"/>
    </row>
    <row r="47757" spans="1:2" x14ac:dyDescent="0.25">
      <c r="A47757" s="118"/>
      <c r="B47757" s="136"/>
    </row>
    <row r="47758" spans="1:2" x14ac:dyDescent="0.25">
      <c r="A47758" s="118"/>
      <c r="B47758" s="136"/>
    </row>
    <row r="47759" spans="1:2" x14ac:dyDescent="0.25">
      <c r="A47759" s="118"/>
      <c r="B47759" s="136"/>
    </row>
    <row r="47760" spans="1:2" x14ac:dyDescent="0.25">
      <c r="A47760" s="118"/>
      <c r="B47760" s="136"/>
    </row>
    <row r="47761" spans="1:2" x14ac:dyDescent="0.25">
      <c r="A47761" s="118"/>
      <c r="B47761" s="136"/>
    </row>
    <row r="47762" spans="1:2" x14ac:dyDescent="0.25">
      <c r="A47762" s="118"/>
      <c r="B47762" s="136"/>
    </row>
    <row r="47763" spans="1:2" x14ac:dyDescent="0.25">
      <c r="A47763" s="118"/>
      <c r="B47763" s="136"/>
    </row>
    <row r="47764" spans="1:2" x14ac:dyDescent="0.25">
      <c r="A47764" s="118"/>
      <c r="B47764" s="136"/>
    </row>
    <row r="47765" spans="1:2" x14ac:dyDescent="0.25">
      <c r="A47765" s="118"/>
      <c r="B47765" s="136"/>
    </row>
    <row r="47766" spans="1:2" x14ac:dyDescent="0.25">
      <c r="A47766" s="118"/>
      <c r="B47766" s="136"/>
    </row>
    <row r="47767" spans="1:2" x14ac:dyDescent="0.25">
      <c r="A47767" s="118"/>
      <c r="B47767" s="136"/>
    </row>
    <row r="47768" spans="1:2" x14ac:dyDescent="0.25">
      <c r="A47768" s="118"/>
      <c r="B47768" s="136"/>
    </row>
    <row r="47769" spans="1:2" x14ac:dyDescent="0.25">
      <c r="A47769" s="118"/>
      <c r="B47769" s="136"/>
    </row>
    <row r="47770" spans="1:2" x14ac:dyDescent="0.25">
      <c r="A47770" s="118"/>
      <c r="B47770" s="136"/>
    </row>
    <row r="47771" spans="1:2" x14ac:dyDescent="0.25">
      <c r="A47771" s="118"/>
      <c r="B47771" s="136"/>
    </row>
    <row r="47772" spans="1:2" x14ac:dyDescent="0.25">
      <c r="A47772" s="118"/>
      <c r="B47772" s="136"/>
    </row>
    <row r="47773" spans="1:2" x14ac:dyDescent="0.25">
      <c r="A47773" s="118"/>
      <c r="B47773" s="136"/>
    </row>
    <row r="47774" spans="1:2" x14ac:dyDescent="0.25">
      <c r="A47774" s="118"/>
      <c r="B47774" s="136"/>
    </row>
    <row r="47775" spans="1:2" x14ac:dyDescent="0.25">
      <c r="A47775" s="118"/>
      <c r="B47775" s="136"/>
    </row>
    <row r="47776" spans="1:2" x14ac:dyDescent="0.25">
      <c r="A47776" s="118"/>
      <c r="B47776" s="136"/>
    </row>
    <row r="47777" spans="1:2" x14ac:dyDescent="0.25">
      <c r="A47777" s="118"/>
      <c r="B47777" s="136"/>
    </row>
    <row r="47778" spans="1:2" x14ac:dyDescent="0.25">
      <c r="A47778" s="118"/>
      <c r="B47778" s="136"/>
    </row>
    <row r="47779" spans="1:2" x14ac:dyDescent="0.25">
      <c r="A47779" s="118"/>
      <c r="B47779" s="136"/>
    </row>
    <row r="47780" spans="1:2" x14ac:dyDescent="0.25">
      <c r="A47780" s="118"/>
      <c r="B47780" s="136"/>
    </row>
    <row r="47781" spans="1:2" x14ac:dyDescent="0.25">
      <c r="A47781" s="118"/>
      <c r="B47781" s="136"/>
    </row>
    <row r="47782" spans="1:2" x14ac:dyDescent="0.25">
      <c r="A47782" s="118"/>
      <c r="B47782" s="136"/>
    </row>
    <row r="47783" spans="1:2" x14ac:dyDescent="0.25">
      <c r="A47783" s="118"/>
      <c r="B47783" s="136"/>
    </row>
    <row r="47784" spans="1:2" x14ac:dyDescent="0.25">
      <c r="A47784" s="118"/>
      <c r="B47784" s="136"/>
    </row>
    <row r="47785" spans="1:2" x14ac:dyDescent="0.25">
      <c r="A47785" s="118"/>
      <c r="B47785" s="136"/>
    </row>
    <row r="47786" spans="1:2" x14ac:dyDescent="0.25">
      <c r="A47786" s="118"/>
      <c r="B47786" s="136"/>
    </row>
    <row r="47787" spans="1:2" x14ac:dyDescent="0.25">
      <c r="A47787" s="118"/>
      <c r="B47787" s="136"/>
    </row>
    <row r="47788" spans="1:2" x14ac:dyDescent="0.25">
      <c r="A47788" s="118"/>
      <c r="B47788" s="136"/>
    </row>
    <row r="47789" spans="1:2" x14ac:dyDescent="0.25">
      <c r="A47789" s="118"/>
      <c r="B47789" s="136"/>
    </row>
    <row r="47790" spans="1:2" x14ac:dyDescent="0.25">
      <c r="A47790" s="118"/>
      <c r="B47790" s="136"/>
    </row>
    <row r="47791" spans="1:2" x14ac:dyDescent="0.25">
      <c r="A47791" s="118"/>
      <c r="B47791" s="136"/>
    </row>
    <row r="47792" spans="1:2" x14ac:dyDescent="0.25">
      <c r="A47792" s="118"/>
      <c r="B47792" s="136"/>
    </row>
    <row r="47793" spans="1:2" x14ac:dyDescent="0.25">
      <c r="A47793" s="118"/>
      <c r="B47793" s="136"/>
    </row>
    <row r="47794" spans="1:2" x14ac:dyDescent="0.25">
      <c r="A47794" s="118"/>
      <c r="B47794" s="136"/>
    </row>
    <row r="47795" spans="1:2" x14ac:dyDescent="0.25">
      <c r="A47795" s="118"/>
      <c r="B47795" s="136"/>
    </row>
    <row r="47796" spans="1:2" x14ac:dyDescent="0.25">
      <c r="A47796" s="118"/>
      <c r="B47796" s="136"/>
    </row>
    <row r="47797" spans="1:2" x14ac:dyDescent="0.25">
      <c r="A47797" s="118"/>
      <c r="B47797" s="136"/>
    </row>
    <row r="47798" spans="1:2" x14ac:dyDescent="0.25">
      <c r="A47798" s="118"/>
      <c r="B47798" s="136"/>
    </row>
    <row r="47799" spans="1:2" x14ac:dyDescent="0.25">
      <c r="A47799" s="118"/>
      <c r="B47799" s="136"/>
    </row>
    <row r="47800" spans="1:2" x14ac:dyDescent="0.25">
      <c r="A47800" s="118"/>
      <c r="B47800" s="136"/>
    </row>
    <row r="47801" spans="1:2" x14ac:dyDescent="0.25">
      <c r="A47801" s="118"/>
      <c r="B47801" s="136"/>
    </row>
    <row r="47802" spans="1:2" x14ac:dyDescent="0.25">
      <c r="A47802" s="118"/>
      <c r="B47802" s="136"/>
    </row>
    <row r="47803" spans="1:2" x14ac:dyDescent="0.25">
      <c r="A47803" s="118"/>
      <c r="B47803" s="136"/>
    </row>
    <row r="47804" spans="1:2" x14ac:dyDescent="0.25">
      <c r="A47804" s="118"/>
      <c r="B47804" s="136"/>
    </row>
    <row r="47805" spans="1:2" x14ac:dyDescent="0.25">
      <c r="A47805" s="118"/>
      <c r="B47805" s="136"/>
    </row>
    <row r="47806" spans="1:2" x14ac:dyDescent="0.25">
      <c r="A47806" s="118"/>
      <c r="B47806" s="136"/>
    </row>
    <row r="47807" spans="1:2" x14ac:dyDescent="0.25">
      <c r="A47807" s="118"/>
      <c r="B47807" s="136"/>
    </row>
    <row r="47808" spans="1:2" x14ac:dyDescent="0.25">
      <c r="A47808" s="118"/>
      <c r="B47808" s="136"/>
    </row>
    <row r="47809" spans="1:2" x14ac:dyDescent="0.25">
      <c r="A47809" s="118"/>
      <c r="B47809" s="136"/>
    </row>
    <row r="47810" spans="1:2" x14ac:dyDescent="0.25">
      <c r="A47810" s="118"/>
      <c r="B47810" s="136"/>
    </row>
    <row r="47811" spans="1:2" x14ac:dyDescent="0.25">
      <c r="A47811" s="118"/>
      <c r="B47811" s="136"/>
    </row>
    <row r="47812" spans="1:2" x14ac:dyDescent="0.25">
      <c r="A47812" s="118"/>
      <c r="B47812" s="136"/>
    </row>
    <row r="47813" spans="1:2" x14ac:dyDescent="0.25">
      <c r="A47813" s="118"/>
      <c r="B47813" s="136"/>
    </row>
    <row r="47814" spans="1:2" x14ac:dyDescent="0.25">
      <c r="A47814" s="118"/>
      <c r="B47814" s="136"/>
    </row>
    <row r="47815" spans="1:2" x14ac:dyDescent="0.25">
      <c r="A47815" s="118"/>
      <c r="B47815" s="136"/>
    </row>
    <row r="47816" spans="1:2" x14ac:dyDescent="0.25">
      <c r="A47816" s="118"/>
      <c r="B47816" s="136"/>
    </row>
    <row r="47817" spans="1:2" x14ac:dyDescent="0.25">
      <c r="A47817" s="118"/>
      <c r="B47817" s="136"/>
    </row>
    <row r="47818" spans="1:2" x14ac:dyDescent="0.25">
      <c r="A47818" s="118"/>
      <c r="B47818" s="136"/>
    </row>
    <row r="47819" spans="1:2" x14ac:dyDescent="0.25">
      <c r="A47819" s="118"/>
      <c r="B47819" s="136"/>
    </row>
    <row r="47820" spans="1:2" x14ac:dyDescent="0.25">
      <c r="A47820" s="118"/>
      <c r="B47820" s="136"/>
    </row>
    <row r="47821" spans="1:2" x14ac:dyDescent="0.25">
      <c r="A47821" s="118"/>
      <c r="B47821" s="136"/>
    </row>
    <row r="47822" spans="1:2" x14ac:dyDescent="0.25">
      <c r="A47822" s="118"/>
      <c r="B47822" s="136"/>
    </row>
    <row r="47823" spans="1:2" x14ac:dyDescent="0.25">
      <c r="A47823" s="118"/>
      <c r="B47823" s="136"/>
    </row>
    <row r="47824" spans="1:2" x14ac:dyDescent="0.25">
      <c r="A47824" s="118"/>
      <c r="B47824" s="136"/>
    </row>
    <row r="47825" spans="1:2" x14ac:dyDescent="0.25">
      <c r="A47825" s="118"/>
      <c r="B47825" s="136"/>
    </row>
    <row r="47826" spans="1:2" x14ac:dyDescent="0.25">
      <c r="A47826" s="118"/>
      <c r="B47826" s="136"/>
    </row>
    <row r="47827" spans="1:2" x14ac:dyDescent="0.25">
      <c r="A47827" s="118"/>
      <c r="B47827" s="136"/>
    </row>
    <row r="47828" spans="1:2" x14ac:dyDescent="0.25">
      <c r="A47828" s="118"/>
      <c r="B47828" s="136"/>
    </row>
    <row r="47829" spans="1:2" x14ac:dyDescent="0.25">
      <c r="A47829" s="118"/>
      <c r="B47829" s="136"/>
    </row>
    <row r="47830" spans="1:2" x14ac:dyDescent="0.25">
      <c r="A47830" s="118"/>
      <c r="B47830" s="136"/>
    </row>
    <row r="47831" spans="1:2" x14ac:dyDescent="0.25">
      <c r="A47831" s="118"/>
      <c r="B47831" s="136"/>
    </row>
    <row r="47832" spans="1:2" x14ac:dyDescent="0.25">
      <c r="A47832" s="118"/>
      <c r="B47832" s="136"/>
    </row>
    <row r="47833" spans="1:2" x14ac:dyDescent="0.25">
      <c r="A47833" s="118"/>
      <c r="B47833" s="136"/>
    </row>
    <row r="47834" spans="1:2" x14ac:dyDescent="0.25">
      <c r="A47834" s="118"/>
      <c r="B47834" s="136"/>
    </row>
    <row r="47835" spans="1:2" x14ac:dyDescent="0.25">
      <c r="A47835" s="118"/>
      <c r="B47835" s="136"/>
    </row>
    <row r="47836" spans="1:2" x14ac:dyDescent="0.25">
      <c r="A47836" s="118"/>
      <c r="B47836" s="136"/>
    </row>
    <row r="47837" spans="1:2" x14ac:dyDescent="0.25">
      <c r="A47837" s="118"/>
      <c r="B47837" s="136"/>
    </row>
    <row r="47838" spans="1:2" x14ac:dyDescent="0.25">
      <c r="A47838" s="118"/>
      <c r="B47838" s="136"/>
    </row>
    <row r="47839" spans="1:2" x14ac:dyDescent="0.25">
      <c r="A47839" s="118"/>
      <c r="B47839" s="136"/>
    </row>
    <row r="47840" spans="1:2" x14ac:dyDescent="0.25">
      <c r="A47840" s="118"/>
      <c r="B47840" s="136"/>
    </row>
    <row r="47841" spans="1:2" x14ac:dyDescent="0.25">
      <c r="A47841" s="118"/>
      <c r="B47841" s="136"/>
    </row>
    <row r="47842" spans="1:2" x14ac:dyDescent="0.25">
      <c r="A47842" s="118"/>
      <c r="B47842" s="136"/>
    </row>
    <row r="47843" spans="1:2" x14ac:dyDescent="0.25">
      <c r="A47843" s="118"/>
      <c r="B47843" s="136"/>
    </row>
    <row r="47844" spans="1:2" x14ac:dyDescent="0.25">
      <c r="A47844" s="118"/>
      <c r="B47844" s="136"/>
    </row>
    <row r="47845" spans="1:2" x14ac:dyDescent="0.25">
      <c r="A47845" s="118"/>
      <c r="B47845" s="136"/>
    </row>
    <row r="47846" spans="1:2" x14ac:dyDescent="0.25">
      <c r="A47846" s="118"/>
      <c r="B47846" s="136"/>
    </row>
    <row r="47847" spans="1:2" x14ac:dyDescent="0.25">
      <c r="A47847" s="118"/>
      <c r="B47847" s="136"/>
    </row>
    <row r="47848" spans="1:2" x14ac:dyDescent="0.25">
      <c r="A47848" s="118"/>
      <c r="B47848" s="136"/>
    </row>
    <row r="47849" spans="1:2" x14ac:dyDescent="0.25">
      <c r="A47849" s="118"/>
      <c r="B47849" s="136"/>
    </row>
    <row r="47850" spans="1:2" x14ac:dyDescent="0.25">
      <c r="A47850" s="118"/>
      <c r="B47850" s="136"/>
    </row>
    <row r="47851" spans="1:2" x14ac:dyDescent="0.25">
      <c r="A47851" s="118"/>
      <c r="B47851" s="136"/>
    </row>
    <row r="47852" spans="1:2" x14ac:dyDescent="0.25">
      <c r="A47852" s="118"/>
      <c r="B47852" s="136"/>
    </row>
    <row r="47853" spans="1:2" x14ac:dyDescent="0.25">
      <c r="A47853" s="118"/>
      <c r="B47853" s="136"/>
    </row>
    <row r="47854" spans="1:2" x14ac:dyDescent="0.25">
      <c r="A47854" s="118"/>
      <c r="B47854" s="136"/>
    </row>
    <row r="47855" spans="1:2" x14ac:dyDescent="0.25">
      <c r="A47855" s="118"/>
      <c r="B47855" s="136"/>
    </row>
    <row r="47856" spans="1:2" x14ac:dyDescent="0.25">
      <c r="A47856" s="118"/>
      <c r="B47856" s="136"/>
    </row>
    <row r="47857" spans="1:2" x14ac:dyDescent="0.25">
      <c r="A47857" s="118"/>
      <c r="B47857" s="136"/>
    </row>
    <row r="47858" spans="1:2" x14ac:dyDescent="0.25">
      <c r="A47858" s="118"/>
      <c r="B47858" s="136"/>
    </row>
    <row r="47859" spans="1:2" x14ac:dyDescent="0.25">
      <c r="A47859" s="118"/>
      <c r="B47859" s="136"/>
    </row>
    <row r="47860" spans="1:2" x14ac:dyDescent="0.25">
      <c r="A47860" s="118"/>
      <c r="B47860" s="136"/>
    </row>
    <row r="47861" spans="1:2" x14ac:dyDescent="0.25">
      <c r="A47861" s="118"/>
      <c r="B47861" s="136"/>
    </row>
    <row r="47862" spans="1:2" x14ac:dyDescent="0.25">
      <c r="A47862" s="118"/>
      <c r="B47862" s="136"/>
    </row>
    <row r="47863" spans="1:2" x14ac:dyDescent="0.25">
      <c r="A47863" s="118"/>
      <c r="B47863" s="136"/>
    </row>
    <row r="47864" spans="1:2" x14ac:dyDescent="0.25">
      <c r="A47864" s="118"/>
      <c r="B47864" s="136"/>
    </row>
    <row r="47865" spans="1:2" x14ac:dyDescent="0.25">
      <c r="A47865" s="118"/>
      <c r="B47865" s="136"/>
    </row>
    <row r="47866" spans="1:2" x14ac:dyDescent="0.25">
      <c r="A47866" s="118"/>
      <c r="B47866" s="136"/>
    </row>
    <row r="47867" spans="1:2" x14ac:dyDescent="0.25">
      <c r="A47867" s="118"/>
      <c r="B47867" s="136"/>
    </row>
    <row r="47868" spans="1:2" x14ac:dyDescent="0.25">
      <c r="A47868" s="118"/>
      <c r="B47868" s="136"/>
    </row>
    <row r="47869" spans="1:2" x14ac:dyDescent="0.25">
      <c r="A47869" s="118"/>
      <c r="B47869" s="136"/>
    </row>
    <row r="47870" spans="1:2" x14ac:dyDescent="0.25">
      <c r="A47870" s="118"/>
      <c r="B47870" s="136"/>
    </row>
    <row r="47871" spans="1:2" x14ac:dyDescent="0.25">
      <c r="A47871" s="118"/>
      <c r="B47871" s="136"/>
    </row>
    <row r="47872" spans="1:2" x14ac:dyDescent="0.25">
      <c r="A47872" s="118"/>
      <c r="B47872" s="136"/>
    </row>
    <row r="47873" spans="1:2" x14ac:dyDescent="0.25">
      <c r="A47873" s="118"/>
      <c r="B47873" s="136"/>
    </row>
    <row r="47874" spans="1:2" x14ac:dyDescent="0.25">
      <c r="A47874" s="118"/>
      <c r="B47874" s="136"/>
    </row>
    <row r="47875" spans="1:2" x14ac:dyDescent="0.25">
      <c r="A47875" s="118"/>
      <c r="B47875" s="136"/>
    </row>
    <row r="47876" spans="1:2" x14ac:dyDescent="0.25">
      <c r="A47876" s="118"/>
      <c r="B47876" s="136"/>
    </row>
    <row r="47877" spans="1:2" x14ac:dyDescent="0.25">
      <c r="A47877" s="118"/>
      <c r="B47877" s="136"/>
    </row>
    <row r="47878" spans="1:2" x14ac:dyDescent="0.25">
      <c r="A47878" s="118"/>
      <c r="B47878" s="136"/>
    </row>
    <row r="47879" spans="1:2" x14ac:dyDescent="0.25">
      <c r="A47879" s="118"/>
      <c r="B47879" s="136"/>
    </row>
    <row r="47880" spans="1:2" x14ac:dyDescent="0.25">
      <c r="A47880" s="118"/>
      <c r="B47880" s="136"/>
    </row>
    <row r="47881" spans="1:2" x14ac:dyDescent="0.25">
      <c r="A47881" s="118"/>
      <c r="B47881" s="136"/>
    </row>
    <row r="47882" spans="1:2" x14ac:dyDescent="0.25">
      <c r="A47882" s="118"/>
      <c r="B47882" s="136"/>
    </row>
    <row r="47883" spans="1:2" x14ac:dyDescent="0.25">
      <c r="A47883" s="118"/>
      <c r="B47883" s="136"/>
    </row>
    <row r="47884" spans="1:2" x14ac:dyDescent="0.25">
      <c r="A47884" s="118"/>
      <c r="B47884" s="136"/>
    </row>
    <row r="47885" spans="1:2" x14ac:dyDescent="0.25">
      <c r="A47885" s="118"/>
      <c r="B47885" s="136"/>
    </row>
    <row r="47886" spans="1:2" x14ac:dyDescent="0.25">
      <c r="A47886" s="118"/>
      <c r="B47886" s="136"/>
    </row>
    <row r="47887" spans="1:2" x14ac:dyDescent="0.25">
      <c r="A47887" s="118"/>
      <c r="B47887" s="136"/>
    </row>
    <row r="47888" spans="1:2" x14ac:dyDescent="0.25">
      <c r="A47888" s="118"/>
      <c r="B47888" s="136"/>
    </row>
    <row r="47889" spans="1:2" x14ac:dyDescent="0.25">
      <c r="A47889" s="118"/>
      <c r="B47889" s="136"/>
    </row>
    <row r="47890" spans="1:2" x14ac:dyDescent="0.25">
      <c r="A47890" s="118"/>
      <c r="B47890" s="136"/>
    </row>
    <row r="47891" spans="1:2" x14ac:dyDescent="0.25">
      <c r="A47891" s="118"/>
      <c r="B47891" s="136"/>
    </row>
    <row r="47892" spans="1:2" x14ac:dyDescent="0.25">
      <c r="A47892" s="118"/>
      <c r="B47892" s="136"/>
    </row>
    <row r="47893" spans="1:2" x14ac:dyDescent="0.25">
      <c r="A47893" s="118"/>
      <c r="B47893" s="136"/>
    </row>
    <row r="47894" spans="1:2" x14ac:dyDescent="0.25">
      <c r="A47894" s="118"/>
      <c r="B47894" s="136"/>
    </row>
    <row r="47895" spans="1:2" x14ac:dyDescent="0.25">
      <c r="A47895" s="118"/>
      <c r="B47895" s="136"/>
    </row>
    <row r="47896" spans="1:2" x14ac:dyDescent="0.25">
      <c r="A47896" s="118"/>
      <c r="B47896" s="136"/>
    </row>
    <row r="47897" spans="1:2" x14ac:dyDescent="0.25">
      <c r="A47897" s="118"/>
      <c r="B47897" s="136"/>
    </row>
    <row r="47898" spans="1:2" x14ac:dyDescent="0.25">
      <c r="A47898" s="118"/>
      <c r="B47898" s="136"/>
    </row>
    <row r="47899" spans="1:2" x14ac:dyDescent="0.25">
      <c r="A47899" s="118"/>
      <c r="B47899" s="136"/>
    </row>
    <row r="47900" spans="1:2" x14ac:dyDescent="0.25">
      <c r="A47900" s="118"/>
      <c r="B47900" s="136"/>
    </row>
    <row r="47901" spans="1:2" x14ac:dyDescent="0.25">
      <c r="A47901" s="118"/>
      <c r="B47901" s="136"/>
    </row>
    <row r="47902" spans="1:2" x14ac:dyDescent="0.25">
      <c r="A47902" s="118"/>
      <c r="B47902" s="136"/>
    </row>
    <row r="47903" spans="1:2" x14ac:dyDescent="0.25">
      <c r="A47903" s="118"/>
      <c r="B47903" s="136"/>
    </row>
    <row r="47904" spans="1:2" x14ac:dyDescent="0.25">
      <c r="A47904" s="118"/>
      <c r="B47904" s="136"/>
    </row>
    <row r="47905" spans="1:2" x14ac:dyDescent="0.25">
      <c r="A47905" s="118"/>
      <c r="B47905" s="136"/>
    </row>
    <row r="47906" spans="1:2" x14ac:dyDescent="0.25">
      <c r="A47906" s="118"/>
      <c r="B47906" s="136"/>
    </row>
    <row r="47907" spans="1:2" x14ac:dyDescent="0.25">
      <c r="A47907" s="118"/>
      <c r="B47907" s="136"/>
    </row>
    <row r="47908" spans="1:2" x14ac:dyDescent="0.25">
      <c r="A47908" s="118"/>
      <c r="B47908" s="136"/>
    </row>
    <row r="47909" spans="1:2" x14ac:dyDescent="0.25">
      <c r="A47909" s="118"/>
      <c r="B47909" s="136"/>
    </row>
    <row r="47910" spans="1:2" x14ac:dyDescent="0.25">
      <c r="A47910" s="118"/>
      <c r="B47910" s="136"/>
    </row>
    <row r="47911" spans="1:2" x14ac:dyDescent="0.25">
      <c r="A47911" s="118"/>
      <c r="B47911" s="136"/>
    </row>
    <row r="47912" spans="1:2" x14ac:dyDescent="0.25">
      <c r="A47912" s="118"/>
      <c r="B47912" s="136"/>
    </row>
    <row r="47913" spans="1:2" x14ac:dyDescent="0.25">
      <c r="A47913" s="118"/>
      <c r="B47913" s="136"/>
    </row>
    <row r="47914" spans="1:2" x14ac:dyDescent="0.25">
      <c r="A47914" s="118"/>
      <c r="B47914" s="136"/>
    </row>
    <row r="47915" spans="1:2" x14ac:dyDescent="0.25">
      <c r="A47915" s="118"/>
      <c r="B47915" s="136"/>
    </row>
    <row r="47916" spans="1:2" x14ac:dyDescent="0.25">
      <c r="A47916" s="118"/>
      <c r="B47916" s="136"/>
    </row>
    <row r="47917" spans="1:2" x14ac:dyDescent="0.25">
      <c r="A47917" s="118"/>
      <c r="B47917" s="136"/>
    </row>
    <row r="47918" spans="1:2" x14ac:dyDescent="0.25">
      <c r="A47918" s="118"/>
      <c r="B47918" s="136"/>
    </row>
    <row r="47919" spans="1:2" x14ac:dyDescent="0.25">
      <c r="A47919" s="118"/>
      <c r="B47919" s="136"/>
    </row>
    <row r="47920" spans="1:2" x14ac:dyDescent="0.25">
      <c r="A47920" s="118"/>
      <c r="B47920" s="136"/>
    </row>
    <row r="47921" spans="1:2" x14ac:dyDescent="0.25">
      <c r="A47921" s="118"/>
      <c r="B47921" s="136"/>
    </row>
    <row r="47922" spans="1:2" x14ac:dyDescent="0.25">
      <c r="A47922" s="118"/>
      <c r="B47922" s="136"/>
    </row>
    <row r="47923" spans="1:2" x14ac:dyDescent="0.25">
      <c r="A47923" s="118"/>
      <c r="B47923" s="136"/>
    </row>
    <row r="47924" spans="1:2" x14ac:dyDescent="0.25">
      <c r="A47924" s="118"/>
      <c r="B47924" s="136"/>
    </row>
    <row r="47925" spans="1:2" x14ac:dyDescent="0.25">
      <c r="A47925" s="118"/>
      <c r="B47925" s="136"/>
    </row>
    <row r="47926" spans="1:2" x14ac:dyDescent="0.25">
      <c r="A47926" s="118"/>
      <c r="B47926" s="136"/>
    </row>
    <row r="47927" spans="1:2" x14ac:dyDescent="0.25">
      <c r="A47927" s="118"/>
      <c r="B47927" s="136"/>
    </row>
    <row r="47928" spans="1:2" x14ac:dyDescent="0.25">
      <c r="A47928" s="118"/>
      <c r="B47928" s="136"/>
    </row>
    <row r="47929" spans="1:2" x14ac:dyDescent="0.25">
      <c r="A47929" s="118"/>
      <c r="B47929" s="136"/>
    </row>
    <row r="47930" spans="1:2" x14ac:dyDescent="0.25">
      <c r="A47930" s="118"/>
      <c r="B47930" s="136"/>
    </row>
    <row r="47931" spans="1:2" x14ac:dyDescent="0.25">
      <c r="A47931" s="118"/>
      <c r="B47931" s="136"/>
    </row>
    <row r="47932" spans="1:2" x14ac:dyDescent="0.25">
      <c r="A47932" s="118"/>
      <c r="B47932" s="136"/>
    </row>
    <row r="47933" spans="1:2" x14ac:dyDescent="0.25">
      <c r="A47933" s="118"/>
      <c r="B47933" s="136"/>
    </row>
    <row r="47934" spans="1:2" x14ac:dyDescent="0.25">
      <c r="A47934" s="118"/>
      <c r="B47934" s="136"/>
    </row>
    <row r="47935" spans="1:2" x14ac:dyDescent="0.25">
      <c r="A47935" s="118"/>
      <c r="B47935" s="136"/>
    </row>
    <row r="47936" spans="1:2" x14ac:dyDescent="0.25">
      <c r="A47936" s="118"/>
      <c r="B47936" s="136"/>
    </row>
    <row r="47937" spans="1:2" x14ac:dyDescent="0.25">
      <c r="A47937" s="118"/>
      <c r="B47937" s="136"/>
    </row>
    <row r="47938" spans="1:2" x14ac:dyDescent="0.25">
      <c r="A47938" s="118"/>
      <c r="B47938" s="136"/>
    </row>
    <row r="47939" spans="1:2" x14ac:dyDescent="0.25">
      <c r="A47939" s="118"/>
      <c r="B47939" s="136"/>
    </row>
    <row r="47940" spans="1:2" x14ac:dyDescent="0.25">
      <c r="A47940" s="118"/>
      <c r="B47940" s="136"/>
    </row>
    <row r="47941" spans="1:2" x14ac:dyDescent="0.25">
      <c r="A47941" s="118"/>
      <c r="B47941" s="136"/>
    </row>
    <row r="47942" spans="1:2" x14ac:dyDescent="0.25">
      <c r="A47942" s="118"/>
      <c r="B47942" s="136"/>
    </row>
    <row r="47943" spans="1:2" x14ac:dyDescent="0.25">
      <c r="A47943" s="118"/>
      <c r="B47943" s="136"/>
    </row>
    <row r="47944" spans="1:2" x14ac:dyDescent="0.25">
      <c r="A47944" s="118"/>
      <c r="B47944" s="136"/>
    </row>
    <row r="47945" spans="1:2" x14ac:dyDescent="0.25">
      <c r="A47945" s="118"/>
      <c r="B47945" s="136"/>
    </row>
    <row r="47946" spans="1:2" x14ac:dyDescent="0.25">
      <c r="A47946" s="118"/>
      <c r="B47946" s="136"/>
    </row>
    <row r="47947" spans="1:2" x14ac:dyDescent="0.25">
      <c r="A47947" s="118"/>
      <c r="B47947" s="136"/>
    </row>
    <row r="47948" spans="1:2" x14ac:dyDescent="0.25">
      <c r="A47948" s="118"/>
      <c r="B47948" s="136"/>
    </row>
    <row r="47949" spans="1:2" x14ac:dyDescent="0.25">
      <c r="A47949" s="118"/>
      <c r="B47949" s="136"/>
    </row>
    <row r="47950" spans="1:2" x14ac:dyDescent="0.25">
      <c r="A47950" s="118"/>
      <c r="B47950" s="136"/>
    </row>
    <row r="47951" spans="1:2" x14ac:dyDescent="0.25">
      <c r="A47951" s="118"/>
      <c r="B47951" s="136"/>
    </row>
    <row r="47952" spans="1:2" x14ac:dyDescent="0.25">
      <c r="A47952" s="118"/>
      <c r="B47952" s="136"/>
    </row>
    <row r="47953" spans="1:2" x14ac:dyDescent="0.25">
      <c r="A47953" s="118"/>
      <c r="B47953" s="136"/>
    </row>
    <row r="47954" spans="1:2" x14ac:dyDescent="0.25">
      <c r="A47954" s="118"/>
      <c r="B47954" s="136"/>
    </row>
    <row r="47955" spans="1:2" x14ac:dyDescent="0.25">
      <c r="A47955" s="118"/>
      <c r="B47955" s="136"/>
    </row>
    <row r="47956" spans="1:2" x14ac:dyDescent="0.25">
      <c r="A47956" s="118"/>
      <c r="B47956" s="136"/>
    </row>
    <row r="47957" spans="1:2" x14ac:dyDescent="0.25">
      <c r="A47957" s="118"/>
      <c r="B47957" s="136"/>
    </row>
    <row r="47958" spans="1:2" x14ac:dyDescent="0.25">
      <c r="A47958" s="118"/>
      <c r="B47958" s="136"/>
    </row>
    <row r="47959" spans="1:2" x14ac:dyDescent="0.25">
      <c r="A47959" s="118"/>
      <c r="B47959" s="136"/>
    </row>
    <row r="47960" spans="1:2" x14ac:dyDescent="0.25">
      <c r="A47960" s="118"/>
      <c r="B47960" s="136"/>
    </row>
    <row r="47961" spans="1:2" x14ac:dyDescent="0.25">
      <c r="A47961" s="118"/>
      <c r="B47961" s="136"/>
    </row>
    <row r="47962" spans="1:2" x14ac:dyDescent="0.25">
      <c r="A47962" s="118"/>
      <c r="B47962" s="136"/>
    </row>
    <row r="47963" spans="1:2" x14ac:dyDescent="0.25">
      <c r="A47963" s="118"/>
      <c r="B47963" s="136"/>
    </row>
    <row r="47964" spans="1:2" x14ac:dyDescent="0.25">
      <c r="A47964" s="118"/>
      <c r="B47964" s="136"/>
    </row>
    <row r="47965" spans="1:2" x14ac:dyDescent="0.25">
      <c r="A47965" s="118"/>
      <c r="B47965" s="136"/>
    </row>
    <row r="47966" spans="1:2" x14ac:dyDescent="0.25">
      <c r="A47966" s="118"/>
      <c r="B47966" s="136"/>
    </row>
    <row r="47967" spans="1:2" x14ac:dyDescent="0.25">
      <c r="A47967" s="118"/>
      <c r="B47967" s="136"/>
    </row>
    <row r="47968" spans="1:2" x14ac:dyDescent="0.25">
      <c r="A47968" s="118"/>
      <c r="B47968" s="136"/>
    </row>
    <row r="47969" spans="1:2" x14ac:dyDescent="0.25">
      <c r="A47969" s="118"/>
      <c r="B47969" s="136"/>
    </row>
    <row r="47970" spans="1:2" x14ac:dyDescent="0.25">
      <c r="A47970" s="118"/>
      <c r="B47970" s="136"/>
    </row>
    <row r="47971" spans="1:2" x14ac:dyDescent="0.25">
      <c r="A47971" s="118"/>
      <c r="B47971" s="136"/>
    </row>
    <row r="47972" spans="1:2" x14ac:dyDescent="0.25">
      <c r="A47972" s="118"/>
      <c r="B47972" s="136"/>
    </row>
    <row r="47973" spans="1:2" x14ac:dyDescent="0.25">
      <c r="A47973" s="118"/>
      <c r="B47973" s="136"/>
    </row>
    <row r="47974" spans="1:2" x14ac:dyDescent="0.25">
      <c r="A47974" s="118"/>
      <c r="B47974" s="136"/>
    </row>
    <row r="47975" spans="1:2" x14ac:dyDescent="0.25">
      <c r="A47975" s="118"/>
      <c r="B47975" s="136"/>
    </row>
    <row r="47976" spans="1:2" x14ac:dyDescent="0.25">
      <c r="A47976" s="118"/>
      <c r="B47976" s="136"/>
    </row>
    <row r="47977" spans="1:2" x14ac:dyDescent="0.25">
      <c r="A47977" s="118"/>
      <c r="B47977" s="136"/>
    </row>
    <row r="47978" spans="1:2" x14ac:dyDescent="0.25">
      <c r="A47978" s="118"/>
      <c r="B47978" s="136"/>
    </row>
    <row r="47979" spans="1:2" x14ac:dyDescent="0.25">
      <c r="A47979" s="118"/>
      <c r="B47979" s="136"/>
    </row>
    <row r="47980" spans="1:2" x14ac:dyDescent="0.25">
      <c r="A47980" s="118"/>
      <c r="B47980" s="136"/>
    </row>
    <row r="47981" spans="1:2" x14ac:dyDescent="0.25">
      <c r="A47981" s="118"/>
      <c r="B47981" s="136"/>
    </row>
    <row r="47982" spans="1:2" x14ac:dyDescent="0.25">
      <c r="A47982" s="118"/>
      <c r="B47982" s="136"/>
    </row>
    <row r="47983" spans="1:2" x14ac:dyDescent="0.25">
      <c r="A47983" s="118"/>
      <c r="B47983" s="136"/>
    </row>
    <row r="47984" spans="1:2" x14ac:dyDescent="0.25">
      <c r="A47984" s="118"/>
      <c r="B47984" s="136"/>
    </row>
    <row r="47985" spans="1:2" x14ac:dyDescent="0.25">
      <c r="A47985" s="118"/>
      <c r="B47985" s="136"/>
    </row>
    <row r="47986" spans="1:2" x14ac:dyDescent="0.25">
      <c r="A47986" s="118"/>
      <c r="B47986" s="136"/>
    </row>
    <row r="47987" spans="1:2" x14ac:dyDescent="0.25">
      <c r="A47987" s="118"/>
      <c r="B47987" s="136"/>
    </row>
    <row r="47988" spans="1:2" x14ac:dyDescent="0.25">
      <c r="A47988" s="118"/>
      <c r="B47988" s="136"/>
    </row>
    <row r="47989" spans="1:2" x14ac:dyDescent="0.25">
      <c r="A47989" s="118"/>
      <c r="B47989" s="136"/>
    </row>
    <row r="47990" spans="1:2" x14ac:dyDescent="0.25">
      <c r="A47990" s="118"/>
      <c r="B47990" s="136"/>
    </row>
    <row r="47991" spans="1:2" x14ac:dyDescent="0.25">
      <c r="A47991" s="118"/>
      <c r="B47991" s="136"/>
    </row>
    <row r="47992" spans="1:2" x14ac:dyDescent="0.25">
      <c r="A47992" s="118"/>
      <c r="B47992" s="136"/>
    </row>
    <row r="47993" spans="1:2" x14ac:dyDescent="0.25">
      <c r="A47993" s="118"/>
      <c r="B47993" s="136"/>
    </row>
    <row r="47994" spans="1:2" x14ac:dyDescent="0.25">
      <c r="A47994" s="118"/>
      <c r="B47994" s="136"/>
    </row>
    <row r="47995" spans="1:2" x14ac:dyDescent="0.25">
      <c r="A47995" s="118"/>
      <c r="B47995" s="136"/>
    </row>
    <row r="47996" spans="1:2" x14ac:dyDescent="0.25">
      <c r="A47996" s="118"/>
      <c r="B47996" s="136"/>
    </row>
    <row r="47997" spans="1:2" x14ac:dyDescent="0.25">
      <c r="A47997" s="118"/>
      <c r="B47997" s="136"/>
    </row>
    <row r="47998" spans="1:2" x14ac:dyDescent="0.25">
      <c r="A47998" s="118"/>
      <c r="B47998" s="136"/>
    </row>
    <row r="47999" spans="1:2" x14ac:dyDescent="0.25">
      <c r="A47999" s="118"/>
      <c r="B47999" s="136"/>
    </row>
    <row r="48000" spans="1:2" x14ac:dyDescent="0.25">
      <c r="A48000" s="118"/>
      <c r="B48000" s="136"/>
    </row>
    <row r="48001" spans="1:2" x14ac:dyDescent="0.25">
      <c r="A48001" s="118"/>
      <c r="B48001" s="136"/>
    </row>
    <row r="48002" spans="1:2" x14ac:dyDescent="0.25">
      <c r="A48002" s="118"/>
      <c r="B48002" s="136"/>
    </row>
    <row r="48003" spans="1:2" x14ac:dyDescent="0.25">
      <c r="A48003" s="118"/>
      <c r="B48003" s="136"/>
    </row>
    <row r="48004" spans="1:2" x14ac:dyDescent="0.25">
      <c r="A48004" s="118"/>
      <c r="B48004" s="136"/>
    </row>
    <row r="48005" spans="1:2" x14ac:dyDescent="0.25">
      <c r="A48005" s="118"/>
      <c r="B48005" s="136"/>
    </row>
    <row r="48006" spans="1:2" x14ac:dyDescent="0.25">
      <c r="A48006" s="118"/>
      <c r="B48006" s="136"/>
    </row>
    <row r="48007" spans="1:2" x14ac:dyDescent="0.25">
      <c r="A48007" s="118"/>
      <c r="B48007" s="136"/>
    </row>
    <row r="48008" spans="1:2" x14ac:dyDescent="0.25">
      <c r="A48008" s="118"/>
      <c r="B48008" s="136"/>
    </row>
    <row r="48009" spans="1:2" x14ac:dyDescent="0.25">
      <c r="A48009" s="118"/>
      <c r="B48009" s="136"/>
    </row>
    <row r="48010" spans="1:2" x14ac:dyDescent="0.25">
      <c r="A48010" s="118"/>
      <c r="B48010" s="136"/>
    </row>
    <row r="48011" spans="1:2" x14ac:dyDescent="0.25">
      <c r="A48011" s="118"/>
      <c r="B48011" s="136"/>
    </row>
    <row r="48012" spans="1:2" x14ac:dyDescent="0.25">
      <c r="A48012" s="118"/>
      <c r="B48012" s="136"/>
    </row>
    <row r="48013" spans="1:2" x14ac:dyDescent="0.25">
      <c r="A48013" s="118"/>
      <c r="B48013" s="136"/>
    </row>
    <row r="48014" spans="1:2" x14ac:dyDescent="0.25">
      <c r="A48014" s="118"/>
      <c r="B48014" s="136"/>
    </row>
    <row r="48015" spans="1:2" x14ac:dyDescent="0.25">
      <c r="A48015" s="118"/>
      <c r="B48015" s="136"/>
    </row>
    <row r="48016" spans="1:2" x14ac:dyDescent="0.25">
      <c r="A48016" s="118"/>
      <c r="B48016" s="136"/>
    </row>
    <row r="48017" spans="1:2" x14ac:dyDescent="0.25">
      <c r="A48017" s="118"/>
      <c r="B48017" s="136"/>
    </row>
    <row r="48018" spans="1:2" x14ac:dyDescent="0.25">
      <c r="A48018" s="118"/>
      <c r="B48018" s="136"/>
    </row>
    <row r="48019" spans="1:2" x14ac:dyDescent="0.25">
      <c r="A48019" s="118"/>
      <c r="B48019" s="136"/>
    </row>
    <row r="48020" spans="1:2" x14ac:dyDescent="0.25">
      <c r="A48020" s="118"/>
      <c r="B48020" s="136"/>
    </row>
    <row r="48021" spans="1:2" x14ac:dyDescent="0.25">
      <c r="A48021" s="118"/>
      <c r="B48021" s="136"/>
    </row>
    <row r="48022" spans="1:2" x14ac:dyDescent="0.25">
      <c r="A48022" s="118"/>
      <c r="B48022" s="136"/>
    </row>
    <row r="48023" spans="1:2" x14ac:dyDescent="0.25">
      <c r="A48023" s="118"/>
      <c r="B48023" s="136"/>
    </row>
    <row r="48024" spans="1:2" x14ac:dyDescent="0.25">
      <c r="A48024" s="118"/>
      <c r="B48024" s="136"/>
    </row>
    <row r="48025" spans="1:2" x14ac:dyDescent="0.25">
      <c r="A48025" s="118"/>
      <c r="B48025" s="136"/>
    </row>
    <row r="48026" spans="1:2" x14ac:dyDescent="0.25">
      <c r="A48026" s="118"/>
      <c r="B48026" s="136"/>
    </row>
    <row r="48027" spans="1:2" x14ac:dyDescent="0.25">
      <c r="A48027" s="118"/>
      <c r="B48027" s="136"/>
    </row>
    <row r="48028" spans="1:2" x14ac:dyDescent="0.25">
      <c r="A48028" s="118"/>
      <c r="B48028" s="136"/>
    </row>
    <row r="48029" spans="1:2" x14ac:dyDescent="0.25">
      <c r="A48029" s="118"/>
      <c r="B48029" s="136"/>
    </row>
    <row r="48030" spans="1:2" x14ac:dyDescent="0.25">
      <c r="A48030" s="118"/>
      <c r="B48030" s="136"/>
    </row>
    <row r="48031" spans="1:2" x14ac:dyDescent="0.25">
      <c r="A48031" s="118"/>
      <c r="B48031" s="136"/>
    </row>
    <row r="48032" spans="1:2" x14ac:dyDescent="0.25">
      <c r="A48032" s="118"/>
      <c r="B48032" s="136"/>
    </row>
    <row r="48033" spans="1:2" x14ac:dyDescent="0.25">
      <c r="A48033" s="118"/>
      <c r="B48033" s="136"/>
    </row>
    <row r="48034" spans="1:2" x14ac:dyDescent="0.25">
      <c r="A48034" s="118"/>
      <c r="B48034" s="136"/>
    </row>
    <row r="48035" spans="1:2" x14ac:dyDescent="0.25">
      <c r="A48035" s="118"/>
      <c r="B48035" s="136"/>
    </row>
    <row r="48036" spans="1:2" x14ac:dyDescent="0.25">
      <c r="A48036" s="118"/>
      <c r="B48036" s="136"/>
    </row>
    <row r="48037" spans="1:2" x14ac:dyDescent="0.25">
      <c r="A48037" s="118"/>
      <c r="B48037" s="136"/>
    </row>
    <row r="48038" spans="1:2" x14ac:dyDescent="0.25">
      <c r="A48038" s="118"/>
      <c r="B48038" s="136"/>
    </row>
    <row r="48039" spans="1:2" x14ac:dyDescent="0.25">
      <c r="A48039" s="118"/>
      <c r="B48039" s="136"/>
    </row>
    <row r="48040" spans="1:2" x14ac:dyDescent="0.25">
      <c r="A48040" s="118"/>
      <c r="B48040" s="136"/>
    </row>
    <row r="48041" spans="1:2" x14ac:dyDescent="0.25">
      <c r="A48041" s="118"/>
      <c r="B48041" s="136"/>
    </row>
    <row r="48042" spans="1:2" x14ac:dyDescent="0.25">
      <c r="A48042" s="118"/>
      <c r="B48042" s="136"/>
    </row>
    <row r="48043" spans="1:2" x14ac:dyDescent="0.25">
      <c r="A48043" s="118"/>
      <c r="B48043" s="136"/>
    </row>
    <row r="48044" spans="1:2" x14ac:dyDescent="0.25">
      <c r="A48044" s="118"/>
      <c r="B48044" s="136"/>
    </row>
    <row r="48045" spans="1:2" x14ac:dyDescent="0.25">
      <c r="A48045" s="118"/>
      <c r="B48045" s="136"/>
    </row>
    <row r="48046" spans="1:2" x14ac:dyDescent="0.25">
      <c r="A48046" s="118"/>
      <c r="B48046" s="136"/>
    </row>
    <row r="48047" spans="1:2" x14ac:dyDescent="0.25">
      <c r="A48047" s="118"/>
      <c r="B48047" s="136"/>
    </row>
    <row r="48048" spans="1:2" x14ac:dyDescent="0.25">
      <c r="A48048" s="118"/>
      <c r="B48048" s="136"/>
    </row>
    <row r="48049" spans="1:2" x14ac:dyDescent="0.25">
      <c r="A48049" s="118"/>
      <c r="B48049" s="136"/>
    </row>
    <row r="48050" spans="1:2" x14ac:dyDescent="0.25">
      <c r="A48050" s="118"/>
      <c r="B48050" s="136"/>
    </row>
    <row r="48051" spans="1:2" x14ac:dyDescent="0.25">
      <c r="A48051" s="118"/>
      <c r="B48051" s="136"/>
    </row>
    <row r="48052" spans="1:2" x14ac:dyDescent="0.25">
      <c r="A48052" s="118"/>
      <c r="B48052" s="136"/>
    </row>
    <row r="48053" spans="1:2" x14ac:dyDescent="0.25">
      <c r="A48053" s="118"/>
      <c r="B48053" s="136"/>
    </row>
    <row r="48054" spans="1:2" x14ac:dyDescent="0.25">
      <c r="A48054" s="118"/>
      <c r="B48054" s="136"/>
    </row>
    <row r="48055" spans="1:2" x14ac:dyDescent="0.25">
      <c r="A48055" s="118"/>
      <c r="B48055" s="136"/>
    </row>
    <row r="48056" spans="1:2" x14ac:dyDescent="0.25">
      <c r="A48056" s="118"/>
      <c r="B48056" s="136"/>
    </row>
    <row r="48057" spans="1:2" x14ac:dyDescent="0.25">
      <c r="A48057" s="118"/>
      <c r="B48057" s="136"/>
    </row>
    <row r="48058" spans="1:2" x14ac:dyDescent="0.25">
      <c r="A48058" s="118"/>
      <c r="B48058" s="136"/>
    </row>
    <row r="48059" spans="1:2" x14ac:dyDescent="0.25">
      <c r="A48059" s="118"/>
      <c r="B48059" s="136"/>
    </row>
    <row r="48060" spans="1:2" x14ac:dyDescent="0.25">
      <c r="A48060" s="118"/>
      <c r="B48060" s="136"/>
    </row>
    <row r="48061" spans="1:2" x14ac:dyDescent="0.25">
      <c r="A48061" s="118"/>
      <c r="B48061" s="136"/>
    </row>
    <row r="48062" spans="1:2" x14ac:dyDescent="0.25">
      <c r="A48062" s="118"/>
      <c r="B48062" s="136"/>
    </row>
    <row r="48063" spans="1:2" x14ac:dyDescent="0.25">
      <c r="A48063" s="118"/>
      <c r="B48063" s="136"/>
    </row>
    <row r="48064" spans="1:2" x14ac:dyDescent="0.25">
      <c r="A48064" s="118"/>
      <c r="B48064" s="136"/>
    </row>
    <row r="48065" spans="1:2" x14ac:dyDescent="0.25">
      <c r="A48065" s="118"/>
      <c r="B48065" s="136"/>
    </row>
    <row r="48066" spans="1:2" x14ac:dyDescent="0.25">
      <c r="A48066" s="118"/>
      <c r="B48066" s="136"/>
    </row>
    <row r="48067" spans="1:2" x14ac:dyDescent="0.25">
      <c r="A48067" s="118"/>
      <c r="B48067" s="136"/>
    </row>
    <row r="48068" spans="1:2" x14ac:dyDescent="0.25">
      <c r="A48068" s="118"/>
      <c r="B48068" s="136"/>
    </row>
    <row r="48069" spans="1:2" x14ac:dyDescent="0.25">
      <c r="A48069" s="118"/>
      <c r="B48069" s="136"/>
    </row>
    <row r="48070" spans="1:2" x14ac:dyDescent="0.25">
      <c r="A48070" s="118"/>
      <c r="B48070" s="136"/>
    </row>
    <row r="48071" spans="1:2" x14ac:dyDescent="0.25">
      <c r="A48071" s="118"/>
      <c r="B48071" s="136"/>
    </row>
    <row r="48072" spans="1:2" x14ac:dyDescent="0.25">
      <c r="A48072" s="118"/>
      <c r="B48072" s="136"/>
    </row>
    <row r="48073" spans="1:2" x14ac:dyDescent="0.25">
      <c r="A48073" s="118"/>
      <c r="B48073" s="136"/>
    </row>
    <row r="48074" spans="1:2" x14ac:dyDescent="0.25">
      <c r="A48074" s="118"/>
      <c r="B48074" s="136"/>
    </row>
    <row r="48075" spans="1:2" x14ac:dyDescent="0.25">
      <c r="A48075" s="118"/>
      <c r="B48075" s="136"/>
    </row>
    <row r="48076" spans="1:2" x14ac:dyDescent="0.25">
      <c r="A48076" s="118"/>
      <c r="B48076" s="136"/>
    </row>
    <row r="48077" spans="1:2" x14ac:dyDescent="0.25">
      <c r="A48077" s="118"/>
      <c r="B48077" s="136"/>
    </row>
    <row r="48078" spans="1:2" x14ac:dyDescent="0.25">
      <c r="A48078" s="118"/>
      <c r="B48078" s="136"/>
    </row>
    <row r="48079" spans="1:2" x14ac:dyDescent="0.25">
      <c r="A48079" s="118"/>
      <c r="B48079" s="136"/>
    </row>
    <row r="48080" spans="1:2" x14ac:dyDescent="0.25">
      <c r="A48080" s="118"/>
      <c r="B48080" s="136"/>
    </row>
    <row r="48081" spans="1:2" x14ac:dyDescent="0.25">
      <c r="A48081" s="118"/>
      <c r="B48081" s="136"/>
    </row>
    <row r="48082" spans="1:2" x14ac:dyDescent="0.25">
      <c r="A48082" s="118"/>
      <c r="B48082" s="136"/>
    </row>
    <row r="48083" spans="1:2" x14ac:dyDescent="0.25">
      <c r="A48083" s="118"/>
      <c r="B48083" s="136"/>
    </row>
    <row r="48084" spans="1:2" x14ac:dyDescent="0.25">
      <c r="A48084" s="118"/>
      <c r="B48084" s="136"/>
    </row>
    <row r="48085" spans="1:2" x14ac:dyDescent="0.25">
      <c r="A48085" s="118"/>
      <c r="B48085" s="136"/>
    </row>
    <row r="48086" spans="1:2" x14ac:dyDescent="0.25">
      <c r="A48086" s="118"/>
      <c r="B48086" s="136"/>
    </row>
    <row r="48087" spans="1:2" x14ac:dyDescent="0.25">
      <c r="A48087" s="118"/>
      <c r="B48087" s="136"/>
    </row>
    <row r="48088" spans="1:2" x14ac:dyDescent="0.25">
      <c r="A48088" s="118"/>
      <c r="B48088" s="136"/>
    </row>
    <row r="48089" spans="1:2" x14ac:dyDescent="0.25">
      <c r="A48089" s="118"/>
      <c r="B48089" s="136"/>
    </row>
    <row r="48090" spans="1:2" x14ac:dyDescent="0.25">
      <c r="A48090" s="118"/>
      <c r="B48090" s="136"/>
    </row>
    <row r="48091" spans="1:2" x14ac:dyDescent="0.25">
      <c r="A48091" s="118"/>
      <c r="B48091" s="136"/>
    </row>
    <row r="48092" spans="1:2" x14ac:dyDescent="0.25">
      <c r="A48092" s="118"/>
      <c r="B48092" s="136"/>
    </row>
    <row r="48093" spans="1:2" x14ac:dyDescent="0.25">
      <c r="A48093" s="118"/>
      <c r="B48093" s="136"/>
    </row>
    <row r="48094" spans="1:2" x14ac:dyDescent="0.25">
      <c r="A48094" s="118"/>
      <c r="B48094" s="136"/>
    </row>
    <row r="48095" spans="1:2" x14ac:dyDescent="0.25">
      <c r="A48095" s="118"/>
      <c r="B48095" s="136"/>
    </row>
    <row r="48096" spans="1:2" x14ac:dyDescent="0.25">
      <c r="A48096" s="118"/>
      <c r="B48096" s="136"/>
    </row>
    <row r="48097" spans="1:2" x14ac:dyDescent="0.25">
      <c r="A48097" s="118"/>
      <c r="B48097" s="136"/>
    </row>
    <row r="48098" spans="1:2" x14ac:dyDescent="0.25">
      <c r="A48098" s="118"/>
      <c r="B48098" s="136"/>
    </row>
    <row r="48099" spans="1:2" x14ac:dyDescent="0.25">
      <c r="A48099" s="118"/>
      <c r="B48099" s="136"/>
    </row>
    <row r="48100" spans="1:2" x14ac:dyDescent="0.25">
      <c r="A48100" s="118"/>
      <c r="B48100" s="136"/>
    </row>
    <row r="48101" spans="1:2" x14ac:dyDescent="0.25">
      <c r="A48101" s="118"/>
      <c r="B48101" s="136"/>
    </row>
    <row r="48102" spans="1:2" x14ac:dyDescent="0.25">
      <c r="A48102" s="118"/>
      <c r="B48102" s="136"/>
    </row>
    <row r="48103" spans="1:2" x14ac:dyDescent="0.25">
      <c r="A48103" s="118"/>
      <c r="B48103" s="136"/>
    </row>
    <row r="48104" spans="1:2" x14ac:dyDescent="0.25">
      <c r="A48104" s="118"/>
      <c r="B48104" s="136"/>
    </row>
    <row r="48105" spans="1:2" x14ac:dyDescent="0.25">
      <c r="A48105" s="118"/>
      <c r="B48105" s="136"/>
    </row>
    <row r="48106" spans="1:2" x14ac:dyDescent="0.25">
      <c r="A48106" s="118"/>
      <c r="B48106" s="136"/>
    </row>
    <row r="48107" spans="1:2" x14ac:dyDescent="0.25">
      <c r="A48107" s="118"/>
      <c r="B48107" s="136"/>
    </row>
    <row r="48108" spans="1:2" x14ac:dyDescent="0.25">
      <c r="A48108" s="118"/>
      <c r="B48108" s="136"/>
    </row>
    <row r="48109" spans="1:2" x14ac:dyDescent="0.25">
      <c r="A48109" s="118"/>
      <c r="B48109" s="136"/>
    </row>
    <row r="48110" spans="1:2" x14ac:dyDescent="0.25">
      <c r="A48110" s="118"/>
      <c r="B48110" s="136"/>
    </row>
    <row r="48111" spans="1:2" x14ac:dyDescent="0.25">
      <c r="A48111" s="118"/>
      <c r="B48111" s="136"/>
    </row>
    <row r="48112" spans="1:2" x14ac:dyDescent="0.25">
      <c r="A48112" s="118"/>
      <c r="B48112" s="136"/>
    </row>
    <row r="48113" spans="1:2" x14ac:dyDescent="0.25">
      <c r="A48113" s="118"/>
      <c r="B48113" s="136"/>
    </row>
    <row r="48114" spans="1:2" x14ac:dyDescent="0.25">
      <c r="A48114" s="118"/>
      <c r="B48114" s="136"/>
    </row>
    <row r="48115" spans="1:2" x14ac:dyDescent="0.25">
      <c r="A48115" s="118"/>
      <c r="B48115" s="136"/>
    </row>
    <row r="48116" spans="1:2" x14ac:dyDescent="0.25">
      <c r="A48116" s="118"/>
      <c r="B48116" s="136"/>
    </row>
    <row r="48117" spans="1:2" x14ac:dyDescent="0.25">
      <c r="A48117" s="118"/>
      <c r="B48117" s="136"/>
    </row>
    <row r="48118" spans="1:2" x14ac:dyDescent="0.25">
      <c r="A48118" s="118"/>
      <c r="B48118" s="136"/>
    </row>
    <row r="48119" spans="1:2" x14ac:dyDescent="0.25">
      <c r="A48119" s="118"/>
      <c r="B48119" s="136"/>
    </row>
    <row r="48120" spans="1:2" x14ac:dyDescent="0.25">
      <c r="A48120" s="118"/>
      <c r="B48120" s="136"/>
    </row>
    <row r="48121" spans="1:2" x14ac:dyDescent="0.25">
      <c r="A48121" s="118"/>
      <c r="B48121" s="136"/>
    </row>
    <row r="48122" spans="1:2" x14ac:dyDescent="0.25">
      <c r="A48122" s="118"/>
      <c r="B48122" s="136"/>
    </row>
    <row r="48123" spans="1:2" x14ac:dyDescent="0.25">
      <c r="A48123" s="118"/>
      <c r="B48123" s="136"/>
    </row>
    <row r="48124" spans="1:2" x14ac:dyDescent="0.25">
      <c r="A48124" s="118"/>
      <c r="B48124" s="136"/>
    </row>
    <row r="48125" spans="1:2" x14ac:dyDescent="0.25">
      <c r="A48125" s="118"/>
      <c r="B48125" s="136"/>
    </row>
    <row r="48126" spans="1:2" x14ac:dyDescent="0.25">
      <c r="A48126" s="118"/>
      <c r="B48126" s="136"/>
    </row>
    <row r="48127" spans="1:2" x14ac:dyDescent="0.25">
      <c r="A48127" s="118"/>
      <c r="B48127" s="136"/>
    </row>
    <row r="48128" spans="1:2" x14ac:dyDescent="0.25">
      <c r="A48128" s="118"/>
      <c r="B48128" s="136"/>
    </row>
    <row r="48129" spans="1:2" x14ac:dyDescent="0.25">
      <c r="A48129" s="118"/>
      <c r="B48129" s="136"/>
    </row>
    <row r="48130" spans="1:2" x14ac:dyDescent="0.25">
      <c r="A48130" s="118"/>
      <c r="B48130" s="136"/>
    </row>
    <row r="48131" spans="1:2" x14ac:dyDescent="0.25">
      <c r="A48131" s="118"/>
      <c r="B48131" s="136"/>
    </row>
    <row r="48132" spans="1:2" x14ac:dyDescent="0.25">
      <c r="A48132" s="118"/>
      <c r="B48132" s="136"/>
    </row>
    <row r="48133" spans="1:2" x14ac:dyDescent="0.25">
      <c r="A48133" s="118"/>
      <c r="B48133" s="136"/>
    </row>
    <row r="48134" spans="1:2" x14ac:dyDescent="0.25">
      <c r="A48134" s="118"/>
      <c r="B48134" s="136"/>
    </row>
    <row r="48135" spans="1:2" x14ac:dyDescent="0.25">
      <c r="A48135" s="118"/>
      <c r="B48135" s="136"/>
    </row>
    <row r="48136" spans="1:2" x14ac:dyDescent="0.25">
      <c r="A48136" s="118"/>
      <c r="B48136" s="136"/>
    </row>
    <row r="48137" spans="1:2" x14ac:dyDescent="0.25">
      <c r="A48137" s="118"/>
      <c r="B48137" s="136"/>
    </row>
    <row r="48138" spans="1:2" x14ac:dyDescent="0.25">
      <c r="A48138" s="118"/>
      <c r="B48138" s="136"/>
    </row>
    <row r="48139" spans="1:2" x14ac:dyDescent="0.25">
      <c r="A48139" s="118"/>
      <c r="B48139" s="136"/>
    </row>
    <row r="48140" spans="1:2" x14ac:dyDescent="0.25">
      <c r="A48140" s="118"/>
      <c r="B48140" s="136"/>
    </row>
    <row r="48141" spans="1:2" x14ac:dyDescent="0.25">
      <c r="A48141" s="118"/>
      <c r="B48141" s="136"/>
    </row>
    <row r="48142" spans="1:2" x14ac:dyDescent="0.25">
      <c r="A48142" s="118"/>
      <c r="B48142" s="136"/>
    </row>
    <row r="48143" spans="1:2" x14ac:dyDescent="0.25">
      <c r="A48143" s="118"/>
      <c r="B48143" s="136"/>
    </row>
    <row r="48144" spans="1:2" x14ac:dyDescent="0.25">
      <c r="A48144" s="118"/>
      <c r="B48144" s="136"/>
    </row>
    <row r="48145" spans="1:2" x14ac:dyDescent="0.25">
      <c r="A48145" s="118"/>
      <c r="B48145" s="136"/>
    </row>
    <row r="48146" spans="1:2" x14ac:dyDescent="0.25">
      <c r="A48146" s="118"/>
      <c r="B48146" s="136"/>
    </row>
    <row r="48147" spans="1:2" x14ac:dyDescent="0.25">
      <c r="A48147" s="118"/>
      <c r="B48147" s="136"/>
    </row>
    <row r="48148" spans="1:2" x14ac:dyDescent="0.25">
      <c r="A48148" s="118"/>
      <c r="B48148" s="136"/>
    </row>
    <row r="48149" spans="1:2" x14ac:dyDescent="0.25">
      <c r="A48149" s="118"/>
      <c r="B48149" s="136"/>
    </row>
    <row r="48150" spans="1:2" x14ac:dyDescent="0.25">
      <c r="A48150" s="118"/>
      <c r="B48150" s="136"/>
    </row>
    <row r="48151" spans="1:2" x14ac:dyDescent="0.25">
      <c r="A48151" s="118"/>
      <c r="B48151" s="136"/>
    </row>
    <row r="48152" spans="1:2" x14ac:dyDescent="0.25">
      <c r="A48152" s="118"/>
      <c r="B48152" s="136"/>
    </row>
    <row r="48153" spans="1:2" x14ac:dyDescent="0.25">
      <c r="A48153" s="118"/>
      <c r="B48153" s="136"/>
    </row>
    <row r="48154" spans="1:2" x14ac:dyDescent="0.25">
      <c r="A48154" s="118"/>
      <c r="B48154" s="136"/>
    </row>
    <row r="48155" spans="1:2" x14ac:dyDescent="0.25">
      <c r="A48155" s="118"/>
      <c r="B48155" s="136"/>
    </row>
    <row r="48156" spans="1:2" x14ac:dyDescent="0.25">
      <c r="A48156" s="118"/>
      <c r="B48156" s="136"/>
    </row>
    <row r="48157" spans="1:2" x14ac:dyDescent="0.25">
      <c r="A48157" s="118"/>
      <c r="B48157" s="136"/>
    </row>
    <row r="48158" spans="1:2" x14ac:dyDescent="0.25">
      <c r="A48158" s="118"/>
      <c r="B48158" s="136"/>
    </row>
    <row r="48159" spans="1:2" x14ac:dyDescent="0.25">
      <c r="A48159" s="118"/>
      <c r="B48159" s="136"/>
    </row>
    <row r="48160" spans="1:2" x14ac:dyDescent="0.25">
      <c r="A48160" s="118"/>
      <c r="B48160" s="136"/>
    </row>
    <row r="48161" spans="1:2" x14ac:dyDescent="0.25">
      <c r="A48161" s="118"/>
      <c r="B48161" s="136"/>
    </row>
    <row r="48162" spans="1:2" x14ac:dyDescent="0.25">
      <c r="A48162" s="118"/>
      <c r="B48162" s="136"/>
    </row>
    <row r="48163" spans="1:2" x14ac:dyDescent="0.25">
      <c r="A48163" s="118"/>
      <c r="B48163" s="136"/>
    </row>
    <row r="48164" spans="1:2" x14ac:dyDescent="0.25">
      <c r="A48164" s="118"/>
      <c r="B48164" s="136"/>
    </row>
    <row r="48165" spans="1:2" x14ac:dyDescent="0.25">
      <c r="A48165" s="118"/>
      <c r="B48165" s="136"/>
    </row>
    <row r="48166" spans="1:2" x14ac:dyDescent="0.25">
      <c r="A48166" s="118"/>
      <c r="B48166" s="136"/>
    </row>
    <row r="48167" spans="1:2" x14ac:dyDescent="0.25">
      <c r="A48167" s="118"/>
      <c r="B48167" s="136"/>
    </row>
    <row r="48168" spans="1:2" x14ac:dyDescent="0.25">
      <c r="A48168" s="118"/>
      <c r="B48168" s="136"/>
    </row>
    <row r="48169" spans="1:2" x14ac:dyDescent="0.25">
      <c r="A48169" s="118"/>
      <c r="B48169" s="136"/>
    </row>
    <row r="48170" spans="1:2" x14ac:dyDescent="0.25">
      <c r="A48170" s="118"/>
      <c r="B48170" s="136"/>
    </row>
    <row r="48171" spans="1:2" x14ac:dyDescent="0.25">
      <c r="A48171" s="118"/>
      <c r="B48171" s="136"/>
    </row>
    <row r="48172" spans="1:2" x14ac:dyDescent="0.25">
      <c r="A48172" s="118"/>
      <c r="B48172" s="136"/>
    </row>
    <row r="48173" spans="1:2" x14ac:dyDescent="0.25">
      <c r="A48173" s="118"/>
      <c r="B48173" s="136"/>
    </row>
    <row r="48174" spans="1:2" x14ac:dyDescent="0.25">
      <c r="A48174" s="118"/>
      <c r="B48174" s="136"/>
    </row>
    <row r="48175" spans="1:2" x14ac:dyDescent="0.25">
      <c r="A48175" s="118"/>
      <c r="B48175" s="136"/>
    </row>
    <row r="48176" spans="1:2" x14ac:dyDescent="0.25">
      <c r="A48176" s="118"/>
      <c r="B48176" s="136"/>
    </row>
    <row r="48177" spans="1:2" x14ac:dyDescent="0.25">
      <c r="A48177" s="118"/>
      <c r="B48177" s="136"/>
    </row>
    <row r="48178" spans="1:2" x14ac:dyDescent="0.25">
      <c r="A48178" s="118"/>
      <c r="B48178" s="136"/>
    </row>
    <row r="48179" spans="1:2" x14ac:dyDescent="0.25">
      <c r="A48179" s="118"/>
      <c r="B48179" s="136"/>
    </row>
    <row r="48180" spans="1:2" x14ac:dyDescent="0.25">
      <c r="A48180" s="118"/>
      <c r="B48180" s="136"/>
    </row>
    <row r="48181" spans="1:2" x14ac:dyDescent="0.25">
      <c r="A48181" s="118"/>
      <c r="B48181" s="136"/>
    </row>
    <row r="48182" spans="1:2" x14ac:dyDescent="0.25">
      <c r="A48182" s="118"/>
      <c r="B48182" s="136"/>
    </row>
    <row r="48183" spans="1:2" x14ac:dyDescent="0.25">
      <c r="A48183" s="118"/>
      <c r="B48183" s="136"/>
    </row>
    <row r="48184" spans="1:2" x14ac:dyDescent="0.25">
      <c r="A48184" s="118"/>
      <c r="B48184" s="136"/>
    </row>
    <row r="48185" spans="1:2" x14ac:dyDescent="0.25">
      <c r="A48185" s="118"/>
      <c r="B48185" s="136"/>
    </row>
    <row r="48186" spans="1:2" x14ac:dyDescent="0.25">
      <c r="A48186" s="118"/>
      <c r="B48186" s="136"/>
    </row>
    <row r="48187" spans="1:2" x14ac:dyDescent="0.25">
      <c r="A48187" s="118"/>
      <c r="B48187" s="136"/>
    </row>
    <row r="48188" spans="1:2" x14ac:dyDescent="0.25">
      <c r="A48188" s="118"/>
      <c r="B48188" s="136"/>
    </row>
    <row r="48189" spans="1:2" x14ac:dyDescent="0.25">
      <c r="A48189" s="118"/>
      <c r="B48189" s="136"/>
    </row>
    <row r="48190" spans="1:2" x14ac:dyDescent="0.25">
      <c r="A48190" s="118"/>
      <c r="B48190" s="136"/>
    </row>
    <row r="48191" spans="1:2" x14ac:dyDescent="0.25">
      <c r="A48191" s="118"/>
      <c r="B48191" s="136"/>
    </row>
    <row r="48192" spans="1:2" x14ac:dyDescent="0.25">
      <c r="A48192" s="118"/>
      <c r="B48192" s="136"/>
    </row>
    <row r="48193" spans="1:2" x14ac:dyDescent="0.25">
      <c r="A48193" s="118"/>
      <c r="B48193" s="136"/>
    </row>
    <row r="48194" spans="1:2" x14ac:dyDescent="0.25">
      <c r="A48194" s="118"/>
      <c r="B48194" s="136"/>
    </row>
    <row r="48195" spans="1:2" x14ac:dyDescent="0.25">
      <c r="A48195" s="118"/>
      <c r="B48195" s="136"/>
    </row>
    <row r="48196" spans="1:2" x14ac:dyDescent="0.25">
      <c r="A48196" s="118"/>
      <c r="B48196" s="136"/>
    </row>
    <row r="48197" spans="1:2" x14ac:dyDescent="0.25">
      <c r="A48197" s="118"/>
      <c r="B48197" s="136"/>
    </row>
    <row r="48198" spans="1:2" x14ac:dyDescent="0.25">
      <c r="A48198" s="118"/>
      <c r="B48198" s="136"/>
    </row>
    <row r="48199" spans="1:2" x14ac:dyDescent="0.25">
      <c r="A48199" s="118"/>
      <c r="B48199" s="136"/>
    </row>
    <row r="48200" spans="1:2" x14ac:dyDescent="0.25">
      <c r="A48200" s="118"/>
      <c r="B48200" s="136"/>
    </row>
    <row r="48201" spans="1:2" x14ac:dyDescent="0.25">
      <c r="A48201" s="118"/>
      <c r="B48201" s="136"/>
    </row>
    <row r="48202" spans="1:2" x14ac:dyDescent="0.25">
      <c r="A48202" s="118"/>
      <c r="B48202" s="136"/>
    </row>
    <row r="48203" spans="1:2" x14ac:dyDescent="0.25">
      <c r="A48203" s="118"/>
      <c r="B48203" s="136"/>
    </row>
    <row r="48204" spans="1:2" x14ac:dyDescent="0.25">
      <c r="A48204" s="118"/>
      <c r="B48204" s="136"/>
    </row>
    <row r="48205" spans="1:2" x14ac:dyDescent="0.25">
      <c r="A48205" s="118"/>
      <c r="B48205" s="136"/>
    </row>
    <row r="48206" spans="1:2" x14ac:dyDescent="0.25">
      <c r="A48206" s="118"/>
      <c r="B48206" s="136"/>
    </row>
    <row r="48207" spans="1:2" x14ac:dyDescent="0.25">
      <c r="A48207" s="118"/>
      <c r="B48207" s="136"/>
    </row>
    <row r="48208" spans="1:2" x14ac:dyDescent="0.25">
      <c r="A48208" s="118"/>
      <c r="B48208" s="136"/>
    </row>
    <row r="48209" spans="1:2" x14ac:dyDescent="0.25">
      <c r="A48209" s="118"/>
      <c r="B48209" s="136"/>
    </row>
    <row r="48210" spans="1:2" x14ac:dyDescent="0.25">
      <c r="A48210" s="118"/>
      <c r="B48210" s="136"/>
    </row>
    <row r="48211" spans="1:2" x14ac:dyDescent="0.25">
      <c r="A48211" s="118"/>
      <c r="B48211" s="136"/>
    </row>
    <row r="48212" spans="1:2" x14ac:dyDescent="0.25">
      <c r="A48212" s="118"/>
      <c r="B48212" s="136"/>
    </row>
    <row r="48213" spans="1:2" x14ac:dyDescent="0.25">
      <c r="A48213" s="118"/>
      <c r="B48213" s="136"/>
    </row>
    <row r="48214" spans="1:2" x14ac:dyDescent="0.25">
      <c r="A48214" s="118"/>
      <c r="B48214" s="136"/>
    </row>
    <row r="48215" spans="1:2" x14ac:dyDescent="0.25">
      <c r="A48215" s="118"/>
      <c r="B48215" s="136"/>
    </row>
    <row r="48216" spans="1:2" x14ac:dyDescent="0.25">
      <c r="A48216" s="118"/>
      <c r="B48216" s="136"/>
    </row>
    <row r="48217" spans="1:2" x14ac:dyDescent="0.25">
      <c r="A48217" s="118"/>
      <c r="B48217" s="136"/>
    </row>
    <row r="48218" spans="1:2" x14ac:dyDescent="0.25">
      <c r="A48218" s="118"/>
      <c r="B48218" s="136"/>
    </row>
    <row r="48219" spans="1:2" x14ac:dyDescent="0.25">
      <c r="A48219" s="118"/>
      <c r="B48219" s="136"/>
    </row>
    <row r="48220" spans="1:2" x14ac:dyDescent="0.25">
      <c r="A48220" s="118"/>
      <c r="B48220" s="136"/>
    </row>
    <row r="48221" spans="1:2" x14ac:dyDescent="0.25">
      <c r="A48221" s="118"/>
      <c r="B48221" s="136"/>
    </row>
    <row r="48222" spans="1:2" x14ac:dyDescent="0.25">
      <c r="A48222" s="118"/>
      <c r="B48222" s="136"/>
    </row>
    <row r="48223" spans="1:2" x14ac:dyDescent="0.25">
      <c r="A48223" s="118"/>
      <c r="B48223" s="136"/>
    </row>
    <row r="48224" spans="1:2" x14ac:dyDescent="0.25">
      <c r="A48224" s="118"/>
      <c r="B48224" s="136"/>
    </row>
    <row r="48225" spans="1:2" x14ac:dyDescent="0.25">
      <c r="A48225" s="118"/>
      <c r="B48225" s="136"/>
    </row>
    <row r="48226" spans="1:2" x14ac:dyDescent="0.25">
      <c r="A48226" s="118"/>
      <c r="B48226" s="136"/>
    </row>
    <row r="48227" spans="1:2" x14ac:dyDescent="0.25">
      <c r="A48227" s="118"/>
      <c r="B48227" s="136"/>
    </row>
    <row r="48228" spans="1:2" x14ac:dyDescent="0.25">
      <c r="A48228" s="118"/>
      <c r="B48228" s="136"/>
    </row>
    <row r="48229" spans="1:2" x14ac:dyDescent="0.25">
      <c r="A48229" s="118"/>
      <c r="B48229" s="136"/>
    </row>
    <row r="48230" spans="1:2" x14ac:dyDescent="0.25">
      <c r="A48230" s="118"/>
      <c r="B48230" s="136"/>
    </row>
    <row r="48231" spans="1:2" x14ac:dyDescent="0.25">
      <c r="A48231" s="118"/>
      <c r="B48231" s="136"/>
    </row>
    <row r="48232" spans="1:2" x14ac:dyDescent="0.25">
      <c r="A48232" s="118"/>
      <c r="B48232" s="136"/>
    </row>
    <row r="48233" spans="1:2" x14ac:dyDescent="0.25">
      <c r="A48233" s="118"/>
      <c r="B48233" s="136"/>
    </row>
    <row r="48234" spans="1:2" x14ac:dyDescent="0.25">
      <c r="A48234" s="118"/>
      <c r="B48234" s="136"/>
    </row>
    <row r="48235" spans="1:2" x14ac:dyDescent="0.25">
      <c r="A48235" s="118"/>
      <c r="B48235" s="136"/>
    </row>
    <row r="48236" spans="1:2" x14ac:dyDescent="0.25">
      <c r="A48236" s="118"/>
      <c r="B48236" s="136"/>
    </row>
    <row r="48237" spans="1:2" x14ac:dyDescent="0.25">
      <c r="A48237" s="118"/>
      <c r="B48237" s="136"/>
    </row>
    <row r="48238" spans="1:2" x14ac:dyDescent="0.25">
      <c r="A48238" s="118"/>
      <c r="B48238" s="136"/>
    </row>
    <row r="48239" spans="1:2" x14ac:dyDescent="0.25">
      <c r="A48239" s="118"/>
      <c r="B48239" s="136"/>
    </row>
    <row r="48240" spans="1:2" x14ac:dyDescent="0.25">
      <c r="A48240" s="118"/>
      <c r="B48240" s="136"/>
    </row>
    <row r="48241" spans="1:2" x14ac:dyDescent="0.25">
      <c r="A48241" s="118"/>
      <c r="B48241" s="136"/>
    </row>
    <row r="48242" spans="1:2" x14ac:dyDescent="0.25">
      <c r="A48242" s="118"/>
      <c r="B48242" s="136"/>
    </row>
    <row r="48243" spans="1:2" x14ac:dyDescent="0.25">
      <c r="A48243" s="118"/>
      <c r="B48243" s="136"/>
    </row>
    <row r="48244" spans="1:2" x14ac:dyDescent="0.25">
      <c r="A48244" s="118"/>
      <c r="B48244" s="136"/>
    </row>
    <row r="48245" spans="1:2" x14ac:dyDescent="0.25">
      <c r="A48245" s="118"/>
      <c r="B48245" s="136"/>
    </row>
    <row r="48246" spans="1:2" x14ac:dyDescent="0.25">
      <c r="A48246" s="118"/>
      <c r="B48246" s="136"/>
    </row>
    <row r="48247" spans="1:2" x14ac:dyDescent="0.25">
      <c r="A48247" s="118"/>
      <c r="B48247" s="136"/>
    </row>
    <row r="48248" spans="1:2" x14ac:dyDescent="0.25">
      <c r="A48248" s="118"/>
      <c r="B48248" s="136"/>
    </row>
    <row r="48249" spans="1:2" x14ac:dyDescent="0.25">
      <c r="A48249" s="118"/>
      <c r="B48249" s="136"/>
    </row>
    <row r="48250" spans="1:2" x14ac:dyDescent="0.25">
      <c r="A48250" s="118"/>
      <c r="B48250" s="136"/>
    </row>
    <row r="48251" spans="1:2" x14ac:dyDescent="0.25">
      <c r="A48251" s="118"/>
      <c r="B48251" s="136"/>
    </row>
    <row r="48252" spans="1:2" x14ac:dyDescent="0.25">
      <c r="A48252" s="118"/>
      <c r="B48252" s="136"/>
    </row>
    <row r="48253" spans="1:2" x14ac:dyDescent="0.25">
      <c r="A48253" s="118"/>
      <c r="B48253" s="136"/>
    </row>
    <row r="48254" spans="1:2" x14ac:dyDescent="0.25">
      <c r="A48254" s="118"/>
      <c r="B48254" s="136"/>
    </row>
    <row r="48255" spans="1:2" x14ac:dyDescent="0.25">
      <c r="A48255" s="118"/>
      <c r="B48255" s="136"/>
    </row>
    <row r="48256" spans="1:2" x14ac:dyDescent="0.25">
      <c r="A48256" s="118"/>
      <c r="B48256" s="136"/>
    </row>
    <row r="48257" spans="1:2" x14ac:dyDescent="0.25">
      <c r="A48257" s="118"/>
      <c r="B48257" s="136"/>
    </row>
    <row r="48258" spans="1:2" x14ac:dyDescent="0.25">
      <c r="A48258" s="118"/>
      <c r="B48258" s="136"/>
    </row>
    <row r="48259" spans="1:2" x14ac:dyDescent="0.25">
      <c r="A48259" s="118"/>
      <c r="B48259" s="136"/>
    </row>
    <row r="48260" spans="1:2" x14ac:dyDescent="0.25">
      <c r="A48260" s="118"/>
      <c r="B48260" s="136"/>
    </row>
    <row r="48261" spans="1:2" x14ac:dyDescent="0.25">
      <c r="A48261" s="118"/>
      <c r="B48261" s="136"/>
    </row>
    <row r="48262" spans="1:2" x14ac:dyDescent="0.25">
      <c r="A48262" s="118"/>
      <c r="B48262" s="136"/>
    </row>
    <row r="48263" spans="1:2" x14ac:dyDescent="0.25">
      <c r="A48263" s="118"/>
      <c r="B48263" s="136"/>
    </row>
    <row r="48264" spans="1:2" x14ac:dyDescent="0.25">
      <c r="A48264" s="118"/>
      <c r="B48264" s="136"/>
    </row>
    <row r="48265" spans="1:2" x14ac:dyDescent="0.25">
      <c r="A48265" s="118"/>
      <c r="B48265" s="136"/>
    </row>
    <row r="48266" spans="1:2" x14ac:dyDescent="0.25">
      <c r="A48266" s="118"/>
      <c r="B48266" s="136"/>
    </row>
    <row r="48267" spans="1:2" x14ac:dyDescent="0.25">
      <c r="A48267" s="118"/>
      <c r="B48267" s="136"/>
    </row>
    <row r="48268" spans="1:2" x14ac:dyDescent="0.25">
      <c r="A48268" s="118"/>
      <c r="B48268" s="136"/>
    </row>
    <row r="48269" spans="1:2" x14ac:dyDescent="0.25">
      <c r="A48269" s="118"/>
      <c r="B48269" s="136"/>
    </row>
    <row r="48270" spans="1:2" x14ac:dyDescent="0.25">
      <c r="A48270" s="118"/>
      <c r="B48270" s="136"/>
    </row>
    <row r="48271" spans="1:2" x14ac:dyDescent="0.25">
      <c r="A48271" s="118"/>
      <c r="B48271" s="136"/>
    </row>
    <row r="48272" spans="1:2" x14ac:dyDescent="0.25">
      <c r="A48272" s="118"/>
      <c r="B48272" s="136"/>
    </row>
    <row r="48273" spans="1:2" x14ac:dyDescent="0.25">
      <c r="A48273" s="118"/>
      <c r="B48273" s="136"/>
    </row>
    <row r="48274" spans="1:2" x14ac:dyDescent="0.25">
      <c r="A48274" s="118"/>
      <c r="B48274" s="136"/>
    </row>
    <row r="48275" spans="1:2" x14ac:dyDescent="0.25">
      <c r="A48275" s="118"/>
      <c r="B48275" s="136"/>
    </row>
    <row r="48276" spans="1:2" x14ac:dyDescent="0.25">
      <c r="A48276" s="118"/>
      <c r="B48276" s="136"/>
    </row>
    <row r="48277" spans="1:2" x14ac:dyDescent="0.25">
      <c r="A48277" s="118"/>
      <c r="B48277" s="136"/>
    </row>
    <row r="48278" spans="1:2" x14ac:dyDescent="0.25">
      <c r="A48278" s="118"/>
      <c r="B48278" s="136"/>
    </row>
    <row r="48279" spans="1:2" x14ac:dyDescent="0.25">
      <c r="A48279" s="118"/>
      <c r="B48279" s="136"/>
    </row>
    <row r="48280" spans="1:2" x14ac:dyDescent="0.25">
      <c r="A48280" s="118"/>
      <c r="B48280" s="136"/>
    </row>
    <row r="48281" spans="1:2" x14ac:dyDescent="0.25">
      <c r="A48281" s="118"/>
      <c r="B48281" s="136"/>
    </row>
    <row r="48282" spans="1:2" x14ac:dyDescent="0.25">
      <c r="A48282" s="118"/>
      <c r="B48282" s="136"/>
    </row>
    <row r="48283" spans="1:2" x14ac:dyDescent="0.25">
      <c r="A48283" s="118"/>
      <c r="B48283" s="136"/>
    </row>
    <row r="48284" spans="1:2" x14ac:dyDescent="0.25">
      <c r="A48284" s="118"/>
      <c r="B48284" s="136"/>
    </row>
    <row r="48285" spans="1:2" x14ac:dyDescent="0.25">
      <c r="A48285" s="118"/>
      <c r="B48285" s="136"/>
    </row>
    <row r="48286" spans="1:2" x14ac:dyDescent="0.25">
      <c r="A48286" s="118"/>
      <c r="B48286" s="136"/>
    </row>
    <row r="48287" spans="1:2" x14ac:dyDescent="0.25">
      <c r="A48287" s="118"/>
      <c r="B48287" s="136"/>
    </row>
    <row r="48288" spans="1:2" x14ac:dyDescent="0.25">
      <c r="A48288" s="118"/>
      <c r="B48288" s="136"/>
    </row>
    <row r="48289" spans="1:2" x14ac:dyDescent="0.25">
      <c r="A48289" s="118"/>
      <c r="B48289" s="136"/>
    </row>
    <row r="48290" spans="1:2" x14ac:dyDescent="0.25">
      <c r="A48290" s="118"/>
      <c r="B48290" s="136"/>
    </row>
    <row r="48291" spans="1:2" x14ac:dyDescent="0.25">
      <c r="A48291" s="118"/>
      <c r="B48291" s="136"/>
    </row>
    <row r="48292" spans="1:2" x14ac:dyDescent="0.25">
      <c r="A48292" s="118"/>
      <c r="B48292" s="136"/>
    </row>
    <row r="48293" spans="1:2" x14ac:dyDescent="0.25">
      <c r="A48293" s="118"/>
      <c r="B48293" s="136"/>
    </row>
    <row r="48294" spans="1:2" x14ac:dyDescent="0.25">
      <c r="A48294" s="118"/>
      <c r="B48294" s="136"/>
    </row>
    <row r="48295" spans="1:2" x14ac:dyDescent="0.25">
      <c r="A48295" s="118"/>
      <c r="B48295" s="136"/>
    </row>
    <row r="48296" spans="1:2" x14ac:dyDescent="0.25">
      <c r="A48296" s="118"/>
      <c r="B48296" s="136"/>
    </row>
    <row r="48297" spans="1:2" x14ac:dyDescent="0.25">
      <c r="A48297" s="118"/>
      <c r="B48297" s="136"/>
    </row>
    <row r="48298" spans="1:2" x14ac:dyDescent="0.25">
      <c r="A48298" s="118"/>
      <c r="B48298" s="136"/>
    </row>
    <row r="48299" spans="1:2" x14ac:dyDescent="0.25">
      <c r="A48299" s="118"/>
      <c r="B48299" s="136"/>
    </row>
    <row r="48300" spans="1:2" x14ac:dyDescent="0.25">
      <c r="A48300" s="118"/>
      <c r="B48300" s="136"/>
    </row>
    <row r="48301" spans="1:2" x14ac:dyDescent="0.25">
      <c r="A48301" s="118"/>
      <c r="B48301" s="136"/>
    </row>
    <row r="48302" spans="1:2" x14ac:dyDescent="0.25">
      <c r="A48302" s="118"/>
      <c r="B48302" s="136"/>
    </row>
    <row r="48303" spans="1:2" x14ac:dyDescent="0.25">
      <c r="A48303" s="118"/>
      <c r="B48303" s="136"/>
    </row>
    <row r="48304" spans="1:2" x14ac:dyDescent="0.25">
      <c r="A48304" s="118"/>
      <c r="B48304" s="136"/>
    </row>
    <row r="48305" spans="1:2" x14ac:dyDescent="0.25">
      <c r="A48305" s="118"/>
      <c r="B48305" s="136"/>
    </row>
    <row r="48306" spans="1:2" x14ac:dyDescent="0.25">
      <c r="A48306" s="118"/>
      <c r="B48306" s="136"/>
    </row>
    <row r="48307" spans="1:2" x14ac:dyDescent="0.25">
      <c r="A48307" s="118"/>
      <c r="B48307" s="136"/>
    </row>
    <row r="48308" spans="1:2" x14ac:dyDescent="0.25">
      <c r="A48308" s="118"/>
      <c r="B48308" s="136"/>
    </row>
    <row r="48309" spans="1:2" x14ac:dyDescent="0.25">
      <c r="A48309" s="118"/>
      <c r="B48309" s="136"/>
    </row>
    <row r="48310" spans="1:2" x14ac:dyDescent="0.25">
      <c r="A48310" s="118"/>
      <c r="B48310" s="136"/>
    </row>
    <row r="48311" spans="1:2" x14ac:dyDescent="0.25">
      <c r="A48311" s="118"/>
      <c r="B48311" s="136"/>
    </row>
    <row r="48312" spans="1:2" x14ac:dyDescent="0.25">
      <c r="A48312" s="118"/>
      <c r="B48312" s="136"/>
    </row>
    <row r="48313" spans="1:2" x14ac:dyDescent="0.25">
      <c r="A48313" s="118"/>
      <c r="B48313" s="136"/>
    </row>
    <row r="48314" spans="1:2" x14ac:dyDescent="0.25">
      <c r="A48314" s="118"/>
      <c r="B48314" s="136"/>
    </row>
    <row r="48315" spans="1:2" x14ac:dyDescent="0.25">
      <c r="A48315" s="118"/>
      <c r="B48315" s="136"/>
    </row>
    <row r="48316" spans="1:2" x14ac:dyDescent="0.25">
      <c r="A48316" s="118"/>
      <c r="B48316" s="136"/>
    </row>
    <row r="48317" spans="1:2" x14ac:dyDescent="0.25">
      <c r="A48317" s="118"/>
      <c r="B48317" s="136"/>
    </row>
    <row r="48318" spans="1:2" x14ac:dyDescent="0.25">
      <c r="A48318" s="118"/>
      <c r="B48318" s="136"/>
    </row>
    <row r="48319" spans="1:2" x14ac:dyDescent="0.25">
      <c r="A48319" s="118"/>
      <c r="B48319" s="136"/>
    </row>
    <row r="48320" spans="1:2" x14ac:dyDescent="0.25">
      <c r="A48320" s="118"/>
      <c r="B48320" s="136"/>
    </row>
    <row r="48321" spans="1:2" x14ac:dyDescent="0.25">
      <c r="A48321" s="118"/>
      <c r="B48321" s="136"/>
    </row>
    <row r="48322" spans="1:2" x14ac:dyDescent="0.25">
      <c r="A48322" s="118"/>
      <c r="B48322" s="136"/>
    </row>
    <row r="48323" spans="1:2" x14ac:dyDescent="0.25">
      <c r="A48323" s="118"/>
      <c r="B48323" s="136"/>
    </row>
    <row r="48324" spans="1:2" x14ac:dyDescent="0.25">
      <c r="A48324" s="118"/>
      <c r="B48324" s="136"/>
    </row>
    <row r="48325" spans="1:2" x14ac:dyDescent="0.25">
      <c r="A48325" s="118"/>
      <c r="B48325" s="136"/>
    </row>
    <row r="48326" spans="1:2" x14ac:dyDescent="0.25">
      <c r="A48326" s="118"/>
      <c r="B48326" s="136"/>
    </row>
    <row r="48327" spans="1:2" x14ac:dyDescent="0.25">
      <c r="A48327" s="118"/>
      <c r="B48327" s="136"/>
    </row>
    <row r="48328" spans="1:2" x14ac:dyDescent="0.25">
      <c r="A48328" s="118"/>
      <c r="B48328" s="136"/>
    </row>
    <row r="48329" spans="1:2" x14ac:dyDescent="0.25">
      <c r="A48329" s="118"/>
      <c r="B48329" s="136"/>
    </row>
    <row r="48330" spans="1:2" x14ac:dyDescent="0.25">
      <c r="A48330" s="118"/>
      <c r="B48330" s="136"/>
    </row>
    <row r="48331" spans="1:2" x14ac:dyDescent="0.25">
      <c r="A48331" s="118"/>
      <c r="B48331" s="136"/>
    </row>
    <row r="48332" spans="1:2" x14ac:dyDescent="0.25">
      <c r="A48332" s="118"/>
      <c r="B48332" s="136"/>
    </row>
    <row r="48333" spans="1:2" x14ac:dyDescent="0.25">
      <c r="A48333" s="118"/>
      <c r="B48333" s="136"/>
    </row>
    <row r="48334" spans="1:2" x14ac:dyDescent="0.25">
      <c r="A48334" s="118"/>
      <c r="B48334" s="136"/>
    </row>
    <row r="48335" spans="1:2" x14ac:dyDescent="0.25">
      <c r="A48335" s="118"/>
      <c r="B48335" s="136"/>
    </row>
    <row r="48336" spans="1:2" x14ac:dyDescent="0.25">
      <c r="A48336" s="118"/>
      <c r="B48336" s="136"/>
    </row>
    <row r="48337" spans="1:2" x14ac:dyDescent="0.25">
      <c r="A48337" s="118"/>
      <c r="B48337" s="136"/>
    </row>
    <row r="48338" spans="1:2" x14ac:dyDescent="0.25">
      <c r="A48338" s="118"/>
      <c r="B48338" s="136"/>
    </row>
    <row r="48339" spans="1:2" x14ac:dyDescent="0.25">
      <c r="A48339" s="118"/>
      <c r="B48339" s="136"/>
    </row>
    <row r="48340" spans="1:2" x14ac:dyDescent="0.25">
      <c r="A48340" s="118"/>
      <c r="B48340" s="136"/>
    </row>
    <row r="48341" spans="1:2" x14ac:dyDescent="0.25">
      <c r="A48341" s="118"/>
      <c r="B48341" s="136"/>
    </row>
    <row r="48342" spans="1:2" x14ac:dyDescent="0.25">
      <c r="A48342" s="118"/>
      <c r="B48342" s="136"/>
    </row>
    <row r="48343" spans="1:2" x14ac:dyDescent="0.25">
      <c r="A48343" s="118"/>
      <c r="B48343" s="136"/>
    </row>
    <row r="48344" spans="1:2" x14ac:dyDescent="0.25">
      <c r="A48344" s="118"/>
      <c r="B48344" s="136"/>
    </row>
    <row r="48345" spans="1:2" x14ac:dyDescent="0.25">
      <c r="A48345" s="118"/>
      <c r="B48345" s="136"/>
    </row>
    <row r="48346" spans="1:2" x14ac:dyDescent="0.25">
      <c r="A48346" s="118"/>
      <c r="B48346" s="136"/>
    </row>
    <row r="48347" spans="1:2" x14ac:dyDescent="0.25">
      <c r="A48347" s="118"/>
      <c r="B48347" s="136"/>
    </row>
    <row r="48348" spans="1:2" x14ac:dyDescent="0.25">
      <c r="A48348" s="118"/>
      <c r="B48348" s="136"/>
    </row>
    <row r="48349" spans="1:2" x14ac:dyDescent="0.25">
      <c r="A48349" s="118"/>
      <c r="B48349" s="136"/>
    </row>
    <row r="48350" spans="1:2" x14ac:dyDescent="0.25">
      <c r="A48350" s="118"/>
      <c r="B48350" s="136"/>
    </row>
    <row r="48351" spans="1:2" x14ac:dyDescent="0.25">
      <c r="A48351" s="118"/>
      <c r="B48351" s="136"/>
    </row>
    <row r="48352" spans="1:2" x14ac:dyDescent="0.25">
      <c r="A48352" s="118"/>
      <c r="B48352" s="136"/>
    </row>
    <row r="48353" spans="1:2" x14ac:dyDescent="0.25">
      <c r="A48353" s="118"/>
      <c r="B48353" s="136"/>
    </row>
    <row r="48354" spans="1:2" x14ac:dyDescent="0.25">
      <c r="A48354" s="118"/>
      <c r="B48354" s="136"/>
    </row>
    <row r="48355" spans="1:2" x14ac:dyDescent="0.25">
      <c r="A48355" s="118"/>
      <c r="B48355" s="136"/>
    </row>
    <row r="48356" spans="1:2" x14ac:dyDescent="0.25">
      <c r="A48356" s="118"/>
      <c r="B48356" s="136"/>
    </row>
    <row r="48357" spans="1:2" x14ac:dyDescent="0.25">
      <c r="A48357" s="118"/>
      <c r="B48357" s="136"/>
    </row>
    <row r="48358" spans="1:2" x14ac:dyDescent="0.25">
      <c r="A48358" s="118"/>
      <c r="B48358" s="136"/>
    </row>
    <row r="48359" spans="1:2" x14ac:dyDescent="0.25">
      <c r="A48359" s="118"/>
      <c r="B48359" s="136"/>
    </row>
    <row r="48360" spans="1:2" x14ac:dyDescent="0.25">
      <c r="A48360" s="118"/>
      <c r="B48360" s="136"/>
    </row>
    <row r="48361" spans="1:2" x14ac:dyDescent="0.25">
      <c r="A48361" s="118"/>
      <c r="B48361" s="136"/>
    </row>
    <row r="48362" spans="1:2" x14ac:dyDescent="0.25">
      <c r="A48362" s="118"/>
      <c r="B48362" s="136"/>
    </row>
    <row r="48363" spans="1:2" x14ac:dyDescent="0.25">
      <c r="A48363" s="118"/>
      <c r="B48363" s="136"/>
    </row>
    <row r="48364" spans="1:2" x14ac:dyDescent="0.25">
      <c r="A48364" s="118"/>
      <c r="B48364" s="136"/>
    </row>
    <row r="48365" spans="1:2" x14ac:dyDescent="0.25">
      <c r="A48365" s="118"/>
      <c r="B48365" s="136"/>
    </row>
    <row r="48366" spans="1:2" x14ac:dyDescent="0.25">
      <c r="A48366" s="118"/>
      <c r="B48366" s="136"/>
    </row>
    <row r="48367" spans="1:2" x14ac:dyDescent="0.25">
      <c r="A48367" s="118"/>
      <c r="B48367" s="136"/>
    </row>
    <row r="48368" spans="1:2" x14ac:dyDescent="0.25">
      <c r="A48368" s="118"/>
      <c r="B48368" s="136"/>
    </row>
    <row r="48369" spans="1:2" x14ac:dyDescent="0.25">
      <c r="A48369" s="118"/>
      <c r="B48369" s="136"/>
    </row>
    <row r="48370" spans="1:2" x14ac:dyDescent="0.25">
      <c r="A48370" s="118"/>
      <c r="B48370" s="136"/>
    </row>
    <row r="48371" spans="1:2" x14ac:dyDescent="0.25">
      <c r="A48371" s="118"/>
      <c r="B48371" s="136"/>
    </row>
    <row r="48372" spans="1:2" x14ac:dyDescent="0.25">
      <c r="A48372" s="118"/>
      <c r="B48372" s="136"/>
    </row>
    <row r="48373" spans="1:2" x14ac:dyDescent="0.25">
      <c r="A48373" s="118"/>
      <c r="B48373" s="136"/>
    </row>
    <row r="48374" spans="1:2" x14ac:dyDescent="0.25">
      <c r="A48374" s="118"/>
      <c r="B48374" s="136"/>
    </row>
    <row r="48375" spans="1:2" x14ac:dyDescent="0.25">
      <c r="A48375" s="118"/>
      <c r="B48375" s="136"/>
    </row>
    <row r="48376" spans="1:2" x14ac:dyDescent="0.25">
      <c r="A48376" s="118"/>
      <c r="B48376" s="136"/>
    </row>
    <row r="48377" spans="1:2" x14ac:dyDescent="0.25">
      <c r="A48377" s="118"/>
      <c r="B48377" s="136"/>
    </row>
    <row r="48378" spans="1:2" x14ac:dyDescent="0.25">
      <c r="A48378" s="118"/>
      <c r="B48378" s="136"/>
    </row>
    <row r="48379" spans="1:2" x14ac:dyDescent="0.25">
      <c r="A48379" s="118"/>
      <c r="B48379" s="136"/>
    </row>
    <row r="48380" spans="1:2" x14ac:dyDescent="0.25">
      <c r="A48380" s="118"/>
      <c r="B48380" s="136"/>
    </row>
    <row r="48381" spans="1:2" x14ac:dyDescent="0.25">
      <c r="A48381" s="118"/>
      <c r="B48381" s="136"/>
    </row>
    <row r="48382" spans="1:2" x14ac:dyDescent="0.25">
      <c r="A48382" s="118"/>
      <c r="B48382" s="136"/>
    </row>
    <row r="48383" spans="1:2" x14ac:dyDescent="0.25">
      <c r="A48383" s="118"/>
      <c r="B48383" s="136"/>
    </row>
    <row r="48384" spans="1:2" x14ac:dyDescent="0.25">
      <c r="A48384" s="118"/>
      <c r="B48384" s="136"/>
    </row>
    <row r="48385" spans="1:2" x14ac:dyDescent="0.25">
      <c r="A48385" s="118"/>
      <c r="B48385" s="136"/>
    </row>
    <row r="48386" spans="1:2" x14ac:dyDescent="0.25">
      <c r="A48386" s="118"/>
      <c r="B48386" s="136"/>
    </row>
    <row r="48387" spans="1:2" x14ac:dyDescent="0.25">
      <c r="A48387" s="118"/>
      <c r="B48387" s="136"/>
    </row>
    <row r="48388" spans="1:2" x14ac:dyDescent="0.25">
      <c r="A48388" s="118"/>
      <c r="B48388" s="136"/>
    </row>
    <row r="48389" spans="1:2" x14ac:dyDescent="0.25">
      <c r="A48389" s="118"/>
      <c r="B48389" s="136"/>
    </row>
    <row r="48390" spans="1:2" x14ac:dyDescent="0.25">
      <c r="A48390" s="118"/>
      <c r="B48390" s="136"/>
    </row>
    <row r="48391" spans="1:2" x14ac:dyDescent="0.25">
      <c r="A48391" s="118"/>
      <c r="B48391" s="136"/>
    </row>
    <row r="48392" spans="1:2" x14ac:dyDescent="0.25">
      <c r="A48392" s="118"/>
      <c r="B48392" s="136"/>
    </row>
    <row r="48393" spans="1:2" x14ac:dyDescent="0.25">
      <c r="A48393" s="118"/>
      <c r="B48393" s="136"/>
    </row>
    <row r="48394" spans="1:2" x14ac:dyDescent="0.25">
      <c r="A48394" s="118"/>
      <c r="B48394" s="136"/>
    </row>
    <row r="48395" spans="1:2" x14ac:dyDescent="0.25">
      <c r="A48395" s="118"/>
      <c r="B48395" s="136"/>
    </row>
    <row r="48396" spans="1:2" x14ac:dyDescent="0.25">
      <c r="A48396" s="118"/>
      <c r="B48396" s="136"/>
    </row>
    <row r="48397" spans="1:2" x14ac:dyDescent="0.25">
      <c r="A48397" s="118"/>
      <c r="B48397" s="136"/>
    </row>
    <row r="48398" spans="1:2" x14ac:dyDescent="0.25">
      <c r="A48398" s="118"/>
      <c r="B48398" s="136"/>
    </row>
    <row r="48399" spans="1:2" x14ac:dyDescent="0.25">
      <c r="A48399" s="118"/>
      <c r="B48399" s="136"/>
    </row>
    <row r="48400" spans="1:2" x14ac:dyDescent="0.25">
      <c r="A48400" s="118"/>
      <c r="B48400" s="136"/>
    </row>
    <row r="48401" spans="1:2" x14ac:dyDescent="0.25">
      <c r="A48401" s="118"/>
      <c r="B48401" s="136"/>
    </row>
    <row r="48402" spans="1:2" x14ac:dyDescent="0.25">
      <c r="A48402" s="118"/>
      <c r="B48402" s="136"/>
    </row>
    <row r="48403" spans="1:2" x14ac:dyDescent="0.25">
      <c r="A48403" s="118"/>
      <c r="B48403" s="136"/>
    </row>
    <row r="48404" spans="1:2" x14ac:dyDescent="0.25">
      <c r="A48404" s="118"/>
      <c r="B48404" s="136"/>
    </row>
    <row r="48405" spans="1:2" x14ac:dyDescent="0.25">
      <c r="A48405" s="118"/>
      <c r="B48405" s="136"/>
    </row>
    <row r="48406" spans="1:2" x14ac:dyDescent="0.25">
      <c r="A48406" s="118"/>
      <c r="B48406" s="136"/>
    </row>
    <row r="48407" spans="1:2" x14ac:dyDescent="0.25">
      <c r="A48407" s="118"/>
      <c r="B48407" s="136"/>
    </row>
    <row r="48408" spans="1:2" x14ac:dyDescent="0.25">
      <c r="A48408" s="118"/>
      <c r="B48408" s="136"/>
    </row>
    <row r="48409" spans="1:2" x14ac:dyDescent="0.25">
      <c r="A48409" s="118"/>
      <c r="B48409" s="136"/>
    </row>
    <row r="48410" spans="1:2" x14ac:dyDescent="0.25">
      <c r="A48410" s="118"/>
      <c r="B48410" s="136"/>
    </row>
    <row r="48411" spans="1:2" x14ac:dyDescent="0.25">
      <c r="A48411" s="118"/>
      <c r="B48411" s="136"/>
    </row>
    <row r="48412" spans="1:2" x14ac:dyDescent="0.25">
      <c r="A48412" s="118"/>
      <c r="B48412" s="136"/>
    </row>
    <row r="48413" spans="1:2" x14ac:dyDescent="0.25">
      <c r="A48413" s="118"/>
      <c r="B48413" s="136"/>
    </row>
    <row r="48414" spans="1:2" x14ac:dyDescent="0.25">
      <c r="A48414" s="118"/>
      <c r="B48414" s="136"/>
    </row>
    <row r="48415" spans="1:2" x14ac:dyDescent="0.25">
      <c r="A48415" s="118"/>
      <c r="B48415" s="136"/>
    </row>
    <row r="48416" spans="1:2" x14ac:dyDescent="0.25">
      <c r="A48416" s="118"/>
      <c r="B48416" s="136"/>
    </row>
    <row r="48417" spans="1:2" x14ac:dyDescent="0.25">
      <c r="A48417" s="118"/>
      <c r="B48417" s="136"/>
    </row>
    <row r="48418" spans="1:2" x14ac:dyDescent="0.25">
      <c r="A48418" s="118"/>
      <c r="B48418" s="136"/>
    </row>
    <row r="48419" spans="1:2" x14ac:dyDescent="0.25">
      <c r="A48419" s="118"/>
      <c r="B48419" s="136"/>
    </row>
    <row r="48420" spans="1:2" x14ac:dyDescent="0.25">
      <c r="A48420" s="118"/>
      <c r="B48420" s="136"/>
    </row>
    <row r="48421" spans="1:2" x14ac:dyDescent="0.25">
      <c r="A48421" s="118"/>
      <c r="B48421" s="136"/>
    </row>
    <row r="48422" spans="1:2" x14ac:dyDescent="0.25">
      <c r="A48422" s="118"/>
      <c r="B48422" s="136"/>
    </row>
    <row r="48423" spans="1:2" x14ac:dyDescent="0.25">
      <c r="A48423" s="118"/>
      <c r="B48423" s="136"/>
    </row>
    <row r="48424" spans="1:2" x14ac:dyDescent="0.25">
      <c r="A48424" s="118"/>
      <c r="B48424" s="136"/>
    </row>
    <row r="48425" spans="1:2" x14ac:dyDescent="0.25">
      <c r="A48425" s="118"/>
      <c r="B48425" s="136"/>
    </row>
    <row r="48426" spans="1:2" x14ac:dyDescent="0.25">
      <c r="A48426" s="118"/>
      <c r="B48426" s="136"/>
    </row>
    <row r="48427" spans="1:2" x14ac:dyDescent="0.25">
      <c r="A48427" s="118"/>
      <c r="B48427" s="136"/>
    </row>
    <row r="48428" spans="1:2" x14ac:dyDescent="0.25">
      <c r="A48428" s="118"/>
      <c r="B48428" s="136"/>
    </row>
    <row r="48429" spans="1:2" x14ac:dyDescent="0.25">
      <c r="A48429" s="118"/>
      <c r="B48429" s="136"/>
    </row>
    <row r="48430" spans="1:2" x14ac:dyDescent="0.25">
      <c r="A48430" s="118"/>
      <c r="B48430" s="136"/>
    </row>
    <row r="48431" spans="1:2" x14ac:dyDescent="0.25">
      <c r="A48431" s="118"/>
      <c r="B48431" s="136"/>
    </row>
    <row r="48432" spans="1:2" x14ac:dyDescent="0.25">
      <c r="A48432" s="118"/>
      <c r="B48432" s="136"/>
    </row>
    <row r="48433" spans="1:2" x14ac:dyDescent="0.25">
      <c r="A48433" s="118"/>
      <c r="B48433" s="136"/>
    </row>
    <row r="48434" spans="1:2" x14ac:dyDescent="0.25">
      <c r="A48434" s="118"/>
      <c r="B48434" s="136"/>
    </row>
    <row r="48435" spans="1:2" x14ac:dyDescent="0.25">
      <c r="A48435" s="118"/>
      <c r="B48435" s="136"/>
    </row>
    <row r="48436" spans="1:2" x14ac:dyDescent="0.25">
      <c r="A48436" s="118"/>
      <c r="B48436" s="136"/>
    </row>
    <row r="48437" spans="1:2" x14ac:dyDescent="0.25">
      <c r="A48437" s="118"/>
      <c r="B48437" s="136"/>
    </row>
    <row r="48438" spans="1:2" x14ac:dyDescent="0.25">
      <c r="A48438" s="118"/>
      <c r="B48438" s="136"/>
    </row>
    <row r="48439" spans="1:2" x14ac:dyDescent="0.25">
      <c r="A48439" s="118"/>
      <c r="B48439" s="136"/>
    </row>
    <row r="48440" spans="1:2" x14ac:dyDescent="0.25">
      <c r="A48440" s="118"/>
      <c r="B48440" s="136"/>
    </row>
    <row r="48441" spans="1:2" x14ac:dyDescent="0.25">
      <c r="A48441" s="118"/>
      <c r="B48441" s="136"/>
    </row>
    <row r="48442" spans="1:2" x14ac:dyDescent="0.25">
      <c r="A48442" s="118"/>
      <c r="B48442" s="136"/>
    </row>
    <row r="48443" spans="1:2" x14ac:dyDescent="0.25">
      <c r="A48443" s="118"/>
      <c r="B48443" s="136"/>
    </row>
    <row r="48444" spans="1:2" x14ac:dyDescent="0.25">
      <c r="A48444" s="118"/>
      <c r="B48444" s="136"/>
    </row>
    <row r="48445" spans="1:2" x14ac:dyDescent="0.25">
      <c r="A48445" s="118"/>
      <c r="B48445" s="136"/>
    </row>
    <row r="48446" spans="1:2" x14ac:dyDescent="0.25">
      <c r="A48446" s="118"/>
      <c r="B48446" s="136"/>
    </row>
    <row r="48447" spans="1:2" x14ac:dyDescent="0.25">
      <c r="A48447" s="118"/>
      <c r="B48447" s="136"/>
    </row>
    <row r="48448" spans="1:2" x14ac:dyDescent="0.25">
      <c r="A48448" s="118"/>
      <c r="B48448" s="136"/>
    </row>
    <row r="48449" spans="1:2" x14ac:dyDescent="0.25">
      <c r="A48449" s="118"/>
      <c r="B48449" s="136"/>
    </row>
    <row r="48450" spans="1:2" x14ac:dyDescent="0.25">
      <c r="A48450" s="118"/>
      <c r="B48450" s="136"/>
    </row>
    <row r="48451" spans="1:2" x14ac:dyDescent="0.25">
      <c r="A48451" s="118"/>
      <c r="B48451" s="136"/>
    </row>
    <row r="48452" spans="1:2" x14ac:dyDescent="0.25">
      <c r="A48452" s="118"/>
      <c r="B48452" s="136"/>
    </row>
    <row r="48453" spans="1:2" x14ac:dyDescent="0.25">
      <c r="A48453" s="118"/>
      <c r="B48453" s="136"/>
    </row>
    <row r="48454" spans="1:2" x14ac:dyDescent="0.25">
      <c r="A48454" s="118"/>
      <c r="B48454" s="136"/>
    </row>
    <row r="48455" spans="1:2" x14ac:dyDescent="0.25">
      <c r="A48455" s="118"/>
      <c r="B48455" s="136"/>
    </row>
    <row r="48456" spans="1:2" x14ac:dyDescent="0.25">
      <c r="A48456" s="118"/>
      <c r="B48456" s="136"/>
    </row>
    <row r="48457" spans="1:2" x14ac:dyDescent="0.25">
      <c r="A48457" s="118"/>
      <c r="B48457" s="136"/>
    </row>
    <row r="48458" spans="1:2" x14ac:dyDescent="0.25">
      <c r="A48458" s="118"/>
      <c r="B48458" s="136"/>
    </row>
    <row r="48459" spans="1:2" x14ac:dyDescent="0.25">
      <c r="A48459" s="118"/>
      <c r="B48459" s="136"/>
    </row>
    <row r="48460" spans="1:2" x14ac:dyDescent="0.25">
      <c r="A48460" s="118"/>
      <c r="B48460" s="136"/>
    </row>
    <row r="48461" spans="1:2" x14ac:dyDescent="0.25">
      <c r="A48461" s="118"/>
      <c r="B48461" s="136"/>
    </row>
    <row r="48462" spans="1:2" x14ac:dyDescent="0.25">
      <c r="A48462" s="118"/>
      <c r="B48462" s="136"/>
    </row>
    <row r="48463" spans="1:2" x14ac:dyDescent="0.25">
      <c r="A48463" s="118"/>
      <c r="B48463" s="136"/>
    </row>
    <row r="48464" spans="1:2" x14ac:dyDescent="0.25">
      <c r="A48464" s="118"/>
      <c r="B48464" s="136"/>
    </row>
    <row r="48465" spans="1:2" x14ac:dyDescent="0.25">
      <c r="A48465" s="118"/>
      <c r="B48465" s="136"/>
    </row>
    <row r="48466" spans="1:2" x14ac:dyDescent="0.25">
      <c r="A48466" s="118"/>
      <c r="B48466" s="136"/>
    </row>
    <row r="48467" spans="1:2" x14ac:dyDescent="0.25">
      <c r="A48467" s="118"/>
      <c r="B48467" s="136"/>
    </row>
    <row r="48468" spans="1:2" x14ac:dyDescent="0.25">
      <c r="A48468" s="118"/>
      <c r="B48468" s="136"/>
    </row>
    <row r="48469" spans="1:2" x14ac:dyDescent="0.25">
      <c r="A48469" s="118"/>
      <c r="B48469" s="136"/>
    </row>
    <row r="48470" spans="1:2" x14ac:dyDescent="0.25">
      <c r="A48470" s="118"/>
      <c r="B48470" s="136"/>
    </row>
    <row r="48471" spans="1:2" x14ac:dyDescent="0.25">
      <c r="A48471" s="118"/>
      <c r="B48471" s="136"/>
    </row>
    <row r="48472" spans="1:2" x14ac:dyDescent="0.25">
      <c r="A48472" s="118"/>
      <c r="B48472" s="136"/>
    </row>
    <row r="48473" spans="1:2" x14ac:dyDescent="0.25">
      <c r="A48473" s="118"/>
      <c r="B48473" s="136"/>
    </row>
    <row r="48474" spans="1:2" x14ac:dyDescent="0.25">
      <c r="A48474" s="118"/>
      <c r="B48474" s="136"/>
    </row>
    <row r="48475" spans="1:2" x14ac:dyDescent="0.25">
      <c r="A48475" s="118"/>
      <c r="B48475" s="136"/>
    </row>
    <row r="48476" spans="1:2" x14ac:dyDescent="0.25">
      <c r="A48476" s="118"/>
      <c r="B48476" s="136"/>
    </row>
    <row r="48477" spans="1:2" x14ac:dyDescent="0.25">
      <c r="A48477" s="118"/>
      <c r="B48477" s="136"/>
    </row>
    <row r="48478" spans="1:2" x14ac:dyDescent="0.25">
      <c r="A48478" s="118"/>
      <c r="B48478" s="136"/>
    </row>
    <row r="48479" spans="1:2" x14ac:dyDescent="0.25">
      <c r="A48479" s="118"/>
      <c r="B48479" s="136"/>
    </row>
    <row r="48480" spans="1:2" x14ac:dyDescent="0.25">
      <c r="A48480" s="118"/>
      <c r="B48480" s="136"/>
    </row>
    <row r="48481" spans="1:2" x14ac:dyDescent="0.25">
      <c r="A48481" s="118"/>
      <c r="B48481" s="136"/>
    </row>
    <row r="48482" spans="1:2" x14ac:dyDescent="0.25">
      <c r="A48482" s="118"/>
      <c r="B48482" s="136"/>
    </row>
    <row r="48483" spans="1:2" x14ac:dyDescent="0.25">
      <c r="A48483" s="118"/>
      <c r="B48483" s="136"/>
    </row>
    <row r="48484" spans="1:2" x14ac:dyDescent="0.25">
      <c r="A48484" s="118"/>
      <c r="B48484" s="136"/>
    </row>
    <row r="48485" spans="1:2" x14ac:dyDescent="0.25">
      <c r="A48485" s="118"/>
      <c r="B48485" s="136"/>
    </row>
    <row r="48486" spans="1:2" x14ac:dyDescent="0.25">
      <c r="A48486" s="118"/>
      <c r="B48486" s="136"/>
    </row>
    <row r="48487" spans="1:2" x14ac:dyDescent="0.25">
      <c r="A48487" s="118"/>
      <c r="B48487" s="136"/>
    </row>
    <row r="48488" spans="1:2" x14ac:dyDescent="0.25">
      <c r="A48488" s="118"/>
      <c r="B48488" s="136"/>
    </row>
    <row r="48489" spans="1:2" x14ac:dyDescent="0.25">
      <c r="A48489" s="118"/>
      <c r="B48489" s="136"/>
    </row>
    <row r="48490" spans="1:2" x14ac:dyDescent="0.25">
      <c r="A48490" s="118"/>
      <c r="B48490" s="136"/>
    </row>
    <row r="48491" spans="1:2" x14ac:dyDescent="0.25">
      <c r="A48491" s="118"/>
      <c r="B48491" s="136"/>
    </row>
    <row r="48492" spans="1:2" x14ac:dyDescent="0.25">
      <c r="A48492" s="118"/>
      <c r="B48492" s="136"/>
    </row>
    <row r="48493" spans="1:2" x14ac:dyDescent="0.25">
      <c r="A48493" s="118"/>
      <c r="B48493" s="136"/>
    </row>
    <row r="48494" spans="1:2" x14ac:dyDescent="0.25">
      <c r="A48494" s="118"/>
      <c r="B48494" s="136"/>
    </row>
    <row r="48495" spans="1:2" x14ac:dyDescent="0.25">
      <c r="A48495" s="118"/>
      <c r="B48495" s="136"/>
    </row>
    <row r="48496" spans="1:2" x14ac:dyDescent="0.25">
      <c r="A48496" s="118"/>
      <c r="B48496" s="136"/>
    </row>
    <row r="48497" spans="1:2" x14ac:dyDescent="0.25">
      <c r="A48497" s="118"/>
      <c r="B48497" s="136"/>
    </row>
    <row r="48498" spans="1:2" x14ac:dyDescent="0.25">
      <c r="A48498" s="118"/>
      <c r="B48498" s="136"/>
    </row>
    <row r="48499" spans="1:2" x14ac:dyDescent="0.25">
      <c r="A48499" s="118"/>
      <c r="B48499" s="136"/>
    </row>
    <row r="48500" spans="1:2" x14ac:dyDescent="0.25">
      <c r="A48500" s="118"/>
      <c r="B48500" s="136"/>
    </row>
    <row r="48501" spans="1:2" x14ac:dyDescent="0.25">
      <c r="A48501" s="118"/>
      <c r="B48501" s="136"/>
    </row>
    <row r="48502" spans="1:2" x14ac:dyDescent="0.25">
      <c r="A48502" s="118"/>
      <c r="B48502" s="136"/>
    </row>
    <row r="48503" spans="1:2" x14ac:dyDescent="0.25">
      <c r="A48503" s="118"/>
      <c r="B48503" s="136"/>
    </row>
    <row r="48504" spans="1:2" x14ac:dyDescent="0.25">
      <c r="A48504" s="118"/>
      <c r="B48504" s="136"/>
    </row>
    <row r="48505" spans="1:2" x14ac:dyDescent="0.25">
      <c r="A48505" s="118"/>
      <c r="B48505" s="136"/>
    </row>
    <row r="48506" spans="1:2" x14ac:dyDescent="0.25">
      <c r="A48506" s="118"/>
      <c r="B48506" s="136"/>
    </row>
    <row r="48507" spans="1:2" x14ac:dyDescent="0.25">
      <c r="A48507" s="118"/>
      <c r="B48507" s="136"/>
    </row>
    <row r="48508" spans="1:2" x14ac:dyDescent="0.25">
      <c r="A48508" s="118"/>
      <c r="B48508" s="136"/>
    </row>
    <row r="48509" spans="1:2" x14ac:dyDescent="0.25">
      <c r="A48509" s="118"/>
      <c r="B48509" s="136"/>
    </row>
    <row r="48510" spans="1:2" x14ac:dyDescent="0.25">
      <c r="A48510" s="118"/>
      <c r="B48510" s="136"/>
    </row>
    <row r="48511" spans="1:2" x14ac:dyDescent="0.25">
      <c r="A48511" s="118"/>
      <c r="B48511" s="136"/>
    </row>
    <row r="48512" spans="1:2" x14ac:dyDescent="0.25">
      <c r="A48512" s="118"/>
      <c r="B48512" s="136"/>
    </row>
    <row r="48513" spans="1:2" x14ac:dyDescent="0.25">
      <c r="A48513" s="118"/>
      <c r="B48513" s="136"/>
    </row>
    <row r="48514" spans="1:2" x14ac:dyDescent="0.25">
      <c r="A48514" s="118"/>
      <c r="B48514" s="136"/>
    </row>
    <row r="48515" spans="1:2" x14ac:dyDescent="0.25">
      <c r="A48515" s="118"/>
      <c r="B48515" s="136"/>
    </row>
    <row r="48516" spans="1:2" x14ac:dyDescent="0.25">
      <c r="A48516" s="118"/>
      <c r="B48516" s="136"/>
    </row>
    <row r="48517" spans="1:2" x14ac:dyDescent="0.25">
      <c r="A48517" s="118"/>
      <c r="B48517" s="136"/>
    </row>
    <row r="48518" spans="1:2" x14ac:dyDescent="0.25">
      <c r="A48518" s="118"/>
      <c r="B48518" s="136"/>
    </row>
    <row r="48519" spans="1:2" x14ac:dyDescent="0.25">
      <c r="A48519" s="118"/>
      <c r="B48519" s="136"/>
    </row>
    <row r="48520" spans="1:2" x14ac:dyDescent="0.25">
      <c r="A48520" s="118"/>
      <c r="B48520" s="136"/>
    </row>
    <row r="48521" spans="1:2" x14ac:dyDescent="0.25">
      <c r="A48521" s="118"/>
      <c r="B48521" s="136"/>
    </row>
    <row r="48522" spans="1:2" x14ac:dyDescent="0.25">
      <c r="A48522" s="118"/>
      <c r="B48522" s="136"/>
    </row>
    <row r="48523" spans="1:2" x14ac:dyDescent="0.25">
      <c r="A48523" s="118"/>
      <c r="B48523" s="136"/>
    </row>
    <row r="48524" spans="1:2" x14ac:dyDescent="0.25">
      <c r="A48524" s="118"/>
      <c r="B48524" s="136"/>
    </row>
    <row r="48525" spans="1:2" x14ac:dyDescent="0.25">
      <c r="A48525" s="118"/>
      <c r="B48525" s="136"/>
    </row>
    <row r="48526" spans="1:2" x14ac:dyDescent="0.25">
      <c r="A48526" s="118"/>
      <c r="B48526" s="136"/>
    </row>
    <row r="48527" spans="1:2" x14ac:dyDescent="0.25">
      <c r="A48527" s="118"/>
      <c r="B48527" s="136"/>
    </row>
    <row r="48528" spans="1:2" x14ac:dyDescent="0.25">
      <c r="A48528" s="118"/>
      <c r="B48528" s="136"/>
    </row>
    <row r="48529" spans="1:2" x14ac:dyDescent="0.25">
      <c r="A48529" s="118"/>
      <c r="B48529" s="136"/>
    </row>
    <row r="48530" spans="1:2" x14ac:dyDescent="0.25">
      <c r="A48530" s="118"/>
      <c r="B48530" s="136"/>
    </row>
    <row r="48531" spans="1:2" x14ac:dyDescent="0.25">
      <c r="A48531" s="118"/>
      <c r="B48531" s="136"/>
    </row>
    <row r="48532" spans="1:2" x14ac:dyDescent="0.25">
      <c r="A48532" s="118"/>
      <c r="B48532" s="136"/>
    </row>
    <row r="48533" spans="1:2" x14ac:dyDescent="0.25">
      <c r="A48533" s="118"/>
      <c r="B48533" s="136"/>
    </row>
    <row r="48534" spans="1:2" x14ac:dyDescent="0.25">
      <c r="A48534" s="118"/>
      <c r="B48534" s="136"/>
    </row>
    <row r="48535" spans="1:2" x14ac:dyDescent="0.25">
      <c r="A48535" s="118"/>
      <c r="B48535" s="136"/>
    </row>
    <row r="48536" spans="1:2" x14ac:dyDescent="0.25">
      <c r="A48536" s="118"/>
      <c r="B48536" s="136"/>
    </row>
    <row r="48537" spans="1:2" x14ac:dyDescent="0.25">
      <c r="A48537" s="118"/>
      <c r="B48537" s="136"/>
    </row>
    <row r="48538" spans="1:2" x14ac:dyDescent="0.25">
      <c r="A48538" s="118"/>
      <c r="B48538" s="136"/>
    </row>
    <row r="48539" spans="1:2" x14ac:dyDescent="0.25">
      <c r="A48539" s="118"/>
      <c r="B48539" s="136"/>
    </row>
    <row r="48540" spans="1:2" x14ac:dyDescent="0.25">
      <c r="A48540" s="118"/>
      <c r="B48540" s="136"/>
    </row>
    <row r="48541" spans="1:2" x14ac:dyDescent="0.25">
      <c r="A48541" s="118"/>
      <c r="B48541" s="136"/>
    </row>
    <row r="48542" spans="1:2" x14ac:dyDescent="0.25">
      <c r="A48542" s="118"/>
      <c r="B48542" s="136"/>
    </row>
    <row r="48543" spans="1:2" x14ac:dyDescent="0.25">
      <c r="A48543" s="118"/>
      <c r="B48543" s="136"/>
    </row>
    <row r="48544" spans="1:2" x14ac:dyDescent="0.25">
      <c r="A48544" s="118"/>
      <c r="B48544" s="136"/>
    </row>
    <row r="48545" spans="1:2" x14ac:dyDescent="0.25">
      <c r="A48545" s="118"/>
      <c r="B48545" s="136"/>
    </row>
    <row r="48546" spans="1:2" x14ac:dyDescent="0.25">
      <c r="A48546" s="118"/>
      <c r="B48546" s="136"/>
    </row>
    <row r="48547" spans="1:2" x14ac:dyDescent="0.25">
      <c r="A48547" s="118"/>
      <c r="B48547" s="136"/>
    </row>
    <row r="48548" spans="1:2" x14ac:dyDescent="0.25">
      <c r="A48548" s="118"/>
      <c r="B48548" s="136"/>
    </row>
    <row r="48549" spans="1:2" x14ac:dyDescent="0.25">
      <c r="A48549" s="118"/>
      <c r="B48549" s="136"/>
    </row>
    <row r="48550" spans="1:2" x14ac:dyDescent="0.25">
      <c r="A48550" s="118"/>
      <c r="B48550" s="136"/>
    </row>
    <row r="48551" spans="1:2" x14ac:dyDescent="0.25">
      <c r="A48551" s="118"/>
      <c r="B48551" s="136"/>
    </row>
    <row r="48552" spans="1:2" x14ac:dyDescent="0.25">
      <c r="A48552" s="118"/>
      <c r="B48552" s="136"/>
    </row>
    <row r="48553" spans="1:2" x14ac:dyDescent="0.25">
      <c r="A48553" s="118"/>
      <c r="B48553" s="136"/>
    </row>
    <row r="48554" spans="1:2" x14ac:dyDescent="0.25">
      <c r="A48554" s="118"/>
      <c r="B48554" s="136"/>
    </row>
    <row r="48555" spans="1:2" x14ac:dyDescent="0.25">
      <c r="A48555" s="118"/>
      <c r="B48555" s="136"/>
    </row>
    <row r="48556" spans="1:2" x14ac:dyDescent="0.25">
      <c r="A48556" s="118"/>
      <c r="B48556" s="136"/>
    </row>
    <row r="48557" spans="1:2" x14ac:dyDescent="0.25">
      <c r="A48557" s="118"/>
      <c r="B48557" s="136"/>
    </row>
    <row r="48558" spans="1:2" x14ac:dyDescent="0.25">
      <c r="A48558" s="118"/>
      <c r="B48558" s="136"/>
    </row>
    <row r="48559" spans="1:2" x14ac:dyDescent="0.25">
      <c r="A48559" s="118"/>
      <c r="B48559" s="136"/>
    </row>
    <row r="48560" spans="1:2" x14ac:dyDescent="0.25">
      <c r="A48560" s="118"/>
      <c r="B48560" s="136"/>
    </row>
    <row r="48561" spans="1:2" x14ac:dyDescent="0.25">
      <c r="A48561" s="118"/>
      <c r="B48561" s="136"/>
    </row>
    <row r="48562" spans="1:2" x14ac:dyDescent="0.25">
      <c r="A48562" s="118"/>
      <c r="B48562" s="136"/>
    </row>
    <row r="48563" spans="1:2" x14ac:dyDescent="0.25">
      <c r="A48563" s="118"/>
      <c r="B48563" s="136"/>
    </row>
    <row r="48564" spans="1:2" x14ac:dyDescent="0.25">
      <c r="A48564" s="118"/>
      <c r="B48564" s="136"/>
    </row>
    <row r="48565" spans="1:2" x14ac:dyDescent="0.25">
      <c r="A48565" s="118"/>
      <c r="B48565" s="136"/>
    </row>
    <row r="48566" spans="1:2" x14ac:dyDescent="0.25">
      <c r="A48566" s="118"/>
      <c r="B48566" s="136"/>
    </row>
    <row r="48567" spans="1:2" x14ac:dyDescent="0.25">
      <c r="A48567" s="118"/>
      <c r="B48567" s="136"/>
    </row>
    <row r="48568" spans="1:2" x14ac:dyDescent="0.25">
      <c r="A48568" s="118"/>
      <c r="B48568" s="136"/>
    </row>
    <row r="48569" spans="1:2" x14ac:dyDescent="0.25">
      <c r="A48569" s="118"/>
      <c r="B48569" s="136"/>
    </row>
    <row r="48570" spans="1:2" x14ac:dyDescent="0.25">
      <c r="A48570" s="118"/>
      <c r="B48570" s="136"/>
    </row>
    <row r="48571" spans="1:2" x14ac:dyDescent="0.25">
      <c r="A48571" s="118"/>
      <c r="B48571" s="136"/>
    </row>
    <row r="48572" spans="1:2" x14ac:dyDescent="0.25">
      <c r="A48572" s="118"/>
      <c r="B48572" s="136"/>
    </row>
    <row r="48573" spans="1:2" x14ac:dyDescent="0.25">
      <c r="A48573" s="118"/>
      <c r="B48573" s="136"/>
    </row>
    <row r="48574" spans="1:2" x14ac:dyDescent="0.25">
      <c r="A48574" s="118"/>
      <c r="B48574" s="136"/>
    </row>
    <row r="48575" spans="1:2" x14ac:dyDescent="0.25">
      <c r="A48575" s="118"/>
      <c r="B48575" s="136"/>
    </row>
    <row r="48576" spans="1:2" x14ac:dyDescent="0.25">
      <c r="A48576" s="118"/>
      <c r="B48576" s="136"/>
    </row>
    <row r="48577" spans="1:2" x14ac:dyDescent="0.25">
      <c r="A48577" s="118"/>
      <c r="B48577" s="136"/>
    </row>
    <row r="48578" spans="1:2" x14ac:dyDescent="0.25">
      <c r="A48578" s="118"/>
      <c r="B48578" s="136"/>
    </row>
    <row r="48579" spans="1:2" x14ac:dyDescent="0.25">
      <c r="A48579" s="118"/>
      <c r="B48579" s="136"/>
    </row>
    <row r="48580" spans="1:2" x14ac:dyDescent="0.25">
      <c r="A48580" s="118"/>
      <c r="B48580" s="136"/>
    </row>
    <row r="48581" spans="1:2" x14ac:dyDescent="0.25">
      <c r="A48581" s="118"/>
      <c r="B48581" s="136"/>
    </row>
    <row r="48582" spans="1:2" x14ac:dyDescent="0.25">
      <c r="A48582" s="118"/>
      <c r="B48582" s="136"/>
    </row>
    <row r="48583" spans="1:2" x14ac:dyDescent="0.25">
      <c r="A48583" s="118"/>
      <c r="B48583" s="136"/>
    </row>
    <row r="48584" spans="1:2" x14ac:dyDescent="0.25">
      <c r="A48584" s="118"/>
      <c r="B48584" s="136"/>
    </row>
    <row r="48585" spans="1:2" x14ac:dyDescent="0.25">
      <c r="A48585" s="118"/>
      <c r="B48585" s="136"/>
    </row>
    <row r="48586" spans="1:2" x14ac:dyDescent="0.25">
      <c r="A48586" s="118"/>
      <c r="B48586" s="136"/>
    </row>
    <row r="48587" spans="1:2" x14ac:dyDescent="0.25">
      <c r="A48587" s="118"/>
      <c r="B48587" s="136"/>
    </row>
    <row r="48588" spans="1:2" x14ac:dyDescent="0.25">
      <c r="A48588" s="118"/>
      <c r="B48588" s="136"/>
    </row>
    <row r="48589" spans="1:2" x14ac:dyDescent="0.25">
      <c r="A48589" s="118"/>
      <c r="B48589" s="136"/>
    </row>
    <row r="48590" spans="1:2" x14ac:dyDescent="0.25">
      <c r="A48590" s="118"/>
      <c r="B48590" s="136"/>
    </row>
    <row r="48591" spans="1:2" x14ac:dyDescent="0.25">
      <c r="A48591" s="118"/>
      <c r="B48591" s="136"/>
    </row>
    <row r="48592" spans="1:2" x14ac:dyDescent="0.25">
      <c r="A48592" s="118"/>
      <c r="B48592" s="136"/>
    </row>
    <row r="48593" spans="1:2" x14ac:dyDescent="0.25">
      <c r="A48593" s="118"/>
      <c r="B48593" s="136"/>
    </row>
    <row r="48594" spans="1:2" x14ac:dyDescent="0.25">
      <c r="A48594" s="118"/>
      <c r="B48594" s="136"/>
    </row>
    <row r="48595" spans="1:2" x14ac:dyDescent="0.25">
      <c r="A48595" s="118"/>
      <c r="B48595" s="136"/>
    </row>
    <row r="48596" spans="1:2" x14ac:dyDescent="0.25">
      <c r="A48596" s="118"/>
      <c r="B48596" s="136"/>
    </row>
    <row r="48597" spans="1:2" x14ac:dyDescent="0.25">
      <c r="A48597" s="118"/>
      <c r="B48597" s="136"/>
    </row>
    <row r="48598" spans="1:2" x14ac:dyDescent="0.25">
      <c r="A48598" s="118"/>
      <c r="B48598" s="136"/>
    </row>
    <row r="48599" spans="1:2" x14ac:dyDescent="0.25">
      <c r="A48599" s="118"/>
      <c r="B48599" s="136"/>
    </row>
    <row r="48600" spans="1:2" x14ac:dyDescent="0.25">
      <c r="A48600" s="118"/>
      <c r="B48600" s="136"/>
    </row>
    <row r="48601" spans="1:2" x14ac:dyDescent="0.25">
      <c r="A48601" s="118"/>
      <c r="B48601" s="136"/>
    </row>
    <row r="48602" spans="1:2" x14ac:dyDescent="0.25">
      <c r="A48602" s="118"/>
      <c r="B48602" s="136"/>
    </row>
    <row r="48603" spans="1:2" x14ac:dyDescent="0.25">
      <c r="A48603" s="118"/>
      <c r="B48603" s="136"/>
    </row>
    <row r="48604" spans="1:2" x14ac:dyDescent="0.25">
      <c r="A48604" s="118"/>
      <c r="B48604" s="136"/>
    </row>
    <row r="48605" spans="1:2" x14ac:dyDescent="0.25">
      <c r="A48605" s="118"/>
      <c r="B48605" s="136"/>
    </row>
    <row r="48606" spans="1:2" x14ac:dyDescent="0.25">
      <c r="A48606" s="118"/>
      <c r="B48606" s="136"/>
    </row>
    <row r="48607" spans="1:2" x14ac:dyDescent="0.25">
      <c r="A48607" s="118"/>
      <c r="B48607" s="136"/>
    </row>
    <row r="48608" spans="1:2" x14ac:dyDescent="0.25">
      <c r="A48608" s="118"/>
      <c r="B48608" s="136"/>
    </row>
    <row r="48609" spans="1:2" x14ac:dyDescent="0.25">
      <c r="A48609" s="118"/>
      <c r="B48609" s="136"/>
    </row>
    <row r="48610" spans="1:2" x14ac:dyDescent="0.25">
      <c r="A48610" s="118"/>
      <c r="B48610" s="136"/>
    </row>
    <row r="48611" spans="1:2" x14ac:dyDescent="0.25">
      <c r="A48611" s="118"/>
      <c r="B48611" s="136"/>
    </row>
    <row r="48612" spans="1:2" x14ac:dyDescent="0.25">
      <c r="A48612" s="118"/>
      <c r="B48612" s="136"/>
    </row>
    <row r="48613" spans="1:2" x14ac:dyDescent="0.25">
      <c r="A48613" s="118"/>
      <c r="B48613" s="136"/>
    </row>
    <row r="48614" spans="1:2" x14ac:dyDescent="0.25">
      <c r="A48614" s="118"/>
      <c r="B48614" s="136"/>
    </row>
    <row r="48615" spans="1:2" x14ac:dyDescent="0.25">
      <c r="A48615" s="118"/>
      <c r="B48615" s="136"/>
    </row>
    <row r="48616" spans="1:2" x14ac:dyDescent="0.25">
      <c r="A48616" s="118"/>
      <c r="B48616" s="136"/>
    </row>
    <row r="48617" spans="1:2" x14ac:dyDescent="0.25">
      <c r="A48617" s="118"/>
      <c r="B48617" s="136"/>
    </row>
    <row r="48618" spans="1:2" x14ac:dyDescent="0.25">
      <c r="A48618" s="118"/>
      <c r="B48618" s="136"/>
    </row>
    <row r="48619" spans="1:2" x14ac:dyDescent="0.25">
      <c r="A48619" s="118"/>
      <c r="B48619" s="136"/>
    </row>
    <row r="48620" spans="1:2" x14ac:dyDescent="0.25">
      <c r="A48620" s="118"/>
      <c r="B48620" s="136"/>
    </row>
    <row r="48621" spans="1:2" x14ac:dyDescent="0.25">
      <c r="A48621" s="118"/>
      <c r="B48621" s="136"/>
    </row>
    <row r="48622" spans="1:2" x14ac:dyDescent="0.25">
      <c r="A48622" s="118"/>
      <c r="B48622" s="136"/>
    </row>
    <row r="48623" spans="1:2" x14ac:dyDescent="0.25">
      <c r="A48623" s="118"/>
      <c r="B48623" s="136"/>
    </row>
    <row r="48624" spans="1:2" x14ac:dyDescent="0.25">
      <c r="A48624" s="118"/>
      <c r="B48624" s="136"/>
    </row>
    <row r="48625" spans="1:2" x14ac:dyDescent="0.25">
      <c r="A48625" s="118"/>
      <c r="B48625" s="136"/>
    </row>
    <row r="48626" spans="1:2" x14ac:dyDescent="0.25">
      <c r="A48626" s="118"/>
      <c r="B48626" s="136"/>
    </row>
    <row r="48627" spans="1:2" x14ac:dyDescent="0.25">
      <c r="A48627" s="118"/>
      <c r="B48627" s="136"/>
    </row>
    <row r="48628" spans="1:2" x14ac:dyDescent="0.25">
      <c r="A48628" s="118"/>
      <c r="B48628" s="136"/>
    </row>
    <row r="48629" spans="1:2" x14ac:dyDescent="0.25">
      <c r="A48629" s="118"/>
      <c r="B48629" s="136"/>
    </row>
    <row r="48630" spans="1:2" x14ac:dyDescent="0.25">
      <c r="A48630" s="118"/>
      <c r="B48630" s="136"/>
    </row>
    <row r="48631" spans="1:2" x14ac:dyDescent="0.25">
      <c r="A48631" s="118"/>
      <c r="B48631" s="136"/>
    </row>
    <row r="48632" spans="1:2" x14ac:dyDescent="0.25">
      <c r="A48632" s="118"/>
      <c r="B48632" s="136"/>
    </row>
    <row r="48633" spans="1:2" x14ac:dyDescent="0.25">
      <c r="A48633" s="118"/>
      <c r="B48633" s="136"/>
    </row>
    <row r="48634" spans="1:2" x14ac:dyDescent="0.25">
      <c r="A48634" s="118"/>
      <c r="B48634" s="136"/>
    </row>
    <row r="48635" spans="1:2" x14ac:dyDescent="0.25">
      <c r="A48635" s="118"/>
      <c r="B48635" s="136"/>
    </row>
    <row r="48636" spans="1:2" x14ac:dyDescent="0.25">
      <c r="A48636" s="118"/>
      <c r="B48636" s="136"/>
    </row>
    <row r="48637" spans="1:2" x14ac:dyDescent="0.25">
      <c r="A48637" s="118"/>
      <c r="B48637" s="136"/>
    </row>
    <row r="48638" spans="1:2" x14ac:dyDescent="0.25">
      <c r="A48638" s="118"/>
      <c r="B48638" s="136"/>
    </row>
    <row r="48639" spans="1:2" x14ac:dyDescent="0.25">
      <c r="A48639" s="118"/>
      <c r="B48639" s="136"/>
    </row>
    <row r="48640" spans="1:2" x14ac:dyDescent="0.25">
      <c r="A48640" s="118"/>
      <c r="B48640" s="136"/>
    </row>
    <row r="48641" spans="1:2" x14ac:dyDescent="0.25">
      <c r="A48641" s="118"/>
      <c r="B48641" s="136"/>
    </row>
    <row r="48642" spans="1:2" x14ac:dyDescent="0.25">
      <c r="A48642" s="118"/>
      <c r="B48642" s="136"/>
    </row>
    <row r="48643" spans="1:2" x14ac:dyDescent="0.25">
      <c r="A48643" s="118"/>
      <c r="B48643" s="136"/>
    </row>
    <row r="48644" spans="1:2" x14ac:dyDescent="0.25">
      <c r="A48644" s="118"/>
      <c r="B48644" s="136"/>
    </row>
    <row r="48645" spans="1:2" x14ac:dyDescent="0.25">
      <c r="A48645" s="118"/>
      <c r="B48645" s="136"/>
    </row>
    <row r="48646" spans="1:2" x14ac:dyDescent="0.25">
      <c r="A48646" s="118"/>
      <c r="B48646" s="136"/>
    </row>
    <row r="48647" spans="1:2" x14ac:dyDescent="0.25">
      <c r="A48647" s="118"/>
      <c r="B48647" s="136"/>
    </row>
    <row r="48648" spans="1:2" x14ac:dyDescent="0.25">
      <c r="A48648" s="118"/>
      <c r="B48648" s="136"/>
    </row>
    <row r="48649" spans="1:2" x14ac:dyDescent="0.25">
      <c r="A48649" s="118"/>
      <c r="B48649" s="136"/>
    </row>
    <row r="48650" spans="1:2" x14ac:dyDescent="0.25">
      <c r="A48650" s="118"/>
      <c r="B48650" s="136"/>
    </row>
    <row r="48651" spans="1:2" x14ac:dyDescent="0.25">
      <c r="A48651" s="118"/>
      <c r="B48651" s="136"/>
    </row>
    <row r="48652" spans="1:2" x14ac:dyDescent="0.25">
      <c r="A48652" s="118"/>
      <c r="B48652" s="136"/>
    </row>
    <row r="48653" spans="1:2" x14ac:dyDescent="0.25">
      <c r="A48653" s="118"/>
      <c r="B48653" s="136"/>
    </row>
    <row r="48654" spans="1:2" x14ac:dyDescent="0.25">
      <c r="A48654" s="118"/>
      <c r="B48654" s="136"/>
    </row>
    <row r="48655" spans="1:2" x14ac:dyDescent="0.25">
      <c r="A48655" s="118"/>
      <c r="B48655" s="136"/>
    </row>
    <row r="48656" spans="1:2" x14ac:dyDescent="0.25">
      <c r="A48656" s="118"/>
      <c r="B48656" s="136"/>
    </row>
    <row r="48657" spans="1:2" x14ac:dyDescent="0.25">
      <c r="A48657" s="118"/>
      <c r="B48657" s="136"/>
    </row>
    <row r="48658" spans="1:2" x14ac:dyDescent="0.25">
      <c r="A48658" s="118"/>
      <c r="B48658" s="136"/>
    </row>
    <row r="48659" spans="1:2" x14ac:dyDescent="0.25">
      <c r="A48659" s="118"/>
      <c r="B48659" s="136"/>
    </row>
    <row r="48660" spans="1:2" x14ac:dyDescent="0.25">
      <c r="A48660" s="118"/>
      <c r="B48660" s="136"/>
    </row>
    <row r="48661" spans="1:2" x14ac:dyDescent="0.25">
      <c r="A48661" s="118"/>
      <c r="B48661" s="136"/>
    </row>
    <row r="48662" spans="1:2" x14ac:dyDescent="0.25">
      <c r="A48662" s="118"/>
      <c r="B48662" s="136"/>
    </row>
    <row r="48663" spans="1:2" x14ac:dyDescent="0.25">
      <c r="A48663" s="118"/>
      <c r="B48663" s="136"/>
    </row>
    <row r="48664" spans="1:2" x14ac:dyDescent="0.25">
      <c r="A48664" s="118"/>
      <c r="B48664" s="136"/>
    </row>
    <row r="48665" spans="1:2" x14ac:dyDescent="0.25">
      <c r="A48665" s="118"/>
      <c r="B48665" s="136"/>
    </row>
    <row r="48666" spans="1:2" x14ac:dyDescent="0.25">
      <c r="A48666" s="118"/>
      <c r="B48666" s="136"/>
    </row>
    <row r="48667" spans="1:2" x14ac:dyDescent="0.25">
      <c r="A48667" s="118"/>
      <c r="B48667" s="136"/>
    </row>
    <row r="48668" spans="1:2" x14ac:dyDescent="0.25">
      <c r="A48668" s="118"/>
      <c r="B48668" s="136"/>
    </row>
    <row r="48669" spans="1:2" x14ac:dyDescent="0.25">
      <c r="A48669" s="118"/>
      <c r="B48669" s="136"/>
    </row>
    <row r="48670" spans="1:2" x14ac:dyDescent="0.25">
      <c r="A48670" s="118"/>
      <c r="B48670" s="136"/>
    </row>
    <row r="48671" spans="1:2" x14ac:dyDescent="0.25">
      <c r="A48671" s="118"/>
      <c r="B48671" s="136"/>
    </row>
    <row r="48672" spans="1:2" x14ac:dyDescent="0.25">
      <c r="A48672" s="118"/>
      <c r="B48672" s="136"/>
    </row>
    <row r="48673" spans="1:2" x14ac:dyDescent="0.25">
      <c r="A48673" s="118"/>
      <c r="B48673" s="136"/>
    </row>
    <row r="48674" spans="1:2" x14ac:dyDescent="0.25">
      <c r="A48674" s="118"/>
      <c r="B48674" s="136"/>
    </row>
    <row r="48675" spans="1:2" x14ac:dyDescent="0.25">
      <c r="A48675" s="118"/>
      <c r="B48675" s="136"/>
    </row>
    <row r="48676" spans="1:2" x14ac:dyDescent="0.25">
      <c r="A48676" s="118"/>
      <c r="B48676" s="136"/>
    </row>
    <row r="48677" spans="1:2" x14ac:dyDescent="0.25">
      <c r="A48677" s="118"/>
      <c r="B48677" s="136"/>
    </row>
    <row r="48678" spans="1:2" x14ac:dyDescent="0.25">
      <c r="A48678" s="118"/>
      <c r="B48678" s="136"/>
    </row>
    <row r="48679" spans="1:2" x14ac:dyDescent="0.25">
      <c r="A48679" s="118"/>
      <c r="B48679" s="136"/>
    </row>
    <row r="48680" spans="1:2" x14ac:dyDescent="0.25">
      <c r="A48680" s="118"/>
      <c r="B48680" s="136"/>
    </row>
    <row r="48681" spans="1:2" x14ac:dyDescent="0.25">
      <c r="A48681" s="118"/>
      <c r="B48681" s="136"/>
    </row>
    <row r="48682" spans="1:2" x14ac:dyDescent="0.25">
      <c r="A48682" s="118"/>
      <c r="B48682" s="136"/>
    </row>
    <row r="48683" spans="1:2" x14ac:dyDescent="0.25">
      <c r="A48683" s="118"/>
      <c r="B48683" s="136"/>
    </row>
    <row r="48684" spans="1:2" x14ac:dyDescent="0.25">
      <c r="A48684" s="118"/>
      <c r="B48684" s="136"/>
    </row>
    <row r="48685" spans="1:2" x14ac:dyDescent="0.25">
      <c r="A48685" s="118"/>
      <c r="B48685" s="136"/>
    </row>
    <row r="48686" spans="1:2" x14ac:dyDescent="0.25">
      <c r="A48686" s="118"/>
      <c r="B48686" s="136"/>
    </row>
    <row r="48687" spans="1:2" x14ac:dyDescent="0.25">
      <c r="A48687" s="118"/>
      <c r="B48687" s="136"/>
    </row>
    <row r="48688" spans="1:2" x14ac:dyDescent="0.25">
      <c r="A48688" s="118"/>
      <c r="B48688" s="136"/>
    </row>
    <row r="48689" spans="1:2" x14ac:dyDescent="0.25">
      <c r="A48689" s="118"/>
      <c r="B48689" s="136"/>
    </row>
    <row r="48690" spans="1:2" x14ac:dyDescent="0.25">
      <c r="A48690" s="118"/>
      <c r="B48690" s="136"/>
    </row>
    <row r="48691" spans="1:2" x14ac:dyDescent="0.25">
      <c r="A48691" s="118"/>
      <c r="B48691" s="136"/>
    </row>
    <row r="48692" spans="1:2" x14ac:dyDescent="0.25">
      <c r="A48692" s="118"/>
      <c r="B48692" s="136"/>
    </row>
    <row r="48693" spans="1:2" x14ac:dyDescent="0.25">
      <c r="A48693" s="118"/>
      <c r="B48693" s="136"/>
    </row>
    <row r="48694" spans="1:2" x14ac:dyDescent="0.25">
      <c r="A48694" s="118"/>
      <c r="B48694" s="136"/>
    </row>
    <row r="48695" spans="1:2" x14ac:dyDescent="0.25">
      <c r="A48695" s="118"/>
      <c r="B48695" s="136"/>
    </row>
    <row r="48696" spans="1:2" x14ac:dyDescent="0.25">
      <c r="A48696" s="118"/>
      <c r="B48696" s="136"/>
    </row>
    <row r="48697" spans="1:2" x14ac:dyDescent="0.25">
      <c r="A48697" s="118"/>
      <c r="B48697" s="136"/>
    </row>
    <row r="48698" spans="1:2" x14ac:dyDescent="0.25">
      <c r="A48698" s="118"/>
      <c r="B48698" s="136"/>
    </row>
    <row r="48699" spans="1:2" x14ac:dyDescent="0.25">
      <c r="A48699" s="118"/>
      <c r="B48699" s="136"/>
    </row>
    <row r="48700" spans="1:2" x14ac:dyDescent="0.25">
      <c r="A48700" s="118"/>
      <c r="B48700" s="136"/>
    </row>
    <row r="48701" spans="1:2" x14ac:dyDescent="0.25">
      <c r="A48701" s="118"/>
      <c r="B48701" s="136"/>
    </row>
    <row r="48702" spans="1:2" x14ac:dyDescent="0.25">
      <c r="A48702" s="118"/>
      <c r="B48702" s="136"/>
    </row>
    <row r="48703" spans="1:2" x14ac:dyDescent="0.25">
      <c r="A48703" s="118"/>
      <c r="B48703" s="136"/>
    </row>
    <row r="48704" spans="1:2" x14ac:dyDescent="0.25">
      <c r="A48704" s="118"/>
      <c r="B48704" s="136"/>
    </row>
    <row r="48705" spans="1:2" x14ac:dyDescent="0.25">
      <c r="A48705" s="118"/>
      <c r="B48705" s="136"/>
    </row>
    <row r="48706" spans="1:2" x14ac:dyDescent="0.25">
      <c r="A48706" s="118"/>
      <c r="B48706" s="136"/>
    </row>
    <row r="48707" spans="1:2" x14ac:dyDescent="0.25">
      <c r="A48707" s="118"/>
      <c r="B48707" s="136"/>
    </row>
    <row r="48708" spans="1:2" x14ac:dyDescent="0.25">
      <c r="A48708" s="118"/>
      <c r="B48708" s="136"/>
    </row>
    <row r="48709" spans="1:2" x14ac:dyDescent="0.25">
      <c r="A48709" s="118"/>
      <c r="B48709" s="136"/>
    </row>
    <row r="48710" spans="1:2" x14ac:dyDescent="0.25">
      <c r="A48710" s="118"/>
      <c r="B48710" s="136"/>
    </row>
    <row r="48711" spans="1:2" x14ac:dyDescent="0.25">
      <c r="A48711" s="118"/>
      <c r="B48711" s="136"/>
    </row>
    <row r="48712" spans="1:2" x14ac:dyDescent="0.25">
      <c r="A48712" s="118"/>
      <c r="B48712" s="136"/>
    </row>
    <row r="48713" spans="1:2" x14ac:dyDescent="0.25">
      <c r="A48713" s="118"/>
      <c r="B48713" s="136"/>
    </row>
    <row r="48714" spans="1:2" x14ac:dyDescent="0.25">
      <c r="A48714" s="118"/>
      <c r="B48714" s="136"/>
    </row>
    <row r="48715" spans="1:2" x14ac:dyDescent="0.25">
      <c r="A48715" s="118"/>
      <c r="B48715" s="136"/>
    </row>
    <row r="48716" spans="1:2" x14ac:dyDescent="0.25">
      <c r="A48716" s="118"/>
      <c r="B48716" s="136"/>
    </row>
    <row r="48717" spans="1:2" x14ac:dyDescent="0.25">
      <c r="A48717" s="118"/>
      <c r="B48717" s="136"/>
    </row>
    <row r="48718" spans="1:2" x14ac:dyDescent="0.25">
      <c r="A48718" s="118"/>
      <c r="B48718" s="136"/>
    </row>
    <row r="48719" spans="1:2" x14ac:dyDescent="0.25">
      <c r="A48719" s="118"/>
      <c r="B48719" s="136"/>
    </row>
    <row r="48720" spans="1:2" x14ac:dyDescent="0.25">
      <c r="A48720" s="118"/>
      <c r="B48720" s="136"/>
    </row>
    <row r="48721" spans="1:2" x14ac:dyDescent="0.25">
      <c r="A48721" s="118"/>
      <c r="B48721" s="136"/>
    </row>
    <row r="48722" spans="1:2" x14ac:dyDescent="0.25">
      <c r="A48722" s="118"/>
      <c r="B48722" s="136"/>
    </row>
    <row r="48723" spans="1:2" x14ac:dyDescent="0.25">
      <c r="A48723" s="118"/>
      <c r="B48723" s="136"/>
    </row>
    <row r="48724" spans="1:2" x14ac:dyDescent="0.25">
      <c r="A48724" s="118"/>
      <c r="B48724" s="136"/>
    </row>
    <row r="48725" spans="1:2" x14ac:dyDescent="0.25">
      <c r="A48725" s="118"/>
      <c r="B48725" s="136"/>
    </row>
    <row r="48726" spans="1:2" x14ac:dyDescent="0.25">
      <c r="A48726" s="118"/>
      <c r="B48726" s="136"/>
    </row>
    <row r="48727" spans="1:2" x14ac:dyDescent="0.25">
      <c r="A48727" s="118"/>
      <c r="B48727" s="136"/>
    </row>
    <row r="48728" spans="1:2" x14ac:dyDescent="0.25">
      <c r="A48728" s="118"/>
      <c r="B48728" s="136"/>
    </row>
    <row r="48729" spans="1:2" x14ac:dyDescent="0.25">
      <c r="A48729" s="118"/>
      <c r="B48729" s="136"/>
    </row>
    <row r="48730" spans="1:2" x14ac:dyDescent="0.25">
      <c r="A48730" s="118"/>
      <c r="B48730" s="136"/>
    </row>
    <row r="48731" spans="1:2" x14ac:dyDescent="0.25">
      <c r="A48731" s="118"/>
      <c r="B48731" s="136"/>
    </row>
    <row r="48732" spans="1:2" x14ac:dyDescent="0.25">
      <c r="A48732" s="118"/>
      <c r="B48732" s="136"/>
    </row>
    <row r="48733" spans="1:2" x14ac:dyDescent="0.25">
      <c r="A48733" s="118"/>
      <c r="B48733" s="136"/>
    </row>
    <row r="48734" spans="1:2" x14ac:dyDescent="0.25">
      <c r="A48734" s="118"/>
      <c r="B48734" s="136"/>
    </row>
    <row r="48735" spans="1:2" x14ac:dyDescent="0.25">
      <c r="A48735" s="118"/>
      <c r="B48735" s="136"/>
    </row>
    <row r="48736" spans="1:2" x14ac:dyDescent="0.25">
      <c r="A48736" s="118"/>
      <c r="B48736" s="136"/>
    </row>
    <row r="48737" spans="1:2" x14ac:dyDescent="0.25">
      <c r="A48737" s="118"/>
      <c r="B48737" s="136"/>
    </row>
    <row r="48738" spans="1:2" x14ac:dyDescent="0.25">
      <c r="A48738" s="118"/>
      <c r="B48738" s="136"/>
    </row>
    <row r="48739" spans="1:2" x14ac:dyDescent="0.25">
      <c r="A48739" s="118"/>
      <c r="B48739" s="136"/>
    </row>
    <row r="48740" spans="1:2" x14ac:dyDescent="0.25">
      <c r="A48740" s="118"/>
      <c r="B48740" s="136"/>
    </row>
    <row r="48741" spans="1:2" x14ac:dyDescent="0.25">
      <c r="A48741" s="118"/>
      <c r="B48741" s="136"/>
    </row>
    <row r="48742" spans="1:2" x14ac:dyDescent="0.25">
      <c r="A48742" s="118"/>
      <c r="B48742" s="136"/>
    </row>
    <row r="48743" spans="1:2" x14ac:dyDescent="0.25">
      <c r="A48743" s="118"/>
      <c r="B48743" s="136"/>
    </row>
    <row r="48744" spans="1:2" x14ac:dyDescent="0.25">
      <c r="A48744" s="118"/>
      <c r="B48744" s="136"/>
    </row>
    <row r="48745" spans="1:2" x14ac:dyDescent="0.25">
      <c r="A48745" s="118"/>
      <c r="B48745" s="136"/>
    </row>
    <row r="48746" spans="1:2" x14ac:dyDescent="0.25">
      <c r="A48746" s="118"/>
      <c r="B48746" s="136"/>
    </row>
    <row r="48747" spans="1:2" x14ac:dyDescent="0.25">
      <c r="A48747" s="118"/>
      <c r="B48747" s="136"/>
    </row>
    <row r="48748" spans="1:2" x14ac:dyDescent="0.25">
      <c r="A48748" s="118"/>
      <c r="B48748" s="136"/>
    </row>
    <row r="48749" spans="1:2" x14ac:dyDescent="0.25">
      <c r="A48749" s="118"/>
      <c r="B48749" s="136"/>
    </row>
    <row r="48750" spans="1:2" x14ac:dyDescent="0.25">
      <c r="A48750" s="118"/>
      <c r="B48750" s="136"/>
    </row>
    <row r="48751" spans="1:2" x14ac:dyDescent="0.25">
      <c r="A48751" s="118"/>
      <c r="B48751" s="136"/>
    </row>
    <row r="48752" spans="1:2" x14ac:dyDescent="0.25">
      <c r="A48752" s="118"/>
      <c r="B48752" s="136"/>
    </row>
    <row r="48753" spans="1:2" x14ac:dyDescent="0.25">
      <c r="A48753" s="118"/>
      <c r="B48753" s="136"/>
    </row>
    <row r="48754" spans="1:2" x14ac:dyDescent="0.25">
      <c r="A48754" s="118"/>
      <c r="B48754" s="136"/>
    </row>
    <row r="48755" spans="1:2" x14ac:dyDescent="0.25">
      <c r="A48755" s="118"/>
      <c r="B48755" s="136"/>
    </row>
    <row r="48756" spans="1:2" x14ac:dyDescent="0.25">
      <c r="A48756" s="118"/>
      <c r="B48756" s="136"/>
    </row>
    <row r="48757" spans="1:2" x14ac:dyDescent="0.25">
      <c r="A48757" s="118"/>
      <c r="B48757" s="136"/>
    </row>
    <row r="48758" spans="1:2" x14ac:dyDescent="0.25">
      <c r="A48758" s="118"/>
      <c r="B48758" s="136"/>
    </row>
    <row r="48759" spans="1:2" x14ac:dyDescent="0.25">
      <c r="A48759" s="118"/>
      <c r="B48759" s="136"/>
    </row>
    <row r="48760" spans="1:2" x14ac:dyDescent="0.25">
      <c r="A48760" s="118"/>
      <c r="B48760" s="136"/>
    </row>
    <row r="48761" spans="1:2" x14ac:dyDescent="0.25">
      <c r="A48761" s="118"/>
      <c r="B48761" s="136"/>
    </row>
    <row r="48762" spans="1:2" x14ac:dyDescent="0.25">
      <c r="A48762" s="118"/>
      <c r="B48762" s="136"/>
    </row>
    <row r="48763" spans="1:2" x14ac:dyDescent="0.25">
      <c r="A48763" s="118"/>
      <c r="B48763" s="136"/>
    </row>
    <row r="48764" spans="1:2" x14ac:dyDescent="0.25">
      <c r="A48764" s="118"/>
      <c r="B48764" s="136"/>
    </row>
    <row r="48765" spans="1:2" x14ac:dyDescent="0.25">
      <c r="A48765" s="118"/>
      <c r="B48765" s="136"/>
    </row>
    <row r="48766" spans="1:2" x14ac:dyDescent="0.25">
      <c r="A48766" s="118"/>
      <c r="B48766" s="136"/>
    </row>
    <row r="48767" spans="1:2" x14ac:dyDescent="0.25">
      <c r="A48767" s="118"/>
      <c r="B48767" s="136"/>
    </row>
    <row r="48768" spans="1:2" x14ac:dyDescent="0.25">
      <c r="A48768" s="118"/>
      <c r="B48768" s="136"/>
    </row>
    <row r="48769" spans="1:2" x14ac:dyDescent="0.25">
      <c r="A48769" s="118"/>
      <c r="B48769" s="136"/>
    </row>
    <row r="48770" spans="1:2" x14ac:dyDescent="0.25">
      <c r="A48770" s="118"/>
      <c r="B48770" s="136"/>
    </row>
    <row r="48771" spans="1:2" x14ac:dyDescent="0.25">
      <c r="A48771" s="118"/>
      <c r="B48771" s="136"/>
    </row>
    <row r="48772" spans="1:2" x14ac:dyDescent="0.25">
      <c r="A48772" s="118"/>
      <c r="B48772" s="136"/>
    </row>
    <row r="48773" spans="1:2" x14ac:dyDescent="0.25">
      <c r="A48773" s="118"/>
      <c r="B48773" s="136"/>
    </row>
    <row r="48774" spans="1:2" x14ac:dyDescent="0.25">
      <c r="A48774" s="118"/>
      <c r="B48774" s="136"/>
    </row>
    <row r="48775" spans="1:2" x14ac:dyDescent="0.25">
      <c r="A48775" s="118"/>
      <c r="B48775" s="136"/>
    </row>
    <row r="48776" spans="1:2" x14ac:dyDescent="0.25">
      <c r="A48776" s="118"/>
      <c r="B48776" s="136"/>
    </row>
    <row r="48777" spans="1:2" x14ac:dyDescent="0.25">
      <c r="A48777" s="118"/>
      <c r="B48777" s="136"/>
    </row>
    <row r="48778" spans="1:2" x14ac:dyDescent="0.25">
      <c r="A48778" s="118"/>
      <c r="B48778" s="136"/>
    </row>
    <row r="48779" spans="1:2" x14ac:dyDescent="0.25">
      <c r="A48779" s="118"/>
      <c r="B48779" s="136"/>
    </row>
    <row r="48780" spans="1:2" x14ac:dyDescent="0.25">
      <c r="A48780" s="118"/>
      <c r="B48780" s="136"/>
    </row>
    <row r="48781" spans="1:2" x14ac:dyDescent="0.25">
      <c r="A48781" s="118"/>
      <c r="B48781" s="136"/>
    </row>
    <row r="48782" spans="1:2" x14ac:dyDescent="0.25">
      <c r="A48782" s="118"/>
      <c r="B48782" s="136"/>
    </row>
    <row r="48783" spans="1:2" x14ac:dyDescent="0.25">
      <c r="A48783" s="118"/>
      <c r="B48783" s="136"/>
    </row>
    <row r="48784" spans="1:2" x14ac:dyDescent="0.25">
      <c r="A48784" s="118"/>
      <c r="B48784" s="136"/>
    </row>
    <row r="48785" spans="1:2" x14ac:dyDescent="0.25">
      <c r="A48785" s="118"/>
      <c r="B48785" s="136"/>
    </row>
    <row r="48786" spans="1:2" x14ac:dyDescent="0.25">
      <c r="A48786" s="118"/>
      <c r="B48786" s="136"/>
    </row>
    <row r="48787" spans="1:2" x14ac:dyDescent="0.25">
      <c r="A48787" s="118"/>
      <c r="B48787" s="136"/>
    </row>
    <row r="48788" spans="1:2" x14ac:dyDescent="0.25">
      <c r="A48788" s="118"/>
      <c r="B48788" s="136"/>
    </row>
    <row r="48789" spans="1:2" x14ac:dyDescent="0.25">
      <c r="A48789" s="118"/>
      <c r="B48789" s="136"/>
    </row>
    <row r="48790" spans="1:2" x14ac:dyDescent="0.25">
      <c r="A48790" s="118"/>
      <c r="B48790" s="136"/>
    </row>
    <row r="48791" spans="1:2" x14ac:dyDescent="0.25">
      <c r="A48791" s="118"/>
      <c r="B48791" s="136"/>
    </row>
    <row r="48792" spans="1:2" x14ac:dyDescent="0.25">
      <c r="A48792" s="118"/>
      <c r="B48792" s="136"/>
    </row>
    <row r="48793" spans="1:2" x14ac:dyDescent="0.25">
      <c r="A48793" s="118"/>
      <c r="B48793" s="136"/>
    </row>
    <row r="48794" spans="1:2" x14ac:dyDescent="0.25">
      <c r="A48794" s="118"/>
      <c r="B48794" s="136"/>
    </row>
    <row r="48795" spans="1:2" x14ac:dyDescent="0.25">
      <c r="A48795" s="118"/>
      <c r="B48795" s="136"/>
    </row>
    <row r="48796" spans="1:2" x14ac:dyDescent="0.25">
      <c r="A48796" s="118"/>
      <c r="B48796" s="136"/>
    </row>
    <row r="48797" spans="1:2" x14ac:dyDescent="0.25">
      <c r="A48797" s="118"/>
      <c r="B48797" s="136"/>
    </row>
    <row r="48798" spans="1:2" x14ac:dyDescent="0.25">
      <c r="A48798" s="118"/>
      <c r="B48798" s="136"/>
    </row>
    <row r="48799" spans="1:2" x14ac:dyDescent="0.25">
      <c r="A48799" s="118"/>
      <c r="B48799" s="136"/>
    </row>
    <row r="48800" spans="1:2" x14ac:dyDescent="0.25">
      <c r="A48800" s="118"/>
      <c r="B48800" s="136"/>
    </row>
    <row r="48801" spans="1:2" x14ac:dyDescent="0.25">
      <c r="A48801" s="118"/>
      <c r="B48801" s="136"/>
    </row>
    <row r="48802" spans="1:2" x14ac:dyDescent="0.25">
      <c r="A48802" s="118"/>
      <c r="B48802" s="136"/>
    </row>
    <row r="48803" spans="1:2" x14ac:dyDescent="0.25">
      <c r="A48803" s="118"/>
      <c r="B48803" s="136"/>
    </row>
    <row r="48804" spans="1:2" x14ac:dyDescent="0.25">
      <c r="A48804" s="118"/>
      <c r="B48804" s="136"/>
    </row>
    <row r="48805" spans="1:2" x14ac:dyDescent="0.25">
      <c r="A48805" s="118"/>
      <c r="B48805" s="136"/>
    </row>
    <row r="48806" spans="1:2" x14ac:dyDescent="0.25">
      <c r="A48806" s="118"/>
      <c r="B48806" s="136"/>
    </row>
    <row r="48807" spans="1:2" x14ac:dyDescent="0.25">
      <c r="A48807" s="118"/>
      <c r="B48807" s="136"/>
    </row>
    <row r="48808" spans="1:2" x14ac:dyDescent="0.25">
      <c r="A48808" s="118"/>
      <c r="B48808" s="136"/>
    </row>
    <row r="48809" spans="1:2" x14ac:dyDescent="0.25">
      <c r="A48809" s="118"/>
      <c r="B48809" s="136"/>
    </row>
    <row r="48810" spans="1:2" x14ac:dyDescent="0.25">
      <c r="A48810" s="118"/>
      <c r="B48810" s="136"/>
    </row>
    <row r="48811" spans="1:2" x14ac:dyDescent="0.25">
      <c r="A48811" s="118"/>
      <c r="B48811" s="136"/>
    </row>
    <row r="48812" spans="1:2" x14ac:dyDescent="0.25">
      <c r="A48812" s="118"/>
      <c r="B48812" s="136"/>
    </row>
    <row r="48813" spans="1:2" x14ac:dyDescent="0.25">
      <c r="A48813" s="118"/>
      <c r="B48813" s="136"/>
    </row>
    <row r="48814" spans="1:2" x14ac:dyDescent="0.25">
      <c r="A48814" s="118"/>
      <c r="B48814" s="136"/>
    </row>
    <row r="48815" spans="1:2" x14ac:dyDescent="0.25">
      <c r="A48815" s="118"/>
      <c r="B48815" s="136"/>
    </row>
    <row r="48816" spans="1:2" x14ac:dyDescent="0.25">
      <c r="A48816" s="118"/>
      <c r="B48816" s="136"/>
    </row>
    <row r="48817" spans="1:2" x14ac:dyDescent="0.25">
      <c r="A48817" s="118"/>
      <c r="B48817" s="136"/>
    </row>
    <row r="48818" spans="1:2" x14ac:dyDescent="0.25">
      <c r="A48818" s="118"/>
      <c r="B48818" s="136"/>
    </row>
    <row r="48819" spans="1:2" x14ac:dyDescent="0.25">
      <c r="A48819" s="118"/>
      <c r="B48819" s="136"/>
    </row>
    <row r="48820" spans="1:2" x14ac:dyDescent="0.25">
      <c r="A48820" s="118"/>
      <c r="B48820" s="136"/>
    </row>
    <row r="48821" spans="1:2" x14ac:dyDescent="0.25">
      <c r="A48821" s="118"/>
      <c r="B48821" s="136"/>
    </row>
    <row r="48822" spans="1:2" x14ac:dyDescent="0.25">
      <c r="A48822" s="118"/>
      <c r="B48822" s="136"/>
    </row>
    <row r="48823" spans="1:2" x14ac:dyDescent="0.25">
      <c r="A48823" s="118"/>
      <c r="B48823" s="136"/>
    </row>
    <row r="48824" spans="1:2" x14ac:dyDescent="0.25">
      <c r="A48824" s="118"/>
      <c r="B48824" s="136"/>
    </row>
    <row r="48825" spans="1:2" x14ac:dyDescent="0.25">
      <c r="A48825" s="118"/>
      <c r="B48825" s="136"/>
    </row>
    <row r="48826" spans="1:2" x14ac:dyDescent="0.25">
      <c r="A48826" s="118"/>
      <c r="B48826" s="136"/>
    </row>
    <row r="48827" spans="1:2" x14ac:dyDescent="0.25">
      <c r="A48827" s="118"/>
      <c r="B48827" s="136"/>
    </row>
    <row r="48828" spans="1:2" x14ac:dyDescent="0.25">
      <c r="A48828" s="118"/>
      <c r="B48828" s="136"/>
    </row>
    <row r="48829" spans="1:2" x14ac:dyDescent="0.25">
      <c r="A48829" s="118"/>
      <c r="B48829" s="136"/>
    </row>
    <row r="48830" spans="1:2" x14ac:dyDescent="0.25">
      <c r="A48830" s="118"/>
      <c r="B48830" s="136"/>
    </row>
    <row r="48831" spans="1:2" x14ac:dyDescent="0.25">
      <c r="A48831" s="118"/>
      <c r="B48831" s="136"/>
    </row>
    <row r="48832" spans="1:2" x14ac:dyDescent="0.25">
      <c r="A48832" s="118"/>
      <c r="B48832" s="136"/>
    </row>
    <row r="48833" spans="1:2" x14ac:dyDescent="0.25">
      <c r="A48833" s="118"/>
      <c r="B48833" s="136"/>
    </row>
    <row r="48834" spans="1:2" x14ac:dyDescent="0.25">
      <c r="A48834" s="118"/>
      <c r="B48834" s="136"/>
    </row>
    <row r="48835" spans="1:2" x14ac:dyDescent="0.25">
      <c r="A48835" s="118"/>
      <c r="B48835" s="136"/>
    </row>
    <row r="48836" spans="1:2" x14ac:dyDescent="0.25">
      <c r="A48836" s="118"/>
      <c r="B48836" s="136"/>
    </row>
    <row r="48837" spans="1:2" x14ac:dyDescent="0.25">
      <c r="A48837" s="118"/>
      <c r="B48837" s="136"/>
    </row>
    <row r="48838" spans="1:2" x14ac:dyDescent="0.25">
      <c r="A48838" s="118"/>
      <c r="B48838" s="136"/>
    </row>
    <row r="48839" spans="1:2" x14ac:dyDescent="0.25">
      <c r="A48839" s="118"/>
      <c r="B48839" s="136"/>
    </row>
    <row r="48840" spans="1:2" x14ac:dyDescent="0.25">
      <c r="A48840" s="118"/>
      <c r="B48840" s="136"/>
    </row>
    <row r="48841" spans="1:2" x14ac:dyDescent="0.25">
      <c r="A48841" s="118"/>
      <c r="B48841" s="136"/>
    </row>
    <row r="48842" spans="1:2" x14ac:dyDescent="0.25">
      <c r="A48842" s="118"/>
      <c r="B48842" s="136"/>
    </row>
    <row r="48843" spans="1:2" x14ac:dyDescent="0.25">
      <c r="A48843" s="118"/>
      <c r="B48843" s="136"/>
    </row>
    <row r="48844" spans="1:2" x14ac:dyDescent="0.25">
      <c r="A48844" s="118"/>
      <c r="B48844" s="136"/>
    </row>
    <row r="48845" spans="1:2" x14ac:dyDescent="0.25">
      <c r="A48845" s="118"/>
      <c r="B48845" s="136"/>
    </row>
    <row r="48846" spans="1:2" x14ac:dyDescent="0.25">
      <c r="A48846" s="118"/>
      <c r="B48846" s="136"/>
    </row>
    <row r="48847" spans="1:2" x14ac:dyDescent="0.25">
      <c r="A48847" s="118"/>
      <c r="B48847" s="136"/>
    </row>
    <row r="48848" spans="1:2" x14ac:dyDescent="0.25">
      <c r="A48848" s="118"/>
      <c r="B48848" s="136"/>
    </row>
    <row r="48849" spans="1:2" x14ac:dyDescent="0.25">
      <c r="A48849" s="118"/>
      <c r="B48849" s="136"/>
    </row>
    <row r="48850" spans="1:2" x14ac:dyDescent="0.25">
      <c r="A48850" s="118"/>
      <c r="B48850" s="136"/>
    </row>
    <row r="48851" spans="1:2" x14ac:dyDescent="0.25">
      <c r="A48851" s="118"/>
      <c r="B48851" s="136"/>
    </row>
    <row r="48852" spans="1:2" x14ac:dyDescent="0.25">
      <c r="A48852" s="118"/>
      <c r="B48852" s="136"/>
    </row>
    <row r="48853" spans="1:2" x14ac:dyDescent="0.25">
      <c r="A48853" s="118"/>
      <c r="B48853" s="136"/>
    </row>
    <row r="48854" spans="1:2" x14ac:dyDescent="0.25">
      <c r="A48854" s="118"/>
      <c r="B48854" s="136"/>
    </row>
    <row r="48855" spans="1:2" x14ac:dyDescent="0.25">
      <c r="A48855" s="118"/>
      <c r="B48855" s="136"/>
    </row>
    <row r="48856" spans="1:2" x14ac:dyDescent="0.25">
      <c r="A48856" s="118"/>
      <c r="B48856" s="136"/>
    </row>
    <row r="48857" spans="1:2" x14ac:dyDescent="0.25">
      <c r="A48857" s="118"/>
      <c r="B48857" s="136"/>
    </row>
    <row r="48858" spans="1:2" x14ac:dyDescent="0.25">
      <c r="A48858" s="118"/>
      <c r="B48858" s="136"/>
    </row>
    <row r="48859" spans="1:2" x14ac:dyDescent="0.25">
      <c r="A48859" s="118"/>
      <c r="B48859" s="136"/>
    </row>
    <row r="48860" spans="1:2" x14ac:dyDescent="0.25">
      <c r="A48860" s="118"/>
      <c r="B48860" s="136"/>
    </row>
    <row r="48861" spans="1:2" x14ac:dyDescent="0.25">
      <c r="A48861" s="118"/>
      <c r="B48861" s="136"/>
    </row>
    <row r="48862" spans="1:2" x14ac:dyDescent="0.25">
      <c r="A48862" s="118"/>
      <c r="B48862" s="136"/>
    </row>
    <row r="48863" spans="1:2" x14ac:dyDescent="0.25">
      <c r="A48863" s="118"/>
      <c r="B48863" s="136"/>
    </row>
    <row r="48864" spans="1:2" x14ac:dyDescent="0.25">
      <c r="A48864" s="118"/>
      <c r="B48864" s="136"/>
    </row>
    <row r="48865" spans="1:2" x14ac:dyDescent="0.25">
      <c r="A48865" s="118"/>
      <c r="B48865" s="136"/>
    </row>
    <row r="48866" spans="1:2" x14ac:dyDescent="0.25">
      <c r="A48866" s="118"/>
      <c r="B48866" s="136"/>
    </row>
    <row r="48867" spans="1:2" x14ac:dyDescent="0.25">
      <c r="A48867" s="118"/>
      <c r="B48867" s="136"/>
    </row>
    <row r="48868" spans="1:2" x14ac:dyDescent="0.25">
      <c r="A48868" s="118"/>
      <c r="B48868" s="136"/>
    </row>
    <row r="48869" spans="1:2" x14ac:dyDescent="0.25">
      <c r="A48869" s="118"/>
      <c r="B48869" s="136"/>
    </row>
    <row r="48870" spans="1:2" x14ac:dyDescent="0.25">
      <c r="A48870" s="118"/>
      <c r="B48870" s="136"/>
    </row>
    <row r="48871" spans="1:2" x14ac:dyDescent="0.25">
      <c r="A48871" s="118"/>
      <c r="B48871" s="136"/>
    </row>
    <row r="48872" spans="1:2" x14ac:dyDescent="0.25">
      <c r="A48872" s="118"/>
      <c r="B48872" s="136"/>
    </row>
    <row r="48873" spans="1:2" x14ac:dyDescent="0.25">
      <c r="A48873" s="118"/>
      <c r="B48873" s="136"/>
    </row>
    <row r="48874" spans="1:2" x14ac:dyDescent="0.25">
      <c r="A48874" s="118"/>
      <c r="B48874" s="136"/>
    </row>
    <row r="48875" spans="1:2" x14ac:dyDescent="0.25">
      <c r="A48875" s="118"/>
      <c r="B48875" s="136"/>
    </row>
    <row r="48876" spans="1:2" x14ac:dyDescent="0.25">
      <c r="A48876" s="118"/>
      <c r="B48876" s="136"/>
    </row>
    <row r="48877" spans="1:2" x14ac:dyDescent="0.25">
      <c r="A48877" s="118"/>
      <c r="B48877" s="136"/>
    </row>
    <row r="48878" spans="1:2" x14ac:dyDescent="0.25">
      <c r="A48878" s="118"/>
      <c r="B48878" s="136"/>
    </row>
    <row r="48879" spans="1:2" x14ac:dyDescent="0.25">
      <c r="A48879" s="118"/>
      <c r="B48879" s="136"/>
    </row>
    <row r="48880" spans="1:2" x14ac:dyDescent="0.25">
      <c r="A48880" s="118"/>
      <c r="B48880" s="136"/>
    </row>
    <row r="48881" spans="1:2" x14ac:dyDescent="0.25">
      <c r="A48881" s="118"/>
      <c r="B48881" s="136"/>
    </row>
    <row r="48882" spans="1:2" x14ac:dyDescent="0.25">
      <c r="A48882" s="118"/>
      <c r="B48882" s="136"/>
    </row>
    <row r="48883" spans="1:2" x14ac:dyDescent="0.25">
      <c r="A48883" s="118"/>
      <c r="B48883" s="136"/>
    </row>
    <row r="48884" spans="1:2" x14ac:dyDescent="0.25">
      <c r="A48884" s="118"/>
      <c r="B48884" s="136"/>
    </row>
    <row r="48885" spans="1:2" x14ac:dyDescent="0.25">
      <c r="A48885" s="118"/>
      <c r="B48885" s="136"/>
    </row>
    <row r="48886" spans="1:2" x14ac:dyDescent="0.25">
      <c r="A48886" s="118"/>
      <c r="B48886" s="136"/>
    </row>
    <row r="48887" spans="1:2" x14ac:dyDescent="0.25">
      <c r="A48887" s="118"/>
      <c r="B48887" s="136"/>
    </row>
    <row r="48888" spans="1:2" x14ac:dyDescent="0.25">
      <c r="A48888" s="118"/>
      <c r="B48888" s="136"/>
    </row>
    <row r="48889" spans="1:2" x14ac:dyDescent="0.25">
      <c r="A48889" s="118"/>
      <c r="B48889" s="136"/>
    </row>
    <row r="48890" spans="1:2" x14ac:dyDescent="0.25">
      <c r="A48890" s="118"/>
      <c r="B48890" s="136"/>
    </row>
    <row r="48891" spans="1:2" x14ac:dyDescent="0.25">
      <c r="A48891" s="118"/>
      <c r="B48891" s="136"/>
    </row>
    <row r="48892" spans="1:2" x14ac:dyDescent="0.25">
      <c r="A48892" s="118"/>
      <c r="B48892" s="136"/>
    </row>
    <row r="48893" spans="1:2" x14ac:dyDescent="0.25">
      <c r="A48893" s="118"/>
      <c r="B48893" s="136"/>
    </row>
    <row r="48894" spans="1:2" x14ac:dyDescent="0.25">
      <c r="A48894" s="118"/>
      <c r="B48894" s="136"/>
    </row>
    <row r="48895" spans="1:2" x14ac:dyDescent="0.25">
      <c r="A48895" s="118"/>
      <c r="B48895" s="136"/>
    </row>
    <row r="48896" spans="1:2" x14ac:dyDescent="0.25">
      <c r="A48896" s="118"/>
      <c r="B48896" s="136"/>
    </row>
    <row r="48897" spans="1:2" x14ac:dyDescent="0.25">
      <c r="A48897" s="118"/>
      <c r="B48897" s="136"/>
    </row>
    <row r="48898" spans="1:2" x14ac:dyDescent="0.25">
      <c r="A48898" s="118"/>
      <c r="B48898" s="136"/>
    </row>
    <row r="48899" spans="1:2" x14ac:dyDescent="0.25">
      <c r="A48899" s="118"/>
      <c r="B48899" s="136"/>
    </row>
    <row r="48900" spans="1:2" x14ac:dyDescent="0.25">
      <c r="A48900" s="118"/>
      <c r="B48900" s="136"/>
    </row>
    <row r="48901" spans="1:2" x14ac:dyDescent="0.25">
      <c r="A48901" s="118"/>
      <c r="B48901" s="136"/>
    </row>
    <row r="48902" spans="1:2" x14ac:dyDescent="0.25">
      <c r="A48902" s="118"/>
      <c r="B48902" s="136"/>
    </row>
    <row r="48903" spans="1:2" x14ac:dyDescent="0.25">
      <c r="A48903" s="118"/>
      <c r="B48903" s="136"/>
    </row>
    <row r="48904" spans="1:2" x14ac:dyDescent="0.25">
      <c r="A48904" s="118"/>
      <c r="B48904" s="136"/>
    </row>
    <row r="48905" spans="1:2" x14ac:dyDescent="0.25">
      <c r="A48905" s="118"/>
      <c r="B48905" s="136"/>
    </row>
    <row r="48906" spans="1:2" x14ac:dyDescent="0.25">
      <c r="A48906" s="118"/>
      <c r="B48906" s="136"/>
    </row>
    <row r="48907" spans="1:2" x14ac:dyDescent="0.25">
      <c r="A48907" s="118"/>
      <c r="B48907" s="136"/>
    </row>
    <row r="48908" spans="1:2" x14ac:dyDescent="0.25">
      <c r="A48908" s="118"/>
      <c r="B48908" s="136"/>
    </row>
    <row r="48909" spans="1:2" x14ac:dyDescent="0.25">
      <c r="A48909" s="118"/>
      <c r="B48909" s="136"/>
    </row>
    <row r="48910" spans="1:2" x14ac:dyDescent="0.25">
      <c r="A48910" s="118"/>
      <c r="B48910" s="136"/>
    </row>
    <row r="48911" spans="1:2" x14ac:dyDescent="0.25">
      <c r="A48911" s="118"/>
      <c r="B48911" s="136"/>
    </row>
    <row r="48912" spans="1:2" x14ac:dyDescent="0.25">
      <c r="A48912" s="118"/>
      <c r="B48912" s="136"/>
    </row>
    <row r="48913" spans="1:2" x14ac:dyDescent="0.25">
      <c r="A48913" s="118"/>
      <c r="B48913" s="136"/>
    </row>
    <row r="48914" spans="1:2" x14ac:dyDescent="0.25">
      <c r="A48914" s="118"/>
      <c r="B48914" s="136"/>
    </row>
    <row r="48915" spans="1:2" x14ac:dyDescent="0.25">
      <c r="A48915" s="118"/>
      <c r="B48915" s="136"/>
    </row>
    <row r="48916" spans="1:2" x14ac:dyDescent="0.25">
      <c r="A48916" s="118"/>
      <c r="B48916" s="136"/>
    </row>
    <row r="48917" spans="1:2" x14ac:dyDescent="0.25">
      <c r="A48917" s="118"/>
      <c r="B48917" s="136"/>
    </row>
    <row r="48918" spans="1:2" x14ac:dyDescent="0.25">
      <c r="A48918" s="118"/>
      <c r="B48918" s="136"/>
    </row>
    <row r="48919" spans="1:2" x14ac:dyDescent="0.25">
      <c r="A48919" s="118"/>
      <c r="B48919" s="136"/>
    </row>
    <row r="48920" spans="1:2" x14ac:dyDescent="0.25">
      <c r="A48920" s="118"/>
      <c r="B48920" s="136"/>
    </row>
    <row r="48921" spans="1:2" x14ac:dyDescent="0.25">
      <c r="A48921" s="118"/>
      <c r="B48921" s="136"/>
    </row>
    <row r="48922" spans="1:2" x14ac:dyDescent="0.25">
      <c r="A48922" s="118"/>
      <c r="B48922" s="136"/>
    </row>
    <row r="48923" spans="1:2" x14ac:dyDescent="0.25">
      <c r="A48923" s="118"/>
      <c r="B48923" s="136"/>
    </row>
    <row r="48924" spans="1:2" x14ac:dyDescent="0.25">
      <c r="A48924" s="118"/>
      <c r="B48924" s="136"/>
    </row>
    <row r="48925" spans="1:2" x14ac:dyDescent="0.25">
      <c r="A48925" s="118"/>
      <c r="B48925" s="136"/>
    </row>
    <row r="48926" spans="1:2" x14ac:dyDescent="0.25">
      <c r="A48926" s="118"/>
      <c r="B48926" s="136"/>
    </row>
    <row r="48927" spans="1:2" x14ac:dyDescent="0.25">
      <c r="A48927" s="118"/>
      <c r="B48927" s="136"/>
    </row>
    <row r="48928" spans="1:2" x14ac:dyDescent="0.25">
      <c r="A48928" s="118"/>
      <c r="B48928" s="136"/>
    </row>
    <row r="48929" spans="1:2" x14ac:dyDescent="0.25">
      <c r="A48929" s="118"/>
      <c r="B48929" s="136"/>
    </row>
    <row r="48930" spans="1:2" x14ac:dyDescent="0.25">
      <c r="A48930" s="118"/>
      <c r="B48930" s="136"/>
    </row>
    <row r="48931" spans="1:2" x14ac:dyDescent="0.25">
      <c r="A48931" s="118"/>
      <c r="B48931" s="136"/>
    </row>
    <row r="48932" spans="1:2" x14ac:dyDescent="0.25">
      <c r="A48932" s="118"/>
      <c r="B48932" s="136"/>
    </row>
    <row r="48933" spans="1:2" x14ac:dyDescent="0.25">
      <c r="A48933" s="118"/>
      <c r="B48933" s="136"/>
    </row>
    <row r="48934" spans="1:2" x14ac:dyDescent="0.25">
      <c r="A48934" s="118"/>
      <c r="B48934" s="136"/>
    </row>
    <row r="48935" spans="1:2" x14ac:dyDescent="0.25">
      <c r="A48935" s="118"/>
      <c r="B48935" s="136"/>
    </row>
    <row r="48936" spans="1:2" x14ac:dyDescent="0.25">
      <c r="A48936" s="118"/>
      <c r="B48936" s="136"/>
    </row>
    <row r="48937" spans="1:2" x14ac:dyDescent="0.25">
      <c r="A48937" s="118"/>
      <c r="B48937" s="136"/>
    </row>
    <row r="48938" spans="1:2" x14ac:dyDescent="0.25">
      <c r="A48938" s="118"/>
      <c r="B48938" s="136"/>
    </row>
    <row r="48939" spans="1:2" x14ac:dyDescent="0.25">
      <c r="A48939" s="118"/>
      <c r="B48939" s="136"/>
    </row>
    <row r="48940" spans="1:2" x14ac:dyDescent="0.25">
      <c r="A48940" s="118"/>
      <c r="B48940" s="136"/>
    </row>
    <row r="48941" spans="1:2" x14ac:dyDescent="0.25">
      <c r="A48941" s="118"/>
      <c r="B48941" s="136"/>
    </row>
    <row r="48942" spans="1:2" x14ac:dyDescent="0.25">
      <c r="A48942" s="118"/>
      <c r="B48942" s="136"/>
    </row>
    <row r="48943" spans="1:2" x14ac:dyDescent="0.25">
      <c r="A48943" s="118"/>
      <c r="B48943" s="136"/>
    </row>
    <row r="48944" spans="1:2" x14ac:dyDescent="0.25">
      <c r="A48944" s="118"/>
      <c r="B48944" s="136"/>
    </row>
    <row r="48945" spans="1:2" x14ac:dyDescent="0.25">
      <c r="A48945" s="118"/>
      <c r="B48945" s="136"/>
    </row>
    <row r="48946" spans="1:2" x14ac:dyDescent="0.25">
      <c r="A48946" s="118"/>
      <c r="B48946" s="136"/>
    </row>
    <row r="48947" spans="1:2" x14ac:dyDescent="0.25">
      <c r="A48947" s="118"/>
      <c r="B48947" s="136"/>
    </row>
    <row r="48948" spans="1:2" x14ac:dyDescent="0.25">
      <c r="A48948" s="118"/>
      <c r="B48948" s="136"/>
    </row>
    <row r="48949" spans="1:2" x14ac:dyDescent="0.25">
      <c r="A48949" s="118"/>
      <c r="B48949" s="136"/>
    </row>
    <row r="48950" spans="1:2" x14ac:dyDescent="0.25">
      <c r="A48950" s="118"/>
      <c r="B48950" s="136"/>
    </row>
    <row r="48951" spans="1:2" x14ac:dyDescent="0.25">
      <c r="A48951" s="118"/>
      <c r="B48951" s="136"/>
    </row>
    <row r="48952" spans="1:2" x14ac:dyDescent="0.25">
      <c r="A48952" s="118"/>
      <c r="B48952" s="136"/>
    </row>
    <row r="48953" spans="1:2" x14ac:dyDescent="0.25">
      <c r="A48953" s="118"/>
      <c r="B48953" s="136"/>
    </row>
    <row r="48954" spans="1:2" x14ac:dyDescent="0.25">
      <c r="A48954" s="118"/>
      <c r="B48954" s="136"/>
    </row>
    <row r="48955" spans="1:2" x14ac:dyDescent="0.25">
      <c r="A48955" s="118"/>
      <c r="B48955" s="136"/>
    </row>
    <row r="48956" spans="1:2" x14ac:dyDescent="0.25">
      <c r="A48956" s="118"/>
      <c r="B48956" s="136"/>
    </row>
    <row r="48957" spans="1:2" x14ac:dyDescent="0.25">
      <c r="A48957" s="118"/>
      <c r="B48957" s="136"/>
    </row>
    <row r="48958" spans="1:2" x14ac:dyDescent="0.25">
      <c r="A48958" s="118"/>
      <c r="B48958" s="136"/>
    </row>
    <row r="48959" spans="1:2" x14ac:dyDescent="0.25">
      <c r="A48959" s="118"/>
      <c r="B48959" s="136"/>
    </row>
    <row r="48960" spans="1:2" x14ac:dyDescent="0.25">
      <c r="A48960" s="118"/>
      <c r="B48960" s="136"/>
    </row>
    <row r="48961" spans="1:2" x14ac:dyDescent="0.25">
      <c r="A48961" s="118"/>
      <c r="B48961" s="136"/>
    </row>
    <row r="48962" spans="1:2" x14ac:dyDescent="0.25">
      <c r="A48962" s="118"/>
      <c r="B48962" s="136"/>
    </row>
    <row r="48963" spans="1:2" x14ac:dyDescent="0.25">
      <c r="A48963" s="118"/>
      <c r="B48963" s="136"/>
    </row>
    <row r="48964" spans="1:2" x14ac:dyDescent="0.25">
      <c r="A48964" s="118"/>
      <c r="B48964" s="136"/>
    </row>
    <row r="48965" spans="1:2" x14ac:dyDescent="0.25">
      <c r="A48965" s="118"/>
      <c r="B48965" s="136"/>
    </row>
    <row r="48966" spans="1:2" x14ac:dyDescent="0.25">
      <c r="A48966" s="118"/>
      <c r="B48966" s="136"/>
    </row>
    <row r="48967" spans="1:2" x14ac:dyDescent="0.25">
      <c r="A48967" s="118"/>
      <c r="B48967" s="136"/>
    </row>
    <row r="48968" spans="1:2" x14ac:dyDescent="0.25">
      <c r="A48968" s="118"/>
      <c r="B48968" s="136"/>
    </row>
    <row r="48969" spans="1:2" x14ac:dyDescent="0.25">
      <c r="A48969" s="118"/>
      <c r="B48969" s="136"/>
    </row>
    <row r="48970" spans="1:2" x14ac:dyDescent="0.25">
      <c r="A48970" s="118"/>
      <c r="B48970" s="136"/>
    </row>
    <row r="48971" spans="1:2" x14ac:dyDescent="0.25">
      <c r="A48971" s="118"/>
      <c r="B48971" s="136"/>
    </row>
    <row r="48972" spans="1:2" x14ac:dyDescent="0.25">
      <c r="A48972" s="118"/>
      <c r="B48972" s="136"/>
    </row>
    <row r="48973" spans="1:2" x14ac:dyDescent="0.25">
      <c r="A48973" s="118"/>
      <c r="B48973" s="136"/>
    </row>
    <row r="48974" spans="1:2" x14ac:dyDescent="0.25">
      <c r="A48974" s="118"/>
      <c r="B48974" s="136"/>
    </row>
    <row r="48975" spans="1:2" x14ac:dyDescent="0.25">
      <c r="A48975" s="118"/>
      <c r="B48975" s="136"/>
    </row>
    <row r="48976" spans="1:2" x14ac:dyDescent="0.25">
      <c r="A48976" s="118"/>
      <c r="B48976" s="136"/>
    </row>
    <row r="48977" spans="1:2" x14ac:dyDescent="0.25">
      <c r="A48977" s="118"/>
      <c r="B48977" s="136"/>
    </row>
    <row r="48978" spans="1:2" x14ac:dyDescent="0.25">
      <c r="A48978" s="118"/>
      <c r="B48978" s="136"/>
    </row>
    <row r="48979" spans="1:2" x14ac:dyDescent="0.25">
      <c r="A48979" s="118"/>
      <c r="B48979" s="136"/>
    </row>
    <row r="48980" spans="1:2" x14ac:dyDescent="0.25">
      <c r="A48980" s="118"/>
      <c r="B48980" s="136"/>
    </row>
    <row r="48981" spans="1:2" x14ac:dyDescent="0.25">
      <c r="A48981" s="118"/>
      <c r="B48981" s="136"/>
    </row>
    <row r="48982" spans="1:2" x14ac:dyDescent="0.25">
      <c r="A48982" s="118"/>
      <c r="B48982" s="136"/>
    </row>
    <row r="48983" spans="1:2" x14ac:dyDescent="0.25">
      <c r="A48983" s="118"/>
      <c r="B48983" s="136"/>
    </row>
    <row r="48984" spans="1:2" x14ac:dyDescent="0.25">
      <c r="A48984" s="118"/>
      <c r="B48984" s="136"/>
    </row>
    <row r="48985" spans="1:2" x14ac:dyDescent="0.25">
      <c r="A48985" s="118"/>
      <c r="B48985" s="136"/>
    </row>
    <row r="48986" spans="1:2" x14ac:dyDescent="0.25">
      <c r="A48986" s="118"/>
      <c r="B48986" s="136"/>
    </row>
    <row r="48987" spans="1:2" x14ac:dyDescent="0.25">
      <c r="A48987" s="118"/>
      <c r="B48987" s="136"/>
    </row>
    <row r="48988" spans="1:2" x14ac:dyDescent="0.25">
      <c r="A48988" s="118"/>
      <c r="B48988" s="136"/>
    </row>
    <row r="48989" spans="1:2" x14ac:dyDescent="0.25">
      <c r="A48989" s="118"/>
      <c r="B48989" s="136"/>
    </row>
    <row r="48990" spans="1:2" x14ac:dyDescent="0.25">
      <c r="A48990" s="118"/>
      <c r="B48990" s="136"/>
    </row>
    <row r="48991" spans="1:2" x14ac:dyDescent="0.25">
      <c r="A48991" s="118"/>
      <c r="B48991" s="136"/>
    </row>
    <row r="48992" spans="1:2" x14ac:dyDescent="0.25">
      <c r="A48992" s="118"/>
      <c r="B48992" s="136"/>
    </row>
    <row r="48993" spans="1:2" x14ac:dyDescent="0.25">
      <c r="A48993" s="118"/>
      <c r="B48993" s="136"/>
    </row>
    <row r="48994" spans="1:2" x14ac:dyDescent="0.25">
      <c r="A48994" s="118"/>
      <c r="B48994" s="136"/>
    </row>
    <row r="48995" spans="1:2" x14ac:dyDescent="0.25">
      <c r="A48995" s="118"/>
      <c r="B48995" s="136"/>
    </row>
    <row r="48996" spans="1:2" x14ac:dyDescent="0.25">
      <c r="A48996" s="118"/>
      <c r="B48996" s="136"/>
    </row>
    <row r="48997" spans="1:2" x14ac:dyDescent="0.25">
      <c r="A48997" s="118"/>
      <c r="B48997" s="136"/>
    </row>
    <row r="48998" spans="1:2" x14ac:dyDescent="0.25">
      <c r="A48998" s="118"/>
      <c r="B48998" s="136"/>
    </row>
    <row r="48999" spans="1:2" x14ac:dyDescent="0.25">
      <c r="A48999" s="118"/>
      <c r="B48999" s="136"/>
    </row>
    <row r="49000" spans="1:2" x14ac:dyDescent="0.25">
      <c r="A49000" s="118"/>
      <c r="B49000" s="136"/>
    </row>
    <row r="49001" spans="1:2" x14ac:dyDescent="0.25">
      <c r="A49001" s="118"/>
      <c r="B49001" s="136"/>
    </row>
    <row r="49002" spans="1:2" x14ac:dyDescent="0.25">
      <c r="A49002" s="118"/>
      <c r="B49002" s="136"/>
    </row>
    <row r="49003" spans="1:2" x14ac:dyDescent="0.25">
      <c r="A49003" s="118"/>
      <c r="B49003" s="136"/>
    </row>
    <row r="49004" spans="1:2" x14ac:dyDescent="0.25">
      <c r="A49004" s="118"/>
      <c r="B49004" s="136"/>
    </row>
    <row r="49005" spans="1:2" x14ac:dyDescent="0.25">
      <c r="A49005" s="118"/>
      <c r="B49005" s="136"/>
    </row>
    <row r="49006" spans="1:2" x14ac:dyDescent="0.25">
      <c r="A49006" s="118"/>
      <c r="B49006" s="136"/>
    </row>
    <row r="49007" spans="1:2" x14ac:dyDescent="0.25">
      <c r="A49007" s="118"/>
      <c r="B49007" s="136"/>
    </row>
    <row r="49008" spans="1:2" x14ac:dyDescent="0.25">
      <c r="A49008" s="118"/>
      <c r="B49008" s="136"/>
    </row>
    <row r="49009" spans="1:2" x14ac:dyDescent="0.25">
      <c r="A49009" s="118"/>
      <c r="B49009" s="136"/>
    </row>
    <row r="49010" spans="1:2" x14ac:dyDescent="0.25">
      <c r="A49010" s="118"/>
      <c r="B49010" s="136"/>
    </row>
    <row r="49011" spans="1:2" x14ac:dyDescent="0.25">
      <c r="A49011" s="118"/>
      <c r="B49011" s="136"/>
    </row>
    <row r="49012" spans="1:2" x14ac:dyDescent="0.25">
      <c r="A49012" s="118"/>
      <c r="B49012" s="136"/>
    </row>
    <row r="49013" spans="1:2" x14ac:dyDescent="0.25">
      <c r="A49013" s="118"/>
      <c r="B49013" s="136"/>
    </row>
    <row r="49014" spans="1:2" x14ac:dyDescent="0.25">
      <c r="A49014" s="118"/>
      <c r="B49014" s="136"/>
    </row>
    <row r="49015" spans="1:2" x14ac:dyDescent="0.25">
      <c r="A49015" s="118"/>
      <c r="B49015" s="136"/>
    </row>
    <row r="49016" spans="1:2" x14ac:dyDescent="0.25">
      <c r="A49016" s="118"/>
      <c r="B49016" s="136"/>
    </row>
    <row r="49017" spans="1:2" x14ac:dyDescent="0.25">
      <c r="A49017" s="118"/>
      <c r="B49017" s="136"/>
    </row>
    <row r="49018" spans="1:2" x14ac:dyDescent="0.25">
      <c r="A49018" s="118"/>
      <c r="B49018" s="136"/>
    </row>
    <row r="49019" spans="1:2" x14ac:dyDescent="0.25">
      <c r="A49019" s="118"/>
      <c r="B49019" s="136"/>
    </row>
    <row r="49020" spans="1:2" x14ac:dyDescent="0.25">
      <c r="A49020" s="118"/>
      <c r="B49020" s="136"/>
    </row>
    <row r="49021" spans="1:2" x14ac:dyDescent="0.25">
      <c r="A49021" s="118"/>
      <c r="B49021" s="136"/>
    </row>
    <row r="49022" spans="1:2" x14ac:dyDescent="0.25">
      <c r="A49022" s="118"/>
      <c r="B49022" s="136"/>
    </row>
    <row r="49023" spans="1:2" x14ac:dyDescent="0.25">
      <c r="A49023" s="118"/>
      <c r="B49023" s="136"/>
    </row>
    <row r="49024" spans="1:2" x14ac:dyDescent="0.25">
      <c r="A49024" s="118"/>
      <c r="B49024" s="136"/>
    </row>
    <row r="49025" spans="1:2" x14ac:dyDescent="0.25">
      <c r="A49025" s="118"/>
      <c r="B49025" s="136"/>
    </row>
    <row r="49026" spans="1:2" x14ac:dyDescent="0.25">
      <c r="A49026" s="118"/>
      <c r="B49026" s="136"/>
    </row>
    <row r="49027" spans="1:2" x14ac:dyDescent="0.25">
      <c r="A49027" s="118"/>
      <c r="B49027" s="136"/>
    </row>
    <row r="49028" spans="1:2" x14ac:dyDescent="0.25">
      <c r="A49028" s="118"/>
      <c r="B49028" s="136"/>
    </row>
    <row r="49029" spans="1:2" x14ac:dyDescent="0.25">
      <c r="A49029" s="118"/>
      <c r="B49029" s="136"/>
    </row>
    <row r="49030" spans="1:2" x14ac:dyDescent="0.25">
      <c r="A49030" s="118"/>
      <c r="B49030" s="136"/>
    </row>
    <row r="49031" spans="1:2" x14ac:dyDescent="0.25">
      <c r="A49031" s="118"/>
      <c r="B49031" s="136"/>
    </row>
    <row r="49032" spans="1:2" x14ac:dyDescent="0.25">
      <c r="A49032" s="118"/>
      <c r="B49032" s="136"/>
    </row>
    <row r="49033" spans="1:2" x14ac:dyDescent="0.25">
      <c r="A49033" s="118"/>
      <c r="B49033" s="136"/>
    </row>
    <row r="49034" spans="1:2" x14ac:dyDescent="0.25">
      <c r="A49034" s="118"/>
      <c r="B49034" s="136"/>
    </row>
    <row r="49035" spans="1:2" x14ac:dyDescent="0.25">
      <c r="A49035" s="118"/>
      <c r="B49035" s="136"/>
    </row>
    <row r="49036" spans="1:2" x14ac:dyDescent="0.25">
      <c r="A49036" s="118"/>
      <c r="B49036" s="136"/>
    </row>
    <row r="49037" spans="1:2" x14ac:dyDescent="0.25">
      <c r="A49037" s="118"/>
      <c r="B49037" s="136"/>
    </row>
    <row r="49038" spans="1:2" x14ac:dyDescent="0.25">
      <c r="A49038" s="118"/>
      <c r="B49038" s="136"/>
    </row>
    <row r="49039" spans="1:2" x14ac:dyDescent="0.25">
      <c r="A49039" s="118"/>
      <c r="B49039" s="136"/>
    </row>
    <row r="49040" spans="1:2" x14ac:dyDescent="0.25">
      <c r="A49040" s="118"/>
      <c r="B49040" s="136"/>
    </row>
    <row r="49041" spans="1:2" x14ac:dyDescent="0.25">
      <c r="A49041" s="118"/>
      <c r="B49041" s="136"/>
    </row>
    <row r="49042" spans="1:2" x14ac:dyDescent="0.25">
      <c r="A49042" s="118"/>
      <c r="B49042" s="136"/>
    </row>
    <row r="49043" spans="1:2" x14ac:dyDescent="0.25">
      <c r="A49043" s="118"/>
      <c r="B49043" s="136"/>
    </row>
    <row r="49044" spans="1:2" x14ac:dyDescent="0.25">
      <c r="A49044" s="118"/>
      <c r="B49044" s="136"/>
    </row>
    <row r="49045" spans="1:2" x14ac:dyDescent="0.25">
      <c r="A49045" s="118"/>
      <c r="B49045" s="136"/>
    </row>
    <row r="49046" spans="1:2" x14ac:dyDescent="0.25">
      <c r="A49046" s="118"/>
      <c r="B49046" s="136"/>
    </row>
    <row r="49047" spans="1:2" x14ac:dyDescent="0.25">
      <c r="A49047" s="118"/>
      <c r="B49047" s="136"/>
    </row>
    <row r="49048" spans="1:2" x14ac:dyDescent="0.25">
      <c r="A49048" s="118"/>
      <c r="B49048" s="136"/>
    </row>
    <row r="49049" spans="1:2" x14ac:dyDescent="0.25">
      <c r="A49049" s="118"/>
      <c r="B49049" s="136"/>
    </row>
    <row r="49050" spans="1:2" x14ac:dyDescent="0.25">
      <c r="A49050" s="118"/>
      <c r="B49050" s="136"/>
    </row>
    <row r="49051" spans="1:2" x14ac:dyDescent="0.25">
      <c r="A49051" s="118"/>
      <c r="B49051" s="136"/>
    </row>
    <row r="49052" spans="1:2" x14ac:dyDescent="0.25">
      <c r="A49052" s="118"/>
      <c r="B49052" s="136"/>
    </row>
    <row r="49053" spans="1:2" x14ac:dyDescent="0.25">
      <c r="A49053" s="118"/>
      <c r="B49053" s="136"/>
    </row>
    <row r="49054" spans="1:2" x14ac:dyDescent="0.25">
      <c r="A49054" s="118"/>
      <c r="B49054" s="136"/>
    </row>
    <row r="49055" spans="1:2" x14ac:dyDescent="0.25">
      <c r="A49055" s="118"/>
      <c r="B49055" s="136"/>
    </row>
    <row r="49056" spans="1:2" x14ac:dyDescent="0.25">
      <c r="A49056" s="118"/>
      <c r="B49056" s="136"/>
    </row>
    <row r="49057" spans="1:2" x14ac:dyDescent="0.25">
      <c r="A49057" s="118"/>
      <c r="B49057" s="136"/>
    </row>
    <row r="49058" spans="1:2" x14ac:dyDescent="0.25">
      <c r="A49058" s="118"/>
      <c r="B49058" s="136"/>
    </row>
    <row r="49059" spans="1:2" x14ac:dyDescent="0.25">
      <c r="A49059" s="118"/>
      <c r="B49059" s="136"/>
    </row>
    <row r="49060" spans="1:2" x14ac:dyDescent="0.25">
      <c r="A49060" s="118"/>
      <c r="B49060" s="136"/>
    </row>
    <row r="49061" spans="1:2" x14ac:dyDescent="0.25">
      <c r="A49061" s="118"/>
      <c r="B49061" s="136"/>
    </row>
    <row r="49062" spans="1:2" x14ac:dyDescent="0.25">
      <c r="A49062" s="118"/>
      <c r="B49062" s="136"/>
    </row>
    <row r="49063" spans="1:2" x14ac:dyDescent="0.25">
      <c r="A49063" s="118"/>
      <c r="B49063" s="136"/>
    </row>
    <row r="49064" spans="1:2" x14ac:dyDescent="0.25">
      <c r="A49064" s="118"/>
      <c r="B49064" s="136"/>
    </row>
    <row r="49065" spans="1:2" x14ac:dyDescent="0.25">
      <c r="A49065" s="118"/>
      <c r="B49065" s="136"/>
    </row>
    <row r="49066" spans="1:2" x14ac:dyDescent="0.25">
      <c r="A49066" s="118"/>
      <c r="B49066" s="136"/>
    </row>
    <row r="49067" spans="1:2" x14ac:dyDescent="0.25">
      <c r="A49067" s="118"/>
      <c r="B49067" s="136"/>
    </row>
    <row r="49068" spans="1:2" x14ac:dyDescent="0.25">
      <c r="A49068" s="118"/>
      <c r="B49068" s="136"/>
    </row>
    <row r="49069" spans="1:2" x14ac:dyDescent="0.25">
      <c r="A49069" s="118"/>
      <c r="B49069" s="136"/>
    </row>
    <row r="49070" spans="1:2" x14ac:dyDescent="0.25">
      <c r="A49070" s="118"/>
      <c r="B49070" s="136"/>
    </row>
    <row r="49071" spans="1:2" x14ac:dyDescent="0.25">
      <c r="A49071" s="118"/>
      <c r="B49071" s="136"/>
    </row>
    <row r="49072" spans="1:2" x14ac:dyDescent="0.25">
      <c r="A49072" s="118"/>
      <c r="B49072" s="136"/>
    </row>
    <row r="49073" spans="1:2" x14ac:dyDescent="0.25">
      <c r="A49073" s="118"/>
      <c r="B49073" s="136"/>
    </row>
    <row r="49074" spans="1:2" x14ac:dyDescent="0.25">
      <c r="A49074" s="118"/>
      <c r="B49074" s="136"/>
    </row>
    <row r="49075" spans="1:2" x14ac:dyDescent="0.25">
      <c r="A49075" s="118"/>
      <c r="B49075" s="136"/>
    </row>
    <row r="49076" spans="1:2" x14ac:dyDescent="0.25">
      <c r="A49076" s="118"/>
      <c r="B49076" s="136"/>
    </row>
    <row r="49077" spans="1:2" x14ac:dyDescent="0.25">
      <c r="A49077" s="118"/>
      <c r="B49077" s="136"/>
    </row>
    <row r="49078" spans="1:2" x14ac:dyDescent="0.25">
      <c r="A49078" s="118"/>
      <c r="B49078" s="136"/>
    </row>
    <row r="49079" spans="1:2" x14ac:dyDescent="0.25">
      <c r="A49079" s="118"/>
      <c r="B49079" s="136"/>
    </row>
    <row r="49080" spans="1:2" x14ac:dyDescent="0.25">
      <c r="A49080" s="118"/>
      <c r="B49080" s="136"/>
    </row>
    <row r="49081" spans="1:2" x14ac:dyDescent="0.25">
      <c r="A49081" s="118"/>
      <c r="B49081" s="136"/>
    </row>
    <row r="49082" spans="1:2" x14ac:dyDescent="0.25">
      <c r="A49082" s="118"/>
      <c r="B49082" s="136"/>
    </row>
    <row r="49083" spans="1:2" x14ac:dyDescent="0.25">
      <c r="A49083" s="118"/>
      <c r="B49083" s="136"/>
    </row>
    <row r="49084" spans="1:2" x14ac:dyDescent="0.25">
      <c r="A49084" s="118"/>
      <c r="B49084" s="136"/>
    </row>
    <row r="49085" spans="1:2" x14ac:dyDescent="0.25">
      <c r="A49085" s="118"/>
      <c r="B49085" s="136"/>
    </row>
    <row r="49086" spans="1:2" x14ac:dyDescent="0.25">
      <c r="A49086" s="118"/>
      <c r="B49086" s="136"/>
    </row>
    <row r="49087" spans="1:2" x14ac:dyDescent="0.25">
      <c r="A49087" s="118"/>
      <c r="B49087" s="136"/>
    </row>
    <row r="49088" spans="1:2" x14ac:dyDescent="0.25">
      <c r="A49088" s="118"/>
      <c r="B49088" s="136"/>
    </row>
    <row r="49089" spans="1:2" x14ac:dyDescent="0.25">
      <c r="A49089" s="118"/>
      <c r="B49089" s="136"/>
    </row>
    <row r="49090" spans="1:2" x14ac:dyDescent="0.25">
      <c r="A49090" s="118"/>
      <c r="B49090" s="136"/>
    </row>
    <row r="49091" spans="1:2" x14ac:dyDescent="0.25">
      <c r="A49091" s="118"/>
      <c r="B49091" s="136"/>
    </row>
    <row r="49092" spans="1:2" x14ac:dyDescent="0.25">
      <c r="A49092" s="118"/>
      <c r="B49092" s="136"/>
    </row>
    <row r="49093" spans="1:2" x14ac:dyDescent="0.25">
      <c r="A49093" s="118"/>
      <c r="B49093" s="136"/>
    </row>
    <row r="49094" spans="1:2" x14ac:dyDescent="0.25">
      <c r="A49094" s="118"/>
      <c r="B49094" s="136"/>
    </row>
    <row r="49095" spans="1:2" x14ac:dyDescent="0.25">
      <c r="A49095" s="118"/>
      <c r="B49095" s="136"/>
    </row>
    <row r="49096" spans="1:2" x14ac:dyDescent="0.25">
      <c r="A49096" s="118"/>
      <c r="B49096" s="136"/>
    </row>
    <row r="49097" spans="1:2" x14ac:dyDescent="0.25">
      <c r="A49097" s="118"/>
      <c r="B49097" s="136"/>
    </row>
    <row r="49098" spans="1:2" x14ac:dyDescent="0.25">
      <c r="A49098" s="118"/>
      <c r="B49098" s="136"/>
    </row>
    <row r="49099" spans="1:2" x14ac:dyDescent="0.25">
      <c r="A49099" s="118"/>
      <c r="B49099" s="136"/>
    </row>
    <row r="49100" spans="1:2" x14ac:dyDescent="0.25">
      <c r="A49100" s="118"/>
      <c r="B49100" s="136"/>
    </row>
    <row r="49101" spans="1:2" x14ac:dyDescent="0.25">
      <c r="A49101" s="118"/>
      <c r="B49101" s="136"/>
    </row>
    <row r="49102" spans="1:2" x14ac:dyDescent="0.25">
      <c r="A49102" s="118"/>
      <c r="B49102" s="136"/>
    </row>
    <row r="49103" spans="1:2" x14ac:dyDescent="0.25">
      <c r="A49103" s="118"/>
      <c r="B49103" s="136"/>
    </row>
    <row r="49104" spans="1:2" x14ac:dyDescent="0.25">
      <c r="A49104" s="118"/>
      <c r="B49104" s="136"/>
    </row>
    <row r="49105" spans="1:2" x14ac:dyDescent="0.25">
      <c r="A49105" s="118"/>
      <c r="B49105" s="136"/>
    </row>
    <row r="49106" spans="1:2" x14ac:dyDescent="0.25">
      <c r="A49106" s="118"/>
      <c r="B49106" s="136"/>
    </row>
    <row r="49107" spans="1:2" x14ac:dyDescent="0.25">
      <c r="A49107" s="118"/>
      <c r="B49107" s="136"/>
    </row>
    <row r="49108" spans="1:2" x14ac:dyDescent="0.25">
      <c r="A49108" s="118"/>
      <c r="B49108" s="136"/>
    </row>
    <row r="49109" spans="1:2" x14ac:dyDescent="0.25">
      <c r="A49109" s="118"/>
      <c r="B49109" s="136"/>
    </row>
    <row r="49110" spans="1:2" x14ac:dyDescent="0.25">
      <c r="A49110" s="118"/>
      <c r="B49110" s="136"/>
    </row>
    <row r="49111" spans="1:2" x14ac:dyDescent="0.25">
      <c r="A49111" s="118"/>
      <c r="B49111" s="136"/>
    </row>
    <row r="49112" spans="1:2" x14ac:dyDescent="0.25">
      <c r="A49112" s="118"/>
      <c r="B49112" s="136"/>
    </row>
    <row r="49113" spans="1:2" x14ac:dyDescent="0.25">
      <c r="A49113" s="118"/>
      <c r="B49113" s="136"/>
    </row>
    <row r="49114" spans="1:2" x14ac:dyDescent="0.25">
      <c r="A49114" s="118"/>
      <c r="B49114" s="136"/>
    </row>
    <row r="49115" spans="1:2" x14ac:dyDescent="0.25">
      <c r="A49115" s="118"/>
      <c r="B49115" s="136"/>
    </row>
    <row r="49116" spans="1:2" x14ac:dyDescent="0.25">
      <c r="A49116" s="118"/>
      <c r="B49116" s="136"/>
    </row>
    <row r="49117" spans="1:2" x14ac:dyDescent="0.25">
      <c r="A49117" s="118"/>
      <c r="B49117" s="136"/>
    </row>
    <row r="49118" spans="1:2" x14ac:dyDescent="0.25">
      <c r="A49118" s="118"/>
      <c r="B49118" s="136"/>
    </row>
    <row r="49119" spans="1:2" x14ac:dyDescent="0.25">
      <c r="A49119" s="118"/>
      <c r="B49119" s="136"/>
    </row>
    <row r="49120" spans="1:2" x14ac:dyDescent="0.25">
      <c r="A49120" s="118"/>
      <c r="B49120" s="136"/>
    </row>
    <row r="49121" spans="1:2" x14ac:dyDescent="0.25">
      <c r="A49121" s="118"/>
      <c r="B49121" s="136"/>
    </row>
    <row r="49122" spans="1:2" x14ac:dyDescent="0.25">
      <c r="A49122" s="118"/>
      <c r="B49122" s="136"/>
    </row>
    <row r="49123" spans="1:2" x14ac:dyDescent="0.25">
      <c r="A49123" s="118"/>
      <c r="B49123" s="136"/>
    </row>
    <row r="49124" spans="1:2" x14ac:dyDescent="0.25">
      <c r="A49124" s="118"/>
      <c r="B49124" s="136"/>
    </row>
    <row r="49125" spans="1:2" x14ac:dyDescent="0.25">
      <c r="A49125" s="118"/>
      <c r="B49125" s="136"/>
    </row>
    <row r="49126" spans="1:2" x14ac:dyDescent="0.25">
      <c r="A49126" s="118"/>
      <c r="B49126" s="136"/>
    </row>
    <row r="49127" spans="1:2" x14ac:dyDescent="0.25">
      <c r="A49127" s="118"/>
      <c r="B49127" s="136"/>
    </row>
    <row r="49128" spans="1:2" x14ac:dyDescent="0.25">
      <c r="A49128" s="118"/>
      <c r="B49128" s="136"/>
    </row>
    <row r="49129" spans="1:2" x14ac:dyDescent="0.25">
      <c r="A49129" s="118"/>
      <c r="B49129" s="136"/>
    </row>
    <row r="49130" spans="1:2" x14ac:dyDescent="0.25">
      <c r="A49130" s="118"/>
      <c r="B49130" s="136"/>
    </row>
    <row r="49131" spans="1:2" x14ac:dyDescent="0.25">
      <c r="A49131" s="118"/>
      <c r="B49131" s="136"/>
    </row>
    <row r="49132" spans="1:2" x14ac:dyDescent="0.25">
      <c r="A49132" s="118"/>
      <c r="B49132" s="136"/>
    </row>
    <row r="49133" spans="1:2" x14ac:dyDescent="0.25">
      <c r="A49133" s="118"/>
      <c r="B49133" s="136"/>
    </row>
    <row r="49134" spans="1:2" x14ac:dyDescent="0.25">
      <c r="A49134" s="118"/>
      <c r="B49134" s="136"/>
    </row>
    <row r="49135" spans="1:2" x14ac:dyDescent="0.25">
      <c r="A49135" s="118"/>
      <c r="B49135" s="136"/>
    </row>
    <row r="49136" spans="1:2" x14ac:dyDescent="0.25">
      <c r="A49136" s="118"/>
      <c r="B49136" s="136"/>
    </row>
    <row r="49137" spans="1:2" x14ac:dyDescent="0.25">
      <c r="A49137" s="118"/>
      <c r="B49137" s="136"/>
    </row>
    <row r="49138" spans="1:2" x14ac:dyDescent="0.25">
      <c r="A49138" s="118"/>
      <c r="B49138" s="136"/>
    </row>
    <row r="49139" spans="1:2" x14ac:dyDescent="0.25">
      <c r="A49139" s="118"/>
      <c r="B49139" s="136"/>
    </row>
    <row r="49140" spans="1:2" x14ac:dyDescent="0.25">
      <c r="A49140" s="118"/>
      <c r="B49140" s="136"/>
    </row>
    <row r="49141" spans="1:2" x14ac:dyDescent="0.25">
      <c r="A49141" s="118"/>
      <c r="B49141" s="136"/>
    </row>
    <row r="49142" spans="1:2" x14ac:dyDescent="0.25">
      <c r="A49142" s="118"/>
      <c r="B49142" s="136"/>
    </row>
    <row r="49143" spans="1:2" x14ac:dyDescent="0.25">
      <c r="A49143" s="118"/>
      <c r="B49143" s="136"/>
    </row>
    <row r="49144" spans="1:2" x14ac:dyDescent="0.25">
      <c r="A49144" s="118"/>
      <c r="B49144" s="136"/>
    </row>
    <row r="49145" spans="1:2" x14ac:dyDescent="0.25">
      <c r="A49145" s="118"/>
      <c r="B49145" s="136"/>
    </row>
    <row r="49146" spans="1:2" x14ac:dyDescent="0.25">
      <c r="A49146" s="118"/>
      <c r="B49146" s="136"/>
    </row>
    <row r="49147" spans="1:2" x14ac:dyDescent="0.25">
      <c r="A49147" s="118"/>
      <c r="B49147" s="136"/>
    </row>
    <row r="49148" spans="1:2" x14ac:dyDescent="0.25">
      <c r="A49148" s="118"/>
      <c r="B49148" s="136"/>
    </row>
    <row r="49149" spans="1:2" x14ac:dyDescent="0.25">
      <c r="A49149" s="118"/>
      <c r="B49149" s="136"/>
    </row>
    <row r="49150" spans="1:2" x14ac:dyDescent="0.25">
      <c r="A49150" s="118"/>
      <c r="B49150" s="136"/>
    </row>
    <row r="49151" spans="1:2" x14ac:dyDescent="0.25">
      <c r="A49151" s="118"/>
      <c r="B49151" s="136"/>
    </row>
    <row r="49152" spans="1:2" x14ac:dyDescent="0.25">
      <c r="A49152" s="118"/>
      <c r="B49152" s="136"/>
    </row>
    <row r="49153" spans="1:2" x14ac:dyDescent="0.25">
      <c r="A49153" s="118"/>
      <c r="B49153" s="136"/>
    </row>
    <row r="49154" spans="1:2" x14ac:dyDescent="0.25">
      <c r="A49154" s="118"/>
      <c r="B49154" s="136"/>
    </row>
    <row r="49155" spans="1:2" x14ac:dyDescent="0.25">
      <c r="A49155" s="118"/>
      <c r="B49155" s="136"/>
    </row>
    <row r="49156" spans="1:2" x14ac:dyDescent="0.25">
      <c r="A49156" s="118"/>
      <c r="B49156" s="136"/>
    </row>
    <row r="49157" spans="1:2" x14ac:dyDescent="0.25">
      <c r="A49157" s="118"/>
      <c r="B49157" s="136"/>
    </row>
    <row r="49158" spans="1:2" x14ac:dyDescent="0.25">
      <c r="A49158" s="118"/>
      <c r="B49158" s="136"/>
    </row>
    <row r="49159" spans="1:2" x14ac:dyDescent="0.25">
      <c r="A49159" s="118"/>
      <c r="B49159" s="136"/>
    </row>
    <row r="49160" spans="1:2" x14ac:dyDescent="0.25">
      <c r="A49160" s="118"/>
      <c r="B49160" s="136"/>
    </row>
    <row r="49161" spans="1:2" x14ac:dyDescent="0.25">
      <c r="A49161" s="118"/>
      <c r="B49161" s="136"/>
    </row>
    <row r="49162" spans="1:2" x14ac:dyDescent="0.25">
      <c r="A49162" s="118"/>
      <c r="B49162" s="136"/>
    </row>
    <row r="49163" spans="1:2" x14ac:dyDescent="0.25">
      <c r="A49163" s="118"/>
      <c r="B49163" s="136"/>
    </row>
    <row r="49164" spans="1:2" x14ac:dyDescent="0.25">
      <c r="A49164" s="118"/>
      <c r="B49164" s="136"/>
    </row>
    <row r="49165" spans="1:2" x14ac:dyDescent="0.25">
      <c r="A49165" s="118"/>
      <c r="B49165" s="136"/>
    </row>
    <row r="49166" spans="1:2" x14ac:dyDescent="0.25">
      <c r="A49166" s="118"/>
      <c r="B49166" s="136"/>
    </row>
    <row r="49167" spans="1:2" x14ac:dyDescent="0.25">
      <c r="A49167" s="118"/>
      <c r="B49167" s="136"/>
    </row>
    <row r="49168" spans="1:2" x14ac:dyDescent="0.25">
      <c r="A49168" s="118"/>
      <c r="B49168" s="136"/>
    </row>
    <row r="49169" spans="1:2" x14ac:dyDescent="0.25">
      <c r="A49169" s="118"/>
      <c r="B49169" s="136"/>
    </row>
    <row r="49170" spans="1:2" x14ac:dyDescent="0.25">
      <c r="A49170" s="118"/>
      <c r="B49170" s="136"/>
    </row>
    <row r="49171" spans="1:2" x14ac:dyDescent="0.25">
      <c r="A49171" s="118"/>
      <c r="B49171" s="136"/>
    </row>
    <row r="49172" spans="1:2" x14ac:dyDescent="0.25">
      <c r="A49172" s="118"/>
      <c r="B49172" s="136"/>
    </row>
    <row r="49173" spans="1:2" x14ac:dyDescent="0.25">
      <c r="A49173" s="118"/>
      <c r="B49173" s="136"/>
    </row>
    <row r="49174" spans="1:2" x14ac:dyDescent="0.25">
      <c r="A49174" s="118"/>
      <c r="B49174" s="136"/>
    </row>
    <row r="49175" spans="1:2" x14ac:dyDescent="0.25">
      <c r="A49175" s="118"/>
      <c r="B49175" s="136"/>
    </row>
    <row r="49176" spans="1:2" x14ac:dyDescent="0.25">
      <c r="A49176" s="118"/>
      <c r="B49176" s="136"/>
    </row>
    <row r="49177" spans="1:2" x14ac:dyDescent="0.25">
      <c r="A49177" s="118"/>
      <c r="B49177" s="136"/>
    </row>
    <row r="49178" spans="1:2" x14ac:dyDescent="0.25">
      <c r="A49178" s="118"/>
      <c r="B49178" s="136"/>
    </row>
    <row r="49179" spans="1:2" x14ac:dyDescent="0.25">
      <c r="A49179" s="118"/>
      <c r="B49179" s="136"/>
    </row>
    <row r="49180" spans="1:2" x14ac:dyDescent="0.25">
      <c r="A49180" s="118"/>
      <c r="B49180" s="136"/>
    </row>
    <row r="49181" spans="1:2" x14ac:dyDescent="0.25">
      <c r="A49181" s="118"/>
      <c r="B49181" s="136"/>
    </row>
    <row r="49182" spans="1:2" x14ac:dyDescent="0.25">
      <c r="A49182" s="118"/>
      <c r="B49182" s="136"/>
    </row>
    <row r="49183" spans="1:2" x14ac:dyDescent="0.25">
      <c r="A49183" s="118"/>
      <c r="B49183" s="136"/>
    </row>
    <row r="49184" spans="1:2" x14ac:dyDescent="0.25">
      <c r="A49184" s="118"/>
      <c r="B49184" s="136"/>
    </row>
    <row r="49185" spans="1:2" x14ac:dyDescent="0.25">
      <c r="A49185" s="118"/>
      <c r="B49185" s="136"/>
    </row>
    <row r="49186" spans="1:2" x14ac:dyDescent="0.25">
      <c r="A49186" s="118"/>
      <c r="B49186" s="136"/>
    </row>
    <row r="49187" spans="1:2" x14ac:dyDescent="0.25">
      <c r="A49187" s="118"/>
      <c r="B49187" s="136"/>
    </row>
    <row r="49188" spans="1:2" x14ac:dyDescent="0.25">
      <c r="A49188" s="118"/>
      <c r="B49188" s="136"/>
    </row>
    <row r="49189" spans="1:2" x14ac:dyDescent="0.25">
      <c r="A49189" s="118"/>
      <c r="B49189" s="136"/>
    </row>
    <row r="49190" spans="1:2" x14ac:dyDescent="0.25">
      <c r="A49190" s="118"/>
      <c r="B49190" s="136"/>
    </row>
    <row r="49191" spans="1:2" x14ac:dyDescent="0.25">
      <c r="A49191" s="118"/>
      <c r="B49191" s="136"/>
    </row>
    <row r="49192" spans="1:2" x14ac:dyDescent="0.25">
      <c r="A49192" s="118"/>
      <c r="B49192" s="136"/>
    </row>
    <row r="49193" spans="1:2" x14ac:dyDescent="0.25">
      <c r="A49193" s="118"/>
      <c r="B49193" s="136"/>
    </row>
    <row r="49194" spans="1:2" x14ac:dyDescent="0.25">
      <c r="A49194" s="118"/>
      <c r="B49194" s="136"/>
    </row>
    <row r="49195" spans="1:2" x14ac:dyDescent="0.25">
      <c r="A49195" s="118"/>
      <c r="B49195" s="136"/>
    </row>
    <row r="49196" spans="1:2" x14ac:dyDescent="0.25">
      <c r="A49196" s="118"/>
      <c r="B49196" s="136"/>
    </row>
    <row r="49197" spans="1:2" x14ac:dyDescent="0.25">
      <c r="A49197" s="118"/>
      <c r="B49197" s="136"/>
    </row>
    <row r="49198" spans="1:2" x14ac:dyDescent="0.25">
      <c r="A49198" s="118"/>
      <c r="B49198" s="136"/>
    </row>
    <row r="49199" spans="1:2" x14ac:dyDescent="0.25">
      <c r="A49199" s="118"/>
      <c r="B49199" s="136"/>
    </row>
    <row r="49200" spans="1:2" x14ac:dyDescent="0.25">
      <c r="A49200" s="118"/>
      <c r="B49200" s="136"/>
    </row>
    <row r="49201" spans="1:2" x14ac:dyDescent="0.25">
      <c r="A49201" s="118"/>
      <c r="B49201" s="136"/>
    </row>
    <row r="49202" spans="1:2" x14ac:dyDescent="0.25">
      <c r="A49202" s="118"/>
      <c r="B49202" s="136"/>
    </row>
    <row r="49203" spans="1:2" x14ac:dyDescent="0.25">
      <c r="A49203" s="118"/>
      <c r="B49203" s="136"/>
    </row>
    <row r="49204" spans="1:2" x14ac:dyDescent="0.25">
      <c r="A49204" s="118"/>
      <c r="B49204" s="136"/>
    </row>
    <row r="49205" spans="1:2" x14ac:dyDescent="0.25">
      <c r="A49205" s="118"/>
      <c r="B49205" s="136"/>
    </row>
    <row r="49206" spans="1:2" x14ac:dyDescent="0.25">
      <c r="A49206" s="118"/>
      <c r="B49206" s="136"/>
    </row>
    <row r="49207" spans="1:2" x14ac:dyDescent="0.25">
      <c r="A49207" s="118"/>
      <c r="B49207" s="136"/>
    </row>
    <row r="49208" spans="1:2" x14ac:dyDescent="0.25">
      <c r="A49208" s="118"/>
      <c r="B49208" s="136"/>
    </row>
    <row r="49209" spans="1:2" x14ac:dyDescent="0.25">
      <c r="A49209" s="118"/>
      <c r="B49209" s="136"/>
    </row>
    <row r="49210" spans="1:2" x14ac:dyDescent="0.25">
      <c r="A49210" s="118"/>
      <c r="B49210" s="136"/>
    </row>
    <row r="49211" spans="1:2" x14ac:dyDescent="0.25">
      <c r="A49211" s="118"/>
      <c r="B49211" s="136"/>
    </row>
    <row r="49212" spans="1:2" x14ac:dyDescent="0.25">
      <c r="A49212" s="118"/>
      <c r="B49212" s="136"/>
    </row>
    <row r="49213" spans="1:2" x14ac:dyDescent="0.25">
      <c r="A49213" s="118"/>
      <c r="B49213" s="136"/>
    </row>
    <row r="49214" spans="1:2" x14ac:dyDescent="0.25">
      <c r="A49214" s="118"/>
      <c r="B49214" s="136"/>
    </row>
    <row r="49215" spans="1:2" x14ac:dyDescent="0.25">
      <c r="A49215" s="118"/>
      <c r="B49215" s="136"/>
    </row>
    <row r="49216" spans="1:2" x14ac:dyDescent="0.25">
      <c r="A49216" s="118"/>
      <c r="B49216" s="136"/>
    </row>
    <row r="49217" spans="1:2" x14ac:dyDescent="0.25">
      <c r="A49217" s="118"/>
      <c r="B49217" s="136"/>
    </row>
    <row r="49218" spans="1:2" x14ac:dyDescent="0.25">
      <c r="A49218" s="118"/>
      <c r="B49218" s="136"/>
    </row>
    <row r="49219" spans="1:2" x14ac:dyDescent="0.25">
      <c r="A49219" s="118"/>
      <c r="B49219" s="136"/>
    </row>
    <row r="49220" spans="1:2" x14ac:dyDescent="0.25">
      <c r="A49220" s="118"/>
      <c r="B49220" s="136"/>
    </row>
    <row r="49221" spans="1:2" x14ac:dyDescent="0.25">
      <c r="A49221" s="118"/>
      <c r="B49221" s="136"/>
    </row>
    <row r="49222" spans="1:2" x14ac:dyDescent="0.25">
      <c r="A49222" s="118"/>
      <c r="B49222" s="136"/>
    </row>
    <row r="49223" spans="1:2" x14ac:dyDescent="0.25">
      <c r="A49223" s="118"/>
      <c r="B49223" s="136"/>
    </row>
    <row r="49224" spans="1:2" x14ac:dyDescent="0.25">
      <c r="A49224" s="118"/>
      <c r="B49224" s="136"/>
    </row>
    <row r="49225" spans="1:2" x14ac:dyDescent="0.25">
      <c r="A49225" s="118"/>
      <c r="B49225" s="136"/>
    </row>
    <row r="49226" spans="1:2" x14ac:dyDescent="0.25">
      <c r="A49226" s="118"/>
      <c r="B49226" s="136"/>
    </row>
    <row r="49227" spans="1:2" x14ac:dyDescent="0.25">
      <c r="A49227" s="118"/>
      <c r="B49227" s="136"/>
    </row>
    <row r="49228" spans="1:2" x14ac:dyDescent="0.25">
      <c r="A49228" s="118"/>
      <c r="B49228" s="136"/>
    </row>
    <row r="49229" spans="1:2" x14ac:dyDescent="0.25">
      <c r="A49229" s="118"/>
      <c r="B49229" s="136"/>
    </row>
    <row r="49230" spans="1:2" x14ac:dyDescent="0.25">
      <c r="A49230" s="118"/>
      <c r="B49230" s="136"/>
    </row>
    <row r="49231" spans="1:2" x14ac:dyDescent="0.25">
      <c r="A49231" s="118"/>
      <c r="B49231" s="136"/>
    </row>
    <row r="49232" spans="1:2" x14ac:dyDescent="0.25">
      <c r="A49232" s="118"/>
      <c r="B49232" s="136"/>
    </row>
    <row r="49233" spans="1:2" x14ac:dyDescent="0.25">
      <c r="A49233" s="118"/>
      <c r="B49233" s="136"/>
    </row>
    <row r="49234" spans="1:2" x14ac:dyDescent="0.25">
      <c r="A49234" s="118"/>
      <c r="B49234" s="136"/>
    </row>
    <row r="49235" spans="1:2" x14ac:dyDescent="0.25">
      <c r="A49235" s="118"/>
      <c r="B49235" s="136"/>
    </row>
    <row r="49236" spans="1:2" x14ac:dyDescent="0.25">
      <c r="A49236" s="118"/>
      <c r="B49236" s="136"/>
    </row>
    <row r="49237" spans="1:2" x14ac:dyDescent="0.25">
      <c r="A49237" s="118"/>
      <c r="B49237" s="136"/>
    </row>
    <row r="49238" spans="1:2" x14ac:dyDescent="0.25">
      <c r="A49238" s="118"/>
      <c r="B49238" s="136"/>
    </row>
    <row r="49239" spans="1:2" x14ac:dyDescent="0.25">
      <c r="A49239" s="118"/>
      <c r="B49239" s="136"/>
    </row>
    <row r="49240" spans="1:2" x14ac:dyDescent="0.25">
      <c r="A49240" s="118"/>
      <c r="B49240" s="136"/>
    </row>
    <row r="49241" spans="1:2" x14ac:dyDescent="0.25">
      <c r="A49241" s="118"/>
      <c r="B49241" s="136"/>
    </row>
    <row r="49242" spans="1:2" x14ac:dyDescent="0.25">
      <c r="A49242" s="118"/>
      <c r="B49242" s="136"/>
    </row>
    <row r="49243" spans="1:2" x14ac:dyDescent="0.25">
      <c r="A49243" s="118"/>
      <c r="B49243" s="136"/>
    </row>
    <row r="49244" spans="1:2" x14ac:dyDescent="0.25">
      <c r="A49244" s="118"/>
      <c r="B49244" s="136"/>
    </row>
    <row r="49245" spans="1:2" x14ac:dyDescent="0.25">
      <c r="A49245" s="118"/>
      <c r="B49245" s="136"/>
    </row>
    <row r="49246" spans="1:2" x14ac:dyDescent="0.25">
      <c r="A49246" s="118"/>
      <c r="B49246" s="136"/>
    </row>
    <row r="49247" spans="1:2" x14ac:dyDescent="0.25">
      <c r="A49247" s="118"/>
      <c r="B49247" s="136"/>
    </row>
    <row r="49248" spans="1:2" x14ac:dyDescent="0.25">
      <c r="A49248" s="118"/>
      <c r="B49248" s="136"/>
    </row>
    <row r="49249" spans="1:2" x14ac:dyDescent="0.25">
      <c r="A49249" s="118"/>
      <c r="B49249" s="136"/>
    </row>
    <row r="49250" spans="1:2" x14ac:dyDescent="0.25">
      <c r="A49250" s="118"/>
      <c r="B49250" s="136"/>
    </row>
    <row r="49251" spans="1:2" x14ac:dyDescent="0.25">
      <c r="A49251" s="118"/>
      <c r="B49251" s="136"/>
    </row>
    <row r="49252" spans="1:2" x14ac:dyDescent="0.25">
      <c r="A49252" s="118"/>
      <c r="B49252" s="136"/>
    </row>
    <row r="49253" spans="1:2" x14ac:dyDescent="0.25">
      <c r="A49253" s="118"/>
      <c r="B49253" s="136"/>
    </row>
    <row r="49254" spans="1:2" x14ac:dyDescent="0.25">
      <c r="A49254" s="118"/>
      <c r="B49254" s="136"/>
    </row>
    <row r="49255" spans="1:2" x14ac:dyDescent="0.25">
      <c r="A49255" s="118"/>
      <c r="B49255" s="136"/>
    </row>
    <row r="49256" spans="1:2" x14ac:dyDescent="0.25">
      <c r="A49256" s="118"/>
      <c r="B49256" s="136"/>
    </row>
    <row r="49257" spans="1:2" x14ac:dyDescent="0.25">
      <c r="A49257" s="118"/>
      <c r="B49257" s="136"/>
    </row>
    <row r="49258" spans="1:2" x14ac:dyDescent="0.25">
      <c r="A49258" s="118"/>
      <c r="B49258" s="136"/>
    </row>
    <row r="49259" spans="1:2" x14ac:dyDescent="0.25">
      <c r="A49259" s="118"/>
      <c r="B49259" s="136"/>
    </row>
    <row r="49260" spans="1:2" x14ac:dyDescent="0.25">
      <c r="A49260" s="118"/>
      <c r="B49260" s="136"/>
    </row>
    <row r="49261" spans="1:2" x14ac:dyDescent="0.25">
      <c r="A49261" s="118"/>
      <c r="B49261" s="136"/>
    </row>
    <row r="49262" spans="1:2" x14ac:dyDescent="0.25">
      <c r="A49262" s="118"/>
      <c r="B49262" s="136"/>
    </row>
    <row r="49263" spans="1:2" x14ac:dyDescent="0.25">
      <c r="A49263" s="118"/>
      <c r="B49263" s="136"/>
    </row>
    <row r="49264" spans="1:2" x14ac:dyDescent="0.25">
      <c r="A49264" s="118"/>
      <c r="B49264" s="136"/>
    </row>
    <row r="49265" spans="1:2" x14ac:dyDescent="0.25">
      <c r="A49265" s="118"/>
      <c r="B49265" s="136"/>
    </row>
    <row r="49266" spans="1:2" x14ac:dyDescent="0.25">
      <c r="A49266" s="118"/>
      <c r="B49266" s="136"/>
    </row>
    <row r="49267" spans="1:2" x14ac:dyDescent="0.25">
      <c r="A49267" s="118"/>
      <c r="B49267" s="136"/>
    </row>
    <row r="49268" spans="1:2" x14ac:dyDescent="0.25">
      <c r="A49268" s="118"/>
      <c r="B49268" s="136"/>
    </row>
    <row r="49269" spans="1:2" x14ac:dyDescent="0.25">
      <c r="A49269" s="118"/>
      <c r="B49269" s="136"/>
    </row>
    <row r="49270" spans="1:2" x14ac:dyDescent="0.25">
      <c r="A49270" s="118"/>
      <c r="B49270" s="136"/>
    </row>
    <row r="49271" spans="1:2" x14ac:dyDescent="0.25">
      <c r="A49271" s="118"/>
      <c r="B49271" s="136"/>
    </row>
    <row r="49272" spans="1:2" x14ac:dyDescent="0.25">
      <c r="A49272" s="118"/>
      <c r="B49272" s="136"/>
    </row>
    <row r="49273" spans="1:2" x14ac:dyDescent="0.25">
      <c r="A49273" s="118"/>
      <c r="B49273" s="136"/>
    </row>
    <row r="49274" spans="1:2" x14ac:dyDescent="0.25">
      <c r="A49274" s="118"/>
      <c r="B49274" s="136"/>
    </row>
    <row r="49275" spans="1:2" x14ac:dyDescent="0.25">
      <c r="A49275" s="118"/>
      <c r="B49275" s="136"/>
    </row>
    <row r="49276" spans="1:2" x14ac:dyDescent="0.25">
      <c r="A49276" s="118"/>
      <c r="B49276" s="136"/>
    </row>
    <row r="49277" spans="1:2" x14ac:dyDescent="0.25">
      <c r="A49277" s="118"/>
      <c r="B49277" s="136"/>
    </row>
    <row r="49278" spans="1:2" x14ac:dyDescent="0.25">
      <c r="A49278" s="118"/>
      <c r="B49278" s="136"/>
    </row>
    <row r="49279" spans="1:2" x14ac:dyDescent="0.25">
      <c r="A49279" s="118"/>
      <c r="B49279" s="136"/>
    </row>
    <row r="49280" spans="1:2" x14ac:dyDescent="0.25">
      <c r="A49280" s="118"/>
      <c r="B49280" s="136"/>
    </row>
    <row r="49281" spans="1:2" x14ac:dyDescent="0.25">
      <c r="A49281" s="118"/>
      <c r="B49281" s="136"/>
    </row>
    <row r="49282" spans="1:2" x14ac:dyDescent="0.25">
      <c r="A49282" s="118"/>
      <c r="B49282" s="136"/>
    </row>
    <row r="49283" spans="1:2" x14ac:dyDescent="0.25">
      <c r="A49283" s="118"/>
      <c r="B49283" s="136"/>
    </row>
    <row r="49284" spans="1:2" x14ac:dyDescent="0.25">
      <c r="A49284" s="118"/>
      <c r="B49284" s="136"/>
    </row>
    <row r="49285" spans="1:2" x14ac:dyDescent="0.25">
      <c r="A49285" s="118"/>
      <c r="B49285" s="136"/>
    </row>
    <row r="49286" spans="1:2" x14ac:dyDescent="0.25">
      <c r="A49286" s="118"/>
      <c r="B49286" s="136"/>
    </row>
    <row r="49287" spans="1:2" x14ac:dyDescent="0.25">
      <c r="A49287" s="118"/>
      <c r="B49287" s="136"/>
    </row>
    <row r="49288" spans="1:2" x14ac:dyDescent="0.25">
      <c r="A49288" s="118"/>
      <c r="B49288" s="136"/>
    </row>
    <row r="49289" spans="1:2" x14ac:dyDescent="0.25">
      <c r="A49289" s="118"/>
      <c r="B49289" s="136"/>
    </row>
    <row r="49290" spans="1:2" x14ac:dyDescent="0.25">
      <c r="A49290" s="118"/>
      <c r="B49290" s="136"/>
    </row>
    <row r="49291" spans="1:2" x14ac:dyDescent="0.25">
      <c r="A49291" s="118"/>
      <c r="B49291" s="136"/>
    </row>
    <row r="49292" spans="1:2" x14ac:dyDescent="0.25">
      <c r="A49292" s="118"/>
      <c r="B49292" s="136"/>
    </row>
    <row r="49293" spans="1:2" x14ac:dyDescent="0.25">
      <c r="A49293" s="118"/>
      <c r="B49293" s="136"/>
    </row>
    <row r="49294" spans="1:2" x14ac:dyDescent="0.25">
      <c r="A49294" s="118"/>
      <c r="B49294" s="136"/>
    </row>
    <row r="49295" spans="1:2" x14ac:dyDescent="0.25">
      <c r="A49295" s="118"/>
      <c r="B49295" s="136"/>
    </row>
    <row r="49296" spans="1:2" x14ac:dyDescent="0.25">
      <c r="A49296" s="118"/>
      <c r="B49296" s="136"/>
    </row>
    <row r="49297" spans="1:2" x14ac:dyDescent="0.25">
      <c r="A49297" s="118"/>
      <c r="B49297" s="136"/>
    </row>
    <row r="49298" spans="1:2" x14ac:dyDescent="0.25">
      <c r="A49298" s="118"/>
      <c r="B49298" s="136"/>
    </row>
    <row r="49299" spans="1:2" x14ac:dyDescent="0.25">
      <c r="A49299" s="118"/>
      <c r="B49299" s="136"/>
    </row>
    <row r="49300" spans="1:2" x14ac:dyDescent="0.25">
      <c r="A49300" s="118"/>
      <c r="B49300" s="136"/>
    </row>
    <row r="49301" spans="1:2" x14ac:dyDescent="0.25">
      <c r="A49301" s="118"/>
      <c r="B49301" s="136"/>
    </row>
    <row r="49302" spans="1:2" x14ac:dyDescent="0.25">
      <c r="A49302" s="118"/>
      <c r="B49302" s="136"/>
    </row>
    <row r="49303" spans="1:2" x14ac:dyDescent="0.25">
      <c r="A49303" s="118"/>
      <c r="B49303" s="136"/>
    </row>
    <row r="49304" spans="1:2" x14ac:dyDescent="0.25">
      <c r="A49304" s="118"/>
      <c r="B49304" s="136"/>
    </row>
    <row r="49305" spans="1:2" x14ac:dyDescent="0.25">
      <c r="A49305" s="118"/>
      <c r="B49305" s="136"/>
    </row>
    <row r="49306" spans="1:2" x14ac:dyDescent="0.25">
      <c r="A49306" s="118"/>
      <c r="B49306" s="136"/>
    </row>
    <row r="49307" spans="1:2" x14ac:dyDescent="0.25">
      <c r="A49307" s="118"/>
      <c r="B49307" s="136"/>
    </row>
    <row r="49308" spans="1:2" x14ac:dyDescent="0.25">
      <c r="A49308" s="118"/>
      <c r="B49308" s="136"/>
    </row>
    <row r="49309" spans="1:2" x14ac:dyDescent="0.25">
      <c r="A49309" s="118"/>
      <c r="B49309" s="136"/>
    </row>
    <row r="49310" spans="1:2" x14ac:dyDescent="0.25">
      <c r="A49310" s="118"/>
      <c r="B49310" s="136"/>
    </row>
    <row r="49311" spans="1:2" x14ac:dyDescent="0.25">
      <c r="A49311" s="118"/>
      <c r="B49311" s="136"/>
    </row>
    <row r="49312" spans="1:2" x14ac:dyDescent="0.25">
      <c r="A49312" s="118"/>
      <c r="B49312" s="136"/>
    </row>
    <row r="49313" spans="1:2" x14ac:dyDescent="0.25">
      <c r="A49313" s="118"/>
      <c r="B49313" s="136"/>
    </row>
    <row r="49314" spans="1:2" x14ac:dyDescent="0.25">
      <c r="A49314" s="118"/>
      <c r="B49314" s="136"/>
    </row>
    <row r="49315" spans="1:2" x14ac:dyDescent="0.25">
      <c r="A49315" s="118"/>
      <c r="B49315" s="136"/>
    </row>
    <row r="49316" spans="1:2" x14ac:dyDescent="0.25">
      <c r="A49316" s="118"/>
      <c r="B49316" s="136"/>
    </row>
    <row r="49317" spans="1:2" x14ac:dyDescent="0.25">
      <c r="A49317" s="118"/>
      <c r="B49317" s="136"/>
    </row>
    <row r="49318" spans="1:2" x14ac:dyDescent="0.25">
      <c r="A49318" s="118"/>
      <c r="B49318" s="136"/>
    </row>
    <row r="49319" spans="1:2" x14ac:dyDescent="0.25">
      <c r="A49319" s="118"/>
      <c r="B49319" s="136"/>
    </row>
    <row r="49320" spans="1:2" x14ac:dyDescent="0.25">
      <c r="A49320" s="118"/>
      <c r="B49320" s="136"/>
    </row>
    <row r="49321" spans="1:2" x14ac:dyDescent="0.25">
      <c r="A49321" s="118"/>
      <c r="B49321" s="136"/>
    </row>
    <row r="49322" spans="1:2" x14ac:dyDescent="0.25">
      <c r="A49322" s="118"/>
      <c r="B49322" s="136"/>
    </row>
    <row r="49323" spans="1:2" x14ac:dyDescent="0.25">
      <c r="A49323" s="118"/>
      <c r="B49323" s="136"/>
    </row>
    <row r="49324" spans="1:2" x14ac:dyDescent="0.25">
      <c r="A49324" s="118"/>
      <c r="B49324" s="136"/>
    </row>
    <row r="49325" spans="1:2" x14ac:dyDescent="0.25">
      <c r="A49325" s="118"/>
      <c r="B49325" s="136"/>
    </row>
    <row r="49326" spans="1:2" x14ac:dyDescent="0.25">
      <c r="A49326" s="118"/>
      <c r="B49326" s="136"/>
    </row>
    <row r="49327" spans="1:2" x14ac:dyDescent="0.25">
      <c r="A49327" s="118"/>
      <c r="B49327" s="136"/>
    </row>
    <row r="49328" spans="1:2" x14ac:dyDescent="0.25">
      <c r="A49328" s="118"/>
      <c r="B49328" s="136"/>
    </row>
    <row r="49329" spans="1:2" x14ac:dyDescent="0.25">
      <c r="A49329" s="118"/>
      <c r="B49329" s="136"/>
    </row>
    <row r="49330" spans="1:2" x14ac:dyDescent="0.25">
      <c r="A49330" s="118"/>
      <c r="B49330" s="136"/>
    </row>
    <row r="49331" spans="1:2" x14ac:dyDescent="0.25">
      <c r="A49331" s="118"/>
      <c r="B49331" s="136"/>
    </row>
    <row r="49332" spans="1:2" x14ac:dyDescent="0.25">
      <c r="A49332" s="118"/>
      <c r="B49332" s="136"/>
    </row>
    <row r="49333" spans="1:2" x14ac:dyDescent="0.25">
      <c r="A49333" s="118"/>
      <c r="B49333" s="136"/>
    </row>
    <row r="49334" spans="1:2" x14ac:dyDescent="0.25">
      <c r="A49334" s="118"/>
      <c r="B49334" s="136"/>
    </row>
    <row r="49335" spans="1:2" x14ac:dyDescent="0.25">
      <c r="A49335" s="118"/>
      <c r="B49335" s="136"/>
    </row>
    <row r="49336" spans="1:2" x14ac:dyDescent="0.25">
      <c r="A49336" s="118"/>
      <c r="B49336" s="136"/>
    </row>
    <row r="49337" spans="1:2" x14ac:dyDescent="0.25">
      <c r="A49337" s="118"/>
      <c r="B49337" s="136"/>
    </row>
    <row r="49338" spans="1:2" x14ac:dyDescent="0.25">
      <c r="A49338" s="118"/>
      <c r="B49338" s="136"/>
    </row>
    <row r="49339" spans="1:2" x14ac:dyDescent="0.25">
      <c r="A49339" s="118"/>
      <c r="B49339" s="136"/>
    </row>
    <row r="49340" spans="1:2" x14ac:dyDescent="0.25">
      <c r="A49340" s="118"/>
      <c r="B49340" s="136"/>
    </row>
    <row r="49341" spans="1:2" x14ac:dyDescent="0.25">
      <c r="A49341" s="118"/>
      <c r="B49341" s="136"/>
    </row>
    <row r="49342" spans="1:2" x14ac:dyDescent="0.25">
      <c r="A49342" s="118"/>
      <c r="B49342" s="136"/>
    </row>
    <row r="49343" spans="1:2" x14ac:dyDescent="0.25">
      <c r="A49343" s="118"/>
      <c r="B49343" s="136"/>
    </row>
    <row r="49344" spans="1:2" x14ac:dyDescent="0.25">
      <c r="A49344" s="118"/>
      <c r="B49344" s="136"/>
    </row>
    <row r="49345" spans="1:2" x14ac:dyDescent="0.25">
      <c r="A49345" s="118"/>
      <c r="B49345" s="136"/>
    </row>
    <row r="49346" spans="1:2" x14ac:dyDescent="0.25">
      <c r="A49346" s="118"/>
      <c r="B49346" s="136"/>
    </row>
    <row r="49347" spans="1:2" x14ac:dyDescent="0.25">
      <c r="A49347" s="118"/>
      <c r="B49347" s="136"/>
    </row>
    <row r="49348" spans="1:2" x14ac:dyDescent="0.25">
      <c r="A49348" s="118"/>
      <c r="B49348" s="136"/>
    </row>
    <row r="49349" spans="1:2" x14ac:dyDescent="0.25">
      <c r="A49349" s="118"/>
      <c r="B49349" s="136"/>
    </row>
    <row r="49350" spans="1:2" x14ac:dyDescent="0.25">
      <c r="A49350" s="118"/>
      <c r="B49350" s="136"/>
    </row>
    <row r="49351" spans="1:2" x14ac:dyDescent="0.25">
      <c r="A49351" s="118"/>
      <c r="B49351" s="136"/>
    </row>
    <row r="49352" spans="1:2" x14ac:dyDescent="0.25">
      <c r="A49352" s="118"/>
      <c r="B49352" s="136"/>
    </row>
    <row r="49353" spans="1:2" x14ac:dyDescent="0.25">
      <c r="A49353" s="118"/>
      <c r="B49353" s="136"/>
    </row>
    <row r="49354" spans="1:2" x14ac:dyDescent="0.25">
      <c r="A49354" s="118"/>
      <c r="B49354" s="136"/>
    </row>
    <row r="49355" spans="1:2" x14ac:dyDescent="0.25">
      <c r="A49355" s="118"/>
      <c r="B49355" s="136"/>
    </row>
    <row r="49356" spans="1:2" x14ac:dyDescent="0.25">
      <c r="A49356" s="118"/>
      <c r="B49356" s="136"/>
    </row>
    <row r="49357" spans="1:2" x14ac:dyDescent="0.25">
      <c r="A49357" s="118"/>
      <c r="B49357" s="136"/>
    </row>
    <row r="49358" spans="1:2" x14ac:dyDescent="0.25">
      <c r="A49358" s="118"/>
      <c r="B49358" s="136"/>
    </row>
    <row r="49359" spans="1:2" x14ac:dyDescent="0.25">
      <c r="A49359" s="118"/>
      <c r="B49359" s="136"/>
    </row>
    <row r="49360" spans="1:2" x14ac:dyDescent="0.25">
      <c r="A49360" s="118"/>
      <c r="B49360" s="136"/>
    </row>
    <row r="49361" spans="1:2" x14ac:dyDescent="0.25">
      <c r="A49361" s="118"/>
      <c r="B49361" s="136"/>
    </row>
    <row r="49362" spans="1:2" x14ac:dyDescent="0.25">
      <c r="A49362" s="118"/>
      <c r="B49362" s="136"/>
    </row>
    <row r="49363" spans="1:2" x14ac:dyDescent="0.25">
      <c r="A49363" s="118"/>
      <c r="B49363" s="136"/>
    </row>
    <row r="49364" spans="1:2" x14ac:dyDescent="0.25">
      <c r="A49364" s="118"/>
      <c r="B49364" s="136"/>
    </row>
    <row r="49365" spans="1:2" x14ac:dyDescent="0.25">
      <c r="A49365" s="118"/>
      <c r="B49365" s="136"/>
    </row>
    <row r="49366" spans="1:2" x14ac:dyDescent="0.25">
      <c r="A49366" s="118"/>
      <c r="B49366" s="136"/>
    </row>
    <row r="49367" spans="1:2" x14ac:dyDescent="0.25">
      <c r="A49367" s="118"/>
      <c r="B49367" s="136"/>
    </row>
    <row r="49368" spans="1:2" x14ac:dyDescent="0.25">
      <c r="A49368" s="118"/>
      <c r="B49368" s="136"/>
    </row>
    <row r="49369" spans="1:2" x14ac:dyDescent="0.25">
      <c r="A49369" s="118"/>
      <c r="B49369" s="136"/>
    </row>
    <row r="49370" spans="1:2" x14ac:dyDescent="0.25">
      <c r="A49370" s="118"/>
      <c r="B49370" s="136"/>
    </row>
    <row r="49371" spans="1:2" x14ac:dyDescent="0.25">
      <c r="A49371" s="118"/>
      <c r="B49371" s="136"/>
    </row>
    <row r="49372" spans="1:2" x14ac:dyDescent="0.25">
      <c r="A49372" s="118"/>
      <c r="B49372" s="136"/>
    </row>
    <row r="49373" spans="1:2" x14ac:dyDescent="0.25">
      <c r="A49373" s="118"/>
      <c r="B49373" s="136"/>
    </row>
    <row r="49374" spans="1:2" x14ac:dyDescent="0.25">
      <c r="A49374" s="118"/>
      <c r="B49374" s="136"/>
    </row>
    <row r="49375" spans="1:2" x14ac:dyDescent="0.25">
      <c r="A49375" s="118"/>
      <c r="B49375" s="136"/>
    </row>
    <row r="49376" spans="1:2" x14ac:dyDescent="0.25">
      <c r="A49376" s="118"/>
      <c r="B49376" s="136"/>
    </row>
    <row r="49377" spans="1:2" x14ac:dyDescent="0.25">
      <c r="A49377" s="118"/>
      <c r="B49377" s="136"/>
    </row>
    <row r="49378" spans="1:2" x14ac:dyDescent="0.25">
      <c r="A49378" s="118"/>
      <c r="B49378" s="136"/>
    </row>
    <row r="49379" spans="1:2" x14ac:dyDescent="0.25">
      <c r="A49379" s="118"/>
      <c r="B49379" s="136"/>
    </row>
    <row r="49380" spans="1:2" x14ac:dyDescent="0.25">
      <c r="A49380" s="118"/>
      <c r="B49380" s="136"/>
    </row>
    <row r="49381" spans="1:2" x14ac:dyDescent="0.25">
      <c r="A49381" s="118"/>
      <c r="B49381" s="136"/>
    </row>
    <row r="49382" spans="1:2" x14ac:dyDescent="0.25">
      <c r="A49382" s="118"/>
      <c r="B49382" s="136"/>
    </row>
    <row r="49383" spans="1:2" x14ac:dyDescent="0.25">
      <c r="A49383" s="118"/>
      <c r="B49383" s="136"/>
    </row>
    <row r="49384" spans="1:2" x14ac:dyDescent="0.25">
      <c r="A49384" s="118"/>
      <c r="B49384" s="136"/>
    </row>
    <row r="49385" spans="1:2" x14ac:dyDescent="0.25">
      <c r="A49385" s="118"/>
      <c r="B49385" s="136"/>
    </row>
    <row r="49386" spans="1:2" x14ac:dyDescent="0.25">
      <c r="A49386" s="118"/>
      <c r="B49386" s="136"/>
    </row>
    <row r="49387" spans="1:2" x14ac:dyDescent="0.25">
      <c r="A49387" s="118"/>
      <c r="B49387" s="136"/>
    </row>
    <row r="49388" spans="1:2" x14ac:dyDescent="0.25">
      <c r="A49388" s="118"/>
      <c r="B49388" s="136"/>
    </row>
    <row r="49389" spans="1:2" x14ac:dyDescent="0.25">
      <c r="A49389" s="118"/>
      <c r="B49389" s="136"/>
    </row>
    <row r="49390" spans="1:2" x14ac:dyDescent="0.25">
      <c r="A49390" s="118"/>
      <c r="B49390" s="136"/>
    </row>
    <row r="49391" spans="1:2" x14ac:dyDescent="0.25">
      <c r="A49391" s="118"/>
      <c r="B49391" s="136"/>
    </row>
    <row r="49392" spans="1:2" x14ac:dyDescent="0.25">
      <c r="A49392" s="118"/>
      <c r="B49392" s="136"/>
    </row>
    <row r="49393" spans="1:2" x14ac:dyDescent="0.25">
      <c r="A49393" s="118"/>
      <c r="B49393" s="136"/>
    </row>
    <row r="49394" spans="1:2" x14ac:dyDescent="0.25">
      <c r="A49394" s="118"/>
      <c r="B49394" s="136"/>
    </row>
    <row r="49395" spans="1:2" x14ac:dyDescent="0.25">
      <c r="A49395" s="118"/>
      <c r="B49395" s="136"/>
    </row>
    <row r="49396" spans="1:2" x14ac:dyDescent="0.25">
      <c r="A49396" s="118"/>
      <c r="B49396" s="136"/>
    </row>
    <row r="49397" spans="1:2" x14ac:dyDescent="0.25">
      <c r="A49397" s="118"/>
      <c r="B49397" s="136"/>
    </row>
    <row r="49398" spans="1:2" x14ac:dyDescent="0.25">
      <c r="A49398" s="118"/>
      <c r="B49398" s="136"/>
    </row>
    <row r="49399" spans="1:2" x14ac:dyDescent="0.25">
      <c r="A49399" s="118"/>
      <c r="B49399" s="136"/>
    </row>
    <row r="49400" spans="1:2" x14ac:dyDescent="0.25">
      <c r="A49400" s="118"/>
      <c r="B49400" s="136"/>
    </row>
    <row r="49401" spans="1:2" x14ac:dyDescent="0.25">
      <c r="A49401" s="118"/>
      <c r="B49401" s="136"/>
    </row>
    <row r="49402" spans="1:2" x14ac:dyDescent="0.25">
      <c r="A49402" s="118"/>
      <c r="B49402" s="136"/>
    </row>
    <row r="49403" spans="1:2" x14ac:dyDescent="0.25">
      <c r="A49403" s="118"/>
      <c r="B49403" s="136"/>
    </row>
    <row r="49404" spans="1:2" x14ac:dyDescent="0.25">
      <c r="A49404" s="118"/>
      <c r="B49404" s="136"/>
    </row>
    <row r="49405" spans="1:2" x14ac:dyDescent="0.25">
      <c r="A49405" s="118"/>
      <c r="B49405" s="136"/>
    </row>
    <row r="49406" spans="1:2" x14ac:dyDescent="0.25">
      <c r="A49406" s="118"/>
      <c r="B49406" s="136"/>
    </row>
    <row r="49407" spans="1:2" x14ac:dyDescent="0.25">
      <c r="A49407" s="118"/>
      <c r="B49407" s="136"/>
    </row>
    <row r="49408" spans="1:2" x14ac:dyDescent="0.25">
      <c r="A49408" s="118"/>
      <c r="B49408" s="136"/>
    </row>
    <row r="49409" spans="1:2" x14ac:dyDescent="0.25">
      <c r="A49409" s="118"/>
      <c r="B49409" s="136"/>
    </row>
    <row r="49410" spans="1:2" x14ac:dyDescent="0.25">
      <c r="A49410" s="118"/>
      <c r="B49410" s="136"/>
    </row>
    <row r="49411" spans="1:2" x14ac:dyDescent="0.25">
      <c r="A49411" s="118"/>
      <c r="B49411" s="136"/>
    </row>
    <row r="49412" spans="1:2" x14ac:dyDescent="0.25">
      <c r="A49412" s="118"/>
      <c r="B49412" s="136"/>
    </row>
    <row r="49413" spans="1:2" x14ac:dyDescent="0.25">
      <c r="A49413" s="118"/>
      <c r="B49413" s="136"/>
    </row>
    <row r="49414" spans="1:2" x14ac:dyDescent="0.25">
      <c r="A49414" s="118"/>
      <c r="B49414" s="136"/>
    </row>
    <row r="49415" spans="1:2" x14ac:dyDescent="0.25">
      <c r="A49415" s="118"/>
      <c r="B49415" s="136"/>
    </row>
    <row r="49416" spans="1:2" x14ac:dyDescent="0.25">
      <c r="A49416" s="118"/>
      <c r="B49416" s="136"/>
    </row>
    <row r="49417" spans="1:2" x14ac:dyDescent="0.25">
      <c r="A49417" s="118"/>
      <c r="B49417" s="136"/>
    </row>
    <row r="49418" spans="1:2" x14ac:dyDescent="0.25">
      <c r="A49418" s="118"/>
      <c r="B49418" s="136"/>
    </row>
    <row r="49419" spans="1:2" x14ac:dyDescent="0.25">
      <c r="A49419" s="118"/>
      <c r="B49419" s="136"/>
    </row>
    <row r="49420" spans="1:2" x14ac:dyDescent="0.25">
      <c r="A49420" s="118"/>
      <c r="B49420" s="136"/>
    </row>
    <row r="49421" spans="1:2" x14ac:dyDescent="0.25">
      <c r="A49421" s="118"/>
      <c r="B49421" s="136"/>
    </row>
    <row r="49422" spans="1:2" x14ac:dyDescent="0.25">
      <c r="A49422" s="118"/>
      <c r="B49422" s="136"/>
    </row>
    <row r="49423" spans="1:2" x14ac:dyDescent="0.25">
      <c r="A49423" s="118"/>
      <c r="B49423" s="136"/>
    </row>
    <row r="49424" spans="1:2" x14ac:dyDescent="0.25">
      <c r="A49424" s="118"/>
      <c r="B49424" s="136"/>
    </row>
    <row r="49425" spans="1:2" x14ac:dyDescent="0.25">
      <c r="A49425" s="118"/>
      <c r="B49425" s="136"/>
    </row>
    <row r="49426" spans="1:2" x14ac:dyDescent="0.25">
      <c r="A49426" s="118"/>
      <c r="B49426" s="136"/>
    </row>
    <row r="49427" spans="1:2" x14ac:dyDescent="0.25">
      <c r="A49427" s="118"/>
      <c r="B49427" s="136"/>
    </row>
    <row r="49428" spans="1:2" x14ac:dyDescent="0.25">
      <c r="A49428" s="118"/>
      <c r="B49428" s="136"/>
    </row>
    <row r="49429" spans="1:2" x14ac:dyDescent="0.25">
      <c r="A49429" s="118"/>
      <c r="B49429" s="136"/>
    </row>
    <row r="49430" spans="1:2" x14ac:dyDescent="0.25">
      <c r="A49430" s="118"/>
      <c r="B49430" s="136"/>
    </row>
    <row r="49431" spans="1:2" x14ac:dyDescent="0.25">
      <c r="A49431" s="118"/>
      <c r="B49431" s="136"/>
    </row>
    <row r="49432" spans="1:2" x14ac:dyDescent="0.25">
      <c r="A49432" s="118"/>
      <c r="B49432" s="136"/>
    </row>
    <row r="49433" spans="1:2" x14ac:dyDescent="0.25">
      <c r="A49433" s="118"/>
      <c r="B49433" s="136"/>
    </row>
    <row r="49434" spans="1:2" x14ac:dyDescent="0.25">
      <c r="A49434" s="118"/>
      <c r="B49434" s="136"/>
    </row>
    <row r="49435" spans="1:2" x14ac:dyDescent="0.25">
      <c r="A49435" s="118"/>
      <c r="B49435" s="136"/>
    </row>
    <row r="49436" spans="1:2" x14ac:dyDescent="0.25">
      <c r="A49436" s="118"/>
      <c r="B49436" s="136"/>
    </row>
    <row r="49437" spans="1:2" x14ac:dyDescent="0.25">
      <c r="A49437" s="118"/>
      <c r="B49437" s="136"/>
    </row>
    <row r="49438" spans="1:2" x14ac:dyDescent="0.25">
      <c r="A49438" s="118"/>
      <c r="B49438" s="136"/>
    </row>
    <row r="49439" spans="1:2" x14ac:dyDescent="0.25">
      <c r="A49439" s="118"/>
      <c r="B49439" s="136"/>
    </row>
    <row r="49440" spans="1:2" x14ac:dyDescent="0.25">
      <c r="A49440" s="118"/>
      <c r="B49440" s="136"/>
    </row>
    <row r="49441" spans="1:2" x14ac:dyDescent="0.25">
      <c r="A49441" s="118"/>
      <c r="B49441" s="136"/>
    </row>
    <row r="49442" spans="1:2" x14ac:dyDescent="0.25">
      <c r="A49442" s="118"/>
      <c r="B49442" s="136"/>
    </row>
    <row r="49443" spans="1:2" x14ac:dyDescent="0.25">
      <c r="A49443" s="118"/>
      <c r="B49443" s="136"/>
    </row>
    <row r="49444" spans="1:2" x14ac:dyDescent="0.25">
      <c r="A49444" s="118"/>
      <c r="B49444" s="136"/>
    </row>
    <row r="49445" spans="1:2" x14ac:dyDescent="0.25">
      <c r="A49445" s="118"/>
      <c r="B49445" s="136"/>
    </row>
    <row r="49446" spans="1:2" x14ac:dyDescent="0.25">
      <c r="A49446" s="118"/>
      <c r="B49446" s="136"/>
    </row>
    <row r="49447" spans="1:2" x14ac:dyDescent="0.25">
      <c r="A49447" s="118"/>
      <c r="B49447" s="136"/>
    </row>
    <row r="49448" spans="1:2" x14ac:dyDescent="0.25">
      <c r="A49448" s="118"/>
      <c r="B49448" s="136"/>
    </row>
    <row r="49449" spans="1:2" x14ac:dyDescent="0.25">
      <c r="A49449" s="118"/>
      <c r="B49449" s="136"/>
    </row>
    <row r="49450" spans="1:2" x14ac:dyDescent="0.25">
      <c r="A49450" s="118"/>
      <c r="B49450" s="136"/>
    </row>
    <row r="49451" spans="1:2" x14ac:dyDescent="0.25">
      <c r="A49451" s="118"/>
      <c r="B49451" s="136"/>
    </row>
    <row r="49452" spans="1:2" x14ac:dyDescent="0.25">
      <c r="A49452" s="118"/>
      <c r="B49452" s="136"/>
    </row>
    <row r="49453" spans="1:2" x14ac:dyDescent="0.25">
      <c r="A49453" s="118"/>
      <c r="B49453" s="136"/>
    </row>
    <row r="49454" spans="1:2" x14ac:dyDescent="0.25">
      <c r="A49454" s="118"/>
      <c r="B49454" s="136"/>
    </row>
    <row r="49455" spans="1:2" x14ac:dyDescent="0.25">
      <c r="A49455" s="118"/>
      <c r="B49455" s="136"/>
    </row>
    <row r="49456" spans="1:2" x14ac:dyDescent="0.25">
      <c r="A49456" s="118"/>
      <c r="B49456" s="136"/>
    </row>
    <row r="49457" spans="1:2" x14ac:dyDescent="0.25">
      <c r="A49457" s="118"/>
      <c r="B49457" s="136"/>
    </row>
    <row r="49458" spans="1:2" x14ac:dyDescent="0.25">
      <c r="A49458" s="118"/>
      <c r="B49458" s="136"/>
    </row>
    <row r="49459" spans="1:2" x14ac:dyDescent="0.25">
      <c r="A49459" s="118"/>
      <c r="B49459" s="136"/>
    </row>
    <row r="49460" spans="1:2" x14ac:dyDescent="0.25">
      <c r="A49460" s="118"/>
      <c r="B49460" s="136"/>
    </row>
    <row r="49461" spans="1:2" x14ac:dyDescent="0.25">
      <c r="A49461" s="118"/>
      <c r="B49461" s="136"/>
    </row>
    <row r="49462" spans="1:2" x14ac:dyDescent="0.25">
      <c r="A49462" s="118"/>
      <c r="B49462" s="136"/>
    </row>
    <row r="49463" spans="1:2" x14ac:dyDescent="0.25">
      <c r="A49463" s="118"/>
      <c r="B49463" s="136"/>
    </row>
    <row r="49464" spans="1:2" x14ac:dyDescent="0.25">
      <c r="A49464" s="118"/>
      <c r="B49464" s="136"/>
    </row>
    <row r="49465" spans="1:2" x14ac:dyDescent="0.25">
      <c r="A49465" s="118"/>
      <c r="B49465" s="136"/>
    </row>
    <row r="49466" spans="1:2" x14ac:dyDescent="0.25">
      <c r="A49466" s="118"/>
      <c r="B49466" s="136"/>
    </row>
    <row r="49467" spans="1:2" x14ac:dyDescent="0.25">
      <c r="A49467" s="118"/>
      <c r="B49467" s="136"/>
    </row>
    <row r="49468" spans="1:2" x14ac:dyDescent="0.25">
      <c r="A49468" s="118"/>
      <c r="B49468" s="136"/>
    </row>
    <row r="49469" spans="1:2" x14ac:dyDescent="0.25">
      <c r="A49469" s="118"/>
      <c r="B49469" s="136"/>
    </row>
    <row r="49470" spans="1:2" x14ac:dyDescent="0.25">
      <c r="A49470" s="118"/>
      <c r="B49470" s="136"/>
    </row>
    <row r="49471" spans="1:2" x14ac:dyDescent="0.25">
      <c r="A49471" s="118"/>
      <c r="B49471" s="136"/>
    </row>
    <row r="49472" spans="1:2" x14ac:dyDescent="0.25">
      <c r="A49472" s="118"/>
      <c r="B49472" s="136"/>
    </row>
    <row r="49473" spans="1:2" x14ac:dyDescent="0.25">
      <c r="A49473" s="118"/>
      <c r="B49473" s="136"/>
    </row>
    <row r="49474" spans="1:2" x14ac:dyDescent="0.25">
      <c r="A49474" s="118"/>
      <c r="B49474" s="136"/>
    </row>
    <row r="49475" spans="1:2" x14ac:dyDescent="0.25">
      <c r="A49475" s="118"/>
      <c r="B49475" s="136"/>
    </row>
    <row r="49476" spans="1:2" x14ac:dyDescent="0.25">
      <c r="A49476" s="118"/>
      <c r="B49476" s="136"/>
    </row>
    <row r="49477" spans="1:2" x14ac:dyDescent="0.25">
      <c r="A49477" s="118"/>
      <c r="B49477" s="136"/>
    </row>
    <row r="49478" spans="1:2" x14ac:dyDescent="0.25">
      <c r="A49478" s="118"/>
      <c r="B49478" s="136"/>
    </row>
    <row r="49479" spans="1:2" x14ac:dyDescent="0.25">
      <c r="A49479" s="118"/>
      <c r="B49479" s="136"/>
    </row>
    <row r="49480" spans="1:2" x14ac:dyDescent="0.25">
      <c r="A49480" s="118"/>
      <c r="B49480" s="136"/>
    </row>
    <row r="49481" spans="1:2" x14ac:dyDescent="0.25">
      <c r="A49481" s="118"/>
      <c r="B49481" s="136"/>
    </row>
    <row r="49482" spans="1:2" x14ac:dyDescent="0.25">
      <c r="A49482" s="118"/>
      <c r="B49482" s="136"/>
    </row>
    <row r="49483" spans="1:2" x14ac:dyDescent="0.25">
      <c r="A49483" s="118"/>
      <c r="B49483" s="136"/>
    </row>
    <row r="49484" spans="1:2" x14ac:dyDescent="0.25">
      <c r="A49484" s="118"/>
      <c r="B49484" s="136"/>
    </row>
    <row r="49485" spans="1:2" x14ac:dyDescent="0.25">
      <c r="A49485" s="118"/>
      <c r="B49485" s="136"/>
    </row>
    <row r="49486" spans="1:2" x14ac:dyDescent="0.25">
      <c r="A49486" s="118"/>
      <c r="B49486" s="136"/>
    </row>
    <row r="49487" spans="1:2" x14ac:dyDescent="0.25">
      <c r="A49487" s="118"/>
      <c r="B49487" s="136"/>
    </row>
    <row r="49488" spans="1:2" x14ac:dyDescent="0.25">
      <c r="A49488" s="118"/>
      <c r="B49488" s="136"/>
    </row>
    <row r="49489" spans="1:2" x14ac:dyDescent="0.25">
      <c r="A49489" s="118"/>
      <c r="B49489" s="136"/>
    </row>
    <row r="49490" spans="1:2" x14ac:dyDescent="0.25">
      <c r="A49490" s="118"/>
      <c r="B49490" s="136"/>
    </row>
    <row r="49491" spans="1:2" x14ac:dyDescent="0.25">
      <c r="A49491" s="118"/>
      <c r="B49491" s="136"/>
    </row>
    <row r="49492" spans="1:2" x14ac:dyDescent="0.25">
      <c r="A49492" s="118"/>
      <c r="B49492" s="136"/>
    </row>
    <row r="49493" spans="1:2" x14ac:dyDescent="0.25">
      <c r="A49493" s="118"/>
      <c r="B49493" s="136"/>
    </row>
    <row r="49494" spans="1:2" x14ac:dyDescent="0.25">
      <c r="A49494" s="118"/>
      <c r="B49494" s="136"/>
    </row>
    <row r="49495" spans="1:2" x14ac:dyDescent="0.25">
      <c r="A49495" s="118"/>
      <c r="B49495" s="136"/>
    </row>
    <row r="49496" spans="1:2" x14ac:dyDescent="0.25">
      <c r="A49496" s="118"/>
      <c r="B49496" s="136"/>
    </row>
    <row r="49497" spans="1:2" x14ac:dyDescent="0.25">
      <c r="A49497" s="118"/>
      <c r="B49497" s="136"/>
    </row>
    <row r="49498" spans="1:2" x14ac:dyDescent="0.25">
      <c r="A49498" s="118"/>
      <c r="B49498" s="136"/>
    </row>
    <row r="49499" spans="1:2" x14ac:dyDescent="0.25">
      <c r="A49499" s="118"/>
      <c r="B49499" s="136"/>
    </row>
    <row r="49500" spans="1:2" x14ac:dyDescent="0.25">
      <c r="A49500" s="118"/>
      <c r="B49500" s="136"/>
    </row>
    <row r="49501" spans="1:2" x14ac:dyDescent="0.25">
      <c r="A49501" s="118"/>
      <c r="B49501" s="136"/>
    </row>
    <row r="49502" spans="1:2" x14ac:dyDescent="0.25">
      <c r="A49502" s="118"/>
      <c r="B49502" s="136"/>
    </row>
    <row r="49503" spans="1:2" x14ac:dyDescent="0.25">
      <c r="A49503" s="118"/>
      <c r="B49503" s="136"/>
    </row>
    <row r="49504" spans="1:2" x14ac:dyDescent="0.25">
      <c r="A49504" s="118"/>
      <c r="B49504" s="136"/>
    </row>
    <row r="49505" spans="1:2" x14ac:dyDescent="0.25">
      <c r="A49505" s="118"/>
      <c r="B49505" s="136"/>
    </row>
    <row r="49506" spans="1:2" x14ac:dyDescent="0.25">
      <c r="A49506" s="118"/>
      <c r="B49506" s="136"/>
    </row>
    <row r="49507" spans="1:2" x14ac:dyDescent="0.25">
      <c r="A49507" s="118"/>
      <c r="B49507" s="136"/>
    </row>
    <row r="49508" spans="1:2" x14ac:dyDescent="0.25">
      <c r="A49508" s="118"/>
      <c r="B49508" s="136"/>
    </row>
    <row r="49509" spans="1:2" x14ac:dyDescent="0.25">
      <c r="A49509" s="118"/>
      <c r="B49509" s="136"/>
    </row>
    <row r="49510" spans="1:2" x14ac:dyDescent="0.25">
      <c r="A49510" s="118"/>
      <c r="B49510" s="136"/>
    </row>
    <row r="49511" spans="1:2" x14ac:dyDescent="0.25">
      <c r="A49511" s="118"/>
      <c r="B49511" s="136"/>
    </row>
    <row r="49512" spans="1:2" x14ac:dyDescent="0.25">
      <c r="A49512" s="118"/>
      <c r="B49512" s="136"/>
    </row>
    <row r="49513" spans="1:2" x14ac:dyDescent="0.25">
      <c r="A49513" s="118"/>
      <c r="B49513" s="136"/>
    </row>
    <row r="49514" spans="1:2" x14ac:dyDescent="0.25">
      <c r="A49514" s="118"/>
      <c r="B49514" s="136"/>
    </row>
    <row r="49515" spans="1:2" x14ac:dyDescent="0.25">
      <c r="A49515" s="118"/>
      <c r="B49515" s="136"/>
    </row>
    <row r="49516" spans="1:2" x14ac:dyDescent="0.25">
      <c r="A49516" s="118"/>
      <c r="B49516" s="136"/>
    </row>
    <row r="49517" spans="1:2" x14ac:dyDescent="0.25">
      <c r="A49517" s="118"/>
      <c r="B49517" s="136"/>
    </row>
    <row r="49518" spans="1:2" x14ac:dyDescent="0.25">
      <c r="A49518" s="118"/>
      <c r="B49518" s="136"/>
    </row>
    <row r="49519" spans="1:2" x14ac:dyDescent="0.25">
      <c r="A49519" s="118"/>
      <c r="B49519" s="136"/>
    </row>
    <row r="49520" spans="1:2" x14ac:dyDescent="0.25">
      <c r="A49520" s="118"/>
      <c r="B49520" s="136"/>
    </row>
    <row r="49521" spans="1:2" x14ac:dyDescent="0.25">
      <c r="A49521" s="118"/>
      <c r="B49521" s="136"/>
    </row>
    <row r="49522" spans="1:2" x14ac:dyDescent="0.25">
      <c r="A49522" s="118"/>
      <c r="B49522" s="136"/>
    </row>
    <row r="49523" spans="1:2" x14ac:dyDescent="0.25">
      <c r="A49523" s="118"/>
      <c r="B49523" s="136"/>
    </row>
    <row r="49524" spans="1:2" x14ac:dyDescent="0.25">
      <c r="A49524" s="118"/>
      <c r="B49524" s="136"/>
    </row>
    <row r="49525" spans="1:2" x14ac:dyDescent="0.25">
      <c r="A49525" s="118"/>
      <c r="B49525" s="136"/>
    </row>
    <row r="49526" spans="1:2" x14ac:dyDescent="0.25">
      <c r="A49526" s="118"/>
      <c r="B49526" s="136"/>
    </row>
    <row r="49527" spans="1:2" x14ac:dyDescent="0.25">
      <c r="A49527" s="118"/>
      <c r="B49527" s="136"/>
    </row>
    <row r="49528" spans="1:2" x14ac:dyDescent="0.25">
      <c r="A49528" s="118"/>
      <c r="B49528" s="136"/>
    </row>
    <row r="49529" spans="1:2" x14ac:dyDescent="0.25">
      <c r="A49529" s="118"/>
      <c r="B49529" s="136"/>
    </row>
    <row r="49530" spans="1:2" x14ac:dyDescent="0.25">
      <c r="A49530" s="118"/>
      <c r="B49530" s="136"/>
    </row>
    <row r="49531" spans="1:2" x14ac:dyDescent="0.25">
      <c r="A49531" s="118"/>
      <c r="B49531" s="136"/>
    </row>
    <row r="49532" spans="1:2" x14ac:dyDescent="0.25">
      <c r="A49532" s="118"/>
      <c r="B49532" s="136"/>
    </row>
    <row r="49533" spans="1:2" x14ac:dyDescent="0.25">
      <c r="A49533" s="118"/>
      <c r="B49533" s="136"/>
    </row>
    <row r="49534" spans="1:2" x14ac:dyDescent="0.25">
      <c r="A49534" s="118"/>
      <c r="B49534" s="136"/>
    </row>
    <row r="49535" spans="1:2" x14ac:dyDescent="0.25">
      <c r="A49535" s="118"/>
      <c r="B49535" s="136"/>
    </row>
    <row r="49536" spans="1:2" x14ac:dyDescent="0.25">
      <c r="A49536" s="118"/>
      <c r="B49536" s="136"/>
    </row>
    <row r="49537" spans="1:2" x14ac:dyDescent="0.25">
      <c r="A49537" s="118"/>
      <c r="B49537" s="136"/>
    </row>
    <row r="49538" spans="1:2" x14ac:dyDescent="0.25">
      <c r="A49538" s="118"/>
      <c r="B49538" s="136"/>
    </row>
    <row r="49539" spans="1:2" x14ac:dyDescent="0.25">
      <c r="A49539" s="118"/>
      <c r="B49539" s="136"/>
    </row>
    <row r="49540" spans="1:2" x14ac:dyDescent="0.25">
      <c r="A49540" s="118"/>
      <c r="B49540" s="136"/>
    </row>
    <row r="49541" spans="1:2" x14ac:dyDescent="0.25">
      <c r="A49541" s="118"/>
      <c r="B49541" s="136"/>
    </row>
    <row r="49542" spans="1:2" x14ac:dyDescent="0.25">
      <c r="A49542" s="118"/>
      <c r="B49542" s="136"/>
    </row>
    <row r="49543" spans="1:2" x14ac:dyDescent="0.25">
      <c r="A49543" s="118"/>
      <c r="B49543" s="136"/>
    </row>
    <row r="49544" spans="1:2" x14ac:dyDescent="0.25">
      <c r="A49544" s="118"/>
      <c r="B49544" s="136"/>
    </row>
    <row r="49545" spans="1:2" x14ac:dyDescent="0.25">
      <c r="A49545" s="118"/>
      <c r="B49545" s="136"/>
    </row>
    <row r="49546" spans="1:2" x14ac:dyDescent="0.25">
      <c r="A49546" s="118"/>
      <c r="B49546" s="136"/>
    </row>
    <row r="49547" spans="1:2" x14ac:dyDescent="0.25">
      <c r="A49547" s="118"/>
      <c r="B49547" s="136"/>
    </row>
    <row r="49548" spans="1:2" x14ac:dyDescent="0.25">
      <c r="A49548" s="118"/>
      <c r="B49548" s="136"/>
    </row>
    <row r="49549" spans="1:2" x14ac:dyDescent="0.25">
      <c r="A49549" s="118"/>
      <c r="B49549" s="136"/>
    </row>
    <row r="49550" spans="1:2" x14ac:dyDescent="0.25">
      <c r="A49550" s="118"/>
      <c r="B49550" s="136"/>
    </row>
    <row r="49551" spans="1:2" x14ac:dyDescent="0.25">
      <c r="A49551" s="118"/>
      <c r="B49551" s="136"/>
    </row>
    <row r="49552" spans="1:2" x14ac:dyDescent="0.25">
      <c r="A49552" s="118"/>
      <c r="B49552" s="136"/>
    </row>
    <row r="49553" spans="1:2" x14ac:dyDescent="0.25">
      <c r="A49553" s="118"/>
      <c r="B49553" s="136"/>
    </row>
    <row r="49554" spans="1:2" x14ac:dyDescent="0.25">
      <c r="A49554" s="118"/>
      <c r="B49554" s="136"/>
    </row>
    <row r="49555" spans="1:2" x14ac:dyDescent="0.25">
      <c r="A49555" s="118"/>
      <c r="B49555" s="136"/>
    </row>
    <row r="49556" spans="1:2" x14ac:dyDescent="0.25">
      <c r="A49556" s="118"/>
      <c r="B49556" s="136"/>
    </row>
    <row r="49557" spans="1:2" x14ac:dyDescent="0.25">
      <c r="A49557" s="118"/>
      <c r="B49557" s="136"/>
    </row>
    <row r="49558" spans="1:2" x14ac:dyDescent="0.25">
      <c r="A49558" s="118"/>
      <c r="B49558" s="136"/>
    </row>
    <row r="49559" spans="1:2" x14ac:dyDescent="0.25">
      <c r="A49559" s="118"/>
      <c r="B49559" s="136"/>
    </row>
    <row r="49560" spans="1:2" x14ac:dyDescent="0.25">
      <c r="A49560" s="118"/>
      <c r="B49560" s="136"/>
    </row>
    <row r="49561" spans="1:2" x14ac:dyDescent="0.25">
      <c r="A49561" s="118"/>
      <c r="B49561" s="136"/>
    </row>
    <row r="49562" spans="1:2" x14ac:dyDescent="0.25">
      <c r="A49562" s="118"/>
      <c r="B49562" s="136"/>
    </row>
    <row r="49563" spans="1:2" x14ac:dyDescent="0.25">
      <c r="A49563" s="118"/>
      <c r="B49563" s="136"/>
    </row>
    <row r="49564" spans="1:2" x14ac:dyDescent="0.25">
      <c r="A49564" s="118"/>
      <c r="B49564" s="136"/>
    </row>
    <row r="49565" spans="1:2" x14ac:dyDescent="0.25">
      <c r="A49565" s="118"/>
      <c r="B49565" s="136"/>
    </row>
    <row r="49566" spans="1:2" x14ac:dyDescent="0.25">
      <c r="A49566" s="118"/>
      <c r="B49566" s="136"/>
    </row>
    <row r="49567" spans="1:2" x14ac:dyDescent="0.25">
      <c r="A49567" s="118"/>
      <c r="B49567" s="136"/>
    </row>
    <row r="49568" spans="1:2" x14ac:dyDescent="0.25">
      <c r="A49568" s="118"/>
      <c r="B49568" s="136"/>
    </row>
    <row r="49569" spans="1:2" x14ac:dyDescent="0.25">
      <c r="A49569" s="118"/>
      <c r="B49569" s="136"/>
    </row>
    <row r="49570" spans="1:2" x14ac:dyDescent="0.25">
      <c r="A49570" s="118"/>
      <c r="B49570" s="136"/>
    </row>
    <row r="49571" spans="1:2" x14ac:dyDescent="0.25">
      <c r="A49571" s="118"/>
      <c r="B49571" s="136"/>
    </row>
    <row r="49572" spans="1:2" x14ac:dyDescent="0.25">
      <c r="A49572" s="118"/>
      <c r="B49572" s="136"/>
    </row>
    <row r="49573" spans="1:2" x14ac:dyDescent="0.25">
      <c r="A49573" s="118"/>
      <c r="B49573" s="136"/>
    </row>
    <row r="49574" spans="1:2" x14ac:dyDescent="0.25">
      <c r="A49574" s="118"/>
      <c r="B49574" s="136"/>
    </row>
    <row r="49575" spans="1:2" x14ac:dyDescent="0.25">
      <c r="A49575" s="118"/>
      <c r="B49575" s="136"/>
    </row>
    <row r="49576" spans="1:2" x14ac:dyDescent="0.25">
      <c r="A49576" s="118"/>
      <c r="B49576" s="136"/>
    </row>
    <row r="49577" spans="1:2" x14ac:dyDescent="0.25">
      <c r="A49577" s="118"/>
      <c r="B49577" s="136"/>
    </row>
    <row r="49578" spans="1:2" x14ac:dyDescent="0.25">
      <c r="A49578" s="118"/>
      <c r="B49578" s="136"/>
    </row>
    <row r="49579" spans="1:2" x14ac:dyDescent="0.25">
      <c r="A49579" s="118"/>
      <c r="B49579" s="136"/>
    </row>
    <row r="49580" spans="1:2" x14ac:dyDescent="0.25">
      <c r="A49580" s="118"/>
      <c r="B49580" s="136"/>
    </row>
    <row r="49581" spans="1:2" x14ac:dyDescent="0.25">
      <c r="A49581" s="118"/>
      <c r="B49581" s="136"/>
    </row>
    <row r="49582" spans="1:2" x14ac:dyDescent="0.25">
      <c r="A49582" s="118"/>
      <c r="B49582" s="136"/>
    </row>
    <row r="49583" spans="1:2" x14ac:dyDescent="0.25">
      <c r="A49583" s="118"/>
      <c r="B49583" s="136"/>
    </row>
    <row r="49584" spans="1:2" x14ac:dyDescent="0.25">
      <c r="A49584" s="118"/>
      <c r="B49584" s="136"/>
    </row>
    <row r="49585" spans="1:2" x14ac:dyDescent="0.25">
      <c r="A49585" s="118"/>
      <c r="B49585" s="136"/>
    </row>
    <row r="49586" spans="1:2" x14ac:dyDescent="0.25">
      <c r="A49586" s="118"/>
      <c r="B49586" s="136"/>
    </row>
    <row r="49587" spans="1:2" x14ac:dyDescent="0.25">
      <c r="A49587" s="118"/>
      <c r="B49587" s="136"/>
    </row>
    <row r="49588" spans="1:2" x14ac:dyDescent="0.25">
      <c r="A49588" s="118"/>
      <c r="B49588" s="136"/>
    </row>
    <row r="49589" spans="1:2" x14ac:dyDescent="0.25">
      <c r="A49589" s="118"/>
      <c r="B49589" s="136"/>
    </row>
    <row r="49590" spans="1:2" x14ac:dyDescent="0.25">
      <c r="A49590" s="118"/>
      <c r="B49590" s="136"/>
    </row>
    <row r="49591" spans="1:2" x14ac:dyDescent="0.25">
      <c r="A49591" s="118"/>
      <c r="B49591" s="136"/>
    </row>
    <row r="49592" spans="1:2" x14ac:dyDescent="0.25">
      <c r="A49592" s="118"/>
      <c r="B49592" s="136"/>
    </row>
    <row r="49593" spans="1:2" x14ac:dyDescent="0.25">
      <c r="A49593" s="118"/>
      <c r="B49593" s="136"/>
    </row>
    <row r="49594" spans="1:2" x14ac:dyDescent="0.25">
      <c r="A49594" s="118"/>
      <c r="B49594" s="136"/>
    </row>
    <row r="49595" spans="1:2" x14ac:dyDescent="0.25">
      <c r="A49595" s="118"/>
      <c r="B49595" s="136"/>
    </row>
    <row r="49596" spans="1:2" x14ac:dyDescent="0.25">
      <c r="A49596" s="118"/>
      <c r="B49596" s="136"/>
    </row>
    <row r="49597" spans="1:2" x14ac:dyDescent="0.25">
      <c r="A49597" s="118"/>
      <c r="B49597" s="136"/>
    </row>
    <row r="49598" spans="1:2" x14ac:dyDescent="0.25">
      <c r="A49598" s="118"/>
      <c r="B49598" s="136"/>
    </row>
    <row r="49599" spans="1:2" x14ac:dyDescent="0.25">
      <c r="A49599" s="118"/>
      <c r="B49599" s="136"/>
    </row>
    <row r="49600" spans="1:2" x14ac:dyDescent="0.25">
      <c r="A49600" s="118"/>
      <c r="B49600" s="136"/>
    </row>
    <row r="49601" spans="1:2" x14ac:dyDescent="0.25">
      <c r="A49601" s="118"/>
      <c r="B49601" s="136"/>
    </row>
    <row r="49602" spans="1:2" x14ac:dyDescent="0.25">
      <c r="A49602" s="118"/>
      <c r="B49602" s="136"/>
    </row>
    <row r="49603" spans="1:2" x14ac:dyDescent="0.25">
      <c r="A49603" s="118"/>
      <c r="B49603" s="136"/>
    </row>
    <row r="49604" spans="1:2" x14ac:dyDescent="0.25">
      <c r="A49604" s="118"/>
      <c r="B49604" s="136"/>
    </row>
    <row r="49605" spans="1:2" x14ac:dyDescent="0.25">
      <c r="A49605" s="118"/>
      <c r="B49605" s="136"/>
    </row>
    <row r="49606" spans="1:2" x14ac:dyDescent="0.25">
      <c r="A49606" s="118"/>
      <c r="B49606" s="136"/>
    </row>
    <row r="49607" spans="1:2" x14ac:dyDescent="0.25">
      <c r="A49607" s="118"/>
      <c r="B49607" s="136"/>
    </row>
    <row r="49608" spans="1:2" x14ac:dyDescent="0.25">
      <c r="A49608" s="118"/>
      <c r="B49608" s="136"/>
    </row>
    <row r="49609" spans="1:2" x14ac:dyDescent="0.25">
      <c r="A49609" s="118"/>
      <c r="B49609" s="136"/>
    </row>
    <row r="49610" spans="1:2" x14ac:dyDescent="0.25">
      <c r="A49610" s="118"/>
      <c r="B49610" s="136"/>
    </row>
    <row r="49611" spans="1:2" x14ac:dyDescent="0.25">
      <c r="A49611" s="118"/>
      <c r="B49611" s="136"/>
    </row>
    <row r="49612" spans="1:2" x14ac:dyDescent="0.25">
      <c r="A49612" s="118"/>
      <c r="B49612" s="136"/>
    </row>
    <row r="49613" spans="1:2" x14ac:dyDescent="0.25">
      <c r="A49613" s="118"/>
      <c r="B49613" s="136"/>
    </row>
    <row r="49614" spans="1:2" x14ac:dyDescent="0.25">
      <c r="A49614" s="118"/>
      <c r="B49614" s="136"/>
    </row>
    <row r="49615" spans="1:2" x14ac:dyDescent="0.25">
      <c r="A49615" s="118"/>
      <c r="B49615" s="136"/>
    </row>
    <row r="49616" spans="1:2" x14ac:dyDescent="0.25">
      <c r="A49616" s="118"/>
      <c r="B49616" s="136"/>
    </row>
    <row r="49617" spans="1:2" x14ac:dyDescent="0.25">
      <c r="A49617" s="118"/>
      <c r="B49617" s="136"/>
    </row>
    <row r="49618" spans="1:2" x14ac:dyDescent="0.25">
      <c r="A49618" s="118"/>
      <c r="B49618" s="136"/>
    </row>
    <row r="49619" spans="1:2" x14ac:dyDescent="0.25">
      <c r="A49619" s="118"/>
      <c r="B49619" s="136"/>
    </row>
    <row r="49620" spans="1:2" x14ac:dyDescent="0.25">
      <c r="A49620" s="118"/>
      <c r="B49620" s="136"/>
    </row>
    <row r="49621" spans="1:2" x14ac:dyDescent="0.25">
      <c r="A49621" s="118"/>
      <c r="B49621" s="136"/>
    </row>
    <row r="49622" spans="1:2" x14ac:dyDescent="0.25">
      <c r="A49622" s="118"/>
      <c r="B49622" s="136"/>
    </row>
    <row r="49623" spans="1:2" x14ac:dyDescent="0.25">
      <c r="A49623" s="118"/>
      <c r="B49623" s="136"/>
    </row>
    <row r="49624" spans="1:2" x14ac:dyDescent="0.25">
      <c r="A49624" s="118"/>
      <c r="B49624" s="136"/>
    </row>
    <row r="49625" spans="1:2" x14ac:dyDescent="0.25">
      <c r="A49625" s="118"/>
      <c r="B49625" s="136"/>
    </row>
    <row r="49626" spans="1:2" x14ac:dyDescent="0.25">
      <c r="A49626" s="118"/>
      <c r="B49626" s="136"/>
    </row>
    <row r="49627" spans="1:2" x14ac:dyDescent="0.25">
      <c r="A49627" s="118"/>
      <c r="B49627" s="136"/>
    </row>
    <row r="49628" spans="1:2" x14ac:dyDescent="0.25">
      <c r="A49628" s="118"/>
      <c r="B49628" s="136"/>
    </row>
    <row r="49629" spans="1:2" x14ac:dyDescent="0.25">
      <c r="A49629" s="118"/>
      <c r="B49629" s="136"/>
    </row>
    <row r="49630" spans="1:2" x14ac:dyDescent="0.25">
      <c r="A49630" s="118"/>
      <c r="B49630" s="136"/>
    </row>
    <row r="49631" spans="1:2" x14ac:dyDescent="0.25">
      <c r="A49631" s="118"/>
      <c r="B49631" s="136"/>
    </row>
    <row r="49632" spans="1:2" x14ac:dyDescent="0.25">
      <c r="A49632" s="118"/>
      <c r="B49632" s="136"/>
    </row>
    <row r="49633" spans="1:2" x14ac:dyDescent="0.25">
      <c r="A49633" s="118"/>
      <c r="B49633" s="136"/>
    </row>
    <row r="49634" spans="1:2" x14ac:dyDescent="0.25">
      <c r="A49634" s="118"/>
      <c r="B49634" s="136"/>
    </row>
    <row r="49635" spans="1:2" x14ac:dyDescent="0.25">
      <c r="A49635" s="118"/>
      <c r="B49635" s="136"/>
    </row>
    <row r="49636" spans="1:2" x14ac:dyDescent="0.25">
      <c r="A49636" s="118"/>
      <c r="B49636" s="136"/>
    </row>
    <row r="49637" spans="1:2" x14ac:dyDescent="0.25">
      <c r="A49637" s="118"/>
      <c r="B49637" s="136"/>
    </row>
    <row r="49638" spans="1:2" x14ac:dyDescent="0.25">
      <c r="A49638" s="118"/>
      <c r="B49638" s="136"/>
    </row>
    <row r="49639" spans="1:2" x14ac:dyDescent="0.25">
      <c r="A49639" s="118"/>
      <c r="B49639" s="136"/>
    </row>
    <row r="49640" spans="1:2" x14ac:dyDescent="0.25">
      <c r="A49640" s="118"/>
      <c r="B49640" s="136"/>
    </row>
    <row r="49641" spans="1:2" x14ac:dyDescent="0.25">
      <c r="A49641" s="118"/>
      <c r="B49641" s="136"/>
    </row>
    <row r="49642" spans="1:2" x14ac:dyDescent="0.25">
      <c r="A49642" s="118"/>
      <c r="B49642" s="136"/>
    </row>
    <row r="49643" spans="1:2" x14ac:dyDescent="0.25">
      <c r="A49643" s="118"/>
      <c r="B49643" s="136"/>
    </row>
    <row r="49644" spans="1:2" x14ac:dyDescent="0.25">
      <c r="A49644" s="118"/>
      <c r="B49644" s="136"/>
    </row>
    <row r="49645" spans="1:2" x14ac:dyDescent="0.25">
      <c r="A49645" s="118"/>
      <c r="B49645" s="136"/>
    </row>
    <row r="49646" spans="1:2" x14ac:dyDescent="0.25">
      <c r="A49646" s="118"/>
      <c r="B49646" s="136"/>
    </row>
    <row r="49647" spans="1:2" x14ac:dyDescent="0.25">
      <c r="A49647" s="118"/>
      <c r="B49647" s="136"/>
    </row>
    <row r="49648" spans="1:2" x14ac:dyDescent="0.25">
      <c r="A49648" s="118"/>
      <c r="B49648" s="136"/>
    </row>
    <row r="49649" spans="1:2" x14ac:dyDescent="0.25">
      <c r="A49649" s="118"/>
      <c r="B49649" s="136"/>
    </row>
    <row r="49650" spans="1:2" x14ac:dyDescent="0.25">
      <c r="A49650" s="118"/>
      <c r="B49650" s="136"/>
    </row>
    <row r="49651" spans="1:2" x14ac:dyDescent="0.25">
      <c r="A49651" s="118"/>
      <c r="B49651" s="136"/>
    </row>
    <row r="49652" spans="1:2" x14ac:dyDescent="0.25">
      <c r="A49652" s="118"/>
      <c r="B49652" s="136"/>
    </row>
    <row r="49653" spans="1:2" x14ac:dyDescent="0.25">
      <c r="A49653" s="118"/>
      <c r="B49653" s="136"/>
    </row>
    <row r="49654" spans="1:2" x14ac:dyDescent="0.25">
      <c r="A49654" s="118"/>
      <c r="B49654" s="136"/>
    </row>
    <row r="49655" spans="1:2" x14ac:dyDescent="0.25">
      <c r="A49655" s="118"/>
      <c r="B49655" s="136"/>
    </row>
    <row r="49656" spans="1:2" x14ac:dyDescent="0.25">
      <c r="A49656" s="118"/>
      <c r="B49656" s="136"/>
    </row>
    <row r="49657" spans="1:2" x14ac:dyDescent="0.25">
      <c r="A49657" s="118"/>
      <c r="B49657" s="136"/>
    </row>
    <row r="49658" spans="1:2" x14ac:dyDescent="0.25">
      <c r="A49658" s="118"/>
      <c r="B49658" s="136"/>
    </row>
    <row r="49659" spans="1:2" x14ac:dyDescent="0.25">
      <c r="A49659" s="118"/>
      <c r="B49659" s="136"/>
    </row>
    <row r="49660" spans="1:2" x14ac:dyDescent="0.25">
      <c r="A49660" s="118"/>
      <c r="B49660" s="136"/>
    </row>
    <row r="49661" spans="1:2" x14ac:dyDescent="0.25">
      <c r="A49661" s="118"/>
      <c r="B49661" s="136"/>
    </row>
    <row r="49662" spans="1:2" x14ac:dyDescent="0.25">
      <c r="A49662" s="118"/>
      <c r="B49662" s="136"/>
    </row>
    <row r="49663" spans="1:2" x14ac:dyDescent="0.25">
      <c r="A49663" s="118"/>
      <c r="B49663" s="136"/>
    </row>
    <row r="49664" spans="1:2" x14ac:dyDescent="0.25">
      <c r="A49664" s="118"/>
      <c r="B49664" s="136"/>
    </row>
    <row r="49665" spans="1:2" x14ac:dyDescent="0.25">
      <c r="A49665" s="118"/>
      <c r="B49665" s="136"/>
    </row>
    <row r="49666" spans="1:2" x14ac:dyDescent="0.25">
      <c r="A49666" s="118"/>
      <c r="B49666" s="136"/>
    </row>
    <row r="49667" spans="1:2" x14ac:dyDescent="0.25">
      <c r="A49667" s="118"/>
      <c r="B49667" s="136"/>
    </row>
    <row r="49668" spans="1:2" x14ac:dyDescent="0.25">
      <c r="A49668" s="118"/>
      <c r="B49668" s="136"/>
    </row>
    <row r="49669" spans="1:2" x14ac:dyDescent="0.25">
      <c r="A49669" s="118"/>
      <c r="B49669" s="136"/>
    </row>
    <row r="49670" spans="1:2" x14ac:dyDescent="0.25">
      <c r="A49670" s="118"/>
      <c r="B49670" s="136"/>
    </row>
    <row r="49671" spans="1:2" x14ac:dyDescent="0.25">
      <c r="A49671" s="118"/>
      <c r="B49671" s="136"/>
    </row>
    <row r="49672" spans="1:2" x14ac:dyDescent="0.25">
      <c r="A49672" s="118"/>
      <c r="B49672" s="136"/>
    </row>
    <row r="49673" spans="1:2" x14ac:dyDescent="0.25">
      <c r="A49673" s="118"/>
      <c r="B49673" s="136"/>
    </row>
    <row r="49674" spans="1:2" x14ac:dyDescent="0.25">
      <c r="A49674" s="118"/>
      <c r="B49674" s="136"/>
    </row>
    <row r="49675" spans="1:2" x14ac:dyDescent="0.25">
      <c r="A49675" s="118"/>
      <c r="B49675" s="136"/>
    </row>
    <row r="49676" spans="1:2" x14ac:dyDescent="0.25">
      <c r="A49676" s="118"/>
      <c r="B49676" s="136"/>
    </row>
    <row r="49677" spans="1:2" x14ac:dyDescent="0.25">
      <c r="A49677" s="118"/>
      <c r="B49677" s="136"/>
    </row>
    <row r="49678" spans="1:2" x14ac:dyDescent="0.25">
      <c r="A49678" s="118"/>
      <c r="B49678" s="136"/>
    </row>
    <row r="49679" spans="1:2" x14ac:dyDescent="0.25">
      <c r="A49679" s="118"/>
      <c r="B49679" s="136"/>
    </row>
    <row r="49680" spans="1:2" x14ac:dyDescent="0.25">
      <c r="A49680" s="118"/>
      <c r="B49680" s="136"/>
    </row>
    <row r="49681" spans="1:2" x14ac:dyDescent="0.25">
      <c r="A49681" s="118"/>
      <c r="B49681" s="136"/>
    </row>
    <row r="49682" spans="1:2" x14ac:dyDescent="0.25">
      <c r="A49682" s="118"/>
      <c r="B49682" s="136"/>
    </row>
    <row r="49683" spans="1:2" x14ac:dyDescent="0.25">
      <c r="A49683" s="118"/>
      <c r="B49683" s="136"/>
    </row>
    <row r="49684" spans="1:2" x14ac:dyDescent="0.25">
      <c r="A49684" s="118"/>
      <c r="B49684" s="136"/>
    </row>
    <row r="49685" spans="1:2" x14ac:dyDescent="0.25">
      <c r="A49685" s="118"/>
      <c r="B49685" s="136"/>
    </row>
    <row r="49686" spans="1:2" x14ac:dyDescent="0.25">
      <c r="A49686" s="118"/>
      <c r="B49686" s="136"/>
    </row>
    <row r="49687" spans="1:2" x14ac:dyDescent="0.25">
      <c r="A49687" s="118"/>
      <c r="B49687" s="136"/>
    </row>
    <row r="49688" spans="1:2" x14ac:dyDescent="0.25">
      <c r="A49688" s="118"/>
      <c r="B49688" s="136"/>
    </row>
    <row r="49689" spans="1:2" x14ac:dyDescent="0.25">
      <c r="A49689" s="118"/>
      <c r="B49689" s="136"/>
    </row>
    <row r="49690" spans="1:2" x14ac:dyDescent="0.25">
      <c r="A49690" s="118"/>
      <c r="B49690" s="136"/>
    </row>
    <row r="49691" spans="1:2" x14ac:dyDescent="0.25">
      <c r="A49691" s="118"/>
      <c r="B49691" s="136"/>
    </row>
    <row r="49692" spans="1:2" x14ac:dyDescent="0.25">
      <c r="A49692" s="118"/>
      <c r="B49692" s="136"/>
    </row>
    <row r="49693" spans="1:2" x14ac:dyDescent="0.25">
      <c r="A49693" s="118"/>
      <c r="B49693" s="136"/>
    </row>
    <row r="49694" spans="1:2" x14ac:dyDescent="0.25">
      <c r="A49694" s="118"/>
      <c r="B49694" s="136"/>
    </row>
    <row r="49695" spans="1:2" x14ac:dyDescent="0.25">
      <c r="A49695" s="118"/>
      <c r="B49695" s="136"/>
    </row>
    <row r="49696" spans="1:2" x14ac:dyDescent="0.25">
      <c r="A49696" s="118"/>
      <c r="B49696" s="136"/>
    </row>
    <row r="49697" spans="1:2" x14ac:dyDescent="0.25">
      <c r="A49697" s="118"/>
      <c r="B49697" s="136"/>
    </row>
    <row r="49698" spans="1:2" x14ac:dyDescent="0.25">
      <c r="A49698" s="118"/>
      <c r="B49698" s="136"/>
    </row>
    <row r="49699" spans="1:2" x14ac:dyDescent="0.25">
      <c r="A49699" s="118"/>
      <c r="B49699" s="136"/>
    </row>
    <row r="49700" spans="1:2" x14ac:dyDescent="0.25">
      <c r="A49700" s="118"/>
      <c r="B49700" s="136"/>
    </row>
    <row r="49701" spans="1:2" x14ac:dyDescent="0.25">
      <c r="A49701" s="118"/>
      <c r="B49701" s="136"/>
    </row>
    <row r="49702" spans="1:2" x14ac:dyDescent="0.25">
      <c r="A49702" s="118"/>
      <c r="B49702" s="136"/>
    </row>
    <row r="49703" spans="1:2" x14ac:dyDescent="0.25">
      <c r="A49703" s="118"/>
      <c r="B49703" s="136"/>
    </row>
    <row r="49704" spans="1:2" x14ac:dyDescent="0.25">
      <c r="A49704" s="118"/>
      <c r="B49704" s="136"/>
    </row>
    <row r="49705" spans="1:2" x14ac:dyDescent="0.25">
      <c r="A49705" s="118"/>
      <c r="B49705" s="136"/>
    </row>
    <row r="49706" spans="1:2" x14ac:dyDescent="0.25">
      <c r="A49706" s="118"/>
      <c r="B49706" s="136"/>
    </row>
    <row r="49707" spans="1:2" x14ac:dyDescent="0.25">
      <c r="A49707" s="118"/>
      <c r="B49707" s="136"/>
    </row>
    <row r="49708" spans="1:2" x14ac:dyDescent="0.25">
      <c r="A49708" s="118"/>
      <c r="B49708" s="136"/>
    </row>
    <row r="49709" spans="1:2" x14ac:dyDescent="0.25">
      <c r="A49709" s="118"/>
      <c r="B49709" s="136"/>
    </row>
    <row r="49710" spans="1:2" x14ac:dyDescent="0.25">
      <c r="A49710" s="118"/>
      <c r="B49710" s="136"/>
    </row>
    <row r="49711" spans="1:2" x14ac:dyDescent="0.25">
      <c r="A49711" s="118"/>
      <c r="B49711" s="136"/>
    </row>
    <row r="49712" spans="1:2" x14ac:dyDescent="0.25">
      <c r="A49712" s="118"/>
      <c r="B49712" s="136"/>
    </row>
    <row r="49713" spans="1:2" x14ac:dyDescent="0.25">
      <c r="A49713" s="118"/>
      <c r="B49713" s="136"/>
    </row>
    <row r="49714" spans="1:2" x14ac:dyDescent="0.25">
      <c r="A49714" s="118"/>
      <c r="B49714" s="136"/>
    </row>
    <row r="49715" spans="1:2" x14ac:dyDescent="0.25">
      <c r="A49715" s="118"/>
      <c r="B49715" s="136"/>
    </row>
    <row r="49716" spans="1:2" x14ac:dyDescent="0.25">
      <c r="A49716" s="118"/>
      <c r="B49716" s="136"/>
    </row>
    <row r="49717" spans="1:2" x14ac:dyDescent="0.25">
      <c r="A49717" s="118"/>
      <c r="B49717" s="136"/>
    </row>
    <row r="49718" spans="1:2" x14ac:dyDescent="0.25">
      <c r="A49718" s="118"/>
      <c r="B49718" s="136"/>
    </row>
    <row r="49719" spans="1:2" x14ac:dyDescent="0.25">
      <c r="A49719" s="118"/>
      <c r="B49719" s="136"/>
    </row>
    <row r="49720" spans="1:2" x14ac:dyDescent="0.25">
      <c r="A49720" s="118"/>
      <c r="B49720" s="136"/>
    </row>
    <row r="49721" spans="1:2" x14ac:dyDescent="0.25">
      <c r="A49721" s="118"/>
      <c r="B49721" s="136"/>
    </row>
    <row r="49722" spans="1:2" x14ac:dyDescent="0.25">
      <c r="A49722" s="118"/>
      <c r="B49722" s="136"/>
    </row>
    <row r="49723" spans="1:2" x14ac:dyDescent="0.25">
      <c r="A49723" s="118"/>
      <c r="B49723" s="136"/>
    </row>
    <row r="49724" spans="1:2" x14ac:dyDescent="0.25">
      <c r="A49724" s="118"/>
      <c r="B49724" s="136"/>
    </row>
    <row r="49725" spans="1:2" x14ac:dyDescent="0.25">
      <c r="A49725" s="118"/>
      <c r="B49725" s="136"/>
    </row>
    <row r="49726" spans="1:2" x14ac:dyDescent="0.25">
      <c r="A49726" s="118"/>
      <c r="B49726" s="136"/>
    </row>
    <row r="49727" spans="1:2" x14ac:dyDescent="0.25">
      <c r="A49727" s="118"/>
      <c r="B49727" s="136"/>
    </row>
    <row r="49728" spans="1:2" x14ac:dyDescent="0.25">
      <c r="A49728" s="118"/>
      <c r="B49728" s="136"/>
    </row>
    <row r="49729" spans="1:2" x14ac:dyDescent="0.25">
      <c r="A49729" s="118"/>
      <c r="B49729" s="136"/>
    </row>
    <row r="49730" spans="1:2" x14ac:dyDescent="0.25">
      <c r="A49730" s="118"/>
      <c r="B49730" s="136"/>
    </row>
    <row r="49731" spans="1:2" x14ac:dyDescent="0.25">
      <c r="A49731" s="118"/>
      <c r="B49731" s="136"/>
    </row>
    <row r="49732" spans="1:2" x14ac:dyDescent="0.25">
      <c r="A49732" s="118"/>
      <c r="B49732" s="136"/>
    </row>
    <row r="49733" spans="1:2" x14ac:dyDescent="0.25">
      <c r="A49733" s="118"/>
      <c r="B49733" s="136"/>
    </row>
    <row r="49734" spans="1:2" x14ac:dyDescent="0.25">
      <c r="A49734" s="118"/>
      <c r="B49734" s="136"/>
    </row>
    <row r="49735" spans="1:2" x14ac:dyDescent="0.25">
      <c r="A49735" s="118"/>
      <c r="B49735" s="136"/>
    </row>
    <row r="49736" spans="1:2" x14ac:dyDescent="0.25">
      <c r="A49736" s="118"/>
      <c r="B49736" s="136"/>
    </row>
    <row r="49737" spans="1:2" x14ac:dyDescent="0.25">
      <c r="A49737" s="118"/>
      <c r="B49737" s="136"/>
    </row>
    <row r="49738" spans="1:2" x14ac:dyDescent="0.25">
      <c r="A49738" s="118"/>
      <c r="B49738" s="136"/>
    </row>
    <row r="49739" spans="1:2" x14ac:dyDescent="0.25">
      <c r="A49739" s="118"/>
      <c r="B49739" s="136"/>
    </row>
    <row r="49740" spans="1:2" x14ac:dyDescent="0.25">
      <c r="A49740" s="118"/>
      <c r="B49740" s="136"/>
    </row>
    <row r="49741" spans="1:2" x14ac:dyDescent="0.25">
      <c r="A49741" s="118"/>
      <c r="B49741" s="136"/>
    </row>
    <row r="49742" spans="1:2" x14ac:dyDescent="0.25">
      <c r="A49742" s="118"/>
      <c r="B49742" s="136"/>
    </row>
    <row r="49743" spans="1:2" x14ac:dyDescent="0.25">
      <c r="A49743" s="118"/>
      <c r="B49743" s="136"/>
    </row>
    <row r="49744" spans="1:2" x14ac:dyDescent="0.25">
      <c r="A49744" s="118"/>
      <c r="B49744" s="136"/>
    </row>
    <row r="49745" spans="1:2" x14ac:dyDescent="0.25">
      <c r="A49745" s="118"/>
      <c r="B49745" s="136"/>
    </row>
    <row r="49746" spans="1:2" x14ac:dyDescent="0.25">
      <c r="A49746" s="118"/>
      <c r="B49746" s="136"/>
    </row>
    <row r="49747" spans="1:2" x14ac:dyDescent="0.25">
      <c r="A49747" s="118"/>
      <c r="B49747" s="136"/>
    </row>
    <row r="49748" spans="1:2" x14ac:dyDescent="0.25">
      <c r="A49748" s="118"/>
      <c r="B49748" s="136"/>
    </row>
    <row r="49749" spans="1:2" x14ac:dyDescent="0.25">
      <c r="A49749" s="118"/>
      <c r="B49749" s="136"/>
    </row>
    <row r="49750" spans="1:2" x14ac:dyDescent="0.25">
      <c r="A49750" s="118"/>
      <c r="B49750" s="136"/>
    </row>
    <row r="49751" spans="1:2" x14ac:dyDescent="0.25">
      <c r="A49751" s="118"/>
      <c r="B49751" s="136"/>
    </row>
    <row r="49752" spans="1:2" x14ac:dyDescent="0.25">
      <c r="A49752" s="118"/>
      <c r="B49752" s="136"/>
    </row>
    <row r="49753" spans="1:2" x14ac:dyDescent="0.25">
      <c r="A49753" s="118"/>
      <c r="B49753" s="136"/>
    </row>
    <row r="49754" spans="1:2" x14ac:dyDescent="0.25">
      <c r="A49754" s="118"/>
      <c r="B49754" s="136"/>
    </row>
    <row r="49755" spans="1:2" x14ac:dyDescent="0.25">
      <c r="A49755" s="118"/>
      <c r="B49755" s="136"/>
    </row>
    <row r="49756" spans="1:2" x14ac:dyDescent="0.25">
      <c r="A49756" s="118"/>
      <c r="B49756" s="136"/>
    </row>
    <row r="49757" spans="1:2" x14ac:dyDescent="0.25">
      <c r="A49757" s="118"/>
      <c r="B49757" s="136"/>
    </row>
    <row r="49758" spans="1:2" x14ac:dyDescent="0.25">
      <c r="A49758" s="118"/>
      <c r="B49758" s="136"/>
    </row>
    <row r="49759" spans="1:2" x14ac:dyDescent="0.25">
      <c r="A49759" s="118"/>
      <c r="B49759" s="136"/>
    </row>
    <row r="49760" spans="1:2" x14ac:dyDescent="0.25">
      <c r="A49760" s="118"/>
      <c r="B49760" s="136"/>
    </row>
    <row r="49761" spans="1:2" x14ac:dyDescent="0.25">
      <c r="A49761" s="118"/>
      <c r="B49761" s="136"/>
    </row>
    <row r="49762" spans="1:2" x14ac:dyDescent="0.25">
      <c r="A49762" s="118"/>
      <c r="B49762" s="136"/>
    </row>
    <row r="49763" spans="1:2" x14ac:dyDescent="0.25">
      <c r="A49763" s="118"/>
      <c r="B49763" s="136"/>
    </row>
    <row r="49764" spans="1:2" x14ac:dyDescent="0.25">
      <c r="A49764" s="118"/>
      <c r="B49764" s="136"/>
    </row>
    <row r="49765" spans="1:2" x14ac:dyDescent="0.25">
      <c r="A49765" s="118"/>
      <c r="B49765" s="136"/>
    </row>
    <row r="49766" spans="1:2" x14ac:dyDescent="0.25">
      <c r="A49766" s="118"/>
      <c r="B49766" s="136"/>
    </row>
    <row r="49767" spans="1:2" x14ac:dyDescent="0.25">
      <c r="A49767" s="118"/>
      <c r="B49767" s="136"/>
    </row>
    <row r="49768" spans="1:2" x14ac:dyDescent="0.25">
      <c r="A49768" s="118"/>
      <c r="B49768" s="136"/>
    </row>
    <row r="49769" spans="1:2" x14ac:dyDescent="0.25">
      <c r="A49769" s="118"/>
      <c r="B49769" s="136"/>
    </row>
    <row r="49770" spans="1:2" x14ac:dyDescent="0.25">
      <c r="A49770" s="118"/>
      <c r="B49770" s="136"/>
    </row>
    <row r="49771" spans="1:2" x14ac:dyDescent="0.25">
      <c r="A49771" s="118"/>
      <c r="B49771" s="136"/>
    </row>
    <row r="49772" spans="1:2" x14ac:dyDescent="0.25">
      <c r="A49772" s="118"/>
      <c r="B49772" s="136"/>
    </row>
    <row r="49773" spans="1:2" x14ac:dyDescent="0.25">
      <c r="A49773" s="118"/>
      <c r="B49773" s="136"/>
    </row>
    <row r="49774" spans="1:2" x14ac:dyDescent="0.25">
      <c r="A49774" s="118"/>
      <c r="B49774" s="136"/>
    </row>
    <row r="49775" spans="1:2" x14ac:dyDescent="0.25">
      <c r="A49775" s="118"/>
      <c r="B49775" s="136"/>
    </row>
    <row r="49776" spans="1:2" x14ac:dyDescent="0.25">
      <c r="A49776" s="118"/>
      <c r="B49776" s="136"/>
    </row>
    <row r="49777" spans="1:2" x14ac:dyDescent="0.25">
      <c r="A49777" s="118"/>
      <c r="B49777" s="136"/>
    </row>
    <row r="49778" spans="1:2" x14ac:dyDescent="0.25">
      <c r="A49778" s="118"/>
      <c r="B49778" s="136"/>
    </row>
    <row r="49779" spans="1:2" x14ac:dyDescent="0.25">
      <c r="A49779" s="118"/>
      <c r="B49779" s="136"/>
    </row>
    <row r="49780" spans="1:2" x14ac:dyDescent="0.25">
      <c r="A49780" s="118"/>
      <c r="B49780" s="136"/>
    </row>
    <row r="49781" spans="1:2" x14ac:dyDescent="0.25">
      <c r="A49781" s="118"/>
      <c r="B49781" s="136"/>
    </row>
    <row r="49782" spans="1:2" x14ac:dyDescent="0.25">
      <c r="A49782" s="118"/>
      <c r="B49782" s="136"/>
    </row>
    <row r="49783" spans="1:2" x14ac:dyDescent="0.25">
      <c r="A49783" s="118"/>
      <c r="B49783" s="136"/>
    </row>
    <row r="49784" spans="1:2" x14ac:dyDescent="0.25">
      <c r="A49784" s="118"/>
      <c r="B49784" s="136"/>
    </row>
    <row r="49785" spans="1:2" x14ac:dyDescent="0.25">
      <c r="A49785" s="118"/>
      <c r="B49785" s="136"/>
    </row>
    <row r="49786" spans="1:2" x14ac:dyDescent="0.25">
      <c r="A49786" s="118"/>
      <c r="B49786" s="136"/>
    </row>
    <row r="49787" spans="1:2" x14ac:dyDescent="0.25">
      <c r="A49787" s="118"/>
      <c r="B49787" s="136"/>
    </row>
    <row r="49788" spans="1:2" x14ac:dyDescent="0.25">
      <c r="A49788" s="118"/>
      <c r="B49788" s="136"/>
    </row>
    <row r="49789" spans="1:2" x14ac:dyDescent="0.25">
      <c r="A49789" s="118"/>
      <c r="B49789" s="136"/>
    </row>
    <row r="49790" spans="1:2" x14ac:dyDescent="0.25">
      <c r="A49790" s="118"/>
      <c r="B49790" s="136"/>
    </row>
    <row r="49791" spans="1:2" x14ac:dyDescent="0.25">
      <c r="A49791" s="118"/>
      <c r="B49791" s="136"/>
    </row>
    <row r="49792" spans="1:2" x14ac:dyDescent="0.25">
      <c r="A49792" s="118"/>
      <c r="B49792" s="136"/>
    </row>
    <row r="49793" spans="1:2" x14ac:dyDescent="0.25">
      <c r="A49793" s="118"/>
      <c r="B49793" s="136"/>
    </row>
    <row r="49794" spans="1:2" x14ac:dyDescent="0.25">
      <c r="A49794" s="118"/>
      <c r="B49794" s="136"/>
    </row>
    <row r="49795" spans="1:2" x14ac:dyDescent="0.25">
      <c r="A49795" s="118"/>
      <c r="B49795" s="136"/>
    </row>
    <row r="49796" spans="1:2" x14ac:dyDescent="0.25">
      <c r="A49796" s="118"/>
      <c r="B49796" s="136"/>
    </row>
    <row r="49797" spans="1:2" x14ac:dyDescent="0.25">
      <c r="A49797" s="118"/>
      <c r="B49797" s="136"/>
    </row>
    <row r="49798" spans="1:2" x14ac:dyDescent="0.25">
      <c r="A49798" s="118"/>
      <c r="B49798" s="136"/>
    </row>
    <row r="49799" spans="1:2" x14ac:dyDescent="0.25">
      <c r="A49799" s="118"/>
      <c r="B49799" s="136"/>
    </row>
    <row r="49800" spans="1:2" x14ac:dyDescent="0.25">
      <c r="A49800" s="118"/>
      <c r="B49800" s="136"/>
    </row>
    <row r="49801" spans="1:2" x14ac:dyDescent="0.25">
      <c r="A49801" s="118"/>
      <c r="B49801" s="136"/>
    </row>
    <row r="49802" spans="1:2" x14ac:dyDescent="0.25">
      <c r="A49802" s="118"/>
      <c r="B49802" s="136"/>
    </row>
    <row r="49803" spans="1:2" x14ac:dyDescent="0.25">
      <c r="A49803" s="118"/>
      <c r="B49803" s="136"/>
    </row>
    <row r="49804" spans="1:2" x14ac:dyDescent="0.25">
      <c r="A49804" s="118"/>
      <c r="B49804" s="136"/>
    </row>
    <row r="49805" spans="1:2" x14ac:dyDescent="0.25">
      <c r="A49805" s="118"/>
      <c r="B49805" s="136"/>
    </row>
    <row r="49806" spans="1:2" x14ac:dyDescent="0.25">
      <c r="A49806" s="118"/>
      <c r="B49806" s="136"/>
    </row>
    <row r="49807" spans="1:2" x14ac:dyDescent="0.25">
      <c r="A49807" s="118"/>
      <c r="B49807" s="136"/>
    </row>
    <row r="49808" spans="1:2" x14ac:dyDescent="0.25">
      <c r="A49808" s="118"/>
      <c r="B49808" s="136"/>
    </row>
    <row r="49809" spans="1:2" x14ac:dyDescent="0.25">
      <c r="A49809" s="118"/>
      <c r="B49809" s="136"/>
    </row>
    <row r="49810" spans="1:2" x14ac:dyDescent="0.25">
      <c r="A49810" s="118"/>
      <c r="B49810" s="136"/>
    </row>
    <row r="49811" spans="1:2" x14ac:dyDescent="0.25">
      <c r="A49811" s="118"/>
      <c r="B49811" s="136"/>
    </row>
    <row r="49812" spans="1:2" x14ac:dyDescent="0.25">
      <c r="A49812" s="118"/>
      <c r="B49812" s="136"/>
    </row>
    <row r="49813" spans="1:2" x14ac:dyDescent="0.25">
      <c r="A49813" s="118"/>
      <c r="B49813" s="136"/>
    </row>
    <row r="49814" spans="1:2" x14ac:dyDescent="0.25">
      <c r="A49814" s="118"/>
      <c r="B49814" s="136"/>
    </row>
    <row r="49815" spans="1:2" x14ac:dyDescent="0.25">
      <c r="A49815" s="118"/>
      <c r="B49815" s="136"/>
    </row>
    <row r="49816" spans="1:2" x14ac:dyDescent="0.25">
      <c r="A49816" s="118"/>
      <c r="B49816" s="136"/>
    </row>
    <row r="49817" spans="1:2" x14ac:dyDescent="0.25">
      <c r="A49817" s="118"/>
      <c r="B49817" s="136"/>
    </row>
    <row r="49818" spans="1:2" x14ac:dyDescent="0.25">
      <c r="A49818" s="118"/>
      <c r="B49818" s="136"/>
    </row>
    <row r="49819" spans="1:2" x14ac:dyDescent="0.25">
      <c r="A49819" s="118"/>
      <c r="B49819" s="136"/>
    </row>
    <row r="49820" spans="1:2" x14ac:dyDescent="0.25">
      <c r="A49820" s="118"/>
      <c r="B49820" s="136"/>
    </row>
    <row r="49821" spans="1:2" x14ac:dyDescent="0.25">
      <c r="A49821" s="118"/>
      <c r="B49821" s="136"/>
    </row>
    <row r="49822" spans="1:2" x14ac:dyDescent="0.25">
      <c r="A49822" s="118"/>
      <c r="B49822" s="136"/>
    </row>
    <row r="49823" spans="1:2" x14ac:dyDescent="0.25">
      <c r="A49823" s="118"/>
      <c r="B49823" s="136"/>
    </row>
    <row r="49824" spans="1:2" x14ac:dyDescent="0.25">
      <c r="A49824" s="118"/>
      <c r="B49824" s="136"/>
    </row>
    <row r="49825" spans="1:2" x14ac:dyDescent="0.25">
      <c r="A49825" s="118"/>
      <c r="B49825" s="136"/>
    </row>
    <row r="49826" spans="1:2" x14ac:dyDescent="0.25">
      <c r="A49826" s="118"/>
      <c r="B49826" s="136"/>
    </row>
    <row r="49827" spans="1:2" x14ac:dyDescent="0.25">
      <c r="A49827" s="118"/>
      <c r="B49827" s="136"/>
    </row>
    <row r="49828" spans="1:2" x14ac:dyDescent="0.25">
      <c r="A49828" s="118"/>
      <c r="B49828" s="136"/>
    </row>
    <row r="49829" spans="1:2" x14ac:dyDescent="0.25">
      <c r="A49829" s="118"/>
      <c r="B49829" s="136"/>
    </row>
    <row r="49830" spans="1:2" x14ac:dyDescent="0.25">
      <c r="A49830" s="118"/>
      <c r="B49830" s="136"/>
    </row>
    <row r="49831" spans="1:2" x14ac:dyDescent="0.25">
      <c r="A49831" s="118"/>
      <c r="B49831" s="136"/>
    </row>
    <row r="49832" spans="1:2" x14ac:dyDescent="0.25">
      <c r="A49832" s="118"/>
      <c r="B49832" s="136"/>
    </row>
    <row r="49833" spans="1:2" x14ac:dyDescent="0.25">
      <c r="A49833" s="118"/>
      <c r="B49833" s="136"/>
    </row>
    <row r="49834" spans="1:2" x14ac:dyDescent="0.25">
      <c r="A49834" s="118"/>
      <c r="B49834" s="136"/>
    </row>
    <row r="49835" spans="1:2" x14ac:dyDescent="0.25">
      <c r="A49835" s="118"/>
      <c r="B49835" s="136"/>
    </row>
    <row r="49836" spans="1:2" x14ac:dyDescent="0.25">
      <c r="A49836" s="118"/>
      <c r="B49836" s="136"/>
    </row>
    <row r="49837" spans="1:2" x14ac:dyDescent="0.25">
      <c r="A49837" s="118"/>
      <c r="B49837" s="136"/>
    </row>
    <row r="49838" spans="1:2" x14ac:dyDescent="0.25">
      <c r="A49838" s="118"/>
      <c r="B49838" s="136"/>
    </row>
    <row r="49839" spans="1:2" x14ac:dyDescent="0.25">
      <c r="A49839" s="118"/>
      <c r="B49839" s="136"/>
    </row>
    <row r="49840" spans="1:2" x14ac:dyDescent="0.25">
      <c r="A49840" s="118"/>
      <c r="B49840" s="136"/>
    </row>
    <row r="49841" spans="1:2" x14ac:dyDescent="0.25">
      <c r="A49841" s="118"/>
      <c r="B49841" s="136"/>
    </row>
    <row r="49842" spans="1:2" x14ac:dyDescent="0.25">
      <c r="A49842" s="118"/>
      <c r="B49842" s="136"/>
    </row>
    <row r="49843" spans="1:2" x14ac:dyDescent="0.25">
      <c r="A49843" s="118"/>
      <c r="B49843" s="136"/>
    </row>
    <row r="49844" spans="1:2" x14ac:dyDescent="0.25">
      <c r="A49844" s="118"/>
      <c r="B49844" s="136"/>
    </row>
    <row r="49845" spans="1:2" x14ac:dyDescent="0.25">
      <c r="A49845" s="118"/>
      <c r="B49845" s="136"/>
    </row>
    <row r="49846" spans="1:2" x14ac:dyDescent="0.25">
      <c r="A49846" s="118"/>
      <c r="B49846" s="136"/>
    </row>
    <row r="49847" spans="1:2" x14ac:dyDescent="0.25">
      <c r="A49847" s="118"/>
      <c r="B49847" s="136"/>
    </row>
    <row r="49848" spans="1:2" x14ac:dyDescent="0.25">
      <c r="A49848" s="118"/>
      <c r="B49848" s="136"/>
    </row>
    <row r="49849" spans="1:2" x14ac:dyDescent="0.25">
      <c r="A49849" s="118"/>
      <c r="B49849" s="136"/>
    </row>
    <row r="49850" spans="1:2" x14ac:dyDescent="0.25">
      <c r="A49850" s="118"/>
      <c r="B49850" s="136"/>
    </row>
    <row r="49851" spans="1:2" x14ac:dyDescent="0.25">
      <c r="A49851" s="118"/>
      <c r="B49851" s="136"/>
    </row>
    <row r="49852" spans="1:2" x14ac:dyDescent="0.25">
      <c r="A49852" s="118"/>
      <c r="B49852" s="136"/>
    </row>
    <row r="49853" spans="1:2" x14ac:dyDescent="0.25">
      <c r="A49853" s="118"/>
      <c r="B49853" s="136"/>
    </row>
    <row r="49854" spans="1:2" x14ac:dyDescent="0.25">
      <c r="A49854" s="118"/>
      <c r="B49854" s="136"/>
    </row>
    <row r="49855" spans="1:2" x14ac:dyDescent="0.25">
      <c r="A49855" s="118"/>
      <c r="B49855" s="136"/>
    </row>
    <row r="49856" spans="1:2" x14ac:dyDescent="0.25">
      <c r="A49856" s="118"/>
      <c r="B49856" s="136"/>
    </row>
    <row r="49857" spans="1:2" x14ac:dyDescent="0.25">
      <c r="A49857" s="118"/>
      <c r="B49857" s="136"/>
    </row>
    <row r="49858" spans="1:2" x14ac:dyDescent="0.25">
      <c r="A49858" s="118"/>
      <c r="B49858" s="136"/>
    </row>
    <row r="49859" spans="1:2" x14ac:dyDescent="0.25">
      <c r="A49859" s="118"/>
      <c r="B49859" s="136"/>
    </row>
    <row r="49860" spans="1:2" x14ac:dyDescent="0.25">
      <c r="A49860" s="118"/>
      <c r="B49860" s="136"/>
    </row>
    <row r="49861" spans="1:2" x14ac:dyDescent="0.25">
      <c r="A49861" s="118"/>
      <c r="B49861" s="136"/>
    </row>
    <row r="49862" spans="1:2" x14ac:dyDescent="0.25">
      <c r="A49862" s="118"/>
      <c r="B49862" s="136"/>
    </row>
    <row r="49863" spans="1:2" x14ac:dyDescent="0.25">
      <c r="A49863" s="118"/>
      <c r="B49863" s="136"/>
    </row>
    <row r="49864" spans="1:2" x14ac:dyDescent="0.25">
      <c r="A49864" s="118"/>
      <c r="B49864" s="136"/>
    </row>
    <row r="49865" spans="1:2" x14ac:dyDescent="0.25">
      <c r="A49865" s="118"/>
      <c r="B49865" s="136"/>
    </row>
    <row r="49866" spans="1:2" x14ac:dyDescent="0.25">
      <c r="A49866" s="118"/>
      <c r="B49866" s="136"/>
    </row>
    <row r="49867" spans="1:2" x14ac:dyDescent="0.25">
      <c r="A49867" s="118"/>
      <c r="B49867" s="136"/>
    </row>
    <row r="49868" spans="1:2" x14ac:dyDescent="0.25">
      <c r="A49868" s="118"/>
      <c r="B49868" s="136"/>
    </row>
    <row r="49869" spans="1:2" x14ac:dyDescent="0.25">
      <c r="A49869" s="118"/>
      <c r="B49869" s="136"/>
    </row>
    <row r="49870" spans="1:2" x14ac:dyDescent="0.25">
      <c r="A49870" s="118"/>
      <c r="B49870" s="136"/>
    </row>
    <row r="49871" spans="1:2" x14ac:dyDescent="0.25">
      <c r="A49871" s="118"/>
      <c r="B49871" s="136"/>
    </row>
    <row r="49872" spans="1:2" x14ac:dyDescent="0.25">
      <c r="A49872" s="118"/>
      <c r="B49872" s="136"/>
    </row>
    <row r="49873" spans="1:2" x14ac:dyDescent="0.25">
      <c r="A49873" s="118"/>
      <c r="B49873" s="136"/>
    </row>
    <row r="49874" spans="1:2" x14ac:dyDescent="0.25">
      <c r="A49874" s="118"/>
      <c r="B49874" s="136"/>
    </row>
    <row r="49875" spans="1:2" x14ac:dyDescent="0.25">
      <c r="A49875" s="118"/>
      <c r="B49875" s="136"/>
    </row>
    <row r="49876" spans="1:2" x14ac:dyDescent="0.25">
      <c r="A49876" s="118"/>
      <c r="B49876" s="136"/>
    </row>
    <row r="49877" spans="1:2" x14ac:dyDescent="0.25">
      <c r="A49877" s="118"/>
      <c r="B49877" s="136"/>
    </row>
    <row r="49878" spans="1:2" x14ac:dyDescent="0.25">
      <c r="A49878" s="118"/>
      <c r="B49878" s="136"/>
    </row>
    <row r="49879" spans="1:2" x14ac:dyDescent="0.25">
      <c r="A49879" s="118"/>
      <c r="B49879" s="136"/>
    </row>
    <row r="49880" spans="1:2" x14ac:dyDescent="0.25">
      <c r="A49880" s="118"/>
      <c r="B49880" s="136"/>
    </row>
    <row r="49881" spans="1:2" x14ac:dyDescent="0.25">
      <c r="A49881" s="118"/>
      <c r="B49881" s="136"/>
    </row>
    <row r="49882" spans="1:2" x14ac:dyDescent="0.25">
      <c r="A49882" s="118"/>
      <c r="B49882" s="136"/>
    </row>
    <row r="49883" spans="1:2" x14ac:dyDescent="0.25">
      <c r="A49883" s="118"/>
      <c r="B49883" s="136"/>
    </row>
    <row r="49884" spans="1:2" x14ac:dyDescent="0.25">
      <c r="A49884" s="118"/>
      <c r="B49884" s="136"/>
    </row>
    <row r="49885" spans="1:2" x14ac:dyDescent="0.25">
      <c r="A49885" s="118"/>
      <c r="B49885" s="136"/>
    </row>
    <row r="49886" spans="1:2" x14ac:dyDescent="0.25">
      <c r="A49886" s="118"/>
      <c r="B49886" s="136"/>
    </row>
    <row r="49887" spans="1:2" x14ac:dyDescent="0.25">
      <c r="A49887" s="118"/>
      <c r="B49887" s="136"/>
    </row>
    <row r="49888" spans="1:2" x14ac:dyDescent="0.25">
      <c r="A49888" s="118"/>
      <c r="B49888" s="136"/>
    </row>
    <row r="49889" spans="1:2" x14ac:dyDescent="0.25">
      <c r="A49889" s="118"/>
      <c r="B49889" s="136"/>
    </row>
    <row r="49890" spans="1:2" x14ac:dyDescent="0.25">
      <c r="A49890" s="118"/>
      <c r="B49890" s="136"/>
    </row>
    <row r="49891" spans="1:2" x14ac:dyDescent="0.25">
      <c r="A49891" s="118"/>
      <c r="B49891" s="136"/>
    </row>
    <row r="49892" spans="1:2" x14ac:dyDescent="0.25">
      <c r="A49892" s="118"/>
      <c r="B49892" s="136"/>
    </row>
    <row r="49893" spans="1:2" x14ac:dyDescent="0.25">
      <c r="A49893" s="118"/>
      <c r="B49893" s="136"/>
    </row>
    <row r="49894" spans="1:2" x14ac:dyDescent="0.25">
      <c r="A49894" s="118"/>
      <c r="B49894" s="136"/>
    </row>
    <row r="49895" spans="1:2" x14ac:dyDescent="0.25">
      <c r="A49895" s="118"/>
      <c r="B49895" s="136"/>
    </row>
    <row r="49896" spans="1:2" x14ac:dyDescent="0.25">
      <c r="A49896" s="118"/>
      <c r="B49896" s="136"/>
    </row>
    <row r="49897" spans="1:2" x14ac:dyDescent="0.25">
      <c r="A49897" s="118"/>
      <c r="B49897" s="136"/>
    </row>
    <row r="49898" spans="1:2" x14ac:dyDescent="0.25">
      <c r="A49898" s="118"/>
      <c r="B49898" s="136"/>
    </row>
    <row r="49899" spans="1:2" x14ac:dyDescent="0.25">
      <c r="A49899" s="118"/>
      <c r="B49899" s="136"/>
    </row>
    <row r="49900" spans="1:2" x14ac:dyDescent="0.25">
      <c r="A49900" s="118"/>
      <c r="B49900" s="136"/>
    </row>
    <row r="49901" spans="1:2" x14ac:dyDescent="0.25">
      <c r="A49901" s="118"/>
      <c r="B49901" s="136"/>
    </row>
    <row r="49902" spans="1:2" x14ac:dyDescent="0.25">
      <c r="A49902" s="118"/>
      <c r="B49902" s="136"/>
    </row>
    <row r="49903" spans="1:2" x14ac:dyDescent="0.25">
      <c r="A49903" s="118"/>
      <c r="B49903" s="136"/>
    </row>
    <row r="49904" spans="1:2" x14ac:dyDescent="0.25">
      <c r="A49904" s="118"/>
      <c r="B49904" s="136"/>
    </row>
    <row r="49905" spans="1:2" x14ac:dyDescent="0.25">
      <c r="A49905" s="118"/>
      <c r="B49905" s="136"/>
    </row>
    <row r="49906" spans="1:2" x14ac:dyDescent="0.25">
      <c r="A49906" s="118"/>
      <c r="B49906" s="136"/>
    </row>
    <row r="49907" spans="1:2" x14ac:dyDescent="0.25">
      <c r="A49907" s="118"/>
      <c r="B49907" s="136"/>
    </row>
    <row r="49908" spans="1:2" x14ac:dyDescent="0.25">
      <c r="A49908" s="118"/>
      <c r="B49908" s="136"/>
    </row>
    <row r="49909" spans="1:2" x14ac:dyDescent="0.25">
      <c r="A49909" s="118"/>
      <c r="B49909" s="136"/>
    </row>
    <row r="49910" spans="1:2" x14ac:dyDescent="0.25">
      <c r="A49910" s="118"/>
      <c r="B49910" s="136"/>
    </row>
    <row r="49911" spans="1:2" x14ac:dyDescent="0.25">
      <c r="A49911" s="118"/>
      <c r="B49911" s="136"/>
    </row>
    <row r="49912" spans="1:2" x14ac:dyDescent="0.25">
      <c r="A49912" s="118"/>
      <c r="B49912" s="136"/>
    </row>
    <row r="49913" spans="1:2" x14ac:dyDescent="0.25">
      <c r="A49913" s="118"/>
      <c r="B49913" s="136"/>
    </row>
    <row r="49914" spans="1:2" x14ac:dyDescent="0.25">
      <c r="A49914" s="118"/>
      <c r="B49914" s="136"/>
    </row>
    <row r="49915" spans="1:2" x14ac:dyDescent="0.25">
      <c r="A49915" s="118"/>
      <c r="B49915" s="136"/>
    </row>
    <row r="49916" spans="1:2" x14ac:dyDescent="0.25">
      <c r="A49916" s="118"/>
      <c r="B49916" s="136"/>
    </row>
    <row r="49917" spans="1:2" x14ac:dyDescent="0.25">
      <c r="A49917" s="118"/>
      <c r="B49917" s="136"/>
    </row>
    <row r="49918" spans="1:2" x14ac:dyDescent="0.25">
      <c r="A49918" s="118"/>
      <c r="B49918" s="136"/>
    </row>
    <row r="49919" spans="1:2" x14ac:dyDescent="0.25">
      <c r="A49919" s="118"/>
      <c r="B49919" s="136"/>
    </row>
    <row r="49920" spans="1:2" x14ac:dyDescent="0.25">
      <c r="A49920" s="118"/>
      <c r="B49920" s="136"/>
    </row>
    <row r="49921" spans="1:2" x14ac:dyDescent="0.25">
      <c r="A49921" s="118"/>
      <c r="B49921" s="136"/>
    </row>
    <row r="49922" spans="1:2" x14ac:dyDescent="0.25">
      <c r="A49922" s="118"/>
      <c r="B49922" s="136"/>
    </row>
    <row r="49923" spans="1:2" x14ac:dyDescent="0.25">
      <c r="A49923" s="118"/>
      <c r="B49923" s="136"/>
    </row>
    <row r="49924" spans="1:2" x14ac:dyDescent="0.25">
      <c r="A49924" s="118"/>
      <c r="B49924" s="136"/>
    </row>
    <row r="49925" spans="1:2" x14ac:dyDescent="0.25">
      <c r="A49925" s="118"/>
      <c r="B49925" s="136"/>
    </row>
    <row r="49926" spans="1:2" x14ac:dyDescent="0.25">
      <c r="A49926" s="118"/>
      <c r="B49926" s="136"/>
    </row>
    <row r="49927" spans="1:2" x14ac:dyDescent="0.25">
      <c r="A49927" s="118"/>
      <c r="B49927" s="136"/>
    </row>
    <row r="49928" spans="1:2" x14ac:dyDescent="0.25">
      <c r="A49928" s="118"/>
      <c r="B49928" s="136"/>
    </row>
    <row r="49929" spans="1:2" x14ac:dyDescent="0.25">
      <c r="A49929" s="118"/>
      <c r="B49929" s="136"/>
    </row>
    <row r="49930" spans="1:2" x14ac:dyDescent="0.25">
      <c r="A49930" s="118"/>
      <c r="B49930" s="136"/>
    </row>
    <row r="49931" spans="1:2" x14ac:dyDescent="0.25">
      <c r="A49931" s="118"/>
      <c r="B49931" s="136"/>
    </row>
    <row r="49932" spans="1:2" x14ac:dyDescent="0.25">
      <c r="A49932" s="118"/>
      <c r="B49932" s="136"/>
    </row>
    <row r="49933" spans="1:2" x14ac:dyDescent="0.25">
      <c r="A49933" s="118"/>
      <c r="B49933" s="136"/>
    </row>
    <row r="49934" spans="1:2" x14ac:dyDescent="0.25">
      <c r="A49934" s="118"/>
      <c r="B49934" s="136"/>
    </row>
    <row r="49935" spans="1:2" x14ac:dyDescent="0.25">
      <c r="A49935" s="118"/>
      <c r="B49935" s="136"/>
    </row>
    <row r="49936" spans="1:2" x14ac:dyDescent="0.25">
      <c r="A49936" s="118"/>
      <c r="B49936" s="136"/>
    </row>
    <row r="49937" spans="1:2" x14ac:dyDescent="0.25">
      <c r="A49937" s="118"/>
      <c r="B49937" s="136"/>
    </row>
    <row r="49938" spans="1:2" x14ac:dyDescent="0.25">
      <c r="A49938" s="118"/>
      <c r="B49938" s="136"/>
    </row>
    <row r="49939" spans="1:2" x14ac:dyDescent="0.25">
      <c r="A49939" s="118"/>
      <c r="B49939" s="136"/>
    </row>
    <row r="49940" spans="1:2" x14ac:dyDescent="0.25">
      <c r="A49940" s="118"/>
      <c r="B49940" s="136"/>
    </row>
    <row r="49941" spans="1:2" x14ac:dyDescent="0.25">
      <c r="A49941" s="118"/>
      <c r="B49941" s="136"/>
    </row>
    <row r="49942" spans="1:2" x14ac:dyDescent="0.25">
      <c r="A49942" s="118"/>
      <c r="B49942" s="136"/>
    </row>
    <row r="49943" spans="1:2" x14ac:dyDescent="0.25">
      <c r="A49943" s="118"/>
      <c r="B49943" s="136"/>
    </row>
    <row r="49944" spans="1:2" x14ac:dyDescent="0.25">
      <c r="A49944" s="118"/>
      <c r="B49944" s="136"/>
    </row>
    <row r="49945" spans="1:2" x14ac:dyDescent="0.25">
      <c r="A49945" s="118"/>
      <c r="B49945" s="136"/>
    </row>
    <row r="49946" spans="1:2" x14ac:dyDescent="0.25">
      <c r="A49946" s="118"/>
      <c r="B49946" s="136"/>
    </row>
    <row r="49947" spans="1:2" x14ac:dyDescent="0.25">
      <c r="A49947" s="118"/>
      <c r="B49947" s="136"/>
    </row>
    <row r="49948" spans="1:2" x14ac:dyDescent="0.25">
      <c r="A49948" s="118"/>
      <c r="B49948" s="136"/>
    </row>
    <row r="49949" spans="1:2" x14ac:dyDescent="0.25">
      <c r="A49949" s="118"/>
      <c r="B49949" s="136"/>
    </row>
    <row r="49950" spans="1:2" x14ac:dyDescent="0.25">
      <c r="A49950" s="118"/>
      <c r="B49950" s="136"/>
    </row>
    <row r="49951" spans="1:2" x14ac:dyDescent="0.25">
      <c r="A49951" s="118"/>
      <c r="B49951" s="136"/>
    </row>
    <row r="49952" spans="1:2" x14ac:dyDescent="0.25">
      <c r="A49952" s="118"/>
      <c r="B49952" s="136"/>
    </row>
    <row r="49953" spans="1:2" x14ac:dyDescent="0.25">
      <c r="A49953" s="118"/>
      <c r="B49953" s="136"/>
    </row>
    <row r="49954" spans="1:2" x14ac:dyDescent="0.25">
      <c r="A49954" s="118"/>
      <c r="B49954" s="136"/>
    </row>
    <row r="49955" spans="1:2" x14ac:dyDescent="0.25">
      <c r="A49955" s="118"/>
      <c r="B49955" s="136"/>
    </row>
    <row r="49956" spans="1:2" x14ac:dyDescent="0.25">
      <c r="A49956" s="118"/>
      <c r="B49956" s="136"/>
    </row>
    <row r="49957" spans="1:2" x14ac:dyDescent="0.25">
      <c r="A49957" s="118"/>
      <c r="B49957" s="136"/>
    </row>
    <row r="49958" spans="1:2" x14ac:dyDescent="0.25">
      <c r="A49958" s="118"/>
      <c r="B49958" s="136"/>
    </row>
    <row r="49959" spans="1:2" x14ac:dyDescent="0.25">
      <c r="A49959" s="118"/>
      <c r="B49959" s="136"/>
    </row>
    <row r="49960" spans="1:2" x14ac:dyDescent="0.25">
      <c r="A49960" s="118"/>
      <c r="B49960" s="136"/>
    </row>
    <row r="49961" spans="1:2" x14ac:dyDescent="0.25">
      <c r="A49961" s="118"/>
      <c r="B49961" s="136"/>
    </row>
    <row r="49962" spans="1:2" x14ac:dyDescent="0.25">
      <c r="A49962" s="118"/>
      <c r="B49962" s="136"/>
    </row>
    <row r="49963" spans="1:2" x14ac:dyDescent="0.25">
      <c r="A49963" s="118"/>
      <c r="B49963" s="136"/>
    </row>
    <row r="49964" spans="1:2" x14ac:dyDescent="0.25">
      <c r="A49964" s="118"/>
      <c r="B49964" s="136"/>
    </row>
    <row r="49965" spans="1:2" x14ac:dyDescent="0.25">
      <c r="A49965" s="118"/>
      <c r="B49965" s="136"/>
    </row>
    <row r="49966" spans="1:2" x14ac:dyDescent="0.25">
      <c r="A49966" s="118"/>
      <c r="B49966" s="136"/>
    </row>
    <row r="49967" spans="1:2" x14ac:dyDescent="0.25">
      <c r="A49967" s="118"/>
      <c r="B49967" s="136"/>
    </row>
    <row r="49968" spans="1:2" x14ac:dyDescent="0.25">
      <c r="A49968" s="118"/>
      <c r="B49968" s="136"/>
    </row>
    <row r="49969" spans="1:2" x14ac:dyDescent="0.25">
      <c r="A49969" s="118"/>
      <c r="B49969" s="136"/>
    </row>
    <row r="49970" spans="1:2" x14ac:dyDescent="0.25">
      <c r="A49970" s="118"/>
      <c r="B49970" s="136"/>
    </row>
    <row r="49971" spans="1:2" x14ac:dyDescent="0.25">
      <c r="A49971" s="118"/>
      <c r="B49971" s="136"/>
    </row>
    <row r="49972" spans="1:2" x14ac:dyDescent="0.25">
      <c r="A49972" s="118"/>
      <c r="B49972" s="136"/>
    </row>
    <row r="49973" spans="1:2" x14ac:dyDescent="0.25">
      <c r="A49973" s="118"/>
      <c r="B49973" s="136"/>
    </row>
    <row r="49974" spans="1:2" x14ac:dyDescent="0.25">
      <c r="A49974" s="118"/>
      <c r="B49974" s="136"/>
    </row>
    <row r="49975" spans="1:2" x14ac:dyDescent="0.25">
      <c r="A49975" s="118"/>
      <c r="B49975" s="136"/>
    </row>
    <row r="49976" spans="1:2" x14ac:dyDescent="0.25">
      <c r="A49976" s="118"/>
      <c r="B49976" s="136"/>
    </row>
    <row r="49977" spans="1:2" x14ac:dyDescent="0.25">
      <c r="A49977" s="118"/>
      <c r="B49977" s="136"/>
    </row>
    <row r="49978" spans="1:2" x14ac:dyDescent="0.25">
      <c r="A49978" s="118"/>
      <c r="B49978" s="136"/>
    </row>
    <row r="49979" spans="1:2" x14ac:dyDescent="0.25">
      <c r="A49979" s="118"/>
      <c r="B49979" s="136"/>
    </row>
    <row r="49980" spans="1:2" x14ac:dyDescent="0.25">
      <c r="A49980" s="118"/>
      <c r="B49980" s="136"/>
    </row>
    <row r="49981" spans="1:2" x14ac:dyDescent="0.25">
      <c r="A49981" s="118"/>
      <c r="B49981" s="136"/>
    </row>
    <row r="49982" spans="1:2" x14ac:dyDescent="0.25">
      <c r="A49982" s="118"/>
      <c r="B49982" s="136"/>
    </row>
    <row r="49983" spans="1:2" x14ac:dyDescent="0.25">
      <c r="A49983" s="118"/>
      <c r="B49983" s="136"/>
    </row>
    <row r="49984" spans="1:2" x14ac:dyDescent="0.25">
      <c r="A49984" s="118"/>
      <c r="B49984" s="136"/>
    </row>
    <row r="49985" spans="1:2" x14ac:dyDescent="0.25">
      <c r="A49985" s="118"/>
      <c r="B49985" s="136"/>
    </row>
    <row r="49986" spans="1:2" x14ac:dyDescent="0.25">
      <c r="A49986" s="118"/>
      <c r="B49986" s="136"/>
    </row>
    <row r="49987" spans="1:2" x14ac:dyDescent="0.25">
      <c r="A49987" s="118"/>
      <c r="B49987" s="136"/>
    </row>
    <row r="49988" spans="1:2" x14ac:dyDescent="0.25">
      <c r="A49988" s="118"/>
      <c r="B49988" s="136"/>
    </row>
    <row r="49989" spans="1:2" x14ac:dyDescent="0.25">
      <c r="A49989" s="118"/>
      <c r="B49989" s="136"/>
    </row>
    <row r="49990" spans="1:2" x14ac:dyDescent="0.25">
      <c r="A49990" s="118"/>
      <c r="B49990" s="136"/>
    </row>
    <row r="49991" spans="1:2" x14ac:dyDescent="0.25">
      <c r="A49991" s="118"/>
      <c r="B49991" s="136"/>
    </row>
    <row r="49992" spans="1:2" x14ac:dyDescent="0.25">
      <c r="A49992" s="118"/>
      <c r="B49992" s="136"/>
    </row>
    <row r="49993" spans="1:2" x14ac:dyDescent="0.25">
      <c r="A49993" s="118"/>
      <c r="B49993" s="136"/>
    </row>
    <row r="49994" spans="1:2" x14ac:dyDescent="0.25">
      <c r="A49994" s="118"/>
      <c r="B49994" s="136"/>
    </row>
    <row r="49995" spans="1:2" x14ac:dyDescent="0.25">
      <c r="A49995" s="118"/>
      <c r="B49995" s="136"/>
    </row>
    <row r="49996" spans="1:2" x14ac:dyDescent="0.25">
      <c r="A49996" s="118"/>
      <c r="B49996" s="136"/>
    </row>
    <row r="49997" spans="1:2" x14ac:dyDescent="0.25">
      <c r="A49997" s="118"/>
      <c r="B49997" s="136"/>
    </row>
    <row r="49998" spans="1:2" x14ac:dyDescent="0.25">
      <c r="A49998" s="118"/>
      <c r="B49998" s="136"/>
    </row>
    <row r="49999" spans="1:2" x14ac:dyDescent="0.25">
      <c r="A49999" s="118"/>
      <c r="B49999" s="136"/>
    </row>
    <row r="50000" spans="1:2" x14ac:dyDescent="0.25">
      <c r="A50000" s="118"/>
      <c r="B50000" s="136"/>
    </row>
    <row r="50001" spans="1:2" x14ac:dyDescent="0.25">
      <c r="A50001" s="118"/>
      <c r="B50001" s="136"/>
    </row>
    <row r="50002" spans="1:2" x14ac:dyDescent="0.25">
      <c r="A50002" s="118"/>
      <c r="B50002" s="136"/>
    </row>
    <row r="50003" spans="1:2" x14ac:dyDescent="0.25">
      <c r="A50003" s="118"/>
      <c r="B50003" s="136"/>
    </row>
    <row r="50004" spans="1:2" x14ac:dyDescent="0.25">
      <c r="A50004" s="118"/>
      <c r="B50004" s="136"/>
    </row>
    <row r="50005" spans="1:2" x14ac:dyDescent="0.25">
      <c r="A50005" s="118"/>
      <c r="B50005" s="136"/>
    </row>
    <row r="50006" spans="1:2" x14ac:dyDescent="0.25">
      <c r="A50006" s="118"/>
      <c r="B50006" s="136"/>
    </row>
    <row r="50007" spans="1:2" x14ac:dyDescent="0.25">
      <c r="A50007" s="118"/>
      <c r="B50007" s="136"/>
    </row>
    <row r="50008" spans="1:2" x14ac:dyDescent="0.25">
      <c r="A50008" s="118"/>
      <c r="B50008" s="136"/>
    </row>
    <row r="50009" spans="1:2" x14ac:dyDescent="0.25">
      <c r="A50009" s="118"/>
      <c r="B50009" s="136"/>
    </row>
    <row r="50010" spans="1:2" x14ac:dyDescent="0.25">
      <c r="A50010" s="118"/>
      <c r="B50010" s="136"/>
    </row>
    <row r="50011" spans="1:2" x14ac:dyDescent="0.25">
      <c r="A50011" s="118"/>
      <c r="B50011" s="136"/>
    </row>
    <row r="50012" spans="1:2" x14ac:dyDescent="0.25">
      <c r="A50012" s="118"/>
      <c r="B50012" s="136"/>
    </row>
    <row r="50013" spans="1:2" x14ac:dyDescent="0.25">
      <c r="A50013" s="118"/>
      <c r="B50013" s="136"/>
    </row>
    <row r="50014" spans="1:2" x14ac:dyDescent="0.25">
      <c r="A50014" s="118"/>
      <c r="B50014" s="136"/>
    </row>
    <row r="50015" spans="1:2" x14ac:dyDescent="0.25">
      <c r="A50015" s="118"/>
      <c r="B50015" s="136"/>
    </row>
    <row r="50016" spans="1:2" x14ac:dyDescent="0.25">
      <c r="A50016" s="118"/>
      <c r="B50016" s="136"/>
    </row>
    <row r="50017" spans="1:2" x14ac:dyDescent="0.25">
      <c r="A50017" s="118"/>
      <c r="B50017" s="136"/>
    </row>
    <row r="50018" spans="1:2" x14ac:dyDescent="0.25">
      <c r="A50018" s="118"/>
      <c r="B50018" s="136"/>
    </row>
    <row r="50019" spans="1:2" x14ac:dyDescent="0.25">
      <c r="A50019" s="118"/>
      <c r="B50019" s="136"/>
    </row>
    <row r="50020" spans="1:2" x14ac:dyDescent="0.25">
      <c r="A50020" s="118"/>
      <c r="B50020" s="136"/>
    </row>
    <row r="50021" spans="1:2" x14ac:dyDescent="0.25">
      <c r="A50021" s="118"/>
      <c r="B50021" s="136"/>
    </row>
    <row r="50022" spans="1:2" x14ac:dyDescent="0.25">
      <c r="A50022" s="118"/>
      <c r="B50022" s="136"/>
    </row>
    <row r="50023" spans="1:2" x14ac:dyDescent="0.25">
      <c r="A50023" s="118"/>
      <c r="B50023" s="136"/>
    </row>
    <row r="50024" spans="1:2" x14ac:dyDescent="0.25">
      <c r="A50024" s="118"/>
      <c r="B50024" s="136"/>
    </row>
    <row r="50025" spans="1:2" x14ac:dyDescent="0.25">
      <c r="A50025" s="118"/>
      <c r="B50025" s="136"/>
    </row>
    <row r="50026" spans="1:2" x14ac:dyDescent="0.25">
      <c r="A50026" s="118"/>
      <c r="B50026" s="136"/>
    </row>
    <row r="50027" spans="1:2" x14ac:dyDescent="0.25">
      <c r="A50027" s="118"/>
      <c r="B50027" s="136"/>
    </row>
    <row r="50028" spans="1:2" x14ac:dyDescent="0.25">
      <c r="A50028" s="118"/>
      <c r="B50028" s="136"/>
    </row>
    <row r="50029" spans="1:2" x14ac:dyDescent="0.25">
      <c r="A50029" s="118"/>
      <c r="B50029" s="136"/>
    </row>
    <row r="50030" spans="1:2" x14ac:dyDescent="0.25">
      <c r="A50030" s="118"/>
      <c r="B50030" s="136"/>
    </row>
    <row r="50031" spans="1:2" x14ac:dyDescent="0.25">
      <c r="A50031" s="118"/>
      <c r="B50031" s="136"/>
    </row>
    <row r="50032" spans="1:2" x14ac:dyDescent="0.25">
      <c r="A50032" s="118"/>
      <c r="B50032" s="136"/>
    </row>
    <row r="50033" spans="1:2" x14ac:dyDescent="0.25">
      <c r="A50033" s="118"/>
      <c r="B50033" s="136"/>
    </row>
    <row r="50034" spans="1:2" x14ac:dyDescent="0.25">
      <c r="A50034" s="118"/>
      <c r="B50034" s="136"/>
    </row>
    <row r="50035" spans="1:2" x14ac:dyDescent="0.25">
      <c r="A50035" s="118"/>
      <c r="B50035" s="136"/>
    </row>
    <row r="50036" spans="1:2" x14ac:dyDescent="0.25">
      <c r="A50036" s="118"/>
      <c r="B50036" s="136"/>
    </row>
    <row r="50037" spans="1:2" x14ac:dyDescent="0.25">
      <c r="A50037" s="118"/>
      <c r="B50037" s="136"/>
    </row>
    <row r="50038" spans="1:2" x14ac:dyDescent="0.25">
      <c r="A50038" s="118"/>
      <c r="B50038" s="136"/>
    </row>
    <row r="50039" spans="1:2" x14ac:dyDescent="0.25">
      <c r="A50039" s="118"/>
      <c r="B50039" s="136"/>
    </row>
    <row r="50040" spans="1:2" x14ac:dyDescent="0.25">
      <c r="A50040" s="118"/>
      <c r="B50040" s="136"/>
    </row>
    <row r="50041" spans="1:2" x14ac:dyDescent="0.25">
      <c r="A50041" s="118"/>
      <c r="B50041" s="136"/>
    </row>
    <row r="50042" spans="1:2" x14ac:dyDescent="0.25">
      <c r="A50042" s="118"/>
      <c r="B50042" s="136"/>
    </row>
    <row r="50043" spans="1:2" x14ac:dyDescent="0.25">
      <c r="A50043" s="118"/>
      <c r="B50043" s="136"/>
    </row>
    <row r="50044" spans="1:2" x14ac:dyDescent="0.25">
      <c r="A50044" s="118"/>
      <c r="B50044" s="136"/>
    </row>
    <row r="50045" spans="1:2" x14ac:dyDescent="0.25">
      <c r="A50045" s="118"/>
      <c r="B50045" s="136"/>
    </row>
    <row r="50046" spans="1:2" x14ac:dyDescent="0.25">
      <c r="A50046" s="118"/>
      <c r="B50046" s="136"/>
    </row>
    <row r="50047" spans="1:2" x14ac:dyDescent="0.25">
      <c r="A50047" s="118"/>
      <c r="B50047" s="136"/>
    </row>
    <row r="50048" spans="1:2" x14ac:dyDescent="0.25">
      <c r="A50048" s="118"/>
      <c r="B50048" s="136"/>
    </row>
    <row r="50049" spans="1:2" x14ac:dyDescent="0.25">
      <c r="A50049" s="118"/>
      <c r="B50049" s="136"/>
    </row>
    <row r="50050" spans="1:2" x14ac:dyDescent="0.25">
      <c r="A50050" s="118"/>
      <c r="B50050" s="136"/>
    </row>
    <row r="50051" spans="1:2" x14ac:dyDescent="0.25">
      <c r="A50051" s="118"/>
      <c r="B50051" s="136"/>
    </row>
    <row r="50052" spans="1:2" x14ac:dyDescent="0.25">
      <c r="A50052" s="118"/>
      <c r="B50052" s="136"/>
    </row>
    <row r="50053" spans="1:2" x14ac:dyDescent="0.25">
      <c r="A50053" s="118"/>
      <c r="B50053" s="136"/>
    </row>
    <row r="50054" spans="1:2" x14ac:dyDescent="0.25">
      <c r="A50054" s="118"/>
      <c r="B50054" s="136"/>
    </row>
    <row r="50055" spans="1:2" x14ac:dyDescent="0.25">
      <c r="A50055" s="118"/>
      <c r="B50055" s="136"/>
    </row>
    <row r="50056" spans="1:2" x14ac:dyDescent="0.25">
      <c r="A50056" s="118"/>
      <c r="B50056" s="136"/>
    </row>
    <row r="50057" spans="1:2" x14ac:dyDescent="0.25">
      <c r="A50057" s="118"/>
      <c r="B50057" s="136"/>
    </row>
    <row r="50058" spans="1:2" x14ac:dyDescent="0.25">
      <c r="A50058" s="118"/>
      <c r="B50058" s="136"/>
    </row>
    <row r="50059" spans="1:2" x14ac:dyDescent="0.25">
      <c r="A50059" s="118"/>
      <c r="B50059" s="136"/>
    </row>
    <row r="50060" spans="1:2" x14ac:dyDescent="0.25">
      <c r="A50060" s="118"/>
      <c r="B50060" s="136"/>
    </row>
    <row r="50061" spans="1:2" x14ac:dyDescent="0.25">
      <c r="A50061" s="118"/>
      <c r="B50061" s="136"/>
    </row>
    <row r="50062" spans="1:2" x14ac:dyDescent="0.25">
      <c r="A50062" s="118"/>
      <c r="B50062" s="136"/>
    </row>
    <row r="50063" spans="1:2" x14ac:dyDescent="0.25">
      <c r="A50063" s="118"/>
      <c r="B50063" s="136"/>
    </row>
    <row r="50064" spans="1:2" x14ac:dyDescent="0.25">
      <c r="A50064" s="118"/>
      <c r="B50064" s="136"/>
    </row>
    <row r="50065" spans="1:2" x14ac:dyDescent="0.25">
      <c r="A50065" s="118"/>
      <c r="B50065" s="136"/>
    </row>
    <row r="50066" spans="1:2" x14ac:dyDescent="0.25">
      <c r="A50066" s="118"/>
      <c r="B50066" s="136"/>
    </row>
    <row r="50067" spans="1:2" x14ac:dyDescent="0.25">
      <c r="A50067" s="118"/>
      <c r="B50067" s="136"/>
    </row>
    <row r="50068" spans="1:2" x14ac:dyDescent="0.25">
      <c r="A50068" s="118"/>
      <c r="B50068" s="136"/>
    </row>
    <row r="50069" spans="1:2" x14ac:dyDescent="0.25">
      <c r="A50069" s="118"/>
      <c r="B50069" s="136"/>
    </row>
    <row r="50070" spans="1:2" x14ac:dyDescent="0.25">
      <c r="A50070" s="118"/>
      <c r="B50070" s="136"/>
    </row>
    <row r="50071" spans="1:2" x14ac:dyDescent="0.25">
      <c r="A50071" s="118"/>
      <c r="B50071" s="136"/>
    </row>
    <row r="50072" spans="1:2" x14ac:dyDescent="0.25">
      <c r="A50072" s="118"/>
      <c r="B50072" s="136"/>
    </row>
    <row r="50073" spans="1:2" x14ac:dyDescent="0.25">
      <c r="A50073" s="118"/>
      <c r="B50073" s="136"/>
    </row>
    <row r="50074" spans="1:2" x14ac:dyDescent="0.25">
      <c r="A50074" s="118"/>
      <c r="B50074" s="136"/>
    </row>
    <row r="50075" spans="1:2" x14ac:dyDescent="0.25">
      <c r="A50075" s="118"/>
      <c r="B50075" s="136"/>
    </row>
    <row r="50076" spans="1:2" x14ac:dyDescent="0.25">
      <c r="A50076" s="118"/>
      <c r="B50076" s="136"/>
    </row>
    <row r="50077" spans="1:2" x14ac:dyDescent="0.25">
      <c r="A50077" s="118"/>
      <c r="B50077" s="136"/>
    </row>
    <row r="50078" spans="1:2" x14ac:dyDescent="0.25">
      <c r="A50078" s="118"/>
      <c r="B50078" s="136"/>
    </row>
    <row r="50079" spans="1:2" x14ac:dyDescent="0.25">
      <c r="A50079" s="118"/>
      <c r="B50079" s="136"/>
    </row>
    <row r="50080" spans="1:2" x14ac:dyDescent="0.25">
      <c r="A50080" s="118"/>
      <c r="B50080" s="136"/>
    </row>
    <row r="50081" spans="1:2" x14ac:dyDescent="0.25">
      <c r="A50081" s="118"/>
      <c r="B50081" s="136"/>
    </row>
    <row r="50082" spans="1:2" x14ac:dyDescent="0.25">
      <c r="A50082" s="118"/>
      <c r="B50082" s="136"/>
    </row>
    <row r="50083" spans="1:2" x14ac:dyDescent="0.25">
      <c r="A50083" s="118"/>
      <c r="B50083" s="136"/>
    </row>
    <row r="50084" spans="1:2" x14ac:dyDescent="0.25">
      <c r="A50084" s="118"/>
      <c r="B50084" s="136"/>
    </row>
    <row r="50085" spans="1:2" x14ac:dyDescent="0.25">
      <c r="A50085" s="118"/>
      <c r="B50085" s="136"/>
    </row>
    <row r="50086" spans="1:2" x14ac:dyDescent="0.25">
      <c r="A50086" s="118"/>
      <c r="B50086" s="136"/>
    </row>
    <row r="50087" spans="1:2" x14ac:dyDescent="0.25">
      <c r="A50087" s="118"/>
      <c r="B50087" s="136"/>
    </row>
    <row r="50088" spans="1:2" x14ac:dyDescent="0.25">
      <c r="A50088" s="118"/>
      <c r="B50088" s="136"/>
    </row>
    <row r="50089" spans="1:2" x14ac:dyDescent="0.25">
      <c r="A50089" s="118"/>
      <c r="B50089" s="136"/>
    </row>
    <row r="50090" spans="1:2" x14ac:dyDescent="0.25">
      <c r="A50090" s="118"/>
      <c r="B50090" s="136"/>
    </row>
    <row r="50091" spans="1:2" x14ac:dyDescent="0.25">
      <c r="A50091" s="118"/>
      <c r="B50091" s="136"/>
    </row>
    <row r="50092" spans="1:2" x14ac:dyDescent="0.25">
      <c r="A50092" s="118"/>
      <c r="B50092" s="136"/>
    </row>
    <row r="50093" spans="1:2" x14ac:dyDescent="0.25">
      <c r="A50093" s="118"/>
      <c r="B50093" s="136"/>
    </row>
    <row r="50094" spans="1:2" x14ac:dyDescent="0.25">
      <c r="A50094" s="118"/>
      <c r="B50094" s="136"/>
    </row>
    <row r="50095" spans="1:2" x14ac:dyDescent="0.25">
      <c r="A50095" s="118"/>
      <c r="B50095" s="136"/>
    </row>
    <row r="50096" spans="1:2" x14ac:dyDescent="0.25">
      <c r="A50096" s="118"/>
      <c r="B50096" s="136"/>
    </row>
    <row r="50097" spans="1:2" x14ac:dyDescent="0.25">
      <c r="A50097" s="118"/>
      <c r="B50097" s="136"/>
    </row>
    <row r="50098" spans="1:2" x14ac:dyDescent="0.25">
      <c r="A50098" s="118"/>
      <c r="B50098" s="136"/>
    </row>
    <row r="50099" spans="1:2" x14ac:dyDescent="0.25">
      <c r="A50099" s="118"/>
      <c r="B50099" s="136"/>
    </row>
    <row r="50100" spans="1:2" x14ac:dyDescent="0.25">
      <c r="A50100" s="118"/>
      <c r="B50100" s="136"/>
    </row>
    <row r="50101" spans="1:2" x14ac:dyDescent="0.25">
      <c r="A50101" s="118"/>
      <c r="B50101" s="136"/>
    </row>
    <row r="50102" spans="1:2" x14ac:dyDescent="0.25">
      <c r="A50102" s="118"/>
      <c r="B50102" s="136"/>
    </row>
    <row r="50103" spans="1:2" x14ac:dyDescent="0.25">
      <c r="A50103" s="118"/>
      <c r="B50103" s="136"/>
    </row>
    <row r="50104" spans="1:2" x14ac:dyDescent="0.25">
      <c r="A50104" s="118"/>
      <c r="B50104" s="136"/>
    </row>
    <row r="50105" spans="1:2" x14ac:dyDescent="0.25">
      <c r="A50105" s="118"/>
      <c r="B50105" s="136"/>
    </row>
    <row r="50106" spans="1:2" x14ac:dyDescent="0.25">
      <c r="A50106" s="118"/>
      <c r="B50106" s="136"/>
    </row>
    <row r="50107" spans="1:2" x14ac:dyDescent="0.25">
      <c r="A50107" s="118"/>
      <c r="B50107" s="136"/>
    </row>
    <row r="50108" spans="1:2" x14ac:dyDescent="0.25">
      <c r="A50108" s="118"/>
      <c r="B50108" s="136"/>
    </row>
    <row r="50109" spans="1:2" x14ac:dyDescent="0.25">
      <c r="A50109" s="118"/>
      <c r="B50109" s="136"/>
    </row>
    <row r="50110" spans="1:2" x14ac:dyDescent="0.25">
      <c r="A50110" s="118"/>
      <c r="B50110" s="136"/>
    </row>
    <row r="50111" spans="1:2" x14ac:dyDescent="0.25">
      <c r="A50111" s="118"/>
      <c r="B50111" s="136"/>
    </row>
    <row r="50112" spans="1:2" x14ac:dyDescent="0.25">
      <c r="A50112" s="118"/>
      <c r="B50112" s="136"/>
    </row>
    <row r="50113" spans="1:2" x14ac:dyDescent="0.25">
      <c r="A50113" s="118"/>
      <c r="B50113" s="136"/>
    </row>
    <row r="50114" spans="1:2" x14ac:dyDescent="0.25">
      <c r="A50114" s="118"/>
      <c r="B50114" s="136"/>
    </row>
    <row r="50115" spans="1:2" x14ac:dyDescent="0.25">
      <c r="A50115" s="118"/>
      <c r="B50115" s="136"/>
    </row>
    <row r="50116" spans="1:2" x14ac:dyDescent="0.25">
      <c r="A50116" s="118"/>
      <c r="B50116" s="136"/>
    </row>
    <row r="50117" spans="1:2" x14ac:dyDescent="0.25">
      <c r="A50117" s="118"/>
      <c r="B50117" s="136"/>
    </row>
    <row r="50118" spans="1:2" x14ac:dyDescent="0.25">
      <c r="A50118" s="118"/>
      <c r="B50118" s="136"/>
    </row>
    <row r="50119" spans="1:2" x14ac:dyDescent="0.25">
      <c r="A50119" s="118"/>
      <c r="B50119" s="136"/>
    </row>
    <row r="50120" spans="1:2" x14ac:dyDescent="0.25">
      <c r="A50120" s="118"/>
      <c r="B50120" s="136"/>
    </row>
    <row r="50121" spans="1:2" x14ac:dyDescent="0.25">
      <c r="A50121" s="118"/>
      <c r="B50121" s="136"/>
    </row>
    <row r="50122" spans="1:2" x14ac:dyDescent="0.25">
      <c r="A50122" s="118"/>
      <c r="B50122" s="136"/>
    </row>
    <row r="50123" spans="1:2" x14ac:dyDescent="0.25">
      <c r="A50123" s="118"/>
      <c r="B50123" s="136"/>
    </row>
    <row r="50124" spans="1:2" x14ac:dyDescent="0.25">
      <c r="A50124" s="118"/>
      <c r="B50124" s="136"/>
    </row>
    <row r="50125" spans="1:2" x14ac:dyDescent="0.25">
      <c r="A50125" s="118"/>
      <c r="B50125" s="136"/>
    </row>
    <row r="50126" spans="1:2" x14ac:dyDescent="0.25">
      <c r="A50126" s="118"/>
      <c r="B50126" s="136"/>
    </row>
    <row r="50127" spans="1:2" x14ac:dyDescent="0.25">
      <c r="A50127" s="118"/>
      <c r="B50127" s="136"/>
    </row>
    <row r="50128" spans="1:2" x14ac:dyDescent="0.25">
      <c r="A50128" s="118"/>
      <c r="B50128" s="136"/>
    </row>
    <row r="50129" spans="1:2" x14ac:dyDescent="0.25">
      <c r="A50129" s="118"/>
      <c r="B50129" s="136"/>
    </row>
    <row r="50130" spans="1:2" x14ac:dyDescent="0.25">
      <c r="A50130" s="118"/>
      <c r="B50130" s="136"/>
    </row>
    <row r="50131" spans="1:2" x14ac:dyDescent="0.25">
      <c r="A50131" s="118"/>
      <c r="B50131" s="136"/>
    </row>
    <row r="50132" spans="1:2" x14ac:dyDescent="0.25">
      <c r="A50132" s="118"/>
      <c r="B50132" s="136"/>
    </row>
    <row r="50133" spans="1:2" x14ac:dyDescent="0.25">
      <c r="A50133" s="118"/>
      <c r="B50133" s="136"/>
    </row>
    <row r="50134" spans="1:2" x14ac:dyDescent="0.25">
      <c r="A50134" s="118"/>
      <c r="B50134" s="136"/>
    </row>
    <row r="50135" spans="1:2" x14ac:dyDescent="0.25">
      <c r="A50135" s="118"/>
      <c r="B50135" s="136"/>
    </row>
    <row r="50136" spans="1:2" x14ac:dyDescent="0.25">
      <c r="A50136" s="118"/>
      <c r="B50136" s="136"/>
    </row>
    <row r="50137" spans="1:2" x14ac:dyDescent="0.25">
      <c r="A50137" s="118"/>
      <c r="B50137" s="136"/>
    </row>
    <row r="50138" spans="1:2" x14ac:dyDescent="0.25">
      <c r="A50138" s="118"/>
      <c r="B50138" s="136"/>
    </row>
    <row r="50139" spans="1:2" x14ac:dyDescent="0.25">
      <c r="A50139" s="118"/>
      <c r="B50139" s="136"/>
    </row>
    <row r="50140" spans="1:2" x14ac:dyDescent="0.25">
      <c r="A50140" s="118"/>
      <c r="B50140" s="136"/>
    </row>
    <row r="50141" spans="1:2" x14ac:dyDescent="0.25">
      <c r="A50141" s="118"/>
      <c r="B50141" s="136"/>
    </row>
    <row r="50142" spans="1:2" x14ac:dyDescent="0.25">
      <c r="A50142" s="118"/>
      <c r="B50142" s="136"/>
    </row>
    <row r="50143" spans="1:2" x14ac:dyDescent="0.25">
      <c r="A50143" s="118"/>
      <c r="B50143" s="136"/>
    </row>
    <row r="50144" spans="1:2" x14ac:dyDescent="0.25">
      <c r="A50144" s="118"/>
      <c r="B50144" s="136"/>
    </row>
    <row r="50145" spans="1:2" x14ac:dyDescent="0.25">
      <c r="A50145" s="118"/>
      <c r="B50145" s="136"/>
    </row>
    <row r="50146" spans="1:2" x14ac:dyDescent="0.25">
      <c r="A50146" s="118"/>
      <c r="B50146" s="136"/>
    </row>
    <row r="50147" spans="1:2" x14ac:dyDescent="0.25">
      <c r="A50147" s="118"/>
      <c r="B50147" s="136"/>
    </row>
    <row r="50148" spans="1:2" x14ac:dyDescent="0.25">
      <c r="A50148" s="118"/>
      <c r="B50148" s="136"/>
    </row>
    <row r="50149" spans="1:2" x14ac:dyDescent="0.25">
      <c r="A50149" s="118"/>
      <c r="B50149" s="136"/>
    </row>
    <row r="50150" spans="1:2" x14ac:dyDescent="0.25">
      <c r="A50150" s="118"/>
      <c r="B50150" s="136"/>
    </row>
    <row r="50151" spans="1:2" x14ac:dyDescent="0.25">
      <c r="A50151" s="118"/>
      <c r="B50151" s="136"/>
    </row>
    <row r="50152" spans="1:2" x14ac:dyDescent="0.25">
      <c r="A50152" s="118"/>
      <c r="B50152" s="136"/>
    </row>
    <row r="50153" spans="1:2" x14ac:dyDescent="0.25">
      <c r="A50153" s="118"/>
      <c r="B50153" s="136"/>
    </row>
    <row r="50154" spans="1:2" x14ac:dyDescent="0.25">
      <c r="A50154" s="118"/>
      <c r="B50154" s="136"/>
    </row>
    <row r="50155" spans="1:2" x14ac:dyDescent="0.25">
      <c r="A50155" s="118"/>
      <c r="B50155" s="136"/>
    </row>
    <row r="50156" spans="1:2" x14ac:dyDescent="0.25">
      <c r="A50156" s="118"/>
      <c r="B50156" s="136"/>
    </row>
    <row r="50157" spans="1:2" x14ac:dyDescent="0.25">
      <c r="A50157" s="118"/>
      <c r="B50157" s="136"/>
    </row>
    <row r="50158" spans="1:2" x14ac:dyDescent="0.25">
      <c r="A50158" s="118"/>
      <c r="B50158" s="136"/>
    </row>
    <row r="50159" spans="1:2" x14ac:dyDescent="0.25">
      <c r="A50159" s="118"/>
      <c r="B50159" s="136"/>
    </row>
    <row r="50160" spans="1:2" x14ac:dyDescent="0.25">
      <c r="A50160" s="118"/>
      <c r="B50160" s="136"/>
    </row>
    <row r="50161" spans="1:2" x14ac:dyDescent="0.25">
      <c r="A50161" s="118"/>
      <c r="B50161" s="136"/>
    </row>
    <row r="50162" spans="1:2" x14ac:dyDescent="0.25">
      <c r="A50162" s="118"/>
      <c r="B50162" s="136"/>
    </row>
    <row r="50163" spans="1:2" x14ac:dyDescent="0.25">
      <c r="A50163" s="118"/>
      <c r="B50163" s="136"/>
    </row>
    <row r="50164" spans="1:2" x14ac:dyDescent="0.25">
      <c r="A50164" s="118"/>
      <c r="B50164" s="136"/>
    </row>
    <row r="50165" spans="1:2" x14ac:dyDescent="0.25">
      <c r="A50165" s="118"/>
      <c r="B50165" s="136"/>
    </row>
    <row r="50166" spans="1:2" x14ac:dyDescent="0.25">
      <c r="A50166" s="118"/>
      <c r="B50166" s="136"/>
    </row>
    <row r="50167" spans="1:2" x14ac:dyDescent="0.25">
      <c r="A50167" s="118"/>
      <c r="B50167" s="136"/>
    </row>
    <row r="50168" spans="1:2" x14ac:dyDescent="0.25">
      <c r="A50168" s="118"/>
      <c r="B50168" s="136"/>
    </row>
    <row r="50169" spans="1:2" x14ac:dyDescent="0.25">
      <c r="A50169" s="118"/>
      <c r="B50169" s="136"/>
    </row>
    <row r="50170" spans="1:2" x14ac:dyDescent="0.25">
      <c r="A50170" s="118"/>
      <c r="B50170" s="136"/>
    </row>
    <row r="50171" spans="1:2" x14ac:dyDescent="0.25">
      <c r="A50171" s="118"/>
      <c r="B50171" s="136"/>
    </row>
    <row r="50172" spans="1:2" x14ac:dyDescent="0.25">
      <c r="A50172" s="118"/>
      <c r="B50172" s="136"/>
    </row>
    <row r="50173" spans="1:2" x14ac:dyDescent="0.25">
      <c r="A50173" s="118"/>
      <c r="B50173" s="136"/>
    </row>
    <row r="50174" spans="1:2" x14ac:dyDescent="0.25">
      <c r="A50174" s="118"/>
      <c r="B50174" s="136"/>
    </row>
    <row r="50175" spans="1:2" x14ac:dyDescent="0.25">
      <c r="A50175" s="118"/>
      <c r="B50175" s="136"/>
    </row>
    <row r="50176" spans="1:2" x14ac:dyDescent="0.25">
      <c r="A50176" s="118"/>
      <c r="B50176" s="136"/>
    </row>
    <row r="50177" spans="1:2" x14ac:dyDescent="0.25">
      <c r="A50177" s="118"/>
      <c r="B50177" s="136"/>
    </row>
    <row r="50178" spans="1:2" x14ac:dyDescent="0.25">
      <c r="A50178" s="118"/>
      <c r="B50178" s="136"/>
    </row>
    <row r="50179" spans="1:2" x14ac:dyDescent="0.25">
      <c r="A50179" s="118"/>
      <c r="B50179" s="136"/>
    </row>
    <row r="50180" spans="1:2" x14ac:dyDescent="0.25">
      <c r="A50180" s="118"/>
      <c r="B50180" s="136"/>
    </row>
    <row r="50181" spans="1:2" x14ac:dyDescent="0.25">
      <c r="A50181" s="118"/>
      <c r="B50181" s="136"/>
    </row>
    <row r="50182" spans="1:2" x14ac:dyDescent="0.25">
      <c r="A50182" s="118"/>
      <c r="B50182" s="136"/>
    </row>
    <row r="50183" spans="1:2" x14ac:dyDescent="0.25">
      <c r="A50183" s="118"/>
      <c r="B50183" s="136"/>
    </row>
    <row r="50184" spans="1:2" x14ac:dyDescent="0.25">
      <c r="A50184" s="118"/>
      <c r="B50184" s="136"/>
    </row>
    <row r="50185" spans="1:2" x14ac:dyDescent="0.25">
      <c r="A50185" s="118"/>
      <c r="B50185" s="136"/>
    </row>
    <row r="50186" spans="1:2" x14ac:dyDescent="0.25">
      <c r="A50186" s="118"/>
      <c r="B50186" s="136"/>
    </row>
    <row r="50187" spans="1:2" x14ac:dyDescent="0.25">
      <c r="A50187" s="118"/>
      <c r="B50187" s="136"/>
    </row>
    <row r="50188" spans="1:2" x14ac:dyDescent="0.25">
      <c r="A50188" s="118"/>
      <c r="B50188" s="136"/>
    </row>
    <row r="50189" spans="1:2" x14ac:dyDescent="0.25">
      <c r="A50189" s="118"/>
      <c r="B50189" s="136"/>
    </row>
    <row r="50190" spans="1:2" x14ac:dyDescent="0.25">
      <c r="A50190" s="118"/>
      <c r="B50190" s="136"/>
    </row>
    <row r="50191" spans="1:2" x14ac:dyDescent="0.25">
      <c r="A50191" s="118"/>
      <c r="B50191" s="136"/>
    </row>
    <row r="50192" spans="1:2" x14ac:dyDescent="0.25">
      <c r="A50192" s="118"/>
      <c r="B50192" s="136"/>
    </row>
    <row r="50193" spans="1:2" x14ac:dyDescent="0.25">
      <c r="A50193" s="118"/>
      <c r="B50193" s="136"/>
    </row>
    <row r="50194" spans="1:2" x14ac:dyDescent="0.25">
      <c r="A50194" s="118"/>
      <c r="B50194" s="136"/>
    </row>
    <row r="50195" spans="1:2" x14ac:dyDescent="0.25">
      <c r="A50195" s="118"/>
      <c r="B50195" s="136"/>
    </row>
    <row r="50196" spans="1:2" x14ac:dyDescent="0.25">
      <c r="A50196" s="118"/>
      <c r="B50196" s="136"/>
    </row>
    <row r="50197" spans="1:2" x14ac:dyDescent="0.25">
      <c r="A50197" s="118"/>
      <c r="B50197" s="136"/>
    </row>
    <row r="50198" spans="1:2" x14ac:dyDescent="0.25">
      <c r="A50198" s="118"/>
      <c r="B50198" s="136"/>
    </row>
    <row r="50199" spans="1:2" x14ac:dyDescent="0.25">
      <c r="A50199" s="118"/>
      <c r="B50199" s="136"/>
    </row>
    <row r="50200" spans="1:2" x14ac:dyDescent="0.25">
      <c r="A50200" s="118"/>
      <c r="B50200" s="136"/>
    </row>
    <row r="50201" spans="1:2" x14ac:dyDescent="0.25">
      <c r="A50201" s="118"/>
      <c r="B50201" s="136"/>
    </row>
    <row r="50202" spans="1:2" x14ac:dyDescent="0.25">
      <c r="A50202" s="118"/>
      <c r="B50202" s="136"/>
    </row>
    <row r="50203" spans="1:2" x14ac:dyDescent="0.25">
      <c r="A50203" s="118"/>
      <c r="B50203" s="136"/>
    </row>
    <row r="50204" spans="1:2" x14ac:dyDescent="0.25">
      <c r="A50204" s="118"/>
      <c r="B50204" s="136"/>
    </row>
    <row r="50205" spans="1:2" x14ac:dyDescent="0.25">
      <c r="A50205" s="118"/>
      <c r="B50205" s="136"/>
    </row>
    <row r="50206" spans="1:2" x14ac:dyDescent="0.25">
      <c r="A50206" s="118"/>
      <c r="B50206" s="136"/>
    </row>
    <row r="50207" spans="1:2" x14ac:dyDescent="0.25">
      <c r="A50207" s="118"/>
      <c r="B50207" s="136"/>
    </row>
    <row r="50208" spans="1:2" x14ac:dyDescent="0.25">
      <c r="A50208" s="118"/>
      <c r="B50208" s="136"/>
    </row>
    <row r="50209" spans="1:2" x14ac:dyDescent="0.25">
      <c r="A50209" s="118"/>
      <c r="B50209" s="136"/>
    </row>
    <row r="50210" spans="1:2" x14ac:dyDescent="0.25">
      <c r="A50210" s="118"/>
      <c r="B50210" s="136"/>
    </row>
    <row r="50211" spans="1:2" x14ac:dyDescent="0.25">
      <c r="A50211" s="118"/>
      <c r="B50211" s="136"/>
    </row>
    <row r="50212" spans="1:2" x14ac:dyDescent="0.25">
      <c r="A50212" s="118"/>
      <c r="B50212" s="136"/>
    </row>
    <row r="50213" spans="1:2" x14ac:dyDescent="0.25">
      <c r="A50213" s="118"/>
      <c r="B50213" s="136"/>
    </row>
    <row r="50214" spans="1:2" x14ac:dyDescent="0.25">
      <c r="A50214" s="118"/>
      <c r="B50214" s="136"/>
    </row>
    <row r="50215" spans="1:2" x14ac:dyDescent="0.25">
      <c r="A50215" s="118"/>
      <c r="B50215" s="136"/>
    </row>
    <row r="50216" spans="1:2" x14ac:dyDescent="0.25">
      <c r="A50216" s="118"/>
      <c r="B50216" s="136"/>
    </row>
    <row r="50217" spans="1:2" x14ac:dyDescent="0.25">
      <c r="A50217" s="118"/>
      <c r="B50217" s="136"/>
    </row>
    <row r="50218" spans="1:2" x14ac:dyDescent="0.25">
      <c r="A50218" s="118"/>
      <c r="B50218" s="136"/>
    </row>
    <row r="50219" spans="1:2" x14ac:dyDescent="0.25">
      <c r="A50219" s="118"/>
      <c r="B50219" s="136"/>
    </row>
    <row r="50220" spans="1:2" x14ac:dyDescent="0.25">
      <c r="A50220" s="118"/>
      <c r="B50220" s="136"/>
    </row>
    <row r="50221" spans="1:2" x14ac:dyDescent="0.25">
      <c r="A50221" s="118"/>
      <c r="B50221" s="136"/>
    </row>
    <row r="50222" spans="1:2" x14ac:dyDescent="0.25">
      <c r="A50222" s="118"/>
      <c r="B50222" s="136"/>
    </row>
    <row r="50223" spans="1:2" x14ac:dyDescent="0.25">
      <c r="A50223" s="118"/>
      <c r="B50223" s="136"/>
    </row>
    <row r="50224" spans="1:2" x14ac:dyDescent="0.25">
      <c r="A50224" s="118"/>
      <c r="B50224" s="136"/>
    </row>
    <row r="50225" spans="1:2" x14ac:dyDescent="0.25">
      <c r="A50225" s="118"/>
      <c r="B50225" s="136"/>
    </row>
    <row r="50226" spans="1:2" x14ac:dyDescent="0.25">
      <c r="A50226" s="118"/>
      <c r="B50226" s="136"/>
    </row>
    <row r="50227" spans="1:2" x14ac:dyDescent="0.25">
      <c r="A50227" s="118"/>
      <c r="B50227" s="136"/>
    </row>
    <row r="50228" spans="1:2" x14ac:dyDescent="0.25">
      <c r="A50228" s="118"/>
      <c r="B50228" s="136"/>
    </row>
    <row r="50229" spans="1:2" x14ac:dyDescent="0.25">
      <c r="A50229" s="118"/>
      <c r="B50229" s="136"/>
    </row>
    <row r="50230" spans="1:2" x14ac:dyDescent="0.25">
      <c r="A50230" s="118"/>
      <c r="B50230" s="136"/>
    </row>
    <row r="50231" spans="1:2" x14ac:dyDescent="0.25">
      <c r="A50231" s="118"/>
      <c r="B50231" s="136"/>
    </row>
    <row r="50232" spans="1:2" x14ac:dyDescent="0.25">
      <c r="A50232" s="118"/>
      <c r="B50232" s="136"/>
    </row>
    <row r="50233" spans="1:2" x14ac:dyDescent="0.25">
      <c r="A50233" s="118"/>
      <c r="B50233" s="136"/>
    </row>
    <row r="50234" spans="1:2" x14ac:dyDescent="0.25">
      <c r="A50234" s="118"/>
      <c r="B50234" s="136"/>
    </row>
    <row r="50235" spans="1:2" x14ac:dyDescent="0.25">
      <c r="A50235" s="118"/>
      <c r="B50235" s="136"/>
    </row>
    <row r="50236" spans="1:2" x14ac:dyDescent="0.25">
      <c r="A50236" s="118"/>
      <c r="B50236" s="136"/>
    </row>
    <row r="50237" spans="1:2" x14ac:dyDescent="0.25">
      <c r="A50237" s="118"/>
      <c r="B50237" s="136"/>
    </row>
    <row r="50238" spans="1:2" x14ac:dyDescent="0.25">
      <c r="A50238" s="118"/>
      <c r="B50238" s="136"/>
    </row>
    <row r="50239" spans="1:2" x14ac:dyDescent="0.25">
      <c r="A50239" s="118"/>
      <c r="B50239" s="136"/>
    </row>
    <row r="50240" spans="1:2" x14ac:dyDescent="0.25">
      <c r="A50240" s="118"/>
      <c r="B50240" s="136"/>
    </row>
    <row r="50241" spans="1:2" x14ac:dyDescent="0.25">
      <c r="A50241" s="118"/>
      <c r="B50241" s="136"/>
    </row>
    <row r="50242" spans="1:2" x14ac:dyDescent="0.25">
      <c r="A50242" s="118"/>
      <c r="B50242" s="136"/>
    </row>
    <row r="50243" spans="1:2" x14ac:dyDescent="0.25">
      <c r="A50243" s="118"/>
      <c r="B50243" s="136"/>
    </row>
    <row r="50244" spans="1:2" x14ac:dyDescent="0.25">
      <c r="A50244" s="118"/>
      <c r="B50244" s="136"/>
    </row>
    <row r="50245" spans="1:2" x14ac:dyDescent="0.25">
      <c r="A50245" s="118"/>
      <c r="B50245" s="136"/>
    </row>
    <row r="50246" spans="1:2" x14ac:dyDescent="0.25">
      <c r="A50246" s="118"/>
      <c r="B50246" s="136"/>
    </row>
    <row r="50247" spans="1:2" x14ac:dyDescent="0.25">
      <c r="A50247" s="118"/>
      <c r="B50247" s="136"/>
    </row>
    <row r="50248" spans="1:2" x14ac:dyDescent="0.25">
      <c r="A50248" s="118"/>
      <c r="B50248" s="136"/>
    </row>
    <row r="50249" spans="1:2" x14ac:dyDescent="0.25">
      <c r="A50249" s="118"/>
      <c r="B50249" s="136"/>
    </row>
    <row r="50250" spans="1:2" x14ac:dyDescent="0.25">
      <c r="A50250" s="118"/>
      <c r="B50250" s="136"/>
    </row>
    <row r="50251" spans="1:2" x14ac:dyDescent="0.25">
      <c r="A50251" s="118"/>
      <c r="B50251" s="136"/>
    </row>
    <row r="50252" spans="1:2" x14ac:dyDescent="0.25">
      <c r="A50252" s="118"/>
      <c r="B50252" s="136"/>
    </row>
    <row r="50253" spans="1:2" x14ac:dyDescent="0.25">
      <c r="A50253" s="118"/>
      <c r="B50253" s="136"/>
    </row>
    <row r="50254" spans="1:2" x14ac:dyDescent="0.25">
      <c r="A50254" s="118"/>
      <c r="B50254" s="136"/>
    </row>
    <row r="50255" spans="1:2" x14ac:dyDescent="0.25">
      <c r="A50255" s="118"/>
      <c r="B50255" s="136"/>
    </row>
    <row r="50256" spans="1:2" x14ac:dyDescent="0.25">
      <c r="A50256" s="118"/>
      <c r="B50256" s="136"/>
    </row>
    <row r="50257" spans="1:2" x14ac:dyDescent="0.25">
      <c r="A50257" s="118"/>
      <c r="B50257" s="136"/>
    </row>
    <row r="50258" spans="1:2" x14ac:dyDescent="0.25">
      <c r="A50258" s="118"/>
      <c r="B50258" s="136"/>
    </row>
    <row r="50259" spans="1:2" x14ac:dyDescent="0.25">
      <c r="A50259" s="118"/>
      <c r="B50259" s="136"/>
    </row>
    <row r="50260" spans="1:2" x14ac:dyDescent="0.25">
      <c r="A50260" s="118"/>
      <c r="B50260" s="136"/>
    </row>
    <row r="50261" spans="1:2" x14ac:dyDescent="0.25">
      <c r="A50261" s="118"/>
      <c r="B50261" s="136"/>
    </row>
    <row r="50262" spans="1:2" x14ac:dyDescent="0.25">
      <c r="A50262" s="118"/>
      <c r="B50262" s="136"/>
    </row>
    <row r="50263" spans="1:2" x14ac:dyDescent="0.25">
      <c r="A50263" s="118"/>
      <c r="B50263" s="136"/>
    </row>
    <row r="50264" spans="1:2" x14ac:dyDescent="0.25">
      <c r="A50264" s="118"/>
      <c r="B50264" s="136"/>
    </row>
    <row r="50265" spans="1:2" x14ac:dyDescent="0.25">
      <c r="A50265" s="118"/>
      <c r="B50265" s="136"/>
    </row>
    <row r="50266" spans="1:2" x14ac:dyDescent="0.25">
      <c r="A50266" s="118"/>
      <c r="B50266" s="136"/>
    </row>
    <row r="50267" spans="1:2" x14ac:dyDescent="0.25">
      <c r="A50267" s="118"/>
      <c r="B50267" s="136"/>
    </row>
    <row r="50268" spans="1:2" x14ac:dyDescent="0.25">
      <c r="A50268" s="118"/>
      <c r="B50268" s="136"/>
    </row>
    <row r="50269" spans="1:2" x14ac:dyDescent="0.25">
      <c r="A50269" s="118"/>
      <c r="B50269" s="136"/>
    </row>
    <row r="50270" spans="1:2" x14ac:dyDescent="0.25">
      <c r="A50270" s="118"/>
      <c r="B50270" s="136"/>
    </row>
    <row r="50271" spans="1:2" x14ac:dyDescent="0.25">
      <c r="A50271" s="118"/>
      <c r="B50271" s="136"/>
    </row>
    <row r="50272" spans="1:2" x14ac:dyDescent="0.25">
      <c r="A50272" s="118"/>
      <c r="B50272" s="136"/>
    </row>
    <row r="50273" spans="1:2" x14ac:dyDescent="0.25">
      <c r="A50273" s="118"/>
      <c r="B50273" s="136"/>
    </row>
    <row r="50274" spans="1:2" x14ac:dyDescent="0.25">
      <c r="A50274" s="118"/>
      <c r="B50274" s="136"/>
    </row>
    <row r="50275" spans="1:2" x14ac:dyDescent="0.25">
      <c r="A50275" s="118"/>
      <c r="B50275" s="136"/>
    </row>
    <row r="50276" spans="1:2" x14ac:dyDescent="0.25">
      <c r="A50276" s="118"/>
      <c r="B50276" s="136"/>
    </row>
    <row r="50277" spans="1:2" x14ac:dyDescent="0.25">
      <c r="A50277" s="118"/>
      <c r="B50277" s="136"/>
    </row>
    <row r="50278" spans="1:2" x14ac:dyDescent="0.25">
      <c r="A50278" s="118"/>
      <c r="B50278" s="136"/>
    </row>
    <row r="50279" spans="1:2" x14ac:dyDescent="0.25">
      <c r="A50279" s="118"/>
      <c r="B50279" s="136"/>
    </row>
    <row r="50280" spans="1:2" x14ac:dyDescent="0.25">
      <c r="A50280" s="118"/>
      <c r="B50280" s="136"/>
    </row>
    <row r="50281" spans="1:2" x14ac:dyDescent="0.25">
      <c r="A50281" s="118"/>
      <c r="B50281" s="136"/>
    </row>
    <row r="50282" spans="1:2" x14ac:dyDescent="0.25">
      <c r="A50282" s="118"/>
      <c r="B50282" s="136"/>
    </row>
    <row r="50283" spans="1:2" x14ac:dyDescent="0.25">
      <c r="A50283" s="118"/>
      <c r="B50283" s="136"/>
    </row>
    <row r="50284" spans="1:2" x14ac:dyDescent="0.25">
      <c r="A50284" s="118"/>
      <c r="B50284" s="136"/>
    </row>
    <row r="50285" spans="1:2" x14ac:dyDescent="0.25">
      <c r="A50285" s="118"/>
      <c r="B50285" s="136"/>
    </row>
    <row r="50286" spans="1:2" x14ac:dyDescent="0.25">
      <c r="A50286" s="118"/>
      <c r="B50286" s="136"/>
    </row>
    <row r="50287" spans="1:2" x14ac:dyDescent="0.25">
      <c r="A50287" s="118"/>
      <c r="B50287" s="136"/>
    </row>
    <row r="50288" spans="1:2" x14ac:dyDescent="0.25">
      <c r="A50288" s="118"/>
      <c r="B50288" s="136"/>
    </row>
    <row r="50289" spans="1:2" x14ac:dyDescent="0.25">
      <c r="A50289" s="118"/>
      <c r="B50289" s="136"/>
    </row>
    <row r="50290" spans="1:2" x14ac:dyDescent="0.25">
      <c r="A50290" s="118"/>
      <c r="B50290" s="136"/>
    </row>
    <row r="50291" spans="1:2" x14ac:dyDescent="0.25">
      <c r="A50291" s="118"/>
      <c r="B50291" s="136"/>
    </row>
    <row r="50292" spans="1:2" x14ac:dyDescent="0.25">
      <c r="A50292" s="118"/>
      <c r="B50292" s="136"/>
    </row>
    <row r="50293" spans="1:2" x14ac:dyDescent="0.25">
      <c r="A50293" s="118"/>
      <c r="B50293" s="136"/>
    </row>
    <row r="50294" spans="1:2" x14ac:dyDescent="0.25">
      <c r="A50294" s="118"/>
      <c r="B50294" s="136"/>
    </row>
    <row r="50295" spans="1:2" x14ac:dyDescent="0.25">
      <c r="A50295" s="118"/>
      <c r="B50295" s="136"/>
    </row>
    <row r="50296" spans="1:2" x14ac:dyDescent="0.25">
      <c r="A50296" s="118"/>
      <c r="B50296" s="136"/>
    </row>
    <row r="50297" spans="1:2" x14ac:dyDescent="0.25">
      <c r="A50297" s="118"/>
      <c r="B50297" s="136"/>
    </row>
    <row r="50298" spans="1:2" x14ac:dyDescent="0.25">
      <c r="A50298" s="118"/>
      <c r="B50298" s="136"/>
    </row>
    <row r="50299" spans="1:2" x14ac:dyDescent="0.25">
      <c r="A50299" s="118"/>
      <c r="B50299" s="136"/>
    </row>
    <row r="50300" spans="1:2" x14ac:dyDescent="0.25">
      <c r="A50300" s="118"/>
      <c r="B50300" s="136"/>
    </row>
    <row r="50301" spans="1:2" x14ac:dyDescent="0.25">
      <c r="A50301" s="118"/>
      <c r="B50301" s="136"/>
    </row>
    <row r="50302" spans="1:2" x14ac:dyDescent="0.25">
      <c r="A50302" s="118"/>
      <c r="B50302" s="136"/>
    </row>
    <row r="50303" spans="1:2" x14ac:dyDescent="0.25">
      <c r="A50303" s="118"/>
      <c r="B50303" s="136"/>
    </row>
    <row r="50304" spans="1:2" x14ac:dyDescent="0.25">
      <c r="A50304" s="118"/>
      <c r="B50304" s="136"/>
    </row>
    <row r="50305" spans="1:2" x14ac:dyDescent="0.25">
      <c r="A50305" s="118"/>
      <c r="B50305" s="136"/>
    </row>
    <row r="50306" spans="1:2" x14ac:dyDescent="0.25">
      <c r="A50306" s="118"/>
      <c r="B50306" s="136"/>
    </row>
    <row r="50307" spans="1:2" x14ac:dyDescent="0.25">
      <c r="A50307" s="118"/>
      <c r="B50307" s="136"/>
    </row>
    <row r="50308" spans="1:2" x14ac:dyDescent="0.25">
      <c r="A50308" s="118"/>
      <c r="B50308" s="136"/>
    </row>
    <row r="50309" spans="1:2" x14ac:dyDescent="0.25">
      <c r="A50309" s="118"/>
      <c r="B50309" s="136"/>
    </row>
    <row r="50310" spans="1:2" x14ac:dyDescent="0.25">
      <c r="A50310" s="118"/>
      <c r="B50310" s="136"/>
    </row>
    <row r="50311" spans="1:2" x14ac:dyDescent="0.25">
      <c r="A50311" s="118"/>
      <c r="B50311" s="136"/>
    </row>
    <row r="50312" spans="1:2" x14ac:dyDescent="0.25">
      <c r="A50312" s="118"/>
      <c r="B50312" s="136"/>
    </row>
    <row r="50313" spans="1:2" x14ac:dyDescent="0.25">
      <c r="A50313" s="118"/>
      <c r="B50313" s="136"/>
    </row>
    <row r="50314" spans="1:2" x14ac:dyDescent="0.25">
      <c r="A50314" s="118"/>
      <c r="B50314" s="136"/>
    </row>
    <row r="50315" spans="1:2" x14ac:dyDescent="0.25">
      <c r="A50315" s="118"/>
      <c r="B50315" s="136"/>
    </row>
    <row r="50316" spans="1:2" x14ac:dyDescent="0.25">
      <c r="A50316" s="118"/>
      <c r="B50316" s="136"/>
    </row>
    <row r="50317" spans="1:2" x14ac:dyDescent="0.25">
      <c r="A50317" s="118"/>
      <c r="B50317" s="136"/>
    </row>
    <row r="50318" spans="1:2" x14ac:dyDescent="0.25">
      <c r="A50318" s="118"/>
      <c r="B50318" s="136"/>
    </row>
    <row r="50319" spans="1:2" x14ac:dyDescent="0.25">
      <c r="A50319" s="118"/>
      <c r="B50319" s="136"/>
    </row>
    <row r="50320" spans="1:2" x14ac:dyDescent="0.25">
      <c r="A50320" s="118"/>
      <c r="B50320" s="136"/>
    </row>
    <row r="50321" spans="1:2" x14ac:dyDescent="0.25">
      <c r="A50321" s="118"/>
      <c r="B50321" s="136"/>
    </row>
    <row r="50322" spans="1:2" x14ac:dyDescent="0.25">
      <c r="A50322" s="118"/>
      <c r="B50322" s="136"/>
    </row>
    <row r="50323" spans="1:2" x14ac:dyDescent="0.25">
      <c r="A50323" s="118"/>
      <c r="B50323" s="136"/>
    </row>
    <row r="50324" spans="1:2" x14ac:dyDescent="0.25">
      <c r="A50324" s="118"/>
      <c r="B50324" s="136"/>
    </row>
    <row r="50325" spans="1:2" x14ac:dyDescent="0.25">
      <c r="A50325" s="118"/>
      <c r="B50325" s="136"/>
    </row>
    <row r="50326" spans="1:2" x14ac:dyDescent="0.25">
      <c r="A50326" s="118"/>
      <c r="B50326" s="136"/>
    </row>
    <row r="50327" spans="1:2" x14ac:dyDescent="0.25">
      <c r="A50327" s="118"/>
      <c r="B50327" s="136"/>
    </row>
    <row r="50328" spans="1:2" x14ac:dyDescent="0.25">
      <c r="A50328" s="118"/>
      <c r="B50328" s="136"/>
    </row>
    <row r="50329" spans="1:2" x14ac:dyDescent="0.25">
      <c r="A50329" s="118"/>
      <c r="B50329" s="136"/>
    </row>
    <row r="50330" spans="1:2" x14ac:dyDescent="0.25">
      <c r="A50330" s="118"/>
      <c r="B50330" s="136"/>
    </row>
    <row r="50331" spans="1:2" x14ac:dyDescent="0.25">
      <c r="A50331" s="118"/>
      <c r="B50331" s="136"/>
    </row>
    <row r="50332" spans="1:2" x14ac:dyDescent="0.25">
      <c r="A50332" s="118"/>
      <c r="B50332" s="136"/>
    </row>
    <row r="50333" spans="1:2" x14ac:dyDescent="0.25">
      <c r="A50333" s="118"/>
      <c r="B50333" s="136"/>
    </row>
    <row r="50334" spans="1:2" x14ac:dyDescent="0.25">
      <c r="A50334" s="118"/>
      <c r="B50334" s="136"/>
    </row>
    <row r="50335" spans="1:2" x14ac:dyDescent="0.25">
      <c r="A50335" s="118"/>
      <c r="B50335" s="136"/>
    </row>
    <row r="50336" spans="1:2" x14ac:dyDescent="0.25">
      <c r="A50336" s="118"/>
      <c r="B50336" s="136"/>
    </row>
    <row r="50337" spans="1:2" x14ac:dyDescent="0.25">
      <c r="A50337" s="118"/>
      <c r="B50337" s="136"/>
    </row>
    <row r="50338" spans="1:2" x14ac:dyDescent="0.25">
      <c r="A50338" s="118"/>
      <c r="B50338" s="136"/>
    </row>
    <row r="50339" spans="1:2" x14ac:dyDescent="0.25">
      <c r="A50339" s="118"/>
      <c r="B50339" s="136"/>
    </row>
    <row r="50340" spans="1:2" x14ac:dyDescent="0.25">
      <c r="A50340" s="118"/>
      <c r="B50340" s="136"/>
    </row>
    <row r="50341" spans="1:2" x14ac:dyDescent="0.25">
      <c r="A50341" s="118"/>
      <c r="B50341" s="136"/>
    </row>
    <row r="50342" spans="1:2" x14ac:dyDescent="0.25">
      <c r="A50342" s="118"/>
      <c r="B50342" s="136"/>
    </row>
    <row r="50343" spans="1:2" x14ac:dyDescent="0.25">
      <c r="A50343" s="118"/>
      <c r="B50343" s="136"/>
    </row>
    <row r="50344" spans="1:2" x14ac:dyDescent="0.25">
      <c r="A50344" s="118"/>
      <c r="B50344" s="136"/>
    </row>
    <row r="50345" spans="1:2" x14ac:dyDescent="0.25">
      <c r="A50345" s="118"/>
      <c r="B50345" s="136"/>
    </row>
    <row r="50346" spans="1:2" x14ac:dyDescent="0.25">
      <c r="A50346" s="118"/>
      <c r="B50346" s="136"/>
    </row>
    <row r="50347" spans="1:2" x14ac:dyDescent="0.25">
      <c r="A50347" s="118"/>
      <c r="B50347" s="136"/>
    </row>
    <row r="50348" spans="1:2" x14ac:dyDescent="0.25">
      <c r="A50348" s="118"/>
      <c r="B50348" s="136"/>
    </row>
    <row r="50349" spans="1:2" x14ac:dyDescent="0.25">
      <c r="A50349" s="118"/>
      <c r="B50349" s="136"/>
    </row>
    <row r="50350" spans="1:2" x14ac:dyDescent="0.25">
      <c r="A50350" s="118"/>
      <c r="B50350" s="136"/>
    </row>
    <row r="50351" spans="1:2" x14ac:dyDescent="0.25">
      <c r="A50351" s="118"/>
      <c r="B50351" s="136"/>
    </row>
    <row r="50352" spans="1:2" x14ac:dyDescent="0.25">
      <c r="A50352" s="118"/>
      <c r="B50352" s="136"/>
    </row>
    <row r="50353" spans="1:2" x14ac:dyDescent="0.25">
      <c r="A50353" s="118"/>
      <c r="B50353" s="136"/>
    </row>
    <row r="50354" spans="1:2" x14ac:dyDescent="0.25">
      <c r="A50354" s="118"/>
      <c r="B50354" s="136"/>
    </row>
    <row r="50355" spans="1:2" x14ac:dyDescent="0.25">
      <c r="A50355" s="118"/>
      <c r="B50355" s="136"/>
    </row>
    <row r="50356" spans="1:2" x14ac:dyDescent="0.25">
      <c r="A50356" s="118"/>
      <c r="B50356" s="136"/>
    </row>
    <row r="50357" spans="1:2" x14ac:dyDescent="0.25">
      <c r="A50357" s="118"/>
      <c r="B50357" s="136"/>
    </row>
    <row r="50358" spans="1:2" x14ac:dyDescent="0.25">
      <c r="A50358" s="118"/>
      <c r="B50358" s="136"/>
    </row>
    <row r="50359" spans="1:2" x14ac:dyDescent="0.25">
      <c r="A50359" s="118"/>
      <c r="B50359" s="136"/>
    </row>
    <row r="50360" spans="1:2" x14ac:dyDescent="0.25">
      <c r="A50360" s="118"/>
      <c r="B50360" s="136"/>
    </row>
    <row r="50361" spans="1:2" x14ac:dyDescent="0.25">
      <c r="A50361" s="118"/>
      <c r="B50361" s="136"/>
    </row>
    <row r="50362" spans="1:2" x14ac:dyDescent="0.25">
      <c r="A50362" s="118"/>
      <c r="B50362" s="136"/>
    </row>
    <row r="50363" spans="1:2" x14ac:dyDescent="0.25">
      <c r="A50363" s="118"/>
      <c r="B50363" s="136"/>
    </row>
    <row r="50364" spans="1:2" x14ac:dyDescent="0.25">
      <c r="A50364" s="118"/>
      <c r="B50364" s="136"/>
    </row>
    <row r="50365" spans="1:2" x14ac:dyDescent="0.25">
      <c r="A50365" s="118"/>
      <c r="B50365" s="136"/>
    </row>
    <row r="50366" spans="1:2" x14ac:dyDescent="0.25">
      <c r="A50366" s="118"/>
      <c r="B50366" s="136"/>
    </row>
    <row r="50367" spans="1:2" x14ac:dyDescent="0.25">
      <c r="A50367" s="118"/>
      <c r="B50367" s="136"/>
    </row>
    <row r="50368" spans="1:2" x14ac:dyDescent="0.25">
      <c r="A50368" s="118"/>
      <c r="B50368" s="136"/>
    </row>
    <row r="50369" spans="1:2" x14ac:dyDescent="0.25">
      <c r="A50369" s="118"/>
      <c r="B50369" s="136"/>
    </row>
    <row r="50370" spans="1:2" x14ac:dyDescent="0.25">
      <c r="A50370" s="118"/>
      <c r="B50370" s="136"/>
    </row>
    <row r="50371" spans="1:2" x14ac:dyDescent="0.25">
      <c r="A50371" s="118"/>
      <c r="B50371" s="136"/>
    </row>
    <row r="50372" spans="1:2" x14ac:dyDescent="0.25">
      <c r="A50372" s="118"/>
      <c r="B50372" s="136"/>
    </row>
    <row r="50373" spans="1:2" x14ac:dyDescent="0.25">
      <c r="A50373" s="118"/>
      <c r="B50373" s="136"/>
    </row>
    <row r="50374" spans="1:2" x14ac:dyDescent="0.25">
      <c r="A50374" s="118"/>
      <c r="B50374" s="136"/>
    </row>
    <row r="50375" spans="1:2" x14ac:dyDescent="0.25">
      <c r="A50375" s="118"/>
      <c r="B50375" s="136"/>
    </row>
    <row r="50376" spans="1:2" x14ac:dyDescent="0.25">
      <c r="A50376" s="118"/>
      <c r="B50376" s="136"/>
    </row>
    <row r="50377" spans="1:2" x14ac:dyDescent="0.25">
      <c r="A50377" s="118"/>
      <c r="B50377" s="136"/>
    </row>
    <row r="50378" spans="1:2" x14ac:dyDescent="0.25">
      <c r="A50378" s="118"/>
      <c r="B50378" s="136"/>
    </row>
    <row r="50379" spans="1:2" x14ac:dyDescent="0.25">
      <c r="A50379" s="118"/>
      <c r="B50379" s="136"/>
    </row>
    <row r="50380" spans="1:2" x14ac:dyDescent="0.25">
      <c r="A50380" s="118"/>
      <c r="B50380" s="136"/>
    </row>
    <row r="50381" spans="1:2" x14ac:dyDescent="0.25">
      <c r="A50381" s="118"/>
      <c r="B50381" s="136"/>
    </row>
    <row r="50382" spans="1:2" x14ac:dyDescent="0.25">
      <c r="A50382" s="118"/>
      <c r="B50382" s="136"/>
    </row>
    <row r="50383" spans="1:2" x14ac:dyDescent="0.25">
      <c r="A50383" s="118"/>
      <c r="B50383" s="136"/>
    </row>
    <row r="50384" spans="1:2" x14ac:dyDescent="0.25">
      <c r="A50384" s="118"/>
      <c r="B50384" s="136"/>
    </row>
    <row r="50385" spans="1:2" x14ac:dyDescent="0.25">
      <c r="A50385" s="118"/>
      <c r="B50385" s="136"/>
    </row>
    <row r="50386" spans="1:2" x14ac:dyDescent="0.25">
      <c r="A50386" s="118"/>
      <c r="B50386" s="136"/>
    </row>
    <row r="50387" spans="1:2" x14ac:dyDescent="0.25">
      <c r="A50387" s="118"/>
      <c r="B50387" s="136"/>
    </row>
    <row r="50388" spans="1:2" x14ac:dyDescent="0.25">
      <c r="A50388" s="118"/>
      <c r="B50388" s="136"/>
    </row>
    <row r="50389" spans="1:2" x14ac:dyDescent="0.25">
      <c r="A50389" s="118"/>
      <c r="B50389" s="136"/>
    </row>
    <row r="50390" spans="1:2" x14ac:dyDescent="0.25">
      <c r="A50390" s="118"/>
      <c r="B50390" s="136"/>
    </row>
    <row r="50391" spans="1:2" x14ac:dyDescent="0.25">
      <c r="A50391" s="118"/>
      <c r="B50391" s="136"/>
    </row>
    <row r="50392" spans="1:2" x14ac:dyDescent="0.25">
      <c r="A50392" s="118"/>
      <c r="B50392" s="136"/>
    </row>
    <row r="50393" spans="1:2" x14ac:dyDescent="0.25">
      <c r="A50393" s="118"/>
      <c r="B50393" s="136"/>
    </row>
    <row r="50394" spans="1:2" x14ac:dyDescent="0.25">
      <c r="A50394" s="118"/>
      <c r="B50394" s="136"/>
    </row>
    <row r="50395" spans="1:2" x14ac:dyDescent="0.25">
      <c r="A50395" s="118"/>
      <c r="B50395" s="136"/>
    </row>
    <row r="50396" spans="1:2" x14ac:dyDescent="0.25">
      <c r="A50396" s="118"/>
      <c r="B50396" s="136"/>
    </row>
    <row r="50397" spans="1:2" x14ac:dyDescent="0.25">
      <c r="A50397" s="118"/>
      <c r="B50397" s="136"/>
    </row>
    <row r="50398" spans="1:2" x14ac:dyDescent="0.25">
      <c r="A50398" s="118"/>
      <c r="B50398" s="136"/>
    </row>
    <row r="50399" spans="1:2" x14ac:dyDescent="0.25">
      <c r="A50399" s="118"/>
      <c r="B50399" s="136"/>
    </row>
    <row r="50400" spans="1:2" x14ac:dyDescent="0.25">
      <c r="A50400" s="118"/>
      <c r="B50400" s="136"/>
    </row>
    <row r="50401" spans="1:2" x14ac:dyDescent="0.25">
      <c r="A50401" s="118"/>
      <c r="B50401" s="136"/>
    </row>
    <row r="50402" spans="1:2" x14ac:dyDescent="0.25">
      <c r="A50402" s="118"/>
      <c r="B50402" s="136"/>
    </row>
    <row r="50403" spans="1:2" x14ac:dyDescent="0.25">
      <c r="A50403" s="118"/>
      <c r="B50403" s="136"/>
    </row>
    <row r="50404" spans="1:2" x14ac:dyDescent="0.25">
      <c r="A50404" s="118"/>
      <c r="B50404" s="136"/>
    </row>
    <row r="50405" spans="1:2" x14ac:dyDescent="0.25">
      <c r="A50405" s="118"/>
      <c r="B50405" s="136"/>
    </row>
    <row r="50406" spans="1:2" x14ac:dyDescent="0.25">
      <c r="A50406" s="118"/>
      <c r="B50406" s="136"/>
    </row>
    <row r="50407" spans="1:2" x14ac:dyDescent="0.25">
      <c r="A50407" s="118"/>
      <c r="B50407" s="136"/>
    </row>
    <row r="50408" spans="1:2" x14ac:dyDescent="0.25">
      <c r="A50408" s="118"/>
      <c r="B50408" s="136"/>
    </row>
    <row r="50409" spans="1:2" x14ac:dyDescent="0.25">
      <c r="A50409" s="118"/>
      <c r="B50409" s="136"/>
    </row>
    <row r="50410" spans="1:2" x14ac:dyDescent="0.25">
      <c r="A50410" s="118"/>
      <c r="B50410" s="136"/>
    </row>
    <row r="50411" spans="1:2" x14ac:dyDescent="0.25">
      <c r="A50411" s="118"/>
      <c r="B50411" s="136"/>
    </row>
    <row r="50412" spans="1:2" x14ac:dyDescent="0.25">
      <c r="A50412" s="118"/>
      <c r="B50412" s="136"/>
    </row>
    <row r="50413" spans="1:2" x14ac:dyDescent="0.25">
      <c r="A50413" s="118"/>
      <c r="B50413" s="136"/>
    </row>
    <row r="50414" spans="1:2" x14ac:dyDescent="0.25">
      <c r="A50414" s="118"/>
      <c r="B50414" s="136"/>
    </row>
    <row r="50415" spans="1:2" x14ac:dyDescent="0.25">
      <c r="A50415" s="118"/>
      <c r="B50415" s="136"/>
    </row>
    <row r="50416" spans="1:2" x14ac:dyDescent="0.25">
      <c r="A50416" s="118"/>
      <c r="B50416" s="136"/>
    </row>
    <row r="50417" spans="1:2" x14ac:dyDescent="0.25">
      <c r="A50417" s="118"/>
      <c r="B50417" s="136"/>
    </row>
    <row r="50418" spans="1:2" x14ac:dyDescent="0.25">
      <c r="A50418" s="118"/>
      <c r="B50418" s="136"/>
    </row>
    <row r="50419" spans="1:2" x14ac:dyDescent="0.25">
      <c r="A50419" s="118"/>
      <c r="B50419" s="136"/>
    </row>
    <row r="50420" spans="1:2" x14ac:dyDescent="0.25">
      <c r="A50420" s="118"/>
      <c r="B50420" s="136"/>
    </row>
    <row r="50421" spans="1:2" x14ac:dyDescent="0.25">
      <c r="A50421" s="118"/>
      <c r="B50421" s="136"/>
    </row>
    <row r="50422" spans="1:2" x14ac:dyDescent="0.25">
      <c r="A50422" s="118"/>
      <c r="B50422" s="136"/>
    </row>
    <row r="50423" spans="1:2" x14ac:dyDescent="0.25">
      <c r="A50423" s="118"/>
      <c r="B50423" s="136"/>
    </row>
    <row r="50424" spans="1:2" x14ac:dyDescent="0.25">
      <c r="A50424" s="118"/>
      <c r="B50424" s="136"/>
    </row>
    <row r="50425" spans="1:2" x14ac:dyDescent="0.25">
      <c r="A50425" s="118"/>
      <c r="B50425" s="136"/>
    </row>
    <row r="50426" spans="1:2" x14ac:dyDescent="0.25">
      <c r="A50426" s="118"/>
      <c r="B50426" s="136"/>
    </row>
    <row r="50427" spans="1:2" x14ac:dyDescent="0.25">
      <c r="A50427" s="118"/>
      <c r="B50427" s="136"/>
    </row>
    <row r="50428" spans="1:2" x14ac:dyDescent="0.25">
      <c r="A50428" s="118"/>
      <c r="B50428" s="136"/>
    </row>
    <row r="50429" spans="1:2" x14ac:dyDescent="0.25">
      <c r="A50429" s="118"/>
      <c r="B50429" s="136"/>
    </row>
    <row r="50430" spans="1:2" x14ac:dyDescent="0.25">
      <c r="A50430" s="118"/>
      <c r="B50430" s="136"/>
    </row>
    <row r="50431" spans="1:2" x14ac:dyDescent="0.25">
      <c r="A50431" s="118"/>
      <c r="B50431" s="136"/>
    </row>
    <row r="50432" spans="1:2" x14ac:dyDescent="0.25">
      <c r="A50432" s="118"/>
      <c r="B50432" s="136"/>
    </row>
    <row r="50433" spans="1:2" x14ac:dyDescent="0.25">
      <c r="A50433" s="118"/>
      <c r="B50433" s="136"/>
    </row>
    <row r="50434" spans="1:2" x14ac:dyDescent="0.25">
      <c r="A50434" s="118"/>
      <c r="B50434" s="136"/>
    </row>
    <row r="50435" spans="1:2" x14ac:dyDescent="0.25">
      <c r="A50435" s="118"/>
      <c r="B50435" s="136"/>
    </row>
    <row r="50436" spans="1:2" x14ac:dyDescent="0.25">
      <c r="A50436" s="118"/>
      <c r="B50436" s="136"/>
    </row>
    <row r="50437" spans="1:2" x14ac:dyDescent="0.25">
      <c r="A50437" s="118"/>
      <c r="B50437" s="136"/>
    </row>
    <row r="50438" spans="1:2" x14ac:dyDescent="0.25">
      <c r="A50438" s="118"/>
      <c r="B50438" s="136"/>
    </row>
    <row r="50439" spans="1:2" x14ac:dyDescent="0.25">
      <c r="A50439" s="118"/>
      <c r="B50439" s="136"/>
    </row>
    <row r="50440" spans="1:2" x14ac:dyDescent="0.25">
      <c r="A50440" s="118"/>
      <c r="B50440" s="136"/>
    </row>
    <row r="50441" spans="1:2" x14ac:dyDescent="0.25">
      <c r="A50441" s="118"/>
      <c r="B50441" s="136"/>
    </row>
    <row r="50442" spans="1:2" x14ac:dyDescent="0.25">
      <c r="A50442" s="118"/>
      <c r="B50442" s="136"/>
    </row>
    <row r="50443" spans="1:2" x14ac:dyDescent="0.25">
      <c r="A50443" s="118"/>
      <c r="B50443" s="136"/>
    </row>
    <row r="50444" spans="1:2" x14ac:dyDescent="0.25">
      <c r="A50444" s="118"/>
      <c r="B50444" s="136"/>
    </row>
    <row r="50445" spans="1:2" x14ac:dyDescent="0.25">
      <c r="A50445" s="118"/>
      <c r="B50445" s="136"/>
    </row>
    <row r="50446" spans="1:2" x14ac:dyDescent="0.25">
      <c r="A50446" s="118"/>
      <c r="B50446" s="136"/>
    </row>
    <row r="50447" spans="1:2" x14ac:dyDescent="0.25">
      <c r="A50447" s="118"/>
      <c r="B50447" s="136"/>
    </row>
    <row r="50448" spans="1:2" x14ac:dyDescent="0.25">
      <c r="A50448" s="118"/>
      <c r="B50448" s="136"/>
    </row>
    <row r="50449" spans="1:2" x14ac:dyDescent="0.25">
      <c r="A50449" s="118"/>
      <c r="B50449" s="136"/>
    </row>
    <row r="50450" spans="1:2" x14ac:dyDescent="0.25">
      <c r="A50450" s="118"/>
      <c r="B50450" s="136"/>
    </row>
    <row r="50451" spans="1:2" x14ac:dyDescent="0.25">
      <c r="A50451" s="118"/>
      <c r="B50451" s="136"/>
    </row>
    <row r="50452" spans="1:2" x14ac:dyDescent="0.25">
      <c r="A50452" s="118"/>
      <c r="B50452" s="136"/>
    </row>
    <row r="50453" spans="1:2" x14ac:dyDescent="0.25">
      <c r="A50453" s="118"/>
      <c r="B50453" s="136"/>
    </row>
    <row r="50454" spans="1:2" x14ac:dyDescent="0.25">
      <c r="A50454" s="118"/>
      <c r="B50454" s="136"/>
    </row>
    <row r="50455" spans="1:2" x14ac:dyDescent="0.25">
      <c r="A50455" s="118"/>
      <c r="B50455" s="136"/>
    </row>
    <row r="50456" spans="1:2" x14ac:dyDescent="0.25">
      <c r="A50456" s="118"/>
      <c r="B50456" s="136"/>
    </row>
    <row r="50457" spans="1:2" x14ac:dyDescent="0.25">
      <c r="A50457" s="118"/>
      <c r="B50457" s="136"/>
    </row>
    <row r="50458" spans="1:2" x14ac:dyDescent="0.25">
      <c r="A50458" s="118"/>
      <c r="B50458" s="136"/>
    </row>
    <row r="50459" spans="1:2" x14ac:dyDescent="0.25">
      <c r="A50459" s="118"/>
      <c r="B50459" s="136"/>
    </row>
    <row r="50460" spans="1:2" x14ac:dyDescent="0.25">
      <c r="A50460" s="118"/>
      <c r="B50460" s="136"/>
    </row>
    <row r="50461" spans="1:2" x14ac:dyDescent="0.25">
      <c r="A50461" s="118"/>
      <c r="B50461" s="136"/>
    </row>
    <row r="50462" spans="1:2" x14ac:dyDescent="0.25">
      <c r="A50462" s="118"/>
      <c r="B50462" s="136"/>
    </row>
    <row r="50463" spans="1:2" x14ac:dyDescent="0.25">
      <c r="A50463" s="118"/>
      <c r="B50463" s="136"/>
    </row>
    <row r="50464" spans="1:2" x14ac:dyDescent="0.25">
      <c r="A50464" s="118"/>
      <c r="B50464" s="136"/>
    </row>
    <row r="50465" spans="1:2" x14ac:dyDescent="0.25">
      <c r="A50465" s="118"/>
      <c r="B50465" s="136"/>
    </row>
    <row r="50466" spans="1:2" x14ac:dyDescent="0.25">
      <c r="A50466" s="118"/>
      <c r="B50466" s="136"/>
    </row>
    <row r="50467" spans="1:2" x14ac:dyDescent="0.25">
      <c r="A50467" s="118"/>
      <c r="B50467" s="136"/>
    </row>
    <row r="50468" spans="1:2" x14ac:dyDescent="0.25">
      <c r="A50468" s="118"/>
      <c r="B50468" s="136"/>
    </row>
    <row r="50469" spans="1:2" x14ac:dyDescent="0.25">
      <c r="A50469" s="118"/>
      <c r="B50469" s="136"/>
    </row>
    <row r="50470" spans="1:2" x14ac:dyDescent="0.25">
      <c r="A50470" s="118"/>
      <c r="B50470" s="136"/>
    </row>
    <row r="50471" spans="1:2" x14ac:dyDescent="0.25">
      <c r="A50471" s="118"/>
      <c r="B50471" s="136"/>
    </row>
    <row r="50472" spans="1:2" x14ac:dyDescent="0.25">
      <c r="A50472" s="118"/>
      <c r="B50472" s="136"/>
    </row>
    <row r="50473" spans="1:2" x14ac:dyDescent="0.25">
      <c r="A50473" s="118"/>
      <c r="B50473" s="136"/>
    </row>
    <row r="50474" spans="1:2" x14ac:dyDescent="0.25">
      <c r="A50474" s="118"/>
      <c r="B50474" s="136"/>
    </row>
    <row r="50475" spans="1:2" x14ac:dyDescent="0.25">
      <c r="A50475" s="118"/>
      <c r="B50475" s="136"/>
    </row>
    <row r="50476" spans="1:2" x14ac:dyDescent="0.25">
      <c r="A50476" s="118"/>
      <c r="B50476" s="136"/>
    </row>
    <row r="50477" spans="1:2" x14ac:dyDescent="0.25">
      <c r="A50477" s="118"/>
      <c r="B50477" s="136"/>
    </row>
    <row r="50478" spans="1:2" x14ac:dyDescent="0.25">
      <c r="A50478" s="118"/>
      <c r="B50478" s="136"/>
    </row>
    <row r="50479" spans="1:2" x14ac:dyDescent="0.25">
      <c r="A50479" s="118"/>
      <c r="B50479" s="136"/>
    </row>
    <row r="50480" spans="1:2" x14ac:dyDescent="0.25">
      <c r="A50480" s="118"/>
      <c r="B50480" s="136"/>
    </row>
    <row r="50481" spans="1:2" x14ac:dyDescent="0.25">
      <c r="A50481" s="118"/>
      <c r="B50481" s="136"/>
    </row>
    <row r="50482" spans="1:2" x14ac:dyDescent="0.25">
      <c r="A50482" s="118"/>
      <c r="B50482" s="136"/>
    </row>
    <row r="50483" spans="1:2" x14ac:dyDescent="0.25">
      <c r="A50483" s="118"/>
      <c r="B50483" s="136"/>
    </row>
    <row r="50484" spans="1:2" x14ac:dyDescent="0.25">
      <c r="A50484" s="118"/>
      <c r="B50484" s="136"/>
    </row>
    <row r="50485" spans="1:2" x14ac:dyDescent="0.25">
      <c r="A50485" s="118"/>
      <c r="B50485" s="136"/>
    </row>
    <row r="50486" spans="1:2" x14ac:dyDescent="0.25">
      <c r="A50486" s="118"/>
      <c r="B50486" s="136"/>
    </row>
    <row r="50487" spans="1:2" x14ac:dyDescent="0.25">
      <c r="A50487" s="118"/>
      <c r="B50487" s="136"/>
    </row>
    <row r="50488" spans="1:2" x14ac:dyDescent="0.25">
      <c r="A50488" s="118"/>
      <c r="B50488" s="136"/>
    </row>
    <row r="50489" spans="1:2" x14ac:dyDescent="0.25">
      <c r="A50489" s="118"/>
      <c r="B50489" s="136"/>
    </row>
    <row r="50490" spans="1:2" x14ac:dyDescent="0.25">
      <c r="A50490" s="118"/>
      <c r="B50490" s="136"/>
    </row>
    <row r="50491" spans="1:2" x14ac:dyDescent="0.25">
      <c r="A50491" s="118"/>
      <c r="B50491" s="136"/>
    </row>
    <row r="50492" spans="1:2" x14ac:dyDescent="0.25">
      <c r="A50492" s="118"/>
      <c r="B50492" s="136"/>
    </row>
    <row r="50493" spans="1:2" x14ac:dyDescent="0.25">
      <c r="A50493" s="118"/>
      <c r="B50493" s="136"/>
    </row>
    <row r="50494" spans="1:2" x14ac:dyDescent="0.25">
      <c r="A50494" s="118"/>
      <c r="B50494" s="136"/>
    </row>
    <row r="50495" spans="1:2" x14ac:dyDescent="0.25">
      <c r="A50495" s="118"/>
      <c r="B50495" s="136"/>
    </row>
    <row r="50496" spans="1:2" x14ac:dyDescent="0.25">
      <c r="A50496" s="118"/>
      <c r="B50496" s="136"/>
    </row>
    <row r="50497" spans="1:2" x14ac:dyDescent="0.25">
      <c r="A50497" s="118"/>
      <c r="B50497" s="136"/>
    </row>
    <row r="50498" spans="1:2" x14ac:dyDescent="0.25">
      <c r="A50498" s="118"/>
      <c r="B50498" s="136"/>
    </row>
    <row r="50499" spans="1:2" x14ac:dyDescent="0.25">
      <c r="A50499" s="118"/>
      <c r="B50499" s="136"/>
    </row>
    <row r="50500" spans="1:2" x14ac:dyDescent="0.25">
      <c r="A50500" s="118"/>
      <c r="B50500" s="136"/>
    </row>
    <row r="50501" spans="1:2" x14ac:dyDescent="0.25">
      <c r="A50501" s="118"/>
      <c r="B50501" s="136"/>
    </row>
    <row r="50502" spans="1:2" x14ac:dyDescent="0.25">
      <c r="A50502" s="118"/>
      <c r="B50502" s="136"/>
    </row>
    <row r="50503" spans="1:2" x14ac:dyDescent="0.25">
      <c r="A50503" s="118"/>
      <c r="B50503" s="136"/>
    </row>
    <row r="50504" spans="1:2" x14ac:dyDescent="0.25">
      <c r="A50504" s="118"/>
      <c r="B50504" s="136"/>
    </row>
    <row r="50505" spans="1:2" x14ac:dyDescent="0.25">
      <c r="A50505" s="118"/>
      <c r="B50505" s="136"/>
    </row>
    <row r="50506" spans="1:2" x14ac:dyDescent="0.25">
      <c r="A50506" s="118"/>
      <c r="B50506" s="136"/>
    </row>
    <row r="50507" spans="1:2" x14ac:dyDescent="0.25">
      <c r="A50507" s="118"/>
      <c r="B50507" s="136"/>
    </row>
    <row r="50508" spans="1:2" x14ac:dyDescent="0.25">
      <c r="A50508" s="118"/>
      <c r="B50508" s="136"/>
    </row>
    <row r="50509" spans="1:2" x14ac:dyDescent="0.25">
      <c r="A50509" s="118"/>
      <c r="B50509" s="136"/>
    </row>
    <row r="50510" spans="1:2" x14ac:dyDescent="0.25">
      <c r="A50510" s="118"/>
      <c r="B50510" s="136"/>
    </row>
    <row r="50511" spans="1:2" x14ac:dyDescent="0.25">
      <c r="A50511" s="118"/>
      <c r="B50511" s="136"/>
    </row>
    <row r="50512" spans="1:2" x14ac:dyDescent="0.25">
      <c r="A50512" s="118"/>
      <c r="B50512" s="136"/>
    </row>
    <row r="50513" spans="1:2" x14ac:dyDescent="0.25">
      <c r="A50513" s="118"/>
      <c r="B50513" s="136"/>
    </row>
    <row r="50514" spans="1:2" x14ac:dyDescent="0.25">
      <c r="A50514" s="118"/>
      <c r="B50514" s="136"/>
    </row>
    <row r="50515" spans="1:2" x14ac:dyDescent="0.25">
      <c r="A50515" s="118"/>
      <c r="B50515" s="136"/>
    </row>
    <row r="50516" spans="1:2" x14ac:dyDescent="0.25">
      <c r="A50516" s="118"/>
      <c r="B50516" s="136"/>
    </row>
    <row r="50517" spans="1:2" x14ac:dyDescent="0.25">
      <c r="A50517" s="118"/>
      <c r="B50517" s="136"/>
    </row>
    <row r="50518" spans="1:2" x14ac:dyDescent="0.25">
      <c r="A50518" s="118"/>
      <c r="B50518" s="136"/>
    </row>
    <row r="50519" spans="1:2" x14ac:dyDescent="0.25">
      <c r="A50519" s="118"/>
      <c r="B50519" s="136"/>
    </row>
    <row r="50520" spans="1:2" x14ac:dyDescent="0.25">
      <c r="A50520" s="118"/>
      <c r="B50520" s="136"/>
    </row>
    <row r="50521" spans="1:2" x14ac:dyDescent="0.25">
      <c r="A50521" s="118"/>
      <c r="B50521" s="136"/>
    </row>
    <row r="50522" spans="1:2" x14ac:dyDescent="0.25">
      <c r="A50522" s="118"/>
      <c r="B50522" s="136"/>
    </row>
    <row r="50523" spans="1:2" x14ac:dyDescent="0.25">
      <c r="A50523" s="118"/>
      <c r="B50523" s="136"/>
    </row>
    <row r="50524" spans="1:2" x14ac:dyDescent="0.25">
      <c r="A50524" s="118"/>
      <c r="B50524" s="136"/>
    </row>
    <row r="50525" spans="1:2" x14ac:dyDescent="0.25">
      <c r="A50525" s="118"/>
      <c r="B50525" s="136"/>
    </row>
    <row r="50526" spans="1:2" x14ac:dyDescent="0.25">
      <c r="A50526" s="118"/>
      <c r="B50526" s="136"/>
    </row>
    <row r="50527" spans="1:2" x14ac:dyDescent="0.25">
      <c r="A50527" s="118"/>
      <c r="B50527" s="136"/>
    </row>
    <row r="50528" spans="1:2" x14ac:dyDescent="0.25">
      <c r="A50528" s="118"/>
      <c r="B50528" s="136"/>
    </row>
    <row r="50529" spans="1:2" x14ac:dyDescent="0.25">
      <c r="A50529" s="118"/>
      <c r="B50529" s="136"/>
    </row>
    <row r="50530" spans="1:2" x14ac:dyDescent="0.25">
      <c r="A50530" s="118"/>
      <c r="B50530" s="136"/>
    </row>
    <row r="50531" spans="1:2" x14ac:dyDescent="0.25">
      <c r="A50531" s="118"/>
      <c r="B50531" s="136"/>
    </row>
    <row r="50532" spans="1:2" x14ac:dyDescent="0.25">
      <c r="A50532" s="118"/>
      <c r="B50532" s="136"/>
    </row>
    <row r="50533" spans="1:2" x14ac:dyDescent="0.25">
      <c r="A50533" s="118"/>
      <c r="B50533" s="136"/>
    </row>
    <row r="50534" spans="1:2" x14ac:dyDescent="0.25">
      <c r="A50534" s="118"/>
      <c r="B50534" s="136"/>
    </row>
    <row r="50535" spans="1:2" x14ac:dyDescent="0.25">
      <c r="A50535" s="118"/>
      <c r="B50535" s="136"/>
    </row>
    <row r="50536" spans="1:2" x14ac:dyDescent="0.25">
      <c r="A50536" s="118"/>
      <c r="B50536" s="136"/>
    </row>
    <row r="50537" spans="1:2" x14ac:dyDescent="0.25">
      <c r="A50537" s="118"/>
      <c r="B50537" s="136"/>
    </row>
    <row r="50538" spans="1:2" x14ac:dyDescent="0.25">
      <c r="A50538" s="118"/>
      <c r="B50538" s="136"/>
    </row>
    <row r="50539" spans="1:2" x14ac:dyDescent="0.25">
      <c r="A50539" s="118"/>
      <c r="B50539" s="136"/>
    </row>
    <row r="50540" spans="1:2" x14ac:dyDescent="0.25">
      <c r="A50540" s="118"/>
      <c r="B50540" s="136"/>
    </row>
    <row r="50541" spans="1:2" x14ac:dyDescent="0.25">
      <c r="A50541" s="118"/>
      <c r="B50541" s="136"/>
    </row>
    <row r="50542" spans="1:2" x14ac:dyDescent="0.25">
      <c r="A50542" s="118"/>
      <c r="B50542" s="136"/>
    </row>
    <row r="50543" spans="1:2" x14ac:dyDescent="0.25">
      <c r="A50543" s="118"/>
      <c r="B50543" s="136"/>
    </row>
    <row r="50544" spans="1:2" x14ac:dyDescent="0.25">
      <c r="A50544" s="118"/>
      <c r="B50544" s="136"/>
    </row>
    <row r="50545" spans="1:2" x14ac:dyDescent="0.25">
      <c r="A50545" s="118"/>
      <c r="B50545" s="136"/>
    </row>
    <row r="50546" spans="1:2" x14ac:dyDescent="0.25">
      <c r="A50546" s="118"/>
      <c r="B50546" s="136"/>
    </row>
    <row r="50547" spans="1:2" x14ac:dyDescent="0.25">
      <c r="A50547" s="118"/>
      <c r="B50547" s="136"/>
    </row>
    <row r="50548" spans="1:2" x14ac:dyDescent="0.25">
      <c r="A50548" s="118"/>
      <c r="B50548" s="136"/>
    </row>
    <row r="50549" spans="1:2" x14ac:dyDescent="0.25">
      <c r="A50549" s="118"/>
      <c r="B50549" s="136"/>
    </row>
    <row r="50550" spans="1:2" x14ac:dyDescent="0.25">
      <c r="A50550" s="118"/>
      <c r="B50550" s="136"/>
    </row>
    <row r="50551" spans="1:2" x14ac:dyDescent="0.25">
      <c r="A50551" s="118"/>
      <c r="B50551" s="136"/>
    </row>
    <row r="50552" spans="1:2" x14ac:dyDescent="0.25">
      <c r="A50552" s="118"/>
      <c r="B50552" s="136"/>
    </row>
    <row r="50553" spans="1:2" x14ac:dyDescent="0.25">
      <c r="A50553" s="118"/>
      <c r="B50553" s="136"/>
    </row>
    <row r="50554" spans="1:2" x14ac:dyDescent="0.25">
      <c r="A50554" s="118"/>
      <c r="B50554" s="136"/>
    </row>
    <row r="50555" spans="1:2" x14ac:dyDescent="0.25">
      <c r="A50555" s="118"/>
      <c r="B50555" s="136"/>
    </row>
    <row r="50556" spans="1:2" x14ac:dyDescent="0.25">
      <c r="A50556" s="118"/>
      <c r="B50556" s="136"/>
    </row>
    <row r="50557" spans="1:2" x14ac:dyDescent="0.25">
      <c r="A50557" s="118"/>
      <c r="B50557" s="136"/>
    </row>
    <row r="50558" spans="1:2" x14ac:dyDescent="0.25">
      <c r="A50558" s="118"/>
      <c r="B50558" s="136"/>
    </row>
    <row r="50559" spans="1:2" x14ac:dyDescent="0.25">
      <c r="A50559" s="118"/>
      <c r="B50559" s="136"/>
    </row>
    <row r="50560" spans="1:2" x14ac:dyDescent="0.25">
      <c r="A50560" s="118"/>
      <c r="B50560" s="136"/>
    </row>
    <row r="50561" spans="1:2" x14ac:dyDescent="0.25">
      <c r="A50561" s="118"/>
      <c r="B50561" s="136"/>
    </row>
    <row r="50562" spans="1:2" x14ac:dyDescent="0.25">
      <c r="A50562" s="118"/>
      <c r="B50562" s="136"/>
    </row>
    <row r="50563" spans="1:2" x14ac:dyDescent="0.25">
      <c r="A50563" s="118"/>
      <c r="B50563" s="136"/>
    </row>
    <row r="50564" spans="1:2" x14ac:dyDescent="0.25">
      <c r="A50564" s="118"/>
      <c r="B50564" s="136"/>
    </row>
    <row r="50565" spans="1:2" x14ac:dyDescent="0.25">
      <c r="A50565" s="118"/>
      <c r="B50565" s="136"/>
    </row>
    <row r="50566" spans="1:2" x14ac:dyDescent="0.25">
      <c r="A50566" s="118"/>
      <c r="B50566" s="136"/>
    </row>
    <row r="50567" spans="1:2" x14ac:dyDescent="0.25">
      <c r="A50567" s="118"/>
      <c r="B50567" s="136"/>
    </row>
    <row r="50568" spans="1:2" x14ac:dyDescent="0.25">
      <c r="A50568" s="118"/>
      <c r="B50568" s="136"/>
    </row>
    <row r="50569" spans="1:2" x14ac:dyDescent="0.25">
      <c r="A50569" s="118"/>
      <c r="B50569" s="136"/>
    </row>
    <row r="50570" spans="1:2" x14ac:dyDescent="0.25">
      <c r="A50570" s="118"/>
      <c r="B50570" s="136"/>
    </row>
    <row r="50571" spans="1:2" x14ac:dyDescent="0.25">
      <c r="A50571" s="118"/>
      <c r="B50571" s="136"/>
    </row>
    <row r="50572" spans="1:2" x14ac:dyDescent="0.25">
      <c r="A50572" s="118"/>
      <c r="B50572" s="136"/>
    </row>
    <row r="50573" spans="1:2" x14ac:dyDescent="0.25">
      <c r="A50573" s="118"/>
      <c r="B50573" s="136"/>
    </row>
    <row r="50574" spans="1:2" x14ac:dyDescent="0.25">
      <c r="A50574" s="118"/>
      <c r="B50574" s="136"/>
    </row>
    <row r="50575" spans="1:2" x14ac:dyDescent="0.25">
      <c r="A50575" s="118"/>
      <c r="B50575" s="136"/>
    </row>
    <row r="50576" spans="1:2" x14ac:dyDescent="0.25">
      <c r="A50576" s="118"/>
      <c r="B50576" s="136"/>
    </row>
    <row r="50577" spans="1:2" x14ac:dyDescent="0.25">
      <c r="A50577" s="118"/>
      <c r="B50577" s="136"/>
    </row>
    <row r="50578" spans="1:2" x14ac:dyDescent="0.25">
      <c r="A50578" s="118"/>
      <c r="B50578" s="136"/>
    </row>
    <row r="50579" spans="1:2" x14ac:dyDescent="0.25">
      <c r="A50579" s="118"/>
      <c r="B50579" s="136"/>
    </row>
    <row r="50580" spans="1:2" x14ac:dyDescent="0.25">
      <c r="A50580" s="118"/>
      <c r="B50580" s="136"/>
    </row>
    <row r="50581" spans="1:2" x14ac:dyDescent="0.25">
      <c r="A50581" s="118"/>
      <c r="B50581" s="136"/>
    </row>
    <row r="50582" spans="1:2" x14ac:dyDescent="0.25">
      <c r="A50582" s="118"/>
      <c r="B50582" s="136"/>
    </row>
    <row r="50583" spans="1:2" x14ac:dyDescent="0.25">
      <c r="A50583" s="118"/>
      <c r="B50583" s="136"/>
    </row>
    <row r="50584" spans="1:2" x14ac:dyDescent="0.25">
      <c r="A50584" s="118"/>
      <c r="B50584" s="136"/>
    </row>
    <row r="50585" spans="1:2" x14ac:dyDescent="0.25">
      <c r="A50585" s="118"/>
      <c r="B50585" s="136"/>
    </row>
    <row r="50586" spans="1:2" x14ac:dyDescent="0.25">
      <c r="A50586" s="118"/>
      <c r="B50586" s="136"/>
    </row>
    <row r="50587" spans="1:2" x14ac:dyDescent="0.25">
      <c r="A50587" s="118"/>
      <c r="B50587" s="136"/>
    </row>
    <row r="50588" spans="1:2" x14ac:dyDescent="0.25">
      <c r="A50588" s="118"/>
      <c r="B50588" s="136"/>
    </row>
    <row r="50589" spans="1:2" x14ac:dyDescent="0.25">
      <c r="A50589" s="118"/>
      <c r="B50589" s="136"/>
    </row>
    <row r="50590" spans="1:2" x14ac:dyDescent="0.25">
      <c r="A50590" s="118"/>
      <c r="B50590" s="136"/>
    </row>
    <row r="50591" spans="1:2" x14ac:dyDescent="0.25">
      <c r="A50591" s="118"/>
      <c r="B50591" s="136"/>
    </row>
    <row r="50592" spans="1:2" x14ac:dyDescent="0.25">
      <c r="A50592" s="118"/>
      <c r="B50592" s="136"/>
    </row>
    <row r="50593" spans="1:2" x14ac:dyDescent="0.25">
      <c r="A50593" s="118"/>
      <c r="B50593" s="136"/>
    </row>
    <row r="50594" spans="1:2" x14ac:dyDescent="0.25">
      <c r="A50594" s="118"/>
      <c r="B50594" s="136"/>
    </row>
    <row r="50595" spans="1:2" x14ac:dyDescent="0.25">
      <c r="A50595" s="118"/>
      <c r="B50595" s="136"/>
    </row>
    <row r="50596" spans="1:2" x14ac:dyDescent="0.25">
      <c r="A50596" s="118"/>
      <c r="B50596" s="136"/>
    </row>
    <row r="50597" spans="1:2" x14ac:dyDescent="0.25">
      <c r="A50597" s="118"/>
      <c r="B50597" s="136"/>
    </row>
    <row r="50598" spans="1:2" x14ac:dyDescent="0.25">
      <c r="A50598" s="118"/>
      <c r="B50598" s="136"/>
    </row>
    <row r="50599" spans="1:2" x14ac:dyDescent="0.25">
      <c r="A50599" s="118"/>
      <c r="B50599" s="136"/>
    </row>
    <row r="50600" spans="1:2" x14ac:dyDescent="0.25">
      <c r="A50600" s="118"/>
      <c r="B50600" s="136"/>
    </row>
    <row r="50601" spans="1:2" x14ac:dyDescent="0.25">
      <c r="A50601" s="118"/>
      <c r="B50601" s="136"/>
    </row>
    <row r="50602" spans="1:2" x14ac:dyDescent="0.25">
      <c r="A50602" s="118"/>
      <c r="B50602" s="136"/>
    </row>
    <row r="50603" spans="1:2" x14ac:dyDescent="0.25">
      <c r="A50603" s="118"/>
      <c r="B50603" s="136"/>
    </row>
    <row r="50604" spans="1:2" x14ac:dyDescent="0.25">
      <c r="A50604" s="118"/>
      <c r="B50604" s="136"/>
    </row>
    <row r="50605" spans="1:2" x14ac:dyDescent="0.25">
      <c r="A50605" s="118"/>
      <c r="B50605" s="136"/>
    </row>
    <row r="50606" spans="1:2" x14ac:dyDescent="0.25">
      <c r="A50606" s="118"/>
      <c r="B50606" s="136"/>
    </row>
    <row r="50607" spans="1:2" x14ac:dyDescent="0.25">
      <c r="A50607" s="118"/>
      <c r="B50607" s="136"/>
    </row>
    <row r="50608" spans="1:2" x14ac:dyDescent="0.25">
      <c r="A50608" s="118"/>
      <c r="B50608" s="136"/>
    </row>
    <row r="50609" spans="1:2" x14ac:dyDescent="0.25">
      <c r="A50609" s="118"/>
      <c r="B50609" s="136"/>
    </row>
    <row r="50610" spans="1:2" x14ac:dyDescent="0.25">
      <c r="A50610" s="118"/>
      <c r="B50610" s="136"/>
    </row>
    <row r="50611" spans="1:2" x14ac:dyDescent="0.25">
      <c r="A50611" s="118"/>
      <c r="B50611" s="136"/>
    </row>
    <row r="50612" spans="1:2" x14ac:dyDescent="0.25">
      <c r="A50612" s="118"/>
      <c r="B50612" s="136"/>
    </row>
    <row r="50613" spans="1:2" x14ac:dyDescent="0.25">
      <c r="A50613" s="118"/>
      <c r="B50613" s="136"/>
    </row>
    <row r="50614" spans="1:2" x14ac:dyDescent="0.25">
      <c r="A50614" s="118"/>
      <c r="B50614" s="136"/>
    </row>
    <row r="50615" spans="1:2" x14ac:dyDescent="0.25">
      <c r="A50615" s="118"/>
      <c r="B50615" s="136"/>
    </row>
    <row r="50616" spans="1:2" x14ac:dyDescent="0.25">
      <c r="A50616" s="118"/>
      <c r="B50616" s="136"/>
    </row>
    <row r="50617" spans="1:2" x14ac:dyDescent="0.25">
      <c r="A50617" s="118"/>
      <c r="B50617" s="136"/>
    </row>
    <row r="50618" spans="1:2" x14ac:dyDescent="0.25">
      <c r="A50618" s="118"/>
      <c r="B50618" s="136"/>
    </row>
    <row r="50619" spans="1:2" x14ac:dyDescent="0.25">
      <c r="A50619" s="118"/>
      <c r="B50619" s="136"/>
    </row>
    <row r="50620" spans="1:2" x14ac:dyDescent="0.25">
      <c r="A50620" s="118"/>
      <c r="B50620" s="136"/>
    </row>
    <row r="50621" spans="1:2" x14ac:dyDescent="0.25">
      <c r="A50621" s="118"/>
      <c r="B50621" s="136"/>
    </row>
    <row r="50622" spans="1:2" x14ac:dyDescent="0.25">
      <c r="A50622" s="118"/>
      <c r="B50622" s="136"/>
    </row>
    <row r="50623" spans="1:2" x14ac:dyDescent="0.25">
      <c r="A50623" s="118"/>
      <c r="B50623" s="136"/>
    </row>
    <row r="50624" spans="1:2" x14ac:dyDescent="0.25">
      <c r="A50624" s="118"/>
      <c r="B50624" s="136"/>
    </row>
    <row r="50625" spans="1:2" x14ac:dyDescent="0.25">
      <c r="A50625" s="118"/>
      <c r="B50625" s="136"/>
    </row>
    <row r="50626" spans="1:2" x14ac:dyDescent="0.25">
      <c r="A50626" s="118"/>
      <c r="B50626" s="136"/>
    </row>
    <row r="50627" spans="1:2" x14ac:dyDescent="0.25">
      <c r="A50627" s="118"/>
      <c r="B50627" s="136"/>
    </row>
    <row r="50628" spans="1:2" x14ac:dyDescent="0.25">
      <c r="A50628" s="118"/>
      <c r="B50628" s="136"/>
    </row>
    <row r="50629" spans="1:2" x14ac:dyDescent="0.25">
      <c r="A50629" s="118"/>
      <c r="B50629" s="136"/>
    </row>
    <row r="50630" spans="1:2" x14ac:dyDescent="0.25">
      <c r="A50630" s="118"/>
      <c r="B50630" s="136"/>
    </row>
    <row r="50631" spans="1:2" x14ac:dyDescent="0.25">
      <c r="A50631" s="118"/>
      <c r="B50631" s="136"/>
    </row>
    <row r="50632" spans="1:2" x14ac:dyDescent="0.25">
      <c r="A50632" s="118"/>
      <c r="B50632" s="136"/>
    </row>
    <row r="50633" spans="1:2" x14ac:dyDescent="0.25">
      <c r="A50633" s="118"/>
      <c r="B50633" s="136"/>
    </row>
    <row r="50634" spans="1:2" x14ac:dyDescent="0.25">
      <c r="A50634" s="118"/>
      <c r="B50634" s="136"/>
    </row>
    <row r="50635" spans="1:2" x14ac:dyDescent="0.25">
      <c r="A50635" s="118"/>
      <c r="B50635" s="136"/>
    </row>
    <row r="50636" spans="1:2" x14ac:dyDescent="0.25">
      <c r="A50636" s="118"/>
      <c r="B50636" s="136"/>
    </row>
    <row r="50637" spans="1:2" x14ac:dyDescent="0.25">
      <c r="A50637" s="118"/>
      <c r="B50637" s="136"/>
    </row>
    <row r="50638" spans="1:2" x14ac:dyDescent="0.25">
      <c r="A50638" s="118"/>
      <c r="B50638" s="136"/>
    </row>
    <row r="50639" spans="1:2" x14ac:dyDescent="0.25">
      <c r="A50639" s="118"/>
      <c r="B50639" s="136"/>
    </row>
    <row r="50640" spans="1:2" x14ac:dyDescent="0.25">
      <c r="A50640" s="118"/>
      <c r="B50640" s="136"/>
    </row>
    <row r="50641" spans="1:2" x14ac:dyDescent="0.25">
      <c r="A50641" s="118"/>
      <c r="B50641" s="136"/>
    </row>
    <row r="50642" spans="1:2" x14ac:dyDescent="0.25">
      <c r="A50642" s="118"/>
      <c r="B50642" s="136"/>
    </row>
    <row r="50643" spans="1:2" x14ac:dyDescent="0.25">
      <c r="A50643" s="118"/>
      <c r="B50643" s="136"/>
    </row>
    <row r="50644" spans="1:2" x14ac:dyDescent="0.25">
      <c r="A50644" s="118"/>
      <c r="B50644" s="136"/>
    </row>
    <row r="50645" spans="1:2" x14ac:dyDescent="0.25">
      <c r="A50645" s="118"/>
      <c r="B50645" s="136"/>
    </row>
    <row r="50646" spans="1:2" x14ac:dyDescent="0.25">
      <c r="A50646" s="118"/>
      <c r="B50646" s="136"/>
    </row>
    <row r="50647" spans="1:2" x14ac:dyDescent="0.25">
      <c r="A50647" s="118"/>
      <c r="B50647" s="136"/>
    </row>
    <row r="50648" spans="1:2" x14ac:dyDescent="0.25">
      <c r="A50648" s="118"/>
      <c r="B50648" s="136"/>
    </row>
    <row r="50649" spans="1:2" x14ac:dyDescent="0.25">
      <c r="A50649" s="118"/>
      <c r="B50649" s="136"/>
    </row>
    <row r="50650" spans="1:2" x14ac:dyDescent="0.25">
      <c r="A50650" s="118"/>
      <c r="B50650" s="136"/>
    </row>
    <row r="50651" spans="1:2" x14ac:dyDescent="0.25">
      <c r="A50651" s="118"/>
      <c r="B50651" s="136"/>
    </row>
    <row r="50652" spans="1:2" x14ac:dyDescent="0.25">
      <c r="A50652" s="118"/>
      <c r="B50652" s="136"/>
    </row>
    <row r="50653" spans="1:2" x14ac:dyDescent="0.25">
      <c r="A50653" s="118"/>
      <c r="B50653" s="136"/>
    </row>
    <row r="50654" spans="1:2" x14ac:dyDescent="0.25">
      <c r="A50654" s="118"/>
      <c r="B50654" s="136"/>
    </row>
    <row r="50655" spans="1:2" x14ac:dyDescent="0.25">
      <c r="A50655" s="118"/>
      <c r="B50655" s="136"/>
    </row>
    <row r="50656" spans="1:2" x14ac:dyDescent="0.25">
      <c r="A50656" s="118"/>
      <c r="B50656" s="136"/>
    </row>
    <row r="50657" spans="1:2" x14ac:dyDescent="0.25">
      <c r="A50657" s="118"/>
      <c r="B50657" s="136"/>
    </row>
    <row r="50658" spans="1:2" x14ac:dyDescent="0.25">
      <c r="A50658" s="118"/>
      <c r="B50658" s="136"/>
    </row>
    <row r="50659" spans="1:2" x14ac:dyDescent="0.25">
      <c r="A50659" s="118"/>
      <c r="B50659" s="136"/>
    </row>
    <row r="50660" spans="1:2" x14ac:dyDescent="0.25">
      <c r="A50660" s="118"/>
      <c r="B50660" s="136"/>
    </row>
    <row r="50661" spans="1:2" x14ac:dyDescent="0.25">
      <c r="A50661" s="118"/>
      <c r="B50661" s="136"/>
    </row>
    <row r="50662" spans="1:2" x14ac:dyDescent="0.25">
      <c r="A50662" s="118"/>
      <c r="B50662" s="136"/>
    </row>
    <row r="50663" spans="1:2" x14ac:dyDescent="0.25">
      <c r="A50663" s="118"/>
      <c r="B50663" s="136"/>
    </row>
    <row r="50664" spans="1:2" x14ac:dyDescent="0.25">
      <c r="A50664" s="118"/>
      <c r="B50664" s="136"/>
    </row>
    <row r="50665" spans="1:2" x14ac:dyDescent="0.25">
      <c r="A50665" s="118"/>
      <c r="B50665" s="136"/>
    </row>
    <row r="50666" spans="1:2" x14ac:dyDescent="0.25">
      <c r="A50666" s="118"/>
      <c r="B50666" s="136"/>
    </row>
    <row r="50667" spans="1:2" x14ac:dyDescent="0.25">
      <c r="A50667" s="118"/>
      <c r="B50667" s="136"/>
    </row>
    <row r="50668" spans="1:2" x14ac:dyDescent="0.25">
      <c r="A50668" s="118"/>
      <c r="B50668" s="136"/>
    </row>
    <row r="50669" spans="1:2" x14ac:dyDescent="0.25">
      <c r="A50669" s="118"/>
      <c r="B50669" s="136"/>
    </row>
    <row r="50670" spans="1:2" x14ac:dyDescent="0.25">
      <c r="A50670" s="118"/>
      <c r="B50670" s="136"/>
    </row>
    <row r="50671" spans="1:2" x14ac:dyDescent="0.25">
      <c r="A50671" s="118"/>
      <c r="B50671" s="136"/>
    </row>
    <row r="50672" spans="1:2" x14ac:dyDescent="0.25">
      <c r="A50672" s="118"/>
      <c r="B50672" s="136"/>
    </row>
    <row r="50673" spans="1:2" x14ac:dyDescent="0.25">
      <c r="A50673" s="118"/>
      <c r="B50673" s="136"/>
    </row>
    <row r="50674" spans="1:2" x14ac:dyDescent="0.25">
      <c r="A50674" s="118"/>
      <c r="B50674" s="136"/>
    </row>
    <row r="50675" spans="1:2" x14ac:dyDescent="0.25">
      <c r="A50675" s="118"/>
      <c r="B50675" s="136"/>
    </row>
    <row r="50676" spans="1:2" x14ac:dyDescent="0.25">
      <c r="A50676" s="118"/>
      <c r="B50676" s="136"/>
    </row>
    <row r="50677" spans="1:2" x14ac:dyDescent="0.25">
      <c r="A50677" s="118"/>
      <c r="B50677" s="136"/>
    </row>
    <row r="50678" spans="1:2" x14ac:dyDescent="0.25">
      <c r="A50678" s="118"/>
      <c r="B50678" s="136"/>
    </row>
    <row r="50679" spans="1:2" x14ac:dyDescent="0.25">
      <c r="A50679" s="118"/>
      <c r="B50679" s="136"/>
    </row>
    <row r="50680" spans="1:2" x14ac:dyDescent="0.25">
      <c r="A50680" s="118"/>
      <c r="B50680" s="136"/>
    </row>
    <row r="50681" spans="1:2" x14ac:dyDescent="0.25">
      <c r="A50681" s="118"/>
      <c r="B50681" s="136"/>
    </row>
    <row r="50682" spans="1:2" x14ac:dyDescent="0.25">
      <c r="A50682" s="118"/>
      <c r="B50682" s="136"/>
    </row>
    <row r="50683" spans="1:2" x14ac:dyDescent="0.25">
      <c r="A50683" s="118"/>
      <c r="B50683" s="136"/>
    </row>
    <row r="50684" spans="1:2" x14ac:dyDescent="0.25">
      <c r="A50684" s="118"/>
      <c r="B50684" s="136"/>
    </row>
    <row r="50685" spans="1:2" x14ac:dyDescent="0.25">
      <c r="A50685" s="118"/>
      <c r="B50685" s="136"/>
    </row>
    <row r="50686" spans="1:2" x14ac:dyDescent="0.25">
      <c r="A50686" s="118"/>
      <c r="B50686" s="136"/>
    </row>
    <row r="50687" spans="1:2" x14ac:dyDescent="0.25">
      <c r="A50687" s="118"/>
      <c r="B50687" s="136"/>
    </row>
    <row r="50688" spans="1:2" x14ac:dyDescent="0.25">
      <c r="A50688" s="118"/>
      <c r="B50688" s="136"/>
    </row>
    <row r="50689" spans="1:2" x14ac:dyDescent="0.25">
      <c r="A50689" s="118"/>
      <c r="B50689" s="136"/>
    </row>
    <row r="50690" spans="1:2" x14ac:dyDescent="0.25">
      <c r="A50690" s="118"/>
      <c r="B50690" s="136"/>
    </row>
    <row r="50691" spans="1:2" x14ac:dyDescent="0.25">
      <c r="A50691" s="118"/>
      <c r="B50691" s="136"/>
    </row>
    <row r="50692" spans="1:2" x14ac:dyDescent="0.25">
      <c r="A50692" s="118"/>
      <c r="B50692" s="136"/>
    </row>
    <row r="50693" spans="1:2" x14ac:dyDescent="0.25">
      <c r="A50693" s="118"/>
      <c r="B50693" s="136"/>
    </row>
    <row r="50694" spans="1:2" x14ac:dyDescent="0.25">
      <c r="A50694" s="118"/>
      <c r="B50694" s="136"/>
    </row>
    <row r="50695" spans="1:2" x14ac:dyDescent="0.25">
      <c r="A50695" s="118"/>
      <c r="B50695" s="136"/>
    </row>
    <row r="50696" spans="1:2" x14ac:dyDescent="0.25">
      <c r="A50696" s="118"/>
      <c r="B50696" s="136"/>
    </row>
    <row r="50697" spans="1:2" x14ac:dyDescent="0.25">
      <c r="A50697" s="118"/>
      <c r="B50697" s="136"/>
    </row>
    <row r="50698" spans="1:2" x14ac:dyDescent="0.25">
      <c r="A50698" s="118"/>
      <c r="B50698" s="136"/>
    </row>
    <row r="50699" spans="1:2" x14ac:dyDescent="0.25">
      <c r="A50699" s="118"/>
      <c r="B50699" s="136"/>
    </row>
    <row r="50700" spans="1:2" x14ac:dyDescent="0.25">
      <c r="A50700" s="118"/>
      <c r="B50700" s="136"/>
    </row>
    <row r="50701" spans="1:2" x14ac:dyDescent="0.25">
      <c r="A50701" s="118"/>
      <c r="B50701" s="136"/>
    </row>
    <row r="50702" spans="1:2" x14ac:dyDescent="0.25">
      <c r="A50702" s="118"/>
      <c r="B50702" s="136"/>
    </row>
    <row r="50703" spans="1:2" x14ac:dyDescent="0.25">
      <c r="A50703" s="118"/>
      <c r="B50703" s="136"/>
    </row>
    <row r="50704" spans="1:2" x14ac:dyDescent="0.25">
      <c r="A50704" s="118"/>
      <c r="B50704" s="136"/>
    </row>
    <row r="50705" spans="1:2" x14ac:dyDescent="0.25">
      <c r="A50705" s="118"/>
      <c r="B50705" s="136"/>
    </row>
    <row r="50706" spans="1:2" x14ac:dyDescent="0.25">
      <c r="A50706" s="118"/>
      <c r="B50706" s="136"/>
    </row>
    <row r="50707" spans="1:2" x14ac:dyDescent="0.25">
      <c r="A50707" s="118"/>
      <c r="B50707" s="136"/>
    </row>
    <row r="50708" spans="1:2" x14ac:dyDescent="0.25">
      <c r="A50708" s="118"/>
      <c r="B50708" s="136"/>
    </row>
    <row r="50709" spans="1:2" x14ac:dyDescent="0.25">
      <c r="A50709" s="118"/>
      <c r="B50709" s="136"/>
    </row>
    <row r="50710" spans="1:2" x14ac:dyDescent="0.25">
      <c r="A50710" s="118"/>
      <c r="B50710" s="136"/>
    </row>
    <row r="50711" spans="1:2" x14ac:dyDescent="0.25">
      <c r="A50711" s="118"/>
      <c r="B50711" s="136"/>
    </row>
    <row r="50712" spans="1:2" x14ac:dyDescent="0.25">
      <c r="A50712" s="118"/>
      <c r="B50712" s="136"/>
    </row>
    <row r="50713" spans="1:2" x14ac:dyDescent="0.25">
      <c r="A50713" s="118"/>
      <c r="B50713" s="136"/>
    </row>
    <row r="50714" spans="1:2" x14ac:dyDescent="0.25">
      <c r="A50714" s="118"/>
      <c r="B50714" s="136"/>
    </row>
    <row r="50715" spans="1:2" x14ac:dyDescent="0.25">
      <c r="A50715" s="118"/>
      <c r="B50715" s="136"/>
    </row>
    <row r="50716" spans="1:2" x14ac:dyDescent="0.25">
      <c r="A50716" s="118"/>
      <c r="B50716" s="136"/>
    </row>
    <row r="50717" spans="1:2" x14ac:dyDescent="0.25">
      <c r="A50717" s="118"/>
      <c r="B50717" s="136"/>
    </row>
    <row r="50718" spans="1:2" x14ac:dyDescent="0.25">
      <c r="A50718" s="118"/>
      <c r="B50718" s="136"/>
    </row>
    <row r="50719" spans="1:2" x14ac:dyDescent="0.25">
      <c r="A50719" s="118"/>
      <c r="B50719" s="136"/>
    </row>
    <row r="50720" spans="1:2" x14ac:dyDescent="0.25">
      <c r="A50720" s="118"/>
      <c r="B50720" s="136"/>
    </row>
    <row r="50721" spans="1:2" x14ac:dyDescent="0.25">
      <c r="A50721" s="118"/>
      <c r="B50721" s="136"/>
    </row>
    <row r="50722" spans="1:2" x14ac:dyDescent="0.25">
      <c r="A50722" s="118"/>
      <c r="B50722" s="136"/>
    </row>
    <row r="50723" spans="1:2" x14ac:dyDescent="0.25">
      <c r="A50723" s="118"/>
      <c r="B50723" s="136"/>
    </row>
    <row r="50724" spans="1:2" x14ac:dyDescent="0.25">
      <c r="A50724" s="118"/>
      <c r="B50724" s="136"/>
    </row>
    <row r="50725" spans="1:2" x14ac:dyDescent="0.25">
      <c r="A50725" s="118"/>
      <c r="B50725" s="136"/>
    </row>
    <row r="50726" spans="1:2" x14ac:dyDescent="0.25">
      <c r="A50726" s="118"/>
      <c r="B50726" s="136"/>
    </row>
    <row r="50727" spans="1:2" x14ac:dyDescent="0.25">
      <c r="A50727" s="118"/>
      <c r="B50727" s="136"/>
    </row>
    <row r="50728" spans="1:2" x14ac:dyDescent="0.25">
      <c r="A50728" s="118"/>
      <c r="B50728" s="136"/>
    </row>
    <row r="50729" spans="1:2" x14ac:dyDescent="0.25">
      <c r="A50729" s="118"/>
      <c r="B50729" s="136"/>
    </row>
    <row r="50730" spans="1:2" x14ac:dyDescent="0.25">
      <c r="A50730" s="118"/>
      <c r="B50730" s="136"/>
    </row>
    <row r="50731" spans="1:2" x14ac:dyDescent="0.25">
      <c r="A50731" s="118"/>
      <c r="B50731" s="136"/>
    </row>
    <row r="50732" spans="1:2" x14ac:dyDescent="0.25">
      <c r="A50732" s="118"/>
      <c r="B50732" s="136"/>
    </row>
    <row r="50733" spans="1:2" x14ac:dyDescent="0.25">
      <c r="A50733" s="118"/>
      <c r="B50733" s="136"/>
    </row>
    <row r="50734" spans="1:2" x14ac:dyDescent="0.25">
      <c r="A50734" s="118"/>
      <c r="B50734" s="136"/>
    </row>
    <row r="50735" spans="1:2" x14ac:dyDescent="0.25">
      <c r="A50735" s="118"/>
      <c r="B50735" s="136"/>
    </row>
    <row r="50736" spans="1:2" x14ac:dyDescent="0.25">
      <c r="A50736" s="118"/>
      <c r="B50736" s="136"/>
    </row>
    <row r="50737" spans="1:2" x14ac:dyDescent="0.25">
      <c r="A50737" s="118"/>
      <c r="B50737" s="136"/>
    </row>
    <row r="50738" spans="1:2" x14ac:dyDescent="0.25">
      <c r="A50738" s="118"/>
      <c r="B50738" s="136"/>
    </row>
    <row r="50739" spans="1:2" x14ac:dyDescent="0.25">
      <c r="A50739" s="118"/>
      <c r="B50739" s="136"/>
    </row>
    <row r="50740" spans="1:2" x14ac:dyDescent="0.25">
      <c r="A50740" s="118"/>
      <c r="B50740" s="136"/>
    </row>
    <row r="50741" spans="1:2" x14ac:dyDescent="0.25">
      <c r="A50741" s="118"/>
      <c r="B50741" s="136"/>
    </row>
    <row r="50742" spans="1:2" x14ac:dyDescent="0.25">
      <c r="A50742" s="118"/>
      <c r="B50742" s="136"/>
    </row>
    <row r="50743" spans="1:2" x14ac:dyDescent="0.25">
      <c r="A50743" s="118"/>
      <c r="B50743" s="136"/>
    </row>
    <row r="50744" spans="1:2" x14ac:dyDescent="0.25">
      <c r="A50744" s="118"/>
      <c r="B50744" s="136"/>
    </row>
    <row r="50745" spans="1:2" x14ac:dyDescent="0.25">
      <c r="A50745" s="118"/>
      <c r="B50745" s="136"/>
    </row>
    <row r="50746" spans="1:2" x14ac:dyDescent="0.25">
      <c r="A50746" s="118"/>
      <c r="B50746" s="136"/>
    </row>
    <row r="50747" spans="1:2" x14ac:dyDescent="0.25">
      <c r="A50747" s="118"/>
      <c r="B50747" s="136"/>
    </row>
    <row r="50748" spans="1:2" x14ac:dyDescent="0.25">
      <c r="A50748" s="118"/>
      <c r="B50748" s="136"/>
    </row>
    <row r="50749" spans="1:2" x14ac:dyDescent="0.25">
      <c r="A50749" s="118"/>
      <c r="B50749" s="136"/>
    </row>
    <row r="50750" spans="1:2" x14ac:dyDescent="0.25">
      <c r="A50750" s="118"/>
      <c r="B50750" s="136"/>
    </row>
    <row r="50751" spans="1:2" x14ac:dyDescent="0.25">
      <c r="A50751" s="118"/>
      <c r="B50751" s="136"/>
    </row>
    <row r="50752" spans="1:2" x14ac:dyDescent="0.25">
      <c r="A50752" s="118"/>
      <c r="B50752" s="136"/>
    </row>
    <row r="50753" spans="1:2" x14ac:dyDescent="0.25">
      <c r="A50753" s="118"/>
      <c r="B50753" s="136"/>
    </row>
    <row r="50754" spans="1:2" x14ac:dyDescent="0.25">
      <c r="A50754" s="118"/>
      <c r="B50754" s="136"/>
    </row>
    <row r="50755" spans="1:2" x14ac:dyDescent="0.25">
      <c r="A50755" s="118"/>
      <c r="B50755" s="136"/>
    </row>
    <row r="50756" spans="1:2" x14ac:dyDescent="0.25">
      <c r="A50756" s="118"/>
      <c r="B50756" s="136"/>
    </row>
    <row r="50757" spans="1:2" x14ac:dyDescent="0.25">
      <c r="A50757" s="118"/>
      <c r="B50757" s="136"/>
    </row>
    <row r="50758" spans="1:2" x14ac:dyDescent="0.25">
      <c r="A50758" s="118"/>
      <c r="B50758" s="136"/>
    </row>
    <row r="50759" spans="1:2" x14ac:dyDescent="0.25">
      <c r="A50759" s="118"/>
      <c r="B50759" s="136"/>
    </row>
    <row r="50760" spans="1:2" x14ac:dyDescent="0.25">
      <c r="A50760" s="118"/>
      <c r="B50760" s="136"/>
    </row>
    <row r="50761" spans="1:2" x14ac:dyDescent="0.25">
      <c r="A50761" s="118"/>
      <c r="B50761" s="136"/>
    </row>
    <row r="50762" spans="1:2" x14ac:dyDescent="0.25">
      <c r="A50762" s="118"/>
      <c r="B50762" s="136"/>
    </row>
    <row r="50763" spans="1:2" x14ac:dyDescent="0.25">
      <c r="A50763" s="118"/>
      <c r="B50763" s="136"/>
    </row>
    <row r="50764" spans="1:2" x14ac:dyDescent="0.25">
      <c r="A50764" s="118"/>
      <c r="B50764" s="136"/>
    </row>
    <row r="50765" spans="1:2" x14ac:dyDescent="0.25">
      <c r="A50765" s="118"/>
      <c r="B50765" s="136"/>
    </row>
    <row r="50766" spans="1:2" x14ac:dyDescent="0.25">
      <c r="A50766" s="118"/>
      <c r="B50766" s="136"/>
    </row>
    <row r="50767" spans="1:2" x14ac:dyDescent="0.25">
      <c r="A50767" s="118"/>
      <c r="B50767" s="136"/>
    </row>
    <row r="50768" spans="1:2" x14ac:dyDescent="0.25">
      <c r="A50768" s="118"/>
      <c r="B50768" s="136"/>
    </row>
    <row r="50769" spans="1:2" x14ac:dyDescent="0.25">
      <c r="A50769" s="118"/>
      <c r="B50769" s="136"/>
    </row>
    <row r="50770" spans="1:2" x14ac:dyDescent="0.25">
      <c r="A50770" s="118"/>
      <c r="B50770" s="136"/>
    </row>
    <row r="50771" spans="1:2" x14ac:dyDescent="0.25">
      <c r="A50771" s="118"/>
      <c r="B50771" s="136"/>
    </row>
    <row r="50772" spans="1:2" x14ac:dyDescent="0.25">
      <c r="A50772" s="118"/>
      <c r="B50772" s="136"/>
    </row>
    <row r="50773" spans="1:2" x14ac:dyDescent="0.25">
      <c r="A50773" s="118"/>
      <c r="B50773" s="136"/>
    </row>
    <row r="50774" spans="1:2" x14ac:dyDescent="0.25">
      <c r="A50774" s="118"/>
      <c r="B50774" s="136"/>
    </row>
    <row r="50775" spans="1:2" x14ac:dyDescent="0.25">
      <c r="A50775" s="118"/>
      <c r="B50775" s="136"/>
    </row>
    <row r="50776" spans="1:2" x14ac:dyDescent="0.25">
      <c r="A50776" s="118"/>
      <c r="B50776" s="136"/>
    </row>
    <row r="50777" spans="1:2" x14ac:dyDescent="0.25">
      <c r="A50777" s="118"/>
      <c r="B50777" s="136"/>
    </row>
    <row r="50778" spans="1:2" x14ac:dyDescent="0.25">
      <c r="A50778" s="118"/>
      <c r="B50778" s="136"/>
    </row>
    <row r="50779" spans="1:2" x14ac:dyDescent="0.25">
      <c r="A50779" s="118"/>
      <c r="B50779" s="136"/>
    </row>
    <row r="50780" spans="1:2" x14ac:dyDescent="0.25">
      <c r="A50780" s="118"/>
      <c r="B50780" s="136"/>
    </row>
    <row r="50781" spans="1:2" x14ac:dyDescent="0.25">
      <c r="A50781" s="118"/>
      <c r="B50781" s="136"/>
    </row>
    <row r="50782" spans="1:2" x14ac:dyDescent="0.25">
      <c r="A50782" s="118"/>
      <c r="B50782" s="136"/>
    </row>
    <row r="50783" spans="1:2" x14ac:dyDescent="0.25">
      <c r="A50783" s="118"/>
      <c r="B50783" s="136"/>
    </row>
    <row r="50784" spans="1:2" x14ac:dyDescent="0.25">
      <c r="A50784" s="118"/>
      <c r="B50784" s="136"/>
    </row>
    <row r="50785" spans="1:2" x14ac:dyDescent="0.25">
      <c r="A50785" s="118"/>
      <c r="B50785" s="136"/>
    </row>
    <row r="50786" spans="1:2" x14ac:dyDescent="0.25">
      <c r="A50786" s="118"/>
      <c r="B50786" s="136"/>
    </row>
    <row r="50787" spans="1:2" x14ac:dyDescent="0.25">
      <c r="A50787" s="118"/>
      <c r="B50787" s="136"/>
    </row>
    <row r="50788" spans="1:2" x14ac:dyDescent="0.25">
      <c r="A50788" s="118"/>
      <c r="B50788" s="136"/>
    </row>
    <row r="50789" spans="1:2" x14ac:dyDescent="0.25">
      <c r="A50789" s="118"/>
      <c r="B50789" s="136"/>
    </row>
    <row r="50790" spans="1:2" x14ac:dyDescent="0.25">
      <c r="A50790" s="118"/>
      <c r="B50790" s="136"/>
    </row>
    <row r="50791" spans="1:2" x14ac:dyDescent="0.25">
      <c r="A50791" s="118"/>
      <c r="B50791" s="136"/>
    </row>
    <row r="50792" spans="1:2" x14ac:dyDescent="0.25">
      <c r="A50792" s="118"/>
      <c r="B50792" s="136"/>
    </row>
    <row r="50793" spans="1:2" x14ac:dyDescent="0.25">
      <c r="A50793" s="118"/>
      <c r="B50793" s="136"/>
    </row>
    <row r="50794" spans="1:2" x14ac:dyDescent="0.25">
      <c r="A50794" s="118"/>
      <c r="B50794" s="136"/>
    </row>
    <row r="50795" spans="1:2" x14ac:dyDescent="0.25">
      <c r="A50795" s="118"/>
      <c r="B50795" s="136"/>
    </row>
    <row r="50796" spans="1:2" x14ac:dyDescent="0.25">
      <c r="A50796" s="118"/>
      <c r="B50796" s="136"/>
    </row>
    <row r="50797" spans="1:2" x14ac:dyDescent="0.25">
      <c r="A50797" s="118"/>
      <c r="B50797" s="136"/>
    </row>
    <row r="50798" spans="1:2" x14ac:dyDescent="0.25">
      <c r="A50798" s="118"/>
      <c r="B50798" s="136"/>
    </row>
    <row r="50799" spans="1:2" x14ac:dyDescent="0.25">
      <c r="A50799" s="118"/>
      <c r="B50799" s="136"/>
    </row>
    <row r="50800" spans="1:2" x14ac:dyDescent="0.25">
      <c r="A50800" s="118"/>
      <c r="B50800" s="136"/>
    </row>
    <row r="50801" spans="1:2" x14ac:dyDescent="0.25">
      <c r="A50801" s="118"/>
      <c r="B50801" s="136"/>
    </row>
    <row r="50802" spans="1:2" x14ac:dyDescent="0.25">
      <c r="A50802" s="118"/>
      <c r="B50802" s="136"/>
    </row>
    <row r="50803" spans="1:2" x14ac:dyDescent="0.25">
      <c r="A50803" s="118"/>
      <c r="B50803" s="136"/>
    </row>
    <row r="50804" spans="1:2" x14ac:dyDescent="0.25">
      <c r="A50804" s="118"/>
      <c r="B50804" s="136"/>
    </row>
    <row r="50805" spans="1:2" x14ac:dyDescent="0.25">
      <c r="A50805" s="118"/>
      <c r="B50805" s="136"/>
    </row>
    <row r="50806" spans="1:2" x14ac:dyDescent="0.25">
      <c r="A50806" s="118"/>
      <c r="B50806" s="136"/>
    </row>
    <row r="50807" spans="1:2" x14ac:dyDescent="0.25">
      <c r="A50807" s="118"/>
      <c r="B50807" s="136"/>
    </row>
    <row r="50808" spans="1:2" x14ac:dyDescent="0.25">
      <c r="A50808" s="118"/>
      <c r="B50808" s="136"/>
    </row>
    <row r="50809" spans="1:2" x14ac:dyDescent="0.25">
      <c r="A50809" s="118"/>
      <c r="B50809" s="136"/>
    </row>
    <row r="50810" spans="1:2" x14ac:dyDescent="0.25">
      <c r="A50810" s="118"/>
      <c r="B50810" s="136"/>
    </row>
    <row r="50811" spans="1:2" x14ac:dyDescent="0.25">
      <c r="A50811" s="118"/>
      <c r="B50811" s="136"/>
    </row>
    <row r="50812" spans="1:2" x14ac:dyDescent="0.25">
      <c r="A50812" s="118"/>
      <c r="B50812" s="136"/>
    </row>
    <row r="50813" spans="1:2" x14ac:dyDescent="0.25">
      <c r="A50813" s="118"/>
      <c r="B50813" s="136"/>
    </row>
    <row r="50814" spans="1:2" x14ac:dyDescent="0.25">
      <c r="A50814" s="118"/>
      <c r="B50814" s="136"/>
    </row>
    <row r="50815" spans="1:2" x14ac:dyDescent="0.25">
      <c r="A50815" s="118"/>
      <c r="B50815" s="136"/>
    </row>
    <row r="50816" spans="1:2" x14ac:dyDescent="0.25">
      <c r="A50816" s="118"/>
      <c r="B50816" s="136"/>
    </row>
    <row r="50817" spans="1:2" x14ac:dyDescent="0.25">
      <c r="A50817" s="118"/>
      <c r="B50817" s="136"/>
    </row>
    <row r="50818" spans="1:2" x14ac:dyDescent="0.25">
      <c r="A50818" s="118"/>
      <c r="B50818" s="136"/>
    </row>
    <row r="50819" spans="1:2" x14ac:dyDescent="0.25">
      <c r="A50819" s="118"/>
      <c r="B50819" s="136"/>
    </row>
    <row r="50820" spans="1:2" x14ac:dyDescent="0.25">
      <c r="A50820" s="118"/>
      <c r="B50820" s="136"/>
    </row>
    <row r="50821" spans="1:2" x14ac:dyDescent="0.25">
      <c r="A50821" s="118"/>
      <c r="B50821" s="136"/>
    </row>
    <row r="50822" spans="1:2" x14ac:dyDescent="0.25">
      <c r="A50822" s="118"/>
      <c r="B50822" s="136"/>
    </row>
    <row r="50823" spans="1:2" x14ac:dyDescent="0.25">
      <c r="A50823" s="118"/>
      <c r="B50823" s="136"/>
    </row>
    <row r="50824" spans="1:2" x14ac:dyDescent="0.25">
      <c r="A50824" s="118"/>
      <c r="B50824" s="136"/>
    </row>
    <row r="50825" spans="1:2" x14ac:dyDescent="0.25">
      <c r="A50825" s="118"/>
      <c r="B50825" s="136"/>
    </row>
    <row r="50826" spans="1:2" x14ac:dyDescent="0.25">
      <c r="A50826" s="118"/>
      <c r="B50826" s="136"/>
    </row>
    <row r="50827" spans="1:2" x14ac:dyDescent="0.25">
      <c r="A50827" s="118"/>
      <c r="B50827" s="136"/>
    </row>
    <row r="50828" spans="1:2" x14ac:dyDescent="0.25">
      <c r="A50828" s="118"/>
      <c r="B50828" s="136"/>
    </row>
    <row r="50829" spans="1:2" x14ac:dyDescent="0.25">
      <c r="A50829" s="118"/>
      <c r="B50829" s="136"/>
    </row>
    <row r="50830" spans="1:2" x14ac:dyDescent="0.25">
      <c r="A50830" s="118"/>
      <c r="B50830" s="136"/>
    </row>
    <row r="50831" spans="1:2" x14ac:dyDescent="0.25">
      <c r="A50831" s="118"/>
      <c r="B50831" s="136"/>
    </row>
    <row r="50832" spans="1:2" x14ac:dyDescent="0.25">
      <c r="A50832" s="118"/>
      <c r="B50832" s="136"/>
    </row>
    <row r="50833" spans="1:2" x14ac:dyDescent="0.25">
      <c r="A50833" s="118"/>
      <c r="B50833" s="136"/>
    </row>
    <row r="50834" spans="1:2" x14ac:dyDescent="0.25">
      <c r="A50834" s="118"/>
      <c r="B50834" s="136"/>
    </row>
    <row r="50835" spans="1:2" x14ac:dyDescent="0.25">
      <c r="A50835" s="118"/>
      <c r="B50835" s="136"/>
    </row>
    <row r="50836" spans="1:2" x14ac:dyDescent="0.25">
      <c r="A50836" s="118"/>
      <c r="B50836" s="136"/>
    </row>
    <row r="50837" spans="1:2" x14ac:dyDescent="0.25">
      <c r="A50837" s="118"/>
      <c r="B50837" s="136"/>
    </row>
    <row r="50838" spans="1:2" x14ac:dyDescent="0.25">
      <c r="A50838" s="118"/>
      <c r="B50838" s="136"/>
    </row>
    <row r="50839" spans="1:2" x14ac:dyDescent="0.25">
      <c r="A50839" s="118"/>
      <c r="B50839" s="136"/>
    </row>
    <row r="50840" spans="1:2" x14ac:dyDescent="0.25">
      <c r="A50840" s="118"/>
      <c r="B50840" s="136"/>
    </row>
    <row r="50841" spans="1:2" x14ac:dyDescent="0.25">
      <c r="A50841" s="118"/>
      <c r="B50841" s="136"/>
    </row>
    <row r="50842" spans="1:2" x14ac:dyDescent="0.25">
      <c r="A50842" s="118"/>
      <c r="B50842" s="136"/>
    </row>
    <row r="50843" spans="1:2" x14ac:dyDescent="0.25">
      <c r="A50843" s="118"/>
      <c r="B50843" s="136"/>
    </row>
    <row r="50844" spans="1:2" x14ac:dyDescent="0.25">
      <c r="A50844" s="118"/>
      <c r="B50844" s="136"/>
    </row>
    <row r="50845" spans="1:2" x14ac:dyDescent="0.25">
      <c r="A50845" s="118"/>
      <c r="B50845" s="136"/>
    </row>
    <row r="50846" spans="1:2" x14ac:dyDescent="0.25">
      <c r="A50846" s="118"/>
      <c r="B50846" s="136"/>
    </row>
    <row r="50847" spans="1:2" x14ac:dyDescent="0.25">
      <c r="A50847" s="118"/>
      <c r="B50847" s="136"/>
    </row>
    <row r="50848" spans="1:2" x14ac:dyDescent="0.25">
      <c r="A50848" s="118"/>
      <c r="B50848" s="136"/>
    </row>
    <row r="50849" spans="1:2" x14ac:dyDescent="0.25">
      <c r="A50849" s="118"/>
      <c r="B50849" s="136"/>
    </row>
    <row r="50850" spans="1:2" x14ac:dyDescent="0.25">
      <c r="A50850" s="118"/>
      <c r="B50850" s="136"/>
    </row>
    <row r="50851" spans="1:2" x14ac:dyDescent="0.25">
      <c r="A50851" s="118"/>
      <c r="B50851" s="136"/>
    </row>
    <row r="50852" spans="1:2" x14ac:dyDescent="0.25">
      <c r="A50852" s="118"/>
      <c r="B50852" s="136"/>
    </row>
    <row r="50853" spans="1:2" x14ac:dyDescent="0.25">
      <c r="A50853" s="118"/>
      <c r="B50853" s="136"/>
    </row>
    <row r="50854" spans="1:2" x14ac:dyDescent="0.25">
      <c r="A50854" s="118"/>
      <c r="B50854" s="136"/>
    </row>
    <row r="50855" spans="1:2" x14ac:dyDescent="0.25">
      <c r="A50855" s="118"/>
      <c r="B50855" s="136"/>
    </row>
    <row r="50856" spans="1:2" x14ac:dyDescent="0.25">
      <c r="A50856" s="118"/>
      <c r="B50856" s="136"/>
    </row>
    <row r="50857" spans="1:2" x14ac:dyDescent="0.25">
      <c r="A50857" s="118"/>
      <c r="B50857" s="136"/>
    </row>
    <row r="50858" spans="1:2" x14ac:dyDescent="0.25">
      <c r="A50858" s="118"/>
      <c r="B50858" s="136"/>
    </row>
    <row r="50859" spans="1:2" x14ac:dyDescent="0.25">
      <c r="A50859" s="118"/>
      <c r="B50859" s="136"/>
    </row>
    <row r="50860" spans="1:2" x14ac:dyDescent="0.25">
      <c r="A50860" s="118"/>
      <c r="B50860" s="136"/>
    </row>
    <row r="50861" spans="1:2" x14ac:dyDescent="0.25">
      <c r="A50861" s="118"/>
      <c r="B50861" s="136"/>
    </row>
    <row r="50862" spans="1:2" x14ac:dyDescent="0.25">
      <c r="A50862" s="118"/>
      <c r="B50862" s="136"/>
    </row>
    <row r="50863" spans="1:2" x14ac:dyDescent="0.25">
      <c r="A50863" s="118"/>
      <c r="B50863" s="136"/>
    </row>
    <row r="50864" spans="1:2" x14ac:dyDescent="0.25">
      <c r="A50864" s="118"/>
      <c r="B50864" s="136"/>
    </row>
    <row r="50865" spans="1:2" x14ac:dyDescent="0.25">
      <c r="A50865" s="118"/>
      <c r="B50865" s="136"/>
    </row>
    <row r="50866" spans="1:2" x14ac:dyDescent="0.25">
      <c r="A50866" s="118"/>
      <c r="B50866" s="136"/>
    </row>
    <row r="50867" spans="1:2" x14ac:dyDescent="0.25">
      <c r="A50867" s="118"/>
      <c r="B50867" s="136"/>
    </row>
    <row r="50868" spans="1:2" x14ac:dyDescent="0.25">
      <c r="A50868" s="118"/>
      <c r="B50868" s="136"/>
    </row>
    <row r="50869" spans="1:2" x14ac:dyDescent="0.25">
      <c r="A50869" s="118"/>
      <c r="B50869" s="136"/>
    </row>
    <row r="50870" spans="1:2" x14ac:dyDescent="0.25">
      <c r="A50870" s="118"/>
      <c r="B50870" s="136"/>
    </row>
    <row r="50871" spans="1:2" x14ac:dyDescent="0.25">
      <c r="A50871" s="118"/>
      <c r="B50871" s="136"/>
    </row>
    <row r="50872" spans="1:2" x14ac:dyDescent="0.25">
      <c r="A50872" s="118"/>
      <c r="B50872" s="136"/>
    </row>
    <row r="50873" spans="1:2" x14ac:dyDescent="0.25">
      <c r="A50873" s="118"/>
      <c r="B50873" s="136"/>
    </row>
    <row r="50874" spans="1:2" x14ac:dyDescent="0.25">
      <c r="A50874" s="118"/>
      <c r="B50874" s="136"/>
    </row>
    <row r="50875" spans="1:2" x14ac:dyDescent="0.25">
      <c r="A50875" s="118"/>
      <c r="B50875" s="136"/>
    </row>
    <row r="50876" spans="1:2" x14ac:dyDescent="0.25">
      <c r="A50876" s="118"/>
      <c r="B50876" s="136"/>
    </row>
    <row r="50877" spans="1:2" x14ac:dyDescent="0.25">
      <c r="A50877" s="118"/>
      <c r="B50877" s="136"/>
    </row>
    <row r="50878" spans="1:2" x14ac:dyDescent="0.25">
      <c r="A50878" s="118"/>
      <c r="B50878" s="136"/>
    </row>
    <row r="50879" spans="1:2" x14ac:dyDescent="0.25">
      <c r="A50879" s="118"/>
      <c r="B50879" s="136"/>
    </row>
    <row r="50880" spans="1:2" x14ac:dyDescent="0.25">
      <c r="A50880" s="118"/>
      <c r="B50880" s="136"/>
    </row>
    <row r="50881" spans="1:2" x14ac:dyDescent="0.25">
      <c r="A50881" s="118"/>
      <c r="B50881" s="136"/>
    </row>
    <row r="50882" spans="1:2" x14ac:dyDescent="0.25">
      <c r="A50882" s="118"/>
      <c r="B50882" s="136"/>
    </row>
    <row r="50883" spans="1:2" x14ac:dyDescent="0.25">
      <c r="A50883" s="118"/>
      <c r="B50883" s="136"/>
    </row>
    <row r="50884" spans="1:2" x14ac:dyDescent="0.25">
      <c r="A50884" s="118"/>
      <c r="B50884" s="136"/>
    </row>
    <row r="50885" spans="1:2" x14ac:dyDescent="0.25">
      <c r="A50885" s="118"/>
      <c r="B50885" s="136"/>
    </row>
    <row r="50886" spans="1:2" x14ac:dyDescent="0.25">
      <c r="A50886" s="118"/>
      <c r="B50886" s="136"/>
    </row>
    <row r="50887" spans="1:2" x14ac:dyDescent="0.25">
      <c r="A50887" s="118"/>
      <c r="B50887" s="136"/>
    </row>
    <row r="50888" spans="1:2" x14ac:dyDescent="0.25">
      <c r="A50888" s="118"/>
      <c r="B50888" s="136"/>
    </row>
    <row r="50889" spans="1:2" x14ac:dyDescent="0.25">
      <c r="A50889" s="118"/>
      <c r="B50889" s="136"/>
    </row>
    <row r="50890" spans="1:2" x14ac:dyDescent="0.25">
      <c r="A50890" s="118"/>
      <c r="B50890" s="136"/>
    </row>
    <row r="50891" spans="1:2" x14ac:dyDescent="0.25">
      <c r="A50891" s="118"/>
      <c r="B50891" s="136"/>
    </row>
    <row r="50892" spans="1:2" x14ac:dyDescent="0.25">
      <c r="A50892" s="118"/>
      <c r="B50892" s="136"/>
    </row>
    <row r="50893" spans="1:2" x14ac:dyDescent="0.25">
      <c r="A50893" s="118"/>
      <c r="B50893" s="136"/>
    </row>
    <row r="50894" spans="1:2" x14ac:dyDescent="0.25">
      <c r="A50894" s="118"/>
      <c r="B50894" s="136"/>
    </row>
    <row r="50895" spans="1:2" x14ac:dyDescent="0.25">
      <c r="A50895" s="118"/>
      <c r="B50895" s="136"/>
    </row>
    <row r="50896" spans="1:2" x14ac:dyDescent="0.25">
      <c r="A50896" s="118"/>
      <c r="B50896" s="136"/>
    </row>
    <row r="50897" spans="1:2" x14ac:dyDescent="0.25">
      <c r="A50897" s="118"/>
      <c r="B50897" s="136"/>
    </row>
    <row r="50898" spans="1:2" x14ac:dyDescent="0.25">
      <c r="A50898" s="118"/>
      <c r="B50898" s="136"/>
    </row>
    <row r="50899" spans="1:2" x14ac:dyDescent="0.25">
      <c r="A50899" s="118"/>
      <c r="B50899" s="136"/>
    </row>
    <row r="50900" spans="1:2" x14ac:dyDescent="0.25">
      <c r="A50900" s="118"/>
      <c r="B50900" s="136"/>
    </row>
    <row r="50901" spans="1:2" x14ac:dyDescent="0.25">
      <c r="A50901" s="118"/>
      <c r="B50901" s="136"/>
    </row>
    <row r="50902" spans="1:2" x14ac:dyDescent="0.25">
      <c r="A50902" s="118"/>
      <c r="B50902" s="136"/>
    </row>
    <row r="50903" spans="1:2" x14ac:dyDescent="0.25">
      <c r="A50903" s="118"/>
      <c r="B50903" s="136"/>
    </row>
    <row r="50904" spans="1:2" x14ac:dyDescent="0.25">
      <c r="A50904" s="118"/>
      <c r="B50904" s="136"/>
    </row>
    <row r="50905" spans="1:2" x14ac:dyDescent="0.25">
      <c r="A50905" s="118"/>
      <c r="B50905" s="136"/>
    </row>
    <row r="50906" spans="1:2" x14ac:dyDescent="0.25">
      <c r="A50906" s="118"/>
      <c r="B50906" s="136"/>
    </row>
    <row r="50907" spans="1:2" x14ac:dyDescent="0.25">
      <c r="A50907" s="118"/>
      <c r="B50907" s="136"/>
    </row>
    <row r="50908" spans="1:2" x14ac:dyDescent="0.25">
      <c r="A50908" s="118"/>
      <c r="B50908" s="136"/>
    </row>
    <row r="50909" spans="1:2" x14ac:dyDescent="0.25">
      <c r="A50909" s="118"/>
      <c r="B50909" s="136"/>
    </row>
    <row r="50910" spans="1:2" x14ac:dyDescent="0.25">
      <c r="A50910" s="118"/>
      <c r="B50910" s="136"/>
    </row>
    <row r="50911" spans="1:2" x14ac:dyDescent="0.25">
      <c r="A50911" s="118"/>
      <c r="B50911" s="136"/>
    </row>
    <row r="50912" spans="1:2" x14ac:dyDescent="0.25">
      <c r="A50912" s="118"/>
      <c r="B50912" s="136"/>
    </row>
    <row r="50913" spans="1:2" x14ac:dyDescent="0.25">
      <c r="A50913" s="118"/>
      <c r="B50913" s="136"/>
    </row>
    <row r="50914" spans="1:2" x14ac:dyDescent="0.25">
      <c r="A50914" s="118"/>
      <c r="B50914" s="136"/>
    </row>
    <row r="50915" spans="1:2" x14ac:dyDescent="0.25">
      <c r="A50915" s="118"/>
      <c r="B50915" s="136"/>
    </row>
    <row r="50916" spans="1:2" x14ac:dyDescent="0.25">
      <c r="A50916" s="118"/>
      <c r="B50916" s="136"/>
    </row>
    <row r="50917" spans="1:2" x14ac:dyDescent="0.25">
      <c r="A50917" s="118"/>
      <c r="B50917" s="136"/>
    </row>
    <row r="50918" spans="1:2" x14ac:dyDescent="0.25">
      <c r="A50918" s="118"/>
      <c r="B50918" s="136"/>
    </row>
    <row r="50919" spans="1:2" x14ac:dyDescent="0.25">
      <c r="A50919" s="118"/>
      <c r="B50919" s="136"/>
    </row>
    <row r="50920" spans="1:2" x14ac:dyDescent="0.25">
      <c r="A50920" s="118"/>
      <c r="B50920" s="136"/>
    </row>
    <row r="50921" spans="1:2" x14ac:dyDescent="0.25">
      <c r="A50921" s="118"/>
      <c r="B50921" s="136"/>
    </row>
    <row r="50922" spans="1:2" x14ac:dyDescent="0.25">
      <c r="A50922" s="118"/>
      <c r="B50922" s="136"/>
    </row>
    <row r="50923" spans="1:2" x14ac:dyDescent="0.25">
      <c r="A50923" s="118"/>
      <c r="B50923" s="136"/>
    </row>
    <row r="50924" spans="1:2" x14ac:dyDescent="0.25">
      <c r="A50924" s="118"/>
      <c r="B50924" s="136"/>
    </row>
    <row r="50925" spans="1:2" x14ac:dyDescent="0.25">
      <c r="A50925" s="118"/>
      <c r="B50925" s="136"/>
    </row>
    <row r="50926" spans="1:2" x14ac:dyDescent="0.25">
      <c r="A50926" s="118"/>
      <c r="B50926" s="136"/>
    </row>
    <row r="50927" spans="1:2" x14ac:dyDescent="0.25">
      <c r="A50927" s="118"/>
      <c r="B50927" s="136"/>
    </row>
    <row r="50928" spans="1:2" x14ac:dyDescent="0.25">
      <c r="A50928" s="118"/>
      <c r="B50928" s="136"/>
    </row>
    <row r="50929" spans="1:2" x14ac:dyDescent="0.25">
      <c r="A50929" s="118"/>
      <c r="B50929" s="136"/>
    </row>
    <row r="50930" spans="1:2" x14ac:dyDescent="0.25">
      <c r="A50930" s="118"/>
      <c r="B50930" s="136"/>
    </row>
    <row r="50931" spans="1:2" x14ac:dyDescent="0.25">
      <c r="A50931" s="118"/>
      <c r="B50931" s="136"/>
    </row>
    <row r="50932" spans="1:2" x14ac:dyDescent="0.25">
      <c r="A50932" s="118"/>
      <c r="B50932" s="136"/>
    </row>
    <row r="50933" spans="1:2" x14ac:dyDescent="0.25">
      <c r="A50933" s="118"/>
      <c r="B50933" s="136"/>
    </row>
    <row r="50934" spans="1:2" x14ac:dyDescent="0.25">
      <c r="A50934" s="118"/>
      <c r="B50934" s="136"/>
    </row>
    <row r="50935" spans="1:2" x14ac:dyDescent="0.25">
      <c r="A50935" s="118"/>
      <c r="B50935" s="136"/>
    </row>
    <row r="50936" spans="1:2" x14ac:dyDescent="0.25">
      <c r="A50936" s="118"/>
      <c r="B50936" s="136"/>
    </row>
    <row r="50937" spans="1:2" x14ac:dyDescent="0.25">
      <c r="A50937" s="118"/>
      <c r="B50937" s="136"/>
    </row>
    <row r="50938" spans="1:2" x14ac:dyDescent="0.25">
      <c r="A50938" s="118"/>
      <c r="B50938" s="136"/>
    </row>
    <row r="50939" spans="1:2" x14ac:dyDescent="0.25">
      <c r="A50939" s="118"/>
      <c r="B50939" s="136"/>
    </row>
    <row r="50940" spans="1:2" x14ac:dyDescent="0.25">
      <c r="A50940" s="118"/>
      <c r="B50940" s="136"/>
    </row>
    <row r="50941" spans="1:2" x14ac:dyDescent="0.25">
      <c r="A50941" s="118"/>
      <c r="B50941" s="136"/>
    </row>
    <row r="50942" spans="1:2" x14ac:dyDescent="0.25">
      <c r="A50942" s="118"/>
      <c r="B50942" s="136"/>
    </row>
    <row r="50943" spans="1:2" x14ac:dyDescent="0.25">
      <c r="A50943" s="118"/>
      <c r="B50943" s="136"/>
    </row>
    <row r="50944" spans="1:2" x14ac:dyDescent="0.25">
      <c r="A50944" s="118"/>
      <c r="B50944" s="136"/>
    </row>
    <row r="50945" spans="1:2" x14ac:dyDescent="0.25">
      <c r="A50945" s="118"/>
      <c r="B50945" s="136"/>
    </row>
    <row r="50946" spans="1:2" x14ac:dyDescent="0.25">
      <c r="A50946" s="118"/>
      <c r="B50946" s="136"/>
    </row>
    <row r="50947" spans="1:2" x14ac:dyDescent="0.25">
      <c r="A50947" s="118"/>
      <c r="B50947" s="136"/>
    </row>
    <row r="50948" spans="1:2" x14ac:dyDescent="0.25">
      <c r="A50948" s="118"/>
      <c r="B50948" s="136"/>
    </row>
    <row r="50949" spans="1:2" x14ac:dyDescent="0.25">
      <c r="A50949" s="118"/>
      <c r="B50949" s="136"/>
    </row>
    <row r="50950" spans="1:2" x14ac:dyDescent="0.25">
      <c r="A50950" s="118"/>
      <c r="B50950" s="136"/>
    </row>
    <row r="50951" spans="1:2" x14ac:dyDescent="0.25">
      <c r="A50951" s="118"/>
      <c r="B50951" s="136"/>
    </row>
    <row r="50952" spans="1:2" x14ac:dyDescent="0.25">
      <c r="A50952" s="118"/>
      <c r="B50952" s="136"/>
    </row>
    <row r="50953" spans="1:2" x14ac:dyDescent="0.25">
      <c r="A50953" s="118"/>
      <c r="B50953" s="136"/>
    </row>
    <row r="50954" spans="1:2" x14ac:dyDescent="0.25">
      <c r="A50954" s="118"/>
      <c r="B50954" s="136"/>
    </row>
    <row r="50955" spans="1:2" x14ac:dyDescent="0.25">
      <c r="A50955" s="118"/>
      <c r="B50955" s="136"/>
    </row>
    <row r="50956" spans="1:2" x14ac:dyDescent="0.25">
      <c r="A50956" s="118"/>
      <c r="B50956" s="136"/>
    </row>
    <row r="50957" spans="1:2" x14ac:dyDescent="0.25">
      <c r="A50957" s="118"/>
      <c r="B50957" s="136"/>
    </row>
    <row r="50958" spans="1:2" x14ac:dyDescent="0.25">
      <c r="A50958" s="118"/>
      <c r="B50958" s="136"/>
    </row>
    <row r="50959" spans="1:2" x14ac:dyDescent="0.25">
      <c r="A50959" s="118"/>
      <c r="B50959" s="136"/>
    </row>
    <row r="50960" spans="1:2" x14ac:dyDescent="0.25">
      <c r="A50960" s="118"/>
      <c r="B50960" s="136"/>
    </row>
    <row r="50961" spans="1:2" x14ac:dyDescent="0.25">
      <c r="A50961" s="118"/>
      <c r="B50961" s="136"/>
    </row>
    <row r="50962" spans="1:2" x14ac:dyDescent="0.25">
      <c r="A50962" s="118"/>
      <c r="B50962" s="136"/>
    </row>
    <row r="50963" spans="1:2" x14ac:dyDescent="0.25">
      <c r="A50963" s="118"/>
      <c r="B50963" s="136"/>
    </row>
    <row r="50964" spans="1:2" x14ac:dyDescent="0.25">
      <c r="A50964" s="118"/>
      <c r="B50964" s="136"/>
    </row>
    <row r="50965" spans="1:2" x14ac:dyDescent="0.25">
      <c r="A50965" s="118"/>
      <c r="B50965" s="136"/>
    </row>
    <row r="50966" spans="1:2" x14ac:dyDescent="0.25">
      <c r="A50966" s="118"/>
      <c r="B50966" s="136"/>
    </row>
    <row r="50967" spans="1:2" x14ac:dyDescent="0.25">
      <c r="A50967" s="118"/>
      <c r="B50967" s="136"/>
    </row>
    <row r="50968" spans="1:2" x14ac:dyDescent="0.25">
      <c r="A50968" s="118"/>
      <c r="B50968" s="136"/>
    </row>
    <row r="50969" spans="1:2" x14ac:dyDescent="0.25">
      <c r="A50969" s="118"/>
      <c r="B50969" s="136"/>
    </row>
    <row r="50970" spans="1:2" x14ac:dyDescent="0.25">
      <c r="A50970" s="118"/>
      <c r="B50970" s="136"/>
    </row>
    <row r="50971" spans="1:2" x14ac:dyDescent="0.25">
      <c r="A50971" s="118"/>
      <c r="B50971" s="136"/>
    </row>
    <row r="50972" spans="1:2" x14ac:dyDescent="0.25">
      <c r="A50972" s="118"/>
      <c r="B50972" s="136"/>
    </row>
    <row r="50973" spans="1:2" x14ac:dyDescent="0.25">
      <c r="A50973" s="118"/>
      <c r="B50973" s="136"/>
    </row>
    <row r="50974" spans="1:2" x14ac:dyDescent="0.25">
      <c r="A50974" s="118"/>
      <c r="B50974" s="136"/>
    </row>
    <row r="50975" spans="1:2" x14ac:dyDescent="0.25">
      <c r="A50975" s="118"/>
      <c r="B50975" s="136"/>
    </row>
    <row r="50976" spans="1:2" x14ac:dyDescent="0.25">
      <c r="A50976" s="118"/>
      <c r="B50976" s="136"/>
    </row>
    <row r="50977" spans="1:2" x14ac:dyDescent="0.25">
      <c r="A50977" s="118"/>
      <c r="B50977" s="136"/>
    </row>
    <row r="50978" spans="1:2" x14ac:dyDescent="0.25">
      <c r="A50978" s="118"/>
      <c r="B50978" s="136"/>
    </row>
    <row r="50979" spans="1:2" x14ac:dyDescent="0.25">
      <c r="A50979" s="118"/>
      <c r="B50979" s="136"/>
    </row>
    <row r="50980" spans="1:2" x14ac:dyDescent="0.25">
      <c r="A50980" s="118"/>
      <c r="B50980" s="136"/>
    </row>
    <row r="50981" spans="1:2" x14ac:dyDescent="0.25">
      <c r="A50981" s="118"/>
      <c r="B50981" s="136"/>
    </row>
    <row r="50982" spans="1:2" x14ac:dyDescent="0.25">
      <c r="A50982" s="118"/>
      <c r="B50982" s="136"/>
    </row>
    <row r="50983" spans="1:2" x14ac:dyDescent="0.25">
      <c r="A50983" s="118"/>
      <c r="B50983" s="136"/>
    </row>
    <row r="50984" spans="1:2" x14ac:dyDescent="0.25">
      <c r="A50984" s="118"/>
      <c r="B50984" s="136"/>
    </row>
    <row r="50985" spans="1:2" x14ac:dyDescent="0.25">
      <c r="A50985" s="118"/>
      <c r="B50985" s="136"/>
    </row>
    <row r="50986" spans="1:2" x14ac:dyDescent="0.25">
      <c r="A50986" s="118"/>
      <c r="B50986" s="136"/>
    </row>
    <row r="50987" spans="1:2" x14ac:dyDescent="0.25">
      <c r="A50987" s="118"/>
      <c r="B50987" s="136"/>
    </row>
    <row r="50988" spans="1:2" x14ac:dyDescent="0.25">
      <c r="A50988" s="118"/>
      <c r="B50988" s="136"/>
    </row>
    <row r="50989" spans="1:2" x14ac:dyDescent="0.25">
      <c r="A50989" s="118"/>
      <c r="B50989" s="136"/>
    </row>
    <row r="50990" spans="1:2" x14ac:dyDescent="0.25">
      <c r="A50990" s="118"/>
      <c r="B50990" s="136"/>
    </row>
    <row r="50991" spans="1:2" x14ac:dyDescent="0.25">
      <c r="A50991" s="118"/>
      <c r="B50991" s="136"/>
    </row>
    <row r="50992" spans="1:2" x14ac:dyDescent="0.25">
      <c r="A50992" s="118"/>
      <c r="B50992" s="136"/>
    </row>
    <row r="50993" spans="1:2" x14ac:dyDescent="0.25">
      <c r="A50993" s="118"/>
      <c r="B50993" s="136"/>
    </row>
    <row r="50994" spans="1:2" x14ac:dyDescent="0.25">
      <c r="A50994" s="118"/>
      <c r="B50994" s="136"/>
    </row>
    <row r="50995" spans="1:2" x14ac:dyDescent="0.25">
      <c r="A50995" s="118"/>
      <c r="B50995" s="136"/>
    </row>
    <row r="50996" spans="1:2" x14ac:dyDescent="0.25">
      <c r="A50996" s="118"/>
      <c r="B50996" s="136"/>
    </row>
    <row r="50997" spans="1:2" x14ac:dyDescent="0.25">
      <c r="A50997" s="118"/>
      <c r="B50997" s="136"/>
    </row>
    <row r="50998" spans="1:2" x14ac:dyDescent="0.25">
      <c r="A50998" s="118"/>
      <c r="B50998" s="136"/>
    </row>
    <row r="50999" spans="1:2" x14ac:dyDescent="0.25">
      <c r="A50999" s="118"/>
      <c r="B50999" s="136"/>
    </row>
    <row r="51000" spans="1:2" x14ac:dyDescent="0.25">
      <c r="A51000" s="118"/>
      <c r="B51000" s="136"/>
    </row>
    <row r="51001" spans="1:2" x14ac:dyDescent="0.25">
      <c r="A51001" s="118"/>
      <c r="B51001" s="136"/>
    </row>
    <row r="51002" spans="1:2" x14ac:dyDescent="0.25">
      <c r="A51002" s="118"/>
      <c r="B51002" s="136"/>
    </row>
    <row r="51003" spans="1:2" x14ac:dyDescent="0.25">
      <c r="A51003" s="118"/>
      <c r="B51003" s="136"/>
    </row>
    <row r="51004" spans="1:2" x14ac:dyDescent="0.25">
      <c r="A51004" s="118"/>
      <c r="B51004" s="136"/>
    </row>
    <row r="51005" spans="1:2" x14ac:dyDescent="0.25">
      <c r="A51005" s="118"/>
      <c r="B51005" s="136"/>
    </row>
    <row r="51006" spans="1:2" x14ac:dyDescent="0.25">
      <c r="A51006" s="118"/>
      <c r="B51006" s="136"/>
    </row>
    <row r="51007" spans="1:2" x14ac:dyDescent="0.25">
      <c r="A51007" s="118"/>
      <c r="B51007" s="136"/>
    </row>
    <row r="51008" spans="1:2" x14ac:dyDescent="0.25">
      <c r="A51008" s="118"/>
      <c r="B51008" s="136"/>
    </row>
    <row r="51009" spans="1:2" x14ac:dyDescent="0.25">
      <c r="A51009" s="118"/>
      <c r="B51009" s="136"/>
    </row>
    <row r="51010" spans="1:2" x14ac:dyDescent="0.25">
      <c r="A51010" s="118"/>
      <c r="B51010" s="136"/>
    </row>
    <row r="51011" spans="1:2" x14ac:dyDescent="0.25">
      <c r="A51011" s="118"/>
      <c r="B51011" s="136"/>
    </row>
    <row r="51012" spans="1:2" x14ac:dyDescent="0.25">
      <c r="A51012" s="118"/>
      <c r="B51012" s="136"/>
    </row>
    <row r="51013" spans="1:2" x14ac:dyDescent="0.25">
      <c r="A51013" s="118"/>
      <c r="B51013" s="136"/>
    </row>
    <row r="51014" spans="1:2" x14ac:dyDescent="0.25">
      <c r="A51014" s="118"/>
      <c r="B51014" s="136"/>
    </row>
    <row r="51015" spans="1:2" x14ac:dyDescent="0.25">
      <c r="A51015" s="118"/>
      <c r="B51015" s="136"/>
    </row>
    <row r="51016" spans="1:2" x14ac:dyDescent="0.25">
      <c r="A51016" s="118"/>
      <c r="B51016" s="136"/>
    </row>
    <row r="51017" spans="1:2" x14ac:dyDescent="0.25">
      <c r="A51017" s="118"/>
      <c r="B51017" s="136"/>
    </row>
    <row r="51018" spans="1:2" x14ac:dyDescent="0.25">
      <c r="A51018" s="118"/>
      <c r="B51018" s="136"/>
    </row>
    <row r="51019" spans="1:2" x14ac:dyDescent="0.25">
      <c r="A51019" s="118"/>
      <c r="B51019" s="136"/>
    </row>
    <row r="51020" spans="1:2" x14ac:dyDescent="0.25">
      <c r="A51020" s="118"/>
      <c r="B51020" s="136"/>
    </row>
    <row r="51021" spans="1:2" x14ac:dyDescent="0.25">
      <c r="A51021" s="118"/>
      <c r="B51021" s="136"/>
    </row>
    <row r="51022" spans="1:2" x14ac:dyDescent="0.25">
      <c r="A51022" s="118"/>
      <c r="B51022" s="136"/>
    </row>
    <row r="51023" spans="1:2" x14ac:dyDescent="0.25">
      <c r="A51023" s="118"/>
      <c r="B51023" s="136"/>
    </row>
    <row r="51024" spans="1:2" x14ac:dyDescent="0.25">
      <c r="A51024" s="118"/>
      <c r="B51024" s="136"/>
    </row>
    <row r="51025" spans="1:2" x14ac:dyDescent="0.25">
      <c r="A51025" s="118"/>
      <c r="B51025" s="136"/>
    </row>
    <row r="51026" spans="1:2" x14ac:dyDescent="0.25">
      <c r="A51026" s="118"/>
      <c r="B51026" s="136"/>
    </row>
    <row r="51027" spans="1:2" x14ac:dyDescent="0.25">
      <c r="A51027" s="118"/>
      <c r="B51027" s="136"/>
    </row>
    <row r="51028" spans="1:2" x14ac:dyDescent="0.25">
      <c r="A51028" s="118"/>
      <c r="B51028" s="136"/>
    </row>
    <row r="51029" spans="1:2" x14ac:dyDescent="0.25">
      <c r="A51029" s="118"/>
      <c r="B51029" s="136"/>
    </row>
    <row r="51030" spans="1:2" x14ac:dyDescent="0.25">
      <c r="A51030" s="118"/>
      <c r="B51030" s="136"/>
    </row>
    <row r="51031" spans="1:2" x14ac:dyDescent="0.25">
      <c r="A51031" s="118"/>
      <c r="B51031" s="136"/>
    </row>
    <row r="51032" spans="1:2" x14ac:dyDescent="0.25">
      <c r="A51032" s="118"/>
      <c r="B51032" s="136"/>
    </row>
    <row r="51033" spans="1:2" x14ac:dyDescent="0.25">
      <c r="A51033" s="118"/>
      <c r="B51033" s="136"/>
    </row>
    <row r="51034" spans="1:2" x14ac:dyDescent="0.25">
      <c r="A51034" s="118"/>
      <c r="B51034" s="136"/>
    </row>
    <row r="51035" spans="1:2" x14ac:dyDescent="0.25">
      <c r="A51035" s="118"/>
      <c r="B51035" s="136"/>
    </row>
    <row r="51036" spans="1:2" x14ac:dyDescent="0.25">
      <c r="A51036" s="118"/>
      <c r="B51036" s="136"/>
    </row>
    <row r="51037" spans="1:2" x14ac:dyDescent="0.25">
      <c r="A51037" s="118"/>
      <c r="B51037" s="136"/>
    </row>
    <row r="51038" spans="1:2" x14ac:dyDescent="0.25">
      <c r="A51038" s="118"/>
      <c r="B51038" s="136"/>
    </row>
    <row r="51039" spans="1:2" x14ac:dyDescent="0.25">
      <c r="A51039" s="118"/>
      <c r="B51039" s="136"/>
    </row>
    <row r="51040" spans="1:2" x14ac:dyDescent="0.25">
      <c r="A51040" s="118"/>
      <c r="B51040" s="136"/>
    </row>
    <row r="51041" spans="1:2" x14ac:dyDescent="0.25">
      <c r="A51041" s="118"/>
      <c r="B51041" s="136"/>
    </row>
    <row r="51042" spans="1:2" x14ac:dyDescent="0.25">
      <c r="A51042" s="118"/>
      <c r="B51042" s="136"/>
    </row>
    <row r="51043" spans="1:2" x14ac:dyDescent="0.25">
      <c r="A51043" s="118"/>
      <c r="B51043" s="136"/>
    </row>
    <row r="51044" spans="1:2" x14ac:dyDescent="0.25">
      <c r="A51044" s="118"/>
      <c r="B51044" s="136"/>
    </row>
    <row r="51045" spans="1:2" x14ac:dyDescent="0.25">
      <c r="A51045" s="118"/>
      <c r="B51045" s="136"/>
    </row>
    <row r="51046" spans="1:2" x14ac:dyDescent="0.25">
      <c r="A51046" s="118"/>
      <c r="B51046" s="136"/>
    </row>
    <row r="51047" spans="1:2" x14ac:dyDescent="0.25">
      <c r="A51047" s="118"/>
      <c r="B51047" s="136"/>
    </row>
    <row r="51048" spans="1:2" x14ac:dyDescent="0.25">
      <c r="A51048" s="118"/>
      <c r="B51048" s="136"/>
    </row>
    <row r="51049" spans="1:2" x14ac:dyDescent="0.25">
      <c r="A51049" s="118"/>
      <c r="B51049" s="136"/>
    </row>
    <row r="51050" spans="1:2" x14ac:dyDescent="0.25">
      <c r="A51050" s="118"/>
      <c r="B51050" s="136"/>
    </row>
    <row r="51051" spans="1:2" x14ac:dyDescent="0.25">
      <c r="A51051" s="118"/>
      <c r="B51051" s="136"/>
    </row>
    <row r="51052" spans="1:2" x14ac:dyDescent="0.25">
      <c r="A51052" s="118"/>
      <c r="B51052" s="136"/>
    </row>
    <row r="51053" spans="1:2" x14ac:dyDescent="0.25">
      <c r="A51053" s="118"/>
      <c r="B51053" s="136"/>
    </row>
    <row r="51054" spans="1:2" x14ac:dyDescent="0.25">
      <c r="A51054" s="118"/>
      <c r="B51054" s="136"/>
    </row>
    <row r="51055" spans="1:2" x14ac:dyDescent="0.25">
      <c r="A51055" s="118"/>
      <c r="B51055" s="136"/>
    </row>
    <row r="51056" spans="1:2" x14ac:dyDescent="0.25">
      <c r="A51056" s="118"/>
      <c r="B51056" s="136"/>
    </row>
    <row r="51057" spans="1:2" x14ac:dyDescent="0.25">
      <c r="A51057" s="118"/>
      <c r="B51057" s="136"/>
    </row>
    <row r="51058" spans="1:2" x14ac:dyDescent="0.25">
      <c r="A51058" s="118"/>
      <c r="B51058" s="136"/>
    </row>
    <row r="51059" spans="1:2" x14ac:dyDescent="0.25">
      <c r="A51059" s="118"/>
      <c r="B51059" s="136"/>
    </row>
    <row r="51060" spans="1:2" x14ac:dyDescent="0.25">
      <c r="A51060" s="118"/>
      <c r="B51060" s="136"/>
    </row>
    <row r="51061" spans="1:2" x14ac:dyDescent="0.25">
      <c r="A51061" s="118"/>
      <c r="B51061" s="136"/>
    </row>
    <row r="51062" spans="1:2" x14ac:dyDescent="0.25">
      <c r="A51062" s="118"/>
      <c r="B51062" s="136"/>
    </row>
    <row r="51063" spans="1:2" x14ac:dyDescent="0.25">
      <c r="A51063" s="118"/>
      <c r="B51063" s="136"/>
    </row>
    <row r="51064" spans="1:2" x14ac:dyDescent="0.25">
      <c r="A51064" s="118"/>
      <c r="B51064" s="136"/>
    </row>
    <row r="51065" spans="1:2" x14ac:dyDescent="0.25">
      <c r="A51065" s="118"/>
      <c r="B51065" s="136"/>
    </row>
    <row r="51066" spans="1:2" x14ac:dyDescent="0.25">
      <c r="A51066" s="118"/>
      <c r="B51066" s="136"/>
    </row>
    <row r="51067" spans="1:2" x14ac:dyDescent="0.25">
      <c r="A51067" s="118"/>
      <c r="B51067" s="136"/>
    </row>
    <row r="51068" spans="1:2" x14ac:dyDescent="0.25">
      <c r="A51068" s="118"/>
      <c r="B51068" s="136"/>
    </row>
    <row r="51069" spans="1:2" x14ac:dyDescent="0.25">
      <c r="A51069" s="118"/>
      <c r="B51069" s="136"/>
    </row>
    <row r="51070" spans="1:2" x14ac:dyDescent="0.25">
      <c r="A51070" s="118"/>
      <c r="B51070" s="136"/>
    </row>
    <row r="51071" spans="1:2" x14ac:dyDescent="0.25">
      <c r="A51071" s="118"/>
      <c r="B51071" s="136"/>
    </row>
    <row r="51072" spans="1:2" x14ac:dyDescent="0.25">
      <c r="A51072" s="118"/>
      <c r="B51072" s="136"/>
    </row>
    <row r="51073" spans="1:2" x14ac:dyDescent="0.25">
      <c r="A51073" s="118"/>
      <c r="B51073" s="136"/>
    </row>
    <row r="51074" spans="1:2" x14ac:dyDescent="0.25">
      <c r="A51074" s="118"/>
      <c r="B51074" s="136"/>
    </row>
    <row r="51075" spans="1:2" x14ac:dyDescent="0.25">
      <c r="A51075" s="118"/>
      <c r="B51075" s="136"/>
    </row>
    <row r="51076" spans="1:2" x14ac:dyDescent="0.25">
      <c r="A51076" s="118"/>
      <c r="B51076" s="136"/>
    </row>
    <row r="51077" spans="1:2" x14ac:dyDescent="0.25">
      <c r="A51077" s="118"/>
      <c r="B51077" s="136"/>
    </row>
    <row r="51078" spans="1:2" x14ac:dyDescent="0.25">
      <c r="A51078" s="118"/>
      <c r="B51078" s="136"/>
    </row>
    <row r="51079" spans="1:2" x14ac:dyDescent="0.25">
      <c r="A51079" s="118"/>
      <c r="B51079" s="136"/>
    </row>
    <row r="51080" spans="1:2" x14ac:dyDescent="0.25">
      <c r="A51080" s="118"/>
      <c r="B51080" s="136"/>
    </row>
    <row r="51081" spans="1:2" x14ac:dyDescent="0.25">
      <c r="A51081" s="118"/>
      <c r="B51081" s="136"/>
    </row>
    <row r="51082" spans="1:2" x14ac:dyDescent="0.25">
      <c r="A51082" s="118"/>
      <c r="B51082" s="136"/>
    </row>
    <row r="51083" spans="1:2" x14ac:dyDescent="0.25">
      <c r="A51083" s="118"/>
      <c r="B51083" s="136"/>
    </row>
    <row r="51084" spans="1:2" x14ac:dyDescent="0.25">
      <c r="A51084" s="118"/>
      <c r="B51084" s="136"/>
    </row>
    <row r="51085" spans="1:2" x14ac:dyDescent="0.25">
      <c r="A51085" s="118"/>
      <c r="B51085" s="136"/>
    </row>
    <row r="51086" spans="1:2" x14ac:dyDescent="0.25">
      <c r="A51086" s="118"/>
      <c r="B51086" s="136"/>
    </row>
    <row r="51087" spans="1:2" x14ac:dyDescent="0.25">
      <c r="A51087" s="118"/>
      <c r="B51087" s="136"/>
    </row>
    <row r="51088" spans="1:2" x14ac:dyDescent="0.25">
      <c r="A51088" s="118"/>
      <c r="B51088" s="136"/>
    </row>
    <row r="51089" spans="1:2" x14ac:dyDescent="0.25">
      <c r="A51089" s="118"/>
      <c r="B51089" s="136"/>
    </row>
    <row r="51090" spans="1:2" x14ac:dyDescent="0.25">
      <c r="A51090" s="118"/>
      <c r="B51090" s="136"/>
    </row>
    <row r="51091" spans="1:2" x14ac:dyDescent="0.25">
      <c r="A51091" s="118"/>
      <c r="B51091" s="136"/>
    </row>
    <row r="51092" spans="1:2" x14ac:dyDescent="0.25">
      <c r="A51092" s="118"/>
      <c r="B51092" s="136"/>
    </row>
    <row r="51093" spans="1:2" x14ac:dyDescent="0.25">
      <c r="A51093" s="118"/>
      <c r="B51093" s="136"/>
    </row>
    <row r="51094" spans="1:2" x14ac:dyDescent="0.25">
      <c r="A51094" s="118"/>
      <c r="B51094" s="136"/>
    </row>
    <row r="51095" spans="1:2" x14ac:dyDescent="0.25">
      <c r="A51095" s="118"/>
      <c r="B51095" s="136"/>
    </row>
    <row r="51096" spans="1:2" x14ac:dyDescent="0.25">
      <c r="A51096" s="118"/>
      <c r="B51096" s="136"/>
    </row>
    <row r="51097" spans="1:2" x14ac:dyDescent="0.25">
      <c r="A51097" s="118"/>
      <c r="B51097" s="136"/>
    </row>
    <row r="51098" spans="1:2" x14ac:dyDescent="0.25">
      <c r="A51098" s="118"/>
      <c r="B51098" s="136"/>
    </row>
    <row r="51099" spans="1:2" x14ac:dyDescent="0.25">
      <c r="A51099" s="118"/>
      <c r="B51099" s="136"/>
    </row>
    <row r="51100" spans="1:2" x14ac:dyDescent="0.25">
      <c r="A51100" s="118"/>
      <c r="B51100" s="136"/>
    </row>
    <row r="51101" spans="1:2" x14ac:dyDescent="0.25">
      <c r="A51101" s="118"/>
      <c r="B51101" s="136"/>
    </row>
    <row r="51102" spans="1:2" x14ac:dyDescent="0.25">
      <c r="A51102" s="118"/>
      <c r="B51102" s="136"/>
    </row>
    <row r="51103" spans="1:2" x14ac:dyDescent="0.25">
      <c r="A51103" s="118"/>
      <c r="B51103" s="136"/>
    </row>
    <row r="51104" spans="1:2" x14ac:dyDescent="0.25">
      <c r="A51104" s="118"/>
      <c r="B51104" s="136"/>
    </row>
    <row r="51105" spans="1:2" x14ac:dyDescent="0.25">
      <c r="A51105" s="118"/>
      <c r="B51105" s="136"/>
    </row>
    <row r="51106" spans="1:2" x14ac:dyDescent="0.25">
      <c r="A51106" s="118"/>
      <c r="B51106" s="136"/>
    </row>
    <row r="51107" spans="1:2" x14ac:dyDescent="0.25">
      <c r="A51107" s="118"/>
      <c r="B51107" s="136"/>
    </row>
    <row r="51108" spans="1:2" x14ac:dyDescent="0.25">
      <c r="A51108" s="118"/>
      <c r="B51108" s="136"/>
    </row>
    <row r="51109" spans="1:2" x14ac:dyDescent="0.25">
      <c r="A51109" s="118"/>
      <c r="B51109" s="136"/>
    </row>
    <row r="51110" spans="1:2" x14ac:dyDescent="0.25">
      <c r="A51110" s="118"/>
      <c r="B51110" s="136"/>
    </row>
    <row r="51111" spans="1:2" x14ac:dyDescent="0.25">
      <c r="A51111" s="118"/>
      <c r="B51111" s="136"/>
    </row>
    <row r="51112" spans="1:2" x14ac:dyDescent="0.25">
      <c r="A51112" s="118"/>
      <c r="B51112" s="136"/>
    </row>
    <row r="51113" spans="1:2" x14ac:dyDescent="0.25">
      <c r="A51113" s="118"/>
      <c r="B51113" s="136"/>
    </row>
    <row r="51114" spans="1:2" x14ac:dyDescent="0.25">
      <c r="A51114" s="118"/>
      <c r="B51114" s="136"/>
    </row>
    <row r="51115" spans="1:2" x14ac:dyDescent="0.25">
      <c r="A51115" s="118"/>
      <c r="B51115" s="136"/>
    </row>
    <row r="51116" spans="1:2" x14ac:dyDescent="0.25">
      <c r="A51116" s="118"/>
      <c r="B51116" s="136"/>
    </row>
    <row r="51117" spans="1:2" x14ac:dyDescent="0.25">
      <c r="A51117" s="118"/>
      <c r="B51117" s="136"/>
    </row>
    <row r="51118" spans="1:2" x14ac:dyDescent="0.25">
      <c r="A51118" s="118"/>
      <c r="B51118" s="136"/>
    </row>
    <row r="51119" spans="1:2" x14ac:dyDescent="0.25">
      <c r="A51119" s="118"/>
      <c r="B51119" s="136"/>
    </row>
    <row r="51120" spans="1:2" x14ac:dyDescent="0.25">
      <c r="A51120" s="118"/>
      <c r="B51120" s="136"/>
    </row>
    <row r="51121" spans="1:2" x14ac:dyDescent="0.25">
      <c r="A51121" s="118"/>
      <c r="B51121" s="136"/>
    </row>
    <row r="51122" spans="1:2" x14ac:dyDescent="0.25">
      <c r="A51122" s="118"/>
      <c r="B51122" s="136"/>
    </row>
    <row r="51123" spans="1:2" x14ac:dyDescent="0.25">
      <c r="A51123" s="118"/>
      <c r="B51123" s="136"/>
    </row>
    <row r="51124" spans="1:2" x14ac:dyDescent="0.25">
      <c r="A51124" s="118"/>
      <c r="B51124" s="136"/>
    </row>
    <row r="51125" spans="1:2" x14ac:dyDescent="0.25">
      <c r="A51125" s="118"/>
      <c r="B51125" s="136"/>
    </row>
    <row r="51126" spans="1:2" x14ac:dyDescent="0.25">
      <c r="A51126" s="118"/>
      <c r="B51126" s="136"/>
    </row>
    <row r="51127" spans="1:2" x14ac:dyDescent="0.25">
      <c r="A51127" s="118"/>
      <c r="B51127" s="136"/>
    </row>
    <row r="51128" spans="1:2" x14ac:dyDescent="0.25">
      <c r="A51128" s="118"/>
      <c r="B51128" s="136"/>
    </row>
    <row r="51129" spans="1:2" x14ac:dyDescent="0.25">
      <c r="A51129" s="118"/>
      <c r="B51129" s="136"/>
    </row>
    <row r="51130" spans="1:2" x14ac:dyDescent="0.25">
      <c r="A51130" s="118"/>
      <c r="B51130" s="136"/>
    </row>
    <row r="51131" spans="1:2" x14ac:dyDescent="0.25">
      <c r="A51131" s="118"/>
      <c r="B51131" s="136"/>
    </row>
    <row r="51132" spans="1:2" x14ac:dyDescent="0.25">
      <c r="A51132" s="118"/>
      <c r="B51132" s="136"/>
    </row>
    <row r="51133" spans="1:2" x14ac:dyDescent="0.25">
      <c r="A51133" s="118"/>
      <c r="B51133" s="136"/>
    </row>
    <row r="51134" spans="1:2" x14ac:dyDescent="0.25">
      <c r="A51134" s="118"/>
      <c r="B51134" s="136"/>
    </row>
    <row r="51135" spans="1:2" x14ac:dyDescent="0.25">
      <c r="A51135" s="118"/>
      <c r="B51135" s="136"/>
    </row>
    <row r="51136" spans="1:2" x14ac:dyDescent="0.25">
      <c r="A51136" s="118"/>
      <c r="B51136" s="136"/>
    </row>
    <row r="51137" spans="1:2" x14ac:dyDescent="0.25">
      <c r="A51137" s="118"/>
      <c r="B51137" s="136"/>
    </row>
    <row r="51138" spans="1:2" x14ac:dyDescent="0.25">
      <c r="A51138" s="118"/>
      <c r="B51138" s="136"/>
    </row>
    <row r="51139" spans="1:2" x14ac:dyDescent="0.25">
      <c r="A51139" s="118"/>
      <c r="B51139" s="136"/>
    </row>
    <row r="51140" spans="1:2" x14ac:dyDescent="0.25">
      <c r="A51140" s="118"/>
      <c r="B51140" s="136"/>
    </row>
    <row r="51141" spans="1:2" x14ac:dyDescent="0.25">
      <c r="A51141" s="118"/>
      <c r="B51141" s="136"/>
    </row>
    <row r="51142" spans="1:2" x14ac:dyDescent="0.25">
      <c r="A51142" s="118"/>
      <c r="B51142" s="136"/>
    </row>
    <row r="51143" spans="1:2" x14ac:dyDescent="0.25">
      <c r="A51143" s="118"/>
      <c r="B51143" s="136"/>
    </row>
    <row r="51144" spans="1:2" x14ac:dyDescent="0.25">
      <c r="A51144" s="118"/>
      <c r="B51144" s="136"/>
    </row>
    <row r="51145" spans="1:2" x14ac:dyDescent="0.25">
      <c r="A51145" s="118"/>
      <c r="B51145" s="136"/>
    </row>
    <row r="51146" spans="1:2" x14ac:dyDescent="0.25">
      <c r="A51146" s="118"/>
      <c r="B51146" s="136"/>
    </row>
    <row r="51147" spans="1:2" x14ac:dyDescent="0.25">
      <c r="A51147" s="118"/>
      <c r="B51147" s="136"/>
    </row>
    <row r="51148" spans="1:2" x14ac:dyDescent="0.25">
      <c r="A51148" s="118"/>
      <c r="B51148" s="136"/>
    </row>
    <row r="51149" spans="1:2" x14ac:dyDescent="0.25">
      <c r="A51149" s="118"/>
      <c r="B51149" s="136"/>
    </row>
    <row r="51150" spans="1:2" x14ac:dyDescent="0.25">
      <c r="A51150" s="118"/>
      <c r="B51150" s="136"/>
    </row>
    <row r="51151" spans="1:2" x14ac:dyDescent="0.25">
      <c r="A51151" s="118"/>
      <c r="B51151" s="136"/>
    </row>
    <row r="51152" spans="1:2" x14ac:dyDescent="0.25">
      <c r="A51152" s="118"/>
      <c r="B51152" s="136"/>
    </row>
    <row r="51153" spans="1:2" x14ac:dyDescent="0.25">
      <c r="A51153" s="118"/>
      <c r="B51153" s="136"/>
    </row>
    <row r="51154" spans="1:2" x14ac:dyDescent="0.25">
      <c r="A51154" s="118"/>
      <c r="B51154" s="136"/>
    </row>
    <row r="51155" spans="1:2" x14ac:dyDescent="0.25">
      <c r="A51155" s="118"/>
      <c r="B51155" s="136"/>
    </row>
    <row r="51156" spans="1:2" x14ac:dyDescent="0.25">
      <c r="A51156" s="118"/>
      <c r="B51156" s="136"/>
    </row>
    <row r="51157" spans="1:2" x14ac:dyDescent="0.25">
      <c r="A51157" s="118"/>
      <c r="B51157" s="136"/>
    </row>
    <row r="51158" spans="1:2" x14ac:dyDescent="0.25">
      <c r="A51158" s="118"/>
      <c r="B51158" s="136"/>
    </row>
    <row r="51159" spans="1:2" x14ac:dyDescent="0.25">
      <c r="A51159" s="118"/>
      <c r="B51159" s="136"/>
    </row>
    <row r="51160" spans="1:2" x14ac:dyDescent="0.25">
      <c r="A51160" s="118"/>
      <c r="B51160" s="136"/>
    </row>
    <row r="51161" spans="1:2" x14ac:dyDescent="0.25">
      <c r="A51161" s="118"/>
      <c r="B51161" s="136"/>
    </row>
    <row r="51162" spans="1:2" x14ac:dyDescent="0.25">
      <c r="A51162" s="118"/>
      <c r="B51162" s="136"/>
    </row>
    <row r="51163" spans="1:2" x14ac:dyDescent="0.25">
      <c r="A51163" s="118"/>
      <c r="B51163" s="136"/>
    </row>
    <row r="51164" spans="1:2" x14ac:dyDescent="0.25">
      <c r="A51164" s="118"/>
      <c r="B51164" s="136"/>
    </row>
    <row r="51165" spans="1:2" x14ac:dyDescent="0.25">
      <c r="A51165" s="118"/>
      <c r="B51165" s="136"/>
    </row>
    <row r="51166" spans="1:2" x14ac:dyDescent="0.25">
      <c r="A51166" s="118"/>
      <c r="B51166" s="136"/>
    </row>
    <row r="51167" spans="1:2" x14ac:dyDescent="0.25">
      <c r="A51167" s="118"/>
      <c r="B51167" s="136"/>
    </row>
    <row r="51168" spans="1:2" x14ac:dyDescent="0.25">
      <c r="A51168" s="118"/>
      <c r="B51168" s="136"/>
    </row>
    <row r="51169" spans="1:2" x14ac:dyDescent="0.25">
      <c r="A51169" s="118"/>
      <c r="B51169" s="136"/>
    </row>
    <row r="51170" spans="1:2" x14ac:dyDescent="0.25">
      <c r="A51170" s="118"/>
      <c r="B51170" s="136"/>
    </row>
    <row r="51171" spans="1:2" x14ac:dyDescent="0.25">
      <c r="A51171" s="118"/>
      <c r="B51171" s="136"/>
    </row>
    <row r="51172" spans="1:2" x14ac:dyDescent="0.25">
      <c r="A51172" s="118"/>
      <c r="B51172" s="136"/>
    </row>
    <row r="51173" spans="1:2" x14ac:dyDescent="0.25">
      <c r="A51173" s="118"/>
      <c r="B51173" s="136"/>
    </row>
    <row r="51174" spans="1:2" x14ac:dyDescent="0.25">
      <c r="A51174" s="118"/>
      <c r="B51174" s="136"/>
    </row>
    <row r="51175" spans="1:2" x14ac:dyDescent="0.25">
      <c r="A51175" s="118"/>
      <c r="B51175" s="136"/>
    </row>
    <row r="51176" spans="1:2" x14ac:dyDescent="0.25">
      <c r="A51176" s="118"/>
      <c r="B51176" s="136"/>
    </row>
    <row r="51177" spans="1:2" x14ac:dyDescent="0.25">
      <c r="A51177" s="118"/>
      <c r="B51177" s="136"/>
    </row>
    <row r="51178" spans="1:2" x14ac:dyDescent="0.25">
      <c r="A51178" s="118"/>
      <c r="B51178" s="136"/>
    </row>
    <row r="51179" spans="1:2" x14ac:dyDescent="0.25">
      <c r="A51179" s="118"/>
      <c r="B51179" s="136"/>
    </row>
    <row r="51180" spans="1:2" x14ac:dyDescent="0.25">
      <c r="A51180" s="118"/>
      <c r="B51180" s="136"/>
    </row>
    <row r="51181" spans="1:2" x14ac:dyDescent="0.25">
      <c r="A51181" s="118"/>
      <c r="B51181" s="136"/>
    </row>
    <row r="51182" spans="1:2" x14ac:dyDescent="0.25">
      <c r="A51182" s="118"/>
      <c r="B51182" s="136"/>
    </row>
    <row r="51183" spans="1:2" x14ac:dyDescent="0.25">
      <c r="A51183" s="118"/>
      <c r="B51183" s="136"/>
    </row>
    <row r="51184" spans="1:2" x14ac:dyDescent="0.25">
      <c r="A51184" s="118"/>
      <c r="B51184" s="136"/>
    </row>
    <row r="51185" spans="1:2" x14ac:dyDescent="0.25">
      <c r="A51185" s="118"/>
      <c r="B51185" s="136"/>
    </row>
    <row r="51186" spans="1:2" x14ac:dyDescent="0.25">
      <c r="A51186" s="118"/>
      <c r="B51186" s="136"/>
    </row>
    <row r="51187" spans="1:2" x14ac:dyDescent="0.25">
      <c r="A51187" s="118"/>
      <c r="B51187" s="136"/>
    </row>
    <row r="51188" spans="1:2" x14ac:dyDescent="0.25">
      <c r="A51188" s="118"/>
      <c r="B51188" s="136"/>
    </row>
    <row r="51189" spans="1:2" x14ac:dyDescent="0.25">
      <c r="A51189" s="118"/>
      <c r="B51189" s="136"/>
    </row>
    <row r="51190" spans="1:2" x14ac:dyDescent="0.25">
      <c r="A51190" s="118"/>
      <c r="B51190" s="136"/>
    </row>
    <row r="51191" spans="1:2" x14ac:dyDescent="0.25">
      <c r="A51191" s="118"/>
      <c r="B51191" s="136"/>
    </row>
    <row r="51192" spans="1:2" x14ac:dyDescent="0.25">
      <c r="A51192" s="118"/>
      <c r="B51192" s="136"/>
    </row>
    <row r="51193" spans="1:2" x14ac:dyDescent="0.25">
      <c r="A51193" s="118"/>
      <c r="B51193" s="136"/>
    </row>
    <row r="51194" spans="1:2" x14ac:dyDescent="0.25">
      <c r="A51194" s="118"/>
      <c r="B51194" s="136"/>
    </row>
    <row r="51195" spans="1:2" x14ac:dyDescent="0.25">
      <c r="A51195" s="118"/>
      <c r="B51195" s="136"/>
    </row>
    <row r="51196" spans="1:2" x14ac:dyDescent="0.25">
      <c r="A51196" s="118"/>
      <c r="B51196" s="136"/>
    </row>
    <row r="51197" spans="1:2" x14ac:dyDescent="0.25">
      <c r="A51197" s="118"/>
      <c r="B51197" s="136"/>
    </row>
    <row r="51198" spans="1:2" x14ac:dyDescent="0.25">
      <c r="A51198" s="118"/>
      <c r="B51198" s="136"/>
    </row>
    <row r="51199" spans="1:2" x14ac:dyDescent="0.25">
      <c r="A51199" s="118"/>
      <c r="B51199" s="136"/>
    </row>
    <row r="51200" spans="1:2" x14ac:dyDescent="0.25">
      <c r="A51200" s="118"/>
      <c r="B51200" s="136"/>
    </row>
    <row r="51201" spans="1:2" x14ac:dyDescent="0.25">
      <c r="A51201" s="118"/>
      <c r="B51201" s="136"/>
    </row>
    <row r="51202" spans="1:2" x14ac:dyDescent="0.25">
      <c r="A51202" s="118"/>
      <c r="B51202" s="136"/>
    </row>
    <row r="51203" spans="1:2" x14ac:dyDescent="0.25">
      <c r="A51203" s="118"/>
      <c r="B51203" s="136"/>
    </row>
    <row r="51204" spans="1:2" x14ac:dyDescent="0.25">
      <c r="A51204" s="118"/>
      <c r="B51204" s="136"/>
    </row>
    <row r="51205" spans="1:2" x14ac:dyDescent="0.25">
      <c r="A51205" s="118"/>
      <c r="B51205" s="136"/>
    </row>
    <row r="51206" spans="1:2" x14ac:dyDescent="0.25">
      <c r="A51206" s="118"/>
      <c r="B51206" s="136"/>
    </row>
    <row r="51207" spans="1:2" x14ac:dyDescent="0.25">
      <c r="A51207" s="118"/>
      <c r="B51207" s="136"/>
    </row>
    <row r="51208" spans="1:2" x14ac:dyDescent="0.25">
      <c r="A51208" s="118"/>
      <c r="B51208" s="136"/>
    </row>
    <row r="51209" spans="1:2" x14ac:dyDescent="0.25">
      <c r="A51209" s="118"/>
      <c r="B51209" s="136"/>
    </row>
    <row r="51210" spans="1:2" x14ac:dyDescent="0.25">
      <c r="A51210" s="118"/>
      <c r="B51210" s="136"/>
    </row>
    <row r="51211" spans="1:2" x14ac:dyDescent="0.25">
      <c r="A51211" s="118"/>
      <c r="B51211" s="136"/>
    </row>
    <row r="51212" spans="1:2" x14ac:dyDescent="0.25">
      <c r="A51212" s="118"/>
      <c r="B51212" s="136"/>
    </row>
    <row r="51213" spans="1:2" x14ac:dyDescent="0.25">
      <c r="A51213" s="118"/>
      <c r="B51213" s="136"/>
    </row>
    <row r="51214" spans="1:2" x14ac:dyDescent="0.25">
      <c r="A51214" s="118"/>
      <c r="B51214" s="136"/>
    </row>
    <row r="51215" spans="1:2" x14ac:dyDescent="0.25">
      <c r="A51215" s="118"/>
      <c r="B51215" s="136"/>
    </row>
    <row r="51216" spans="1:2" x14ac:dyDescent="0.25">
      <c r="A51216" s="118"/>
      <c r="B51216" s="136"/>
    </row>
    <row r="51217" spans="1:2" x14ac:dyDescent="0.25">
      <c r="A51217" s="118"/>
      <c r="B51217" s="136"/>
    </row>
    <row r="51218" spans="1:2" x14ac:dyDescent="0.25">
      <c r="A51218" s="118"/>
      <c r="B51218" s="136"/>
    </row>
    <row r="51219" spans="1:2" x14ac:dyDescent="0.25">
      <c r="A51219" s="118"/>
      <c r="B51219" s="136"/>
    </row>
    <row r="51220" spans="1:2" x14ac:dyDescent="0.25">
      <c r="A51220" s="118"/>
      <c r="B51220" s="136"/>
    </row>
    <row r="51221" spans="1:2" x14ac:dyDescent="0.25">
      <c r="A51221" s="118"/>
      <c r="B51221" s="136"/>
    </row>
    <row r="51222" spans="1:2" x14ac:dyDescent="0.25">
      <c r="A51222" s="118"/>
      <c r="B51222" s="136"/>
    </row>
    <row r="51223" spans="1:2" x14ac:dyDescent="0.25">
      <c r="A51223" s="118"/>
      <c r="B51223" s="136"/>
    </row>
    <row r="51224" spans="1:2" x14ac:dyDescent="0.25">
      <c r="A51224" s="118"/>
      <c r="B51224" s="136"/>
    </row>
    <row r="51225" spans="1:2" x14ac:dyDescent="0.25">
      <c r="A51225" s="118"/>
      <c r="B51225" s="136"/>
    </row>
    <row r="51226" spans="1:2" x14ac:dyDescent="0.25">
      <c r="A51226" s="118"/>
      <c r="B51226" s="136"/>
    </row>
    <row r="51227" spans="1:2" x14ac:dyDescent="0.25">
      <c r="A51227" s="118"/>
      <c r="B51227" s="136"/>
    </row>
    <row r="51228" spans="1:2" x14ac:dyDescent="0.25">
      <c r="A51228" s="118"/>
      <c r="B51228" s="136"/>
    </row>
    <row r="51229" spans="1:2" x14ac:dyDescent="0.25">
      <c r="A51229" s="118"/>
      <c r="B51229" s="136"/>
    </row>
    <row r="51230" spans="1:2" x14ac:dyDescent="0.25">
      <c r="A51230" s="118"/>
      <c r="B51230" s="136"/>
    </row>
    <row r="51231" spans="1:2" x14ac:dyDescent="0.25">
      <c r="A51231" s="118"/>
      <c r="B51231" s="136"/>
    </row>
    <row r="51232" spans="1:2" x14ac:dyDescent="0.25">
      <c r="A51232" s="118"/>
      <c r="B51232" s="136"/>
    </row>
    <row r="51233" spans="1:2" x14ac:dyDescent="0.25">
      <c r="A51233" s="118"/>
      <c r="B51233" s="136"/>
    </row>
    <row r="51234" spans="1:2" x14ac:dyDescent="0.25">
      <c r="A51234" s="118"/>
      <c r="B51234" s="136"/>
    </row>
    <row r="51235" spans="1:2" x14ac:dyDescent="0.25">
      <c r="A51235" s="118"/>
      <c r="B51235" s="136"/>
    </row>
    <row r="51236" spans="1:2" x14ac:dyDescent="0.25">
      <c r="A51236" s="118"/>
      <c r="B51236" s="136"/>
    </row>
    <row r="51237" spans="1:2" x14ac:dyDescent="0.25">
      <c r="A51237" s="118"/>
      <c r="B51237" s="136"/>
    </row>
    <row r="51238" spans="1:2" x14ac:dyDescent="0.25">
      <c r="A51238" s="118"/>
      <c r="B51238" s="136"/>
    </row>
    <row r="51239" spans="1:2" x14ac:dyDescent="0.25">
      <c r="A51239" s="118"/>
      <c r="B51239" s="136"/>
    </row>
    <row r="51240" spans="1:2" x14ac:dyDescent="0.25">
      <c r="A51240" s="118"/>
      <c r="B51240" s="136"/>
    </row>
    <row r="51241" spans="1:2" x14ac:dyDescent="0.25">
      <c r="A51241" s="118"/>
      <c r="B51241" s="136"/>
    </row>
    <row r="51242" spans="1:2" x14ac:dyDescent="0.25">
      <c r="A51242" s="118"/>
      <c r="B51242" s="136"/>
    </row>
    <row r="51243" spans="1:2" x14ac:dyDescent="0.25">
      <c r="A51243" s="118"/>
      <c r="B51243" s="136"/>
    </row>
    <row r="51244" spans="1:2" x14ac:dyDescent="0.25">
      <c r="A51244" s="118"/>
      <c r="B51244" s="136"/>
    </row>
    <row r="51245" spans="1:2" x14ac:dyDescent="0.25">
      <c r="A51245" s="118"/>
      <c r="B51245" s="136"/>
    </row>
    <row r="51246" spans="1:2" x14ac:dyDescent="0.25">
      <c r="A51246" s="118"/>
      <c r="B51246" s="136"/>
    </row>
    <row r="51247" spans="1:2" x14ac:dyDescent="0.25">
      <c r="A51247" s="118"/>
      <c r="B51247" s="136"/>
    </row>
    <row r="51248" spans="1:2" x14ac:dyDescent="0.25">
      <c r="A51248" s="118"/>
      <c r="B51248" s="136"/>
    </row>
    <row r="51249" spans="1:2" x14ac:dyDescent="0.25">
      <c r="A51249" s="118"/>
      <c r="B51249" s="136"/>
    </row>
    <row r="51250" spans="1:2" x14ac:dyDescent="0.25">
      <c r="A51250" s="118"/>
      <c r="B51250" s="136"/>
    </row>
    <row r="51251" spans="1:2" x14ac:dyDescent="0.25">
      <c r="A51251" s="118"/>
      <c r="B51251" s="136"/>
    </row>
    <row r="51252" spans="1:2" x14ac:dyDescent="0.25">
      <c r="A51252" s="118"/>
      <c r="B51252" s="136"/>
    </row>
    <row r="51253" spans="1:2" x14ac:dyDescent="0.25">
      <c r="A51253" s="118"/>
      <c r="B51253" s="136"/>
    </row>
    <row r="51254" spans="1:2" x14ac:dyDescent="0.25">
      <c r="A51254" s="118"/>
      <c r="B51254" s="136"/>
    </row>
    <row r="51255" spans="1:2" x14ac:dyDescent="0.25">
      <c r="A51255" s="118"/>
      <c r="B51255" s="136"/>
    </row>
    <row r="51256" spans="1:2" x14ac:dyDescent="0.25">
      <c r="A51256" s="118"/>
      <c r="B51256" s="136"/>
    </row>
    <row r="51257" spans="1:2" x14ac:dyDescent="0.25">
      <c r="A51257" s="118"/>
      <c r="B51257" s="136"/>
    </row>
    <row r="51258" spans="1:2" x14ac:dyDescent="0.25">
      <c r="A51258" s="118"/>
      <c r="B51258" s="136"/>
    </row>
    <row r="51259" spans="1:2" x14ac:dyDescent="0.25">
      <c r="A51259" s="118"/>
      <c r="B51259" s="136"/>
    </row>
    <row r="51260" spans="1:2" x14ac:dyDescent="0.25">
      <c r="A51260" s="118"/>
      <c r="B51260" s="136"/>
    </row>
    <row r="51261" spans="1:2" x14ac:dyDescent="0.25">
      <c r="A51261" s="118"/>
      <c r="B51261" s="136"/>
    </row>
    <row r="51262" spans="1:2" x14ac:dyDescent="0.25">
      <c r="A51262" s="118"/>
      <c r="B51262" s="136"/>
    </row>
    <row r="51263" spans="1:2" x14ac:dyDescent="0.25">
      <c r="A51263" s="118"/>
      <c r="B51263" s="136"/>
    </row>
    <row r="51264" spans="1:2" x14ac:dyDescent="0.25">
      <c r="A51264" s="118"/>
      <c r="B51264" s="136"/>
    </row>
    <row r="51265" spans="1:2" x14ac:dyDescent="0.25">
      <c r="A51265" s="118"/>
      <c r="B51265" s="136"/>
    </row>
    <row r="51266" spans="1:2" x14ac:dyDescent="0.25">
      <c r="A51266" s="118"/>
      <c r="B51266" s="136"/>
    </row>
    <row r="51267" spans="1:2" x14ac:dyDescent="0.25">
      <c r="A51267" s="118"/>
      <c r="B51267" s="136"/>
    </row>
    <row r="51268" spans="1:2" x14ac:dyDescent="0.25">
      <c r="A51268" s="118"/>
      <c r="B51268" s="136"/>
    </row>
    <row r="51269" spans="1:2" x14ac:dyDescent="0.25">
      <c r="A51269" s="118"/>
      <c r="B51269" s="136"/>
    </row>
    <row r="51270" spans="1:2" x14ac:dyDescent="0.25">
      <c r="A51270" s="118"/>
      <c r="B51270" s="136"/>
    </row>
    <row r="51271" spans="1:2" x14ac:dyDescent="0.25">
      <c r="A51271" s="118"/>
      <c r="B51271" s="136"/>
    </row>
    <row r="51272" spans="1:2" x14ac:dyDescent="0.25">
      <c r="A51272" s="118"/>
      <c r="B51272" s="136"/>
    </row>
    <row r="51273" spans="1:2" x14ac:dyDescent="0.25">
      <c r="A51273" s="118"/>
      <c r="B51273" s="136"/>
    </row>
    <row r="51274" spans="1:2" x14ac:dyDescent="0.25">
      <c r="A51274" s="118"/>
      <c r="B51274" s="136"/>
    </row>
    <row r="51275" spans="1:2" x14ac:dyDescent="0.25">
      <c r="A51275" s="118"/>
      <c r="B51275" s="136"/>
    </row>
    <row r="51276" spans="1:2" x14ac:dyDescent="0.25">
      <c r="A51276" s="118"/>
      <c r="B51276" s="136"/>
    </row>
    <row r="51277" spans="1:2" x14ac:dyDescent="0.25">
      <c r="A51277" s="118"/>
      <c r="B51277" s="136"/>
    </row>
    <row r="51278" spans="1:2" x14ac:dyDescent="0.25">
      <c r="A51278" s="118"/>
      <c r="B51278" s="136"/>
    </row>
    <row r="51279" spans="1:2" x14ac:dyDescent="0.25">
      <c r="A51279" s="118"/>
      <c r="B51279" s="136"/>
    </row>
    <row r="51280" spans="1:2" x14ac:dyDescent="0.25">
      <c r="A51280" s="118"/>
      <c r="B51280" s="136"/>
    </row>
    <row r="51281" spans="1:2" x14ac:dyDescent="0.25">
      <c r="A51281" s="118"/>
      <c r="B51281" s="136"/>
    </row>
    <row r="51282" spans="1:2" x14ac:dyDescent="0.25">
      <c r="A51282" s="118"/>
      <c r="B51282" s="136"/>
    </row>
    <row r="51283" spans="1:2" x14ac:dyDescent="0.25">
      <c r="A51283" s="118"/>
      <c r="B51283" s="136"/>
    </row>
    <row r="51284" spans="1:2" x14ac:dyDescent="0.25">
      <c r="A51284" s="118"/>
      <c r="B51284" s="136"/>
    </row>
    <row r="51285" spans="1:2" x14ac:dyDescent="0.25">
      <c r="A51285" s="118"/>
      <c r="B51285" s="136"/>
    </row>
    <row r="51286" spans="1:2" x14ac:dyDescent="0.25">
      <c r="A51286" s="118"/>
      <c r="B51286" s="136"/>
    </row>
    <row r="51287" spans="1:2" x14ac:dyDescent="0.25">
      <c r="A51287" s="118"/>
      <c r="B51287" s="136"/>
    </row>
    <row r="51288" spans="1:2" x14ac:dyDescent="0.25">
      <c r="A51288" s="118"/>
      <c r="B51288" s="136"/>
    </row>
    <row r="51289" spans="1:2" x14ac:dyDescent="0.25">
      <c r="A51289" s="118"/>
      <c r="B51289" s="136"/>
    </row>
    <row r="51290" spans="1:2" x14ac:dyDescent="0.25">
      <c r="A51290" s="118"/>
      <c r="B51290" s="136"/>
    </row>
    <row r="51291" spans="1:2" x14ac:dyDescent="0.25">
      <c r="A51291" s="118"/>
      <c r="B51291" s="136"/>
    </row>
    <row r="51292" spans="1:2" x14ac:dyDescent="0.25">
      <c r="A51292" s="118"/>
      <c r="B51292" s="136"/>
    </row>
    <row r="51293" spans="1:2" x14ac:dyDescent="0.25">
      <c r="A51293" s="118"/>
      <c r="B51293" s="136"/>
    </row>
    <row r="51294" spans="1:2" x14ac:dyDescent="0.25">
      <c r="A51294" s="118"/>
      <c r="B51294" s="136"/>
    </row>
    <row r="51295" spans="1:2" x14ac:dyDescent="0.25">
      <c r="A51295" s="118"/>
      <c r="B51295" s="136"/>
    </row>
    <row r="51296" spans="1:2" x14ac:dyDescent="0.25">
      <c r="A51296" s="118"/>
      <c r="B51296" s="136"/>
    </row>
    <row r="51297" spans="1:2" x14ac:dyDescent="0.25">
      <c r="A51297" s="118"/>
      <c r="B51297" s="136"/>
    </row>
    <row r="51298" spans="1:2" x14ac:dyDescent="0.25">
      <c r="A51298" s="118"/>
      <c r="B51298" s="136"/>
    </row>
    <row r="51299" spans="1:2" x14ac:dyDescent="0.25">
      <c r="A51299" s="118"/>
      <c r="B51299" s="136"/>
    </row>
    <row r="51300" spans="1:2" x14ac:dyDescent="0.25">
      <c r="A51300" s="118"/>
      <c r="B51300" s="136"/>
    </row>
    <row r="51301" spans="1:2" x14ac:dyDescent="0.25">
      <c r="A51301" s="118"/>
      <c r="B51301" s="136"/>
    </row>
    <row r="51302" spans="1:2" x14ac:dyDescent="0.25">
      <c r="A51302" s="118"/>
      <c r="B51302" s="136"/>
    </row>
    <row r="51303" spans="1:2" x14ac:dyDescent="0.25">
      <c r="A51303" s="118"/>
      <c r="B51303" s="136"/>
    </row>
    <row r="51304" spans="1:2" x14ac:dyDescent="0.25">
      <c r="A51304" s="118"/>
      <c r="B51304" s="136"/>
    </row>
    <row r="51305" spans="1:2" x14ac:dyDescent="0.25">
      <c r="A51305" s="118"/>
      <c r="B51305" s="136"/>
    </row>
    <row r="51306" spans="1:2" x14ac:dyDescent="0.25">
      <c r="A51306" s="118"/>
      <c r="B51306" s="136"/>
    </row>
    <row r="51307" spans="1:2" x14ac:dyDescent="0.25">
      <c r="A51307" s="118"/>
      <c r="B51307" s="136"/>
    </row>
    <row r="51308" spans="1:2" x14ac:dyDescent="0.25">
      <c r="A51308" s="118"/>
      <c r="B51308" s="136"/>
    </row>
    <row r="51309" spans="1:2" x14ac:dyDescent="0.25">
      <c r="A51309" s="118"/>
      <c r="B51309" s="136"/>
    </row>
    <row r="51310" spans="1:2" x14ac:dyDescent="0.25">
      <c r="A51310" s="118"/>
      <c r="B51310" s="136"/>
    </row>
    <row r="51311" spans="1:2" x14ac:dyDescent="0.25">
      <c r="A51311" s="118"/>
      <c r="B51311" s="136"/>
    </row>
    <row r="51312" spans="1:2" x14ac:dyDescent="0.25">
      <c r="A51312" s="118"/>
      <c r="B51312" s="136"/>
    </row>
    <row r="51313" spans="1:2" x14ac:dyDescent="0.25">
      <c r="A51313" s="118"/>
      <c r="B51313" s="136"/>
    </row>
    <row r="51314" spans="1:2" x14ac:dyDescent="0.25">
      <c r="A51314" s="118"/>
      <c r="B51314" s="136"/>
    </row>
    <row r="51315" spans="1:2" x14ac:dyDescent="0.25">
      <c r="A51315" s="118"/>
      <c r="B51315" s="136"/>
    </row>
    <row r="51316" spans="1:2" x14ac:dyDescent="0.25">
      <c r="A51316" s="118"/>
      <c r="B51316" s="136"/>
    </row>
    <row r="51317" spans="1:2" x14ac:dyDescent="0.25">
      <c r="A51317" s="118"/>
      <c r="B51317" s="136"/>
    </row>
    <row r="51318" spans="1:2" x14ac:dyDescent="0.25">
      <c r="A51318" s="118"/>
      <c r="B51318" s="136"/>
    </row>
    <row r="51319" spans="1:2" x14ac:dyDescent="0.25">
      <c r="A51319" s="118"/>
      <c r="B51319" s="136"/>
    </row>
    <row r="51320" spans="1:2" x14ac:dyDescent="0.25">
      <c r="A51320" s="118"/>
      <c r="B51320" s="136"/>
    </row>
    <row r="51321" spans="1:2" x14ac:dyDescent="0.25">
      <c r="A51321" s="118"/>
      <c r="B51321" s="136"/>
    </row>
    <row r="51322" spans="1:2" x14ac:dyDescent="0.25">
      <c r="A51322" s="118"/>
      <c r="B51322" s="136"/>
    </row>
    <row r="51323" spans="1:2" x14ac:dyDescent="0.25">
      <c r="A51323" s="118"/>
      <c r="B51323" s="136"/>
    </row>
    <row r="51324" spans="1:2" x14ac:dyDescent="0.25">
      <c r="A51324" s="118"/>
      <c r="B51324" s="136"/>
    </row>
    <row r="51325" spans="1:2" x14ac:dyDescent="0.25">
      <c r="A51325" s="118"/>
      <c r="B51325" s="136"/>
    </row>
    <row r="51326" spans="1:2" x14ac:dyDescent="0.25">
      <c r="A51326" s="118"/>
      <c r="B51326" s="136"/>
    </row>
    <row r="51327" spans="1:2" x14ac:dyDescent="0.25">
      <c r="A51327" s="118"/>
      <c r="B51327" s="136"/>
    </row>
    <row r="51328" spans="1:2" x14ac:dyDescent="0.25">
      <c r="A51328" s="118"/>
      <c r="B51328" s="136"/>
    </row>
    <row r="51329" spans="1:2" x14ac:dyDescent="0.25">
      <c r="A51329" s="118"/>
      <c r="B51329" s="136"/>
    </row>
    <row r="51330" spans="1:2" x14ac:dyDescent="0.25">
      <c r="A51330" s="118"/>
      <c r="B51330" s="136"/>
    </row>
    <row r="51331" spans="1:2" x14ac:dyDescent="0.25">
      <c r="A51331" s="118"/>
      <c r="B51331" s="136"/>
    </row>
    <row r="51332" spans="1:2" x14ac:dyDescent="0.25">
      <c r="A51332" s="118"/>
      <c r="B51332" s="136"/>
    </row>
    <row r="51333" spans="1:2" x14ac:dyDescent="0.25">
      <c r="A51333" s="118"/>
      <c r="B51333" s="136"/>
    </row>
    <row r="51334" spans="1:2" x14ac:dyDescent="0.25">
      <c r="A51334" s="118"/>
      <c r="B51334" s="136"/>
    </row>
    <row r="51335" spans="1:2" x14ac:dyDescent="0.25">
      <c r="A51335" s="118"/>
      <c r="B51335" s="136"/>
    </row>
    <row r="51336" spans="1:2" x14ac:dyDescent="0.25">
      <c r="A51336" s="118"/>
      <c r="B51336" s="136"/>
    </row>
    <row r="51337" spans="1:2" x14ac:dyDescent="0.25">
      <c r="A51337" s="118"/>
      <c r="B51337" s="136"/>
    </row>
    <row r="51338" spans="1:2" x14ac:dyDescent="0.25">
      <c r="A51338" s="118"/>
      <c r="B51338" s="136"/>
    </row>
    <row r="51339" spans="1:2" x14ac:dyDescent="0.25">
      <c r="A51339" s="118"/>
      <c r="B51339" s="136"/>
    </row>
    <row r="51340" spans="1:2" x14ac:dyDescent="0.25">
      <c r="A51340" s="118"/>
      <c r="B51340" s="136"/>
    </row>
    <row r="51341" spans="1:2" x14ac:dyDescent="0.25">
      <c r="A51341" s="118"/>
      <c r="B51341" s="136"/>
    </row>
    <row r="51342" spans="1:2" x14ac:dyDescent="0.25">
      <c r="A51342" s="118"/>
      <c r="B51342" s="136"/>
    </row>
    <row r="51343" spans="1:2" x14ac:dyDescent="0.25">
      <c r="A51343" s="118"/>
      <c r="B51343" s="136"/>
    </row>
    <row r="51344" spans="1:2" x14ac:dyDescent="0.25">
      <c r="A51344" s="118"/>
      <c r="B51344" s="136"/>
    </row>
    <row r="51345" spans="1:2" x14ac:dyDescent="0.25">
      <c r="A51345" s="118"/>
      <c r="B51345" s="136"/>
    </row>
    <row r="51346" spans="1:2" x14ac:dyDescent="0.25">
      <c r="A51346" s="118"/>
      <c r="B51346" s="136"/>
    </row>
    <row r="51347" spans="1:2" x14ac:dyDescent="0.25">
      <c r="A51347" s="118"/>
      <c r="B51347" s="136"/>
    </row>
    <row r="51348" spans="1:2" x14ac:dyDescent="0.25">
      <c r="A51348" s="118"/>
      <c r="B51348" s="136"/>
    </row>
    <row r="51349" spans="1:2" x14ac:dyDescent="0.25">
      <c r="A51349" s="118"/>
      <c r="B51349" s="136"/>
    </row>
    <row r="51350" spans="1:2" x14ac:dyDescent="0.25">
      <c r="A51350" s="118"/>
      <c r="B51350" s="136"/>
    </row>
    <row r="51351" spans="1:2" x14ac:dyDescent="0.25">
      <c r="A51351" s="118"/>
      <c r="B51351" s="136"/>
    </row>
    <row r="51352" spans="1:2" x14ac:dyDescent="0.25">
      <c r="A51352" s="118"/>
      <c r="B51352" s="136"/>
    </row>
    <row r="51353" spans="1:2" x14ac:dyDescent="0.25">
      <c r="A51353" s="118"/>
      <c r="B51353" s="136"/>
    </row>
    <row r="51354" spans="1:2" x14ac:dyDescent="0.25">
      <c r="A51354" s="118"/>
      <c r="B51354" s="136"/>
    </row>
    <row r="51355" spans="1:2" x14ac:dyDescent="0.25">
      <c r="A51355" s="118"/>
      <c r="B51355" s="136"/>
    </row>
    <row r="51356" spans="1:2" x14ac:dyDescent="0.25">
      <c r="A51356" s="118"/>
      <c r="B51356" s="136"/>
    </row>
    <row r="51357" spans="1:2" x14ac:dyDescent="0.25">
      <c r="A51357" s="118"/>
      <c r="B51357" s="136"/>
    </row>
    <row r="51358" spans="1:2" x14ac:dyDescent="0.25">
      <c r="A51358" s="118"/>
      <c r="B51358" s="136"/>
    </row>
    <row r="51359" spans="1:2" x14ac:dyDescent="0.25">
      <c r="A51359" s="118"/>
      <c r="B51359" s="136"/>
    </row>
    <row r="51360" spans="1:2" x14ac:dyDescent="0.25">
      <c r="A51360" s="118"/>
      <c r="B51360" s="136"/>
    </row>
    <row r="51361" spans="1:2" x14ac:dyDescent="0.25">
      <c r="A51361" s="118"/>
      <c r="B51361" s="136"/>
    </row>
    <row r="51362" spans="1:2" x14ac:dyDescent="0.25">
      <c r="A51362" s="118"/>
      <c r="B51362" s="136"/>
    </row>
    <row r="51363" spans="1:2" x14ac:dyDescent="0.25">
      <c r="A51363" s="118"/>
      <c r="B51363" s="136"/>
    </row>
    <row r="51364" spans="1:2" x14ac:dyDescent="0.25">
      <c r="A51364" s="118"/>
      <c r="B51364" s="136"/>
    </row>
    <row r="51365" spans="1:2" x14ac:dyDescent="0.25">
      <c r="A51365" s="118"/>
      <c r="B51365" s="136"/>
    </row>
    <row r="51366" spans="1:2" x14ac:dyDescent="0.25">
      <c r="A51366" s="118"/>
      <c r="B51366" s="136"/>
    </row>
    <row r="51367" spans="1:2" x14ac:dyDescent="0.25">
      <c r="A51367" s="118"/>
      <c r="B51367" s="136"/>
    </row>
    <row r="51368" spans="1:2" x14ac:dyDescent="0.25">
      <c r="A51368" s="118"/>
      <c r="B51368" s="136"/>
    </row>
    <row r="51369" spans="1:2" x14ac:dyDescent="0.25">
      <c r="A51369" s="118"/>
      <c r="B51369" s="136"/>
    </row>
    <row r="51370" spans="1:2" x14ac:dyDescent="0.25">
      <c r="A51370" s="118"/>
      <c r="B51370" s="136"/>
    </row>
    <row r="51371" spans="1:2" x14ac:dyDescent="0.25">
      <c r="A51371" s="118"/>
      <c r="B51371" s="136"/>
    </row>
    <row r="51372" spans="1:2" x14ac:dyDescent="0.25">
      <c r="A51372" s="118"/>
      <c r="B51372" s="136"/>
    </row>
    <row r="51373" spans="1:2" x14ac:dyDescent="0.25">
      <c r="A51373" s="118"/>
      <c r="B51373" s="136"/>
    </row>
    <row r="51374" spans="1:2" x14ac:dyDescent="0.25">
      <c r="A51374" s="118"/>
      <c r="B51374" s="136"/>
    </row>
    <row r="51375" spans="1:2" x14ac:dyDescent="0.25">
      <c r="A51375" s="118"/>
      <c r="B51375" s="136"/>
    </row>
    <row r="51376" spans="1:2" x14ac:dyDescent="0.25">
      <c r="A51376" s="118"/>
      <c r="B51376" s="136"/>
    </row>
    <row r="51377" spans="1:2" x14ac:dyDescent="0.25">
      <c r="A51377" s="118"/>
      <c r="B51377" s="136"/>
    </row>
    <row r="51378" spans="1:2" x14ac:dyDescent="0.25">
      <c r="A51378" s="118"/>
      <c r="B51378" s="136"/>
    </row>
    <row r="51379" spans="1:2" x14ac:dyDescent="0.25">
      <c r="A51379" s="118"/>
      <c r="B51379" s="136"/>
    </row>
    <row r="51380" spans="1:2" x14ac:dyDescent="0.25">
      <c r="A51380" s="118"/>
      <c r="B51380" s="136"/>
    </row>
    <row r="51381" spans="1:2" x14ac:dyDescent="0.25">
      <c r="A51381" s="118"/>
      <c r="B51381" s="136"/>
    </row>
    <row r="51382" spans="1:2" x14ac:dyDescent="0.25">
      <c r="A51382" s="118"/>
      <c r="B51382" s="136"/>
    </row>
    <row r="51383" spans="1:2" x14ac:dyDescent="0.25">
      <c r="A51383" s="118"/>
      <c r="B51383" s="136"/>
    </row>
    <row r="51384" spans="1:2" x14ac:dyDescent="0.25">
      <c r="A51384" s="118"/>
      <c r="B51384" s="136"/>
    </row>
    <row r="51385" spans="1:2" x14ac:dyDescent="0.25">
      <c r="A51385" s="118"/>
      <c r="B51385" s="136"/>
    </row>
    <row r="51386" spans="1:2" x14ac:dyDescent="0.25">
      <c r="A51386" s="118"/>
      <c r="B51386" s="136"/>
    </row>
    <row r="51387" spans="1:2" x14ac:dyDescent="0.25">
      <c r="A51387" s="118"/>
      <c r="B51387" s="136"/>
    </row>
    <row r="51388" spans="1:2" x14ac:dyDescent="0.25">
      <c r="A51388" s="118"/>
      <c r="B51388" s="136"/>
    </row>
    <row r="51389" spans="1:2" x14ac:dyDescent="0.25">
      <c r="A51389" s="118"/>
      <c r="B51389" s="136"/>
    </row>
    <row r="51390" spans="1:2" x14ac:dyDescent="0.25">
      <c r="A51390" s="118"/>
      <c r="B51390" s="136"/>
    </row>
    <row r="51391" spans="1:2" x14ac:dyDescent="0.25">
      <c r="A51391" s="118"/>
      <c r="B51391" s="136"/>
    </row>
    <row r="51392" spans="1:2" x14ac:dyDescent="0.25">
      <c r="A51392" s="118"/>
      <c r="B51392" s="136"/>
    </row>
    <row r="51393" spans="1:2" x14ac:dyDescent="0.25">
      <c r="A51393" s="118"/>
      <c r="B51393" s="136"/>
    </row>
    <row r="51394" spans="1:2" x14ac:dyDescent="0.25">
      <c r="A51394" s="118"/>
      <c r="B51394" s="136"/>
    </row>
    <row r="51395" spans="1:2" x14ac:dyDescent="0.25">
      <c r="A51395" s="118"/>
      <c r="B51395" s="136"/>
    </row>
    <row r="51396" spans="1:2" x14ac:dyDescent="0.25">
      <c r="A51396" s="118"/>
      <c r="B51396" s="136"/>
    </row>
    <row r="51397" spans="1:2" x14ac:dyDescent="0.25">
      <c r="A51397" s="118"/>
      <c r="B51397" s="136"/>
    </row>
    <row r="51398" spans="1:2" x14ac:dyDescent="0.25">
      <c r="A51398" s="118"/>
      <c r="B51398" s="136"/>
    </row>
    <row r="51399" spans="1:2" x14ac:dyDescent="0.25">
      <c r="A51399" s="118"/>
      <c r="B51399" s="136"/>
    </row>
    <row r="51400" spans="1:2" x14ac:dyDescent="0.25">
      <c r="A51400" s="118"/>
      <c r="B51400" s="136"/>
    </row>
    <row r="51401" spans="1:2" x14ac:dyDescent="0.25">
      <c r="A51401" s="118"/>
      <c r="B51401" s="136"/>
    </row>
    <row r="51402" spans="1:2" x14ac:dyDescent="0.25">
      <c r="A51402" s="118"/>
      <c r="B51402" s="136"/>
    </row>
    <row r="51403" spans="1:2" x14ac:dyDescent="0.25">
      <c r="A51403" s="118"/>
      <c r="B51403" s="136"/>
    </row>
    <row r="51404" spans="1:2" x14ac:dyDescent="0.25">
      <c r="A51404" s="118"/>
      <c r="B51404" s="136"/>
    </row>
    <row r="51405" spans="1:2" x14ac:dyDescent="0.25">
      <c r="A51405" s="118"/>
      <c r="B51405" s="136"/>
    </row>
    <row r="51406" spans="1:2" x14ac:dyDescent="0.25">
      <c r="A51406" s="118"/>
      <c r="B51406" s="136"/>
    </row>
    <row r="51407" spans="1:2" x14ac:dyDescent="0.25">
      <c r="A51407" s="118"/>
      <c r="B51407" s="136"/>
    </row>
    <row r="51408" spans="1:2" x14ac:dyDescent="0.25">
      <c r="A51408" s="118"/>
      <c r="B51408" s="136"/>
    </row>
    <row r="51409" spans="1:2" x14ac:dyDescent="0.25">
      <c r="A51409" s="118"/>
      <c r="B51409" s="136"/>
    </row>
    <row r="51410" spans="1:2" x14ac:dyDescent="0.25">
      <c r="A51410" s="118"/>
      <c r="B51410" s="136"/>
    </row>
    <row r="51411" spans="1:2" x14ac:dyDescent="0.25">
      <c r="A51411" s="118"/>
      <c r="B51411" s="136"/>
    </row>
    <row r="51412" spans="1:2" x14ac:dyDescent="0.25">
      <c r="A51412" s="118"/>
      <c r="B51412" s="136"/>
    </row>
    <row r="51413" spans="1:2" x14ac:dyDescent="0.25">
      <c r="A51413" s="118"/>
      <c r="B51413" s="136"/>
    </row>
    <row r="51414" spans="1:2" x14ac:dyDescent="0.25">
      <c r="A51414" s="118"/>
      <c r="B51414" s="136"/>
    </row>
    <row r="51415" spans="1:2" x14ac:dyDescent="0.25">
      <c r="A51415" s="118"/>
      <c r="B51415" s="136"/>
    </row>
    <row r="51416" spans="1:2" x14ac:dyDescent="0.25">
      <c r="A51416" s="118"/>
      <c r="B51416" s="136"/>
    </row>
    <row r="51417" spans="1:2" x14ac:dyDescent="0.25">
      <c r="A51417" s="118"/>
      <c r="B51417" s="136"/>
    </row>
    <row r="51418" spans="1:2" x14ac:dyDescent="0.25">
      <c r="A51418" s="118"/>
      <c r="B51418" s="136"/>
    </row>
    <row r="51419" spans="1:2" x14ac:dyDescent="0.25">
      <c r="A51419" s="118"/>
      <c r="B51419" s="136"/>
    </row>
    <row r="51420" spans="1:2" x14ac:dyDescent="0.25">
      <c r="A51420" s="118"/>
      <c r="B51420" s="136"/>
    </row>
    <row r="51421" spans="1:2" x14ac:dyDescent="0.25">
      <c r="A51421" s="118"/>
      <c r="B51421" s="136"/>
    </row>
    <row r="51422" spans="1:2" x14ac:dyDescent="0.25">
      <c r="A51422" s="118"/>
      <c r="B51422" s="136"/>
    </row>
    <row r="51423" spans="1:2" x14ac:dyDescent="0.25">
      <c r="A51423" s="118"/>
      <c r="B51423" s="136"/>
    </row>
    <row r="51424" spans="1:2" x14ac:dyDescent="0.25">
      <c r="A51424" s="118"/>
      <c r="B51424" s="136"/>
    </row>
    <row r="51425" spans="1:2" x14ac:dyDescent="0.25">
      <c r="A51425" s="118"/>
      <c r="B51425" s="136"/>
    </row>
    <row r="51426" spans="1:2" x14ac:dyDescent="0.25">
      <c r="A51426" s="118"/>
      <c r="B51426" s="136"/>
    </row>
    <row r="51427" spans="1:2" x14ac:dyDescent="0.25">
      <c r="A51427" s="118"/>
      <c r="B51427" s="136"/>
    </row>
    <row r="51428" spans="1:2" x14ac:dyDescent="0.25">
      <c r="A51428" s="118"/>
      <c r="B51428" s="136"/>
    </row>
    <row r="51429" spans="1:2" x14ac:dyDescent="0.25">
      <c r="A51429" s="118"/>
      <c r="B51429" s="136"/>
    </row>
    <row r="51430" spans="1:2" x14ac:dyDescent="0.25">
      <c r="A51430" s="118"/>
      <c r="B51430" s="136"/>
    </row>
    <row r="51431" spans="1:2" x14ac:dyDescent="0.25">
      <c r="A51431" s="118"/>
      <c r="B51431" s="136"/>
    </row>
    <row r="51432" spans="1:2" x14ac:dyDescent="0.25">
      <c r="A51432" s="118"/>
      <c r="B51432" s="136"/>
    </row>
    <row r="51433" spans="1:2" x14ac:dyDescent="0.25">
      <c r="A51433" s="118"/>
      <c r="B51433" s="136"/>
    </row>
    <row r="51434" spans="1:2" x14ac:dyDescent="0.25">
      <c r="A51434" s="118"/>
      <c r="B51434" s="136"/>
    </row>
    <row r="51435" spans="1:2" x14ac:dyDescent="0.25">
      <c r="A51435" s="118"/>
      <c r="B51435" s="136"/>
    </row>
    <row r="51436" spans="1:2" x14ac:dyDescent="0.25">
      <c r="A51436" s="118"/>
      <c r="B51436" s="136"/>
    </row>
    <row r="51437" spans="1:2" x14ac:dyDescent="0.25">
      <c r="A51437" s="118"/>
      <c r="B51437" s="136"/>
    </row>
    <row r="51438" spans="1:2" x14ac:dyDescent="0.25">
      <c r="A51438" s="118"/>
      <c r="B51438" s="136"/>
    </row>
    <row r="51439" spans="1:2" x14ac:dyDescent="0.25">
      <c r="A51439" s="118"/>
      <c r="B51439" s="136"/>
    </row>
    <row r="51440" spans="1:2" x14ac:dyDescent="0.25">
      <c r="A51440" s="118"/>
      <c r="B51440" s="136"/>
    </row>
    <row r="51441" spans="1:2" x14ac:dyDescent="0.25">
      <c r="A51441" s="118"/>
      <c r="B51441" s="136"/>
    </row>
    <row r="51442" spans="1:2" x14ac:dyDescent="0.25">
      <c r="A51442" s="118"/>
      <c r="B51442" s="136"/>
    </row>
    <row r="51443" spans="1:2" x14ac:dyDescent="0.25">
      <c r="A51443" s="118"/>
      <c r="B51443" s="136"/>
    </row>
    <row r="51444" spans="1:2" x14ac:dyDescent="0.25">
      <c r="A51444" s="118"/>
      <c r="B51444" s="136"/>
    </row>
    <row r="51445" spans="1:2" x14ac:dyDescent="0.25">
      <c r="A51445" s="118"/>
      <c r="B51445" s="136"/>
    </row>
    <row r="51446" spans="1:2" x14ac:dyDescent="0.25">
      <c r="A51446" s="118"/>
      <c r="B51446" s="136"/>
    </row>
    <row r="51447" spans="1:2" x14ac:dyDescent="0.25">
      <c r="A51447" s="118"/>
      <c r="B51447" s="136"/>
    </row>
    <row r="51448" spans="1:2" x14ac:dyDescent="0.25">
      <c r="A51448" s="118"/>
      <c r="B51448" s="136"/>
    </row>
    <row r="51449" spans="1:2" x14ac:dyDescent="0.25">
      <c r="A51449" s="118"/>
      <c r="B51449" s="136"/>
    </row>
    <row r="51450" spans="1:2" x14ac:dyDescent="0.25">
      <c r="A51450" s="118"/>
      <c r="B51450" s="136"/>
    </row>
    <row r="51451" spans="1:2" x14ac:dyDescent="0.25">
      <c r="A51451" s="118"/>
      <c r="B51451" s="136"/>
    </row>
    <row r="51452" spans="1:2" x14ac:dyDescent="0.25">
      <c r="A51452" s="118"/>
      <c r="B51452" s="136"/>
    </row>
    <row r="51453" spans="1:2" x14ac:dyDescent="0.25">
      <c r="A51453" s="118"/>
      <c r="B51453" s="136"/>
    </row>
    <row r="51454" spans="1:2" x14ac:dyDescent="0.25">
      <c r="A51454" s="118"/>
      <c r="B51454" s="136"/>
    </row>
    <row r="51455" spans="1:2" x14ac:dyDescent="0.25">
      <c r="A51455" s="118"/>
      <c r="B51455" s="136"/>
    </row>
    <row r="51456" spans="1:2" x14ac:dyDescent="0.25">
      <c r="A51456" s="118"/>
      <c r="B51456" s="136"/>
    </row>
    <row r="51457" spans="1:2" x14ac:dyDescent="0.25">
      <c r="A51457" s="118"/>
      <c r="B51457" s="136"/>
    </row>
    <row r="51458" spans="1:2" x14ac:dyDescent="0.25">
      <c r="A51458" s="118"/>
      <c r="B51458" s="136"/>
    </row>
    <row r="51459" spans="1:2" x14ac:dyDescent="0.25">
      <c r="A51459" s="118"/>
      <c r="B51459" s="136"/>
    </row>
    <row r="51460" spans="1:2" x14ac:dyDescent="0.25">
      <c r="A51460" s="118"/>
      <c r="B51460" s="136"/>
    </row>
    <row r="51461" spans="1:2" x14ac:dyDescent="0.25">
      <c r="A51461" s="118"/>
      <c r="B51461" s="136"/>
    </row>
    <row r="51462" spans="1:2" x14ac:dyDescent="0.25">
      <c r="A51462" s="118"/>
      <c r="B51462" s="136"/>
    </row>
    <row r="51463" spans="1:2" x14ac:dyDescent="0.25">
      <c r="A51463" s="118"/>
      <c r="B51463" s="136"/>
    </row>
    <row r="51464" spans="1:2" x14ac:dyDescent="0.25">
      <c r="A51464" s="118"/>
      <c r="B51464" s="136"/>
    </row>
    <row r="51465" spans="1:2" x14ac:dyDescent="0.25">
      <c r="A51465" s="118"/>
      <c r="B51465" s="136"/>
    </row>
    <row r="51466" spans="1:2" x14ac:dyDescent="0.25">
      <c r="A51466" s="118"/>
      <c r="B51466" s="136"/>
    </row>
    <row r="51467" spans="1:2" x14ac:dyDescent="0.25">
      <c r="A51467" s="118"/>
      <c r="B51467" s="136"/>
    </row>
    <row r="51468" spans="1:2" x14ac:dyDescent="0.25">
      <c r="A51468" s="118"/>
      <c r="B51468" s="136"/>
    </row>
    <row r="51469" spans="1:2" x14ac:dyDescent="0.25">
      <c r="A51469" s="118"/>
      <c r="B51469" s="136"/>
    </row>
    <row r="51470" spans="1:2" x14ac:dyDescent="0.25">
      <c r="A51470" s="118"/>
      <c r="B51470" s="136"/>
    </row>
    <row r="51471" spans="1:2" x14ac:dyDescent="0.25">
      <c r="A51471" s="118"/>
      <c r="B51471" s="136"/>
    </row>
    <row r="51472" spans="1:2" x14ac:dyDescent="0.25">
      <c r="A51472" s="118"/>
      <c r="B51472" s="136"/>
    </row>
    <row r="51473" spans="1:2" x14ac:dyDescent="0.25">
      <c r="A51473" s="118"/>
      <c r="B51473" s="136"/>
    </row>
    <row r="51474" spans="1:2" x14ac:dyDescent="0.25">
      <c r="A51474" s="118"/>
      <c r="B51474" s="136"/>
    </row>
    <row r="51475" spans="1:2" x14ac:dyDescent="0.25">
      <c r="A51475" s="118"/>
      <c r="B51475" s="136"/>
    </row>
    <row r="51476" spans="1:2" x14ac:dyDescent="0.25">
      <c r="A51476" s="118"/>
      <c r="B51476" s="136"/>
    </row>
    <row r="51477" spans="1:2" x14ac:dyDescent="0.25">
      <c r="A51477" s="118"/>
      <c r="B51477" s="136"/>
    </row>
    <row r="51478" spans="1:2" x14ac:dyDescent="0.25">
      <c r="A51478" s="118"/>
      <c r="B51478" s="136"/>
    </row>
    <row r="51479" spans="1:2" x14ac:dyDescent="0.25">
      <c r="A51479" s="118"/>
      <c r="B51479" s="136"/>
    </row>
    <row r="51480" spans="1:2" x14ac:dyDescent="0.25">
      <c r="A51480" s="118"/>
      <c r="B51480" s="136"/>
    </row>
    <row r="51481" spans="1:2" x14ac:dyDescent="0.25">
      <c r="A51481" s="118"/>
      <c r="B51481" s="136"/>
    </row>
    <row r="51482" spans="1:2" x14ac:dyDescent="0.25">
      <c r="A51482" s="118"/>
      <c r="B51482" s="136"/>
    </row>
    <row r="51483" spans="1:2" x14ac:dyDescent="0.25">
      <c r="A51483" s="118"/>
      <c r="B51483" s="136"/>
    </row>
    <row r="51484" spans="1:2" x14ac:dyDescent="0.25">
      <c r="A51484" s="118"/>
      <c r="B51484" s="136"/>
    </row>
    <row r="51485" spans="1:2" x14ac:dyDescent="0.25">
      <c r="A51485" s="118"/>
      <c r="B51485" s="136"/>
    </row>
    <row r="51486" spans="1:2" x14ac:dyDescent="0.25">
      <c r="A51486" s="118"/>
      <c r="B51486" s="136"/>
    </row>
    <row r="51487" spans="1:2" x14ac:dyDescent="0.25">
      <c r="A51487" s="118"/>
      <c r="B51487" s="136"/>
    </row>
    <row r="51488" spans="1:2" x14ac:dyDescent="0.25">
      <c r="A51488" s="118"/>
      <c r="B51488" s="136"/>
    </row>
    <row r="51489" spans="1:2" x14ac:dyDescent="0.25">
      <c r="A51489" s="118"/>
      <c r="B51489" s="136"/>
    </row>
    <row r="51490" spans="1:2" x14ac:dyDescent="0.25">
      <c r="A51490" s="118"/>
      <c r="B51490" s="136"/>
    </row>
    <row r="51491" spans="1:2" x14ac:dyDescent="0.25">
      <c r="A51491" s="118"/>
      <c r="B51491" s="136"/>
    </row>
    <row r="51492" spans="1:2" x14ac:dyDescent="0.25">
      <c r="A51492" s="118"/>
      <c r="B51492" s="136"/>
    </row>
    <row r="51493" spans="1:2" x14ac:dyDescent="0.25">
      <c r="A51493" s="118"/>
      <c r="B51493" s="136"/>
    </row>
    <row r="51494" spans="1:2" x14ac:dyDescent="0.25">
      <c r="A51494" s="118"/>
      <c r="B51494" s="136"/>
    </row>
    <row r="51495" spans="1:2" x14ac:dyDescent="0.25">
      <c r="A51495" s="118"/>
      <c r="B51495" s="136"/>
    </row>
    <row r="51496" spans="1:2" x14ac:dyDescent="0.25">
      <c r="A51496" s="118"/>
      <c r="B51496" s="136"/>
    </row>
    <row r="51497" spans="1:2" x14ac:dyDescent="0.25">
      <c r="A51497" s="118"/>
      <c r="B51497" s="136"/>
    </row>
    <row r="51498" spans="1:2" x14ac:dyDescent="0.25">
      <c r="A51498" s="118"/>
      <c r="B51498" s="136"/>
    </row>
    <row r="51499" spans="1:2" x14ac:dyDescent="0.25">
      <c r="A51499" s="118"/>
      <c r="B51499" s="136"/>
    </row>
    <row r="51500" spans="1:2" x14ac:dyDescent="0.25">
      <c r="A51500" s="118"/>
      <c r="B51500" s="136"/>
    </row>
    <row r="51501" spans="1:2" x14ac:dyDescent="0.25">
      <c r="A51501" s="118"/>
      <c r="B51501" s="136"/>
    </row>
    <row r="51502" spans="1:2" x14ac:dyDescent="0.25">
      <c r="A51502" s="118"/>
      <c r="B51502" s="136"/>
    </row>
    <row r="51503" spans="1:2" x14ac:dyDescent="0.25">
      <c r="A51503" s="118"/>
      <c r="B51503" s="136"/>
    </row>
    <row r="51504" spans="1:2" x14ac:dyDescent="0.25">
      <c r="A51504" s="118"/>
      <c r="B51504" s="136"/>
    </row>
    <row r="51505" spans="1:2" x14ac:dyDescent="0.25">
      <c r="A51505" s="118"/>
      <c r="B51505" s="136"/>
    </row>
    <row r="51506" spans="1:2" x14ac:dyDescent="0.25">
      <c r="A51506" s="118"/>
      <c r="B51506" s="136"/>
    </row>
    <row r="51507" spans="1:2" x14ac:dyDescent="0.25">
      <c r="A51507" s="118"/>
      <c r="B51507" s="136"/>
    </row>
    <row r="51508" spans="1:2" x14ac:dyDescent="0.25">
      <c r="A51508" s="118"/>
      <c r="B51508" s="136"/>
    </row>
    <row r="51509" spans="1:2" x14ac:dyDescent="0.25">
      <c r="A51509" s="118"/>
      <c r="B51509" s="136"/>
    </row>
    <row r="51510" spans="1:2" x14ac:dyDescent="0.25">
      <c r="A51510" s="118"/>
      <c r="B51510" s="136"/>
    </row>
    <row r="51511" spans="1:2" x14ac:dyDescent="0.25">
      <c r="A51511" s="118"/>
      <c r="B51511" s="136"/>
    </row>
    <row r="51512" spans="1:2" x14ac:dyDescent="0.25">
      <c r="A51512" s="118"/>
      <c r="B51512" s="136"/>
    </row>
    <row r="51513" spans="1:2" x14ac:dyDescent="0.25">
      <c r="A51513" s="118"/>
      <c r="B51513" s="136"/>
    </row>
    <row r="51514" spans="1:2" x14ac:dyDescent="0.25">
      <c r="A51514" s="118"/>
      <c r="B51514" s="136"/>
    </row>
    <row r="51515" spans="1:2" x14ac:dyDescent="0.25">
      <c r="A51515" s="118"/>
      <c r="B51515" s="136"/>
    </row>
    <row r="51516" spans="1:2" x14ac:dyDescent="0.25">
      <c r="A51516" s="118"/>
      <c r="B51516" s="136"/>
    </row>
    <row r="51517" spans="1:2" x14ac:dyDescent="0.25">
      <c r="A51517" s="118"/>
      <c r="B51517" s="136"/>
    </row>
    <row r="51518" spans="1:2" x14ac:dyDescent="0.25">
      <c r="A51518" s="118"/>
      <c r="B51518" s="136"/>
    </row>
    <row r="51519" spans="1:2" x14ac:dyDescent="0.25">
      <c r="A51519" s="118"/>
      <c r="B51519" s="136"/>
    </row>
    <row r="51520" spans="1:2" x14ac:dyDescent="0.25">
      <c r="A51520" s="118"/>
      <c r="B51520" s="136"/>
    </row>
    <row r="51521" spans="1:2" x14ac:dyDescent="0.25">
      <c r="A51521" s="118"/>
      <c r="B51521" s="136"/>
    </row>
    <row r="51522" spans="1:2" x14ac:dyDescent="0.25">
      <c r="A51522" s="118"/>
      <c r="B51522" s="136"/>
    </row>
    <row r="51523" spans="1:2" x14ac:dyDescent="0.25">
      <c r="A51523" s="118"/>
      <c r="B51523" s="136"/>
    </row>
    <row r="51524" spans="1:2" x14ac:dyDescent="0.25">
      <c r="A51524" s="118"/>
      <c r="B51524" s="136"/>
    </row>
    <row r="51525" spans="1:2" x14ac:dyDescent="0.25">
      <c r="A51525" s="118"/>
      <c r="B51525" s="136"/>
    </row>
    <row r="51526" spans="1:2" x14ac:dyDescent="0.25">
      <c r="A51526" s="118"/>
      <c r="B51526" s="136"/>
    </row>
    <row r="51527" spans="1:2" x14ac:dyDescent="0.25">
      <c r="A51527" s="118"/>
      <c r="B51527" s="136"/>
    </row>
    <row r="51528" spans="1:2" x14ac:dyDescent="0.25">
      <c r="A51528" s="118"/>
      <c r="B51528" s="136"/>
    </row>
    <row r="51529" spans="1:2" x14ac:dyDescent="0.25">
      <c r="A51529" s="118"/>
      <c r="B51529" s="136"/>
    </row>
    <row r="51530" spans="1:2" x14ac:dyDescent="0.25">
      <c r="A51530" s="118"/>
      <c r="B51530" s="136"/>
    </row>
    <row r="51531" spans="1:2" x14ac:dyDescent="0.25">
      <c r="A51531" s="118"/>
      <c r="B51531" s="136"/>
    </row>
    <row r="51532" spans="1:2" x14ac:dyDescent="0.25">
      <c r="A51532" s="118"/>
      <c r="B51532" s="136"/>
    </row>
    <row r="51533" spans="1:2" x14ac:dyDescent="0.25">
      <c r="A51533" s="118"/>
      <c r="B51533" s="136"/>
    </row>
    <row r="51534" spans="1:2" x14ac:dyDescent="0.25">
      <c r="A51534" s="118"/>
      <c r="B51534" s="136"/>
    </row>
    <row r="51535" spans="1:2" x14ac:dyDescent="0.25">
      <c r="A51535" s="118"/>
      <c r="B51535" s="136"/>
    </row>
    <row r="51536" spans="1:2" x14ac:dyDescent="0.25">
      <c r="A51536" s="118"/>
      <c r="B51536" s="136"/>
    </row>
    <row r="51537" spans="1:2" x14ac:dyDescent="0.25">
      <c r="A51537" s="118"/>
      <c r="B51537" s="136"/>
    </row>
    <row r="51538" spans="1:2" x14ac:dyDescent="0.25">
      <c r="A51538" s="118"/>
      <c r="B51538" s="136"/>
    </row>
    <row r="51539" spans="1:2" x14ac:dyDescent="0.25">
      <c r="A51539" s="118"/>
      <c r="B51539" s="136"/>
    </row>
    <row r="51540" spans="1:2" x14ac:dyDescent="0.25">
      <c r="A51540" s="118"/>
      <c r="B51540" s="136"/>
    </row>
    <row r="51541" spans="1:2" x14ac:dyDescent="0.25">
      <c r="A51541" s="118"/>
      <c r="B51541" s="136"/>
    </row>
    <row r="51542" spans="1:2" x14ac:dyDescent="0.25">
      <c r="A51542" s="118"/>
      <c r="B51542" s="136"/>
    </row>
    <row r="51543" spans="1:2" x14ac:dyDescent="0.25">
      <c r="A51543" s="118"/>
      <c r="B51543" s="136"/>
    </row>
    <row r="51544" spans="1:2" x14ac:dyDescent="0.25">
      <c r="A51544" s="118"/>
      <c r="B51544" s="136"/>
    </row>
    <row r="51545" spans="1:2" x14ac:dyDescent="0.25">
      <c r="A51545" s="118"/>
      <c r="B51545" s="136"/>
    </row>
    <row r="51546" spans="1:2" x14ac:dyDescent="0.25">
      <c r="A51546" s="118"/>
      <c r="B51546" s="136"/>
    </row>
    <row r="51547" spans="1:2" x14ac:dyDescent="0.25">
      <c r="A51547" s="118"/>
      <c r="B51547" s="136"/>
    </row>
    <row r="51548" spans="1:2" x14ac:dyDescent="0.25">
      <c r="A51548" s="118"/>
      <c r="B51548" s="136"/>
    </row>
    <row r="51549" spans="1:2" x14ac:dyDescent="0.25">
      <c r="A51549" s="118"/>
      <c r="B51549" s="136"/>
    </row>
    <row r="51550" spans="1:2" x14ac:dyDescent="0.25">
      <c r="A51550" s="118"/>
      <c r="B51550" s="136"/>
    </row>
    <row r="51551" spans="1:2" x14ac:dyDescent="0.25">
      <c r="A51551" s="118"/>
      <c r="B51551" s="136"/>
    </row>
    <row r="51552" spans="1:2" x14ac:dyDescent="0.25">
      <c r="A51552" s="118"/>
      <c r="B51552" s="136"/>
    </row>
    <row r="51553" spans="1:2" x14ac:dyDescent="0.25">
      <c r="A51553" s="118"/>
      <c r="B51553" s="136"/>
    </row>
    <row r="51554" spans="1:2" x14ac:dyDescent="0.25">
      <c r="A51554" s="118"/>
      <c r="B51554" s="136"/>
    </row>
    <row r="51555" spans="1:2" x14ac:dyDescent="0.25">
      <c r="A51555" s="118"/>
      <c r="B51555" s="136"/>
    </row>
    <row r="51556" spans="1:2" x14ac:dyDescent="0.25">
      <c r="A51556" s="118"/>
      <c r="B51556" s="136"/>
    </row>
    <row r="51557" spans="1:2" x14ac:dyDescent="0.25">
      <c r="A51557" s="118"/>
      <c r="B51557" s="136"/>
    </row>
    <row r="51558" spans="1:2" x14ac:dyDescent="0.25">
      <c r="A51558" s="118"/>
      <c r="B51558" s="136"/>
    </row>
    <row r="51559" spans="1:2" x14ac:dyDescent="0.25">
      <c r="A51559" s="118"/>
      <c r="B51559" s="136"/>
    </row>
    <row r="51560" spans="1:2" x14ac:dyDescent="0.25">
      <c r="A51560" s="118"/>
      <c r="B51560" s="136"/>
    </row>
    <row r="51561" spans="1:2" x14ac:dyDescent="0.25">
      <c r="A51561" s="118"/>
      <c r="B51561" s="136"/>
    </row>
    <row r="51562" spans="1:2" x14ac:dyDescent="0.25">
      <c r="A51562" s="118"/>
      <c r="B51562" s="136"/>
    </row>
    <row r="51563" spans="1:2" x14ac:dyDescent="0.25">
      <c r="A51563" s="118"/>
      <c r="B51563" s="136"/>
    </row>
    <row r="51564" spans="1:2" x14ac:dyDescent="0.25">
      <c r="A51564" s="118"/>
      <c r="B51564" s="136"/>
    </row>
    <row r="51565" spans="1:2" x14ac:dyDescent="0.25">
      <c r="A51565" s="118"/>
      <c r="B51565" s="136"/>
    </row>
    <row r="51566" spans="1:2" x14ac:dyDescent="0.25">
      <c r="A51566" s="118"/>
      <c r="B51566" s="136"/>
    </row>
    <row r="51567" spans="1:2" x14ac:dyDescent="0.25">
      <c r="A51567" s="118"/>
      <c r="B51567" s="136"/>
    </row>
    <row r="51568" spans="1:2" x14ac:dyDescent="0.25">
      <c r="A51568" s="118"/>
      <c r="B51568" s="136"/>
    </row>
    <row r="51569" spans="1:2" x14ac:dyDescent="0.25">
      <c r="A51569" s="118"/>
      <c r="B51569" s="136"/>
    </row>
    <row r="51570" spans="1:2" x14ac:dyDescent="0.25">
      <c r="A51570" s="118"/>
      <c r="B51570" s="136"/>
    </row>
    <row r="51571" spans="1:2" x14ac:dyDescent="0.25">
      <c r="A51571" s="118"/>
      <c r="B51571" s="136"/>
    </row>
    <row r="51572" spans="1:2" x14ac:dyDescent="0.25">
      <c r="A51572" s="118"/>
      <c r="B51572" s="136"/>
    </row>
    <row r="51573" spans="1:2" x14ac:dyDescent="0.25">
      <c r="A51573" s="118"/>
      <c r="B51573" s="136"/>
    </row>
    <row r="51574" spans="1:2" x14ac:dyDescent="0.25">
      <c r="A51574" s="118"/>
      <c r="B51574" s="136"/>
    </row>
    <row r="51575" spans="1:2" x14ac:dyDescent="0.25">
      <c r="A51575" s="118"/>
      <c r="B51575" s="136"/>
    </row>
    <row r="51576" spans="1:2" x14ac:dyDescent="0.25">
      <c r="A51576" s="118"/>
      <c r="B51576" s="136"/>
    </row>
    <row r="51577" spans="1:2" x14ac:dyDescent="0.25">
      <c r="A51577" s="118"/>
      <c r="B51577" s="136"/>
    </row>
    <row r="51578" spans="1:2" x14ac:dyDescent="0.25">
      <c r="A51578" s="118"/>
      <c r="B51578" s="136"/>
    </row>
    <row r="51579" spans="1:2" x14ac:dyDescent="0.25">
      <c r="A51579" s="118"/>
      <c r="B51579" s="136"/>
    </row>
    <row r="51580" spans="1:2" x14ac:dyDescent="0.25">
      <c r="A51580" s="118"/>
      <c r="B51580" s="136"/>
    </row>
    <row r="51581" spans="1:2" x14ac:dyDescent="0.25">
      <c r="A51581" s="118"/>
      <c r="B51581" s="136"/>
    </row>
    <row r="51582" spans="1:2" x14ac:dyDescent="0.25">
      <c r="A51582" s="118"/>
      <c r="B51582" s="136"/>
    </row>
    <row r="51583" spans="1:2" x14ac:dyDescent="0.25">
      <c r="A51583" s="118"/>
      <c r="B51583" s="136"/>
    </row>
    <row r="51584" spans="1:2" x14ac:dyDescent="0.25">
      <c r="A51584" s="118"/>
      <c r="B51584" s="136"/>
    </row>
    <row r="51585" spans="1:2" x14ac:dyDescent="0.25">
      <c r="A51585" s="118"/>
      <c r="B51585" s="136"/>
    </row>
    <row r="51586" spans="1:2" x14ac:dyDescent="0.25">
      <c r="A51586" s="118"/>
      <c r="B51586" s="136"/>
    </row>
    <row r="51587" spans="1:2" x14ac:dyDescent="0.25">
      <c r="A51587" s="118"/>
      <c r="B51587" s="136"/>
    </row>
    <row r="51588" spans="1:2" x14ac:dyDescent="0.25">
      <c r="A51588" s="118"/>
      <c r="B51588" s="136"/>
    </row>
    <row r="51589" spans="1:2" x14ac:dyDescent="0.25">
      <c r="A51589" s="118"/>
      <c r="B51589" s="136"/>
    </row>
    <row r="51590" spans="1:2" x14ac:dyDescent="0.25">
      <c r="A51590" s="118"/>
      <c r="B51590" s="136"/>
    </row>
    <row r="51591" spans="1:2" x14ac:dyDescent="0.25">
      <c r="A51591" s="118"/>
      <c r="B51591" s="136"/>
    </row>
    <row r="51592" spans="1:2" x14ac:dyDescent="0.25">
      <c r="A51592" s="118"/>
      <c r="B51592" s="136"/>
    </row>
    <row r="51593" spans="1:2" x14ac:dyDescent="0.25">
      <c r="A51593" s="118"/>
      <c r="B51593" s="136"/>
    </row>
    <row r="51594" spans="1:2" x14ac:dyDescent="0.25">
      <c r="A51594" s="118"/>
      <c r="B51594" s="136"/>
    </row>
    <row r="51595" spans="1:2" x14ac:dyDescent="0.25">
      <c r="A51595" s="118"/>
      <c r="B51595" s="136"/>
    </row>
    <row r="51596" spans="1:2" x14ac:dyDescent="0.25">
      <c r="A51596" s="118"/>
      <c r="B51596" s="136"/>
    </row>
    <row r="51597" spans="1:2" x14ac:dyDescent="0.25">
      <c r="A51597" s="118"/>
      <c r="B51597" s="136"/>
    </row>
    <row r="51598" spans="1:2" x14ac:dyDescent="0.25">
      <c r="A51598" s="118"/>
      <c r="B51598" s="136"/>
    </row>
    <row r="51599" spans="1:2" x14ac:dyDescent="0.25">
      <c r="A51599" s="118"/>
      <c r="B51599" s="136"/>
    </row>
    <row r="51600" spans="1:2" x14ac:dyDescent="0.25">
      <c r="A51600" s="118"/>
      <c r="B51600" s="136"/>
    </row>
    <row r="51601" spans="1:2" x14ac:dyDescent="0.25">
      <c r="A51601" s="118"/>
      <c r="B51601" s="136"/>
    </row>
    <row r="51602" spans="1:2" x14ac:dyDescent="0.25">
      <c r="A51602" s="118"/>
      <c r="B51602" s="136"/>
    </row>
    <row r="51603" spans="1:2" x14ac:dyDescent="0.25">
      <c r="A51603" s="118"/>
      <c r="B51603" s="136"/>
    </row>
    <row r="51604" spans="1:2" x14ac:dyDescent="0.25">
      <c r="A51604" s="118"/>
      <c r="B51604" s="136"/>
    </row>
    <row r="51605" spans="1:2" x14ac:dyDescent="0.25">
      <c r="A51605" s="118"/>
      <c r="B51605" s="136"/>
    </row>
    <row r="51606" spans="1:2" x14ac:dyDescent="0.25">
      <c r="A51606" s="118"/>
      <c r="B51606" s="136"/>
    </row>
    <row r="51607" spans="1:2" x14ac:dyDescent="0.25">
      <c r="A51607" s="118"/>
      <c r="B51607" s="136"/>
    </row>
    <row r="51608" spans="1:2" x14ac:dyDescent="0.25">
      <c r="A51608" s="118"/>
      <c r="B51608" s="136"/>
    </row>
    <row r="51609" spans="1:2" x14ac:dyDescent="0.25">
      <c r="A51609" s="118"/>
      <c r="B51609" s="136"/>
    </row>
    <row r="51610" spans="1:2" x14ac:dyDescent="0.25">
      <c r="A51610" s="118"/>
      <c r="B51610" s="136"/>
    </row>
    <row r="51611" spans="1:2" x14ac:dyDescent="0.25">
      <c r="A51611" s="118"/>
      <c r="B51611" s="136"/>
    </row>
    <row r="51612" spans="1:2" x14ac:dyDescent="0.25">
      <c r="A51612" s="118"/>
      <c r="B51612" s="136"/>
    </row>
    <row r="51613" spans="1:2" x14ac:dyDescent="0.25">
      <c r="A51613" s="118"/>
      <c r="B51613" s="136"/>
    </row>
    <row r="51614" spans="1:2" x14ac:dyDescent="0.25">
      <c r="A51614" s="118"/>
      <c r="B51614" s="136"/>
    </row>
    <row r="51615" spans="1:2" x14ac:dyDescent="0.25">
      <c r="A51615" s="118"/>
      <c r="B51615" s="136"/>
    </row>
    <row r="51616" spans="1:2" x14ac:dyDescent="0.25">
      <c r="A51616" s="118"/>
      <c r="B51616" s="136"/>
    </row>
    <row r="51617" spans="1:2" x14ac:dyDescent="0.25">
      <c r="A51617" s="118"/>
      <c r="B51617" s="136"/>
    </row>
    <row r="51618" spans="1:2" x14ac:dyDescent="0.25">
      <c r="A51618" s="118"/>
      <c r="B51618" s="136"/>
    </row>
    <row r="51619" spans="1:2" x14ac:dyDescent="0.25">
      <c r="A51619" s="118"/>
      <c r="B51619" s="136"/>
    </row>
    <row r="51620" spans="1:2" x14ac:dyDescent="0.25">
      <c r="A51620" s="118"/>
      <c r="B51620" s="136"/>
    </row>
    <row r="51621" spans="1:2" x14ac:dyDescent="0.25">
      <c r="A51621" s="118"/>
      <c r="B51621" s="136"/>
    </row>
    <row r="51622" spans="1:2" x14ac:dyDescent="0.25">
      <c r="A51622" s="118"/>
      <c r="B51622" s="136"/>
    </row>
    <row r="51623" spans="1:2" x14ac:dyDescent="0.25">
      <c r="A51623" s="118"/>
      <c r="B51623" s="136"/>
    </row>
    <row r="51624" spans="1:2" x14ac:dyDescent="0.25">
      <c r="A51624" s="118"/>
      <c r="B51624" s="136"/>
    </row>
    <row r="51625" spans="1:2" x14ac:dyDescent="0.25">
      <c r="A51625" s="118"/>
      <c r="B51625" s="136"/>
    </row>
    <row r="51626" spans="1:2" x14ac:dyDescent="0.25">
      <c r="A51626" s="118"/>
      <c r="B51626" s="136"/>
    </row>
    <row r="51627" spans="1:2" x14ac:dyDescent="0.25">
      <c r="A51627" s="118"/>
      <c r="B51627" s="136"/>
    </row>
    <row r="51628" spans="1:2" x14ac:dyDescent="0.25">
      <c r="A51628" s="118"/>
      <c r="B51628" s="136"/>
    </row>
    <row r="51629" spans="1:2" x14ac:dyDescent="0.25">
      <c r="A51629" s="118"/>
      <c r="B51629" s="136"/>
    </row>
    <row r="51630" spans="1:2" x14ac:dyDescent="0.25">
      <c r="A51630" s="118"/>
      <c r="B51630" s="136"/>
    </row>
    <row r="51631" spans="1:2" x14ac:dyDescent="0.25">
      <c r="A51631" s="118"/>
      <c r="B51631" s="136"/>
    </row>
    <row r="51632" spans="1:2" x14ac:dyDescent="0.25">
      <c r="A51632" s="118"/>
      <c r="B51632" s="136"/>
    </row>
    <row r="51633" spans="1:2" x14ac:dyDescent="0.25">
      <c r="A51633" s="118"/>
      <c r="B51633" s="136"/>
    </row>
    <row r="51634" spans="1:2" x14ac:dyDescent="0.25">
      <c r="A51634" s="118"/>
      <c r="B51634" s="136"/>
    </row>
    <row r="51635" spans="1:2" x14ac:dyDescent="0.25">
      <c r="A51635" s="118"/>
      <c r="B51635" s="136"/>
    </row>
    <row r="51636" spans="1:2" x14ac:dyDescent="0.25">
      <c r="A51636" s="118"/>
      <c r="B51636" s="136"/>
    </row>
    <row r="51637" spans="1:2" x14ac:dyDescent="0.25">
      <c r="A51637" s="118"/>
      <c r="B51637" s="136"/>
    </row>
    <row r="51638" spans="1:2" x14ac:dyDescent="0.25">
      <c r="A51638" s="118"/>
      <c r="B51638" s="136"/>
    </row>
    <row r="51639" spans="1:2" x14ac:dyDescent="0.25">
      <c r="A51639" s="118"/>
      <c r="B51639" s="136"/>
    </row>
    <row r="51640" spans="1:2" x14ac:dyDescent="0.25">
      <c r="A51640" s="118"/>
      <c r="B51640" s="136"/>
    </row>
    <row r="51641" spans="1:2" x14ac:dyDescent="0.25">
      <c r="A51641" s="118"/>
      <c r="B51641" s="136"/>
    </row>
    <row r="51642" spans="1:2" x14ac:dyDescent="0.25">
      <c r="A51642" s="118"/>
      <c r="B51642" s="136"/>
    </row>
    <row r="51643" spans="1:2" x14ac:dyDescent="0.25">
      <c r="A51643" s="118"/>
      <c r="B51643" s="136"/>
    </row>
    <row r="51644" spans="1:2" x14ac:dyDescent="0.25">
      <c r="A51644" s="118"/>
      <c r="B51644" s="136"/>
    </row>
    <row r="51645" spans="1:2" x14ac:dyDescent="0.25">
      <c r="A51645" s="118"/>
      <c r="B51645" s="136"/>
    </row>
    <row r="51646" spans="1:2" x14ac:dyDescent="0.25">
      <c r="A51646" s="118"/>
      <c r="B51646" s="136"/>
    </row>
    <row r="51647" spans="1:2" x14ac:dyDescent="0.25">
      <c r="A51647" s="118"/>
      <c r="B51647" s="136"/>
    </row>
    <row r="51648" spans="1:2" x14ac:dyDescent="0.25">
      <c r="A51648" s="118"/>
      <c r="B51648" s="136"/>
    </row>
    <row r="51649" spans="1:2" x14ac:dyDescent="0.25">
      <c r="A51649" s="118"/>
      <c r="B51649" s="136"/>
    </row>
    <row r="51650" spans="1:2" x14ac:dyDescent="0.25">
      <c r="A51650" s="118"/>
      <c r="B51650" s="136"/>
    </row>
    <row r="51651" spans="1:2" x14ac:dyDescent="0.25">
      <c r="A51651" s="118"/>
      <c r="B51651" s="136"/>
    </row>
    <row r="51652" spans="1:2" x14ac:dyDescent="0.25">
      <c r="A51652" s="118"/>
      <c r="B51652" s="136"/>
    </row>
    <row r="51653" spans="1:2" x14ac:dyDescent="0.25">
      <c r="A51653" s="118"/>
      <c r="B51653" s="136"/>
    </row>
    <row r="51654" spans="1:2" x14ac:dyDescent="0.25">
      <c r="A51654" s="118"/>
      <c r="B51654" s="136"/>
    </row>
    <row r="51655" spans="1:2" x14ac:dyDescent="0.25">
      <c r="A51655" s="118"/>
      <c r="B51655" s="136"/>
    </row>
    <row r="51656" spans="1:2" x14ac:dyDescent="0.25">
      <c r="A51656" s="118"/>
      <c r="B51656" s="136"/>
    </row>
    <row r="51657" spans="1:2" x14ac:dyDescent="0.25">
      <c r="A51657" s="118"/>
      <c r="B51657" s="136"/>
    </row>
    <row r="51658" spans="1:2" x14ac:dyDescent="0.25">
      <c r="A51658" s="118"/>
      <c r="B51658" s="136"/>
    </row>
    <row r="51659" spans="1:2" x14ac:dyDescent="0.25">
      <c r="A51659" s="118"/>
      <c r="B51659" s="136"/>
    </row>
    <row r="51660" spans="1:2" x14ac:dyDescent="0.25">
      <c r="A51660" s="118"/>
      <c r="B51660" s="136"/>
    </row>
    <row r="51661" spans="1:2" x14ac:dyDescent="0.25">
      <c r="A51661" s="118"/>
      <c r="B51661" s="136"/>
    </row>
    <row r="51662" spans="1:2" x14ac:dyDescent="0.25">
      <c r="A51662" s="118"/>
      <c r="B51662" s="136"/>
    </row>
    <row r="51663" spans="1:2" x14ac:dyDescent="0.25">
      <c r="A51663" s="118"/>
      <c r="B51663" s="136"/>
    </row>
    <row r="51664" spans="1:2" x14ac:dyDescent="0.25">
      <c r="A51664" s="118"/>
      <c r="B51664" s="136"/>
    </row>
    <row r="51665" spans="1:2" x14ac:dyDescent="0.25">
      <c r="A51665" s="118"/>
      <c r="B51665" s="136"/>
    </row>
    <row r="51666" spans="1:2" x14ac:dyDescent="0.25">
      <c r="A51666" s="118"/>
      <c r="B51666" s="136"/>
    </row>
    <row r="51667" spans="1:2" x14ac:dyDescent="0.25">
      <c r="A51667" s="118"/>
      <c r="B51667" s="136"/>
    </row>
    <row r="51668" spans="1:2" x14ac:dyDescent="0.25">
      <c r="A51668" s="118"/>
      <c r="B51668" s="136"/>
    </row>
    <row r="51669" spans="1:2" x14ac:dyDescent="0.25">
      <c r="A51669" s="118"/>
      <c r="B51669" s="136"/>
    </row>
    <row r="51670" spans="1:2" x14ac:dyDescent="0.25">
      <c r="A51670" s="118"/>
      <c r="B51670" s="136"/>
    </row>
    <row r="51671" spans="1:2" x14ac:dyDescent="0.25">
      <c r="A51671" s="118"/>
      <c r="B51671" s="136"/>
    </row>
    <row r="51672" spans="1:2" x14ac:dyDescent="0.25">
      <c r="A51672" s="118"/>
      <c r="B51672" s="136"/>
    </row>
    <row r="51673" spans="1:2" x14ac:dyDescent="0.25">
      <c r="A51673" s="118"/>
      <c r="B51673" s="136"/>
    </row>
    <row r="51674" spans="1:2" x14ac:dyDescent="0.25">
      <c r="A51674" s="118"/>
      <c r="B51674" s="136"/>
    </row>
    <row r="51675" spans="1:2" x14ac:dyDescent="0.25">
      <c r="A51675" s="118"/>
      <c r="B51675" s="136"/>
    </row>
    <row r="51676" spans="1:2" x14ac:dyDescent="0.25">
      <c r="A51676" s="118"/>
      <c r="B51676" s="136"/>
    </row>
    <row r="51677" spans="1:2" x14ac:dyDescent="0.25">
      <c r="A51677" s="118"/>
      <c r="B51677" s="136"/>
    </row>
    <row r="51678" spans="1:2" x14ac:dyDescent="0.25">
      <c r="A51678" s="118"/>
      <c r="B51678" s="136"/>
    </row>
    <row r="51679" spans="1:2" x14ac:dyDescent="0.25">
      <c r="A51679" s="118"/>
      <c r="B51679" s="136"/>
    </row>
    <row r="51680" spans="1:2" x14ac:dyDescent="0.25">
      <c r="A51680" s="118"/>
      <c r="B51680" s="136"/>
    </row>
    <row r="51681" spans="1:2" x14ac:dyDescent="0.25">
      <c r="A51681" s="118"/>
      <c r="B51681" s="136"/>
    </row>
    <row r="51682" spans="1:2" x14ac:dyDescent="0.25">
      <c r="A51682" s="118"/>
      <c r="B51682" s="136"/>
    </row>
    <row r="51683" spans="1:2" x14ac:dyDescent="0.25">
      <c r="A51683" s="118"/>
      <c r="B51683" s="136"/>
    </row>
    <row r="51684" spans="1:2" x14ac:dyDescent="0.25">
      <c r="A51684" s="118"/>
      <c r="B51684" s="136"/>
    </row>
    <row r="51685" spans="1:2" x14ac:dyDescent="0.25">
      <c r="A51685" s="118"/>
      <c r="B51685" s="136"/>
    </row>
    <row r="51686" spans="1:2" x14ac:dyDescent="0.25">
      <c r="A51686" s="118"/>
      <c r="B51686" s="136"/>
    </row>
    <row r="51687" spans="1:2" x14ac:dyDescent="0.25">
      <c r="A51687" s="118"/>
      <c r="B51687" s="136"/>
    </row>
    <row r="51688" spans="1:2" x14ac:dyDescent="0.25">
      <c r="A51688" s="118"/>
      <c r="B51688" s="136"/>
    </row>
    <row r="51689" spans="1:2" x14ac:dyDescent="0.25">
      <c r="A51689" s="118"/>
      <c r="B51689" s="136"/>
    </row>
    <row r="51690" spans="1:2" x14ac:dyDescent="0.25">
      <c r="A51690" s="118"/>
      <c r="B51690" s="136"/>
    </row>
    <row r="51691" spans="1:2" x14ac:dyDescent="0.25">
      <c r="A51691" s="118"/>
      <c r="B51691" s="136"/>
    </row>
    <row r="51692" spans="1:2" x14ac:dyDescent="0.25">
      <c r="A51692" s="118"/>
      <c r="B51692" s="136"/>
    </row>
    <row r="51693" spans="1:2" x14ac:dyDescent="0.25">
      <c r="A51693" s="118"/>
      <c r="B51693" s="136"/>
    </row>
    <row r="51694" spans="1:2" x14ac:dyDescent="0.25">
      <c r="A51694" s="118"/>
      <c r="B51694" s="136"/>
    </row>
    <row r="51695" spans="1:2" x14ac:dyDescent="0.25">
      <c r="A51695" s="118"/>
      <c r="B51695" s="136"/>
    </row>
    <row r="51696" spans="1:2" x14ac:dyDescent="0.25">
      <c r="A51696" s="118"/>
      <c r="B51696" s="136"/>
    </row>
    <row r="51697" spans="1:2" x14ac:dyDescent="0.25">
      <c r="A51697" s="118"/>
      <c r="B51697" s="136"/>
    </row>
    <row r="51698" spans="1:2" x14ac:dyDescent="0.25">
      <c r="A51698" s="118"/>
      <c r="B51698" s="136"/>
    </row>
    <row r="51699" spans="1:2" x14ac:dyDescent="0.25">
      <c r="A51699" s="118"/>
      <c r="B51699" s="136"/>
    </row>
    <row r="51700" spans="1:2" x14ac:dyDescent="0.25">
      <c r="A51700" s="118"/>
      <c r="B51700" s="136"/>
    </row>
    <row r="51701" spans="1:2" x14ac:dyDescent="0.25">
      <c r="A51701" s="118"/>
      <c r="B51701" s="136"/>
    </row>
    <row r="51702" spans="1:2" x14ac:dyDescent="0.25">
      <c r="A51702" s="118"/>
      <c r="B51702" s="136"/>
    </row>
    <row r="51703" spans="1:2" x14ac:dyDescent="0.25">
      <c r="A51703" s="118"/>
      <c r="B51703" s="136"/>
    </row>
    <row r="51704" spans="1:2" x14ac:dyDescent="0.25">
      <c r="A51704" s="118"/>
      <c r="B51704" s="136"/>
    </row>
    <row r="51705" spans="1:2" x14ac:dyDescent="0.25">
      <c r="A51705" s="118"/>
      <c r="B51705" s="136"/>
    </row>
    <row r="51706" spans="1:2" x14ac:dyDescent="0.25">
      <c r="A51706" s="118"/>
      <c r="B51706" s="136"/>
    </row>
    <row r="51707" spans="1:2" x14ac:dyDescent="0.25">
      <c r="A51707" s="118"/>
      <c r="B51707" s="136"/>
    </row>
    <row r="51708" spans="1:2" x14ac:dyDescent="0.25">
      <c r="A51708" s="118"/>
      <c r="B51708" s="136"/>
    </row>
    <row r="51709" spans="1:2" x14ac:dyDescent="0.25">
      <c r="A51709" s="118"/>
      <c r="B51709" s="136"/>
    </row>
    <row r="51710" spans="1:2" x14ac:dyDescent="0.25">
      <c r="A51710" s="118"/>
      <c r="B51710" s="136"/>
    </row>
    <row r="51711" spans="1:2" x14ac:dyDescent="0.25">
      <c r="A51711" s="118"/>
      <c r="B51711" s="136"/>
    </row>
    <row r="51712" spans="1:2" x14ac:dyDescent="0.25">
      <c r="A51712" s="118"/>
      <c r="B51712" s="136"/>
    </row>
    <row r="51713" spans="1:2" x14ac:dyDescent="0.25">
      <c r="A51713" s="118"/>
      <c r="B51713" s="136"/>
    </row>
    <row r="51714" spans="1:2" x14ac:dyDescent="0.25">
      <c r="A51714" s="118"/>
      <c r="B51714" s="136"/>
    </row>
    <row r="51715" spans="1:2" x14ac:dyDescent="0.25">
      <c r="A51715" s="118"/>
      <c r="B51715" s="136"/>
    </row>
    <row r="51716" spans="1:2" x14ac:dyDescent="0.25">
      <c r="A51716" s="118"/>
      <c r="B51716" s="136"/>
    </row>
    <row r="51717" spans="1:2" x14ac:dyDescent="0.25">
      <c r="A51717" s="118"/>
      <c r="B51717" s="136"/>
    </row>
    <row r="51718" spans="1:2" x14ac:dyDescent="0.25">
      <c r="A51718" s="118"/>
      <c r="B51718" s="136"/>
    </row>
    <row r="51719" spans="1:2" x14ac:dyDescent="0.25">
      <c r="A51719" s="118"/>
      <c r="B51719" s="136"/>
    </row>
    <row r="51720" spans="1:2" x14ac:dyDescent="0.25">
      <c r="A51720" s="118"/>
      <c r="B51720" s="136"/>
    </row>
    <row r="51721" spans="1:2" x14ac:dyDescent="0.25">
      <c r="A51721" s="118"/>
      <c r="B51721" s="136"/>
    </row>
    <row r="51722" spans="1:2" x14ac:dyDescent="0.25">
      <c r="A51722" s="118"/>
      <c r="B51722" s="136"/>
    </row>
    <row r="51723" spans="1:2" x14ac:dyDescent="0.25">
      <c r="A51723" s="118"/>
      <c r="B51723" s="136"/>
    </row>
    <row r="51724" spans="1:2" x14ac:dyDescent="0.25">
      <c r="A51724" s="118"/>
      <c r="B51724" s="136"/>
    </row>
    <row r="51725" spans="1:2" x14ac:dyDescent="0.25">
      <c r="A51725" s="118"/>
      <c r="B51725" s="136"/>
    </row>
    <row r="51726" spans="1:2" x14ac:dyDescent="0.25">
      <c r="A51726" s="118"/>
      <c r="B51726" s="136"/>
    </row>
    <row r="51727" spans="1:2" x14ac:dyDescent="0.25">
      <c r="A51727" s="118"/>
      <c r="B51727" s="136"/>
    </row>
    <row r="51728" spans="1:2" x14ac:dyDescent="0.25">
      <c r="A51728" s="118"/>
      <c r="B51728" s="136"/>
    </row>
    <row r="51729" spans="1:2" x14ac:dyDescent="0.25">
      <c r="A51729" s="118"/>
      <c r="B51729" s="136"/>
    </row>
    <row r="51730" spans="1:2" x14ac:dyDescent="0.25">
      <c r="A51730" s="118"/>
      <c r="B51730" s="136"/>
    </row>
    <row r="51731" spans="1:2" x14ac:dyDescent="0.25">
      <c r="A51731" s="118"/>
      <c r="B51731" s="136"/>
    </row>
    <row r="51732" spans="1:2" x14ac:dyDescent="0.25">
      <c r="A51732" s="118"/>
      <c r="B51732" s="136"/>
    </row>
    <row r="51733" spans="1:2" x14ac:dyDescent="0.25">
      <c r="A51733" s="118"/>
      <c r="B51733" s="136"/>
    </row>
    <row r="51734" spans="1:2" x14ac:dyDescent="0.25">
      <c r="A51734" s="118"/>
      <c r="B51734" s="136"/>
    </row>
    <row r="51735" spans="1:2" x14ac:dyDescent="0.25">
      <c r="A51735" s="118"/>
      <c r="B51735" s="136"/>
    </row>
    <row r="51736" spans="1:2" x14ac:dyDescent="0.25">
      <c r="A51736" s="118"/>
      <c r="B51736" s="136"/>
    </row>
    <row r="51737" spans="1:2" x14ac:dyDescent="0.25">
      <c r="A51737" s="118"/>
      <c r="B51737" s="136"/>
    </row>
    <row r="51738" spans="1:2" x14ac:dyDescent="0.25">
      <c r="A51738" s="118"/>
      <c r="B51738" s="136"/>
    </row>
    <row r="51739" spans="1:2" x14ac:dyDescent="0.25">
      <c r="A51739" s="118"/>
      <c r="B51739" s="136"/>
    </row>
    <row r="51740" spans="1:2" x14ac:dyDescent="0.25">
      <c r="A51740" s="118"/>
      <c r="B51740" s="136"/>
    </row>
    <row r="51741" spans="1:2" x14ac:dyDescent="0.25">
      <c r="A51741" s="118"/>
      <c r="B51741" s="136"/>
    </row>
    <row r="51742" spans="1:2" x14ac:dyDescent="0.25">
      <c r="A51742" s="118"/>
      <c r="B51742" s="136"/>
    </row>
    <row r="51743" spans="1:2" x14ac:dyDescent="0.25">
      <c r="A51743" s="118"/>
      <c r="B51743" s="136"/>
    </row>
    <row r="51744" spans="1:2" x14ac:dyDescent="0.25">
      <c r="A51744" s="118"/>
      <c r="B51744" s="136"/>
    </row>
    <row r="51745" spans="1:2" x14ac:dyDescent="0.25">
      <c r="A51745" s="118"/>
      <c r="B51745" s="136"/>
    </row>
    <row r="51746" spans="1:2" x14ac:dyDescent="0.25">
      <c r="A51746" s="118"/>
      <c r="B51746" s="136"/>
    </row>
    <row r="51747" spans="1:2" x14ac:dyDescent="0.25">
      <c r="A51747" s="118"/>
      <c r="B51747" s="136"/>
    </row>
    <row r="51748" spans="1:2" x14ac:dyDescent="0.25">
      <c r="A51748" s="118"/>
      <c r="B51748" s="136"/>
    </row>
    <row r="51749" spans="1:2" x14ac:dyDescent="0.25">
      <c r="A51749" s="118"/>
      <c r="B51749" s="136"/>
    </row>
    <row r="51750" spans="1:2" x14ac:dyDescent="0.25">
      <c r="A51750" s="118"/>
      <c r="B51750" s="136"/>
    </row>
    <row r="51751" spans="1:2" x14ac:dyDescent="0.25">
      <c r="A51751" s="118"/>
      <c r="B51751" s="136"/>
    </row>
    <row r="51752" spans="1:2" x14ac:dyDescent="0.25">
      <c r="A51752" s="118"/>
      <c r="B51752" s="136"/>
    </row>
    <row r="51753" spans="1:2" x14ac:dyDescent="0.25">
      <c r="A51753" s="118"/>
      <c r="B51753" s="136"/>
    </row>
    <row r="51754" spans="1:2" x14ac:dyDescent="0.25">
      <c r="A51754" s="118"/>
      <c r="B51754" s="136"/>
    </row>
    <row r="51755" spans="1:2" x14ac:dyDescent="0.25">
      <c r="A51755" s="118"/>
      <c r="B51755" s="136"/>
    </row>
    <row r="51756" spans="1:2" x14ac:dyDescent="0.25">
      <c r="A51756" s="118"/>
      <c r="B51756" s="136"/>
    </row>
    <row r="51757" spans="1:2" x14ac:dyDescent="0.25">
      <c r="A51757" s="118"/>
      <c r="B51757" s="136"/>
    </row>
    <row r="51758" spans="1:2" x14ac:dyDescent="0.25">
      <c r="A51758" s="118"/>
      <c r="B51758" s="136"/>
    </row>
    <row r="51759" spans="1:2" x14ac:dyDescent="0.25">
      <c r="A51759" s="118"/>
      <c r="B51759" s="136"/>
    </row>
    <row r="51760" spans="1:2" x14ac:dyDescent="0.25">
      <c r="A51760" s="118"/>
      <c r="B51760" s="136"/>
    </row>
    <row r="51761" spans="1:2" x14ac:dyDescent="0.25">
      <c r="A51761" s="118"/>
      <c r="B51761" s="136"/>
    </row>
    <row r="51762" spans="1:2" x14ac:dyDescent="0.25">
      <c r="A51762" s="118"/>
      <c r="B51762" s="136"/>
    </row>
    <row r="51763" spans="1:2" x14ac:dyDescent="0.25">
      <c r="A51763" s="118"/>
      <c r="B51763" s="136"/>
    </row>
    <row r="51764" spans="1:2" x14ac:dyDescent="0.25">
      <c r="A51764" s="118"/>
      <c r="B51764" s="136"/>
    </row>
    <row r="51765" spans="1:2" x14ac:dyDescent="0.25">
      <c r="A51765" s="118"/>
      <c r="B51765" s="136"/>
    </row>
    <row r="51766" spans="1:2" x14ac:dyDescent="0.25">
      <c r="A51766" s="118"/>
      <c r="B51766" s="136"/>
    </row>
    <row r="51767" spans="1:2" x14ac:dyDescent="0.25">
      <c r="A51767" s="118"/>
      <c r="B51767" s="136"/>
    </row>
    <row r="51768" spans="1:2" x14ac:dyDescent="0.25">
      <c r="A51768" s="118"/>
      <c r="B51768" s="136"/>
    </row>
    <row r="51769" spans="1:2" x14ac:dyDescent="0.25">
      <c r="A51769" s="118"/>
      <c r="B51769" s="136"/>
    </row>
    <row r="51770" spans="1:2" x14ac:dyDescent="0.25">
      <c r="A51770" s="118"/>
      <c r="B51770" s="136"/>
    </row>
    <row r="51771" spans="1:2" x14ac:dyDescent="0.25">
      <c r="A51771" s="118"/>
      <c r="B51771" s="136"/>
    </row>
    <row r="51772" spans="1:2" x14ac:dyDescent="0.25">
      <c r="A51772" s="118"/>
      <c r="B51772" s="136"/>
    </row>
    <row r="51773" spans="1:2" x14ac:dyDescent="0.25">
      <c r="A51773" s="118"/>
      <c r="B51773" s="136"/>
    </row>
    <row r="51774" spans="1:2" x14ac:dyDescent="0.25">
      <c r="A51774" s="118"/>
      <c r="B51774" s="136"/>
    </row>
    <row r="51775" spans="1:2" x14ac:dyDescent="0.25">
      <c r="A51775" s="118"/>
      <c r="B51775" s="136"/>
    </row>
    <row r="51776" spans="1:2" x14ac:dyDescent="0.25">
      <c r="A51776" s="118"/>
      <c r="B51776" s="136"/>
    </row>
    <row r="51777" spans="1:2" x14ac:dyDescent="0.25">
      <c r="A51777" s="118"/>
      <c r="B51777" s="136"/>
    </row>
    <row r="51778" spans="1:2" x14ac:dyDescent="0.25">
      <c r="A51778" s="118"/>
      <c r="B51778" s="136"/>
    </row>
    <row r="51779" spans="1:2" x14ac:dyDescent="0.25">
      <c r="A51779" s="118"/>
      <c r="B51779" s="136"/>
    </row>
    <row r="51780" spans="1:2" x14ac:dyDescent="0.25">
      <c r="A51780" s="118"/>
      <c r="B51780" s="136"/>
    </row>
    <row r="51781" spans="1:2" x14ac:dyDescent="0.25">
      <c r="A51781" s="118"/>
      <c r="B51781" s="136"/>
    </row>
    <row r="51782" spans="1:2" x14ac:dyDescent="0.25">
      <c r="A51782" s="118"/>
      <c r="B51782" s="136"/>
    </row>
    <row r="51783" spans="1:2" x14ac:dyDescent="0.25">
      <c r="A51783" s="118"/>
      <c r="B51783" s="136"/>
    </row>
    <row r="51784" spans="1:2" x14ac:dyDescent="0.25">
      <c r="A51784" s="118"/>
      <c r="B51784" s="136"/>
    </row>
    <row r="51785" spans="1:2" x14ac:dyDescent="0.25">
      <c r="A51785" s="118"/>
      <c r="B51785" s="136"/>
    </row>
    <row r="51786" spans="1:2" x14ac:dyDescent="0.25">
      <c r="A51786" s="118"/>
      <c r="B51786" s="136"/>
    </row>
    <row r="51787" spans="1:2" x14ac:dyDescent="0.25">
      <c r="A51787" s="118"/>
      <c r="B51787" s="136"/>
    </row>
    <row r="51788" spans="1:2" x14ac:dyDescent="0.25">
      <c r="A51788" s="118"/>
      <c r="B51788" s="136"/>
    </row>
    <row r="51789" spans="1:2" x14ac:dyDescent="0.25">
      <c r="A51789" s="118"/>
      <c r="B51789" s="136"/>
    </row>
    <row r="51790" spans="1:2" x14ac:dyDescent="0.25">
      <c r="A51790" s="118"/>
      <c r="B51790" s="136"/>
    </row>
    <row r="51791" spans="1:2" x14ac:dyDescent="0.25">
      <c r="A51791" s="118"/>
      <c r="B51791" s="136"/>
    </row>
    <row r="51792" spans="1:2" x14ac:dyDescent="0.25">
      <c r="A51792" s="118"/>
      <c r="B51792" s="136"/>
    </row>
    <row r="51793" spans="1:2" x14ac:dyDescent="0.25">
      <c r="A51793" s="118"/>
      <c r="B51793" s="136"/>
    </row>
    <row r="51794" spans="1:2" x14ac:dyDescent="0.25">
      <c r="A51794" s="118"/>
      <c r="B51794" s="136"/>
    </row>
    <row r="51795" spans="1:2" x14ac:dyDescent="0.25">
      <c r="A51795" s="118"/>
      <c r="B51795" s="136"/>
    </row>
    <row r="51796" spans="1:2" x14ac:dyDescent="0.25">
      <c r="A51796" s="118"/>
      <c r="B51796" s="136"/>
    </row>
    <row r="51797" spans="1:2" x14ac:dyDescent="0.25">
      <c r="A51797" s="118"/>
      <c r="B51797" s="136"/>
    </row>
    <row r="51798" spans="1:2" x14ac:dyDescent="0.25">
      <c r="A51798" s="118"/>
      <c r="B51798" s="136"/>
    </row>
    <row r="51799" spans="1:2" x14ac:dyDescent="0.25">
      <c r="A51799" s="118"/>
      <c r="B51799" s="136"/>
    </row>
    <row r="51800" spans="1:2" x14ac:dyDescent="0.25">
      <c r="A51800" s="118"/>
      <c r="B51800" s="136"/>
    </row>
    <row r="51801" spans="1:2" x14ac:dyDescent="0.25">
      <c r="A51801" s="118"/>
      <c r="B51801" s="136"/>
    </row>
    <row r="51802" spans="1:2" x14ac:dyDescent="0.25">
      <c r="A51802" s="118"/>
      <c r="B51802" s="136"/>
    </row>
    <row r="51803" spans="1:2" x14ac:dyDescent="0.25">
      <c r="A51803" s="118"/>
      <c r="B51803" s="136"/>
    </row>
    <row r="51804" spans="1:2" x14ac:dyDescent="0.25">
      <c r="A51804" s="118"/>
      <c r="B51804" s="136"/>
    </row>
    <row r="51805" spans="1:2" x14ac:dyDescent="0.25">
      <c r="A51805" s="118"/>
      <c r="B51805" s="136"/>
    </row>
    <row r="51806" spans="1:2" x14ac:dyDescent="0.25">
      <c r="A51806" s="118"/>
      <c r="B51806" s="136"/>
    </row>
    <row r="51807" spans="1:2" x14ac:dyDescent="0.25">
      <c r="A51807" s="118"/>
      <c r="B51807" s="136"/>
    </row>
    <row r="51808" spans="1:2" x14ac:dyDescent="0.25">
      <c r="A51808" s="118"/>
      <c r="B51808" s="136"/>
    </row>
    <row r="51809" spans="1:2" x14ac:dyDescent="0.25">
      <c r="A51809" s="118"/>
      <c r="B51809" s="136"/>
    </row>
    <row r="51810" spans="1:2" x14ac:dyDescent="0.25">
      <c r="A51810" s="118"/>
      <c r="B51810" s="136"/>
    </row>
    <row r="51811" spans="1:2" x14ac:dyDescent="0.25">
      <c r="A51811" s="118"/>
      <c r="B51811" s="136"/>
    </row>
    <row r="51812" spans="1:2" x14ac:dyDescent="0.25">
      <c r="A51812" s="118"/>
      <c r="B51812" s="136"/>
    </row>
    <row r="51813" spans="1:2" x14ac:dyDescent="0.25">
      <c r="A51813" s="118"/>
      <c r="B51813" s="136"/>
    </row>
    <row r="51814" spans="1:2" x14ac:dyDescent="0.25">
      <c r="A51814" s="118"/>
      <c r="B51814" s="136"/>
    </row>
    <row r="51815" spans="1:2" x14ac:dyDescent="0.25">
      <c r="A51815" s="118"/>
      <c r="B51815" s="136"/>
    </row>
    <row r="51816" spans="1:2" x14ac:dyDescent="0.25">
      <c r="A51816" s="118"/>
      <c r="B51816" s="136"/>
    </row>
    <row r="51817" spans="1:2" x14ac:dyDescent="0.25">
      <c r="A51817" s="118"/>
      <c r="B51817" s="136"/>
    </row>
    <row r="51818" spans="1:2" x14ac:dyDescent="0.25">
      <c r="A51818" s="118"/>
      <c r="B51818" s="136"/>
    </row>
    <row r="51819" spans="1:2" x14ac:dyDescent="0.25">
      <c r="A51819" s="118"/>
      <c r="B51819" s="136"/>
    </row>
    <row r="51820" spans="1:2" x14ac:dyDescent="0.25">
      <c r="A51820" s="118"/>
      <c r="B51820" s="136"/>
    </row>
    <row r="51821" spans="1:2" x14ac:dyDescent="0.25">
      <c r="A51821" s="118"/>
      <c r="B51821" s="136"/>
    </row>
    <row r="51822" spans="1:2" x14ac:dyDescent="0.25">
      <c r="A51822" s="118"/>
      <c r="B51822" s="136"/>
    </row>
    <row r="51823" spans="1:2" x14ac:dyDescent="0.25">
      <c r="A51823" s="118"/>
      <c r="B51823" s="136"/>
    </row>
    <row r="51824" spans="1:2" x14ac:dyDescent="0.25">
      <c r="A51824" s="118"/>
      <c r="B51824" s="136"/>
    </row>
    <row r="51825" spans="1:2" x14ac:dyDescent="0.25">
      <c r="A51825" s="118"/>
      <c r="B51825" s="136"/>
    </row>
    <row r="51826" spans="1:2" x14ac:dyDescent="0.25">
      <c r="A51826" s="118"/>
      <c r="B51826" s="136"/>
    </row>
    <row r="51827" spans="1:2" x14ac:dyDescent="0.25">
      <c r="A51827" s="118"/>
      <c r="B51827" s="136"/>
    </row>
    <row r="51828" spans="1:2" x14ac:dyDescent="0.25">
      <c r="A51828" s="118"/>
      <c r="B51828" s="136"/>
    </row>
    <row r="51829" spans="1:2" x14ac:dyDescent="0.25">
      <c r="A51829" s="118"/>
      <c r="B51829" s="136"/>
    </row>
    <row r="51830" spans="1:2" x14ac:dyDescent="0.25">
      <c r="A51830" s="118"/>
      <c r="B51830" s="136"/>
    </row>
    <row r="51831" spans="1:2" x14ac:dyDescent="0.25">
      <c r="A51831" s="118"/>
      <c r="B51831" s="136"/>
    </row>
    <row r="51832" spans="1:2" x14ac:dyDescent="0.25">
      <c r="A51832" s="118"/>
      <c r="B51832" s="136"/>
    </row>
    <row r="51833" spans="1:2" x14ac:dyDescent="0.25">
      <c r="A51833" s="118"/>
      <c r="B51833" s="136"/>
    </row>
    <row r="51834" spans="1:2" x14ac:dyDescent="0.25">
      <c r="A51834" s="118"/>
      <c r="B51834" s="136"/>
    </row>
    <row r="51835" spans="1:2" x14ac:dyDescent="0.25">
      <c r="A51835" s="118"/>
      <c r="B51835" s="136"/>
    </row>
    <row r="51836" spans="1:2" x14ac:dyDescent="0.25">
      <c r="A51836" s="118"/>
      <c r="B51836" s="136"/>
    </row>
    <row r="51837" spans="1:2" x14ac:dyDescent="0.25">
      <c r="A51837" s="118"/>
      <c r="B51837" s="136"/>
    </row>
    <row r="51838" spans="1:2" x14ac:dyDescent="0.25">
      <c r="A51838" s="118"/>
      <c r="B51838" s="136"/>
    </row>
    <row r="51839" spans="1:2" x14ac:dyDescent="0.25">
      <c r="A51839" s="118"/>
      <c r="B51839" s="136"/>
    </row>
    <row r="51840" spans="1:2" x14ac:dyDescent="0.25">
      <c r="A51840" s="118"/>
      <c r="B51840" s="136"/>
    </row>
    <row r="51841" spans="1:2" x14ac:dyDescent="0.25">
      <c r="A51841" s="118"/>
      <c r="B51841" s="136"/>
    </row>
    <row r="51842" spans="1:2" x14ac:dyDescent="0.25">
      <c r="A51842" s="118"/>
      <c r="B51842" s="136"/>
    </row>
    <row r="51843" spans="1:2" x14ac:dyDescent="0.25">
      <c r="A51843" s="118"/>
      <c r="B51843" s="136"/>
    </row>
    <row r="51844" spans="1:2" x14ac:dyDescent="0.25">
      <c r="A51844" s="118"/>
      <c r="B51844" s="136"/>
    </row>
    <row r="51845" spans="1:2" x14ac:dyDescent="0.25">
      <c r="A51845" s="118"/>
      <c r="B51845" s="136"/>
    </row>
    <row r="51846" spans="1:2" x14ac:dyDescent="0.25">
      <c r="A51846" s="118"/>
      <c r="B51846" s="136"/>
    </row>
    <row r="51847" spans="1:2" x14ac:dyDescent="0.25">
      <c r="A51847" s="118"/>
      <c r="B51847" s="136"/>
    </row>
    <row r="51848" spans="1:2" x14ac:dyDescent="0.25">
      <c r="A51848" s="118"/>
      <c r="B51848" s="136"/>
    </row>
    <row r="51849" spans="1:2" x14ac:dyDescent="0.25">
      <c r="A51849" s="118"/>
      <c r="B51849" s="136"/>
    </row>
    <row r="51850" spans="1:2" x14ac:dyDescent="0.25">
      <c r="A51850" s="118"/>
      <c r="B51850" s="136"/>
    </row>
    <row r="51851" spans="1:2" x14ac:dyDescent="0.25">
      <c r="A51851" s="118"/>
      <c r="B51851" s="136"/>
    </row>
    <row r="51852" spans="1:2" x14ac:dyDescent="0.25">
      <c r="A51852" s="118"/>
      <c r="B51852" s="136"/>
    </row>
    <row r="51853" spans="1:2" x14ac:dyDescent="0.25">
      <c r="A51853" s="118"/>
      <c r="B51853" s="136"/>
    </row>
    <row r="51854" spans="1:2" x14ac:dyDescent="0.25">
      <c r="A51854" s="118"/>
      <c r="B51854" s="136"/>
    </row>
    <row r="51855" spans="1:2" x14ac:dyDescent="0.25">
      <c r="A51855" s="118"/>
      <c r="B51855" s="136"/>
    </row>
    <row r="51856" spans="1:2" x14ac:dyDescent="0.25">
      <c r="A51856" s="118"/>
      <c r="B51856" s="136"/>
    </row>
    <row r="51857" spans="1:2" x14ac:dyDescent="0.25">
      <c r="A51857" s="118"/>
      <c r="B51857" s="136"/>
    </row>
    <row r="51858" spans="1:2" x14ac:dyDescent="0.25">
      <c r="A51858" s="118"/>
      <c r="B51858" s="136"/>
    </row>
    <row r="51859" spans="1:2" x14ac:dyDescent="0.25">
      <c r="A51859" s="118"/>
      <c r="B51859" s="136"/>
    </row>
    <row r="51860" spans="1:2" x14ac:dyDescent="0.25">
      <c r="A51860" s="118"/>
      <c r="B51860" s="136"/>
    </row>
    <row r="51861" spans="1:2" x14ac:dyDescent="0.25">
      <c r="A51861" s="118"/>
      <c r="B51861" s="136"/>
    </row>
    <row r="51862" spans="1:2" x14ac:dyDescent="0.25">
      <c r="A51862" s="118"/>
      <c r="B51862" s="136"/>
    </row>
    <row r="51863" spans="1:2" x14ac:dyDescent="0.25">
      <c r="A51863" s="118"/>
      <c r="B51863" s="136"/>
    </row>
    <row r="51864" spans="1:2" x14ac:dyDescent="0.25">
      <c r="A51864" s="118"/>
      <c r="B51864" s="136"/>
    </row>
    <row r="51865" spans="1:2" x14ac:dyDescent="0.25">
      <c r="A51865" s="118"/>
      <c r="B51865" s="136"/>
    </row>
    <row r="51866" spans="1:2" x14ac:dyDescent="0.25">
      <c r="A51866" s="118"/>
      <c r="B51866" s="136"/>
    </row>
    <row r="51867" spans="1:2" x14ac:dyDescent="0.25">
      <c r="A51867" s="118"/>
      <c r="B51867" s="136"/>
    </row>
    <row r="51868" spans="1:2" x14ac:dyDescent="0.25">
      <c r="A51868" s="118"/>
      <c r="B51868" s="136"/>
    </row>
    <row r="51869" spans="1:2" x14ac:dyDescent="0.25">
      <c r="A51869" s="118"/>
      <c r="B51869" s="136"/>
    </row>
    <row r="51870" spans="1:2" x14ac:dyDescent="0.25">
      <c r="A51870" s="118"/>
      <c r="B51870" s="136"/>
    </row>
    <row r="51871" spans="1:2" x14ac:dyDescent="0.25">
      <c r="A51871" s="118"/>
      <c r="B51871" s="136"/>
    </row>
    <row r="51872" spans="1:2" x14ac:dyDescent="0.25">
      <c r="A51872" s="118"/>
      <c r="B51872" s="136"/>
    </row>
    <row r="51873" spans="1:2" x14ac:dyDescent="0.25">
      <c r="A51873" s="118"/>
      <c r="B51873" s="136"/>
    </row>
    <row r="51874" spans="1:2" x14ac:dyDescent="0.25">
      <c r="A51874" s="118"/>
      <c r="B51874" s="136"/>
    </row>
    <row r="51875" spans="1:2" x14ac:dyDescent="0.25">
      <c r="A51875" s="118"/>
      <c r="B51875" s="136"/>
    </row>
    <row r="51876" spans="1:2" x14ac:dyDescent="0.25">
      <c r="A51876" s="118"/>
      <c r="B51876" s="136"/>
    </row>
    <row r="51877" spans="1:2" x14ac:dyDescent="0.25">
      <c r="A51877" s="118"/>
      <c r="B51877" s="136"/>
    </row>
    <row r="51878" spans="1:2" x14ac:dyDescent="0.25">
      <c r="A51878" s="118"/>
      <c r="B51878" s="136"/>
    </row>
    <row r="51879" spans="1:2" x14ac:dyDescent="0.25">
      <c r="A51879" s="118"/>
      <c r="B51879" s="136"/>
    </row>
    <row r="51880" spans="1:2" x14ac:dyDescent="0.25">
      <c r="A51880" s="118"/>
      <c r="B51880" s="136"/>
    </row>
    <row r="51881" spans="1:2" x14ac:dyDescent="0.25">
      <c r="A51881" s="118"/>
      <c r="B51881" s="136"/>
    </row>
    <row r="51882" spans="1:2" x14ac:dyDescent="0.25">
      <c r="A51882" s="118"/>
      <c r="B51882" s="136"/>
    </row>
    <row r="51883" spans="1:2" x14ac:dyDescent="0.25">
      <c r="A51883" s="118"/>
      <c r="B51883" s="136"/>
    </row>
    <row r="51884" spans="1:2" x14ac:dyDescent="0.25">
      <c r="A51884" s="118"/>
      <c r="B51884" s="136"/>
    </row>
    <row r="51885" spans="1:2" x14ac:dyDescent="0.25">
      <c r="A51885" s="118"/>
      <c r="B51885" s="136"/>
    </row>
    <row r="51886" spans="1:2" x14ac:dyDescent="0.25">
      <c r="A51886" s="118"/>
      <c r="B51886" s="136"/>
    </row>
    <row r="51887" spans="1:2" x14ac:dyDescent="0.25">
      <c r="A51887" s="118"/>
      <c r="B51887" s="136"/>
    </row>
    <row r="51888" spans="1:2" x14ac:dyDescent="0.25">
      <c r="A51888" s="118"/>
      <c r="B51888" s="136"/>
    </row>
    <row r="51889" spans="1:2" x14ac:dyDescent="0.25">
      <c r="A51889" s="118"/>
      <c r="B51889" s="136"/>
    </row>
    <row r="51890" spans="1:2" x14ac:dyDescent="0.25">
      <c r="A51890" s="118"/>
      <c r="B51890" s="136"/>
    </row>
    <row r="51891" spans="1:2" x14ac:dyDescent="0.25">
      <c r="A51891" s="118"/>
      <c r="B51891" s="136"/>
    </row>
    <row r="51892" spans="1:2" x14ac:dyDescent="0.25">
      <c r="A51892" s="118"/>
      <c r="B51892" s="136"/>
    </row>
    <row r="51893" spans="1:2" x14ac:dyDescent="0.25">
      <c r="A51893" s="118"/>
      <c r="B51893" s="136"/>
    </row>
    <row r="51894" spans="1:2" x14ac:dyDescent="0.25">
      <c r="A51894" s="118"/>
      <c r="B51894" s="136"/>
    </row>
    <row r="51895" spans="1:2" x14ac:dyDescent="0.25">
      <c r="A51895" s="118"/>
      <c r="B51895" s="136"/>
    </row>
    <row r="51896" spans="1:2" x14ac:dyDescent="0.25">
      <c r="A51896" s="118"/>
      <c r="B51896" s="136"/>
    </row>
    <row r="51897" spans="1:2" x14ac:dyDescent="0.25">
      <c r="A51897" s="118"/>
      <c r="B51897" s="136"/>
    </row>
    <row r="51898" spans="1:2" x14ac:dyDescent="0.25">
      <c r="A51898" s="118"/>
      <c r="B51898" s="136"/>
    </row>
    <row r="51899" spans="1:2" x14ac:dyDescent="0.25">
      <c r="A51899" s="118"/>
      <c r="B51899" s="136"/>
    </row>
    <row r="51900" spans="1:2" x14ac:dyDescent="0.25">
      <c r="A51900" s="118"/>
      <c r="B51900" s="136"/>
    </row>
    <row r="51901" spans="1:2" x14ac:dyDescent="0.25">
      <c r="A51901" s="118"/>
      <c r="B51901" s="136"/>
    </row>
    <row r="51902" spans="1:2" x14ac:dyDescent="0.25">
      <c r="A51902" s="118"/>
      <c r="B51902" s="136"/>
    </row>
    <row r="51903" spans="1:2" x14ac:dyDescent="0.25">
      <c r="A51903" s="118"/>
      <c r="B51903" s="136"/>
    </row>
    <row r="51904" spans="1:2" x14ac:dyDescent="0.25">
      <c r="A51904" s="118"/>
      <c r="B51904" s="136"/>
    </row>
    <row r="51905" spans="1:2" x14ac:dyDescent="0.25">
      <c r="A51905" s="118"/>
      <c r="B51905" s="136"/>
    </row>
    <row r="51906" spans="1:2" x14ac:dyDescent="0.25">
      <c r="A51906" s="118"/>
      <c r="B51906" s="136"/>
    </row>
    <row r="51907" spans="1:2" x14ac:dyDescent="0.25">
      <c r="A51907" s="118"/>
      <c r="B51907" s="136"/>
    </row>
    <row r="51908" spans="1:2" x14ac:dyDescent="0.25">
      <c r="A51908" s="118"/>
      <c r="B51908" s="136"/>
    </row>
    <row r="51909" spans="1:2" x14ac:dyDescent="0.25">
      <c r="A51909" s="118"/>
      <c r="B51909" s="136"/>
    </row>
    <row r="51910" spans="1:2" x14ac:dyDescent="0.25">
      <c r="A51910" s="118"/>
      <c r="B51910" s="136"/>
    </row>
    <row r="51911" spans="1:2" x14ac:dyDescent="0.25">
      <c r="A51911" s="118"/>
      <c r="B51911" s="136"/>
    </row>
    <row r="51912" spans="1:2" x14ac:dyDescent="0.25">
      <c r="A51912" s="118"/>
      <c r="B51912" s="136"/>
    </row>
    <row r="51913" spans="1:2" x14ac:dyDescent="0.25">
      <c r="A51913" s="118"/>
      <c r="B51913" s="136"/>
    </row>
    <row r="51914" spans="1:2" x14ac:dyDescent="0.25">
      <c r="A51914" s="118"/>
      <c r="B51914" s="136"/>
    </row>
    <row r="51915" spans="1:2" x14ac:dyDescent="0.25">
      <c r="A51915" s="118"/>
      <c r="B51915" s="136"/>
    </row>
    <row r="51916" spans="1:2" x14ac:dyDescent="0.25">
      <c r="A51916" s="118"/>
      <c r="B51916" s="136"/>
    </row>
    <row r="51917" spans="1:2" x14ac:dyDescent="0.25">
      <c r="A51917" s="118"/>
      <c r="B51917" s="136"/>
    </row>
    <row r="51918" spans="1:2" x14ac:dyDescent="0.25">
      <c r="A51918" s="118"/>
      <c r="B51918" s="136"/>
    </row>
    <row r="51919" spans="1:2" x14ac:dyDescent="0.25">
      <c r="A51919" s="118"/>
      <c r="B51919" s="136"/>
    </row>
    <row r="51920" spans="1:2" x14ac:dyDescent="0.25">
      <c r="A51920" s="118"/>
      <c r="B51920" s="136"/>
    </row>
    <row r="51921" spans="1:2" x14ac:dyDescent="0.25">
      <c r="A51921" s="118"/>
      <c r="B51921" s="136"/>
    </row>
    <row r="51922" spans="1:2" x14ac:dyDescent="0.25">
      <c r="A51922" s="118"/>
      <c r="B51922" s="136"/>
    </row>
    <row r="51923" spans="1:2" x14ac:dyDescent="0.25">
      <c r="A51923" s="118"/>
      <c r="B51923" s="136"/>
    </row>
    <row r="51924" spans="1:2" x14ac:dyDescent="0.25">
      <c r="A51924" s="118"/>
      <c r="B51924" s="136"/>
    </row>
    <row r="51925" spans="1:2" x14ac:dyDescent="0.25">
      <c r="A51925" s="118"/>
      <c r="B51925" s="136"/>
    </row>
    <row r="51926" spans="1:2" x14ac:dyDescent="0.25">
      <c r="A51926" s="118"/>
      <c r="B51926" s="136"/>
    </row>
    <row r="51927" spans="1:2" x14ac:dyDescent="0.25">
      <c r="A51927" s="118"/>
      <c r="B51927" s="136"/>
    </row>
    <row r="51928" spans="1:2" x14ac:dyDescent="0.25">
      <c r="A51928" s="118"/>
      <c r="B51928" s="136"/>
    </row>
    <row r="51929" spans="1:2" x14ac:dyDescent="0.25">
      <c r="A51929" s="118"/>
      <c r="B51929" s="136"/>
    </row>
    <row r="51930" spans="1:2" x14ac:dyDescent="0.25">
      <c r="A51930" s="118"/>
      <c r="B51930" s="136"/>
    </row>
    <row r="51931" spans="1:2" x14ac:dyDescent="0.25">
      <c r="A51931" s="118"/>
      <c r="B51931" s="136"/>
    </row>
    <row r="51932" spans="1:2" x14ac:dyDescent="0.25">
      <c r="A51932" s="118"/>
      <c r="B51932" s="136"/>
    </row>
    <row r="51933" spans="1:2" x14ac:dyDescent="0.25">
      <c r="A51933" s="118"/>
      <c r="B51933" s="136"/>
    </row>
    <row r="51934" spans="1:2" x14ac:dyDescent="0.25">
      <c r="A51934" s="118"/>
      <c r="B51934" s="136"/>
    </row>
    <row r="51935" spans="1:2" x14ac:dyDescent="0.25">
      <c r="A51935" s="118"/>
      <c r="B51935" s="136"/>
    </row>
    <row r="51936" spans="1:2" x14ac:dyDescent="0.25">
      <c r="A51936" s="118"/>
      <c r="B51936" s="136"/>
    </row>
    <row r="51937" spans="1:2" x14ac:dyDescent="0.25">
      <c r="A51937" s="118"/>
      <c r="B51937" s="136"/>
    </row>
    <row r="51938" spans="1:2" x14ac:dyDescent="0.25">
      <c r="A51938" s="118"/>
      <c r="B51938" s="136"/>
    </row>
    <row r="51939" spans="1:2" x14ac:dyDescent="0.25">
      <c r="A51939" s="118"/>
      <c r="B51939" s="136"/>
    </row>
    <row r="51940" spans="1:2" x14ac:dyDescent="0.25">
      <c r="A51940" s="118"/>
      <c r="B51940" s="136"/>
    </row>
    <row r="51941" spans="1:2" x14ac:dyDescent="0.25">
      <c r="A51941" s="118"/>
      <c r="B51941" s="136"/>
    </row>
    <row r="51942" spans="1:2" x14ac:dyDescent="0.25">
      <c r="A51942" s="118"/>
      <c r="B51942" s="136"/>
    </row>
    <row r="51943" spans="1:2" x14ac:dyDescent="0.25">
      <c r="A51943" s="118"/>
      <c r="B51943" s="136"/>
    </row>
    <row r="51944" spans="1:2" x14ac:dyDescent="0.25">
      <c r="A51944" s="118"/>
      <c r="B51944" s="136"/>
    </row>
    <row r="51945" spans="1:2" x14ac:dyDescent="0.25">
      <c r="A51945" s="118"/>
      <c r="B51945" s="136"/>
    </row>
    <row r="51946" spans="1:2" x14ac:dyDescent="0.25">
      <c r="A51946" s="118"/>
      <c r="B51946" s="136"/>
    </row>
    <row r="51947" spans="1:2" x14ac:dyDescent="0.25">
      <c r="A51947" s="118"/>
      <c r="B51947" s="136"/>
    </row>
    <row r="51948" spans="1:2" x14ac:dyDescent="0.25">
      <c r="A51948" s="118"/>
      <c r="B51948" s="136"/>
    </row>
    <row r="51949" spans="1:2" x14ac:dyDescent="0.25">
      <c r="A51949" s="118"/>
      <c r="B51949" s="136"/>
    </row>
    <row r="51950" spans="1:2" x14ac:dyDescent="0.25">
      <c r="A51950" s="118"/>
      <c r="B51950" s="136"/>
    </row>
    <row r="51951" spans="1:2" x14ac:dyDescent="0.25">
      <c r="A51951" s="118"/>
      <c r="B51951" s="136"/>
    </row>
    <row r="51952" spans="1:2" x14ac:dyDescent="0.25">
      <c r="A51952" s="118"/>
      <c r="B51952" s="136"/>
    </row>
    <row r="51953" spans="1:2" x14ac:dyDescent="0.25">
      <c r="A51953" s="118"/>
      <c r="B51953" s="136"/>
    </row>
    <row r="51954" spans="1:2" x14ac:dyDescent="0.25">
      <c r="A51954" s="118"/>
      <c r="B51954" s="136"/>
    </row>
    <row r="51955" spans="1:2" x14ac:dyDescent="0.25">
      <c r="A51955" s="118"/>
      <c r="B51955" s="136"/>
    </row>
    <row r="51956" spans="1:2" x14ac:dyDescent="0.25">
      <c r="A51956" s="118"/>
      <c r="B51956" s="136"/>
    </row>
    <row r="51957" spans="1:2" x14ac:dyDescent="0.25">
      <c r="A51957" s="118"/>
      <c r="B51957" s="136"/>
    </row>
    <row r="51958" spans="1:2" x14ac:dyDescent="0.25">
      <c r="A51958" s="118"/>
      <c r="B51958" s="136"/>
    </row>
    <row r="51959" spans="1:2" x14ac:dyDescent="0.25">
      <c r="A51959" s="118"/>
      <c r="B51959" s="136"/>
    </row>
    <row r="51960" spans="1:2" x14ac:dyDescent="0.25">
      <c r="A51960" s="118"/>
      <c r="B51960" s="136"/>
    </row>
    <row r="51961" spans="1:2" x14ac:dyDescent="0.25">
      <c r="A51961" s="118"/>
      <c r="B51961" s="136"/>
    </row>
    <row r="51962" spans="1:2" x14ac:dyDescent="0.25">
      <c r="A51962" s="118"/>
      <c r="B51962" s="136"/>
    </row>
    <row r="51963" spans="1:2" x14ac:dyDescent="0.25">
      <c r="A51963" s="118"/>
      <c r="B51963" s="136"/>
    </row>
    <row r="51964" spans="1:2" x14ac:dyDescent="0.25">
      <c r="A51964" s="118"/>
      <c r="B51964" s="136"/>
    </row>
    <row r="51965" spans="1:2" x14ac:dyDescent="0.25">
      <c r="A51965" s="118"/>
      <c r="B51965" s="136"/>
    </row>
    <row r="51966" spans="1:2" x14ac:dyDescent="0.25">
      <c r="A51966" s="118"/>
      <c r="B51966" s="136"/>
    </row>
    <row r="51967" spans="1:2" x14ac:dyDescent="0.25">
      <c r="A51967" s="118"/>
      <c r="B51967" s="136"/>
    </row>
    <row r="51968" spans="1:2" x14ac:dyDescent="0.25">
      <c r="A51968" s="118"/>
      <c r="B51968" s="136"/>
    </row>
    <row r="51969" spans="1:2" x14ac:dyDescent="0.25">
      <c r="A51969" s="118"/>
      <c r="B51969" s="136"/>
    </row>
    <row r="51970" spans="1:2" x14ac:dyDescent="0.25">
      <c r="A51970" s="118"/>
      <c r="B51970" s="136"/>
    </row>
    <row r="51971" spans="1:2" x14ac:dyDescent="0.25">
      <c r="A51971" s="118"/>
      <c r="B51971" s="136"/>
    </row>
    <row r="51972" spans="1:2" x14ac:dyDescent="0.25">
      <c r="A51972" s="118"/>
      <c r="B51972" s="136"/>
    </row>
    <row r="51973" spans="1:2" x14ac:dyDescent="0.25">
      <c r="A51973" s="118"/>
      <c r="B51973" s="136"/>
    </row>
    <row r="51974" spans="1:2" x14ac:dyDescent="0.25">
      <c r="A51974" s="118"/>
      <c r="B51974" s="136"/>
    </row>
    <row r="51975" spans="1:2" x14ac:dyDescent="0.25">
      <c r="A51975" s="118"/>
      <c r="B51975" s="136"/>
    </row>
    <row r="51976" spans="1:2" x14ac:dyDescent="0.25">
      <c r="A51976" s="118"/>
      <c r="B51976" s="136"/>
    </row>
    <row r="51977" spans="1:2" x14ac:dyDescent="0.25">
      <c r="A51977" s="118"/>
      <c r="B51977" s="136"/>
    </row>
    <row r="51978" spans="1:2" x14ac:dyDescent="0.25">
      <c r="A51978" s="118"/>
      <c r="B51978" s="136"/>
    </row>
    <row r="51979" spans="1:2" x14ac:dyDescent="0.25">
      <c r="A51979" s="118"/>
      <c r="B51979" s="136"/>
    </row>
    <row r="51980" spans="1:2" x14ac:dyDescent="0.25">
      <c r="A51980" s="118"/>
      <c r="B51980" s="136"/>
    </row>
    <row r="51981" spans="1:2" x14ac:dyDescent="0.25">
      <c r="A51981" s="118"/>
      <c r="B51981" s="136"/>
    </row>
    <row r="51982" spans="1:2" x14ac:dyDescent="0.25">
      <c r="A51982" s="118"/>
      <c r="B51982" s="136"/>
    </row>
    <row r="51983" spans="1:2" x14ac:dyDescent="0.25">
      <c r="A51983" s="118"/>
      <c r="B51983" s="136"/>
    </row>
    <row r="51984" spans="1:2" x14ac:dyDescent="0.25">
      <c r="A51984" s="118"/>
      <c r="B51984" s="136"/>
    </row>
    <row r="51985" spans="1:2" x14ac:dyDescent="0.25">
      <c r="A51985" s="118"/>
      <c r="B51985" s="136"/>
    </row>
    <row r="51986" spans="1:2" x14ac:dyDescent="0.25">
      <c r="A51986" s="118"/>
      <c r="B51986" s="136"/>
    </row>
    <row r="51987" spans="1:2" x14ac:dyDescent="0.25">
      <c r="A51987" s="118"/>
      <c r="B51987" s="136"/>
    </row>
    <row r="51988" spans="1:2" x14ac:dyDescent="0.25">
      <c r="A51988" s="118"/>
      <c r="B51988" s="136"/>
    </row>
    <row r="51989" spans="1:2" x14ac:dyDescent="0.25">
      <c r="A51989" s="118"/>
      <c r="B51989" s="136"/>
    </row>
    <row r="51990" spans="1:2" x14ac:dyDescent="0.25">
      <c r="A51990" s="118"/>
      <c r="B51990" s="136"/>
    </row>
    <row r="51991" spans="1:2" x14ac:dyDescent="0.25">
      <c r="A51991" s="118"/>
      <c r="B51991" s="136"/>
    </row>
    <row r="51992" spans="1:2" x14ac:dyDescent="0.25">
      <c r="A51992" s="118"/>
      <c r="B51992" s="136"/>
    </row>
    <row r="51993" spans="1:2" x14ac:dyDescent="0.25">
      <c r="A51993" s="118"/>
      <c r="B51993" s="136"/>
    </row>
    <row r="51994" spans="1:2" x14ac:dyDescent="0.25">
      <c r="A51994" s="118"/>
      <c r="B51994" s="136"/>
    </row>
    <row r="51995" spans="1:2" x14ac:dyDescent="0.25">
      <c r="A51995" s="118"/>
      <c r="B51995" s="136"/>
    </row>
    <row r="51996" spans="1:2" x14ac:dyDescent="0.25">
      <c r="A51996" s="118"/>
      <c r="B51996" s="136"/>
    </row>
    <row r="51997" spans="1:2" x14ac:dyDescent="0.25">
      <c r="A51997" s="118"/>
      <c r="B51997" s="136"/>
    </row>
    <row r="51998" spans="1:2" x14ac:dyDescent="0.25">
      <c r="A51998" s="118"/>
      <c r="B51998" s="136"/>
    </row>
    <row r="51999" spans="1:2" x14ac:dyDescent="0.25">
      <c r="A51999" s="118"/>
      <c r="B51999" s="136"/>
    </row>
    <row r="52000" spans="1:2" x14ac:dyDescent="0.25">
      <c r="A52000" s="118"/>
      <c r="B52000" s="136"/>
    </row>
    <row r="52001" spans="1:2" x14ac:dyDescent="0.25">
      <c r="A52001" s="118"/>
      <c r="B52001" s="136"/>
    </row>
    <row r="52002" spans="1:2" x14ac:dyDescent="0.25">
      <c r="A52002" s="118"/>
      <c r="B52002" s="136"/>
    </row>
    <row r="52003" spans="1:2" x14ac:dyDescent="0.25">
      <c r="A52003" s="118"/>
      <c r="B52003" s="136"/>
    </row>
    <row r="52004" spans="1:2" x14ac:dyDescent="0.25">
      <c r="A52004" s="118"/>
      <c r="B52004" s="136"/>
    </row>
    <row r="52005" spans="1:2" x14ac:dyDescent="0.25">
      <c r="A52005" s="118"/>
      <c r="B52005" s="136"/>
    </row>
    <row r="52006" spans="1:2" x14ac:dyDescent="0.25">
      <c r="A52006" s="118"/>
      <c r="B52006" s="136"/>
    </row>
    <row r="52007" spans="1:2" x14ac:dyDescent="0.25">
      <c r="A52007" s="118"/>
      <c r="B52007" s="136"/>
    </row>
    <row r="52008" spans="1:2" x14ac:dyDescent="0.25">
      <c r="A52008" s="118"/>
      <c r="B52008" s="136"/>
    </row>
    <row r="52009" spans="1:2" x14ac:dyDescent="0.25">
      <c r="A52009" s="118"/>
      <c r="B52009" s="136"/>
    </row>
    <row r="52010" spans="1:2" x14ac:dyDescent="0.25">
      <c r="A52010" s="118"/>
      <c r="B52010" s="136"/>
    </row>
    <row r="52011" spans="1:2" x14ac:dyDescent="0.25">
      <c r="A52011" s="118"/>
      <c r="B52011" s="136"/>
    </row>
    <row r="52012" spans="1:2" x14ac:dyDescent="0.25">
      <c r="A52012" s="118"/>
      <c r="B52012" s="136"/>
    </row>
    <row r="52013" spans="1:2" x14ac:dyDescent="0.25">
      <c r="A52013" s="118"/>
      <c r="B52013" s="136"/>
    </row>
    <row r="52014" spans="1:2" x14ac:dyDescent="0.25">
      <c r="A52014" s="118"/>
      <c r="B52014" s="136"/>
    </row>
    <row r="52015" spans="1:2" x14ac:dyDescent="0.25">
      <c r="A52015" s="118"/>
      <c r="B52015" s="136"/>
    </row>
    <row r="52016" spans="1:2" x14ac:dyDescent="0.25">
      <c r="A52016" s="118"/>
      <c r="B52016" s="136"/>
    </row>
    <row r="52017" spans="1:2" x14ac:dyDescent="0.25">
      <c r="A52017" s="118"/>
      <c r="B52017" s="136"/>
    </row>
    <row r="52018" spans="1:2" x14ac:dyDescent="0.25">
      <c r="A52018" s="118"/>
      <c r="B52018" s="136"/>
    </row>
    <row r="52019" spans="1:2" x14ac:dyDescent="0.25">
      <c r="A52019" s="118"/>
      <c r="B52019" s="136"/>
    </row>
    <row r="52020" spans="1:2" x14ac:dyDescent="0.25">
      <c r="A52020" s="118"/>
      <c r="B52020" s="136"/>
    </row>
    <row r="52021" spans="1:2" x14ac:dyDescent="0.25">
      <c r="A52021" s="118"/>
      <c r="B52021" s="136"/>
    </row>
    <row r="52022" spans="1:2" x14ac:dyDescent="0.25">
      <c r="A52022" s="118"/>
      <c r="B52022" s="136"/>
    </row>
    <row r="52023" spans="1:2" x14ac:dyDescent="0.25">
      <c r="A52023" s="118"/>
      <c r="B52023" s="136"/>
    </row>
    <row r="52024" spans="1:2" x14ac:dyDescent="0.25">
      <c r="A52024" s="118"/>
      <c r="B52024" s="136"/>
    </row>
    <row r="52025" spans="1:2" x14ac:dyDescent="0.25">
      <c r="A52025" s="118"/>
      <c r="B52025" s="136"/>
    </row>
    <row r="52026" spans="1:2" x14ac:dyDescent="0.25">
      <c r="A52026" s="118"/>
      <c r="B52026" s="136"/>
    </row>
    <row r="52027" spans="1:2" x14ac:dyDescent="0.25">
      <c r="A52027" s="118"/>
      <c r="B52027" s="136"/>
    </row>
    <row r="52028" spans="1:2" x14ac:dyDescent="0.25">
      <c r="A52028" s="118"/>
      <c r="B52028" s="136"/>
    </row>
    <row r="52029" spans="1:2" x14ac:dyDescent="0.25">
      <c r="A52029" s="118"/>
      <c r="B52029" s="136"/>
    </row>
    <row r="52030" spans="1:2" x14ac:dyDescent="0.25">
      <c r="A52030" s="118"/>
      <c r="B52030" s="136"/>
    </row>
    <row r="52031" spans="1:2" x14ac:dyDescent="0.25">
      <c r="A52031" s="118"/>
      <c r="B52031" s="136"/>
    </row>
    <row r="52032" spans="1:2" x14ac:dyDescent="0.25">
      <c r="A52032" s="118"/>
      <c r="B52032" s="136"/>
    </row>
    <row r="52033" spans="1:2" x14ac:dyDescent="0.25">
      <c r="A52033" s="118"/>
      <c r="B52033" s="136"/>
    </row>
    <row r="52034" spans="1:2" x14ac:dyDescent="0.25">
      <c r="A52034" s="118"/>
      <c r="B52034" s="136"/>
    </row>
    <row r="52035" spans="1:2" x14ac:dyDescent="0.25">
      <c r="A52035" s="118"/>
      <c r="B52035" s="136"/>
    </row>
    <row r="52036" spans="1:2" x14ac:dyDescent="0.25">
      <c r="A52036" s="118"/>
      <c r="B52036" s="136"/>
    </row>
    <row r="52037" spans="1:2" x14ac:dyDescent="0.25">
      <c r="A52037" s="118"/>
      <c r="B52037" s="136"/>
    </row>
    <row r="52038" spans="1:2" x14ac:dyDescent="0.25">
      <c r="A52038" s="118"/>
      <c r="B52038" s="136"/>
    </row>
    <row r="52039" spans="1:2" x14ac:dyDescent="0.25">
      <c r="A52039" s="118"/>
      <c r="B52039" s="136"/>
    </row>
    <row r="52040" spans="1:2" x14ac:dyDescent="0.25">
      <c r="A52040" s="118"/>
      <c r="B52040" s="136"/>
    </row>
    <row r="52041" spans="1:2" x14ac:dyDescent="0.25">
      <c r="A52041" s="118"/>
      <c r="B52041" s="136"/>
    </row>
    <row r="52042" spans="1:2" x14ac:dyDescent="0.25">
      <c r="A52042" s="118"/>
      <c r="B52042" s="136"/>
    </row>
    <row r="52043" spans="1:2" x14ac:dyDescent="0.25">
      <c r="A52043" s="118"/>
      <c r="B52043" s="136"/>
    </row>
    <row r="52044" spans="1:2" x14ac:dyDescent="0.25">
      <c r="A52044" s="118"/>
      <c r="B52044" s="136"/>
    </row>
    <row r="52045" spans="1:2" x14ac:dyDescent="0.25">
      <c r="A52045" s="118"/>
      <c r="B52045" s="136"/>
    </row>
    <row r="52046" spans="1:2" x14ac:dyDescent="0.25">
      <c r="A52046" s="118"/>
      <c r="B52046" s="136"/>
    </row>
    <row r="52047" spans="1:2" x14ac:dyDescent="0.25">
      <c r="A52047" s="118"/>
      <c r="B52047" s="136"/>
    </row>
    <row r="52048" spans="1:2" x14ac:dyDescent="0.25">
      <c r="A52048" s="118"/>
      <c r="B52048" s="136"/>
    </row>
    <row r="52049" spans="1:2" x14ac:dyDescent="0.25">
      <c r="A52049" s="118"/>
      <c r="B52049" s="136"/>
    </row>
    <row r="52050" spans="1:2" x14ac:dyDescent="0.25">
      <c r="A52050" s="118"/>
      <c r="B52050" s="136"/>
    </row>
    <row r="52051" spans="1:2" x14ac:dyDescent="0.25">
      <c r="A52051" s="118"/>
      <c r="B52051" s="136"/>
    </row>
    <row r="52052" spans="1:2" x14ac:dyDescent="0.25">
      <c r="A52052" s="118"/>
      <c r="B52052" s="136"/>
    </row>
    <row r="52053" spans="1:2" x14ac:dyDescent="0.25">
      <c r="A52053" s="118"/>
      <c r="B52053" s="136"/>
    </row>
    <row r="52054" spans="1:2" x14ac:dyDescent="0.25">
      <c r="A52054" s="118"/>
      <c r="B52054" s="136"/>
    </row>
    <row r="52055" spans="1:2" x14ac:dyDescent="0.25">
      <c r="A52055" s="118"/>
      <c r="B52055" s="136"/>
    </row>
    <row r="52056" spans="1:2" x14ac:dyDescent="0.25">
      <c r="A52056" s="118"/>
      <c r="B52056" s="136"/>
    </row>
    <row r="52057" spans="1:2" x14ac:dyDescent="0.25">
      <c r="A52057" s="118"/>
      <c r="B52057" s="136"/>
    </row>
    <row r="52058" spans="1:2" x14ac:dyDescent="0.25">
      <c r="A52058" s="118"/>
      <c r="B52058" s="136"/>
    </row>
    <row r="52059" spans="1:2" x14ac:dyDescent="0.25">
      <c r="A52059" s="118"/>
      <c r="B52059" s="136"/>
    </row>
    <row r="52060" spans="1:2" x14ac:dyDescent="0.25">
      <c r="A52060" s="118"/>
      <c r="B52060" s="136"/>
    </row>
    <row r="52061" spans="1:2" x14ac:dyDescent="0.25">
      <c r="A52061" s="118"/>
      <c r="B52061" s="136"/>
    </row>
    <row r="52062" spans="1:2" x14ac:dyDescent="0.25">
      <c r="A52062" s="118"/>
      <c r="B52062" s="136"/>
    </row>
    <row r="52063" spans="1:2" x14ac:dyDescent="0.25">
      <c r="A52063" s="118"/>
      <c r="B52063" s="136"/>
    </row>
    <row r="52064" spans="1:2" x14ac:dyDescent="0.25">
      <c r="A52064" s="118"/>
      <c r="B52064" s="136"/>
    </row>
    <row r="52065" spans="1:2" x14ac:dyDescent="0.25">
      <c r="A52065" s="118"/>
      <c r="B52065" s="136"/>
    </row>
    <row r="52066" spans="1:2" x14ac:dyDescent="0.25">
      <c r="A52066" s="118"/>
      <c r="B52066" s="136"/>
    </row>
    <row r="52067" spans="1:2" x14ac:dyDescent="0.25">
      <c r="A52067" s="118"/>
      <c r="B52067" s="136"/>
    </row>
    <row r="52068" spans="1:2" x14ac:dyDescent="0.25">
      <c r="A52068" s="118"/>
      <c r="B52068" s="136"/>
    </row>
    <row r="52069" spans="1:2" x14ac:dyDescent="0.25">
      <c r="A52069" s="118"/>
      <c r="B52069" s="136"/>
    </row>
    <row r="52070" spans="1:2" x14ac:dyDescent="0.25">
      <c r="A52070" s="118"/>
      <c r="B52070" s="136"/>
    </row>
    <row r="52071" spans="1:2" x14ac:dyDescent="0.25">
      <c r="A52071" s="118"/>
      <c r="B52071" s="136"/>
    </row>
    <row r="52072" spans="1:2" x14ac:dyDescent="0.25">
      <c r="A52072" s="118"/>
      <c r="B52072" s="136"/>
    </row>
    <row r="52073" spans="1:2" x14ac:dyDescent="0.25">
      <c r="A52073" s="118"/>
      <c r="B52073" s="136"/>
    </row>
    <row r="52074" spans="1:2" x14ac:dyDescent="0.25">
      <c r="A52074" s="118"/>
      <c r="B52074" s="136"/>
    </row>
    <row r="52075" spans="1:2" x14ac:dyDescent="0.25">
      <c r="A52075" s="118"/>
      <c r="B52075" s="136"/>
    </row>
    <row r="52076" spans="1:2" x14ac:dyDescent="0.25">
      <c r="A52076" s="118"/>
      <c r="B52076" s="136"/>
    </row>
    <row r="52077" spans="1:2" x14ac:dyDescent="0.25">
      <c r="A52077" s="118"/>
      <c r="B52077" s="136"/>
    </row>
    <row r="52078" spans="1:2" x14ac:dyDescent="0.25">
      <c r="A52078" s="118"/>
      <c r="B52078" s="136"/>
    </row>
    <row r="52079" spans="1:2" x14ac:dyDescent="0.25">
      <c r="A52079" s="118"/>
      <c r="B52079" s="136"/>
    </row>
    <row r="52080" spans="1:2" x14ac:dyDescent="0.25">
      <c r="A52080" s="118"/>
      <c r="B52080" s="136"/>
    </row>
    <row r="52081" spans="1:2" x14ac:dyDescent="0.25">
      <c r="A52081" s="118"/>
      <c r="B52081" s="136"/>
    </row>
    <row r="52082" spans="1:2" x14ac:dyDescent="0.25">
      <c r="A52082" s="118"/>
      <c r="B52082" s="136"/>
    </row>
    <row r="52083" spans="1:2" x14ac:dyDescent="0.25">
      <c r="A52083" s="118"/>
      <c r="B52083" s="136"/>
    </row>
    <row r="52084" spans="1:2" x14ac:dyDescent="0.25">
      <c r="A52084" s="118"/>
      <c r="B52084" s="136"/>
    </row>
    <row r="52085" spans="1:2" x14ac:dyDescent="0.25">
      <c r="A52085" s="118"/>
      <c r="B52085" s="136"/>
    </row>
    <row r="52086" spans="1:2" x14ac:dyDescent="0.25">
      <c r="A52086" s="118"/>
      <c r="B52086" s="136"/>
    </row>
    <row r="52087" spans="1:2" x14ac:dyDescent="0.25">
      <c r="A52087" s="118"/>
      <c r="B52087" s="136"/>
    </row>
    <row r="52088" spans="1:2" x14ac:dyDescent="0.25">
      <c r="A52088" s="118"/>
      <c r="B52088" s="136"/>
    </row>
    <row r="52089" spans="1:2" x14ac:dyDescent="0.25">
      <c r="A52089" s="118"/>
      <c r="B52089" s="136"/>
    </row>
    <row r="52090" spans="1:2" x14ac:dyDescent="0.25">
      <c r="A52090" s="118"/>
      <c r="B52090" s="136"/>
    </row>
    <row r="52091" spans="1:2" x14ac:dyDescent="0.25">
      <c r="A52091" s="118"/>
      <c r="B52091" s="136"/>
    </row>
    <row r="52092" spans="1:2" x14ac:dyDescent="0.25">
      <c r="A52092" s="118"/>
      <c r="B52092" s="136"/>
    </row>
    <row r="52093" spans="1:2" x14ac:dyDescent="0.25">
      <c r="A52093" s="118"/>
      <c r="B52093" s="136"/>
    </row>
    <row r="52094" spans="1:2" x14ac:dyDescent="0.25">
      <c r="A52094" s="118"/>
      <c r="B52094" s="136"/>
    </row>
    <row r="52095" spans="1:2" x14ac:dyDescent="0.25">
      <c r="A52095" s="118"/>
      <c r="B52095" s="136"/>
    </row>
    <row r="52096" spans="1:2" x14ac:dyDescent="0.25">
      <c r="A52096" s="118"/>
      <c r="B52096" s="136"/>
    </row>
    <row r="52097" spans="1:2" x14ac:dyDescent="0.25">
      <c r="A52097" s="118"/>
      <c r="B52097" s="136"/>
    </row>
    <row r="52098" spans="1:2" x14ac:dyDescent="0.25">
      <c r="A52098" s="118"/>
      <c r="B52098" s="136"/>
    </row>
    <row r="52099" spans="1:2" x14ac:dyDescent="0.25">
      <c r="A52099" s="118"/>
      <c r="B52099" s="136"/>
    </row>
    <row r="52100" spans="1:2" x14ac:dyDescent="0.25">
      <c r="A52100" s="118"/>
      <c r="B52100" s="136"/>
    </row>
    <row r="52101" spans="1:2" x14ac:dyDescent="0.25">
      <c r="A52101" s="118"/>
      <c r="B52101" s="136"/>
    </row>
    <row r="52102" spans="1:2" x14ac:dyDescent="0.25">
      <c r="A52102" s="118"/>
      <c r="B52102" s="136"/>
    </row>
    <row r="52103" spans="1:2" x14ac:dyDescent="0.25">
      <c r="A52103" s="118"/>
      <c r="B52103" s="136"/>
    </row>
    <row r="52104" spans="1:2" x14ac:dyDescent="0.25">
      <c r="A52104" s="118"/>
      <c r="B52104" s="136"/>
    </row>
    <row r="52105" spans="1:2" x14ac:dyDescent="0.25">
      <c r="A52105" s="118"/>
      <c r="B52105" s="136"/>
    </row>
    <row r="52106" spans="1:2" x14ac:dyDescent="0.25">
      <c r="A52106" s="118"/>
      <c r="B52106" s="136"/>
    </row>
    <row r="52107" spans="1:2" x14ac:dyDescent="0.25">
      <c r="A52107" s="118"/>
      <c r="B52107" s="136"/>
    </row>
    <row r="52108" spans="1:2" x14ac:dyDescent="0.25">
      <c r="A52108" s="118"/>
      <c r="B52108" s="136"/>
    </row>
    <row r="52109" spans="1:2" x14ac:dyDescent="0.25">
      <c r="A52109" s="118"/>
      <c r="B52109" s="136"/>
    </row>
    <row r="52110" spans="1:2" x14ac:dyDescent="0.25">
      <c r="A52110" s="118"/>
      <c r="B52110" s="136"/>
    </row>
    <row r="52111" spans="1:2" x14ac:dyDescent="0.25">
      <c r="A52111" s="118"/>
      <c r="B52111" s="136"/>
    </row>
    <row r="52112" spans="1:2" x14ac:dyDescent="0.25">
      <c r="A52112" s="118"/>
      <c r="B52112" s="136"/>
    </row>
    <row r="52113" spans="1:2" x14ac:dyDescent="0.25">
      <c r="A52113" s="118"/>
      <c r="B52113" s="136"/>
    </row>
    <row r="52114" spans="1:2" x14ac:dyDescent="0.25">
      <c r="A52114" s="118"/>
      <c r="B52114" s="136"/>
    </row>
    <row r="52115" spans="1:2" x14ac:dyDescent="0.25">
      <c r="A52115" s="118"/>
      <c r="B52115" s="136"/>
    </row>
    <row r="52116" spans="1:2" x14ac:dyDescent="0.25">
      <c r="A52116" s="118"/>
      <c r="B52116" s="136"/>
    </row>
    <row r="52117" spans="1:2" x14ac:dyDescent="0.25">
      <c r="A52117" s="118"/>
      <c r="B52117" s="136"/>
    </row>
    <row r="52118" spans="1:2" x14ac:dyDescent="0.25">
      <c r="A52118" s="118"/>
      <c r="B52118" s="136"/>
    </row>
    <row r="52119" spans="1:2" x14ac:dyDescent="0.25">
      <c r="A52119" s="118"/>
      <c r="B52119" s="136"/>
    </row>
    <row r="52120" spans="1:2" x14ac:dyDescent="0.25">
      <c r="A52120" s="118"/>
      <c r="B52120" s="136"/>
    </row>
    <row r="52121" spans="1:2" x14ac:dyDescent="0.25">
      <c r="A52121" s="118"/>
      <c r="B52121" s="136"/>
    </row>
    <row r="52122" spans="1:2" x14ac:dyDescent="0.25">
      <c r="A52122" s="118"/>
      <c r="B52122" s="136"/>
    </row>
    <row r="52123" spans="1:2" x14ac:dyDescent="0.25">
      <c r="A52123" s="118"/>
      <c r="B52123" s="136"/>
    </row>
    <row r="52124" spans="1:2" x14ac:dyDescent="0.25">
      <c r="A52124" s="118"/>
      <c r="B52124" s="136"/>
    </row>
    <row r="52125" spans="1:2" x14ac:dyDescent="0.25">
      <c r="A52125" s="118"/>
      <c r="B52125" s="136"/>
    </row>
    <row r="52126" spans="1:2" x14ac:dyDescent="0.25">
      <c r="A52126" s="118"/>
      <c r="B52126" s="136"/>
    </row>
    <row r="52127" spans="1:2" x14ac:dyDescent="0.25">
      <c r="A52127" s="118"/>
      <c r="B52127" s="136"/>
    </row>
    <row r="52128" spans="1:2" x14ac:dyDescent="0.25">
      <c r="A52128" s="118"/>
      <c r="B52128" s="136"/>
    </row>
    <row r="52129" spans="1:2" x14ac:dyDescent="0.25">
      <c r="A52129" s="118"/>
      <c r="B52129" s="136"/>
    </row>
    <row r="52130" spans="1:2" x14ac:dyDescent="0.25">
      <c r="A52130" s="118"/>
      <c r="B52130" s="136"/>
    </row>
    <row r="52131" spans="1:2" x14ac:dyDescent="0.25">
      <c r="A52131" s="118"/>
      <c r="B52131" s="136"/>
    </row>
    <row r="52132" spans="1:2" x14ac:dyDescent="0.25">
      <c r="A52132" s="118"/>
      <c r="B52132" s="136"/>
    </row>
    <row r="52133" spans="1:2" x14ac:dyDescent="0.25">
      <c r="A52133" s="118"/>
      <c r="B52133" s="136"/>
    </row>
    <row r="52134" spans="1:2" x14ac:dyDescent="0.25">
      <c r="A52134" s="118"/>
      <c r="B52134" s="136"/>
    </row>
    <row r="52135" spans="1:2" x14ac:dyDescent="0.25">
      <c r="A52135" s="118"/>
      <c r="B52135" s="136"/>
    </row>
    <row r="52136" spans="1:2" x14ac:dyDescent="0.25">
      <c r="A52136" s="118"/>
      <c r="B52136" s="136"/>
    </row>
    <row r="52137" spans="1:2" x14ac:dyDescent="0.25">
      <c r="A52137" s="118"/>
      <c r="B52137" s="136"/>
    </row>
    <row r="52138" spans="1:2" x14ac:dyDescent="0.25">
      <c r="A52138" s="118"/>
      <c r="B52138" s="136"/>
    </row>
    <row r="52139" spans="1:2" x14ac:dyDescent="0.25">
      <c r="A52139" s="118"/>
      <c r="B52139" s="136"/>
    </row>
    <row r="52140" spans="1:2" x14ac:dyDescent="0.25">
      <c r="A52140" s="118"/>
      <c r="B52140" s="136"/>
    </row>
    <row r="52141" spans="1:2" x14ac:dyDescent="0.25">
      <c r="A52141" s="118"/>
      <c r="B52141" s="136"/>
    </row>
    <row r="52142" spans="1:2" x14ac:dyDescent="0.25">
      <c r="A52142" s="118"/>
      <c r="B52142" s="136"/>
    </row>
    <row r="52143" spans="1:2" x14ac:dyDescent="0.25">
      <c r="A52143" s="118"/>
      <c r="B52143" s="136"/>
    </row>
    <row r="52144" spans="1:2" x14ac:dyDescent="0.25">
      <c r="A52144" s="118"/>
      <c r="B52144" s="136"/>
    </row>
    <row r="52145" spans="1:2" x14ac:dyDescent="0.25">
      <c r="A52145" s="118"/>
      <c r="B52145" s="136"/>
    </row>
    <row r="52146" spans="1:2" x14ac:dyDescent="0.25">
      <c r="A52146" s="118"/>
      <c r="B52146" s="136"/>
    </row>
    <row r="52147" spans="1:2" x14ac:dyDescent="0.25">
      <c r="A52147" s="118"/>
      <c r="B52147" s="136"/>
    </row>
    <row r="52148" spans="1:2" x14ac:dyDescent="0.25">
      <c r="A52148" s="118"/>
      <c r="B52148" s="136"/>
    </row>
    <row r="52149" spans="1:2" x14ac:dyDescent="0.25">
      <c r="A52149" s="118"/>
      <c r="B52149" s="136"/>
    </row>
    <row r="52150" spans="1:2" x14ac:dyDescent="0.25">
      <c r="A52150" s="118"/>
      <c r="B52150" s="136"/>
    </row>
    <row r="52151" spans="1:2" x14ac:dyDescent="0.25">
      <c r="A52151" s="118"/>
      <c r="B52151" s="136"/>
    </row>
    <row r="52152" spans="1:2" x14ac:dyDescent="0.25">
      <c r="A52152" s="118"/>
      <c r="B52152" s="136"/>
    </row>
    <row r="52153" spans="1:2" x14ac:dyDescent="0.25">
      <c r="A52153" s="118"/>
      <c r="B52153" s="136"/>
    </row>
    <row r="52154" spans="1:2" x14ac:dyDescent="0.25">
      <c r="A52154" s="118"/>
      <c r="B52154" s="136"/>
    </row>
    <row r="52155" spans="1:2" x14ac:dyDescent="0.25">
      <c r="A52155" s="118"/>
      <c r="B52155" s="136"/>
    </row>
    <row r="52156" spans="1:2" x14ac:dyDescent="0.25">
      <c r="A52156" s="118"/>
      <c r="B52156" s="136"/>
    </row>
    <row r="52157" spans="1:2" x14ac:dyDescent="0.25">
      <c r="A52157" s="118"/>
      <c r="B52157" s="136"/>
    </row>
    <row r="52158" spans="1:2" x14ac:dyDescent="0.25">
      <c r="A52158" s="118"/>
      <c r="B52158" s="136"/>
    </row>
    <row r="52159" spans="1:2" x14ac:dyDescent="0.25">
      <c r="A52159" s="118"/>
      <c r="B52159" s="136"/>
    </row>
    <row r="52160" spans="1:2" x14ac:dyDescent="0.25">
      <c r="A52160" s="118"/>
      <c r="B52160" s="136"/>
    </row>
    <row r="52161" spans="1:2" x14ac:dyDescent="0.25">
      <c r="A52161" s="118"/>
      <c r="B52161" s="136"/>
    </row>
    <row r="52162" spans="1:2" x14ac:dyDescent="0.25">
      <c r="A52162" s="118"/>
      <c r="B52162" s="136"/>
    </row>
    <row r="52163" spans="1:2" x14ac:dyDescent="0.25">
      <c r="A52163" s="118"/>
      <c r="B52163" s="136"/>
    </row>
    <row r="52164" spans="1:2" x14ac:dyDescent="0.25">
      <c r="A52164" s="118"/>
      <c r="B52164" s="136"/>
    </row>
    <row r="52165" spans="1:2" x14ac:dyDescent="0.25">
      <c r="A52165" s="118"/>
      <c r="B52165" s="136"/>
    </row>
    <row r="52166" spans="1:2" x14ac:dyDescent="0.25">
      <c r="A52166" s="118"/>
      <c r="B52166" s="136"/>
    </row>
    <row r="52167" spans="1:2" x14ac:dyDescent="0.25">
      <c r="A52167" s="118"/>
      <c r="B52167" s="136"/>
    </row>
    <row r="52168" spans="1:2" x14ac:dyDescent="0.25">
      <c r="A52168" s="118"/>
      <c r="B52168" s="136"/>
    </row>
    <row r="52169" spans="1:2" x14ac:dyDescent="0.25">
      <c r="A52169" s="118"/>
      <c r="B52169" s="136"/>
    </row>
    <row r="52170" spans="1:2" x14ac:dyDescent="0.25">
      <c r="A52170" s="118"/>
      <c r="B52170" s="136"/>
    </row>
    <row r="52171" spans="1:2" x14ac:dyDescent="0.25">
      <c r="A52171" s="118"/>
      <c r="B52171" s="136"/>
    </row>
    <row r="52172" spans="1:2" x14ac:dyDescent="0.25">
      <c r="A52172" s="118"/>
      <c r="B52172" s="136"/>
    </row>
    <row r="52173" spans="1:2" x14ac:dyDescent="0.25">
      <c r="A52173" s="118"/>
      <c r="B52173" s="136"/>
    </row>
    <row r="52174" spans="1:2" x14ac:dyDescent="0.25">
      <c r="A52174" s="118"/>
      <c r="B52174" s="136"/>
    </row>
    <row r="52175" spans="1:2" x14ac:dyDescent="0.25">
      <c r="A52175" s="118"/>
      <c r="B52175" s="136"/>
    </row>
    <row r="52176" spans="1:2" x14ac:dyDescent="0.25">
      <c r="A52176" s="118"/>
      <c r="B52176" s="136"/>
    </row>
    <row r="52177" spans="1:2" x14ac:dyDescent="0.25">
      <c r="A52177" s="118"/>
      <c r="B52177" s="136"/>
    </row>
    <row r="52178" spans="1:2" x14ac:dyDescent="0.25">
      <c r="A52178" s="118"/>
      <c r="B52178" s="136"/>
    </row>
    <row r="52179" spans="1:2" x14ac:dyDescent="0.25">
      <c r="A52179" s="118"/>
      <c r="B52179" s="136"/>
    </row>
    <row r="52180" spans="1:2" x14ac:dyDescent="0.25">
      <c r="A52180" s="118"/>
      <c r="B52180" s="136"/>
    </row>
    <row r="52181" spans="1:2" x14ac:dyDescent="0.25">
      <c r="A52181" s="118"/>
      <c r="B52181" s="136"/>
    </row>
    <row r="52182" spans="1:2" x14ac:dyDescent="0.25">
      <c r="A52182" s="118"/>
      <c r="B52182" s="136"/>
    </row>
    <row r="52183" spans="1:2" x14ac:dyDescent="0.25">
      <c r="A52183" s="118"/>
      <c r="B52183" s="136"/>
    </row>
    <row r="52184" spans="1:2" x14ac:dyDescent="0.25">
      <c r="A52184" s="118"/>
      <c r="B52184" s="136"/>
    </row>
    <row r="52185" spans="1:2" x14ac:dyDescent="0.25">
      <c r="A52185" s="118"/>
      <c r="B52185" s="136"/>
    </row>
    <row r="52186" spans="1:2" x14ac:dyDescent="0.25">
      <c r="A52186" s="118"/>
      <c r="B52186" s="136"/>
    </row>
    <row r="52187" spans="1:2" x14ac:dyDescent="0.25">
      <c r="A52187" s="118"/>
      <c r="B52187" s="136"/>
    </row>
    <row r="52188" spans="1:2" x14ac:dyDescent="0.25">
      <c r="A52188" s="118"/>
      <c r="B52188" s="136"/>
    </row>
    <row r="52189" spans="1:2" x14ac:dyDescent="0.25">
      <c r="A52189" s="118"/>
      <c r="B52189" s="136"/>
    </row>
    <row r="52190" spans="1:2" x14ac:dyDescent="0.25">
      <c r="A52190" s="118"/>
      <c r="B52190" s="136"/>
    </row>
    <row r="52191" spans="1:2" x14ac:dyDescent="0.25">
      <c r="A52191" s="118"/>
      <c r="B52191" s="136"/>
    </row>
    <row r="52192" spans="1:2" x14ac:dyDescent="0.25">
      <c r="A52192" s="118"/>
      <c r="B52192" s="136"/>
    </row>
    <row r="52193" spans="1:2" x14ac:dyDescent="0.25">
      <c r="A52193" s="118"/>
      <c r="B52193" s="136"/>
    </row>
    <row r="52194" spans="1:2" x14ac:dyDescent="0.25">
      <c r="A52194" s="118"/>
      <c r="B52194" s="136"/>
    </row>
    <row r="52195" spans="1:2" x14ac:dyDescent="0.25">
      <c r="A52195" s="118"/>
      <c r="B52195" s="136"/>
    </row>
    <row r="52196" spans="1:2" x14ac:dyDescent="0.25">
      <c r="A52196" s="118"/>
      <c r="B52196" s="136"/>
    </row>
    <row r="52197" spans="1:2" x14ac:dyDescent="0.25">
      <c r="A52197" s="118"/>
      <c r="B52197" s="136"/>
    </row>
    <row r="52198" spans="1:2" x14ac:dyDescent="0.25">
      <c r="A52198" s="118"/>
      <c r="B52198" s="136"/>
    </row>
    <row r="52199" spans="1:2" x14ac:dyDescent="0.25">
      <c r="A52199" s="118"/>
      <c r="B52199" s="136"/>
    </row>
    <row r="52200" spans="1:2" x14ac:dyDescent="0.25">
      <c r="A52200" s="118"/>
      <c r="B52200" s="136"/>
    </row>
    <row r="52201" spans="1:2" x14ac:dyDescent="0.25">
      <c r="A52201" s="118"/>
      <c r="B52201" s="136"/>
    </row>
    <row r="52202" spans="1:2" x14ac:dyDescent="0.25">
      <c r="A52202" s="118"/>
      <c r="B52202" s="136"/>
    </row>
    <row r="52203" spans="1:2" x14ac:dyDescent="0.25">
      <c r="A52203" s="118"/>
      <c r="B52203" s="136"/>
    </row>
    <row r="52204" spans="1:2" x14ac:dyDescent="0.25">
      <c r="A52204" s="118"/>
      <c r="B52204" s="136"/>
    </row>
    <row r="52205" spans="1:2" x14ac:dyDescent="0.25">
      <c r="A52205" s="118"/>
      <c r="B52205" s="136"/>
    </row>
    <row r="52206" spans="1:2" x14ac:dyDescent="0.25">
      <c r="A52206" s="118"/>
      <c r="B52206" s="136"/>
    </row>
    <row r="52207" spans="1:2" x14ac:dyDescent="0.25">
      <c r="A52207" s="118"/>
      <c r="B52207" s="136"/>
    </row>
    <row r="52208" spans="1:2" x14ac:dyDescent="0.25">
      <c r="A52208" s="118"/>
      <c r="B52208" s="136"/>
    </row>
    <row r="52209" spans="1:2" x14ac:dyDescent="0.25">
      <c r="A52209" s="118"/>
      <c r="B52209" s="136"/>
    </row>
    <row r="52210" spans="1:2" x14ac:dyDescent="0.25">
      <c r="A52210" s="118"/>
      <c r="B52210" s="136"/>
    </row>
    <row r="52211" spans="1:2" x14ac:dyDescent="0.25">
      <c r="A52211" s="118"/>
      <c r="B52211" s="136"/>
    </row>
    <row r="52212" spans="1:2" x14ac:dyDescent="0.25">
      <c r="A52212" s="118"/>
      <c r="B52212" s="136"/>
    </row>
    <row r="52213" spans="1:2" x14ac:dyDescent="0.25">
      <c r="A52213" s="118"/>
      <c r="B52213" s="136"/>
    </row>
    <row r="52214" spans="1:2" x14ac:dyDescent="0.25">
      <c r="A52214" s="118"/>
      <c r="B52214" s="136"/>
    </row>
    <row r="52215" spans="1:2" x14ac:dyDescent="0.25">
      <c r="A52215" s="118"/>
      <c r="B52215" s="136"/>
    </row>
    <row r="52216" spans="1:2" x14ac:dyDescent="0.25">
      <c r="A52216" s="118"/>
      <c r="B52216" s="136"/>
    </row>
    <row r="52217" spans="1:2" x14ac:dyDescent="0.25">
      <c r="A52217" s="118"/>
      <c r="B52217" s="136"/>
    </row>
    <row r="52218" spans="1:2" x14ac:dyDescent="0.25">
      <c r="A52218" s="118"/>
      <c r="B52218" s="136"/>
    </row>
    <row r="52219" spans="1:2" x14ac:dyDescent="0.25">
      <c r="A52219" s="118"/>
      <c r="B52219" s="136"/>
    </row>
    <row r="52220" spans="1:2" x14ac:dyDescent="0.25">
      <c r="A52220" s="118"/>
      <c r="B52220" s="136"/>
    </row>
    <row r="52221" spans="1:2" x14ac:dyDescent="0.25">
      <c r="A52221" s="118"/>
      <c r="B52221" s="136"/>
    </row>
    <row r="52222" spans="1:2" x14ac:dyDescent="0.25">
      <c r="A52222" s="118"/>
      <c r="B52222" s="136"/>
    </row>
    <row r="52223" spans="1:2" x14ac:dyDescent="0.25">
      <c r="A52223" s="118"/>
      <c r="B52223" s="136"/>
    </row>
    <row r="52224" spans="1:2" x14ac:dyDescent="0.25">
      <c r="A52224" s="118"/>
      <c r="B52224" s="136"/>
    </row>
    <row r="52225" spans="1:2" x14ac:dyDescent="0.25">
      <c r="A52225" s="118"/>
      <c r="B52225" s="136"/>
    </row>
    <row r="52226" spans="1:2" x14ac:dyDescent="0.25">
      <c r="A52226" s="118"/>
      <c r="B52226" s="136"/>
    </row>
    <row r="52227" spans="1:2" x14ac:dyDescent="0.25">
      <c r="A52227" s="118"/>
      <c r="B52227" s="136"/>
    </row>
    <row r="52228" spans="1:2" x14ac:dyDescent="0.25">
      <c r="A52228" s="118"/>
      <c r="B52228" s="136"/>
    </row>
    <row r="52229" spans="1:2" x14ac:dyDescent="0.25">
      <c r="A52229" s="118"/>
      <c r="B52229" s="136"/>
    </row>
    <row r="52230" spans="1:2" x14ac:dyDescent="0.25">
      <c r="A52230" s="118"/>
      <c r="B52230" s="136"/>
    </row>
    <row r="52231" spans="1:2" x14ac:dyDescent="0.25">
      <c r="A52231" s="118"/>
      <c r="B52231" s="136"/>
    </row>
    <row r="52232" spans="1:2" x14ac:dyDescent="0.25">
      <c r="A52232" s="118"/>
      <c r="B52232" s="136"/>
    </row>
    <row r="52233" spans="1:2" x14ac:dyDescent="0.25">
      <c r="A52233" s="118"/>
      <c r="B52233" s="136"/>
    </row>
    <row r="52234" spans="1:2" x14ac:dyDescent="0.25">
      <c r="A52234" s="118"/>
      <c r="B52234" s="136"/>
    </row>
    <row r="52235" spans="1:2" x14ac:dyDescent="0.25">
      <c r="A52235" s="118"/>
      <c r="B52235" s="136"/>
    </row>
    <row r="52236" spans="1:2" x14ac:dyDescent="0.25">
      <c r="A52236" s="118"/>
      <c r="B52236" s="136"/>
    </row>
    <row r="52237" spans="1:2" x14ac:dyDescent="0.25">
      <c r="A52237" s="118"/>
      <c r="B52237" s="136"/>
    </row>
    <row r="52238" spans="1:2" x14ac:dyDescent="0.25">
      <c r="A52238" s="118"/>
      <c r="B52238" s="136"/>
    </row>
    <row r="52239" spans="1:2" x14ac:dyDescent="0.25">
      <c r="A52239" s="118"/>
      <c r="B52239" s="136"/>
    </row>
    <row r="52240" spans="1:2" x14ac:dyDescent="0.25">
      <c r="A52240" s="118"/>
      <c r="B52240" s="136"/>
    </row>
    <row r="52241" spans="1:2" x14ac:dyDescent="0.25">
      <c r="A52241" s="118"/>
      <c r="B52241" s="136"/>
    </row>
    <row r="52242" spans="1:2" x14ac:dyDescent="0.25">
      <c r="A52242" s="118"/>
      <c r="B52242" s="136"/>
    </row>
    <row r="52243" spans="1:2" x14ac:dyDescent="0.25">
      <c r="A52243" s="118"/>
      <c r="B52243" s="136"/>
    </row>
    <row r="52244" spans="1:2" x14ac:dyDescent="0.25">
      <c r="A52244" s="118"/>
      <c r="B52244" s="136"/>
    </row>
    <row r="52245" spans="1:2" x14ac:dyDescent="0.25">
      <c r="A52245" s="118"/>
      <c r="B52245" s="136"/>
    </row>
    <row r="52246" spans="1:2" x14ac:dyDescent="0.25">
      <c r="A52246" s="118"/>
      <c r="B52246" s="136"/>
    </row>
    <row r="52247" spans="1:2" x14ac:dyDescent="0.25">
      <c r="A52247" s="118"/>
      <c r="B52247" s="136"/>
    </row>
    <row r="52248" spans="1:2" x14ac:dyDescent="0.25">
      <c r="A52248" s="118"/>
      <c r="B52248" s="136"/>
    </row>
    <row r="52249" spans="1:2" x14ac:dyDescent="0.25">
      <c r="A52249" s="118"/>
      <c r="B52249" s="136"/>
    </row>
    <row r="52250" spans="1:2" x14ac:dyDescent="0.25">
      <c r="A52250" s="118"/>
      <c r="B52250" s="136"/>
    </row>
    <row r="52251" spans="1:2" x14ac:dyDescent="0.25">
      <c r="A52251" s="118"/>
      <c r="B52251" s="136"/>
    </row>
    <row r="52252" spans="1:2" x14ac:dyDescent="0.25">
      <c r="A52252" s="118"/>
      <c r="B52252" s="136"/>
    </row>
    <row r="52253" spans="1:2" x14ac:dyDescent="0.25">
      <c r="A52253" s="118"/>
      <c r="B52253" s="136"/>
    </row>
    <row r="52254" spans="1:2" x14ac:dyDescent="0.25">
      <c r="A52254" s="118"/>
      <c r="B52254" s="136"/>
    </row>
    <row r="52255" spans="1:2" x14ac:dyDescent="0.25">
      <c r="A52255" s="118"/>
      <c r="B52255" s="136"/>
    </row>
    <row r="52256" spans="1:2" x14ac:dyDescent="0.25">
      <c r="A52256" s="118"/>
      <c r="B52256" s="136"/>
    </row>
    <row r="52257" spans="1:2" x14ac:dyDescent="0.25">
      <c r="A52257" s="118"/>
      <c r="B52257" s="136"/>
    </row>
    <row r="52258" spans="1:2" x14ac:dyDescent="0.25">
      <c r="A52258" s="118"/>
      <c r="B52258" s="136"/>
    </row>
    <row r="52259" spans="1:2" x14ac:dyDescent="0.25">
      <c r="A52259" s="118"/>
      <c r="B52259" s="136"/>
    </row>
    <row r="52260" spans="1:2" x14ac:dyDescent="0.25">
      <c r="A52260" s="118"/>
      <c r="B52260" s="136"/>
    </row>
    <row r="52261" spans="1:2" x14ac:dyDescent="0.25">
      <c r="A52261" s="118"/>
      <c r="B52261" s="136"/>
    </row>
    <row r="52262" spans="1:2" x14ac:dyDescent="0.25">
      <c r="A52262" s="118"/>
      <c r="B52262" s="136"/>
    </row>
    <row r="52263" spans="1:2" x14ac:dyDescent="0.25">
      <c r="A52263" s="118"/>
      <c r="B52263" s="136"/>
    </row>
    <row r="52264" spans="1:2" x14ac:dyDescent="0.25">
      <c r="A52264" s="118"/>
      <c r="B52264" s="136"/>
    </row>
    <row r="52265" spans="1:2" x14ac:dyDescent="0.25">
      <c r="A52265" s="118"/>
      <c r="B52265" s="136"/>
    </row>
    <row r="52266" spans="1:2" x14ac:dyDescent="0.25">
      <c r="A52266" s="118"/>
      <c r="B52266" s="136"/>
    </row>
    <row r="52267" spans="1:2" x14ac:dyDescent="0.25">
      <c r="A52267" s="118"/>
      <c r="B52267" s="136"/>
    </row>
    <row r="52268" spans="1:2" x14ac:dyDescent="0.25">
      <c r="A52268" s="118"/>
      <c r="B52268" s="136"/>
    </row>
    <row r="52269" spans="1:2" x14ac:dyDescent="0.25">
      <c r="A52269" s="118"/>
      <c r="B52269" s="136"/>
    </row>
    <row r="52270" spans="1:2" x14ac:dyDescent="0.25">
      <c r="A52270" s="118"/>
      <c r="B52270" s="136"/>
    </row>
    <row r="52271" spans="1:2" x14ac:dyDescent="0.25">
      <c r="A52271" s="118"/>
      <c r="B52271" s="136"/>
    </row>
    <row r="52272" spans="1:2" x14ac:dyDescent="0.25">
      <c r="A52272" s="118"/>
      <c r="B52272" s="136"/>
    </row>
    <row r="52273" spans="1:2" x14ac:dyDescent="0.25">
      <c r="A52273" s="118"/>
      <c r="B52273" s="136"/>
    </row>
    <row r="52274" spans="1:2" x14ac:dyDescent="0.25">
      <c r="A52274" s="118"/>
      <c r="B52274" s="136"/>
    </row>
    <row r="52275" spans="1:2" x14ac:dyDescent="0.25">
      <c r="A52275" s="118"/>
      <c r="B52275" s="136"/>
    </row>
    <row r="52276" spans="1:2" x14ac:dyDescent="0.25">
      <c r="A52276" s="118"/>
      <c r="B52276" s="136"/>
    </row>
    <row r="52277" spans="1:2" x14ac:dyDescent="0.25">
      <c r="A52277" s="118"/>
      <c r="B52277" s="136"/>
    </row>
    <row r="52278" spans="1:2" x14ac:dyDescent="0.25">
      <c r="A52278" s="118"/>
      <c r="B52278" s="136"/>
    </row>
    <row r="52279" spans="1:2" x14ac:dyDescent="0.25">
      <c r="A52279" s="118"/>
      <c r="B52279" s="136"/>
    </row>
    <row r="52280" spans="1:2" x14ac:dyDescent="0.25">
      <c r="A52280" s="118"/>
      <c r="B52280" s="136"/>
    </row>
    <row r="52281" spans="1:2" x14ac:dyDescent="0.25">
      <c r="A52281" s="118"/>
      <c r="B52281" s="136"/>
    </row>
    <row r="52282" spans="1:2" x14ac:dyDescent="0.25">
      <c r="A52282" s="118"/>
      <c r="B52282" s="136"/>
    </row>
    <row r="52283" spans="1:2" x14ac:dyDescent="0.25">
      <c r="A52283" s="118"/>
      <c r="B52283" s="136"/>
    </row>
    <row r="52284" spans="1:2" x14ac:dyDescent="0.25">
      <c r="A52284" s="118"/>
      <c r="B52284" s="136"/>
    </row>
    <row r="52285" spans="1:2" x14ac:dyDescent="0.25">
      <c r="A52285" s="118"/>
      <c r="B52285" s="136"/>
    </row>
    <row r="52286" spans="1:2" x14ac:dyDescent="0.25">
      <c r="A52286" s="118"/>
      <c r="B52286" s="136"/>
    </row>
    <row r="52287" spans="1:2" x14ac:dyDescent="0.25">
      <c r="A52287" s="118"/>
      <c r="B52287" s="136"/>
    </row>
    <row r="52288" spans="1:2" x14ac:dyDescent="0.25">
      <c r="A52288" s="118"/>
      <c r="B52288" s="136"/>
    </row>
    <row r="52289" spans="1:2" x14ac:dyDescent="0.25">
      <c r="A52289" s="118"/>
      <c r="B52289" s="136"/>
    </row>
    <row r="52290" spans="1:2" x14ac:dyDescent="0.25">
      <c r="A52290" s="118"/>
      <c r="B52290" s="136"/>
    </row>
    <row r="52291" spans="1:2" x14ac:dyDescent="0.25">
      <c r="A52291" s="118"/>
      <c r="B52291" s="136"/>
    </row>
    <row r="52292" spans="1:2" x14ac:dyDescent="0.25">
      <c r="A52292" s="118"/>
      <c r="B52292" s="136"/>
    </row>
    <row r="52293" spans="1:2" x14ac:dyDescent="0.25">
      <c r="A52293" s="118"/>
      <c r="B52293" s="136"/>
    </row>
    <row r="52294" spans="1:2" x14ac:dyDescent="0.25">
      <c r="A52294" s="118"/>
      <c r="B52294" s="136"/>
    </row>
    <row r="52295" spans="1:2" x14ac:dyDescent="0.25">
      <c r="A52295" s="118"/>
      <c r="B52295" s="136"/>
    </row>
    <row r="52296" spans="1:2" x14ac:dyDescent="0.25">
      <c r="A52296" s="118"/>
      <c r="B52296" s="136"/>
    </row>
    <row r="52297" spans="1:2" x14ac:dyDescent="0.25">
      <c r="A52297" s="118"/>
      <c r="B52297" s="136"/>
    </row>
    <row r="52298" spans="1:2" x14ac:dyDescent="0.25">
      <c r="A52298" s="118"/>
      <c r="B52298" s="136"/>
    </row>
    <row r="52299" spans="1:2" x14ac:dyDescent="0.25">
      <c r="A52299" s="118"/>
      <c r="B52299" s="136"/>
    </row>
    <row r="52300" spans="1:2" x14ac:dyDescent="0.25">
      <c r="A52300" s="118"/>
      <c r="B52300" s="136"/>
    </row>
    <row r="52301" spans="1:2" x14ac:dyDescent="0.25">
      <c r="A52301" s="118"/>
      <c r="B52301" s="136"/>
    </row>
    <row r="52302" spans="1:2" x14ac:dyDescent="0.25">
      <c r="A52302" s="118"/>
      <c r="B52302" s="136"/>
    </row>
    <row r="52303" spans="1:2" x14ac:dyDescent="0.25">
      <c r="A52303" s="118"/>
      <c r="B52303" s="136"/>
    </row>
    <row r="52304" spans="1:2" x14ac:dyDescent="0.25">
      <c r="A52304" s="118"/>
      <c r="B52304" s="136"/>
    </row>
    <row r="52305" spans="1:2" x14ac:dyDescent="0.25">
      <c r="A52305" s="118"/>
      <c r="B52305" s="136"/>
    </row>
    <row r="52306" spans="1:2" x14ac:dyDescent="0.25">
      <c r="A52306" s="118"/>
      <c r="B52306" s="136"/>
    </row>
    <row r="52307" spans="1:2" x14ac:dyDescent="0.25">
      <c r="A52307" s="118"/>
      <c r="B52307" s="136"/>
    </row>
    <row r="52308" spans="1:2" x14ac:dyDescent="0.25">
      <c r="A52308" s="118"/>
      <c r="B52308" s="136"/>
    </row>
    <row r="52309" spans="1:2" x14ac:dyDescent="0.25">
      <c r="A52309" s="118"/>
      <c r="B52309" s="136"/>
    </row>
    <row r="52310" spans="1:2" x14ac:dyDescent="0.25">
      <c r="A52310" s="118"/>
      <c r="B52310" s="136"/>
    </row>
    <row r="52311" spans="1:2" x14ac:dyDescent="0.25">
      <c r="A52311" s="118"/>
      <c r="B52311" s="136"/>
    </row>
    <row r="52312" spans="1:2" x14ac:dyDescent="0.25">
      <c r="A52312" s="118"/>
      <c r="B52312" s="136"/>
    </row>
    <row r="52313" spans="1:2" x14ac:dyDescent="0.25">
      <c r="A52313" s="118"/>
      <c r="B52313" s="136"/>
    </row>
    <row r="52314" spans="1:2" x14ac:dyDescent="0.25">
      <c r="A52314" s="118"/>
      <c r="B52314" s="136"/>
    </row>
    <row r="52315" spans="1:2" x14ac:dyDescent="0.25">
      <c r="A52315" s="118"/>
      <c r="B52315" s="136"/>
    </row>
    <row r="52316" spans="1:2" x14ac:dyDescent="0.25">
      <c r="A52316" s="118"/>
      <c r="B52316" s="136"/>
    </row>
    <row r="52317" spans="1:2" x14ac:dyDescent="0.25">
      <c r="A52317" s="118"/>
      <c r="B52317" s="136"/>
    </row>
    <row r="52318" spans="1:2" x14ac:dyDescent="0.25">
      <c r="A52318" s="118"/>
      <c r="B52318" s="136"/>
    </row>
    <row r="52319" spans="1:2" x14ac:dyDescent="0.25">
      <c r="A52319" s="118"/>
      <c r="B52319" s="136"/>
    </row>
    <row r="52320" spans="1:2" x14ac:dyDescent="0.25">
      <c r="A52320" s="118"/>
      <c r="B52320" s="136"/>
    </row>
    <row r="52321" spans="1:2" x14ac:dyDescent="0.25">
      <c r="A52321" s="118"/>
      <c r="B52321" s="136"/>
    </row>
    <row r="52322" spans="1:2" x14ac:dyDescent="0.25">
      <c r="A52322" s="118"/>
      <c r="B52322" s="136"/>
    </row>
    <row r="52323" spans="1:2" x14ac:dyDescent="0.25">
      <c r="A52323" s="118"/>
      <c r="B52323" s="136"/>
    </row>
    <row r="52324" spans="1:2" x14ac:dyDescent="0.25">
      <c r="A52324" s="118"/>
      <c r="B52324" s="136"/>
    </row>
    <row r="52325" spans="1:2" x14ac:dyDescent="0.25">
      <c r="A52325" s="118"/>
      <c r="B52325" s="136"/>
    </row>
    <row r="52326" spans="1:2" x14ac:dyDescent="0.25">
      <c r="A52326" s="118"/>
      <c r="B52326" s="136"/>
    </row>
    <row r="52327" spans="1:2" x14ac:dyDescent="0.25">
      <c r="A52327" s="118"/>
      <c r="B52327" s="136"/>
    </row>
    <row r="52328" spans="1:2" x14ac:dyDescent="0.25">
      <c r="A52328" s="118"/>
      <c r="B52328" s="136"/>
    </row>
    <row r="52329" spans="1:2" x14ac:dyDescent="0.25">
      <c r="A52329" s="118"/>
      <c r="B52329" s="136"/>
    </row>
    <row r="52330" spans="1:2" x14ac:dyDescent="0.25">
      <c r="A52330" s="118"/>
      <c r="B52330" s="136"/>
    </row>
    <row r="52331" spans="1:2" x14ac:dyDescent="0.25">
      <c r="A52331" s="118"/>
      <c r="B52331" s="136"/>
    </row>
    <row r="52332" spans="1:2" x14ac:dyDescent="0.25">
      <c r="A52332" s="118"/>
      <c r="B52332" s="136"/>
    </row>
    <row r="52333" spans="1:2" x14ac:dyDescent="0.25">
      <c r="A52333" s="118"/>
      <c r="B52333" s="136"/>
    </row>
    <row r="52334" spans="1:2" x14ac:dyDescent="0.25">
      <c r="A52334" s="118"/>
      <c r="B52334" s="136"/>
    </row>
    <row r="52335" spans="1:2" x14ac:dyDescent="0.25">
      <c r="A52335" s="118"/>
      <c r="B52335" s="136"/>
    </row>
    <row r="52336" spans="1:2" x14ac:dyDescent="0.25">
      <c r="A52336" s="118"/>
      <c r="B52336" s="136"/>
    </row>
    <row r="52337" spans="1:2" x14ac:dyDescent="0.25">
      <c r="A52337" s="118"/>
      <c r="B52337" s="136"/>
    </row>
    <row r="52338" spans="1:2" x14ac:dyDescent="0.25">
      <c r="A52338" s="118"/>
      <c r="B52338" s="136"/>
    </row>
    <row r="52339" spans="1:2" x14ac:dyDescent="0.25">
      <c r="A52339" s="118"/>
      <c r="B52339" s="136"/>
    </row>
    <row r="52340" spans="1:2" x14ac:dyDescent="0.25">
      <c r="A52340" s="118"/>
      <c r="B52340" s="136"/>
    </row>
    <row r="52341" spans="1:2" x14ac:dyDescent="0.25">
      <c r="A52341" s="118"/>
      <c r="B52341" s="136"/>
    </row>
    <row r="52342" spans="1:2" x14ac:dyDescent="0.25">
      <c r="A52342" s="118"/>
      <c r="B52342" s="136"/>
    </row>
    <row r="52343" spans="1:2" x14ac:dyDescent="0.25">
      <c r="A52343" s="118"/>
      <c r="B52343" s="136"/>
    </row>
    <row r="52344" spans="1:2" x14ac:dyDescent="0.25">
      <c r="A52344" s="118"/>
      <c r="B52344" s="136"/>
    </row>
    <row r="52345" spans="1:2" x14ac:dyDescent="0.25">
      <c r="A52345" s="118"/>
      <c r="B52345" s="136"/>
    </row>
    <row r="52346" spans="1:2" x14ac:dyDescent="0.25">
      <c r="A52346" s="118"/>
      <c r="B52346" s="136"/>
    </row>
    <row r="52347" spans="1:2" x14ac:dyDescent="0.25">
      <c r="A52347" s="118"/>
      <c r="B52347" s="136"/>
    </row>
    <row r="52348" spans="1:2" x14ac:dyDescent="0.25">
      <c r="A52348" s="118"/>
      <c r="B52348" s="136"/>
    </row>
    <row r="52349" spans="1:2" x14ac:dyDescent="0.25">
      <c r="A52349" s="118"/>
      <c r="B52349" s="136"/>
    </row>
    <row r="52350" spans="1:2" x14ac:dyDescent="0.25">
      <c r="A52350" s="118"/>
      <c r="B52350" s="136"/>
    </row>
    <row r="52351" spans="1:2" x14ac:dyDescent="0.25">
      <c r="A52351" s="118"/>
      <c r="B52351" s="136"/>
    </row>
    <row r="52352" spans="1:2" x14ac:dyDescent="0.25">
      <c r="A52352" s="118"/>
      <c r="B52352" s="136"/>
    </row>
    <row r="52353" spans="1:2" x14ac:dyDescent="0.25">
      <c r="A52353" s="118"/>
      <c r="B52353" s="136"/>
    </row>
    <row r="52354" spans="1:2" x14ac:dyDescent="0.25">
      <c r="A52354" s="118"/>
      <c r="B52354" s="136"/>
    </row>
    <row r="52355" spans="1:2" x14ac:dyDescent="0.25">
      <c r="A52355" s="118"/>
      <c r="B52355" s="136"/>
    </row>
    <row r="52356" spans="1:2" x14ac:dyDescent="0.25">
      <c r="A52356" s="118"/>
      <c r="B52356" s="136"/>
    </row>
    <row r="52357" spans="1:2" x14ac:dyDescent="0.25">
      <c r="A52357" s="118"/>
      <c r="B52357" s="136"/>
    </row>
    <row r="52358" spans="1:2" x14ac:dyDescent="0.25">
      <c r="A52358" s="118"/>
      <c r="B52358" s="136"/>
    </row>
    <row r="52359" spans="1:2" x14ac:dyDescent="0.25">
      <c r="A52359" s="118"/>
      <c r="B52359" s="136"/>
    </row>
    <row r="52360" spans="1:2" x14ac:dyDescent="0.25">
      <c r="A52360" s="118"/>
      <c r="B52360" s="136"/>
    </row>
    <row r="52361" spans="1:2" x14ac:dyDescent="0.25">
      <c r="A52361" s="118"/>
      <c r="B52361" s="136"/>
    </row>
    <row r="52362" spans="1:2" x14ac:dyDescent="0.25">
      <c r="A52362" s="118"/>
      <c r="B52362" s="136"/>
    </row>
    <row r="52363" spans="1:2" x14ac:dyDescent="0.25">
      <c r="A52363" s="118"/>
      <c r="B52363" s="136"/>
    </row>
    <row r="52364" spans="1:2" x14ac:dyDescent="0.25">
      <c r="A52364" s="118"/>
      <c r="B52364" s="136"/>
    </row>
    <row r="52365" spans="1:2" x14ac:dyDescent="0.25">
      <c r="A52365" s="118"/>
      <c r="B52365" s="136"/>
    </row>
    <row r="52366" spans="1:2" x14ac:dyDescent="0.25">
      <c r="A52366" s="118"/>
      <c r="B52366" s="136"/>
    </row>
    <row r="52367" spans="1:2" x14ac:dyDescent="0.25">
      <c r="A52367" s="118"/>
      <c r="B52367" s="136"/>
    </row>
    <row r="52368" spans="1:2" x14ac:dyDescent="0.25">
      <c r="A52368" s="118"/>
      <c r="B52368" s="136"/>
    </row>
    <row r="52369" spans="1:2" x14ac:dyDescent="0.25">
      <c r="A52369" s="118"/>
      <c r="B52369" s="136"/>
    </row>
    <row r="52370" spans="1:2" x14ac:dyDescent="0.25">
      <c r="A52370" s="118"/>
      <c r="B52370" s="136"/>
    </row>
    <row r="52371" spans="1:2" x14ac:dyDescent="0.25">
      <c r="A52371" s="118"/>
      <c r="B52371" s="136"/>
    </row>
    <row r="52372" spans="1:2" x14ac:dyDescent="0.25">
      <c r="A52372" s="118"/>
      <c r="B52372" s="136"/>
    </row>
    <row r="52373" spans="1:2" x14ac:dyDescent="0.25">
      <c r="A52373" s="118"/>
      <c r="B52373" s="136"/>
    </row>
    <row r="52374" spans="1:2" x14ac:dyDescent="0.25">
      <c r="A52374" s="118"/>
      <c r="B52374" s="136"/>
    </row>
    <row r="52375" spans="1:2" x14ac:dyDescent="0.25">
      <c r="A52375" s="118"/>
      <c r="B52375" s="136"/>
    </row>
    <row r="52376" spans="1:2" x14ac:dyDescent="0.25">
      <c r="A52376" s="118"/>
      <c r="B52376" s="136"/>
    </row>
    <row r="52377" spans="1:2" x14ac:dyDescent="0.25">
      <c r="A52377" s="118"/>
      <c r="B52377" s="136"/>
    </row>
    <row r="52378" spans="1:2" x14ac:dyDescent="0.25">
      <c r="A52378" s="118"/>
      <c r="B52378" s="136"/>
    </row>
    <row r="52379" spans="1:2" x14ac:dyDescent="0.25">
      <c r="A52379" s="118"/>
      <c r="B52379" s="136"/>
    </row>
    <row r="52380" spans="1:2" x14ac:dyDescent="0.25">
      <c r="A52380" s="118"/>
      <c r="B52380" s="136"/>
    </row>
    <row r="52381" spans="1:2" x14ac:dyDescent="0.25">
      <c r="A52381" s="118"/>
      <c r="B52381" s="136"/>
    </row>
    <row r="52382" spans="1:2" x14ac:dyDescent="0.25">
      <c r="A52382" s="118"/>
      <c r="B52382" s="136"/>
    </row>
    <row r="52383" spans="1:2" x14ac:dyDescent="0.25">
      <c r="A52383" s="118"/>
      <c r="B52383" s="136"/>
    </row>
    <row r="52384" spans="1:2" x14ac:dyDescent="0.25">
      <c r="A52384" s="118"/>
      <c r="B52384" s="136"/>
    </row>
    <row r="52385" spans="1:2" x14ac:dyDescent="0.25">
      <c r="A52385" s="118"/>
      <c r="B52385" s="136"/>
    </row>
    <row r="52386" spans="1:2" x14ac:dyDescent="0.25">
      <c r="A52386" s="118"/>
      <c r="B52386" s="136"/>
    </row>
    <row r="52387" spans="1:2" x14ac:dyDescent="0.25">
      <c r="A52387" s="118"/>
      <c r="B52387" s="136"/>
    </row>
    <row r="52388" spans="1:2" x14ac:dyDescent="0.25">
      <c r="A52388" s="118"/>
      <c r="B52388" s="136"/>
    </row>
    <row r="52389" spans="1:2" x14ac:dyDescent="0.25">
      <c r="A52389" s="118"/>
      <c r="B52389" s="136"/>
    </row>
    <row r="52390" spans="1:2" x14ac:dyDescent="0.25">
      <c r="A52390" s="118"/>
      <c r="B52390" s="136"/>
    </row>
    <row r="52391" spans="1:2" x14ac:dyDescent="0.25">
      <c r="A52391" s="118"/>
      <c r="B52391" s="136"/>
    </row>
    <row r="52392" spans="1:2" x14ac:dyDescent="0.25">
      <c r="A52392" s="118"/>
      <c r="B52392" s="136"/>
    </row>
    <row r="52393" spans="1:2" x14ac:dyDescent="0.25">
      <c r="A52393" s="118"/>
      <c r="B52393" s="136"/>
    </row>
    <row r="52394" spans="1:2" x14ac:dyDescent="0.25">
      <c r="A52394" s="118"/>
      <c r="B52394" s="136"/>
    </row>
    <row r="52395" spans="1:2" x14ac:dyDescent="0.25">
      <c r="A52395" s="118"/>
      <c r="B52395" s="136"/>
    </row>
    <row r="52396" spans="1:2" x14ac:dyDescent="0.25">
      <c r="A52396" s="118"/>
      <c r="B52396" s="136"/>
    </row>
    <row r="52397" spans="1:2" x14ac:dyDescent="0.25">
      <c r="A52397" s="118"/>
      <c r="B52397" s="136"/>
    </row>
    <row r="52398" spans="1:2" x14ac:dyDescent="0.25">
      <c r="A52398" s="118"/>
      <c r="B52398" s="136"/>
    </row>
    <row r="52399" spans="1:2" x14ac:dyDescent="0.25">
      <c r="A52399" s="118"/>
      <c r="B52399" s="136"/>
    </row>
    <row r="52400" spans="1:2" x14ac:dyDescent="0.25">
      <c r="A52400" s="118"/>
      <c r="B52400" s="136"/>
    </row>
    <row r="52401" spans="1:2" x14ac:dyDescent="0.25">
      <c r="A52401" s="118"/>
      <c r="B52401" s="136"/>
    </row>
    <row r="52402" spans="1:2" x14ac:dyDescent="0.25">
      <c r="A52402" s="118"/>
      <c r="B52402" s="136"/>
    </row>
    <row r="52403" spans="1:2" x14ac:dyDescent="0.25">
      <c r="A52403" s="118"/>
      <c r="B52403" s="136"/>
    </row>
    <row r="52404" spans="1:2" x14ac:dyDescent="0.25">
      <c r="A52404" s="118"/>
      <c r="B52404" s="136"/>
    </row>
    <row r="52405" spans="1:2" x14ac:dyDescent="0.25">
      <c r="A52405" s="118"/>
      <c r="B52405" s="136"/>
    </row>
    <row r="52406" spans="1:2" x14ac:dyDescent="0.25">
      <c r="A52406" s="118"/>
      <c r="B52406" s="136"/>
    </row>
    <row r="52407" spans="1:2" x14ac:dyDescent="0.25">
      <c r="A52407" s="118"/>
      <c r="B52407" s="136"/>
    </row>
    <row r="52408" spans="1:2" x14ac:dyDescent="0.25">
      <c r="A52408" s="118"/>
      <c r="B52408" s="136"/>
    </row>
    <row r="52409" spans="1:2" x14ac:dyDescent="0.25">
      <c r="A52409" s="118"/>
      <c r="B52409" s="136"/>
    </row>
    <row r="52410" spans="1:2" x14ac:dyDescent="0.25">
      <c r="A52410" s="118"/>
      <c r="B52410" s="136"/>
    </row>
    <row r="52411" spans="1:2" x14ac:dyDescent="0.25">
      <c r="A52411" s="118"/>
      <c r="B52411" s="136"/>
    </row>
    <row r="52412" spans="1:2" x14ac:dyDescent="0.25">
      <c r="A52412" s="118"/>
      <c r="B52412" s="136"/>
    </row>
    <row r="52413" spans="1:2" x14ac:dyDescent="0.25">
      <c r="A52413" s="118"/>
      <c r="B52413" s="136"/>
    </row>
    <row r="52414" spans="1:2" x14ac:dyDescent="0.25">
      <c r="A52414" s="118"/>
      <c r="B52414" s="136"/>
    </row>
    <row r="52415" spans="1:2" x14ac:dyDescent="0.25">
      <c r="A52415" s="118"/>
      <c r="B52415" s="136"/>
    </row>
    <row r="52416" spans="1:2" x14ac:dyDescent="0.25">
      <c r="A52416" s="118"/>
      <c r="B52416" s="136"/>
    </row>
    <row r="52417" spans="1:2" x14ac:dyDescent="0.25">
      <c r="A52417" s="118"/>
      <c r="B52417" s="136"/>
    </row>
    <row r="52418" spans="1:2" x14ac:dyDescent="0.25">
      <c r="A52418" s="118"/>
      <c r="B52418" s="136"/>
    </row>
    <row r="52419" spans="1:2" x14ac:dyDescent="0.25">
      <c r="A52419" s="118"/>
      <c r="B52419" s="136"/>
    </row>
    <row r="52420" spans="1:2" x14ac:dyDescent="0.25">
      <c r="A52420" s="118"/>
      <c r="B52420" s="136"/>
    </row>
    <row r="52421" spans="1:2" x14ac:dyDescent="0.25">
      <c r="A52421" s="118"/>
      <c r="B52421" s="136"/>
    </row>
    <row r="52422" spans="1:2" x14ac:dyDescent="0.25">
      <c r="A52422" s="118"/>
      <c r="B52422" s="136"/>
    </row>
    <row r="52423" spans="1:2" x14ac:dyDescent="0.25">
      <c r="A52423" s="118"/>
      <c r="B52423" s="136"/>
    </row>
    <row r="52424" spans="1:2" x14ac:dyDescent="0.25">
      <c r="A52424" s="118"/>
      <c r="B52424" s="136"/>
    </row>
    <row r="52425" spans="1:2" x14ac:dyDescent="0.25">
      <c r="A52425" s="118"/>
      <c r="B52425" s="136"/>
    </row>
    <row r="52426" spans="1:2" x14ac:dyDescent="0.25">
      <c r="A52426" s="118"/>
      <c r="B52426" s="136"/>
    </row>
    <row r="52427" spans="1:2" x14ac:dyDescent="0.25">
      <c r="A52427" s="118"/>
      <c r="B52427" s="136"/>
    </row>
    <row r="52428" spans="1:2" x14ac:dyDescent="0.25">
      <c r="A52428" s="118"/>
      <c r="B52428" s="136"/>
    </row>
    <row r="52429" spans="1:2" x14ac:dyDescent="0.25">
      <c r="A52429" s="118"/>
      <c r="B52429" s="136"/>
    </row>
    <row r="52430" spans="1:2" x14ac:dyDescent="0.25">
      <c r="A52430" s="118"/>
      <c r="B52430" s="136"/>
    </row>
    <row r="52431" spans="1:2" x14ac:dyDescent="0.25">
      <c r="A52431" s="118"/>
      <c r="B52431" s="136"/>
    </row>
    <row r="52432" spans="1:2" x14ac:dyDescent="0.25">
      <c r="A52432" s="118"/>
      <c r="B52432" s="136"/>
    </row>
    <row r="52433" spans="1:2" x14ac:dyDescent="0.25">
      <c r="A52433" s="118"/>
      <c r="B52433" s="136"/>
    </row>
    <row r="52434" spans="1:2" x14ac:dyDescent="0.25">
      <c r="A52434" s="118"/>
      <c r="B52434" s="136"/>
    </row>
    <row r="52435" spans="1:2" x14ac:dyDescent="0.25">
      <c r="A52435" s="118"/>
      <c r="B52435" s="136"/>
    </row>
    <row r="52436" spans="1:2" x14ac:dyDescent="0.25">
      <c r="A52436" s="118"/>
      <c r="B52436" s="136"/>
    </row>
    <row r="52437" spans="1:2" x14ac:dyDescent="0.25">
      <c r="A52437" s="118"/>
      <c r="B52437" s="136"/>
    </row>
    <row r="52438" spans="1:2" x14ac:dyDescent="0.25">
      <c r="A52438" s="118"/>
      <c r="B52438" s="136"/>
    </row>
    <row r="52439" spans="1:2" x14ac:dyDescent="0.25">
      <c r="A52439" s="118"/>
      <c r="B52439" s="136"/>
    </row>
    <row r="52440" spans="1:2" x14ac:dyDescent="0.25">
      <c r="A52440" s="118"/>
      <c r="B52440" s="136"/>
    </row>
    <row r="52441" spans="1:2" x14ac:dyDescent="0.25">
      <c r="A52441" s="118"/>
      <c r="B52441" s="136"/>
    </row>
    <row r="52442" spans="1:2" x14ac:dyDescent="0.25">
      <c r="A52442" s="118"/>
      <c r="B52442" s="136"/>
    </row>
    <row r="52443" spans="1:2" x14ac:dyDescent="0.25">
      <c r="A52443" s="118"/>
      <c r="B52443" s="136"/>
    </row>
    <row r="52444" spans="1:2" x14ac:dyDescent="0.25">
      <c r="A52444" s="118"/>
      <c r="B52444" s="136"/>
    </row>
    <row r="52445" spans="1:2" x14ac:dyDescent="0.25">
      <c r="A52445" s="118"/>
      <c r="B52445" s="136"/>
    </row>
    <row r="52446" spans="1:2" x14ac:dyDescent="0.25">
      <c r="A52446" s="118"/>
      <c r="B52446" s="136"/>
    </row>
    <row r="52447" spans="1:2" x14ac:dyDescent="0.25">
      <c r="A52447" s="118"/>
      <c r="B52447" s="136"/>
    </row>
    <row r="52448" spans="1:2" x14ac:dyDescent="0.25">
      <c r="A52448" s="118"/>
      <c r="B52448" s="136"/>
    </row>
    <row r="52449" spans="1:2" x14ac:dyDescent="0.25">
      <c r="A52449" s="118"/>
      <c r="B52449" s="136"/>
    </row>
    <row r="52450" spans="1:2" x14ac:dyDescent="0.25">
      <c r="A52450" s="118"/>
      <c r="B52450" s="136"/>
    </row>
    <row r="52451" spans="1:2" x14ac:dyDescent="0.25">
      <c r="A52451" s="118"/>
      <c r="B52451" s="136"/>
    </row>
    <row r="52452" spans="1:2" x14ac:dyDescent="0.25">
      <c r="A52452" s="118"/>
      <c r="B52452" s="136"/>
    </row>
    <row r="52453" spans="1:2" x14ac:dyDescent="0.25">
      <c r="A52453" s="118"/>
      <c r="B52453" s="136"/>
    </row>
    <row r="52454" spans="1:2" x14ac:dyDescent="0.25">
      <c r="A52454" s="118"/>
      <c r="B52454" s="136"/>
    </row>
    <row r="52455" spans="1:2" x14ac:dyDescent="0.25">
      <c r="A52455" s="118"/>
      <c r="B52455" s="136"/>
    </row>
    <row r="52456" spans="1:2" x14ac:dyDescent="0.25">
      <c r="A52456" s="118"/>
      <c r="B52456" s="136"/>
    </row>
    <row r="52457" spans="1:2" x14ac:dyDescent="0.25">
      <c r="A52457" s="118"/>
      <c r="B52457" s="136"/>
    </row>
    <row r="52458" spans="1:2" x14ac:dyDescent="0.25">
      <c r="A52458" s="118"/>
      <c r="B52458" s="136"/>
    </row>
    <row r="52459" spans="1:2" x14ac:dyDescent="0.25">
      <c r="A52459" s="118"/>
      <c r="B52459" s="136"/>
    </row>
    <row r="52460" spans="1:2" x14ac:dyDescent="0.25">
      <c r="A52460" s="118"/>
      <c r="B52460" s="136"/>
    </row>
    <row r="52461" spans="1:2" x14ac:dyDescent="0.25">
      <c r="A52461" s="118"/>
      <c r="B52461" s="136"/>
    </row>
    <row r="52462" spans="1:2" x14ac:dyDescent="0.25">
      <c r="A52462" s="118"/>
      <c r="B52462" s="136"/>
    </row>
    <row r="52463" spans="1:2" x14ac:dyDescent="0.25">
      <c r="A52463" s="118"/>
      <c r="B52463" s="136"/>
    </row>
    <row r="52464" spans="1:2" x14ac:dyDescent="0.25">
      <c r="A52464" s="118"/>
      <c r="B52464" s="136"/>
    </row>
    <row r="52465" spans="1:2" x14ac:dyDescent="0.25">
      <c r="A52465" s="118"/>
      <c r="B52465" s="136"/>
    </row>
    <row r="52466" spans="1:2" x14ac:dyDescent="0.25">
      <c r="A52466" s="118"/>
      <c r="B52466" s="136"/>
    </row>
    <row r="52467" spans="1:2" x14ac:dyDescent="0.25">
      <c r="A52467" s="118"/>
      <c r="B52467" s="136"/>
    </row>
    <row r="52468" spans="1:2" x14ac:dyDescent="0.25">
      <c r="A52468" s="118"/>
      <c r="B52468" s="136"/>
    </row>
    <row r="52469" spans="1:2" x14ac:dyDescent="0.25">
      <c r="A52469" s="118"/>
      <c r="B52469" s="136"/>
    </row>
    <row r="52470" spans="1:2" x14ac:dyDescent="0.25">
      <c r="A52470" s="118"/>
      <c r="B52470" s="136"/>
    </row>
    <row r="52471" spans="1:2" x14ac:dyDescent="0.25">
      <c r="A52471" s="118"/>
      <c r="B52471" s="136"/>
    </row>
    <row r="52472" spans="1:2" x14ac:dyDescent="0.25">
      <c r="A52472" s="118"/>
      <c r="B52472" s="136"/>
    </row>
    <row r="52473" spans="1:2" x14ac:dyDescent="0.25">
      <c r="A52473" s="118"/>
      <c r="B52473" s="136"/>
    </row>
    <row r="52474" spans="1:2" x14ac:dyDescent="0.25">
      <c r="A52474" s="118"/>
      <c r="B52474" s="136"/>
    </row>
    <row r="52475" spans="1:2" x14ac:dyDescent="0.25">
      <c r="A52475" s="118"/>
      <c r="B52475" s="136"/>
    </row>
    <row r="52476" spans="1:2" x14ac:dyDescent="0.25">
      <c r="A52476" s="118"/>
      <c r="B52476" s="136"/>
    </row>
    <row r="52477" spans="1:2" x14ac:dyDescent="0.25">
      <c r="A52477" s="118"/>
      <c r="B52477" s="136"/>
    </row>
    <row r="52478" spans="1:2" x14ac:dyDescent="0.25">
      <c r="A52478" s="118"/>
      <c r="B52478" s="136"/>
    </row>
    <row r="52479" spans="1:2" x14ac:dyDescent="0.25">
      <c r="A52479" s="118"/>
      <c r="B52479" s="136"/>
    </row>
    <row r="52480" spans="1:2" x14ac:dyDescent="0.25">
      <c r="A52480" s="118"/>
      <c r="B52480" s="136"/>
    </row>
    <row r="52481" spans="1:2" x14ac:dyDescent="0.25">
      <c r="A52481" s="118"/>
      <c r="B52481" s="136"/>
    </row>
    <row r="52482" spans="1:2" x14ac:dyDescent="0.25">
      <c r="A52482" s="118"/>
      <c r="B52482" s="136"/>
    </row>
    <row r="52483" spans="1:2" x14ac:dyDescent="0.25">
      <c r="A52483" s="118"/>
      <c r="B52483" s="136"/>
    </row>
    <row r="52484" spans="1:2" x14ac:dyDescent="0.25">
      <c r="A52484" s="118"/>
      <c r="B52484" s="136"/>
    </row>
    <row r="52485" spans="1:2" x14ac:dyDescent="0.25">
      <c r="A52485" s="118"/>
      <c r="B52485" s="136"/>
    </row>
    <row r="52486" spans="1:2" x14ac:dyDescent="0.25">
      <c r="A52486" s="118"/>
      <c r="B52486" s="136"/>
    </row>
    <row r="52487" spans="1:2" x14ac:dyDescent="0.25">
      <c r="A52487" s="118"/>
      <c r="B52487" s="136"/>
    </row>
    <row r="52488" spans="1:2" x14ac:dyDescent="0.25">
      <c r="A52488" s="118"/>
      <c r="B52488" s="136"/>
    </row>
    <row r="52489" spans="1:2" x14ac:dyDescent="0.25">
      <c r="A52489" s="118"/>
      <c r="B52489" s="136"/>
    </row>
    <row r="52490" spans="1:2" x14ac:dyDescent="0.25">
      <c r="A52490" s="118"/>
      <c r="B52490" s="136"/>
    </row>
    <row r="52491" spans="1:2" x14ac:dyDescent="0.25">
      <c r="A52491" s="118"/>
      <c r="B52491" s="136"/>
    </row>
    <row r="52492" spans="1:2" x14ac:dyDescent="0.25">
      <c r="A52492" s="118"/>
      <c r="B52492" s="136"/>
    </row>
    <row r="52493" spans="1:2" x14ac:dyDescent="0.25">
      <c r="A52493" s="118"/>
      <c r="B52493" s="136"/>
    </row>
    <row r="52494" spans="1:2" x14ac:dyDescent="0.25">
      <c r="A52494" s="118"/>
      <c r="B52494" s="136"/>
    </row>
    <row r="52495" spans="1:2" x14ac:dyDescent="0.25">
      <c r="A52495" s="118"/>
      <c r="B52495" s="136"/>
    </row>
    <row r="52496" spans="1:2" x14ac:dyDescent="0.25">
      <c r="A52496" s="118"/>
      <c r="B52496" s="136"/>
    </row>
    <row r="52497" spans="1:2" x14ac:dyDescent="0.25">
      <c r="A52497" s="118"/>
      <c r="B52497" s="136"/>
    </row>
    <row r="52498" spans="1:2" x14ac:dyDescent="0.25">
      <c r="A52498" s="118"/>
      <c r="B52498" s="136"/>
    </row>
    <row r="52499" spans="1:2" x14ac:dyDescent="0.25">
      <c r="A52499" s="118"/>
      <c r="B52499" s="136"/>
    </row>
    <row r="52500" spans="1:2" x14ac:dyDescent="0.25">
      <c r="A52500" s="118"/>
      <c r="B52500" s="136"/>
    </row>
    <row r="52501" spans="1:2" x14ac:dyDescent="0.25">
      <c r="A52501" s="118"/>
      <c r="B52501" s="136"/>
    </row>
    <row r="52502" spans="1:2" x14ac:dyDescent="0.25">
      <c r="A52502" s="118"/>
      <c r="B52502" s="136"/>
    </row>
    <row r="52503" spans="1:2" x14ac:dyDescent="0.25">
      <c r="A52503" s="118"/>
      <c r="B52503" s="136"/>
    </row>
    <row r="52504" spans="1:2" x14ac:dyDescent="0.25">
      <c r="A52504" s="118"/>
      <c r="B52504" s="136"/>
    </row>
    <row r="52505" spans="1:2" x14ac:dyDescent="0.25">
      <c r="A52505" s="118"/>
      <c r="B52505" s="136"/>
    </row>
    <row r="52506" spans="1:2" x14ac:dyDescent="0.25">
      <c r="A52506" s="118"/>
      <c r="B52506" s="136"/>
    </row>
    <row r="52507" spans="1:2" x14ac:dyDescent="0.25">
      <c r="A52507" s="118"/>
      <c r="B52507" s="136"/>
    </row>
    <row r="52508" spans="1:2" x14ac:dyDescent="0.25">
      <c r="A52508" s="118"/>
      <c r="B52508" s="136"/>
    </row>
    <row r="52509" spans="1:2" x14ac:dyDescent="0.25">
      <c r="A52509" s="118"/>
      <c r="B52509" s="136"/>
    </row>
    <row r="52510" spans="1:2" x14ac:dyDescent="0.25">
      <c r="A52510" s="118"/>
      <c r="B52510" s="136"/>
    </row>
    <row r="52511" spans="1:2" x14ac:dyDescent="0.25">
      <c r="A52511" s="118"/>
      <c r="B52511" s="136"/>
    </row>
    <row r="52512" spans="1:2" x14ac:dyDescent="0.25">
      <c r="A52512" s="118"/>
      <c r="B52512" s="136"/>
    </row>
    <row r="52513" spans="1:2" x14ac:dyDescent="0.25">
      <c r="A52513" s="118"/>
      <c r="B52513" s="136"/>
    </row>
    <row r="52514" spans="1:2" x14ac:dyDescent="0.25">
      <c r="A52514" s="118"/>
      <c r="B52514" s="136"/>
    </row>
    <row r="52515" spans="1:2" x14ac:dyDescent="0.25">
      <c r="A52515" s="118"/>
      <c r="B52515" s="136"/>
    </row>
    <row r="52516" spans="1:2" x14ac:dyDescent="0.25">
      <c r="A52516" s="118"/>
      <c r="B52516" s="136"/>
    </row>
    <row r="52517" spans="1:2" x14ac:dyDescent="0.25">
      <c r="A52517" s="118"/>
      <c r="B52517" s="136"/>
    </row>
    <row r="52518" spans="1:2" x14ac:dyDescent="0.25">
      <c r="A52518" s="118"/>
      <c r="B52518" s="136"/>
    </row>
    <row r="52519" spans="1:2" x14ac:dyDescent="0.25">
      <c r="A52519" s="118"/>
      <c r="B52519" s="136"/>
    </row>
    <row r="52520" spans="1:2" x14ac:dyDescent="0.25">
      <c r="A52520" s="118"/>
      <c r="B52520" s="136"/>
    </row>
    <row r="52521" spans="1:2" x14ac:dyDescent="0.25">
      <c r="A52521" s="118"/>
      <c r="B52521" s="136"/>
    </row>
    <row r="52522" spans="1:2" x14ac:dyDescent="0.25">
      <c r="A52522" s="118"/>
      <c r="B52522" s="136"/>
    </row>
    <row r="52523" spans="1:2" x14ac:dyDescent="0.25">
      <c r="A52523" s="118"/>
      <c r="B52523" s="136"/>
    </row>
    <row r="52524" spans="1:2" x14ac:dyDescent="0.25">
      <c r="A52524" s="118"/>
      <c r="B52524" s="136"/>
    </row>
    <row r="52525" spans="1:2" x14ac:dyDescent="0.25">
      <c r="A52525" s="118"/>
      <c r="B52525" s="136"/>
    </row>
    <row r="52526" spans="1:2" x14ac:dyDescent="0.25">
      <c r="A52526" s="118"/>
      <c r="B52526" s="136"/>
    </row>
    <row r="52527" spans="1:2" x14ac:dyDescent="0.25">
      <c r="A52527" s="118"/>
      <c r="B52527" s="136"/>
    </row>
    <row r="52528" spans="1:2" x14ac:dyDescent="0.25">
      <c r="A52528" s="118"/>
      <c r="B52528" s="136"/>
    </row>
    <row r="52529" spans="1:2" x14ac:dyDescent="0.25">
      <c r="A52529" s="118"/>
      <c r="B52529" s="136"/>
    </row>
    <row r="52530" spans="1:2" x14ac:dyDescent="0.25">
      <c r="A52530" s="118"/>
      <c r="B52530" s="136"/>
    </row>
    <row r="52531" spans="1:2" x14ac:dyDescent="0.25">
      <c r="A52531" s="118"/>
      <c r="B52531" s="136"/>
    </row>
    <row r="52532" spans="1:2" x14ac:dyDescent="0.25">
      <c r="A52532" s="118"/>
      <c r="B52532" s="136"/>
    </row>
    <row r="52533" spans="1:2" x14ac:dyDescent="0.25">
      <c r="A52533" s="118"/>
      <c r="B52533" s="136"/>
    </row>
    <row r="52534" spans="1:2" x14ac:dyDescent="0.25">
      <c r="A52534" s="118"/>
      <c r="B52534" s="136"/>
    </row>
    <row r="52535" spans="1:2" x14ac:dyDescent="0.25">
      <c r="A52535" s="118"/>
      <c r="B52535" s="136"/>
    </row>
    <row r="52536" spans="1:2" x14ac:dyDescent="0.25">
      <c r="A52536" s="118"/>
      <c r="B52536" s="136"/>
    </row>
    <row r="52537" spans="1:2" x14ac:dyDescent="0.25">
      <c r="A52537" s="118"/>
      <c r="B52537" s="136"/>
    </row>
    <row r="52538" spans="1:2" x14ac:dyDescent="0.25">
      <c r="A52538" s="118"/>
      <c r="B52538" s="136"/>
    </row>
    <row r="52539" spans="1:2" x14ac:dyDescent="0.25">
      <c r="A52539" s="118"/>
      <c r="B52539" s="136"/>
    </row>
    <row r="52540" spans="1:2" x14ac:dyDescent="0.25">
      <c r="A52540" s="118"/>
      <c r="B52540" s="136"/>
    </row>
    <row r="52541" spans="1:2" x14ac:dyDescent="0.25">
      <c r="A52541" s="118"/>
      <c r="B52541" s="136"/>
    </row>
    <row r="52542" spans="1:2" x14ac:dyDescent="0.25">
      <c r="A52542" s="118"/>
      <c r="B52542" s="136"/>
    </row>
    <row r="52543" spans="1:2" x14ac:dyDescent="0.25">
      <c r="A52543" s="118"/>
      <c r="B52543" s="136"/>
    </row>
    <row r="52544" spans="1:2" x14ac:dyDescent="0.25">
      <c r="A52544" s="118"/>
      <c r="B52544" s="136"/>
    </row>
    <row r="52545" spans="1:2" x14ac:dyDescent="0.25">
      <c r="A52545" s="118"/>
      <c r="B52545" s="136"/>
    </row>
    <row r="52546" spans="1:2" x14ac:dyDescent="0.25">
      <c r="A52546" s="118"/>
      <c r="B52546" s="136"/>
    </row>
    <row r="52547" spans="1:2" x14ac:dyDescent="0.25">
      <c r="A52547" s="118"/>
      <c r="B52547" s="136"/>
    </row>
    <row r="52548" spans="1:2" x14ac:dyDescent="0.25">
      <c r="A52548" s="118"/>
      <c r="B52548" s="136"/>
    </row>
    <row r="52549" spans="1:2" x14ac:dyDescent="0.25">
      <c r="A52549" s="118"/>
      <c r="B52549" s="136"/>
    </row>
    <row r="52550" spans="1:2" x14ac:dyDescent="0.25">
      <c r="A52550" s="118"/>
      <c r="B52550" s="136"/>
    </row>
    <row r="52551" spans="1:2" x14ac:dyDescent="0.25">
      <c r="A52551" s="118"/>
      <c r="B52551" s="136"/>
    </row>
    <row r="52552" spans="1:2" x14ac:dyDescent="0.25">
      <c r="A52552" s="118"/>
      <c r="B52552" s="136"/>
    </row>
    <row r="52553" spans="1:2" x14ac:dyDescent="0.25">
      <c r="A52553" s="118"/>
      <c r="B52553" s="136"/>
    </row>
    <row r="52554" spans="1:2" x14ac:dyDescent="0.25">
      <c r="A52554" s="118"/>
      <c r="B52554" s="136"/>
    </row>
    <row r="52555" spans="1:2" x14ac:dyDescent="0.25">
      <c r="A52555" s="118"/>
      <c r="B52555" s="136"/>
    </row>
    <row r="52556" spans="1:2" x14ac:dyDescent="0.25">
      <c r="A52556" s="118"/>
      <c r="B52556" s="136"/>
    </row>
    <row r="52557" spans="1:2" x14ac:dyDescent="0.25">
      <c r="A52557" s="118"/>
      <c r="B52557" s="136"/>
    </row>
    <row r="52558" spans="1:2" x14ac:dyDescent="0.25">
      <c r="A52558" s="118"/>
      <c r="B52558" s="136"/>
    </row>
    <row r="52559" spans="1:2" x14ac:dyDescent="0.25">
      <c r="A52559" s="118"/>
      <c r="B52559" s="136"/>
    </row>
    <row r="52560" spans="1:2" x14ac:dyDescent="0.25">
      <c r="A52560" s="118"/>
      <c r="B52560" s="136"/>
    </row>
    <row r="52561" spans="1:2" x14ac:dyDescent="0.25">
      <c r="A52561" s="118"/>
      <c r="B52561" s="136"/>
    </row>
    <row r="52562" spans="1:2" x14ac:dyDescent="0.25">
      <c r="A52562" s="118"/>
      <c r="B52562" s="136"/>
    </row>
    <row r="52563" spans="1:2" x14ac:dyDescent="0.25">
      <c r="A52563" s="118"/>
      <c r="B52563" s="136"/>
    </row>
    <row r="52564" spans="1:2" x14ac:dyDescent="0.25">
      <c r="A52564" s="118"/>
      <c r="B52564" s="136"/>
    </row>
    <row r="52565" spans="1:2" x14ac:dyDescent="0.25">
      <c r="A52565" s="118"/>
      <c r="B52565" s="136"/>
    </row>
    <row r="52566" spans="1:2" x14ac:dyDescent="0.25">
      <c r="A52566" s="118"/>
      <c r="B52566" s="136"/>
    </row>
    <row r="52567" spans="1:2" x14ac:dyDescent="0.25">
      <c r="A52567" s="118"/>
      <c r="B52567" s="136"/>
    </row>
    <row r="52568" spans="1:2" x14ac:dyDescent="0.25">
      <c r="A52568" s="118"/>
      <c r="B52568" s="136"/>
    </row>
    <row r="52569" spans="1:2" x14ac:dyDescent="0.25">
      <c r="A52569" s="118"/>
      <c r="B52569" s="136"/>
    </row>
    <row r="52570" spans="1:2" x14ac:dyDescent="0.25">
      <c r="A52570" s="118"/>
      <c r="B52570" s="136"/>
    </row>
    <row r="52571" spans="1:2" x14ac:dyDescent="0.25">
      <c r="A52571" s="118"/>
      <c r="B52571" s="136"/>
    </row>
    <row r="52572" spans="1:2" x14ac:dyDescent="0.25">
      <c r="A52572" s="118"/>
      <c r="B52572" s="136"/>
    </row>
    <row r="52573" spans="1:2" x14ac:dyDescent="0.25">
      <c r="A52573" s="118"/>
      <c r="B52573" s="136"/>
    </row>
    <row r="52574" spans="1:2" x14ac:dyDescent="0.25">
      <c r="A52574" s="118"/>
      <c r="B52574" s="136"/>
    </row>
    <row r="52575" spans="1:2" x14ac:dyDescent="0.25">
      <c r="A52575" s="118"/>
      <c r="B52575" s="136"/>
    </row>
    <row r="52576" spans="1:2" x14ac:dyDescent="0.25">
      <c r="A52576" s="118"/>
      <c r="B52576" s="136"/>
    </row>
    <row r="52577" spans="1:2" x14ac:dyDescent="0.25">
      <c r="A52577" s="118"/>
      <c r="B52577" s="136"/>
    </row>
    <row r="52578" spans="1:2" x14ac:dyDescent="0.25">
      <c r="A52578" s="118"/>
      <c r="B52578" s="136"/>
    </row>
    <row r="52579" spans="1:2" x14ac:dyDescent="0.25">
      <c r="A52579" s="118"/>
      <c r="B52579" s="136"/>
    </row>
    <row r="52580" spans="1:2" x14ac:dyDescent="0.25">
      <c r="A52580" s="118"/>
      <c r="B52580" s="136"/>
    </row>
    <row r="52581" spans="1:2" x14ac:dyDescent="0.25">
      <c r="A52581" s="118"/>
      <c r="B52581" s="136"/>
    </row>
    <row r="52582" spans="1:2" x14ac:dyDescent="0.25">
      <c r="A52582" s="118"/>
      <c r="B52582" s="136"/>
    </row>
    <row r="52583" spans="1:2" x14ac:dyDescent="0.25">
      <c r="A52583" s="118"/>
      <c r="B52583" s="136"/>
    </row>
    <row r="52584" spans="1:2" x14ac:dyDescent="0.25">
      <c r="A52584" s="118"/>
      <c r="B52584" s="136"/>
    </row>
    <row r="52585" spans="1:2" x14ac:dyDescent="0.25">
      <c r="A52585" s="118"/>
      <c r="B52585" s="136"/>
    </row>
    <row r="52586" spans="1:2" x14ac:dyDescent="0.25">
      <c r="A52586" s="118"/>
      <c r="B52586" s="136"/>
    </row>
    <row r="52587" spans="1:2" x14ac:dyDescent="0.25">
      <c r="A52587" s="118"/>
      <c r="B52587" s="136"/>
    </row>
    <row r="52588" spans="1:2" x14ac:dyDescent="0.25">
      <c r="A52588" s="118"/>
      <c r="B52588" s="136"/>
    </row>
    <row r="52589" spans="1:2" x14ac:dyDescent="0.25">
      <c r="A52589" s="118"/>
      <c r="B52589" s="136"/>
    </row>
    <row r="52590" spans="1:2" x14ac:dyDescent="0.25">
      <c r="A52590" s="118"/>
      <c r="B52590" s="136"/>
    </row>
    <row r="52591" spans="1:2" x14ac:dyDescent="0.25">
      <c r="A52591" s="118"/>
      <c r="B52591" s="136"/>
    </row>
    <row r="52592" spans="1:2" x14ac:dyDescent="0.25">
      <c r="A52592" s="118"/>
      <c r="B52592" s="136"/>
    </row>
    <row r="52593" spans="1:2" x14ac:dyDescent="0.25">
      <c r="A52593" s="118"/>
      <c r="B52593" s="136"/>
    </row>
    <row r="52594" spans="1:2" x14ac:dyDescent="0.25">
      <c r="A52594" s="118"/>
      <c r="B52594" s="136"/>
    </row>
    <row r="52595" spans="1:2" x14ac:dyDescent="0.25">
      <c r="A52595" s="118"/>
      <c r="B52595" s="136"/>
    </row>
    <row r="52596" spans="1:2" x14ac:dyDescent="0.25">
      <c r="A52596" s="118"/>
      <c r="B52596" s="136"/>
    </row>
    <row r="52597" spans="1:2" x14ac:dyDescent="0.25">
      <c r="A52597" s="118"/>
      <c r="B52597" s="136"/>
    </row>
    <row r="52598" spans="1:2" x14ac:dyDescent="0.25">
      <c r="A52598" s="118"/>
      <c r="B52598" s="136"/>
    </row>
    <row r="52599" spans="1:2" x14ac:dyDescent="0.25">
      <c r="A52599" s="118"/>
      <c r="B52599" s="136"/>
    </row>
    <row r="52600" spans="1:2" x14ac:dyDescent="0.25">
      <c r="A52600" s="118"/>
      <c r="B52600" s="136"/>
    </row>
    <row r="52601" spans="1:2" x14ac:dyDescent="0.25">
      <c r="A52601" s="118"/>
      <c r="B52601" s="136"/>
    </row>
    <row r="52602" spans="1:2" x14ac:dyDescent="0.25">
      <c r="A52602" s="118"/>
      <c r="B52602" s="136"/>
    </row>
    <row r="52603" spans="1:2" x14ac:dyDescent="0.25">
      <c r="A52603" s="118"/>
      <c r="B52603" s="136"/>
    </row>
    <row r="52604" spans="1:2" x14ac:dyDescent="0.25">
      <c r="A52604" s="118"/>
      <c r="B52604" s="136"/>
    </row>
    <row r="52605" spans="1:2" x14ac:dyDescent="0.25">
      <c r="A52605" s="118"/>
      <c r="B52605" s="136"/>
    </row>
    <row r="52606" spans="1:2" x14ac:dyDescent="0.25">
      <c r="A52606" s="118"/>
      <c r="B52606" s="136"/>
    </row>
    <row r="52607" spans="1:2" x14ac:dyDescent="0.25">
      <c r="A52607" s="118"/>
      <c r="B52607" s="136"/>
    </row>
    <row r="52608" spans="1:2" x14ac:dyDescent="0.25">
      <c r="A52608" s="118"/>
      <c r="B52608" s="136"/>
    </row>
    <row r="52609" spans="1:2" x14ac:dyDescent="0.25">
      <c r="A52609" s="118"/>
      <c r="B52609" s="136"/>
    </row>
    <row r="52610" spans="1:2" x14ac:dyDescent="0.25">
      <c r="A52610" s="118"/>
      <c r="B52610" s="136"/>
    </row>
    <row r="52611" spans="1:2" x14ac:dyDescent="0.25">
      <c r="A52611" s="118"/>
      <c r="B52611" s="136"/>
    </row>
    <row r="52612" spans="1:2" x14ac:dyDescent="0.25">
      <c r="A52612" s="118"/>
      <c r="B52612" s="136"/>
    </row>
    <row r="52613" spans="1:2" x14ac:dyDescent="0.25">
      <c r="A52613" s="118"/>
      <c r="B52613" s="136"/>
    </row>
    <row r="52614" spans="1:2" x14ac:dyDescent="0.25">
      <c r="A52614" s="118"/>
      <c r="B52614" s="136"/>
    </row>
    <row r="52615" spans="1:2" x14ac:dyDescent="0.25">
      <c r="A52615" s="118"/>
      <c r="B52615" s="136"/>
    </row>
    <row r="52616" spans="1:2" x14ac:dyDescent="0.25">
      <c r="A52616" s="118"/>
      <c r="B52616" s="136"/>
    </row>
    <row r="52617" spans="1:2" x14ac:dyDescent="0.25">
      <c r="A52617" s="118"/>
      <c r="B52617" s="136"/>
    </row>
    <row r="52618" spans="1:2" x14ac:dyDescent="0.25">
      <c r="A52618" s="118"/>
      <c r="B52618" s="136"/>
    </row>
    <row r="52619" spans="1:2" x14ac:dyDescent="0.25">
      <c r="A52619" s="118"/>
      <c r="B52619" s="136"/>
    </row>
    <row r="52620" spans="1:2" x14ac:dyDescent="0.25">
      <c r="A52620" s="118"/>
      <c r="B52620" s="136"/>
    </row>
    <row r="52621" spans="1:2" x14ac:dyDescent="0.25">
      <c r="A52621" s="118"/>
      <c r="B52621" s="136"/>
    </row>
    <row r="52622" spans="1:2" x14ac:dyDescent="0.25">
      <c r="A52622" s="118"/>
      <c r="B52622" s="136"/>
    </row>
    <row r="52623" spans="1:2" x14ac:dyDescent="0.25">
      <c r="A52623" s="118"/>
      <c r="B52623" s="136"/>
    </row>
    <row r="52624" spans="1:2" x14ac:dyDescent="0.25">
      <c r="A52624" s="118"/>
      <c r="B52624" s="136"/>
    </row>
    <row r="52625" spans="1:2" x14ac:dyDescent="0.25">
      <c r="A52625" s="118"/>
      <c r="B52625" s="136"/>
    </row>
    <row r="52626" spans="1:2" x14ac:dyDescent="0.25">
      <c r="A52626" s="118"/>
      <c r="B52626" s="136"/>
    </row>
    <row r="52627" spans="1:2" x14ac:dyDescent="0.25">
      <c r="A52627" s="118"/>
      <c r="B52627" s="136"/>
    </row>
    <row r="52628" spans="1:2" x14ac:dyDescent="0.25">
      <c r="A52628" s="118"/>
      <c r="B52628" s="136"/>
    </row>
    <row r="52629" spans="1:2" x14ac:dyDescent="0.25">
      <c r="A52629" s="118"/>
      <c r="B52629" s="136"/>
    </row>
    <row r="52630" spans="1:2" x14ac:dyDescent="0.25">
      <c r="A52630" s="118"/>
      <c r="B52630" s="136"/>
    </row>
    <row r="52631" spans="1:2" x14ac:dyDescent="0.25">
      <c r="A52631" s="118"/>
      <c r="B52631" s="136"/>
    </row>
    <row r="52632" spans="1:2" x14ac:dyDescent="0.25">
      <c r="A52632" s="118"/>
      <c r="B52632" s="136"/>
    </row>
    <row r="52633" spans="1:2" x14ac:dyDescent="0.25">
      <c r="A52633" s="118"/>
      <c r="B52633" s="136"/>
    </row>
    <row r="52634" spans="1:2" x14ac:dyDescent="0.25">
      <c r="A52634" s="118"/>
      <c r="B52634" s="136"/>
    </row>
    <row r="52635" spans="1:2" x14ac:dyDescent="0.25">
      <c r="A52635" s="118"/>
      <c r="B52635" s="136"/>
    </row>
    <row r="52636" spans="1:2" x14ac:dyDescent="0.25">
      <c r="A52636" s="118"/>
      <c r="B52636" s="136"/>
    </row>
    <row r="52637" spans="1:2" x14ac:dyDescent="0.25">
      <c r="A52637" s="118"/>
      <c r="B52637" s="136"/>
    </row>
    <row r="52638" spans="1:2" x14ac:dyDescent="0.25">
      <c r="A52638" s="118"/>
      <c r="B52638" s="136"/>
    </row>
    <row r="52639" spans="1:2" x14ac:dyDescent="0.25">
      <c r="A52639" s="118"/>
      <c r="B52639" s="136"/>
    </row>
    <row r="52640" spans="1:2" x14ac:dyDescent="0.25">
      <c r="A52640" s="118"/>
      <c r="B52640" s="136"/>
    </row>
    <row r="52641" spans="1:2" x14ac:dyDescent="0.25">
      <c r="A52641" s="118"/>
      <c r="B52641" s="136"/>
    </row>
    <row r="52642" spans="1:2" x14ac:dyDescent="0.25">
      <c r="A52642" s="118"/>
      <c r="B52642" s="136"/>
    </row>
    <row r="52643" spans="1:2" x14ac:dyDescent="0.25">
      <c r="A52643" s="118"/>
      <c r="B52643" s="136"/>
    </row>
    <row r="52644" spans="1:2" x14ac:dyDescent="0.25">
      <c r="A52644" s="118"/>
      <c r="B52644" s="136"/>
    </row>
    <row r="52645" spans="1:2" x14ac:dyDescent="0.25">
      <c r="A52645" s="118"/>
      <c r="B52645" s="136"/>
    </row>
    <row r="52646" spans="1:2" x14ac:dyDescent="0.25">
      <c r="A52646" s="118"/>
      <c r="B52646" s="136"/>
    </row>
    <row r="52647" spans="1:2" x14ac:dyDescent="0.25">
      <c r="A52647" s="118"/>
      <c r="B52647" s="136"/>
    </row>
    <row r="52648" spans="1:2" x14ac:dyDescent="0.25">
      <c r="A52648" s="118"/>
      <c r="B52648" s="136"/>
    </row>
    <row r="52649" spans="1:2" x14ac:dyDescent="0.25">
      <c r="A52649" s="118"/>
      <c r="B52649" s="136"/>
    </row>
    <row r="52650" spans="1:2" x14ac:dyDescent="0.25">
      <c r="A52650" s="118"/>
      <c r="B52650" s="136"/>
    </row>
    <row r="52651" spans="1:2" x14ac:dyDescent="0.25">
      <c r="A52651" s="118"/>
      <c r="B52651" s="136"/>
    </row>
    <row r="52652" spans="1:2" x14ac:dyDescent="0.25">
      <c r="A52652" s="118"/>
      <c r="B52652" s="136"/>
    </row>
    <row r="52653" spans="1:2" x14ac:dyDescent="0.25">
      <c r="A52653" s="118"/>
      <c r="B52653" s="136"/>
    </row>
    <row r="52654" spans="1:2" x14ac:dyDescent="0.25">
      <c r="A52654" s="118"/>
      <c r="B52654" s="136"/>
    </row>
    <row r="52655" spans="1:2" x14ac:dyDescent="0.25">
      <c r="A52655" s="118"/>
      <c r="B52655" s="136"/>
    </row>
    <row r="52656" spans="1:2" x14ac:dyDescent="0.25">
      <c r="A52656" s="118"/>
      <c r="B52656" s="136"/>
    </row>
    <row r="52657" spans="1:2" x14ac:dyDescent="0.25">
      <c r="A52657" s="118"/>
      <c r="B52657" s="136"/>
    </row>
    <row r="52658" spans="1:2" x14ac:dyDescent="0.25">
      <c r="A52658" s="118"/>
      <c r="B52658" s="136"/>
    </row>
    <row r="52659" spans="1:2" x14ac:dyDescent="0.25">
      <c r="A52659" s="118"/>
      <c r="B52659" s="136"/>
    </row>
    <row r="52660" spans="1:2" x14ac:dyDescent="0.25">
      <c r="A52660" s="118"/>
      <c r="B52660" s="136"/>
    </row>
    <row r="52661" spans="1:2" x14ac:dyDescent="0.25">
      <c r="A52661" s="118"/>
      <c r="B52661" s="136"/>
    </row>
    <row r="52662" spans="1:2" x14ac:dyDescent="0.25">
      <c r="A52662" s="118"/>
      <c r="B52662" s="136"/>
    </row>
    <row r="52663" spans="1:2" x14ac:dyDescent="0.25">
      <c r="A52663" s="118"/>
      <c r="B52663" s="136"/>
    </row>
    <row r="52664" spans="1:2" x14ac:dyDescent="0.25">
      <c r="A52664" s="118"/>
      <c r="B52664" s="136"/>
    </row>
    <row r="52665" spans="1:2" x14ac:dyDescent="0.25">
      <c r="A52665" s="118"/>
      <c r="B52665" s="136"/>
    </row>
    <row r="52666" spans="1:2" x14ac:dyDescent="0.25">
      <c r="A52666" s="118"/>
      <c r="B52666" s="136"/>
    </row>
    <row r="52667" spans="1:2" x14ac:dyDescent="0.25">
      <c r="A52667" s="118"/>
      <c r="B52667" s="136"/>
    </row>
    <row r="52668" spans="1:2" x14ac:dyDescent="0.25">
      <c r="A52668" s="118"/>
      <c r="B52668" s="136"/>
    </row>
    <row r="52669" spans="1:2" x14ac:dyDescent="0.25">
      <c r="A52669" s="118"/>
      <c r="B52669" s="136"/>
    </row>
    <row r="52670" spans="1:2" x14ac:dyDescent="0.25">
      <c r="A52670" s="118"/>
      <c r="B52670" s="136"/>
    </row>
    <row r="52671" spans="1:2" x14ac:dyDescent="0.25">
      <c r="A52671" s="118"/>
      <c r="B52671" s="136"/>
    </row>
    <row r="52672" spans="1:2" x14ac:dyDescent="0.25">
      <c r="A52672" s="118"/>
      <c r="B52672" s="136"/>
    </row>
    <row r="52673" spans="1:2" x14ac:dyDescent="0.25">
      <c r="A52673" s="118"/>
      <c r="B52673" s="136"/>
    </row>
    <row r="52674" spans="1:2" x14ac:dyDescent="0.25">
      <c r="A52674" s="118"/>
      <c r="B52674" s="136"/>
    </row>
    <row r="52675" spans="1:2" x14ac:dyDescent="0.25">
      <c r="A52675" s="118"/>
      <c r="B52675" s="136"/>
    </row>
    <row r="52676" spans="1:2" x14ac:dyDescent="0.25">
      <c r="A52676" s="118"/>
      <c r="B52676" s="136"/>
    </row>
    <row r="52677" spans="1:2" x14ac:dyDescent="0.25">
      <c r="A52677" s="118"/>
      <c r="B52677" s="136"/>
    </row>
    <row r="52678" spans="1:2" x14ac:dyDescent="0.25">
      <c r="A52678" s="118"/>
      <c r="B52678" s="136"/>
    </row>
    <row r="52679" spans="1:2" x14ac:dyDescent="0.25">
      <c r="A52679" s="118"/>
      <c r="B52679" s="136"/>
    </row>
    <row r="52680" spans="1:2" x14ac:dyDescent="0.25">
      <c r="A52680" s="118"/>
      <c r="B52680" s="136"/>
    </row>
    <row r="52681" spans="1:2" x14ac:dyDescent="0.25">
      <c r="A52681" s="118"/>
      <c r="B52681" s="136"/>
    </row>
    <row r="52682" spans="1:2" x14ac:dyDescent="0.25">
      <c r="A52682" s="118"/>
      <c r="B52682" s="136"/>
    </row>
    <row r="52683" spans="1:2" x14ac:dyDescent="0.25">
      <c r="A52683" s="118"/>
      <c r="B52683" s="136"/>
    </row>
    <row r="52684" spans="1:2" x14ac:dyDescent="0.25">
      <c r="A52684" s="118"/>
      <c r="B52684" s="136"/>
    </row>
    <row r="52685" spans="1:2" x14ac:dyDescent="0.25">
      <c r="A52685" s="118"/>
      <c r="B52685" s="136"/>
    </row>
    <row r="52686" spans="1:2" x14ac:dyDescent="0.25">
      <c r="A52686" s="118"/>
      <c r="B52686" s="136"/>
    </row>
    <row r="52687" spans="1:2" x14ac:dyDescent="0.25">
      <c r="A52687" s="118"/>
      <c r="B52687" s="136"/>
    </row>
    <row r="52688" spans="1:2" x14ac:dyDescent="0.25">
      <c r="A52688" s="118"/>
      <c r="B52688" s="136"/>
    </row>
    <row r="52689" spans="1:2" x14ac:dyDescent="0.25">
      <c r="A52689" s="118"/>
      <c r="B52689" s="136"/>
    </row>
    <row r="52690" spans="1:2" x14ac:dyDescent="0.25">
      <c r="A52690" s="118"/>
      <c r="B52690" s="136"/>
    </row>
    <row r="52691" spans="1:2" x14ac:dyDescent="0.25">
      <c r="A52691" s="118"/>
      <c r="B52691" s="136"/>
    </row>
    <row r="52692" spans="1:2" x14ac:dyDescent="0.25">
      <c r="A52692" s="118"/>
      <c r="B52692" s="136"/>
    </row>
    <row r="52693" spans="1:2" x14ac:dyDescent="0.25">
      <c r="A52693" s="118"/>
      <c r="B52693" s="136"/>
    </row>
    <row r="52694" spans="1:2" x14ac:dyDescent="0.25">
      <c r="A52694" s="118"/>
      <c r="B52694" s="136"/>
    </row>
    <row r="52695" spans="1:2" x14ac:dyDescent="0.25">
      <c r="A52695" s="118"/>
      <c r="B52695" s="136"/>
    </row>
    <row r="52696" spans="1:2" x14ac:dyDescent="0.25">
      <c r="A52696" s="118"/>
      <c r="B52696" s="136"/>
    </row>
    <row r="52697" spans="1:2" x14ac:dyDescent="0.25">
      <c r="A52697" s="118"/>
      <c r="B52697" s="136"/>
    </row>
    <row r="52698" spans="1:2" x14ac:dyDescent="0.25">
      <c r="A52698" s="118"/>
      <c r="B52698" s="136"/>
    </row>
    <row r="52699" spans="1:2" x14ac:dyDescent="0.25">
      <c r="A52699" s="118"/>
      <c r="B52699" s="136"/>
    </row>
    <row r="52700" spans="1:2" x14ac:dyDescent="0.25">
      <c r="A52700" s="118"/>
      <c r="B52700" s="136"/>
    </row>
    <row r="52701" spans="1:2" x14ac:dyDescent="0.25">
      <c r="A52701" s="118"/>
      <c r="B52701" s="136"/>
    </row>
    <row r="52702" spans="1:2" x14ac:dyDescent="0.25">
      <c r="A52702" s="118"/>
      <c r="B52702" s="136"/>
    </row>
    <row r="52703" spans="1:2" x14ac:dyDescent="0.25">
      <c r="A52703" s="118"/>
      <c r="B52703" s="136"/>
    </row>
    <row r="52704" spans="1:2" x14ac:dyDescent="0.25">
      <c r="A52704" s="118"/>
      <c r="B52704" s="136"/>
    </row>
    <row r="52705" spans="1:2" x14ac:dyDescent="0.25">
      <c r="A52705" s="118"/>
      <c r="B52705" s="136"/>
    </row>
    <row r="52706" spans="1:2" x14ac:dyDescent="0.25">
      <c r="A52706" s="118"/>
      <c r="B52706" s="136"/>
    </row>
    <row r="52707" spans="1:2" x14ac:dyDescent="0.25">
      <c r="A52707" s="118"/>
      <c r="B52707" s="136"/>
    </row>
    <row r="52708" spans="1:2" x14ac:dyDescent="0.25">
      <c r="A52708" s="118"/>
      <c r="B52708" s="136"/>
    </row>
    <row r="52709" spans="1:2" x14ac:dyDescent="0.25">
      <c r="A52709" s="118"/>
      <c r="B52709" s="136"/>
    </row>
    <row r="52710" spans="1:2" x14ac:dyDescent="0.25">
      <c r="A52710" s="118"/>
      <c r="B52710" s="136"/>
    </row>
    <row r="52711" spans="1:2" x14ac:dyDescent="0.25">
      <c r="A52711" s="118"/>
      <c r="B52711" s="136"/>
    </row>
    <row r="52712" spans="1:2" x14ac:dyDescent="0.25">
      <c r="A52712" s="118"/>
      <c r="B52712" s="136"/>
    </row>
    <row r="52713" spans="1:2" x14ac:dyDescent="0.25">
      <c r="A52713" s="118"/>
      <c r="B52713" s="136"/>
    </row>
    <row r="52714" spans="1:2" x14ac:dyDescent="0.25">
      <c r="A52714" s="118"/>
      <c r="B52714" s="136"/>
    </row>
    <row r="52715" spans="1:2" x14ac:dyDescent="0.25">
      <c r="A52715" s="118"/>
      <c r="B52715" s="136"/>
    </row>
    <row r="52716" spans="1:2" x14ac:dyDescent="0.25">
      <c r="A52716" s="118"/>
      <c r="B52716" s="136"/>
    </row>
    <row r="52717" spans="1:2" x14ac:dyDescent="0.25">
      <c r="A52717" s="118"/>
      <c r="B52717" s="136"/>
    </row>
    <row r="52718" spans="1:2" x14ac:dyDescent="0.25">
      <c r="A52718" s="118"/>
      <c r="B52718" s="136"/>
    </row>
    <row r="52719" spans="1:2" x14ac:dyDescent="0.25">
      <c r="A52719" s="118"/>
      <c r="B52719" s="136"/>
    </row>
    <row r="52720" spans="1:2" x14ac:dyDescent="0.25">
      <c r="A52720" s="118"/>
      <c r="B52720" s="136"/>
    </row>
    <row r="52721" spans="1:2" x14ac:dyDescent="0.25">
      <c r="A52721" s="118"/>
      <c r="B52721" s="136"/>
    </row>
    <row r="52722" spans="1:2" x14ac:dyDescent="0.25">
      <c r="A52722" s="118"/>
      <c r="B52722" s="136"/>
    </row>
    <row r="52723" spans="1:2" x14ac:dyDescent="0.25">
      <c r="A52723" s="118"/>
      <c r="B52723" s="136"/>
    </row>
    <row r="52724" spans="1:2" x14ac:dyDescent="0.25">
      <c r="A52724" s="118"/>
      <c r="B52724" s="136"/>
    </row>
    <row r="52725" spans="1:2" x14ac:dyDescent="0.25">
      <c r="A52725" s="118"/>
      <c r="B52725" s="136"/>
    </row>
    <row r="52726" spans="1:2" x14ac:dyDescent="0.25">
      <c r="A52726" s="118"/>
      <c r="B52726" s="136"/>
    </row>
    <row r="52727" spans="1:2" x14ac:dyDescent="0.25">
      <c r="A52727" s="118"/>
      <c r="B52727" s="136"/>
    </row>
    <row r="52728" spans="1:2" x14ac:dyDescent="0.25">
      <c r="A52728" s="118"/>
      <c r="B52728" s="136"/>
    </row>
    <row r="52729" spans="1:2" x14ac:dyDescent="0.25">
      <c r="A52729" s="118"/>
      <c r="B52729" s="136"/>
    </row>
    <row r="52730" spans="1:2" x14ac:dyDescent="0.25">
      <c r="A52730" s="118"/>
      <c r="B52730" s="136"/>
    </row>
    <row r="52731" spans="1:2" x14ac:dyDescent="0.25">
      <c r="A52731" s="118"/>
      <c r="B52731" s="136"/>
    </row>
    <row r="52732" spans="1:2" x14ac:dyDescent="0.25">
      <c r="A52732" s="118"/>
      <c r="B52732" s="136"/>
    </row>
    <row r="52733" spans="1:2" x14ac:dyDescent="0.25">
      <c r="A52733" s="118"/>
      <c r="B52733" s="136"/>
    </row>
    <row r="52734" spans="1:2" x14ac:dyDescent="0.25">
      <c r="A52734" s="118"/>
      <c r="B52734" s="136"/>
    </row>
    <row r="52735" spans="1:2" x14ac:dyDescent="0.25">
      <c r="A52735" s="118"/>
      <c r="B52735" s="136"/>
    </row>
    <row r="52736" spans="1:2" x14ac:dyDescent="0.25">
      <c r="A52736" s="118"/>
      <c r="B52736" s="136"/>
    </row>
    <row r="52737" spans="1:2" x14ac:dyDescent="0.25">
      <c r="A52737" s="118"/>
      <c r="B52737" s="136"/>
    </row>
    <row r="52738" spans="1:2" x14ac:dyDescent="0.25">
      <c r="A52738" s="118"/>
      <c r="B52738" s="136"/>
    </row>
    <row r="52739" spans="1:2" x14ac:dyDescent="0.25">
      <c r="A52739" s="118"/>
      <c r="B52739" s="136"/>
    </row>
    <row r="52740" spans="1:2" x14ac:dyDescent="0.25">
      <c r="A52740" s="118"/>
      <c r="B52740" s="136"/>
    </row>
    <row r="52741" spans="1:2" x14ac:dyDescent="0.25">
      <c r="A52741" s="118"/>
      <c r="B52741" s="136"/>
    </row>
    <row r="52742" spans="1:2" x14ac:dyDescent="0.25">
      <c r="A52742" s="118"/>
      <c r="B52742" s="136"/>
    </row>
    <row r="52743" spans="1:2" x14ac:dyDescent="0.25">
      <c r="A52743" s="118"/>
      <c r="B52743" s="136"/>
    </row>
    <row r="52744" spans="1:2" x14ac:dyDescent="0.25">
      <c r="A52744" s="118"/>
      <c r="B52744" s="136"/>
    </row>
    <row r="52745" spans="1:2" x14ac:dyDescent="0.25">
      <c r="A52745" s="118"/>
      <c r="B52745" s="136"/>
    </row>
    <row r="52746" spans="1:2" x14ac:dyDescent="0.25">
      <c r="A52746" s="118"/>
      <c r="B52746" s="136"/>
    </row>
    <row r="52747" spans="1:2" x14ac:dyDescent="0.25">
      <c r="A52747" s="118"/>
      <c r="B52747" s="136"/>
    </row>
    <row r="52748" spans="1:2" x14ac:dyDescent="0.25">
      <c r="A52748" s="118"/>
      <c r="B52748" s="136"/>
    </row>
    <row r="52749" spans="1:2" x14ac:dyDescent="0.25">
      <c r="A52749" s="118"/>
      <c r="B52749" s="136"/>
    </row>
    <row r="52750" spans="1:2" x14ac:dyDescent="0.25">
      <c r="A52750" s="118"/>
      <c r="B52750" s="136"/>
    </row>
    <row r="52751" spans="1:2" x14ac:dyDescent="0.25">
      <c r="A52751" s="118"/>
      <c r="B52751" s="136"/>
    </row>
    <row r="52752" spans="1:2" x14ac:dyDescent="0.25">
      <c r="A52752" s="118"/>
      <c r="B52752" s="136"/>
    </row>
    <row r="52753" spans="1:2" x14ac:dyDescent="0.25">
      <c r="A52753" s="118"/>
      <c r="B52753" s="136"/>
    </row>
    <row r="52754" spans="1:2" x14ac:dyDescent="0.25">
      <c r="A52754" s="118"/>
      <c r="B52754" s="136"/>
    </row>
    <row r="52755" spans="1:2" x14ac:dyDescent="0.25">
      <c r="A52755" s="118"/>
      <c r="B52755" s="136"/>
    </row>
    <row r="52756" spans="1:2" x14ac:dyDescent="0.25">
      <c r="A52756" s="118"/>
      <c r="B52756" s="136"/>
    </row>
    <row r="52757" spans="1:2" x14ac:dyDescent="0.25">
      <c r="A52757" s="118"/>
      <c r="B52757" s="136"/>
    </row>
    <row r="52758" spans="1:2" x14ac:dyDescent="0.25">
      <c r="A52758" s="118"/>
      <c r="B52758" s="136"/>
    </row>
    <row r="52759" spans="1:2" x14ac:dyDescent="0.25">
      <c r="A52759" s="118"/>
      <c r="B52759" s="136"/>
    </row>
    <row r="52760" spans="1:2" x14ac:dyDescent="0.25">
      <c r="A52760" s="118"/>
      <c r="B52760" s="136"/>
    </row>
    <row r="52761" spans="1:2" x14ac:dyDescent="0.25">
      <c r="A52761" s="118"/>
      <c r="B52761" s="136"/>
    </row>
    <row r="52762" spans="1:2" x14ac:dyDescent="0.25">
      <c r="A52762" s="118"/>
      <c r="B52762" s="136"/>
    </row>
    <row r="52763" spans="1:2" x14ac:dyDescent="0.25">
      <c r="A52763" s="118"/>
      <c r="B52763" s="136"/>
    </row>
    <row r="52764" spans="1:2" x14ac:dyDescent="0.25">
      <c r="A52764" s="118"/>
      <c r="B52764" s="136"/>
    </row>
    <row r="52765" spans="1:2" x14ac:dyDescent="0.25">
      <c r="A52765" s="118"/>
      <c r="B52765" s="136"/>
    </row>
    <row r="52766" spans="1:2" x14ac:dyDescent="0.25">
      <c r="A52766" s="118"/>
      <c r="B52766" s="136"/>
    </row>
    <row r="52767" spans="1:2" x14ac:dyDescent="0.25">
      <c r="A52767" s="118"/>
      <c r="B52767" s="136"/>
    </row>
    <row r="52768" spans="1:2" x14ac:dyDescent="0.25">
      <c r="A52768" s="118"/>
      <c r="B52768" s="136"/>
    </row>
    <row r="52769" spans="1:2" x14ac:dyDescent="0.25">
      <c r="A52769" s="118"/>
      <c r="B52769" s="136"/>
    </row>
    <row r="52770" spans="1:2" x14ac:dyDescent="0.25">
      <c r="A52770" s="118"/>
      <c r="B52770" s="136"/>
    </row>
    <row r="52771" spans="1:2" x14ac:dyDescent="0.25">
      <c r="A52771" s="118"/>
      <c r="B52771" s="136"/>
    </row>
    <row r="52772" spans="1:2" x14ac:dyDescent="0.25">
      <c r="A52772" s="118"/>
      <c r="B52772" s="136"/>
    </row>
    <row r="52773" spans="1:2" x14ac:dyDescent="0.25">
      <c r="A52773" s="118"/>
      <c r="B52773" s="136"/>
    </row>
    <row r="52774" spans="1:2" x14ac:dyDescent="0.25">
      <c r="A52774" s="118"/>
      <c r="B52774" s="136"/>
    </row>
    <row r="52775" spans="1:2" x14ac:dyDescent="0.25">
      <c r="A52775" s="118"/>
      <c r="B52775" s="136"/>
    </row>
    <row r="52776" spans="1:2" x14ac:dyDescent="0.25">
      <c r="A52776" s="118"/>
      <c r="B52776" s="136"/>
    </row>
    <row r="52777" spans="1:2" x14ac:dyDescent="0.25">
      <c r="A52777" s="118"/>
      <c r="B52777" s="136"/>
    </row>
    <row r="52778" spans="1:2" x14ac:dyDescent="0.25">
      <c r="A52778" s="118"/>
      <c r="B52778" s="136"/>
    </row>
    <row r="52779" spans="1:2" x14ac:dyDescent="0.25">
      <c r="A52779" s="118"/>
      <c r="B52779" s="136"/>
    </row>
    <row r="52780" spans="1:2" x14ac:dyDescent="0.25">
      <c r="A52780" s="118"/>
      <c r="B52780" s="136"/>
    </row>
    <row r="52781" spans="1:2" x14ac:dyDescent="0.25">
      <c r="A52781" s="118"/>
      <c r="B52781" s="136"/>
    </row>
    <row r="52782" spans="1:2" x14ac:dyDescent="0.25">
      <c r="A52782" s="118"/>
      <c r="B52782" s="136"/>
    </row>
    <row r="52783" spans="1:2" x14ac:dyDescent="0.25">
      <c r="A52783" s="118"/>
      <c r="B52783" s="136"/>
    </row>
    <row r="52784" spans="1:2" x14ac:dyDescent="0.25">
      <c r="A52784" s="118"/>
      <c r="B52784" s="136"/>
    </row>
    <row r="52785" spans="1:2" x14ac:dyDescent="0.25">
      <c r="A52785" s="118"/>
      <c r="B52785" s="136"/>
    </row>
    <row r="52786" spans="1:2" x14ac:dyDescent="0.25">
      <c r="A52786" s="118"/>
      <c r="B52786" s="136"/>
    </row>
    <row r="52787" spans="1:2" x14ac:dyDescent="0.25">
      <c r="A52787" s="118"/>
      <c r="B52787" s="136"/>
    </row>
    <row r="52788" spans="1:2" x14ac:dyDescent="0.25">
      <c r="A52788" s="118"/>
      <c r="B52788" s="136"/>
    </row>
    <row r="52789" spans="1:2" x14ac:dyDescent="0.25">
      <c r="A52789" s="118"/>
      <c r="B52789" s="136"/>
    </row>
    <row r="52790" spans="1:2" x14ac:dyDescent="0.25">
      <c r="A52790" s="118"/>
      <c r="B52790" s="136"/>
    </row>
    <row r="52791" spans="1:2" x14ac:dyDescent="0.25">
      <c r="A52791" s="118"/>
      <c r="B52791" s="136"/>
    </row>
    <row r="52792" spans="1:2" x14ac:dyDescent="0.25">
      <c r="A52792" s="118"/>
      <c r="B52792" s="136"/>
    </row>
    <row r="52793" spans="1:2" x14ac:dyDescent="0.25">
      <c r="A52793" s="118"/>
      <c r="B52793" s="136"/>
    </row>
    <row r="52794" spans="1:2" x14ac:dyDescent="0.25">
      <c r="A52794" s="118"/>
      <c r="B52794" s="136"/>
    </row>
    <row r="52795" spans="1:2" x14ac:dyDescent="0.25">
      <c r="A52795" s="118"/>
      <c r="B52795" s="136"/>
    </row>
    <row r="52796" spans="1:2" x14ac:dyDescent="0.25">
      <c r="A52796" s="118"/>
      <c r="B52796" s="136"/>
    </row>
    <row r="52797" spans="1:2" x14ac:dyDescent="0.25">
      <c r="A52797" s="118"/>
      <c r="B52797" s="136"/>
    </row>
    <row r="52798" spans="1:2" x14ac:dyDescent="0.25">
      <c r="A52798" s="118"/>
      <c r="B52798" s="136"/>
    </row>
    <row r="52799" spans="1:2" x14ac:dyDescent="0.25">
      <c r="A52799" s="118"/>
      <c r="B52799" s="136"/>
    </row>
    <row r="52800" spans="1:2" x14ac:dyDescent="0.25">
      <c r="A52800" s="118"/>
      <c r="B52800" s="136"/>
    </row>
    <row r="52801" spans="1:2" x14ac:dyDescent="0.25">
      <c r="A52801" s="118"/>
      <c r="B52801" s="136"/>
    </row>
    <row r="52802" spans="1:2" x14ac:dyDescent="0.25">
      <c r="A52802" s="118"/>
      <c r="B52802" s="136"/>
    </row>
    <row r="52803" spans="1:2" x14ac:dyDescent="0.25">
      <c r="A52803" s="118"/>
      <c r="B52803" s="136"/>
    </row>
    <row r="52804" spans="1:2" x14ac:dyDescent="0.25">
      <c r="A52804" s="118"/>
      <c r="B52804" s="136"/>
    </row>
    <row r="52805" spans="1:2" x14ac:dyDescent="0.25">
      <c r="A52805" s="118"/>
      <c r="B52805" s="136"/>
    </row>
    <row r="52806" spans="1:2" x14ac:dyDescent="0.25">
      <c r="A52806" s="118"/>
      <c r="B52806" s="136"/>
    </row>
    <row r="52807" spans="1:2" x14ac:dyDescent="0.25">
      <c r="A52807" s="118"/>
      <c r="B52807" s="136"/>
    </row>
    <row r="52808" spans="1:2" x14ac:dyDescent="0.25">
      <c r="A52808" s="118"/>
      <c r="B52808" s="136"/>
    </row>
    <row r="52809" spans="1:2" x14ac:dyDescent="0.25">
      <c r="A52809" s="118"/>
      <c r="B52809" s="136"/>
    </row>
    <row r="52810" spans="1:2" x14ac:dyDescent="0.25">
      <c r="A52810" s="118"/>
      <c r="B52810" s="136"/>
    </row>
    <row r="52811" spans="1:2" x14ac:dyDescent="0.25">
      <c r="A52811" s="118"/>
      <c r="B52811" s="136"/>
    </row>
    <row r="52812" spans="1:2" x14ac:dyDescent="0.25">
      <c r="A52812" s="118"/>
      <c r="B52812" s="136"/>
    </row>
    <row r="52813" spans="1:2" x14ac:dyDescent="0.25">
      <c r="A52813" s="118"/>
      <c r="B52813" s="136"/>
    </row>
    <row r="52814" spans="1:2" x14ac:dyDescent="0.25">
      <c r="A52814" s="118"/>
      <c r="B52814" s="136"/>
    </row>
    <row r="52815" spans="1:2" x14ac:dyDescent="0.25">
      <c r="A52815" s="118"/>
      <c r="B52815" s="136"/>
    </row>
    <row r="52816" spans="1:2" x14ac:dyDescent="0.25">
      <c r="A52816" s="118"/>
      <c r="B52816" s="136"/>
    </row>
    <row r="52817" spans="1:2" x14ac:dyDescent="0.25">
      <c r="A52817" s="118"/>
      <c r="B52817" s="136"/>
    </row>
    <row r="52818" spans="1:2" x14ac:dyDescent="0.25">
      <c r="A52818" s="118"/>
      <c r="B52818" s="136"/>
    </row>
    <row r="52819" spans="1:2" x14ac:dyDescent="0.25">
      <c r="A52819" s="118"/>
      <c r="B52819" s="136"/>
    </row>
    <row r="52820" spans="1:2" x14ac:dyDescent="0.25">
      <c r="A52820" s="118"/>
      <c r="B52820" s="136"/>
    </row>
    <row r="52821" spans="1:2" x14ac:dyDescent="0.25">
      <c r="A52821" s="118"/>
      <c r="B52821" s="136"/>
    </row>
    <row r="52822" spans="1:2" x14ac:dyDescent="0.25">
      <c r="A52822" s="118"/>
      <c r="B52822" s="136"/>
    </row>
    <row r="52823" spans="1:2" x14ac:dyDescent="0.25">
      <c r="A52823" s="118"/>
      <c r="B52823" s="136"/>
    </row>
    <row r="52824" spans="1:2" x14ac:dyDescent="0.25">
      <c r="A52824" s="118"/>
      <c r="B52824" s="136"/>
    </row>
    <row r="52825" spans="1:2" x14ac:dyDescent="0.25">
      <c r="A52825" s="118"/>
      <c r="B52825" s="136"/>
    </row>
    <row r="52826" spans="1:2" x14ac:dyDescent="0.25">
      <c r="A52826" s="118"/>
      <c r="B52826" s="136"/>
    </row>
    <row r="52827" spans="1:2" x14ac:dyDescent="0.25">
      <c r="A52827" s="118"/>
      <c r="B52827" s="136"/>
    </row>
    <row r="52828" spans="1:2" x14ac:dyDescent="0.25">
      <c r="A52828" s="118"/>
      <c r="B52828" s="136"/>
    </row>
    <row r="52829" spans="1:2" x14ac:dyDescent="0.25">
      <c r="A52829" s="118"/>
      <c r="B52829" s="136"/>
    </row>
    <row r="52830" spans="1:2" x14ac:dyDescent="0.25">
      <c r="A52830" s="118"/>
      <c r="B52830" s="136"/>
    </row>
    <row r="52831" spans="1:2" x14ac:dyDescent="0.25">
      <c r="A52831" s="118"/>
      <c r="B52831" s="136"/>
    </row>
    <row r="52832" spans="1:2" x14ac:dyDescent="0.25">
      <c r="A52832" s="118"/>
      <c r="B52832" s="136"/>
    </row>
    <row r="52833" spans="1:2" x14ac:dyDescent="0.25">
      <c r="A52833" s="118"/>
      <c r="B52833" s="136"/>
    </row>
    <row r="52834" spans="1:2" x14ac:dyDescent="0.25">
      <c r="A52834" s="118"/>
      <c r="B52834" s="136"/>
    </row>
    <row r="52835" spans="1:2" x14ac:dyDescent="0.25">
      <c r="A52835" s="118"/>
      <c r="B52835" s="136"/>
    </row>
    <row r="52836" spans="1:2" x14ac:dyDescent="0.25">
      <c r="A52836" s="118"/>
      <c r="B52836" s="136"/>
    </row>
    <row r="52837" spans="1:2" x14ac:dyDescent="0.25">
      <c r="A52837" s="118"/>
      <c r="B52837" s="136"/>
    </row>
    <row r="52838" spans="1:2" x14ac:dyDescent="0.25">
      <c r="A52838" s="118"/>
      <c r="B52838" s="136"/>
    </row>
    <row r="52839" spans="1:2" x14ac:dyDescent="0.25">
      <c r="A52839" s="118"/>
      <c r="B52839" s="136"/>
    </row>
    <row r="52840" spans="1:2" x14ac:dyDescent="0.25">
      <c r="A52840" s="118"/>
      <c r="B52840" s="136"/>
    </row>
    <row r="52841" spans="1:2" x14ac:dyDescent="0.25">
      <c r="A52841" s="118"/>
      <c r="B52841" s="136"/>
    </row>
    <row r="52842" spans="1:2" x14ac:dyDescent="0.25">
      <c r="A52842" s="118"/>
      <c r="B52842" s="136"/>
    </row>
    <row r="52843" spans="1:2" x14ac:dyDescent="0.25">
      <c r="A52843" s="118"/>
      <c r="B52843" s="136"/>
    </row>
    <row r="52844" spans="1:2" x14ac:dyDescent="0.25">
      <c r="A52844" s="118"/>
      <c r="B52844" s="136"/>
    </row>
    <row r="52845" spans="1:2" x14ac:dyDescent="0.25">
      <c r="A52845" s="118"/>
      <c r="B52845" s="136"/>
    </row>
    <row r="52846" spans="1:2" x14ac:dyDescent="0.25">
      <c r="A52846" s="118"/>
      <c r="B52846" s="136"/>
    </row>
    <row r="52847" spans="1:2" x14ac:dyDescent="0.25">
      <c r="A52847" s="118"/>
      <c r="B52847" s="136"/>
    </row>
    <row r="52848" spans="1:2" x14ac:dyDescent="0.25">
      <c r="A52848" s="118"/>
      <c r="B52848" s="136"/>
    </row>
    <row r="52849" spans="1:2" x14ac:dyDescent="0.25">
      <c r="A52849" s="118"/>
      <c r="B52849" s="136"/>
    </row>
    <row r="52850" spans="1:2" x14ac:dyDescent="0.25">
      <c r="A52850" s="118"/>
      <c r="B52850" s="136"/>
    </row>
    <row r="52851" spans="1:2" x14ac:dyDescent="0.25">
      <c r="A52851" s="118"/>
      <c r="B52851" s="136"/>
    </row>
    <row r="52852" spans="1:2" x14ac:dyDescent="0.25">
      <c r="A52852" s="118"/>
      <c r="B52852" s="136"/>
    </row>
    <row r="52853" spans="1:2" x14ac:dyDescent="0.25">
      <c r="A52853" s="118"/>
      <c r="B52853" s="136"/>
    </row>
    <row r="52854" spans="1:2" x14ac:dyDescent="0.25">
      <c r="A52854" s="118"/>
      <c r="B52854" s="136"/>
    </row>
    <row r="52855" spans="1:2" x14ac:dyDescent="0.25">
      <c r="A52855" s="118"/>
      <c r="B52855" s="136"/>
    </row>
    <row r="52856" spans="1:2" x14ac:dyDescent="0.25">
      <c r="A52856" s="118"/>
      <c r="B52856" s="136"/>
    </row>
    <row r="52857" spans="1:2" x14ac:dyDescent="0.25">
      <c r="A52857" s="118"/>
      <c r="B52857" s="136"/>
    </row>
    <row r="52858" spans="1:2" x14ac:dyDescent="0.25">
      <c r="A52858" s="118"/>
      <c r="B52858" s="136"/>
    </row>
    <row r="52859" spans="1:2" x14ac:dyDescent="0.25">
      <c r="A52859" s="118"/>
      <c r="B52859" s="136"/>
    </row>
    <row r="52860" spans="1:2" x14ac:dyDescent="0.25">
      <c r="A52860" s="118"/>
      <c r="B52860" s="136"/>
    </row>
    <row r="52861" spans="1:2" x14ac:dyDescent="0.25">
      <c r="A52861" s="118"/>
      <c r="B52861" s="136"/>
    </row>
    <row r="52862" spans="1:2" x14ac:dyDescent="0.25">
      <c r="A52862" s="118"/>
      <c r="B52862" s="136"/>
    </row>
    <row r="52863" spans="1:2" x14ac:dyDescent="0.25">
      <c r="A52863" s="118"/>
      <c r="B52863" s="136"/>
    </row>
    <row r="52864" spans="1:2" x14ac:dyDescent="0.25">
      <c r="A52864" s="118"/>
      <c r="B52864" s="136"/>
    </row>
    <row r="52865" spans="1:2" x14ac:dyDescent="0.25">
      <c r="A52865" s="118"/>
      <c r="B52865" s="136"/>
    </row>
    <row r="52866" spans="1:2" x14ac:dyDescent="0.25">
      <c r="A52866" s="118"/>
      <c r="B52866" s="136"/>
    </row>
    <row r="52867" spans="1:2" x14ac:dyDescent="0.25">
      <c r="A52867" s="118"/>
      <c r="B52867" s="136"/>
    </row>
    <row r="52868" spans="1:2" x14ac:dyDescent="0.25">
      <c r="A52868" s="118"/>
      <c r="B52868" s="136"/>
    </row>
    <row r="52869" spans="1:2" x14ac:dyDescent="0.25">
      <c r="A52869" s="118"/>
      <c r="B52869" s="136"/>
    </row>
    <row r="52870" spans="1:2" x14ac:dyDescent="0.25">
      <c r="A52870" s="118"/>
      <c r="B52870" s="136"/>
    </row>
    <row r="52871" spans="1:2" x14ac:dyDescent="0.25">
      <c r="A52871" s="118"/>
      <c r="B52871" s="136"/>
    </row>
    <row r="52872" spans="1:2" x14ac:dyDescent="0.25">
      <c r="A52872" s="118"/>
      <c r="B52872" s="136"/>
    </row>
    <row r="52873" spans="1:2" x14ac:dyDescent="0.25">
      <c r="A52873" s="118"/>
      <c r="B52873" s="136"/>
    </row>
    <row r="52874" spans="1:2" x14ac:dyDescent="0.25">
      <c r="A52874" s="118"/>
      <c r="B52874" s="136"/>
    </row>
    <row r="52875" spans="1:2" x14ac:dyDescent="0.25">
      <c r="A52875" s="118"/>
      <c r="B52875" s="136"/>
    </row>
    <row r="52876" spans="1:2" x14ac:dyDescent="0.25">
      <c r="A52876" s="118"/>
      <c r="B52876" s="136"/>
    </row>
    <row r="52877" spans="1:2" x14ac:dyDescent="0.25">
      <c r="A52877" s="118"/>
      <c r="B52877" s="136"/>
    </row>
    <row r="52878" spans="1:2" x14ac:dyDescent="0.25">
      <c r="A52878" s="118"/>
      <c r="B52878" s="136"/>
    </row>
    <row r="52879" spans="1:2" x14ac:dyDescent="0.25">
      <c r="A52879" s="118"/>
      <c r="B52879" s="136"/>
    </row>
    <row r="52880" spans="1:2" x14ac:dyDescent="0.25">
      <c r="A52880" s="118"/>
      <c r="B52880" s="136"/>
    </row>
    <row r="52881" spans="1:2" x14ac:dyDescent="0.25">
      <c r="A52881" s="118"/>
      <c r="B52881" s="136"/>
    </row>
    <row r="52882" spans="1:2" x14ac:dyDescent="0.25">
      <c r="A52882" s="118"/>
      <c r="B52882" s="136"/>
    </row>
    <row r="52883" spans="1:2" x14ac:dyDescent="0.25">
      <c r="A52883" s="118"/>
      <c r="B52883" s="136"/>
    </row>
    <row r="52884" spans="1:2" x14ac:dyDescent="0.25">
      <c r="A52884" s="118"/>
      <c r="B52884" s="136"/>
    </row>
    <row r="52885" spans="1:2" x14ac:dyDescent="0.25">
      <c r="A52885" s="118"/>
      <c r="B52885" s="136"/>
    </row>
    <row r="52886" spans="1:2" x14ac:dyDescent="0.25">
      <c r="A52886" s="118"/>
      <c r="B52886" s="136"/>
    </row>
    <row r="52887" spans="1:2" x14ac:dyDescent="0.25">
      <c r="A52887" s="118"/>
      <c r="B52887" s="136"/>
    </row>
    <row r="52888" spans="1:2" x14ac:dyDescent="0.25">
      <c r="A52888" s="118"/>
      <c r="B52888" s="136"/>
    </row>
    <row r="52889" spans="1:2" x14ac:dyDescent="0.25">
      <c r="A52889" s="118"/>
      <c r="B52889" s="136"/>
    </row>
    <row r="52890" spans="1:2" x14ac:dyDescent="0.25">
      <c r="A52890" s="118"/>
      <c r="B52890" s="136"/>
    </row>
    <row r="52891" spans="1:2" x14ac:dyDescent="0.25">
      <c r="A52891" s="118"/>
      <c r="B52891" s="136"/>
    </row>
    <row r="52892" spans="1:2" x14ac:dyDescent="0.25">
      <c r="A52892" s="118"/>
      <c r="B52892" s="136"/>
    </row>
    <row r="52893" spans="1:2" x14ac:dyDescent="0.25">
      <c r="A52893" s="118"/>
      <c r="B52893" s="136"/>
    </row>
    <row r="52894" spans="1:2" x14ac:dyDescent="0.25">
      <c r="A52894" s="118"/>
      <c r="B52894" s="136"/>
    </row>
    <row r="52895" spans="1:2" x14ac:dyDescent="0.25">
      <c r="A52895" s="118"/>
      <c r="B52895" s="136"/>
    </row>
    <row r="52896" spans="1:2" x14ac:dyDescent="0.25">
      <c r="A52896" s="118"/>
      <c r="B52896" s="136"/>
    </row>
    <row r="52897" spans="1:2" x14ac:dyDescent="0.25">
      <c r="A52897" s="118"/>
      <c r="B52897" s="136"/>
    </row>
    <row r="52898" spans="1:2" x14ac:dyDescent="0.25">
      <c r="A52898" s="118"/>
      <c r="B52898" s="136"/>
    </row>
    <row r="52899" spans="1:2" x14ac:dyDescent="0.25">
      <c r="A52899" s="118"/>
      <c r="B52899" s="136"/>
    </row>
    <row r="52900" spans="1:2" x14ac:dyDescent="0.25">
      <c r="A52900" s="118"/>
      <c r="B52900" s="136"/>
    </row>
    <row r="52901" spans="1:2" x14ac:dyDescent="0.25">
      <c r="A52901" s="118"/>
      <c r="B52901" s="136"/>
    </row>
    <row r="52902" spans="1:2" x14ac:dyDescent="0.25">
      <c r="A52902" s="118"/>
      <c r="B52902" s="136"/>
    </row>
    <row r="52903" spans="1:2" x14ac:dyDescent="0.25">
      <c r="A52903" s="118"/>
      <c r="B52903" s="136"/>
    </row>
    <row r="52904" spans="1:2" x14ac:dyDescent="0.25">
      <c r="A52904" s="118"/>
      <c r="B52904" s="136"/>
    </row>
    <row r="52905" spans="1:2" x14ac:dyDescent="0.25">
      <c r="A52905" s="118"/>
      <c r="B52905" s="136"/>
    </row>
    <row r="52906" spans="1:2" x14ac:dyDescent="0.25">
      <c r="A52906" s="118"/>
      <c r="B52906" s="136"/>
    </row>
    <row r="52907" spans="1:2" x14ac:dyDescent="0.25">
      <c r="A52907" s="118"/>
      <c r="B52907" s="136"/>
    </row>
    <row r="52908" spans="1:2" x14ac:dyDescent="0.25">
      <c r="A52908" s="118"/>
      <c r="B52908" s="136"/>
    </row>
    <row r="52909" spans="1:2" x14ac:dyDescent="0.25">
      <c r="A52909" s="118"/>
      <c r="B52909" s="136"/>
    </row>
    <row r="52910" spans="1:2" x14ac:dyDescent="0.25">
      <c r="A52910" s="118"/>
      <c r="B52910" s="136"/>
    </row>
    <row r="52911" spans="1:2" x14ac:dyDescent="0.25">
      <c r="A52911" s="118"/>
      <c r="B52911" s="136"/>
    </row>
    <row r="52912" spans="1:2" x14ac:dyDescent="0.25">
      <c r="A52912" s="118"/>
      <c r="B52912" s="136"/>
    </row>
    <row r="52913" spans="1:2" x14ac:dyDescent="0.25">
      <c r="A52913" s="118"/>
      <c r="B52913" s="136"/>
    </row>
    <row r="52914" spans="1:2" x14ac:dyDescent="0.25">
      <c r="A52914" s="118"/>
      <c r="B52914" s="136"/>
    </row>
    <row r="52915" spans="1:2" x14ac:dyDescent="0.25">
      <c r="A52915" s="118"/>
      <c r="B52915" s="136"/>
    </row>
    <row r="52916" spans="1:2" x14ac:dyDescent="0.25">
      <c r="A52916" s="118"/>
      <c r="B52916" s="136"/>
    </row>
    <row r="52917" spans="1:2" x14ac:dyDescent="0.25">
      <c r="A52917" s="118"/>
      <c r="B52917" s="136"/>
    </row>
    <row r="52918" spans="1:2" x14ac:dyDescent="0.25">
      <c r="A52918" s="118"/>
      <c r="B52918" s="136"/>
    </row>
    <row r="52919" spans="1:2" x14ac:dyDescent="0.25">
      <c r="A52919" s="118"/>
      <c r="B52919" s="136"/>
    </row>
    <row r="52920" spans="1:2" x14ac:dyDescent="0.25">
      <c r="A52920" s="118"/>
      <c r="B52920" s="136"/>
    </row>
    <row r="52921" spans="1:2" x14ac:dyDescent="0.25">
      <c r="A52921" s="118"/>
      <c r="B52921" s="136"/>
    </row>
    <row r="52922" spans="1:2" x14ac:dyDescent="0.25">
      <c r="A52922" s="118"/>
      <c r="B52922" s="136"/>
    </row>
    <row r="52923" spans="1:2" x14ac:dyDescent="0.25">
      <c r="A52923" s="118"/>
      <c r="B52923" s="136"/>
    </row>
    <row r="52924" spans="1:2" x14ac:dyDescent="0.25">
      <c r="A52924" s="118"/>
      <c r="B52924" s="136"/>
    </row>
    <row r="52925" spans="1:2" x14ac:dyDescent="0.25">
      <c r="A52925" s="118"/>
      <c r="B52925" s="136"/>
    </row>
    <row r="52926" spans="1:2" x14ac:dyDescent="0.25">
      <c r="A52926" s="118"/>
      <c r="B52926" s="136"/>
    </row>
    <row r="52927" spans="1:2" x14ac:dyDescent="0.25">
      <c r="A52927" s="118"/>
      <c r="B52927" s="136"/>
    </row>
    <row r="52928" spans="1:2" x14ac:dyDescent="0.25">
      <c r="A52928" s="118"/>
      <c r="B52928" s="136"/>
    </row>
    <row r="52929" spans="1:2" x14ac:dyDescent="0.25">
      <c r="A52929" s="118"/>
      <c r="B52929" s="136"/>
    </row>
    <row r="52930" spans="1:2" x14ac:dyDescent="0.25">
      <c r="A52930" s="118"/>
      <c r="B52930" s="136"/>
    </row>
    <row r="52931" spans="1:2" x14ac:dyDescent="0.25">
      <c r="A52931" s="118"/>
      <c r="B52931" s="136"/>
    </row>
    <row r="52932" spans="1:2" x14ac:dyDescent="0.25">
      <c r="A52932" s="118"/>
      <c r="B52932" s="136"/>
    </row>
    <row r="52933" spans="1:2" x14ac:dyDescent="0.25">
      <c r="A52933" s="118"/>
      <c r="B52933" s="136"/>
    </row>
    <row r="52934" spans="1:2" x14ac:dyDescent="0.25">
      <c r="A52934" s="118"/>
      <c r="B52934" s="136"/>
    </row>
    <row r="52935" spans="1:2" x14ac:dyDescent="0.25">
      <c r="A52935" s="118"/>
      <c r="B52935" s="136"/>
    </row>
    <row r="52936" spans="1:2" x14ac:dyDescent="0.25">
      <c r="A52936" s="118"/>
      <c r="B52936" s="136"/>
    </row>
    <row r="52937" spans="1:2" x14ac:dyDescent="0.25">
      <c r="A52937" s="118"/>
      <c r="B52937" s="136"/>
    </row>
    <row r="52938" spans="1:2" x14ac:dyDescent="0.25">
      <c r="A52938" s="118"/>
      <c r="B52938" s="136"/>
    </row>
    <row r="52939" spans="1:2" x14ac:dyDescent="0.25">
      <c r="A52939" s="118"/>
      <c r="B52939" s="136"/>
    </row>
    <row r="52940" spans="1:2" x14ac:dyDescent="0.25">
      <c r="A52940" s="118"/>
      <c r="B52940" s="136"/>
    </row>
    <row r="52941" spans="1:2" x14ac:dyDescent="0.25">
      <c r="A52941" s="118"/>
      <c r="B52941" s="136"/>
    </row>
    <row r="52942" spans="1:2" x14ac:dyDescent="0.25">
      <c r="A52942" s="118"/>
      <c r="B52942" s="136"/>
    </row>
    <row r="52943" spans="1:2" x14ac:dyDescent="0.25">
      <c r="A52943" s="118"/>
      <c r="B52943" s="136"/>
    </row>
    <row r="52944" spans="1:2" x14ac:dyDescent="0.25">
      <c r="A52944" s="118"/>
      <c r="B52944" s="136"/>
    </row>
    <row r="52945" spans="1:2" x14ac:dyDescent="0.25">
      <c r="A52945" s="118"/>
      <c r="B52945" s="136"/>
    </row>
    <row r="52946" spans="1:2" x14ac:dyDescent="0.25">
      <c r="A52946" s="118"/>
      <c r="B52946" s="136"/>
    </row>
    <row r="52947" spans="1:2" x14ac:dyDescent="0.25">
      <c r="A52947" s="118"/>
      <c r="B52947" s="136"/>
    </row>
    <row r="52948" spans="1:2" x14ac:dyDescent="0.25">
      <c r="A52948" s="118"/>
      <c r="B52948" s="136"/>
    </row>
    <row r="52949" spans="1:2" x14ac:dyDescent="0.25">
      <c r="A52949" s="118"/>
      <c r="B52949" s="136"/>
    </row>
    <row r="52950" spans="1:2" x14ac:dyDescent="0.25">
      <c r="A52950" s="118"/>
      <c r="B52950" s="136"/>
    </row>
    <row r="52951" spans="1:2" x14ac:dyDescent="0.25">
      <c r="A52951" s="118"/>
      <c r="B52951" s="136"/>
    </row>
    <row r="52952" spans="1:2" x14ac:dyDescent="0.25">
      <c r="A52952" s="118"/>
      <c r="B52952" s="136"/>
    </row>
    <row r="52953" spans="1:2" x14ac:dyDescent="0.25">
      <c r="A52953" s="118"/>
      <c r="B52953" s="136"/>
    </row>
    <row r="52954" spans="1:2" x14ac:dyDescent="0.25">
      <c r="A52954" s="118"/>
      <c r="B52954" s="136"/>
    </row>
    <row r="52955" spans="1:2" x14ac:dyDescent="0.25">
      <c r="A52955" s="118"/>
      <c r="B52955" s="136"/>
    </row>
    <row r="52956" spans="1:2" x14ac:dyDescent="0.25">
      <c r="A52956" s="118"/>
      <c r="B52956" s="136"/>
    </row>
    <row r="52957" spans="1:2" x14ac:dyDescent="0.25">
      <c r="A52957" s="118"/>
      <c r="B52957" s="136"/>
    </row>
    <row r="52958" spans="1:2" x14ac:dyDescent="0.25">
      <c r="A52958" s="118"/>
      <c r="B52958" s="136"/>
    </row>
    <row r="52959" spans="1:2" x14ac:dyDescent="0.25">
      <c r="A52959" s="118"/>
      <c r="B52959" s="136"/>
    </row>
    <row r="52960" spans="1:2" x14ac:dyDescent="0.25">
      <c r="A52960" s="118"/>
      <c r="B52960" s="136"/>
    </row>
    <row r="52961" spans="1:2" x14ac:dyDescent="0.25">
      <c r="A52961" s="118"/>
      <c r="B52961" s="136"/>
    </row>
    <row r="52962" spans="1:2" x14ac:dyDescent="0.25">
      <c r="A52962" s="118"/>
      <c r="B52962" s="136"/>
    </row>
    <row r="52963" spans="1:2" x14ac:dyDescent="0.25">
      <c r="A52963" s="118"/>
      <c r="B52963" s="136"/>
    </row>
    <row r="52964" spans="1:2" x14ac:dyDescent="0.25">
      <c r="A52964" s="118"/>
      <c r="B52964" s="136"/>
    </row>
    <row r="52965" spans="1:2" x14ac:dyDescent="0.25">
      <c r="A52965" s="118"/>
      <c r="B52965" s="136"/>
    </row>
    <row r="52966" spans="1:2" x14ac:dyDescent="0.25">
      <c r="A52966" s="118"/>
      <c r="B52966" s="136"/>
    </row>
    <row r="52967" spans="1:2" x14ac:dyDescent="0.25">
      <c r="A52967" s="118"/>
      <c r="B52967" s="136"/>
    </row>
    <row r="52968" spans="1:2" x14ac:dyDescent="0.25">
      <c r="A52968" s="118"/>
      <c r="B52968" s="136"/>
    </row>
    <row r="52969" spans="1:2" x14ac:dyDescent="0.25">
      <c r="A52969" s="118"/>
      <c r="B52969" s="136"/>
    </row>
    <row r="52970" spans="1:2" x14ac:dyDescent="0.25">
      <c r="A52970" s="118"/>
      <c r="B52970" s="136"/>
    </row>
    <row r="52971" spans="1:2" x14ac:dyDescent="0.25">
      <c r="A52971" s="118"/>
      <c r="B52971" s="136"/>
    </row>
    <row r="52972" spans="1:2" x14ac:dyDescent="0.25">
      <c r="A52972" s="118"/>
      <c r="B52972" s="136"/>
    </row>
    <row r="52973" spans="1:2" x14ac:dyDescent="0.25">
      <c r="A52973" s="118"/>
      <c r="B52973" s="136"/>
    </row>
    <row r="52974" spans="1:2" x14ac:dyDescent="0.25">
      <c r="A52974" s="118"/>
      <c r="B52974" s="136"/>
    </row>
    <row r="52975" spans="1:2" x14ac:dyDescent="0.25">
      <c r="A52975" s="118"/>
      <c r="B52975" s="136"/>
    </row>
    <row r="52976" spans="1:2" x14ac:dyDescent="0.25">
      <c r="A52976" s="118"/>
      <c r="B52976" s="136"/>
    </row>
    <row r="52977" spans="1:2" x14ac:dyDescent="0.25">
      <c r="A52977" s="118"/>
      <c r="B52977" s="136"/>
    </row>
    <row r="52978" spans="1:2" x14ac:dyDescent="0.25">
      <c r="A52978" s="118"/>
      <c r="B52978" s="136"/>
    </row>
    <row r="52979" spans="1:2" x14ac:dyDescent="0.25">
      <c r="A52979" s="118"/>
      <c r="B52979" s="136"/>
    </row>
    <row r="52980" spans="1:2" x14ac:dyDescent="0.25">
      <c r="A52980" s="118"/>
      <c r="B52980" s="136"/>
    </row>
    <row r="52981" spans="1:2" x14ac:dyDescent="0.25">
      <c r="A52981" s="118"/>
      <c r="B52981" s="136"/>
    </row>
    <row r="52982" spans="1:2" x14ac:dyDescent="0.25">
      <c r="A52982" s="118"/>
      <c r="B52982" s="136"/>
    </row>
    <row r="52983" spans="1:2" x14ac:dyDescent="0.25">
      <c r="A52983" s="118"/>
      <c r="B52983" s="136"/>
    </row>
    <row r="52984" spans="1:2" x14ac:dyDescent="0.25">
      <c r="A52984" s="118"/>
      <c r="B52984" s="136"/>
    </row>
    <row r="52985" spans="1:2" x14ac:dyDescent="0.25">
      <c r="A52985" s="118"/>
      <c r="B52985" s="136"/>
    </row>
    <row r="52986" spans="1:2" x14ac:dyDescent="0.25">
      <c r="A52986" s="118"/>
      <c r="B52986" s="136"/>
    </row>
    <row r="52987" spans="1:2" x14ac:dyDescent="0.25">
      <c r="A52987" s="118"/>
      <c r="B52987" s="136"/>
    </row>
    <row r="52988" spans="1:2" x14ac:dyDescent="0.25">
      <c r="A52988" s="118"/>
      <c r="B52988" s="136"/>
    </row>
    <row r="52989" spans="1:2" x14ac:dyDescent="0.25">
      <c r="A52989" s="118"/>
      <c r="B52989" s="136"/>
    </row>
    <row r="52990" spans="1:2" x14ac:dyDescent="0.25">
      <c r="A52990" s="118"/>
      <c r="B52990" s="136"/>
    </row>
    <row r="52991" spans="1:2" x14ac:dyDescent="0.25">
      <c r="A52991" s="118"/>
      <c r="B52991" s="136"/>
    </row>
    <row r="52992" spans="1:2" x14ac:dyDescent="0.25">
      <c r="A52992" s="118"/>
      <c r="B52992" s="136"/>
    </row>
    <row r="52993" spans="1:2" x14ac:dyDescent="0.25">
      <c r="A52993" s="118"/>
      <c r="B52993" s="136"/>
    </row>
    <row r="52994" spans="1:2" x14ac:dyDescent="0.25">
      <c r="A52994" s="118"/>
      <c r="B52994" s="136"/>
    </row>
    <row r="52995" spans="1:2" x14ac:dyDescent="0.25">
      <c r="A52995" s="118"/>
      <c r="B52995" s="136"/>
    </row>
    <row r="52996" spans="1:2" x14ac:dyDescent="0.25">
      <c r="A52996" s="118"/>
      <c r="B52996" s="136"/>
    </row>
    <row r="52997" spans="1:2" x14ac:dyDescent="0.25">
      <c r="A52997" s="118"/>
      <c r="B52997" s="136"/>
    </row>
    <row r="52998" spans="1:2" x14ac:dyDescent="0.25">
      <c r="A52998" s="118"/>
      <c r="B52998" s="136"/>
    </row>
    <row r="52999" spans="1:2" x14ac:dyDescent="0.25">
      <c r="A52999" s="118"/>
      <c r="B52999" s="136"/>
    </row>
    <row r="53000" spans="1:2" x14ac:dyDescent="0.25">
      <c r="A53000" s="118"/>
      <c r="B53000" s="136"/>
    </row>
    <row r="53001" spans="1:2" x14ac:dyDescent="0.25">
      <c r="A53001" s="118"/>
      <c r="B53001" s="136"/>
    </row>
    <row r="53002" spans="1:2" x14ac:dyDescent="0.25">
      <c r="A53002" s="118"/>
      <c r="B53002" s="136"/>
    </row>
    <row r="53003" spans="1:2" x14ac:dyDescent="0.25">
      <c r="A53003" s="118"/>
      <c r="B53003" s="136"/>
    </row>
    <row r="53004" spans="1:2" x14ac:dyDescent="0.25">
      <c r="A53004" s="118"/>
      <c r="B53004" s="136"/>
    </row>
    <row r="53005" spans="1:2" x14ac:dyDescent="0.25">
      <c r="A53005" s="118"/>
      <c r="B53005" s="136"/>
    </row>
    <row r="53006" spans="1:2" x14ac:dyDescent="0.25">
      <c r="A53006" s="118"/>
      <c r="B53006" s="136"/>
    </row>
    <row r="53007" spans="1:2" x14ac:dyDescent="0.25">
      <c r="A53007" s="118"/>
      <c r="B53007" s="136"/>
    </row>
    <row r="53008" spans="1:2" x14ac:dyDescent="0.25">
      <c r="A53008" s="118"/>
      <c r="B53008" s="136"/>
    </row>
    <row r="53009" spans="1:2" x14ac:dyDescent="0.25">
      <c r="A53009" s="118"/>
      <c r="B53009" s="136"/>
    </row>
    <row r="53010" spans="1:2" x14ac:dyDescent="0.25">
      <c r="A53010" s="118"/>
      <c r="B53010" s="136"/>
    </row>
    <row r="53011" spans="1:2" x14ac:dyDescent="0.25">
      <c r="A53011" s="118"/>
      <c r="B53011" s="136"/>
    </row>
    <row r="53012" spans="1:2" x14ac:dyDescent="0.25">
      <c r="A53012" s="118"/>
      <c r="B53012" s="136"/>
    </row>
    <row r="53013" spans="1:2" x14ac:dyDescent="0.25">
      <c r="A53013" s="118"/>
      <c r="B53013" s="136"/>
    </row>
    <row r="53014" spans="1:2" x14ac:dyDescent="0.25">
      <c r="A53014" s="118"/>
      <c r="B53014" s="136"/>
    </row>
    <row r="53015" spans="1:2" x14ac:dyDescent="0.25">
      <c r="A53015" s="118"/>
      <c r="B53015" s="136"/>
    </row>
    <row r="53016" spans="1:2" x14ac:dyDescent="0.25">
      <c r="A53016" s="118"/>
      <c r="B53016" s="136"/>
    </row>
    <row r="53017" spans="1:2" x14ac:dyDescent="0.25">
      <c r="A53017" s="118"/>
      <c r="B53017" s="136"/>
    </row>
    <row r="53018" spans="1:2" x14ac:dyDescent="0.25">
      <c r="A53018" s="118"/>
      <c r="B53018" s="136"/>
    </row>
    <row r="53019" spans="1:2" x14ac:dyDescent="0.25">
      <c r="A53019" s="118"/>
      <c r="B53019" s="136"/>
    </row>
    <row r="53020" spans="1:2" x14ac:dyDescent="0.25">
      <c r="A53020" s="118"/>
      <c r="B53020" s="136"/>
    </row>
    <row r="53021" spans="1:2" x14ac:dyDescent="0.25">
      <c r="A53021" s="118"/>
      <c r="B53021" s="136"/>
    </row>
    <row r="53022" spans="1:2" x14ac:dyDescent="0.25">
      <c r="A53022" s="118"/>
      <c r="B53022" s="136"/>
    </row>
    <row r="53023" spans="1:2" x14ac:dyDescent="0.25">
      <c r="A53023" s="118"/>
      <c r="B53023" s="136"/>
    </row>
    <row r="53024" spans="1:2" x14ac:dyDescent="0.25">
      <c r="A53024" s="118"/>
      <c r="B53024" s="136"/>
    </row>
    <row r="53025" spans="1:2" x14ac:dyDescent="0.25">
      <c r="A53025" s="118"/>
      <c r="B53025" s="136"/>
    </row>
    <row r="53026" spans="1:2" x14ac:dyDescent="0.25">
      <c r="A53026" s="118"/>
      <c r="B53026" s="136"/>
    </row>
    <row r="53027" spans="1:2" x14ac:dyDescent="0.25">
      <c r="A53027" s="118"/>
      <c r="B53027" s="136"/>
    </row>
    <row r="53028" spans="1:2" x14ac:dyDescent="0.25">
      <c r="A53028" s="118"/>
      <c r="B53028" s="136"/>
    </row>
    <row r="53029" spans="1:2" x14ac:dyDescent="0.25">
      <c r="A53029" s="118"/>
      <c r="B53029" s="136"/>
    </row>
    <row r="53030" spans="1:2" x14ac:dyDescent="0.25">
      <c r="A53030" s="118"/>
      <c r="B53030" s="136"/>
    </row>
    <row r="53031" spans="1:2" x14ac:dyDescent="0.25">
      <c r="A53031" s="118"/>
      <c r="B53031" s="136"/>
    </row>
    <row r="53032" spans="1:2" x14ac:dyDescent="0.25">
      <c r="A53032" s="118"/>
      <c r="B53032" s="136"/>
    </row>
    <row r="53033" spans="1:2" x14ac:dyDescent="0.25">
      <c r="A53033" s="118"/>
      <c r="B53033" s="136"/>
    </row>
    <row r="53034" spans="1:2" x14ac:dyDescent="0.25">
      <c r="A53034" s="118"/>
      <c r="B53034" s="136"/>
    </row>
    <row r="53035" spans="1:2" x14ac:dyDescent="0.25">
      <c r="A53035" s="118"/>
      <c r="B53035" s="136"/>
    </row>
    <row r="53036" spans="1:2" x14ac:dyDescent="0.25">
      <c r="A53036" s="118"/>
      <c r="B53036" s="136"/>
    </row>
    <row r="53037" spans="1:2" x14ac:dyDescent="0.25">
      <c r="A53037" s="118"/>
      <c r="B53037" s="136"/>
    </row>
    <row r="53038" spans="1:2" x14ac:dyDescent="0.25">
      <c r="A53038" s="118"/>
      <c r="B53038" s="136"/>
    </row>
    <row r="53039" spans="1:2" x14ac:dyDescent="0.25">
      <c r="A53039" s="118"/>
      <c r="B53039" s="136"/>
    </row>
    <row r="53040" spans="1:2" x14ac:dyDescent="0.25">
      <c r="A53040" s="118"/>
      <c r="B53040" s="136"/>
    </row>
    <row r="53041" spans="1:2" x14ac:dyDescent="0.25">
      <c r="A53041" s="118"/>
      <c r="B53041" s="136"/>
    </row>
    <row r="53042" spans="1:2" x14ac:dyDescent="0.25">
      <c r="A53042" s="118"/>
      <c r="B53042" s="136"/>
    </row>
    <row r="53043" spans="1:2" x14ac:dyDescent="0.25">
      <c r="A53043" s="118"/>
      <c r="B53043" s="136"/>
    </row>
    <row r="53044" spans="1:2" x14ac:dyDescent="0.25">
      <c r="A53044" s="118"/>
      <c r="B53044" s="136"/>
    </row>
    <row r="53045" spans="1:2" x14ac:dyDescent="0.25">
      <c r="A53045" s="118"/>
      <c r="B53045" s="136"/>
    </row>
    <row r="53046" spans="1:2" x14ac:dyDescent="0.25">
      <c r="A53046" s="118"/>
      <c r="B53046" s="136"/>
    </row>
    <row r="53047" spans="1:2" x14ac:dyDescent="0.25">
      <c r="A53047" s="118"/>
      <c r="B53047" s="136"/>
    </row>
    <row r="53048" spans="1:2" x14ac:dyDescent="0.25">
      <c r="A53048" s="118"/>
      <c r="B53048" s="136"/>
    </row>
    <row r="53049" spans="1:2" x14ac:dyDescent="0.25">
      <c r="A53049" s="118"/>
      <c r="B53049" s="136"/>
    </row>
    <row r="53050" spans="1:2" x14ac:dyDescent="0.25">
      <c r="A53050" s="118"/>
      <c r="B53050" s="136"/>
    </row>
    <row r="53051" spans="1:2" x14ac:dyDescent="0.25">
      <c r="A53051" s="118"/>
      <c r="B53051" s="136"/>
    </row>
    <row r="53052" spans="1:2" x14ac:dyDescent="0.25">
      <c r="A53052" s="118"/>
      <c r="B53052" s="136"/>
    </row>
    <row r="53053" spans="1:2" x14ac:dyDescent="0.25">
      <c r="A53053" s="118"/>
      <c r="B53053" s="136"/>
    </row>
    <row r="53054" spans="1:2" x14ac:dyDescent="0.25">
      <c r="A53054" s="118"/>
      <c r="B53054" s="136"/>
    </row>
    <row r="53055" spans="1:2" x14ac:dyDescent="0.25">
      <c r="A53055" s="118"/>
      <c r="B53055" s="136"/>
    </row>
    <row r="53056" spans="1:2" x14ac:dyDescent="0.25">
      <c r="A53056" s="118"/>
      <c r="B53056" s="136"/>
    </row>
    <row r="53057" spans="1:2" x14ac:dyDescent="0.25">
      <c r="A53057" s="118"/>
      <c r="B53057" s="136"/>
    </row>
    <row r="53058" spans="1:2" x14ac:dyDescent="0.25">
      <c r="A53058" s="118"/>
      <c r="B53058" s="136"/>
    </row>
    <row r="53059" spans="1:2" x14ac:dyDescent="0.25">
      <c r="A53059" s="118"/>
      <c r="B53059" s="136"/>
    </row>
    <row r="53060" spans="1:2" x14ac:dyDescent="0.25">
      <c r="A53060" s="118"/>
      <c r="B53060" s="136"/>
    </row>
    <row r="53061" spans="1:2" x14ac:dyDescent="0.25">
      <c r="A53061" s="118"/>
      <c r="B53061" s="136"/>
    </row>
    <row r="53062" spans="1:2" x14ac:dyDescent="0.25">
      <c r="A53062" s="118"/>
      <c r="B53062" s="136"/>
    </row>
    <row r="53063" spans="1:2" x14ac:dyDescent="0.25">
      <c r="A53063" s="118"/>
      <c r="B53063" s="136"/>
    </row>
    <row r="53064" spans="1:2" x14ac:dyDescent="0.25">
      <c r="A53064" s="118"/>
      <c r="B53064" s="136"/>
    </row>
    <row r="53065" spans="1:2" x14ac:dyDescent="0.25">
      <c r="A53065" s="118"/>
      <c r="B53065" s="136"/>
    </row>
    <row r="53066" spans="1:2" x14ac:dyDescent="0.25">
      <c r="A53066" s="118"/>
      <c r="B53066" s="136"/>
    </row>
    <row r="53067" spans="1:2" x14ac:dyDescent="0.25">
      <c r="A53067" s="118"/>
      <c r="B53067" s="136"/>
    </row>
    <row r="53068" spans="1:2" x14ac:dyDescent="0.25">
      <c r="A53068" s="118"/>
      <c r="B53068" s="136"/>
    </row>
    <row r="53069" spans="1:2" x14ac:dyDescent="0.25">
      <c r="A53069" s="118"/>
      <c r="B53069" s="136"/>
    </row>
    <row r="53070" spans="1:2" x14ac:dyDescent="0.25">
      <c r="A53070" s="118"/>
      <c r="B53070" s="136"/>
    </row>
    <row r="53071" spans="1:2" x14ac:dyDescent="0.25">
      <c r="A53071" s="118"/>
      <c r="B53071" s="136"/>
    </row>
    <row r="53072" spans="1:2" x14ac:dyDescent="0.25">
      <c r="A53072" s="118"/>
      <c r="B53072" s="136"/>
    </row>
    <row r="53073" spans="1:2" x14ac:dyDescent="0.25">
      <c r="A53073" s="118"/>
      <c r="B53073" s="136"/>
    </row>
    <row r="53074" spans="1:2" x14ac:dyDescent="0.25">
      <c r="A53074" s="118"/>
      <c r="B53074" s="136"/>
    </row>
    <row r="53075" spans="1:2" x14ac:dyDescent="0.25">
      <c r="A53075" s="118"/>
      <c r="B53075" s="136"/>
    </row>
    <row r="53076" spans="1:2" x14ac:dyDescent="0.25">
      <c r="A53076" s="118"/>
      <c r="B53076" s="136"/>
    </row>
    <row r="53077" spans="1:2" x14ac:dyDescent="0.25">
      <c r="A53077" s="118"/>
      <c r="B53077" s="136"/>
    </row>
    <row r="53078" spans="1:2" x14ac:dyDescent="0.25">
      <c r="A53078" s="118"/>
      <c r="B53078" s="136"/>
    </row>
    <row r="53079" spans="1:2" x14ac:dyDescent="0.25">
      <c r="A53079" s="118"/>
      <c r="B53079" s="136"/>
    </row>
    <row r="53080" spans="1:2" x14ac:dyDescent="0.25">
      <c r="A53080" s="118"/>
      <c r="B53080" s="136"/>
    </row>
    <row r="53081" spans="1:2" x14ac:dyDescent="0.25">
      <c r="A53081" s="118"/>
      <c r="B53081" s="136"/>
    </row>
    <row r="53082" spans="1:2" x14ac:dyDescent="0.25">
      <c r="A53082" s="118"/>
      <c r="B53082" s="136"/>
    </row>
    <row r="53083" spans="1:2" x14ac:dyDescent="0.25">
      <c r="A53083" s="118"/>
      <c r="B53083" s="136"/>
    </row>
    <row r="53084" spans="1:2" x14ac:dyDescent="0.25">
      <c r="A53084" s="118"/>
      <c r="B53084" s="136"/>
    </row>
    <row r="53085" spans="1:2" x14ac:dyDescent="0.25">
      <c r="A53085" s="118"/>
      <c r="B53085" s="136"/>
    </row>
    <row r="53086" spans="1:2" x14ac:dyDescent="0.25">
      <c r="A53086" s="118"/>
      <c r="B53086" s="136"/>
    </row>
    <row r="53087" spans="1:2" x14ac:dyDescent="0.25">
      <c r="A53087" s="118"/>
      <c r="B53087" s="136"/>
    </row>
    <row r="53088" spans="1:2" x14ac:dyDescent="0.25">
      <c r="A53088" s="118"/>
      <c r="B53088" s="136"/>
    </row>
    <row r="53089" spans="1:2" x14ac:dyDescent="0.25">
      <c r="A53089" s="118"/>
      <c r="B53089" s="136"/>
    </row>
    <row r="53090" spans="1:2" x14ac:dyDescent="0.25">
      <c r="A53090" s="118"/>
      <c r="B53090" s="136"/>
    </row>
    <row r="53091" spans="1:2" x14ac:dyDescent="0.25">
      <c r="A53091" s="118"/>
      <c r="B53091" s="136"/>
    </row>
    <row r="53092" spans="1:2" x14ac:dyDescent="0.25">
      <c r="A53092" s="118"/>
      <c r="B53092" s="136"/>
    </row>
    <row r="53093" spans="1:2" x14ac:dyDescent="0.25">
      <c r="A53093" s="118"/>
      <c r="B53093" s="136"/>
    </row>
    <row r="53094" spans="1:2" x14ac:dyDescent="0.25">
      <c r="A53094" s="118"/>
      <c r="B53094" s="136"/>
    </row>
    <row r="53095" spans="1:2" x14ac:dyDescent="0.25">
      <c r="A53095" s="118"/>
      <c r="B53095" s="136"/>
    </row>
    <row r="53096" spans="1:2" x14ac:dyDescent="0.25">
      <c r="A53096" s="118"/>
      <c r="B53096" s="136"/>
    </row>
    <row r="53097" spans="1:2" x14ac:dyDescent="0.25">
      <c r="A53097" s="118"/>
      <c r="B53097" s="136"/>
    </row>
    <row r="53098" spans="1:2" x14ac:dyDescent="0.25">
      <c r="A53098" s="118"/>
      <c r="B53098" s="136"/>
    </row>
    <row r="53099" spans="1:2" x14ac:dyDescent="0.25">
      <c r="A53099" s="118"/>
      <c r="B53099" s="136"/>
    </row>
    <row r="53100" spans="1:2" x14ac:dyDescent="0.25">
      <c r="A53100" s="118"/>
      <c r="B53100" s="136"/>
    </row>
    <row r="53101" spans="1:2" x14ac:dyDescent="0.25">
      <c r="A53101" s="118"/>
      <c r="B53101" s="136"/>
    </row>
    <row r="53102" spans="1:2" x14ac:dyDescent="0.25">
      <c r="A53102" s="118"/>
      <c r="B53102" s="136"/>
    </row>
    <row r="53103" spans="1:2" x14ac:dyDescent="0.25">
      <c r="A53103" s="118"/>
      <c r="B53103" s="136"/>
    </row>
    <row r="53104" spans="1:2" x14ac:dyDescent="0.25">
      <c r="A53104" s="118"/>
      <c r="B53104" s="136"/>
    </row>
    <row r="53105" spans="1:2" x14ac:dyDescent="0.25">
      <c r="A53105" s="118"/>
      <c r="B53105" s="136"/>
    </row>
    <row r="53106" spans="1:2" x14ac:dyDescent="0.25">
      <c r="A53106" s="118"/>
      <c r="B53106" s="136"/>
    </row>
    <row r="53107" spans="1:2" x14ac:dyDescent="0.25">
      <c r="A53107" s="118"/>
      <c r="B53107" s="136"/>
    </row>
    <row r="53108" spans="1:2" x14ac:dyDescent="0.25">
      <c r="A53108" s="118"/>
      <c r="B53108" s="136"/>
    </row>
    <row r="53109" spans="1:2" x14ac:dyDescent="0.25">
      <c r="A53109" s="118"/>
      <c r="B53109" s="136"/>
    </row>
    <row r="53110" spans="1:2" x14ac:dyDescent="0.25">
      <c r="A53110" s="118"/>
      <c r="B53110" s="136"/>
    </row>
    <row r="53111" spans="1:2" x14ac:dyDescent="0.25">
      <c r="A53111" s="118"/>
      <c r="B53111" s="136"/>
    </row>
    <row r="53112" spans="1:2" x14ac:dyDescent="0.25">
      <c r="A53112" s="118"/>
      <c r="B53112" s="136"/>
    </row>
    <row r="53113" spans="1:2" x14ac:dyDescent="0.25">
      <c r="A53113" s="118"/>
      <c r="B53113" s="136"/>
    </row>
    <row r="53114" spans="1:2" x14ac:dyDescent="0.25">
      <c r="A53114" s="118"/>
      <c r="B53114" s="136"/>
    </row>
    <row r="53115" spans="1:2" x14ac:dyDescent="0.25">
      <c r="A53115" s="118"/>
      <c r="B53115" s="136"/>
    </row>
    <row r="53116" spans="1:2" x14ac:dyDescent="0.25">
      <c r="A53116" s="118"/>
      <c r="B53116" s="136"/>
    </row>
    <row r="53117" spans="1:2" x14ac:dyDescent="0.25">
      <c r="A53117" s="118"/>
      <c r="B53117" s="136"/>
    </row>
    <row r="53118" spans="1:2" x14ac:dyDescent="0.25">
      <c r="A53118" s="118"/>
      <c r="B53118" s="136"/>
    </row>
    <row r="53119" spans="1:2" x14ac:dyDescent="0.25">
      <c r="A53119" s="118"/>
      <c r="B53119" s="136"/>
    </row>
    <row r="53120" spans="1:2" x14ac:dyDescent="0.25">
      <c r="A53120" s="118"/>
      <c r="B53120" s="136"/>
    </row>
    <row r="53121" spans="1:2" x14ac:dyDescent="0.25">
      <c r="A53121" s="118"/>
      <c r="B53121" s="136"/>
    </row>
    <row r="53122" spans="1:2" x14ac:dyDescent="0.25">
      <c r="A53122" s="118"/>
      <c r="B53122" s="136"/>
    </row>
    <row r="53123" spans="1:2" x14ac:dyDescent="0.25">
      <c r="A53123" s="118"/>
      <c r="B53123" s="136"/>
    </row>
    <row r="53124" spans="1:2" x14ac:dyDescent="0.25">
      <c r="A53124" s="118"/>
      <c r="B53124" s="136"/>
    </row>
    <row r="53125" spans="1:2" x14ac:dyDescent="0.25">
      <c r="A53125" s="118"/>
      <c r="B53125" s="136"/>
    </row>
    <row r="53126" spans="1:2" x14ac:dyDescent="0.25">
      <c r="A53126" s="118"/>
      <c r="B53126" s="136"/>
    </row>
    <row r="53127" spans="1:2" x14ac:dyDescent="0.25">
      <c r="A53127" s="118"/>
      <c r="B53127" s="136"/>
    </row>
    <row r="53128" spans="1:2" x14ac:dyDescent="0.25">
      <c r="A53128" s="118"/>
      <c r="B53128" s="136"/>
    </row>
    <row r="53129" spans="1:2" x14ac:dyDescent="0.25">
      <c r="A53129" s="118"/>
      <c r="B53129" s="136"/>
    </row>
    <row r="53130" spans="1:2" x14ac:dyDescent="0.25">
      <c r="A53130" s="118"/>
      <c r="B53130" s="136"/>
    </row>
    <row r="53131" spans="1:2" x14ac:dyDescent="0.25">
      <c r="A53131" s="118"/>
      <c r="B53131" s="136"/>
    </row>
    <row r="53132" spans="1:2" x14ac:dyDescent="0.25">
      <c r="A53132" s="118"/>
      <c r="B53132" s="136"/>
    </row>
    <row r="53133" spans="1:2" x14ac:dyDescent="0.25">
      <c r="A53133" s="118"/>
      <c r="B53133" s="136"/>
    </row>
    <row r="53134" spans="1:2" x14ac:dyDescent="0.25">
      <c r="A53134" s="118"/>
      <c r="B53134" s="136"/>
    </row>
    <row r="53135" spans="1:2" x14ac:dyDescent="0.25">
      <c r="A53135" s="118"/>
      <c r="B53135" s="136"/>
    </row>
    <row r="53136" spans="1:2" x14ac:dyDescent="0.25">
      <c r="A53136" s="118"/>
      <c r="B53136" s="136"/>
    </row>
    <row r="53137" spans="1:2" x14ac:dyDescent="0.25">
      <c r="A53137" s="118"/>
      <c r="B53137" s="136"/>
    </row>
    <row r="53138" spans="1:2" x14ac:dyDescent="0.25">
      <c r="A53138" s="118"/>
      <c r="B53138" s="136"/>
    </row>
    <row r="53139" spans="1:2" x14ac:dyDescent="0.25">
      <c r="A53139" s="118"/>
      <c r="B53139" s="136"/>
    </row>
    <row r="53140" spans="1:2" x14ac:dyDescent="0.25">
      <c r="A53140" s="118"/>
      <c r="B53140" s="136"/>
    </row>
    <row r="53141" spans="1:2" x14ac:dyDescent="0.25">
      <c r="A53141" s="118"/>
      <c r="B53141" s="136"/>
    </row>
    <row r="53142" spans="1:2" x14ac:dyDescent="0.25">
      <c r="A53142" s="118"/>
      <c r="B53142" s="136"/>
    </row>
    <row r="53143" spans="1:2" x14ac:dyDescent="0.25">
      <c r="A53143" s="118"/>
      <c r="B53143" s="136"/>
    </row>
    <row r="53144" spans="1:2" x14ac:dyDescent="0.25">
      <c r="A53144" s="118"/>
      <c r="B53144" s="136"/>
    </row>
    <row r="53145" spans="1:2" x14ac:dyDescent="0.25">
      <c r="A53145" s="118"/>
      <c r="B53145" s="136"/>
    </row>
    <row r="53146" spans="1:2" x14ac:dyDescent="0.25">
      <c r="A53146" s="118"/>
      <c r="B53146" s="136"/>
    </row>
    <row r="53147" spans="1:2" x14ac:dyDescent="0.25">
      <c r="A53147" s="118"/>
      <c r="B53147" s="136"/>
    </row>
    <row r="53148" spans="1:2" x14ac:dyDescent="0.25">
      <c r="A53148" s="118"/>
      <c r="B53148" s="136"/>
    </row>
    <row r="53149" spans="1:2" x14ac:dyDescent="0.25">
      <c r="A53149" s="118"/>
      <c r="B53149" s="136"/>
    </row>
    <row r="53150" spans="1:2" x14ac:dyDescent="0.25">
      <c r="A53150" s="118"/>
      <c r="B53150" s="136"/>
    </row>
    <row r="53151" spans="1:2" x14ac:dyDescent="0.25">
      <c r="A53151" s="118"/>
      <c r="B53151" s="136"/>
    </row>
    <row r="53152" spans="1:2" x14ac:dyDescent="0.25">
      <c r="A53152" s="118"/>
      <c r="B53152" s="136"/>
    </row>
    <row r="53153" spans="1:2" x14ac:dyDescent="0.25">
      <c r="A53153" s="118"/>
      <c r="B53153" s="136"/>
    </row>
    <row r="53154" spans="1:2" x14ac:dyDescent="0.25">
      <c r="A53154" s="118"/>
      <c r="B53154" s="136"/>
    </row>
    <row r="53155" spans="1:2" x14ac:dyDescent="0.25">
      <c r="A53155" s="118"/>
      <c r="B53155" s="136"/>
    </row>
    <row r="53156" spans="1:2" x14ac:dyDescent="0.25">
      <c r="A53156" s="118"/>
      <c r="B53156" s="136"/>
    </row>
    <row r="53157" spans="1:2" x14ac:dyDescent="0.25">
      <c r="A53157" s="118"/>
      <c r="B53157" s="136"/>
    </row>
    <row r="53158" spans="1:2" x14ac:dyDescent="0.25">
      <c r="A53158" s="118"/>
      <c r="B53158" s="136"/>
    </row>
    <row r="53159" spans="1:2" x14ac:dyDescent="0.25">
      <c r="A53159" s="118"/>
      <c r="B53159" s="136"/>
    </row>
    <row r="53160" spans="1:2" x14ac:dyDescent="0.25">
      <c r="A53160" s="118"/>
      <c r="B53160" s="136"/>
    </row>
    <row r="53161" spans="1:2" x14ac:dyDescent="0.25">
      <c r="A53161" s="118"/>
      <c r="B53161" s="136"/>
    </row>
    <row r="53162" spans="1:2" x14ac:dyDescent="0.25">
      <c r="A53162" s="118"/>
      <c r="B53162" s="136"/>
    </row>
    <row r="53163" spans="1:2" x14ac:dyDescent="0.25">
      <c r="A53163" s="118"/>
      <c r="B53163" s="136"/>
    </row>
    <row r="53164" spans="1:2" x14ac:dyDescent="0.25">
      <c r="A53164" s="118"/>
      <c r="B53164" s="136"/>
    </row>
    <row r="53165" spans="1:2" x14ac:dyDescent="0.25">
      <c r="A53165" s="118"/>
      <c r="B53165" s="136"/>
    </row>
    <row r="53166" spans="1:2" x14ac:dyDescent="0.25">
      <c r="A53166" s="118"/>
      <c r="B53166" s="136"/>
    </row>
    <row r="53167" spans="1:2" x14ac:dyDescent="0.25">
      <c r="A53167" s="118"/>
      <c r="B53167" s="136"/>
    </row>
    <row r="53168" spans="1:2" x14ac:dyDescent="0.25">
      <c r="A53168" s="118"/>
      <c r="B53168" s="136"/>
    </row>
    <row r="53169" spans="1:2" x14ac:dyDescent="0.25">
      <c r="A53169" s="118"/>
      <c r="B53169" s="136"/>
    </row>
    <row r="53170" spans="1:2" x14ac:dyDescent="0.25">
      <c r="A53170" s="118"/>
      <c r="B53170" s="136"/>
    </row>
    <row r="53171" spans="1:2" x14ac:dyDescent="0.25">
      <c r="A53171" s="118"/>
      <c r="B53171" s="136"/>
    </row>
    <row r="53172" spans="1:2" x14ac:dyDescent="0.25">
      <c r="A53172" s="118"/>
      <c r="B53172" s="136"/>
    </row>
    <row r="53173" spans="1:2" x14ac:dyDescent="0.25">
      <c r="A53173" s="118"/>
      <c r="B53173" s="136"/>
    </row>
    <row r="53174" spans="1:2" x14ac:dyDescent="0.25">
      <c r="A53174" s="118"/>
      <c r="B53174" s="136"/>
    </row>
    <row r="53175" spans="1:2" x14ac:dyDescent="0.25">
      <c r="A53175" s="118"/>
      <c r="B53175" s="136"/>
    </row>
    <row r="53176" spans="1:2" x14ac:dyDescent="0.25">
      <c r="A53176" s="118"/>
      <c r="B53176" s="136"/>
    </row>
    <row r="53177" spans="1:2" x14ac:dyDescent="0.25">
      <c r="A53177" s="118"/>
      <c r="B53177" s="136"/>
    </row>
    <row r="53178" spans="1:2" x14ac:dyDescent="0.25">
      <c r="A53178" s="118"/>
      <c r="B53178" s="136"/>
    </row>
    <row r="53179" spans="1:2" x14ac:dyDescent="0.25">
      <c r="A53179" s="118"/>
      <c r="B53179" s="136"/>
    </row>
    <row r="53180" spans="1:2" x14ac:dyDescent="0.25">
      <c r="A53180" s="118"/>
      <c r="B53180" s="136"/>
    </row>
    <row r="53181" spans="1:2" x14ac:dyDescent="0.25">
      <c r="A53181" s="118"/>
      <c r="B53181" s="136"/>
    </row>
    <row r="53182" spans="1:2" x14ac:dyDescent="0.25">
      <c r="A53182" s="118"/>
      <c r="B53182" s="136"/>
    </row>
    <row r="53183" spans="1:2" x14ac:dyDescent="0.25">
      <c r="A53183" s="118"/>
      <c r="B53183" s="136"/>
    </row>
    <row r="53184" spans="1:2" x14ac:dyDescent="0.25">
      <c r="A53184" s="118"/>
      <c r="B53184" s="136"/>
    </row>
    <row r="53185" spans="1:2" x14ac:dyDescent="0.25">
      <c r="A53185" s="118"/>
      <c r="B53185" s="136"/>
    </row>
    <row r="53186" spans="1:2" x14ac:dyDescent="0.25">
      <c r="A53186" s="118"/>
      <c r="B53186" s="136"/>
    </row>
    <row r="53187" spans="1:2" x14ac:dyDescent="0.25">
      <c r="A53187" s="118"/>
      <c r="B53187" s="136"/>
    </row>
    <row r="53188" spans="1:2" x14ac:dyDescent="0.25">
      <c r="A53188" s="118"/>
      <c r="B53188" s="136"/>
    </row>
    <row r="53189" spans="1:2" x14ac:dyDescent="0.25">
      <c r="A53189" s="118"/>
      <c r="B53189" s="136"/>
    </row>
    <row r="53190" spans="1:2" x14ac:dyDescent="0.25">
      <c r="A53190" s="118"/>
      <c r="B53190" s="136"/>
    </row>
    <row r="53191" spans="1:2" x14ac:dyDescent="0.25">
      <c r="A53191" s="118"/>
      <c r="B53191" s="136"/>
    </row>
    <row r="53192" spans="1:2" x14ac:dyDescent="0.25">
      <c r="A53192" s="118"/>
      <c r="B53192" s="136"/>
    </row>
    <row r="53193" spans="1:2" x14ac:dyDescent="0.25">
      <c r="A53193" s="118"/>
      <c r="B53193" s="136"/>
    </row>
    <row r="53194" spans="1:2" x14ac:dyDescent="0.25">
      <c r="A53194" s="118"/>
      <c r="B53194" s="136"/>
    </row>
    <row r="53195" spans="1:2" x14ac:dyDescent="0.25">
      <c r="A53195" s="118"/>
      <c r="B53195" s="136"/>
    </row>
    <row r="53196" spans="1:2" x14ac:dyDescent="0.25">
      <c r="A53196" s="118"/>
      <c r="B53196" s="136"/>
    </row>
    <row r="53197" spans="1:2" x14ac:dyDescent="0.25">
      <c r="A53197" s="118"/>
      <c r="B53197" s="136"/>
    </row>
    <row r="53198" spans="1:2" x14ac:dyDescent="0.25">
      <c r="A53198" s="118"/>
      <c r="B53198" s="136"/>
    </row>
    <row r="53199" spans="1:2" x14ac:dyDescent="0.25">
      <c r="A53199" s="118"/>
      <c r="B53199" s="136"/>
    </row>
    <row r="53200" spans="1:2" x14ac:dyDescent="0.25">
      <c r="A53200" s="118"/>
      <c r="B53200" s="136"/>
    </row>
    <row r="53201" spans="1:2" x14ac:dyDescent="0.25">
      <c r="A53201" s="118"/>
      <c r="B53201" s="136"/>
    </row>
    <row r="53202" spans="1:2" x14ac:dyDescent="0.25">
      <c r="A53202" s="118"/>
      <c r="B53202" s="136"/>
    </row>
    <row r="53203" spans="1:2" x14ac:dyDescent="0.25">
      <c r="A53203" s="118"/>
      <c r="B53203" s="136"/>
    </row>
    <row r="53204" spans="1:2" x14ac:dyDescent="0.25">
      <c r="A53204" s="118"/>
      <c r="B53204" s="136"/>
    </row>
    <row r="53205" spans="1:2" x14ac:dyDescent="0.25">
      <c r="A53205" s="118"/>
      <c r="B53205" s="136"/>
    </row>
    <row r="53206" spans="1:2" x14ac:dyDescent="0.25">
      <c r="A53206" s="118"/>
      <c r="B53206" s="136"/>
    </row>
    <row r="53207" spans="1:2" x14ac:dyDescent="0.25">
      <c r="A53207" s="118"/>
      <c r="B53207" s="136"/>
    </row>
    <row r="53208" spans="1:2" x14ac:dyDescent="0.25">
      <c r="A53208" s="118"/>
      <c r="B53208" s="136"/>
    </row>
    <row r="53209" spans="1:2" x14ac:dyDescent="0.25">
      <c r="A53209" s="118"/>
      <c r="B53209" s="136"/>
    </row>
    <row r="53210" spans="1:2" x14ac:dyDescent="0.25">
      <c r="A53210" s="118"/>
      <c r="B53210" s="136"/>
    </row>
    <row r="53211" spans="1:2" x14ac:dyDescent="0.25">
      <c r="A53211" s="118"/>
      <c r="B53211" s="136"/>
    </row>
    <row r="53212" spans="1:2" x14ac:dyDescent="0.25">
      <c r="A53212" s="118"/>
      <c r="B53212" s="136"/>
    </row>
    <row r="53213" spans="1:2" x14ac:dyDescent="0.25">
      <c r="A53213" s="118"/>
      <c r="B53213" s="136"/>
    </row>
    <row r="53214" spans="1:2" x14ac:dyDescent="0.25">
      <c r="A53214" s="118"/>
      <c r="B53214" s="136"/>
    </row>
    <row r="53215" spans="1:2" x14ac:dyDescent="0.25">
      <c r="A53215" s="118"/>
      <c r="B53215" s="136"/>
    </row>
    <row r="53216" spans="1:2" x14ac:dyDescent="0.25">
      <c r="A53216" s="118"/>
      <c r="B53216" s="136"/>
    </row>
    <row r="53217" spans="1:2" x14ac:dyDescent="0.25">
      <c r="A53217" s="118"/>
      <c r="B53217" s="136"/>
    </row>
    <row r="53218" spans="1:2" x14ac:dyDescent="0.25">
      <c r="A53218" s="118"/>
      <c r="B53218" s="136"/>
    </row>
    <row r="53219" spans="1:2" x14ac:dyDescent="0.25">
      <c r="A53219" s="118"/>
      <c r="B53219" s="136"/>
    </row>
    <row r="53220" spans="1:2" x14ac:dyDescent="0.25">
      <c r="A53220" s="118"/>
      <c r="B53220" s="136"/>
    </row>
    <row r="53221" spans="1:2" x14ac:dyDescent="0.25">
      <c r="A53221" s="118"/>
      <c r="B53221" s="136"/>
    </row>
    <row r="53222" spans="1:2" x14ac:dyDescent="0.25">
      <c r="A53222" s="118"/>
      <c r="B53222" s="136"/>
    </row>
    <row r="53223" spans="1:2" x14ac:dyDescent="0.25">
      <c r="A53223" s="118"/>
      <c r="B53223" s="136"/>
    </row>
    <row r="53224" spans="1:2" x14ac:dyDescent="0.25">
      <c r="A53224" s="118"/>
      <c r="B53224" s="136"/>
    </row>
    <row r="53225" spans="1:2" x14ac:dyDescent="0.25">
      <c r="A53225" s="118"/>
      <c r="B53225" s="136"/>
    </row>
    <row r="53226" spans="1:2" x14ac:dyDescent="0.25">
      <c r="A53226" s="118"/>
      <c r="B53226" s="136"/>
    </row>
    <row r="53227" spans="1:2" x14ac:dyDescent="0.25">
      <c r="A53227" s="118"/>
      <c r="B53227" s="136"/>
    </row>
    <row r="53228" spans="1:2" x14ac:dyDescent="0.25">
      <c r="A53228" s="118"/>
      <c r="B53228" s="136"/>
    </row>
    <row r="53229" spans="1:2" x14ac:dyDescent="0.25">
      <c r="A53229" s="118"/>
      <c r="B53229" s="136"/>
    </row>
    <row r="53230" spans="1:2" x14ac:dyDescent="0.25">
      <c r="A53230" s="118"/>
      <c r="B53230" s="136"/>
    </row>
    <row r="53231" spans="1:2" x14ac:dyDescent="0.25">
      <c r="A53231" s="118"/>
      <c r="B53231" s="136"/>
    </row>
    <row r="53232" spans="1:2" x14ac:dyDescent="0.25">
      <c r="A53232" s="118"/>
      <c r="B53232" s="136"/>
    </row>
    <row r="53233" spans="1:2" x14ac:dyDescent="0.25">
      <c r="A53233" s="118"/>
      <c r="B53233" s="136"/>
    </row>
    <row r="53234" spans="1:2" x14ac:dyDescent="0.25">
      <c r="A53234" s="118"/>
      <c r="B53234" s="136"/>
    </row>
    <row r="53235" spans="1:2" x14ac:dyDescent="0.25">
      <c r="A53235" s="118"/>
      <c r="B53235" s="136"/>
    </row>
    <row r="53236" spans="1:2" x14ac:dyDescent="0.25">
      <c r="A53236" s="118"/>
      <c r="B53236" s="136"/>
    </row>
    <row r="53237" spans="1:2" x14ac:dyDescent="0.25">
      <c r="A53237" s="118"/>
      <c r="B53237" s="136"/>
    </row>
    <row r="53238" spans="1:2" x14ac:dyDescent="0.25">
      <c r="A53238" s="118"/>
      <c r="B53238" s="136"/>
    </row>
    <row r="53239" spans="1:2" x14ac:dyDescent="0.25">
      <c r="A53239" s="118"/>
      <c r="B53239" s="136"/>
    </row>
    <row r="53240" spans="1:2" x14ac:dyDescent="0.25">
      <c r="A53240" s="118"/>
      <c r="B53240" s="136"/>
    </row>
    <row r="53241" spans="1:2" x14ac:dyDescent="0.25">
      <c r="A53241" s="118"/>
      <c r="B53241" s="136"/>
    </row>
    <row r="53242" spans="1:2" x14ac:dyDescent="0.25">
      <c r="A53242" s="118"/>
      <c r="B53242" s="136"/>
    </row>
    <row r="53243" spans="1:2" x14ac:dyDescent="0.25">
      <c r="A53243" s="118"/>
      <c r="B53243" s="136"/>
    </row>
    <row r="53244" spans="1:2" x14ac:dyDescent="0.25">
      <c r="A53244" s="118"/>
      <c r="B53244" s="136"/>
    </row>
    <row r="53245" spans="1:2" x14ac:dyDescent="0.25">
      <c r="A53245" s="118"/>
      <c r="B53245" s="136"/>
    </row>
    <row r="53246" spans="1:2" x14ac:dyDescent="0.25">
      <c r="A53246" s="118"/>
      <c r="B53246" s="136"/>
    </row>
    <row r="53247" spans="1:2" x14ac:dyDescent="0.25">
      <c r="A53247" s="118"/>
      <c r="B53247" s="136"/>
    </row>
    <row r="53248" spans="1:2" x14ac:dyDescent="0.25">
      <c r="A53248" s="118"/>
      <c r="B53248" s="136"/>
    </row>
    <row r="53249" spans="1:2" x14ac:dyDescent="0.25">
      <c r="A53249" s="118"/>
      <c r="B53249" s="136"/>
    </row>
    <row r="53250" spans="1:2" x14ac:dyDescent="0.25">
      <c r="A53250" s="118"/>
      <c r="B53250" s="136"/>
    </row>
    <row r="53251" spans="1:2" x14ac:dyDescent="0.25">
      <c r="A53251" s="118"/>
      <c r="B53251" s="136"/>
    </row>
    <row r="53252" spans="1:2" x14ac:dyDescent="0.25">
      <c r="A53252" s="118"/>
      <c r="B53252" s="136"/>
    </row>
    <row r="53253" spans="1:2" x14ac:dyDescent="0.25">
      <c r="A53253" s="118"/>
      <c r="B53253" s="136"/>
    </row>
    <row r="53254" spans="1:2" x14ac:dyDescent="0.25">
      <c r="A53254" s="118"/>
      <c r="B53254" s="136"/>
    </row>
    <row r="53255" spans="1:2" x14ac:dyDescent="0.25">
      <c r="A53255" s="118"/>
      <c r="B53255" s="136"/>
    </row>
    <row r="53256" spans="1:2" x14ac:dyDescent="0.25">
      <c r="A53256" s="118"/>
      <c r="B53256" s="136"/>
    </row>
    <row r="53257" spans="1:2" x14ac:dyDescent="0.25">
      <c r="A53257" s="118"/>
      <c r="B53257" s="136"/>
    </row>
    <row r="53258" spans="1:2" x14ac:dyDescent="0.25">
      <c r="A53258" s="118"/>
      <c r="B53258" s="136"/>
    </row>
    <row r="53259" spans="1:2" x14ac:dyDescent="0.25">
      <c r="A53259" s="118"/>
      <c r="B53259" s="136"/>
    </row>
    <row r="53260" spans="1:2" x14ac:dyDescent="0.25">
      <c r="A53260" s="118"/>
      <c r="B53260" s="136"/>
    </row>
    <row r="53261" spans="1:2" x14ac:dyDescent="0.25">
      <c r="A53261" s="118"/>
      <c r="B53261" s="136"/>
    </row>
    <row r="53262" spans="1:2" x14ac:dyDescent="0.25">
      <c r="A53262" s="118"/>
      <c r="B53262" s="136"/>
    </row>
    <row r="53263" spans="1:2" x14ac:dyDescent="0.25">
      <c r="A53263" s="118"/>
      <c r="B53263" s="136"/>
    </row>
    <row r="53264" spans="1:2" x14ac:dyDescent="0.25">
      <c r="A53264" s="118"/>
      <c r="B53264" s="136"/>
    </row>
    <row r="53265" spans="1:2" x14ac:dyDescent="0.25">
      <c r="A53265" s="118"/>
      <c r="B53265" s="136"/>
    </row>
    <row r="53266" spans="1:2" x14ac:dyDescent="0.25">
      <c r="A53266" s="118"/>
      <c r="B53266" s="136"/>
    </row>
    <row r="53267" spans="1:2" x14ac:dyDescent="0.25">
      <c r="A53267" s="118"/>
      <c r="B53267" s="136"/>
    </row>
    <row r="53268" spans="1:2" x14ac:dyDescent="0.25">
      <c r="A53268" s="118"/>
      <c r="B53268" s="136"/>
    </row>
    <row r="53269" spans="1:2" x14ac:dyDescent="0.25">
      <c r="A53269" s="118"/>
      <c r="B53269" s="136"/>
    </row>
    <row r="53270" spans="1:2" x14ac:dyDescent="0.25">
      <c r="A53270" s="118"/>
      <c r="B53270" s="136"/>
    </row>
    <row r="53271" spans="1:2" x14ac:dyDescent="0.25">
      <c r="A53271" s="118"/>
      <c r="B53271" s="136"/>
    </row>
    <row r="53272" spans="1:2" x14ac:dyDescent="0.25">
      <c r="A53272" s="118"/>
      <c r="B53272" s="136"/>
    </row>
    <row r="53273" spans="1:2" x14ac:dyDescent="0.25">
      <c r="A53273" s="118"/>
      <c r="B53273" s="136"/>
    </row>
    <row r="53274" spans="1:2" x14ac:dyDescent="0.25">
      <c r="A53274" s="118"/>
      <c r="B53274" s="136"/>
    </row>
    <row r="53275" spans="1:2" x14ac:dyDescent="0.25">
      <c r="A53275" s="118"/>
      <c r="B53275" s="136"/>
    </row>
    <row r="53276" spans="1:2" x14ac:dyDescent="0.25">
      <c r="A53276" s="118"/>
      <c r="B53276" s="136"/>
    </row>
    <row r="53277" spans="1:2" x14ac:dyDescent="0.25">
      <c r="A53277" s="118"/>
      <c r="B53277" s="136"/>
    </row>
    <row r="53278" spans="1:2" x14ac:dyDescent="0.25">
      <c r="A53278" s="118"/>
      <c r="B53278" s="136"/>
    </row>
    <row r="53279" spans="1:2" x14ac:dyDescent="0.25">
      <c r="A53279" s="118"/>
      <c r="B53279" s="136"/>
    </row>
    <row r="53280" spans="1:2" x14ac:dyDescent="0.25">
      <c r="A53280" s="118"/>
      <c r="B53280" s="136"/>
    </row>
    <row r="53281" spans="1:2" x14ac:dyDescent="0.25">
      <c r="A53281" s="118"/>
      <c r="B53281" s="136"/>
    </row>
    <row r="53282" spans="1:2" x14ac:dyDescent="0.25">
      <c r="A53282" s="118"/>
      <c r="B53282" s="136"/>
    </row>
    <row r="53283" spans="1:2" x14ac:dyDescent="0.25">
      <c r="A53283" s="118"/>
      <c r="B53283" s="136"/>
    </row>
    <row r="53284" spans="1:2" x14ac:dyDescent="0.25">
      <c r="A53284" s="118"/>
      <c r="B53284" s="136"/>
    </row>
    <row r="53285" spans="1:2" x14ac:dyDescent="0.25">
      <c r="A53285" s="118"/>
      <c r="B53285" s="136"/>
    </row>
    <row r="53286" spans="1:2" x14ac:dyDescent="0.25">
      <c r="A53286" s="118"/>
      <c r="B53286" s="136"/>
    </row>
    <row r="53287" spans="1:2" x14ac:dyDescent="0.25">
      <c r="A53287" s="118"/>
      <c r="B53287" s="136"/>
    </row>
    <row r="53288" spans="1:2" x14ac:dyDescent="0.25">
      <c r="A53288" s="118"/>
      <c r="B53288" s="136"/>
    </row>
    <row r="53289" spans="1:2" x14ac:dyDescent="0.25">
      <c r="A53289" s="118"/>
      <c r="B53289" s="136"/>
    </row>
    <row r="53290" spans="1:2" x14ac:dyDescent="0.25">
      <c r="A53290" s="118"/>
      <c r="B53290" s="136"/>
    </row>
    <row r="53291" spans="1:2" x14ac:dyDescent="0.25">
      <c r="A53291" s="118"/>
      <c r="B53291" s="136"/>
    </row>
    <row r="53292" spans="1:2" x14ac:dyDescent="0.25">
      <c r="A53292" s="118"/>
      <c r="B53292" s="136"/>
    </row>
    <row r="53293" spans="1:2" x14ac:dyDescent="0.25">
      <c r="A53293" s="118"/>
      <c r="B53293" s="136"/>
    </row>
    <row r="53294" spans="1:2" x14ac:dyDescent="0.25">
      <c r="A53294" s="118"/>
      <c r="B53294" s="136"/>
    </row>
    <row r="53295" spans="1:2" x14ac:dyDescent="0.25">
      <c r="A53295" s="118"/>
      <c r="B53295" s="136"/>
    </row>
    <row r="53296" spans="1:2" x14ac:dyDescent="0.25">
      <c r="A53296" s="118"/>
      <c r="B53296" s="136"/>
    </row>
    <row r="53297" spans="1:2" x14ac:dyDescent="0.25">
      <c r="A53297" s="118"/>
      <c r="B53297" s="136"/>
    </row>
    <row r="53298" spans="1:2" x14ac:dyDescent="0.25">
      <c r="A53298" s="118"/>
      <c r="B53298" s="136"/>
    </row>
    <row r="53299" spans="1:2" x14ac:dyDescent="0.25">
      <c r="A53299" s="118"/>
      <c r="B53299" s="136"/>
    </row>
    <row r="53300" spans="1:2" x14ac:dyDescent="0.25">
      <c r="A53300" s="118"/>
      <c r="B53300" s="136"/>
    </row>
    <row r="53301" spans="1:2" x14ac:dyDescent="0.25">
      <c r="A53301" s="118"/>
      <c r="B53301" s="136"/>
    </row>
    <row r="53302" spans="1:2" x14ac:dyDescent="0.25">
      <c r="A53302" s="118"/>
      <c r="B53302" s="136"/>
    </row>
    <row r="53303" spans="1:2" x14ac:dyDescent="0.25">
      <c r="A53303" s="118"/>
      <c r="B53303" s="136"/>
    </row>
    <row r="53304" spans="1:2" x14ac:dyDescent="0.25">
      <c r="A53304" s="118"/>
      <c r="B53304" s="136"/>
    </row>
    <row r="53305" spans="1:2" x14ac:dyDescent="0.25">
      <c r="A53305" s="118"/>
      <c r="B53305" s="136"/>
    </row>
    <row r="53306" spans="1:2" x14ac:dyDescent="0.25">
      <c r="A53306" s="118"/>
      <c r="B53306" s="136"/>
    </row>
    <row r="53307" spans="1:2" x14ac:dyDescent="0.25">
      <c r="A53307" s="118"/>
      <c r="B53307" s="136"/>
    </row>
    <row r="53308" spans="1:2" x14ac:dyDescent="0.25">
      <c r="A53308" s="118"/>
      <c r="B53308" s="136"/>
    </row>
    <row r="53309" spans="1:2" x14ac:dyDescent="0.25">
      <c r="A53309" s="118"/>
      <c r="B53309" s="136"/>
    </row>
    <row r="53310" spans="1:2" x14ac:dyDescent="0.25">
      <c r="A53310" s="118"/>
      <c r="B53310" s="136"/>
    </row>
    <row r="53311" spans="1:2" x14ac:dyDescent="0.25">
      <c r="A53311" s="118"/>
      <c r="B53311" s="136"/>
    </row>
    <row r="53312" spans="1:2" x14ac:dyDescent="0.25">
      <c r="A53312" s="118"/>
      <c r="B53312" s="136"/>
    </row>
    <row r="53313" spans="1:2" x14ac:dyDescent="0.25">
      <c r="A53313" s="118"/>
      <c r="B53313" s="136"/>
    </row>
    <row r="53314" spans="1:2" x14ac:dyDescent="0.25">
      <c r="A53314" s="118"/>
      <c r="B53314" s="136"/>
    </row>
    <row r="53315" spans="1:2" x14ac:dyDescent="0.25">
      <c r="A53315" s="118"/>
      <c r="B53315" s="136"/>
    </row>
    <row r="53316" spans="1:2" x14ac:dyDescent="0.25">
      <c r="A53316" s="118"/>
      <c r="B53316" s="136"/>
    </row>
    <row r="53317" spans="1:2" x14ac:dyDescent="0.25">
      <c r="A53317" s="118"/>
      <c r="B53317" s="136"/>
    </row>
    <row r="53318" spans="1:2" x14ac:dyDescent="0.25">
      <c r="A53318" s="118"/>
      <c r="B53318" s="136"/>
    </row>
    <row r="53319" spans="1:2" x14ac:dyDescent="0.25">
      <c r="A53319" s="118"/>
      <c r="B53319" s="136"/>
    </row>
    <row r="53320" spans="1:2" x14ac:dyDescent="0.25">
      <c r="A53320" s="118"/>
      <c r="B53320" s="136"/>
    </row>
    <row r="53321" spans="1:2" x14ac:dyDescent="0.25">
      <c r="A53321" s="118"/>
      <c r="B53321" s="136"/>
    </row>
    <row r="53322" spans="1:2" x14ac:dyDescent="0.25">
      <c r="A53322" s="118"/>
      <c r="B53322" s="136"/>
    </row>
    <row r="53323" spans="1:2" x14ac:dyDescent="0.25">
      <c r="A53323" s="118"/>
      <c r="B53323" s="136"/>
    </row>
    <row r="53324" spans="1:2" x14ac:dyDescent="0.25">
      <c r="A53324" s="118"/>
      <c r="B53324" s="136"/>
    </row>
    <row r="53325" spans="1:2" x14ac:dyDescent="0.25">
      <c r="A53325" s="118"/>
      <c r="B53325" s="136"/>
    </row>
    <row r="53326" spans="1:2" x14ac:dyDescent="0.25">
      <c r="A53326" s="118"/>
      <c r="B53326" s="136"/>
    </row>
    <row r="53327" spans="1:2" x14ac:dyDescent="0.25">
      <c r="A53327" s="118"/>
      <c r="B53327" s="136"/>
    </row>
    <row r="53328" spans="1:2" x14ac:dyDescent="0.25">
      <c r="A53328" s="118"/>
      <c r="B53328" s="136"/>
    </row>
    <row r="53329" spans="1:2" x14ac:dyDescent="0.25">
      <c r="A53329" s="118"/>
      <c r="B53329" s="136"/>
    </row>
    <row r="53330" spans="1:2" x14ac:dyDescent="0.25">
      <c r="A53330" s="118"/>
      <c r="B53330" s="136"/>
    </row>
    <row r="53331" spans="1:2" x14ac:dyDescent="0.25">
      <c r="A53331" s="118"/>
      <c r="B53331" s="136"/>
    </row>
    <row r="53332" spans="1:2" x14ac:dyDescent="0.25">
      <c r="A53332" s="118"/>
      <c r="B53332" s="136"/>
    </row>
    <row r="53333" spans="1:2" x14ac:dyDescent="0.25">
      <c r="A53333" s="118"/>
      <c r="B53333" s="136"/>
    </row>
    <row r="53334" spans="1:2" x14ac:dyDescent="0.25">
      <c r="A53334" s="118"/>
      <c r="B53334" s="136"/>
    </row>
    <row r="53335" spans="1:2" x14ac:dyDescent="0.25">
      <c r="A53335" s="118"/>
      <c r="B53335" s="136"/>
    </row>
    <row r="53336" spans="1:2" x14ac:dyDescent="0.25">
      <c r="A53336" s="118"/>
      <c r="B53336" s="136"/>
    </row>
    <row r="53337" spans="1:2" x14ac:dyDescent="0.25">
      <c r="A53337" s="118"/>
      <c r="B53337" s="136"/>
    </row>
    <row r="53338" spans="1:2" x14ac:dyDescent="0.25">
      <c r="A53338" s="118"/>
      <c r="B53338" s="136"/>
    </row>
    <row r="53339" spans="1:2" x14ac:dyDescent="0.25">
      <c r="A53339" s="118"/>
      <c r="B53339" s="136"/>
    </row>
    <row r="53340" spans="1:2" x14ac:dyDescent="0.25">
      <c r="A53340" s="118"/>
      <c r="B53340" s="136"/>
    </row>
    <row r="53341" spans="1:2" x14ac:dyDescent="0.25">
      <c r="A53341" s="118"/>
      <c r="B53341" s="136"/>
    </row>
    <row r="53342" spans="1:2" x14ac:dyDescent="0.25">
      <c r="A53342" s="118"/>
      <c r="B53342" s="136"/>
    </row>
    <row r="53343" spans="1:2" x14ac:dyDescent="0.25">
      <c r="A53343" s="118"/>
      <c r="B53343" s="136"/>
    </row>
    <row r="53344" spans="1:2" x14ac:dyDescent="0.25">
      <c r="A53344" s="118"/>
      <c r="B53344" s="136"/>
    </row>
    <row r="53345" spans="1:2" x14ac:dyDescent="0.25">
      <c r="A53345" s="118"/>
      <c r="B53345" s="136"/>
    </row>
    <row r="53346" spans="1:2" x14ac:dyDescent="0.25">
      <c r="A53346" s="118"/>
      <c r="B53346" s="136"/>
    </row>
    <row r="53347" spans="1:2" x14ac:dyDescent="0.25">
      <c r="A53347" s="118"/>
      <c r="B53347" s="136"/>
    </row>
    <row r="53348" spans="1:2" x14ac:dyDescent="0.25">
      <c r="A53348" s="118"/>
      <c r="B53348" s="136"/>
    </row>
    <row r="53349" spans="1:2" x14ac:dyDescent="0.25">
      <c r="A53349" s="118"/>
      <c r="B53349" s="136"/>
    </row>
    <row r="53350" spans="1:2" x14ac:dyDescent="0.25">
      <c r="A53350" s="118"/>
      <c r="B53350" s="136"/>
    </row>
    <row r="53351" spans="1:2" x14ac:dyDescent="0.25">
      <c r="A53351" s="118"/>
      <c r="B53351" s="136"/>
    </row>
    <row r="53352" spans="1:2" x14ac:dyDescent="0.25">
      <c r="A53352" s="118"/>
      <c r="B53352" s="136"/>
    </row>
    <row r="53353" spans="1:2" x14ac:dyDescent="0.25">
      <c r="A53353" s="118"/>
      <c r="B53353" s="136"/>
    </row>
    <row r="53354" spans="1:2" x14ac:dyDescent="0.25">
      <c r="A53354" s="118"/>
      <c r="B53354" s="136"/>
    </row>
    <row r="53355" spans="1:2" x14ac:dyDescent="0.25">
      <c r="A53355" s="118"/>
      <c r="B53355" s="136"/>
    </row>
    <row r="53356" spans="1:2" x14ac:dyDescent="0.25">
      <c r="A53356" s="118"/>
      <c r="B53356" s="136"/>
    </row>
    <row r="53357" spans="1:2" x14ac:dyDescent="0.25">
      <c r="A53357" s="118"/>
      <c r="B53357" s="136"/>
    </row>
    <row r="53358" spans="1:2" x14ac:dyDescent="0.25">
      <c r="A53358" s="118"/>
      <c r="B53358" s="136"/>
    </row>
    <row r="53359" spans="1:2" x14ac:dyDescent="0.25">
      <c r="A53359" s="118"/>
      <c r="B53359" s="136"/>
    </row>
    <row r="53360" spans="1:2" x14ac:dyDescent="0.25">
      <c r="A53360" s="118"/>
      <c r="B53360" s="136"/>
    </row>
    <row r="53361" spans="1:2" x14ac:dyDescent="0.25">
      <c r="A53361" s="118"/>
      <c r="B53361" s="136"/>
    </row>
    <row r="53362" spans="1:2" x14ac:dyDescent="0.25">
      <c r="A53362" s="118"/>
      <c r="B53362" s="136"/>
    </row>
    <row r="53363" spans="1:2" x14ac:dyDescent="0.25">
      <c r="A53363" s="118"/>
      <c r="B53363" s="136"/>
    </row>
    <row r="53364" spans="1:2" x14ac:dyDescent="0.25">
      <c r="A53364" s="118"/>
      <c r="B53364" s="136"/>
    </row>
    <row r="53365" spans="1:2" x14ac:dyDescent="0.25">
      <c r="A53365" s="118"/>
      <c r="B53365" s="136"/>
    </row>
    <row r="53366" spans="1:2" x14ac:dyDescent="0.25">
      <c r="A53366" s="118"/>
      <c r="B53366" s="136"/>
    </row>
    <row r="53367" spans="1:2" x14ac:dyDescent="0.25">
      <c r="A53367" s="118"/>
      <c r="B53367" s="136"/>
    </row>
    <row r="53368" spans="1:2" x14ac:dyDescent="0.25">
      <c r="A53368" s="118"/>
      <c r="B53368" s="136"/>
    </row>
    <row r="53369" spans="1:2" x14ac:dyDescent="0.25">
      <c r="A53369" s="118"/>
      <c r="B53369" s="136"/>
    </row>
    <row r="53370" spans="1:2" x14ac:dyDescent="0.25">
      <c r="A53370" s="118"/>
      <c r="B53370" s="136"/>
    </row>
    <row r="53371" spans="1:2" x14ac:dyDescent="0.25">
      <c r="A53371" s="118"/>
      <c r="B53371" s="136"/>
    </row>
    <row r="53372" spans="1:2" x14ac:dyDescent="0.25">
      <c r="A53372" s="118"/>
      <c r="B53372" s="136"/>
    </row>
    <row r="53373" spans="1:2" x14ac:dyDescent="0.25">
      <c r="A53373" s="118"/>
      <c r="B53373" s="136"/>
    </row>
    <row r="53374" spans="1:2" x14ac:dyDescent="0.25">
      <c r="A53374" s="118"/>
      <c r="B53374" s="136"/>
    </row>
    <row r="53375" spans="1:2" x14ac:dyDescent="0.25">
      <c r="A53375" s="118"/>
      <c r="B53375" s="136"/>
    </row>
    <row r="53376" spans="1:2" x14ac:dyDescent="0.25">
      <c r="A53376" s="118"/>
      <c r="B53376" s="136"/>
    </row>
    <row r="53377" spans="1:2" x14ac:dyDescent="0.25">
      <c r="A53377" s="118"/>
      <c r="B53377" s="136"/>
    </row>
    <row r="53378" spans="1:2" x14ac:dyDescent="0.25">
      <c r="A53378" s="118"/>
      <c r="B53378" s="136"/>
    </row>
    <row r="53379" spans="1:2" x14ac:dyDescent="0.25">
      <c r="A53379" s="118"/>
      <c r="B53379" s="136"/>
    </row>
    <row r="53380" spans="1:2" x14ac:dyDescent="0.25">
      <c r="A53380" s="118"/>
      <c r="B53380" s="136"/>
    </row>
    <row r="53381" spans="1:2" x14ac:dyDescent="0.25">
      <c r="A53381" s="118"/>
      <c r="B53381" s="136"/>
    </row>
    <row r="53382" spans="1:2" x14ac:dyDescent="0.25">
      <c r="A53382" s="118"/>
      <c r="B53382" s="136"/>
    </row>
    <row r="53383" spans="1:2" x14ac:dyDescent="0.25">
      <c r="A53383" s="118"/>
      <c r="B53383" s="136"/>
    </row>
    <row r="53384" spans="1:2" x14ac:dyDescent="0.25">
      <c r="A53384" s="118"/>
      <c r="B53384" s="136"/>
    </row>
    <row r="53385" spans="1:2" x14ac:dyDescent="0.25">
      <c r="A53385" s="118"/>
      <c r="B53385" s="136"/>
    </row>
    <row r="53386" spans="1:2" x14ac:dyDescent="0.25">
      <c r="A53386" s="118"/>
      <c r="B53386" s="136"/>
    </row>
    <row r="53387" spans="1:2" x14ac:dyDescent="0.25">
      <c r="A53387" s="118"/>
      <c r="B53387" s="136"/>
    </row>
    <row r="53388" spans="1:2" x14ac:dyDescent="0.25">
      <c r="A53388" s="118"/>
      <c r="B53388" s="136"/>
    </row>
    <row r="53389" spans="1:2" x14ac:dyDescent="0.25">
      <c r="A53389" s="118"/>
      <c r="B53389" s="136"/>
    </row>
    <row r="53390" spans="1:2" x14ac:dyDescent="0.25">
      <c r="A53390" s="118"/>
      <c r="B53390" s="136"/>
    </row>
    <row r="53391" spans="1:2" x14ac:dyDescent="0.25">
      <c r="A53391" s="118"/>
      <c r="B53391" s="136"/>
    </row>
    <row r="53392" spans="1:2" x14ac:dyDescent="0.25">
      <c r="A53392" s="118"/>
      <c r="B53392" s="136"/>
    </row>
    <row r="53393" spans="1:2" x14ac:dyDescent="0.25">
      <c r="A53393" s="118"/>
      <c r="B53393" s="136"/>
    </row>
    <row r="53394" spans="1:2" x14ac:dyDescent="0.25">
      <c r="A53394" s="118"/>
      <c r="B53394" s="136"/>
    </row>
    <row r="53395" spans="1:2" x14ac:dyDescent="0.25">
      <c r="A53395" s="118"/>
      <c r="B53395" s="136"/>
    </row>
    <row r="53396" spans="1:2" x14ac:dyDescent="0.25">
      <c r="A53396" s="118"/>
      <c r="B53396" s="136"/>
    </row>
    <row r="53397" spans="1:2" x14ac:dyDescent="0.25">
      <c r="A53397" s="118"/>
      <c r="B53397" s="136"/>
    </row>
    <row r="53398" spans="1:2" x14ac:dyDescent="0.25">
      <c r="A53398" s="118"/>
      <c r="B53398" s="136"/>
    </row>
    <row r="53399" spans="1:2" x14ac:dyDescent="0.25">
      <c r="A53399" s="118"/>
      <c r="B53399" s="136"/>
    </row>
    <row r="53400" spans="1:2" x14ac:dyDescent="0.25">
      <c r="A53400" s="118"/>
      <c r="B53400" s="136"/>
    </row>
    <row r="53401" spans="1:2" x14ac:dyDescent="0.25">
      <c r="A53401" s="118"/>
      <c r="B53401" s="136"/>
    </row>
    <row r="53402" spans="1:2" x14ac:dyDescent="0.25">
      <c r="A53402" s="118"/>
      <c r="B53402" s="136"/>
    </row>
    <row r="53403" spans="1:2" x14ac:dyDescent="0.25">
      <c r="A53403" s="118"/>
      <c r="B53403" s="136"/>
    </row>
    <row r="53404" spans="1:2" x14ac:dyDescent="0.25">
      <c r="A53404" s="118"/>
      <c r="B53404" s="136"/>
    </row>
    <row r="53405" spans="1:2" x14ac:dyDescent="0.25">
      <c r="A53405" s="118"/>
      <c r="B53405" s="136"/>
    </row>
    <row r="53406" spans="1:2" x14ac:dyDescent="0.25">
      <c r="A53406" s="118"/>
      <c r="B53406" s="136"/>
    </row>
    <row r="53407" spans="1:2" x14ac:dyDescent="0.25">
      <c r="A53407" s="118"/>
      <c r="B53407" s="136"/>
    </row>
    <row r="53408" spans="1:2" x14ac:dyDescent="0.25">
      <c r="A53408" s="118"/>
      <c r="B53408" s="136"/>
    </row>
    <row r="53409" spans="1:2" x14ac:dyDescent="0.25">
      <c r="A53409" s="118"/>
      <c r="B53409" s="136"/>
    </row>
    <row r="53410" spans="1:2" x14ac:dyDescent="0.25">
      <c r="A53410" s="118"/>
      <c r="B53410" s="136"/>
    </row>
    <row r="53411" spans="1:2" x14ac:dyDescent="0.25">
      <c r="A53411" s="118"/>
      <c r="B53411" s="136"/>
    </row>
    <row r="53412" spans="1:2" x14ac:dyDescent="0.25">
      <c r="A53412" s="118"/>
      <c r="B53412" s="136"/>
    </row>
    <row r="53413" spans="1:2" x14ac:dyDescent="0.25">
      <c r="A53413" s="118"/>
      <c r="B53413" s="136"/>
    </row>
    <row r="53414" spans="1:2" x14ac:dyDescent="0.25">
      <c r="A53414" s="118"/>
      <c r="B53414" s="136"/>
    </row>
    <row r="53415" spans="1:2" x14ac:dyDescent="0.25">
      <c r="A53415" s="118"/>
      <c r="B53415" s="136"/>
    </row>
    <row r="53416" spans="1:2" x14ac:dyDescent="0.25">
      <c r="A53416" s="118"/>
      <c r="B53416" s="136"/>
    </row>
    <row r="53417" spans="1:2" x14ac:dyDescent="0.25">
      <c r="A53417" s="118"/>
      <c r="B53417" s="136"/>
    </row>
    <row r="53418" spans="1:2" x14ac:dyDescent="0.25">
      <c r="A53418" s="118"/>
      <c r="B53418" s="136"/>
    </row>
    <row r="53419" spans="1:2" x14ac:dyDescent="0.25">
      <c r="A53419" s="118"/>
      <c r="B53419" s="136"/>
    </row>
    <row r="53420" spans="1:2" x14ac:dyDescent="0.25">
      <c r="A53420" s="118"/>
      <c r="B53420" s="136"/>
    </row>
    <row r="53421" spans="1:2" x14ac:dyDescent="0.25">
      <c r="A53421" s="118"/>
      <c r="B53421" s="136"/>
    </row>
    <row r="53422" spans="1:2" x14ac:dyDescent="0.25">
      <c r="A53422" s="118"/>
      <c r="B53422" s="136"/>
    </row>
    <row r="53423" spans="1:2" x14ac:dyDescent="0.25">
      <c r="A53423" s="118"/>
      <c r="B53423" s="136"/>
    </row>
    <row r="53424" spans="1:2" x14ac:dyDescent="0.25">
      <c r="A53424" s="118"/>
      <c r="B53424" s="136"/>
    </row>
    <row r="53425" spans="1:2" x14ac:dyDescent="0.25">
      <c r="A53425" s="118"/>
      <c r="B53425" s="136"/>
    </row>
    <row r="53426" spans="1:2" x14ac:dyDescent="0.25">
      <c r="A53426" s="118"/>
      <c r="B53426" s="136"/>
    </row>
    <row r="53427" spans="1:2" x14ac:dyDescent="0.25">
      <c r="A53427" s="118"/>
      <c r="B53427" s="136"/>
    </row>
    <row r="53428" spans="1:2" x14ac:dyDescent="0.25">
      <c r="A53428" s="118"/>
      <c r="B53428" s="136"/>
    </row>
    <row r="53429" spans="1:2" x14ac:dyDescent="0.25">
      <c r="A53429" s="118"/>
      <c r="B53429" s="136"/>
    </row>
    <row r="53430" spans="1:2" x14ac:dyDescent="0.25">
      <c r="A53430" s="118"/>
      <c r="B53430" s="136"/>
    </row>
    <row r="53431" spans="1:2" x14ac:dyDescent="0.25">
      <c r="A53431" s="118"/>
      <c r="B53431" s="136"/>
    </row>
    <row r="53432" spans="1:2" x14ac:dyDescent="0.25">
      <c r="A53432" s="118"/>
      <c r="B53432" s="136"/>
    </row>
    <row r="53433" spans="1:2" x14ac:dyDescent="0.25">
      <c r="A53433" s="118"/>
      <c r="B53433" s="136"/>
    </row>
    <row r="53434" spans="1:2" x14ac:dyDescent="0.25">
      <c r="A53434" s="118"/>
      <c r="B53434" s="136"/>
    </row>
    <row r="53435" spans="1:2" x14ac:dyDescent="0.25">
      <c r="A53435" s="118"/>
      <c r="B53435" s="136"/>
    </row>
    <row r="53436" spans="1:2" x14ac:dyDescent="0.25">
      <c r="A53436" s="118"/>
      <c r="B53436" s="136"/>
    </row>
    <row r="53437" spans="1:2" x14ac:dyDescent="0.25">
      <c r="A53437" s="118"/>
      <c r="B53437" s="136"/>
    </row>
    <row r="53438" spans="1:2" x14ac:dyDescent="0.25">
      <c r="A53438" s="118"/>
      <c r="B53438" s="136"/>
    </row>
    <row r="53439" spans="1:2" x14ac:dyDescent="0.25">
      <c r="A53439" s="118"/>
      <c r="B53439" s="136"/>
    </row>
    <row r="53440" spans="1:2" x14ac:dyDescent="0.25">
      <c r="A53440" s="118"/>
      <c r="B53440" s="136"/>
    </row>
    <row r="53441" spans="1:2" x14ac:dyDescent="0.25">
      <c r="A53441" s="118"/>
      <c r="B53441" s="136"/>
    </row>
    <row r="53442" spans="1:2" x14ac:dyDescent="0.25">
      <c r="A53442" s="118"/>
      <c r="B53442" s="136"/>
    </row>
    <row r="53443" spans="1:2" x14ac:dyDescent="0.25">
      <c r="A53443" s="118"/>
      <c r="B53443" s="136"/>
    </row>
    <row r="53444" spans="1:2" x14ac:dyDescent="0.25">
      <c r="A53444" s="118"/>
      <c r="B53444" s="136"/>
    </row>
    <row r="53445" spans="1:2" x14ac:dyDescent="0.25">
      <c r="A53445" s="118"/>
      <c r="B53445" s="136"/>
    </row>
    <row r="53446" spans="1:2" x14ac:dyDescent="0.25">
      <c r="A53446" s="118"/>
      <c r="B53446" s="136"/>
    </row>
    <row r="53447" spans="1:2" x14ac:dyDescent="0.25">
      <c r="A53447" s="118"/>
      <c r="B53447" s="136"/>
    </row>
    <row r="53448" spans="1:2" x14ac:dyDescent="0.25">
      <c r="A53448" s="118"/>
      <c r="B53448" s="136"/>
    </row>
    <row r="53449" spans="1:2" x14ac:dyDescent="0.25">
      <c r="A53449" s="118"/>
      <c r="B53449" s="136"/>
    </row>
    <row r="53450" spans="1:2" x14ac:dyDescent="0.25">
      <c r="A53450" s="118"/>
      <c r="B53450" s="136"/>
    </row>
    <row r="53451" spans="1:2" x14ac:dyDescent="0.25">
      <c r="A53451" s="118"/>
      <c r="B53451" s="136"/>
    </row>
    <row r="53452" spans="1:2" x14ac:dyDescent="0.25">
      <c r="A53452" s="118"/>
      <c r="B53452" s="136"/>
    </row>
    <row r="53453" spans="1:2" x14ac:dyDescent="0.25">
      <c r="A53453" s="118"/>
      <c r="B53453" s="136"/>
    </row>
    <row r="53454" spans="1:2" x14ac:dyDescent="0.25">
      <c r="A53454" s="118"/>
      <c r="B53454" s="136"/>
    </row>
    <row r="53455" spans="1:2" x14ac:dyDescent="0.25">
      <c r="A53455" s="118"/>
      <c r="B53455" s="136"/>
    </row>
    <row r="53456" spans="1:2" x14ac:dyDescent="0.25">
      <c r="A53456" s="118"/>
      <c r="B53456" s="136"/>
    </row>
    <row r="53457" spans="1:2" x14ac:dyDescent="0.25">
      <c r="A53457" s="118"/>
      <c r="B53457" s="136"/>
    </row>
    <row r="53458" spans="1:2" x14ac:dyDescent="0.25">
      <c r="A53458" s="118"/>
      <c r="B53458" s="136"/>
    </row>
    <row r="53459" spans="1:2" x14ac:dyDescent="0.25">
      <c r="A53459" s="118"/>
      <c r="B53459" s="136"/>
    </row>
    <row r="53460" spans="1:2" x14ac:dyDescent="0.25">
      <c r="A53460" s="118"/>
      <c r="B53460" s="136"/>
    </row>
    <row r="53461" spans="1:2" x14ac:dyDescent="0.25">
      <c r="A53461" s="118"/>
      <c r="B53461" s="136"/>
    </row>
    <row r="53462" spans="1:2" x14ac:dyDescent="0.25">
      <c r="A53462" s="118"/>
      <c r="B53462" s="136"/>
    </row>
    <row r="53463" spans="1:2" x14ac:dyDescent="0.25">
      <c r="A53463" s="118"/>
      <c r="B53463" s="136"/>
    </row>
    <row r="53464" spans="1:2" x14ac:dyDescent="0.25">
      <c r="A53464" s="118"/>
      <c r="B53464" s="136"/>
    </row>
    <row r="53465" spans="1:2" x14ac:dyDescent="0.25">
      <c r="A53465" s="118"/>
      <c r="B53465" s="136"/>
    </row>
    <row r="53466" spans="1:2" x14ac:dyDescent="0.25">
      <c r="A53466" s="118"/>
      <c r="B53466" s="136"/>
    </row>
    <row r="53467" spans="1:2" x14ac:dyDescent="0.25">
      <c r="A53467" s="118"/>
      <c r="B53467" s="136"/>
    </row>
    <row r="53468" spans="1:2" x14ac:dyDescent="0.25">
      <c r="A53468" s="118"/>
      <c r="B53468" s="136"/>
    </row>
    <row r="53469" spans="1:2" x14ac:dyDescent="0.25">
      <c r="A53469" s="118"/>
      <c r="B53469" s="136"/>
    </row>
    <row r="53470" spans="1:2" x14ac:dyDescent="0.25">
      <c r="A53470" s="118"/>
      <c r="B53470" s="136"/>
    </row>
    <row r="53471" spans="1:2" x14ac:dyDescent="0.25">
      <c r="A53471" s="118"/>
      <c r="B53471" s="136"/>
    </row>
    <row r="53472" spans="1:2" x14ac:dyDescent="0.25">
      <c r="A53472" s="118"/>
      <c r="B53472" s="136"/>
    </row>
    <row r="53473" spans="1:2" x14ac:dyDescent="0.25">
      <c r="A53473" s="118"/>
      <c r="B53473" s="136"/>
    </row>
    <row r="53474" spans="1:2" x14ac:dyDescent="0.25">
      <c r="A53474" s="118"/>
      <c r="B53474" s="136"/>
    </row>
    <row r="53475" spans="1:2" x14ac:dyDescent="0.25">
      <c r="A53475" s="118"/>
      <c r="B53475" s="136"/>
    </row>
    <row r="53476" spans="1:2" x14ac:dyDescent="0.25">
      <c r="A53476" s="118"/>
      <c r="B53476" s="136"/>
    </row>
    <row r="53477" spans="1:2" x14ac:dyDescent="0.25">
      <c r="A53477" s="118"/>
      <c r="B53477" s="136"/>
    </row>
    <row r="53478" spans="1:2" x14ac:dyDescent="0.25">
      <c r="A53478" s="118"/>
      <c r="B53478" s="136"/>
    </row>
    <row r="53479" spans="1:2" x14ac:dyDescent="0.25">
      <c r="A53479" s="118"/>
      <c r="B53479" s="136"/>
    </row>
    <row r="53480" spans="1:2" x14ac:dyDescent="0.25">
      <c r="A53480" s="118"/>
      <c r="B53480" s="136"/>
    </row>
    <row r="53481" spans="1:2" x14ac:dyDescent="0.25">
      <c r="A53481" s="118"/>
      <c r="B53481" s="136"/>
    </row>
    <row r="53482" spans="1:2" x14ac:dyDescent="0.25">
      <c r="A53482" s="118"/>
      <c r="B53482" s="136"/>
    </row>
    <row r="53483" spans="1:2" x14ac:dyDescent="0.25">
      <c r="A53483" s="118"/>
      <c r="B53483" s="136"/>
    </row>
    <row r="53484" spans="1:2" x14ac:dyDescent="0.25">
      <c r="A53484" s="118"/>
      <c r="B53484" s="136"/>
    </row>
    <row r="53485" spans="1:2" x14ac:dyDescent="0.25">
      <c r="A53485" s="118"/>
      <c r="B53485" s="136"/>
    </row>
    <row r="53486" spans="1:2" x14ac:dyDescent="0.25">
      <c r="A53486" s="118"/>
      <c r="B53486" s="136"/>
    </row>
    <row r="53487" spans="1:2" x14ac:dyDescent="0.25">
      <c r="A53487" s="118"/>
      <c r="B53487" s="136"/>
    </row>
    <row r="53488" spans="1:2" x14ac:dyDescent="0.25">
      <c r="A53488" s="118"/>
      <c r="B53488" s="136"/>
    </row>
    <row r="53489" spans="1:2" x14ac:dyDescent="0.25">
      <c r="A53489" s="118"/>
      <c r="B53489" s="136"/>
    </row>
    <row r="53490" spans="1:2" x14ac:dyDescent="0.25">
      <c r="A53490" s="118"/>
      <c r="B53490" s="136"/>
    </row>
    <row r="53491" spans="1:2" x14ac:dyDescent="0.25">
      <c r="A53491" s="118"/>
      <c r="B53491" s="136"/>
    </row>
    <row r="53492" spans="1:2" x14ac:dyDescent="0.25">
      <c r="A53492" s="118"/>
      <c r="B53492" s="136"/>
    </row>
    <row r="53493" spans="1:2" x14ac:dyDescent="0.25">
      <c r="A53493" s="118"/>
      <c r="B53493" s="136"/>
    </row>
    <row r="53494" spans="1:2" x14ac:dyDescent="0.25">
      <c r="A53494" s="118"/>
      <c r="B53494" s="136"/>
    </row>
    <row r="53495" spans="1:2" x14ac:dyDescent="0.25">
      <c r="A53495" s="118"/>
      <c r="B53495" s="136"/>
    </row>
    <row r="53496" spans="1:2" x14ac:dyDescent="0.25">
      <c r="A53496" s="118"/>
      <c r="B53496" s="136"/>
    </row>
    <row r="53497" spans="1:2" x14ac:dyDescent="0.25">
      <c r="A53497" s="118"/>
      <c r="B53497" s="136"/>
    </row>
    <row r="53498" spans="1:2" x14ac:dyDescent="0.25">
      <c r="A53498" s="118"/>
      <c r="B53498" s="136"/>
    </row>
    <row r="53499" spans="1:2" x14ac:dyDescent="0.25">
      <c r="A53499" s="118"/>
      <c r="B53499" s="136"/>
    </row>
    <row r="53500" spans="1:2" x14ac:dyDescent="0.25">
      <c r="A53500" s="118"/>
      <c r="B53500" s="136"/>
    </row>
    <row r="53501" spans="1:2" x14ac:dyDescent="0.25">
      <c r="A53501" s="118"/>
      <c r="B53501" s="136"/>
    </row>
    <row r="53502" spans="1:2" x14ac:dyDescent="0.25">
      <c r="A53502" s="118"/>
      <c r="B53502" s="136"/>
    </row>
    <row r="53503" spans="1:2" x14ac:dyDescent="0.25">
      <c r="A53503" s="118"/>
      <c r="B53503" s="136"/>
    </row>
    <row r="53504" spans="1:2" x14ac:dyDescent="0.25">
      <c r="A53504" s="118"/>
      <c r="B53504" s="136"/>
    </row>
    <row r="53505" spans="1:2" x14ac:dyDescent="0.25">
      <c r="A53505" s="118"/>
      <c r="B53505" s="136"/>
    </row>
    <row r="53506" spans="1:2" x14ac:dyDescent="0.25">
      <c r="A53506" s="118"/>
      <c r="B53506" s="136"/>
    </row>
    <row r="53507" spans="1:2" x14ac:dyDescent="0.25">
      <c r="A53507" s="118"/>
      <c r="B53507" s="136"/>
    </row>
    <row r="53508" spans="1:2" x14ac:dyDescent="0.25">
      <c r="A53508" s="118"/>
      <c r="B53508" s="136"/>
    </row>
    <row r="53509" spans="1:2" x14ac:dyDescent="0.25">
      <c r="A53509" s="118"/>
      <c r="B53509" s="136"/>
    </row>
    <row r="53510" spans="1:2" x14ac:dyDescent="0.25">
      <c r="A53510" s="118"/>
      <c r="B53510" s="136"/>
    </row>
    <row r="53511" spans="1:2" x14ac:dyDescent="0.25">
      <c r="A53511" s="118"/>
      <c r="B53511" s="136"/>
    </row>
    <row r="53512" spans="1:2" x14ac:dyDescent="0.25">
      <c r="A53512" s="118"/>
      <c r="B53512" s="136"/>
    </row>
    <row r="53513" spans="1:2" x14ac:dyDescent="0.25">
      <c r="A53513" s="118"/>
      <c r="B53513" s="136"/>
    </row>
    <row r="53514" spans="1:2" x14ac:dyDescent="0.25">
      <c r="A53514" s="118"/>
      <c r="B53514" s="136"/>
    </row>
    <row r="53515" spans="1:2" x14ac:dyDescent="0.25">
      <c r="A53515" s="118"/>
      <c r="B53515" s="136"/>
    </row>
    <row r="53516" spans="1:2" x14ac:dyDescent="0.25">
      <c r="A53516" s="118"/>
      <c r="B53516" s="136"/>
    </row>
    <row r="53517" spans="1:2" x14ac:dyDescent="0.25">
      <c r="A53517" s="118"/>
      <c r="B53517" s="136"/>
    </row>
    <row r="53518" spans="1:2" x14ac:dyDescent="0.25">
      <c r="A53518" s="118"/>
      <c r="B53518" s="136"/>
    </row>
    <row r="53519" spans="1:2" x14ac:dyDescent="0.25">
      <c r="A53519" s="118"/>
      <c r="B53519" s="136"/>
    </row>
    <row r="53520" spans="1:2" x14ac:dyDescent="0.25">
      <c r="A53520" s="118"/>
      <c r="B53520" s="136"/>
    </row>
    <row r="53521" spans="1:2" x14ac:dyDescent="0.25">
      <c r="A53521" s="118"/>
      <c r="B53521" s="136"/>
    </row>
    <row r="53522" spans="1:2" x14ac:dyDescent="0.25">
      <c r="A53522" s="118"/>
      <c r="B53522" s="136"/>
    </row>
    <row r="53523" spans="1:2" x14ac:dyDescent="0.25">
      <c r="A53523" s="118"/>
      <c r="B53523" s="136"/>
    </row>
    <row r="53524" spans="1:2" x14ac:dyDescent="0.25">
      <c r="A53524" s="118"/>
      <c r="B53524" s="136"/>
    </row>
    <row r="53525" spans="1:2" x14ac:dyDescent="0.25">
      <c r="A53525" s="118"/>
      <c r="B53525" s="136"/>
    </row>
    <row r="53526" spans="1:2" x14ac:dyDescent="0.25">
      <c r="A53526" s="118"/>
      <c r="B53526" s="136"/>
    </row>
    <row r="53527" spans="1:2" x14ac:dyDescent="0.25">
      <c r="A53527" s="118"/>
      <c r="B53527" s="136"/>
    </row>
    <row r="53528" spans="1:2" x14ac:dyDescent="0.25">
      <c r="A53528" s="118"/>
      <c r="B53528" s="136"/>
    </row>
    <row r="53529" spans="1:2" x14ac:dyDescent="0.25">
      <c r="A53529" s="118"/>
      <c r="B53529" s="136"/>
    </row>
    <row r="53530" spans="1:2" x14ac:dyDescent="0.25">
      <c r="A53530" s="118"/>
      <c r="B53530" s="136"/>
    </row>
    <row r="53531" spans="1:2" x14ac:dyDescent="0.25">
      <c r="A53531" s="118"/>
      <c r="B53531" s="136"/>
    </row>
    <row r="53532" spans="1:2" x14ac:dyDescent="0.25">
      <c r="A53532" s="118"/>
      <c r="B53532" s="136"/>
    </row>
    <row r="53533" spans="1:2" x14ac:dyDescent="0.25">
      <c r="A53533" s="118"/>
      <c r="B53533" s="136"/>
    </row>
    <row r="53534" spans="1:2" x14ac:dyDescent="0.25">
      <c r="A53534" s="118"/>
      <c r="B53534" s="136"/>
    </row>
    <row r="53535" spans="1:2" x14ac:dyDescent="0.25">
      <c r="A53535" s="118"/>
      <c r="B53535" s="136"/>
    </row>
    <row r="53536" spans="1:2" x14ac:dyDescent="0.25">
      <c r="A53536" s="118"/>
      <c r="B53536" s="136"/>
    </row>
    <row r="53537" spans="1:2" x14ac:dyDescent="0.25">
      <c r="A53537" s="118"/>
      <c r="B53537" s="136"/>
    </row>
    <row r="53538" spans="1:2" x14ac:dyDescent="0.25">
      <c r="A53538" s="118"/>
      <c r="B53538" s="136"/>
    </row>
    <row r="53539" spans="1:2" x14ac:dyDescent="0.25">
      <c r="A53539" s="118"/>
      <c r="B53539" s="136"/>
    </row>
    <row r="53540" spans="1:2" x14ac:dyDescent="0.25">
      <c r="A53540" s="118"/>
      <c r="B53540" s="136"/>
    </row>
    <row r="53541" spans="1:2" x14ac:dyDescent="0.25">
      <c r="A53541" s="118"/>
      <c r="B53541" s="136"/>
    </row>
    <row r="53542" spans="1:2" x14ac:dyDescent="0.25">
      <c r="A53542" s="118"/>
      <c r="B53542" s="136"/>
    </row>
    <row r="53543" spans="1:2" x14ac:dyDescent="0.25">
      <c r="A53543" s="118"/>
      <c r="B53543" s="136"/>
    </row>
    <row r="53544" spans="1:2" x14ac:dyDescent="0.25">
      <c r="A53544" s="118"/>
      <c r="B53544" s="136"/>
    </row>
    <row r="53545" spans="1:2" x14ac:dyDescent="0.25">
      <c r="A53545" s="118"/>
      <c r="B53545" s="136"/>
    </row>
    <row r="53546" spans="1:2" x14ac:dyDescent="0.25">
      <c r="A53546" s="118"/>
      <c r="B53546" s="136"/>
    </row>
    <row r="53547" spans="1:2" x14ac:dyDescent="0.25">
      <c r="A53547" s="118"/>
      <c r="B53547" s="136"/>
    </row>
    <row r="53548" spans="1:2" x14ac:dyDescent="0.25">
      <c r="A53548" s="118"/>
      <c r="B53548" s="136"/>
    </row>
    <row r="53549" spans="1:2" x14ac:dyDescent="0.25">
      <c r="A53549" s="118"/>
      <c r="B53549" s="136"/>
    </row>
    <row r="53550" spans="1:2" x14ac:dyDescent="0.25">
      <c r="A53550" s="118"/>
      <c r="B53550" s="136"/>
    </row>
    <row r="53551" spans="1:2" x14ac:dyDescent="0.25">
      <c r="A53551" s="118"/>
      <c r="B53551" s="136"/>
    </row>
    <row r="53552" spans="1:2" x14ac:dyDescent="0.25">
      <c r="A53552" s="118"/>
      <c r="B53552" s="136"/>
    </row>
    <row r="53553" spans="1:2" x14ac:dyDescent="0.25">
      <c r="A53553" s="118"/>
      <c r="B53553" s="136"/>
    </row>
    <row r="53554" spans="1:2" x14ac:dyDescent="0.25">
      <c r="A53554" s="118"/>
      <c r="B53554" s="136"/>
    </row>
    <row r="53555" spans="1:2" x14ac:dyDescent="0.25">
      <c r="A53555" s="118"/>
      <c r="B53555" s="136"/>
    </row>
    <row r="53556" spans="1:2" x14ac:dyDescent="0.25">
      <c r="A53556" s="118"/>
      <c r="B53556" s="136"/>
    </row>
    <row r="53557" spans="1:2" x14ac:dyDescent="0.25">
      <c r="A53557" s="118"/>
      <c r="B53557" s="136"/>
    </row>
    <row r="53558" spans="1:2" x14ac:dyDescent="0.25">
      <c r="A53558" s="118"/>
      <c r="B53558" s="136"/>
    </row>
    <row r="53559" spans="1:2" x14ac:dyDescent="0.25">
      <c r="A53559" s="118"/>
      <c r="B53559" s="136"/>
    </row>
    <row r="53560" spans="1:2" x14ac:dyDescent="0.25">
      <c r="A53560" s="118"/>
      <c r="B53560" s="136"/>
    </row>
    <row r="53561" spans="1:2" x14ac:dyDescent="0.25">
      <c r="A53561" s="118"/>
      <c r="B53561" s="136"/>
    </row>
    <row r="53562" spans="1:2" x14ac:dyDescent="0.25">
      <c r="A53562" s="118"/>
      <c r="B53562" s="136"/>
    </row>
    <row r="53563" spans="1:2" x14ac:dyDescent="0.25">
      <c r="A53563" s="118"/>
      <c r="B53563" s="136"/>
    </row>
    <row r="53564" spans="1:2" x14ac:dyDescent="0.25">
      <c r="A53564" s="118"/>
      <c r="B53564" s="136"/>
    </row>
    <row r="53565" spans="1:2" x14ac:dyDescent="0.25">
      <c r="A53565" s="118"/>
      <c r="B53565" s="136"/>
    </row>
    <row r="53566" spans="1:2" x14ac:dyDescent="0.25">
      <c r="A53566" s="118"/>
      <c r="B53566" s="136"/>
    </row>
    <row r="53567" spans="1:2" x14ac:dyDescent="0.25">
      <c r="A53567" s="118"/>
      <c r="B53567" s="136"/>
    </row>
    <row r="53568" spans="1:2" x14ac:dyDescent="0.25">
      <c r="A53568" s="118"/>
      <c r="B53568" s="136"/>
    </row>
    <row r="53569" spans="1:2" x14ac:dyDescent="0.25">
      <c r="A53569" s="118"/>
      <c r="B53569" s="136"/>
    </row>
    <row r="53570" spans="1:2" x14ac:dyDescent="0.25">
      <c r="A53570" s="118"/>
      <c r="B53570" s="136"/>
    </row>
    <row r="53571" spans="1:2" x14ac:dyDescent="0.25">
      <c r="A53571" s="118"/>
      <c r="B53571" s="136"/>
    </row>
    <row r="53572" spans="1:2" x14ac:dyDescent="0.25">
      <c r="A53572" s="118"/>
      <c r="B53572" s="136"/>
    </row>
    <row r="53573" spans="1:2" x14ac:dyDescent="0.25">
      <c r="A53573" s="118"/>
      <c r="B53573" s="136"/>
    </row>
    <row r="53574" spans="1:2" x14ac:dyDescent="0.25">
      <c r="A53574" s="118"/>
      <c r="B53574" s="136"/>
    </row>
    <row r="53575" spans="1:2" x14ac:dyDescent="0.25">
      <c r="A53575" s="118"/>
      <c r="B53575" s="136"/>
    </row>
    <row r="53576" spans="1:2" x14ac:dyDescent="0.25">
      <c r="A53576" s="118"/>
      <c r="B53576" s="136"/>
    </row>
    <row r="53577" spans="1:2" x14ac:dyDescent="0.25">
      <c r="A53577" s="118"/>
      <c r="B53577" s="136"/>
    </row>
    <row r="53578" spans="1:2" x14ac:dyDescent="0.25">
      <c r="A53578" s="118"/>
      <c r="B53578" s="136"/>
    </row>
    <row r="53579" spans="1:2" x14ac:dyDescent="0.25">
      <c r="A53579" s="118"/>
      <c r="B53579" s="136"/>
    </row>
    <row r="53580" spans="1:2" x14ac:dyDescent="0.25">
      <c r="A53580" s="118"/>
      <c r="B53580" s="136"/>
    </row>
    <row r="53581" spans="1:2" x14ac:dyDescent="0.25">
      <c r="A53581" s="118"/>
      <c r="B53581" s="136"/>
    </row>
    <row r="53582" spans="1:2" x14ac:dyDescent="0.25">
      <c r="A53582" s="118"/>
      <c r="B53582" s="136"/>
    </row>
    <row r="53583" spans="1:2" x14ac:dyDescent="0.25">
      <c r="A53583" s="118"/>
      <c r="B53583" s="136"/>
    </row>
    <row r="53584" spans="1:2" x14ac:dyDescent="0.25">
      <c r="A53584" s="118"/>
      <c r="B53584" s="136"/>
    </row>
    <row r="53585" spans="1:2" x14ac:dyDescent="0.25">
      <c r="A53585" s="118"/>
      <c r="B53585" s="136"/>
    </row>
    <row r="53586" spans="1:2" x14ac:dyDescent="0.25">
      <c r="A53586" s="118"/>
      <c r="B53586" s="136"/>
    </row>
    <row r="53587" spans="1:2" x14ac:dyDescent="0.25">
      <c r="A53587" s="118"/>
      <c r="B53587" s="136"/>
    </row>
    <row r="53588" spans="1:2" x14ac:dyDescent="0.25">
      <c r="A53588" s="118"/>
      <c r="B53588" s="136"/>
    </row>
    <row r="53589" spans="1:2" x14ac:dyDescent="0.25">
      <c r="A53589" s="118"/>
      <c r="B53589" s="136"/>
    </row>
    <row r="53590" spans="1:2" x14ac:dyDescent="0.25">
      <c r="A53590" s="118"/>
      <c r="B53590" s="136"/>
    </row>
    <row r="53591" spans="1:2" x14ac:dyDescent="0.25">
      <c r="A53591" s="118"/>
      <c r="B53591" s="136"/>
    </row>
    <row r="53592" spans="1:2" x14ac:dyDescent="0.25">
      <c r="A53592" s="118"/>
      <c r="B53592" s="136"/>
    </row>
    <row r="53593" spans="1:2" x14ac:dyDescent="0.25">
      <c r="A53593" s="118"/>
      <c r="B53593" s="136"/>
    </row>
    <row r="53594" spans="1:2" x14ac:dyDescent="0.25">
      <c r="A53594" s="118"/>
      <c r="B53594" s="136"/>
    </row>
    <row r="53595" spans="1:2" x14ac:dyDescent="0.25">
      <c r="A53595" s="118"/>
      <c r="B53595" s="136"/>
    </row>
    <row r="53596" spans="1:2" x14ac:dyDescent="0.25">
      <c r="A53596" s="118"/>
      <c r="B53596" s="136"/>
    </row>
    <row r="53597" spans="1:2" x14ac:dyDescent="0.25">
      <c r="A53597" s="118"/>
      <c r="B53597" s="136"/>
    </row>
    <row r="53598" spans="1:2" x14ac:dyDescent="0.25">
      <c r="A53598" s="118"/>
      <c r="B53598" s="136"/>
    </row>
    <row r="53599" spans="1:2" x14ac:dyDescent="0.25">
      <c r="A53599" s="118"/>
      <c r="B53599" s="136"/>
    </row>
    <row r="53600" spans="1:2" x14ac:dyDescent="0.25">
      <c r="A53600" s="118"/>
      <c r="B53600" s="136"/>
    </row>
    <row r="53601" spans="1:2" x14ac:dyDescent="0.25">
      <c r="A53601" s="118"/>
      <c r="B53601" s="136"/>
    </row>
    <row r="53602" spans="1:2" x14ac:dyDescent="0.25">
      <c r="A53602" s="118"/>
      <c r="B53602" s="136"/>
    </row>
    <row r="53603" spans="1:2" x14ac:dyDescent="0.25">
      <c r="A53603" s="118"/>
      <c r="B53603" s="136"/>
    </row>
    <row r="53604" spans="1:2" x14ac:dyDescent="0.25">
      <c r="A53604" s="118"/>
      <c r="B53604" s="136"/>
    </row>
    <row r="53605" spans="1:2" x14ac:dyDescent="0.25">
      <c r="A53605" s="118"/>
      <c r="B53605" s="136"/>
    </row>
    <row r="53606" spans="1:2" x14ac:dyDescent="0.25">
      <c r="A53606" s="118"/>
      <c r="B53606" s="136"/>
    </row>
    <row r="53607" spans="1:2" x14ac:dyDescent="0.25">
      <c r="A53607" s="118"/>
      <c r="B53607" s="136"/>
    </row>
    <row r="53608" spans="1:2" x14ac:dyDescent="0.25">
      <c r="A53608" s="118"/>
      <c r="B53608" s="136"/>
    </row>
    <row r="53609" spans="1:2" x14ac:dyDescent="0.25">
      <c r="A53609" s="118"/>
      <c r="B53609" s="136"/>
    </row>
    <row r="53610" spans="1:2" x14ac:dyDescent="0.25">
      <c r="A53610" s="118"/>
      <c r="B53610" s="136"/>
    </row>
    <row r="53611" spans="1:2" x14ac:dyDescent="0.25">
      <c r="A53611" s="118"/>
      <c r="B53611" s="136"/>
    </row>
    <row r="53612" spans="1:2" x14ac:dyDescent="0.25">
      <c r="A53612" s="118"/>
      <c r="B53612" s="136"/>
    </row>
    <row r="53613" spans="1:2" x14ac:dyDescent="0.25">
      <c r="A53613" s="118"/>
      <c r="B53613" s="136"/>
    </row>
    <row r="53614" spans="1:2" x14ac:dyDescent="0.25">
      <c r="A53614" s="118"/>
      <c r="B53614" s="136"/>
    </row>
    <row r="53615" spans="1:2" x14ac:dyDescent="0.25">
      <c r="A53615" s="118"/>
      <c r="B53615" s="136"/>
    </row>
    <row r="53616" spans="1:2" x14ac:dyDescent="0.25">
      <c r="A53616" s="118"/>
      <c r="B53616" s="136"/>
    </row>
    <row r="53617" spans="1:2" x14ac:dyDescent="0.25">
      <c r="A53617" s="118"/>
      <c r="B53617" s="136"/>
    </row>
    <row r="53618" spans="1:2" x14ac:dyDescent="0.25">
      <c r="A53618" s="118"/>
      <c r="B53618" s="136"/>
    </row>
    <row r="53619" spans="1:2" x14ac:dyDescent="0.25">
      <c r="A53619" s="118"/>
      <c r="B53619" s="136"/>
    </row>
    <row r="53620" spans="1:2" x14ac:dyDescent="0.25">
      <c r="A53620" s="118"/>
      <c r="B53620" s="136"/>
    </row>
    <row r="53621" spans="1:2" x14ac:dyDescent="0.25">
      <c r="A53621" s="118"/>
      <c r="B53621" s="136"/>
    </row>
    <row r="53622" spans="1:2" x14ac:dyDescent="0.25">
      <c r="A53622" s="118"/>
      <c r="B53622" s="136"/>
    </row>
    <row r="53623" spans="1:2" x14ac:dyDescent="0.25">
      <c r="A53623" s="118"/>
      <c r="B53623" s="136"/>
    </row>
    <row r="53624" spans="1:2" x14ac:dyDescent="0.25">
      <c r="A53624" s="118"/>
      <c r="B53624" s="136"/>
    </row>
    <row r="53625" spans="1:2" x14ac:dyDescent="0.25">
      <c r="A53625" s="118"/>
      <c r="B53625" s="136"/>
    </row>
    <row r="53626" spans="1:2" x14ac:dyDescent="0.25">
      <c r="A53626" s="118"/>
      <c r="B53626" s="136"/>
    </row>
    <row r="53627" spans="1:2" x14ac:dyDescent="0.25">
      <c r="A53627" s="118"/>
      <c r="B53627" s="136"/>
    </row>
    <row r="53628" spans="1:2" x14ac:dyDescent="0.25">
      <c r="A53628" s="118"/>
      <c r="B53628" s="136"/>
    </row>
    <row r="53629" spans="1:2" x14ac:dyDescent="0.25">
      <c r="A53629" s="118"/>
      <c r="B53629" s="136"/>
    </row>
    <row r="53630" spans="1:2" x14ac:dyDescent="0.25">
      <c r="A53630" s="118"/>
      <c r="B53630" s="136"/>
    </row>
    <row r="53631" spans="1:2" x14ac:dyDescent="0.25">
      <c r="A53631" s="118"/>
      <c r="B53631" s="136"/>
    </row>
    <row r="53632" spans="1:2" x14ac:dyDescent="0.25">
      <c r="A53632" s="118"/>
      <c r="B53632" s="136"/>
    </row>
    <row r="53633" spans="1:2" x14ac:dyDescent="0.25">
      <c r="A53633" s="118"/>
      <c r="B53633" s="136"/>
    </row>
    <row r="53634" spans="1:2" x14ac:dyDescent="0.25">
      <c r="A53634" s="118"/>
      <c r="B53634" s="136"/>
    </row>
    <row r="53635" spans="1:2" x14ac:dyDescent="0.25">
      <c r="A53635" s="118"/>
      <c r="B53635" s="136"/>
    </row>
    <row r="53636" spans="1:2" x14ac:dyDescent="0.25">
      <c r="A53636" s="118"/>
      <c r="B53636" s="136"/>
    </row>
    <row r="53637" spans="1:2" x14ac:dyDescent="0.25">
      <c r="A53637" s="118"/>
      <c r="B53637" s="136"/>
    </row>
    <row r="53638" spans="1:2" x14ac:dyDescent="0.25">
      <c r="A53638" s="118"/>
      <c r="B53638" s="136"/>
    </row>
    <row r="53639" spans="1:2" x14ac:dyDescent="0.25">
      <c r="A53639" s="118"/>
      <c r="B53639" s="136"/>
    </row>
    <row r="53640" spans="1:2" x14ac:dyDescent="0.25">
      <c r="A53640" s="118"/>
      <c r="B53640" s="136"/>
    </row>
    <row r="53641" spans="1:2" x14ac:dyDescent="0.25">
      <c r="A53641" s="118"/>
      <c r="B53641" s="136"/>
    </row>
    <row r="53642" spans="1:2" x14ac:dyDescent="0.25">
      <c r="A53642" s="118"/>
      <c r="B53642" s="136"/>
    </row>
    <row r="53643" spans="1:2" x14ac:dyDescent="0.25">
      <c r="A53643" s="118"/>
      <c r="B53643" s="136"/>
    </row>
    <row r="53644" spans="1:2" x14ac:dyDescent="0.25">
      <c r="A53644" s="118"/>
      <c r="B53644" s="136"/>
    </row>
    <row r="53645" spans="1:2" x14ac:dyDescent="0.25">
      <c r="A53645" s="118"/>
      <c r="B53645" s="136"/>
    </row>
    <row r="53646" spans="1:2" x14ac:dyDescent="0.25">
      <c r="A53646" s="118"/>
      <c r="B53646" s="136"/>
    </row>
    <row r="53647" spans="1:2" x14ac:dyDescent="0.25">
      <c r="A53647" s="118"/>
      <c r="B53647" s="136"/>
    </row>
    <row r="53648" spans="1:2" x14ac:dyDescent="0.25">
      <c r="A53648" s="118"/>
      <c r="B53648" s="136"/>
    </row>
    <row r="53649" spans="1:2" x14ac:dyDescent="0.25">
      <c r="A53649" s="118"/>
      <c r="B53649" s="136"/>
    </row>
    <row r="53650" spans="1:2" x14ac:dyDescent="0.25">
      <c r="A53650" s="118"/>
      <c r="B53650" s="136"/>
    </row>
    <row r="53651" spans="1:2" x14ac:dyDescent="0.25">
      <c r="A53651" s="118"/>
      <c r="B53651" s="136"/>
    </row>
    <row r="53652" spans="1:2" x14ac:dyDescent="0.25">
      <c r="A53652" s="118"/>
      <c r="B53652" s="136"/>
    </row>
    <row r="53653" spans="1:2" x14ac:dyDescent="0.25">
      <c r="A53653" s="118"/>
      <c r="B53653" s="136"/>
    </row>
    <row r="53654" spans="1:2" x14ac:dyDescent="0.25">
      <c r="A53654" s="118"/>
      <c r="B53654" s="136"/>
    </row>
    <row r="53655" spans="1:2" x14ac:dyDescent="0.25">
      <c r="A53655" s="118"/>
      <c r="B53655" s="136"/>
    </row>
    <row r="53656" spans="1:2" x14ac:dyDescent="0.25">
      <c r="A53656" s="118"/>
      <c r="B53656" s="136"/>
    </row>
    <row r="53657" spans="1:2" x14ac:dyDescent="0.25">
      <c r="A53657" s="118"/>
      <c r="B53657" s="136"/>
    </row>
    <row r="53658" spans="1:2" x14ac:dyDescent="0.25">
      <c r="A53658" s="118"/>
      <c r="B53658" s="136"/>
    </row>
    <row r="53659" spans="1:2" x14ac:dyDescent="0.25">
      <c r="A53659" s="118"/>
      <c r="B53659" s="136"/>
    </row>
    <row r="53660" spans="1:2" x14ac:dyDescent="0.25">
      <c r="A53660" s="118"/>
      <c r="B53660" s="136"/>
    </row>
    <row r="53661" spans="1:2" x14ac:dyDescent="0.25">
      <c r="A53661" s="118"/>
      <c r="B53661" s="136"/>
    </row>
    <row r="53662" spans="1:2" x14ac:dyDescent="0.25">
      <c r="A53662" s="118"/>
      <c r="B53662" s="136"/>
    </row>
    <row r="53663" spans="1:2" x14ac:dyDescent="0.25">
      <c r="A53663" s="118"/>
      <c r="B53663" s="136"/>
    </row>
    <row r="53664" spans="1:2" x14ac:dyDescent="0.25">
      <c r="A53664" s="118"/>
      <c r="B53664" s="136"/>
    </row>
    <row r="53665" spans="1:2" x14ac:dyDescent="0.25">
      <c r="A53665" s="118"/>
      <c r="B53665" s="136"/>
    </row>
    <row r="53666" spans="1:2" x14ac:dyDescent="0.25">
      <c r="A53666" s="118"/>
      <c r="B53666" s="136"/>
    </row>
    <row r="53667" spans="1:2" x14ac:dyDescent="0.25">
      <c r="A53667" s="118"/>
      <c r="B53667" s="136"/>
    </row>
    <row r="53668" spans="1:2" x14ac:dyDescent="0.25">
      <c r="A53668" s="118"/>
      <c r="B53668" s="136"/>
    </row>
    <row r="53669" spans="1:2" x14ac:dyDescent="0.25">
      <c r="A53669" s="118"/>
      <c r="B53669" s="136"/>
    </row>
    <row r="53670" spans="1:2" x14ac:dyDescent="0.25">
      <c r="A53670" s="118"/>
      <c r="B53670" s="136"/>
    </row>
    <row r="53671" spans="1:2" x14ac:dyDescent="0.25">
      <c r="A53671" s="118"/>
      <c r="B53671" s="136"/>
    </row>
    <row r="53672" spans="1:2" x14ac:dyDescent="0.25">
      <c r="A53672" s="118"/>
      <c r="B53672" s="136"/>
    </row>
    <row r="53673" spans="1:2" x14ac:dyDescent="0.25">
      <c r="A53673" s="118"/>
      <c r="B53673" s="136"/>
    </row>
    <row r="53674" spans="1:2" x14ac:dyDescent="0.25">
      <c r="A53674" s="118"/>
      <c r="B53674" s="136"/>
    </row>
    <row r="53675" spans="1:2" x14ac:dyDescent="0.25">
      <c r="A53675" s="118"/>
      <c r="B53675" s="136"/>
    </row>
    <row r="53676" spans="1:2" x14ac:dyDescent="0.25">
      <c r="A53676" s="118"/>
      <c r="B53676" s="136"/>
    </row>
    <row r="53677" spans="1:2" x14ac:dyDescent="0.25">
      <c r="A53677" s="118"/>
      <c r="B53677" s="136"/>
    </row>
    <row r="53678" spans="1:2" x14ac:dyDescent="0.25">
      <c r="A53678" s="118"/>
      <c r="B53678" s="136"/>
    </row>
    <row r="53679" spans="1:2" x14ac:dyDescent="0.25">
      <c r="A53679" s="118"/>
      <c r="B53679" s="136"/>
    </row>
    <row r="53680" spans="1:2" x14ac:dyDescent="0.25">
      <c r="A53680" s="118"/>
      <c r="B53680" s="136"/>
    </row>
    <row r="53681" spans="1:2" x14ac:dyDescent="0.25">
      <c r="A53681" s="118"/>
      <c r="B53681" s="136"/>
    </row>
    <row r="53682" spans="1:2" x14ac:dyDescent="0.25">
      <c r="A53682" s="118"/>
      <c r="B53682" s="136"/>
    </row>
    <row r="53683" spans="1:2" x14ac:dyDescent="0.25">
      <c r="A53683" s="118"/>
      <c r="B53683" s="136"/>
    </row>
    <row r="53684" spans="1:2" x14ac:dyDescent="0.25">
      <c r="A53684" s="118"/>
      <c r="B53684" s="136"/>
    </row>
    <row r="53685" spans="1:2" x14ac:dyDescent="0.25">
      <c r="A53685" s="118"/>
      <c r="B53685" s="136"/>
    </row>
    <row r="53686" spans="1:2" x14ac:dyDescent="0.25">
      <c r="A53686" s="118"/>
      <c r="B53686" s="136"/>
    </row>
    <row r="53687" spans="1:2" x14ac:dyDescent="0.25">
      <c r="A53687" s="118"/>
      <c r="B53687" s="136"/>
    </row>
    <row r="53688" spans="1:2" x14ac:dyDescent="0.25">
      <c r="A53688" s="118"/>
      <c r="B53688" s="136"/>
    </row>
    <row r="53689" spans="1:2" x14ac:dyDescent="0.25">
      <c r="A53689" s="118"/>
      <c r="B53689" s="136"/>
    </row>
    <row r="53690" spans="1:2" x14ac:dyDescent="0.25">
      <c r="A53690" s="118"/>
      <c r="B53690" s="136"/>
    </row>
    <row r="53691" spans="1:2" x14ac:dyDescent="0.25">
      <c r="A53691" s="118"/>
      <c r="B53691" s="136"/>
    </row>
    <row r="53692" spans="1:2" x14ac:dyDescent="0.25">
      <c r="A53692" s="118"/>
      <c r="B53692" s="136"/>
    </row>
    <row r="53693" spans="1:2" x14ac:dyDescent="0.25">
      <c r="A53693" s="118"/>
      <c r="B53693" s="136"/>
    </row>
    <row r="53694" spans="1:2" x14ac:dyDescent="0.25">
      <c r="A53694" s="118"/>
      <c r="B53694" s="136"/>
    </row>
    <row r="53695" spans="1:2" x14ac:dyDescent="0.25">
      <c r="A53695" s="118"/>
      <c r="B53695" s="136"/>
    </row>
    <row r="53696" spans="1:2" x14ac:dyDescent="0.25">
      <c r="A53696" s="118"/>
      <c r="B53696" s="136"/>
    </row>
    <row r="53697" spans="1:2" x14ac:dyDescent="0.25">
      <c r="A53697" s="118"/>
      <c r="B53697" s="136"/>
    </row>
    <row r="53698" spans="1:2" x14ac:dyDescent="0.25">
      <c r="A53698" s="118"/>
      <c r="B53698" s="136"/>
    </row>
    <row r="53699" spans="1:2" x14ac:dyDescent="0.25">
      <c r="A53699" s="118"/>
      <c r="B53699" s="136"/>
    </row>
    <row r="53700" spans="1:2" x14ac:dyDescent="0.25">
      <c r="A53700" s="118"/>
      <c r="B53700" s="136"/>
    </row>
    <row r="53701" spans="1:2" x14ac:dyDescent="0.25">
      <c r="A53701" s="118"/>
      <c r="B53701" s="136"/>
    </row>
    <row r="53702" spans="1:2" x14ac:dyDescent="0.25">
      <c r="A53702" s="118"/>
      <c r="B53702" s="136"/>
    </row>
    <row r="53703" spans="1:2" x14ac:dyDescent="0.25">
      <c r="A53703" s="118"/>
      <c r="B53703" s="136"/>
    </row>
    <row r="53704" spans="1:2" x14ac:dyDescent="0.25">
      <c r="A53704" s="118"/>
      <c r="B53704" s="136"/>
    </row>
    <row r="53705" spans="1:2" x14ac:dyDescent="0.25">
      <c r="A53705" s="118"/>
      <c r="B53705" s="136"/>
    </row>
    <row r="53706" spans="1:2" x14ac:dyDescent="0.25">
      <c r="A53706" s="118"/>
      <c r="B53706" s="136"/>
    </row>
    <row r="53707" spans="1:2" x14ac:dyDescent="0.25">
      <c r="A53707" s="118"/>
      <c r="B53707" s="136"/>
    </row>
    <row r="53708" spans="1:2" x14ac:dyDescent="0.25">
      <c r="A53708" s="118"/>
      <c r="B53708" s="136"/>
    </row>
    <row r="53709" spans="1:2" x14ac:dyDescent="0.25">
      <c r="A53709" s="118"/>
      <c r="B53709" s="136"/>
    </row>
    <row r="53710" spans="1:2" x14ac:dyDescent="0.25">
      <c r="A53710" s="118"/>
      <c r="B53710" s="136"/>
    </row>
    <row r="53711" spans="1:2" x14ac:dyDescent="0.25">
      <c r="A53711" s="118"/>
      <c r="B53711" s="136"/>
    </row>
    <row r="53712" spans="1:2" x14ac:dyDescent="0.25">
      <c r="A53712" s="118"/>
      <c r="B53712" s="136"/>
    </row>
    <row r="53713" spans="1:2" x14ac:dyDescent="0.25">
      <c r="A53713" s="118"/>
      <c r="B53713" s="136"/>
    </row>
    <row r="53714" spans="1:2" x14ac:dyDescent="0.25">
      <c r="A53714" s="118"/>
      <c r="B53714" s="136"/>
    </row>
    <row r="53715" spans="1:2" x14ac:dyDescent="0.25">
      <c r="A53715" s="118"/>
      <c r="B53715" s="136"/>
    </row>
    <row r="53716" spans="1:2" x14ac:dyDescent="0.25">
      <c r="A53716" s="118"/>
      <c r="B53716" s="136"/>
    </row>
    <row r="53717" spans="1:2" x14ac:dyDescent="0.25">
      <c r="A53717" s="118"/>
      <c r="B53717" s="136"/>
    </row>
    <row r="53718" spans="1:2" x14ac:dyDescent="0.25">
      <c r="A53718" s="118"/>
      <c r="B53718" s="136"/>
    </row>
    <row r="53719" spans="1:2" x14ac:dyDescent="0.25">
      <c r="A53719" s="118"/>
      <c r="B53719" s="136"/>
    </row>
    <row r="53720" spans="1:2" x14ac:dyDescent="0.25">
      <c r="A53720" s="118"/>
      <c r="B53720" s="136"/>
    </row>
    <row r="53721" spans="1:2" x14ac:dyDescent="0.25">
      <c r="A53721" s="118"/>
      <c r="B53721" s="136"/>
    </row>
    <row r="53722" spans="1:2" x14ac:dyDescent="0.25">
      <c r="A53722" s="118"/>
      <c r="B53722" s="136"/>
    </row>
    <row r="53723" spans="1:2" x14ac:dyDescent="0.25">
      <c r="A53723" s="118"/>
      <c r="B53723" s="136"/>
    </row>
    <row r="53724" spans="1:2" x14ac:dyDescent="0.25">
      <c r="A53724" s="118"/>
      <c r="B53724" s="136"/>
    </row>
    <row r="53725" spans="1:2" x14ac:dyDescent="0.25">
      <c r="A53725" s="118"/>
      <c r="B53725" s="136"/>
    </row>
    <row r="53726" spans="1:2" x14ac:dyDescent="0.25">
      <c r="A53726" s="118"/>
      <c r="B53726" s="136"/>
    </row>
    <row r="53727" spans="1:2" x14ac:dyDescent="0.25">
      <c r="A53727" s="118"/>
      <c r="B53727" s="136"/>
    </row>
    <row r="53728" spans="1:2" x14ac:dyDescent="0.25">
      <c r="A53728" s="118"/>
      <c r="B53728" s="136"/>
    </row>
    <row r="53729" spans="1:2" x14ac:dyDescent="0.25">
      <c r="A53729" s="118"/>
      <c r="B53729" s="136"/>
    </row>
    <row r="53730" spans="1:2" x14ac:dyDescent="0.25">
      <c r="A53730" s="118"/>
      <c r="B53730" s="136"/>
    </row>
    <row r="53731" spans="1:2" x14ac:dyDescent="0.25">
      <c r="A53731" s="118"/>
      <c r="B53731" s="136"/>
    </row>
    <row r="53732" spans="1:2" x14ac:dyDescent="0.25">
      <c r="A53732" s="118"/>
      <c r="B53732" s="136"/>
    </row>
    <row r="53733" spans="1:2" x14ac:dyDescent="0.25">
      <c r="A53733" s="118"/>
      <c r="B53733" s="136"/>
    </row>
    <row r="53734" spans="1:2" x14ac:dyDescent="0.25">
      <c r="A53734" s="118"/>
      <c r="B53734" s="136"/>
    </row>
    <row r="53735" spans="1:2" x14ac:dyDescent="0.25">
      <c r="A53735" s="118"/>
      <c r="B53735" s="136"/>
    </row>
    <row r="53736" spans="1:2" x14ac:dyDescent="0.25">
      <c r="A53736" s="118"/>
      <c r="B53736" s="136"/>
    </row>
    <row r="53737" spans="1:2" x14ac:dyDescent="0.25">
      <c r="A53737" s="118"/>
      <c r="B53737" s="136"/>
    </row>
    <row r="53738" spans="1:2" x14ac:dyDescent="0.25">
      <c r="A53738" s="118"/>
      <c r="B53738" s="136"/>
    </row>
    <row r="53739" spans="1:2" x14ac:dyDescent="0.25">
      <c r="A53739" s="118"/>
      <c r="B53739" s="136"/>
    </row>
    <row r="53740" spans="1:2" x14ac:dyDescent="0.25">
      <c r="A53740" s="118"/>
      <c r="B53740" s="136"/>
    </row>
    <row r="53741" spans="1:2" x14ac:dyDescent="0.25">
      <c r="A53741" s="118"/>
      <c r="B53741" s="136"/>
    </row>
    <row r="53742" spans="1:2" x14ac:dyDescent="0.25">
      <c r="A53742" s="118"/>
      <c r="B53742" s="136"/>
    </row>
    <row r="53743" spans="1:2" x14ac:dyDescent="0.25">
      <c r="A53743" s="118"/>
      <c r="B53743" s="136"/>
    </row>
    <row r="53744" spans="1:2" x14ac:dyDescent="0.25">
      <c r="A53744" s="118"/>
      <c r="B53744" s="136"/>
    </row>
    <row r="53745" spans="1:2" x14ac:dyDescent="0.25">
      <c r="A53745" s="118"/>
      <c r="B53745" s="136"/>
    </row>
    <row r="53746" spans="1:2" x14ac:dyDescent="0.25">
      <c r="A53746" s="118"/>
      <c r="B53746" s="136"/>
    </row>
    <row r="53747" spans="1:2" x14ac:dyDescent="0.25">
      <c r="A53747" s="118"/>
      <c r="B53747" s="136"/>
    </row>
    <row r="53748" spans="1:2" x14ac:dyDescent="0.25">
      <c r="A53748" s="118"/>
      <c r="B53748" s="136"/>
    </row>
    <row r="53749" spans="1:2" x14ac:dyDescent="0.25">
      <c r="A53749" s="118"/>
      <c r="B53749" s="136"/>
    </row>
    <row r="53750" spans="1:2" x14ac:dyDescent="0.25">
      <c r="A53750" s="118"/>
      <c r="B53750" s="136"/>
    </row>
    <row r="53751" spans="1:2" x14ac:dyDescent="0.25">
      <c r="A53751" s="118"/>
      <c r="B53751" s="136"/>
    </row>
    <row r="53752" spans="1:2" x14ac:dyDescent="0.25">
      <c r="A53752" s="118"/>
      <c r="B53752" s="136"/>
    </row>
    <row r="53753" spans="1:2" x14ac:dyDescent="0.25">
      <c r="A53753" s="118"/>
      <c r="B53753" s="136"/>
    </row>
    <row r="53754" spans="1:2" x14ac:dyDescent="0.25">
      <c r="A53754" s="118"/>
      <c r="B53754" s="136"/>
    </row>
    <row r="53755" spans="1:2" x14ac:dyDescent="0.25">
      <c r="A53755" s="118"/>
      <c r="B53755" s="136"/>
    </row>
    <row r="53756" spans="1:2" x14ac:dyDescent="0.25">
      <c r="A53756" s="118"/>
      <c r="B53756" s="136"/>
    </row>
    <row r="53757" spans="1:2" x14ac:dyDescent="0.25">
      <c r="A53757" s="118"/>
      <c r="B53757" s="136"/>
    </row>
    <row r="53758" spans="1:2" x14ac:dyDescent="0.25">
      <c r="A53758" s="118"/>
      <c r="B53758" s="136"/>
    </row>
    <row r="53759" spans="1:2" x14ac:dyDescent="0.25">
      <c r="A53759" s="118"/>
      <c r="B53759" s="136"/>
    </row>
    <row r="53760" spans="1:2" x14ac:dyDescent="0.25">
      <c r="A53760" s="118"/>
      <c r="B53760" s="136"/>
    </row>
    <row r="53761" spans="1:2" x14ac:dyDescent="0.25">
      <c r="A53761" s="118"/>
      <c r="B53761" s="136"/>
    </row>
    <row r="53762" spans="1:2" x14ac:dyDescent="0.25">
      <c r="A53762" s="118"/>
      <c r="B53762" s="136"/>
    </row>
    <row r="53763" spans="1:2" x14ac:dyDescent="0.25">
      <c r="A53763" s="118"/>
      <c r="B53763" s="136"/>
    </row>
    <row r="53764" spans="1:2" x14ac:dyDescent="0.25">
      <c r="A53764" s="118"/>
      <c r="B53764" s="136"/>
    </row>
    <row r="53765" spans="1:2" x14ac:dyDescent="0.25">
      <c r="A53765" s="118"/>
      <c r="B53765" s="136"/>
    </row>
    <row r="53766" spans="1:2" x14ac:dyDescent="0.25">
      <c r="A53766" s="118"/>
      <c r="B53766" s="136"/>
    </row>
    <row r="53767" spans="1:2" x14ac:dyDescent="0.25">
      <c r="A53767" s="118"/>
      <c r="B53767" s="136"/>
    </row>
    <row r="53768" spans="1:2" x14ac:dyDescent="0.25">
      <c r="A53768" s="118"/>
      <c r="B53768" s="136"/>
    </row>
    <row r="53769" spans="1:2" x14ac:dyDescent="0.25">
      <c r="A53769" s="118"/>
      <c r="B53769" s="136"/>
    </row>
    <row r="53770" spans="1:2" x14ac:dyDescent="0.25">
      <c r="A53770" s="118"/>
      <c r="B53770" s="136"/>
    </row>
    <row r="53771" spans="1:2" x14ac:dyDescent="0.25">
      <c r="A53771" s="118"/>
      <c r="B53771" s="136"/>
    </row>
    <row r="53772" spans="1:2" x14ac:dyDescent="0.25">
      <c r="A53772" s="118"/>
      <c r="B53772" s="136"/>
    </row>
    <row r="53773" spans="1:2" x14ac:dyDescent="0.25">
      <c r="A53773" s="118"/>
      <c r="B53773" s="136"/>
    </row>
    <row r="53774" spans="1:2" x14ac:dyDescent="0.25">
      <c r="A53774" s="118"/>
      <c r="B53774" s="136"/>
    </row>
    <row r="53775" spans="1:2" x14ac:dyDescent="0.25">
      <c r="A53775" s="118"/>
      <c r="B53775" s="136"/>
    </row>
    <row r="53776" spans="1:2" x14ac:dyDescent="0.25">
      <c r="A53776" s="118"/>
      <c r="B53776" s="136"/>
    </row>
    <row r="53777" spans="1:2" x14ac:dyDescent="0.25">
      <c r="A53777" s="118"/>
      <c r="B53777" s="136"/>
    </row>
    <row r="53778" spans="1:2" x14ac:dyDescent="0.25">
      <c r="A53778" s="118"/>
      <c r="B53778" s="136"/>
    </row>
    <row r="53779" spans="1:2" x14ac:dyDescent="0.25">
      <c r="A53779" s="118"/>
      <c r="B53779" s="136"/>
    </row>
    <row r="53780" spans="1:2" x14ac:dyDescent="0.25">
      <c r="A53780" s="118"/>
      <c r="B53780" s="136"/>
    </row>
    <row r="53781" spans="1:2" x14ac:dyDescent="0.25">
      <c r="A53781" s="118"/>
      <c r="B53781" s="136"/>
    </row>
    <row r="53782" spans="1:2" x14ac:dyDescent="0.25">
      <c r="A53782" s="118"/>
      <c r="B53782" s="136"/>
    </row>
    <row r="53783" spans="1:2" x14ac:dyDescent="0.25">
      <c r="A53783" s="118"/>
      <c r="B53783" s="136"/>
    </row>
    <row r="53784" spans="1:2" x14ac:dyDescent="0.25">
      <c r="A53784" s="118"/>
      <c r="B53784" s="136"/>
    </row>
    <row r="53785" spans="1:2" x14ac:dyDescent="0.25">
      <c r="A53785" s="118"/>
      <c r="B53785" s="136"/>
    </row>
    <row r="53786" spans="1:2" x14ac:dyDescent="0.25">
      <c r="A53786" s="118"/>
      <c r="B53786" s="136"/>
    </row>
    <row r="53787" spans="1:2" x14ac:dyDescent="0.25">
      <c r="A53787" s="118"/>
      <c r="B53787" s="136"/>
    </row>
    <row r="53788" spans="1:2" x14ac:dyDescent="0.25">
      <c r="A53788" s="118"/>
      <c r="B53788" s="136"/>
    </row>
    <row r="53789" spans="1:2" x14ac:dyDescent="0.25">
      <c r="A53789" s="118"/>
      <c r="B53789" s="136"/>
    </row>
    <row r="53790" spans="1:2" x14ac:dyDescent="0.25">
      <c r="A53790" s="118"/>
      <c r="B53790" s="136"/>
    </row>
    <row r="53791" spans="1:2" x14ac:dyDescent="0.25">
      <c r="A53791" s="118"/>
      <c r="B53791" s="136"/>
    </row>
    <row r="53792" spans="1:2" x14ac:dyDescent="0.25">
      <c r="A53792" s="118"/>
      <c r="B53792" s="136"/>
    </row>
    <row r="53793" spans="1:2" x14ac:dyDescent="0.25">
      <c r="A53793" s="118"/>
      <c r="B53793" s="136"/>
    </row>
    <row r="53794" spans="1:2" x14ac:dyDescent="0.25">
      <c r="A53794" s="118"/>
      <c r="B53794" s="136"/>
    </row>
    <row r="53795" spans="1:2" x14ac:dyDescent="0.25">
      <c r="A53795" s="118"/>
      <c r="B53795" s="136"/>
    </row>
    <row r="53796" spans="1:2" x14ac:dyDescent="0.25">
      <c r="A53796" s="118"/>
      <c r="B53796" s="136"/>
    </row>
    <row r="53797" spans="1:2" x14ac:dyDescent="0.25">
      <c r="A53797" s="118"/>
      <c r="B53797" s="136"/>
    </row>
    <row r="53798" spans="1:2" x14ac:dyDescent="0.25">
      <c r="A53798" s="118"/>
      <c r="B53798" s="136"/>
    </row>
    <row r="53799" spans="1:2" x14ac:dyDescent="0.25">
      <c r="A53799" s="118"/>
      <c r="B53799" s="136"/>
    </row>
    <row r="53800" spans="1:2" x14ac:dyDescent="0.25">
      <c r="A53800" s="118"/>
      <c r="B53800" s="136"/>
    </row>
    <row r="53801" spans="1:2" x14ac:dyDescent="0.25">
      <c r="A53801" s="118"/>
      <c r="B53801" s="136"/>
    </row>
    <row r="53802" spans="1:2" x14ac:dyDescent="0.25">
      <c r="A53802" s="118"/>
      <c r="B53802" s="136"/>
    </row>
    <row r="53803" spans="1:2" x14ac:dyDescent="0.25">
      <c r="A53803" s="118"/>
      <c r="B53803" s="136"/>
    </row>
    <row r="53804" spans="1:2" x14ac:dyDescent="0.25">
      <c r="A53804" s="118"/>
      <c r="B53804" s="136"/>
    </row>
    <row r="53805" spans="1:2" x14ac:dyDescent="0.25">
      <c r="A53805" s="118"/>
      <c r="B53805" s="136"/>
    </row>
    <row r="53806" spans="1:2" x14ac:dyDescent="0.25">
      <c r="A53806" s="118"/>
      <c r="B53806" s="136"/>
    </row>
    <row r="53807" spans="1:2" x14ac:dyDescent="0.25">
      <c r="A53807" s="118"/>
      <c r="B53807" s="136"/>
    </row>
    <row r="53808" spans="1:2" x14ac:dyDescent="0.25">
      <c r="A53808" s="118"/>
      <c r="B53808" s="136"/>
    </row>
    <row r="53809" spans="1:2" x14ac:dyDescent="0.25">
      <c r="A53809" s="118"/>
      <c r="B53809" s="136"/>
    </row>
    <row r="53810" spans="1:2" x14ac:dyDescent="0.25">
      <c r="A53810" s="118"/>
      <c r="B53810" s="136"/>
    </row>
    <row r="53811" spans="1:2" x14ac:dyDescent="0.25">
      <c r="A53811" s="118"/>
      <c r="B53811" s="136"/>
    </row>
    <row r="53812" spans="1:2" x14ac:dyDescent="0.25">
      <c r="A53812" s="118"/>
      <c r="B53812" s="136"/>
    </row>
    <row r="53813" spans="1:2" x14ac:dyDescent="0.25">
      <c r="A53813" s="118"/>
      <c r="B53813" s="136"/>
    </row>
    <row r="53814" spans="1:2" x14ac:dyDescent="0.25">
      <c r="A53814" s="118"/>
      <c r="B53814" s="136"/>
    </row>
    <row r="53815" spans="1:2" x14ac:dyDescent="0.25">
      <c r="A53815" s="118"/>
      <c r="B53815" s="136"/>
    </row>
    <row r="53816" spans="1:2" x14ac:dyDescent="0.25">
      <c r="A53816" s="118"/>
      <c r="B53816" s="136"/>
    </row>
    <row r="53817" spans="1:2" x14ac:dyDescent="0.25">
      <c r="A53817" s="118"/>
      <c r="B53817" s="136"/>
    </row>
    <row r="53818" spans="1:2" x14ac:dyDescent="0.25">
      <c r="A53818" s="118"/>
      <c r="B53818" s="136"/>
    </row>
    <row r="53819" spans="1:2" x14ac:dyDescent="0.25">
      <c r="A53819" s="118"/>
      <c r="B53819" s="136"/>
    </row>
    <row r="53820" spans="1:2" x14ac:dyDescent="0.25">
      <c r="A53820" s="118"/>
      <c r="B53820" s="136"/>
    </row>
    <row r="53821" spans="1:2" x14ac:dyDescent="0.25">
      <c r="A53821" s="118"/>
      <c r="B53821" s="136"/>
    </row>
    <row r="53822" spans="1:2" x14ac:dyDescent="0.25">
      <c r="A53822" s="118"/>
      <c r="B53822" s="136"/>
    </row>
    <row r="53823" spans="1:2" x14ac:dyDescent="0.25">
      <c r="A53823" s="118"/>
      <c r="B53823" s="136"/>
    </row>
    <row r="53824" spans="1:2" x14ac:dyDescent="0.25">
      <c r="A53824" s="118"/>
      <c r="B53824" s="136"/>
    </row>
    <row r="53825" spans="1:2" x14ac:dyDescent="0.25">
      <c r="A53825" s="118"/>
      <c r="B53825" s="136"/>
    </row>
    <row r="53826" spans="1:2" x14ac:dyDescent="0.25">
      <c r="A53826" s="118"/>
      <c r="B53826" s="136"/>
    </row>
    <row r="53827" spans="1:2" x14ac:dyDescent="0.25">
      <c r="A53827" s="118"/>
      <c r="B53827" s="136"/>
    </row>
    <row r="53828" spans="1:2" x14ac:dyDescent="0.25">
      <c r="A53828" s="118"/>
      <c r="B53828" s="136"/>
    </row>
    <row r="53829" spans="1:2" x14ac:dyDescent="0.25">
      <c r="A53829" s="118"/>
      <c r="B53829" s="136"/>
    </row>
    <row r="53830" spans="1:2" x14ac:dyDescent="0.25">
      <c r="A53830" s="118"/>
      <c r="B53830" s="136"/>
    </row>
    <row r="53831" spans="1:2" x14ac:dyDescent="0.25">
      <c r="A53831" s="118"/>
      <c r="B53831" s="136"/>
    </row>
    <row r="53832" spans="1:2" x14ac:dyDescent="0.25">
      <c r="A53832" s="118"/>
      <c r="B53832" s="136"/>
    </row>
    <row r="53833" spans="1:2" x14ac:dyDescent="0.25">
      <c r="A53833" s="118"/>
      <c r="B53833" s="136"/>
    </row>
    <row r="53834" spans="1:2" x14ac:dyDescent="0.25">
      <c r="A53834" s="118"/>
      <c r="B53834" s="136"/>
    </row>
    <row r="53835" spans="1:2" x14ac:dyDescent="0.25">
      <c r="A53835" s="118"/>
      <c r="B53835" s="136"/>
    </row>
    <row r="53836" spans="1:2" x14ac:dyDescent="0.25">
      <c r="A53836" s="118"/>
      <c r="B53836" s="136"/>
    </row>
    <row r="53837" spans="1:2" x14ac:dyDescent="0.25">
      <c r="A53837" s="118"/>
      <c r="B53837" s="136"/>
    </row>
    <row r="53838" spans="1:2" x14ac:dyDescent="0.25">
      <c r="A53838" s="118"/>
      <c r="B53838" s="136"/>
    </row>
    <row r="53839" spans="1:2" x14ac:dyDescent="0.25">
      <c r="A53839" s="118"/>
      <c r="B53839" s="136"/>
    </row>
    <row r="53840" spans="1:2" x14ac:dyDescent="0.25">
      <c r="A53840" s="118"/>
      <c r="B53840" s="136"/>
    </row>
    <row r="53841" spans="1:2" x14ac:dyDescent="0.25">
      <c r="A53841" s="118"/>
      <c r="B53841" s="136"/>
    </row>
    <row r="53842" spans="1:2" x14ac:dyDescent="0.25">
      <c r="A53842" s="118"/>
      <c r="B53842" s="136"/>
    </row>
    <row r="53843" spans="1:2" x14ac:dyDescent="0.25">
      <c r="A53843" s="118"/>
      <c r="B53843" s="136"/>
    </row>
    <row r="53844" spans="1:2" x14ac:dyDescent="0.25">
      <c r="A53844" s="118"/>
      <c r="B53844" s="136"/>
    </row>
    <row r="53845" spans="1:2" x14ac:dyDescent="0.25">
      <c r="A53845" s="118"/>
      <c r="B53845" s="136"/>
    </row>
    <row r="53846" spans="1:2" x14ac:dyDescent="0.25">
      <c r="A53846" s="118"/>
      <c r="B53846" s="136"/>
    </row>
    <row r="53847" spans="1:2" x14ac:dyDescent="0.25">
      <c r="A53847" s="118"/>
      <c r="B53847" s="136"/>
    </row>
    <row r="53848" spans="1:2" x14ac:dyDescent="0.25">
      <c r="A53848" s="118"/>
      <c r="B53848" s="136"/>
    </row>
    <row r="53849" spans="1:2" x14ac:dyDescent="0.25">
      <c r="A53849" s="118"/>
      <c r="B53849" s="136"/>
    </row>
    <row r="53850" spans="1:2" x14ac:dyDescent="0.25">
      <c r="A53850" s="118"/>
      <c r="B53850" s="136"/>
    </row>
    <row r="53851" spans="1:2" x14ac:dyDescent="0.25">
      <c r="A53851" s="118"/>
      <c r="B53851" s="136"/>
    </row>
    <row r="53852" spans="1:2" x14ac:dyDescent="0.25">
      <c r="A53852" s="118"/>
      <c r="B53852" s="136"/>
    </row>
    <row r="53853" spans="1:2" x14ac:dyDescent="0.25">
      <c r="A53853" s="118"/>
      <c r="B53853" s="136"/>
    </row>
    <row r="53854" spans="1:2" x14ac:dyDescent="0.25">
      <c r="A53854" s="118"/>
      <c r="B53854" s="136"/>
    </row>
    <row r="53855" spans="1:2" x14ac:dyDescent="0.25">
      <c r="A53855" s="118"/>
      <c r="B53855" s="136"/>
    </row>
    <row r="53856" spans="1:2" x14ac:dyDescent="0.25">
      <c r="A53856" s="118"/>
      <c r="B53856" s="136"/>
    </row>
    <row r="53857" spans="1:2" x14ac:dyDescent="0.25">
      <c r="A53857" s="118"/>
      <c r="B53857" s="136"/>
    </row>
    <row r="53858" spans="1:2" x14ac:dyDescent="0.25">
      <c r="A53858" s="118"/>
      <c r="B53858" s="136"/>
    </row>
    <row r="53859" spans="1:2" x14ac:dyDescent="0.25">
      <c r="A53859" s="118"/>
      <c r="B53859" s="136"/>
    </row>
    <row r="53860" spans="1:2" x14ac:dyDescent="0.25">
      <c r="A53860" s="118"/>
      <c r="B53860" s="136"/>
    </row>
    <row r="53861" spans="1:2" x14ac:dyDescent="0.25">
      <c r="A53861" s="118"/>
      <c r="B53861" s="136"/>
    </row>
    <row r="53862" spans="1:2" x14ac:dyDescent="0.25">
      <c r="A53862" s="118"/>
      <c r="B53862" s="136"/>
    </row>
    <row r="53863" spans="1:2" x14ac:dyDescent="0.25">
      <c r="A53863" s="118"/>
      <c r="B53863" s="136"/>
    </row>
    <row r="53864" spans="1:2" x14ac:dyDescent="0.25">
      <c r="A53864" s="118"/>
      <c r="B53864" s="136"/>
    </row>
    <row r="53865" spans="1:2" x14ac:dyDescent="0.25">
      <c r="A53865" s="118"/>
      <c r="B53865" s="136"/>
    </row>
    <row r="53866" spans="1:2" x14ac:dyDescent="0.25">
      <c r="A53866" s="118"/>
      <c r="B53866" s="136"/>
    </row>
    <row r="53867" spans="1:2" x14ac:dyDescent="0.25">
      <c r="A53867" s="118"/>
      <c r="B53867" s="136"/>
    </row>
    <row r="53868" spans="1:2" x14ac:dyDescent="0.25">
      <c r="A53868" s="118"/>
      <c r="B53868" s="136"/>
    </row>
    <row r="53869" spans="1:2" x14ac:dyDescent="0.25">
      <c r="A53869" s="118"/>
      <c r="B53869" s="136"/>
    </row>
    <row r="53870" spans="1:2" x14ac:dyDescent="0.25">
      <c r="A53870" s="118"/>
      <c r="B53870" s="136"/>
    </row>
    <row r="53871" spans="1:2" x14ac:dyDescent="0.25">
      <c r="A53871" s="118"/>
      <c r="B53871" s="136"/>
    </row>
    <row r="53872" spans="1:2" x14ac:dyDescent="0.25">
      <c r="A53872" s="118"/>
      <c r="B53872" s="136"/>
    </row>
    <row r="53873" spans="1:2" x14ac:dyDescent="0.25">
      <c r="A53873" s="118"/>
      <c r="B53873" s="136"/>
    </row>
    <row r="53874" spans="1:2" x14ac:dyDescent="0.25">
      <c r="A53874" s="118"/>
      <c r="B53874" s="136"/>
    </row>
    <row r="53875" spans="1:2" x14ac:dyDescent="0.25">
      <c r="A53875" s="118"/>
      <c r="B53875" s="136"/>
    </row>
    <row r="53876" spans="1:2" x14ac:dyDescent="0.25">
      <c r="A53876" s="118"/>
      <c r="B53876" s="136"/>
    </row>
    <row r="53877" spans="1:2" x14ac:dyDescent="0.25">
      <c r="A53877" s="118"/>
      <c r="B53877" s="136"/>
    </row>
    <row r="53878" spans="1:2" x14ac:dyDescent="0.25">
      <c r="A53878" s="118"/>
      <c r="B53878" s="136"/>
    </row>
    <row r="53879" spans="1:2" x14ac:dyDescent="0.25">
      <c r="A53879" s="118"/>
      <c r="B53879" s="136"/>
    </row>
    <row r="53880" spans="1:2" x14ac:dyDescent="0.25">
      <c r="A53880" s="118"/>
      <c r="B53880" s="136"/>
    </row>
    <row r="53881" spans="1:2" x14ac:dyDescent="0.25">
      <c r="A53881" s="118"/>
      <c r="B53881" s="136"/>
    </row>
    <row r="53882" spans="1:2" x14ac:dyDescent="0.25">
      <c r="A53882" s="118"/>
      <c r="B53882" s="136"/>
    </row>
    <row r="53883" spans="1:2" x14ac:dyDescent="0.25">
      <c r="A53883" s="118"/>
      <c r="B53883" s="136"/>
    </row>
    <row r="53884" spans="1:2" x14ac:dyDescent="0.25">
      <c r="A53884" s="118"/>
      <c r="B53884" s="136"/>
    </row>
    <row r="53885" spans="1:2" x14ac:dyDescent="0.25">
      <c r="A53885" s="118"/>
      <c r="B53885" s="136"/>
    </row>
    <row r="53886" spans="1:2" x14ac:dyDescent="0.25">
      <c r="A53886" s="118"/>
      <c r="B53886" s="136"/>
    </row>
    <row r="53887" spans="1:2" x14ac:dyDescent="0.25">
      <c r="A53887" s="118"/>
      <c r="B53887" s="136"/>
    </row>
    <row r="53888" spans="1:2" x14ac:dyDescent="0.25">
      <c r="A53888" s="118"/>
      <c r="B53888" s="136"/>
    </row>
    <row r="53889" spans="1:2" x14ac:dyDescent="0.25">
      <c r="A53889" s="118"/>
      <c r="B53889" s="136"/>
    </row>
    <row r="53890" spans="1:2" x14ac:dyDescent="0.25">
      <c r="A53890" s="118"/>
      <c r="B53890" s="136"/>
    </row>
    <row r="53891" spans="1:2" x14ac:dyDescent="0.25">
      <c r="A53891" s="118"/>
      <c r="B53891" s="136"/>
    </row>
    <row r="53892" spans="1:2" x14ac:dyDescent="0.25">
      <c r="A53892" s="118"/>
      <c r="B53892" s="136"/>
    </row>
    <row r="53893" spans="1:2" x14ac:dyDescent="0.25">
      <c r="A53893" s="118"/>
      <c r="B53893" s="136"/>
    </row>
    <row r="53894" spans="1:2" x14ac:dyDescent="0.25">
      <c r="A53894" s="118"/>
      <c r="B53894" s="136"/>
    </row>
    <row r="53895" spans="1:2" x14ac:dyDescent="0.25">
      <c r="A53895" s="118"/>
      <c r="B53895" s="136"/>
    </row>
    <row r="53896" spans="1:2" x14ac:dyDescent="0.25">
      <c r="A53896" s="118"/>
      <c r="B53896" s="136"/>
    </row>
    <row r="53897" spans="1:2" x14ac:dyDescent="0.25">
      <c r="A53897" s="118"/>
      <c r="B53897" s="136"/>
    </row>
    <row r="53898" spans="1:2" x14ac:dyDescent="0.25">
      <c r="A53898" s="118"/>
      <c r="B53898" s="136"/>
    </row>
    <row r="53899" spans="1:2" x14ac:dyDescent="0.25">
      <c r="A53899" s="118"/>
      <c r="B53899" s="136"/>
    </row>
    <row r="53900" spans="1:2" x14ac:dyDescent="0.25">
      <c r="A53900" s="118"/>
      <c r="B53900" s="136"/>
    </row>
    <row r="53901" spans="1:2" x14ac:dyDescent="0.25">
      <c r="A53901" s="118"/>
      <c r="B53901" s="136"/>
    </row>
    <row r="53902" spans="1:2" x14ac:dyDescent="0.25">
      <c r="A53902" s="118"/>
      <c r="B53902" s="136"/>
    </row>
    <row r="53903" spans="1:2" x14ac:dyDescent="0.25">
      <c r="A53903" s="118"/>
      <c r="B53903" s="136"/>
    </row>
    <row r="53904" spans="1:2" x14ac:dyDescent="0.25">
      <c r="A53904" s="118"/>
      <c r="B53904" s="136"/>
    </row>
    <row r="53905" spans="1:2" x14ac:dyDescent="0.25">
      <c r="A53905" s="118"/>
      <c r="B53905" s="136"/>
    </row>
    <row r="53906" spans="1:2" x14ac:dyDescent="0.25">
      <c r="A53906" s="118"/>
      <c r="B53906" s="136"/>
    </row>
    <row r="53907" spans="1:2" x14ac:dyDescent="0.25">
      <c r="A53907" s="118"/>
      <c r="B53907" s="136"/>
    </row>
    <row r="53908" spans="1:2" x14ac:dyDescent="0.25">
      <c r="A53908" s="118"/>
      <c r="B53908" s="136"/>
    </row>
    <row r="53909" spans="1:2" x14ac:dyDescent="0.25">
      <c r="A53909" s="118"/>
      <c r="B53909" s="136"/>
    </row>
    <row r="53910" spans="1:2" x14ac:dyDescent="0.25">
      <c r="A53910" s="118"/>
      <c r="B53910" s="136"/>
    </row>
    <row r="53911" spans="1:2" x14ac:dyDescent="0.25">
      <c r="A53911" s="118"/>
      <c r="B53911" s="136"/>
    </row>
    <row r="53912" spans="1:2" x14ac:dyDescent="0.25">
      <c r="A53912" s="118"/>
      <c r="B53912" s="136"/>
    </row>
    <row r="53913" spans="1:2" x14ac:dyDescent="0.25">
      <c r="A53913" s="118"/>
      <c r="B53913" s="136"/>
    </row>
    <row r="53914" spans="1:2" x14ac:dyDescent="0.25">
      <c r="A53914" s="118"/>
      <c r="B53914" s="136"/>
    </row>
    <row r="53915" spans="1:2" x14ac:dyDescent="0.25">
      <c r="A53915" s="118"/>
      <c r="B53915" s="136"/>
    </row>
    <row r="53916" spans="1:2" x14ac:dyDescent="0.25">
      <c r="A53916" s="118"/>
      <c r="B53916" s="136"/>
    </row>
    <row r="53917" spans="1:2" x14ac:dyDescent="0.25">
      <c r="A53917" s="118"/>
      <c r="B53917" s="136"/>
    </row>
    <row r="53918" spans="1:2" x14ac:dyDescent="0.25">
      <c r="A53918" s="118"/>
      <c r="B53918" s="136"/>
    </row>
    <row r="53919" spans="1:2" x14ac:dyDescent="0.25">
      <c r="A53919" s="118"/>
      <c r="B53919" s="136"/>
    </row>
    <row r="53920" spans="1:2" x14ac:dyDescent="0.25">
      <c r="A53920" s="118"/>
      <c r="B53920" s="136"/>
    </row>
    <row r="53921" spans="1:2" x14ac:dyDescent="0.25">
      <c r="A53921" s="118"/>
      <c r="B53921" s="136"/>
    </row>
    <row r="53922" spans="1:2" x14ac:dyDescent="0.25">
      <c r="A53922" s="118"/>
      <c r="B53922" s="136"/>
    </row>
    <row r="53923" spans="1:2" x14ac:dyDescent="0.25">
      <c r="A53923" s="118"/>
      <c r="B53923" s="136"/>
    </row>
    <row r="53924" spans="1:2" x14ac:dyDescent="0.25">
      <c r="A53924" s="118"/>
      <c r="B53924" s="136"/>
    </row>
    <row r="53925" spans="1:2" x14ac:dyDescent="0.25">
      <c r="A53925" s="118"/>
      <c r="B53925" s="136"/>
    </row>
    <row r="53926" spans="1:2" x14ac:dyDescent="0.25">
      <c r="A53926" s="118"/>
      <c r="B53926" s="136"/>
    </row>
    <row r="53927" spans="1:2" x14ac:dyDescent="0.25">
      <c r="A53927" s="118"/>
      <c r="B53927" s="136"/>
    </row>
    <row r="53928" spans="1:2" x14ac:dyDescent="0.25">
      <c r="A53928" s="118"/>
      <c r="B53928" s="136"/>
    </row>
    <row r="53929" spans="1:2" x14ac:dyDescent="0.25">
      <c r="A53929" s="118"/>
      <c r="B53929" s="136"/>
    </row>
    <row r="53930" spans="1:2" x14ac:dyDescent="0.25">
      <c r="A53930" s="118"/>
      <c r="B53930" s="136"/>
    </row>
    <row r="53931" spans="1:2" x14ac:dyDescent="0.25">
      <c r="A53931" s="118"/>
      <c r="B53931" s="136"/>
    </row>
    <row r="53932" spans="1:2" x14ac:dyDescent="0.25">
      <c r="A53932" s="118"/>
      <c r="B53932" s="136"/>
    </row>
    <row r="53933" spans="1:2" x14ac:dyDescent="0.25">
      <c r="A53933" s="118"/>
      <c r="B53933" s="136"/>
    </row>
    <row r="53934" spans="1:2" x14ac:dyDescent="0.25">
      <c r="A53934" s="118"/>
      <c r="B53934" s="136"/>
    </row>
    <row r="53935" spans="1:2" x14ac:dyDescent="0.25">
      <c r="A53935" s="118"/>
      <c r="B53935" s="136"/>
    </row>
    <row r="53936" spans="1:2" x14ac:dyDescent="0.25">
      <c r="A53936" s="118"/>
      <c r="B53936" s="136"/>
    </row>
    <row r="53937" spans="1:2" x14ac:dyDescent="0.25">
      <c r="A53937" s="118"/>
      <c r="B53937" s="136"/>
    </row>
    <row r="53938" spans="1:2" x14ac:dyDescent="0.25">
      <c r="A53938" s="118"/>
      <c r="B53938" s="136"/>
    </row>
    <row r="53939" spans="1:2" x14ac:dyDescent="0.25">
      <c r="A53939" s="118"/>
      <c r="B53939" s="136"/>
    </row>
    <row r="53940" spans="1:2" x14ac:dyDescent="0.25">
      <c r="A53940" s="118"/>
      <c r="B53940" s="136"/>
    </row>
    <row r="53941" spans="1:2" x14ac:dyDescent="0.25">
      <c r="A53941" s="118"/>
      <c r="B53941" s="136"/>
    </row>
    <row r="53942" spans="1:2" x14ac:dyDescent="0.25">
      <c r="A53942" s="118"/>
      <c r="B53942" s="136"/>
    </row>
    <row r="53943" spans="1:2" x14ac:dyDescent="0.25">
      <c r="A53943" s="118"/>
      <c r="B53943" s="136"/>
    </row>
    <row r="53944" spans="1:2" x14ac:dyDescent="0.25">
      <c r="A53944" s="118"/>
      <c r="B53944" s="136"/>
    </row>
    <row r="53945" spans="1:2" x14ac:dyDescent="0.25">
      <c r="A53945" s="118"/>
      <c r="B53945" s="136"/>
    </row>
    <row r="53946" spans="1:2" x14ac:dyDescent="0.25">
      <c r="A53946" s="118"/>
      <c r="B53946" s="136"/>
    </row>
    <row r="53947" spans="1:2" x14ac:dyDescent="0.25">
      <c r="A53947" s="118"/>
      <c r="B53947" s="136"/>
    </row>
    <row r="53948" spans="1:2" x14ac:dyDescent="0.25">
      <c r="A53948" s="118"/>
      <c r="B53948" s="136"/>
    </row>
    <row r="53949" spans="1:2" x14ac:dyDescent="0.25">
      <c r="A53949" s="118"/>
      <c r="B53949" s="136"/>
    </row>
    <row r="53950" spans="1:2" x14ac:dyDescent="0.25">
      <c r="A53950" s="118"/>
      <c r="B53950" s="136"/>
    </row>
    <row r="53951" spans="1:2" x14ac:dyDescent="0.25">
      <c r="A53951" s="118"/>
      <c r="B53951" s="136"/>
    </row>
    <row r="53952" spans="1:2" x14ac:dyDescent="0.25">
      <c r="A53952" s="118"/>
      <c r="B53952" s="136"/>
    </row>
    <row r="53953" spans="1:2" x14ac:dyDescent="0.25">
      <c r="A53953" s="118"/>
      <c r="B53953" s="136"/>
    </row>
    <row r="53954" spans="1:2" x14ac:dyDescent="0.25">
      <c r="A53954" s="118"/>
      <c r="B53954" s="136"/>
    </row>
    <row r="53955" spans="1:2" x14ac:dyDescent="0.25">
      <c r="A53955" s="118"/>
      <c r="B53955" s="136"/>
    </row>
    <row r="53956" spans="1:2" x14ac:dyDescent="0.25">
      <c r="A53956" s="118"/>
      <c r="B53956" s="136"/>
    </row>
    <row r="53957" spans="1:2" x14ac:dyDescent="0.25">
      <c r="A53957" s="118"/>
      <c r="B53957" s="136"/>
    </row>
    <row r="53958" spans="1:2" x14ac:dyDescent="0.25">
      <c r="A53958" s="118"/>
      <c r="B53958" s="136"/>
    </row>
    <row r="53959" spans="1:2" x14ac:dyDescent="0.25">
      <c r="A53959" s="118"/>
      <c r="B53959" s="136"/>
    </row>
    <row r="53960" spans="1:2" x14ac:dyDescent="0.25">
      <c r="A53960" s="118"/>
      <c r="B53960" s="136"/>
    </row>
    <row r="53961" spans="1:2" x14ac:dyDescent="0.25">
      <c r="A53961" s="118"/>
      <c r="B53961" s="136"/>
    </row>
    <row r="53962" spans="1:2" x14ac:dyDescent="0.25">
      <c r="A53962" s="118"/>
      <c r="B53962" s="136"/>
    </row>
    <row r="53963" spans="1:2" x14ac:dyDescent="0.25">
      <c r="A53963" s="118"/>
      <c r="B53963" s="136"/>
    </row>
    <row r="53964" spans="1:2" x14ac:dyDescent="0.25">
      <c r="A53964" s="118"/>
      <c r="B53964" s="136"/>
    </row>
    <row r="53965" spans="1:2" x14ac:dyDescent="0.25">
      <c r="A53965" s="118"/>
      <c r="B53965" s="136"/>
    </row>
    <row r="53966" spans="1:2" x14ac:dyDescent="0.25">
      <c r="A53966" s="118"/>
      <c r="B53966" s="136"/>
    </row>
    <row r="53967" spans="1:2" x14ac:dyDescent="0.25">
      <c r="A53967" s="118"/>
      <c r="B53967" s="136"/>
    </row>
    <row r="53968" spans="1:2" x14ac:dyDescent="0.25">
      <c r="A53968" s="118"/>
      <c r="B53968" s="136"/>
    </row>
    <row r="53969" spans="1:2" x14ac:dyDescent="0.25">
      <c r="A53969" s="118"/>
      <c r="B53969" s="136"/>
    </row>
    <row r="53970" spans="1:2" x14ac:dyDescent="0.25">
      <c r="A53970" s="118"/>
      <c r="B53970" s="136"/>
    </row>
    <row r="53971" spans="1:2" x14ac:dyDescent="0.25">
      <c r="A53971" s="118"/>
      <c r="B53971" s="136"/>
    </row>
    <row r="53972" spans="1:2" x14ac:dyDescent="0.25">
      <c r="A53972" s="118"/>
      <c r="B53972" s="136"/>
    </row>
    <row r="53973" spans="1:2" x14ac:dyDescent="0.25">
      <c r="A53973" s="118"/>
      <c r="B53973" s="136"/>
    </row>
    <row r="53974" spans="1:2" x14ac:dyDescent="0.25">
      <c r="A53974" s="118"/>
      <c r="B53974" s="136"/>
    </row>
    <row r="53975" spans="1:2" x14ac:dyDescent="0.25">
      <c r="A53975" s="118"/>
      <c r="B53975" s="136"/>
    </row>
    <row r="53976" spans="1:2" x14ac:dyDescent="0.25">
      <c r="A53976" s="118"/>
      <c r="B53976" s="136"/>
    </row>
    <row r="53977" spans="1:2" x14ac:dyDescent="0.25">
      <c r="A53977" s="118"/>
      <c r="B53977" s="136"/>
    </row>
    <row r="53978" spans="1:2" x14ac:dyDescent="0.25">
      <c r="A53978" s="118"/>
      <c r="B53978" s="136"/>
    </row>
    <row r="53979" spans="1:2" x14ac:dyDescent="0.25">
      <c r="A53979" s="118"/>
      <c r="B53979" s="136"/>
    </row>
    <row r="53980" spans="1:2" x14ac:dyDescent="0.25">
      <c r="A53980" s="118"/>
      <c r="B53980" s="136"/>
    </row>
    <row r="53981" spans="1:2" x14ac:dyDescent="0.25">
      <c r="A53981" s="118"/>
      <c r="B53981" s="136"/>
    </row>
    <row r="53982" spans="1:2" x14ac:dyDescent="0.25">
      <c r="A53982" s="118"/>
      <c r="B53982" s="136"/>
    </row>
    <row r="53983" spans="1:2" x14ac:dyDescent="0.25">
      <c r="A53983" s="118"/>
      <c r="B53983" s="136"/>
    </row>
    <row r="53984" spans="1:2" x14ac:dyDescent="0.25">
      <c r="A53984" s="118"/>
      <c r="B53984" s="136"/>
    </row>
    <row r="53985" spans="1:2" x14ac:dyDescent="0.25">
      <c r="A53985" s="118"/>
      <c r="B53985" s="136"/>
    </row>
    <row r="53986" spans="1:2" x14ac:dyDescent="0.25">
      <c r="A53986" s="118"/>
      <c r="B53986" s="136"/>
    </row>
    <row r="53987" spans="1:2" x14ac:dyDescent="0.25">
      <c r="A53987" s="118"/>
      <c r="B53987" s="136"/>
    </row>
    <row r="53988" spans="1:2" x14ac:dyDescent="0.25">
      <c r="A53988" s="118"/>
      <c r="B53988" s="136"/>
    </row>
    <row r="53989" spans="1:2" x14ac:dyDescent="0.25">
      <c r="A53989" s="118"/>
      <c r="B53989" s="136"/>
    </row>
    <row r="53990" spans="1:2" x14ac:dyDescent="0.25">
      <c r="A53990" s="118"/>
      <c r="B53990" s="136"/>
    </row>
    <row r="53991" spans="1:2" x14ac:dyDescent="0.25">
      <c r="A53991" s="118"/>
      <c r="B53991" s="136"/>
    </row>
    <row r="53992" spans="1:2" x14ac:dyDescent="0.25">
      <c r="A53992" s="118"/>
      <c r="B53992" s="136"/>
    </row>
    <row r="53993" spans="1:2" x14ac:dyDescent="0.25">
      <c r="A53993" s="118"/>
      <c r="B53993" s="136"/>
    </row>
    <row r="53994" spans="1:2" x14ac:dyDescent="0.25">
      <c r="A53994" s="118"/>
      <c r="B53994" s="136"/>
    </row>
    <row r="53995" spans="1:2" x14ac:dyDescent="0.25">
      <c r="A53995" s="118"/>
      <c r="B53995" s="136"/>
    </row>
    <row r="53996" spans="1:2" x14ac:dyDescent="0.25">
      <c r="A53996" s="118"/>
      <c r="B53996" s="136"/>
    </row>
    <row r="53997" spans="1:2" x14ac:dyDescent="0.25">
      <c r="A53997" s="118"/>
      <c r="B53997" s="136"/>
    </row>
    <row r="53998" spans="1:2" x14ac:dyDescent="0.25">
      <c r="A53998" s="118"/>
      <c r="B53998" s="136"/>
    </row>
    <row r="53999" spans="1:2" x14ac:dyDescent="0.25">
      <c r="A53999" s="118"/>
      <c r="B53999" s="136"/>
    </row>
    <row r="54000" spans="1:2" x14ac:dyDescent="0.25">
      <c r="A54000" s="118"/>
      <c r="B54000" s="136"/>
    </row>
    <row r="54001" spans="1:2" x14ac:dyDescent="0.25">
      <c r="A54001" s="118"/>
      <c r="B54001" s="136"/>
    </row>
    <row r="54002" spans="1:2" x14ac:dyDescent="0.25">
      <c r="A54002" s="118"/>
      <c r="B54002" s="136"/>
    </row>
    <row r="54003" spans="1:2" x14ac:dyDescent="0.25">
      <c r="A54003" s="118"/>
      <c r="B54003" s="136"/>
    </row>
    <row r="54004" spans="1:2" x14ac:dyDescent="0.25">
      <c r="A54004" s="118"/>
      <c r="B54004" s="136"/>
    </row>
    <row r="54005" spans="1:2" x14ac:dyDescent="0.25">
      <c r="A54005" s="118"/>
      <c r="B54005" s="136"/>
    </row>
    <row r="54006" spans="1:2" x14ac:dyDescent="0.25">
      <c r="A54006" s="118"/>
      <c r="B54006" s="136"/>
    </row>
    <row r="54007" spans="1:2" x14ac:dyDescent="0.25">
      <c r="A54007" s="118"/>
      <c r="B54007" s="136"/>
    </row>
    <row r="54008" spans="1:2" x14ac:dyDescent="0.25">
      <c r="A54008" s="118"/>
      <c r="B54008" s="136"/>
    </row>
    <row r="54009" spans="1:2" x14ac:dyDescent="0.25">
      <c r="A54009" s="118"/>
      <c r="B54009" s="136"/>
    </row>
    <row r="54010" spans="1:2" x14ac:dyDescent="0.25">
      <c r="A54010" s="118"/>
      <c r="B54010" s="136"/>
    </row>
    <row r="54011" spans="1:2" x14ac:dyDescent="0.25">
      <c r="A54011" s="118"/>
      <c r="B54011" s="136"/>
    </row>
    <row r="54012" spans="1:2" x14ac:dyDescent="0.25">
      <c r="A54012" s="118"/>
      <c r="B54012" s="136"/>
    </row>
    <row r="54013" spans="1:2" x14ac:dyDescent="0.25">
      <c r="A54013" s="118"/>
      <c r="B54013" s="136"/>
    </row>
    <row r="54014" spans="1:2" x14ac:dyDescent="0.25">
      <c r="A54014" s="118"/>
      <c r="B54014" s="136"/>
    </row>
    <row r="54015" spans="1:2" x14ac:dyDescent="0.25">
      <c r="A54015" s="118"/>
      <c r="B54015" s="136"/>
    </row>
    <row r="54016" spans="1:2" x14ac:dyDescent="0.25">
      <c r="A54016" s="118"/>
      <c r="B54016" s="136"/>
    </row>
    <row r="54017" spans="1:2" x14ac:dyDescent="0.25">
      <c r="A54017" s="118"/>
      <c r="B54017" s="136"/>
    </row>
    <row r="54018" spans="1:2" x14ac:dyDescent="0.25">
      <c r="A54018" s="118"/>
      <c r="B54018" s="136"/>
    </row>
    <row r="54019" spans="1:2" x14ac:dyDescent="0.25">
      <c r="A54019" s="118"/>
      <c r="B54019" s="136"/>
    </row>
    <row r="54020" spans="1:2" x14ac:dyDescent="0.25">
      <c r="A54020" s="118"/>
      <c r="B54020" s="136"/>
    </row>
    <row r="54021" spans="1:2" x14ac:dyDescent="0.25">
      <c r="A54021" s="118"/>
      <c r="B54021" s="136"/>
    </row>
    <row r="54022" spans="1:2" x14ac:dyDescent="0.25">
      <c r="A54022" s="118"/>
      <c r="B54022" s="136"/>
    </row>
    <row r="54023" spans="1:2" x14ac:dyDescent="0.25">
      <c r="A54023" s="118"/>
      <c r="B54023" s="136"/>
    </row>
    <row r="54024" spans="1:2" x14ac:dyDescent="0.25">
      <c r="A54024" s="118"/>
      <c r="B54024" s="136"/>
    </row>
    <row r="54025" spans="1:2" x14ac:dyDescent="0.25">
      <c r="A54025" s="118"/>
      <c r="B54025" s="136"/>
    </row>
    <row r="54026" spans="1:2" x14ac:dyDescent="0.25">
      <c r="A54026" s="118"/>
      <c r="B54026" s="136"/>
    </row>
    <row r="54027" spans="1:2" x14ac:dyDescent="0.25">
      <c r="A54027" s="118"/>
      <c r="B54027" s="136"/>
    </row>
    <row r="54028" spans="1:2" x14ac:dyDescent="0.25">
      <c r="A54028" s="118"/>
      <c r="B54028" s="136"/>
    </row>
    <row r="54029" spans="1:2" x14ac:dyDescent="0.25">
      <c r="A54029" s="118"/>
      <c r="B54029" s="136"/>
    </row>
    <row r="54030" spans="1:2" x14ac:dyDescent="0.25">
      <c r="A54030" s="118"/>
      <c r="B54030" s="136"/>
    </row>
    <row r="54031" spans="1:2" x14ac:dyDescent="0.25">
      <c r="A54031" s="118"/>
      <c r="B54031" s="136"/>
    </row>
    <row r="54032" spans="1:2" x14ac:dyDescent="0.25">
      <c r="A54032" s="118"/>
      <c r="B54032" s="136"/>
    </row>
    <row r="54033" spans="1:2" x14ac:dyDescent="0.25">
      <c r="A54033" s="118"/>
      <c r="B54033" s="136"/>
    </row>
    <row r="54034" spans="1:2" x14ac:dyDescent="0.25">
      <c r="A54034" s="118"/>
      <c r="B54034" s="136"/>
    </row>
    <row r="54035" spans="1:2" x14ac:dyDescent="0.25">
      <c r="A54035" s="118"/>
      <c r="B54035" s="136"/>
    </row>
    <row r="54036" spans="1:2" x14ac:dyDescent="0.25">
      <c r="A54036" s="118"/>
      <c r="B54036" s="136"/>
    </row>
    <row r="54037" spans="1:2" x14ac:dyDescent="0.25">
      <c r="A54037" s="118"/>
      <c r="B54037" s="136"/>
    </row>
    <row r="54038" spans="1:2" x14ac:dyDescent="0.25">
      <c r="A54038" s="118"/>
      <c r="B54038" s="136"/>
    </row>
    <row r="54039" spans="1:2" x14ac:dyDescent="0.25">
      <c r="A54039" s="118"/>
      <c r="B54039" s="136"/>
    </row>
    <row r="54040" spans="1:2" x14ac:dyDescent="0.25">
      <c r="A54040" s="118"/>
      <c r="B54040" s="136"/>
    </row>
    <row r="54041" spans="1:2" x14ac:dyDescent="0.25">
      <c r="A54041" s="118"/>
      <c r="B54041" s="136"/>
    </row>
    <row r="54042" spans="1:2" x14ac:dyDescent="0.25">
      <c r="A54042" s="118"/>
      <c r="B54042" s="136"/>
    </row>
    <row r="54043" spans="1:2" x14ac:dyDescent="0.25">
      <c r="A54043" s="118"/>
      <c r="B54043" s="136"/>
    </row>
    <row r="54044" spans="1:2" x14ac:dyDescent="0.25">
      <c r="A54044" s="118"/>
      <c r="B54044" s="136"/>
    </row>
    <row r="54045" spans="1:2" x14ac:dyDescent="0.25">
      <c r="A54045" s="118"/>
      <c r="B54045" s="136"/>
    </row>
    <row r="54046" spans="1:2" x14ac:dyDescent="0.25">
      <c r="A54046" s="118"/>
      <c r="B54046" s="136"/>
    </row>
    <row r="54047" spans="1:2" x14ac:dyDescent="0.25">
      <c r="A54047" s="118"/>
      <c r="B54047" s="136"/>
    </row>
    <row r="54048" spans="1:2" x14ac:dyDescent="0.25">
      <c r="A54048" s="118"/>
      <c r="B54048" s="136"/>
    </row>
    <row r="54049" spans="1:2" x14ac:dyDescent="0.25">
      <c r="A54049" s="118"/>
      <c r="B54049" s="136"/>
    </row>
    <row r="54050" spans="1:2" x14ac:dyDescent="0.25">
      <c r="A54050" s="118"/>
      <c r="B54050" s="136"/>
    </row>
    <row r="54051" spans="1:2" x14ac:dyDescent="0.25">
      <c r="A54051" s="118"/>
      <c r="B54051" s="136"/>
    </row>
    <row r="54052" spans="1:2" x14ac:dyDescent="0.25">
      <c r="A54052" s="118"/>
      <c r="B54052" s="136"/>
    </row>
    <row r="54053" spans="1:2" x14ac:dyDescent="0.25">
      <c r="A54053" s="118"/>
      <c r="B54053" s="136"/>
    </row>
    <row r="54054" spans="1:2" x14ac:dyDescent="0.25">
      <c r="A54054" s="118"/>
      <c r="B54054" s="136"/>
    </row>
    <row r="54055" spans="1:2" x14ac:dyDescent="0.25">
      <c r="A54055" s="118"/>
      <c r="B54055" s="136"/>
    </row>
    <row r="54056" spans="1:2" x14ac:dyDescent="0.25">
      <c r="A54056" s="118"/>
      <c r="B54056" s="136"/>
    </row>
    <row r="54057" spans="1:2" x14ac:dyDescent="0.25">
      <c r="A54057" s="118"/>
      <c r="B54057" s="136"/>
    </row>
    <row r="54058" spans="1:2" x14ac:dyDescent="0.25">
      <c r="A54058" s="118"/>
      <c r="B54058" s="136"/>
    </row>
    <row r="54059" spans="1:2" x14ac:dyDescent="0.25">
      <c r="A54059" s="118"/>
      <c r="B54059" s="136"/>
    </row>
    <row r="54060" spans="1:2" x14ac:dyDescent="0.25">
      <c r="A54060" s="118"/>
      <c r="B54060" s="136"/>
    </row>
    <row r="54061" spans="1:2" x14ac:dyDescent="0.25">
      <c r="A54061" s="118"/>
      <c r="B54061" s="136"/>
    </row>
    <row r="54062" spans="1:2" x14ac:dyDescent="0.25">
      <c r="A54062" s="118"/>
      <c r="B54062" s="136"/>
    </row>
    <row r="54063" spans="1:2" x14ac:dyDescent="0.25">
      <c r="A54063" s="118"/>
      <c r="B54063" s="136"/>
    </row>
    <row r="54064" spans="1:2" x14ac:dyDescent="0.25">
      <c r="A54064" s="118"/>
      <c r="B54064" s="136"/>
    </row>
    <row r="54065" spans="1:2" x14ac:dyDescent="0.25">
      <c r="A54065" s="118"/>
      <c r="B54065" s="136"/>
    </row>
    <row r="54066" spans="1:2" x14ac:dyDescent="0.25">
      <c r="A54066" s="118"/>
      <c r="B54066" s="136"/>
    </row>
    <row r="54067" spans="1:2" x14ac:dyDescent="0.25">
      <c r="A54067" s="118"/>
      <c r="B54067" s="136"/>
    </row>
    <row r="54068" spans="1:2" x14ac:dyDescent="0.25">
      <c r="A54068" s="118"/>
      <c r="B54068" s="136"/>
    </row>
    <row r="54069" spans="1:2" x14ac:dyDescent="0.25">
      <c r="A54069" s="118"/>
      <c r="B54069" s="136"/>
    </row>
    <row r="54070" spans="1:2" x14ac:dyDescent="0.25">
      <c r="A54070" s="118"/>
      <c r="B54070" s="136"/>
    </row>
    <row r="54071" spans="1:2" x14ac:dyDescent="0.25">
      <c r="A54071" s="118"/>
      <c r="B54071" s="136"/>
    </row>
    <row r="54072" spans="1:2" x14ac:dyDescent="0.25">
      <c r="A54072" s="118"/>
      <c r="B54072" s="136"/>
    </row>
    <row r="54073" spans="1:2" x14ac:dyDescent="0.25">
      <c r="A54073" s="118"/>
      <c r="B54073" s="136"/>
    </row>
    <row r="54074" spans="1:2" x14ac:dyDescent="0.25">
      <c r="A54074" s="118"/>
      <c r="B54074" s="136"/>
    </row>
    <row r="54075" spans="1:2" x14ac:dyDescent="0.25">
      <c r="A54075" s="118"/>
      <c r="B54075" s="136"/>
    </row>
    <row r="54076" spans="1:2" x14ac:dyDescent="0.25">
      <c r="A54076" s="118"/>
      <c r="B54076" s="136"/>
    </row>
    <row r="54077" spans="1:2" x14ac:dyDescent="0.25">
      <c r="A54077" s="118"/>
      <c r="B54077" s="136"/>
    </row>
    <row r="54078" spans="1:2" x14ac:dyDescent="0.25">
      <c r="A54078" s="118"/>
      <c r="B54078" s="136"/>
    </row>
    <row r="54079" spans="1:2" x14ac:dyDescent="0.25">
      <c r="A54079" s="118"/>
      <c r="B54079" s="136"/>
    </row>
    <row r="54080" spans="1:2" x14ac:dyDescent="0.25">
      <c r="A54080" s="118"/>
      <c r="B54080" s="136"/>
    </row>
    <row r="54081" spans="1:2" x14ac:dyDescent="0.25">
      <c r="A54081" s="118"/>
      <c r="B54081" s="136"/>
    </row>
    <row r="54082" spans="1:2" x14ac:dyDescent="0.25">
      <c r="A54082" s="118"/>
      <c r="B54082" s="136"/>
    </row>
    <row r="54083" spans="1:2" x14ac:dyDescent="0.25">
      <c r="A54083" s="118"/>
      <c r="B54083" s="136"/>
    </row>
    <row r="54084" spans="1:2" x14ac:dyDescent="0.25">
      <c r="A54084" s="118"/>
      <c r="B54084" s="136"/>
    </row>
    <row r="54085" spans="1:2" x14ac:dyDescent="0.25">
      <c r="A54085" s="118"/>
      <c r="B54085" s="136"/>
    </row>
    <row r="54086" spans="1:2" x14ac:dyDescent="0.25">
      <c r="A54086" s="118"/>
      <c r="B54086" s="136"/>
    </row>
    <row r="54087" spans="1:2" x14ac:dyDescent="0.25">
      <c r="A54087" s="118"/>
      <c r="B54087" s="136"/>
    </row>
    <row r="54088" spans="1:2" x14ac:dyDescent="0.25">
      <c r="A54088" s="118"/>
      <c r="B54088" s="136"/>
    </row>
    <row r="54089" spans="1:2" x14ac:dyDescent="0.25">
      <c r="A54089" s="118"/>
      <c r="B54089" s="136"/>
    </row>
    <row r="54090" spans="1:2" x14ac:dyDescent="0.25">
      <c r="A54090" s="118"/>
      <c r="B54090" s="136"/>
    </row>
    <row r="54091" spans="1:2" x14ac:dyDescent="0.25">
      <c r="A54091" s="118"/>
      <c r="B54091" s="136"/>
    </row>
    <row r="54092" spans="1:2" x14ac:dyDescent="0.25">
      <c r="A54092" s="118"/>
      <c r="B54092" s="136"/>
    </row>
    <row r="54093" spans="1:2" x14ac:dyDescent="0.25">
      <c r="A54093" s="118"/>
      <c r="B54093" s="136"/>
    </row>
    <row r="54094" spans="1:2" x14ac:dyDescent="0.25">
      <c r="A54094" s="118"/>
      <c r="B54094" s="136"/>
    </row>
    <row r="54095" spans="1:2" x14ac:dyDescent="0.25">
      <c r="A54095" s="118"/>
      <c r="B54095" s="136"/>
    </row>
    <row r="54096" spans="1:2" x14ac:dyDescent="0.25">
      <c r="A54096" s="118"/>
      <c r="B54096" s="136"/>
    </row>
    <row r="54097" spans="1:2" x14ac:dyDescent="0.25">
      <c r="A54097" s="118"/>
      <c r="B54097" s="136"/>
    </row>
    <row r="54098" spans="1:2" x14ac:dyDescent="0.25">
      <c r="A54098" s="118"/>
      <c r="B54098" s="136"/>
    </row>
    <row r="54099" spans="1:2" x14ac:dyDescent="0.25">
      <c r="A54099" s="118"/>
      <c r="B54099" s="136"/>
    </row>
    <row r="54100" spans="1:2" x14ac:dyDescent="0.25">
      <c r="A54100" s="118"/>
      <c r="B54100" s="136"/>
    </row>
    <row r="54101" spans="1:2" x14ac:dyDescent="0.25">
      <c r="A54101" s="118"/>
      <c r="B54101" s="136"/>
    </row>
    <row r="54102" spans="1:2" x14ac:dyDescent="0.25">
      <c r="A54102" s="118"/>
      <c r="B54102" s="136"/>
    </row>
    <row r="54103" spans="1:2" x14ac:dyDescent="0.25">
      <c r="A54103" s="118"/>
      <c r="B54103" s="136"/>
    </row>
    <row r="54104" spans="1:2" x14ac:dyDescent="0.25">
      <c r="A54104" s="118"/>
      <c r="B54104" s="136"/>
    </row>
    <row r="54105" spans="1:2" x14ac:dyDescent="0.25">
      <c r="A54105" s="118"/>
      <c r="B54105" s="136"/>
    </row>
    <row r="54106" spans="1:2" x14ac:dyDescent="0.25">
      <c r="A54106" s="118"/>
      <c r="B54106" s="136"/>
    </row>
    <row r="54107" spans="1:2" x14ac:dyDescent="0.25">
      <c r="A54107" s="118"/>
      <c r="B54107" s="136"/>
    </row>
    <row r="54108" spans="1:2" x14ac:dyDescent="0.25">
      <c r="A54108" s="118"/>
      <c r="B54108" s="136"/>
    </row>
    <row r="54109" spans="1:2" x14ac:dyDescent="0.25">
      <c r="A54109" s="118"/>
      <c r="B54109" s="136"/>
    </row>
    <row r="54110" spans="1:2" x14ac:dyDescent="0.25">
      <c r="A54110" s="118"/>
      <c r="B54110" s="136"/>
    </row>
    <row r="54111" spans="1:2" x14ac:dyDescent="0.25">
      <c r="A54111" s="118"/>
      <c r="B54111" s="136"/>
    </row>
    <row r="54112" spans="1:2" x14ac:dyDescent="0.25">
      <c r="A54112" s="118"/>
      <c r="B54112" s="136"/>
    </row>
    <row r="54113" spans="1:2" x14ac:dyDescent="0.25">
      <c r="A54113" s="118"/>
      <c r="B54113" s="136"/>
    </row>
    <row r="54114" spans="1:2" x14ac:dyDescent="0.25">
      <c r="A54114" s="118"/>
      <c r="B54114" s="136"/>
    </row>
    <row r="54115" spans="1:2" x14ac:dyDescent="0.25">
      <c r="A54115" s="118"/>
      <c r="B54115" s="136"/>
    </row>
    <row r="54116" spans="1:2" x14ac:dyDescent="0.25">
      <c r="A54116" s="118"/>
      <c r="B54116" s="136"/>
    </row>
    <row r="54117" spans="1:2" x14ac:dyDescent="0.25">
      <c r="A54117" s="118"/>
      <c r="B54117" s="136"/>
    </row>
    <row r="54118" spans="1:2" x14ac:dyDescent="0.25">
      <c r="A54118" s="118"/>
      <c r="B54118" s="136"/>
    </row>
    <row r="54119" spans="1:2" x14ac:dyDescent="0.25">
      <c r="A54119" s="118"/>
      <c r="B54119" s="136"/>
    </row>
    <row r="54120" spans="1:2" x14ac:dyDescent="0.25">
      <c r="A54120" s="118"/>
      <c r="B54120" s="136"/>
    </row>
    <row r="54121" spans="1:2" x14ac:dyDescent="0.25">
      <c r="A54121" s="118"/>
      <c r="B54121" s="136"/>
    </row>
    <row r="54122" spans="1:2" x14ac:dyDescent="0.25">
      <c r="A54122" s="118"/>
      <c r="B54122" s="136"/>
    </row>
    <row r="54123" spans="1:2" x14ac:dyDescent="0.25">
      <c r="A54123" s="118"/>
      <c r="B54123" s="136"/>
    </row>
    <row r="54124" spans="1:2" x14ac:dyDescent="0.25">
      <c r="A54124" s="118"/>
      <c r="B54124" s="136"/>
    </row>
    <row r="54125" spans="1:2" x14ac:dyDescent="0.25">
      <c r="A54125" s="118"/>
      <c r="B54125" s="136"/>
    </row>
    <row r="54126" spans="1:2" x14ac:dyDescent="0.25">
      <c r="A54126" s="118"/>
      <c r="B54126" s="136"/>
    </row>
    <row r="54127" spans="1:2" x14ac:dyDescent="0.25">
      <c r="A54127" s="118"/>
      <c r="B54127" s="136"/>
    </row>
    <row r="54128" spans="1:2" x14ac:dyDescent="0.25">
      <c r="A54128" s="118"/>
      <c r="B54128" s="136"/>
    </row>
    <row r="54129" spans="1:2" x14ac:dyDescent="0.25">
      <c r="A54129" s="118"/>
      <c r="B54129" s="136"/>
    </row>
    <row r="54130" spans="1:2" x14ac:dyDescent="0.25">
      <c r="A54130" s="118"/>
      <c r="B54130" s="136"/>
    </row>
    <row r="54131" spans="1:2" x14ac:dyDescent="0.25">
      <c r="A54131" s="118"/>
      <c r="B54131" s="136"/>
    </row>
    <row r="54132" spans="1:2" x14ac:dyDescent="0.25">
      <c r="A54132" s="118"/>
      <c r="B54132" s="136"/>
    </row>
    <row r="54133" spans="1:2" x14ac:dyDescent="0.25">
      <c r="A54133" s="118"/>
      <c r="B54133" s="136"/>
    </row>
    <row r="54134" spans="1:2" x14ac:dyDescent="0.25">
      <c r="A54134" s="118"/>
      <c r="B54134" s="136"/>
    </row>
    <row r="54135" spans="1:2" x14ac:dyDescent="0.25">
      <c r="A54135" s="118"/>
      <c r="B54135" s="136"/>
    </row>
    <row r="54136" spans="1:2" x14ac:dyDescent="0.25">
      <c r="A54136" s="118"/>
      <c r="B54136" s="136"/>
    </row>
    <row r="54137" spans="1:2" x14ac:dyDescent="0.25">
      <c r="A54137" s="118"/>
      <c r="B54137" s="136"/>
    </row>
    <row r="54138" spans="1:2" x14ac:dyDescent="0.25">
      <c r="A54138" s="118"/>
      <c r="B54138" s="136"/>
    </row>
    <row r="54139" spans="1:2" x14ac:dyDescent="0.25">
      <c r="A54139" s="118"/>
      <c r="B54139" s="136"/>
    </row>
    <row r="54140" spans="1:2" x14ac:dyDescent="0.25">
      <c r="A54140" s="118"/>
      <c r="B54140" s="136"/>
    </row>
    <row r="54141" spans="1:2" x14ac:dyDescent="0.25">
      <c r="A54141" s="118"/>
      <c r="B54141" s="136"/>
    </row>
    <row r="54142" spans="1:2" x14ac:dyDescent="0.25">
      <c r="A54142" s="118"/>
      <c r="B54142" s="136"/>
    </row>
    <row r="54143" spans="1:2" x14ac:dyDescent="0.25">
      <c r="A54143" s="118"/>
      <c r="B54143" s="136"/>
    </row>
    <row r="54144" spans="1:2" x14ac:dyDescent="0.25">
      <c r="A54144" s="118"/>
      <c r="B54144" s="136"/>
    </row>
    <row r="54145" spans="1:2" x14ac:dyDescent="0.25">
      <c r="A54145" s="118"/>
      <c r="B54145" s="136"/>
    </row>
    <row r="54146" spans="1:2" x14ac:dyDescent="0.25">
      <c r="A54146" s="118"/>
      <c r="B54146" s="136"/>
    </row>
    <row r="54147" spans="1:2" x14ac:dyDescent="0.25">
      <c r="A54147" s="118"/>
      <c r="B54147" s="136"/>
    </row>
    <row r="54148" spans="1:2" x14ac:dyDescent="0.25">
      <c r="A54148" s="118"/>
      <c r="B54148" s="136"/>
    </row>
    <row r="54149" spans="1:2" x14ac:dyDescent="0.25">
      <c r="A54149" s="118"/>
      <c r="B54149" s="136"/>
    </row>
    <row r="54150" spans="1:2" x14ac:dyDescent="0.25">
      <c r="A54150" s="118"/>
      <c r="B54150" s="136"/>
    </row>
    <row r="54151" spans="1:2" x14ac:dyDescent="0.25">
      <c r="A54151" s="118"/>
      <c r="B54151" s="136"/>
    </row>
    <row r="54152" spans="1:2" x14ac:dyDescent="0.25">
      <c r="A54152" s="118"/>
      <c r="B54152" s="136"/>
    </row>
    <row r="54153" spans="1:2" x14ac:dyDescent="0.25">
      <c r="A54153" s="118"/>
      <c r="B54153" s="136"/>
    </row>
    <row r="54154" spans="1:2" x14ac:dyDescent="0.25">
      <c r="A54154" s="118"/>
      <c r="B54154" s="136"/>
    </row>
    <row r="54155" spans="1:2" x14ac:dyDescent="0.25">
      <c r="A54155" s="118"/>
      <c r="B54155" s="136"/>
    </row>
    <row r="54156" spans="1:2" x14ac:dyDescent="0.25">
      <c r="A54156" s="118"/>
      <c r="B54156" s="136"/>
    </row>
    <row r="54157" spans="1:2" x14ac:dyDescent="0.25">
      <c r="A54157" s="118"/>
      <c r="B54157" s="136"/>
    </row>
    <row r="54158" spans="1:2" x14ac:dyDescent="0.25">
      <c r="A54158" s="118"/>
      <c r="B54158" s="136"/>
    </row>
    <row r="54159" spans="1:2" x14ac:dyDescent="0.25">
      <c r="A54159" s="118"/>
      <c r="B54159" s="136"/>
    </row>
    <row r="54160" spans="1:2" x14ac:dyDescent="0.25">
      <c r="A54160" s="118"/>
      <c r="B54160" s="136"/>
    </row>
    <row r="54161" spans="1:2" x14ac:dyDescent="0.25">
      <c r="A54161" s="118"/>
      <c r="B54161" s="136"/>
    </row>
    <row r="54162" spans="1:2" x14ac:dyDescent="0.25">
      <c r="A54162" s="118"/>
      <c r="B54162" s="136"/>
    </row>
    <row r="54163" spans="1:2" x14ac:dyDescent="0.25">
      <c r="A54163" s="118"/>
      <c r="B54163" s="136"/>
    </row>
    <row r="54164" spans="1:2" x14ac:dyDescent="0.25">
      <c r="A54164" s="118"/>
      <c r="B54164" s="136"/>
    </row>
    <row r="54165" spans="1:2" x14ac:dyDescent="0.25">
      <c r="A54165" s="118"/>
      <c r="B54165" s="136"/>
    </row>
    <row r="54166" spans="1:2" x14ac:dyDescent="0.25">
      <c r="A54166" s="118"/>
      <c r="B54166" s="136"/>
    </row>
    <row r="54167" spans="1:2" x14ac:dyDescent="0.25">
      <c r="A54167" s="118"/>
      <c r="B54167" s="136"/>
    </row>
    <row r="54168" spans="1:2" x14ac:dyDescent="0.25">
      <c r="A54168" s="118"/>
      <c r="B54168" s="136"/>
    </row>
    <row r="54169" spans="1:2" x14ac:dyDescent="0.25">
      <c r="A54169" s="118"/>
      <c r="B54169" s="136"/>
    </row>
    <row r="54170" spans="1:2" x14ac:dyDescent="0.25">
      <c r="A54170" s="118"/>
      <c r="B54170" s="136"/>
    </row>
    <row r="54171" spans="1:2" x14ac:dyDescent="0.25">
      <c r="A54171" s="118"/>
      <c r="B54171" s="136"/>
    </row>
    <row r="54172" spans="1:2" x14ac:dyDescent="0.25">
      <c r="A54172" s="118"/>
      <c r="B54172" s="136"/>
    </row>
    <row r="54173" spans="1:2" x14ac:dyDescent="0.25">
      <c r="A54173" s="118"/>
      <c r="B54173" s="136"/>
    </row>
    <row r="54174" spans="1:2" x14ac:dyDescent="0.25">
      <c r="A54174" s="118"/>
      <c r="B54174" s="136"/>
    </row>
    <row r="54175" spans="1:2" x14ac:dyDescent="0.25">
      <c r="A54175" s="118"/>
      <c r="B54175" s="136"/>
    </row>
    <row r="54176" spans="1:2" x14ac:dyDescent="0.25">
      <c r="A54176" s="118"/>
      <c r="B54176" s="136"/>
    </row>
    <row r="54177" spans="1:2" x14ac:dyDescent="0.25">
      <c r="A54177" s="118"/>
      <c r="B54177" s="136"/>
    </row>
    <row r="54178" spans="1:2" x14ac:dyDescent="0.25">
      <c r="A54178" s="118"/>
      <c r="B54178" s="136"/>
    </row>
    <row r="54179" spans="1:2" x14ac:dyDescent="0.25">
      <c r="A54179" s="118"/>
      <c r="B54179" s="136"/>
    </row>
    <row r="54180" spans="1:2" x14ac:dyDescent="0.25">
      <c r="A54180" s="118"/>
      <c r="B54180" s="136"/>
    </row>
    <row r="54181" spans="1:2" x14ac:dyDescent="0.25">
      <c r="A54181" s="118"/>
      <c r="B54181" s="136"/>
    </row>
    <row r="54182" spans="1:2" x14ac:dyDescent="0.25">
      <c r="A54182" s="118"/>
      <c r="B54182" s="136"/>
    </row>
    <row r="54183" spans="1:2" x14ac:dyDescent="0.25">
      <c r="A54183" s="118"/>
      <c r="B54183" s="136"/>
    </row>
    <row r="54184" spans="1:2" x14ac:dyDescent="0.25">
      <c r="A54184" s="118"/>
      <c r="B54184" s="136"/>
    </row>
    <row r="54185" spans="1:2" x14ac:dyDescent="0.25">
      <c r="A54185" s="118"/>
      <c r="B54185" s="136"/>
    </row>
    <row r="54186" spans="1:2" x14ac:dyDescent="0.25">
      <c r="A54186" s="118"/>
      <c r="B54186" s="136"/>
    </row>
    <row r="54187" spans="1:2" x14ac:dyDescent="0.25">
      <c r="A54187" s="118"/>
      <c r="B54187" s="136"/>
    </row>
    <row r="54188" spans="1:2" x14ac:dyDescent="0.25">
      <c r="A54188" s="118"/>
      <c r="B54188" s="136"/>
    </row>
    <row r="54189" spans="1:2" x14ac:dyDescent="0.25">
      <c r="A54189" s="118"/>
      <c r="B54189" s="136"/>
    </row>
    <row r="54190" spans="1:2" x14ac:dyDescent="0.25">
      <c r="A54190" s="118"/>
      <c r="B54190" s="136"/>
    </row>
    <row r="54191" spans="1:2" x14ac:dyDescent="0.25">
      <c r="A54191" s="118"/>
      <c r="B54191" s="136"/>
    </row>
    <row r="54192" spans="1:2" x14ac:dyDescent="0.25">
      <c r="A54192" s="118"/>
      <c r="B54192" s="136"/>
    </row>
    <row r="54193" spans="1:2" x14ac:dyDescent="0.25">
      <c r="A54193" s="118"/>
      <c r="B54193" s="136"/>
    </row>
    <row r="54194" spans="1:2" x14ac:dyDescent="0.25">
      <c r="A54194" s="118"/>
      <c r="B54194" s="136"/>
    </row>
    <row r="54195" spans="1:2" x14ac:dyDescent="0.25">
      <c r="A54195" s="118"/>
      <c r="B54195" s="136"/>
    </row>
    <row r="54196" spans="1:2" x14ac:dyDescent="0.25">
      <c r="A54196" s="118"/>
      <c r="B54196" s="136"/>
    </row>
    <row r="54197" spans="1:2" x14ac:dyDescent="0.25">
      <c r="A54197" s="118"/>
      <c r="B54197" s="136"/>
    </row>
    <row r="54198" spans="1:2" x14ac:dyDescent="0.25">
      <c r="A54198" s="118"/>
      <c r="B54198" s="136"/>
    </row>
    <row r="54199" spans="1:2" x14ac:dyDescent="0.25">
      <c r="A54199" s="118"/>
      <c r="B54199" s="136"/>
    </row>
    <row r="54200" spans="1:2" x14ac:dyDescent="0.25">
      <c r="A54200" s="118"/>
      <c r="B54200" s="136"/>
    </row>
    <row r="54201" spans="1:2" x14ac:dyDescent="0.25">
      <c r="A54201" s="118"/>
      <c r="B54201" s="136"/>
    </row>
    <row r="54202" spans="1:2" x14ac:dyDescent="0.25">
      <c r="A54202" s="118"/>
      <c r="B54202" s="136"/>
    </row>
    <row r="54203" spans="1:2" x14ac:dyDescent="0.25">
      <c r="A54203" s="118"/>
      <c r="B54203" s="136"/>
    </row>
    <row r="54204" spans="1:2" x14ac:dyDescent="0.25">
      <c r="A54204" s="118"/>
      <c r="B54204" s="136"/>
    </row>
    <row r="54205" spans="1:2" x14ac:dyDescent="0.25">
      <c r="A54205" s="118"/>
      <c r="B54205" s="136"/>
    </row>
    <row r="54206" spans="1:2" x14ac:dyDescent="0.25">
      <c r="A54206" s="118"/>
      <c r="B54206" s="136"/>
    </row>
    <row r="54207" spans="1:2" x14ac:dyDescent="0.25">
      <c r="A54207" s="118"/>
      <c r="B54207" s="136"/>
    </row>
    <row r="54208" spans="1:2" x14ac:dyDescent="0.25">
      <c r="A54208" s="118"/>
      <c r="B54208" s="136"/>
    </row>
    <row r="54209" spans="1:2" x14ac:dyDescent="0.25">
      <c r="A54209" s="118"/>
      <c r="B54209" s="136"/>
    </row>
    <row r="54210" spans="1:2" x14ac:dyDescent="0.25">
      <c r="A54210" s="118"/>
      <c r="B54210" s="136"/>
    </row>
    <row r="54211" spans="1:2" x14ac:dyDescent="0.25">
      <c r="A54211" s="118"/>
      <c r="B54211" s="136"/>
    </row>
    <row r="54212" spans="1:2" x14ac:dyDescent="0.25">
      <c r="A54212" s="118"/>
      <c r="B54212" s="136"/>
    </row>
    <row r="54213" spans="1:2" x14ac:dyDescent="0.25">
      <c r="A54213" s="118"/>
      <c r="B54213" s="136"/>
    </row>
    <row r="54214" spans="1:2" x14ac:dyDescent="0.25">
      <c r="A54214" s="118"/>
      <c r="B54214" s="136"/>
    </row>
    <row r="54215" spans="1:2" x14ac:dyDescent="0.25">
      <c r="A54215" s="118"/>
      <c r="B54215" s="136"/>
    </row>
    <row r="54216" spans="1:2" x14ac:dyDescent="0.25">
      <c r="A54216" s="118"/>
      <c r="B54216" s="136"/>
    </row>
    <row r="54217" spans="1:2" x14ac:dyDescent="0.25">
      <c r="A54217" s="118"/>
      <c r="B54217" s="136"/>
    </row>
    <row r="54218" spans="1:2" x14ac:dyDescent="0.25">
      <c r="A54218" s="118"/>
      <c r="B54218" s="136"/>
    </row>
    <row r="54219" spans="1:2" x14ac:dyDescent="0.25">
      <c r="A54219" s="118"/>
      <c r="B54219" s="136"/>
    </row>
    <row r="54220" spans="1:2" x14ac:dyDescent="0.25">
      <c r="A54220" s="118"/>
      <c r="B54220" s="136"/>
    </row>
    <row r="54221" spans="1:2" x14ac:dyDescent="0.25">
      <c r="A54221" s="118"/>
      <c r="B54221" s="136"/>
    </row>
    <row r="54222" spans="1:2" x14ac:dyDescent="0.25">
      <c r="A54222" s="118"/>
      <c r="B54222" s="136"/>
    </row>
    <row r="54223" spans="1:2" x14ac:dyDescent="0.25">
      <c r="A54223" s="118"/>
      <c r="B54223" s="136"/>
    </row>
    <row r="54224" spans="1:2" x14ac:dyDescent="0.25">
      <c r="A54224" s="118"/>
      <c r="B54224" s="136"/>
    </row>
    <row r="54225" spans="1:2" x14ac:dyDescent="0.25">
      <c r="A54225" s="118"/>
      <c r="B54225" s="136"/>
    </row>
    <row r="54226" spans="1:2" x14ac:dyDescent="0.25">
      <c r="A54226" s="118"/>
      <c r="B54226" s="136"/>
    </row>
    <row r="54227" spans="1:2" x14ac:dyDescent="0.25">
      <c r="A54227" s="118"/>
      <c r="B54227" s="136"/>
    </row>
    <row r="54228" spans="1:2" x14ac:dyDescent="0.25">
      <c r="A54228" s="118"/>
      <c r="B54228" s="136"/>
    </row>
    <row r="54229" spans="1:2" x14ac:dyDescent="0.25">
      <c r="A54229" s="118"/>
      <c r="B54229" s="136"/>
    </row>
    <row r="54230" spans="1:2" x14ac:dyDescent="0.25">
      <c r="A54230" s="118"/>
      <c r="B54230" s="136"/>
    </row>
    <row r="54231" spans="1:2" x14ac:dyDescent="0.25">
      <c r="A54231" s="118"/>
      <c r="B54231" s="136"/>
    </row>
    <row r="54232" spans="1:2" x14ac:dyDescent="0.25">
      <c r="A54232" s="118"/>
      <c r="B54232" s="136"/>
    </row>
    <row r="54233" spans="1:2" x14ac:dyDescent="0.25">
      <c r="A54233" s="118"/>
      <c r="B54233" s="136"/>
    </row>
    <row r="54234" spans="1:2" x14ac:dyDescent="0.25">
      <c r="A54234" s="118"/>
      <c r="B54234" s="136"/>
    </row>
    <row r="54235" spans="1:2" x14ac:dyDescent="0.25">
      <c r="A54235" s="118"/>
      <c r="B54235" s="136"/>
    </row>
    <row r="54236" spans="1:2" x14ac:dyDescent="0.25">
      <c r="A54236" s="118"/>
      <c r="B54236" s="136"/>
    </row>
    <row r="54237" spans="1:2" x14ac:dyDescent="0.25">
      <c r="A54237" s="118"/>
      <c r="B54237" s="136"/>
    </row>
    <row r="54238" spans="1:2" x14ac:dyDescent="0.25">
      <c r="A54238" s="118"/>
      <c r="B54238" s="136"/>
    </row>
    <row r="54239" spans="1:2" x14ac:dyDescent="0.25">
      <c r="A54239" s="118"/>
      <c r="B54239" s="136"/>
    </row>
    <row r="54240" spans="1:2" x14ac:dyDescent="0.25">
      <c r="A54240" s="118"/>
      <c r="B54240" s="136"/>
    </row>
    <row r="54241" spans="1:2" x14ac:dyDescent="0.25">
      <c r="A54241" s="118"/>
      <c r="B54241" s="136"/>
    </row>
    <row r="54242" spans="1:2" x14ac:dyDescent="0.25">
      <c r="A54242" s="118"/>
      <c r="B54242" s="136"/>
    </row>
    <row r="54243" spans="1:2" x14ac:dyDescent="0.25">
      <c r="A54243" s="118"/>
      <c r="B54243" s="136"/>
    </row>
    <row r="54244" spans="1:2" x14ac:dyDescent="0.25">
      <c r="A54244" s="118"/>
      <c r="B54244" s="136"/>
    </row>
    <row r="54245" spans="1:2" x14ac:dyDescent="0.25">
      <c r="A54245" s="118"/>
      <c r="B54245" s="136"/>
    </row>
    <row r="54246" spans="1:2" x14ac:dyDescent="0.25">
      <c r="A54246" s="118"/>
      <c r="B54246" s="136"/>
    </row>
    <row r="54247" spans="1:2" x14ac:dyDescent="0.25">
      <c r="A54247" s="118"/>
      <c r="B54247" s="136"/>
    </row>
    <row r="54248" spans="1:2" x14ac:dyDescent="0.25">
      <c r="A54248" s="118"/>
      <c r="B54248" s="136"/>
    </row>
    <row r="54249" spans="1:2" x14ac:dyDescent="0.25">
      <c r="A54249" s="118"/>
      <c r="B54249" s="136"/>
    </row>
    <row r="54250" spans="1:2" x14ac:dyDescent="0.25">
      <c r="A54250" s="118"/>
      <c r="B54250" s="136"/>
    </row>
    <row r="54251" spans="1:2" x14ac:dyDescent="0.25">
      <c r="A54251" s="118"/>
      <c r="B54251" s="136"/>
    </row>
    <row r="54252" spans="1:2" x14ac:dyDescent="0.25">
      <c r="A54252" s="118"/>
      <c r="B54252" s="136"/>
    </row>
    <row r="54253" spans="1:2" x14ac:dyDescent="0.25">
      <c r="A54253" s="118"/>
      <c r="B54253" s="136"/>
    </row>
    <row r="54254" spans="1:2" x14ac:dyDescent="0.25">
      <c r="A54254" s="118"/>
      <c r="B54254" s="136"/>
    </row>
    <row r="54255" spans="1:2" x14ac:dyDescent="0.25">
      <c r="A54255" s="118"/>
      <c r="B54255" s="136"/>
    </row>
    <row r="54256" spans="1:2" x14ac:dyDescent="0.25">
      <c r="A54256" s="118"/>
      <c r="B54256" s="136"/>
    </row>
    <row r="54257" spans="1:2" x14ac:dyDescent="0.25">
      <c r="A54257" s="118"/>
      <c r="B54257" s="136"/>
    </row>
    <row r="54258" spans="1:2" x14ac:dyDescent="0.25">
      <c r="A54258" s="118"/>
      <c r="B54258" s="136"/>
    </row>
    <row r="54259" spans="1:2" x14ac:dyDescent="0.25">
      <c r="A54259" s="118"/>
      <c r="B54259" s="136"/>
    </row>
    <row r="54260" spans="1:2" x14ac:dyDescent="0.25">
      <c r="A54260" s="118"/>
      <c r="B54260" s="136"/>
    </row>
    <row r="54261" spans="1:2" x14ac:dyDescent="0.25">
      <c r="A54261" s="118"/>
      <c r="B54261" s="136"/>
    </row>
    <row r="54262" spans="1:2" x14ac:dyDescent="0.25">
      <c r="A54262" s="118"/>
      <c r="B54262" s="136"/>
    </row>
    <row r="54263" spans="1:2" x14ac:dyDescent="0.25">
      <c r="A54263" s="118"/>
      <c r="B54263" s="136"/>
    </row>
    <row r="54264" spans="1:2" x14ac:dyDescent="0.25">
      <c r="A54264" s="118"/>
      <c r="B54264" s="136"/>
    </row>
    <row r="54265" spans="1:2" x14ac:dyDescent="0.25">
      <c r="A54265" s="118"/>
      <c r="B54265" s="136"/>
    </row>
    <row r="54266" spans="1:2" x14ac:dyDescent="0.25">
      <c r="A54266" s="118"/>
      <c r="B54266" s="136"/>
    </row>
    <row r="54267" spans="1:2" x14ac:dyDescent="0.25">
      <c r="A54267" s="118"/>
      <c r="B54267" s="136"/>
    </row>
    <row r="54268" spans="1:2" x14ac:dyDescent="0.25">
      <c r="A54268" s="118"/>
      <c r="B54268" s="136"/>
    </row>
    <row r="54269" spans="1:2" x14ac:dyDescent="0.25">
      <c r="A54269" s="118"/>
      <c r="B54269" s="136"/>
    </row>
    <row r="54270" spans="1:2" x14ac:dyDescent="0.25">
      <c r="A54270" s="118"/>
      <c r="B54270" s="136"/>
    </row>
    <row r="54271" spans="1:2" x14ac:dyDescent="0.25">
      <c r="A54271" s="118"/>
      <c r="B54271" s="136"/>
    </row>
    <row r="54272" spans="1:2" x14ac:dyDescent="0.25">
      <c r="A54272" s="118"/>
      <c r="B54272" s="136"/>
    </row>
    <row r="54273" spans="1:2" x14ac:dyDescent="0.25">
      <c r="A54273" s="118"/>
      <c r="B54273" s="136"/>
    </row>
    <row r="54274" spans="1:2" x14ac:dyDescent="0.25">
      <c r="A54274" s="118"/>
      <c r="B54274" s="136"/>
    </row>
    <row r="54275" spans="1:2" x14ac:dyDescent="0.25">
      <c r="A54275" s="118"/>
      <c r="B54275" s="136"/>
    </row>
    <row r="54276" spans="1:2" x14ac:dyDescent="0.25">
      <c r="A54276" s="118"/>
      <c r="B54276" s="136"/>
    </row>
    <row r="54277" spans="1:2" x14ac:dyDescent="0.25">
      <c r="A54277" s="118"/>
      <c r="B54277" s="136"/>
    </row>
    <row r="54278" spans="1:2" x14ac:dyDescent="0.25">
      <c r="A54278" s="118"/>
      <c r="B54278" s="136"/>
    </row>
    <row r="54279" spans="1:2" x14ac:dyDescent="0.25">
      <c r="A54279" s="118"/>
      <c r="B54279" s="136"/>
    </row>
    <row r="54280" spans="1:2" x14ac:dyDescent="0.25">
      <c r="A54280" s="118"/>
      <c r="B54280" s="136"/>
    </row>
    <row r="54281" spans="1:2" x14ac:dyDescent="0.25">
      <c r="A54281" s="118"/>
      <c r="B54281" s="136"/>
    </row>
    <row r="54282" spans="1:2" x14ac:dyDescent="0.25">
      <c r="A54282" s="118"/>
      <c r="B54282" s="136"/>
    </row>
    <row r="54283" spans="1:2" x14ac:dyDescent="0.25">
      <c r="A54283" s="118"/>
      <c r="B54283" s="136"/>
    </row>
    <row r="54284" spans="1:2" x14ac:dyDescent="0.25">
      <c r="A54284" s="118"/>
      <c r="B54284" s="136"/>
    </row>
    <row r="54285" spans="1:2" x14ac:dyDescent="0.25">
      <c r="A54285" s="118"/>
      <c r="B54285" s="136"/>
    </row>
    <row r="54286" spans="1:2" x14ac:dyDescent="0.25">
      <c r="A54286" s="118"/>
      <c r="B54286" s="136"/>
    </row>
    <row r="54287" spans="1:2" x14ac:dyDescent="0.25">
      <c r="A54287" s="118"/>
      <c r="B54287" s="136"/>
    </row>
    <row r="54288" spans="1:2" x14ac:dyDescent="0.25">
      <c r="A54288" s="118"/>
      <c r="B54288" s="136"/>
    </row>
    <row r="54289" spans="1:2" x14ac:dyDescent="0.25">
      <c r="A54289" s="118"/>
      <c r="B54289" s="136"/>
    </row>
    <row r="54290" spans="1:2" x14ac:dyDescent="0.25">
      <c r="A54290" s="118"/>
      <c r="B54290" s="136"/>
    </row>
    <row r="54291" spans="1:2" x14ac:dyDescent="0.25">
      <c r="A54291" s="118"/>
      <c r="B54291" s="136"/>
    </row>
    <row r="54292" spans="1:2" x14ac:dyDescent="0.25">
      <c r="A54292" s="118"/>
      <c r="B54292" s="136"/>
    </row>
    <row r="54293" spans="1:2" x14ac:dyDescent="0.25">
      <c r="A54293" s="118"/>
      <c r="B54293" s="136"/>
    </row>
    <row r="54294" spans="1:2" x14ac:dyDescent="0.25">
      <c r="A54294" s="118"/>
      <c r="B54294" s="136"/>
    </row>
    <row r="54295" spans="1:2" x14ac:dyDescent="0.25">
      <c r="A54295" s="118"/>
      <c r="B54295" s="136"/>
    </row>
    <row r="54296" spans="1:2" x14ac:dyDescent="0.25">
      <c r="A54296" s="118"/>
      <c r="B54296" s="136"/>
    </row>
    <row r="54297" spans="1:2" x14ac:dyDescent="0.25">
      <c r="A54297" s="118"/>
      <c r="B54297" s="136"/>
    </row>
    <row r="54298" spans="1:2" x14ac:dyDescent="0.25">
      <c r="A54298" s="118"/>
      <c r="B54298" s="136"/>
    </row>
    <row r="54299" spans="1:2" x14ac:dyDescent="0.25">
      <c r="A54299" s="118"/>
      <c r="B54299" s="136"/>
    </row>
    <row r="54300" spans="1:2" x14ac:dyDescent="0.25">
      <c r="A54300" s="118"/>
      <c r="B54300" s="136"/>
    </row>
    <row r="54301" spans="1:2" x14ac:dyDescent="0.25">
      <c r="A54301" s="118"/>
      <c r="B54301" s="136"/>
    </row>
    <row r="54302" spans="1:2" x14ac:dyDescent="0.25">
      <c r="A54302" s="118"/>
      <c r="B54302" s="136"/>
    </row>
    <row r="54303" spans="1:2" x14ac:dyDescent="0.25">
      <c r="A54303" s="118"/>
      <c r="B54303" s="136"/>
    </row>
    <row r="54304" spans="1:2" x14ac:dyDescent="0.25">
      <c r="A54304" s="118"/>
      <c r="B54304" s="136"/>
    </row>
    <row r="54305" spans="1:2" x14ac:dyDescent="0.25">
      <c r="A54305" s="118"/>
      <c r="B54305" s="136"/>
    </row>
    <row r="54306" spans="1:2" x14ac:dyDescent="0.25">
      <c r="A54306" s="118"/>
      <c r="B54306" s="136"/>
    </row>
    <row r="54307" spans="1:2" x14ac:dyDescent="0.25">
      <c r="A54307" s="118"/>
      <c r="B54307" s="136"/>
    </row>
    <row r="54308" spans="1:2" x14ac:dyDescent="0.25">
      <c r="A54308" s="118"/>
      <c r="B54308" s="136"/>
    </row>
    <row r="54309" spans="1:2" x14ac:dyDescent="0.25">
      <c r="A54309" s="118"/>
      <c r="B54309" s="136"/>
    </row>
    <row r="54310" spans="1:2" x14ac:dyDescent="0.25">
      <c r="A54310" s="118"/>
      <c r="B54310" s="136"/>
    </row>
    <row r="54311" spans="1:2" x14ac:dyDescent="0.25">
      <c r="A54311" s="118"/>
      <c r="B54311" s="136"/>
    </row>
    <row r="54312" spans="1:2" x14ac:dyDescent="0.25">
      <c r="A54312" s="118"/>
      <c r="B54312" s="136"/>
    </row>
    <row r="54313" spans="1:2" x14ac:dyDescent="0.25">
      <c r="A54313" s="118"/>
      <c r="B54313" s="136"/>
    </row>
    <row r="54314" spans="1:2" x14ac:dyDescent="0.25">
      <c r="A54314" s="118"/>
      <c r="B54314" s="136"/>
    </row>
    <row r="54315" spans="1:2" x14ac:dyDescent="0.25">
      <c r="A54315" s="118"/>
      <c r="B54315" s="136"/>
    </row>
    <row r="54316" spans="1:2" x14ac:dyDescent="0.25">
      <c r="A54316" s="118"/>
      <c r="B54316" s="136"/>
    </row>
    <row r="54317" spans="1:2" x14ac:dyDescent="0.25">
      <c r="A54317" s="118"/>
      <c r="B54317" s="136"/>
    </row>
    <row r="54318" spans="1:2" x14ac:dyDescent="0.25">
      <c r="A54318" s="118"/>
      <c r="B54318" s="136"/>
    </row>
    <row r="54319" spans="1:2" x14ac:dyDescent="0.25">
      <c r="A54319" s="118"/>
      <c r="B54319" s="136"/>
    </row>
    <row r="54320" spans="1:2" x14ac:dyDescent="0.25">
      <c r="A54320" s="118"/>
      <c r="B54320" s="136"/>
    </row>
    <row r="54321" spans="1:2" x14ac:dyDescent="0.25">
      <c r="A54321" s="118"/>
      <c r="B54321" s="136"/>
    </row>
    <row r="54322" spans="1:2" x14ac:dyDescent="0.25">
      <c r="A54322" s="118"/>
      <c r="B54322" s="136"/>
    </row>
    <row r="54323" spans="1:2" x14ac:dyDescent="0.25">
      <c r="A54323" s="118"/>
      <c r="B54323" s="136"/>
    </row>
    <row r="54324" spans="1:2" x14ac:dyDescent="0.25">
      <c r="A54324" s="118"/>
      <c r="B54324" s="136"/>
    </row>
    <row r="54325" spans="1:2" x14ac:dyDescent="0.25">
      <c r="A54325" s="118"/>
      <c r="B54325" s="136"/>
    </row>
    <row r="54326" spans="1:2" x14ac:dyDescent="0.25">
      <c r="A54326" s="118"/>
      <c r="B54326" s="136"/>
    </row>
    <row r="54327" spans="1:2" x14ac:dyDescent="0.25">
      <c r="A54327" s="118"/>
      <c r="B54327" s="136"/>
    </row>
    <row r="54328" spans="1:2" x14ac:dyDescent="0.25">
      <c r="A54328" s="118"/>
      <c r="B54328" s="136"/>
    </row>
    <row r="54329" spans="1:2" x14ac:dyDescent="0.25">
      <c r="A54329" s="118"/>
      <c r="B54329" s="136"/>
    </row>
    <row r="54330" spans="1:2" x14ac:dyDescent="0.25">
      <c r="A54330" s="118"/>
      <c r="B54330" s="136"/>
    </row>
    <row r="54331" spans="1:2" x14ac:dyDescent="0.25">
      <c r="A54331" s="118"/>
      <c r="B54331" s="136"/>
    </row>
    <row r="54332" spans="1:2" x14ac:dyDescent="0.25">
      <c r="A54332" s="118"/>
      <c r="B54332" s="136"/>
    </row>
    <row r="54333" spans="1:2" x14ac:dyDescent="0.25">
      <c r="A54333" s="118"/>
      <c r="B54333" s="136"/>
    </row>
    <row r="54334" spans="1:2" x14ac:dyDescent="0.25">
      <c r="A54334" s="118"/>
      <c r="B54334" s="136"/>
    </row>
    <row r="54335" spans="1:2" x14ac:dyDescent="0.25">
      <c r="A54335" s="118"/>
      <c r="B54335" s="136"/>
    </row>
    <row r="54336" spans="1:2" x14ac:dyDescent="0.25">
      <c r="A54336" s="118"/>
      <c r="B54336" s="136"/>
    </row>
    <row r="54337" spans="1:2" x14ac:dyDescent="0.25">
      <c r="A54337" s="118"/>
      <c r="B54337" s="136"/>
    </row>
    <row r="54338" spans="1:2" x14ac:dyDescent="0.25">
      <c r="A54338" s="118"/>
      <c r="B54338" s="136"/>
    </row>
    <row r="54339" spans="1:2" x14ac:dyDescent="0.25">
      <c r="A54339" s="118"/>
      <c r="B54339" s="136"/>
    </row>
    <row r="54340" spans="1:2" x14ac:dyDescent="0.25">
      <c r="A54340" s="118"/>
      <c r="B54340" s="136"/>
    </row>
    <row r="54341" spans="1:2" x14ac:dyDescent="0.25">
      <c r="A54341" s="118"/>
      <c r="B54341" s="136"/>
    </row>
    <row r="54342" spans="1:2" x14ac:dyDescent="0.25">
      <c r="A54342" s="118"/>
      <c r="B54342" s="136"/>
    </row>
    <row r="54343" spans="1:2" x14ac:dyDescent="0.25">
      <c r="A54343" s="118"/>
      <c r="B54343" s="136"/>
    </row>
    <row r="54344" spans="1:2" x14ac:dyDescent="0.25">
      <c r="A54344" s="118"/>
      <c r="B54344" s="136"/>
    </row>
    <row r="54345" spans="1:2" x14ac:dyDescent="0.25">
      <c r="A54345" s="118"/>
      <c r="B54345" s="136"/>
    </row>
    <row r="54346" spans="1:2" x14ac:dyDescent="0.25">
      <c r="A54346" s="118"/>
      <c r="B54346" s="136"/>
    </row>
    <row r="54347" spans="1:2" x14ac:dyDescent="0.25">
      <c r="A54347" s="118"/>
      <c r="B54347" s="136"/>
    </row>
    <row r="54348" spans="1:2" x14ac:dyDescent="0.25">
      <c r="A54348" s="118"/>
      <c r="B54348" s="136"/>
    </row>
    <row r="54349" spans="1:2" x14ac:dyDescent="0.25">
      <c r="A54349" s="118"/>
      <c r="B54349" s="136"/>
    </row>
    <row r="54350" spans="1:2" x14ac:dyDescent="0.25">
      <c r="A54350" s="118"/>
      <c r="B54350" s="136"/>
    </row>
    <row r="54351" spans="1:2" x14ac:dyDescent="0.25">
      <c r="A54351" s="118"/>
      <c r="B54351" s="136"/>
    </row>
    <row r="54352" spans="1:2" x14ac:dyDescent="0.25">
      <c r="A54352" s="118"/>
      <c r="B54352" s="136"/>
    </row>
    <row r="54353" spans="1:2" x14ac:dyDescent="0.25">
      <c r="A54353" s="118"/>
      <c r="B54353" s="136"/>
    </row>
    <row r="54354" spans="1:2" x14ac:dyDescent="0.25">
      <c r="A54354" s="118"/>
      <c r="B54354" s="136"/>
    </row>
    <row r="54355" spans="1:2" x14ac:dyDescent="0.25">
      <c r="A54355" s="118"/>
      <c r="B54355" s="136"/>
    </row>
    <row r="54356" spans="1:2" x14ac:dyDescent="0.25">
      <c r="A54356" s="118"/>
      <c r="B54356" s="136"/>
    </row>
    <row r="54357" spans="1:2" x14ac:dyDescent="0.25">
      <c r="A54357" s="118"/>
      <c r="B54357" s="136"/>
    </row>
    <row r="54358" spans="1:2" x14ac:dyDescent="0.25">
      <c r="A54358" s="118"/>
      <c r="B54358" s="136"/>
    </row>
    <row r="54359" spans="1:2" x14ac:dyDescent="0.25">
      <c r="A54359" s="118"/>
      <c r="B54359" s="136"/>
    </row>
    <row r="54360" spans="1:2" x14ac:dyDescent="0.25">
      <c r="A54360" s="118"/>
      <c r="B54360" s="136"/>
    </row>
    <row r="54361" spans="1:2" x14ac:dyDescent="0.25">
      <c r="A54361" s="118"/>
      <c r="B54361" s="136"/>
    </row>
    <row r="54362" spans="1:2" x14ac:dyDescent="0.25">
      <c r="A54362" s="118"/>
      <c r="B54362" s="136"/>
    </row>
    <row r="54363" spans="1:2" x14ac:dyDescent="0.25">
      <c r="A54363" s="118"/>
      <c r="B54363" s="136"/>
    </row>
    <row r="54364" spans="1:2" x14ac:dyDescent="0.25">
      <c r="A54364" s="118"/>
      <c r="B54364" s="136"/>
    </row>
    <row r="54365" spans="1:2" x14ac:dyDescent="0.25">
      <c r="A54365" s="118"/>
      <c r="B54365" s="136"/>
    </row>
    <row r="54366" spans="1:2" x14ac:dyDescent="0.25">
      <c r="A54366" s="118"/>
      <c r="B54366" s="136"/>
    </row>
    <row r="54367" spans="1:2" x14ac:dyDescent="0.25">
      <c r="A54367" s="118"/>
      <c r="B54367" s="136"/>
    </row>
    <row r="54368" spans="1:2" x14ac:dyDescent="0.25">
      <c r="A54368" s="118"/>
      <c r="B54368" s="136"/>
    </row>
    <row r="54369" spans="1:2" x14ac:dyDescent="0.25">
      <c r="A54369" s="118"/>
      <c r="B54369" s="136"/>
    </row>
    <row r="54370" spans="1:2" x14ac:dyDescent="0.25">
      <c r="A54370" s="118"/>
      <c r="B54370" s="136"/>
    </row>
    <row r="54371" spans="1:2" x14ac:dyDescent="0.25">
      <c r="A54371" s="118"/>
      <c r="B54371" s="136"/>
    </row>
    <row r="54372" spans="1:2" x14ac:dyDescent="0.25">
      <c r="A54372" s="118"/>
      <c r="B54372" s="136"/>
    </row>
    <row r="54373" spans="1:2" x14ac:dyDescent="0.25">
      <c r="A54373" s="118"/>
      <c r="B54373" s="136"/>
    </row>
    <row r="54374" spans="1:2" x14ac:dyDescent="0.25">
      <c r="A54374" s="118"/>
      <c r="B54374" s="136"/>
    </row>
    <row r="54375" spans="1:2" x14ac:dyDescent="0.25">
      <c r="A54375" s="118"/>
      <c r="B54375" s="136"/>
    </row>
    <row r="54376" spans="1:2" x14ac:dyDescent="0.25">
      <c r="A54376" s="118"/>
      <c r="B54376" s="136"/>
    </row>
    <row r="54377" spans="1:2" x14ac:dyDescent="0.25">
      <c r="A54377" s="118"/>
      <c r="B54377" s="136"/>
    </row>
    <row r="54378" spans="1:2" x14ac:dyDescent="0.25">
      <c r="A54378" s="118"/>
      <c r="B54378" s="136"/>
    </row>
    <row r="54379" spans="1:2" x14ac:dyDescent="0.25">
      <c r="A54379" s="118"/>
      <c r="B54379" s="136"/>
    </row>
    <row r="54380" spans="1:2" x14ac:dyDescent="0.25">
      <c r="A54380" s="118"/>
      <c r="B54380" s="136"/>
    </row>
    <row r="54381" spans="1:2" x14ac:dyDescent="0.25">
      <c r="A54381" s="118"/>
      <c r="B54381" s="136"/>
    </row>
    <row r="54382" spans="1:2" x14ac:dyDescent="0.25">
      <c r="A54382" s="118"/>
      <c r="B54382" s="136"/>
    </row>
    <row r="54383" spans="1:2" x14ac:dyDescent="0.25">
      <c r="A54383" s="118"/>
      <c r="B54383" s="136"/>
    </row>
    <row r="54384" spans="1:2" x14ac:dyDescent="0.25">
      <c r="A54384" s="118"/>
      <c r="B54384" s="136"/>
    </row>
    <row r="54385" spans="1:2" x14ac:dyDescent="0.25">
      <c r="A54385" s="118"/>
      <c r="B54385" s="136"/>
    </row>
    <row r="54386" spans="1:2" x14ac:dyDescent="0.25">
      <c r="A54386" s="118"/>
      <c r="B54386" s="136"/>
    </row>
    <row r="54387" spans="1:2" x14ac:dyDescent="0.25">
      <c r="A54387" s="118"/>
      <c r="B54387" s="136"/>
    </row>
    <row r="54388" spans="1:2" x14ac:dyDescent="0.25">
      <c r="A54388" s="118"/>
      <c r="B54388" s="136"/>
    </row>
    <row r="54389" spans="1:2" x14ac:dyDescent="0.25">
      <c r="A54389" s="118"/>
      <c r="B54389" s="136"/>
    </row>
    <row r="54390" spans="1:2" x14ac:dyDescent="0.25">
      <c r="A54390" s="118"/>
      <c r="B54390" s="136"/>
    </row>
    <row r="54391" spans="1:2" x14ac:dyDescent="0.25">
      <c r="A54391" s="118"/>
      <c r="B54391" s="136"/>
    </row>
    <row r="54392" spans="1:2" x14ac:dyDescent="0.25">
      <c r="A54392" s="118"/>
      <c r="B54392" s="136"/>
    </row>
    <row r="54393" spans="1:2" x14ac:dyDescent="0.25">
      <c r="A54393" s="118"/>
      <c r="B54393" s="136"/>
    </row>
    <row r="54394" spans="1:2" x14ac:dyDescent="0.25">
      <c r="A54394" s="118"/>
      <c r="B54394" s="136"/>
    </row>
    <row r="54395" spans="1:2" x14ac:dyDescent="0.25">
      <c r="A54395" s="118"/>
      <c r="B54395" s="136"/>
    </row>
    <row r="54396" spans="1:2" x14ac:dyDescent="0.25">
      <c r="A54396" s="118"/>
      <c r="B54396" s="136"/>
    </row>
    <row r="54397" spans="1:2" x14ac:dyDescent="0.25">
      <c r="A54397" s="118"/>
      <c r="B54397" s="136"/>
    </row>
    <row r="54398" spans="1:2" x14ac:dyDescent="0.25">
      <c r="A54398" s="118"/>
      <c r="B54398" s="136"/>
    </row>
    <row r="54399" spans="1:2" x14ac:dyDescent="0.25">
      <c r="A54399" s="118"/>
      <c r="B54399" s="136"/>
    </row>
    <row r="54400" spans="1:2" x14ac:dyDescent="0.25">
      <c r="A54400" s="118"/>
      <c r="B54400" s="136"/>
    </row>
    <row r="54401" spans="1:2" x14ac:dyDescent="0.25">
      <c r="A54401" s="118"/>
      <c r="B54401" s="136"/>
    </row>
    <row r="54402" spans="1:2" x14ac:dyDescent="0.25">
      <c r="A54402" s="118"/>
      <c r="B54402" s="136"/>
    </row>
    <row r="54403" spans="1:2" x14ac:dyDescent="0.25">
      <c r="A54403" s="118"/>
      <c r="B54403" s="136"/>
    </row>
    <row r="54404" spans="1:2" x14ac:dyDescent="0.25">
      <c r="A54404" s="118"/>
      <c r="B54404" s="136"/>
    </row>
    <row r="54405" spans="1:2" x14ac:dyDescent="0.25">
      <c r="A54405" s="118"/>
      <c r="B54405" s="136"/>
    </row>
    <row r="54406" spans="1:2" x14ac:dyDescent="0.25">
      <c r="A54406" s="118"/>
      <c r="B54406" s="136"/>
    </row>
    <row r="54407" spans="1:2" x14ac:dyDescent="0.25">
      <c r="A54407" s="118"/>
      <c r="B54407" s="136"/>
    </row>
    <row r="54408" spans="1:2" x14ac:dyDescent="0.25">
      <c r="A54408" s="118"/>
      <c r="B54408" s="136"/>
    </row>
    <row r="54409" spans="1:2" x14ac:dyDescent="0.25">
      <c r="A54409" s="118"/>
      <c r="B54409" s="136"/>
    </row>
    <row r="54410" spans="1:2" x14ac:dyDescent="0.25">
      <c r="A54410" s="118"/>
      <c r="B54410" s="136"/>
    </row>
    <row r="54411" spans="1:2" x14ac:dyDescent="0.25">
      <c r="A54411" s="118"/>
      <c r="B54411" s="136"/>
    </row>
    <row r="54412" spans="1:2" x14ac:dyDescent="0.25">
      <c r="A54412" s="118"/>
      <c r="B54412" s="136"/>
    </row>
    <row r="54413" spans="1:2" x14ac:dyDescent="0.25">
      <c r="A54413" s="118"/>
      <c r="B54413" s="136"/>
    </row>
    <row r="54414" spans="1:2" x14ac:dyDescent="0.25">
      <c r="A54414" s="118"/>
      <c r="B54414" s="136"/>
    </row>
    <row r="54415" spans="1:2" x14ac:dyDescent="0.25">
      <c r="A54415" s="118"/>
      <c r="B54415" s="136"/>
    </row>
    <row r="54416" spans="1:2" x14ac:dyDescent="0.25">
      <c r="A54416" s="118"/>
      <c r="B54416" s="136"/>
    </row>
    <row r="54417" spans="1:2" x14ac:dyDescent="0.25">
      <c r="A54417" s="118"/>
      <c r="B54417" s="136"/>
    </row>
    <row r="54418" spans="1:2" x14ac:dyDescent="0.25">
      <c r="A54418" s="118"/>
      <c r="B54418" s="136"/>
    </row>
    <row r="54419" spans="1:2" x14ac:dyDescent="0.25">
      <c r="A54419" s="118"/>
      <c r="B54419" s="136"/>
    </row>
    <row r="54420" spans="1:2" x14ac:dyDescent="0.25">
      <c r="A54420" s="118"/>
      <c r="B54420" s="136"/>
    </row>
    <row r="54421" spans="1:2" x14ac:dyDescent="0.25">
      <c r="A54421" s="118"/>
      <c r="B54421" s="136"/>
    </row>
    <row r="54422" spans="1:2" x14ac:dyDescent="0.25">
      <c r="A54422" s="118"/>
      <c r="B54422" s="136"/>
    </row>
    <row r="54423" spans="1:2" x14ac:dyDescent="0.25">
      <c r="A54423" s="118"/>
      <c r="B54423" s="136"/>
    </row>
    <row r="54424" spans="1:2" x14ac:dyDescent="0.25">
      <c r="A54424" s="118"/>
      <c r="B54424" s="136"/>
    </row>
    <row r="54425" spans="1:2" x14ac:dyDescent="0.25">
      <c r="A54425" s="118"/>
      <c r="B54425" s="136"/>
    </row>
    <row r="54426" spans="1:2" x14ac:dyDescent="0.25">
      <c r="A54426" s="118"/>
      <c r="B54426" s="136"/>
    </row>
    <row r="54427" spans="1:2" x14ac:dyDescent="0.25">
      <c r="A54427" s="118"/>
      <c r="B54427" s="136"/>
    </row>
    <row r="54428" spans="1:2" x14ac:dyDescent="0.25">
      <c r="A54428" s="118"/>
      <c r="B54428" s="136"/>
    </row>
    <row r="54429" spans="1:2" x14ac:dyDescent="0.25">
      <c r="A54429" s="118"/>
      <c r="B54429" s="136"/>
    </row>
    <row r="54430" spans="1:2" x14ac:dyDescent="0.25">
      <c r="A54430" s="118"/>
      <c r="B54430" s="136"/>
    </row>
    <row r="54431" spans="1:2" x14ac:dyDescent="0.25">
      <c r="A54431" s="118"/>
      <c r="B54431" s="136"/>
    </row>
    <row r="54432" spans="1:2" x14ac:dyDescent="0.25">
      <c r="A54432" s="118"/>
      <c r="B54432" s="136"/>
    </row>
    <row r="54433" spans="1:2" x14ac:dyDescent="0.25">
      <c r="A54433" s="118"/>
      <c r="B54433" s="136"/>
    </row>
    <row r="54434" spans="1:2" x14ac:dyDescent="0.25">
      <c r="A54434" s="118"/>
      <c r="B54434" s="136"/>
    </row>
    <row r="54435" spans="1:2" x14ac:dyDescent="0.25">
      <c r="A54435" s="118"/>
      <c r="B54435" s="136"/>
    </row>
    <row r="54436" spans="1:2" x14ac:dyDescent="0.25">
      <c r="A54436" s="118"/>
      <c r="B54436" s="136"/>
    </row>
    <row r="54437" spans="1:2" x14ac:dyDescent="0.25">
      <c r="A54437" s="118"/>
      <c r="B54437" s="136"/>
    </row>
    <row r="54438" spans="1:2" x14ac:dyDescent="0.25">
      <c r="A54438" s="118"/>
      <c r="B54438" s="136"/>
    </row>
    <row r="54439" spans="1:2" x14ac:dyDescent="0.25">
      <c r="A54439" s="118"/>
      <c r="B54439" s="136"/>
    </row>
    <row r="54440" spans="1:2" x14ac:dyDescent="0.25">
      <c r="A54440" s="118"/>
      <c r="B54440" s="136"/>
    </row>
    <row r="54441" spans="1:2" x14ac:dyDescent="0.25">
      <c r="A54441" s="118"/>
      <c r="B54441" s="136"/>
    </row>
    <row r="54442" spans="1:2" x14ac:dyDescent="0.25">
      <c r="A54442" s="118"/>
      <c r="B54442" s="136"/>
    </row>
    <row r="54443" spans="1:2" x14ac:dyDescent="0.25">
      <c r="A54443" s="118"/>
      <c r="B54443" s="136"/>
    </row>
    <row r="54444" spans="1:2" x14ac:dyDescent="0.25">
      <c r="A54444" s="118"/>
      <c r="B54444" s="136"/>
    </row>
    <row r="54445" spans="1:2" x14ac:dyDescent="0.25">
      <c r="A54445" s="118"/>
      <c r="B54445" s="136"/>
    </row>
    <row r="54446" spans="1:2" x14ac:dyDescent="0.25">
      <c r="A54446" s="118"/>
      <c r="B54446" s="136"/>
    </row>
    <row r="54447" spans="1:2" x14ac:dyDescent="0.25">
      <c r="A54447" s="118"/>
      <c r="B54447" s="136"/>
    </row>
    <row r="54448" spans="1:2" x14ac:dyDescent="0.25">
      <c r="A54448" s="118"/>
      <c r="B54448" s="136"/>
    </row>
    <row r="54449" spans="1:2" x14ac:dyDescent="0.25">
      <c r="A54449" s="118"/>
      <c r="B54449" s="136"/>
    </row>
    <row r="54450" spans="1:2" x14ac:dyDescent="0.25">
      <c r="A54450" s="118"/>
      <c r="B54450" s="136"/>
    </row>
    <row r="54451" spans="1:2" x14ac:dyDescent="0.25">
      <c r="A54451" s="118"/>
      <c r="B54451" s="136"/>
    </row>
    <row r="54452" spans="1:2" x14ac:dyDescent="0.25">
      <c r="A54452" s="118"/>
      <c r="B54452" s="136"/>
    </row>
    <row r="54453" spans="1:2" x14ac:dyDescent="0.25">
      <c r="A54453" s="118"/>
      <c r="B54453" s="136"/>
    </row>
    <row r="54454" spans="1:2" x14ac:dyDescent="0.25">
      <c r="A54454" s="118"/>
      <c r="B54454" s="136"/>
    </row>
    <row r="54455" spans="1:2" x14ac:dyDescent="0.25">
      <c r="A54455" s="118"/>
      <c r="B54455" s="136"/>
    </row>
    <row r="54456" spans="1:2" x14ac:dyDescent="0.25">
      <c r="A54456" s="118"/>
      <c r="B54456" s="136"/>
    </row>
    <row r="54457" spans="1:2" x14ac:dyDescent="0.25">
      <c r="A54457" s="118"/>
      <c r="B54457" s="136"/>
    </row>
    <row r="54458" spans="1:2" x14ac:dyDescent="0.25">
      <c r="A54458" s="118"/>
      <c r="B54458" s="136"/>
    </row>
    <row r="54459" spans="1:2" x14ac:dyDescent="0.25">
      <c r="A54459" s="118"/>
      <c r="B54459" s="136"/>
    </row>
    <row r="54460" spans="1:2" x14ac:dyDescent="0.25">
      <c r="A54460" s="118"/>
      <c r="B54460" s="136"/>
    </row>
    <row r="54461" spans="1:2" x14ac:dyDescent="0.25">
      <c r="A54461" s="118"/>
      <c r="B54461" s="136"/>
    </row>
    <row r="54462" spans="1:2" x14ac:dyDescent="0.25">
      <c r="A54462" s="118"/>
      <c r="B54462" s="136"/>
    </row>
    <row r="54463" spans="1:2" x14ac:dyDescent="0.25">
      <c r="A54463" s="118"/>
      <c r="B54463" s="136"/>
    </row>
    <row r="54464" spans="1:2" x14ac:dyDescent="0.25">
      <c r="A54464" s="118"/>
      <c r="B54464" s="136"/>
    </row>
    <row r="54465" spans="1:2" x14ac:dyDescent="0.25">
      <c r="A54465" s="118"/>
      <c r="B54465" s="136"/>
    </row>
    <row r="54466" spans="1:2" x14ac:dyDescent="0.25">
      <c r="A54466" s="118"/>
      <c r="B54466" s="136"/>
    </row>
    <row r="54467" spans="1:2" x14ac:dyDescent="0.25">
      <c r="A54467" s="118"/>
      <c r="B54467" s="136"/>
    </row>
    <row r="54468" spans="1:2" x14ac:dyDescent="0.25">
      <c r="A54468" s="118"/>
      <c r="B54468" s="136"/>
    </row>
    <row r="54469" spans="1:2" x14ac:dyDescent="0.25">
      <c r="A54469" s="118"/>
      <c r="B54469" s="136"/>
    </row>
    <row r="54470" spans="1:2" x14ac:dyDescent="0.25">
      <c r="A54470" s="118"/>
      <c r="B54470" s="136"/>
    </row>
    <row r="54471" spans="1:2" x14ac:dyDescent="0.25">
      <c r="A54471" s="118"/>
      <c r="B54471" s="136"/>
    </row>
    <row r="54472" spans="1:2" x14ac:dyDescent="0.25">
      <c r="A54472" s="118"/>
      <c r="B54472" s="136"/>
    </row>
    <row r="54473" spans="1:2" x14ac:dyDescent="0.25">
      <c r="A54473" s="118"/>
      <c r="B54473" s="136"/>
    </row>
    <row r="54474" spans="1:2" x14ac:dyDescent="0.25">
      <c r="A54474" s="118"/>
      <c r="B54474" s="136"/>
    </row>
    <row r="54475" spans="1:2" x14ac:dyDescent="0.25">
      <c r="A54475" s="118"/>
      <c r="B54475" s="136"/>
    </row>
    <row r="54476" spans="1:2" x14ac:dyDescent="0.25">
      <c r="A54476" s="118"/>
      <c r="B54476" s="136"/>
    </row>
    <row r="54477" spans="1:2" x14ac:dyDescent="0.25">
      <c r="A54477" s="118"/>
      <c r="B54477" s="136"/>
    </row>
    <row r="54478" spans="1:2" x14ac:dyDescent="0.25">
      <c r="A54478" s="118"/>
      <c r="B54478" s="136"/>
    </row>
    <row r="54479" spans="1:2" x14ac:dyDescent="0.25">
      <c r="A54479" s="118"/>
      <c r="B54479" s="136"/>
    </row>
    <row r="54480" spans="1:2" x14ac:dyDescent="0.25">
      <c r="A54480" s="118"/>
      <c r="B54480" s="136"/>
    </row>
    <row r="54481" spans="1:2" x14ac:dyDescent="0.25">
      <c r="A54481" s="118"/>
      <c r="B54481" s="136"/>
    </row>
    <row r="54482" spans="1:2" x14ac:dyDescent="0.25">
      <c r="A54482" s="118"/>
      <c r="B54482" s="136"/>
    </row>
    <row r="54483" spans="1:2" x14ac:dyDescent="0.25">
      <c r="A54483" s="118"/>
      <c r="B54483" s="136"/>
    </row>
    <row r="54484" spans="1:2" x14ac:dyDescent="0.25">
      <c r="A54484" s="118"/>
      <c r="B54484" s="136"/>
    </row>
    <row r="54485" spans="1:2" x14ac:dyDescent="0.25">
      <c r="A54485" s="118"/>
      <c r="B54485" s="136"/>
    </row>
    <row r="54486" spans="1:2" x14ac:dyDescent="0.25">
      <c r="A54486" s="118"/>
      <c r="B54486" s="136"/>
    </row>
    <row r="54487" spans="1:2" x14ac:dyDescent="0.25">
      <c r="A54487" s="118"/>
      <c r="B54487" s="136"/>
    </row>
    <row r="54488" spans="1:2" x14ac:dyDescent="0.25">
      <c r="A54488" s="118"/>
      <c r="B54488" s="136"/>
    </row>
    <row r="54489" spans="1:2" x14ac:dyDescent="0.25">
      <c r="A54489" s="118"/>
      <c r="B54489" s="136"/>
    </row>
    <row r="54490" spans="1:2" x14ac:dyDescent="0.25">
      <c r="A54490" s="118"/>
      <c r="B54490" s="136"/>
    </row>
    <row r="54491" spans="1:2" x14ac:dyDescent="0.25">
      <c r="A54491" s="118"/>
      <c r="B54491" s="136"/>
    </row>
    <row r="54492" spans="1:2" x14ac:dyDescent="0.25">
      <c r="A54492" s="118"/>
      <c r="B54492" s="136"/>
    </row>
    <row r="54493" spans="1:2" x14ac:dyDescent="0.25">
      <c r="A54493" s="118"/>
      <c r="B54493" s="136"/>
    </row>
    <row r="54494" spans="1:2" x14ac:dyDescent="0.25">
      <c r="A54494" s="118"/>
      <c r="B54494" s="136"/>
    </row>
    <row r="54495" spans="1:2" x14ac:dyDescent="0.25">
      <c r="A54495" s="118"/>
      <c r="B54495" s="136"/>
    </row>
    <row r="54496" spans="1:2" x14ac:dyDescent="0.25">
      <c r="A54496" s="118"/>
      <c r="B54496" s="136"/>
    </row>
    <row r="54497" spans="1:2" x14ac:dyDescent="0.25">
      <c r="A54497" s="118"/>
      <c r="B54497" s="136"/>
    </row>
    <row r="54498" spans="1:2" x14ac:dyDescent="0.25">
      <c r="A54498" s="118"/>
      <c r="B54498" s="136"/>
    </row>
    <row r="54499" spans="1:2" x14ac:dyDescent="0.25">
      <c r="A54499" s="118"/>
      <c r="B54499" s="136"/>
    </row>
    <row r="54500" spans="1:2" x14ac:dyDescent="0.25">
      <c r="A54500" s="118"/>
      <c r="B54500" s="136"/>
    </row>
    <row r="54501" spans="1:2" x14ac:dyDescent="0.25">
      <c r="A54501" s="118"/>
      <c r="B54501" s="136"/>
    </row>
    <row r="54502" spans="1:2" x14ac:dyDescent="0.25">
      <c r="A54502" s="118"/>
      <c r="B54502" s="136"/>
    </row>
    <row r="54503" spans="1:2" x14ac:dyDescent="0.25">
      <c r="A54503" s="118"/>
      <c r="B54503" s="136"/>
    </row>
    <row r="54504" spans="1:2" x14ac:dyDescent="0.25">
      <c r="A54504" s="118"/>
      <c r="B54504" s="136"/>
    </row>
    <row r="54505" spans="1:2" x14ac:dyDescent="0.25">
      <c r="A54505" s="118"/>
      <c r="B54505" s="136"/>
    </row>
    <row r="54506" spans="1:2" x14ac:dyDescent="0.25">
      <c r="A54506" s="118"/>
      <c r="B54506" s="136"/>
    </row>
    <row r="54507" spans="1:2" x14ac:dyDescent="0.25">
      <c r="A54507" s="118"/>
      <c r="B54507" s="136"/>
    </row>
    <row r="54508" spans="1:2" x14ac:dyDescent="0.25">
      <c r="A54508" s="118"/>
      <c r="B54508" s="136"/>
    </row>
    <row r="54509" spans="1:2" x14ac:dyDescent="0.25">
      <c r="A54509" s="118"/>
      <c r="B54509" s="136"/>
    </row>
    <row r="54510" spans="1:2" x14ac:dyDescent="0.25">
      <c r="A54510" s="118"/>
      <c r="B54510" s="136"/>
    </row>
    <row r="54511" spans="1:2" x14ac:dyDescent="0.25">
      <c r="A54511" s="118"/>
      <c r="B54511" s="136"/>
    </row>
    <row r="54512" spans="1:2" x14ac:dyDescent="0.25">
      <c r="A54512" s="118"/>
      <c r="B54512" s="136"/>
    </row>
    <row r="54513" spans="1:2" x14ac:dyDescent="0.25">
      <c r="A54513" s="118"/>
      <c r="B54513" s="136"/>
    </row>
    <row r="54514" spans="1:2" x14ac:dyDescent="0.25">
      <c r="A54514" s="118"/>
      <c r="B54514" s="136"/>
    </row>
    <row r="54515" spans="1:2" x14ac:dyDescent="0.25">
      <c r="A54515" s="118"/>
      <c r="B54515" s="136"/>
    </row>
    <row r="54516" spans="1:2" x14ac:dyDescent="0.25">
      <c r="A54516" s="118"/>
      <c r="B54516" s="136"/>
    </row>
    <row r="54517" spans="1:2" x14ac:dyDescent="0.25">
      <c r="A54517" s="118"/>
      <c r="B54517" s="136"/>
    </row>
    <row r="54518" spans="1:2" x14ac:dyDescent="0.25">
      <c r="A54518" s="118"/>
      <c r="B54518" s="136"/>
    </row>
    <row r="54519" spans="1:2" x14ac:dyDescent="0.25">
      <c r="A54519" s="118"/>
      <c r="B54519" s="136"/>
    </row>
    <row r="54520" spans="1:2" x14ac:dyDescent="0.25">
      <c r="A54520" s="118"/>
      <c r="B54520" s="136"/>
    </row>
    <row r="54521" spans="1:2" x14ac:dyDescent="0.25">
      <c r="A54521" s="118"/>
      <c r="B54521" s="136"/>
    </row>
    <row r="54522" spans="1:2" x14ac:dyDescent="0.25">
      <c r="A54522" s="118"/>
      <c r="B54522" s="136"/>
    </row>
    <row r="54523" spans="1:2" x14ac:dyDescent="0.25">
      <c r="A54523" s="118"/>
      <c r="B54523" s="136"/>
    </row>
    <row r="54524" spans="1:2" x14ac:dyDescent="0.25">
      <c r="A54524" s="118"/>
      <c r="B54524" s="136"/>
    </row>
    <row r="54525" spans="1:2" x14ac:dyDescent="0.25">
      <c r="A54525" s="118"/>
      <c r="B54525" s="136"/>
    </row>
    <row r="54526" spans="1:2" x14ac:dyDescent="0.25">
      <c r="A54526" s="118"/>
      <c r="B54526" s="136"/>
    </row>
    <row r="54527" spans="1:2" x14ac:dyDescent="0.25">
      <c r="A54527" s="118"/>
      <c r="B54527" s="136"/>
    </row>
    <row r="54528" spans="1:2" x14ac:dyDescent="0.25">
      <c r="A54528" s="118"/>
      <c r="B54528" s="136"/>
    </row>
    <row r="54529" spans="1:2" x14ac:dyDescent="0.25">
      <c r="A54529" s="118"/>
      <c r="B54529" s="136"/>
    </row>
    <row r="54530" spans="1:2" x14ac:dyDescent="0.25">
      <c r="A54530" s="118"/>
      <c r="B54530" s="136"/>
    </row>
    <row r="54531" spans="1:2" x14ac:dyDescent="0.25">
      <c r="A54531" s="118"/>
      <c r="B54531" s="136"/>
    </row>
    <row r="54532" spans="1:2" x14ac:dyDescent="0.25">
      <c r="A54532" s="118"/>
      <c r="B54532" s="136"/>
    </row>
    <row r="54533" spans="1:2" x14ac:dyDescent="0.25">
      <c r="A54533" s="118"/>
      <c r="B54533" s="136"/>
    </row>
    <row r="54534" spans="1:2" x14ac:dyDescent="0.25">
      <c r="A54534" s="118"/>
      <c r="B54534" s="136"/>
    </row>
    <row r="54535" spans="1:2" x14ac:dyDescent="0.25">
      <c r="A54535" s="118"/>
      <c r="B54535" s="136"/>
    </row>
    <row r="54536" spans="1:2" x14ac:dyDescent="0.25">
      <c r="A54536" s="118"/>
      <c r="B54536" s="136"/>
    </row>
    <row r="54537" spans="1:2" x14ac:dyDescent="0.25">
      <c r="A54537" s="118"/>
      <c r="B54537" s="136"/>
    </row>
    <row r="54538" spans="1:2" x14ac:dyDescent="0.25">
      <c r="A54538" s="118"/>
      <c r="B54538" s="136"/>
    </row>
    <row r="54539" spans="1:2" x14ac:dyDescent="0.25">
      <c r="A54539" s="118"/>
      <c r="B54539" s="136"/>
    </row>
    <row r="54540" spans="1:2" x14ac:dyDescent="0.25">
      <c r="A54540" s="118"/>
      <c r="B54540" s="136"/>
    </row>
    <row r="54541" spans="1:2" x14ac:dyDescent="0.25">
      <c r="A54541" s="118"/>
      <c r="B54541" s="136"/>
    </row>
    <row r="54542" spans="1:2" x14ac:dyDescent="0.25">
      <c r="A54542" s="118"/>
      <c r="B54542" s="136"/>
    </row>
    <row r="54543" spans="1:2" x14ac:dyDescent="0.25">
      <c r="A54543" s="118"/>
      <c r="B54543" s="136"/>
    </row>
    <row r="54544" spans="1:2" x14ac:dyDescent="0.25">
      <c r="A54544" s="118"/>
      <c r="B54544" s="136"/>
    </row>
    <row r="54545" spans="1:2" x14ac:dyDescent="0.25">
      <c r="A54545" s="118"/>
      <c r="B54545" s="136"/>
    </row>
    <row r="54546" spans="1:2" x14ac:dyDescent="0.25">
      <c r="A54546" s="118"/>
      <c r="B54546" s="136"/>
    </row>
    <row r="54547" spans="1:2" x14ac:dyDescent="0.25">
      <c r="A54547" s="118"/>
      <c r="B54547" s="136"/>
    </row>
    <row r="54548" spans="1:2" x14ac:dyDescent="0.25">
      <c r="A54548" s="118"/>
      <c r="B54548" s="136"/>
    </row>
    <row r="54549" spans="1:2" x14ac:dyDescent="0.25">
      <c r="A54549" s="118"/>
      <c r="B54549" s="136"/>
    </row>
    <row r="54550" spans="1:2" x14ac:dyDescent="0.25">
      <c r="A54550" s="118"/>
      <c r="B54550" s="136"/>
    </row>
    <row r="54551" spans="1:2" x14ac:dyDescent="0.25">
      <c r="A54551" s="118"/>
      <c r="B54551" s="136"/>
    </row>
    <row r="54552" spans="1:2" x14ac:dyDescent="0.25">
      <c r="A54552" s="118"/>
      <c r="B54552" s="136"/>
    </row>
    <row r="54553" spans="1:2" x14ac:dyDescent="0.25">
      <c r="A54553" s="118"/>
      <c r="B54553" s="136"/>
    </row>
    <row r="54554" spans="1:2" x14ac:dyDescent="0.25">
      <c r="A54554" s="118"/>
      <c r="B54554" s="136"/>
    </row>
    <row r="54555" spans="1:2" x14ac:dyDescent="0.25">
      <c r="A54555" s="118"/>
      <c r="B54555" s="136"/>
    </row>
    <row r="54556" spans="1:2" x14ac:dyDescent="0.25">
      <c r="A54556" s="118"/>
      <c r="B54556" s="136"/>
    </row>
    <row r="54557" spans="1:2" x14ac:dyDescent="0.25">
      <c r="A54557" s="118"/>
      <c r="B54557" s="136"/>
    </row>
    <row r="54558" spans="1:2" x14ac:dyDescent="0.25">
      <c r="A54558" s="118"/>
      <c r="B54558" s="136"/>
    </row>
    <row r="54559" spans="1:2" x14ac:dyDescent="0.25">
      <c r="A54559" s="118"/>
      <c r="B54559" s="136"/>
    </row>
    <row r="54560" spans="1:2" x14ac:dyDescent="0.25">
      <c r="A54560" s="118"/>
      <c r="B54560" s="136"/>
    </row>
    <row r="54561" spans="1:2" x14ac:dyDescent="0.25">
      <c r="A54561" s="118"/>
      <c r="B54561" s="136"/>
    </row>
    <row r="54562" spans="1:2" x14ac:dyDescent="0.25">
      <c r="A54562" s="118"/>
      <c r="B54562" s="136"/>
    </row>
    <row r="54563" spans="1:2" x14ac:dyDescent="0.25">
      <c r="A54563" s="118"/>
      <c r="B54563" s="136"/>
    </row>
    <row r="54564" spans="1:2" x14ac:dyDescent="0.25">
      <c r="A54564" s="118"/>
      <c r="B54564" s="136"/>
    </row>
    <row r="54565" spans="1:2" x14ac:dyDescent="0.25">
      <c r="A54565" s="118"/>
      <c r="B54565" s="136"/>
    </row>
    <row r="54566" spans="1:2" x14ac:dyDescent="0.25">
      <c r="A54566" s="118"/>
      <c r="B54566" s="136"/>
    </row>
    <row r="54567" spans="1:2" x14ac:dyDescent="0.25">
      <c r="A54567" s="118"/>
      <c r="B54567" s="136"/>
    </row>
    <row r="54568" spans="1:2" x14ac:dyDescent="0.25">
      <c r="A54568" s="118"/>
      <c r="B54568" s="136"/>
    </row>
    <row r="54569" spans="1:2" x14ac:dyDescent="0.25">
      <c r="A54569" s="118"/>
      <c r="B54569" s="136"/>
    </row>
    <row r="54570" spans="1:2" x14ac:dyDescent="0.25">
      <c r="A54570" s="118"/>
      <c r="B54570" s="136"/>
    </row>
    <row r="54571" spans="1:2" x14ac:dyDescent="0.25">
      <c r="A54571" s="118"/>
      <c r="B54571" s="136"/>
    </row>
    <row r="54572" spans="1:2" x14ac:dyDescent="0.25">
      <c r="A54572" s="118"/>
      <c r="B54572" s="136"/>
    </row>
    <row r="54573" spans="1:2" x14ac:dyDescent="0.25">
      <c r="A54573" s="118"/>
      <c r="B54573" s="136"/>
    </row>
    <row r="54574" spans="1:2" x14ac:dyDescent="0.25">
      <c r="A54574" s="118"/>
      <c r="B54574" s="136"/>
    </row>
    <row r="54575" spans="1:2" x14ac:dyDescent="0.25">
      <c r="A54575" s="118"/>
      <c r="B54575" s="136"/>
    </row>
    <row r="54576" spans="1:2" x14ac:dyDescent="0.25">
      <c r="A54576" s="118"/>
      <c r="B54576" s="136"/>
    </row>
    <row r="54577" spans="1:2" x14ac:dyDescent="0.25">
      <c r="A54577" s="118"/>
      <c r="B54577" s="136"/>
    </row>
    <row r="54578" spans="1:2" x14ac:dyDescent="0.25">
      <c r="A54578" s="118"/>
      <c r="B54578" s="136"/>
    </row>
    <row r="54579" spans="1:2" x14ac:dyDescent="0.25">
      <c r="A54579" s="118"/>
      <c r="B54579" s="136"/>
    </row>
    <row r="54580" spans="1:2" x14ac:dyDescent="0.25">
      <c r="A54580" s="118"/>
      <c r="B54580" s="136"/>
    </row>
    <row r="54581" spans="1:2" x14ac:dyDescent="0.25">
      <c r="A54581" s="118"/>
      <c r="B54581" s="136"/>
    </row>
    <row r="54582" spans="1:2" x14ac:dyDescent="0.25">
      <c r="A54582" s="118"/>
      <c r="B54582" s="136"/>
    </row>
    <row r="54583" spans="1:2" x14ac:dyDescent="0.25">
      <c r="A54583" s="118"/>
      <c r="B54583" s="136"/>
    </row>
    <row r="54584" spans="1:2" x14ac:dyDescent="0.25">
      <c r="A54584" s="118"/>
      <c r="B54584" s="136"/>
    </row>
    <row r="54585" spans="1:2" x14ac:dyDescent="0.25">
      <c r="A54585" s="118"/>
      <c r="B54585" s="136"/>
    </row>
    <row r="54586" spans="1:2" x14ac:dyDescent="0.25">
      <c r="A54586" s="118"/>
      <c r="B54586" s="136"/>
    </row>
    <row r="54587" spans="1:2" x14ac:dyDescent="0.25">
      <c r="A54587" s="118"/>
      <c r="B54587" s="136"/>
    </row>
    <row r="54588" spans="1:2" x14ac:dyDescent="0.25">
      <c r="A54588" s="118"/>
      <c r="B54588" s="136"/>
    </row>
    <row r="54589" spans="1:2" x14ac:dyDescent="0.25">
      <c r="A54589" s="118"/>
      <c r="B54589" s="136"/>
    </row>
    <row r="54590" spans="1:2" x14ac:dyDescent="0.25">
      <c r="A54590" s="118"/>
      <c r="B54590" s="136"/>
    </row>
    <row r="54591" spans="1:2" x14ac:dyDescent="0.25">
      <c r="A54591" s="118"/>
      <c r="B54591" s="136"/>
    </row>
    <row r="54592" spans="1:2" x14ac:dyDescent="0.25">
      <c r="A54592" s="118"/>
      <c r="B54592" s="136"/>
    </row>
    <row r="54593" spans="1:2" x14ac:dyDescent="0.25">
      <c r="A54593" s="118"/>
      <c r="B54593" s="136"/>
    </row>
    <row r="54594" spans="1:2" x14ac:dyDescent="0.25">
      <c r="A54594" s="118"/>
      <c r="B54594" s="136"/>
    </row>
    <row r="54595" spans="1:2" x14ac:dyDescent="0.25">
      <c r="A54595" s="118"/>
      <c r="B54595" s="136"/>
    </row>
    <row r="54596" spans="1:2" x14ac:dyDescent="0.25">
      <c r="A54596" s="118"/>
      <c r="B54596" s="136"/>
    </row>
    <row r="54597" spans="1:2" x14ac:dyDescent="0.25">
      <c r="A54597" s="118"/>
      <c r="B54597" s="136"/>
    </row>
    <row r="54598" spans="1:2" x14ac:dyDescent="0.25">
      <c r="A54598" s="118"/>
      <c r="B54598" s="136"/>
    </row>
    <row r="54599" spans="1:2" x14ac:dyDescent="0.25">
      <c r="A54599" s="118"/>
      <c r="B54599" s="136"/>
    </row>
    <row r="54600" spans="1:2" x14ac:dyDescent="0.25">
      <c r="A54600" s="118"/>
      <c r="B54600" s="136"/>
    </row>
    <row r="54601" spans="1:2" x14ac:dyDescent="0.25">
      <c r="A54601" s="118"/>
      <c r="B54601" s="136"/>
    </row>
    <row r="54602" spans="1:2" x14ac:dyDescent="0.25">
      <c r="A54602" s="118"/>
      <c r="B54602" s="136"/>
    </row>
    <row r="54603" spans="1:2" x14ac:dyDescent="0.25">
      <c r="A54603" s="118"/>
      <c r="B54603" s="136"/>
    </row>
    <row r="54604" spans="1:2" x14ac:dyDescent="0.25">
      <c r="A54604" s="118"/>
      <c r="B54604" s="136"/>
    </row>
    <row r="54605" spans="1:2" x14ac:dyDescent="0.25">
      <c r="A54605" s="118"/>
      <c r="B54605" s="136"/>
    </row>
    <row r="54606" spans="1:2" x14ac:dyDescent="0.25">
      <c r="A54606" s="118"/>
      <c r="B54606" s="136"/>
    </row>
    <row r="54607" spans="1:2" x14ac:dyDescent="0.25">
      <c r="A54607" s="118"/>
      <c r="B54607" s="136"/>
    </row>
    <row r="54608" spans="1:2" x14ac:dyDescent="0.25">
      <c r="A54608" s="118"/>
      <c r="B54608" s="136"/>
    </row>
    <row r="54609" spans="1:2" x14ac:dyDescent="0.25">
      <c r="A54609" s="118"/>
      <c r="B54609" s="136"/>
    </row>
    <row r="54610" spans="1:2" x14ac:dyDescent="0.25">
      <c r="A54610" s="118"/>
      <c r="B54610" s="136"/>
    </row>
    <row r="54611" spans="1:2" x14ac:dyDescent="0.25">
      <c r="A54611" s="118"/>
      <c r="B54611" s="136"/>
    </row>
    <row r="54612" spans="1:2" x14ac:dyDescent="0.25">
      <c r="A54612" s="118"/>
      <c r="B54612" s="136"/>
    </row>
    <row r="54613" spans="1:2" x14ac:dyDescent="0.25">
      <c r="A54613" s="118"/>
      <c r="B54613" s="136"/>
    </row>
    <row r="54614" spans="1:2" x14ac:dyDescent="0.25">
      <c r="A54614" s="118"/>
      <c r="B54614" s="136"/>
    </row>
    <row r="54615" spans="1:2" x14ac:dyDescent="0.25">
      <c r="A54615" s="118"/>
      <c r="B54615" s="136"/>
    </row>
    <row r="54616" spans="1:2" x14ac:dyDescent="0.25">
      <c r="A54616" s="118"/>
      <c r="B54616" s="136"/>
    </row>
    <row r="54617" spans="1:2" x14ac:dyDescent="0.25">
      <c r="A54617" s="118"/>
      <c r="B54617" s="136"/>
    </row>
    <row r="54618" spans="1:2" x14ac:dyDescent="0.25">
      <c r="A54618" s="118"/>
      <c r="B54618" s="136"/>
    </row>
    <row r="54619" spans="1:2" x14ac:dyDescent="0.25">
      <c r="A54619" s="118"/>
      <c r="B54619" s="136"/>
    </row>
    <row r="54620" spans="1:2" x14ac:dyDescent="0.25">
      <c r="A54620" s="118"/>
      <c r="B54620" s="136"/>
    </row>
    <row r="54621" spans="1:2" x14ac:dyDescent="0.25">
      <c r="A54621" s="118"/>
      <c r="B54621" s="136"/>
    </row>
    <row r="54622" spans="1:2" x14ac:dyDescent="0.25">
      <c r="A54622" s="118"/>
      <c r="B54622" s="136"/>
    </row>
    <row r="54623" spans="1:2" x14ac:dyDescent="0.25">
      <c r="A54623" s="118"/>
      <c r="B54623" s="136"/>
    </row>
    <row r="54624" spans="1:2" x14ac:dyDescent="0.25">
      <c r="A54624" s="118"/>
      <c r="B54624" s="136"/>
    </row>
    <row r="54625" spans="1:2" x14ac:dyDescent="0.25">
      <c r="A54625" s="118"/>
      <c r="B54625" s="136"/>
    </row>
    <row r="54626" spans="1:2" x14ac:dyDescent="0.25">
      <c r="A54626" s="118"/>
      <c r="B54626" s="136"/>
    </row>
    <row r="54627" spans="1:2" x14ac:dyDescent="0.25">
      <c r="A54627" s="118"/>
      <c r="B54627" s="136"/>
    </row>
    <row r="54628" spans="1:2" x14ac:dyDescent="0.25">
      <c r="A54628" s="118"/>
      <c r="B54628" s="136"/>
    </row>
    <row r="54629" spans="1:2" x14ac:dyDescent="0.25">
      <c r="A54629" s="118"/>
      <c r="B54629" s="136"/>
    </row>
    <row r="54630" spans="1:2" x14ac:dyDescent="0.25">
      <c r="A54630" s="118"/>
      <c r="B54630" s="136"/>
    </row>
    <row r="54631" spans="1:2" x14ac:dyDescent="0.25">
      <c r="A54631" s="118"/>
      <c r="B54631" s="136"/>
    </row>
    <row r="54632" spans="1:2" x14ac:dyDescent="0.25">
      <c r="A54632" s="118"/>
      <c r="B54632" s="136"/>
    </row>
    <row r="54633" spans="1:2" x14ac:dyDescent="0.25">
      <c r="A54633" s="118"/>
      <c r="B54633" s="136"/>
    </row>
    <row r="54634" spans="1:2" x14ac:dyDescent="0.25">
      <c r="A54634" s="118"/>
      <c r="B54634" s="136"/>
    </row>
    <row r="54635" spans="1:2" x14ac:dyDescent="0.25">
      <c r="A54635" s="118"/>
      <c r="B54635" s="136"/>
    </row>
    <row r="54636" spans="1:2" x14ac:dyDescent="0.25">
      <c r="A54636" s="118"/>
      <c r="B54636" s="136"/>
    </row>
    <row r="54637" spans="1:2" x14ac:dyDescent="0.25">
      <c r="A54637" s="118"/>
      <c r="B54637" s="136"/>
    </row>
    <row r="54638" spans="1:2" x14ac:dyDescent="0.25">
      <c r="A54638" s="118"/>
      <c r="B54638" s="136"/>
    </row>
    <row r="54639" spans="1:2" x14ac:dyDescent="0.25">
      <c r="A54639" s="118"/>
      <c r="B54639" s="136"/>
    </row>
    <row r="54640" spans="1:2" x14ac:dyDescent="0.25">
      <c r="A54640" s="118"/>
      <c r="B54640" s="136"/>
    </row>
    <row r="54641" spans="1:2" x14ac:dyDescent="0.25">
      <c r="A54641" s="118"/>
      <c r="B54641" s="136"/>
    </row>
    <row r="54642" spans="1:2" x14ac:dyDescent="0.25">
      <c r="A54642" s="118"/>
      <c r="B54642" s="136"/>
    </row>
    <row r="54643" spans="1:2" x14ac:dyDescent="0.25">
      <c r="A54643" s="118"/>
      <c r="B54643" s="136"/>
    </row>
    <row r="54644" spans="1:2" x14ac:dyDescent="0.25">
      <c r="A54644" s="118"/>
      <c r="B54644" s="136"/>
    </row>
    <row r="54645" spans="1:2" x14ac:dyDescent="0.25">
      <c r="A54645" s="118"/>
      <c r="B54645" s="136"/>
    </row>
    <row r="54646" spans="1:2" x14ac:dyDescent="0.25">
      <c r="A54646" s="118"/>
      <c r="B54646" s="136"/>
    </row>
    <row r="54647" spans="1:2" x14ac:dyDescent="0.25">
      <c r="A54647" s="118"/>
      <c r="B54647" s="136"/>
    </row>
    <row r="54648" spans="1:2" x14ac:dyDescent="0.25">
      <c r="A54648" s="118"/>
      <c r="B54648" s="136"/>
    </row>
    <row r="54649" spans="1:2" x14ac:dyDescent="0.25">
      <c r="A54649" s="118"/>
      <c r="B54649" s="136"/>
    </row>
    <row r="54650" spans="1:2" x14ac:dyDescent="0.25">
      <c r="A54650" s="118"/>
      <c r="B54650" s="136"/>
    </row>
    <row r="54651" spans="1:2" x14ac:dyDescent="0.25">
      <c r="A54651" s="118"/>
      <c r="B54651" s="136"/>
    </row>
    <row r="54652" spans="1:2" x14ac:dyDescent="0.25">
      <c r="A54652" s="118"/>
      <c r="B54652" s="136"/>
    </row>
    <row r="54653" spans="1:2" x14ac:dyDescent="0.25">
      <c r="A54653" s="118"/>
      <c r="B54653" s="136"/>
    </row>
    <row r="54654" spans="1:2" x14ac:dyDescent="0.25">
      <c r="A54654" s="118"/>
      <c r="B54654" s="136"/>
    </row>
    <row r="54655" spans="1:2" x14ac:dyDescent="0.25">
      <c r="A54655" s="118"/>
      <c r="B54655" s="136"/>
    </row>
    <row r="54656" spans="1:2" x14ac:dyDescent="0.25">
      <c r="A54656" s="118"/>
      <c r="B54656" s="136"/>
    </row>
    <row r="54657" spans="1:2" x14ac:dyDescent="0.25">
      <c r="A54657" s="118"/>
      <c r="B54657" s="136"/>
    </row>
    <row r="54658" spans="1:2" x14ac:dyDescent="0.25">
      <c r="A54658" s="118"/>
      <c r="B54658" s="136"/>
    </row>
    <row r="54659" spans="1:2" x14ac:dyDescent="0.25">
      <c r="A54659" s="118"/>
      <c r="B54659" s="136"/>
    </row>
    <row r="54660" spans="1:2" x14ac:dyDescent="0.25">
      <c r="A54660" s="118"/>
      <c r="B54660" s="136"/>
    </row>
    <row r="54661" spans="1:2" x14ac:dyDescent="0.25">
      <c r="A54661" s="118"/>
      <c r="B54661" s="136"/>
    </row>
    <row r="54662" spans="1:2" x14ac:dyDescent="0.25">
      <c r="A54662" s="118"/>
      <c r="B54662" s="136"/>
    </row>
    <row r="54663" spans="1:2" x14ac:dyDescent="0.25">
      <c r="A54663" s="118"/>
      <c r="B54663" s="136"/>
    </row>
    <row r="54664" spans="1:2" x14ac:dyDescent="0.25">
      <c r="A54664" s="118"/>
      <c r="B54664" s="136"/>
    </row>
    <row r="54665" spans="1:2" x14ac:dyDescent="0.25">
      <c r="A54665" s="118"/>
      <c r="B54665" s="136"/>
    </row>
    <row r="54666" spans="1:2" x14ac:dyDescent="0.25">
      <c r="A54666" s="118"/>
      <c r="B54666" s="136"/>
    </row>
    <row r="54667" spans="1:2" x14ac:dyDescent="0.25">
      <c r="A54667" s="118"/>
      <c r="B54667" s="136"/>
    </row>
    <row r="54668" spans="1:2" x14ac:dyDescent="0.25">
      <c r="A54668" s="118"/>
      <c r="B54668" s="136"/>
    </row>
    <row r="54669" spans="1:2" x14ac:dyDescent="0.25">
      <c r="A54669" s="118"/>
      <c r="B54669" s="136"/>
    </row>
    <row r="54670" spans="1:2" x14ac:dyDescent="0.25">
      <c r="A54670" s="118"/>
      <c r="B54670" s="136"/>
    </row>
    <row r="54671" spans="1:2" x14ac:dyDescent="0.25">
      <c r="A54671" s="118"/>
      <c r="B54671" s="136"/>
    </row>
    <row r="54672" spans="1:2" x14ac:dyDescent="0.25">
      <c r="A54672" s="118"/>
      <c r="B54672" s="136"/>
    </row>
    <row r="54673" spans="1:2" x14ac:dyDescent="0.25">
      <c r="A54673" s="118"/>
      <c r="B54673" s="136"/>
    </row>
    <row r="54674" spans="1:2" x14ac:dyDescent="0.25">
      <c r="A54674" s="118"/>
      <c r="B54674" s="136"/>
    </row>
    <row r="54675" spans="1:2" x14ac:dyDescent="0.25">
      <c r="A54675" s="118"/>
      <c r="B54675" s="136"/>
    </row>
    <row r="54676" spans="1:2" x14ac:dyDescent="0.25">
      <c r="A54676" s="118"/>
      <c r="B54676" s="136"/>
    </row>
    <row r="54677" spans="1:2" x14ac:dyDescent="0.25">
      <c r="A54677" s="118"/>
      <c r="B54677" s="136"/>
    </row>
    <row r="54678" spans="1:2" x14ac:dyDescent="0.25">
      <c r="A54678" s="118"/>
      <c r="B54678" s="136"/>
    </row>
    <row r="54679" spans="1:2" x14ac:dyDescent="0.25">
      <c r="A54679" s="118"/>
      <c r="B54679" s="136"/>
    </row>
    <row r="54680" spans="1:2" x14ac:dyDescent="0.25">
      <c r="A54680" s="118"/>
      <c r="B54680" s="136"/>
    </row>
    <row r="54681" spans="1:2" x14ac:dyDescent="0.25">
      <c r="A54681" s="118"/>
      <c r="B54681" s="136"/>
    </row>
    <row r="54682" spans="1:2" x14ac:dyDescent="0.25">
      <c r="A54682" s="118"/>
      <c r="B54682" s="136"/>
    </row>
    <row r="54683" spans="1:2" x14ac:dyDescent="0.25">
      <c r="A54683" s="118"/>
      <c r="B54683" s="136"/>
    </row>
    <row r="54684" spans="1:2" x14ac:dyDescent="0.25">
      <c r="A54684" s="118"/>
      <c r="B54684" s="136"/>
    </row>
    <row r="54685" spans="1:2" x14ac:dyDescent="0.25">
      <c r="A54685" s="118"/>
      <c r="B54685" s="136"/>
    </row>
    <row r="54686" spans="1:2" x14ac:dyDescent="0.25">
      <c r="A54686" s="118"/>
      <c r="B54686" s="136"/>
    </row>
    <row r="54687" spans="1:2" x14ac:dyDescent="0.25">
      <c r="A54687" s="118"/>
      <c r="B54687" s="136"/>
    </row>
    <row r="54688" spans="1:2" x14ac:dyDescent="0.25">
      <c r="A54688" s="118"/>
      <c r="B54688" s="136"/>
    </row>
    <row r="54689" spans="1:2" x14ac:dyDescent="0.25">
      <c r="A54689" s="118"/>
      <c r="B54689" s="136"/>
    </row>
    <row r="54690" spans="1:2" x14ac:dyDescent="0.25">
      <c r="A54690" s="118"/>
      <c r="B54690" s="136"/>
    </row>
    <row r="54691" spans="1:2" x14ac:dyDescent="0.25">
      <c r="A54691" s="118"/>
      <c r="B54691" s="136"/>
    </row>
    <row r="54692" spans="1:2" x14ac:dyDescent="0.25">
      <c r="A54692" s="118"/>
      <c r="B54692" s="136"/>
    </row>
    <row r="54693" spans="1:2" x14ac:dyDescent="0.25">
      <c r="A54693" s="118"/>
      <c r="B54693" s="136"/>
    </row>
    <row r="54694" spans="1:2" x14ac:dyDescent="0.25">
      <c r="A54694" s="118"/>
      <c r="B54694" s="136"/>
    </row>
    <row r="54695" spans="1:2" x14ac:dyDescent="0.25">
      <c r="A54695" s="118"/>
      <c r="B54695" s="136"/>
    </row>
    <row r="54696" spans="1:2" x14ac:dyDescent="0.25">
      <c r="A54696" s="118"/>
      <c r="B54696" s="136"/>
    </row>
    <row r="54697" spans="1:2" x14ac:dyDescent="0.25">
      <c r="A54697" s="118"/>
      <c r="B54697" s="136"/>
    </row>
    <row r="54698" spans="1:2" x14ac:dyDescent="0.25">
      <c r="A54698" s="118"/>
      <c r="B54698" s="136"/>
    </row>
    <row r="54699" spans="1:2" x14ac:dyDescent="0.25">
      <c r="A54699" s="118"/>
      <c r="B54699" s="136"/>
    </row>
    <row r="54700" spans="1:2" x14ac:dyDescent="0.25">
      <c r="A54700" s="118"/>
      <c r="B54700" s="136"/>
    </row>
    <row r="54701" spans="1:2" x14ac:dyDescent="0.25">
      <c r="A54701" s="118"/>
      <c r="B54701" s="136"/>
    </row>
    <row r="54702" spans="1:2" x14ac:dyDescent="0.25">
      <c r="A54702" s="118"/>
      <c r="B54702" s="136"/>
    </row>
    <row r="54703" spans="1:2" x14ac:dyDescent="0.25">
      <c r="A54703" s="118"/>
      <c r="B54703" s="136"/>
    </row>
    <row r="54704" spans="1:2" x14ac:dyDescent="0.25">
      <c r="A54704" s="118"/>
      <c r="B54704" s="136"/>
    </row>
    <row r="54705" spans="1:2" x14ac:dyDescent="0.25">
      <c r="A54705" s="118"/>
      <c r="B54705" s="136"/>
    </row>
    <row r="54706" spans="1:2" x14ac:dyDescent="0.25">
      <c r="A54706" s="118"/>
      <c r="B54706" s="136"/>
    </row>
    <row r="54707" spans="1:2" x14ac:dyDescent="0.25">
      <c r="A54707" s="118"/>
      <c r="B54707" s="136"/>
    </row>
    <row r="54708" spans="1:2" x14ac:dyDescent="0.25">
      <c r="A54708" s="118"/>
      <c r="B54708" s="136"/>
    </row>
    <row r="54709" spans="1:2" x14ac:dyDescent="0.25">
      <c r="A54709" s="118"/>
      <c r="B54709" s="136"/>
    </row>
    <row r="54710" spans="1:2" x14ac:dyDescent="0.25">
      <c r="A54710" s="118"/>
      <c r="B54710" s="136"/>
    </row>
    <row r="54711" spans="1:2" x14ac:dyDescent="0.25">
      <c r="A54711" s="118"/>
      <c r="B54711" s="136"/>
    </row>
    <row r="54712" spans="1:2" x14ac:dyDescent="0.25">
      <c r="A54712" s="118"/>
      <c r="B54712" s="136"/>
    </row>
    <row r="54713" spans="1:2" x14ac:dyDescent="0.25">
      <c r="A54713" s="118"/>
      <c r="B54713" s="136"/>
    </row>
    <row r="54714" spans="1:2" x14ac:dyDescent="0.25">
      <c r="A54714" s="118"/>
      <c r="B54714" s="136"/>
    </row>
    <row r="54715" spans="1:2" x14ac:dyDescent="0.25">
      <c r="A54715" s="118"/>
      <c r="B54715" s="136"/>
    </row>
    <row r="54716" spans="1:2" x14ac:dyDescent="0.25">
      <c r="A54716" s="118"/>
      <c r="B54716" s="136"/>
    </row>
    <row r="54717" spans="1:2" x14ac:dyDescent="0.25">
      <c r="A54717" s="118"/>
      <c r="B54717" s="136"/>
    </row>
    <row r="54718" spans="1:2" x14ac:dyDescent="0.25">
      <c r="A54718" s="118"/>
      <c r="B54718" s="136"/>
    </row>
    <row r="54719" spans="1:2" x14ac:dyDescent="0.25">
      <c r="A54719" s="118"/>
      <c r="B54719" s="136"/>
    </row>
    <row r="54720" spans="1:2" x14ac:dyDescent="0.25">
      <c r="A54720" s="118"/>
      <c r="B54720" s="136"/>
    </row>
    <row r="54721" spans="1:2" x14ac:dyDescent="0.25">
      <c r="A54721" s="118"/>
      <c r="B54721" s="136"/>
    </row>
    <row r="54722" spans="1:2" x14ac:dyDescent="0.25">
      <c r="A54722" s="118"/>
      <c r="B54722" s="136"/>
    </row>
    <row r="54723" spans="1:2" x14ac:dyDescent="0.25">
      <c r="A54723" s="118"/>
      <c r="B54723" s="136"/>
    </row>
    <row r="54724" spans="1:2" x14ac:dyDescent="0.25">
      <c r="A54724" s="118"/>
      <c r="B54724" s="136"/>
    </row>
    <row r="54725" spans="1:2" x14ac:dyDescent="0.25">
      <c r="A54725" s="118"/>
      <c r="B54725" s="136"/>
    </row>
    <row r="54726" spans="1:2" x14ac:dyDescent="0.25">
      <c r="A54726" s="118"/>
      <c r="B54726" s="136"/>
    </row>
    <row r="54727" spans="1:2" x14ac:dyDescent="0.25">
      <c r="A54727" s="118"/>
      <c r="B54727" s="136"/>
    </row>
    <row r="54728" spans="1:2" x14ac:dyDescent="0.25">
      <c r="A54728" s="118"/>
      <c r="B54728" s="136"/>
    </row>
    <row r="54729" spans="1:2" x14ac:dyDescent="0.25">
      <c r="A54729" s="118"/>
      <c r="B54729" s="136"/>
    </row>
    <row r="54730" spans="1:2" x14ac:dyDescent="0.25">
      <c r="A54730" s="118"/>
      <c r="B54730" s="136"/>
    </row>
    <row r="54731" spans="1:2" x14ac:dyDescent="0.25">
      <c r="A54731" s="118"/>
      <c r="B54731" s="136"/>
    </row>
    <row r="54732" spans="1:2" x14ac:dyDescent="0.25">
      <c r="A54732" s="118"/>
      <c r="B54732" s="136"/>
    </row>
    <row r="54733" spans="1:2" x14ac:dyDescent="0.25">
      <c r="A54733" s="118"/>
      <c r="B54733" s="136"/>
    </row>
    <row r="54734" spans="1:2" x14ac:dyDescent="0.25">
      <c r="A54734" s="118"/>
      <c r="B54734" s="136"/>
    </row>
    <row r="54735" spans="1:2" x14ac:dyDescent="0.25">
      <c r="A54735" s="118"/>
      <c r="B54735" s="136"/>
    </row>
    <row r="54736" spans="1:2" x14ac:dyDescent="0.25">
      <c r="A54736" s="118"/>
      <c r="B54736" s="136"/>
    </row>
    <row r="54737" spans="1:2" x14ac:dyDescent="0.25">
      <c r="A54737" s="118"/>
      <c r="B54737" s="136"/>
    </row>
    <row r="54738" spans="1:2" x14ac:dyDescent="0.25">
      <c r="A54738" s="118"/>
      <c r="B54738" s="136"/>
    </row>
    <row r="54739" spans="1:2" x14ac:dyDescent="0.25">
      <c r="A54739" s="118"/>
      <c r="B54739" s="136"/>
    </row>
    <row r="54740" spans="1:2" x14ac:dyDescent="0.25">
      <c r="A54740" s="118"/>
      <c r="B54740" s="136"/>
    </row>
    <row r="54741" spans="1:2" x14ac:dyDescent="0.25">
      <c r="A54741" s="118"/>
      <c r="B54741" s="136"/>
    </row>
    <row r="54742" spans="1:2" x14ac:dyDescent="0.25">
      <c r="A54742" s="118"/>
      <c r="B54742" s="136"/>
    </row>
    <row r="54743" spans="1:2" x14ac:dyDescent="0.25">
      <c r="A54743" s="118"/>
      <c r="B54743" s="136"/>
    </row>
    <row r="54744" spans="1:2" x14ac:dyDescent="0.25">
      <c r="A54744" s="118"/>
      <c r="B54744" s="136"/>
    </row>
    <row r="54745" spans="1:2" x14ac:dyDescent="0.25">
      <c r="A54745" s="118"/>
      <c r="B54745" s="136"/>
    </row>
    <row r="54746" spans="1:2" x14ac:dyDescent="0.25">
      <c r="A54746" s="118"/>
      <c r="B54746" s="136"/>
    </row>
    <row r="54747" spans="1:2" x14ac:dyDescent="0.25">
      <c r="A54747" s="118"/>
      <c r="B54747" s="136"/>
    </row>
    <row r="54748" spans="1:2" x14ac:dyDescent="0.25">
      <c r="A54748" s="118"/>
      <c r="B54748" s="136"/>
    </row>
    <row r="54749" spans="1:2" x14ac:dyDescent="0.25">
      <c r="A54749" s="118"/>
      <c r="B54749" s="136"/>
    </row>
    <row r="54750" spans="1:2" x14ac:dyDescent="0.25">
      <c r="A54750" s="118"/>
      <c r="B54750" s="136"/>
    </row>
    <row r="54751" spans="1:2" x14ac:dyDescent="0.25">
      <c r="A54751" s="118"/>
      <c r="B54751" s="136"/>
    </row>
    <row r="54752" spans="1:2" x14ac:dyDescent="0.25">
      <c r="A54752" s="118"/>
      <c r="B54752" s="136"/>
    </row>
    <row r="54753" spans="1:2" x14ac:dyDescent="0.25">
      <c r="A54753" s="118"/>
      <c r="B54753" s="136"/>
    </row>
    <row r="54754" spans="1:2" x14ac:dyDescent="0.25">
      <c r="A54754" s="118"/>
      <c r="B54754" s="136"/>
    </row>
    <row r="54755" spans="1:2" x14ac:dyDescent="0.25">
      <c r="A54755" s="118"/>
      <c r="B54755" s="136"/>
    </row>
    <row r="54756" spans="1:2" x14ac:dyDescent="0.25">
      <c r="A54756" s="118"/>
      <c r="B54756" s="136"/>
    </row>
    <row r="54757" spans="1:2" x14ac:dyDescent="0.25">
      <c r="A54757" s="118"/>
      <c r="B54757" s="136"/>
    </row>
    <row r="54758" spans="1:2" x14ac:dyDescent="0.25">
      <c r="A54758" s="118"/>
      <c r="B54758" s="136"/>
    </row>
    <row r="54759" spans="1:2" x14ac:dyDescent="0.25">
      <c r="A54759" s="118"/>
      <c r="B54759" s="136"/>
    </row>
    <row r="54760" spans="1:2" x14ac:dyDescent="0.25">
      <c r="A54760" s="118"/>
      <c r="B54760" s="136"/>
    </row>
    <row r="54761" spans="1:2" x14ac:dyDescent="0.25">
      <c r="A54761" s="118"/>
      <c r="B54761" s="136"/>
    </row>
    <row r="54762" spans="1:2" x14ac:dyDescent="0.25">
      <c r="A54762" s="118"/>
      <c r="B54762" s="136"/>
    </row>
    <row r="54763" spans="1:2" x14ac:dyDescent="0.25">
      <c r="A54763" s="118"/>
      <c r="B54763" s="136"/>
    </row>
    <row r="54764" spans="1:2" x14ac:dyDescent="0.25">
      <c r="A54764" s="118"/>
      <c r="B54764" s="136"/>
    </row>
    <row r="54765" spans="1:2" x14ac:dyDescent="0.25">
      <c r="A54765" s="118"/>
      <c r="B54765" s="136"/>
    </row>
    <row r="54766" spans="1:2" x14ac:dyDescent="0.25">
      <c r="A54766" s="118"/>
      <c r="B54766" s="136"/>
    </row>
    <row r="54767" spans="1:2" x14ac:dyDescent="0.25">
      <c r="A54767" s="118"/>
      <c r="B54767" s="136"/>
    </row>
    <row r="54768" spans="1:2" x14ac:dyDescent="0.25">
      <c r="A54768" s="118"/>
      <c r="B54768" s="136"/>
    </row>
    <row r="54769" spans="1:2" x14ac:dyDescent="0.25">
      <c r="A54769" s="118"/>
      <c r="B54769" s="136"/>
    </row>
    <row r="54770" spans="1:2" x14ac:dyDescent="0.25">
      <c r="A54770" s="118"/>
      <c r="B54770" s="136"/>
    </row>
    <row r="54771" spans="1:2" x14ac:dyDescent="0.25">
      <c r="A54771" s="118"/>
      <c r="B54771" s="136"/>
    </row>
    <row r="54772" spans="1:2" x14ac:dyDescent="0.25">
      <c r="A54772" s="118"/>
      <c r="B54772" s="136"/>
    </row>
    <row r="54773" spans="1:2" x14ac:dyDescent="0.25">
      <c r="A54773" s="118"/>
      <c r="B54773" s="136"/>
    </row>
    <row r="54774" spans="1:2" x14ac:dyDescent="0.25">
      <c r="A54774" s="118"/>
      <c r="B54774" s="136"/>
    </row>
    <row r="54775" spans="1:2" x14ac:dyDescent="0.25">
      <c r="A54775" s="118"/>
      <c r="B54775" s="136"/>
    </row>
    <row r="54776" spans="1:2" x14ac:dyDescent="0.25">
      <c r="A54776" s="118"/>
      <c r="B54776" s="136"/>
    </row>
    <row r="54777" spans="1:2" x14ac:dyDescent="0.25">
      <c r="A54777" s="118"/>
      <c r="B54777" s="136"/>
    </row>
    <row r="54778" spans="1:2" x14ac:dyDescent="0.25">
      <c r="A54778" s="118"/>
      <c r="B54778" s="136"/>
    </row>
    <row r="54779" spans="1:2" x14ac:dyDescent="0.25">
      <c r="A54779" s="118"/>
      <c r="B54779" s="136"/>
    </row>
    <row r="54780" spans="1:2" x14ac:dyDescent="0.25">
      <c r="A54780" s="118"/>
      <c r="B54780" s="136"/>
    </row>
    <row r="54781" spans="1:2" x14ac:dyDescent="0.25">
      <c r="A54781" s="118"/>
      <c r="B54781" s="136"/>
    </row>
    <row r="54782" spans="1:2" x14ac:dyDescent="0.25">
      <c r="A54782" s="118"/>
      <c r="B54782" s="136"/>
    </row>
    <row r="54783" spans="1:2" x14ac:dyDescent="0.25">
      <c r="A54783" s="118"/>
      <c r="B54783" s="136"/>
    </row>
    <row r="54784" spans="1:2" x14ac:dyDescent="0.25">
      <c r="A54784" s="118"/>
      <c r="B54784" s="136"/>
    </row>
    <row r="54785" spans="1:2" x14ac:dyDescent="0.25">
      <c r="A54785" s="118"/>
      <c r="B54785" s="136"/>
    </row>
    <row r="54786" spans="1:2" x14ac:dyDescent="0.25">
      <c r="A54786" s="118"/>
      <c r="B54786" s="136"/>
    </row>
    <row r="54787" spans="1:2" x14ac:dyDescent="0.25">
      <c r="A54787" s="118"/>
      <c r="B54787" s="136"/>
    </row>
    <row r="54788" spans="1:2" x14ac:dyDescent="0.25">
      <c r="A54788" s="118"/>
      <c r="B54788" s="136"/>
    </row>
    <row r="54789" spans="1:2" x14ac:dyDescent="0.25">
      <c r="A54789" s="118"/>
      <c r="B54789" s="136"/>
    </row>
    <row r="54790" spans="1:2" x14ac:dyDescent="0.25">
      <c r="A54790" s="118"/>
      <c r="B54790" s="136"/>
    </row>
    <row r="54791" spans="1:2" x14ac:dyDescent="0.25">
      <c r="A54791" s="118"/>
      <c r="B54791" s="136"/>
    </row>
    <row r="54792" spans="1:2" x14ac:dyDescent="0.25">
      <c r="A54792" s="118"/>
      <c r="B54792" s="136"/>
    </row>
    <row r="54793" spans="1:2" x14ac:dyDescent="0.25">
      <c r="A54793" s="118"/>
      <c r="B54793" s="136"/>
    </row>
    <row r="54794" spans="1:2" x14ac:dyDescent="0.25">
      <c r="A54794" s="118"/>
      <c r="B54794" s="136"/>
    </row>
    <row r="54795" spans="1:2" x14ac:dyDescent="0.25">
      <c r="A54795" s="118"/>
      <c r="B54795" s="136"/>
    </row>
    <row r="54796" spans="1:2" x14ac:dyDescent="0.25">
      <c r="A54796" s="118"/>
      <c r="B54796" s="136"/>
    </row>
    <row r="54797" spans="1:2" x14ac:dyDescent="0.25">
      <c r="A54797" s="118"/>
      <c r="B54797" s="136"/>
    </row>
    <row r="54798" spans="1:2" x14ac:dyDescent="0.25">
      <c r="A54798" s="118"/>
      <c r="B54798" s="136"/>
    </row>
    <row r="54799" spans="1:2" x14ac:dyDescent="0.25">
      <c r="A54799" s="118"/>
      <c r="B54799" s="136"/>
    </row>
    <row r="54800" spans="1:2" x14ac:dyDescent="0.25">
      <c r="A54800" s="118"/>
      <c r="B54800" s="136"/>
    </row>
    <row r="54801" spans="1:2" x14ac:dyDescent="0.25">
      <c r="A54801" s="118"/>
      <c r="B54801" s="136"/>
    </row>
    <row r="54802" spans="1:2" x14ac:dyDescent="0.25">
      <c r="A54802" s="118"/>
      <c r="B54802" s="136"/>
    </row>
    <row r="54803" spans="1:2" x14ac:dyDescent="0.25">
      <c r="A54803" s="118"/>
      <c r="B54803" s="136"/>
    </row>
    <row r="54804" spans="1:2" x14ac:dyDescent="0.25">
      <c r="A54804" s="118"/>
      <c r="B54804" s="136"/>
    </row>
    <row r="54805" spans="1:2" x14ac:dyDescent="0.25">
      <c r="A54805" s="118"/>
      <c r="B54805" s="136"/>
    </row>
    <row r="54806" spans="1:2" x14ac:dyDescent="0.25">
      <c r="A54806" s="118"/>
      <c r="B54806" s="136"/>
    </row>
    <row r="54807" spans="1:2" x14ac:dyDescent="0.25">
      <c r="A54807" s="118"/>
      <c r="B54807" s="136"/>
    </row>
    <row r="54808" spans="1:2" x14ac:dyDescent="0.25">
      <c r="A54808" s="118"/>
      <c r="B54808" s="136"/>
    </row>
    <row r="54809" spans="1:2" x14ac:dyDescent="0.25">
      <c r="A54809" s="118"/>
      <c r="B54809" s="136"/>
    </row>
    <row r="54810" spans="1:2" x14ac:dyDescent="0.25">
      <c r="A54810" s="118"/>
      <c r="B54810" s="136"/>
    </row>
    <row r="54811" spans="1:2" x14ac:dyDescent="0.25">
      <c r="A54811" s="118"/>
      <c r="B54811" s="136"/>
    </row>
    <row r="54812" spans="1:2" x14ac:dyDescent="0.25">
      <c r="A54812" s="118"/>
      <c r="B54812" s="136"/>
    </row>
    <row r="54813" spans="1:2" x14ac:dyDescent="0.25">
      <c r="A54813" s="118"/>
      <c r="B54813" s="136"/>
    </row>
    <row r="54814" spans="1:2" x14ac:dyDescent="0.25">
      <c r="A54814" s="118"/>
      <c r="B54814" s="136"/>
    </row>
    <row r="54815" spans="1:2" x14ac:dyDescent="0.25">
      <c r="A54815" s="118"/>
      <c r="B54815" s="136"/>
    </row>
    <row r="54816" spans="1:2" x14ac:dyDescent="0.25">
      <c r="A54816" s="118"/>
      <c r="B54816" s="136"/>
    </row>
    <row r="54817" spans="1:2" x14ac:dyDescent="0.25">
      <c r="A54817" s="118"/>
      <c r="B54817" s="136"/>
    </row>
    <row r="54818" spans="1:2" x14ac:dyDescent="0.25">
      <c r="A54818" s="118"/>
      <c r="B54818" s="136"/>
    </row>
    <row r="54819" spans="1:2" x14ac:dyDescent="0.25">
      <c r="A54819" s="118"/>
      <c r="B54819" s="136"/>
    </row>
    <row r="54820" spans="1:2" x14ac:dyDescent="0.25">
      <c r="A54820" s="118"/>
      <c r="B54820" s="136"/>
    </row>
    <row r="54821" spans="1:2" x14ac:dyDescent="0.25">
      <c r="A54821" s="118"/>
      <c r="B54821" s="136"/>
    </row>
    <row r="54822" spans="1:2" x14ac:dyDescent="0.25">
      <c r="A54822" s="118"/>
      <c r="B54822" s="136"/>
    </row>
    <row r="54823" spans="1:2" x14ac:dyDescent="0.25">
      <c r="A54823" s="118"/>
      <c r="B54823" s="136"/>
    </row>
    <row r="54824" spans="1:2" x14ac:dyDescent="0.25">
      <c r="A54824" s="118"/>
      <c r="B54824" s="136"/>
    </row>
    <row r="54825" spans="1:2" x14ac:dyDescent="0.25">
      <c r="A54825" s="118"/>
      <c r="B54825" s="136"/>
    </row>
    <row r="54826" spans="1:2" x14ac:dyDescent="0.25">
      <c r="A54826" s="118"/>
      <c r="B54826" s="136"/>
    </row>
    <row r="54827" spans="1:2" x14ac:dyDescent="0.25">
      <c r="A54827" s="118"/>
      <c r="B54827" s="136"/>
    </row>
    <row r="54828" spans="1:2" x14ac:dyDescent="0.25">
      <c r="A54828" s="118"/>
      <c r="B54828" s="136"/>
    </row>
    <row r="54829" spans="1:2" x14ac:dyDescent="0.25">
      <c r="A54829" s="118"/>
      <c r="B54829" s="136"/>
    </row>
    <row r="54830" spans="1:2" x14ac:dyDescent="0.25">
      <c r="A54830" s="118"/>
      <c r="B54830" s="136"/>
    </row>
    <row r="54831" spans="1:2" x14ac:dyDescent="0.25">
      <c r="A54831" s="118"/>
      <c r="B54831" s="136"/>
    </row>
    <row r="54832" spans="1:2" x14ac:dyDescent="0.25">
      <c r="A54832" s="118"/>
      <c r="B54832" s="136"/>
    </row>
    <row r="54833" spans="1:2" x14ac:dyDescent="0.25">
      <c r="A54833" s="118"/>
      <c r="B54833" s="136"/>
    </row>
    <row r="54834" spans="1:2" x14ac:dyDescent="0.25">
      <c r="A54834" s="118"/>
      <c r="B54834" s="136"/>
    </row>
    <row r="54835" spans="1:2" x14ac:dyDescent="0.25">
      <c r="A54835" s="118"/>
      <c r="B54835" s="136"/>
    </row>
    <row r="54836" spans="1:2" x14ac:dyDescent="0.25">
      <c r="A54836" s="118"/>
      <c r="B54836" s="136"/>
    </row>
    <row r="54837" spans="1:2" x14ac:dyDescent="0.25">
      <c r="A54837" s="118"/>
      <c r="B54837" s="136"/>
    </row>
    <row r="54838" spans="1:2" x14ac:dyDescent="0.25">
      <c r="A54838" s="118"/>
      <c r="B54838" s="136"/>
    </row>
    <row r="54839" spans="1:2" x14ac:dyDescent="0.25">
      <c r="A54839" s="118"/>
      <c r="B54839" s="136"/>
    </row>
    <row r="54840" spans="1:2" x14ac:dyDescent="0.25">
      <c r="A54840" s="118"/>
      <c r="B54840" s="136"/>
    </row>
    <row r="54841" spans="1:2" x14ac:dyDescent="0.25">
      <c r="A54841" s="118"/>
      <c r="B54841" s="136"/>
    </row>
    <row r="54842" spans="1:2" x14ac:dyDescent="0.25">
      <c r="A54842" s="118"/>
      <c r="B54842" s="136"/>
    </row>
    <row r="54843" spans="1:2" x14ac:dyDescent="0.25">
      <c r="A54843" s="118"/>
      <c r="B54843" s="136"/>
    </row>
    <row r="54844" spans="1:2" x14ac:dyDescent="0.25">
      <c r="A54844" s="118"/>
      <c r="B54844" s="136"/>
    </row>
    <row r="54845" spans="1:2" x14ac:dyDescent="0.25">
      <c r="A54845" s="118"/>
      <c r="B54845" s="136"/>
    </row>
    <row r="54846" spans="1:2" x14ac:dyDescent="0.25">
      <c r="A54846" s="118"/>
      <c r="B54846" s="136"/>
    </row>
    <row r="54847" spans="1:2" x14ac:dyDescent="0.25">
      <c r="A54847" s="118"/>
      <c r="B54847" s="136"/>
    </row>
    <row r="54848" spans="1:2" x14ac:dyDescent="0.25">
      <c r="A54848" s="118"/>
      <c r="B54848" s="136"/>
    </row>
    <row r="54849" spans="1:2" x14ac:dyDescent="0.25">
      <c r="A54849" s="118"/>
      <c r="B54849" s="136"/>
    </row>
    <row r="54850" spans="1:2" x14ac:dyDescent="0.25">
      <c r="A54850" s="118"/>
      <c r="B54850" s="136"/>
    </row>
    <row r="54851" spans="1:2" x14ac:dyDescent="0.25">
      <c r="A54851" s="118"/>
      <c r="B54851" s="136"/>
    </row>
    <row r="54852" spans="1:2" x14ac:dyDescent="0.25">
      <c r="A54852" s="118"/>
      <c r="B54852" s="136"/>
    </row>
    <row r="54853" spans="1:2" x14ac:dyDescent="0.25">
      <c r="A54853" s="118"/>
      <c r="B54853" s="136"/>
    </row>
    <row r="54854" spans="1:2" x14ac:dyDescent="0.25">
      <c r="A54854" s="118"/>
      <c r="B54854" s="136"/>
    </row>
    <row r="54855" spans="1:2" x14ac:dyDescent="0.25">
      <c r="A54855" s="118"/>
      <c r="B54855" s="136"/>
    </row>
    <row r="54856" spans="1:2" x14ac:dyDescent="0.25">
      <c r="A54856" s="118"/>
      <c r="B54856" s="136"/>
    </row>
    <row r="54857" spans="1:2" x14ac:dyDescent="0.25">
      <c r="A54857" s="118"/>
      <c r="B54857" s="136"/>
    </row>
    <row r="54858" spans="1:2" x14ac:dyDescent="0.25">
      <c r="A54858" s="118"/>
      <c r="B54858" s="136"/>
    </row>
    <row r="54859" spans="1:2" x14ac:dyDescent="0.25">
      <c r="A54859" s="118"/>
      <c r="B54859" s="136"/>
    </row>
    <row r="54860" spans="1:2" x14ac:dyDescent="0.25">
      <c r="A54860" s="118"/>
      <c r="B54860" s="136"/>
    </row>
    <row r="54861" spans="1:2" x14ac:dyDescent="0.25">
      <c r="A54861" s="118"/>
      <c r="B54861" s="136"/>
    </row>
    <row r="54862" spans="1:2" x14ac:dyDescent="0.25">
      <c r="A54862" s="118"/>
      <c r="B54862" s="136"/>
    </row>
    <row r="54863" spans="1:2" x14ac:dyDescent="0.25">
      <c r="A54863" s="118"/>
      <c r="B54863" s="136"/>
    </row>
    <row r="54864" spans="1:2" x14ac:dyDescent="0.25">
      <c r="A54864" s="118"/>
      <c r="B54864" s="136"/>
    </row>
    <row r="54865" spans="1:2" x14ac:dyDescent="0.25">
      <c r="A54865" s="118"/>
      <c r="B54865" s="136"/>
    </row>
    <row r="54866" spans="1:2" x14ac:dyDescent="0.25">
      <c r="A54866" s="118"/>
      <c r="B54866" s="136"/>
    </row>
    <row r="54867" spans="1:2" x14ac:dyDescent="0.25">
      <c r="A54867" s="118"/>
      <c r="B54867" s="136"/>
    </row>
    <row r="54868" spans="1:2" x14ac:dyDescent="0.25">
      <c r="A54868" s="118"/>
      <c r="B54868" s="136"/>
    </row>
    <row r="54869" spans="1:2" x14ac:dyDescent="0.25">
      <c r="A54869" s="118"/>
      <c r="B54869" s="136"/>
    </row>
    <row r="54870" spans="1:2" x14ac:dyDescent="0.25">
      <c r="A54870" s="118"/>
      <c r="B54870" s="136"/>
    </row>
    <row r="54871" spans="1:2" x14ac:dyDescent="0.25">
      <c r="A54871" s="118"/>
      <c r="B54871" s="136"/>
    </row>
    <row r="54872" spans="1:2" x14ac:dyDescent="0.25">
      <c r="A54872" s="118"/>
      <c r="B54872" s="136"/>
    </row>
    <row r="54873" spans="1:2" x14ac:dyDescent="0.25">
      <c r="A54873" s="118"/>
      <c r="B54873" s="136"/>
    </row>
    <row r="54874" spans="1:2" x14ac:dyDescent="0.25">
      <c r="A54874" s="118"/>
      <c r="B54874" s="136"/>
    </row>
    <row r="54875" spans="1:2" x14ac:dyDescent="0.25">
      <c r="A54875" s="118"/>
      <c r="B54875" s="136"/>
    </row>
    <row r="54876" spans="1:2" x14ac:dyDescent="0.25">
      <c r="A54876" s="118"/>
      <c r="B54876" s="136"/>
    </row>
    <row r="54877" spans="1:2" x14ac:dyDescent="0.25">
      <c r="A54877" s="118"/>
      <c r="B54877" s="136"/>
    </row>
    <row r="54878" spans="1:2" x14ac:dyDescent="0.25">
      <c r="A54878" s="118"/>
      <c r="B54878" s="136"/>
    </row>
    <row r="54879" spans="1:2" x14ac:dyDescent="0.25">
      <c r="A54879" s="118"/>
      <c r="B54879" s="136"/>
    </row>
    <row r="54880" spans="1:2" x14ac:dyDescent="0.25">
      <c r="A54880" s="118"/>
      <c r="B54880" s="136"/>
    </row>
    <row r="54881" spans="1:2" x14ac:dyDescent="0.25">
      <c r="A54881" s="118"/>
      <c r="B54881" s="136"/>
    </row>
    <row r="54882" spans="1:2" x14ac:dyDescent="0.25">
      <c r="A54882" s="118"/>
      <c r="B54882" s="136"/>
    </row>
    <row r="54883" spans="1:2" x14ac:dyDescent="0.25">
      <c r="A54883" s="118"/>
      <c r="B54883" s="136"/>
    </row>
    <row r="54884" spans="1:2" x14ac:dyDescent="0.25">
      <c r="A54884" s="118"/>
      <c r="B54884" s="136"/>
    </row>
    <row r="54885" spans="1:2" x14ac:dyDescent="0.25">
      <c r="A54885" s="118"/>
      <c r="B54885" s="136"/>
    </row>
    <row r="54886" spans="1:2" x14ac:dyDescent="0.25">
      <c r="A54886" s="118"/>
      <c r="B54886" s="136"/>
    </row>
    <row r="54887" spans="1:2" x14ac:dyDescent="0.25">
      <c r="A54887" s="118"/>
      <c r="B54887" s="136"/>
    </row>
    <row r="54888" spans="1:2" x14ac:dyDescent="0.25">
      <c r="A54888" s="118"/>
      <c r="B54888" s="136"/>
    </row>
    <row r="54889" spans="1:2" x14ac:dyDescent="0.25">
      <c r="A54889" s="118"/>
      <c r="B54889" s="136"/>
    </row>
    <row r="54890" spans="1:2" x14ac:dyDescent="0.25">
      <c r="A54890" s="118"/>
      <c r="B54890" s="136"/>
    </row>
    <row r="54891" spans="1:2" x14ac:dyDescent="0.25">
      <c r="A54891" s="118"/>
      <c r="B54891" s="136"/>
    </row>
    <row r="54892" spans="1:2" x14ac:dyDescent="0.25">
      <c r="A54892" s="118"/>
      <c r="B54892" s="136"/>
    </row>
    <row r="54893" spans="1:2" x14ac:dyDescent="0.25">
      <c r="A54893" s="118"/>
      <c r="B54893" s="136"/>
    </row>
    <row r="54894" spans="1:2" x14ac:dyDescent="0.25">
      <c r="A54894" s="118"/>
      <c r="B54894" s="136"/>
    </row>
    <row r="54895" spans="1:2" x14ac:dyDescent="0.25">
      <c r="A54895" s="118"/>
      <c r="B54895" s="136"/>
    </row>
    <row r="54896" spans="1:2" x14ac:dyDescent="0.25">
      <c r="A54896" s="118"/>
      <c r="B54896" s="136"/>
    </row>
    <row r="54897" spans="1:2" x14ac:dyDescent="0.25">
      <c r="A54897" s="118"/>
      <c r="B54897" s="136"/>
    </row>
    <row r="54898" spans="1:2" x14ac:dyDescent="0.25">
      <c r="A54898" s="118"/>
      <c r="B54898" s="136"/>
    </row>
    <row r="54899" spans="1:2" x14ac:dyDescent="0.25">
      <c r="A54899" s="118"/>
      <c r="B54899" s="136"/>
    </row>
    <row r="54900" spans="1:2" x14ac:dyDescent="0.25">
      <c r="A54900" s="118"/>
      <c r="B54900" s="136"/>
    </row>
    <row r="54901" spans="1:2" x14ac:dyDescent="0.25">
      <c r="A54901" s="118"/>
      <c r="B54901" s="136"/>
    </row>
    <row r="54902" spans="1:2" x14ac:dyDescent="0.25">
      <c r="A54902" s="118"/>
      <c r="B54902" s="136"/>
    </row>
    <row r="54903" spans="1:2" x14ac:dyDescent="0.25">
      <c r="A54903" s="118"/>
      <c r="B54903" s="136"/>
    </row>
    <row r="54904" spans="1:2" x14ac:dyDescent="0.25">
      <c r="A54904" s="118"/>
      <c r="B54904" s="136"/>
    </row>
    <row r="54905" spans="1:2" x14ac:dyDescent="0.25">
      <c r="A54905" s="118"/>
      <c r="B54905" s="136"/>
    </row>
    <row r="54906" spans="1:2" x14ac:dyDescent="0.25">
      <c r="A54906" s="118"/>
      <c r="B54906" s="136"/>
    </row>
    <row r="54907" spans="1:2" x14ac:dyDescent="0.25">
      <c r="A54907" s="118"/>
      <c r="B54907" s="136"/>
    </row>
    <row r="54908" spans="1:2" x14ac:dyDescent="0.25">
      <c r="A54908" s="118"/>
      <c r="B54908" s="136"/>
    </row>
    <row r="54909" spans="1:2" x14ac:dyDescent="0.25">
      <c r="A54909" s="118"/>
      <c r="B54909" s="136"/>
    </row>
    <row r="54910" spans="1:2" x14ac:dyDescent="0.25">
      <c r="A54910" s="118"/>
      <c r="B54910" s="136"/>
    </row>
    <row r="54911" spans="1:2" x14ac:dyDescent="0.25">
      <c r="A54911" s="118"/>
      <c r="B54911" s="136"/>
    </row>
    <row r="54912" spans="1:2" x14ac:dyDescent="0.25">
      <c r="A54912" s="118"/>
      <c r="B54912" s="136"/>
    </row>
    <row r="54913" spans="1:2" x14ac:dyDescent="0.25">
      <c r="A54913" s="118"/>
      <c r="B54913" s="136"/>
    </row>
    <row r="54914" spans="1:2" x14ac:dyDescent="0.25">
      <c r="A54914" s="118"/>
      <c r="B54914" s="136"/>
    </row>
    <row r="54915" spans="1:2" x14ac:dyDescent="0.25">
      <c r="A54915" s="118"/>
      <c r="B54915" s="136"/>
    </row>
    <row r="54916" spans="1:2" x14ac:dyDescent="0.25">
      <c r="A54916" s="118"/>
      <c r="B54916" s="136"/>
    </row>
    <row r="54917" spans="1:2" x14ac:dyDescent="0.25">
      <c r="A54917" s="118"/>
      <c r="B54917" s="136"/>
    </row>
    <row r="54918" spans="1:2" x14ac:dyDescent="0.25">
      <c r="A54918" s="118"/>
      <c r="B54918" s="136"/>
    </row>
    <row r="54919" spans="1:2" x14ac:dyDescent="0.25">
      <c r="A54919" s="118"/>
      <c r="B54919" s="136"/>
    </row>
    <row r="54920" spans="1:2" x14ac:dyDescent="0.25">
      <c r="A54920" s="118"/>
      <c r="B54920" s="136"/>
    </row>
    <row r="54921" spans="1:2" x14ac:dyDescent="0.25">
      <c r="A54921" s="118"/>
      <c r="B54921" s="136"/>
    </row>
    <row r="54922" spans="1:2" x14ac:dyDescent="0.25">
      <c r="A54922" s="118"/>
      <c r="B54922" s="136"/>
    </row>
    <row r="54923" spans="1:2" x14ac:dyDescent="0.25">
      <c r="A54923" s="118"/>
      <c r="B54923" s="136"/>
    </row>
    <row r="54924" spans="1:2" x14ac:dyDescent="0.25">
      <c r="A54924" s="118"/>
      <c r="B54924" s="136"/>
    </row>
    <row r="54925" spans="1:2" x14ac:dyDescent="0.25">
      <c r="A54925" s="118"/>
      <c r="B54925" s="136"/>
    </row>
    <row r="54926" spans="1:2" x14ac:dyDescent="0.25">
      <c r="A54926" s="118"/>
      <c r="B54926" s="136"/>
    </row>
    <row r="54927" spans="1:2" x14ac:dyDescent="0.25">
      <c r="A54927" s="118"/>
      <c r="B54927" s="136"/>
    </row>
    <row r="54928" spans="1:2" x14ac:dyDescent="0.25">
      <c r="A54928" s="118"/>
      <c r="B54928" s="136"/>
    </row>
    <row r="54929" spans="1:2" x14ac:dyDescent="0.25">
      <c r="A54929" s="118"/>
      <c r="B54929" s="136"/>
    </row>
    <row r="54930" spans="1:2" x14ac:dyDescent="0.25">
      <c r="A54930" s="118"/>
      <c r="B54930" s="136"/>
    </row>
    <row r="54931" spans="1:2" x14ac:dyDescent="0.25">
      <c r="A54931" s="118"/>
      <c r="B54931" s="136"/>
    </row>
    <row r="54932" spans="1:2" x14ac:dyDescent="0.25">
      <c r="A54932" s="118"/>
      <c r="B54932" s="136"/>
    </row>
    <row r="54933" spans="1:2" x14ac:dyDescent="0.25">
      <c r="A54933" s="118"/>
      <c r="B54933" s="136"/>
    </row>
    <row r="54934" spans="1:2" x14ac:dyDescent="0.25">
      <c r="A54934" s="118"/>
      <c r="B54934" s="136"/>
    </row>
    <row r="54935" spans="1:2" x14ac:dyDescent="0.25">
      <c r="A54935" s="118"/>
      <c r="B54935" s="136"/>
    </row>
    <row r="54936" spans="1:2" x14ac:dyDescent="0.25">
      <c r="A54936" s="118"/>
      <c r="B54936" s="136"/>
    </row>
    <row r="54937" spans="1:2" x14ac:dyDescent="0.25">
      <c r="A54937" s="118"/>
      <c r="B54937" s="136"/>
    </row>
    <row r="54938" spans="1:2" x14ac:dyDescent="0.25">
      <c r="A54938" s="118"/>
      <c r="B54938" s="136"/>
    </row>
    <row r="54939" spans="1:2" x14ac:dyDescent="0.25">
      <c r="A54939" s="118"/>
      <c r="B54939" s="136"/>
    </row>
    <row r="54940" spans="1:2" x14ac:dyDescent="0.25">
      <c r="A54940" s="118"/>
      <c r="B54940" s="136"/>
    </row>
    <row r="54941" spans="1:2" x14ac:dyDescent="0.25">
      <c r="A54941" s="118"/>
      <c r="B54941" s="136"/>
    </row>
    <row r="54942" spans="1:2" x14ac:dyDescent="0.25">
      <c r="A54942" s="118"/>
      <c r="B54942" s="136"/>
    </row>
    <row r="54943" spans="1:2" x14ac:dyDescent="0.25">
      <c r="A54943" s="118"/>
      <c r="B54943" s="136"/>
    </row>
    <row r="54944" spans="1:2" x14ac:dyDescent="0.25">
      <c r="A54944" s="118"/>
      <c r="B54944" s="136"/>
    </row>
    <row r="54945" spans="1:2" x14ac:dyDescent="0.25">
      <c r="A54945" s="118"/>
      <c r="B54945" s="136"/>
    </row>
    <row r="54946" spans="1:2" x14ac:dyDescent="0.25">
      <c r="A54946" s="118"/>
      <c r="B54946" s="136"/>
    </row>
    <row r="54947" spans="1:2" x14ac:dyDescent="0.25">
      <c r="A54947" s="118"/>
      <c r="B54947" s="136"/>
    </row>
    <row r="54948" spans="1:2" x14ac:dyDescent="0.25">
      <c r="A54948" s="118"/>
      <c r="B54948" s="136"/>
    </row>
    <row r="54949" spans="1:2" x14ac:dyDescent="0.25">
      <c r="A54949" s="118"/>
      <c r="B54949" s="136"/>
    </row>
    <row r="54950" spans="1:2" x14ac:dyDescent="0.25">
      <c r="A54950" s="118"/>
      <c r="B54950" s="136"/>
    </row>
    <row r="54951" spans="1:2" x14ac:dyDescent="0.25">
      <c r="A54951" s="118"/>
      <c r="B54951" s="136"/>
    </row>
    <row r="54952" spans="1:2" x14ac:dyDescent="0.25">
      <c r="A54952" s="118"/>
      <c r="B54952" s="136"/>
    </row>
    <row r="54953" spans="1:2" x14ac:dyDescent="0.25">
      <c r="A54953" s="118"/>
      <c r="B54953" s="136"/>
    </row>
    <row r="54954" spans="1:2" x14ac:dyDescent="0.25">
      <c r="A54954" s="118"/>
      <c r="B54954" s="136"/>
    </row>
    <row r="54955" spans="1:2" x14ac:dyDescent="0.25">
      <c r="A54955" s="118"/>
      <c r="B54955" s="136"/>
    </row>
    <row r="54956" spans="1:2" x14ac:dyDescent="0.25">
      <c r="A54956" s="118"/>
      <c r="B54956" s="136"/>
    </row>
    <row r="54957" spans="1:2" x14ac:dyDescent="0.25">
      <c r="A54957" s="118"/>
      <c r="B54957" s="136"/>
    </row>
    <row r="54958" spans="1:2" x14ac:dyDescent="0.25">
      <c r="A54958" s="118"/>
      <c r="B54958" s="136"/>
    </row>
    <row r="54959" spans="1:2" x14ac:dyDescent="0.25">
      <c r="A54959" s="118"/>
      <c r="B54959" s="136"/>
    </row>
    <row r="54960" spans="1:2" x14ac:dyDescent="0.25">
      <c r="A54960" s="118"/>
      <c r="B54960" s="136"/>
    </row>
    <row r="54961" spans="1:2" x14ac:dyDescent="0.25">
      <c r="A54961" s="118"/>
      <c r="B54961" s="136"/>
    </row>
    <row r="54962" spans="1:2" x14ac:dyDescent="0.25">
      <c r="A54962" s="118"/>
      <c r="B54962" s="136"/>
    </row>
    <row r="54963" spans="1:2" x14ac:dyDescent="0.25">
      <c r="A54963" s="118"/>
      <c r="B54963" s="136"/>
    </row>
    <row r="54964" spans="1:2" x14ac:dyDescent="0.25">
      <c r="A54964" s="118"/>
      <c r="B54964" s="136"/>
    </row>
    <row r="54965" spans="1:2" x14ac:dyDescent="0.25">
      <c r="A54965" s="118"/>
      <c r="B54965" s="136"/>
    </row>
    <row r="54966" spans="1:2" x14ac:dyDescent="0.25">
      <c r="A54966" s="118"/>
      <c r="B54966" s="136"/>
    </row>
    <row r="54967" spans="1:2" x14ac:dyDescent="0.25">
      <c r="A54967" s="118"/>
      <c r="B54967" s="136"/>
    </row>
    <row r="54968" spans="1:2" x14ac:dyDescent="0.25">
      <c r="A54968" s="118"/>
      <c r="B54968" s="136"/>
    </row>
    <row r="54969" spans="1:2" x14ac:dyDescent="0.25">
      <c r="A54969" s="118"/>
      <c r="B54969" s="136"/>
    </row>
    <row r="54970" spans="1:2" x14ac:dyDescent="0.25">
      <c r="A54970" s="118"/>
      <c r="B54970" s="136"/>
    </row>
    <row r="54971" spans="1:2" x14ac:dyDescent="0.25">
      <c r="A54971" s="118"/>
      <c r="B54971" s="136"/>
    </row>
    <row r="54972" spans="1:2" x14ac:dyDescent="0.25">
      <c r="A54972" s="118"/>
      <c r="B54972" s="136"/>
    </row>
    <row r="54973" spans="1:2" x14ac:dyDescent="0.25">
      <c r="A54973" s="118"/>
      <c r="B54973" s="136"/>
    </row>
    <row r="54974" spans="1:2" x14ac:dyDescent="0.25">
      <c r="A54974" s="118"/>
      <c r="B54974" s="136"/>
    </row>
    <row r="54975" spans="1:2" x14ac:dyDescent="0.25">
      <c r="A54975" s="118"/>
      <c r="B54975" s="136"/>
    </row>
    <row r="54976" spans="1:2" x14ac:dyDescent="0.25">
      <c r="A54976" s="118"/>
      <c r="B54976" s="136"/>
    </row>
    <row r="54977" spans="1:2" x14ac:dyDescent="0.25">
      <c r="A54977" s="118"/>
      <c r="B54977" s="136"/>
    </row>
    <row r="54978" spans="1:2" x14ac:dyDescent="0.25">
      <c r="A54978" s="118"/>
      <c r="B54978" s="136"/>
    </row>
    <row r="54979" spans="1:2" x14ac:dyDescent="0.25">
      <c r="A54979" s="118"/>
      <c r="B54979" s="136"/>
    </row>
    <row r="54980" spans="1:2" x14ac:dyDescent="0.25">
      <c r="A54980" s="118"/>
      <c r="B54980" s="136"/>
    </row>
    <row r="54981" spans="1:2" x14ac:dyDescent="0.25">
      <c r="A54981" s="118"/>
      <c r="B54981" s="136"/>
    </row>
    <row r="54982" spans="1:2" x14ac:dyDescent="0.25">
      <c r="A54982" s="118"/>
      <c r="B54982" s="136"/>
    </row>
    <row r="54983" spans="1:2" x14ac:dyDescent="0.25">
      <c r="A54983" s="118"/>
      <c r="B54983" s="136"/>
    </row>
    <row r="54984" spans="1:2" x14ac:dyDescent="0.25">
      <c r="A54984" s="118"/>
      <c r="B54984" s="136"/>
    </row>
    <row r="54985" spans="1:2" x14ac:dyDescent="0.25">
      <c r="A54985" s="118"/>
      <c r="B54985" s="136"/>
    </row>
    <row r="54986" spans="1:2" x14ac:dyDescent="0.25">
      <c r="A54986" s="118"/>
      <c r="B54986" s="136"/>
    </row>
    <row r="54987" spans="1:2" x14ac:dyDescent="0.25">
      <c r="A54987" s="118"/>
      <c r="B54987" s="136"/>
    </row>
    <row r="54988" spans="1:2" x14ac:dyDescent="0.25">
      <c r="A54988" s="118"/>
      <c r="B54988" s="136"/>
    </row>
    <row r="54989" spans="1:2" x14ac:dyDescent="0.25">
      <c r="A54989" s="118"/>
      <c r="B54989" s="136"/>
    </row>
    <row r="54990" spans="1:2" x14ac:dyDescent="0.25">
      <c r="A54990" s="118"/>
      <c r="B54990" s="136"/>
    </row>
    <row r="54991" spans="1:2" x14ac:dyDescent="0.25">
      <c r="A54991" s="118"/>
      <c r="B54991" s="136"/>
    </row>
    <row r="54992" spans="1:2" x14ac:dyDescent="0.25">
      <c r="A54992" s="118"/>
      <c r="B54992" s="136"/>
    </row>
    <row r="54993" spans="1:2" x14ac:dyDescent="0.25">
      <c r="A54993" s="118"/>
      <c r="B54993" s="136"/>
    </row>
    <row r="54994" spans="1:2" x14ac:dyDescent="0.25">
      <c r="A54994" s="118"/>
      <c r="B54994" s="136"/>
    </row>
    <row r="54995" spans="1:2" x14ac:dyDescent="0.25">
      <c r="A54995" s="118"/>
      <c r="B54995" s="136"/>
    </row>
    <row r="54996" spans="1:2" x14ac:dyDescent="0.25">
      <c r="A54996" s="118"/>
      <c r="B54996" s="136"/>
    </row>
    <row r="54997" spans="1:2" x14ac:dyDescent="0.25">
      <c r="A54997" s="118"/>
      <c r="B54997" s="136"/>
    </row>
    <row r="54998" spans="1:2" x14ac:dyDescent="0.25">
      <c r="A54998" s="118"/>
      <c r="B54998" s="136"/>
    </row>
    <row r="54999" spans="1:2" x14ac:dyDescent="0.25">
      <c r="A54999" s="118"/>
      <c r="B54999" s="136"/>
    </row>
    <row r="55000" spans="1:2" x14ac:dyDescent="0.25">
      <c r="A55000" s="118"/>
      <c r="B55000" s="136"/>
    </row>
    <row r="55001" spans="1:2" x14ac:dyDescent="0.25">
      <c r="A55001" s="118"/>
      <c r="B55001" s="136"/>
    </row>
    <row r="55002" spans="1:2" x14ac:dyDescent="0.25">
      <c r="A55002" s="118"/>
      <c r="B55002" s="136"/>
    </row>
    <row r="55003" spans="1:2" x14ac:dyDescent="0.25">
      <c r="A55003" s="118"/>
      <c r="B55003" s="136"/>
    </row>
    <row r="55004" spans="1:2" x14ac:dyDescent="0.25">
      <c r="A55004" s="118"/>
      <c r="B55004" s="136"/>
    </row>
    <row r="55005" spans="1:2" x14ac:dyDescent="0.25">
      <c r="A55005" s="118"/>
      <c r="B55005" s="136"/>
    </row>
    <row r="55006" spans="1:2" x14ac:dyDescent="0.25">
      <c r="A55006" s="118"/>
      <c r="B55006" s="136"/>
    </row>
    <row r="55007" spans="1:2" x14ac:dyDescent="0.25">
      <c r="A55007" s="118"/>
      <c r="B55007" s="136"/>
    </row>
    <row r="55008" spans="1:2" x14ac:dyDescent="0.25">
      <c r="A55008" s="118"/>
      <c r="B55008" s="136"/>
    </row>
    <row r="55009" spans="1:2" x14ac:dyDescent="0.25">
      <c r="A55009" s="118"/>
      <c r="B55009" s="136"/>
    </row>
    <row r="55010" spans="1:2" x14ac:dyDescent="0.25">
      <c r="A55010" s="118"/>
      <c r="B55010" s="136"/>
    </row>
    <row r="55011" spans="1:2" x14ac:dyDescent="0.25">
      <c r="A55011" s="118"/>
      <c r="B55011" s="136"/>
    </row>
    <row r="55012" spans="1:2" x14ac:dyDescent="0.25">
      <c r="A55012" s="118"/>
      <c r="B55012" s="136"/>
    </row>
    <row r="55013" spans="1:2" x14ac:dyDescent="0.25">
      <c r="A55013" s="118"/>
      <c r="B55013" s="136"/>
    </row>
    <row r="55014" spans="1:2" x14ac:dyDescent="0.25">
      <c r="A55014" s="118"/>
      <c r="B55014" s="136"/>
    </row>
    <row r="55015" spans="1:2" x14ac:dyDescent="0.25">
      <c r="A55015" s="118"/>
      <c r="B55015" s="136"/>
    </row>
    <row r="55016" spans="1:2" x14ac:dyDescent="0.25">
      <c r="A55016" s="118"/>
      <c r="B55016" s="136"/>
    </row>
    <row r="55017" spans="1:2" x14ac:dyDescent="0.25">
      <c r="A55017" s="118"/>
      <c r="B55017" s="136"/>
    </row>
    <row r="55018" spans="1:2" x14ac:dyDescent="0.25">
      <c r="A55018" s="118"/>
      <c r="B55018" s="136"/>
    </row>
    <row r="55019" spans="1:2" x14ac:dyDescent="0.25">
      <c r="A55019" s="118"/>
      <c r="B55019" s="136"/>
    </row>
    <row r="55020" spans="1:2" x14ac:dyDescent="0.25">
      <c r="A55020" s="118"/>
      <c r="B55020" s="136"/>
    </row>
    <row r="55021" spans="1:2" x14ac:dyDescent="0.25">
      <c r="A55021" s="118"/>
      <c r="B55021" s="136"/>
    </row>
    <row r="55022" spans="1:2" x14ac:dyDescent="0.25">
      <c r="A55022" s="118"/>
      <c r="B55022" s="136"/>
    </row>
    <row r="55023" spans="1:2" x14ac:dyDescent="0.25">
      <c r="A55023" s="118"/>
      <c r="B55023" s="136"/>
    </row>
    <row r="55024" spans="1:2" x14ac:dyDescent="0.25">
      <c r="A55024" s="118"/>
      <c r="B55024" s="136"/>
    </row>
    <row r="55025" spans="1:2" x14ac:dyDescent="0.25">
      <c r="A55025" s="118"/>
      <c r="B55025" s="136"/>
    </row>
    <row r="55026" spans="1:2" x14ac:dyDescent="0.25">
      <c r="A55026" s="118"/>
      <c r="B55026" s="136"/>
    </row>
    <row r="55027" spans="1:2" x14ac:dyDescent="0.25">
      <c r="A55027" s="118"/>
      <c r="B55027" s="136"/>
    </row>
    <row r="55028" spans="1:2" x14ac:dyDescent="0.25">
      <c r="A55028" s="118"/>
      <c r="B55028" s="136"/>
    </row>
    <row r="55029" spans="1:2" x14ac:dyDescent="0.25">
      <c r="A55029" s="118"/>
      <c r="B55029" s="136"/>
    </row>
    <row r="55030" spans="1:2" x14ac:dyDescent="0.25">
      <c r="A55030" s="118"/>
      <c r="B55030" s="136"/>
    </row>
    <row r="55031" spans="1:2" x14ac:dyDescent="0.25">
      <c r="A55031" s="118"/>
      <c r="B55031" s="136"/>
    </row>
    <row r="55032" spans="1:2" x14ac:dyDescent="0.25">
      <c r="A55032" s="118"/>
      <c r="B55032" s="136"/>
    </row>
    <row r="55033" spans="1:2" x14ac:dyDescent="0.25">
      <c r="A55033" s="118"/>
      <c r="B55033" s="136"/>
    </row>
    <row r="55034" spans="1:2" x14ac:dyDescent="0.25">
      <c r="A55034" s="118"/>
      <c r="B55034" s="136"/>
    </row>
    <row r="55035" spans="1:2" x14ac:dyDescent="0.25">
      <c r="A55035" s="118"/>
      <c r="B55035" s="136"/>
    </row>
    <row r="55036" spans="1:2" x14ac:dyDescent="0.25">
      <c r="A55036" s="118"/>
      <c r="B55036" s="136"/>
    </row>
    <row r="55037" spans="1:2" x14ac:dyDescent="0.25">
      <c r="A55037" s="118"/>
      <c r="B55037" s="136"/>
    </row>
    <row r="55038" spans="1:2" x14ac:dyDescent="0.25">
      <c r="A55038" s="118"/>
      <c r="B55038" s="136"/>
    </row>
    <row r="55039" spans="1:2" x14ac:dyDescent="0.25">
      <c r="A55039" s="118"/>
      <c r="B55039" s="136"/>
    </row>
    <row r="55040" spans="1:2" x14ac:dyDescent="0.25">
      <c r="A55040" s="118"/>
      <c r="B55040" s="136"/>
    </row>
    <row r="55041" spans="1:2" x14ac:dyDescent="0.25">
      <c r="A55041" s="118"/>
      <c r="B55041" s="136"/>
    </row>
    <row r="55042" spans="1:2" x14ac:dyDescent="0.25">
      <c r="A55042" s="118"/>
      <c r="B55042" s="136"/>
    </row>
    <row r="55043" spans="1:2" x14ac:dyDescent="0.25">
      <c r="A55043" s="118"/>
      <c r="B55043" s="136"/>
    </row>
    <row r="55044" spans="1:2" x14ac:dyDescent="0.25">
      <c r="A55044" s="118"/>
      <c r="B55044" s="136"/>
    </row>
    <row r="55045" spans="1:2" x14ac:dyDescent="0.25">
      <c r="A55045" s="118"/>
      <c r="B55045" s="136"/>
    </row>
    <row r="55046" spans="1:2" x14ac:dyDescent="0.25">
      <c r="A55046" s="118"/>
      <c r="B55046" s="136"/>
    </row>
    <row r="55047" spans="1:2" x14ac:dyDescent="0.25">
      <c r="A55047" s="118"/>
      <c r="B55047" s="136"/>
    </row>
    <row r="55048" spans="1:2" x14ac:dyDescent="0.25">
      <c r="A55048" s="118"/>
      <c r="B55048" s="136"/>
    </row>
    <row r="55049" spans="1:2" x14ac:dyDescent="0.25">
      <c r="A55049" s="118"/>
      <c r="B55049" s="136"/>
    </row>
    <row r="55050" spans="1:2" x14ac:dyDescent="0.25">
      <c r="A55050" s="118"/>
      <c r="B55050" s="136"/>
    </row>
    <row r="55051" spans="1:2" x14ac:dyDescent="0.25">
      <c r="A55051" s="118"/>
      <c r="B55051" s="136"/>
    </row>
    <row r="55052" spans="1:2" x14ac:dyDescent="0.25">
      <c r="A55052" s="118"/>
      <c r="B55052" s="136"/>
    </row>
    <row r="55053" spans="1:2" x14ac:dyDescent="0.25">
      <c r="A55053" s="118"/>
      <c r="B55053" s="136"/>
    </row>
    <row r="55054" spans="1:2" x14ac:dyDescent="0.25">
      <c r="A55054" s="118"/>
      <c r="B55054" s="136"/>
    </row>
    <row r="55055" spans="1:2" x14ac:dyDescent="0.25">
      <c r="A55055" s="118"/>
      <c r="B55055" s="136"/>
    </row>
    <row r="55056" spans="1:2" x14ac:dyDescent="0.25">
      <c r="A55056" s="118"/>
      <c r="B55056" s="136"/>
    </row>
    <row r="55057" spans="1:2" x14ac:dyDescent="0.25">
      <c r="A55057" s="118"/>
      <c r="B55057" s="136"/>
    </row>
    <row r="55058" spans="1:2" x14ac:dyDescent="0.25">
      <c r="A55058" s="118"/>
      <c r="B55058" s="136"/>
    </row>
    <row r="55059" spans="1:2" x14ac:dyDescent="0.25">
      <c r="A55059" s="118"/>
      <c r="B55059" s="136"/>
    </row>
    <row r="55060" spans="1:2" x14ac:dyDescent="0.25">
      <c r="A55060" s="118"/>
      <c r="B55060" s="136"/>
    </row>
    <row r="55061" spans="1:2" x14ac:dyDescent="0.25">
      <c r="A55061" s="118"/>
      <c r="B55061" s="136"/>
    </row>
    <row r="55062" spans="1:2" x14ac:dyDescent="0.25">
      <c r="A55062" s="118"/>
      <c r="B55062" s="136"/>
    </row>
    <row r="55063" spans="1:2" x14ac:dyDescent="0.25">
      <c r="A55063" s="118"/>
      <c r="B55063" s="136"/>
    </row>
    <row r="55064" spans="1:2" x14ac:dyDescent="0.25">
      <c r="A55064" s="118"/>
      <c r="B55064" s="136"/>
    </row>
    <row r="55065" spans="1:2" x14ac:dyDescent="0.25">
      <c r="A55065" s="118"/>
      <c r="B55065" s="136"/>
    </row>
    <row r="55066" spans="1:2" x14ac:dyDescent="0.25">
      <c r="A55066" s="118"/>
      <c r="B55066" s="136"/>
    </row>
    <row r="55067" spans="1:2" x14ac:dyDescent="0.25">
      <c r="A55067" s="118"/>
      <c r="B55067" s="136"/>
    </row>
    <row r="55068" spans="1:2" x14ac:dyDescent="0.25">
      <c r="A55068" s="118"/>
      <c r="B55068" s="136"/>
    </row>
    <row r="55069" spans="1:2" x14ac:dyDescent="0.25">
      <c r="A55069" s="118"/>
      <c r="B55069" s="136"/>
    </row>
    <row r="55070" spans="1:2" x14ac:dyDescent="0.25">
      <c r="A55070" s="118"/>
      <c r="B55070" s="136"/>
    </row>
    <row r="55071" spans="1:2" x14ac:dyDescent="0.25">
      <c r="A55071" s="118"/>
      <c r="B55071" s="136"/>
    </row>
    <row r="55072" spans="1:2" x14ac:dyDescent="0.25">
      <c r="A55072" s="118"/>
      <c r="B55072" s="136"/>
    </row>
    <row r="55073" spans="1:2" x14ac:dyDescent="0.25">
      <c r="A55073" s="118"/>
      <c r="B55073" s="136"/>
    </row>
    <row r="55074" spans="1:2" x14ac:dyDescent="0.25">
      <c r="A55074" s="118"/>
      <c r="B55074" s="136"/>
    </row>
    <row r="55075" spans="1:2" x14ac:dyDescent="0.25">
      <c r="A55075" s="118"/>
      <c r="B55075" s="136"/>
    </row>
    <row r="55076" spans="1:2" x14ac:dyDescent="0.25">
      <c r="A55076" s="118"/>
      <c r="B55076" s="136"/>
    </row>
    <row r="55077" spans="1:2" x14ac:dyDescent="0.25">
      <c r="A55077" s="118"/>
      <c r="B55077" s="136"/>
    </row>
    <row r="55078" spans="1:2" x14ac:dyDescent="0.25">
      <c r="A55078" s="118"/>
      <c r="B55078" s="136"/>
    </row>
    <row r="55079" spans="1:2" x14ac:dyDescent="0.25">
      <c r="A55079" s="118"/>
      <c r="B55079" s="136"/>
    </row>
    <row r="55080" spans="1:2" x14ac:dyDescent="0.25">
      <c r="A55080" s="118"/>
      <c r="B55080" s="136"/>
    </row>
    <row r="55081" spans="1:2" x14ac:dyDescent="0.25">
      <c r="A55081" s="118"/>
      <c r="B55081" s="136"/>
    </row>
    <row r="55082" spans="1:2" x14ac:dyDescent="0.25">
      <c r="A55082" s="118"/>
      <c r="B55082" s="136"/>
    </row>
    <row r="55083" spans="1:2" x14ac:dyDescent="0.25">
      <c r="A55083" s="118"/>
      <c r="B55083" s="136"/>
    </row>
    <row r="55084" spans="1:2" x14ac:dyDescent="0.25">
      <c r="A55084" s="118"/>
      <c r="B55084" s="136"/>
    </row>
    <row r="55085" spans="1:2" x14ac:dyDescent="0.25">
      <c r="A55085" s="118"/>
      <c r="B55085" s="136"/>
    </row>
    <row r="55086" spans="1:2" x14ac:dyDescent="0.25">
      <c r="A55086" s="118"/>
      <c r="B55086" s="136"/>
    </row>
    <row r="55087" spans="1:2" x14ac:dyDescent="0.25">
      <c r="A55087" s="118"/>
      <c r="B55087" s="136"/>
    </row>
    <row r="55088" spans="1:2" x14ac:dyDescent="0.25">
      <c r="A55088" s="118"/>
      <c r="B55088" s="136"/>
    </row>
    <row r="55089" spans="1:2" x14ac:dyDescent="0.25">
      <c r="A55089" s="118"/>
      <c r="B55089" s="136"/>
    </row>
    <row r="55090" spans="1:2" x14ac:dyDescent="0.25">
      <c r="A55090" s="118"/>
      <c r="B55090" s="136"/>
    </row>
    <row r="55091" spans="1:2" x14ac:dyDescent="0.25">
      <c r="A55091" s="118"/>
      <c r="B55091" s="136"/>
    </row>
    <row r="55092" spans="1:2" x14ac:dyDescent="0.25">
      <c r="A55092" s="118"/>
      <c r="B55092" s="136"/>
    </row>
    <row r="55093" spans="1:2" x14ac:dyDescent="0.25">
      <c r="A55093" s="118"/>
      <c r="B55093" s="136"/>
    </row>
    <row r="55094" spans="1:2" x14ac:dyDescent="0.25">
      <c r="A55094" s="118"/>
      <c r="B55094" s="136"/>
    </row>
    <row r="55095" spans="1:2" x14ac:dyDescent="0.25">
      <c r="A55095" s="118"/>
      <c r="B55095" s="136"/>
    </row>
    <row r="55096" spans="1:2" x14ac:dyDescent="0.25">
      <c r="A55096" s="118"/>
      <c r="B55096" s="136"/>
    </row>
    <row r="55097" spans="1:2" x14ac:dyDescent="0.25">
      <c r="A55097" s="118"/>
      <c r="B55097" s="136"/>
    </row>
    <row r="55098" spans="1:2" x14ac:dyDescent="0.25">
      <c r="A55098" s="118"/>
      <c r="B55098" s="136"/>
    </row>
    <row r="55099" spans="1:2" x14ac:dyDescent="0.25">
      <c r="A55099" s="118"/>
      <c r="B55099" s="136"/>
    </row>
    <row r="55100" spans="1:2" x14ac:dyDescent="0.25">
      <c r="A55100" s="118"/>
      <c r="B55100" s="136"/>
    </row>
    <row r="55101" spans="1:2" x14ac:dyDescent="0.25">
      <c r="A55101" s="118"/>
      <c r="B55101" s="136"/>
    </row>
    <row r="55102" spans="1:2" x14ac:dyDescent="0.25">
      <c r="A55102" s="118"/>
      <c r="B55102" s="136"/>
    </row>
    <row r="55103" spans="1:2" x14ac:dyDescent="0.25">
      <c r="A55103" s="118"/>
      <c r="B55103" s="136"/>
    </row>
    <row r="55104" spans="1:2" x14ac:dyDescent="0.25">
      <c r="A55104" s="118"/>
      <c r="B55104" s="136"/>
    </row>
    <row r="55105" spans="1:2" x14ac:dyDescent="0.25">
      <c r="A55105" s="118"/>
      <c r="B55105" s="136"/>
    </row>
    <row r="55106" spans="1:2" x14ac:dyDescent="0.25">
      <c r="A55106" s="118"/>
      <c r="B55106" s="136"/>
    </row>
    <row r="55107" spans="1:2" x14ac:dyDescent="0.25">
      <c r="A55107" s="118"/>
      <c r="B55107" s="136"/>
    </row>
    <row r="55108" spans="1:2" x14ac:dyDescent="0.25">
      <c r="A55108" s="118"/>
      <c r="B55108" s="136"/>
    </row>
    <row r="55109" spans="1:2" x14ac:dyDescent="0.25">
      <c r="A55109" s="118"/>
      <c r="B55109" s="136"/>
    </row>
    <row r="55110" spans="1:2" x14ac:dyDescent="0.25">
      <c r="A55110" s="118"/>
      <c r="B55110" s="136"/>
    </row>
    <row r="55111" spans="1:2" x14ac:dyDescent="0.25">
      <c r="A55111" s="118"/>
      <c r="B55111" s="136"/>
    </row>
    <row r="55112" spans="1:2" x14ac:dyDescent="0.25">
      <c r="A55112" s="118"/>
      <c r="B55112" s="136"/>
    </row>
    <row r="55113" spans="1:2" x14ac:dyDescent="0.25">
      <c r="A55113" s="118"/>
      <c r="B55113" s="136"/>
    </row>
    <row r="55114" spans="1:2" x14ac:dyDescent="0.25">
      <c r="A55114" s="118"/>
      <c r="B55114" s="136"/>
    </row>
    <row r="55115" spans="1:2" x14ac:dyDescent="0.25">
      <c r="A55115" s="118"/>
      <c r="B55115" s="136"/>
    </row>
    <row r="55116" spans="1:2" x14ac:dyDescent="0.25">
      <c r="A55116" s="118"/>
      <c r="B55116" s="136"/>
    </row>
    <row r="55117" spans="1:2" x14ac:dyDescent="0.25">
      <c r="A55117" s="118"/>
      <c r="B55117" s="136"/>
    </row>
    <row r="55118" spans="1:2" x14ac:dyDescent="0.25">
      <c r="A55118" s="118"/>
      <c r="B55118" s="136"/>
    </row>
    <row r="55119" spans="1:2" x14ac:dyDescent="0.25">
      <c r="A55119" s="118"/>
      <c r="B55119" s="136"/>
    </row>
    <row r="55120" spans="1:2" x14ac:dyDescent="0.25">
      <c r="A55120" s="118"/>
      <c r="B55120" s="136"/>
    </row>
    <row r="55121" spans="1:2" x14ac:dyDescent="0.25">
      <c r="A55121" s="118"/>
      <c r="B55121" s="136"/>
    </row>
    <row r="55122" spans="1:2" x14ac:dyDescent="0.25">
      <c r="A55122" s="118"/>
      <c r="B55122" s="136"/>
    </row>
    <row r="55123" spans="1:2" x14ac:dyDescent="0.25">
      <c r="A55123" s="118"/>
      <c r="B55123" s="136"/>
    </row>
    <row r="55124" spans="1:2" x14ac:dyDescent="0.25">
      <c r="A55124" s="118"/>
      <c r="B55124" s="136"/>
    </row>
    <row r="55125" spans="1:2" x14ac:dyDescent="0.25">
      <c r="A55125" s="118"/>
      <c r="B55125" s="136"/>
    </row>
    <row r="55126" spans="1:2" x14ac:dyDescent="0.25">
      <c r="A55126" s="118"/>
      <c r="B55126" s="136"/>
    </row>
    <row r="55127" spans="1:2" x14ac:dyDescent="0.25">
      <c r="A55127" s="118"/>
      <c r="B55127" s="136"/>
    </row>
    <row r="55128" spans="1:2" x14ac:dyDescent="0.25">
      <c r="A55128" s="118"/>
      <c r="B55128" s="136"/>
    </row>
    <row r="55129" spans="1:2" x14ac:dyDescent="0.25">
      <c r="A55129" s="118"/>
      <c r="B55129" s="136"/>
    </row>
    <row r="55130" spans="1:2" x14ac:dyDescent="0.25">
      <c r="A55130" s="118"/>
      <c r="B55130" s="136"/>
    </row>
    <row r="55131" spans="1:2" x14ac:dyDescent="0.25">
      <c r="A55131" s="118"/>
      <c r="B55131" s="136"/>
    </row>
    <row r="55132" spans="1:2" x14ac:dyDescent="0.25">
      <c r="A55132" s="118"/>
      <c r="B55132" s="136"/>
    </row>
    <row r="55133" spans="1:2" x14ac:dyDescent="0.25">
      <c r="A55133" s="118"/>
      <c r="B55133" s="136"/>
    </row>
    <row r="55134" spans="1:2" x14ac:dyDescent="0.25">
      <c r="A55134" s="118"/>
      <c r="B55134" s="136"/>
    </row>
    <row r="55135" spans="1:2" x14ac:dyDescent="0.25">
      <c r="A55135" s="118"/>
      <c r="B55135" s="136"/>
    </row>
    <row r="55136" spans="1:2" x14ac:dyDescent="0.25">
      <c r="A55136" s="118"/>
      <c r="B55136" s="136"/>
    </row>
    <row r="55137" spans="1:2" x14ac:dyDescent="0.25">
      <c r="A55137" s="118"/>
      <c r="B55137" s="136"/>
    </row>
    <row r="55138" spans="1:2" x14ac:dyDescent="0.25">
      <c r="A55138" s="118"/>
      <c r="B55138" s="136"/>
    </row>
    <row r="55139" spans="1:2" x14ac:dyDescent="0.25">
      <c r="A55139" s="118"/>
      <c r="B55139" s="136"/>
    </row>
    <row r="55140" spans="1:2" x14ac:dyDescent="0.25">
      <c r="A55140" s="118"/>
      <c r="B55140" s="136"/>
    </row>
    <row r="55141" spans="1:2" x14ac:dyDescent="0.25">
      <c r="A55141" s="118"/>
      <c r="B55141" s="136"/>
    </row>
    <row r="55142" spans="1:2" x14ac:dyDescent="0.25">
      <c r="A55142" s="118"/>
      <c r="B55142" s="136"/>
    </row>
    <row r="55143" spans="1:2" x14ac:dyDescent="0.25">
      <c r="A55143" s="118"/>
      <c r="B55143" s="136"/>
    </row>
    <row r="55144" spans="1:2" x14ac:dyDescent="0.25">
      <c r="A55144" s="118"/>
      <c r="B55144" s="136"/>
    </row>
    <row r="55145" spans="1:2" x14ac:dyDescent="0.25">
      <c r="A55145" s="118"/>
      <c r="B55145" s="136"/>
    </row>
    <row r="55146" spans="1:2" x14ac:dyDescent="0.25">
      <c r="A55146" s="118"/>
      <c r="B55146" s="136"/>
    </row>
    <row r="55147" spans="1:2" x14ac:dyDescent="0.25">
      <c r="A55147" s="118"/>
      <c r="B55147" s="136"/>
    </row>
    <row r="55148" spans="1:2" x14ac:dyDescent="0.25">
      <c r="A55148" s="118"/>
      <c r="B55148" s="136"/>
    </row>
    <row r="55149" spans="1:2" x14ac:dyDescent="0.25">
      <c r="A55149" s="118"/>
      <c r="B55149" s="136"/>
    </row>
    <row r="55150" spans="1:2" x14ac:dyDescent="0.25">
      <c r="A55150" s="118"/>
      <c r="B55150" s="136"/>
    </row>
    <row r="55151" spans="1:2" x14ac:dyDescent="0.25">
      <c r="A55151" s="118"/>
      <c r="B55151" s="136"/>
    </row>
    <row r="55152" spans="1:2" x14ac:dyDescent="0.25">
      <c r="A55152" s="118"/>
      <c r="B55152" s="136"/>
    </row>
    <row r="55153" spans="1:2" x14ac:dyDescent="0.25">
      <c r="A55153" s="118"/>
      <c r="B55153" s="136"/>
    </row>
    <row r="55154" spans="1:2" x14ac:dyDescent="0.25">
      <c r="A55154" s="118"/>
      <c r="B55154" s="136"/>
    </row>
    <row r="55155" spans="1:2" x14ac:dyDescent="0.25">
      <c r="A55155" s="118"/>
      <c r="B55155" s="136"/>
    </row>
    <row r="55156" spans="1:2" x14ac:dyDescent="0.25">
      <c r="A55156" s="118"/>
      <c r="B55156" s="136"/>
    </row>
    <row r="55157" spans="1:2" x14ac:dyDescent="0.25">
      <c r="A55157" s="118"/>
      <c r="B55157" s="136"/>
    </row>
    <row r="55158" spans="1:2" x14ac:dyDescent="0.25">
      <c r="A55158" s="118"/>
      <c r="B55158" s="136"/>
    </row>
    <row r="55159" spans="1:2" x14ac:dyDescent="0.25">
      <c r="A55159" s="118"/>
      <c r="B55159" s="136"/>
    </row>
    <row r="55160" spans="1:2" x14ac:dyDescent="0.25">
      <c r="A55160" s="118"/>
      <c r="B55160" s="136"/>
    </row>
    <row r="55161" spans="1:2" x14ac:dyDescent="0.25">
      <c r="A55161" s="118"/>
      <c r="B55161" s="136"/>
    </row>
    <row r="55162" spans="1:2" x14ac:dyDescent="0.25">
      <c r="A55162" s="118"/>
      <c r="B55162" s="136"/>
    </row>
    <row r="55163" spans="1:2" x14ac:dyDescent="0.25">
      <c r="A55163" s="118"/>
      <c r="B55163" s="136"/>
    </row>
    <row r="55164" spans="1:2" x14ac:dyDescent="0.25">
      <c r="A55164" s="118"/>
      <c r="B55164" s="136"/>
    </row>
    <row r="55165" spans="1:2" x14ac:dyDescent="0.25">
      <c r="A55165" s="118"/>
      <c r="B55165" s="136"/>
    </row>
    <row r="55166" spans="1:2" x14ac:dyDescent="0.25">
      <c r="A55166" s="118"/>
      <c r="B55166" s="136"/>
    </row>
    <row r="55167" spans="1:2" x14ac:dyDescent="0.25">
      <c r="A55167" s="118"/>
      <c r="B55167" s="136"/>
    </row>
    <row r="55168" spans="1:2" x14ac:dyDescent="0.25">
      <c r="A55168" s="118"/>
      <c r="B55168" s="136"/>
    </row>
    <row r="55169" spans="1:2" x14ac:dyDescent="0.25">
      <c r="A55169" s="118"/>
      <c r="B55169" s="136"/>
    </row>
    <row r="55170" spans="1:2" x14ac:dyDescent="0.25">
      <c r="A55170" s="118"/>
      <c r="B55170" s="136"/>
    </row>
    <row r="55171" spans="1:2" x14ac:dyDescent="0.25">
      <c r="A55171" s="118"/>
      <c r="B55171" s="136"/>
    </row>
    <row r="55172" spans="1:2" x14ac:dyDescent="0.25">
      <c r="A55172" s="118"/>
      <c r="B55172" s="136"/>
    </row>
    <row r="55173" spans="1:2" x14ac:dyDescent="0.25">
      <c r="A55173" s="118"/>
      <c r="B55173" s="136"/>
    </row>
    <row r="55174" spans="1:2" x14ac:dyDescent="0.25">
      <c r="A55174" s="118"/>
      <c r="B55174" s="136"/>
    </row>
    <row r="55175" spans="1:2" x14ac:dyDescent="0.25">
      <c r="A55175" s="118"/>
      <c r="B55175" s="136"/>
    </row>
    <row r="55176" spans="1:2" x14ac:dyDescent="0.25">
      <c r="A55176" s="118"/>
      <c r="B55176" s="136"/>
    </row>
    <row r="55177" spans="1:2" x14ac:dyDescent="0.25">
      <c r="A55177" s="118"/>
      <c r="B55177" s="136"/>
    </row>
    <row r="55178" spans="1:2" x14ac:dyDescent="0.25">
      <c r="A55178" s="118"/>
      <c r="B55178" s="136"/>
    </row>
    <row r="55179" spans="1:2" x14ac:dyDescent="0.25">
      <c r="A55179" s="118"/>
      <c r="B55179" s="136"/>
    </row>
    <row r="55180" spans="1:2" x14ac:dyDescent="0.25">
      <c r="A55180" s="118"/>
      <c r="B55180" s="136"/>
    </row>
    <row r="55181" spans="1:2" x14ac:dyDescent="0.25">
      <c r="A55181" s="118"/>
      <c r="B55181" s="136"/>
    </row>
    <row r="55182" spans="1:2" x14ac:dyDescent="0.25">
      <c r="A55182" s="118"/>
      <c r="B55182" s="136"/>
    </row>
    <row r="55183" spans="1:2" x14ac:dyDescent="0.25">
      <c r="A55183" s="118"/>
      <c r="B55183" s="136"/>
    </row>
    <row r="55184" spans="1:2" x14ac:dyDescent="0.25">
      <c r="A55184" s="118"/>
      <c r="B55184" s="136"/>
    </row>
    <row r="55185" spans="1:2" x14ac:dyDescent="0.25">
      <c r="A55185" s="118"/>
      <c r="B55185" s="136"/>
    </row>
    <row r="55186" spans="1:2" x14ac:dyDescent="0.25">
      <c r="A55186" s="118"/>
      <c r="B55186" s="136"/>
    </row>
    <row r="55187" spans="1:2" x14ac:dyDescent="0.25">
      <c r="A55187" s="118"/>
      <c r="B55187" s="136"/>
    </row>
    <row r="55188" spans="1:2" x14ac:dyDescent="0.25">
      <c r="A55188" s="118"/>
      <c r="B55188" s="136"/>
    </row>
    <row r="55189" spans="1:2" x14ac:dyDescent="0.25">
      <c r="A55189" s="118"/>
      <c r="B55189" s="136"/>
    </row>
    <row r="55190" spans="1:2" x14ac:dyDescent="0.25">
      <c r="A55190" s="118"/>
      <c r="B55190" s="136"/>
    </row>
    <row r="55191" spans="1:2" x14ac:dyDescent="0.25">
      <c r="A55191" s="118"/>
      <c r="B55191" s="136"/>
    </row>
    <row r="55192" spans="1:2" x14ac:dyDescent="0.25">
      <c r="A55192" s="118"/>
      <c r="B55192" s="136"/>
    </row>
    <row r="55193" spans="1:2" x14ac:dyDescent="0.25">
      <c r="A55193" s="118"/>
      <c r="B55193" s="136"/>
    </row>
    <row r="55194" spans="1:2" x14ac:dyDescent="0.25">
      <c r="A55194" s="118"/>
      <c r="B55194" s="136"/>
    </row>
    <row r="55195" spans="1:2" x14ac:dyDescent="0.25">
      <c r="A55195" s="118"/>
      <c r="B55195" s="136"/>
    </row>
    <row r="55196" spans="1:2" x14ac:dyDescent="0.25">
      <c r="A55196" s="118"/>
      <c r="B55196" s="136"/>
    </row>
    <row r="55197" spans="1:2" x14ac:dyDescent="0.25">
      <c r="A55197" s="118"/>
      <c r="B55197" s="136"/>
    </row>
    <row r="55198" spans="1:2" x14ac:dyDescent="0.25">
      <c r="A55198" s="118"/>
      <c r="B55198" s="136"/>
    </row>
    <row r="55199" spans="1:2" x14ac:dyDescent="0.25">
      <c r="A55199" s="118"/>
      <c r="B55199" s="136"/>
    </row>
    <row r="55200" spans="1:2" x14ac:dyDescent="0.25">
      <c r="A55200" s="118"/>
      <c r="B55200" s="136"/>
    </row>
    <row r="55201" spans="1:2" x14ac:dyDescent="0.25">
      <c r="A55201" s="118"/>
      <c r="B55201" s="136"/>
    </row>
    <row r="55202" spans="1:2" x14ac:dyDescent="0.25">
      <c r="A55202" s="118"/>
      <c r="B55202" s="136"/>
    </row>
    <row r="55203" spans="1:2" x14ac:dyDescent="0.25">
      <c r="A55203" s="118"/>
      <c r="B55203" s="136"/>
    </row>
    <row r="55204" spans="1:2" x14ac:dyDescent="0.25">
      <c r="A55204" s="118"/>
      <c r="B55204" s="136"/>
    </row>
    <row r="55205" spans="1:2" x14ac:dyDescent="0.25">
      <c r="A55205" s="118"/>
      <c r="B55205" s="136"/>
    </row>
    <row r="55206" spans="1:2" x14ac:dyDescent="0.25">
      <c r="A55206" s="118"/>
      <c r="B55206" s="136"/>
    </row>
    <row r="55207" spans="1:2" x14ac:dyDescent="0.25">
      <c r="A55207" s="118"/>
      <c r="B55207" s="136"/>
    </row>
    <row r="55208" spans="1:2" x14ac:dyDescent="0.25">
      <c r="A55208" s="118"/>
      <c r="B55208" s="136"/>
    </row>
    <row r="55209" spans="1:2" x14ac:dyDescent="0.25">
      <c r="A55209" s="118"/>
      <c r="B55209" s="136"/>
    </row>
    <row r="55210" spans="1:2" x14ac:dyDescent="0.25">
      <c r="A55210" s="118"/>
      <c r="B55210" s="136"/>
    </row>
    <row r="55211" spans="1:2" x14ac:dyDescent="0.25">
      <c r="A55211" s="118"/>
      <c r="B55211" s="136"/>
    </row>
    <row r="55212" spans="1:2" x14ac:dyDescent="0.25">
      <c r="A55212" s="118"/>
      <c r="B55212" s="136"/>
    </row>
    <row r="55213" spans="1:2" x14ac:dyDescent="0.25">
      <c r="A55213" s="118"/>
      <c r="B55213" s="136"/>
    </row>
    <row r="55214" spans="1:2" x14ac:dyDescent="0.25">
      <c r="A55214" s="118"/>
      <c r="B55214" s="136"/>
    </row>
    <row r="55215" spans="1:2" x14ac:dyDescent="0.25">
      <c r="A55215" s="118"/>
      <c r="B55215" s="136"/>
    </row>
    <row r="55216" spans="1:2" x14ac:dyDescent="0.25">
      <c r="A55216" s="118"/>
      <c r="B55216" s="136"/>
    </row>
    <row r="55217" spans="1:2" x14ac:dyDescent="0.25">
      <c r="A55217" s="118"/>
      <c r="B55217" s="136"/>
    </row>
    <row r="55218" spans="1:2" x14ac:dyDescent="0.25">
      <c r="A55218" s="118"/>
      <c r="B55218" s="136"/>
    </row>
    <row r="55219" spans="1:2" x14ac:dyDescent="0.25">
      <c r="A55219" s="118"/>
      <c r="B55219" s="136"/>
    </row>
    <row r="55220" spans="1:2" x14ac:dyDescent="0.25">
      <c r="A55220" s="118"/>
      <c r="B55220" s="136"/>
    </row>
    <row r="55221" spans="1:2" x14ac:dyDescent="0.25">
      <c r="A55221" s="118"/>
      <c r="B55221" s="136"/>
    </row>
    <row r="55222" spans="1:2" x14ac:dyDescent="0.25">
      <c r="A55222" s="118"/>
      <c r="B55222" s="136"/>
    </row>
    <row r="55223" spans="1:2" x14ac:dyDescent="0.25">
      <c r="A55223" s="118"/>
      <c r="B55223" s="136"/>
    </row>
    <row r="55224" spans="1:2" x14ac:dyDescent="0.25">
      <c r="A55224" s="118"/>
      <c r="B55224" s="136"/>
    </row>
    <row r="55225" spans="1:2" x14ac:dyDescent="0.25">
      <c r="A55225" s="118"/>
      <c r="B55225" s="136"/>
    </row>
    <row r="55226" spans="1:2" x14ac:dyDescent="0.25">
      <c r="A55226" s="118"/>
      <c r="B55226" s="136"/>
    </row>
    <row r="55227" spans="1:2" x14ac:dyDescent="0.25">
      <c r="A55227" s="118"/>
      <c r="B55227" s="136"/>
    </row>
    <row r="55228" spans="1:2" x14ac:dyDescent="0.25">
      <c r="A55228" s="118"/>
      <c r="B55228" s="136"/>
    </row>
    <row r="55229" spans="1:2" x14ac:dyDescent="0.25">
      <c r="A55229" s="118"/>
      <c r="B55229" s="136"/>
    </row>
    <row r="55230" spans="1:2" x14ac:dyDescent="0.25">
      <c r="A55230" s="118"/>
      <c r="B55230" s="136"/>
    </row>
    <row r="55231" spans="1:2" x14ac:dyDescent="0.25">
      <c r="A55231" s="118"/>
      <c r="B55231" s="136"/>
    </row>
    <row r="55232" spans="1:2" x14ac:dyDescent="0.25">
      <c r="A55232" s="118"/>
      <c r="B55232" s="136"/>
    </row>
    <row r="55233" spans="1:2" x14ac:dyDescent="0.25">
      <c r="A55233" s="118"/>
      <c r="B55233" s="136"/>
    </row>
    <row r="55234" spans="1:2" x14ac:dyDescent="0.25">
      <c r="A55234" s="118"/>
      <c r="B55234" s="136"/>
    </row>
    <row r="55235" spans="1:2" x14ac:dyDescent="0.25">
      <c r="A55235" s="118"/>
      <c r="B55235" s="136"/>
    </row>
    <row r="55236" spans="1:2" x14ac:dyDescent="0.25">
      <c r="A55236" s="118"/>
      <c r="B55236" s="136"/>
    </row>
    <row r="55237" spans="1:2" x14ac:dyDescent="0.25">
      <c r="A55237" s="118"/>
      <c r="B55237" s="136"/>
    </row>
    <row r="55238" spans="1:2" x14ac:dyDescent="0.25">
      <c r="A55238" s="118"/>
      <c r="B55238" s="136"/>
    </row>
    <row r="55239" spans="1:2" x14ac:dyDescent="0.25">
      <c r="A55239" s="118"/>
      <c r="B55239" s="136"/>
    </row>
    <row r="55240" spans="1:2" x14ac:dyDescent="0.25">
      <c r="A55240" s="118"/>
      <c r="B55240" s="136"/>
    </row>
    <row r="55241" spans="1:2" x14ac:dyDescent="0.25">
      <c r="A55241" s="118"/>
      <c r="B55241" s="136"/>
    </row>
    <row r="55242" spans="1:2" x14ac:dyDescent="0.25">
      <c r="A55242" s="118"/>
      <c r="B55242" s="136"/>
    </row>
    <row r="55243" spans="1:2" x14ac:dyDescent="0.25">
      <c r="A55243" s="118"/>
      <c r="B55243" s="136"/>
    </row>
    <row r="55244" spans="1:2" x14ac:dyDescent="0.25">
      <c r="A55244" s="118"/>
      <c r="B55244" s="136"/>
    </row>
    <row r="55245" spans="1:2" x14ac:dyDescent="0.25">
      <c r="A55245" s="118"/>
      <c r="B55245" s="136"/>
    </row>
    <row r="55246" spans="1:2" x14ac:dyDescent="0.25">
      <c r="A55246" s="118"/>
      <c r="B55246" s="136"/>
    </row>
    <row r="55247" spans="1:2" x14ac:dyDescent="0.25">
      <c r="A55247" s="118"/>
      <c r="B55247" s="136"/>
    </row>
    <row r="55248" spans="1:2" x14ac:dyDescent="0.25">
      <c r="A55248" s="118"/>
      <c r="B55248" s="136"/>
    </row>
    <row r="55249" spans="1:2" x14ac:dyDescent="0.25">
      <c r="A55249" s="118"/>
      <c r="B55249" s="136"/>
    </row>
    <row r="55250" spans="1:2" x14ac:dyDescent="0.25">
      <c r="A55250" s="118"/>
      <c r="B55250" s="136"/>
    </row>
    <row r="55251" spans="1:2" x14ac:dyDescent="0.25">
      <c r="A55251" s="118"/>
      <c r="B55251" s="136"/>
    </row>
    <row r="55252" spans="1:2" x14ac:dyDescent="0.25">
      <c r="A55252" s="118"/>
      <c r="B55252" s="136"/>
    </row>
    <row r="55253" spans="1:2" x14ac:dyDescent="0.25">
      <c r="A55253" s="118"/>
      <c r="B55253" s="136"/>
    </row>
    <row r="55254" spans="1:2" x14ac:dyDescent="0.25">
      <c r="A55254" s="118"/>
      <c r="B55254" s="136"/>
    </row>
    <row r="55255" spans="1:2" x14ac:dyDescent="0.25">
      <c r="A55255" s="118"/>
      <c r="B55255" s="136"/>
    </row>
    <row r="55256" spans="1:2" x14ac:dyDescent="0.25">
      <c r="A55256" s="118"/>
      <c r="B55256" s="136"/>
    </row>
    <row r="55257" spans="1:2" x14ac:dyDescent="0.25">
      <c r="A55257" s="118"/>
      <c r="B55257" s="136"/>
    </row>
    <row r="55258" spans="1:2" x14ac:dyDescent="0.25">
      <c r="A55258" s="118"/>
      <c r="B55258" s="136"/>
    </row>
    <row r="55259" spans="1:2" x14ac:dyDescent="0.25">
      <c r="A55259" s="118"/>
      <c r="B55259" s="136"/>
    </row>
    <row r="55260" spans="1:2" x14ac:dyDescent="0.25">
      <c r="A55260" s="118"/>
      <c r="B55260" s="136"/>
    </row>
    <row r="55261" spans="1:2" x14ac:dyDescent="0.25">
      <c r="A55261" s="118"/>
      <c r="B55261" s="136"/>
    </row>
    <row r="55262" spans="1:2" x14ac:dyDescent="0.25">
      <c r="A55262" s="118"/>
      <c r="B55262" s="136"/>
    </row>
    <row r="55263" spans="1:2" x14ac:dyDescent="0.25">
      <c r="A55263" s="118"/>
      <c r="B55263" s="136"/>
    </row>
    <row r="55264" spans="1:2" x14ac:dyDescent="0.25">
      <c r="A55264" s="118"/>
      <c r="B55264" s="136"/>
    </row>
    <row r="55265" spans="1:2" x14ac:dyDescent="0.25">
      <c r="A55265" s="118"/>
      <c r="B55265" s="136"/>
    </row>
    <row r="55266" spans="1:2" x14ac:dyDescent="0.25">
      <c r="A55266" s="118"/>
      <c r="B55266" s="136"/>
    </row>
    <row r="55267" spans="1:2" x14ac:dyDescent="0.25">
      <c r="A55267" s="118"/>
      <c r="B55267" s="136"/>
    </row>
    <row r="55268" spans="1:2" x14ac:dyDescent="0.25">
      <c r="A55268" s="118"/>
      <c r="B55268" s="136"/>
    </row>
    <row r="55269" spans="1:2" x14ac:dyDescent="0.25">
      <c r="A55269" s="118"/>
      <c r="B55269" s="136"/>
    </row>
    <row r="55270" spans="1:2" x14ac:dyDescent="0.25">
      <c r="A55270" s="118"/>
      <c r="B55270" s="136"/>
    </row>
    <row r="55271" spans="1:2" x14ac:dyDescent="0.25">
      <c r="A55271" s="118"/>
      <c r="B55271" s="136"/>
    </row>
    <row r="55272" spans="1:2" x14ac:dyDescent="0.25">
      <c r="A55272" s="118"/>
      <c r="B55272" s="136"/>
    </row>
    <row r="55273" spans="1:2" x14ac:dyDescent="0.25">
      <c r="A55273" s="118"/>
      <c r="B55273" s="136"/>
    </row>
    <row r="55274" spans="1:2" x14ac:dyDescent="0.25">
      <c r="A55274" s="118"/>
      <c r="B55274" s="136"/>
    </row>
    <row r="55275" spans="1:2" x14ac:dyDescent="0.25">
      <c r="A55275" s="118"/>
      <c r="B55275" s="136"/>
    </row>
    <row r="55276" spans="1:2" x14ac:dyDescent="0.25">
      <c r="A55276" s="118"/>
      <c r="B55276" s="136"/>
    </row>
    <row r="55277" spans="1:2" x14ac:dyDescent="0.25">
      <c r="A55277" s="118"/>
      <c r="B55277" s="136"/>
    </row>
    <row r="55278" spans="1:2" x14ac:dyDescent="0.25">
      <c r="A55278" s="118"/>
      <c r="B55278" s="136"/>
    </row>
    <row r="55279" spans="1:2" x14ac:dyDescent="0.25">
      <c r="A55279" s="118"/>
      <c r="B55279" s="136"/>
    </row>
    <row r="55280" spans="1:2" x14ac:dyDescent="0.25">
      <c r="A55280" s="118"/>
      <c r="B55280" s="136"/>
    </row>
    <row r="55281" spans="1:2" x14ac:dyDescent="0.25">
      <c r="A55281" s="118"/>
      <c r="B55281" s="136"/>
    </row>
    <row r="55282" spans="1:2" x14ac:dyDescent="0.25">
      <c r="A55282" s="118"/>
      <c r="B55282" s="136"/>
    </row>
    <row r="55283" spans="1:2" x14ac:dyDescent="0.25">
      <c r="A55283" s="118"/>
      <c r="B55283" s="136"/>
    </row>
    <row r="55284" spans="1:2" x14ac:dyDescent="0.25">
      <c r="A55284" s="118"/>
      <c r="B55284" s="136"/>
    </row>
    <row r="55285" spans="1:2" x14ac:dyDescent="0.25">
      <c r="A55285" s="118"/>
      <c r="B55285" s="136"/>
    </row>
    <row r="55286" spans="1:2" x14ac:dyDescent="0.25">
      <c r="A55286" s="118"/>
      <c r="B55286" s="136"/>
    </row>
    <row r="55287" spans="1:2" x14ac:dyDescent="0.25">
      <c r="A55287" s="118"/>
      <c r="B55287" s="136"/>
    </row>
    <row r="55288" spans="1:2" x14ac:dyDescent="0.25">
      <c r="A55288" s="118"/>
      <c r="B55288" s="136"/>
    </row>
    <row r="55289" spans="1:2" x14ac:dyDescent="0.25">
      <c r="A55289" s="118"/>
      <c r="B55289" s="136"/>
    </row>
    <row r="55290" spans="1:2" x14ac:dyDescent="0.25">
      <c r="A55290" s="118"/>
      <c r="B55290" s="136"/>
    </row>
    <row r="55291" spans="1:2" x14ac:dyDescent="0.25">
      <c r="A55291" s="118"/>
      <c r="B55291" s="136"/>
    </row>
    <row r="55292" spans="1:2" x14ac:dyDescent="0.25">
      <c r="A55292" s="118"/>
      <c r="B55292" s="136"/>
    </row>
    <row r="55293" spans="1:2" x14ac:dyDescent="0.25">
      <c r="A55293" s="118"/>
      <c r="B55293" s="136"/>
    </row>
    <row r="55294" spans="1:2" x14ac:dyDescent="0.25">
      <c r="A55294" s="118"/>
      <c r="B55294" s="136"/>
    </row>
    <row r="55295" spans="1:2" x14ac:dyDescent="0.25">
      <c r="A55295" s="118"/>
      <c r="B55295" s="136"/>
    </row>
    <row r="55296" spans="1:2" x14ac:dyDescent="0.25">
      <c r="A55296" s="118"/>
      <c r="B55296" s="136"/>
    </row>
    <row r="55297" spans="1:2" x14ac:dyDescent="0.25">
      <c r="A55297" s="118"/>
      <c r="B55297" s="136"/>
    </row>
    <row r="55298" spans="1:2" x14ac:dyDescent="0.25">
      <c r="A55298" s="118"/>
      <c r="B55298" s="136"/>
    </row>
    <row r="55299" spans="1:2" x14ac:dyDescent="0.25">
      <c r="A55299" s="118"/>
      <c r="B55299" s="136"/>
    </row>
    <row r="55300" spans="1:2" x14ac:dyDescent="0.25">
      <c r="A55300" s="118"/>
      <c r="B55300" s="136"/>
    </row>
    <row r="55301" spans="1:2" x14ac:dyDescent="0.25">
      <c r="A55301" s="118"/>
      <c r="B55301" s="136"/>
    </row>
    <row r="55302" spans="1:2" x14ac:dyDescent="0.25">
      <c r="A55302" s="118"/>
      <c r="B55302" s="136"/>
    </row>
    <row r="55303" spans="1:2" x14ac:dyDescent="0.25">
      <c r="A55303" s="118"/>
      <c r="B55303" s="136"/>
    </row>
    <row r="55304" spans="1:2" x14ac:dyDescent="0.25">
      <c r="A55304" s="118"/>
      <c r="B55304" s="136"/>
    </row>
    <row r="55305" spans="1:2" x14ac:dyDescent="0.25">
      <c r="A55305" s="118"/>
      <c r="B55305" s="136"/>
    </row>
    <row r="55306" spans="1:2" x14ac:dyDescent="0.25">
      <c r="A55306" s="118"/>
      <c r="B55306" s="136"/>
    </row>
    <row r="55307" spans="1:2" x14ac:dyDescent="0.25">
      <c r="A55307" s="118"/>
      <c r="B55307" s="136"/>
    </row>
    <row r="55308" spans="1:2" x14ac:dyDescent="0.25">
      <c r="A55308" s="118"/>
      <c r="B55308" s="136"/>
    </row>
    <row r="55309" spans="1:2" x14ac:dyDescent="0.25">
      <c r="A55309" s="118"/>
      <c r="B55309" s="136"/>
    </row>
    <row r="55310" spans="1:2" x14ac:dyDescent="0.25">
      <c r="A55310" s="118"/>
      <c r="B55310" s="136"/>
    </row>
    <row r="55311" spans="1:2" x14ac:dyDescent="0.25">
      <c r="A55311" s="118"/>
      <c r="B55311" s="136"/>
    </row>
    <row r="55312" spans="1:2" x14ac:dyDescent="0.25">
      <c r="A55312" s="118"/>
      <c r="B55312" s="136"/>
    </row>
    <row r="55313" spans="1:2" x14ac:dyDescent="0.25">
      <c r="A55313" s="118"/>
      <c r="B55313" s="136"/>
    </row>
    <row r="55314" spans="1:2" x14ac:dyDescent="0.25">
      <c r="A55314" s="118"/>
      <c r="B55314" s="136"/>
    </row>
    <row r="55315" spans="1:2" x14ac:dyDescent="0.25">
      <c r="A55315" s="118"/>
      <c r="B55315" s="136"/>
    </row>
    <row r="55316" spans="1:2" x14ac:dyDescent="0.25">
      <c r="A55316" s="118"/>
      <c r="B55316" s="136"/>
    </row>
    <row r="55317" spans="1:2" x14ac:dyDescent="0.25">
      <c r="A55317" s="118"/>
      <c r="B55317" s="136"/>
    </row>
    <row r="55318" spans="1:2" x14ac:dyDescent="0.25">
      <c r="A55318" s="118"/>
      <c r="B55318" s="136"/>
    </row>
    <row r="55319" spans="1:2" x14ac:dyDescent="0.25">
      <c r="A55319" s="118"/>
      <c r="B55319" s="136"/>
    </row>
    <row r="55320" spans="1:2" x14ac:dyDescent="0.25">
      <c r="A55320" s="118"/>
      <c r="B55320" s="136"/>
    </row>
    <row r="55321" spans="1:2" x14ac:dyDescent="0.25">
      <c r="A55321" s="118"/>
      <c r="B55321" s="136"/>
    </row>
    <row r="55322" spans="1:2" x14ac:dyDescent="0.25">
      <c r="A55322" s="118"/>
      <c r="B55322" s="136"/>
    </row>
    <row r="55323" spans="1:2" x14ac:dyDescent="0.25">
      <c r="A55323" s="118"/>
      <c r="B55323" s="136"/>
    </row>
    <row r="55324" spans="1:2" x14ac:dyDescent="0.25">
      <c r="A55324" s="118"/>
      <c r="B55324" s="136"/>
    </row>
    <row r="55325" spans="1:2" x14ac:dyDescent="0.25">
      <c r="A55325" s="118"/>
      <c r="B55325" s="136"/>
    </row>
    <row r="55326" spans="1:2" x14ac:dyDescent="0.25">
      <c r="A55326" s="118"/>
      <c r="B55326" s="136"/>
    </row>
    <row r="55327" spans="1:2" x14ac:dyDescent="0.25">
      <c r="A55327" s="118"/>
      <c r="B55327" s="136"/>
    </row>
    <row r="55328" spans="1:2" x14ac:dyDescent="0.25">
      <c r="A55328" s="118"/>
      <c r="B55328" s="136"/>
    </row>
    <row r="55329" spans="1:2" x14ac:dyDescent="0.25">
      <c r="A55329" s="118"/>
      <c r="B55329" s="136"/>
    </row>
    <row r="55330" spans="1:2" x14ac:dyDescent="0.25">
      <c r="A55330" s="118"/>
      <c r="B55330" s="136"/>
    </row>
    <row r="55331" spans="1:2" x14ac:dyDescent="0.25">
      <c r="A55331" s="118"/>
      <c r="B55331" s="136"/>
    </row>
    <row r="55332" spans="1:2" x14ac:dyDescent="0.25">
      <c r="A55332" s="118"/>
      <c r="B55332" s="136"/>
    </row>
    <row r="55333" spans="1:2" x14ac:dyDescent="0.25">
      <c r="A55333" s="118"/>
      <c r="B55333" s="136"/>
    </row>
    <row r="55334" spans="1:2" x14ac:dyDescent="0.25">
      <c r="A55334" s="118"/>
      <c r="B55334" s="136"/>
    </row>
    <row r="55335" spans="1:2" x14ac:dyDescent="0.25">
      <c r="A55335" s="118"/>
      <c r="B55335" s="136"/>
    </row>
    <row r="55336" spans="1:2" x14ac:dyDescent="0.25">
      <c r="A55336" s="118"/>
      <c r="B55336" s="136"/>
    </row>
    <row r="55337" spans="1:2" x14ac:dyDescent="0.25">
      <c r="A55337" s="118"/>
      <c r="B55337" s="136"/>
    </row>
    <row r="55338" spans="1:2" x14ac:dyDescent="0.25">
      <c r="A55338" s="118"/>
      <c r="B55338" s="136"/>
    </row>
    <row r="55339" spans="1:2" x14ac:dyDescent="0.25">
      <c r="A55339" s="118"/>
      <c r="B55339" s="136"/>
    </row>
    <row r="55340" spans="1:2" x14ac:dyDescent="0.25">
      <c r="A55340" s="118"/>
      <c r="B55340" s="136"/>
    </row>
    <row r="55341" spans="1:2" x14ac:dyDescent="0.25">
      <c r="A55341" s="118"/>
      <c r="B55341" s="136"/>
    </row>
    <row r="55342" spans="1:2" x14ac:dyDescent="0.25">
      <c r="A55342" s="118"/>
      <c r="B55342" s="136"/>
    </row>
    <row r="55343" spans="1:2" x14ac:dyDescent="0.25">
      <c r="A55343" s="118"/>
      <c r="B55343" s="136"/>
    </row>
    <row r="55344" spans="1:2" x14ac:dyDescent="0.25">
      <c r="A55344" s="118"/>
      <c r="B55344" s="136"/>
    </row>
    <row r="55345" spans="1:2" x14ac:dyDescent="0.25">
      <c r="A55345" s="118"/>
      <c r="B55345" s="136"/>
    </row>
    <row r="55346" spans="1:2" x14ac:dyDescent="0.25">
      <c r="A55346" s="118"/>
      <c r="B55346" s="136"/>
    </row>
    <row r="55347" spans="1:2" x14ac:dyDescent="0.25">
      <c r="A55347" s="118"/>
      <c r="B55347" s="136"/>
    </row>
    <row r="55348" spans="1:2" x14ac:dyDescent="0.25">
      <c r="A55348" s="118"/>
      <c r="B55348" s="136"/>
    </row>
    <row r="55349" spans="1:2" x14ac:dyDescent="0.25">
      <c r="A55349" s="118"/>
      <c r="B55349" s="136"/>
    </row>
    <row r="55350" spans="1:2" x14ac:dyDescent="0.25">
      <c r="A55350" s="118"/>
      <c r="B55350" s="136"/>
    </row>
    <row r="55351" spans="1:2" x14ac:dyDescent="0.25">
      <c r="A55351" s="118"/>
      <c r="B55351" s="136"/>
    </row>
    <row r="55352" spans="1:2" x14ac:dyDescent="0.25">
      <c r="A55352" s="118"/>
      <c r="B55352" s="136"/>
    </row>
    <row r="55353" spans="1:2" x14ac:dyDescent="0.25">
      <c r="A55353" s="118"/>
      <c r="B55353" s="136"/>
    </row>
    <row r="55354" spans="1:2" x14ac:dyDescent="0.25">
      <c r="A55354" s="118"/>
      <c r="B55354" s="136"/>
    </row>
    <row r="55355" spans="1:2" x14ac:dyDescent="0.25">
      <c r="A55355" s="118"/>
      <c r="B55355" s="136"/>
    </row>
    <row r="55356" spans="1:2" x14ac:dyDescent="0.25">
      <c r="A55356" s="118"/>
      <c r="B55356" s="136"/>
    </row>
    <row r="55357" spans="1:2" x14ac:dyDescent="0.25">
      <c r="A55357" s="118"/>
      <c r="B55357" s="136"/>
    </row>
    <row r="55358" spans="1:2" x14ac:dyDescent="0.25">
      <c r="A55358" s="118"/>
      <c r="B55358" s="136"/>
    </row>
    <row r="55359" spans="1:2" x14ac:dyDescent="0.25">
      <c r="A55359" s="118"/>
      <c r="B55359" s="136"/>
    </row>
    <row r="55360" spans="1:2" x14ac:dyDescent="0.25">
      <c r="A55360" s="118"/>
      <c r="B55360" s="136"/>
    </row>
    <row r="55361" spans="1:2" x14ac:dyDescent="0.25">
      <c r="A55361" s="118"/>
      <c r="B55361" s="136"/>
    </row>
    <row r="55362" spans="1:2" x14ac:dyDescent="0.25">
      <c r="A55362" s="118"/>
      <c r="B55362" s="136"/>
    </row>
    <row r="55363" spans="1:2" x14ac:dyDescent="0.25">
      <c r="A55363" s="118"/>
      <c r="B55363" s="136"/>
    </row>
    <row r="55364" spans="1:2" x14ac:dyDescent="0.25">
      <c r="A55364" s="118"/>
      <c r="B55364" s="136"/>
    </row>
    <row r="55365" spans="1:2" x14ac:dyDescent="0.25">
      <c r="A55365" s="118"/>
      <c r="B55365" s="136"/>
    </row>
    <row r="55366" spans="1:2" x14ac:dyDescent="0.25">
      <c r="A55366" s="118"/>
      <c r="B55366" s="136"/>
    </row>
    <row r="55367" spans="1:2" x14ac:dyDescent="0.25">
      <c r="A55367" s="118"/>
      <c r="B55367" s="136"/>
    </row>
    <row r="55368" spans="1:2" x14ac:dyDescent="0.25">
      <c r="A55368" s="118"/>
      <c r="B55368" s="136"/>
    </row>
    <row r="55369" spans="1:2" x14ac:dyDescent="0.25">
      <c r="A55369" s="118"/>
      <c r="B55369" s="136"/>
    </row>
    <row r="55370" spans="1:2" x14ac:dyDescent="0.25">
      <c r="A55370" s="118"/>
      <c r="B55370" s="136"/>
    </row>
    <row r="55371" spans="1:2" x14ac:dyDescent="0.25">
      <c r="A55371" s="118"/>
      <c r="B55371" s="136"/>
    </row>
    <row r="55372" spans="1:2" x14ac:dyDescent="0.25">
      <c r="A55372" s="118"/>
      <c r="B55372" s="136"/>
    </row>
    <row r="55373" spans="1:2" x14ac:dyDescent="0.25">
      <c r="A55373" s="118"/>
      <c r="B55373" s="136"/>
    </row>
    <row r="55374" spans="1:2" x14ac:dyDescent="0.25">
      <c r="A55374" s="118"/>
      <c r="B55374" s="136"/>
    </row>
    <row r="55375" spans="1:2" x14ac:dyDescent="0.25">
      <c r="A55375" s="118"/>
      <c r="B55375" s="136"/>
    </row>
    <row r="55376" spans="1:2" x14ac:dyDescent="0.25">
      <c r="A55376" s="118"/>
      <c r="B55376" s="136"/>
    </row>
    <row r="55377" spans="1:2" x14ac:dyDescent="0.25">
      <c r="A55377" s="118"/>
      <c r="B55377" s="136"/>
    </row>
    <row r="55378" spans="1:2" x14ac:dyDescent="0.25">
      <c r="A55378" s="118"/>
      <c r="B55378" s="136"/>
    </row>
    <row r="55379" spans="1:2" x14ac:dyDescent="0.25">
      <c r="A55379" s="118"/>
      <c r="B55379" s="136"/>
    </row>
    <row r="55380" spans="1:2" x14ac:dyDescent="0.25">
      <c r="A55380" s="118"/>
      <c r="B55380" s="136"/>
    </row>
    <row r="55381" spans="1:2" x14ac:dyDescent="0.25">
      <c r="A55381" s="118"/>
      <c r="B55381" s="136"/>
    </row>
    <row r="55382" spans="1:2" x14ac:dyDescent="0.25">
      <c r="A55382" s="118"/>
      <c r="B55382" s="136"/>
    </row>
    <row r="55383" spans="1:2" x14ac:dyDescent="0.25">
      <c r="A55383" s="118"/>
      <c r="B55383" s="136"/>
    </row>
    <row r="55384" spans="1:2" x14ac:dyDescent="0.25">
      <c r="A55384" s="118"/>
      <c r="B55384" s="136"/>
    </row>
    <row r="55385" spans="1:2" x14ac:dyDescent="0.25">
      <c r="A55385" s="118"/>
      <c r="B55385" s="136"/>
    </row>
    <row r="55386" spans="1:2" x14ac:dyDescent="0.25">
      <c r="A55386" s="118"/>
      <c r="B55386" s="136"/>
    </row>
    <row r="55387" spans="1:2" x14ac:dyDescent="0.25">
      <c r="A55387" s="118"/>
      <c r="B55387" s="136"/>
    </row>
    <row r="55388" spans="1:2" x14ac:dyDescent="0.25">
      <c r="A55388" s="118"/>
      <c r="B55388" s="136"/>
    </row>
    <row r="55389" spans="1:2" x14ac:dyDescent="0.25">
      <c r="A55389" s="118"/>
      <c r="B55389" s="136"/>
    </row>
    <row r="55390" spans="1:2" x14ac:dyDescent="0.25">
      <c r="A55390" s="118"/>
      <c r="B55390" s="136"/>
    </row>
    <row r="55391" spans="1:2" x14ac:dyDescent="0.25">
      <c r="A55391" s="118"/>
      <c r="B55391" s="136"/>
    </row>
    <row r="55392" spans="1:2" x14ac:dyDescent="0.25">
      <c r="A55392" s="118"/>
      <c r="B55392" s="136"/>
    </row>
    <row r="55393" spans="1:2" x14ac:dyDescent="0.25">
      <c r="A55393" s="118"/>
      <c r="B55393" s="136"/>
    </row>
    <row r="55394" spans="1:2" x14ac:dyDescent="0.25">
      <c r="A55394" s="118"/>
      <c r="B55394" s="136"/>
    </row>
    <row r="55395" spans="1:2" x14ac:dyDescent="0.25">
      <c r="A55395" s="118"/>
      <c r="B55395" s="136"/>
    </row>
    <row r="55396" spans="1:2" x14ac:dyDescent="0.25">
      <c r="A55396" s="118"/>
      <c r="B55396" s="136"/>
    </row>
    <row r="55397" spans="1:2" x14ac:dyDescent="0.25">
      <c r="A55397" s="118"/>
      <c r="B55397" s="136"/>
    </row>
    <row r="55398" spans="1:2" x14ac:dyDescent="0.25">
      <c r="A55398" s="118"/>
      <c r="B55398" s="136"/>
    </row>
    <row r="55399" spans="1:2" x14ac:dyDescent="0.25">
      <c r="A55399" s="118"/>
      <c r="B55399" s="136"/>
    </row>
    <row r="55400" spans="1:2" x14ac:dyDescent="0.25">
      <c r="A55400" s="118"/>
      <c r="B55400" s="136"/>
    </row>
    <row r="55401" spans="1:2" x14ac:dyDescent="0.25">
      <c r="A55401" s="118"/>
      <c r="B55401" s="136"/>
    </row>
    <row r="55402" spans="1:2" x14ac:dyDescent="0.25">
      <c r="A55402" s="118"/>
      <c r="B55402" s="136"/>
    </row>
    <row r="55403" spans="1:2" x14ac:dyDescent="0.25">
      <c r="A55403" s="118"/>
      <c r="B55403" s="136"/>
    </row>
    <row r="55404" spans="1:2" x14ac:dyDescent="0.25">
      <c r="A55404" s="118"/>
      <c r="B55404" s="136"/>
    </row>
    <row r="55405" spans="1:2" x14ac:dyDescent="0.25">
      <c r="A55405" s="118"/>
      <c r="B55405" s="136"/>
    </row>
    <row r="55406" spans="1:2" x14ac:dyDescent="0.25">
      <c r="A55406" s="118"/>
      <c r="B55406" s="136"/>
    </row>
    <row r="55407" spans="1:2" x14ac:dyDescent="0.25">
      <c r="A55407" s="118"/>
      <c r="B55407" s="136"/>
    </row>
    <row r="55408" spans="1:2" x14ac:dyDescent="0.25">
      <c r="A55408" s="118"/>
      <c r="B55408" s="136"/>
    </row>
    <row r="55409" spans="1:2" x14ac:dyDescent="0.25">
      <c r="A55409" s="118"/>
      <c r="B55409" s="136"/>
    </row>
    <row r="55410" spans="1:2" x14ac:dyDescent="0.25">
      <c r="A55410" s="118"/>
      <c r="B55410" s="136"/>
    </row>
    <row r="55411" spans="1:2" x14ac:dyDescent="0.25">
      <c r="A55411" s="118"/>
      <c r="B55411" s="136"/>
    </row>
    <row r="55412" spans="1:2" x14ac:dyDescent="0.25">
      <c r="A55412" s="118"/>
      <c r="B55412" s="136"/>
    </row>
    <row r="55413" spans="1:2" x14ac:dyDescent="0.25">
      <c r="A55413" s="118"/>
      <c r="B55413" s="136"/>
    </row>
    <row r="55414" spans="1:2" x14ac:dyDescent="0.25">
      <c r="A55414" s="118"/>
      <c r="B55414" s="136"/>
    </row>
    <row r="55415" spans="1:2" x14ac:dyDescent="0.25">
      <c r="A55415" s="118"/>
      <c r="B55415" s="136"/>
    </row>
    <row r="55416" spans="1:2" x14ac:dyDescent="0.25">
      <c r="A55416" s="118"/>
      <c r="B55416" s="136"/>
    </row>
    <row r="55417" spans="1:2" x14ac:dyDescent="0.25">
      <c r="A55417" s="118"/>
      <c r="B55417" s="136"/>
    </row>
    <row r="55418" spans="1:2" x14ac:dyDescent="0.25">
      <c r="A55418" s="118"/>
      <c r="B55418" s="136"/>
    </row>
    <row r="55419" spans="1:2" x14ac:dyDescent="0.25">
      <c r="A55419" s="118"/>
      <c r="B55419" s="136"/>
    </row>
    <row r="55420" spans="1:2" x14ac:dyDescent="0.25">
      <c r="A55420" s="118"/>
      <c r="B55420" s="136"/>
    </row>
    <row r="55421" spans="1:2" x14ac:dyDescent="0.25">
      <c r="A55421" s="118"/>
      <c r="B55421" s="136"/>
    </row>
    <row r="55422" spans="1:2" x14ac:dyDescent="0.25">
      <c r="A55422" s="118"/>
      <c r="B55422" s="136"/>
    </row>
    <row r="55423" spans="1:2" x14ac:dyDescent="0.25">
      <c r="A55423" s="118"/>
      <c r="B55423" s="136"/>
    </row>
    <row r="55424" spans="1:2" x14ac:dyDescent="0.25">
      <c r="A55424" s="118"/>
      <c r="B55424" s="136"/>
    </row>
    <row r="55425" spans="1:2" x14ac:dyDescent="0.25">
      <c r="A55425" s="118"/>
      <c r="B55425" s="136"/>
    </row>
    <row r="55426" spans="1:2" x14ac:dyDescent="0.25">
      <c r="A55426" s="118"/>
      <c r="B55426" s="136"/>
    </row>
    <row r="55427" spans="1:2" x14ac:dyDescent="0.25">
      <c r="A55427" s="118"/>
      <c r="B55427" s="136"/>
    </row>
    <row r="55428" spans="1:2" x14ac:dyDescent="0.25">
      <c r="A55428" s="118"/>
      <c r="B55428" s="136"/>
    </row>
    <row r="55429" spans="1:2" x14ac:dyDescent="0.25">
      <c r="A55429" s="118"/>
      <c r="B55429" s="136"/>
    </row>
    <row r="55430" spans="1:2" x14ac:dyDescent="0.25">
      <c r="A55430" s="118"/>
      <c r="B55430" s="136"/>
    </row>
    <row r="55431" spans="1:2" x14ac:dyDescent="0.25">
      <c r="A55431" s="118"/>
      <c r="B55431" s="136"/>
    </row>
    <row r="55432" spans="1:2" x14ac:dyDescent="0.25">
      <c r="A55432" s="118"/>
      <c r="B55432" s="136"/>
    </row>
    <row r="55433" spans="1:2" x14ac:dyDescent="0.25">
      <c r="A55433" s="118"/>
      <c r="B55433" s="136"/>
    </row>
    <row r="55434" spans="1:2" x14ac:dyDescent="0.25">
      <c r="A55434" s="118"/>
      <c r="B55434" s="136"/>
    </row>
    <row r="55435" spans="1:2" x14ac:dyDescent="0.25">
      <c r="A55435" s="118"/>
      <c r="B55435" s="136"/>
    </row>
    <row r="55436" spans="1:2" x14ac:dyDescent="0.25">
      <c r="A55436" s="118"/>
      <c r="B55436" s="136"/>
    </row>
    <row r="55437" spans="1:2" x14ac:dyDescent="0.25">
      <c r="A55437" s="118"/>
      <c r="B55437" s="136"/>
    </row>
    <row r="55438" spans="1:2" x14ac:dyDescent="0.25">
      <c r="A55438" s="118"/>
      <c r="B55438" s="136"/>
    </row>
    <row r="55439" spans="1:2" x14ac:dyDescent="0.25">
      <c r="A55439" s="118"/>
      <c r="B55439" s="136"/>
    </row>
    <row r="55440" spans="1:2" x14ac:dyDescent="0.25">
      <c r="A55440" s="118"/>
      <c r="B55440" s="136"/>
    </row>
    <row r="55441" spans="1:2" x14ac:dyDescent="0.25">
      <c r="A55441" s="118"/>
      <c r="B55441" s="136"/>
    </row>
    <row r="55442" spans="1:2" x14ac:dyDescent="0.25">
      <c r="A55442" s="118"/>
      <c r="B55442" s="136"/>
    </row>
    <row r="55443" spans="1:2" x14ac:dyDescent="0.25">
      <c r="A55443" s="118"/>
      <c r="B55443" s="136"/>
    </row>
    <row r="55444" spans="1:2" x14ac:dyDescent="0.25">
      <c r="A55444" s="118"/>
      <c r="B55444" s="136"/>
    </row>
    <row r="55445" spans="1:2" x14ac:dyDescent="0.25">
      <c r="A55445" s="118"/>
      <c r="B55445" s="136"/>
    </row>
    <row r="55446" spans="1:2" x14ac:dyDescent="0.25">
      <c r="A55446" s="118"/>
      <c r="B55446" s="136"/>
    </row>
    <row r="55447" spans="1:2" x14ac:dyDescent="0.25">
      <c r="A55447" s="118"/>
      <c r="B55447" s="136"/>
    </row>
    <row r="55448" spans="1:2" x14ac:dyDescent="0.25">
      <c r="A55448" s="118"/>
      <c r="B55448" s="136"/>
    </row>
    <row r="55449" spans="1:2" x14ac:dyDescent="0.25">
      <c r="A55449" s="118"/>
      <c r="B55449" s="136"/>
    </row>
    <row r="55450" spans="1:2" x14ac:dyDescent="0.25">
      <c r="A55450" s="118"/>
      <c r="B55450" s="136"/>
    </row>
    <row r="55451" spans="1:2" x14ac:dyDescent="0.25">
      <c r="A55451" s="118"/>
      <c r="B55451" s="136"/>
    </row>
    <row r="55452" spans="1:2" x14ac:dyDescent="0.25">
      <c r="A55452" s="118"/>
      <c r="B55452" s="136"/>
    </row>
    <row r="55453" spans="1:2" x14ac:dyDescent="0.25">
      <c r="A55453" s="118"/>
      <c r="B55453" s="136"/>
    </row>
    <row r="55454" spans="1:2" x14ac:dyDescent="0.25">
      <c r="A55454" s="118"/>
      <c r="B55454" s="136"/>
    </row>
    <row r="55455" spans="1:2" x14ac:dyDescent="0.25">
      <c r="A55455" s="118"/>
      <c r="B55455" s="136"/>
    </row>
    <row r="55456" spans="1:2" x14ac:dyDescent="0.25">
      <c r="A55456" s="118"/>
      <c r="B55456" s="136"/>
    </row>
    <row r="55457" spans="1:2" x14ac:dyDescent="0.25">
      <c r="A55457" s="118"/>
      <c r="B55457" s="136"/>
    </row>
    <row r="55458" spans="1:2" x14ac:dyDescent="0.25">
      <c r="A55458" s="118"/>
      <c r="B55458" s="136"/>
    </row>
    <row r="55459" spans="1:2" x14ac:dyDescent="0.25">
      <c r="A55459" s="118"/>
      <c r="B55459" s="136"/>
    </row>
    <row r="55460" spans="1:2" x14ac:dyDescent="0.25">
      <c r="A55460" s="118"/>
      <c r="B55460" s="136"/>
    </row>
    <row r="55461" spans="1:2" x14ac:dyDescent="0.25">
      <c r="A55461" s="118"/>
      <c r="B55461" s="136"/>
    </row>
    <row r="55462" spans="1:2" x14ac:dyDescent="0.25">
      <c r="A55462" s="118"/>
      <c r="B55462" s="136"/>
    </row>
    <row r="55463" spans="1:2" x14ac:dyDescent="0.25">
      <c r="A55463" s="118"/>
      <c r="B55463" s="136"/>
    </row>
    <row r="55464" spans="1:2" x14ac:dyDescent="0.25">
      <c r="A55464" s="118"/>
      <c r="B55464" s="136"/>
    </row>
    <row r="55465" spans="1:2" x14ac:dyDescent="0.25">
      <c r="A55465" s="118"/>
      <c r="B55465" s="136"/>
    </row>
    <row r="55466" spans="1:2" x14ac:dyDescent="0.25">
      <c r="A55466" s="118"/>
      <c r="B55466" s="136"/>
    </row>
    <row r="55467" spans="1:2" x14ac:dyDescent="0.25">
      <c r="A55467" s="118"/>
      <c r="B55467" s="136"/>
    </row>
    <row r="55468" spans="1:2" x14ac:dyDescent="0.25">
      <c r="A55468" s="118"/>
      <c r="B55468" s="136"/>
    </row>
    <row r="55469" spans="1:2" x14ac:dyDescent="0.25">
      <c r="A55469" s="118"/>
      <c r="B55469" s="136"/>
    </row>
    <row r="55470" spans="1:2" x14ac:dyDescent="0.25">
      <c r="A55470" s="118"/>
      <c r="B55470" s="136"/>
    </row>
    <row r="55471" spans="1:2" x14ac:dyDescent="0.25">
      <c r="A55471" s="118"/>
      <c r="B55471" s="136"/>
    </row>
    <row r="55472" spans="1:2" x14ac:dyDescent="0.25">
      <c r="A55472" s="118"/>
      <c r="B55472" s="136"/>
    </row>
    <row r="55473" spans="1:2" x14ac:dyDescent="0.25">
      <c r="A55473" s="118"/>
      <c r="B55473" s="136"/>
    </row>
    <row r="55474" spans="1:2" x14ac:dyDescent="0.25">
      <c r="A55474" s="118"/>
      <c r="B55474" s="136"/>
    </row>
    <row r="55475" spans="1:2" x14ac:dyDescent="0.25">
      <c r="A55475" s="118"/>
      <c r="B55475" s="136"/>
    </row>
    <row r="55476" spans="1:2" x14ac:dyDescent="0.25">
      <c r="A55476" s="118"/>
      <c r="B55476" s="136"/>
    </row>
    <row r="55477" spans="1:2" x14ac:dyDescent="0.25">
      <c r="A55477" s="118"/>
      <c r="B55477" s="136"/>
    </row>
    <row r="55478" spans="1:2" x14ac:dyDescent="0.25">
      <c r="A55478" s="118"/>
      <c r="B55478" s="136"/>
    </row>
    <row r="55479" spans="1:2" x14ac:dyDescent="0.25">
      <c r="A55479" s="118"/>
      <c r="B55479" s="136"/>
    </row>
    <row r="55480" spans="1:2" x14ac:dyDescent="0.25">
      <c r="A55480" s="118"/>
      <c r="B55480" s="136"/>
    </row>
    <row r="55481" spans="1:2" x14ac:dyDescent="0.25">
      <c r="A55481" s="118"/>
      <c r="B55481" s="136"/>
    </row>
    <row r="55482" spans="1:2" x14ac:dyDescent="0.25">
      <c r="A55482" s="118"/>
      <c r="B55482" s="136"/>
    </row>
    <row r="55483" spans="1:2" x14ac:dyDescent="0.25">
      <c r="A55483" s="118"/>
      <c r="B55483" s="136"/>
    </row>
    <row r="55484" spans="1:2" x14ac:dyDescent="0.25">
      <c r="A55484" s="118"/>
      <c r="B55484" s="136"/>
    </row>
    <row r="55485" spans="1:2" x14ac:dyDescent="0.25">
      <c r="A55485" s="118"/>
      <c r="B55485" s="136"/>
    </row>
    <row r="55486" spans="1:2" x14ac:dyDescent="0.25">
      <c r="A55486" s="118"/>
      <c r="B55486" s="136"/>
    </row>
    <row r="55487" spans="1:2" x14ac:dyDescent="0.25">
      <c r="A55487" s="118"/>
      <c r="B55487" s="136"/>
    </row>
    <row r="55488" spans="1:2" x14ac:dyDescent="0.25">
      <c r="A55488" s="118"/>
      <c r="B55488" s="136"/>
    </row>
    <row r="55489" spans="1:2" x14ac:dyDescent="0.25">
      <c r="A55489" s="118"/>
      <c r="B55489" s="136"/>
    </row>
    <row r="55490" spans="1:2" x14ac:dyDescent="0.25">
      <c r="A55490" s="118"/>
      <c r="B55490" s="136"/>
    </row>
    <row r="55491" spans="1:2" x14ac:dyDescent="0.25">
      <c r="A55491" s="118"/>
      <c r="B55491" s="136"/>
    </row>
    <row r="55492" spans="1:2" x14ac:dyDescent="0.25">
      <c r="A55492" s="118"/>
      <c r="B55492" s="136"/>
    </row>
    <row r="55493" spans="1:2" x14ac:dyDescent="0.25">
      <c r="A55493" s="118"/>
      <c r="B55493" s="136"/>
    </row>
    <row r="55494" spans="1:2" x14ac:dyDescent="0.25">
      <c r="A55494" s="118"/>
      <c r="B55494" s="136"/>
    </row>
    <row r="55495" spans="1:2" x14ac:dyDescent="0.25">
      <c r="A55495" s="118"/>
      <c r="B55495" s="136"/>
    </row>
    <row r="55496" spans="1:2" x14ac:dyDescent="0.25">
      <c r="A55496" s="118"/>
      <c r="B55496" s="136"/>
    </row>
    <row r="55497" spans="1:2" x14ac:dyDescent="0.25">
      <c r="A55497" s="118"/>
      <c r="B55497" s="136"/>
    </row>
    <row r="55498" spans="1:2" x14ac:dyDescent="0.25">
      <c r="A55498" s="118"/>
      <c r="B55498" s="136"/>
    </row>
    <row r="55499" spans="1:2" x14ac:dyDescent="0.25">
      <c r="A55499" s="118"/>
      <c r="B55499" s="136"/>
    </row>
    <row r="55500" spans="1:2" x14ac:dyDescent="0.25">
      <c r="A55500" s="118"/>
      <c r="B55500" s="136"/>
    </row>
    <row r="55501" spans="1:2" x14ac:dyDescent="0.25">
      <c r="A55501" s="118"/>
      <c r="B55501" s="136"/>
    </row>
    <row r="55502" spans="1:2" x14ac:dyDescent="0.25">
      <c r="A55502" s="118"/>
      <c r="B55502" s="136"/>
    </row>
    <row r="55503" spans="1:2" x14ac:dyDescent="0.25">
      <c r="A55503" s="118"/>
      <c r="B55503" s="136"/>
    </row>
    <row r="55504" spans="1:2" x14ac:dyDescent="0.25">
      <c r="A55504" s="118"/>
      <c r="B55504" s="136"/>
    </row>
    <row r="55505" spans="1:2" x14ac:dyDescent="0.25">
      <c r="A55505" s="118"/>
      <c r="B55505" s="136"/>
    </row>
    <row r="55506" spans="1:2" x14ac:dyDescent="0.25">
      <c r="A55506" s="118"/>
      <c r="B55506" s="136"/>
    </row>
    <row r="55507" spans="1:2" x14ac:dyDescent="0.25">
      <c r="A55507" s="118"/>
      <c r="B55507" s="136"/>
    </row>
    <row r="55508" spans="1:2" x14ac:dyDescent="0.25">
      <c r="A55508" s="118"/>
      <c r="B55508" s="136"/>
    </row>
    <row r="55509" spans="1:2" x14ac:dyDescent="0.25">
      <c r="A55509" s="118"/>
      <c r="B55509" s="136"/>
    </row>
    <row r="55510" spans="1:2" x14ac:dyDescent="0.25">
      <c r="A55510" s="118"/>
      <c r="B55510" s="136"/>
    </row>
    <row r="55511" spans="1:2" x14ac:dyDescent="0.25">
      <c r="A55511" s="118"/>
      <c r="B55511" s="136"/>
    </row>
    <row r="55512" spans="1:2" x14ac:dyDescent="0.25">
      <c r="A55512" s="118"/>
      <c r="B55512" s="136"/>
    </row>
    <row r="55513" spans="1:2" x14ac:dyDescent="0.25">
      <c r="A55513" s="118"/>
      <c r="B55513" s="136"/>
    </row>
    <row r="55514" spans="1:2" x14ac:dyDescent="0.25">
      <c r="A55514" s="118"/>
      <c r="B55514" s="136"/>
    </row>
    <row r="55515" spans="1:2" x14ac:dyDescent="0.25">
      <c r="A55515" s="118"/>
      <c r="B55515" s="136"/>
    </row>
    <row r="55516" spans="1:2" x14ac:dyDescent="0.25">
      <c r="A55516" s="118"/>
      <c r="B55516" s="136"/>
    </row>
    <row r="55517" spans="1:2" x14ac:dyDescent="0.25">
      <c r="A55517" s="118"/>
      <c r="B55517" s="136"/>
    </row>
    <row r="55518" spans="1:2" x14ac:dyDescent="0.25">
      <c r="A55518" s="118"/>
      <c r="B55518" s="136"/>
    </row>
    <row r="55519" spans="1:2" x14ac:dyDescent="0.25">
      <c r="A55519" s="118"/>
      <c r="B55519" s="136"/>
    </row>
    <row r="55520" spans="1:2" x14ac:dyDescent="0.25">
      <c r="A55520" s="118"/>
      <c r="B55520" s="136"/>
    </row>
    <row r="55521" spans="1:2" x14ac:dyDescent="0.25">
      <c r="A55521" s="118"/>
      <c r="B55521" s="136"/>
    </row>
    <row r="55522" spans="1:2" x14ac:dyDescent="0.25">
      <c r="A55522" s="118"/>
      <c r="B55522" s="136"/>
    </row>
    <row r="55523" spans="1:2" x14ac:dyDescent="0.25">
      <c r="A55523" s="118"/>
      <c r="B55523" s="136"/>
    </row>
    <row r="55524" spans="1:2" x14ac:dyDescent="0.25">
      <c r="A55524" s="118"/>
      <c r="B55524" s="136"/>
    </row>
    <row r="55525" spans="1:2" x14ac:dyDescent="0.25">
      <c r="A55525" s="118"/>
      <c r="B55525" s="136"/>
    </row>
    <row r="55526" spans="1:2" x14ac:dyDescent="0.25">
      <c r="A55526" s="118"/>
      <c r="B55526" s="136"/>
    </row>
    <row r="55527" spans="1:2" x14ac:dyDescent="0.25">
      <c r="A55527" s="118"/>
      <c r="B55527" s="136"/>
    </row>
    <row r="55528" spans="1:2" x14ac:dyDescent="0.25">
      <c r="A55528" s="118"/>
      <c r="B55528" s="136"/>
    </row>
    <row r="55529" spans="1:2" x14ac:dyDescent="0.25">
      <c r="A55529" s="118"/>
      <c r="B55529" s="136"/>
    </row>
    <row r="55530" spans="1:2" x14ac:dyDescent="0.25">
      <c r="A55530" s="118"/>
      <c r="B55530" s="136"/>
    </row>
    <row r="55531" spans="1:2" x14ac:dyDescent="0.25">
      <c r="A55531" s="118"/>
      <c r="B55531" s="136"/>
    </row>
    <row r="55532" spans="1:2" x14ac:dyDescent="0.25">
      <c r="A55532" s="118"/>
      <c r="B55532" s="136"/>
    </row>
    <row r="55533" spans="1:2" x14ac:dyDescent="0.25">
      <c r="A55533" s="118"/>
      <c r="B55533" s="136"/>
    </row>
    <row r="55534" spans="1:2" x14ac:dyDescent="0.25">
      <c r="A55534" s="118"/>
      <c r="B55534" s="136"/>
    </row>
    <row r="55535" spans="1:2" x14ac:dyDescent="0.25">
      <c r="A55535" s="118"/>
      <c r="B55535" s="136"/>
    </row>
    <row r="55536" spans="1:2" x14ac:dyDescent="0.25">
      <c r="A55536" s="118"/>
      <c r="B55536" s="136"/>
    </row>
    <row r="55537" spans="1:2" x14ac:dyDescent="0.25">
      <c r="A55537" s="118"/>
      <c r="B55537" s="136"/>
    </row>
    <row r="55538" spans="1:2" x14ac:dyDescent="0.25">
      <c r="A55538" s="118"/>
      <c r="B55538" s="136"/>
    </row>
    <row r="55539" spans="1:2" x14ac:dyDescent="0.25">
      <c r="A55539" s="118"/>
      <c r="B55539" s="136"/>
    </row>
    <row r="55540" spans="1:2" x14ac:dyDescent="0.25">
      <c r="A55540" s="118"/>
      <c r="B55540" s="136"/>
    </row>
    <row r="55541" spans="1:2" x14ac:dyDescent="0.25">
      <c r="A55541" s="118"/>
      <c r="B55541" s="136"/>
    </row>
    <row r="55542" spans="1:2" x14ac:dyDescent="0.25">
      <c r="A55542" s="118"/>
      <c r="B55542" s="136"/>
    </row>
    <row r="55543" spans="1:2" x14ac:dyDescent="0.25">
      <c r="A55543" s="118"/>
      <c r="B55543" s="136"/>
    </row>
    <row r="55544" spans="1:2" x14ac:dyDescent="0.25">
      <c r="A55544" s="118"/>
      <c r="B55544" s="136"/>
    </row>
    <row r="55545" spans="1:2" x14ac:dyDescent="0.25">
      <c r="A55545" s="118"/>
      <c r="B55545" s="136"/>
    </row>
    <row r="55546" spans="1:2" x14ac:dyDescent="0.25">
      <c r="A55546" s="118"/>
      <c r="B55546" s="136"/>
    </row>
    <row r="55547" spans="1:2" x14ac:dyDescent="0.25">
      <c r="A55547" s="118"/>
      <c r="B55547" s="136"/>
    </row>
    <row r="55548" spans="1:2" x14ac:dyDescent="0.25">
      <c r="A55548" s="118"/>
      <c r="B55548" s="136"/>
    </row>
    <row r="55549" spans="1:2" x14ac:dyDescent="0.25">
      <c r="A55549" s="118"/>
      <c r="B55549" s="136"/>
    </row>
    <row r="55550" spans="1:2" x14ac:dyDescent="0.25">
      <c r="A55550" s="118"/>
      <c r="B55550" s="136"/>
    </row>
    <row r="55551" spans="1:2" x14ac:dyDescent="0.25">
      <c r="A55551" s="118"/>
      <c r="B55551" s="136"/>
    </row>
    <row r="55552" spans="1:2" x14ac:dyDescent="0.25">
      <c r="A55552" s="118"/>
      <c r="B55552" s="136"/>
    </row>
    <row r="55553" spans="1:2" x14ac:dyDescent="0.25">
      <c r="A55553" s="118"/>
      <c r="B55553" s="136"/>
    </row>
    <row r="55554" spans="1:2" x14ac:dyDescent="0.25">
      <c r="A55554" s="118"/>
      <c r="B55554" s="136"/>
    </row>
    <row r="55555" spans="1:2" x14ac:dyDescent="0.25">
      <c r="A55555" s="118"/>
      <c r="B55555" s="136"/>
    </row>
    <row r="55556" spans="1:2" x14ac:dyDescent="0.25">
      <c r="A55556" s="118"/>
      <c r="B55556" s="136"/>
    </row>
    <row r="55557" spans="1:2" x14ac:dyDescent="0.25">
      <c r="A55557" s="118"/>
      <c r="B55557" s="136"/>
    </row>
    <row r="55558" spans="1:2" x14ac:dyDescent="0.25">
      <c r="A55558" s="118"/>
      <c r="B55558" s="136"/>
    </row>
    <row r="55559" spans="1:2" x14ac:dyDescent="0.25">
      <c r="A55559" s="118"/>
      <c r="B55559" s="136"/>
    </row>
    <row r="55560" spans="1:2" x14ac:dyDescent="0.25">
      <c r="A55560" s="118"/>
      <c r="B55560" s="136"/>
    </row>
    <row r="55561" spans="1:2" x14ac:dyDescent="0.25">
      <c r="A55561" s="118"/>
      <c r="B55561" s="136"/>
    </row>
    <row r="55562" spans="1:2" x14ac:dyDescent="0.25">
      <c r="A55562" s="118"/>
      <c r="B55562" s="136"/>
    </row>
    <row r="55563" spans="1:2" x14ac:dyDescent="0.25">
      <c r="A55563" s="118"/>
      <c r="B55563" s="136"/>
    </row>
    <row r="55564" spans="1:2" x14ac:dyDescent="0.25">
      <c r="A55564" s="118"/>
      <c r="B55564" s="136"/>
    </row>
    <row r="55565" spans="1:2" x14ac:dyDescent="0.25">
      <c r="A55565" s="118"/>
      <c r="B55565" s="136"/>
    </row>
    <row r="55566" spans="1:2" x14ac:dyDescent="0.25">
      <c r="A55566" s="118"/>
      <c r="B55566" s="136"/>
    </row>
    <row r="55567" spans="1:2" x14ac:dyDescent="0.25">
      <c r="A55567" s="118"/>
      <c r="B55567" s="136"/>
    </row>
    <row r="55568" spans="1:2" x14ac:dyDescent="0.25">
      <c r="A55568" s="118"/>
      <c r="B55568" s="136"/>
    </row>
    <row r="55569" spans="1:2" x14ac:dyDescent="0.25">
      <c r="A55569" s="118"/>
      <c r="B55569" s="136"/>
    </row>
    <row r="55570" spans="1:2" x14ac:dyDescent="0.25">
      <c r="A55570" s="118"/>
      <c r="B55570" s="136"/>
    </row>
    <row r="55571" spans="1:2" x14ac:dyDescent="0.25">
      <c r="A55571" s="118"/>
      <c r="B55571" s="136"/>
    </row>
    <row r="55572" spans="1:2" x14ac:dyDescent="0.25">
      <c r="A55572" s="118"/>
      <c r="B55572" s="136"/>
    </row>
    <row r="55573" spans="1:2" x14ac:dyDescent="0.25">
      <c r="A55573" s="118"/>
      <c r="B55573" s="136"/>
    </row>
    <row r="55574" spans="1:2" x14ac:dyDescent="0.25">
      <c r="A55574" s="118"/>
      <c r="B55574" s="136"/>
    </row>
    <row r="55575" spans="1:2" x14ac:dyDescent="0.25">
      <c r="A55575" s="118"/>
      <c r="B55575" s="136"/>
    </row>
    <row r="55576" spans="1:2" x14ac:dyDescent="0.25">
      <c r="A55576" s="118"/>
      <c r="B55576" s="136"/>
    </row>
    <row r="55577" spans="1:2" x14ac:dyDescent="0.25">
      <c r="A55577" s="118"/>
      <c r="B55577" s="136"/>
    </row>
    <row r="55578" spans="1:2" x14ac:dyDescent="0.25">
      <c r="A55578" s="118"/>
      <c r="B55578" s="136"/>
    </row>
    <row r="55579" spans="1:2" x14ac:dyDescent="0.25">
      <c r="A55579" s="118"/>
      <c r="B55579" s="136"/>
    </row>
    <row r="55580" spans="1:2" x14ac:dyDescent="0.25">
      <c r="A55580" s="118"/>
      <c r="B55580" s="136"/>
    </row>
    <row r="55581" spans="1:2" x14ac:dyDescent="0.25">
      <c r="A55581" s="118"/>
      <c r="B55581" s="136"/>
    </row>
    <row r="55582" spans="1:2" x14ac:dyDescent="0.25">
      <c r="A55582" s="118"/>
      <c r="B55582" s="136"/>
    </row>
    <row r="55583" spans="1:2" x14ac:dyDescent="0.25">
      <c r="A55583" s="118"/>
      <c r="B55583" s="136"/>
    </row>
    <row r="55584" spans="1:2" x14ac:dyDescent="0.25">
      <c r="A55584" s="118"/>
      <c r="B55584" s="136"/>
    </row>
    <row r="55585" spans="1:2" x14ac:dyDescent="0.25">
      <c r="A55585" s="118"/>
      <c r="B55585" s="136"/>
    </row>
    <row r="55586" spans="1:2" x14ac:dyDescent="0.25">
      <c r="A55586" s="118"/>
      <c r="B55586" s="136"/>
    </row>
    <row r="55587" spans="1:2" x14ac:dyDescent="0.25">
      <c r="A55587" s="118"/>
      <c r="B55587" s="136"/>
    </row>
    <row r="55588" spans="1:2" x14ac:dyDescent="0.25">
      <c r="A55588" s="118"/>
      <c r="B55588" s="136"/>
    </row>
    <row r="55589" spans="1:2" x14ac:dyDescent="0.25">
      <c r="A55589" s="118"/>
      <c r="B55589" s="136"/>
    </row>
    <row r="55590" spans="1:2" x14ac:dyDescent="0.25">
      <c r="A55590" s="118"/>
      <c r="B55590" s="136"/>
    </row>
    <row r="55591" spans="1:2" x14ac:dyDescent="0.25">
      <c r="A55591" s="118"/>
      <c r="B55591" s="136"/>
    </row>
    <row r="55592" spans="1:2" x14ac:dyDescent="0.25">
      <c r="A55592" s="118"/>
      <c r="B55592" s="136"/>
    </row>
    <row r="55593" spans="1:2" x14ac:dyDescent="0.25">
      <c r="A55593" s="118"/>
      <c r="B55593" s="136"/>
    </row>
    <row r="55594" spans="1:2" x14ac:dyDescent="0.25">
      <c r="A55594" s="118"/>
      <c r="B55594" s="136"/>
    </row>
    <row r="55595" spans="1:2" x14ac:dyDescent="0.25">
      <c r="A55595" s="118"/>
      <c r="B55595" s="136"/>
    </row>
    <row r="55596" spans="1:2" x14ac:dyDescent="0.25">
      <c r="A55596" s="118"/>
      <c r="B55596" s="136"/>
    </row>
    <row r="55597" spans="1:2" x14ac:dyDescent="0.25">
      <c r="A55597" s="118"/>
      <c r="B55597" s="136"/>
    </row>
    <row r="55598" spans="1:2" x14ac:dyDescent="0.25">
      <c r="A55598" s="118"/>
      <c r="B55598" s="136"/>
    </row>
    <row r="55599" spans="1:2" x14ac:dyDescent="0.25">
      <c r="A55599" s="118"/>
      <c r="B55599" s="136"/>
    </row>
    <row r="55600" spans="1:2" x14ac:dyDescent="0.25">
      <c r="A55600" s="118"/>
      <c r="B55600" s="136"/>
    </row>
    <row r="55601" spans="1:2" x14ac:dyDescent="0.25">
      <c r="A55601" s="118"/>
      <c r="B55601" s="136"/>
    </row>
    <row r="55602" spans="1:2" x14ac:dyDescent="0.25">
      <c r="A55602" s="118"/>
      <c r="B55602" s="136"/>
    </row>
    <row r="55603" spans="1:2" x14ac:dyDescent="0.25">
      <c r="A55603" s="118"/>
      <c r="B55603" s="136"/>
    </row>
    <row r="55604" spans="1:2" x14ac:dyDescent="0.25">
      <c r="A55604" s="118"/>
      <c r="B55604" s="136"/>
    </row>
    <row r="55605" spans="1:2" x14ac:dyDescent="0.25">
      <c r="A55605" s="118"/>
      <c r="B55605" s="136"/>
    </row>
    <row r="55606" spans="1:2" x14ac:dyDescent="0.25">
      <c r="A55606" s="118"/>
      <c r="B55606" s="136"/>
    </row>
    <row r="55607" spans="1:2" x14ac:dyDescent="0.25">
      <c r="A55607" s="118"/>
      <c r="B55607" s="136"/>
    </row>
    <row r="55608" spans="1:2" x14ac:dyDescent="0.25">
      <c r="A55608" s="118"/>
      <c r="B55608" s="136"/>
    </row>
    <row r="55609" spans="1:2" x14ac:dyDescent="0.25">
      <c r="A55609" s="118"/>
      <c r="B55609" s="136"/>
    </row>
    <row r="55610" spans="1:2" x14ac:dyDescent="0.25">
      <c r="A55610" s="118"/>
      <c r="B55610" s="136"/>
    </row>
    <row r="55611" spans="1:2" x14ac:dyDescent="0.25">
      <c r="A55611" s="118"/>
      <c r="B55611" s="136"/>
    </row>
    <row r="55612" spans="1:2" x14ac:dyDescent="0.25">
      <c r="A55612" s="118"/>
      <c r="B55612" s="136"/>
    </row>
    <row r="55613" spans="1:2" x14ac:dyDescent="0.25">
      <c r="A55613" s="118"/>
      <c r="B55613" s="136"/>
    </row>
    <row r="55614" spans="1:2" x14ac:dyDescent="0.25">
      <c r="A55614" s="118"/>
      <c r="B55614" s="136"/>
    </row>
    <row r="55615" spans="1:2" x14ac:dyDescent="0.25">
      <c r="A55615" s="118"/>
      <c r="B55615" s="136"/>
    </row>
    <row r="55616" spans="1:2" x14ac:dyDescent="0.25">
      <c r="A55616" s="118"/>
      <c r="B55616" s="136"/>
    </row>
    <row r="55617" spans="1:2" x14ac:dyDescent="0.25">
      <c r="A55617" s="118"/>
      <c r="B55617" s="136"/>
    </row>
    <row r="55618" spans="1:2" x14ac:dyDescent="0.25">
      <c r="A55618" s="118"/>
      <c r="B55618" s="136"/>
    </row>
    <row r="55619" spans="1:2" x14ac:dyDescent="0.25">
      <c r="A55619" s="118"/>
      <c r="B55619" s="136"/>
    </row>
    <row r="55620" spans="1:2" x14ac:dyDescent="0.25">
      <c r="A55620" s="118"/>
      <c r="B55620" s="136"/>
    </row>
    <row r="55621" spans="1:2" x14ac:dyDescent="0.25">
      <c r="A55621" s="118"/>
      <c r="B55621" s="136"/>
    </row>
    <row r="55622" spans="1:2" x14ac:dyDescent="0.25">
      <c r="A55622" s="118"/>
      <c r="B55622" s="136"/>
    </row>
    <row r="55623" spans="1:2" x14ac:dyDescent="0.25">
      <c r="A55623" s="118"/>
      <c r="B55623" s="136"/>
    </row>
    <row r="55624" spans="1:2" x14ac:dyDescent="0.25">
      <c r="A55624" s="118"/>
      <c r="B55624" s="136"/>
    </row>
    <row r="55625" spans="1:2" x14ac:dyDescent="0.25">
      <c r="A55625" s="118"/>
      <c r="B55625" s="136"/>
    </row>
    <row r="55626" spans="1:2" x14ac:dyDescent="0.25">
      <c r="A55626" s="118"/>
      <c r="B55626" s="136"/>
    </row>
    <row r="55627" spans="1:2" x14ac:dyDescent="0.25">
      <c r="A55627" s="118"/>
      <c r="B55627" s="136"/>
    </row>
    <row r="55628" spans="1:2" x14ac:dyDescent="0.25">
      <c r="A55628" s="118"/>
      <c r="B55628" s="136"/>
    </row>
    <row r="55629" spans="1:2" x14ac:dyDescent="0.25">
      <c r="A55629" s="118"/>
      <c r="B55629" s="136"/>
    </row>
    <row r="55630" spans="1:2" x14ac:dyDescent="0.25">
      <c r="A55630" s="118"/>
      <c r="B55630" s="136"/>
    </row>
    <row r="55631" spans="1:2" x14ac:dyDescent="0.25">
      <c r="A55631" s="118"/>
      <c r="B55631" s="136"/>
    </row>
    <row r="55632" spans="1:2" x14ac:dyDescent="0.25">
      <c r="A55632" s="118"/>
      <c r="B55632" s="136"/>
    </row>
    <row r="55633" spans="1:2" x14ac:dyDescent="0.25">
      <c r="A55633" s="118"/>
      <c r="B55633" s="136"/>
    </row>
    <row r="55634" spans="1:2" x14ac:dyDescent="0.25">
      <c r="A55634" s="118"/>
      <c r="B55634" s="136"/>
    </row>
    <row r="55635" spans="1:2" x14ac:dyDescent="0.25">
      <c r="A55635" s="118"/>
      <c r="B55635" s="136"/>
    </row>
    <row r="55636" spans="1:2" x14ac:dyDescent="0.25">
      <c r="A55636" s="118"/>
      <c r="B55636" s="136"/>
    </row>
    <row r="55637" spans="1:2" x14ac:dyDescent="0.25">
      <c r="A55637" s="118"/>
      <c r="B55637" s="136"/>
    </row>
    <row r="55638" spans="1:2" x14ac:dyDescent="0.25">
      <c r="A55638" s="118"/>
      <c r="B55638" s="136"/>
    </row>
    <row r="55639" spans="1:2" x14ac:dyDescent="0.25">
      <c r="A55639" s="118"/>
      <c r="B55639" s="136"/>
    </row>
    <row r="55640" spans="1:2" x14ac:dyDescent="0.25">
      <c r="A55640" s="118"/>
      <c r="B55640" s="136"/>
    </row>
    <row r="55641" spans="1:2" x14ac:dyDescent="0.25">
      <c r="A55641" s="118"/>
      <c r="B55641" s="136"/>
    </row>
    <row r="55642" spans="1:2" x14ac:dyDescent="0.25">
      <c r="A55642" s="118"/>
      <c r="B55642" s="136"/>
    </row>
    <row r="55643" spans="1:2" x14ac:dyDescent="0.25">
      <c r="A55643" s="118"/>
      <c r="B55643" s="136"/>
    </row>
    <row r="55644" spans="1:2" x14ac:dyDescent="0.25">
      <c r="A55644" s="118"/>
      <c r="B55644" s="136"/>
    </row>
    <row r="55645" spans="1:2" x14ac:dyDescent="0.25">
      <c r="A55645" s="118"/>
      <c r="B55645" s="136"/>
    </row>
    <row r="55646" spans="1:2" x14ac:dyDescent="0.25">
      <c r="A55646" s="118"/>
      <c r="B55646" s="136"/>
    </row>
    <row r="55647" spans="1:2" x14ac:dyDescent="0.25">
      <c r="A55647" s="118"/>
      <c r="B55647" s="136"/>
    </row>
    <row r="55648" spans="1:2" x14ac:dyDescent="0.25">
      <c r="A55648" s="118"/>
      <c r="B55648" s="136"/>
    </row>
    <row r="55649" spans="1:2" x14ac:dyDescent="0.25">
      <c r="A55649" s="118"/>
      <c r="B55649" s="136"/>
    </row>
    <row r="55650" spans="1:2" x14ac:dyDescent="0.25">
      <c r="A55650" s="118"/>
      <c r="B55650" s="136"/>
    </row>
    <row r="55651" spans="1:2" x14ac:dyDescent="0.25">
      <c r="A55651" s="118"/>
      <c r="B55651" s="136"/>
    </row>
    <row r="55652" spans="1:2" x14ac:dyDescent="0.25">
      <c r="A55652" s="118"/>
      <c r="B55652" s="136"/>
    </row>
    <row r="55653" spans="1:2" x14ac:dyDescent="0.25">
      <c r="A55653" s="118"/>
      <c r="B55653" s="136"/>
    </row>
    <row r="55654" spans="1:2" x14ac:dyDescent="0.25">
      <c r="A55654" s="118"/>
      <c r="B55654" s="136"/>
    </row>
    <row r="55655" spans="1:2" x14ac:dyDescent="0.25">
      <c r="A55655" s="118"/>
      <c r="B55655" s="136"/>
    </row>
    <row r="55656" spans="1:2" x14ac:dyDescent="0.25">
      <c r="A55656" s="118"/>
      <c r="B55656" s="136"/>
    </row>
    <row r="55657" spans="1:2" x14ac:dyDescent="0.25">
      <c r="A55657" s="118"/>
      <c r="B55657" s="136"/>
    </row>
    <row r="55658" spans="1:2" x14ac:dyDescent="0.25">
      <c r="A55658" s="118"/>
      <c r="B55658" s="136"/>
    </row>
    <row r="55659" spans="1:2" x14ac:dyDescent="0.25">
      <c r="A55659" s="118"/>
      <c r="B55659" s="136"/>
    </row>
    <row r="55660" spans="1:2" x14ac:dyDescent="0.25">
      <c r="A55660" s="118"/>
      <c r="B55660" s="136"/>
    </row>
    <row r="55661" spans="1:2" x14ac:dyDescent="0.25">
      <c r="A55661" s="118"/>
      <c r="B55661" s="136"/>
    </row>
    <row r="55662" spans="1:2" x14ac:dyDescent="0.25">
      <c r="A55662" s="118"/>
      <c r="B55662" s="136"/>
    </row>
    <row r="55663" spans="1:2" x14ac:dyDescent="0.25">
      <c r="A55663" s="118"/>
      <c r="B55663" s="136"/>
    </row>
    <row r="55664" spans="1:2" x14ac:dyDescent="0.25">
      <c r="A55664" s="118"/>
      <c r="B55664" s="136"/>
    </row>
    <row r="55665" spans="1:2" x14ac:dyDescent="0.25">
      <c r="A55665" s="118"/>
      <c r="B55665" s="136"/>
    </row>
    <row r="55666" spans="1:2" x14ac:dyDescent="0.25">
      <c r="A55666" s="118"/>
      <c r="B55666" s="136"/>
    </row>
    <row r="55667" spans="1:2" x14ac:dyDescent="0.25">
      <c r="A55667" s="118"/>
      <c r="B55667" s="136"/>
    </row>
    <row r="55668" spans="1:2" x14ac:dyDescent="0.25">
      <c r="A55668" s="118"/>
      <c r="B55668" s="136"/>
    </row>
    <row r="55669" spans="1:2" x14ac:dyDescent="0.25">
      <c r="A55669" s="118"/>
      <c r="B55669" s="136"/>
    </row>
    <row r="55670" spans="1:2" x14ac:dyDescent="0.25">
      <c r="A55670" s="118"/>
      <c r="B55670" s="136"/>
    </row>
    <row r="55671" spans="1:2" x14ac:dyDescent="0.25">
      <c r="A55671" s="118"/>
      <c r="B55671" s="136"/>
    </row>
    <row r="55672" spans="1:2" x14ac:dyDescent="0.25">
      <c r="A55672" s="118"/>
      <c r="B55672" s="136"/>
    </row>
    <row r="55673" spans="1:2" x14ac:dyDescent="0.25">
      <c r="A55673" s="118"/>
      <c r="B55673" s="136"/>
    </row>
    <row r="55674" spans="1:2" x14ac:dyDescent="0.25">
      <c r="A55674" s="118"/>
      <c r="B55674" s="136"/>
    </row>
    <row r="55675" spans="1:2" x14ac:dyDescent="0.25">
      <c r="A55675" s="118"/>
      <c r="B55675" s="136"/>
    </row>
    <row r="55676" spans="1:2" x14ac:dyDescent="0.25">
      <c r="A55676" s="118"/>
      <c r="B55676" s="136"/>
    </row>
    <row r="55677" spans="1:2" x14ac:dyDescent="0.25">
      <c r="A55677" s="118"/>
      <c r="B55677" s="136"/>
    </row>
    <row r="55678" spans="1:2" x14ac:dyDescent="0.25">
      <c r="A55678" s="118"/>
      <c r="B55678" s="136"/>
    </row>
    <row r="55679" spans="1:2" x14ac:dyDescent="0.25">
      <c r="A55679" s="118"/>
      <c r="B55679" s="136"/>
    </row>
    <row r="55680" spans="1:2" x14ac:dyDescent="0.25">
      <c r="A55680" s="118"/>
      <c r="B55680" s="136"/>
    </row>
    <row r="55681" spans="1:2" x14ac:dyDescent="0.25">
      <c r="A55681" s="118"/>
      <c r="B55681" s="136"/>
    </row>
    <row r="55682" spans="1:2" x14ac:dyDescent="0.25">
      <c r="A55682" s="118"/>
      <c r="B55682" s="136"/>
    </row>
    <row r="55683" spans="1:2" x14ac:dyDescent="0.25">
      <c r="A55683" s="118"/>
      <c r="B55683" s="136"/>
    </row>
    <row r="55684" spans="1:2" x14ac:dyDescent="0.25">
      <c r="A55684" s="118"/>
      <c r="B55684" s="136"/>
    </row>
    <row r="55685" spans="1:2" x14ac:dyDescent="0.25">
      <c r="A55685" s="118"/>
      <c r="B55685" s="136"/>
    </row>
    <row r="55686" spans="1:2" x14ac:dyDescent="0.25">
      <c r="A55686" s="118"/>
      <c r="B55686" s="136"/>
    </row>
    <row r="55687" spans="1:2" x14ac:dyDescent="0.25">
      <c r="A55687" s="118"/>
      <c r="B55687" s="136"/>
    </row>
    <row r="55688" spans="1:2" x14ac:dyDescent="0.25">
      <c r="A55688" s="118"/>
      <c r="B55688" s="136"/>
    </row>
    <row r="55689" spans="1:2" x14ac:dyDescent="0.25">
      <c r="A55689" s="118"/>
      <c r="B55689" s="136"/>
    </row>
    <row r="55690" spans="1:2" x14ac:dyDescent="0.25">
      <c r="A55690" s="118"/>
      <c r="B55690" s="136"/>
    </row>
    <row r="55691" spans="1:2" x14ac:dyDescent="0.25">
      <c r="A55691" s="118"/>
      <c r="B55691" s="136"/>
    </row>
    <row r="55692" spans="1:2" x14ac:dyDescent="0.25">
      <c r="A55692" s="118"/>
      <c r="B55692" s="136"/>
    </row>
    <row r="55693" spans="1:2" x14ac:dyDescent="0.25">
      <c r="A55693" s="118"/>
      <c r="B55693" s="136"/>
    </row>
    <row r="55694" spans="1:2" x14ac:dyDescent="0.25">
      <c r="A55694" s="118"/>
      <c r="B55694" s="136"/>
    </row>
    <row r="55695" spans="1:2" x14ac:dyDescent="0.25">
      <c r="A55695" s="118"/>
      <c r="B55695" s="136"/>
    </row>
    <row r="55696" spans="1:2" x14ac:dyDescent="0.25">
      <c r="A55696" s="118"/>
      <c r="B55696" s="136"/>
    </row>
    <row r="55697" spans="1:2" x14ac:dyDescent="0.25">
      <c r="A55697" s="118"/>
      <c r="B55697" s="136"/>
    </row>
    <row r="55698" spans="1:2" x14ac:dyDescent="0.25">
      <c r="A55698" s="118"/>
      <c r="B55698" s="136"/>
    </row>
    <row r="55699" spans="1:2" x14ac:dyDescent="0.25">
      <c r="A55699" s="118"/>
      <c r="B55699" s="136"/>
    </row>
    <row r="55700" spans="1:2" x14ac:dyDescent="0.25">
      <c r="A55700" s="118"/>
      <c r="B55700" s="136"/>
    </row>
    <row r="55701" spans="1:2" x14ac:dyDescent="0.25">
      <c r="A55701" s="118"/>
      <c r="B55701" s="136"/>
    </row>
    <row r="55702" spans="1:2" x14ac:dyDescent="0.25">
      <c r="A55702" s="118"/>
      <c r="B55702" s="136"/>
    </row>
    <row r="55703" spans="1:2" x14ac:dyDescent="0.25">
      <c r="A55703" s="118"/>
      <c r="B55703" s="136"/>
    </row>
    <row r="55704" spans="1:2" x14ac:dyDescent="0.25">
      <c r="A55704" s="118"/>
      <c r="B55704" s="136"/>
    </row>
    <row r="55705" spans="1:2" x14ac:dyDescent="0.25">
      <c r="A55705" s="118"/>
      <c r="B55705" s="136"/>
    </row>
    <row r="55706" spans="1:2" x14ac:dyDescent="0.25">
      <c r="A55706" s="118"/>
      <c r="B55706" s="136"/>
    </row>
    <row r="55707" spans="1:2" x14ac:dyDescent="0.25">
      <c r="A55707" s="118"/>
      <c r="B55707" s="136"/>
    </row>
    <row r="55708" spans="1:2" x14ac:dyDescent="0.25">
      <c r="A55708" s="118"/>
      <c r="B55708" s="136"/>
    </row>
    <row r="55709" spans="1:2" x14ac:dyDescent="0.25">
      <c r="A55709" s="118"/>
      <c r="B55709" s="136"/>
    </row>
    <row r="55710" spans="1:2" x14ac:dyDescent="0.25">
      <c r="A55710" s="118"/>
      <c r="B55710" s="136"/>
    </row>
    <row r="55711" spans="1:2" x14ac:dyDescent="0.25">
      <c r="A55711" s="118"/>
      <c r="B55711" s="136"/>
    </row>
    <row r="55712" spans="1:2" x14ac:dyDescent="0.25">
      <c r="A55712" s="118"/>
      <c r="B55712" s="136"/>
    </row>
    <row r="55713" spans="1:2" x14ac:dyDescent="0.25">
      <c r="A55713" s="118"/>
      <c r="B55713" s="136"/>
    </row>
    <row r="55714" spans="1:2" x14ac:dyDescent="0.25">
      <c r="A55714" s="118"/>
      <c r="B55714" s="136"/>
    </row>
    <row r="55715" spans="1:2" x14ac:dyDescent="0.25">
      <c r="A55715" s="118"/>
      <c r="B55715" s="136"/>
    </row>
    <row r="55716" spans="1:2" x14ac:dyDescent="0.25">
      <c r="A55716" s="118"/>
      <c r="B55716" s="136"/>
    </row>
    <row r="55717" spans="1:2" x14ac:dyDescent="0.25">
      <c r="A55717" s="118"/>
      <c r="B55717" s="136"/>
    </row>
    <row r="55718" spans="1:2" x14ac:dyDescent="0.25">
      <c r="A55718" s="118"/>
      <c r="B55718" s="136"/>
    </row>
    <row r="55719" spans="1:2" x14ac:dyDescent="0.25">
      <c r="A55719" s="118"/>
      <c r="B55719" s="136"/>
    </row>
    <row r="55720" spans="1:2" x14ac:dyDescent="0.25">
      <c r="A55720" s="118"/>
      <c r="B55720" s="136"/>
    </row>
    <row r="55721" spans="1:2" x14ac:dyDescent="0.25">
      <c r="A55721" s="118"/>
      <c r="B55721" s="136"/>
    </row>
    <row r="55722" spans="1:2" x14ac:dyDescent="0.25">
      <c r="A55722" s="118"/>
      <c r="B55722" s="136"/>
    </row>
    <row r="55723" spans="1:2" x14ac:dyDescent="0.25">
      <c r="A55723" s="118"/>
      <c r="B55723" s="136"/>
    </row>
    <row r="55724" spans="1:2" x14ac:dyDescent="0.25">
      <c r="A55724" s="118"/>
      <c r="B55724" s="136"/>
    </row>
    <row r="55725" spans="1:2" x14ac:dyDescent="0.25">
      <c r="A55725" s="118"/>
      <c r="B55725" s="136"/>
    </row>
    <row r="55726" spans="1:2" x14ac:dyDescent="0.25">
      <c r="A55726" s="118"/>
      <c r="B55726" s="136"/>
    </row>
    <row r="55727" spans="1:2" x14ac:dyDescent="0.25">
      <c r="A55727" s="118"/>
      <c r="B55727" s="136"/>
    </row>
    <row r="55728" spans="1:2" x14ac:dyDescent="0.25">
      <c r="A55728" s="118"/>
      <c r="B55728" s="136"/>
    </row>
    <row r="55729" spans="1:2" x14ac:dyDescent="0.25">
      <c r="A55729" s="118"/>
      <c r="B55729" s="136"/>
    </row>
    <row r="55730" spans="1:2" x14ac:dyDescent="0.25">
      <c r="A55730" s="118"/>
      <c r="B55730" s="136"/>
    </row>
    <row r="55731" spans="1:2" x14ac:dyDescent="0.25">
      <c r="A55731" s="118"/>
      <c r="B55731" s="136"/>
    </row>
    <row r="55732" spans="1:2" x14ac:dyDescent="0.25">
      <c r="A55732" s="118"/>
      <c r="B55732" s="136"/>
    </row>
    <row r="55733" spans="1:2" x14ac:dyDescent="0.25">
      <c r="A55733" s="118"/>
      <c r="B55733" s="136"/>
    </row>
    <row r="55734" spans="1:2" x14ac:dyDescent="0.25">
      <c r="A55734" s="118"/>
      <c r="B55734" s="136"/>
    </row>
    <row r="55735" spans="1:2" x14ac:dyDescent="0.25">
      <c r="A55735" s="118"/>
      <c r="B55735" s="136"/>
    </row>
    <row r="55736" spans="1:2" x14ac:dyDescent="0.25">
      <c r="A55736" s="118"/>
      <c r="B55736" s="136"/>
    </row>
    <row r="55737" spans="1:2" x14ac:dyDescent="0.25">
      <c r="A55737" s="118"/>
      <c r="B55737" s="136"/>
    </row>
    <row r="55738" spans="1:2" x14ac:dyDescent="0.25">
      <c r="A55738" s="118"/>
      <c r="B55738" s="136"/>
    </row>
    <row r="55739" spans="1:2" x14ac:dyDescent="0.25">
      <c r="A55739" s="118"/>
      <c r="B55739" s="136"/>
    </row>
    <row r="55740" spans="1:2" x14ac:dyDescent="0.25">
      <c r="A55740" s="118"/>
      <c r="B55740" s="136"/>
    </row>
    <row r="55741" spans="1:2" x14ac:dyDescent="0.25">
      <c r="A55741" s="118"/>
      <c r="B55741" s="136"/>
    </row>
    <row r="55742" spans="1:2" x14ac:dyDescent="0.25">
      <c r="A55742" s="118"/>
      <c r="B55742" s="136"/>
    </row>
    <row r="55743" spans="1:2" x14ac:dyDescent="0.25">
      <c r="A55743" s="118"/>
      <c r="B55743" s="136"/>
    </row>
    <row r="55744" spans="1:2" x14ac:dyDescent="0.25">
      <c r="A55744" s="118"/>
      <c r="B55744" s="136"/>
    </row>
    <row r="55745" spans="1:2" x14ac:dyDescent="0.25">
      <c r="A55745" s="118"/>
      <c r="B55745" s="136"/>
    </row>
    <row r="55746" spans="1:2" x14ac:dyDescent="0.25">
      <c r="A55746" s="118"/>
      <c r="B55746" s="136"/>
    </row>
    <row r="55747" spans="1:2" x14ac:dyDescent="0.25">
      <c r="A55747" s="118"/>
      <c r="B55747" s="136"/>
    </row>
    <row r="55748" spans="1:2" x14ac:dyDescent="0.25">
      <c r="A55748" s="118"/>
      <c r="B55748" s="136"/>
    </row>
    <row r="55749" spans="1:2" x14ac:dyDescent="0.25">
      <c r="A55749" s="118"/>
      <c r="B55749" s="136"/>
    </row>
    <row r="55750" spans="1:2" x14ac:dyDescent="0.25">
      <c r="A55750" s="118"/>
      <c r="B55750" s="136"/>
    </row>
    <row r="55751" spans="1:2" x14ac:dyDescent="0.25">
      <c r="A55751" s="118"/>
      <c r="B55751" s="136"/>
    </row>
    <row r="55752" spans="1:2" x14ac:dyDescent="0.25">
      <c r="A55752" s="118"/>
      <c r="B55752" s="136"/>
    </row>
    <row r="55753" spans="1:2" x14ac:dyDescent="0.25">
      <c r="A55753" s="118"/>
      <c r="B55753" s="136"/>
    </row>
    <row r="55754" spans="1:2" x14ac:dyDescent="0.25">
      <c r="A55754" s="118"/>
      <c r="B55754" s="136"/>
    </row>
    <row r="55755" spans="1:2" x14ac:dyDescent="0.25">
      <c r="A55755" s="118"/>
      <c r="B55755" s="136"/>
    </row>
    <row r="55756" spans="1:2" x14ac:dyDescent="0.25">
      <c r="A55756" s="118"/>
      <c r="B55756" s="136"/>
    </row>
    <row r="55757" spans="1:2" x14ac:dyDescent="0.25">
      <c r="A55757" s="118"/>
      <c r="B55757" s="136"/>
    </row>
    <row r="55758" spans="1:2" x14ac:dyDescent="0.25">
      <c r="A55758" s="118"/>
      <c r="B55758" s="136"/>
    </row>
    <row r="55759" spans="1:2" x14ac:dyDescent="0.25">
      <c r="A55759" s="118"/>
      <c r="B55759" s="136"/>
    </row>
    <row r="55760" spans="1:2" x14ac:dyDescent="0.25">
      <c r="A55760" s="118"/>
      <c r="B55760" s="136"/>
    </row>
    <row r="55761" spans="1:2" x14ac:dyDescent="0.25">
      <c r="A55761" s="118"/>
      <c r="B55761" s="136"/>
    </row>
    <row r="55762" spans="1:2" x14ac:dyDescent="0.25">
      <c r="A55762" s="118"/>
      <c r="B55762" s="136"/>
    </row>
    <row r="55763" spans="1:2" x14ac:dyDescent="0.25">
      <c r="A55763" s="118"/>
      <c r="B55763" s="136"/>
    </row>
    <row r="55764" spans="1:2" x14ac:dyDescent="0.25">
      <c r="A55764" s="118"/>
      <c r="B55764" s="136"/>
    </row>
    <row r="55765" spans="1:2" x14ac:dyDescent="0.25">
      <c r="A55765" s="118"/>
      <c r="B55765" s="136"/>
    </row>
    <row r="55766" spans="1:2" x14ac:dyDescent="0.25">
      <c r="A55766" s="118"/>
      <c r="B55766" s="136"/>
    </row>
    <row r="55767" spans="1:2" x14ac:dyDescent="0.25">
      <c r="A55767" s="118"/>
      <c r="B55767" s="136"/>
    </row>
    <row r="55768" spans="1:2" x14ac:dyDescent="0.25">
      <c r="A55768" s="118"/>
      <c r="B55768" s="136"/>
    </row>
    <row r="55769" spans="1:2" x14ac:dyDescent="0.25">
      <c r="A55769" s="118"/>
      <c r="B55769" s="136"/>
    </row>
    <row r="55770" spans="1:2" x14ac:dyDescent="0.25">
      <c r="A55770" s="118"/>
      <c r="B55770" s="136"/>
    </row>
    <row r="55771" spans="1:2" x14ac:dyDescent="0.25">
      <c r="A55771" s="118"/>
      <c r="B55771" s="136"/>
    </row>
    <row r="55772" spans="1:2" x14ac:dyDescent="0.25">
      <c r="A55772" s="118"/>
      <c r="B55772" s="136"/>
    </row>
    <row r="55773" spans="1:2" x14ac:dyDescent="0.25">
      <c r="A55773" s="118"/>
      <c r="B55773" s="136"/>
    </row>
    <row r="55774" spans="1:2" x14ac:dyDescent="0.25">
      <c r="A55774" s="118"/>
      <c r="B55774" s="136"/>
    </row>
    <row r="55775" spans="1:2" x14ac:dyDescent="0.25">
      <c r="A55775" s="118"/>
      <c r="B55775" s="136"/>
    </row>
    <row r="55776" spans="1:2" x14ac:dyDescent="0.25">
      <c r="A55776" s="118"/>
      <c r="B55776" s="136"/>
    </row>
    <row r="55777" spans="1:2" x14ac:dyDescent="0.25">
      <c r="A55777" s="118"/>
      <c r="B55777" s="136"/>
    </row>
    <row r="55778" spans="1:2" x14ac:dyDescent="0.25">
      <c r="A55778" s="118"/>
      <c r="B55778" s="136"/>
    </row>
    <row r="55779" spans="1:2" x14ac:dyDescent="0.25">
      <c r="A55779" s="118"/>
      <c r="B55779" s="136"/>
    </row>
    <row r="55780" spans="1:2" x14ac:dyDescent="0.25">
      <c r="A55780" s="118"/>
      <c r="B55780" s="136"/>
    </row>
    <row r="55781" spans="1:2" x14ac:dyDescent="0.25">
      <c r="A55781" s="118"/>
      <c r="B55781" s="136"/>
    </row>
    <row r="55782" spans="1:2" x14ac:dyDescent="0.25">
      <c r="A55782" s="118"/>
      <c r="B55782" s="136"/>
    </row>
    <row r="55783" spans="1:2" x14ac:dyDescent="0.25">
      <c r="A55783" s="118"/>
      <c r="B55783" s="136"/>
    </row>
    <row r="55784" spans="1:2" x14ac:dyDescent="0.25">
      <c r="A55784" s="118"/>
      <c r="B55784" s="136"/>
    </row>
    <row r="55785" spans="1:2" x14ac:dyDescent="0.25">
      <c r="A55785" s="118"/>
      <c r="B55785" s="136"/>
    </row>
    <row r="55786" spans="1:2" x14ac:dyDescent="0.25">
      <c r="A55786" s="118"/>
      <c r="B55786" s="136"/>
    </row>
    <row r="55787" spans="1:2" x14ac:dyDescent="0.25">
      <c r="A55787" s="118"/>
      <c r="B55787" s="136"/>
    </row>
    <row r="55788" spans="1:2" x14ac:dyDescent="0.25">
      <c r="A55788" s="118"/>
      <c r="B55788" s="136"/>
    </row>
    <row r="55789" spans="1:2" x14ac:dyDescent="0.25">
      <c r="A55789" s="118"/>
      <c r="B55789" s="136"/>
    </row>
    <row r="55790" spans="1:2" x14ac:dyDescent="0.25">
      <c r="A55790" s="118"/>
      <c r="B55790" s="136"/>
    </row>
    <row r="55791" spans="1:2" x14ac:dyDescent="0.25">
      <c r="A55791" s="118"/>
      <c r="B55791" s="136"/>
    </row>
    <row r="55792" spans="1:2" x14ac:dyDescent="0.25">
      <c r="A55792" s="118"/>
      <c r="B55792" s="136"/>
    </row>
    <row r="55793" spans="1:2" x14ac:dyDescent="0.25">
      <c r="A55793" s="118"/>
      <c r="B55793" s="136"/>
    </row>
    <row r="55794" spans="1:2" x14ac:dyDescent="0.25">
      <c r="A55794" s="118"/>
      <c r="B55794" s="136"/>
    </row>
    <row r="55795" spans="1:2" x14ac:dyDescent="0.25">
      <c r="A55795" s="118"/>
      <c r="B55795" s="136"/>
    </row>
    <row r="55796" spans="1:2" x14ac:dyDescent="0.25">
      <c r="A55796" s="118"/>
      <c r="B55796" s="136"/>
    </row>
    <row r="55797" spans="1:2" x14ac:dyDescent="0.25">
      <c r="A55797" s="118"/>
      <c r="B55797" s="136"/>
    </row>
    <row r="55798" spans="1:2" x14ac:dyDescent="0.25">
      <c r="A55798" s="118"/>
      <c r="B55798" s="136"/>
    </row>
    <row r="55799" spans="1:2" x14ac:dyDescent="0.25">
      <c r="A55799" s="118"/>
      <c r="B55799" s="136"/>
    </row>
    <row r="55800" spans="1:2" x14ac:dyDescent="0.25">
      <c r="A55800" s="118"/>
      <c r="B55800" s="136"/>
    </row>
    <row r="55801" spans="1:2" x14ac:dyDescent="0.25">
      <c r="A55801" s="118"/>
      <c r="B55801" s="136"/>
    </row>
    <row r="55802" spans="1:2" x14ac:dyDescent="0.25">
      <c r="A55802" s="118"/>
      <c r="B55802" s="136"/>
    </row>
    <row r="55803" spans="1:2" x14ac:dyDescent="0.25">
      <c r="A55803" s="118"/>
      <c r="B55803" s="136"/>
    </row>
    <row r="55804" spans="1:2" x14ac:dyDescent="0.25">
      <c r="A55804" s="118"/>
      <c r="B55804" s="136"/>
    </row>
    <row r="55805" spans="1:2" x14ac:dyDescent="0.25">
      <c r="A55805" s="118"/>
      <c r="B55805" s="136"/>
    </row>
    <row r="55806" spans="1:2" x14ac:dyDescent="0.25">
      <c r="A55806" s="118"/>
      <c r="B55806" s="136"/>
    </row>
    <row r="55807" spans="1:2" x14ac:dyDescent="0.25">
      <c r="A55807" s="118"/>
      <c r="B55807" s="136"/>
    </row>
    <row r="55808" spans="1:2" x14ac:dyDescent="0.25">
      <c r="A55808" s="118"/>
      <c r="B55808" s="136"/>
    </row>
    <row r="55809" spans="1:2" x14ac:dyDescent="0.25">
      <c r="A55809" s="118"/>
      <c r="B55809" s="136"/>
    </row>
    <row r="55810" spans="1:2" x14ac:dyDescent="0.25">
      <c r="A55810" s="118"/>
      <c r="B55810" s="136"/>
    </row>
    <row r="55811" spans="1:2" x14ac:dyDescent="0.25">
      <c r="A55811" s="118"/>
      <c r="B55811" s="136"/>
    </row>
    <row r="55812" spans="1:2" x14ac:dyDescent="0.25">
      <c r="A55812" s="118"/>
      <c r="B55812" s="136"/>
    </row>
    <row r="55813" spans="1:2" x14ac:dyDescent="0.25">
      <c r="A55813" s="118"/>
      <c r="B55813" s="136"/>
    </row>
    <row r="55814" spans="1:2" x14ac:dyDescent="0.25">
      <c r="A55814" s="118"/>
      <c r="B55814" s="136"/>
    </row>
    <row r="55815" spans="1:2" x14ac:dyDescent="0.25">
      <c r="A55815" s="118"/>
      <c r="B55815" s="136"/>
    </row>
    <row r="55816" spans="1:2" x14ac:dyDescent="0.25">
      <c r="A55816" s="118"/>
      <c r="B55816" s="136"/>
    </row>
    <row r="55817" spans="1:2" x14ac:dyDescent="0.25">
      <c r="A55817" s="118"/>
      <c r="B55817" s="136"/>
    </row>
    <row r="55818" spans="1:2" x14ac:dyDescent="0.25">
      <c r="A55818" s="118"/>
      <c r="B55818" s="136"/>
    </row>
    <row r="55819" spans="1:2" x14ac:dyDescent="0.25">
      <c r="A55819" s="118"/>
      <c r="B55819" s="136"/>
    </row>
    <row r="55820" spans="1:2" x14ac:dyDescent="0.25">
      <c r="A55820" s="118"/>
      <c r="B55820" s="136"/>
    </row>
    <row r="55821" spans="1:2" x14ac:dyDescent="0.25">
      <c r="A55821" s="118"/>
      <c r="B55821" s="136"/>
    </row>
    <row r="55822" spans="1:2" x14ac:dyDescent="0.25">
      <c r="A55822" s="118"/>
      <c r="B55822" s="136"/>
    </row>
    <row r="55823" spans="1:2" x14ac:dyDescent="0.25">
      <c r="A55823" s="118"/>
      <c r="B55823" s="136"/>
    </row>
    <row r="55824" spans="1:2" x14ac:dyDescent="0.25">
      <c r="A55824" s="118"/>
      <c r="B55824" s="136"/>
    </row>
    <row r="55825" spans="1:2" x14ac:dyDescent="0.25">
      <c r="A55825" s="118"/>
      <c r="B55825" s="136"/>
    </row>
    <row r="55826" spans="1:2" x14ac:dyDescent="0.25">
      <c r="A55826" s="118"/>
      <c r="B55826" s="136"/>
    </row>
    <row r="55827" spans="1:2" x14ac:dyDescent="0.25">
      <c r="A55827" s="118"/>
      <c r="B55827" s="136"/>
    </row>
    <row r="55828" spans="1:2" x14ac:dyDescent="0.25">
      <c r="A55828" s="118"/>
      <c r="B55828" s="136"/>
    </row>
    <row r="55829" spans="1:2" x14ac:dyDescent="0.25">
      <c r="A55829" s="118"/>
      <c r="B55829" s="136"/>
    </row>
    <row r="55830" spans="1:2" x14ac:dyDescent="0.25">
      <c r="A55830" s="118"/>
      <c r="B55830" s="136"/>
    </row>
    <row r="55831" spans="1:2" x14ac:dyDescent="0.25">
      <c r="A55831" s="118"/>
      <c r="B55831" s="136"/>
    </row>
    <row r="55832" spans="1:2" x14ac:dyDescent="0.25">
      <c r="A55832" s="118"/>
      <c r="B55832" s="136"/>
    </row>
    <row r="55833" spans="1:2" x14ac:dyDescent="0.25">
      <c r="A55833" s="118"/>
      <c r="B55833" s="136"/>
    </row>
    <row r="55834" spans="1:2" x14ac:dyDescent="0.25">
      <c r="A55834" s="118"/>
      <c r="B55834" s="136"/>
    </row>
    <row r="55835" spans="1:2" x14ac:dyDescent="0.25">
      <c r="A55835" s="118"/>
      <c r="B55835" s="136"/>
    </row>
    <row r="55836" spans="1:2" x14ac:dyDescent="0.25">
      <c r="A55836" s="118"/>
      <c r="B55836" s="136"/>
    </row>
    <row r="55837" spans="1:2" x14ac:dyDescent="0.25">
      <c r="A55837" s="118"/>
      <c r="B55837" s="136"/>
    </row>
    <row r="55838" spans="1:2" x14ac:dyDescent="0.25">
      <c r="A55838" s="118"/>
      <c r="B55838" s="136"/>
    </row>
    <row r="55839" spans="1:2" x14ac:dyDescent="0.25">
      <c r="A55839" s="118"/>
      <c r="B55839" s="136"/>
    </row>
    <row r="55840" spans="1:2" x14ac:dyDescent="0.25">
      <c r="A55840" s="118"/>
      <c r="B55840" s="136"/>
    </row>
    <row r="55841" spans="1:2" x14ac:dyDescent="0.25">
      <c r="A55841" s="118"/>
      <c r="B55841" s="136"/>
    </row>
    <row r="55842" spans="1:2" x14ac:dyDescent="0.25">
      <c r="A55842" s="118"/>
      <c r="B55842" s="136"/>
    </row>
    <row r="55843" spans="1:2" x14ac:dyDescent="0.25">
      <c r="A55843" s="118"/>
      <c r="B55843" s="136"/>
    </row>
    <row r="55844" spans="1:2" x14ac:dyDescent="0.25">
      <c r="A55844" s="118"/>
      <c r="B55844" s="136"/>
    </row>
    <row r="55845" spans="1:2" x14ac:dyDescent="0.25">
      <c r="A55845" s="118"/>
      <c r="B55845" s="136"/>
    </row>
    <row r="55846" spans="1:2" x14ac:dyDescent="0.25">
      <c r="A55846" s="118"/>
      <c r="B55846" s="136"/>
    </row>
    <row r="55847" spans="1:2" x14ac:dyDescent="0.25">
      <c r="A55847" s="118"/>
      <c r="B55847" s="136"/>
    </row>
    <row r="55848" spans="1:2" x14ac:dyDescent="0.25">
      <c r="A55848" s="118"/>
      <c r="B55848" s="136"/>
    </row>
    <row r="55849" spans="1:2" x14ac:dyDescent="0.25">
      <c r="A55849" s="118"/>
      <c r="B55849" s="136"/>
    </row>
    <row r="55850" spans="1:2" x14ac:dyDescent="0.25">
      <c r="A55850" s="118"/>
      <c r="B55850" s="136"/>
    </row>
    <row r="55851" spans="1:2" x14ac:dyDescent="0.25">
      <c r="A55851" s="118"/>
      <c r="B55851" s="136"/>
    </row>
    <row r="55852" spans="1:2" x14ac:dyDescent="0.25">
      <c r="A55852" s="118"/>
      <c r="B55852" s="136"/>
    </row>
    <row r="55853" spans="1:2" x14ac:dyDescent="0.25">
      <c r="A55853" s="118"/>
      <c r="B55853" s="136"/>
    </row>
    <row r="55854" spans="1:2" x14ac:dyDescent="0.25">
      <c r="A55854" s="118"/>
      <c r="B55854" s="136"/>
    </row>
    <row r="55855" spans="1:2" x14ac:dyDescent="0.25">
      <c r="A55855" s="118"/>
      <c r="B55855" s="136"/>
    </row>
    <row r="55856" spans="1:2" x14ac:dyDescent="0.25">
      <c r="A55856" s="118"/>
      <c r="B55856" s="136"/>
    </row>
    <row r="55857" spans="1:2" x14ac:dyDescent="0.25">
      <c r="A55857" s="118"/>
      <c r="B55857" s="136"/>
    </row>
    <row r="55858" spans="1:2" x14ac:dyDescent="0.25">
      <c r="A55858" s="118"/>
      <c r="B55858" s="136"/>
    </row>
    <row r="55859" spans="1:2" x14ac:dyDescent="0.25">
      <c r="A55859" s="118"/>
      <c r="B55859" s="136"/>
    </row>
    <row r="55860" spans="1:2" x14ac:dyDescent="0.25">
      <c r="A55860" s="118"/>
      <c r="B55860" s="136"/>
    </row>
    <row r="55861" spans="1:2" x14ac:dyDescent="0.25">
      <c r="A55861" s="118"/>
      <c r="B55861" s="136"/>
    </row>
    <row r="55862" spans="1:2" x14ac:dyDescent="0.25">
      <c r="A55862" s="118"/>
      <c r="B55862" s="136"/>
    </row>
    <row r="55863" spans="1:2" x14ac:dyDescent="0.25">
      <c r="A55863" s="118"/>
      <c r="B55863" s="136"/>
    </row>
    <row r="55864" spans="1:2" x14ac:dyDescent="0.25">
      <c r="A55864" s="118"/>
      <c r="B55864" s="136"/>
    </row>
    <row r="55865" spans="1:2" x14ac:dyDescent="0.25">
      <c r="A55865" s="118"/>
      <c r="B55865" s="136"/>
    </row>
    <row r="55866" spans="1:2" x14ac:dyDescent="0.25">
      <c r="A55866" s="118"/>
      <c r="B55866" s="136"/>
    </row>
    <row r="55867" spans="1:2" x14ac:dyDescent="0.25">
      <c r="A55867" s="118"/>
      <c r="B55867" s="136"/>
    </row>
    <row r="55868" spans="1:2" x14ac:dyDescent="0.25">
      <c r="A55868" s="118"/>
      <c r="B55868" s="136"/>
    </row>
    <row r="55869" spans="1:2" x14ac:dyDescent="0.25">
      <c r="A55869" s="118"/>
      <c r="B55869" s="136"/>
    </row>
    <row r="55870" spans="1:2" x14ac:dyDescent="0.25">
      <c r="A55870" s="118"/>
      <c r="B55870" s="136"/>
    </row>
    <row r="55871" spans="1:2" x14ac:dyDescent="0.25">
      <c r="A55871" s="118"/>
      <c r="B55871" s="136"/>
    </row>
    <row r="55872" spans="1:2" x14ac:dyDescent="0.25">
      <c r="A55872" s="118"/>
      <c r="B55872" s="136"/>
    </row>
    <row r="55873" spans="1:2" x14ac:dyDescent="0.25">
      <c r="A55873" s="118"/>
      <c r="B55873" s="136"/>
    </row>
    <row r="55874" spans="1:2" x14ac:dyDescent="0.25">
      <c r="A55874" s="118"/>
      <c r="B55874" s="136"/>
    </row>
    <row r="55875" spans="1:2" x14ac:dyDescent="0.25">
      <c r="A55875" s="118"/>
      <c r="B55875" s="136"/>
    </row>
    <row r="55876" spans="1:2" x14ac:dyDescent="0.25">
      <c r="A55876" s="118"/>
      <c r="B55876" s="136"/>
    </row>
    <row r="55877" spans="1:2" x14ac:dyDescent="0.25">
      <c r="A55877" s="118"/>
      <c r="B55877" s="136"/>
    </row>
    <row r="55878" spans="1:2" x14ac:dyDescent="0.25">
      <c r="A55878" s="118"/>
      <c r="B55878" s="136"/>
    </row>
    <row r="55879" spans="1:2" x14ac:dyDescent="0.25">
      <c r="A55879" s="118"/>
      <c r="B55879" s="136"/>
    </row>
    <row r="55880" spans="1:2" x14ac:dyDescent="0.25">
      <c r="A55880" s="118"/>
      <c r="B55880" s="136"/>
    </row>
    <row r="55881" spans="1:2" x14ac:dyDescent="0.25">
      <c r="A55881" s="118"/>
      <c r="B55881" s="136"/>
    </row>
    <row r="55882" spans="1:2" x14ac:dyDescent="0.25">
      <c r="A55882" s="118"/>
      <c r="B55882" s="136"/>
    </row>
    <row r="55883" spans="1:2" x14ac:dyDescent="0.25">
      <c r="A55883" s="118"/>
      <c r="B55883" s="136"/>
    </row>
    <row r="55884" spans="1:2" x14ac:dyDescent="0.25">
      <c r="A55884" s="118"/>
      <c r="B55884" s="136"/>
    </row>
    <row r="55885" spans="1:2" x14ac:dyDescent="0.25">
      <c r="A55885" s="118"/>
      <c r="B55885" s="136"/>
    </row>
    <row r="55886" spans="1:2" x14ac:dyDescent="0.25">
      <c r="A55886" s="118"/>
      <c r="B55886" s="136"/>
    </row>
    <row r="55887" spans="1:2" x14ac:dyDescent="0.25">
      <c r="A55887" s="118"/>
      <c r="B55887" s="136"/>
    </row>
    <row r="55888" spans="1:2" x14ac:dyDescent="0.25">
      <c r="A55888" s="118"/>
      <c r="B55888" s="136"/>
    </row>
    <row r="55889" spans="1:2" x14ac:dyDescent="0.25">
      <c r="A55889" s="118"/>
      <c r="B55889" s="136"/>
    </row>
    <row r="55890" spans="1:2" x14ac:dyDescent="0.25">
      <c r="A55890" s="118"/>
      <c r="B55890" s="136"/>
    </row>
    <row r="55891" spans="1:2" x14ac:dyDescent="0.25">
      <c r="A55891" s="118"/>
      <c r="B55891" s="136"/>
    </row>
    <row r="55892" spans="1:2" x14ac:dyDescent="0.25">
      <c r="A55892" s="118"/>
      <c r="B55892" s="136"/>
    </row>
    <row r="55893" spans="1:2" x14ac:dyDescent="0.25">
      <c r="A55893" s="118"/>
      <c r="B55893" s="136"/>
    </row>
    <row r="55894" spans="1:2" x14ac:dyDescent="0.25">
      <c r="A55894" s="118"/>
      <c r="B55894" s="136"/>
    </row>
    <row r="55895" spans="1:2" x14ac:dyDescent="0.25">
      <c r="A55895" s="118"/>
      <c r="B55895" s="136"/>
    </row>
    <row r="55896" spans="1:2" x14ac:dyDescent="0.25">
      <c r="A55896" s="118"/>
      <c r="B55896" s="136"/>
    </row>
    <row r="55897" spans="1:2" x14ac:dyDescent="0.25">
      <c r="A55897" s="118"/>
      <c r="B55897" s="136"/>
    </row>
    <row r="55898" spans="1:2" x14ac:dyDescent="0.25">
      <c r="A55898" s="118"/>
      <c r="B55898" s="136"/>
    </row>
    <row r="55899" spans="1:2" x14ac:dyDescent="0.25">
      <c r="A55899" s="118"/>
      <c r="B55899" s="136"/>
    </row>
    <row r="55900" spans="1:2" x14ac:dyDescent="0.25">
      <c r="A55900" s="118"/>
      <c r="B55900" s="136"/>
    </row>
    <row r="55901" spans="1:2" x14ac:dyDescent="0.25">
      <c r="A55901" s="118"/>
      <c r="B55901" s="136"/>
    </row>
    <row r="55902" spans="1:2" x14ac:dyDescent="0.25">
      <c r="A55902" s="118"/>
      <c r="B55902" s="136"/>
    </row>
    <row r="55903" spans="1:2" x14ac:dyDescent="0.25">
      <c r="A55903" s="118"/>
      <c r="B55903" s="136"/>
    </row>
    <row r="55904" spans="1:2" x14ac:dyDescent="0.25">
      <c r="A55904" s="118"/>
      <c r="B55904" s="136"/>
    </row>
    <row r="55905" spans="1:2" x14ac:dyDescent="0.25">
      <c r="A55905" s="118"/>
      <c r="B55905" s="136"/>
    </row>
    <row r="55906" spans="1:2" x14ac:dyDescent="0.25">
      <c r="A55906" s="118"/>
      <c r="B55906" s="136"/>
    </row>
    <row r="55907" spans="1:2" x14ac:dyDescent="0.25">
      <c r="A55907" s="118"/>
      <c r="B55907" s="136"/>
    </row>
    <row r="55908" spans="1:2" x14ac:dyDescent="0.25">
      <c r="A55908" s="118"/>
      <c r="B55908" s="136"/>
    </row>
    <row r="55909" spans="1:2" x14ac:dyDescent="0.25">
      <c r="A55909" s="118"/>
      <c r="B55909" s="136"/>
    </row>
    <row r="55910" spans="1:2" x14ac:dyDescent="0.25">
      <c r="A55910" s="118"/>
      <c r="B55910" s="136"/>
    </row>
    <row r="55911" spans="1:2" x14ac:dyDescent="0.25">
      <c r="A55911" s="118"/>
      <c r="B55911" s="136"/>
    </row>
    <row r="55912" spans="1:2" x14ac:dyDescent="0.25">
      <c r="A55912" s="118"/>
      <c r="B55912" s="136"/>
    </row>
    <row r="55913" spans="1:2" x14ac:dyDescent="0.25">
      <c r="A55913" s="118"/>
      <c r="B55913" s="136"/>
    </row>
    <row r="55914" spans="1:2" x14ac:dyDescent="0.25">
      <c r="A55914" s="118"/>
      <c r="B55914" s="136"/>
    </row>
    <row r="55915" spans="1:2" x14ac:dyDescent="0.25">
      <c r="A55915" s="118"/>
      <c r="B55915" s="136"/>
    </row>
    <row r="55916" spans="1:2" x14ac:dyDescent="0.25">
      <c r="A55916" s="118"/>
      <c r="B55916" s="136"/>
    </row>
    <row r="55917" spans="1:2" x14ac:dyDescent="0.25">
      <c r="A55917" s="118"/>
      <c r="B55917" s="136"/>
    </row>
    <row r="55918" spans="1:2" x14ac:dyDescent="0.25">
      <c r="A55918" s="118"/>
      <c r="B55918" s="136"/>
    </row>
    <row r="55919" spans="1:2" x14ac:dyDescent="0.25">
      <c r="A55919" s="118"/>
      <c r="B55919" s="136"/>
    </row>
    <row r="55920" spans="1:2" x14ac:dyDescent="0.25">
      <c r="A55920" s="118"/>
      <c r="B55920" s="136"/>
    </row>
    <row r="55921" spans="1:2" x14ac:dyDescent="0.25">
      <c r="A55921" s="118"/>
      <c r="B55921" s="136"/>
    </row>
    <row r="55922" spans="1:2" x14ac:dyDescent="0.25">
      <c r="A55922" s="118"/>
      <c r="B55922" s="136"/>
    </row>
    <row r="55923" spans="1:2" x14ac:dyDescent="0.25">
      <c r="A55923" s="118"/>
      <c r="B55923" s="136"/>
    </row>
    <row r="55924" spans="1:2" x14ac:dyDescent="0.25">
      <c r="A55924" s="118"/>
      <c r="B55924" s="136"/>
    </row>
    <row r="55925" spans="1:2" x14ac:dyDescent="0.25">
      <c r="A55925" s="118"/>
      <c r="B55925" s="136"/>
    </row>
    <row r="55926" spans="1:2" x14ac:dyDescent="0.25">
      <c r="A55926" s="118"/>
      <c r="B55926" s="136"/>
    </row>
    <row r="55927" spans="1:2" x14ac:dyDescent="0.25">
      <c r="A55927" s="118"/>
      <c r="B55927" s="136"/>
    </row>
    <row r="55928" spans="1:2" x14ac:dyDescent="0.25">
      <c r="A55928" s="118"/>
      <c r="B55928" s="136"/>
    </row>
    <row r="55929" spans="1:2" x14ac:dyDescent="0.25">
      <c r="A55929" s="118"/>
      <c r="B55929" s="136"/>
    </row>
    <row r="55930" spans="1:2" x14ac:dyDescent="0.25">
      <c r="A55930" s="118"/>
      <c r="B55930" s="136"/>
    </row>
    <row r="55931" spans="1:2" x14ac:dyDescent="0.25">
      <c r="A55931" s="118"/>
      <c r="B55931" s="136"/>
    </row>
    <row r="55932" spans="1:2" x14ac:dyDescent="0.25">
      <c r="A55932" s="118"/>
      <c r="B55932" s="136"/>
    </row>
    <row r="55933" spans="1:2" x14ac:dyDescent="0.25">
      <c r="A55933" s="118"/>
      <c r="B55933" s="136"/>
    </row>
    <row r="55934" spans="1:2" x14ac:dyDescent="0.25">
      <c r="A55934" s="118"/>
      <c r="B55934" s="136"/>
    </row>
    <row r="55935" spans="1:2" x14ac:dyDescent="0.25">
      <c r="A55935" s="118"/>
      <c r="B55935" s="136"/>
    </row>
    <row r="55936" spans="1:2" x14ac:dyDescent="0.25">
      <c r="A55936" s="118"/>
      <c r="B55936" s="136"/>
    </row>
    <row r="55937" spans="1:2" x14ac:dyDescent="0.25">
      <c r="A55937" s="118"/>
      <c r="B55937" s="136"/>
    </row>
    <row r="55938" spans="1:2" x14ac:dyDescent="0.25">
      <c r="A55938" s="118"/>
      <c r="B55938" s="136"/>
    </row>
    <row r="55939" spans="1:2" x14ac:dyDescent="0.25">
      <c r="A55939" s="118"/>
      <c r="B55939" s="136"/>
    </row>
    <row r="55940" spans="1:2" x14ac:dyDescent="0.25">
      <c r="A55940" s="118"/>
      <c r="B55940" s="136"/>
    </row>
    <row r="55941" spans="1:2" x14ac:dyDescent="0.25">
      <c r="A55941" s="118"/>
      <c r="B55941" s="136"/>
    </row>
    <row r="55942" spans="1:2" x14ac:dyDescent="0.25">
      <c r="A55942" s="118"/>
      <c r="B55942" s="136"/>
    </row>
    <row r="55943" spans="1:2" x14ac:dyDescent="0.25">
      <c r="A55943" s="118"/>
      <c r="B55943" s="136"/>
    </row>
    <row r="55944" spans="1:2" x14ac:dyDescent="0.25">
      <c r="A55944" s="118"/>
      <c r="B55944" s="136"/>
    </row>
    <row r="55945" spans="1:2" x14ac:dyDescent="0.25">
      <c r="A55945" s="118"/>
      <c r="B55945" s="136"/>
    </row>
    <row r="55946" spans="1:2" x14ac:dyDescent="0.25">
      <c r="A55946" s="118"/>
      <c r="B55946" s="136"/>
    </row>
    <row r="55947" spans="1:2" x14ac:dyDescent="0.25">
      <c r="A55947" s="118"/>
      <c r="B55947" s="136"/>
    </row>
    <row r="55948" spans="1:2" x14ac:dyDescent="0.25">
      <c r="A55948" s="118"/>
      <c r="B55948" s="136"/>
    </row>
    <row r="55949" spans="1:2" x14ac:dyDescent="0.25">
      <c r="A55949" s="118"/>
      <c r="B55949" s="136"/>
    </row>
    <row r="55950" spans="1:2" x14ac:dyDescent="0.25">
      <c r="A55950" s="118"/>
      <c r="B55950" s="136"/>
    </row>
    <row r="55951" spans="1:2" x14ac:dyDescent="0.25">
      <c r="A55951" s="118"/>
      <c r="B55951" s="136"/>
    </row>
    <row r="55952" spans="1:2" x14ac:dyDescent="0.25">
      <c r="A55952" s="118"/>
      <c r="B55952" s="136"/>
    </row>
    <row r="55953" spans="1:2" x14ac:dyDescent="0.25">
      <c r="A55953" s="118"/>
      <c r="B55953" s="136"/>
    </row>
    <row r="55954" spans="1:2" x14ac:dyDescent="0.25">
      <c r="A55954" s="118"/>
      <c r="B55954" s="136"/>
    </row>
    <row r="55955" spans="1:2" x14ac:dyDescent="0.25">
      <c r="A55955" s="118"/>
      <c r="B55955" s="136"/>
    </row>
    <row r="55956" spans="1:2" x14ac:dyDescent="0.25">
      <c r="A55956" s="118"/>
      <c r="B55956" s="136"/>
    </row>
    <row r="55957" spans="1:2" x14ac:dyDescent="0.25">
      <c r="A55957" s="118"/>
      <c r="B55957" s="136"/>
    </row>
    <row r="55958" spans="1:2" x14ac:dyDescent="0.25">
      <c r="A55958" s="118"/>
      <c r="B55958" s="136"/>
    </row>
    <row r="55959" spans="1:2" x14ac:dyDescent="0.25">
      <c r="A55959" s="118"/>
      <c r="B55959" s="136"/>
    </row>
    <row r="55960" spans="1:2" x14ac:dyDescent="0.25">
      <c r="A55960" s="118"/>
      <c r="B55960" s="136"/>
    </row>
    <row r="55961" spans="1:2" x14ac:dyDescent="0.25">
      <c r="A55961" s="118"/>
      <c r="B55961" s="136"/>
    </row>
    <row r="55962" spans="1:2" x14ac:dyDescent="0.25">
      <c r="A55962" s="118"/>
      <c r="B55962" s="136"/>
    </row>
    <row r="55963" spans="1:2" x14ac:dyDescent="0.25">
      <c r="A55963" s="118"/>
      <c r="B55963" s="136"/>
    </row>
    <row r="55964" spans="1:2" x14ac:dyDescent="0.25">
      <c r="A55964" s="118"/>
      <c r="B55964" s="136"/>
    </row>
    <row r="55965" spans="1:2" x14ac:dyDescent="0.25">
      <c r="A55965" s="118"/>
      <c r="B55965" s="136"/>
    </row>
    <row r="55966" spans="1:2" x14ac:dyDescent="0.25">
      <c r="A55966" s="118"/>
      <c r="B55966" s="136"/>
    </row>
    <row r="55967" spans="1:2" x14ac:dyDescent="0.25">
      <c r="A55967" s="118"/>
      <c r="B55967" s="136"/>
    </row>
    <row r="55968" spans="1:2" x14ac:dyDescent="0.25">
      <c r="A55968" s="118"/>
      <c r="B55968" s="136"/>
    </row>
    <row r="55969" spans="1:2" x14ac:dyDescent="0.25">
      <c r="A55969" s="118"/>
      <c r="B55969" s="136"/>
    </row>
    <row r="55970" spans="1:2" x14ac:dyDescent="0.25">
      <c r="A55970" s="118"/>
      <c r="B55970" s="136"/>
    </row>
    <row r="55971" spans="1:2" x14ac:dyDescent="0.25">
      <c r="A55971" s="118"/>
      <c r="B55971" s="136"/>
    </row>
    <row r="55972" spans="1:2" x14ac:dyDescent="0.25">
      <c r="A55972" s="118"/>
      <c r="B55972" s="136"/>
    </row>
    <row r="55973" spans="1:2" x14ac:dyDescent="0.25">
      <c r="A55973" s="118"/>
      <c r="B55973" s="136"/>
    </row>
    <row r="55974" spans="1:2" x14ac:dyDescent="0.25">
      <c r="A55974" s="118"/>
      <c r="B55974" s="136"/>
    </row>
    <row r="55975" spans="1:2" x14ac:dyDescent="0.25">
      <c r="A55975" s="118"/>
      <c r="B55975" s="136"/>
    </row>
    <row r="55976" spans="1:2" x14ac:dyDescent="0.25">
      <c r="A55976" s="118"/>
      <c r="B55976" s="136"/>
    </row>
    <row r="55977" spans="1:2" x14ac:dyDescent="0.25">
      <c r="A55977" s="118"/>
      <c r="B55977" s="136"/>
    </row>
    <row r="55978" spans="1:2" x14ac:dyDescent="0.25">
      <c r="A55978" s="118"/>
      <c r="B55978" s="136"/>
    </row>
    <row r="55979" spans="1:2" x14ac:dyDescent="0.25">
      <c r="A55979" s="118"/>
      <c r="B55979" s="136"/>
    </row>
    <row r="55980" spans="1:2" x14ac:dyDescent="0.25">
      <c r="A55980" s="118"/>
      <c r="B55980" s="136"/>
    </row>
    <row r="55981" spans="1:2" x14ac:dyDescent="0.25">
      <c r="A55981" s="118"/>
      <c r="B55981" s="136"/>
    </row>
    <row r="55982" spans="1:2" x14ac:dyDescent="0.25">
      <c r="A55982" s="118"/>
      <c r="B55982" s="136"/>
    </row>
    <row r="55983" spans="1:2" x14ac:dyDescent="0.25">
      <c r="A55983" s="118"/>
      <c r="B55983" s="136"/>
    </row>
    <row r="55984" spans="1:2" x14ac:dyDescent="0.25">
      <c r="A55984" s="118"/>
      <c r="B55984" s="136"/>
    </row>
    <row r="55985" spans="1:2" x14ac:dyDescent="0.25">
      <c r="A55985" s="118"/>
      <c r="B55985" s="136"/>
    </row>
    <row r="55986" spans="1:2" x14ac:dyDescent="0.25">
      <c r="A55986" s="118"/>
      <c r="B55986" s="136"/>
    </row>
    <row r="55987" spans="1:2" x14ac:dyDescent="0.25">
      <c r="A55987" s="118"/>
      <c r="B55987" s="136"/>
    </row>
    <row r="55988" spans="1:2" x14ac:dyDescent="0.25">
      <c r="A55988" s="118"/>
      <c r="B55988" s="136"/>
    </row>
    <row r="55989" spans="1:2" x14ac:dyDescent="0.25">
      <c r="A55989" s="118"/>
      <c r="B55989" s="136"/>
    </row>
    <row r="55990" spans="1:2" x14ac:dyDescent="0.25">
      <c r="A55990" s="118"/>
      <c r="B55990" s="136"/>
    </row>
    <row r="55991" spans="1:2" x14ac:dyDescent="0.25">
      <c r="A55991" s="118"/>
      <c r="B55991" s="136"/>
    </row>
    <row r="55992" spans="1:2" x14ac:dyDescent="0.25">
      <c r="A55992" s="118"/>
      <c r="B55992" s="136"/>
    </row>
    <row r="55993" spans="1:2" x14ac:dyDescent="0.25">
      <c r="A55993" s="118"/>
      <c r="B55993" s="136"/>
    </row>
    <row r="55994" spans="1:2" x14ac:dyDescent="0.25">
      <c r="A55994" s="118"/>
      <c r="B55994" s="136"/>
    </row>
    <row r="55995" spans="1:2" x14ac:dyDescent="0.25">
      <c r="A55995" s="118"/>
      <c r="B55995" s="136"/>
    </row>
    <row r="55996" spans="1:2" x14ac:dyDescent="0.25">
      <c r="A55996" s="118"/>
      <c r="B55996" s="136"/>
    </row>
    <row r="55997" spans="1:2" x14ac:dyDescent="0.25">
      <c r="A55997" s="118"/>
      <c r="B55997" s="136"/>
    </row>
    <row r="55998" spans="1:2" x14ac:dyDescent="0.25">
      <c r="A55998" s="118"/>
      <c r="B55998" s="136"/>
    </row>
    <row r="55999" spans="1:2" x14ac:dyDescent="0.25">
      <c r="A55999" s="118"/>
      <c r="B55999" s="136"/>
    </row>
    <row r="56000" spans="1:2" x14ac:dyDescent="0.25">
      <c r="A56000" s="118"/>
      <c r="B56000" s="136"/>
    </row>
    <row r="56001" spans="1:2" x14ac:dyDescent="0.25">
      <c r="A56001" s="118"/>
      <c r="B56001" s="136"/>
    </row>
    <row r="56002" spans="1:2" x14ac:dyDescent="0.25">
      <c r="A56002" s="118"/>
      <c r="B56002" s="136"/>
    </row>
    <row r="56003" spans="1:2" x14ac:dyDescent="0.25">
      <c r="A56003" s="118"/>
      <c r="B56003" s="136"/>
    </row>
    <row r="56004" spans="1:2" x14ac:dyDescent="0.25">
      <c r="A56004" s="118"/>
      <c r="B56004" s="136"/>
    </row>
    <row r="56005" spans="1:2" x14ac:dyDescent="0.25">
      <c r="A56005" s="118"/>
      <c r="B56005" s="136"/>
    </row>
    <row r="56006" spans="1:2" x14ac:dyDescent="0.25">
      <c r="A56006" s="118"/>
      <c r="B56006" s="136"/>
    </row>
    <row r="56007" spans="1:2" x14ac:dyDescent="0.25">
      <c r="A56007" s="118"/>
      <c r="B56007" s="136"/>
    </row>
    <row r="56008" spans="1:2" x14ac:dyDescent="0.25">
      <c r="A56008" s="118"/>
      <c r="B56008" s="136"/>
    </row>
    <row r="56009" spans="1:2" x14ac:dyDescent="0.25">
      <c r="A56009" s="118"/>
      <c r="B56009" s="136"/>
    </row>
    <row r="56010" spans="1:2" x14ac:dyDescent="0.25">
      <c r="A56010" s="118"/>
      <c r="B56010" s="136"/>
    </row>
    <row r="56011" spans="1:2" x14ac:dyDescent="0.25">
      <c r="A56011" s="118"/>
      <c r="B56011" s="136"/>
    </row>
    <row r="56012" spans="1:2" x14ac:dyDescent="0.25">
      <c r="A56012" s="118"/>
      <c r="B56012" s="136"/>
    </row>
    <row r="56013" spans="1:2" x14ac:dyDescent="0.25">
      <c r="A56013" s="118"/>
      <c r="B56013" s="136"/>
    </row>
    <row r="56014" spans="1:2" x14ac:dyDescent="0.25">
      <c r="A56014" s="118"/>
      <c r="B56014" s="136"/>
    </row>
    <row r="56015" spans="1:2" x14ac:dyDescent="0.25">
      <c r="A56015" s="118"/>
      <c r="B56015" s="136"/>
    </row>
    <row r="56016" spans="1:2" x14ac:dyDescent="0.25">
      <c r="A56016" s="118"/>
      <c r="B56016" s="136"/>
    </row>
    <row r="56017" spans="1:2" x14ac:dyDescent="0.25">
      <c r="A56017" s="118"/>
      <c r="B56017" s="136"/>
    </row>
    <row r="56018" spans="1:2" x14ac:dyDescent="0.25">
      <c r="A56018" s="118"/>
      <c r="B56018" s="136"/>
    </row>
    <row r="56019" spans="1:2" x14ac:dyDescent="0.25">
      <c r="A56019" s="118"/>
      <c r="B56019" s="136"/>
    </row>
    <row r="56020" spans="1:2" x14ac:dyDescent="0.25">
      <c r="A56020" s="118"/>
      <c r="B56020" s="136"/>
    </row>
    <row r="56021" spans="1:2" x14ac:dyDescent="0.25">
      <c r="A56021" s="118"/>
      <c r="B56021" s="136"/>
    </row>
    <row r="56022" spans="1:2" x14ac:dyDescent="0.25">
      <c r="A56022" s="118"/>
      <c r="B56022" s="136"/>
    </row>
    <row r="56023" spans="1:2" x14ac:dyDescent="0.25">
      <c r="A56023" s="118"/>
      <c r="B56023" s="136"/>
    </row>
    <row r="56024" spans="1:2" x14ac:dyDescent="0.25">
      <c r="A56024" s="118"/>
      <c r="B56024" s="136"/>
    </row>
    <row r="56025" spans="1:2" x14ac:dyDescent="0.25">
      <c r="A56025" s="118"/>
      <c r="B56025" s="136"/>
    </row>
    <row r="56026" spans="1:2" x14ac:dyDescent="0.25">
      <c r="A56026" s="118"/>
      <c r="B56026" s="136"/>
    </row>
    <row r="56027" spans="1:2" x14ac:dyDescent="0.25">
      <c r="A56027" s="118"/>
      <c r="B56027" s="136"/>
    </row>
    <row r="56028" spans="1:2" x14ac:dyDescent="0.25">
      <c r="A56028" s="118"/>
      <c r="B56028" s="136"/>
    </row>
    <row r="56029" spans="1:2" x14ac:dyDescent="0.25">
      <c r="A56029" s="118"/>
      <c r="B56029" s="136"/>
    </row>
    <row r="56030" spans="1:2" x14ac:dyDescent="0.25">
      <c r="A56030" s="118"/>
      <c r="B56030" s="136"/>
    </row>
    <row r="56031" spans="1:2" x14ac:dyDescent="0.25">
      <c r="A56031" s="118"/>
      <c r="B56031" s="136"/>
    </row>
    <row r="56032" spans="1:2" x14ac:dyDescent="0.25">
      <c r="A56032" s="118"/>
      <c r="B56032" s="136"/>
    </row>
    <row r="56033" spans="1:2" x14ac:dyDescent="0.25">
      <c r="A56033" s="118"/>
      <c r="B56033" s="136"/>
    </row>
    <row r="56034" spans="1:2" x14ac:dyDescent="0.25">
      <c r="A56034" s="118"/>
      <c r="B56034" s="136"/>
    </row>
    <row r="56035" spans="1:2" x14ac:dyDescent="0.25">
      <c r="A56035" s="118"/>
      <c r="B56035" s="136"/>
    </row>
    <row r="56036" spans="1:2" x14ac:dyDescent="0.25">
      <c r="A56036" s="118"/>
      <c r="B56036" s="136"/>
    </row>
    <row r="56037" spans="1:2" x14ac:dyDescent="0.25">
      <c r="A56037" s="118"/>
      <c r="B56037" s="136"/>
    </row>
    <row r="56038" spans="1:2" x14ac:dyDescent="0.25">
      <c r="A56038" s="118"/>
      <c r="B56038" s="136"/>
    </row>
    <row r="56039" spans="1:2" x14ac:dyDescent="0.25">
      <c r="A56039" s="118"/>
      <c r="B56039" s="136"/>
    </row>
    <row r="56040" spans="1:2" x14ac:dyDescent="0.25">
      <c r="A56040" s="118"/>
      <c r="B56040" s="136"/>
    </row>
    <row r="56041" spans="1:2" x14ac:dyDescent="0.25">
      <c r="A56041" s="118"/>
      <c r="B56041" s="136"/>
    </row>
    <row r="56042" spans="1:2" x14ac:dyDescent="0.25">
      <c r="A56042" s="118"/>
      <c r="B56042" s="136"/>
    </row>
    <row r="56043" spans="1:2" x14ac:dyDescent="0.25">
      <c r="A56043" s="118"/>
      <c r="B56043" s="136"/>
    </row>
    <row r="56044" spans="1:2" x14ac:dyDescent="0.25">
      <c r="A56044" s="118"/>
      <c r="B56044" s="136"/>
    </row>
    <row r="56045" spans="1:2" x14ac:dyDescent="0.25">
      <c r="A56045" s="118"/>
      <c r="B56045" s="136"/>
    </row>
    <row r="56046" spans="1:2" x14ac:dyDescent="0.25">
      <c r="A56046" s="118"/>
      <c r="B56046" s="136"/>
    </row>
    <row r="56047" spans="1:2" x14ac:dyDescent="0.25">
      <c r="A56047" s="118"/>
      <c r="B56047" s="136"/>
    </row>
    <row r="56048" spans="1:2" x14ac:dyDescent="0.25">
      <c r="A56048" s="118"/>
      <c r="B56048" s="136"/>
    </row>
    <row r="56049" spans="1:2" x14ac:dyDescent="0.25">
      <c r="A56049" s="118"/>
      <c r="B56049" s="136"/>
    </row>
    <row r="56050" spans="1:2" x14ac:dyDescent="0.25">
      <c r="A56050" s="118"/>
      <c r="B56050" s="136"/>
    </row>
    <row r="56051" spans="1:2" x14ac:dyDescent="0.25">
      <c r="A56051" s="118"/>
      <c r="B56051" s="136"/>
    </row>
    <row r="56052" spans="1:2" x14ac:dyDescent="0.25">
      <c r="A56052" s="118"/>
      <c r="B56052" s="136"/>
    </row>
    <row r="56053" spans="1:2" x14ac:dyDescent="0.25">
      <c r="A56053" s="118"/>
      <c r="B56053" s="136"/>
    </row>
    <row r="56054" spans="1:2" x14ac:dyDescent="0.25">
      <c r="A56054" s="118"/>
      <c r="B56054" s="136"/>
    </row>
    <row r="56055" spans="1:2" x14ac:dyDescent="0.25">
      <c r="A56055" s="118"/>
      <c r="B56055" s="136"/>
    </row>
    <row r="56056" spans="1:2" x14ac:dyDescent="0.25">
      <c r="A56056" s="118"/>
      <c r="B56056" s="136"/>
    </row>
    <row r="56057" spans="1:2" x14ac:dyDescent="0.25">
      <c r="A56057" s="118"/>
      <c r="B56057" s="136"/>
    </row>
    <row r="56058" spans="1:2" x14ac:dyDescent="0.25">
      <c r="A56058" s="118"/>
      <c r="B56058" s="136"/>
    </row>
    <row r="56059" spans="1:2" x14ac:dyDescent="0.25">
      <c r="A56059" s="118"/>
      <c r="B56059" s="136"/>
    </row>
    <row r="56060" spans="1:2" x14ac:dyDescent="0.25">
      <c r="A56060" s="118"/>
      <c r="B56060" s="136"/>
    </row>
    <row r="56061" spans="1:2" x14ac:dyDescent="0.25">
      <c r="A56061" s="118"/>
      <c r="B56061" s="136"/>
    </row>
    <row r="56062" spans="1:2" x14ac:dyDescent="0.25">
      <c r="A56062" s="118"/>
      <c r="B56062" s="136"/>
    </row>
    <row r="56063" spans="1:2" x14ac:dyDescent="0.25">
      <c r="A56063" s="118"/>
      <c r="B56063" s="136"/>
    </row>
    <row r="56064" spans="1:2" x14ac:dyDescent="0.25">
      <c r="A56064" s="118"/>
      <c r="B56064" s="136"/>
    </row>
    <row r="56065" spans="1:2" x14ac:dyDescent="0.25">
      <c r="A56065" s="118"/>
      <c r="B56065" s="136"/>
    </row>
    <row r="56066" spans="1:2" x14ac:dyDescent="0.25">
      <c r="A56066" s="118"/>
      <c r="B56066" s="136"/>
    </row>
    <row r="56067" spans="1:2" x14ac:dyDescent="0.25">
      <c r="A56067" s="118"/>
      <c r="B56067" s="136"/>
    </row>
    <row r="56068" spans="1:2" x14ac:dyDescent="0.25">
      <c r="A56068" s="118"/>
      <c r="B56068" s="136"/>
    </row>
    <row r="56069" spans="1:2" x14ac:dyDescent="0.25">
      <c r="A56069" s="118"/>
      <c r="B56069" s="136"/>
    </row>
    <row r="56070" spans="1:2" x14ac:dyDescent="0.25">
      <c r="A56070" s="118"/>
      <c r="B56070" s="136"/>
    </row>
    <row r="56071" spans="1:2" x14ac:dyDescent="0.25">
      <c r="A56071" s="118"/>
      <c r="B56071" s="136"/>
    </row>
    <row r="56072" spans="1:2" x14ac:dyDescent="0.25">
      <c r="A56072" s="118"/>
      <c r="B56072" s="136"/>
    </row>
    <row r="56073" spans="1:2" x14ac:dyDescent="0.25">
      <c r="A56073" s="118"/>
      <c r="B56073" s="136"/>
    </row>
    <row r="56074" spans="1:2" x14ac:dyDescent="0.25">
      <c r="A56074" s="118"/>
      <c r="B56074" s="136"/>
    </row>
    <row r="56075" spans="1:2" x14ac:dyDescent="0.25">
      <c r="A56075" s="118"/>
      <c r="B56075" s="136"/>
    </row>
    <row r="56076" spans="1:2" x14ac:dyDescent="0.25">
      <c r="A56076" s="118"/>
      <c r="B56076" s="136"/>
    </row>
    <row r="56077" spans="1:2" x14ac:dyDescent="0.25">
      <c r="A56077" s="118"/>
      <c r="B56077" s="136"/>
    </row>
    <row r="56078" spans="1:2" x14ac:dyDescent="0.25">
      <c r="A56078" s="118"/>
      <c r="B56078" s="136"/>
    </row>
    <row r="56079" spans="1:2" x14ac:dyDescent="0.25">
      <c r="A56079" s="118"/>
      <c r="B56079" s="136"/>
    </row>
    <row r="56080" spans="1:2" x14ac:dyDescent="0.25">
      <c r="A56080" s="118"/>
      <c r="B56080" s="136"/>
    </row>
    <row r="56081" spans="1:2" x14ac:dyDescent="0.25">
      <c r="A56081" s="118"/>
      <c r="B56081" s="136"/>
    </row>
    <row r="56082" spans="1:2" x14ac:dyDescent="0.25">
      <c r="A56082" s="118"/>
      <c r="B56082" s="136"/>
    </row>
    <row r="56083" spans="1:2" x14ac:dyDescent="0.25">
      <c r="A56083" s="118"/>
      <c r="B56083" s="136"/>
    </row>
    <row r="56084" spans="1:2" x14ac:dyDescent="0.25">
      <c r="A56084" s="118"/>
      <c r="B56084" s="136"/>
    </row>
    <row r="56085" spans="1:2" x14ac:dyDescent="0.25">
      <c r="A56085" s="118"/>
      <c r="B56085" s="136"/>
    </row>
    <row r="56086" spans="1:2" x14ac:dyDescent="0.25">
      <c r="A56086" s="118"/>
      <c r="B56086" s="136"/>
    </row>
    <row r="56087" spans="1:2" x14ac:dyDescent="0.25">
      <c r="A56087" s="118"/>
      <c r="B56087" s="136"/>
    </row>
    <row r="56088" spans="1:2" x14ac:dyDescent="0.25">
      <c r="A56088" s="118"/>
      <c r="B56088" s="136"/>
    </row>
    <row r="56089" spans="1:2" x14ac:dyDescent="0.25">
      <c r="A56089" s="118"/>
      <c r="B56089" s="136"/>
    </row>
    <row r="56090" spans="1:2" x14ac:dyDescent="0.25">
      <c r="A56090" s="118"/>
      <c r="B56090" s="136"/>
    </row>
    <row r="56091" spans="1:2" x14ac:dyDescent="0.25">
      <c r="A56091" s="118"/>
      <c r="B56091" s="136"/>
    </row>
    <row r="56092" spans="1:2" x14ac:dyDescent="0.25">
      <c r="A56092" s="118"/>
      <c r="B56092" s="136"/>
    </row>
    <row r="56093" spans="1:2" x14ac:dyDescent="0.25">
      <c r="A56093" s="118"/>
      <c r="B56093" s="136"/>
    </row>
    <row r="56094" spans="1:2" x14ac:dyDescent="0.25">
      <c r="A56094" s="118"/>
      <c r="B56094" s="136"/>
    </row>
    <row r="56095" spans="1:2" x14ac:dyDescent="0.25">
      <c r="A56095" s="118"/>
      <c r="B56095" s="136"/>
    </row>
    <row r="56096" spans="1:2" x14ac:dyDescent="0.25">
      <c r="A56096" s="118"/>
      <c r="B56096" s="136"/>
    </row>
    <row r="56097" spans="1:2" x14ac:dyDescent="0.25">
      <c r="A56097" s="118"/>
      <c r="B56097" s="136"/>
    </row>
    <row r="56098" spans="1:2" x14ac:dyDescent="0.25">
      <c r="A56098" s="118"/>
      <c r="B56098" s="136"/>
    </row>
    <row r="56099" spans="1:2" x14ac:dyDescent="0.25">
      <c r="A56099" s="118"/>
      <c r="B56099" s="136"/>
    </row>
    <row r="56100" spans="1:2" x14ac:dyDescent="0.25">
      <c r="A56100" s="118"/>
      <c r="B56100" s="136"/>
    </row>
    <row r="56101" spans="1:2" x14ac:dyDescent="0.25">
      <c r="A56101" s="118"/>
      <c r="B56101" s="136"/>
    </row>
    <row r="56102" spans="1:2" x14ac:dyDescent="0.25">
      <c r="A56102" s="118"/>
      <c r="B56102" s="136"/>
    </row>
    <row r="56103" spans="1:2" x14ac:dyDescent="0.25">
      <c r="A56103" s="118"/>
      <c r="B56103" s="136"/>
    </row>
    <row r="56104" spans="1:2" x14ac:dyDescent="0.25">
      <c r="A56104" s="118"/>
      <c r="B56104" s="136"/>
    </row>
    <row r="56105" spans="1:2" x14ac:dyDescent="0.25">
      <c r="A56105" s="118"/>
      <c r="B56105" s="136"/>
    </row>
    <row r="56106" spans="1:2" x14ac:dyDescent="0.25">
      <c r="A56106" s="118"/>
      <c r="B56106" s="136"/>
    </row>
    <row r="56107" spans="1:2" x14ac:dyDescent="0.25">
      <c r="A56107" s="118"/>
      <c r="B56107" s="136"/>
    </row>
    <row r="56108" spans="1:2" x14ac:dyDescent="0.25">
      <c r="A56108" s="118"/>
      <c r="B56108" s="136"/>
    </row>
    <row r="56109" spans="1:2" x14ac:dyDescent="0.25">
      <c r="A56109" s="118"/>
      <c r="B56109" s="136"/>
    </row>
    <row r="56110" spans="1:2" x14ac:dyDescent="0.25">
      <c r="A56110" s="118"/>
      <c r="B56110" s="136"/>
    </row>
    <row r="56111" spans="1:2" x14ac:dyDescent="0.25">
      <c r="A56111" s="118"/>
      <c r="B56111" s="136"/>
    </row>
    <row r="56112" spans="1:2" x14ac:dyDescent="0.25">
      <c r="A56112" s="118"/>
      <c r="B56112" s="136"/>
    </row>
    <row r="56113" spans="1:2" x14ac:dyDescent="0.25">
      <c r="A56113" s="118"/>
      <c r="B56113" s="136"/>
    </row>
    <row r="56114" spans="1:2" x14ac:dyDescent="0.25">
      <c r="A56114" s="118"/>
      <c r="B56114" s="136"/>
    </row>
    <row r="56115" spans="1:2" x14ac:dyDescent="0.25">
      <c r="A56115" s="118"/>
      <c r="B56115" s="136"/>
    </row>
    <row r="56116" spans="1:2" x14ac:dyDescent="0.25">
      <c r="A56116" s="118"/>
      <c r="B56116" s="136"/>
    </row>
    <row r="56117" spans="1:2" x14ac:dyDescent="0.25">
      <c r="A56117" s="118"/>
      <c r="B56117" s="136"/>
    </row>
    <row r="56118" spans="1:2" x14ac:dyDescent="0.25">
      <c r="A56118" s="118"/>
      <c r="B56118" s="136"/>
    </row>
    <row r="56119" spans="1:2" x14ac:dyDescent="0.25">
      <c r="A56119" s="118"/>
      <c r="B56119" s="136"/>
    </row>
    <row r="56120" spans="1:2" x14ac:dyDescent="0.25">
      <c r="A56120" s="118"/>
      <c r="B56120" s="136"/>
    </row>
    <row r="56121" spans="1:2" x14ac:dyDescent="0.25">
      <c r="A56121" s="118"/>
      <c r="B56121" s="136"/>
    </row>
    <row r="56122" spans="1:2" x14ac:dyDescent="0.25">
      <c r="A56122" s="118"/>
      <c r="B56122" s="136"/>
    </row>
    <row r="56123" spans="1:2" x14ac:dyDescent="0.25">
      <c r="A56123" s="118"/>
      <c r="B56123" s="136"/>
    </row>
    <row r="56124" spans="1:2" x14ac:dyDescent="0.25">
      <c r="A56124" s="118"/>
      <c r="B56124" s="136"/>
    </row>
    <row r="56125" spans="1:2" x14ac:dyDescent="0.25">
      <c r="A56125" s="118"/>
      <c r="B56125" s="136"/>
    </row>
    <row r="56126" spans="1:2" x14ac:dyDescent="0.25">
      <c r="A56126" s="118"/>
      <c r="B56126" s="136"/>
    </row>
    <row r="56127" spans="1:2" x14ac:dyDescent="0.25">
      <c r="A56127" s="118"/>
      <c r="B56127" s="136"/>
    </row>
    <row r="56128" spans="1:2" x14ac:dyDescent="0.25">
      <c r="A56128" s="118"/>
      <c r="B56128" s="136"/>
    </row>
    <row r="56129" spans="1:2" x14ac:dyDescent="0.25">
      <c r="A56129" s="118"/>
      <c r="B56129" s="136"/>
    </row>
    <row r="56130" spans="1:2" x14ac:dyDescent="0.25">
      <c r="A56130" s="118"/>
      <c r="B56130" s="136"/>
    </row>
    <row r="56131" spans="1:2" x14ac:dyDescent="0.25">
      <c r="A56131" s="118"/>
      <c r="B56131" s="136"/>
    </row>
    <row r="56132" spans="1:2" x14ac:dyDescent="0.25">
      <c r="A56132" s="118"/>
      <c r="B56132" s="136"/>
    </row>
    <row r="56133" spans="1:2" x14ac:dyDescent="0.25">
      <c r="A56133" s="118"/>
      <c r="B56133" s="136"/>
    </row>
    <row r="56134" spans="1:2" x14ac:dyDescent="0.25">
      <c r="A56134" s="118"/>
      <c r="B56134" s="136"/>
    </row>
    <row r="56135" spans="1:2" x14ac:dyDescent="0.25">
      <c r="A56135" s="118"/>
      <c r="B56135" s="136"/>
    </row>
    <row r="56136" spans="1:2" x14ac:dyDescent="0.25">
      <c r="A56136" s="118"/>
      <c r="B56136" s="136"/>
    </row>
    <row r="56137" spans="1:2" x14ac:dyDescent="0.25">
      <c r="A56137" s="118"/>
      <c r="B56137" s="136"/>
    </row>
    <row r="56138" spans="1:2" x14ac:dyDescent="0.25">
      <c r="A56138" s="118"/>
      <c r="B56138" s="136"/>
    </row>
    <row r="56139" spans="1:2" x14ac:dyDescent="0.25">
      <c r="A56139" s="118"/>
      <c r="B56139" s="136"/>
    </row>
    <row r="56140" spans="1:2" x14ac:dyDescent="0.25">
      <c r="A56140" s="118"/>
      <c r="B56140" s="136"/>
    </row>
    <row r="56141" spans="1:2" x14ac:dyDescent="0.25">
      <c r="A56141" s="118"/>
      <c r="B56141" s="136"/>
    </row>
    <row r="56142" spans="1:2" x14ac:dyDescent="0.25">
      <c r="A56142" s="118"/>
      <c r="B56142" s="136"/>
    </row>
    <row r="56143" spans="1:2" x14ac:dyDescent="0.25">
      <c r="A56143" s="118"/>
      <c r="B56143" s="136"/>
    </row>
    <row r="56144" spans="1:2" x14ac:dyDescent="0.25">
      <c r="A56144" s="118"/>
      <c r="B56144" s="136"/>
    </row>
    <row r="56145" spans="1:2" x14ac:dyDescent="0.25">
      <c r="A56145" s="118"/>
      <c r="B56145" s="136"/>
    </row>
    <row r="56146" spans="1:2" x14ac:dyDescent="0.25">
      <c r="A56146" s="118"/>
      <c r="B56146" s="136"/>
    </row>
    <row r="56147" spans="1:2" x14ac:dyDescent="0.25">
      <c r="A56147" s="118"/>
      <c r="B56147" s="136"/>
    </row>
    <row r="56148" spans="1:2" x14ac:dyDescent="0.25">
      <c r="A56148" s="118"/>
      <c r="B56148" s="136"/>
    </row>
    <row r="56149" spans="1:2" x14ac:dyDescent="0.25">
      <c r="A56149" s="118"/>
      <c r="B56149" s="136"/>
    </row>
    <row r="56150" spans="1:2" x14ac:dyDescent="0.25">
      <c r="A56150" s="118"/>
      <c r="B56150" s="136"/>
    </row>
    <row r="56151" spans="1:2" x14ac:dyDescent="0.25">
      <c r="A56151" s="118"/>
      <c r="B56151" s="136"/>
    </row>
    <row r="56152" spans="1:2" x14ac:dyDescent="0.25">
      <c r="A56152" s="118"/>
      <c r="B56152" s="136"/>
    </row>
    <row r="56153" spans="1:2" x14ac:dyDescent="0.25">
      <c r="A56153" s="118"/>
      <c r="B56153" s="136"/>
    </row>
    <row r="56154" spans="1:2" x14ac:dyDescent="0.25">
      <c r="A56154" s="118"/>
      <c r="B56154" s="136"/>
    </row>
    <row r="56155" spans="1:2" x14ac:dyDescent="0.25">
      <c r="A56155" s="118"/>
      <c r="B56155" s="136"/>
    </row>
    <row r="56156" spans="1:2" x14ac:dyDescent="0.25">
      <c r="A56156" s="118"/>
      <c r="B56156" s="136"/>
    </row>
    <row r="56157" spans="1:2" x14ac:dyDescent="0.25">
      <c r="A56157" s="118"/>
      <c r="B56157" s="136"/>
    </row>
    <row r="56158" spans="1:2" x14ac:dyDescent="0.25">
      <c r="A56158" s="118"/>
      <c r="B56158" s="136"/>
    </row>
    <row r="56159" spans="1:2" x14ac:dyDescent="0.25">
      <c r="A56159" s="118"/>
      <c r="B56159" s="136"/>
    </row>
    <row r="56160" spans="1:2" x14ac:dyDescent="0.25">
      <c r="A56160" s="118"/>
      <c r="B56160" s="136"/>
    </row>
    <row r="56161" spans="1:2" x14ac:dyDescent="0.25">
      <c r="A56161" s="118"/>
      <c r="B56161" s="136"/>
    </row>
    <row r="56162" spans="1:2" x14ac:dyDescent="0.25">
      <c r="A56162" s="118"/>
      <c r="B56162" s="136"/>
    </row>
    <row r="56163" spans="1:2" x14ac:dyDescent="0.25">
      <c r="A56163" s="118"/>
      <c r="B56163" s="136"/>
    </row>
    <row r="56164" spans="1:2" x14ac:dyDescent="0.25">
      <c r="A56164" s="118"/>
      <c r="B56164" s="136"/>
    </row>
    <row r="56165" spans="1:2" x14ac:dyDescent="0.25">
      <c r="A56165" s="118"/>
      <c r="B56165" s="136"/>
    </row>
    <row r="56166" spans="1:2" x14ac:dyDescent="0.25">
      <c r="A56166" s="118"/>
      <c r="B56166" s="136"/>
    </row>
    <row r="56167" spans="1:2" x14ac:dyDescent="0.25">
      <c r="A56167" s="118"/>
      <c r="B56167" s="136"/>
    </row>
    <row r="56168" spans="1:2" x14ac:dyDescent="0.25">
      <c r="A56168" s="118"/>
      <c r="B56168" s="136"/>
    </row>
    <row r="56169" spans="1:2" x14ac:dyDescent="0.25">
      <c r="A56169" s="118"/>
      <c r="B56169" s="136"/>
    </row>
    <row r="56170" spans="1:2" x14ac:dyDescent="0.25">
      <c r="A56170" s="118"/>
      <c r="B56170" s="136"/>
    </row>
    <row r="56171" spans="1:2" x14ac:dyDescent="0.25">
      <c r="A56171" s="118"/>
      <c r="B56171" s="136"/>
    </row>
    <row r="56172" spans="1:2" x14ac:dyDescent="0.25">
      <c r="A56172" s="118"/>
      <c r="B56172" s="136"/>
    </row>
    <row r="56173" spans="1:2" x14ac:dyDescent="0.25">
      <c r="A56173" s="118"/>
      <c r="B56173" s="136"/>
    </row>
    <row r="56174" spans="1:2" x14ac:dyDescent="0.25">
      <c r="A56174" s="118"/>
      <c r="B56174" s="136"/>
    </row>
    <row r="56175" spans="1:2" x14ac:dyDescent="0.25">
      <c r="A56175" s="118"/>
      <c r="B56175" s="136"/>
    </row>
    <row r="56176" spans="1:2" x14ac:dyDescent="0.25">
      <c r="A56176" s="118"/>
      <c r="B56176" s="136"/>
    </row>
    <row r="56177" spans="1:2" x14ac:dyDescent="0.25">
      <c r="A56177" s="118"/>
      <c r="B56177" s="136"/>
    </row>
    <row r="56178" spans="1:2" x14ac:dyDescent="0.25">
      <c r="A56178" s="118"/>
      <c r="B56178" s="136"/>
    </row>
    <row r="56179" spans="1:2" x14ac:dyDescent="0.25">
      <c r="A56179" s="118"/>
      <c r="B56179" s="136"/>
    </row>
    <row r="56180" spans="1:2" x14ac:dyDescent="0.25">
      <c r="A56180" s="118"/>
      <c r="B56180" s="136"/>
    </row>
    <row r="56181" spans="1:2" x14ac:dyDescent="0.25">
      <c r="A56181" s="118"/>
      <c r="B56181" s="136"/>
    </row>
    <row r="56182" spans="1:2" x14ac:dyDescent="0.25">
      <c r="A56182" s="118"/>
      <c r="B56182" s="136"/>
    </row>
    <row r="56183" spans="1:2" x14ac:dyDescent="0.25">
      <c r="A56183" s="118"/>
      <c r="B56183" s="136"/>
    </row>
    <row r="56184" spans="1:2" x14ac:dyDescent="0.25">
      <c r="A56184" s="118"/>
      <c r="B56184" s="136"/>
    </row>
    <row r="56185" spans="1:2" x14ac:dyDescent="0.25">
      <c r="A56185" s="118"/>
      <c r="B56185" s="136"/>
    </row>
    <row r="56186" spans="1:2" x14ac:dyDescent="0.25">
      <c r="A56186" s="118"/>
      <c r="B56186" s="136"/>
    </row>
    <row r="56187" spans="1:2" x14ac:dyDescent="0.25">
      <c r="A56187" s="118"/>
      <c r="B56187" s="136"/>
    </row>
    <row r="56188" spans="1:2" x14ac:dyDescent="0.25">
      <c r="A56188" s="118"/>
      <c r="B56188" s="136"/>
    </row>
    <row r="56189" spans="1:2" x14ac:dyDescent="0.25">
      <c r="A56189" s="118"/>
      <c r="B56189" s="136"/>
    </row>
    <row r="56190" spans="1:2" x14ac:dyDescent="0.25">
      <c r="A56190" s="118"/>
      <c r="B56190" s="136"/>
    </row>
    <row r="56191" spans="1:2" x14ac:dyDescent="0.25">
      <c r="A56191" s="118"/>
      <c r="B56191" s="136"/>
    </row>
    <row r="56192" spans="1:2" x14ac:dyDescent="0.25">
      <c r="A56192" s="118"/>
      <c r="B56192" s="136"/>
    </row>
    <row r="56193" spans="1:2" x14ac:dyDescent="0.25">
      <c r="A56193" s="118"/>
      <c r="B56193" s="136"/>
    </row>
    <row r="56194" spans="1:2" x14ac:dyDescent="0.25">
      <c r="A56194" s="118"/>
      <c r="B56194" s="136"/>
    </row>
    <row r="56195" spans="1:2" x14ac:dyDescent="0.25">
      <c r="A56195" s="118"/>
      <c r="B56195" s="136"/>
    </row>
    <row r="56196" spans="1:2" x14ac:dyDescent="0.25">
      <c r="A56196" s="118"/>
      <c r="B56196" s="136"/>
    </row>
    <row r="56197" spans="1:2" x14ac:dyDescent="0.25">
      <c r="A56197" s="118"/>
      <c r="B56197" s="136"/>
    </row>
    <row r="56198" spans="1:2" x14ac:dyDescent="0.25">
      <c r="A56198" s="118"/>
      <c r="B56198" s="136"/>
    </row>
    <row r="56199" spans="1:2" x14ac:dyDescent="0.25">
      <c r="A56199" s="118"/>
      <c r="B56199" s="136"/>
    </row>
    <row r="56200" spans="1:2" x14ac:dyDescent="0.25">
      <c r="A56200" s="118"/>
      <c r="B56200" s="136"/>
    </row>
    <row r="56201" spans="1:2" x14ac:dyDescent="0.25">
      <c r="A56201" s="118"/>
      <c r="B56201" s="136"/>
    </row>
    <row r="56202" spans="1:2" x14ac:dyDescent="0.25">
      <c r="A56202" s="118"/>
      <c r="B56202" s="136"/>
    </row>
    <row r="56203" spans="1:2" x14ac:dyDescent="0.25">
      <c r="A56203" s="118"/>
      <c r="B56203" s="136"/>
    </row>
    <row r="56204" spans="1:2" x14ac:dyDescent="0.25">
      <c r="A56204" s="118"/>
      <c r="B56204" s="136"/>
    </row>
    <row r="56205" spans="1:2" x14ac:dyDescent="0.25">
      <c r="A56205" s="118"/>
      <c r="B56205" s="136"/>
    </row>
    <row r="56206" spans="1:2" x14ac:dyDescent="0.25">
      <c r="A56206" s="118"/>
      <c r="B56206" s="136"/>
    </row>
    <row r="56207" spans="1:2" x14ac:dyDescent="0.25">
      <c r="A56207" s="118"/>
      <c r="B56207" s="136"/>
    </row>
    <row r="56208" spans="1:2" x14ac:dyDescent="0.25">
      <c r="A56208" s="118"/>
      <c r="B56208" s="136"/>
    </row>
    <row r="56209" spans="1:2" x14ac:dyDescent="0.25">
      <c r="A56209" s="118"/>
      <c r="B56209" s="136"/>
    </row>
    <row r="56210" spans="1:2" x14ac:dyDescent="0.25">
      <c r="A56210" s="118"/>
      <c r="B56210" s="136"/>
    </row>
    <row r="56211" spans="1:2" x14ac:dyDescent="0.25">
      <c r="A56211" s="118"/>
      <c r="B56211" s="136"/>
    </row>
    <row r="56212" spans="1:2" x14ac:dyDescent="0.25">
      <c r="A56212" s="118"/>
      <c r="B56212" s="136"/>
    </row>
    <row r="56213" spans="1:2" x14ac:dyDescent="0.25">
      <c r="A56213" s="118"/>
      <c r="B56213" s="136"/>
    </row>
    <row r="56214" spans="1:2" x14ac:dyDescent="0.25">
      <c r="A56214" s="118"/>
      <c r="B56214" s="136"/>
    </row>
    <row r="56215" spans="1:2" x14ac:dyDescent="0.25">
      <c r="A56215" s="118"/>
      <c r="B56215" s="136"/>
    </row>
    <row r="56216" spans="1:2" x14ac:dyDescent="0.25">
      <c r="A56216" s="118"/>
      <c r="B56216" s="136"/>
    </row>
    <row r="56217" spans="1:2" x14ac:dyDescent="0.25">
      <c r="A56217" s="118"/>
      <c r="B56217" s="136"/>
    </row>
    <row r="56218" spans="1:2" x14ac:dyDescent="0.25">
      <c r="A56218" s="118"/>
      <c r="B56218" s="136"/>
    </row>
    <row r="56219" spans="1:2" x14ac:dyDescent="0.25">
      <c r="A56219" s="118"/>
      <c r="B56219" s="136"/>
    </row>
    <row r="56220" spans="1:2" x14ac:dyDescent="0.25">
      <c r="A56220" s="118"/>
      <c r="B56220" s="136"/>
    </row>
    <row r="56221" spans="1:2" x14ac:dyDescent="0.25">
      <c r="A56221" s="118"/>
      <c r="B56221" s="136"/>
    </row>
    <row r="56222" spans="1:2" x14ac:dyDescent="0.25">
      <c r="A56222" s="118"/>
      <c r="B56222" s="136"/>
    </row>
    <row r="56223" spans="1:2" x14ac:dyDescent="0.25">
      <c r="A56223" s="118"/>
      <c r="B56223" s="136"/>
    </row>
    <row r="56224" spans="1:2" x14ac:dyDescent="0.25">
      <c r="A56224" s="118"/>
      <c r="B56224" s="136"/>
    </row>
    <row r="56225" spans="1:2" x14ac:dyDescent="0.25">
      <c r="A56225" s="118"/>
      <c r="B56225" s="136"/>
    </row>
    <row r="56226" spans="1:2" x14ac:dyDescent="0.25">
      <c r="A56226" s="118"/>
      <c r="B56226" s="136"/>
    </row>
    <row r="56227" spans="1:2" x14ac:dyDescent="0.25">
      <c r="A56227" s="118"/>
      <c r="B56227" s="136"/>
    </row>
    <row r="56228" spans="1:2" x14ac:dyDescent="0.25">
      <c r="A56228" s="118"/>
      <c r="B56228" s="136"/>
    </row>
    <row r="56229" spans="1:2" x14ac:dyDescent="0.25">
      <c r="A56229" s="118"/>
      <c r="B56229" s="136"/>
    </row>
    <row r="56230" spans="1:2" x14ac:dyDescent="0.25">
      <c r="A56230" s="118"/>
      <c r="B56230" s="136"/>
    </row>
    <row r="56231" spans="1:2" x14ac:dyDescent="0.25">
      <c r="A56231" s="118"/>
      <c r="B56231" s="136"/>
    </row>
    <row r="56232" spans="1:2" x14ac:dyDescent="0.25">
      <c r="A56232" s="118"/>
      <c r="B56232" s="136"/>
    </row>
    <row r="56233" spans="1:2" x14ac:dyDescent="0.25">
      <c r="A56233" s="118"/>
      <c r="B56233" s="136"/>
    </row>
    <row r="56234" spans="1:2" x14ac:dyDescent="0.25">
      <c r="A56234" s="118"/>
      <c r="B56234" s="136"/>
    </row>
    <row r="56235" spans="1:2" x14ac:dyDescent="0.25">
      <c r="A56235" s="118"/>
      <c r="B56235" s="136"/>
    </row>
    <row r="56236" spans="1:2" x14ac:dyDescent="0.25">
      <c r="A56236" s="118"/>
      <c r="B56236" s="136"/>
    </row>
    <row r="56237" spans="1:2" x14ac:dyDescent="0.25">
      <c r="A56237" s="118"/>
      <c r="B56237" s="136"/>
    </row>
    <row r="56238" spans="1:2" x14ac:dyDescent="0.25">
      <c r="A56238" s="118"/>
      <c r="B56238" s="136"/>
    </row>
    <row r="56239" spans="1:2" x14ac:dyDescent="0.25">
      <c r="A56239" s="118"/>
      <c r="B56239" s="136"/>
    </row>
    <row r="56240" spans="1:2" x14ac:dyDescent="0.25">
      <c r="A56240" s="118"/>
      <c r="B56240" s="136"/>
    </row>
    <row r="56241" spans="1:2" x14ac:dyDescent="0.25">
      <c r="A56241" s="118"/>
      <c r="B56241" s="136"/>
    </row>
    <row r="56242" spans="1:2" x14ac:dyDescent="0.25">
      <c r="A56242" s="118"/>
      <c r="B56242" s="136"/>
    </row>
    <row r="56243" spans="1:2" x14ac:dyDescent="0.25">
      <c r="A56243" s="118"/>
      <c r="B56243" s="136"/>
    </row>
    <row r="56244" spans="1:2" x14ac:dyDescent="0.25">
      <c r="A56244" s="118"/>
      <c r="B56244" s="136"/>
    </row>
    <row r="56245" spans="1:2" x14ac:dyDescent="0.25">
      <c r="A56245" s="118"/>
      <c r="B56245" s="136"/>
    </row>
    <row r="56246" spans="1:2" x14ac:dyDescent="0.25">
      <c r="A56246" s="118"/>
      <c r="B56246" s="136"/>
    </row>
    <row r="56247" spans="1:2" x14ac:dyDescent="0.25">
      <c r="A56247" s="118"/>
      <c r="B56247" s="136"/>
    </row>
    <row r="56248" spans="1:2" x14ac:dyDescent="0.25">
      <c r="A56248" s="118"/>
      <c r="B56248" s="136"/>
    </row>
    <row r="56249" spans="1:2" x14ac:dyDescent="0.25">
      <c r="A56249" s="118"/>
      <c r="B56249" s="136"/>
    </row>
    <row r="56250" spans="1:2" x14ac:dyDescent="0.25">
      <c r="A56250" s="118"/>
      <c r="B56250" s="136"/>
    </row>
    <row r="56251" spans="1:2" x14ac:dyDescent="0.25">
      <c r="A56251" s="118"/>
      <c r="B56251" s="136"/>
    </row>
    <row r="56252" spans="1:2" x14ac:dyDescent="0.25">
      <c r="A56252" s="118"/>
      <c r="B56252" s="136"/>
    </row>
    <row r="56253" spans="1:2" x14ac:dyDescent="0.25">
      <c r="A56253" s="118"/>
      <c r="B56253" s="136"/>
    </row>
    <row r="56254" spans="1:2" x14ac:dyDescent="0.25">
      <c r="A56254" s="118"/>
      <c r="B56254" s="136"/>
    </row>
    <row r="56255" spans="1:2" x14ac:dyDescent="0.25">
      <c r="A56255" s="118"/>
      <c r="B56255" s="136"/>
    </row>
    <row r="56256" spans="1:2" x14ac:dyDescent="0.25">
      <c r="A56256" s="118"/>
      <c r="B56256" s="136"/>
    </row>
    <row r="56257" spans="1:2" x14ac:dyDescent="0.25">
      <c r="A56257" s="118"/>
      <c r="B56257" s="136"/>
    </row>
    <row r="56258" spans="1:2" x14ac:dyDescent="0.25">
      <c r="A56258" s="118"/>
      <c r="B56258" s="136"/>
    </row>
    <row r="56259" spans="1:2" x14ac:dyDescent="0.25">
      <c r="A56259" s="118"/>
      <c r="B56259" s="136"/>
    </row>
    <row r="56260" spans="1:2" x14ac:dyDescent="0.25">
      <c r="A56260" s="118"/>
      <c r="B56260" s="136"/>
    </row>
    <row r="56261" spans="1:2" x14ac:dyDescent="0.25">
      <c r="A56261" s="118"/>
      <c r="B56261" s="136"/>
    </row>
    <row r="56262" spans="1:2" x14ac:dyDescent="0.25">
      <c r="A56262" s="118"/>
      <c r="B56262" s="136"/>
    </row>
    <row r="56263" spans="1:2" x14ac:dyDescent="0.25">
      <c r="A56263" s="118"/>
      <c r="B56263" s="136"/>
    </row>
    <row r="56264" spans="1:2" x14ac:dyDescent="0.25">
      <c r="A56264" s="118"/>
      <c r="B56264" s="136"/>
    </row>
    <row r="56265" spans="1:2" x14ac:dyDescent="0.25">
      <c r="A56265" s="118"/>
      <c r="B56265" s="136"/>
    </row>
    <row r="56266" spans="1:2" x14ac:dyDescent="0.25">
      <c r="A56266" s="118"/>
      <c r="B56266" s="136"/>
    </row>
    <row r="56267" spans="1:2" x14ac:dyDescent="0.25">
      <c r="A56267" s="118"/>
      <c r="B56267" s="136"/>
    </row>
    <row r="56268" spans="1:2" x14ac:dyDescent="0.25">
      <c r="A56268" s="118"/>
      <c r="B56268" s="136"/>
    </row>
    <row r="56269" spans="1:2" x14ac:dyDescent="0.25">
      <c r="A56269" s="118"/>
      <c r="B56269" s="136"/>
    </row>
    <row r="56270" spans="1:2" x14ac:dyDescent="0.25">
      <c r="A56270" s="118"/>
      <c r="B56270" s="136"/>
    </row>
    <row r="56271" spans="1:2" x14ac:dyDescent="0.25">
      <c r="A56271" s="118"/>
      <c r="B56271" s="136"/>
    </row>
    <row r="56272" spans="1:2" x14ac:dyDescent="0.25">
      <c r="A56272" s="118"/>
      <c r="B56272" s="136"/>
    </row>
    <row r="56273" spans="1:2" x14ac:dyDescent="0.25">
      <c r="A56273" s="118"/>
      <c r="B56273" s="136"/>
    </row>
    <row r="56274" spans="1:2" x14ac:dyDescent="0.25">
      <c r="A56274" s="118"/>
      <c r="B56274" s="136"/>
    </row>
    <row r="56275" spans="1:2" x14ac:dyDescent="0.25">
      <c r="A56275" s="118"/>
      <c r="B56275" s="136"/>
    </row>
    <row r="56276" spans="1:2" x14ac:dyDescent="0.25">
      <c r="A56276" s="118"/>
      <c r="B56276" s="136"/>
    </row>
    <row r="56277" spans="1:2" x14ac:dyDescent="0.25">
      <c r="A56277" s="118"/>
      <c r="B56277" s="136"/>
    </row>
    <row r="56278" spans="1:2" x14ac:dyDescent="0.25">
      <c r="A56278" s="118"/>
      <c r="B56278" s="136"/>
    </row>
    <row r="56279" spans="1:2" x14ac:dyDescent="0.25">
      <c r="A56279" s="118"/>
      <c r="B56279" s="136"/>
    </row>
    <row r="56280" spans="1:2" x14ac:dyDescent="0.25">
      <c r="A56280" s="118"/>
      <c r="B56280" s="136"/>
    </row>
    <row r="56281" spans="1:2" x14ac:dyDescent="0.25">
      <c r="A56281" s="118"/>
      <c r="B56281" s="136"/>
    </row>
    <row r="56282" spans="1:2" x14ac:dyDescent="0.25">
      <c r="A56282" s="118"/>
      <c r="B56282" s="136"/>
    </row>
    <row r="56283" spans="1:2" x14ac:dyDescent="0.25">
      <c r="A56283" s="118"/>
      <c r="B56283" s="136"/>
    </row>
    <row r="56284" spans="1:2" x14ac:dyDescent="0.25">
      <c r="A56284" s="118"/>
      <c r="B56284" s="136"/>
    </row>
    <row r="56285" spans="1:2" x14ac:dyDescent="0.25">
      <c r="A56285" s="118"/>
      <c r="B56285" s="136"/>
    </row>
    <row r="56286" spans="1:2" x14ac:dyDescent="0.25">
      <c r="A56286" s="118"/>
      <c r="B56286" s="136"/>
    </row>
    <row r="56287" spans="1:2" x14ac:dyDescent="0.25">
      <c r="A56287" s="118"/>
      <c r="B56287" s="136"/>
    </row>
    <row r="56288" spans="1:2" x14ac:dyDescent="0.25">
      <c r="A56288" s="118"/>
      <c r="B56288" s="136"/>
    </row>
    <row r="56289" spans="1:2" x14ac:dyDescent="0.25">
      <c r="A56289" s="118"/>
      <c r="B56289" s="136"/>
    </row>
    <row r="56290" spans="1:2" x14ac:dyDescent="0.25">
      <c r="A56290" s="118"/>
      <c r="B56290" s="136"/>
    </row>
    <row r="56291" spans="1:2" x14ac:dyDescent="0.25">
      <c r="A56291" s="118"/>
      <c r="B56291" s="136"/>
    </row>
    <row r="56292" spans="1:2" x14ac:dyDescent="0.25">
      <c r="A56292" s="118"/>
      <c r="B56292" s="136"/>
    </row>
    <row r="56293" spans="1:2" x14ac:dyDescent="0.25">
      <c r="A56293" s="118"/>
      <c r="B56293" s="136"/>
    </row>
    <row r="56294" spans="1:2" x14ac:dyDescent="0.25">
      <c r="A56294" s="118"/>
      <c r="B56294" s="136"/>
    </row>
    <row r="56295" spans="1:2" x14ac:dyDescent="0.25">
      <c r="A56295" s="118"/>
      <c r="B56295" s="136"/>
    </row>
    <row r="56296" spans="1:2" x14ac:dyDescent="0.25">
      <c r="A56296" s="118"/>
      <c r="B56296" s="136"/>
    </row>
    <row r="56297" spans="1:2" x14ac:dyDescent="0.25">
      <c r="A56297" s="118"/>
      <c r="B56297" s="136"/>
    </row>
    <row r="56298" spans="1:2" x14ac:dyDescent="0.25">
      <c r="A56298" s="118"/>
      <c r="B56298" s="136"/>
    </row>
    <row r="56299" spans="1:2" x14ac:dyDescent="0.25">
      <c r="A56299" s="118"/>
      <c r="B56299" s="136"/>
    </row>
    <row r="56300" spans="1:2" x14ac:dyDescent="0.25">
      <c r="A56300" s="118"/>
      <c r="B56300" s="136"/>
    </row>
    <row r="56301" spans="1:2" x14ac:dyDescent="0.25">
      <c r="A56301" s="118"/>
      <c r="B56301" s="136"/>
    </row>
    <row r="56302" spans="1:2" x14ac:dyDescent="0.25">
      <c r="A56302" s="118"/>
      <c r="B56302" s="136"/>
    </row>
    <row r="56303" spans="1:2" x14ac:dyDescent="0.25">
      <c r="A56303" s="118"/>
      <c r="B56303" s="136"/>
    </row>
    <row r="56304" spans="1:2" x14ac:dyDescent="0.25">
      <c r="A56304" s="118"/>
      <c r="B56304" s="136"/>
    </row>
    <row r="56305" spans="1:2" x14ac:dyDescent="0.25">
      <c r="A56305" s="118"/>
      <c r="B56305" s="136"/>
    </row>
    <row r="56306" spans="1:2" x14ac:dyDescent="0.25">
      <c r="A56306" s="118"/>
      <c r="B56306" s="136"/>
    </row>
    <row r="56307" spans="1:2" x14ac:dyDescent="0.25">
      <c r="A56307" s="118"/>
      <c r="B56307" s="136"/>
    </row>
    <row r="56308" spans="1:2" x14ac:dyDescent="0.25">
      <c r="A56308" s="118"/>
      <c r="B56308" s="136"/>
    </row>
    <row r="56309" spans="1:2" x14ac:dyDescent="0.25">
      <c r="A56309" s="118"/>
      <c r="B56309" s="136"/>
    </row>
    <row r="56310" spans="1:2" x14ac:dyDescent="0.25">
      <c r="A56310" s="118"/>
      <c r="B56310" s="136"/>
    </row>
    <row r="56311" spans="1:2" x14ac:dyDescent="0.25">
      <c r="A56311" s="118"/>
      <c r="B56311" s="136"/>
    </row>
    <row r="56312" spans="1:2" x14ac:dyDescent="0.25">
      <c r="A56312" s="118"/>
      <c r="B56312" s="136"/>
    </row>
    <row r="56313" spans="1:2" x14ac:dyDescent="0.25">
      <c r="A56313" s="118"/>
      <c r="B56313" s="136"/>
    </row>
    <row r="56314" spans="1:2" x14ac:dyDescent="0.25">
      <c r="A56314" s="118"/>
      <c r="B56314" s="136"/>
    </row>
    <row r="56315" spans="1:2" x14ac:dyDescent="0.25">
      <c r="A56315" s="118"/>
      <c r="B56315" s="136"/>
    </row>
    <row r="56316" spans="1:2" x14ac:dyDescent="0.25">
      <c r="A56316" s="118"/>
      <c r="B56316" s="136"/>
    </row>
    <row r="56317" spans="1:2" x14ac:dyDescent="0.25">
      <c r="A56317" s="118"/>
      <c r="B56317" s="136"/>
    </row>
    <row r="56318" spans="1:2" x14ac:dyDescent="0.25">
      <c r="A56318" s="118"/>
      <c r="B56318" s="136"/>
    </row>
    <row r="56319" spans="1:2" x14ac:dyDescent="0.25">
      <c r="A56319" s="118"/>
      <c r="B56319" s="136"/>
    </row>
    <row r="56320" spans="1:2" x14ac:dyDescent="0.25">
      <c r="A56320" s="118"/>
      <c r="B56320" s="136"/>
    </row>
    <row r="56321" spans="1:2" x14ac:dyDescent="0.25">
      <c r="A56321" s="118"/>
      <c r="B56321" s="136"/>
    </row>
    <row r="56322" spans="1:2" x14ac:dyDescent="0.25">
      <c r="A56322" s="118"/>
      <c r="B56322" s="136"/>
    </row>
    <row r="56323" spans="1:2" x14ac:dyDescent="0.25">
      <c r="A56323" s="118"/>
      <c r="B56323" s="136"/>
    </row>
    <row r="56324" spans="1:2" x14ac:dyDescent="0.25">
      <c r="A56324" s="118"/>
      <c r="B56324" s="136"/>
    </row>
    <row r="56325" spans="1:2" x14ac:dyDescent="0.25">
      <c r="A56325" s="118"/>
      <c r="B56325" s="136"/>
    </row>
    <row r="56326" spans="1:2" x14ac:dyDescent="0.25">
      <c r="A56326" s="118"/>
      <c r="B56326" s="136"/>
    </row>
    <row r="56327" spans="1:2" x14ac:dyDescent="0.25">
      <c r="A56327" s="118"/>
      <c r="B56327" s="136"/>
    </row>
    <row r="56328" spans="1:2" x14ac:dyDescent="0.25">
      <c r="A56328" s="118"/>
      <c r="B56328" s="136"/>
    </row>
    <row r="56329" spans="1:2" x14ac:dyDescent="0.25">
      <c r="A56329" s="118"/>
      <c r="B56329" s="136"/>
    </row>
    <row r="56330" spans="1:2" x14ac:dyDescent="0.25">
      <c r="A56330" s="118"/>
      <c r="B56330" s="136"/>
    </row>
    <row r="56331" spans="1:2" x14ac:dyDescent="0.25">
      <c r="A56331" s="118"/>
      <c r="B56331" s="136"/>
    </row>
    <row r="56332" spans="1:2" x14ac:dyDescent="0.25">
      <c r="A56332" s="118"/>
      <c r="B56332" s="136"/>
    </row>
    <row r="56333" spans="1:2" x14ac:dyDescent="0.25">
      <c r="A56333" s="118"/>
      <c r="B56333" s="136"/>
    </row>
    <row r="56334" spans="1:2" x14ac:dyDescent="0.25">
      <c r="A56334" s="118"/>
      <c r="B56334" s="136"/>
    </row>
    <row r="56335" spans="1:2" x14ac:dyDescent="0.25">
      <c r="A56335" s="118"/>
      <c r="B56335" s="136"/>
    </row>
    <row r="56336" spans="1:2" x14ac:dyDescent="0.25">
      <c r="A56336" s="118"/>
      <c r="B56336" s="136"/>
    </row>
    <row r="56337" spans="1:2" x14ac:dyDescent="0.25">
      <c r="A56337" s="118"/>
      <c r="B56337" s="136"/>
    </row>
    <row r="56338" spans="1:2" x14ac:dyDescent="0.25">
      <c r="A56338" s="118"/>
      <c r="B56338" s="136"/>
    </row>
    <row r="56339" spans="1:2" x14ac:dyDescent="0.25">
      <c r="A56339" s="118"/>
      <c r="B56339" s="136"/>
    </row>
    <row r="56340" spans="1:2" x14ac:dyDescent="0.25">
      <c r="A56340" s="118"/>
      <c r="B56340" s="136"/>
    </row>
    <row r="56341" spans="1:2" x14ac:dyDescent="0.25">
      <c r="A56341" s="118"/>
      <c r="B56341" s="136"/>
    </row>
    <row r="56342" spans="1:2" x14ac:dyDescent="0.25">
      <c r="A56342" s="118"/>
      <c r="B56342" s="136"/>
    </row>
    <row r="56343" spans="1:2" x14ac:dyDescent="0.25">
      <c r="A56343" s="118"/>
      <c r="B56343" s="136"/>
    </row>
    <row r="56344" spans="1:2" x14ac:dyDescent="0.25">
      <c r="A56344" s="118"/>
      <c r="B56344" s="136"/>
    </row>
    <row r="56345" spans="1:2" x14ac:dyDescent="0.25">
      <c r="A56345" s="118"/>
      <c r="B56345" s="136"/>
    </row>
    <row r="56346" spans="1:2" x14ac:dyDescent="0.25">
      <c r="A56346" s="118"/>
      <c r="B56346" s="136"/>
    </row>
    <row r="56347" spans="1:2" x14ac:dyDescent="0.25">
      <c r="A56347" s="118"/>
      <c r="B56347" s="136"/>
    </row>
    <row r="56348" spans="1:2" x14ac:dyDescent="0.25">
      <c r="A56348" s="118"/>
      <c r="B56348" s="136"/>
    </row>
    <row r="56349" spans="1:2" x14ac:dyDescent="0.25">
      <c r="A56349" s="118"/>
      <c r="B56349" s="136"/>
    </row>
    <row r="56350" spans="1:2" x14ac:dyDescent="0.25">
      <c r="A56350" s="118"/>
      <c r="B56350" s="136"/>
    </row>
    <row r="56351" spans="1:2" x14ac:dyDescent="0.25">
      <c r="A56351" s="118"/>
      <c r="B56351" s="136"/>
    </row>
    <row r="56352" spans="1:2" x14ac:dyDescent="0.25">
      <c r="A56352" s="118"/>
      <c r="B56352" s="136"/>
    </row>
    <row r="56353" spans="1:2" x14ac:dyDescent="0.25">
      <c r="A56353" s="118"/>
      <c r="B56353" s="136"/>
    </row>
    <row r="56354" spans="1:2" x14ac:dyDescent="0.25">
      <c r="A56354" s="118"/>
      <c r="B56354" s="136"/>
    </row>
    <row r="56355" spans="1:2" x14ac:dyDescent="0.25">
      <c r="A56355" s="118"/>
      <c r="B56355" s="136"/>
    </row>
    <row r="56356" spans="1:2" x14ac:dyDescent="0.25">
      <c r="A56356" s="118"/>
      <c r="B56356" s="136"/>
    </row>
    <row r="56357" spans="1:2" x14ac:dyDescent="0.25">
      <c r="A56357" s="118"/>
      <c r="B56357" s="136"/>
    </row>
    <row r="56358" spans="1:2" x14ac:dyDescent="0.25">
      <c r="A56358" s="118"/>
      <c r="B56358" s="136"/>
    </row>
    <row r="56359" spans="1:2" x14ac:dyDescent="0.25">
      <c r="A56359" s="118"/>
      <c r="B56359" s="136"/>
    </row>
    <row r="56360" spans="1:2" x14ac:dyDescent="0.25">
      <c r="A56360" s="118"/>
      <c r="B56360" s="136"/>
    </row>
    <row r="56361" spans="1:2" x14ac:dyDescent="0.25">
      <c r="A56361" s="118"/>
      <c r="B56361" s="136"/>
    </row>
    <row r="56362" spans="1:2" x14ac:dyDescent="0.25">
      <c r="A56362" s="118"/>
      <c r="B56362" s="136"/>
    </row>
    <row r="56363" spans="1:2" x14ac:dyDescent="0.25">
      <c r="A56363" s="118"/>
      <c r="B56363" s="136"/>
    </row>
    <row r="56364" spans="1:2" x14ac:dyDescent="0.25">
      <c r="A56364" s="118"/>
      <c r="B56364" s="136"/>
    </row>
    <row r="56365" spans="1:2" x14ac:dyDescent="0.25">
      <c r="A56365" s="118"/>
      <c r="B56365" s="136"/>
    </row>
    <row r="56366" spans="1:2" x14ac:dyDescent="0.25">
      <c r="A56366" s="118"/>
      <c r="B56366" s="136"/>
    </row>
    <row r="56367" spans="1:2" x14ac:dyDescent="0.25">
      <c r="A56367" s="118"/>
      <c r="B56367" s="136"/>
    </row>
    <row r="56368" spans="1:2" x14ac:dyDescent="0.25">
      <c r="A56368" s="118"/>
      <c r="B56368" s="136"/>
    </row>
    <row r="56369" spans="1:2" x14ac:dyDescent="0.25">
      <c r="A56369" s="118"/>
      <c r="B56369" s="136"/>
    </row>
    <row r="56370" spans="1:2" x14ac:dyDescent="0.25">
      <c r="A56370" s="118"/>
      <c r="B56370" s="136"/>
    </row>
    <row r="56371" spans="1:2" x14ac:dyDescent="0.25">
      <c r="A56371" s="118"/>
      <c r="B56371" s="136"/>
    </row>
    <row r="56372" spans="1:2" x14ac:dyDescent="0.25">
      <c r="A56372" s="118"/>
      <c r="B56372" s="136"/>
    </row>
    <row r="56373" spans="1:2" x14ac:dyDescent="0.25">
      <c r="A56373" s="118"/>
      <c r="B56373" s="136"/>
    </row>
    <row r="56374" spans="1:2" x14ac:dyDescent="0.25">
      <c r="A56374" s="118"/>
      <c r="B56374" s="136"/>
    </row>
    <row r="56375" spans="1:2" x14ac:dyDescent="0.25">
      <c r="A56375" s="118"/>
      <c r="B56375" s="136"/>
    </row>
    <row r="56376" spans="1:2" x14ac:dyDescent="0.25">
      <c r="A56376" s="118"/>
      <c r="B56376" s="136"/>
    </row>
    <row r="56377" spans="1:2" x14ac:dyDescent="0.25">
      <c r="A56377" s="118"/>
      <c r="B56377" s="136"/>
    </row>
    <row r="56378" spans="1:2" x14ac:dyDescent="0.25">
      <c r="A56378" s="118"/>
      <c r="B56378" s="136"/>
    </row>
    <row r="56379" spans="1:2" x14ac:dyDescent="0.25">
      <c r="A56379" s="118"/>
      <c r="B56379" s="136"/>
    </row>
    <row r="56380" spans="1:2" x14ac:dyDescent="0.25">
      <c r="A56380" s="118"/>
      <c r="B56380" s="136"/>
    </row>
    <row r="56381" spans="1:2" x14ac:dyDescent="0.25">
      <c r="A56381" s="118"/>
      <c r="B56381" s="136"/>
    </row>
    <row r="56382" spans="1:2" x14ac:dyDescent="0.25">
      <c r="A56382" s="118"/>
      <c r="B56382" s="136"/>
    </row>
    <row r="56383" spans="1:2" x14ac:dyDescent="0.25">
      <c r="A56383" s="118"/>
      <c r="B56383" s="136"/>
    </row>
    <row r="56384" spans="1:2" x14ac:dyDescent="0.25">
      <c r="A56384" s="118"/>
      <c r="B56384" s="136"/>
    </row>
    <row r="56385" spans="1:2" x14ac:dyDescent="0.25">
      <c r="A56385" s="118"/>
      <c r="B56385" s="136"/>
    </row>
    <row r="56386" spans="1:2" x14ac:dyDescent="0.25">
      <c r="A56386" s="118"/>
      <c r="B56386" s="136"/>
    </row>
    <row r="56387" spans="1:2" x14ac:dyDescent="0.25">
      <c r="A56387" s="118"/>
      <c r="B56387" s="136"/>
    </row>
    <row r="56388" spans="1:2" x14ac:dyDescent="0.25">
      <c r="A56388" s="118"/>
      <c r="B56388" s="136"/>
    </row>
    <row r="56389" spans="1:2" x14ac:dyDescent="0.25">
      <c r="A56389" s="118"/>
      <c r="B56389" s="136"/>
    </row>
    <row r="56390" spans="1:2" x14ac:dyDescent="0.25">
      <c r="A56390" s="118"/>
      <c r="B56390" s="136"/>
    </row>
    <row r="56391" spans="1:2" x14ac:dyDescent="0.25">
      <c r="A56391" s="118"/>
      <c r="B56391" s="136"/>
    </row>
    <row r="56392" spans="1:2" x14ac:dyDescent="0.25">
      <c r="A56392" s="118"/>
      <c r="B56392" s="136"/>
    </row>
    <row r="56393" spans="1:2" x14ac:dyDescent="0.25">
      <c r="A56393" s="118"/>
      <c r="B56393" s="136"/>
    </row>
    <row r="56394" spans="1:2" x14ac:dyDescent="0.25">
      <c r="A56394" s="118"/>
      <c r="B56394" s="136"/>
    </row>
    <row r="56395" spans="1:2" x14ac:dyDescent="0.25">
      <c r="A56395" s="118"/>
      <c r="B56395" s="136"/>
    </row>
    <row r="56396" spans="1:2" x14ac:dyDescent="0.25">
      <c r="A56396" s="118"/>
      <c r="B56396" s="136"/>
    </row>
    <row r="56397" spans="1:2" x14ac:dyDescent="0.25">
      <c r="A56397" s="118"/>
      <c r="B56397" s="136"/>
    </row>
    <row r="56398" spans="1:2" x14ac:dyDescent="0.25">
      <c r="A56398" s="118"/>
      <c r="B56398" s="136"/>
    </row>
    <row r="56399" spans="1:2" x14ac:dyDescent="0.25">
      <c r="A56399" s="118"/>
      <c r="B56399" s="136"/>
    </row>
    <row r="56400" spans="1:2" x14ac:dyDescent="0.25">
      <c r="A56400" s="118"/>
      <c r="B56400" s="136"/>
    </row>
    <row r="56401" spans="1:2" x14ac:dyDescent="0.25">
      <c r="A56401" s="118"/>
      <c r="B56401" s="136"/>
    </row>
    <row r="56402" spans="1:2" x14ac:dyDescent="0.25">
      <c r="A56402" s="118"/>
      <c r="B56402" s="136"/>
    </row>
    <row r="56403" spans="1:2" x14ac:dyDescent="0.25">
      <c r="A56403" s="118"/>
      <c r="B56403" s="136"/>
    </row>
    <row r="56404" spans="1:2" x14ac:dyDescent="0.25">
      <c r="A56404" s="118"/>
      <c r="B56404" s="136"/>
    </row>
    <row r="56405" spans="1:2" x14ac:dyDescent="0.25">
      <c r="A56405" s="118"/>
      <c r="B56405" s="136"/>
    </row>
    <row r="56406" spans="1:2" x14ac:dyDescent="0.25">
      <c r="A56406" s="118"/>
      <c r="B56406" s="136"/>
    </row>
    <row r="56407" spans="1:2" x14ac:dyDescent="0.25">
      <c r="A56407" s="118"/>
      <c r="B56407" s="136"/>
    </row>
    <row r="56408" spans="1:2" x14ac:dyDescent="0.25">
      <c r="A56408" s="118"/>
      <c r="B56408" s="136"/>
    </row>
    <row r="56409" spans="1:2" x14ac:dyDescent="0.25">
      <c r="A56409" s="118"/>
      <c r="B56409" s="136"/>
    </row>
    <row r="56410" spans="1:2" x14ac:dyDescent="0.25">
      <c r="A56410" s="118"/>
      <c r="B56410" s="136"/>
    </row>
    <row r="56411" spans="1:2" x14ac:dyDescent="0.25">
      <c r="A56411" s="118"/>
      <c r="B56411" s="136"/>
    </row>
    <row r="56412" spans="1:2" x14ac:dyDescent="0.25">
      <c r="A56412" s="118"/>
      <c r="B56412" s="136"/>
    </row>
    <row r="56413" spans="1:2" x14ac:dyDescent="0.25">
      <c r="A56413" s="118"/>
      <c r="B56413" s="136"/>
    </row>
    <row r="56414" spans="1:2" x14ac:dyDescent="0.25">
      <c r="A56414" s="118"/>
      <c r="B56414" s="136"/>
    </row>
    <row r="56415" spans="1:2" x14ac:dyDescent="0.25">
      <c r="A56415" s="118"/>
      <c r="B56415" s="136"/>
    </row>
    <row r="56416" spans="1:2" x14ac:dyDescent="0.25">
      <c r="A56416" s="118"/>
      <c r="B56416" s="136"/>
    </row>
    <row r="56417" spans="1:2" x14ac:dyDescent="0.25">
      <c r="A56417" s="118"/>
      <c r="B56417" s="136"/>
    </row>
    <row r="56418" spans="1:2" x14ac:dyDescent="0.25">
      <c r="A56418" s="118"/>
      <c r="B56418" s="136"/>
    </row>
    <row r="56419" spans="1:2" x14ac:dyDescent="0.25">
      <c r="A56419" s="118"/>
      <c r="B56419" s="136"/>
    </row>
    <row r="56420" spans="1:2" x14ac:dyDescent="0.25">
      <c r="A56420" s="118"/>
      <c r="B56420" s="136"/>
    </row>
    <row r="56421" spans="1:2" x14ac:dyDescent="0.25">
      <c r="A56421" s="118"/>
      <c r="B56421" s="136"/>
    </row>
    <row r="56422" spans="1:2" x14ac:dyDescent="0.25">
      <c r="A56422" s="118"/>
      <c r="B56422" s="136"/>
    </row>
    <row r="56423" spans="1:2" x14ac:dyDescent="0.25">
      <c r="A56423" s="118"/>
      <c r="B56423" s="136"/>
    </row>
    <row r="56424" spans="1:2" x14ac:dyDescent="0.25">
      <c r="A56424" s="118"/>
      <c r="B56424" s="136"/>
    </row>
    <row r="56425" spans="1:2" x14ac:dyDescent="0.25">
      <c r="A56425" s="118"/>
      <c r="B56425" s="136"/>
    </row>
    <row r="56426" spans="1:2" x14ac:dyDescent="0.25">
      <c r="A56426" s="118"/>
      <c r="B56426" s="136"/>
    </row>
    <row r="56427" spans="1:2" x14ac:dyDescent="0.25">
      <c r="A56427" s="118"/>
      <c r="B56427" s="136"/>
    </row>
    <row r="56428" spans="1:2" x14ac:dyDescent="0.25">
      <c r="A56428" s="118"/>
      <c r="B56428" s="136"/>
    </row>
    <row r="56429" spans="1:2" x14ac:dyDescent="0.25">
      <c r="A56429" s="118"/>
      <c r="B56429" s="136"/>
    </row>
    <row r="56430" spans="1:2" x14ac:dyDescent="0.25">
      <c r="A56430" s="118"/>
      <c r="B56430" s="136"/>
    </row>
    <row r="56431" spans="1:2" x14ac:dyDescent="0.25">
      <c r="A56431" s="118"/>
      <c r="B56431" s="136"/>
    </row>
    <row r="56432" spans="1:2" x14ac:dyDescent="0.25">
      <c r="A56432" s="118"/>
      <c r="B56432" s="136"/>
    </row>
    <row r="56433" spans="1:2" x14ac:dyDescent="0.25">
      <c r="A56433" s="118"/>
      <c r="B56433" s="136"/>
    </row>
    <row r="56434" spans="1:2" x14ac:dyDescent="0.25">
      <c r="A56434" s="118"/>
      <c r="B56434" s="136"/>
    </row>
    <row r="56435" spans="1:2" x14ac:dyDescent="0.25">
      <c r="A56435" s="118"/>
      <c r="B56435" s="136"/>
    </row>
    <row r="56436" spans="1:2" x14ac:dyDescent="0.25">
      <c r="A56436" s="118"/>
      <c r="B56436" s="136"/>
    </row>
    <row r="56437" spans="1:2" x14ac:dyDescent="0.25">
      <c r="A56437" s="118"/>
      <c r="B56437" s="136"/>
    </row>
    <row r="56438" spans="1:2" x14ac:dyDescent="0.25">
      <c r="A56438" s="118"/>
      <c r="B56438" s="136"/>
    </row>
    <row r="56439" spans="1:2" x14ac:dyDescent="0.25">
      <c r="A56439" s="118"/>
      <c r="B56439" s="136"/>
    </row>
    <row r="56440" spans="1:2" x14ac:dyDescent="0.25">
      <c r="A56440" s="118"/>
      <c r="B56440" s="136"/>
    </row>
    <row r="56441" spans="1:2" x14ac:dyDescent="0.25">
      <c r="A56441" s="118"/>
      <c r="B56441" s="136"/>
    </row>
    <row r="56442" spans="1:2" x14ac:dyDescent="0.25">
      <c r="A56442" s="118"/>
      <c r="B56442" s="136"/>
    </row>
    <row r="56443" spans="1:2" x14ac:dyDescent="0.25">
      <c r="A56443" s="118"/>
      <c r="B56443" s="136"/>
    </row>
    <row r="56444" spans="1:2" x14ac:dyDescent="0.25">
      <c r="A56444" s="118"/>
      <c r="B56444" s="136"/>
    </row>
    <row r="56445" spans="1:2" x14ac:dyDescent="0.25">
      <c r="A56445" s="118"/>
      <c r="B56445" s="136"/>
    </row>
    <row r="56446" spans="1:2" x14ac:dyDescent="0.25">
      <c r="A56446" s="118"/>
      <c r="B56446" s="136"/>
    </row>
    <row r="56447" spans="1:2" x14ac:dyDescent="0.25">
      <c r="A56447" s="118"/>
      <c r="B56447" s="136"/>
    </row>
    <row r="56448" spans="1:2" x14ac:dyDescent="0.25">
      <c r="A56448" s="118"/>
      <c r="B56448" s="136"/>
    </row>
    <row r="56449" spans="1:2" x14ac:dyDescent="0.25">
      <c r="A56449" s="118"/>
      <c r="B56449" s="136"/>
    </row>
    <row r="56450" spans="1:2" x14ac:dyDescent="0.25">
      <c r="A56450" s="118"/>
      <c r="B56450" s="136"/>
    </row>
    <row r="56451" spans="1:2" x14ac:dyDescent="0.25">
      <c r="A56451" s="118"/>
      <c r="B56451" s="136"/>
    </row>
    <row r="56452" spans="1:2" x14ac:dyDescent="0.25">
      <c r="A56452" s="118"/>
      <c r="B56452" s="136"/>
    </row>
    <row r="56453" spans="1:2" x14ac:dyDescent="0.25">
      <c r="A56453" s="118"/>
      <c r="B56453" s="136"/>
    </row>
    <row r="56454" spans="1:2" x14ac:dyDescent="0.25">
      <c r="A56454" s="118"/>
      <c r="B56454" s="136"/>
    </row>
    <row r="56455" spans="1:2" x14ac:dyDescent="0.25">
      <c r="A56455" s="118"/>
      <c r="B56455" s="136"/>
    </row>
    <row r="56456" spans="1:2" x14ac:dyDescent="0.25">
      <c r="A56456" s="118"/>
      <c r="B56456" s="136"/>
    </row>
    <row r="56457" spans="1:2" x14ac:dyDescent="0.25">
      <c r="A56457" s="118"/>
      <c r="B56457" s="136"/>
    </row>
    <row r="56458" spans="1:2" x14ac:dyDescent="0.25">
      <c r="A56458" s="118"/>
      <c r="B56458" s="136"/>
    </row>
    <row r="56459" spans="1:2" x14ac:dyDescent="0.25">
      <c r="A56459" s="118"/>
      <c r="B56459" s="136"/>
    </row>
    <row r="56460" spans="1:2" x14ac:dyDescent="0.25">
      <c r="A56460" s="118"/>
      <c r="B56460" s="136"/>
    </row>
    <row r="56461" spans="1:2" x14ac:dyDescent="0.25">
      <c r="A56461" s="118"/>
      <c r="B56461" s="136"/>
    </row>
    <row r="56462" spans="1:2" x14ac:dyDescent="0.25">
      <c r="A56462" s="118"/>
      <c r="B56462" s="136"/>
    </row>
    <row r="56463" spans="1:2" x14ac:dyDescent="0.25">
      <c r="A56463" s="118"/>
      <c r="B56463" s="136"/>
    </row>
    <row r="56464" spans="1:2" x14ac:dyDescent="0.25">
      <c r="A56464" s="118"/>
      <c r="B56464" s="136"/>
    </row>
    <row r="56465" spans="1:2" x14ac:dyDescent="0.25">
      <c r="A56465" s="118"/>
      <c r="B56465" s="136"/>
    </row>
    <row r="56466" spans="1:2" x14ac:dyDescent="0.25">
      <c r="A56466" s="118"/>
      <c r="B56466" s="136"/>
    </row>
    <row r="56467" spans="1:2" x14ac:dyDescent="0.25">
      <c r="A56467" s="118"/>
      <c r="B56467" s="136"/>
    </row>
    <row r="56468" spans="1:2" x14ac:dyDescent="0.25">
      <c r="A56468" s="118"/>
      <c r="B56468" s="136"/>
    </row>
    <row r="56469" spans="1:2" x14ac:dyDescent="0.25">
      <c r="A56469" s="118"/>
      <c r="B56469" s="136"/>
    </row>
    <row r="56470" spans="1:2" x14ac:dyDescent="0.25">
      <c r="A56470" s="118"/>
      <c r="B56470" s="136"/>
    </row>
    <row r="56471" spans="1:2" x14ac:dyDescent="0.25">
      <c r="A56471" s="118"/>
      <c r="B56471" s="136"/>
    </row>
    <row r="56472" spans="1:2" x14ac:dyDescent="0.25">
      <c r="A56472" s="118"/>
      <c r="B56472" s="136"/>
    </row>
    <row r="56473" spans="1:2" x14ac:dyDescent="0.25">
      <c r="A56473" s="118"/>
      <c r="B56473" s="136"/>
    </row>
    <row r="56474" spans="1:2" x14ac:dyDescent="0.25">
      <c r="A56474" s="118"/>
      <c r="B56474" s="136"/>
    </row>
    <row r="56475" spans="1:2" x14ac:dyDescent="0.25">
      <c r="A56475" s="118"/>
      <c r="B56475" s="136"/>
    </row>
    <row r="56476" spans="1:2" x14ac:dyDescent="0.25">
      <c r="A56476" s="118"/>
      <c r="B56476" s="136"/>
    </row>
    <row r="56477" spans="1:2" x14ac:dyDescent="0.25">
      <c r="A56477" s="118"/>
      <c r="B56477" s="136"/>
    </row>
    <row r="56478" spans="1:2" x14ac:dyDescent="0.25">
      <c r="A56478" s="118"/>
      <c r="B56478" s="136"/>
    </row>
    <row r="56479" spans="1:2" x14ac:dyDescent="0.25">
      <c r="A56479" s="118"/>
      <c r="B56479" s="136"/>
    </row>
    <row r="56480" spans="1:2" x14ac:dyDescent="0.25">
      <c r="A56480" s="118"/>
      <c r="B56480" s="136"/>
    </row>
    <row r="56481" spans="1:2" x14ac:dyDescent="0.25">
      <c r="A56481" s="118"/>
      <c r="B56481" s="136"/>
    </row>
    <row r="56482" spans="1:2" x14ac:dyDescent="0.25">
      <c r="A56482" s="118"/>
      <c r="B56482" s="136"/>
    </row>
    <row r="56483" spans="1:2" x14ac:dyDescent="0.25">
      <c r="A56483" s="118"/>
      <c r="B56483" s="136"/>
    </row>
    <row r="56484" spans="1:2" x14ac:dyDescent="0.25">
      <c r="A56484" s="118"/>
      <c r="B56484" s="136"/>
    </row>
    <row r="56485" spans="1:2" x14ac:dyDescent="0.25">
      <c r="A56485" s="118"/>
      <c r="B56485" s="136"/>
    </row>
    <row r="56486" spans="1:2" x14ac:dyDescent="0.25">
      <c r="A56486" s="118"/>
      <c r="B56486" s="136"/>
    </row>
    <row r="56487" spans="1:2" x14ac:dyDescent="0.25">
      <c r="A56487" s="118"/>
      <c r="B56487" s="136"/>
    </row>
    <row r="56488" spans="1:2" x14ac:dyDescent="0.25">
      <c r="A56488" s="118"/>
      <c r="B56488" s="136"/>
    </row>
    <row r="56489" spans="1:2" x14ac:dyDescent="0.25">
      <c r="A56489" s="118"/>
      <c r="B56489" s="136"/>
    </row>
    <row r="56490" spans="1:2" x14ac:dyDescent="0.25">
      <c r="A56490" s="118"/>
      <c r="B56490" s="136"/>
    </row>
    <row r="56491" spans="1:2" x14ac:dyDescent="0.25">
      <c r="A56491" s="118"/>
      <c r="B56491" s="136"/>
    </row>
    <row r="56492" spans="1:2" x14ac:dyDescent="0.25">
      <c r="A56492" s="118"/>
      <c r="B56492" s="136"/>
    </row>
    <row r="56493" spans="1:2" x14ac:dyDescent="0.25">
      <c r="A56493" s="118"/>
      <c r="B56493" s="136"/>
    </row>
    <row r="56494" spans="1:2" x14ac:dyDescent="0.25">
      <c r="A56494" s="118"/>
      <c r="B56494" s="136"/>
    </row>
    <row r="56495" spans="1:2" x14ac:dyDescent="0.25">
      <c r="A56495" s="118"/>
      <c r="B56495" s="136"/>
    </row>
    <row r="56496" spans="1:2" x14ac:dyDescent="0.25">
      <c r="A56496" s="118"/>
      <c r="B56496" s="136"/>
    </row>
    <row r="56497" spans="1:2" x14ac:dyDescent="0.25">
      <c r="A56497" s="118"/>
      <c r="B56497" s="136"/>
    </row>
    <row r="56498" spans="1:2" x14ac:dyDescent="0.25">
      <c r="A56498" s="118"/>
      <c r="B56498" s="136"/>
    </row>
    <row r="56499" spans="1:2" x14ac:dyDescent="0.25">
      <c r="A56499" s="118"/>
      <c r="B56499" s="136"/>
    </row>
    <row r="56500" spans="1:2" x14ac:dyDescent="0.25">
      <c r="A56500" s="118"/>
      <c r="B56500" s="136"/>
    </row>
    <row r="56501" spans="1:2" x14ac:dyDescent="0.25">
      <c r="A56501" s="118"/>
      <c r="B56501" s="136"/>
    </row>
    <row r="56502" spans="1:2" x14ac:dyDescent="0.25">
      <c r="A56502" s="118"/>
      <c r="B56502" s="136"/>
    </row>
    <row r="56503" spans="1:2" x14ac:dyDescent="0.25">
      <c r="A56503" s="118"/>
      <c r="B56503" s="136"/>
    </row>
    <row r="56504" spans="1:2" x14ac:dyDescent="0.25">
      <c r="A56504" s="118"/>
      <c r="B56504" s="136"/>
    </row>
    <row r="56505" spans="1:2" x14ac:dyDescent="0.25">
      <c r="A56505" s="118"/>
      <c r="B56505" s="136"/>
    </row>
    <row r="56506" spans="1:2" x14ac:dyDescent="0.25">
      <c r="A56506" s="118"/>
      <c r="B56506" s="136"/>
    </row>
    <row r="56507" spans="1:2" x14ac:dyDescent="0.25">
      <c r="A56507" s="118"/>
      <c r="B56507" s="136"/>
    </row>
    <row r="56508" spans="1:2" x14ac:dyDescent="0.25">
      <c r="A56508" s="118"/>
      <c r="B56508" s="136"/>
    </row>
    <row r="56509" spans="1:2" x14ac:dyDescent="0.25">
      <c r="A56509" s="118"/>
      <c r="B56509" s="136"/>
    </row>
    <row r="56510" spans="1:2" x14ac:dyDescent="0.25">
      <c r="A56510" s="118"/>
      <c r="B56510" s="136"/>
    </row>
    <row r="56511" spans="1:2" x14ac:dyDescent="0.25">
      <c r="A56511" s="118"/>
      <c r="B56511" s="136"/>
    </row>
    <row r="56512" spans="1:2" x14ac:dyDescent="0.25">
      <c r="A56512" s="118"/>
      <c r="B56512" s="136"/>
    </row>
    <row r="56513" spans="1:2" x14ac:dyDescent="0.25">
      <c r="A56513" s="118"/>
      <c r="B56513" s="136"/>
    </row>
    <row r="56514" spans="1:2" x14ac:dyDescent="0.25">
      <c r="A56514" s="118"/>
      <c r="B56514" s="136"/>
    </row>
    <row r="56515" spans="1:2" x14ac:dyDescent="0.25">
      <c r="A56515" s="118"/>
      <c r="B56515" s="136"/>
    </row>
    <row r="56516" spans="1:2" x14ac:dyDescent="0.25">
      <c r="A56516" s="118"/>
      <c r="B56516" s="136"/>
    </row>
    <row r="56517" spans="1:2" x14ac:dyDescent="0.25">
      <c r="A56517" s="118"/>
      <c r="B56517" s="136"/>
    </row>
    <row r="56518" spans="1:2" x14ac:dyDescent="0.25">
      <c r="A56518" s="118"/>
      <c r="B56518" s="136"/>
    </row>
    <row r="56519" spans="1:2" x14ac:dyDescent="0.25">
      <c r="A56519" s="118"/>
      <c r="B56519" s="136"/>
    </row>
    <row r="56520" spans="1:2" x14ac:dyDescent="0.25">
      <c r="A56520" s="118"/>
      <c r="B56520" s="136"/>
    </row>
    <row r="56521" spans="1:2" x14ac:dyDescent="0.25">
      <c r="A56521" s="118"/>
      <c r="B56521" s="136"/>
    </row>
    <row r="56522" spans="1:2" x14ac:dyDescent="0.25">
      <c r="A56522" s="118"/>
      <c r="B56522" s="136"/>
    </row>
    <row r="56523" spans="1:2" x14ac:dyDescent="0.25">
      <c r="A56523" s="118"/>
      <c r="B56523" s="136"/>
    </row>
    <row r="56524" spans="1:2" x14ac:dyDescent="0.25">
      <c r="A56524" s="118"/>
      <c r="B56524" s="136"/>
    </row>
    <row r="56525" spans="1:2" x14ac:dyDescent="0.25">
      <c r="A56525" s="118"/>
      <c r="B56525" s="136"/>
    </row>
    <row r="56526" spans="1:2" x14ac:dyDescent="0.25">
      <c r="A56526" s="118"/>
      <c r="B56526" s="136"/>
    </row>
    <row r="56527" spans="1:2" x14ac:dyDescent="0.25">
      <c r="A56527" s="118"/>
      <c r="B56527" s="136"/>
    </row>
    <row r="56528" spans="1:2" x14ac:dyDescent="0.25">
      <c r="A56528" s="118"/>
      <c r="B56528" s="136"/>
    </row>
    <row r="56529" spans="1:2" x14ac:dyDescent="0.25">
      <c r="A56529" s="118"/>
      <c r="B56529" s="136"/>
    </row>
    <row r="56530" spans="1:2" x14ac:dyDescent="0.25">
      <c r="A56530" s="118"/>
      <c r="B56530" s="136"/>
    </row>
    <row r="56531" spans="1:2" x14ac:dyDescent="0.25">
      <c r="A56531" s="118"/>
      <c r="B56531" s="136"/>
    </row>
    <row r="56532" spans="1:2" x14ac:dyDescent="0.25">
      <c r="A56532" s="118"/>
      <c r="B56532" s="136"/>
    </row>
    <row r="56533" spans="1:2" x14ac:dyDescent="0.25">
      <c r="A56533" s="118"/>
      <c r="B56533" s="136"/>
    </row>
    <row r="56534" spans="1:2" x14ac:dyDescent="0.25">
      <c r="A56534" s="118"/>
      <c r="B56534" s="136"/>
    </row>
    <row r="56535" spans="1:2" x14ac:dyDescent="0.25">
      <c r="A56535" s="118"/>
      <c r="B56535" s="136"/>
    </row>
    <row r="56536" spans="1:2" x14ac:dyDescent="0.25">
      <c r="A56536" s="118"/>
      <c r="B56536" s="136"/>
    </row>
    <row r="56537" spans="1:2" x14ac:dyDescent="0.25">
      <c r="A56537" s="118"/>
      <c r="B56537" s="136"/>
    </row>
    <row r="56538" spans="1:2" x14ac:dyDescent="0.25">
      <c r="A56538" s="118"/>
      <c r="B56538" s="136"/>
    </row>
    <row r="56539" spans="1:2" x14ac:dyDescent="0.25">
      <c r="A56539" s="118"/>
      <c r="B56539" s="136"/>
    </row>
    <row r="56540" spans="1:2" x14ac:dyDescent="0.25">
      <c r="A56540" s="118"/>
      <c r="B56540" s="136"/>
    </row>
    <row r="56541" spans="1:2" x14ac:dyDescent="0.25">
      <c r="A56541" s="118"/>
      <c r="B56541" s="136"/>
    </row>
    <row r="56542" spans="1:2" x14ac:dyDescent="0.25">
      <c r="A56542" s="118"/>
      <c r="B56542" s="136"/>
    </row>
    <row r="56543" spans="1:2" x14ac:dyDescent="0.25">
      <c r="A56543" s="118"/>
      <c r="B56543" s="136"/>
    </row>
    <row r="56544" spans="1:2" x14ac:dyDescent="0.25">
      <c r="A56544" s="118"/>
      <c r="B56544" s="136"/>
    </row>
    <row r="56545" spans="1:2" x14ac:dyDescent="0.25">
      <c r="A56545" s="118"/>
      <c r="B56545" s="136"/>
    </row>
    <row r="56546" spans="1:2" x14ac:dyDescent="0.25">
      <c r="A56546" s="118"/>
      <c r="B56546" s="136"/>
    </row>
    <row r="56547" spans="1:2" x14ac:dyDescent="0.25">
      <c r="A56547" s="118"/>
      <c r="B56547" s="136"/>
    </row>
    <row r="56548" spans="1:2" x14ac:dyDescent="0.25">
      <c r="A56548" s="118"/>
      <c r="B56548" s="136"/>
    </row>
    <row r="56549" spans="1:2" x14ac:dyDescent="0.25">
      <c r="A56549" s="118"/>
      <c r="B56549" s="136"/>
    </row>
    <row r="56550" spans="1:2" x14ac:dyDescent="0.25">
      <c r="A56550" s="118"/>
      <c r="B56550" s="136"/>
    </row>
    <row r="56551" spans="1:2" x14ac:dyDescent="0.25">
      <c r="A56551" s="118"/>
      <c r="B56551" s="136"/>
    </row>
    <row r="56552" spans="1:2" x14ac:dyDescent="0.25">
      <c r="A56552" s="118"/>
      <c r="B56552" s="136"/>
    </row>
    <row r="56553" spans="1:2" x14ac:dyDescent="0.25">
      <c r="A56553" s="118"/>
      <c r="B56553" s="136"/>
    </row>
    <row r="56554" spans="1:2" x14ac:dyDescent="0.25">
      <c r="A56554" s="118"/>
      <c r="B56554" s="136"/>
    </row>
    <row r="56555" spans="1:2" x14ac:dyDescent="0.25">
      <c r="A56555" s="118"/>
      <c r="B56555" s="136"/>
    </row>
    <row r="56556" spans="1:2" x14ac:dyDescent="0.25">
      <c r="A56556" s="118"/>
      <c r="B56556" s="136"/>
    </row>
    <row r="56557" spans="1:2" x14ac:dyDescent="0.25">
      <c r="A56557" s="118"/>
      <c r="B56557" s="136"/>
    </row>
    <row r="56558" spans="1:2" x14ac:dyDescent="0.25">
      <c r="A56558" s="118"/>
      <c r="B56558" s="136"/>
    </row>
    <row r="56559" spans="1:2" x14ac:dyDescent="0.25">
      <c r="A56559" s="118"/>
      <c r="B56559" s="136"/>
    </row>
    <row r="56560" spans="1:2" x14ac:dyDescent="0.25">
      <c r="A56560" s="118"/>
      <c r="B56560" s="136"/>
    </row>
    <row r="56561" spans="1:2" x14ac:dyDescent="0.25">
      <c r="A56561" s="118"/>
      <c r="B56561" s="136"/>
    </row>
    <row r="56562" spans="1:2" x14ac:dyDescent="0.25">
      <c r="A56562" s="118"/>
      <c r="B56562" s="136"/>
    </row>
    <row r="56563" spans="1:2" x14ac:dyDescent="0.25">
      <c r="A56563" s="118"/>
      <c r="B56563" s="136"/>
    </row>
    <row r="56564" spans="1:2" x14ac:dyDescent="0.25">
      <c r="A56564" s="118"/>
      <c r="B56564" s="136"/>
    </row>
    <row r="56565" spans="1:2" x14ac:dyDescent="0.25">
      <c r="A56565" s="118"/>
      <c r="B56565" s="136"/>
    </row>
    <row r="56566" spans="1:2" x14ac:dyDescent="0.25">
      <c r="A56566" s="118"/>
      <c r="B56566" s="136"/>
    </row>
    <row r="56567" spans="1:2" x14ac:dyDescent="0.25">
      <c r="A56567" s="118"/>
      <c r="B56567" s="136"/>
    </row>
    <row r="56568" spans="1:2" x14ac:dyDescent="0.25">
      <c r="A56568" s="118"/>
      <c r="B56568" s="136"/>
    </row>
    <row r="56569" spans="1:2" x14ac:dyDescent="0.25">
      <c r="A56569" s="118"/>
      <c r="B56569" s="136"/>
    </row>
    <row r="56570" spans="1:2" x14ac:dyDescent="0.25">
      <c r="A56570" s="118"/>
      <c r="B56570" s="136"/>
    </row>
    <row r="56571" spans="1:2" x14ac:dyDescent="0.25">
      <c r="A56571" s="118"/>
      <c r="B56571" s="136"/>
    </row>
    <row r="56572" spans="1:2" x14ac:dyDescent="0.25">
      <c r="A56572" s="118"/>
      <c r="B56572" s="136"/>
    </row>
    <row r="56573" spans="1:2" x14ac:dyDescent="0.25">
      <c r="A56573" s="118"/>
      <c r="B56573" s="136"/>
    </row>
    <row r="56574" spans="1:2" x14ac:dyDescent="0.25">
      <c r="A56574" s="118"/>
      <c r="B56574" s="136"/>
    </row>
    <row r="56575" spans="1:2" x14ac:dyDescent="0.25">
      <c r="A56575" s="118"/>
      <c r="B56575" s="136"/>
    </row>
    <row r="56576" spans="1:2" x14ac:dyDescent="0.25">
      <c r="A56576" s="118"/>
      <c r="B56576" s="136"/>
    </row>
    <row r="56577" spans="1:2" x14ac:dyDescent="0.25">
      <c r="A56577" s="118"/>
      <c r="B56577" s="136"/>
    </row>
    <row r="56578" spans="1:2" x14ac:dyDescent="0.25">
      <c r="A56578" s="118"/>
      <c r="B56578" s="136"/>
    </row>
    <row r="56579" spans="1:2" x14ac:dyDescent="0.25">
      <c r="A56579" s="118"/>
      <c r="B56579" s="136"/>
    </row>
    <row r="56580" spans="1:2" x14ac:dyDescent="0.25">
      <c r="A56580" s="118"/>
      <c r="B56580" s="136"/>
    </row>
    <row r="56581" spans="1:2" x14ac:dyDescent="0.25">
      <c r="A56581" s="118"/>
      <c r="B56581" s="136"/>
    </row>
    <row r="56582" spans="1:2" x14ac:dyDescent="0.25">
      <c r="A56582" s="118"/>
      <c r="B56582" s="136"/>
    </row>
    <row r="56583" spans="1:2" x14ac:dyDescent="0.25">
      <c r="A56583" s="118"/>
      <c r="B56583" s="136"/>
    </row>
    <row r="56584" spans="1:2" x14ac:dyDescent="0.25">
      <c r="A56584" s="118"/>
      <c r="B56584" s="136"/>
    </row>
    <row r="56585" spans="1:2" x14ac:dyDescent="0.25">
      <c r="A56585" s="118"/>
      <c r="B56585" s="136"/>
    </row>
    <row r="56586" spans="1:2" x14ac:dyDescent="0.25">
      <c r="A56586" s="118"/>
      <c r="B56586" s="136"/>
    </row>
    <row r="56587" spans="1:2" x14ac:dyDescent="0.25">
      <c r="A56587" s="118"/>
      <c r="B56587" s="136"/>
    </row>
    <row r="56588" spans="1:2" x14ac:dyDescent="0.25">
      <c r="A56588" s="118"/>
      <c r="B56588" s="136"/>
    </row>
    <row r="56589" spans="1:2" x14ac:dyDescent="0.25">
      <c r="A56589" s="118"/>
      <c r="B56589" s="136"/>
    </row>
    <row r="56590" spans="1:2" x14ac:dyDescent="0.25">
      <c r="A56590" s="118"/>
      <c r="B56590" s="136"/>
    </row>
    <row r="56591" spans="1:2" x14ac:dyDescent="0.25">
      <c r="A56591" s="118"/>
      <c r="B56591" s="136"/>
    </row>
    <row r="56592" spans="1:2" x14ac:dyDescent="0.25">
      <c r="A56592" s="118"/>
      <c r="B56592" s="136"/>
    </row>
    <row r="56593" spans="1:2" x14ac:dyDescent="0.25">
      <c r="A56593" s="118"/>
      <c r="B56593" s="136"/>
    </row>
    <row r="56594" spans="1:2" x14ac:dyDescent="0.25">
      <c r="A56594" s="118"/>
      <c r="B56594" s="136"/>
    </row>
    <row r="56595" spans="1:2" x14ac:dyDescent="0.25">
      <c r="A56595" s="118"/>
      <c r="B56595" s="136"/>
    </row>
    <row r="56596" spans="1:2" x14ac:dyDescent="0.25">
      <c r="A56596" s="118"/>
      <c r="B56596" s="136"/>
    </row>
    <row r="56597" spans="1:2" x14ac:dyDescent="0.25">
      <c r="A56597" s="118"/>
      <c r="B56597" s="136"/>
    </row>
    <row r="56598" spans="1:2" x14ac:dyDescent="0.25">
      <c r="A56598" s="118"/>
      <c r="B56598" s="136"/>
    </row>
    <row r="56599" spans="1:2" x14ac:dyDescent="0.25">
      <c r="A56599" s="118"/>
      <c r="B56599" s="136"/>
    </row>
    <row r="56600" spans="1:2" x14ac:dyDescent="0.25">
      <c r="A56600" s="118"/>
      <c r="B56600" s="136"/>
    </row>
    <row r="56601" spans="1:2" x14ac:dyDescent="0.25">
      <c r="A56601" s="118"/>
      <c r="B56601" s="136"/>
    </row>
    <row r="56602" spans="1:2" x14ac:dyDescent="0.25">
      <c r="A56602" s="118"/>
      <c r="B56602" s="136"/>
    </row>
    <row r="56603" spans="1:2" x14ac:dyDescent="0.25">
      <c r="A56603" s="118"/>
      <c r="B56603" s="136"/>
    </row>
    <row r="56604" spans="1:2" x14ac:dyDescent="0.25">
      <c r="A56604" s="118"/>
      <c r="B56604" s="136"/>
    </row>
    <row r="56605" spans="1:2" x14ac:dyDescent="0.25">
      <c r="A56605" s="118"/>
      <c r="B56605" s="136"/>
    </row>
    <row r="56606" spans="1:2" x14ac:dyDescent="0.25">
      <c r="A56606" s="118"/>
      <c r="B56606" s="136"/>
    </row>
    <row r="56607" spans="1:2" x14ac:dyDescent="0.25">
      <c r="A56607" s="118"/>
      <c r="B56607" s="136"/>
    </row>
    <row r="56608" spans="1:2" x14ac:dyDescent="0.25">
      <c r="A56608" s="118"/>
      <c r="B56608" s="136"/>
    </row>
    <row r="56609" spans="1:2" x14ac:dyDescent="0.25">
      <c r="A56609" s="118"/>
      <c r="B56609" s="136"/>
    </row>
    <row r="56610" spans="1:2" x14ac:dyDescent="0.25">
      <c r="A56610" s="118"/>
      <c r="B56610" s="136"/>
    </row>
    <row r="56611" spans="1:2" x14ac:dyDescent="0.25">
      <c r="A56611" s="118"/>
      <c r="B56611" s="136"/>
    </row>
    <row r="56612" spans="1:2" x14ac:dyDescent="0.25">
      <c r="A56612" s="118"/>
      <c r="B56612" s="136"/>
    </row>
    <row r="56613" spans="1:2" x14ac:dyDescent="0.25">
      <c r="A56613" s="118"/>
      <c r="B56613" s="136"/>
    </row>
    <row r="56614" spans="1:2" x14ac:dyDescent="0.25">
      <c r="A56614" s="118"/>
      <c r="B56614" s="136"/>
    </row>
    <row r="56615" spans="1:2" x14ac:dyDescent="0.25">
      <c r="A56615" s="118"/>
      <c r="B56615" s="136"/>
    </row>
    <row r="56616" spans="1:2" x14ac:dyDescent="0.25">
      <c r="A56616" s="118"/>
      <c r="B56616" s="136"/>
    </row>
    <row r="56617" spans="1:2" x14ac:dyDescent="0.25">
      <c r="A56617" s="118"/>
      <c r="B56617" s="136"/>
    </row>
    <row r="56618" spans="1:2" x14ac:dyDescent="0.25">
      <c r="A56618" s="118"/>
      <c r="B56618" s="136"/>
    </row>
    <row r="56619" spans="1:2" x14ac:dyDescent="0.25">
      <c r="A56619" s="118"/>
      <c r="B56619" s="136"/>
    </row>
    <row r="56620" spans="1:2" x14ac:dyDescent="0.25">
      <c r="A56620" s="118"/>
      <c r="B56620" s="136"/>
    </row>
    <row r="56621" spans="1:2" x14ac:dyDescent="0.25">
      <c r="A56621" s="118"/>
      <c r="B56621" s="136"/>
    </row>
    <row r="56622" spans="1:2" x14ac:dyDescent="0.25">
      <c r="A56622" s="118"/>
      <c r="B56622" s="136"/>
    </row>
    <row r="56623" spans="1:2" x14ac:dyDescent="0.25">
      <c r="A56623" s="118"/>
      <c r="B56623" s="136"/>
    </row>
    <row r="56624" spans="1:2" x14ac:dyDescent="0.25">
      <c r="A56624" s="118"/>
      <c r="B56624" s="136"/>
    </row>
    <row r="56625" spans="1:2" x14ac:dyDescent="0.25">
      <c r="A56625" s="118"/>
      <c r="B56625" s="136"/>
    </row>
    <row r="56626" spans="1:2" x14ac:dyDescent="0.25">
      <c r="A56626" s="118"/>
      <c r="B56626" s="136"/>
    </row>
    <row r="56627" spans="1:2" x14ac:dyDescent="0.25">
      <c r="A56627" s="118"/>
      <c r="B56627" s="136"/>
    </row>
    <row r="56628" spans="1:2" x14ac:dyDescent="0.25">
      <c r="A56628" s="118"/>
      <c r="B56628" s="136"/>
    </row>
    <row r="56629" spans="1:2" x14ac:dyDescent="0.25">
      <c r="A56629" s="118"/>
      <c r="B56629" s="136"/>
    </row>
    <row r="56630" spans="1:2" x14ac:dyDescent="0.25">
      <c r="A56630" s="118"/>
      <c r="B56630" s="136"/>
    </row>
    <row r="56631" spans="1:2" x14ac:dyDescent="0.25">
      <c r="A56631" s="118"/>
      <c r="B56631" s="136"/>
    </row>
    <row r="56632" spans="1:2" x14ac:dyDescent="0.25">
      <c r="A56632" s="118"/>
      <c r="B56632" s="136"/>
    </row>
    <row r="56633" spans="1:2" x14ac:dyDescent="0.25">
      <c r="A56633" s="118"/>
      <c r="B56633" s="136"/>
    </row>
    <row r="56634" spans="1:2" x14ac:dyDescent="0.25">
      <c r="A56634" s="118"/>
      <c r="B56634" s="136"/>
    </row>
    <row r="56635" spans="1:2" x14ac:dyDescent="0.25">
      <c r="A56635" s="118"/>
      <c r="B56635" s="136"/>
    </row>
    <row r="56636" spans="1:2" x14ac:dyDescent="0.25">
      <c r="A56636" s="118"/>
      <c r="B56636" s="136"/>
    </row>
    <row r="56637" spans="1:2" x14ac:dyDescent="0.25">
      <c r="A56637" s="118"/>
      <c r="B56637" s="136"/>
    </row>
    <row r="56638" spans="1:2" x14ac:dyDescent="0.25">
      <c r="A56638" s="118"/>
      <c r="B56638" s="136"/>
    </row>
    <row r="56639" spans="1:2" x14ac:dyDescent="0.25">
      <c r="A56639" s="118"/>
      <c r="B56639" s="136"/>
    </row>
    <row r="56640" spans="1:2" x14ac:dyDescent="0.25">
      <c r="A56640" s="118"/>
      <c r="B56640" s="136"/>
    </row>
    <row r="56641" spans="1:2" x14ac:dyDescent="0.25">
      <c r="A56641" s="118"/>
      <c r="B56641" s="136"/>
    </row>
    <row r="56642" spans="1:2" x14ac:dyDescent="0.25">
      <c r="A56642" s="118"/>
      <c r="B56642" s="136"/>
    </row>
    <row r="56643" spans="1:2" x14ac:dyDescent="0.25">
      <c r="A56643" s="118"/>
      <c r="B56643" s="136"/>
    </row>
    <row r="56644" spans="1:2" x14ac:dyDescent="0.25">
      <c r="A56644" s="118"/>
      <c r="B56644" s="136"/>
    </row>
    <row r="56645" spans="1:2" x14ac:dyDescent="0.25">
      <c r="A56645" s="118"/>
      <c r="B56645" s="136"/>
    </row>
    <row r="56646" spans="1:2" x14ac:dyDescent="0.25">
      <c r="A56646" s="118"/>
      <c r="B56646" s="136"/>
    </row>
    <row r="56647" spans="1:2" x14ac:dyDescent="0.25">
      <c r="A56647" s="118"/>
      <c r="B56647" s="136"/>
    </row>
    <row r="56648" spans="1:2" x14ac:dyDescent="0.25">
      <c r="A56648" s="118"/>
      <c r="B56648" s="136"/>
    </row>
    <row r="56649" spans="1:2" x14ac:dyDescent="0.25">
      <c r="A56649" s="118"/>
      <c r="B56649" s="136"/>
    </row>
    <row r="56650" spans="1:2" x14ac:dyDescent="0.25">
      <c r="A56650" s="118"/>
      <c r="B56650" s="136"/>
    </row>
    <row r="56651" spans="1:2" x14ac:dyDescent="0.25">
      <c r="A56651" s="118"/>
      <c r="B56651" s="136"/>
    </row>
    <row r="56652" spans="1:2" x14ac:dyDescent="0.25">
      <c r="A56652" s="118"/>
      <c r="B56652" s="136"/>
    </row>
    <row r="56653" spans="1:2" x14ac:dyDescent="0.25">
      <c r="A56653" s="118"/>
      <c r="B56653" s="136"/>
    </row>
    <row r="56654" spans="1:2" x14ac:dyDescent="0.25">
      <c r="A56654" s="118"/>
      <c r="B56654" s="136"/>
    </row>
    <row r="56655" spans="1:2" x14ac:dyDescent="0.25">
      <c r="A56655" s="118"/>
      <c r="B56655" s="136"/>
    </row>
    <row r="56656" spans="1:2" x14ac:dyDescent="0.25">
      <c r="A56656" s="118"/>
      <c r="B56656" s="136"/>
    </row>
    <row r="56657" spans="1:2" x14ac:dyDescent="0.25">
      <c r="A56657" s="118"/>
      <c r="B56657" s="136"/>
    </row>
    <row r="56658" spans="1:2" x14ac:dyDescent="0.25">
      <c r="A56658" s="118"/>
      <c r="B56658" s="136"/>
    </row>
    <row r="56659" spans="1:2" x14ac:dyDescent="0.25">
      <c r="A56659" s="118"/>
      <c r="B56659" s="136"/>
    </row>
    <row r="56660" spans="1:2" x14ac:dyDescent="0.25">
      <c r="A56660" s="118"/>
      <c r="B56660" s="136"/>
    </row>
    <row r="56661" spans="1:2" x14ac:dyDescent="0.25">
      <c r="A56661" s="118"/>
      <c r="B56661" s="136"/>
    </row>
    <row r="56662" spans="1:2" x14ac:dyDescent="0.25">
      <c r="A56662" s="118"/>
      <c r="B56662" s="136"/>
    </row>
    <row r="56663" spans="1:2" x14ac:dyDescent="0.25">
      <c r="A56663" s="118"/>
      <c r="B56663" s="136"/>
    </row>
    <row r="56664" spans="1:2" x14ac:dyDescent="0.25">
      <c r="A56664" s="118"/>
      <c r="B56664" s="136"/>
    </row>
    <row r="56665" spans="1:2" x14ac:dyDescent="0.25">
      <c r="A56665" s="118"/>
      <c r="B56665" s="136"/>
    </row>
    <row r="56666" spans="1:2" x14ac:dyDescent="0.25">
      <c r="A56666" s="118"/>
      <c r="B56666" s="136"/>
    </row>
    <row r="56667" spans="1:2" x14ac:dyDescent="0.25">
      <c r="A56667" s="118"/>
      <c r="B56667" s="136"/>
    </row>
    <row r="56668" spans="1:2" x14ac:dyDescent="0.25">
      <c r="A56668" s="118"/>
      <c r="B56668" s="136"/>
    </row>
    <row r="56669" spans="1:2" x14ac:dyDescent="0.25">
      <c r="A56669" s="118"/>
      <c r="B56669" s="136"/>
    </row>
    <row r="56670" spans="1:2" x14ac:dyDescent="0.25">
      <c r="A56670" s="118"/>
      <c r="B56670" s="136"/>
    </row>
    <row r="56671" spans="1:2" x14ac:dyDescent="0.25">
      <c r="A56671" s="118"/>
      <c r="B56671" s="136"/>
    </row>
    <row r="56672" spans="1:2" x14ac:dyDescent="0.25">
      <c r="A56672" s="118"/>
      <c r="B56672" s="136"/>
    </row>
    <row r="56673" spans="1:2" x14ac:dyDescent="0.25">
      <c r="A56673" s="118"/>
      <c r="B56673" s="136"/>
    </row>
    <row r="56674" spans="1:2" x14ac:dyDescent="0.25">
      <c r="A56674" s="118"/>
      <c r="B56674" s="136"/>
    </row>
    <row r="56675" spans="1:2" x14ac:dyDescent="0.25">
      <c r="A56675" s="118"/>
      <c r="B56675" s="136"/>
    </row>
    <row r="56676" spans="1:2" x14ac:dyDescent="0.25">
      <c r="A56676" s="118"/>
      <c r="B56676" s="136"/>
    </row>
    <row r="56677" spans="1:2" x14ac:dyDescent="0.25">
      <c r="A56677" s="118"/>
      <c r="B56677" s="136"/>
    </row>
    <row r="56678" spans="1:2" x14ac:dyDescent="0.25">
      <c r="A56678" s="118"/>
      <c r="B56678" s="136"/>
    </row>
    <row r="56679" spans="1:2" x14ac:dyDescent="0.25">
      <c r="A56679" s="118"/>
      <c r="B56679" s="136"/>
    </row>
    <row r="56680" spans="1:2" x14ac:dyDescent="0.25">
      <c r="A56680" s="118"/>
      <c r="B56680" s="136"/>
    </row>
    <row r="56681" spans="1:2" x14ac:dyDescent="0.25">
      <c r="A56681" s="118"/>
      <c r="B56681" s="136"/>
    </row>
    <row r="56682" spans="1:2" x14ac:dyDescent="0.25">
      <c r="A56682" s="118"/>
      <c r="B56682" s="136"/>
    </row>
    <row r="56683" spans="1:2" x14ac:dyDescent="0.25">
      <c r="A56683" s="118"/>
      <c r="B56683" s="136"/>
    </row>
    <row r="56684" spans="1:2" x14ac:dyDescent="0.25">
      <c r="A56684" s="118"/>
      <c r="B56684" s="136"/>
    </row>
    <row r="56685" spans="1:2" x14ac:dyDescent="0.25">
      <c r="A56685" s="118"/>
      <c r="B56685" s="136"/>
    </row>
    <row r="56686" spans="1:2" x14ac:dyDescent="0.25">
      <c r="A56686" s="118"/>
      <c r="B56686" s="136"/>
    </row>
    <row r="56687" spans="1:2" x14ac:dyDescent="0.25">
      <c r="A56687" s="118"/>
      <c r="B56687" s="136"/>
    </row>
    <row r="56688" spans="1:2" x14ac:dyDescent="0.25">
      <c r="A56688" s="118"/>
      <c r="B56688" s="136"/>
    </row>
    <row r="56689" spans="1:2" x14ac:dyDescent="0.25">
      <c r="A56689" s="118"/>
      <c r="B56689" s="136"/>
    </row>
    <row r="56690" spans="1:2" x14ac:dyDescent="0.25">
      <c r="A56690" s="118"/>
      <c r="B56690" s="136"/>
    </row>
    <row r="56691" spans="1:2" x14ac:dyDescent="0.25">
      <c r="A56691" s="118"/>
      <c r="B56691" s="136"/>
    </row>
    <row r="56692" spans="1:2" x14ac:dyDescent="0.25">
      <c r="A56692" s="118"/>
      <c r="B56692" s="136"/>
    </row>
    <row r="56693" spans="1:2" x14ac:dyDescent="0.25">
      <c r="A56693" s="118"/>
      <c r="B56693" s="136"/>
    </row>
    <row r="56694" spans="1:2" x14ac:dyDescent="0.25">
      <c r="A56694" s="118"/>
      <c r="B56694" s="136"/>
    </row>
    <row r="56695" spans="1:2" x14ac:dyDescent="0.25">
      <c r="A56695" s="118"/>
      <c r="B56695" s="136"/>
    </row>
    <row r="56696" spans="1:2" x14ac:dyDescent="0.25">
      <c r="A56696" s="118"/>
      <c r="B56696" s="136"/>
    </row>
    <row r="56697" spans="1:2" x14ac:dyDescent="0.25">
      <c r="A56697" s="118"/>
      <c r="B56697" s="136"/>
    </row>
    <row r="56698" spans="1:2" x14ac:dyDescent="0.25">
      <c r="A56698" s="118"/>
      <c r="B56698" s="136"/>
    </row>
    <row r="56699" spans="1:2" x14ac:dyDescent="0.25">
      <c r="A56699" s="118"/>
      <c r="B56699" s="136"/>
    </row>
    <row r="56700" spans="1:2" x14ac:dyDescent="0.25">
      <c r="A56700" s="118"/>
      <c r="B56700" s="136"/>
    </row>
    <row r="56701" spans="1:2" x14ac:dyDescent="0.25">
      <c r="A56701" s="118"/>
      <c r="B56701" s="136"/>
    </row>
    <row r="56702" spans="1:2" x14ac:dyDescent="0.25">
      <c r="A56702" s="118"/>
      <c r="B56702" s="136"/>
    </row>
    <row r="56703" spans="1:2" x14ac:dyDescent="0.25">
      <c r="A56703" s="118"/>
      <c r="B56703" s="136"/>
    </row>
    <row r="56704" spans="1:2" x14ac:dyDescent="0.25">
      <c r="A56704" s="118"/>
      <c r="B56704" s="136"/>
    </row>
    <row r="56705" spans="1:2" x14ac:dyDescent="0.25">
      <c r="A56705" s="118"/>
      <c r="B56705" s="136"/>
    </row>
    <row r="56706" spans="1:2" x14ac:dyDescent="0.25">
      <c r="A56706" s="118"/>
      <c r="B56706" s="136"/>
    </row>
    <row r="56707" spans="1:2" x14ac:dyDescent="0.25">
      <c r="A56707" s="118"/>
      <c r="B56707" s="136"/>
    </row>
    <row r="56708" spans="1:2" x14ac:dyDescent="0.25">
      <c r="A56708" s="118"/>
      <c r="B56708" s="136"/>
    </row>
    <row r="56709" spans="1:2" x14ac:dyDescent="0.25">
      <c r="A56709" s="118"/>
      <c r="B56709" s="136"/>
    </row>
    <row r="56710" spans="1:2" x14ac:dyDescent="0.25">
      <c r="A56710" s="118"/>
      <c r="B56710" s="136"/>
    </row>
    <row r="56711" spans="1:2" x14ac:dyDescent="0.25">
      <c r="A56711" s="118"/>
      <c r="B56711" s="136"/>
    </row>
    <row r="56712" spans="1:2" x14ac:dyDescent="0.25">
      <c r="A56712" s="118"/>
      <c r="B56712" s="136"/>
    </row>
    <row r="56713" spans="1:2" x14ac:dyDescent="0.25">
      <c r="A56713" s="118"/>
      <c r="B56713" s="136"/>
    </row>
    <row r="56714" spans="1:2" x14ac:dyDescent="0.25">
      <c r="A56714" s="118"/>
      <c r="B56714" s="136"/>
    </row>
    <row r="56715" spans="1:2" x14ac:dyDescent="0.25">
      <c r="A56715" s="118"/>
      <c r="B56715" s="136"/>
    </row>
    <row r="56716" spans="1:2" x14ac:dyDescent="0.25">
      <c r="A56716" s="118"/>
      <c r="B56716" s="136"/>
    </row>
    <row r="56717" spans="1:2" x14ac:dyDescent="0.25">
      <c r="A56717" s="118"/>
      <c r="B56717" s="136"/>
    </row>
    <row r="56718" spans="1:2" x14ac:dyDescent="0.25">
      <c r="A56718" s="118"/>
      <c r="B56718" s="136"/>
    </row>
    <row r="56719" spans="1:2" x14ac:dyDescent="0.25">
      <c r="A56719" s="118"/>
      <c r="B56719" s="136"/>
    </row>
    <row r="56720" spans="1:2" x14ac:dyDescent="0.25">
      <c r="A56720" s="118"/>
      <c r="B56720" s="136"/>
    </row>
    <row r="56721" spans="1:2" x14ac:dyDescent="0.25">
      <c r="A56721" s="118"/>
      <c r="B56721" s="136"/>
    </row>
    <row r="56722" spans="1:2" x14ac:dyDescent="0.25">
      <c r="A56722" s="118"/>
      <c r="B56722" s="136"/>
    </row>
    <row r="56723" spans="1:2" x14ac:dyDescent="0.25">
      <c r="A56723" s="118"/>
      <c r="B56723" s="136"/>
    </row>
    <row r="56724" spans="1:2" x14ac:dyDescent="0.25">
      <c r="A56724" s="118"/>
      <c r="B56724" s="136"/>
    </row>
    <row r="56725" spans="1:2" x14ac:dyDescent="0.25">
      <c r="A56725" s="118"/>
      <c r="B56725" s="136"/>
    </row>
    <row r="56726" spans="1:2" x14ac:dyDescent="0.25">
      <c r="A56726" s="118"/>
      <c r="B56726" s="136"/>
    </row>
    <row r="56727" spans="1:2" x14ac:dyDescent="0.25">
      <c r="A56727" s="118"/>
      <c r="B56727" s="136"/>
    </row>
    <row r="56728" spans="1:2" x14ac:dyDescent="0.25">
      <c r="A56728" s="118"/>
      <c r="B56728" s="136"/>
    </row>
    <row r="56729" spans="1:2" x14ac:dyDescent="0.25">
      <c r="A56729" s="118"/>
      <c r="B56729" s="136"/>
    </row>
    <row r="56730" spans="1:2" x14ac:dyDescent="0.25">
      <c r="A56730" s="118"/>
      <c r="B56730" s="136"/>
    </row>
    <row r="56731" spans="1:2" x14ac:dyDescent="0.25">
      <c r="A56731" s="118"/>
      <c r="B56731" s="136"/>
    </row>
    <row r="56732" spans="1:2" x14ac:dyDescent="0.25">
      <c r="A56732" s="118"/>
      <c r="B56732" s="136"/>
    </row>
    <row r="56733" spans="1:2" x14ac:dyDescent="0.25">
      <c r="A56733" s="118"/>
      <c r="B56733" s="136"/>
    </row>
    <row r="56734" spans="1:2" x14ac:dyDescent="0.25">
      <c r="A56734" s="118"/>
      <c r="B56734" s="136"/>
    </row>
    <row r="56735" spans="1:2" x14ac:dyDescent="0.25">
      <c r="A56735" s="118"/>
      <c r="B56735" s="136"/>
    </row>
    <row r="56736" spans="1:2" x14ac:dyDescent="0.25">
      <c r="A56736" s="118"/>
      <c r="B56736" s="136"/>
    </row>
    <row r="56737" spans="1:2" x14ac:dyDescent="0.25">
      <c r="A56737" s="118"/>
      <c r="B56737" s="136"/>
    </row>
    <row r="56738" spans="1:2" x14ac:dyDescent="0.25">
      <c r="A56738" s="118"/>
      <c r="B56738" s="136"/>
    </row>
    <row r="56739" spans="1:2" x14ac:dyDescent="0.25">
      <c r="A56739" s="118"/>
      <c r="B56739" s="136"/>
    </row>
    <row r="56740" spans="1:2" x14ac:dyDescent="0.25">
      <c r="A56740" s="118"/>
      <c r="B56740" s="136"/>
    </row>
    <row r="56741" spans="1:2" x14ac:dyDescent="0.25">
      <c r="A56741" s="118"/>
      <c r="B56741" s="136"/>
    </row>
    <row r="56742" spans="1:2" x14ac:dyDescent="0.25">
      <c r="A56742" s="118"/>
      <c r="B56742" s="136"/>
    </row>
    <row r="56743" spans="1:2" x14ac:dyDescent="0.25">
      <c r="A56743" s="118"/>
      <c r="B56743" s="136"/>
    </row>
    <row r="56744" spans="1:2" x14ac:dyDescent="0.25">
      <c r="A56744" s="118"/>
      <c r="B56744" s="136"/>
    </row>
    <row r="56745" spans="1:2" x14ac:dyDescent="0.25">
      <c r="A56745" s="118"/>
      <c r="B56745" s="136"/>
    </row>
    <row r="56746" spans="1:2" x14ac:dyDescent="0.25">
      <c r="A56746" s="118"/>
      <c r="B56746" s="136"/>
    </row>
    <row r="56747" spans="1:2" x14ac:dyDescent="0.25">
      <c r="A56747" s="118"/>
      <c r="B56747" s="136"/>
    </row>
    <row r="56748" spans="1:2" x14ac:dyDescent="0.25">
      <c r="A56748" s="118"/>
      <c r="B56748" s="136"/>
    </row>
    <row r="56749" spans="1:2" x14ac:dyDescent="0.25">
      <c r="A56749" s="118"/>
      <c r="B56749" s="136"/>
    </row>
    <row r="56750" spans="1:2" x14ac:dyDescent="0.25">
      <c r="A56750" s="118"/>
      <c r="B56750" s="136"/>
    </row>
    <row r="56751" spans="1:2" x14ac:dyDescent="0.25">
      <c r="A56751" s="118"/>
      <c r="B56751" s="136"/>
    </row>
    <row r="56752" spans="1:2" x14ac:dyDescent="0.25">
      <c r="A56752" s="118"/>
      <c r="B56752" s="136"/>
    </row>
    <row r="56753" spans="1:2" x14ac:dyDescent="0.25">
      <c r="A56753" s="118"/>
      <c r="B56753" s="136"/>
    </row>
    <row r="56754" spans="1:2" x14ac:dyDescent="0.25">
      <c r="A56754" s="118"/>
      <c r="B56754" s="136"/>
    </row>
    <row r="56755" spans="1:2" x14ac:dyDescent="0.25">
      <c r="A56755" s="118"/>
      <c r="B56755" s="136"/>
    </row>
    <row r="56756" spans="1:2" x14ac:dyDescent="0.25">
      <c r="A56756" s="118"/>
      <c r="B56756" s="136"/>
    </row>
    <row r="56757" spans="1:2" x14ac:dyDescent="0.25">
      <c r="A56757" s="118"/>
      <c r="B56757" s="136"/>
    </row>
    <row r="56758" spans="1:2" x14ac:dyDescent="0.25">
      <c r="A56758" s="118"/>
      <c r="B56758" s="136"/>
    </row>
    <row r="56759" spans="1:2" x14ac:dyDescent="0.25">
      <c r="A56759" s="118"/>
      <c r="B56759" s="136"/>
    </row>
    <row r="56760" spans="1:2" x14ac:dyDescent="0.25">
      <c r="A56760" s="118"/>
      <c r="B56760" s="136"/>
    </row>
    <row r="56761" spans="1:2" x14ac:dyDescent="0.25">
      <c r="A56761" s="118"/>
      <c r="B56761" s="136"/>
    </row>
    <row r="56762" spans="1:2" x14ac:dyDescent="0.25">
      <c r="A56762" s="118"/>
      <c r="B56762" s="136"/>
    </row>
    <row r="56763" spans="1:2" x14ac:dyDescent="0.25">
      <c r="A56763" s="118"/>
      <c r="B56763" s="136"/>
    </row>
    <row r="56764" spans="1:2" x14ac:dyDescent="0.25">
      <c r="A56764" s="118"/>
      <c r="B56764" s="136"/>
    </row>
    <row r="56765" spans="1:2" x14ac:dyDescent="0.25">
      <c r="A56765" s="118"/>
      <c r="B56765" s="136"/>
    </row>
    <row r="56766" spans="1:2" x14ac:dyDescent="0.25">
      <c r="A56766" s="118"/>
      <c r="B56766" s="136"/>
    </row>
    <row r="56767" spans="1:2" x14ac:dyDescent="0.25">
      <c r="A56767" s="118"/>
      <c r="B56767" s="136"/>
    </row>
    <row r="56768" spans="1:2" x14ac:dyDescent="0.25">
      <c r="A56768" s="118"/>
      <c r="B56768" s="136"/>
    </row>
    <row r="56769" spans="1:2" x14ac:dyDescent="0.25">
      <c r="A56769" s="118"/>
      <c r="B56769" s="136"/>
    </row>
    <row r="56770" spans="1:2" x14ac:dyDescent="0.25">
      <c r="A56770" s="118"/>
      <c r="B56770" s="136"/>
    </row>
    <row r="56771" spans="1:2" x14ac:dyDescent="0.25">
      <c r="A56771" s="118"/>
      <c r="B56771" s="136"/>
    </row>
    <row r="56772" spans="1:2" x14ac:dyDescent="0.25">
      <c r="A56772" s="118"/>
      <c r="B56772" s="136"/>
    </row>
    <row r="56773" spans="1:2" x14ac:dyDescent="0.25">
      <c r="A56773" s="118"/>
      <c r="B56773" s="136"/>
    </row>
    <row r="56774" spans="1:2" x14ac:dyDescent="0.25">
      <c r="A56774" s="118"/>
      <c r="B56774" s="136"/>
    </row>
    <row r="56775" spans="1:2" x14ac:dyDescent="0.25">
      <c r="A56775" s="118"/>
      <c r="B56775" s="136"/>
    </row>
    <row r="56776" spans="1:2" x14ac:dyDescent="0.25">
      <c r="A56776" s="118"/>
      <c r="B56776" s="136"/>
    </row>
    <row r="56777" spans="1:2" x14ac:dyDescent="0.25">
      <c r="A56777" s="118"/>
      <c r="B56777" s="136"/>
    </row>
    <row r="56778" spans="1:2" x14ac:dyDescent="0.25">
      <c r="A56778" s="118"/>
      <c r="B56778" s="136"/>
    </row>
    <row r="56779" spans="1:2" x14ac:dyDescent="0.25">
      <c r="A56779" s="118"/>
      <c r="B56779" s="136"/>
    </row>
    <row r="56780" spans="1:2" x14ac:dyDescent="0.25">
      <c r="A56780" s="118"/>
      <c r="B56780" s="136"/>
    </row>
    <row r="56781" spans="1:2" x14ac:dyDescent="0.25">
      <c r="A56781" s="118"/>
      <c r="B56781" s="136"/>
    </row>
    <row r="56782" spans="1:2" x14ac:dyDescent="0.25">
      <c r="A56782" s="118"/>
      <c r="B56782" s="136"/>
    </row>
    <row r="56783" spans="1:2" x14ac:dyDescent="0.25">
      <c r="A56783" s="118"/>
      <c r="B56783" s="136"/>
    </row>
    <row r="56784" spans="1:2" x14ac:dyDescent="0.25">
      <c r="A56784" s="118"/>
      <c r="B56784" s="136"/>
    </row>
    <row r="56785" spans="1:2" x14ac:dyDescent="0.25">
      <c r="A56785" s="118"/>
      <c r="B56785" s="136"/>
    </row>
    <row r="56786" spans="1:2" x14ac:dyDescent="0.25">
      <c r="A56786" s="118"/>
      <c r="B56786" s="136"/>
    </row>
    <row r="56787" spans="1:2" x14ac:dyDescent="0.25">
      <c r="A56787" s="118"/>
      <c r="B56787" s="136"/>
    </row>
    <row r="56788" spans="1:2" x14ac:dyDescent="0.25">
      <c r="A56788" s="118"/>
      <c r="B56788" s="136"/>
    </row>
    <row r="56789" spans="1:2" x14ac:dyDescent="0.25">
      <c r="A56789" s="118"/>
      <c r="B56789" s="136"/>
    </row>
    <row r="56790" spans="1:2" x14ac:dyDescent="0.25">
      <c r="A56790" s="118"/>
      <c r="B56790" s="136"/>
    </row>
    <row r="56791" spans="1:2" x14ac:dyDescent="0.25">
      <c r="A56791" s="118"/>
      <c r="B56791" s="136"/>
    </row>
    <row r="56792" spans="1:2" x14ac:dyDescent="0.25">
      <c r="A56792" s="118"/>
      <c r="B56792" s="136"/>
    </row>
    <row r="56793" spans="1:2" x14ac:dyDescent="0.25">
      <c r="A56793" s="118"/>
      <c r="B56793" s="136"/>
    </row>
    <row r="56794" spans="1:2" x14ac:dyDescent="0.25">
      <c r="A56794" s="118"/>
      <c r="B56794" s="136"/>
    </row>
    <row r="56795" spans="1:2" x14ac:dyDescent="0.25">
      <c r="A56795" s="118"/>
      <c r="B56795" s="136"/>
    </row>
    <row r="56796" spans="1:2" x14ac:dyDescent="0.25">
      <c r="A56796" s="118"/>
      <c r="B56796" s="136"/>
    </row>
    <row r="56797" spans="1:2" x14ac:dyDescent="0.25">
      <c r="A56797" s="118"/>
      <c r="B56797" s="136"/>
    </row>
    <row r="56798" spans="1:2" x14ac:dyDescent="0.25">
      <c r="A56798" s="118"/>
      <c r="B56798" s="136"/>
    </row>
    <row r="56799" spans="1:2" x14ac:dyDescent="0.25">
      <c r="A56799" s="118"/>
      <c r="B56799" s="136"/>
    </row>
    <row r="56800" spans="1:2" x14ac:dyDescent="0.25">
      <c r="A56800" s="118"/>
      <c r="B56800" s="136"/>
    </row>
    <row r="56801" spans="1:2" x14ac:dyDescent="0.25">
      <c r="A56801" s="118"/>
      <c r="B56801" s="136"/>
    </row>
    <row r="56802" spans="1:2" x14ac:dyDescent="0.25">
      <c r="A56802" s="118"/>
      <c r="B56802" s="136"/>
    </row>
    <row r="56803" spans="1:2" x14ac:dyDescent="0.25">
      <c r="A56803" s="118"/>
      <c r="B56803" s="136"/>
    </row>
    <row r="56804" spans="1:2" x14ac:dyDescent="0.25">
      <c r="A56804" s="118"/>
      <c r="B56804" s="136"/>
    </row>
    <row r="56805" spans="1:2" x14ac:dyDescent="0.25">
      <c r="A56805" s="118"/>
      <c r="B56805" s="136"/>
    </row>
    <row r="56806" spans="1:2" x14ac:dyDescent="0.25">
      <c r="A56806" s="118"/>
      <c r="B56806" s="136"/>
    </row>
    <row r="56807" spans="1:2" x14ac:dyDescent="0.25">
      <c r="A56807" s="118"/>
      <c r="B56807" s="136"/>
    </row>
    <row r="56808" spans="1:2" x14ac:dyDescent="0.25">
      <c r="A56808" s="118"/>
      <c r="B56808" s="136"/>
    </row>
    <row r="56809" spans="1:2" x14ac:dyDescent="0.25">
      <c r="A56809" s="118"/>
      <c r="B56809" s="136"/>
    </row>
    <row r="56810" spans="1:2" x14ac:dyDescent="0.25">
      <c r="A56810" s="118"/>
      <c r="B56810" s="136"/>
    </row>
    <row r="56811" spans="1:2" x14ac:dyDescent="0.25">
      <c r="A56811" s="118"/>
      <c r="B56811" s="136"/>
    </row>
    <row r="56812" spans="1:2" x14ac:dyDescent="0.25">
      <c r="A56812" s="118"/>
      <c r="B56812" s="136"/>
    </row>
    <row r="56813" spans="1:2" x14ac:dyDescent="0.25">
      <c r="A56813" s="118"/>
      <c r="B56813" s="136"/>
    </row>
    <row r="56814" spans="1:2" x14ac:dyDescent="0.25">
      <c r="A56814" s="118"/>
      <c r="B56814" s="136"/>
    </row>
    <row r="56815" spans="1:2" x14ac:dyDescent="0.25">
      <c r="A56815" s="118"/>
      <c r="B56815" s="136"/>
    </row>
    <row r="56816" spans="1:2" x14ac:dyDescent="0.25">
      <c r="A56816" s="118"/>
      <c r="B56816" s="136"/>
    </row>
    <row r="56817" spans="1:2" x14ac:dyDescent="0.25">
      <c r="A56817" s="118"/>
      <c r="B56817" s="136"/>
    </row>
    <row r="56818" spans="1:2" x14ac:dyDescent="0.25">
      <c r="A56818" s="118"/>
      <c r="B56818" s="136"/>
    </row>
    <row r="56819" spans="1:2" x14ac:dyDescent="0.25">
      <c r="A56819" s="118"/>
      <c r="B56819" s="136"/>
    </row>
    <row r="56820" spans="1:2" x14ac:dyDescent="0.25">
      <c r="A56820" s="118"/>
      <c r="B56820" s="136"/>
    </row>
    <row r="56821" spans="1:2" x14ac:dyDescent="0.25">
      <c r="A56821" s="118"/>
      <c r="B56821" s="136"/>
    </row>
    <row r="56822" spans="1:2" x14ac:dyDescent="0.25">
      <c r="A56822" s="118"/>
      <c r="B56822" s="136"/>
    </row>
    <row r="56823" spans="1:2" x14ac:dyDescent="0.25">
      <c r="A56823" s="118"/>
      <c r="B56823" s="136"/>
    </row>
    <row r="56824" spans="1:2" x14ac:dyDescent="0.25">
      <c r="A56824" s="118"/>
      <c r="B56824" s="136"/>
    </row>
    <row r="56825" spans="1:2" x14ac:dyDescent="0.25">
      <c r="A56825" s="118"/>
      <c r="B56825" s="136"/>
    </row>
    <row r="56826" spans="1:2" x14ac:dyDescent="0.25">
      <c r="A56826" s="118"/>
      <c r="B56826" s="136"/>
    </row>
    <row r="56827" spans="1:2" x14ac:dyDescent="0.25">
      <c r="A56827" s="118"/>
      <c r="B56827" s="136"/>
    </row>
    <row r="56828" spans="1:2" x14ac:dyDescent="0.25">
      <c r="A56828" s="118"/>
      <c r="B56828" s="136"/>
    </row>
    <row r="56829" spans="1:2" x14ac:dyDescent="0.25">
      <c r="A56829" s="118"/>
      <c r="B56829" s="136"/>
    </row>
    <row r="56830" spans="1:2" x14ac:dyDescent="0.25">
      <c r="A56830" s="118"/>
      <c r="B56830" s="136"/>
    </row>
    <row r="56831" spans="1:2" x14ac:dyDescent="0.25">
      <c r="A56831" s="118"/>
      <c r="B56831" s="136"/>
    </row>
    <row r="56832" spans="1:2" x14ac:dyDescent="0.25">
      <c r="A56832" s="118"/>
      <c r="B56832" s="136"/>
    </row>
    <row r="56833" spans="1:2" x14ac:dyDescent="0.25">
      <c r="A56833" s="118"/>
      <c r="B56833" s="136"/>
    </row>
    <row r="56834" spans="1:2" x14ac:dyDescent="0.25">
      <c r="A56834" s="118"/>
      <c r="B56834" s="136"/>
    </row>
    <row r="56835" spans="1:2" x14ac:dyDescent="0.25">
      <c r="A56835" s="118"/>
      <c r="B56835" s="136"/>
    </row>
    <row r="56836" spans="1:2" x14ac:dyDescent="0.25">
      <c r="A56836" s="118"/>
      <c r="B56836" s="136"/>
    </row>
    <row r="56837" spans="1:2" x14ac:dyDescent="0.25">
      <c r="A56837" s="118"/>
      <c r="B56837" s="136"/>
    </row>
    <row r="56838" spans="1:2" x14ac:dyDescent="0.25">
      <c r="A56838" s="118"/>
      <c r="B56838" s="136"/>
    </row>
    <row r="56839" spans="1:2" x14ac:dyDescent="0.25">
      <c r="A56839" s="118"/>
      <c r="B56839" s="136"/>
    </row>
    <row r="56840" spans="1:2" x14ac:dyDescent="0.25">
      <c r="A56840" s="118"/>
      <c r="B56840" s="136"/>
    </row>
    <row r="56841" spans="1:2" x14ac:dyDescent="0.25">
      <c r="A56841" s="118"/>
      <c r="B56841" s="136"/>
    </row>
    <row r="56842" spans="1:2" x14ac:dyDescent="0.25">
      <c r="A56842" s="118"/>
      <c r="B56842" s="136"/>
    </row>
    <row r="56843" spans="1:2" x14ac:dyDescent="0.25">
      <c r="A56843" s="118"/>
      <c r="B56843" s="136"/>
    </row>
    <row r="56844" spans="1:2" x14ac:dyDescent="0.25">
      <c r="A56844" s="118"/>
      <c r="B56844" s="136"/>
    </row>
    <row r="56845" spans="1:2" x14ac:dyDescent="0.25">
      <c r="A56845" s="118"/>
      <c r="B56845" s="136"/>
    </row>
    <row r="56846" spans="1:2" x14ac:dyDescent="0.25">
      <c r="A56846" s="118"/>
      <c r="B56846" s="136"/>
    </row>
    <row r="56847" spans="1:2" x14ac:dyDescent="0.25">
      <c r="A56847" s="118"/>
      <c r="B56847" s="136"/>
    </row>
    <row r="56848" spans="1:2" x14ac:dyDescent="0.25">
      <c r="A56848" s="118"/>
      <c r="B56848" s="136"/>
    </row>
    <row r="56849" spans="1:2" x14ac:dyDescent="0.25">
      <c r="A56849" s="118"/>
      <c r="B56849" s="136"/>
    </row>
    <row r="56850" spans="1:2" x14ac:dyDescent="0.25">
      <c r="A56850" s="118"/>
      <c r="B56850" s="136"/>
    </row>
    <row r="56851" spans="1:2" x14ac:dyDescent="0.25">
      <c r="A56851" s="118"/>
      <c r="B56851" s="136"/>
    </row>
    <row r="56852" spans="1:2" x14ac:dyDescent="0.25">
      <c r="A56852" s="118"/>
      <c r="B56852" s="136"/>
    </row>
    <row r="56853" spans="1:2" x14ac:dyDescent="0.25">
      <c r="A56853" s="118"/>
      <c r="B56853" s="136"/>
    </row>
    <row r="56854" spans="1:2" x14ac:dyDescent="0.25">
      <c r="A56854" s="118"/>
      <c r="B56854" s="136"/>
    </row>
    <row r="56855" spans="1:2" x14ac:dyDescent="0.25">
      <c r="A56855" s="118"/>
      <c r="B56855" s="136"/>
    </row>
    <row r="56856" spans="1:2" x14ac:dyDescent="0.25">
      <c r="A56856" s="118"/>
      <c r="B56856" s="136"/>
    </row>
    <row r="56857" spans="1:2" x14ac:dyDescent="0.25">
      <c r="A56857" s="118"/>
      <c r="B56857" s="136"/>
    </row>
    <row r="56858" spans="1:2" x14ac:dyDescent="0.25">
      <c r="A56858" s="118"/>
      <c r="B56858" s="136"/>
    </row>
    <row r="56859" spans="1:2" x14ac:dyDescent="0.25">
      <c r="A56859" s="118"/>
      <c r="B56859" s="136"/>
    </row>
    <row r="56860" spans="1:2" x14ac:dyDescent="0.25">
      <c r="A56860" s="118"/>
      <c r="B56860" s="136"/>
    </row>
    <row r="56861" spans="1:2" x14ac:dyDescent="0.25">
      <c r="A56861" s="118"/>
      <c r="B56861" s="136"/>
    </row>
    <row r="56862" spans="1:2" x14ac:dyDescent="0.25">
      <c r="A56862" s="118"/>
      <c r="B56862" s="136"/>
    </row>
    <row r="56863" spans="1:2" x14ac:dyDescent="0.25">
      <c r="A56863" s="118"/>
      <c r="B56863" s="136"/>
    </row>
    <row r="56864" spans="1:2" x14ac:dyDescent="0.25">
      <c r="A56864" s="118"/>
      <c r="B56864" s="136"/>
    </row>
    <row r="56865" spans="1:2" x14ac:dyDescent="0.25">
      <c r="A56865" s="118"/>
      <c r="B56865" s="136"/>
    </row>
    <row r="56866" spans="1:2" x14ac:dyDescent="0.25">
      <c r="A56866" s="118"/>
      <c r="B56866" s="136"/>
    </row>
    <row r="56867" spans="1:2" x14ac:dyDescent="0.25">
      <c r="A56867" s="118"/>
      <c r="B56867" s="136"/>
    </row>
    <row r="56868" spans="1:2" x14ac:dyDescent="0.25">
      <c r="A56868" s="118"/>
      <c r="B56868" s="136"/>
    </row>
    <row r="56869" spans="1:2" x14ac:dyDescent="0.25">
      <c r="A56869" s="118"/>
      <c r="B56869" s="136"/>
    </row>
    <row r="56870" spans="1:2" x14ac:dyDescent="0.25">
      <c r="A56870" s="118"/>
      <c r="B56870" s="136"/>
    </row>
    <row r="56871" spans="1:2" x14ac:dyDescent="0.25">
      <c r="A56871" s="118"/>
      <c r="B56871" s="136"/>
    </row>
    <row r="56872" spans="1:2" x14ac:dyDescent="0.25">
      <c r="A56872" s="118"/>
      <c r="B56872" s="136"/>
    </row>
    <row r="56873" spans="1:2" x14ac:dyDescent="0.25">
      <c r="A56873" s="118"/>
      <c r="B56873" s="136"/>
    </row>
    <row r="56874" spans="1:2" x14ac:dyDescent="0.25">
      <c r="A56874" s="118"/>
      <c r="B56874" s="136"/>
    </row>
    <row r="56875" spans="1:2" x14ac:dyDescent="0.25">
      <c r="A56875" s="118"/>
      <c r="B56875" s="136"/>
    </row>
    <row r="56876" spans="1:2" x14ac:dyDescent="0.25">
      <c r="A56876" s="118"/>
      <c r="B56876" s="136"/>
    </row>
    <row r="56877" spans="1:2" x14ac:dyDescent="0.25">
      <c r="A56877" s="118"/>
      <c r="B56877" s="136"/>
    </row>
    <row r="56878" spans="1:2" x14ac:dyDescent="0.25">
      <c r="A56878" s="118"/>
      <c r="B56878" s="136"/>
    </row>
    <row r="56879" spans="1:2" x14ac:dyDescent="0.25">
      <c r="A56879" s="118"/>
      <c r="B56879" s="136"/>
    </row>
    <row r="56880" spans="1:2" x14ac:dyDescent="0.25">
      <c r="A56880" s="118"/>
      <c r="B56880" s="136"/>
    </row>
    <row r="56881" spans="1:2" x14ac:dyDescent="0.25">
      <c r="A56881" s="118"/>
      <c r="B56881" s="136"/>
    </row>
    <row r="56882" spans="1:2" x14ac:dyDescent="0.25">
      <c r="A56882" s="118"/>
      <c r="B56882" s="136"/>
    </row>
    <row r="56883" spans="1:2" x14ac:dyDescent="0.25">
      <c r="A56883" s="118"/>
      <c r="B56883" s="136"/>
    </row>
    <row r="56884" spans="1:2" x14ac:dyDescent="0.25">
      <c r="A56884" s="118"/>
      <c r="B56884" s="136"/>
    </row>
    <row r="56885" spans="1:2" x14ac:dyDescent="0.25">
      <c r="A56885" s="118"/>
      <c r="B56885" s="136"/>
    </row>
    <row r="56886" spans="1:2" x14ac:dyDescent="0.25">
      <c r="A56886" s="118"/>
      <c r="B56886" s="136"/>
    </row>
    <row r="56887" spans="1:2" x14ac:dyDescent="0.25">
      <c r="A56887" s="118"/>
      <c r="B56887" s="136"/>
    </row>
    <row r="56888" spans="1:2" x14ac:dyDescent="0.25">
      <c r="A56888" s="118"/>
      <c r="B56888" s="136"/>
    </row>
    <row r="56889" spans="1:2" x14ac:dyDescent="0.25">
      <c r="A56889" s="118"/>
      <c r="B56889" s="136"/>
    </row>
    <row r="56890" spans="1:2" x14ac:dyDescent="0.25">
      <c r="A56890" s="118"/>
      <c r="B56890" s="136"/>
    </row>
    <row r="56891" spans="1:2" x14ac:dyDescent="0.25">
      <c r="A56891" s="118"/>
      <c r="B56891" s="136"/>
    </row>
    <row r="56892" spans="1:2" x14ac:dyDescent="0.25">
      <c r="A56892" s="118"/>
      <c r="B56892" s="136"/>
    </row>
    <row r="56893" spans="1:2" x14ac:dyDescent="0.25">
      <c r="A56893" s="118"/>
      <c r="B56893" s="136"/>
    </row>
    <row r="56894" spans="1:2" x14ac:dyDescent="0.25">
      <c r="A56894" s="118"/>
      <c r="B56894" s="136"/>
    </row>
    <row r="56895" spans="1:2" x14ac:dyDescent="0.25">
      <c r="A56895" s="118"/>
      <c r="B56895" s="136"/>
    </row>
    <row r="56896" spans="1:2" x14ac:dyDescent="0.25">
      <c r="A56896" s="118"/>
      <c r="B56896" s="136"/>
    </row>
    <row r="56897" spans="1:2" x14ac:dyDescent="0.25">
      <c r="A56897" s="118"/>
      <c r="B56897" s="136"/>
    </row>
    <row r="56898" spans="1:2" x14ac:dyDescent="0.25">
      <c r="A56898" s="118"/>
      <c r="B56898" s="136"/>
    </row>
    <row r="56899" spans="1:2" x14ac:dyDescent="0.25">
      <c r="A56899" s="118"/>
      <c r="B56899" s="136"/>
    </row>
    <row r="56900" spans="1:2" x14ac:dyDescent="0.25">
      <c r="A56900" s="118"/>
      <c r="B56900" s="136"/>
    </row>
    <row r="56901" spans="1:2" x14ac:dyDescent="0.25">
      <c r="A56901" s="118"/>
      <c r="B56901" s="136"/>
    </row>
    <row r="56902" spans="1:2" x14ac:dyDescent="0.25">
      <c r="A56902" s="118"/>
      <c r="B56902" s="136"/>
    </row>
    <row r="56903" spans="1:2" x14ac:dyDescent="0.25">
      <c r="A56903" s="118"/>
      <c r="B56903" s="136"/>
    </row>
    <row r="56904" spans="1:2" x14ac:dyDescent="0.25">
      <c r="A56904" s="118"/>
      <c r="B56904" s="136"/>
    </row>
    <row r="56905" spans="1:2" x14ac:dyDescent="0.25">
      <c r="A56905" s="118"/>
      <c r="B56905" s="136"/>
    </row>
    <row r="56906" spans="1:2" x14ac:dyDescent="0.25">
      <c r="A56906" s="118"/>
      <c r="B56906" s="136"/>
    </row>
    <row r="56907" spans="1:2" x14ac:dyDescent="0.25">
      <c r="A56907" s="118"/>
      <c r="B56907" s="136"/>
    </row>
    <row r="56908" spans="1:2" x14ac:dyDescent="0.25">
      <c r="A56908" s="118"/>
      <c r="B56908" s="136"/>
    </row>
    <row r="56909" spans="1:2" x14ac:dyDescent="0.25">
      <c r="A56909" s="118"/>
      <c r="B56909" s="136"/>
    </row>
    <row r="56910" spans="1:2" x14ac:dyDescent="0.25">
      <c r="A56910" s="118"/>
      <c r="B56910" s="136"/>
    </row>
    <row r="56911" spans="1:2" x14ac:dyDescent="0.25">
      <c r="A56911" s="118"/>
      <c r="B56911" s="136"/>
    </row>
    <row r="56912" spans="1:2" x14ac:dyDescent="0.25">
      <c r="A56912" s="118"/>
      <c r="B56912" s="136"/>
    </row>
    <row r="56913" spans="1:2" x14ac:dyDescent="0.25">
      <c r="A56913" s="118"/>
      <c r="B56913" s="136"/>
    </row>
    <row r="56914" spans="1:2" x14ac:dyDescent="0.25">
      <c r="A56914" s="118"/>
      <c r="B56914" s="136"/>
    </row>
    <row r="56915" spans="1:2" x14ac:dyDescent="0.25">
      <c r="A56915" s="118"/>
      <c r="B56915" s="136"/>
    </row>
    <row r="56916" spans="1:2" x14ac:dyDescent="0.25">
      <c r="A56916" s="118"/>
      <c r="B56916" s="136"/>
    </row>
    <row r="56917" spans="1:2" x14ac:dyDescent="0.25">
      <c r="A56917" s="118"/>
      <c r="B56917" s="136"/>
    </row>
    <row r="56918" spans="1:2" x14ac:dyDescent="0.25">
      <c r="A56918" s="118"/>
      <c r="B56918" s="136"/>
    </row>
    <row r="56919" spans="1:2" x14ac:dyDescent="0.25">
      <c r="A56919" s="118"/>
      <c r="B56919" s="136"/>
    </row>
    <row r="56920" spans="1:2" x14ac:dyDescent="0.25">
      <c r="A56920" s="118"/>
      <c r="B56920" s="136"/>
    </row>
    <row r="56921" spans="1:2" x14ac:dyDescent="0.25">
      <c r="A56921" s="118"/>
      <c r="B56921" s="136"/>
    </row>
    <row r="56922" spans="1:2" x14ac:dyDescent="0.25">
      <c r="A56922" s="118"/>
      <c r="B56922" s="136"/>
    </row>
    <row r="56923" spans="1:2" x14ac:dyDescent="0.25">
      <c r="A56923" s="118"/>
      <c r="B56923" s="136"/>
    </row>
    <row r="56924" spans="1:2" x14ac:dyDescent="0.25">
      <c r="A56924" s="118"/>
      <c r="B56924" s="136"/>
    </row>
    <row r="56925" spans="1:2" x14ac:dyDescent="0.25">
      <c r="A56925" s="118"/>
      <c r="B56925" s="136"/>
    </row>
    <row r="56926" spans="1:2" x14ac:dyDescent="0.25">
      <c r="A56926" s="118"/>
      <c r="B56926" s="136"/>
    </row>
    <row r="56927" spans="1:2" x14ac:dyDescent="0.25">
      <c r="A56927" s="118"/>
      <c r="B56927" s="136"/>
    </row>
    <row r="56928" spans="1:2" x14ac:dyDescent="0.25">
      <c r="A56928" s="118"/>
      <c r="B56928" s="136"/>
    </row>
    <row r="56929" spans="1:2" x14ac:dyDescent="0.25">
      <c r="A56929" s="118"/>
      <c r="B56929" s="136"/>
    </row>
    <row r="56930" spans="1:2" x14ac:dyDescent="0.25">
      <c r="A56930" s="118"/>
      <c r="B56930" s="136"/>
    </row>
    <row r="56931" spans="1:2" x14ac:dyDescent="0.25">
      <c r="A56931" s="118"/>
      <c r="B56931" s="136"/>
    </row>
    <row r="56932" spans="1:2" x14ac:dyDescent="0.25">
      <c r="A56932" s="118"/>
      <c r="B56932" s="136"/>
    </row>
    <row r="56933" spans="1:2" x14ac:dyDescent="0.25">
      <c r="A56933" s="118"/>
      <c r="B56933" s="136"/>
    </row>
    <row r="56934" spans="1:2" x14ac:dyDescent="0.25">
      <c r="A56934" s="118"/>
      <c r="B56934" s="136"/>
    </row>
    <row r="56935" spans="1:2" x14ac:dyDescent="0.25">
      <c r="A56935" s="118"/>
      <c r="B56935" s="136"/>
    </row>
    <row r="56936" spans="1:2" x14ac:dyDescent="0.25">
      <c r="A56936" s="118"/>
      <c r="B56936" s="136"/>
    </row>
    <row r="56937" spans="1:2" x14ac:dyDescent="0.25">
      <c r="A56937" s="118"/>
      <c r="B56937" s="136"/>
    </row>
    <row r="56938" spans="1:2" x14ac:dyDescent="0.25">
      <c r="A56938" s="118"/>
      <c r="B56938" s="136"/>
    </row>
    <row r="56939" spans="1:2" x14ac:dyDescent="0.25">
      <c r="A56939" s="118"/>
      <c r="B56939" s="136"/>
    </row>
    <row r="56940" spans="1:2" x14ac:dyDescent="0.25">
      <c r="A56940" s="118"/>
      <c r="B56940" s="136"/>
    </row>
    <row r="56941" spans="1:2" x14ac:dyDescent="0.25">
      <c r="A56941" s="118"/>
      <c r="B56941" s="136"/>
    </row>
    <row r="56942" spans="1:2" x14ac:dyDescent="0.25">
      <c r="A56942" s="118"/>
      <c r="B56942" s="136"/>
    </row>
    <row r="56943" spans="1:2" x14ac:dyDescent="0.25">
      <c r="A56943" s="118"/>
      <c r="B56943" s="136"/>
    </row>
    <row r="56944" spans="1:2" x14ac:dyDescent="0.25">
      <c r="A56944" s="118"/>
      <c r="B56944" s="136"/>
    </row>
    <row r="56945" spans="1:2" x14ac:dyDescent="0.25">
      <c r="A56945" s="118"/>
      <c r="B56945" s="136"/>
    </row>
    <row r="56946" spans="1:2" x14ac:dyDescent="0.25">
      <c r="A56946" s="118"/>
      <c r="B56946" s="136"/>
    </row>
    <row r="56947" spans="1:2" x14ac:dyDescent="0.25">
      <c r="A56947" s="118"/>
      <c r="B56947" s="136"/>
    </row>
    <row r="56948" spans="1:2" x14ac:dyDescent="0.25">
      <c r="A56948" s="118"/>
      <c r="B56948" s="136"/>
    </row>
    <row r="56949" spans="1:2" x14ac:dyDescent="0.25">
      <c r="A56949" s="118"/>
      <c r="B56949" s="136"/>
    </row>
    <row r="56950" spans="1:2" x14ac:dyDescent="0.25">
      <c r="A56950" s="118"/>
      <c r="B56950" s="136"/>
    </row>
    <row r="56951" spans="1:2" x14ac:dyDescent="0.25">
      <c r="A56951" s="118"/>
      <c r="B56951" s="136"/>
    </row>
    <row r="56952" spans="1:2" x14ac:dyDescent="0.25">
      <c r="A56952" s="118"/>
      <c r="B56952" s="136"/>
    </row>
    <row r="56953" spans="1:2" x14ac:dyDescent="0.25">
      <c r="A56953" s="118"/>
      <c r="B56953" s="136"/>
    </row>
    <row r="56954" spans="1:2" x14ac:dyDescent="0.25">
      <c r="A56954" s="118"/>
      <c r="B56954" s="136"/>
    </row>
    <row r="56955" spans="1:2" x14ac:dyDescent="0.25">
      <c r="A56955" s="118"/>
      <c r="B56955" s="136"/>
    </row>
    <row r="56956" spans="1:2" x14ac:dyDescent="0.25">
      <c r="A56956" s="118"/>
      <c r="B56956" s="136"/>
    </row>
    <row r="56957" spans="1:2" x14ac:dyDescent="0.25">
      <c r="A56957" s="118"/>
      <c r="B56957" s="136"/>
    </row>
    <row r="56958" spans="1:2" x14ac:dyDescent="0.25">
      <c r="A56958" s="118"/>
      <c r="B56958" s="136"/>
    </row>
    <row r="56959" spans="1:2" x14ac:dyDescent="0.25">
      <c r="A56959" s="118"/>
      <c r="B56959" s="136"/>
    </row>
    <row r="56960" spans="1:2" x14ac:dyDescent="0.25">
      <c r="A56960" s="118"/>
      <c r="B56960" s="136"/>
    </row>
    <row r="56961" spans="1:2" x14ac:dyDescent="0.25">
      <c r="A56961" s="118"/>
      <c r="B56961" s="136"/>
    </row>
    <row r="56962" spans="1:2" x14ac:dyDescent="0.25">
      <c r="A56962" s="118"/>
      <c r="B56962" s="136"/>
    </row>
    <row r="56963" spans="1:2" x14ac:dyDescent="0.25">
      <c r="A56963" s="118"/>
      <c r="B56963" s="136"/>
    </row>
    <row r="56964" spans="1:2" x14ac:dyDescent="0.25">
      <c r="A56964" s="118"/>
      <c r="B56964" s="136"/>
    </row>
    <row r="56965" spans="1:2" x14ac:dyDescent="0.25">
      <c r="A56965" s="118"/>
      <c r="B56965" s="136"/>
    </row>
    <row r="56966" spans="1:2" x14ac:dyDescent="0.25">
      <c r="A56966" s="118"/>
      <c r="B56966" s="136"/>
    </row>
    <row r="56967" spans="1:2" x14ac:dyDescent="0.25">
      <c r="A56967" s="118"/>
      <c r="B56967" s="136"/>
    </row>
    <row r="56968" spans="1:2" x14ac:dyDescent="0.25">
      <c r="A56968" s="118"/>
      <c r="B56968" s="136"/>
    </row>
    <row r="56969" spans="1:2" x14ac:dyDescent="0.25">
      <c r="A56969" s="118"/>
      <c r="B56969" s="136"/>
    </row>
    <row r="56970" spans="1:2" x14ac:dyDescent="0.25">
      <c r="A56970" s="118"/>
      <c r="B56970" s="136"/>
    </row>
    <row r="56971" spans="1:2" x14ac:dyDescent="0.25">
      <c r="A56971" s="118"/>
      <c r="B56971" s="136"/>
    </row>
    <row r="56972" spans="1:2" x14ac:dyDescent="0.25">
      <c r="A56972" s="118"/>
      <c r="B56972" s="136"/>
    </row>
    <row r="56973" spans="1:2" x14ac:dyDescent="0.25">
      <c r="A56973" s="118"/>
      <c r="B56973" s="136"/>
    </row>
    <row r="56974" spans="1:2" x14ac:dyDescent="0.25">
      <c r="A56974" s="118"/>
      <c r="B56974" s="136"/>
    </row>
    <row r="56975" spans="1:2" x14ac:dyDescent="0.25">
      <c r="A56975" s="118"/>
      <c r="B56975" s="136"/>
    </row>
    <row r="56976" spans="1:2" x14ac:dyDescent="0.25">
      <c r="A56976" s="118"/>
      <c r="B56976" s="136"/>
    </row>
    <row r="56977" spans="1:2" x14ac:dyDescent="0.25">
      <c r="A56977" s="118"/>
      <c r="B56977" s="136"/>
    </row>
    <row r="56978" spans="1:2" x14ac:dyDescent="0.25">
      <c r="A56978" s="118"/>
      <c r="B56978" s="136"/>
    </row>
    <row r="56979" spans="1:2" x14ac:dyDescent="0.25">
      <c r="A56979" s="118"/>
      <c r="B56979" s="136"/>
    </row>
    <row r="56980" spans="1:2" x14ac:dyDescent="0.25">
      <c r="A56980" s="118"/>
      <c r="B56980" s="136"/>
    </row>
    <row r="56981" spans="1:2" x14ac:dyDescent="0.25">
      <c r="A56981" s="118"/>
      <c r="B56981" s="136"/>
    </row>
    <row r="56982" spans="1:2" x14ac:dyDescent="0.25">
      <c r="A56982" s="118"/>
      <c r="B56982" s="136"/>
    </row>
    <row r="56983" spans="1:2" x14ac:dyDescent="0.25">
      <c r="A56983" s="118"/>
      <c r="B56983" s="136"/>
    </row>
    <row r="56984" spans="1:2" x14ac:dyDescent="0.25">
      <c r="A56984" s="118"/>
      <c r="B56984" s="136"/>
    </row>
    <row r="56985" spans="1:2" x14ac:dyDescent="0.25">
      <c r="A56985" s="118"/>
      <c r="B56985" s="136"/>
    </row>
    <row r="56986" spans="1:2" x14ac:dyDescent="0.25">
      <c r="A56986" s="118"/>
      <c r="B56986" s="136"/>
    </row>
    <row r="56987" spans="1:2" x14ac:dyDescent="0.25">
      <c r="A56987" s="118"/>
      <c r="B56987" s="136"/>
    </row>
    <row r="56988" spans="1:2" x14ac:dyDescent="0.25">
      <c r="A56988" s="118"/>
      <c r="B56988" s="136"/>
    </row>
    <row r="56989" spans="1:2" x14ac:dyDescent="0.25">
      <c r="A56989" s="118"/>
      <c r="B56989" s="136"/>
    </row>
    <row r="56990" spans="1:2" x14ac:dyDescent="0.25">
      <c r="A56990" s="118"/>
      <c r="B56990" s="136"/>
    </row>
    <row r="56991" spans="1:2" x14ac:dyDescent="0.25">
      <c r="A56991" s="118"/>
      <c r="B56991" s="136"/>
    </row>
    <row r="56992" spans="1:2" x14ac:dyDescent="0.25">
      <c r="A56992" s="118"/>
      <c r="B56992" s="136"/>
    </row>
    <row r="56993" spans="1:2" x14ac:dyDescent="0.25">
      <c r="A56993" s="118"/>
      <c r="B56993" s="136"/>
    </row>
    <row r="56994" spans="1:2" x14ac:dyDescent="0.25">
      <c r="A56994" s="118"/>
      <c r="B56994" s="136"/>
    </row>
    <row r="56995" spans="1:2" x14ac:dyDescent="0.25">
      <c r="A56995" s="118"/>
      <c r="B56995" s="136"/>
    </row>
    <row r="56996" spans="1:2" x14ac:dyDescent="0.25">
      <c r="A56996" s="118"/>
      <c r="B56996" s="136"/>
    </row>
    <row r="56997" spans="1:2" x14ac:dyDescent="0.25">
      <c r="A56997" s="118"/>
      <c r="B56997" s="136"/>
    </row>
    <row r="56998" spans="1:2" x14ac:dyDescent="0.25">
      <c r="A56998" s="118"/>
      <c r="B56998" s="136"/>
    </row>
    <row r="56999" spans="1:2" x14ac:dyDescent="0.25">
      <c r="A56999" s="118"/>
      <c r="B56999" s="136"/>
    </row>
    <row r="57000" spans="1:2" x14ac:dyDescent="0.25">
      <c r="A57000" s="118"/>
      <c r="B57000" s="136"/>
    </row>
    <row r="57001" spans="1:2" x14ac:dyDescent="0.25">
      <c r="A57001" s="118"/>
      <c r="B57001" s="136"/>
    </row>
    <row r="57002" spans="1:2" x14ac:dyDescent="0.25">
      <c r="A57002" s="118"/>
      <c r="B57002" s="136"/>
    </row>
    <row r="57003" spans="1:2" x14ac:dyDescent="0.25">
      <c r="A57003" s="118"/>
      <c r="B57003" s="136"/>
    </row>
    <row r="57004" spans="1:2" x14ac:dyDescent="0.25">
      <c r="A57004" s="118"/>
      <c r="B57004" s="136"/>
    </row>
    <row r="57005" spans="1:2" x14ac:dyDescent="0.25">
      <c r="A57005" s="118"/>
      <c r="B57005" s="136"/>
    </row>
    <row r="57006" spans="1:2" x14ac:dyDescent="0.25">
      <c r="A57006" s="118"/>
      <c r="B57006" s="136"/>
    </row>
    <row r="57007" spans="1:2" x14ac:dyDescent="0.25">
      <c r="A57007" s="118"/>
      <c r="B57007" s="136"/>
    </row>
    <row r="57008" spans="1:2" x14ac:dyDescent="0.25">
      <c r="A57008" s="118"/>
      <c r="B57008" s="136"/>
    </row>
    <row r="57009" spans="1:2" x14ac:dyDescent="0.25">
      <c r="A57009" s="118"/>
      <c r="B57009" s="136"/>
    </row>
    <row r="57010" spans="1:2" x14ac:dyDescent="0.25">
      <c r="A57010" s="118"/>
      <c r="B57010" s="136"/>
    </row>
    <row r="57011" spans="1:2" x14ac:dyDescent="0.25">
      <c r="A57011" s="118"/>
      <c r="B57011" s="136"/>
    </row>
    <row r="57012" spans="1:2" x14ac:dyDescent="0.25">
      <c r="A57012" s="118"/>
      <c r="B57012" s="136"/>
    </row>
    <row r="57013" spans="1:2" x14ac:dyDescent="0.25">
      <c r="A57013" s="118"/>
      <c r="B57013" s="136"/>
    </row>
    <row r="57014" spans="1:2" x14ac:dyDescent="0.25">
      <c r="A57014" s="118"/>
      <c r="B57014" s="136"/>
    </row>
    <row r="57015" spans="1:2" x14ac:dyDescent="0.25">
      <c r="A57015" s="118"/>
      <c r="B57015" s="136"/>
    </row>
    <row r="57016" spans="1:2" x14ac:dyDescent="0.25">
      <c r="A57016" s="118"/>
      <c r="B57016" s="136"/>
    </row>
    <row r="57017" spans="1:2" x14ac:dyDescent="0.25">
      <c r="A57017" s="118"/>
      <c r="B57017" s="136"/>
    </row>
    <row r="57018" spans="1:2" x14ac:dyDescent="0.25">
      <c r="A57018" s="118"/>
      <c r="B57018" s="136"/>
    </row>
    <row r="57019" spans="1:2" x14ac:dyDescent="0.25">
      <c r="A57019" s="118"/>
      <c r="B57019" s="136"/>
    </row>
    <row r="57020" spans="1:2" x14ac:dyDescent="0.25">
      <c r="A57020" s="118"/>
      <c r="B57020" s="136"/>
    </row>
    <row r="57021" spans="1:2" x14ac:dyDescent="0.25">
      <c r="A57021" s="118"/>
      <c r="B57021" s="136"/>
    </row>
    <row r="57022" spans="1:2" x14ac:dyDescent="0.25">
      <c r="A57022" s="118"/>
      <c r="B57022" s="136"/>
    </row>
    <row r="57023" spans="1:2" x14ac:dyDescent="0.25">
      <c r="A57023" s="118"/>
      <c r="B57023" s="136"/>
    </row>
    <row r="57024" spans="1:2" x14ac:dyDescent="0.25">
      <c r="A57024" s="118"/>
      <c r="B57024" s="136"/>
    </row>
    <row r="57025" spans="1:2" x14ac:dyDescent="0.25">
      <c r="A57025" s="118"/>
      <c r="B57025" s="136"/>
    </row>
    <row r="57026" spans="1:2" x14ac:dyDescent="0.25">
      <c r="A57026" s="118"/>
      <c r="B57026" s="136"/>
    </row>
    <row r="57027" spans="1:2" x14ac:dyDescent="0.25">
      <c r="A57027" s="118"/>
      <c r="B57027" s="136"/>
    </row>
    <row r="57028" spans="1:2" x14ac:dyDescent="0.25">
      <c r="A57028" s="118"/>
      <c r="B57028" s="136"/>
    </row>
    <row r="57029" spans="1:2" x14ac:dyDescent="0.25">
      <c r="A57029" s="118"/>
      <c r="B57029" s="136"/>
    </row>
    <row r="57030" spans="1:2" x14ac:dyDescent="0.25">
      <c r="A57030" s="118"/>
      <c r="B57030" s="136"/>
    </row>
    <row r="57031" spans="1:2" x14ac:dyDescent="0.25">
      <c r="A57031" s="118"/>
      <c r="B57031" s="136"/>
    </row>
    <row r="57032" spans="1:2" x14ac:dyDescent="0.25">
      <c r="A57032" s="118"/>
      <c r="B57032" s="136"/>
    </row>
    <row r="57033" spans="1:2" x14ac:dyDescent="0.25">
      <c r="A57033" s="118"/>
      <c r="B57033" s="136"/>
    </row>
    <row r="57034" spans="1:2" x14ac:dyDescent="0.25">
      <c r="A57034" s="118"/>
      <c r="B57034" s="136"/>
    </row>
    <row r="57035" spans="1:2" x14ac:dyDescent="0.25">
      <c r="A57035" s="118"/>
      <c r="B57035" s="136"/>
    </row>
    <row r="57036" spans="1:2" x14ac:dyDescent="0.25">
      <c r="A57036" s="118"/>
      <c r="B57036" s="136"/>
    </row>
    <row r="57037" spans="1:2" x14ac:dyDescent="0.25">
      <c r="A57037" s="118"/>
      <c r="B57037" s="136"/>
    </row>
    <row r="57038" spans="1:2" x14ac:dyDescent="0.25">
      <c r="A57038" s="118"/>
      <c r="B57038" s="136"/>
    </row>
    <row r="57039" spans="1:2" x14ac:dyDescent="0.25">
      <c r="A57039" s="118"/>
      <c r="B57039" s="136"/>
    </row>
    <row r="57040" spans="1:2" x14ac:dyDescent="0.25">
      <c r="A57040" s="118"/>
      <c r="B57040" s="136"/>
    </row>
    <row r="57041" spans="1:2" x14ac:dyDescent="0.25">
      <c r="A57041" s="118"/>
      <c r="B57041" s="136"/>
    </row>
    <row r="57042" spans="1:2" x14ac:dyDescent="0.25">
      <c r="A57042" s="118"/>
      <c r="B57042" s="136"/>
    </row>
    <row r="57043" spans="1:2" x14ac:dyDescent="0.25">
      <c r="A57043" s="118"/>
      <c r="B57043" s="136"/>
    </row>
    <row r="57044" spans="1:2" x14ac:dyDescent="0.25">
      <c r="A57044" s="118"/>
      <c r="B57044" s="136"/>
    </row>
    <row r="57045" spans="1:2" x14ac:dyDescent="0.25">
      <c r="A57045" s="118"/>
      <c r="B57045" s="136"/>
    </row>
    <row r="57046" spans="1:2" x14ac:dyDescent="0.25">
      <c r="A57046" s="118"/>
      <c r="B57046" s="136"/>
    </row>
    <row r="57047" spans="1:2" x14ac:dyDescent="0.25">
      <c r="A57047" s="118"/>
      <c r="B57047" s="136"/>
    </row>
    <row r="57048" spans="1:2" x14ac:dyDescent="0.25">
      <c r="A57048" s="118"/>
      <c r="B57048" s="136"/>
    </row>
    <row r="57049" spans="1:2" x14ac:dyDescent="0.25">
      <c r="A57049" s="118"/>
      <c r="B57049" s="136"/>
    </row>
    <row r="57050" spans="1:2" x14ac:dyDescent="0.25">
      <c r="A57050" s="118"/>
      <c r="B57050" s="136"/>
    </row>
    <row r="57051" spans="1:2" x14ac:dyDescent="0.25">
      <c r="A57051" s="118"/>
      <c r="B57051" s="136"/>
    </row>
    <row r="57052" spans="1:2" x14ac:dyDescent="0.25">
      <c r="A57052" s="118"/>
      <c r="B57052" s="136"/>
    </row>
    <row r="57053" spans="1:2" x14ac:dyDescent="0.25">
      <c r="A57053" s="118"/>
      <c r="B57053" s="136"/>
    </row>
    <row r="57054" spans="1:2" x14ac:dyDescent="0.25">
      <c r="A57054" s="118"/>
      <c r="B57054" s="136"/>
    </row>
    <row r="57055" spans="1:2" x14ac:dyDescent="0.25">
      <c r="A57055" s="118"/>
      <c r="B57055" s="136"/>
    </row>
    <row r="57056" spans="1:2" x14ac:dyDescent="0.25">
      <c r="A57056" s="118"/>
      <c r="B57056" s="136"/>
    </row>
    <row r="57057" spans="1:2" x14ac:dyDescent="0.25">
      <c r="A57057" s="118"/>
      <c r="B57057" s="136"/>
    </row>
    <row r="57058" spans="1:2" x14ac:dyDescent="0.25">
      <c r="A57058" s="118"/>
      <c r="B57058" s="136"/>
    </row>
    <row r="57059" spans="1:2" x14ac:dyDescent="0.25">
      <c r="A57059" s="118"/>
      <c r="B57059" s="136"/>
    </row>
    <row r="57060" spans="1:2" x14ac:dyDescent="0.25">
      <c r="A57060" s="118"/>
      <c r="B57060" s="136"/>
    </row>
    <row r="57061" spans="1:2" x14ac:dyDescent="0.25">
      <c r="A57061" s="118"/>
      <c r="B57061" s="136"/>
    </row>
    <row r="57062" spans="1:2" x14ac:dyDescent="0.25">
      <c r="A57062" s="118"/>
      <c r="B57062" s="136"/>
    </row>
    <row r="57063" spans="1:2" x14ac:dyDescent="0.25">
      <c r="A57063" s="118"/>
      <c r="B57063" s="136"/>
    </row>
    <row r="57064" spans="1:2" x14ac:dyDescent="0.25">
      <c r="A57064" s="118"/>
      <c r="B57064" s="136"/>
    </row>
    <row r="57065" spans="1:2" x14ac:dyDescent="0.25">
      <c r="A57065" s="118"/>
      <c r="B57065" s="136"/>
    </row>
    <row r="57066" spans="1:2" x14ac:dyDescent="0.25">
      <c r="A57066" s="118"/>
      <c r="B57066" s="136"/>
    </row>
    <row r="57067" spans="1:2" x14ac:dyDescent="0.25">
      <c r="A57067" s="118"/>
      <c r="B57067" s="136"/>
    </row>
    <row r="57068" spans="1:2" x14ac:dyDescent="0.25">
      <c r="A57068" s="118"/>
      <c r="B57068" s="136"/>
    </row>
    <row r="57069" spans="1:2" x14ac:dyDescent="0.25">
      <c r="A57069" s="118"/>
      <c r="B57069" s="136"/>
    </row>
    <row r="57070" spans="1:2" x14ac:dyDescent="0.25">
      <c r="A57070" s="118"/>
      <c r="B57070" s="136"/>
    </row>
    <row r="57071" spans="1:2" x14ac:dyDescent="0.25">
      <c r="A57071" s="118"/>
      <c r="B57071" s="136"/>
    </row>
    <row r="57072" spans="1:2" x14ac:dyDescent="0.25">
      <c r="A57072" s="118"/>
      <c r="B57072" s="136"/>
    </row>
    <row r="57073" spans="1:2" x14ac:dyDescent="0.25">
      <c r="A57073" s="118"/>
      <c r="B57073" s="136"/>
    </row>
    <row r="57074" spans="1:2" x14ac:dyDescent="0.25">
      <c r="A57074" s="118"/>
      <c r="B57074" s="136"/>
    </row>
    <row r="57075" spans="1:2" x14ac:dyDescent="0.25">
      <c r="A57075" s="118"/>
      <c r="B57075" s="136"/>
    </row>
    <row r="57076" spans="1:2" x14ac:dyDescent="0.25">
      <c r="A57076" s="118"/>
      <c r="B57076" s="136"/>
    </row>
    <row r="57077" spans="1:2" x14ac:dyDescent="0.25">
      <c r="A57077" s="118"/>
      <c r="B57077" s="136"/>
    </row>
    <row r="57078" spans="1:2" x14ac:dyDescent="0.25">
      <c r="A57078" s="118"/>
      <c r="B57078" s="136"/>
    </row>
    <row r="57079" spans="1:2" x14ac:dyDescent="0.25">
      <c r="A57079" s="118"/>
      <c r="B57079" s="136"/>
    </row>
    <row r="57080" spans="1:2" x14ac:dyDescent="0.25">
      <c r="A57080" s="118"/>
      <c r="B57080" s="136"/>
    </row>
    <row r="57081" spans="1:2" x14ac:dyDescent="0.25">
      <c r="A57081" s="118"/>
      <c r="B57081" s="136"/>
    </row>
    <row r="57082" spans="1:2" x14ac:dyDescent="0.25">
      <c r="A57082" s="118"/>
      <c r="B57082" s="136"/>
    </row>
    <row r="57083" spans="1:2" x14ac:dyDescent="0.25">
      <c r="A57083" s="118"/>
      <c r="B57083" s="136"/>
    </row>
    <row r="57084" spans="1:2" x14ac:dyDescent="0.25">
      <c r="A57084" s="118"/>
      <c r="B57084" s="136"/>
    </row>
    <row r="57085" spans="1:2" x14ac:dyDescent="0.25">
      <c r="A57085" s="118"/>
      <c r="B57085" s="136"/>
    </row>
    <row r="57086" spans="1:2" x14ac:dyDescent="0.25">
      <c r="A57086" s="118"/>
      <c r="B57086" s="136"/>
    </row>
    <row r="57087" spans="1:2" x14ac:dyDescent="0.25">
      <c r="A57087" s="118"/>
      <c r="B57087" s="136"/>
    </row>
    <row r="57088" spans="1:2" x14ac:dyDescent="0.25">
      <c r="A57088" s="118"/>
      <c r="B57088" s="136"/>
    </row>
    <row r="57089" spans="1:2" x14ac:dyDescent="0.25">
      <c r="A57089" s="118"/>
      <c r="B57089" s="136"/>
    </row>
    <row r="57090" spans="1:2" x14ac:dyDescent="0.25">
      <c r="A57090" s="118"/>
      <c r="B57090" s="136"/>
    </row>
    <row r="57091" spans="1:2" x14ac:dyDescent="0.25">
      <c r="A57091" s="118"/>
      <c r="B57091" s="136"/>
    </row>
    <row r="57092" spans="1:2" x14ac:dyDescent="0.25">
      <c r="A57092" s="118"/>
      <c r="B57092" s="136"/>
    </row>
    <row r="57093" spans="1:2" x14ac:dyDescent="0.25">
      <c r="A57093" s="118"/>
      <c r="B57093" s="136"/>
    </row>
    <row r="57094" spans="1:2" x14ac:dyDescent="0.25">
      <c r="A57094" s="118"/>
      <c r="B57094" s="136"/>
    </row>
    <row r="57095" spans="1:2" x14ac:dyDescent="0.25">
      <c r="A57095" s="118"/>
      <c r="B57095" s="136"/>
    </row>
    <row r="57096" spans="1:2" x14ac:dyDescent="0.25">
      <c r="A57096" s="118"/>
      <c r="B57096" s="136"/>
    </row>
    <row r="57097" spans="1:2" x14ac:dyDescent="0.25">
      <c r="A57097" s="118"/>
      <c r="B57097" s="136"/>
    </row>
    <row r="57098" spans="1:2" x14ac:dyDescent="0.25">
      <c r="A57098" s="118"/>
      <c r="B57098" s="136"/>
    </row>
    <row r="57099" spans="1:2" x14ac:dyDescent="0.25">
      <c r="A57099" s="118"/>
      <c r="B57099" s="136"/>
    </row>
    <row r="57100" spans="1:2" x14ac:dyDescent="0.25">
      <c r="A57100" s="118"/>
      <c r="B57100" s="136"/>
    </row>
    <row r="57101" spans="1:2" x14ac:dyDescent="0.25">
      <c r="A57101" s="118"/>
      <c r="B57101" s="136"/>
    </row>
    <row r="57102" spans="1:2" x14ac:dyDescent="0.25">
      <c r="A57102" s="118"/>
      <c r="B57102" s="136"/>
    </row>
    <row r="57103" spans="1:2" x14ac:dyDescent="0.25">
      <c r="A57103" s="118"/>
      <c r="B57103" s="136"/>
    </row>
    <row r="57104" spans="1:2" x14ac:dyDescent="0.25">
      <c r="A57104" s="118"/>
      <c r="B57104" s="136"/>
    </row>
    <row r="57105" spans="1:2" x14ac:dyDescent="0.25">
      <c r="A57105" s="118"/>
      <c r="B57105" s="136"/>
    </row>
    <row r="57106" spans="1:2" x14ac:dyDescent="0.25">
      <c r="A57106" s="118"/>
      <c r="B57106" s="136"/>
    </row>
    <row r="57107" spans="1:2" x14ac:dyDescent="0.25">
      <c r="A57107" s="118"/>
      <c r="B57107" s="136"/>
    </row>
    <row r="57108" spans="1:2" x14ac:dyDescent="0.25">
      <c r="A57108" s="118"/>
      <c r="B57108" s="136"/>
    </row>
    <row r="57109" spans="1:2" x14ac:dyDescent="0.25">
      <c r="A57109" s="118"/>
      <c r="B57109" s="136"/>
    </row>
    <row r="57110" spans="1:2" x14ac:dyDescent="0.25">
      <c r="A57110" s="118"/>
      <c r="B57110" s="136"/>
    </row>
    <row r="57111" spans="1:2" x14ac:dyDescent="0.25">
      <c r="A57111" s="118"/>
      <c r="B57111" s="136"/>
    </row>
    <row r="57112" spans="1:2" x14ac:dyDescent="0.25">
      <c r="A57112" s="118"/>
      <c r="B57112" s="136"/>
    </row>
    <row r="57113" spans="1:2" x14ac:dyDescent="0.25">
      <c r="A57113" s="118"/>
      <c r="B57113" s="136"/>
    </row>
    <row r="57114" spans="1:2" x14ac:dyDescent="0.25">
      <c r="A57114" s="118"/>
      <c r="B57114" s="136"/>
    </row>
    <row r="57115" spans="1:2" x14ac:dyDescent="0.25">
      <c r="A57115" s="118"/>
      <c r="B57115" s="136"/>
    </row>
    <row r="57116" spans="1:2" x14ac:dyDescent="0.25">
      <c r="A57116" s="118"/>
      <c r="B57116" s="136"/>
    </row>
    <row r="57117" spans="1:2" x14ac:dyDescent="0.25">
      <c r="A57117" s="118"/>
      <c r="B57117" s="136"/>
    </row>
    <row r="57118" spans="1:2" x14ac:dyDescent="0.25">
      <c r="A57118" s="118"/>
      <c r="B57118" s="136"/>
    </row>
    <row r="57119" spans="1:2" x14ac:dyDescent="0.25">
      <c r="A57119" s="118"/>
      <c r="B57119" s="136"/>
    </row>
    <row r="57120" spans="1:2" x14ac:dyDescent="0.25">
      <c r="A57120" s="118"/>
      <c r="B57120" s="136"/>
    </row>
    <row r="57121" spans="1:2" x14ac:dyDescent="0.25">
      <c r="A57121" s="118"/>
      <c r="B57121" s="136"/>
    </row>
    <row r="57122" spans="1:2" x14ac:dyDescent="0.25">
      <c r="A57122" s="118"/>
      <c r="B57122" s="136"/>
    </row>
    <row r="57123" spans="1:2" x14ac:dyDescent="0.25">
      <c r="A57123" s="118"/>
      <c r="B57123" s="136"/>
    </row>
    <row r="57124" spans="1:2" x14ac:dyDescent="0.25">
      <c r="A57124" s="118"/>
      <c r="B57124" s="136"/>
    </row>
    <row r="57125" spans="1:2" x14ac:dyDescent="0.25">
      <c r="A57125" s="118"/>
      <c r="B57125" s="136"/>
    </row>
    <row r="57126" spans="1:2" x14ac:dyDescent="0.25">
      <c r="A57126" s="118"/>
      <c r="B57126" s="136"/>
    </row>
    <row r="57127" spans="1:2" x14ac:dyDescent="0.25">
      <c r="A57127" s="118"/>
      <c r="B57127" s="136"/>
    </row>
    <row r="57128" spans="1:2" x14ac:dyDescent="0.25">
      <c r="A57128" s="118"/>
      <c r="B57128" s="136"/>
    </row>
    <row r="57129" spans="1:2" x14ac:dyDescent="0.25">
      <c r="A57129" s="118"/>
      <c r="B57129" s="136"/>
    </row>
    <row r="57130" spans="1:2" x14ac:dyDescent="0.25">
      <c r="A57130" s="118"/>
      <c r="B57130" s="136"/>
    </row>
    <row r="57131" spans="1:2" x14ac:dyDescent="0.25">
      <c r="A57131" s="118"/>
      <c r="B57131" s="136"/>
    </row>
    <row r="57132" spans="1:2" x14ac:dyDescent="0.25">
      <c r="A57132" s="118"/>
      <c r="B57132" s="136"/>
    </row>
    <row r="57133" spans="1:2" x14ac:dyDescent="0.25">
      <c r="A57133" s="118"/>
      <c r="B57133" s="136"/>
    </row>
    <row r="57134" spans="1:2" x14ac:dyDescent="0.25">
      <c r="A57134" s="118"/>
      <c r="B57134" s="136"/>
    </row>
    <row r="57135" spans="1:2" x14ac:dyDescent="0.25">
      <c r="A57135" s="118"/>
      <c r="B57135" s="136"/>
    </row>
    <row r="57136" spans="1:2" x14ac:dyDescent="0.25">
      <c r="A57136" s="118"/>
      <c r="B57136" s="136"/>
    </row>
    <row r="57137" spans="1:2" x14ac:dyDescent="0.25">
      <c r="A57137" s="118"/>
      <c r="B57137" s="136"/>
    </row>
    <row r="57138" spans="1:2" x14ac:dyDescent="0.25">
      <c r="A57138" s="118"/>
      <c r="B57138" s="136"/>
    </row>
    <row r="57139" spans="1:2" x14ac:dyDescent="0.25">
      <c r="A57139" s="118"/>
      <c r="B57139" s="136"/>
    </row>
    <row r="57140" spans="1:2" x14ac:dyDescent="0.25">
      <c r="A57140" s="118"/>
      <c r="B57140" s="136"/>
    </row>
    <row r="57141" spans="1:2" x14ac:dyDescent="0.25">
      <c r="A57141" s="118"/>
      <c r="B57141" s="136"/>
    </row>
    <row r="57142" spans="1:2" x14ac:dyDescent="0.25">
      <c r="A57142" s="118"/>
      <c r="B57142" s="136"/>
    </row>
    <row r="57143" spans="1:2" x14ac:dyDescent="0.25">
      <c r="A57143" s="118"/>
      <c r="B57143" s="136"/>
    </row>
    <row r="57144" spans="1:2" x14ac:dyDescent="0.25">
      <c r="A57144" s="118"/>
      <c r="B57144" s="136"/>
    </row>
    <row r="57145" spans="1:2" x14ac:dyDescent="0.25">
      <c r="A57145" s="118"/>
      <c r="B57145" s="136"/>
    </row>
    <row r="57146" spans="1:2" x14ac:dyDescent="0.25">
      <c r="A57146" s="118"/>
      <c r="B57146" s="136"/>
    </row>
    <row r="57147" spans="1:2" x14ac:dyDescent="0.25">
      <c r="A57147" s="118"/>
      <c r="B57147" s="136"/>
    </row>
    <row r="57148" spans="1:2" x14ac:dyDescent="0.25">
      <c r="A57148" s="118"/>
      <c r="B57148" s="136"/>
    </row>
    <row r="57149" spans="1:2" x14ac:dyDescent="0.25">
      <c r="A57149" s="118"/>
      <c r="B57149" s="136"/>
    </row>
    <row r="57150" spans="1:2" x14ac:dyDescent="0.25">
      <c r="A57150" s="118"/>
      <c r="B57150" s="136"/>
    </row>
    <row r="57151" spans="1:2" x14ac:dyDescent="0.25">
      <c r="A57151" s="118"/>
      <c r="B57151" s="136"/>
    </row>
    <row r="57152" spans="1:2" x14ac:dyDescent="0.25">
      <c r="A57152" s="118"/>
      <c r="B57152" s="136"/>
    </row>
    <row r="57153" spans="1:2" x14ac:dyDescent="0.25">
      <c r="A57153" s="118"/>
      <c r="B57153" s="136"/>
    </row>
    <row r="57154" spans="1:2" x14ac:dyDescent="0.25">
      <c r="A57154" s="118"/>
      <c r="B57154" s="136"/>
    </row>
    <row r="57155" spans="1:2" x14ac:dyDescent="0.25">
      <c r="A57155" s="118"/>
      <c r="B57155" s="136"/>
    </row>
    <row r="57156" spans="1:2" x14ac:dyDescent="0.25">
      <c r="A57156" s="118"/>
      <c r="B57156" s="136"/>
    </row>
    <row r="57157" spans="1:2" x14ac:dyDescent="0.25">
      <c r="A57157" s="118"/>
      <c r="B57157" s="136"/>
    </row>
    <row r="57158" spans="1:2" x14ac:dyDescent="0.25">
      <c r="A57158" s="118"/>
      <c r="B57158" s="136"/>
    </row>
    <row r="57159" spans="1:2" x14ac:dyDescent="0.25">
      <c r="A57159" s="118"/>
      <c r="B57159" s="136"/>
    </row>
    <row r="57160" spans="1:2" x14ac:dyDescent="0.25">
      <c r="A57160" s="118"/>
      <c r="B57160" s="136"/>
    </row>
    <row r="57161" spans="1:2" x14ac:dyDescent="0.25">
      <c r="A57161" s="118"/>
      <c r="B57161" s="136"/>
    </row>
    <row r="57162" spans="1:2" x14ac:dyDescent="0.25">
      <c r="A57162" s="118"/>
      <c r="B57162" s="136"/>
    </row>
    <row r="57163" spans="1:2" x14ac:dyDescent="0.25">
      <c r="A57163" s="118"/>
      <c r="B57163" s="136"/>
    </row>
    <row r="57164" spans="1:2" x14ac:dyDescent="0.25">
      <c r="A57164" s="118"/>
      <c r="B57164" s="136"/>
    </row>
    <row r="57165" spans="1:2" x14ac:dyDescent="0.25">
      <c r="A57165" s="118"/>
      <c r="B57165" s="136"/>
    </row>
    <row r="57166" spans="1:2" x14ac:dyDescent="0.25">
      <c r="A57166" s="118"/>
      <c r="B57166" s="136"/>
    </row>
    <row r="57167" spans="1:2" x14ac:dyDescent="0.25">
      <c r="A57167" s="118"/>
      <c r="B57167" s="136"/>
    </row>
    <row r="57168" spans="1:2" x14ac:dyDescent="0.25">
      <c r="A57168" s="118"/>
      <c r="B57168" s="136"/>
    </row>
    <row r="57169" spans="1:2" x14ac:dyDescent="0.25">
      <c r="A57169" s="118"/>
      <c r="B57169" s="136"/>
    </row>
    <row r="57170" spans="1:2" x14ac:dyDescent="0.25">
      <c r="A57170" s="118"/>
      <c r="B57170" s="136"/>
    </row>
    <row r="57171" spans="1:2" x14ac:dyDescent="0.25">
      <c r="A57171" s="118"/>
      <c r="B57171" s="136"/>
    </row>
    <row r="57172" spans="1:2" x14ac:dyDescent="0.25">
      <c r="A57172" s="118"/>
      <c r="B57172" s="136"/>
    </row>
    <row r="57173" spans="1:2" x14ac:dyDescent="0.25">
      <c r="A57173" s="118"/>
      <c r="B57173" s="136"/>
    </row>
    <row r="57174" spans="1:2" x14ac:dyDescent="0.25">
      <c r="A57174" s="118"/>
      <c r="B57174" s="136"/>
    </row>
    <row r="57175" spans="1:2" x14ac:dyDescent="0.25">
      <c r="A57175" s="118"/>
      <c r="B57175" s="136"/>
    </row>
    <row r="57176" spans="1:2" x14ac:dyDescent="0.25">
      <c r="A57176" s="118"/>
      <c r="B57176" s="136"/>
    </row>
    <row r="57177" spans="1:2" x14ac:dyDescent="0.25">
      <c r="A57177" s="118"/>
      <c r="B57177" s="136"/>
    </row>
    <row r="57178" spans="1:2" x14ac:dyDescent="0.25">
      <c r="A57178" s="118"/>
      <c r="B57178" s="136"/>
    </row>
    <row r="57179" spans="1:2" x14ac:dyDescent="0.25">
      <c r="A57179" s="118"/>
      <c r="B57179" s="136"/>
    </row>
    <row r="57180" spans="1:2" x14ac:dyDescent="0.25">
      <c r="A57180" s="118"/>
      <c r="B57180" s="136"/>
    </row>
    <row r="57181" spans="1:2" x14ac:dyDescent="0.25">
      <c r="A57181" s="118"/>
      <c r="B57181" s="136"/>
    </row>
    <row r="57182" spans="1:2" x14ac:dyDescent="0.25">
      <c r="A57182" s="118"/>
      <c r="B57182" s="136"/>
    </row>
    <row r="57183" spans="1:2" x14ac:dyDescent="0.25">
      <c r="A57183" s="118"/>
      <c r="B57183" s="136"/>
    </row>
    <row r="57184" spans="1:2" x14ac:dyDescent="0.25">
      <c r="A57184" s="118"/>
      <c r="B57184" s="136"/>
    </row>
    <row r="57185" spans="1:2" x14ac:dyDescent="0.25">
      <c r="A57185" s="118"/>
      <c r="B57185" s="136"/>
    </row>
    <row r="57186" spans="1:2" x14ac:dyDescent="0.25">
      <c r="A57186" s="118"/>
      <c r="B57186" s="136"/>
    </row>
    <row r="57187" spans="1:2" x14ac:dyDescent="0.25">
      <c r="A57187" s="118"/>
      <c r="B57187" s="136"/>
    </row>
    <row r="57188" spans="1:2" x14ac:dyDescent="0.25">
      <c r="A57188" s="118"/>
      <c r="B57188" s="136"/>
    </row>
    <row r="57189" spans="1:2" x14ac:dyDescent="0.25">
      <c r="A57189" s="118"/>
      <c r="B57189" s="136"/>
    </row>
    <row r="57190" spans="1:2" x14ac:dyDescent="0.25">
      <c r="A57190" s="118"/>
      <c r="B57190" s="136"/>
    </row>
    <row r="57191" spans="1:2" x14ac:dyDescent="0.25">
      <c r="A57191" s="118"/>
      <c r="B57191" s="136"/>
    </row>
    <row r="57192" spans="1:2" x14ac:dyDescent="0.25">
      <c r="A57192" s="118"/>
      <c r="B57192" s="136"/>
    </row>
    <row r="57193" spans="1:2" x14ac:dyDescent="0.25">
      <c r="A57193" s="118"/>
      <c r="B57193" s="136"/>
    </row>
    <row r="57194" spans="1:2" x14ac:dyDescent="0.25">
      <c r="A57194" s="118"/>
      <c r="B57194" s="136"/>
    </row>
    <row r="57195" spans="1:2" x14ac:dyDescent="0.25">
      <c r="A57195" s="118"/>
      <c r="B57195" s="136"/>
    </row>
    <row r="57196" spans="1:2" x14ac:dyDescent="0.25">
      <c r="A57196" s="118"/>
      <c r="B57196" s="136"/>
    </row>
    <row r="57197" spans="1:2" x14ac:dyDescent="0.25">
      <c r="A57197" s="118"/>
      <c r="B57197" s="136"/>
    </row>
    <row r="57198" spans="1:2" x14ac:dyDescent="0.25">
      <c r="A57198" s="118"/>
      <c r="B57198" s="136"/>
    </row>
    <row r="57199" spans="1:2" x14ac:dyDescent="0.25">
      <c r="A57199" s="118"/>
      <c r="B57199" s="136"/>
    </row>
    <row r="57200" spans="1:2" x14ac:dyDescent="0.25">
      <c r="A57200" s="118"/>
      <c r="B57200" s="136"/>
    </row>
    <row r="57201" spans="1:2" x14ac:dyDescent="0.25">
      <c r="A57201" s="118"/>
      <c r="B57201" s="136"/>
    </row>
    <row r="57202" spans="1:2" x14ac:dyDescent="0.25">
      <c r="A57202" s="118"/>
      <c r="B57202" s="136"/>
    </row>
    <row r="57203" spans="1:2" x14ac:dyDescent="0.25">
      <c r="A57203" s="118"/>
      <c r="B57203" s="136"/>
    </row>
    <row r="57204" spans="1:2" x14ac:dyDescent="0.25">
      <c r="A57204" s="118"/>
      <c r="B57204" s="136"/>
    </row>
    <row r="57205" spans="1:2" x14ac:dyDescent="0.25">
      <c r="A57205" s="118"/>
      <c r="B57205" s="136"/>
    </row>
    <row r="57206" spans="1:2" x14ac:dyDescent="0.25">
      <c r="A57206" s="118"/>
      <c r="B57206" s="136"/>
    </row>
    <row r="57207" spans="1:2" x14ac:dyDescent="0.25">
      <c r="A57207" s="118"/>
      <c r="B57207" s="136"/>
    </row>
    <row r="57208" spans="1:2" x14ac:dyDescent="0.25">
      <c r="A57208" s="118"/>
      <c r="B57208" s="136"/>
    </row>
    <row r="57209" spans="1:2" x14ac:dyDescent="0.25">
      <c r="A57209" s="118"/>
      <c r="B57209" s="136"/>
    </row>
    <row r="57210" spans="1:2" x14ac:dyDescent="0.25">
      <c r="A57210" s="118"/>
      <c r="B57210" s="136"/>
    </row>
    <row r="57211" spans="1:2" x14ac:dyDescent="0.25">
      <c r="A57211" s="118"/>
      <c r="B57211" s="136"/>
    </row>
    <row r="57212" spans="1:2" x14ac:dyDescent="0.25">
      <c r="A57212" s="118"/>
      <c r="B57212" s="136"/>
    </row>
    <row r="57213" spans="1:2" x14ac:dyDescent="0.25">
      <c r="A57213" s="118"/>
      <c r="B57213" s="136"/>
    </row>
    <row r="57214" spans="1:2" x14ac:dyDescent="0.25">
      <c r="A57214" s="118"/>
      <c r="B57214" s="136"/>
    </row>
    <row r="57215" spans="1:2" x14ac:dyDescent="0.25">
      <c r="A57215" s="118"/>
      <c r="B57215" s="136"/>
    </row>
    <row r="57216" spans="1:2" x14ac:dyDescent="0.25">
      <c r="A57216" s="118"/>
      <c r="B57216" s="136"/>
    </row>
    <row r="57217" spans="1:2" x14ac:dyDescent="0.25">
      <c r="A57217" s="118"/>
      <c r="B57217" s="136"/>
    </row>
    <row r="57218" spans="1:2" x14ac:dyDescent="0.25">
      <c r="A57218" s="118"/>
      <c r="B57218" s="136"/>
    </row>
    <row r="57219" spans="1:2" x14ac:dyDescent="0.25">
      <c r="A57219" s="118"/>
      <c r="B57219" s="136"/>
    </row>
    <row r="57220" spans="1:2" x14ac:dyDescent="0.25">
      <c r="A57220" s="118"/>
      <c r="B57220" s="136"/>
    </row>
    <row r="57221" spans="1:2" x14ac:dyDescent="0.25">
      <c r="A57221" s="118"/>
      <c r="B57221" s="136"/>
    </row>
    <row r="57222" spans="1:2" x14ac:dyDescent="0.25">
      <c r="A57222" s="118"/>
      <c r="B57222" s="136"/>
    </row>
    <row r="57223" spans="1:2" x14ac:dyDescent="0.25">
      <c r="A57223" s="118"/>
      <c r="B57223" s="136"/>
    </row>
    <row r="57224" spans="1:2" x14ac:dyDescent="0.25">
      <c r="A57224" s="118"/>
      <c r="B57224" s="136"/>
    </row>
    <row r="57225" spans="1:2" x14ac:dyDescent="0.25">
      <c r="A57225" s="118"/>
      <c r="B57225" s="136"/>
    </row>
    <row r="57226" spans="1:2" x14ac:dyDescent="0.25">
      <c r="A57226" s="118"/>
      <c r="B57226" s="136"/>
    </row>
    <row r="57227" spans="1:2" x14ac:dyDescent="0.25">
      <c r="A57227" s="118"/>
      <c r="B57227" s="136"/>
    </row>
    <row r="57228" spans="1:2" x14ac:dyDescent="0.25">
      <c r="A57228" s="118"/>
      <c r="B57228" s="136"/>
    </row>
    <row r="57229" spans="1:2" x14ac:dyDescent="0.25">
      <c r="A57229" s="118"/>
      <c r="B57229" s="136"/>
    </row>
    <row r="57230" spans="1:2" x14ac:dyDescent="0.25">
      <c r="A57230" s="118"/>
      <c r="B57230" s="136"/>
    </row>
    <row r="57231" spans="1:2" x14ac:dyDescent="0.25">
      <c r="A57231" s="118"/>
      <c r="B57231" s="136"/>
    </row>
    <row r="57232" spans="1:2" x14ac:dyDescent="0.25">
      <c r="A57232" s="118"/>
      <c r="B57232" s="136"/>
    </row>
    <row r="57233" spans="1:2" x14ac:dyDescent="0.25">
      <c r="A57233" s="118"/>
      <c r="B57233" s="136"/>
    </row>
    <row r="57234" spans="1:2" x14ac:dyDescent="0.25">
      <c r="A57234" s="118"/>
      <c r="B57234" s="136"/>
    </row>
    <row r="57235" spans="1:2" x14ac:dyDescent="0.25">
      <c r="A57235" s="118"/>
      <c r="B57235" s="136"/>
    </row>
    <row r="57236" spans="1:2" x14ac:dyDescent="0.25">
      <c r="A57236" s="118"/>
      <c r="B57236" s="136"/>
    </row>
    <row r="57237" spans="1:2" x14ac:dyDescent="0.25">
      <c r="A57237" s="118"/>
      <c r="B57237" s="136"/>
    </row>
    <row r="57238" spans="1:2" x14ac:dyDescent="0.25">
      <c r="A57238" s="118"/>
      <c r="B57238" s="136"/>
    </row>
    <row r="57239" spans="1:2" x14ac:dyDescent="0.25">
      <c r="A57239" s="118"/>
      <c r="B57239" s="136"/>
    </row>
    <row r="57240" spans="1:2" x14ac:dyDescent="0.25">
      <c r="A57240" s="118"/>
      <c r="B57240" s="136"/>
    </row>
    <row r="57241" spans="1:2" x14ac:dyDescent="0.25">
      <c r="A57241" s="118"/>
      <c r="B57241" s="136"/>
    </row>
    <row r="57242" spans="1:2" x14ac:dyDescent="0.25">
      <c r="A57242" s="118"/>
      <c r="B57242" s="136"/>
    </row>
    <row r="57243" spans="1:2" x14ac:dyDescent="0.25">
      <c r="A57243" s="118"/>
      <c r="B57243" s="136"/>
    </row>
    <row r="57244" spans="1:2" x14ac:dyDescent="0.25">
      <c r="A57244" s="118"/>
      <c r="B57244" s="136"/>
    </row>
    <row r="57245" spans="1:2" x14ac:dyDescent="0.25">
      <c r="A57245" s="118"/>
      <c r="B57245" s="136"/>
    </row>
    <row r="57246" spans="1:2" x14ac:dyDescent="0.25">
      <c r="A57246" s="118"/>
      <c r="B57246" s="136"/>
    </row>
    <row r="57247" spans="1:2" x14ac:dyDescent="0.25">
      <c r="A57247" s="118"/>
      <c r="B57247" s="136"/>
    </row>
    <row r="57248" spans="1:2" x14ac:dyDescent="0.25">
      <c r="A57248" s="118"/>
      <c r="B57248" s="136"/>
    </row>
    <row r="57249" spans="1:2" x14ac:dyDescent="0.25">
      <c r="A57249" s="118"/>
      <c r="B57249" s="136"/>
    </row>
    <row r="57250" spans="1:2" x14ac:dyDescent="0.25">
      <c r="A57250" s="118"/>
      <c r="B57250" s="136"/>
    </row>
    <row r="57251" spans="1:2" x14ac:dyDescent="0.25">
      <c r="A57251" s="118"/>
      <c r="B57251" s="136"/>
    </row>
    <row r="57252" spans="1:2" x14ac:dyDescent="0.25">
      <c r="A57252" s="118"/>
      <c r="B57252" s="136"/>
    </row>
    <row r="57253" spans="1:2" x14ac:dyDescent="0.25">
      <c r="A57253" s="118"/>
      <c r="B57253" s="136"/>
    </row>
    <row r="57254" spans="1:2" x14ac:dyDescent="0.25">
      <c r="A57254" s="118"/>
      <c r="B57254" s="136"/>
    </row>
    <row r="57255" spans="1:2" x14ac:dyDescent="0.25">
      <c r="A57255" s="118"/>
      <c r="B57255" s="136"/>
    </row>
    <row r="57256" spans="1:2" x14ac:dyDescent="0.25">
      <c r="A57256" s="118"/>
      <c r="B57256" s="136"/>
    </row>
    <row r="57257" spans="1:2" x14ac:dyDescent="0.25">
      <c r="A57257" s="118"/>
      <c r="B57257" s="136"/>
    </row>
    <row r="57258" spans="1:2" x14ac:dyDescent="0.25">
      <c r="A57258" s="118"/>
      <c r="B57258" s="136"/>
    </row>
    <row r="57259" spans="1:2" x14ac:dyDescent="0.25">
      <c r="A57259" s="118"/>
      <c r="B57259" s="136"/>
    </row>
    <row r="57260" spans="1:2" x14ac:dyDescent="0.25">
      <c r="A57260" s="118"/>
      <c r="B57260" s="136"/>
    </row>
    <row r="57261" spans="1:2" x14ac:dyDescent="0.25">
      <c r="A57261" s="118"/>
      <c r="B57261" s="136"/>
    </row>
    <row r="57262" spans="1:2" x14ac:dyDescent="0.25">
      <c r="A57262" s="118"/>
      <c r="B57262" s="136"/>
    </row>
    <row r="57263" spans="1:2" x14ac:dyDescent="0.25">
      <c r="A57263" s="118"/>
      <c r="B57263" s="136"/>
    </row>
    <row r="57264" spans="1:2" x14ac:dyDescent="0.25">
      <c r="A57264" s="118"/>
      <c r="B57264" s="136"/>
    </row>
    <row r="57265" spans="1:2" x14ac:dyDescent="0.25">
      <c r="A57265" s="118"/>
      <c r="B57265" s="136"/>
    </row>
    <row r="57266" spans="1:2" x14ac:dyDescent="0.25">
      <c r="A57266" s="118"/>
      <c r="B57266" s="136"/>
    </row>
    <row r="57267" spans="1:2" x14ac:dyDescent="0.25">
      <c r="A57267" s="118"/>
      <c r="B57267" s="136"/>
    </row>
    <row r="57268" spans="1:2" x14ac:dyDescent="0.25">
      <c r="A57268" s="118"/>
      <c r="B57268" s="136"/>
    </row>
    <row r="57269" spans="1:2" x14ac:dyDescent="0.25">
      <c r="A57269" s="118"/>
      <c r="B57269" s="136"/>
    </row>
    <row r="57270" spans="1:2" x14ac:dyDescent="0.25">
      <c r="A57270" s="118"/>
      <c r="B57270" s="136"/>
    </row>
    <row r="57271" spans="1:2" x14ac:dyDescent="0.25">
      <c r="A57271" s="118"/>
      <c r="B57271" s="136"/>
    </row>
    <row r="57272" spans="1:2" x14ac:dyDescent="0.25">
      <c r="A57272" s="118"/>
      <c r="B57272" s="136"/>
    </row>
    <row r="57273" spans="1:2" x14ac:dyDescent="0.25">
      <c r="A57273" s="118"/>
      <c r="B57273" s="136"/>
    </row>
    <row r="57274" spans="1:2" x14ac:dyDescent="0.25">
      <c r="A57274" s="118"/>
      <c r="B57274" s="136"/>
    </row>
    <row r="57275" spans="1:2" x14ac:dyDescent="0.25">
      <c r="A57275" s="118"/>
      <c r="B57275" s="136"/>
    </row>
    <row r="57276" spans="1:2" x14ac:dyDescent="0.25">
      <c r="A57276" s="118"/>
      <c r="B57276" s="136"/>
    </row>
    <row r="57277" spans="1:2" x14ac:dyDescent="0.25">
      <c r="A57277" s="118"/>
      <c r="B57277" s="136"/>
    </row>
    <row r="57278" spans="1:2" x14ac:dyDescent="0.25">
      <c r="A57278" s="118"/>
      <c r="B57278" s="136"/>
    </row>
    <row r="57279" spans="1:2" x14ac:dyDescent="0.25">
      <c r="A57279" s="118"/>
      <c r="B57279" s="136"/>
    </row>
    <row r="57280" spans="1:2" x14ac:dyDescent="0.25">
      <c r="A57280" s="118"/>
      <c r="B57280" s="136"/>
    </row>
    <row r="57281" spans="1:2" x14ac:dyDescent="0.25">
      <c r="A57281" s="118"/>
      <c r="B57281" s="136"/>
    </row>
    <row r="57282" spans="1:2" x14ac:dyDescent="0.25">
      <c r="A57282" s="118"/>
      <c r="B57282" s="136"/>
    </row>
    <row r="57283" spans="1:2" x14ac:dyDescent="0.25">
      <c r="A57283" s="118"/>
      <c r="B57283" s="136"/>
    </row>
    <row r="57284" spans="1:2" x14ac:dyDescent="0.25">
      <c r="A57284" s="118"/>
      <c r="B57284" s="136"/>
    </row>
    <row r="57285" spans="1:2" x14ac:dyDescent="0.25">
      <c r="A57285" s="118"/>
      <c r="B57285" s="136"/>
    </row>
    <row r="57286" spans="1:2" x14ac:dyDescent="0.25">
      <c r="A57286" s="118"/>
      <c r="B57286" s="136"/>
    </row>
    <row r="57287" spans="1:2" x14ac:dyDescent="0.25">
      <c r="A57287" s="118"/>
      <c r="B57287" s="136"/>
    </row>
    <row r="57288" spans="1:2" x14ac:dyDescent="0.25">
      <c r="A57288" s="118"/>
      <c r="B57288" s="136"/>
    </row>
    <row r="57289" spans="1:2" x14ac:dyDescent="0.25">
      <c r="A57289" s="118"/>
      <c r="B57289" s="136"/>
    </row>
    <row r="57290" spans="1:2" x14ac:dyDescent="0.25">
      <c r="A57290" s="118"/>
      <c r="B57290" s="136"/>
    </row>
    <row r="57291" spans="1:2" x14ac:dyDescent="0.25">
      <c r="A57291" s="118"/>
      <c r="B57291" s="136"/>
    </row>
    <row r="57292" spans="1:2" x14ac:dyDescent="0.25">
      <c r="A57292" s="118"/>
      <c r="B57292" s="136"/>
    </row>
    <row r="57293" spans="1:2" x14ac:dyDescent="0.25">
      <c r="A57293" s="118"/>
      <c r="B57293" s="136"/>
    </row>
    <row r="57294" spans="1:2" x14ac:dyDescent="0.25">
      <c r="A57294" s="118"/>
      <c r="B57294" s="136"/>
    </row>
    <row r="57295" spans="1:2" x14ac:dyDescent="0.25">
      <c r="A57295" s="118"/>
      <c r="B57295" s="136"/>
    </row>
    <row r="57296" spans="1:2" x14ac:dyDescent="0.25">
      <c r="A57296" s="118"/>
      <c r="B57296" s="136"/>
    </row>
    <row r="57297" spans="1:2" x14ac:dyDescent="0.25">
      <c r="A57297" s="118"/>
      <c r="B57297" s="136"/>
    </row>
    <row r="57298" spans="1:2" x14ac:dyDescent="0.25">
      <c r="A57298" s="118"/>
      <c r="B57298" s="136"/>
    </row>
    <row r="57299" spans="1:2" x14ac:dyDescent="0.25">
      <c r="A57299" s="118"/>
      <c r="B57299" s="136"/>
    </row>
    <row r="57300" spans="1:2" x14ac:dyDescent="0.25">
      <c r="A57300" s="118"/>
      <c r="B57300" s="136"/>
    </row>
    <row r="57301" spans="1:2" x14ac:dyDescent="0.25">
      <c r="A57301" s="118"/>
      <c r="B57301" s="136"/>
    </row>
    <row r="57302" spans="1:2" x14ac:dyDescent="0.25">
      <c r="A57302" s="118"/>
      <c r="B57302" s="136"/>
    </row>
    <row r="57303" spans="1:2" x14ac:dyDescent="0.25">
      <c r="A57303" s="118"/>
      <c r="B57303" s="136"/>
    </row>
    <row r="57304" spans="1:2" x14ac:dyDescent="0.25">
      <c r="A57304" s="118"/>
      <c r="B57304" s="136"/>
    </row>
    <row r="57305" spans="1:2" x14ac:dyDescent="0.25">
      <c r="A57305" s="118"/>
      <c r="B57305" s="136"/>
    </row>
    <row r="57306" spans="1:2" x14ac:dyDescent="0.25">
      <c r="A57306" s="118"/>
      <c r="B57306" s="136"/>
    </row>
    <row r="57307" spans="1:2" x14ac:dyDescent="0.25">
      <c r="A57307" s="118"/>
      <c r="B57307" s="136"/>
    </row>
    <row r="57308" spans="1:2" x14ac:dyDescent="0.25">
      <c r="A57308" s="118"/>
      <c r="B57308" s="136"/>
    </row>
    <row r="57309" spans="1:2" x14ac:dyDescent="0.25">
      <c r="A57309" s="118"/>
      <c r="B57309" s="136"/>
    </row>
    <row r="57310" spans="1:2" x14ac:dyDescent="0.25">
      <c r="A57310" s="118"/>
      <c r="B57310" s="136"/>
    </row>
    <row r="57311" spans="1:2" x14ac:dyDescent="0.25">
      <c r="A57311" s="118"/>
      <c r="B57311" s="136"/>
    </row>
    <row r="57312" spans="1:2" x14ac:dyDescent="0.25">
      <c r="A57312" s="118"/>
      <c r="B57312" s="136"/>
    </row>
    <row r="57313" spans="1:2" x14ac:dyDescent="0.25">
      <c r="A57313" s="118"/>
      <c r="B57313" s="136"/>
    </row>
    <row r="57314" spans="1:2" x14ac:dyDescent="0.25">
      <c r="A57314" s="118"/>
      <c r="B57314" s="136"/>
    </row>
    <row r="57315" spans="1:2" x14ac:dyDescent="0.25">
      <c r="A57315" s="118"/>
      <c r="B57315" s="136"/>
    </row>
    <row r="57316" spans="1:2" x14ac:dyDescent="0.25">
      <c r="A57316" s="118"/>
      <c r="B57316" s="136"/>
    </row>
    <row r="57317" spans="1:2" x14ac:dyDescent="0.25">
      <c r="A57317" s="118"/>
      <c r="B57317" s="136"/>
    </row>
    <row r="57318" spans="1:2" x14ac:dyDescent="0.25">
      <c r="A57318" s="118"/>
      <c r="B57318" s="136"/>
    </row>
    <row r="57319" spans="1:2" x14ac:dyDescent="0.25">
      <c r="A57319" s="118"/>
      <c r="B57319" s="136"/>
    </row>
    <row r="57320" spans="1:2" x14ac:dyDescent="0.25">
      <c r="A57320" s="118"/>
      <c r="B57320" s="136"/>
    </row>
    <row r="57321" spans="1:2" x14ac:dyDescent="0.25">
      <c r="A57321" s="118"/>
      <c r="B57321" s="136"/>
    </row>
    <row r="57322" spans="1:2" x14ac:dyDescent="0.25">
      <c r="A57322" s="118"/>
      <c r="B57322" s="136"/>
    </row>
    <row r="57323" spans="1:2" x14ac:dyDescent="0.25">
      <c r="A57323" s="118"/>
      <c r="B57323" s="136"/>
    </row>
    <row r="57324" spans="1:2" x14ac:dyDescent="0.25">
      <c r="A57324" s="118"/>
      <c r="B57324" s="136"/>
    </row>
    <row r="57325" spans="1:2" x14ac:dyDescent="0.25">
      <c r="A57325" s="118"/>
      <c r="B57325" s="136"/>
    </row>
    <row r="57326" spans="1:2" x14ac:dyDescent="0.25">
      <c r="A57326" s="118"/>
      <c r="B57326" s="136"/>
    </row>
    <row r="57327" spans="1:2" x14ac:dyDescent="0.25">
      <c r="A57327" s="118"/>
      <c r="B57327" s="136"/>
    </row>
    <row r="57328" spans="1:2" x14ac:dyDescent="0.25">
      <c r="A57328" s="118"/>
      <c r="B57328" s="136"/>
    </row>
    <row r="57329" spans="1:2" x14ac:dyDescent="0.25">
      <c r="A57329" s="118"/>
      <c r="B57329" s="136"/>
    </row>
    <row r="57330" spans="1:2" x14ac:dyDescent="0.25">
      <c r="A57330" s="118"/>
      <c r="B57330" s="136"/>
    </row>
    <row r="57331" spans="1:2" x14ac:dyDescent="0.25">
      <c r="A57331" s="118"/>
      <c r="B57331" s="136"/>
    </row>
    <row r="57332" spans="1:2" x14ac:dyDescent="0.25">
      <c r="A57332" s="118"/>
      <c r="B57332" s="136"/>
    </row>
    <row r="57333" spans="1:2" x14ac:dyDescent="0.25">
      <c r="A57333" s="118"/>
      <c r="B57333" s="136"/>
    </row>
    <row r="57334" spans="1:2" x14ac:dyDescent="0.25">
      <c r="A57334" s="118"/>
      <c r="B57334" s="136"/>
    </row>
    <row r="57335" spans="1:2" x14ac:dyDescent="0.25">
      <c r="A57335" s="118"/>
      <c r="B57335" s="136"/>
    </row>
    <row r="57336" spans="1:2" x14ac:dyDescent="0.25">
      <c r="A57336" s="118"/>
      <c r="B57336" s="136"/>
    </row>
    <row r="57337" spans="1:2" x14ac:dyDescent="0.25">
      <c r="A57337" s="118"/>
      <c r="B57337" s="136"/>
    </row>
    <row r="57338" spans="1:2" x14ac:dyDescent="0.25">
      <c r="A57338" s="118"/>
      <c r="B57338" s="136"/>
    </row>
    <row r="57339" spans="1:2" x14ac:dyDescent="0.25">
      <c r="A57339" s="118"/>
      <c r="B57339" s="136"/>
    </row>
    <row r="57340" spans="1:2" x14ac:dyDescent="0.25">
      <c r="A57340" s="118"/>
      <c r="B57340" s="136"/>
    </row>
    <row r="57341" spans="1:2" x14ac:dyDescent="0.25">
      <c r="A57341" s="118"/>
      <c r="B57341" s="136"/>
    </row>
    <row r="57342" spans="1:2" x14ac:dyDescent="0.25">
      <c r="A57342" s="118"/>
      <c r="B57342" s="136"/>
    </row>
    <row r="57343" spans="1:2" x14ac:dyDescent="0.25">
      <c r="A57343" s="118"/>
      <c r="B57343" s="136"/>
    </row>
    <row r="57344" spans="1:2" x14ac:dyDescent="0.25">
      <c r="A57344" s="118"/>
      <c r="B57344" s="136"/>
    </row>
    <row r="57345" spans="1:2" x14ac:dyDescent="0.25">
      <c r="A57345" s="118"/>
      <c r="B57345" s="136"/>
    </row>
    <row r="57346" spans="1:2" x14ac:dyDescent="0.25">
      <c r="A57346" s="118"/>
      <c r="B57346" s="136"/>
    </row>
    <row r="57347" spans="1:2" x14ac:dyDescent="0.25">
      <c r="A57347" s="118"/>
      <c r="B57347" s="136"/>
    </row>
    <row r="57348" spans="1:2" x14ac:dyDescent="0.25">
      <c r="A57348" s="118"/>
      <c r="B57348" s="136"/>
    </row>
    <row r="57349" spans="1:2" x14ac:dyDescent="0.25">
      <c r="A57349" s="118"/>
      <c r="B57349" s="136"/>
    </row>
    <row r="57350" spans="1:2" x14ac:dyDescent="0.25">
      <c r="A57350" s="118"/>
      <c r="B57350" s="136"/>
    </row>
    <row r="57351" spans="1:2" x14ac:dyDescent="0.25">
      <c r="A57351" s="118"/>
      <c r="B57351" s="136"/>
    </row>
    <row r="57352" spans="1:2" x14ac:dyDescent="0.25">
      <c r="A57352" s="118"/>
      <c r="B57352" s="136"/>
    </row>
    <row r="57353" spans="1:2" x14ac:dyDescent="0.25">
      <c r="A57353" s="118"/>
      <c r="B57353" s="136"/>
    </row>
    <row r="57354" spans="1:2" x14ac:dyDescent="0.25">
      <c r="A57354" s="118"/>
      <c r="B57354" s="136"/>
    </row>
    <row r="57355" spans="1:2" x14ac:dyDescent="0.25">
      <c r="A57355" s="118"/>
      <c r="B57355" s="136"/>
    </row>
    <row r="57356" spans="1:2" x14ac:dyDescent="0.25">
      <c r="A57356" s="118"/>
      <c r="B57356" s="136"/>
    </row>
    <row r="57357" spans="1:2" x14ac:dyDescent="0.25">
      <c r="A57357" s="118"/>
      <c r="B57357" s="136"/>
    </row>
    <row r="57358" spans="1:2" x14ac:dyDescent="0.25">
      <c r="A57358" s="118"/>
      <c r="B57358" s="136"/>
    </row>
    <row r="57359" spans="1:2" x14ac:dyDescent="0.25">
      <c r="A57359" s="118"/>
      <c r="B57359" s="136"/>
    </row>
    <row r="57360" spans="1:2" x14ac:dyDescent="0.25">
      <c r="A57360" s="118"/>
      <c r="B57360" s="136"/>
    </row>
    <row r="57361" spans="1:2" x14ac:dyDescent="0.25">
      <c r="A57361" s="118"/>
      <c r="B57361" s="136"/>
    </row>
    <row r="57362" spans="1:2" x14ac:dyDescent="0.25">
      <c r="A57362" s="118"/>
      <c r="B57362" s="136"/>
    </row>
    <row r="57363" spans="1:2" x14ac:dyDescent="0.25">
      <c r="A57363" s="118"/>
      <c r="B57363" s="136"/>
    </row>
    <row r="57364" spans="1:2" x14ac:dyDescent="0.25">
      <c r="A57364" s="118"/>
      <c r="B57364" s="136"/>
    </row>
    <row r="57365" spans="1:2" x14ac:dyDescent="0.25">
      <c r="A57365" s="118"/>
      <c r="B57365" s="136"/>
    </row>
    <row r="57366" spans="1:2" x14ac:dyDescent="0.25">
      <c r="A57366" s="118"/>
      <c r="B57366" s="136"/>
    </row>
    <row r="57367" spans="1:2" x14ac:dyDescent="0.25">
      <c r="A57367" s="118"/>
      <c r="B57367" s="136"/>
    </row>
    <row r="57368" spans="1:2" x14ac:dyDescent="0.25">
      <c r="A57368" s="118"/>
      <c r="B57368" s="136"/>
    </row>
    <row r="57369" spans="1:2" x14ac:dyDescent="0.25">
      <c r="A57369" s="118"/>
      <c r="B57369" s="136"/>
    </row>
    <row r="57370" spans="1:2" x14ac:dyDescent="0.25">
      <c r="A57370" s="118"/>
      <c r="B57370" s="136"/>
    </row>
    <row r="57371" spans="1:2" x14ac:dyDescent="0.25">
      <c r="A57371" s="118"/>
      <c r="B57371" s="136"/>
    </row>
    <row r="57372" spans="1:2" x14ac:dyDescent="0.25">
      <c r="A57372" s="118"/>
      <c r="B57372" s="136"/>
    </row>
    <row r="57373" spans="1:2" x14ac:dyDescent="0.25">
      <c r="A57373" s="118"/>
      <c r="B57373" s="136"/>
    </row>
    <row r="57374" spans="1:2" x14ac:dyDescent="0.25">
      <c r="A57374" s="118"/>
      <c r="B57374" s="136"/>
    </row>
    <row r="57375" spans="1:2" x14ac:dyDescent="0.25">
      <c r="A57375" s="118"/>
      <c r="B57375" s="136"/>
    </row>
    <row r="57376" spans="1:2" x14ac:dyDescent="0.25">
      <c r="A57376" s="118"/>
      <c r="B57376" s="136"/>
    </row>
    <row r="57377" spans="1:2" x14ac:dyDescent="0.25">
      <c r="A57377" s="118"/>
      <c r="B57377" s="136"/>
    </row>
    <row r="57378" spans="1:2" x14ac:dyDescent="0.25">
      <c r="A57378" s="118"/>
      <c r="B57378" s="136"/>
    </row>
    <row r="57379" spans="1:2" x14ac:dyDescent="0.25">
      <c r="A57379" s="118"/>
      <c r="B57379" s="136"/>
    </row>
    <row r="57380" spans="1:2" x14ac:dyDescent="0.25">
      <c r="A57380" s="118"/>
      <c r="B57380" s="136"/>
    </row>
    <row r="57381" spans="1:2" x14ac:dyDescent="0.25">
      <c r="A57381" s="118"/>
      <c r="B57381" s="136"/>
    </row>
    <row r="57382" spans="1:2" x14ac:dyDescent="0.25">
      <c r="A57382" s="118"/>
      <c r="B57382" s="136"/>
    </row>
    <row r="57383" spans="1:2" x14ac:dyDescent="0.25">
      <c r="A57383" s="118"/>
      <c r="B57383" s="136"/>
    </row>
    <row r="57384" spans="1:2" x14ac:dyDescent="0.25">
      <c r="A57384" s="118"/>
      <c r="B57384" s="136"/>
    </row>
    <row r="57385" spans="1:2" x14ac:dyDescent="0.25">
      <c r="A57385" s="118"/>
      <c r="B57385" s="136"/>
    </row>
    <row r="57386" spans="1:2" x14ac:dyDescent="0.25">
      <c r="A57386" s="118"/>
      <c r="B57386" s="136"/>
    </row>
    <row r="57387" spans="1:2" x14ac:dyDescent="0.25">
      <c r="A57387" s="118"/>
      <c r="B57387" s="136"/>
    </row>
    <row r="57388" spans="1:2" x14ac:dyDescent="0.25">
      <c r="A57388" s="118"/>
      <c r="B57388" s="136"/>
    </row>
    <row r="57389" spans="1:2" x14ac:dyDescent="0.25">
      <c r="A57389" s="118"/>
      <c r="B57389" s="136"/>
    </row>
    <row r="57390" spans="1:2" x14ac:dyDescent="0.25">
      <c r="A57390" s="118"/>
      <c r="B57390" s="136"/>
    </row>
    <row r="57391" spans="1:2" x14ac:dyDescent="0.25">
      <c r="A57391" s="118"/>
      <c r="B57391" s="136"/>
    </row>
    <row r="57392" spans="1:2" x14ac:dyDescent="0.25">
      <c r="A57392" s="118"/>
      <c r="B57392" s="136"/>
    </row>
    <row r="57393" spans="1:2" x14ac:dyDescent="0.25">
      <c r="A57393" s="118"/>
      <c r="B57393" s="136"/>
    </row>
    <row r="57394" spans="1:2" x14ac:dyDescent="0.25">
      <c r="A57394" s="118"/>
      <c r="B57394" s="136"/>
    </row>
    <row r="57395" spans="1:2" x14ac:dyDescent="0.25">
      <c r="A57395" s="118"/>
      <c r="B57395" s="136"/>
    </row>
    <row r="57396" spans="1:2" x14ac:dyDescent="0.25">
      <c r="A57396" s="118"/>
      <c r="B57396" s="136"/>
    </row>
    <row r="57397" spans="1:2" x14ac:dyDescent="0.25">
      <c r="A57397" s="118"/>
      <c r="B57397" s="136"/>
    </row>
    <row r="57398" spans="1:2" x14ac:dyDescent="0.25">
      <c r="A57398" s="118"/>
      <c r="B57398" s="136"/>
    </row>
    <row r="57399" spans="1:2" x14ac:dyDescent="0.25">
      <c r="A57399" s="118"/>
      <c r="B57399" s="136"/>
    </row>
    <row r="57400" spans="1:2" x14ac:dyDescent="0.25">
      <c r="A57400" s="118"/>
      <c r="B57400" s="136"/>
    </row>
    <row r="57401" spans="1:2" x14ac:dyDescent="0.25">
      <c r="A57401" s="118"/>
      <c r="B57401" s="136"/>
    </row>
    <row r="57402" spans="1:2" x14ac:dyDescent="0.25">
      <c r="A57402" s="118"/>
      <c r="B57402" s="136"/>
    </row>
    <row r="57403" spans="1:2" x14ac:dyDescent="0.25">
      <c r="A57403" s="118"/>
      <c r="B57403" s="136"/>
    </row>
    <row r="57404" spans="1:2" x14ac:dyDescent="0.25">
      <c r="A57404" s="118"/>
      <c r="B57404" s="136"/>
    </row>
    <row r="57405" spans="1:2" x14ac:dyDescent="0.25">
      <c r="A57405" s="118"/>
      <c r="B57405" s="136"/>
    </row>
    <row r="57406" spans="1:2" x14ac:dyDescent="0.25">
      <c r="A57406" s="118"/>
      <c r="B57406" s="136"/>
    </row>
    <row r="57407" spans="1:2" x14ac:dyDescent="0.25">
      <c r="A57407" s="118"/>
      <c r="B57407" s="136"/>
    </row>
    <row r="57408" spans="1:2" x14ac:dyDescent="0.25">
      <c r="A57408" s="118"/>
      <c r="B57408" s="136"/>
    </row>
    <row r="57409" spans="1:2" x14ac:dyDescent="0.25">
      <c r="A57409" s="118"/>
      <c r="B57409" s="136"/>
    </row>
    <row r="57410" spans="1:2" x14ac:dyDescent="0.25">
      <c r="A57410" s="118"/>
      <c r="B57410" s="136"/>
    </row>
    <row r="57411" spans="1:2" x14ac:dyDescent="0.25">
      <c r="A57411" s="118"/>
      <c r="B57411" s="136"/>
    </row>
    <row r="57412" spans="1:2" x14ac:dyDescent="0.25">
      <c r="A57412" s="118"/>
      <c r="B57412" s="136"/>
    </row>
    <row r="57413" spans="1:2" x14ac:dyDescent="0.25">
      <c r="A57413" s="118"/>
      <c r="B57413" s="136"/>
    </row>
    <row r="57414" spans="1:2" x14ac:dyDescent="0.25">
      <c r="A57414" s="118"/>
      <c r="B57414" s="136"/>
    </row>
    <row r="57415" spans="1:2" x14ac:dyDescent="0.25">
      <c r="A57415" s="118"/>
      <c r="B57415" s="136"/>
    </row>
    <row r="57416" spans="1:2" x14ac:dyDescent="0.25">
      <c r="A57416" s="118"/>
      <c r="B57416" s="136"/>
    </row>
    <row r="57417" spans="1:2" x14ac:dyDescent="0.25">
      <c r="A57417" s="118"/>
      <c r="B57417" s="136"/>
    </row>
    <row r="57418" spans="1:2" x14ac:dyDescent="0.25">
      <c r="A57418" s="118"/>
      <c r="B57418" s="136"/>
    </row>
    <row r="57419" spans="1:2" x14ac:dyDescent="0.25">
      <c r="A57419" s="118"/>
      <c r="B57419" s="136"/>
    </row>
    <row r="57420" spans="1:2" x14ac:dyDescent="0.25">
      <c r="A57420" s="118"/>
      <c r="B57420" s="136"/>
    </row>
    <row r="57421" spans="1:2" x14ac:dyDescent="0.25">
      <c r="A57421" s="118"/>
      <c r="B57421" s="136"/>
    </row>
    <row r="57422" spans="1:2" x14ac:dyDescent="0.25">
      <c r="A57422" s="118"/>
      <c r="B57422" s="136"/>
    </row>
    <row r="57423" spans="1:2" x14ac:dyDescent="0.25">
      <c r="A57423" s="118"/>
      <c r="B57423" s="136"/>
    </row>
    <row r="57424" spans="1:2" x14ac:dyDescent="0.25">
      <c r="A57424" s="118"/>
      <c r="B57424" s="136"/>
    </row>
    <row r="57425" spans="1:2" x14ac:dyDescent="0.25">
      <c r="A57425" s="118"/>
      <c r="B57425" s="136"/>
    </row>
    <row r="57426" spans="1:2" x14ac:dyDescent="0.25">
      <c r="A57426" s="118"/>
      <c r="B57426" s="136"/>
    </row>
    <row r="57427" spans="1:2" x14ac:dyDescent="0.25">
      <c r="A57427" s="118"/>
      <c r="B57427" s="136"/>
    </row>
    <row r="57428" spans="1:2" x14ac:dyDescent="0.25">
      <c r="A57428" s="118"/>
      <c r="B57428" s="136"/>
    </row>
    <row r="57429" spans="1:2" x14ac:dyDescent="0.25">
      <c r="A57429" s="118"/>
      <c r="B57429" s="136"/>
    </row>
    <row r="57430" spans="1:2" x14ac:dyDescent="0.25">
      <c r="A57430" s="118"/>
      <c r="B57430" s="136"/>
    </row>
    <row r="57431" spans="1:2" x14ac:dyDescent="0.25">
      <c r="A57431" s="118"/>
      <c r="B57431" s="136"/>
    </row>
    <row r="57432" spans="1:2" x14ac:dyDescent="0.25">
      <c r="A57432" s="118"/>
      <c r="B57432" s="136"/>
    </row>
    <row r="57433" spans="1:2" x14ac:dyDescent="0.25">
      <c r="A57433" s="118"/>
      <c r="B57433" s="136"/>
    </row>
    <row r="57434" spans="1:2" x14ac:dyDescent="0.25">
      <c r="A57434" s="118"/>
      <c r="B57434" s="136"/>
    </row>
    <row r="57435" spans="1:2" x14ac:dyDescent="0.25">
      <c r="A57435" s="118"/>
      <c r="B57435" s="136"/>
    </row>
    <row r="57436" spans="1:2" x14ac:dyDescent="0.25">
      <c r="A57436" s="118"/>
      <c r="B57436" s="136"/>
    </row>
    <row r="57437" spans="1:2" x14ac:dyDescent="0.25">
      <c r="A57437" s="118"/>
      <c r="B57437" s="136"/>
    </row>
    <row r="57438" spans="1:2" x14ac:dyDescent="0.25">
      <c r="A57438" s="118"/>
      <c r="B57438" s="136"/>
    </row>
    <row r="57439" spans="1:2" x14ac:dyDescent="0.25">
      <c r="A57439" s="118"/>
      <c r="B57439" s="136"/>
    </row>
    <row r="57440" spans="1:2" x14ac:dyDescent="0.25">
      <c r="A57440" s="118"/>
      <c r="B57440" s="136"/>
    </row>
    <row r="57441" spans="1:2" x14ac:dyDescent="0.25">
      <c r="A57441" s="118"/>
      <c r="B57441" s="136"/>
    </row>
    <row r="57442" spans="1:2" x14ac:dyDescent="0.25">
      <c r="A57442" s="118"/>
      <c r="B57442" s="136"/>
    </row>
    <row r="57443" spans="1:2" x14ac:dyDescent="0.25">
      <c r="A57443" s="118"/>
      <c r="B57443" s="136"/>
    </row>
    <row r="57444" spans="1:2" x14ac:dyDescent="0.25">
      <c r="A57444" s="118"/>
      <c r="B57444" s="136"/>
    </row>
    <row r="57445" spans="1:2" x14ac:dyDescent="0.25">
      <c r="A57445" s="118"/>
      <c r="B57445" s="136"/>
    </row>
    <row r="57446" spans="1:2" x14ac:dyDescent="0.25">
      <c r="A57446" s="118"/>
      <c r="B57446" s="136"/>
    </row>
    <row r="57447" spans="1:2" x14ac:dyDescent="0.25">
      <c r="A57447" s="118"/>
      <c r="B57447" s="136"/>
    </row>
    <row r="57448" spans="1:2" x14ac:dyDescent="0.25">
      <c r="A57448" s="118"/>
      <c r="B57448" s="136"/>
    </row>
    <row r="57449" spans="1:2" x14ac:dyDescent="0.25">
      <c r="A57449" s="118"/>
      <c r="B57449" s="136"/>
    </row>
    <row r="57450" spans="1:2" x14ac:dyDescent="0.25">
      <c r="A57450" s="118"/>
      <c r="B57450" s="136"/>
    </row>
    <row r="57451" spans="1:2" x14ac:dyDescent="0.25">
      <c r="A57451" s="118"/>
      <c r="B57451" s="136"/>
    </row>
    <row r="57452" spans="1:2" x14ac:dyDescent="0.25">
      <c r="A57452" s="118"/>
      <c r="B57452" s="136"/>
    </row>
    <row r="57453" spans="1:2" x14ac:dyDescent="0.25">
      <c r="A57453" s="118"/>
      <c r="B57453" s="136"/>
    </row>
    <row r="57454" spans="1:2" x14ac:dyDescent="0.25">
      <c r="A57454" s="118"/>
      <c r="B57454" s="136"/>
    </row>
    <row r="57455" spans="1:2" x14ac:dyDescent="0.25">
      <c r="A57455" s="118"/>
      <c r="B57455" s="136"/>
    </row>
    <row r="57456" spans="1:2" x14ac:dyDescent="0.25">
      <c r="A57456" s="118"/>
      <c r="B57456" s="136"/>
    </row>
    <row r="57457" spans="1:2" x14ac:dyDescent="0.25">
      <c r="A57457" s="118"/>
      <c r="B57457" s="136"/>
    </row>
    <row r="57458" spans="1:2" x14ac:dyDescent="0.25">
      <c r="A57458" s="118"/>
      <c r="B57458" s="136"/>
    </row>
    <row r="57459" spans="1:2" x14ac:dyDescent="0.25">
      <c r="A57459" s="118"/>
      <c r="B57459" s="136"/>
    </row>
    <row r="57460" spans="1:2" x14ac:dyDescent="0.25">
      <c r="A57460" s="118"/>
      <c r="B57460" s="136"/>
    </row>
    <row r="57461" spans="1:2" x14ac:dyDescent="0.25">
      <c r="A57461" s="118"/>
      <c r="B57461" s="136"/>
    </row>
    <row r="57462" spans="1:2" x14ac:dyDescent="0.25">
      <c r="A57462" s="118"/>
      <c r="B57462" s="136"/>
    </row>
    <row r="57463" spans="1:2" x14ac:dyDescent="0.25">
      <c r="A57463" s="118"/>
      <c r="B57463" s="136"/>
    </row>
    <row r="57464" spans="1:2" x14ac:dyDescent="0.25">
      <c r="A57464" s="118"/>
      <c r="B57464" s="136"/>
    </row>
    <row r="57465" spans="1:2" x14ac:dyDescent="0.25">
      <c r="A57465" s="118"/>
      <c r="B57465" s="136"/>
    </row>
    <row r="57466" spans="1:2" x14ac:dyDescent="0.25">
      <c r="A57466" s="118"/>
      <c r="B57466" s="136"/>
    </row>
    <row r="57467" spans="1:2" x14ac:dyDescent="0.25">
      <c r="A57467" s="118"/>
      <c r="B57467" s="136"/>
    </row>
    <row r="57468" spans="1:2" x14ac:dyDescent="0.25">
      <c r="A57468" s="118"/>
      <c r="B57468" s="136"/>
    </row>
    <row r="57469" spans="1:2" x14ac:dyDescent="0.25">
      <c r="A57469" s="118"/>
      <c r="B57469" s="136"/>
    </row>
    <row r="57470" spans="1:2" x14ac:dyDescent="0.25">
      <c r="A57470" s="118"/>
      <c r="B57470" s="136"/>
    </row>
    <row r="57471" spans="1:2" x14ac:dyDescent="0.25">
      <c r="A57471" s="118"/>
      <c r="B57471" s="136"/>
    </row>
    <row r="57472" spans="1:2" x14ac:dyDescent="0.25">
      <c r="A57472" s="118"/>
      <c r="B57472" s="136"/>
    </row>
    <row r="57473" spans="1:2" x14ac:dyDescent="0.25">
      <c r="A57473" s="118"/>
      <c r="B57473" s="136"/>
    </row>
    <row r="57474" spans="1:2" x14ac:dyDescent="0.25">
      <c r="A57474" s="118"/>
      <c r="B57474" s="136"/>
    </row>
    <row r="57475" spans="1:2" x14ac:dyDescent="0.25">
      <c r="A57475" s="118"/>
      <c r="B57475" s="136"/>
    </row>
    <row r="57476" spans="1:2" x14ac:dyDescent="0.25">
      <c r="A57476" s="118"/>
      <c r="B57476" s="136"/>
    </row>
    <row r="57477" spans="1:2" x14ac:dyDescent="0.25">
      <c r="A57477" s="118"/>
      <c r="B57477" s="136"/>
    </row>
    <row r="57478" spans="1:2" x14ac:dyDescent="0.25">
      <c r="A57478" s="118"/>
      <c r="B57478" s="136"/>
    </row>
    <row r="57479" spans="1:2" x14ac:dyDescent="0.25">
      <c r="A57479" s="118"/>
      <c r="B57479" s="136"/>
    </row>
    <row r="57480" spans="1:2" x14ac:dyDescent="0.25">
      <c r="A57480" s="118"/>
      <c r="B57480" s="136"/>
    </row>
    <row r="57481" spans="1:2" x14ac:dyDescent="0.25">
      <c r="A57481" s="118"/>
      <c r="B57481" s="136"/>
    </row>
    <row r="57482" spans="1:2" x14ac:dyDescent="0.25">
      <c r="A57482" s="118"/>
      <c r="B57482" s="136"/>
    </row>
    <row r="57483" spans="1:2" x14ac:dyDescent="0.25">
      <c r="A57483" s="118"/>
      <c r="B57483" s="136"/>
    </row>
    <row r="57484" spans="1:2" x14ac:dyDescent="0.25">
      <c r="A57484" s="118"/>
      <c r="B57484" s="136"/>
    </row>
    <row r="57485" spans="1:2" x14ac:dyDescent="0.25">
      <c r="A57485" s="118"/>
      <c r="B57485" s="136"/>
    </row>
    <row r="57486" spans="1:2" x14ac:dyDescent="0.25">
      <c r="A57486" s="118"/>
      <c r="B57486" s="136"/>
    </row>
    <row r="57487" spans="1:2" x14ac:dyDescent="0.25">
      <c r="A57487" s="118"/>
      <c r="B57487" s="136"/>
    </row>
    <row r="57488" spans="1:2" x14ac:dyDescent="0.25">
      <c r="A57488" s="118"/>
      <c r="B57488" s="136"/>
    </row>
    <row r="57489" spans="1:2" x14ac:dyDescent="0.25">
      <c r="A57489" s="118"/>
      <c r="B57489" s="136"/>
    </row>
    <row r="57490" spans="1:2" x14ac:dyDescent="0.25">
      <c r="A57490" s="118"/>
      <c r="B57490" s="136"/>
    </row>
    <row r="57491" spans="1:2" x14ac:dyDescent="0.25">
      <c r="A57491" s="118"/>
      <c r="B57491" s="136"/>
    </row>
    <row r="57492" spans="1:2" x14ac:dyDescent="0.25">
      <c r="A57492" s="118"/>
      <c r="B57492" s="136"/>
    </row>
    <row r="57493" spans="1:2" x14ac:dyDescent="0.25">
      <c r="A57493" s="118"/>
      <c r="B57493" s="136"/>
    </row>
    <row r="57494" spans="1:2" x14ac:dyDescent="0.25">
      <c r="A57494" s="118"/>
      <c r="B57494" s="136"/>
    </row>
    <row r="57495" spans="1:2" x14ac:dyDescent="0.25">
      <c r="A57495" s="118"/>
      <c r="B57495" s="136"/>
    </row>
    <row r="57496" spans="1:2" x14ac:dyDescent="0.25">
      <c r="A57496" s="118"/>
      <c r="B57496" s="136"/>
    </row>
    <row r="57497" spans="1:2" x14ac:dyDescent="0.25">
      <c r="A57497" s="118"/>
      <c r="B57497" s="136"/>
    </row>
    <row r="57498" spans="1:2" x14ac:dyDescent="0.25">
      <c r="A57498" s="118"/>
      <c r="B57498" s="136"/>
    </row>
    <row r="57499" spans="1:2" x14ac:dyDescent="0.25">
      <c r="A57499" s="118"/>
      <c r="B57499" s="136"/>
    </row>
    <row r="57500" spans="1:2" x14ac:dyDescent="0.25">
      <c r="A57500" s="118"/>
      <c r="B57500" s="136"/>
    </row>
    <row r="57501" spans="1:2" x14ac:dyDescent="0.25">
      <c r="A57501" s="118"/>
      <c r="B57501" s="136"/>
    </row>
    <row r="57502" spans="1:2" x14ac:dyDescent="0.25">
      <c r="A57502" s="118"/>
      <c r="B57502" s="136"/>
    </row>
    <row r="57503" spans="1:2" x14ac:dyDescent="0.25">
      <c r="A57503" s="118"/>
      <c r="B57503" s="136"/>
    </row>
    <row r="57504" spans="1:2" x14ac:dyDescent="0.25">
      <c r="A57504" s="118"/>
      <c r="B57504" s="136"/>
    </row>
    <row r="57505" spans="1:2" x14ac:dyDescent="0.25">
      <c r="A57505" s="118"/>
      <c r="B57505" s="136"/>
    </row>
    <row r="57506" spans="1:2" x14ac:dyDescent="0.25">
      <c r="A57506" s="118"/>
      <c r="B57506" s="136"/>
    </row>
    <row r="57507" spans="1:2" x14ac:dyDescent="0.25">
      <c r="A57507" s="118"/>
      <c r="B57507" s="136"/>
    </row>
    <row r="57508" spans="1:2" x14ac:dyDescent="0.25">
      <c r="A57508" s="118"/>
      <c r="B57508" s="136"/>
    </row>
    <row r="57509" spans="1:2" x14ac:dyDescent="0.25">
      <c r="A57509" s="118"/>
      <c r="B57509" s="136"/>
    </row>
    <row r="57510" spans="1:2" x14ac:dyDescent="0.25">
      <c r="A57510" s="118"/>
      <c r="B57510" s="136"/>
    </row>
    <row r="57511" spans="1:2" x14ac:dyDescent="0.25">
      <c r="A57511" s="118"/>
      <c r="B57511" s="136"/>
    </row>
    <row r="57512" spans="1:2" x14ac:dyDescent="0.25">
      <c r="A57512" s="118"/>
      <c r="B57512" s="136"/>
    </row>
    <row r="57513" spans="1:2" x14ac:dyDescent="0.25">
      <c r="A57513" s="118"/>
      <c r="B57513" s="136"/>
    </row>
    <row r="57514" spans="1:2" x14ac:dyDescent="0.25">
      <c r="A57514" s="118"/>
      <c r="B57514" s="136"/>
    </row>
    <row r="57515" spans="1:2" x14ac:dyDescent="0.25">
      <c r="A57515" s="118"/>
      <c r="B57515" s="136"/>
    </row>
    <row r="57516" spans="1:2" x14ac:dyDescent="0.25">
      <c r="A57516" s="118"/>
      <c r="B57516" s="136"/>
    </row>
    <row r="57517" spans="1:2" x14ac:dyDescent="0.25">
      <c r="A57517" s="118"/>
      <c r="B57517" s="136"/>
    </row>
    <row r="57518" spans="1:2" x14ac:dyDescent="0.25">
      <c r="A57518" s="118"/>
      <c r="B57518" s="136"/>
    </row>
    <row r="57519" spans="1:2" x14ac:dyDescent="0.25">
      <c r="A57519" s="118"/>
      <c r="B57519" s="136"/>
    </row>
    <row r="57520" spans="1:2" x14ac:dyDescent="0.25">
      <c r="A57520" s="118"/>
      <c r="B57520" s="136"/>
    </row>
    <row r="57521" spans="1:2" x14ac:dyDescent="0.25">
      <c r="A57521" s="118"/>
      <c r="B57521" s="136"/>
    </row>
    <row r="57522" spans="1:2" x14ac:dyDescent="0.25">
      <c r="A57522" s="118"/>
      <c r="B57522" s="136"/>
    </row>
    <row r="57523" spans="1:2" x14ac:dyDescent="0.25">
      <c r="A57523" s="118"/>
      <c r="B57523" s="136"/>
    </row>
    <row r="57524" spans="1:2" x14ac:dyDescent="0.25">
      <c r="A57524" s="118"/>
      <c r="B57524" s="136"/>
    </row>
    <row r="57525" spans="1:2" x14ac:dyDescent="0.25">
      <c r="A57525" s="118"/>
      <c r="B57525" s="136"/>
    </row>
    <row r="57526" spans="1:2" x14ac:dyDescent="0.25">
      <c r="A57526" s="118"/>
      <c r="B57526" s="136"/>
    </row>
    <row r="57527" spans="1:2" x14ac:dyDescent="0.25">
      <c r="A57527" s="118"/>
      <c r="B57527" s="136"/>
    </row>
    <row r="57528" spans="1:2" x14ac:dyDescent="0.25">
      <c r="A57528" s="118"/>
      <c r="B57528" s="136"/>
    </row>
    <row r="57529" spans="1:2" x14ac:dyDescent="0.25">
      <c r="A57529" s="118"/>
      <c r="B57529" s="136"/>
    </row>
    <row r="57530" spans="1:2" x14ac:dyDescent="0.25">
      <c r="A57530" s="118"/>
      <c r="B57530" s="136"/>
    </row>
    <row r="57531" spans="1:2" x14ac:dyDescent="0.25">
      <c r="A57531" s="118"/>
      <c r="B57531" s="136"/>
    </row>
    <row r="57532" spans="1:2" x14ac:dyDescent="0.25">
      <c r="A57532" s="118"/>
      <c r="B57532" s="136"/>
    </row>
    <row r="57533" spans="1:2" x14ac:dyDescent="0.25">
      <c r="A57533" s="118"/>
      <c r="B57533" s="136"/>
    </row>
    <row r="57534" spans="1:2" x14ac:dyDescent="0.25">
      <c r="A57534" s="118"/>
      <c r="B57534" s="136"/>
    </row>
    <row r="57535" spans="1:2" x14ac:dyDescent="0.25">
      <c r="A57535" s="118"/>
      <c r="B57535" s="136"/>
    </row>
    <row r="57536" spans="1:2" x14ac:dyDescent="0.25">
      <c r="A57536" s="118"/>
      <c r="B57536" s="136"/>
    </row>
    <row r="57537" spans="1:2" x14ac:dyDescent="0.25">
      <c r="A57537" s="118"/>
      <c r="B57537" s="136"/>
    </row>
    <row r="57538" spans="1:2" x14ac:dyDescent="0.25">
      <c r="A57538" s="118"/>
      <c r="B57538" s="136"/>
    </row>
    <row r="57539" spans="1:2" x14ac:dyDescent="0.25">
      <c r="A57539" s="118"/>
      <c r="B57539" s="136"/>
    </row>
    <row r="57540" spans="1:2" x14ac:dyDescent="0.25">
      <c r="A57540" s="118"/>
      <c r="B57540" s="136"/>
    </row>
    <row r="57541" spans="1:2" x14ac:dyDescent="0.25">
      <c r="A57541" s="118"/>
      <c r="B57541" s="136"/>
    </row>
    <row r="57542" spans="1:2" x14ac:dyDescent="0.25">
      <c r="A57542" s="118"/>
      <c r="B57542" s="136"/>
    </row>
    <row r="57543" spans="1:2" x14ac:dyDescent="0.25">
      <c r="A57543" s="118"/>
      <c r="B57543" s="136"/>
    </row>
    <row r="57544" spans="1:2" x14ac:dyDescent="0.25">
      <c r="A57544" s="118"/>
      <c r="B57544" s="136"/>
    </row>
    <row r="57545" spans="1:2" x14ac:dyDescent="0.25">
      <c r="A57545" s="118"/>
      <c r="B57545" s="136"/>
    </row>
    <row r="57546" spans="1:2" x14ac:dyDescent="0.25">
      <c r="A57546" s="118"/>
      <c r="B57546" s="136"/>
    </row>
    <row r="57547" spans="1:2" x14ac:dyDescent="0.25">
      <c r="A57547" s="118"/>
      <c r="B57547" s="136"/>
    </row>
    <row r="57548" spans="1:2" x14ac:dyDescent="0.25">
      <c r="A57548" s="118"/>
      <c r="B57548" s="136"/>
    </row>
    <row r="57549" spans="1:2" x14ac:dyDescent="0.25">
      <c r="A57549" s="118"/>
      <c r="B57549" s="136"/>
    </row>
    <row r="57550" spans="1:2" x14ac:dyDescent="0.25">
      <c r="A57550" s="118"/>
      <c r="B57550" s="136"/>
    </row>
    <row r="57551" spans="1:2" x14ac:dyDescent="0.25">
      <c r="A57551" s="118"/>
      <c r="B57551" s="136"/>
    </row>
    <row r="57552" spans="1:2" x14ac:dyDescent="0.25">
      <c r="A57552" s="118"/>
      <c r="B57552" s="136"/>
    </row>
    <row r="57553" spans="1:2" x14ac:dyDescent="0.25">
      <c r="A57553" s="118"/>
      <c r="B57553" s="136"/>
    </row>
    <row r="57554" spans="1:2" x14ac:dyDescent="0.25">
      <c r="A57554" s="118"/>
      <c r="B57554" s="136"/>
    </row>
    <row r="57555" spans="1:2" x14ac:dyDescent="0.25">
      <c r="A57555" s="118"/>
      <c r="B57555" s="136"/>
    </row>
    <row r="57556" spans="1:2" x14ac:dyDescent="0.25">
      <c r="A57556" s="118"/>
      <c r="B57556" s="136"/>
    </row>
    <row r="57557" spans="1:2" x14ac:dyDescent="0.25">
      <c r="A57557" s="118"/>
      <c r="B57557" s="136"/>
    </row>
    <row r="57558" spans="1:2" x14ac:dyDescent="0.25">
      <c r="A57558" s="118"/>
      <c r="B57558" s="136"/>
    </row>
    <row r="57559" spans="1:2" x14ac:dyDescent="0.25">
      <c r="A57559" s="118"/>
      <c r="B57559" s="136"/>
    </row>
    <row r="57560" spans="1:2" x14ac:dyDescent="0.25">
      <c r="A57560" s="118"/>
      <c r="B57560" s="136"/>
    </row>
    <row r="57561" spans="1:2" x14ac:dyDescent="0.25">
      <c r="A57561" s="118"/>
      <c r="B57561" s="136"/>
    </row>
    <row r="57562" spans="1:2" x14ac:dyDescent="0.25">
      <c r="A57562" s="118"/>
      <c r="B57562" s="136"/>
    </row>
    <row r="57563" spans="1:2" x14ac:dyDescent="0.25">
      <c r="A57563" s="118"/>
      <c r="B57563" s="136"/>
    </row>
    <row r="57564" spans="1:2" x14ac:dyDescent="0.25">
      <c r="A57564" s="118"/>
      <c r="B57564" s="136"/>
    </row>
    <row r="57565" spans="1:2" x14ac:dyDescent="0.25">
      <c r="A57565" s="118"/>
      <c r="B57565" s="136"/>
    </row>
    <row r="57566" spans="1:2" x14ac:dyDescent="0.25">
      <c r="A57566" s="118"/>
      <c r="B57566" s="136"/>
    </row>
    <row r="57567" spans="1:2" x14ac:dyDescent="0.25">
      <c r="A57567" s="118"/>
      <c r="B57567" s="136"/>
    </row>
    <row r="57568" spans="1:2" x14ac:dyDescent="0.25">
      <c r="A57568" s="118"/>
      <c r="B57568" s="136"/>
    </row>
    <row r="57569" spans="1:2" x14ac:dyDescent="0.25">
      <c r="A57569" s="118"/>
      <c r="B57569" s="136"/>
    </row>
    <row r="57570" spans="1:2" x14ac:dyDescent="0.25">
      <c r="A57570" s="118"/>
      <c r="B57570" s="136"/>
    </row>
    <row r="57571" spans="1:2" x14ac:dyDescent="0.25">
      <c r="A57571" s="118"/>
      <c r="B57571" s="136"/>
    </row>
    <row r="57572" spans="1:2" x14ac:dyDescent="0.25">
      <c r="A57572" s="118"/>
      <c r="B57572" s="136"/>
    </row>
    <row r="57573" spans="1:2" x14ac:dyDescent="0.25">
      <c r="A57573" s="118"/>
      <c r="B57573" s="136"/>
    </row>
    <row r="57574" spans="1:2" x14ac:dyDescent="0.25">
      <c r="A57574" s="118"/>
      <c r="B57574" s="136"/>
    </row>
    <row r="57575" spans="1:2" x14ac:dyDescent="0.25">
      <c r="A57575" s="118"/>
      <c r="B57575" s="136"/>
    </row>
    <row r="57576" spans="1:2" x14ac:dyDescent="0.25">
      <c r="A57576" s="118"/>
      <c r="B57576" s="136"/>
    </row>
    <row r="57577" spans="1:2" x14ac:dyDescent="0.25">
      <c r="A57577" s="118"/>
      <c r="B57577" s="136"/>
    </row>
    <row r="57578" spans="1:2" x14ac:dyDescent="0.25">
      <c r="A57578" s="118"/>
      <c r="B57578" s="136"/>
    </row>
    <row r="57579" spans="1:2" x14ac:dyDescent="0.25">
      <c r="A57579" s="118"/>
      <c r="B57579" s="136"/>
    </row>
    <row r="57580" spans="1:2" x14ac:dyDescent="0.25">
      <c r="A57580" s="118"/>
      <c r="B57580" s="136"/>
    </row>
    <row r="57581" spans="1:2" x14ac:dyDescent="0.25">
      <c r="A57581" s="118"/>
      <c r="B57581" s="136"/>
    </row>
    <row r="57582" spans="1:2" x14ac:dyDescent="0.25">
      <c r="A57582" s="118"/>
      <c r="B57582" s="136"/>
    </row>
    <row r="57583" spans="1:2" x14ac:dyDescent="0.25">
      <c r="A57583" s="118"/>
      <c r="B57583" s="136"/>
    </row>
    <row r="57584" spans="1:2" x14ac:dyDescent="0.25">
      <c r="A57584" s="118"/>
      <c r="B57584" s="136"/>
    </row>
    <row r="57585" spans="1:2" x14ac:dyDescent="0.25">
      <c r="A57585" s="118"/>
      <c r="B57585" s="136"/>
    </row>
    <row r="57586" spans="1:2" x14ac:dyDescent="0.25">
      <c r="A57586" s="118"/>
      <c r="B57586" s="136"/>
    </row>
    <row r="57587" spans="1:2" x14ac:dyDescent="0.25">
      <c r="A57587" s="118"/>
      <c r="B57587" s="136"/>
    </row>
    <row r="57588" spans="1:2" x14ac:dyDescent="0.25">
      <c r="A57588" s="118"/>
      <c r="B57588" s="136"/>
    </row>
    <row r="57589" spans="1:2" x14ac:dyDescent="0.25">
      <c r="A57589" s="118"/>
      <c r="B57589" s="136"/>
    </row>
    <row r="57590" spans="1:2" x14ac:dyDescent="0.25">
      <c r="A57590" s="118"/>
      <c r="B57590" s="136"/>
    </row>
    <row r="57591" spans="1:2" x14ac:dyDescent="0.25">
      <c r="A57591" s="118"/>
      <c r="B57591" s="136"/>
    </row>
    <row r="57592" spans="1:2" x14ac:dyDescent="0.25">
      <c r="A57592" s="118"/>
      <c r="B57592" s="136"/>
    </row>
    <row r="57593" spans="1:2" x14ac:dyDescent="0.25">
      <c r="A57593" s="118"/>
      <c r="B57593" s="136"/>
    </row>
    <row r="57594" spans="1:2" x14ac:dyDescent="0.25">
      <c r="A57594" s="118"/>
      <c r="B57594" s="136"/>
    </row>
    <row r="57595" spans="1:2" x14ac:dyDescent="0.25">
      <c r="A57595" s="118"/>
      <c r="B57595" s="136"/>
    </row>
    <row r="57596" spans="1:2" x14ac:dyDescent="0.25">
      <c r="A57596" s="118"/>
      <c r="B57596" s="136"/>
    </row>
    <row r="57597" spans="1:2" x14ac:dyDescent="0.25">
      <c r="A57597" s="118"/>
      <c r="B57597" s="136"/>
    </row>
    <row r="57598" spans="1:2" x14ac:dyDescent="0.25">
      <c r="A57598" s="118"/>
      <c r="B57598" s="136"/>
    </row>
    <row r="57599" spans="1:2" x14ac:dyDescent="0.25">
      <c r="A57599" s="118"/>
      <c r="B57599" s="136"/>
    </row>
    <row r="57600" spans="1:2" x14ac:dyDescent="0.25">
      <c r="A57600" s="118"/>
      <c r="B57600" s="136"/>
    </row>
    <row r="57601" spans="1:2" x14ac:dyDescent="0.25">
      <c r="A57601" s="118"/>
      <c r="B57601" s="136"/>
    </row>
    <row r="57602" spans="1:2" x14ac:dyDescent="0.25">
      <c r="A57602" s="118"/>
      <c r="B57602" s="136"/>
    </row>
    <row r="57603" spans="1:2" x14ac:dyDescent="0.25">
      <c r="A57603" s="118"/>
      <c r="B57603" s="136"/>
    </row>
    <row r="57604" spans="1:2" x14ac:dyDescent="0.25">
      <c r="A57604" s="118"/>
      <c r="B57604" s="136"/>
    </row>
    <row r="57605" spans="1:2" x14ac:dyDescent="0.25">
      <c r="A57605" s="118"/>
      <c r="B57605" s="136"/>
    </row>
    <row r="57606" spans="1:2" x14ac:dyDescent="0.25">
      <c r="A57606" s="118"/>
      <c r="B57606" s="136"/>
    </row>
    <row r="57607" spans="1:2" x14ac:dyDescent="0.25">
      <c r="A57607" s="118"/>
      <c r="B57607" s="136"/>
    </row>
    <row r="57608" spans="1:2" x14ac:dyDescent="0.25">
      <c r="A57608" s="118"/>
      <c r="B57608" s="136"/>
    </row>
    <row r="57609" spans="1:2" x14ac:dyDescent="0.25">
      <c r="A57609" s="118"/>
      <c r="B57609" s="136"/>
    </row>
    <row r="57610" spans="1:2" x14ac:dyDescent="0.25">
      <c r="A57610" s="118"/>
      <c r="B57610" s="136"/>
    </row>
    <row r="57611" spans="1:2" x14ac:dyDescent="0.25">
      <c r="A57611" s="118"/>
      <c r="B57611" s="136"/>
    </row>
    <row r="57612" spans="1:2" x14ac:dyDescent="0.25">
      <c r="A57612" s="118"/>
      <c r="B57612" s="136"/>
    </row>
    <row r="57613" spans="1:2" x14ac:dyDescent="0.25">
      <c r="A57613" s="118"/>
      <c r="B57613" s="136"/>
    </row>
    <row r="57614" spans="1:2" x14ac:dyDescent="0.25">
      <c r="A57614" s="118"/>
      <c r="B57614" s="136"/>
    </row>
    <row r="57615" spans="1:2" x14ac:dyDescent="0.25">
      <c r="A57615" s="118"/>
      <c r="B57615" s="136"/>
    </row>
    <row r="57616" spans="1:2" x14ac:dyDescent="0.25">
      <c r="A57616" s="118"/>
      <c r="B57616" s="136"/>
    </row>
    <row r="57617" spans="1:2" x14ac:dyDescent="0.25">
      <c r="A57617" s="118"/>
      <c r="B57617" s="136"/>
    </row>
    <row r="57618" spans="1:2" x14ac:dyDescent="0.25">
      <c r="A57618" s="118"/>
      <c r="B57618" s="136"/>
    </row>
    <row r="57619" spans="1:2" x14ac:dyDescent="0.25">
      <c r="A57619" s="118"/>
      <c r="B57619" s="136"/>
    </row>
    <row r="57620" spans="1:2" x14ac:dyDescent="0.25">
      <c r="A57620" s="118"/>
      <c r="B57620" s="136"/>
    </row>
    <row r="57621" spans="1:2" x14ac:dyDescent="0.25">
      <c r="A57621" s="118"/>
      <c r="B57621" s="136"/>
    </row>
    <row r="57622" spans="1:2" x14ac:dyDescent="0.25">
      <c r="A57622" s="118"/>
      <c r="B57622" s="136"/>
    </row>
    <row r="57623" spans="1:2" x14ac:dyDescent="0.25">
      <c r="A57623" s="118"/>
      <c r="B57623" s="136"/>
    </row>
    <row r="57624" spans="1:2" x14ac:dyDescent="0.25">
      <c r="A57624" s="118"/>
      <c r="B57624" s="136"/>
    </row>
    <row r="57625" spans="1:2" x14ac:dyDescent="0.25">
      <c r="A57625" s="118"/>
      <c r="B57625" s="136"/>
    </row>
    <row r="57626" spans="1:2" x14ac:dyDescent="0.25">
      <c r="A57626" s="118"/>
      <c r="B57626" s="136"/>
    </row>
    <row r="57627" spans="1:2" x14ac:dyDescent="0.25">
      <c r="A57627" s="118"/>
      <c r="B57627" s="136"/>
    </row>
    <row r="57628" spans="1:2" x14ac:dyDescent="0.25">
      <c r="A57628" s="118"/>
      <c r="B57628" s="136"/>
    </row>
    <row r="57629" spans="1:2" x14ac:dyDescent="0.25">
      <c r="A57629" s="118"/>
      <c r="B57629" s="136"/>
    </row>
    <row r="57630" spans="1:2" x14ac:dyDescent="0.25">
      <c r="A57630" s="118"/>
      <c r="B57630" s="136"/>
    </row>
    <row r="57631" spans="1:2" x14ac:dyDescent="0.25">
      <c r="A57631" s="118"/>
      <c r="B57631" s="136"/>
    </row>
    <row r="57632" spans="1:2" x14ac:dyDescent="0.25">
      <c r="A57632" s="118"/>
      <c r="B57632" s="136"/>
    </row>
    <row r="57633" spans="1:2" x14ac:dyDescent="0.25">
      <c r="A57633" s="118"/>
      <c r="B57633" s="136"/>
    </row>
    <row r="57634" spans="1:2" x14ac:dyDescent="0.25">
      <c r="A57634" s="118"/>
      <c r="B57634" s="136"/>
    </row>
    <row r="57635" spans="1:2" x14ac:dyDescent="0.25">
      <c r="A57635" s="118"/>
      <c r="B57635" s="136"/>
    </row>
    <row r="57636" spans="1:2" x14ac:dyDescent="0.25">
      <c r="A57636" s="118"/>
      <c r="B57636" s="136"/>
    </row>
    <row r="57637" spans="1:2" x14ac:dyDescent="0.25">
      <c r="A57637" s="118"/>
      <c r="B57637" s="136"/>
    </row>
    <row r="57638" spans="1:2" x14ac:dyDescent="0.25">
      <c r="A57638" s="118"/>
      <c r="B57638" s="136"/>
    </row>
    <row r="57639" spans="1:2" x14ac:dyDescent="0.25">
      <c r="A57639" s="118"/>
      <c r="B57639" s="136"/>
    </row>
    <row r="57640" spans="1:2" x14ac:dyDescent="0.25">
      <c r="A57640" s="118"/>
      <c r="B57640" s="136"/>
    </row>
    <row r="57641" spans="1:2" x14ac:dyDescent="0.25">
      <c r="A57641" s="118"/>
      <c r="B57641" s="136"/>
    </row>
    <row r="57642" spans="1:2" x14ac:dyDescent="0.25">
      <c r="A57642" s="118"/>
      <c r="B57642" s="136"/>
    </row>
    <row r="57643" spans="1:2" x14ac:dyDescent="0.25">
      <c r="A57643" s="118"/>
      <c r="B57643" s="136"/>
    </row>
    <row r="57644" spans="1:2" x14ac:dyDescent="0.25">
      <c r="A57644" s="118"/>
      <c r="B57644" s="136"/>
    </row>
    <row r="57645" spans="1:2" x14ac:dyDescent="0.25">
      <c r="A57645" s="118"/>
      <c r="B57645" s="136"/>
    </row>
    <row r="57646" spans="1:2" x14ac:dyDescent="0.25">
      <c r="A57646" s="118"/>
      <c r="B57646" s="136"/>
    </row>
    <row r="57647" spans="1:2" x14ac:dyDescent="0.25">
      <c r="A57647" s="118"/>
      <c r="B57647" s="136"/>
    </row>
    <row r="57648" spans="1:2" x14ac:dyDescent="0.25">
      <c r="A57648" s="118"/>
      <c r="B57648" s="136"/>
    </row>
    <row r="57649" spans="1:2" x14ac:dyDescent="0.25">
      <c r="A57649" s="118"/>
      <c r="B57649" s="136"/>
    </row>
    <row r="57650" spans="1:2" x14ac:dyDescent="0.25">
      <c r="A57650" s="118"/>
      <c r="B57650" s="136"/>
    </row>
    <row r="57651" spans="1:2" x14ac:dyDescent="0.25">
      <c r="A57651" s="118"/>
      <c r="B57651" s="136"/>
    </row>
    <row r="57652" spans="1:2" x14ac:dyDescent="0.25">
      <c r="A57652" s="118"/>
      <c r="B57652" s="136"/>
    </row>
    <row r="57653" spans="1:2" x14ac:dyDescent="0.25">
      <c r="A57653" s="118"/>
      <c r="B57653" s="136"/>
    </row>
    <row r="57654" spans="1:2" x14ac:dyDescent="0.25">
      <c r="A57654" s="118"/>
      <c r="B57654" s="136"/>
    </row>
    <row r="57655" spans="1:2" x14ac:dyDescent="0.25">
      <c r="A57655" s="118"/>
      <c r="B57655" s="136"/>
    </row>
    <row r="57656" spans="1:2" x14ac:dyDescent="0.25">
      <c r="A57656" s="118"/>
      <c r="B57656" s="136"/>
    </row>
    <row r="57657" spans="1:2" x14ac:dyDescent="0.25">
      <c r="A57657" s="118"/>
      <c r="B57657" s="136"/>
    </row>
    <row r="57658" spans="1:2" x14ac:dyDescent="0.25">
      <c r="A57658" s="118"/>
      <c r="B57658" s="136"/>
    </row>
    <row r="57659" spans="1:2" x14ac:dyDescent="0.25">
      <c r="A57659" s="118"/>
      <c r="B57659" s="136"/>
    </row>
    <row r="57660" spans="1:2" x14ac:dyDescent="0.25">
      <c r="A57660" s="118"/>
      <c r="B57660" s="136"/>
    </row>
    <row r="57661" spans="1:2" x14ac:dyDescent="0.25">
      <c r="A57661" s="118"/>
      <c r="B57661" s="136"/>
    </row>
    <row r="57662" spans="1:2" x14ac:dyDescent="0.25">
      <c r="A57662" s="118"/>
      <c r="B57662" s="136"/>
    </row>
    <row r="57663" spans="1:2" x14ac:dyDescent="0.25">
      <c r="A57663" s="118"/>
      <c r="B57663" s="136"/>
    </row>
    <row r="57664" spans="1:2" x14ac:dyDescent="0.25">
      <c r="A57664" s="118"/>
      <c r="B57664" s="136"/>
    </row>
    <row r="57665" spans="1:2" x14ac:dyDescent="0.25">
      <c r="A57665" s="118"/>
      <c r="B57665" s="136"/>
    </row>
    <row r="57666" spans="1:2" x14ac:dyDescent="0.25">
      <c r="A57666" s="118"/>
      <c r="B57666" s="136"/>
    </row>
    <row r="57667" spans="1:2" x14ac:dyDescent="0.25">
      <c r="A57667" s="118"/>
      <c r="B57667" s="136"/>
    </row>
    <row r="57668" spans="1:2" x14ac:dyDescent="0.25">
      <c r="A57668" s="118"/>
      <c r="B57668" s="136"/>
    </row>
    <row r="57669" spans="1:2" x14ac:dyDescent="0.25">
      <c r="A57669" s="118"/>
      <c r="B57669" s="136"/>
    </row>
    <row r="57670" spans="1:2" x14ac:dyDescent="0.25">
      <c r="A57670" s="118"/>
      <c r="B57670" s="136"/>
    </row>
    <row r="57671" spans="1:2" x14ac:dyDescent="0.25">
      <c r="A57671" s="118"/>
      <c r="B57671" s="136"/>
    </row>
    <row r="57672" spans="1:2" x14ac:dyDescent="0.25">
      <c r="A57672" s="118"/>
      <c r="B57672" s="136"/>
    </row>
    <row r="57673" spans="1:2" x14ac:dyDescent="0.25">
      <c r="A57673" s="118"/>
      <c r="B57673" s="136"/>
    </row>
    <row r="57674" spans="1:2" x14ac:dyDescent="0.25">
      <c r="A57674" s="118"/>
      <c r="B57674" s="136"/>
    </row>
    <row r="57675" spans="1:2" x14ac:dyDescent="0.25">
      <c r="A57675" s="118"/>
      <c r="B57675" s="136"/>
    </row>
    <row r="57676" spans="1:2" x14ac:dyDescent="0.25">
      <c r="A57676" s="118"/>
      <c r="B57676" s="136"/>
    </row>
    <row r="57677" spans="1:2" x14ac:dyDescent="0.25">
      <c r="A57677" s="118"/>
      <c r="B57677" s="136"/>
    </row>
    <row r="57678" spans="1:2" x14ac:dyDescent="0.25">
      <c r="A57678" s="118"/>
      <c r="B57678" s="136"/>
    </row>
    <row r="57679" spans="1:2" x14ac:dyDescent="0.25">
      <c r="A57679" s="118"/>
      <c r="B57679" s="136"/>
    </row>
    <row r="57680" spans="1:2" x14ac:dyDescent="0.25">
      <c r="A57680" s="118"/>
      <c r="B57680" s="136"/>
    </row>
    <row r="57681" spans="1:2" x14ac:dyDescent="0.25">
      <c r="A57681" s="118"/>
      <c r="B57681" s="136"/>
    </row>
    <row r="57682" spans="1:2" x14ac:dyDescent="0.25">
      <c r="A57682" s="118"/>
      <c r="B57682" s="136"/>
    </row>
    <row r="57683" spans="1:2" x14ac:dyDescent="0.25">
      <c r="A57683" s="118"/>
      <c r="B57683" s="136"/>
    </row>
    <row r="57684" spans="1:2" x14ac:dyDescent="0.25">
      <c r="A57684" s="118"/>
      <c r="B57684" s="136"/>
    </row>
    <row r="57685" spans="1:2" x14ac:dyDescent="0.25">
      <c r="A57685" s="118"/>
      <c r="B57685" s="136"/>
    </row>
    <row r="57686" spans="1:2" x14ac:dyDescent="0.25">
      <c r="A57686" s="118"/>
      <c r="B57686" s="136"/>
    </row>
    <row r="57687" spans="1:2" x14ac:dyDescent="0.25">
      <c r="A57687" s="118"/>
      <c r="B57687" s="136"/>
    </row>
    <row r="57688" spans="1:2" x14ac:dyDescent="0.25">
      <c r="A57688" s="118"/>
      <c r="B57688" s="136"/>
    </row>
    <row r="57689" spans="1:2" x14ac:dyDescent="0.25">
      <c r="A57689" s="118"/>
      <c r="B57689" s="136"/>
    </row>
    <row r="57690" spans="1:2" x14ac:dyDescent="0.25">
      <c r="A57690" s="118"/>
      <c r="B57690" s="136"/>
    </row>
    <row r="57691" spans="1:2" x14ac:dyDescent="0.25">
      <c r="A57691" s="118"/>
      <c r="B57691" s="136"/>
    </row>
    <row r="57692" spans="1:2" x14ac:dyDescent="0.25">
      <c r="A57692" s="118"/>
      <c r="B57692" s="136"/>
    </row>
    <row r="57693" spans="1:2" x14ac:dyDescent="0.25">
      <c r="A57693" s="118"/>
      <c r="B57693" s="136"/>
    </row>
    <row r="57694" spans="1:2" x14ac:dyDescent="0.25">
      <c r="A57694" s="118"/>
      <c r="B57694" s="136"/>
    </row>
    <row r="57695" spans="1:2" x14ac:dyDescent="0.25">
      <c r="A57695" s="118"/>
      <c r="B57695" s="136"/>
    </row>
    <row r="57696" spans="1:2" x14ac:dyDescent="0.25">
      <c r="A57696" s="118"/>
      <c r="B57696" s="136"/>
    </row>
    <row r="57697" spans="1:2" x14ac:dyDescent="0.25">
      <c r="A57697" s="118"/>
      <c r="B57697" s="136"/>
    </row>
    <row r="57698" spans="1:2" x14ac:dyDescent="0.25">
      <c r="A57698" s="118"/>
      <c r="B57698" s="136"/>
    </row>
    <row r="57699" spans="1:2" x14ac:dyDescent="0.25">
      <c r="A57699" s="118"/>
      <c r="B57699" s="136"/>
    </row>
    <row r="57700" spans="1:2" x14ac:dyDescent="0.25">
      <c r="A57700" s="118"/>
      <c r="B57700" s="136"/>
    </row>
    <row r="57701" spans="1:2" x14ac:dyDescent="0.25">
      <c r="A57701" s="118"/>
      <c r="B57701" s="136"/>
    </row>
    <row r="57702" spans="1:2" x14ac:dyDescent="0.25">
      <c r="A57702" s="118"/>
      <c r="B57702" s="136"/>
    </row>
    <row r="57703" spans="1:2" x14ac:dyDescent="0.25">
      <c r="A57703" s="118"/>
      <c r="B57703" s="136"/>
    </row>
    <row r="57704" spans="1:2" x14ac:dyDescent="0.25">
      <c r="A57704" s="118"/>
      <c r="B57704" s="136"/>
    </row>
    <row r="57705" spans="1:2" x14ac:dyDescent="0.25">
      <c r="A57705" s="118"/>
      <c r="B57705" s="136"/>
    </row>
    <row r="57706" spans="1:2" x14ac:dyDescent="0.25">
      <c r="A57706" s="118"/>
      <c r="B57706" s="136"/>
    </row>
    <row r="57707" spans="1:2" x14ac:dyDescent="0.25">
      <c r="A57707" s="118"/>
      <c r="B57707" s="136"/>
    </row>
    <row r="57708" spans="1:2" x14ac:dyDescent="0.25">
      <c r="A57708" s="118"/>
      <c r="B57708" s="136"/>
    </row>
    <row r="57709" spans="1:2" x14ac:dyDescent="0.25">
      <c r="A57709" s="118"/>
      <c r="B57709" s="136"/>
    </row>
    <row r="57710" spans="1:2" x14ac:dyDescent="0.25">
      <c r="A57710" s="118"/>
      <c r="B57710" s="136"/>
    </row>
    <row r="57711" spans="1:2" x14ac:dyDescent="0.25">
      <c r="A57711" s="118"/>
      <c r="B57711" s="136"/>
    </row>
    <row r="57712" spans="1:2" x14ac:dyDescent="0.25">
      <c r="A57712" s="118"/>
      <c r="B57712" s="136"/>
    </row>
    <row r="57713" spans="1:2" x14ac:dyDescent="0.25">
      <c r="A57713" s="118"/>
      <c r="B57713" s="136"/>
    </row>
    <row r="57714" spans="1:2" x14ac:dyDescent="0.25">
      <c r="A57714" s="118"/>
      <c r="B57714" s="136"/>
    </row>
    <row r="57715" spans="1:2" x14ac:dyDescent="0.25">
      <c r="A57715" s="118"/>
      <c r="B57715" s="136"/>
    </row>
    <row r="57716" spans="1:2" x14ac:dyDescent="0.25">
      <c r="A57716" s="118"/>
      <c r="B57716" s="136"/>
    </row>
    <row r="57717" spans="1:2" x14ac:dyDescent="0.25">
      <c r="A57717" s="118"/>
      <c r="B57717" s="136"/>
    </row>
    <row r="57718" spans="1:2" x14ac:dyDescent="0.25">
      <c r="A57718" s="118"/>
      <c r="B57718" s="136"/>
    </row>
    <row r="57719" spans="1:2" x14ac:dyDescent="0.25">
      <c r="A57719" s="118"/>
      <c r="B57719" s="136"/>
    </row>
    <row r="57720" spans="1:2" x14ac:dyDescent="0.25">
      <c r="A57720" s="118"/>
      <c r="B57720" s="136"/>
    </row>
    <row r="57721" spans="1:2" x14ac:dyDescent="0.25">
      <c r="A57721" s="118"/>
      <c r="B57721" s="136"/>
    </row>
    <row r="57722" spans="1:2" x14ac:dyDescent="0.25">
      <c r="A57722" s="118"/>
      <c r="B57722" s="136"/>
    </row>
    <row r="57723" spans="1:2" x14ac:dyDescent="0.25">
      <c r="A57723" s="118"/>
      <c r="B57723" s="136"/>
    </row>
    <row r="57724" spans="1:2" x14ac:dyDescent="0.25">
      <c r="A57724" s="118"/>
      <c r="B57724" s="136"/>
    </row>
    <row r="57725" spans="1:2" x14ac:dyDescent="0.25">
      <c r="A57725" s="118"/>
      <c r="B57725" s="136"/>
    </row>
    <row r="57726" spans="1:2" x14ac:dyDescent="0.25">
      <c r="A57726" s="118"/>
      <c r="B57726" s="136"/>
    </row>
    <row r="57727" spans="1:2" x14ac:dyDescent="0.25">
      <c r="A57727" s="118"/>
      <c r="B57727" s="136"/>
    </row>
    <row r="57728" spans="1:2" x14ac:dyDescent="0.25">
      <c r="A57728" s="118"/>
      <c r="B57728" s="136"/>
    </row>
    <row r="57729" spans="1:2" x14ac:dyDescent="0.25">
      <c r="A57729" s="118"/>
      <c r="B57729" s="136"/>
    </row>
    <row r="57730" spans="1:2" x14ac:dyDescent="0.25">
      <c r="A57730" s="118"/>
      <c r="B57730" s="136"/>
    </row>
    <row r="57731" spans="1:2" x14ac:dyDescent="0.25">
      <c r="A57731" s="118"/>
      <c r="B57731" s="136"/>
    </row>
    <row r="57732" spans="1:2" x14ac:dyDescent="0.25">
      <c r="A57732" s="118"/>
      <c r="B57732" s="136"/>
    </row>
    <row r="57733" spans="1:2" x14ac:dyDescent="0.25">
      <c r="A57733" s="118"/>
      <c r="B57733" s="136"/>
    </row>
    <row r="57734" spans="1:2" x14ac:dyDescent="0.25">
      <c r="A57734" s="118"/>
      <c r="B57734" s="136"/>
    </row>
    <row r="57735" spans="1:2" x14ac:dyDescent="0.25">
      <c r="A57735" s="118"/>
      <c r="B57735" s="136"/>
    </row>
    <row r="57736" spans="1:2" x14ac:dyDescent="0.25">
      <c r="A57736" s="118"/>
      <c r="B57736" s="136"/>
    </row>
    <row r="57737" spans="1:2" x14ac:dyDescent="0.25">
      <c r="A57737" s="118"/>
      <c r="B57737" s="136"/>
    </row>
    <row r="57738" spans="1:2" x14ac:dyDescent="0.25">
      <c r="A57738" s="118"/>
      <c r="B57738" s="136"/>
    </row>
    <row r="57739" spans="1:2" x14ac:dyDescent="0.25">
      <c r="A57739" s="118"/>
      <c r="B57739" s="136"/>
    </row>
    <row r="57740" spans="1:2" x14ac:dyDescent="0.25">
      <c r="A57740" s="118"/>
      <c r="B57740" s="136"/>
    </row>
    <row r="57741" spans="1:2" x14ac:dyDescent="0.25">
      <c r="A57741" s="118"/>
      <c r="B57741" s="136"/>
    </row>
    <row r="57742" spans="1:2" x14ac:dyDescent="0.25">
      <c r="A57742" s="118"/>
      <c r="B57742" s="136"/>
    </row>
    <row r="57743" spans="1:2" x14ac:dyDescent="0.25">
      <c r="A57743" s="118"/>
      <c r="B57743" s="136"/>
    </row>
    <row r="57744" spans="1:2" x14ac:dyDescent="0.25">
      <c r="A57744" s="118"/>
      <c r="B57744" s="136"/>
    </row>
    <row r="57745" spans="1:2" x14ac:dyDescent="0.25">
      <c r="A57745" s="118"/>
      <c r="B57745" s="136"/>
    </row>
    <row r="57746" spans="1:2" x14ac:dyDescent="0.25">
      <c r="A57746" s="118"/>
      <c r="B57746" s="136"/>
    </row>
    <row r="57747" spans="1:2" x14ac:dyDescent="0.25">
      <c r="A57747" s="118"/>
      <c r="B57747" s="136"/>
    </row>
    <row r="57748" spans="1:2" x14ac:dyDescent="0.25">
      <c r="A57748" s="118"/>
      <c r="B57748" s="136"/>
    </row>
    <row r="57749" spans="1:2" x14ac:dyDescent="0.25">
      <c r="A57749" s="118"/>
      <c r="B57749" s="136"/>
    </row>
    <row r="57750" spans="1:2" x14ac:dyDescent="0.25">
      <c r="A57750" s="118"/>
      <c r="B57750" s="136"/>
    </row>
    <row r="57751" spans="1:2" x14ac:dyDescent="0.25">
      <c r="A57751" s="118"/>
      <c r="B57751" s="136"/>
    </row>
    <row r="57752" spans="1:2" x14ac:dyDescent="0.25">
      <c r="A57752" s="118"/>
      <c r="B57752" s="136"/>
    </row>
    <row r="57753" spans="1:2" x14ac:dyDescent="0.25">
      <c r="A57753" s="118"/>
      <c r="B57753" s="136"/>
    </row>
    <row r="57754" spans="1:2" x14ac:dyDescent="0.25">
      <c r="A57754" s="118"/>
      <c r="B57754" s="136"/>
    </row>
    <row r="57755" spans="1:2" x14ac:dyDescent="0.25">
      <c r="A57755" s="118"/>
      <c r="B57755" s="136"/>
    </row>
    <row r="57756" spans="1:2" x14ac:dyDescent="0.25">
      <c r="A57756" s="118"/>
      <c r="B57756" s="136"/>
    </row>
    <row r="57757" spans="1:2" x14ac:dyDescent="0.25">
      <c r="A57757" s="118"/>
      <c r="B57757" s="136"/>
    </row>
    <row r="57758" spans="1:2" x14ac:dyDescent="0.25">
      <c r="A57758" s="118"/>
      <c r="B57758" s="136"/>
    </row>
    <row r="57759" spans="1:2" x14ac:dyDescent="0.25">
      <c r="A57759" s="118"/>
      <c r="B57759" s="136"/>
    </row>
    <row r="57760" spans="1:2" x14ac:dyDescent="0.25">
      <c r="A57760" s="118"/>
      <c r="B57760" s="136"/>
    </row>
    <row r="57761" spans="1:2" x14ac:dyDescent="0.25">
      <c r="A57761" s="118"/>
      <c r="B57761" s="136"/>
    </row>
    <row r="57762" spans="1:2" x14ac:dyDescent="0.25">
      <c r="A57762" s="118"/>
      <c r="B57762" s="136"/>
    </row>
    <row r="57763" spans="1:2" x14ac:dyDescent="0.25">
      <c r="A57763" s="118"/>
      <c r="B57763" s="136"/>
    </row>
    <row r="57764" spans="1:2" x14ac:dyDescent="0.25">
      <c r="A57764" s="118"/>
      <c r="B57764" s="136"/>
    </row>
    <row r="57765" spans="1:2" x14ac:dyDescent="0.25">
      <c r="A57765" s="118"/>
      <c r="B57765" s="136"/>
    </row>
    <row r="57766" spans="1:2" x14ac:dyDescent="0.25">
      <c r="A57766" s="118"/>
      <c r="B57766" s="136"/>
    </row>
    <row r="57767" spans="1:2" x14ac:dyDescent="0.25">
      <c r="A57767" s="118"/>
      <c r="B57767" s="136"/>
    </row>
    <row r="57768" spans="1:2" x14ac:dyDescent="0.25">
      <c r="A57768" s="118"/>
      <c r="B57768" s="136"/>
    </row>
    <row r="57769" spans="1:2" x14ac:dyDescent="0.25">
      <c r="A57769" s="118"/>
      <c r="B57769" s="136"/>
    </row>
    <row r="57770" spans="1:2" x14ac:dyDescent="0.25">
      <c r="A57770" s="118"/>
      <c r="B57770" s="136"/>
    </row>
    <row r="57771" spans="1:2" x14ac:dyDescent="0.25">
      <c r="A57771" s="118"/>
      <c r="B57771" s="136"/>
    </row>
    <row r="57772" spans="1:2" x14ac:dyDescent="0.25">
      <c r="A57772" s="118"/>
      <c r="B57772" s="136"/>
    </row>
    <row r="57773" spans="1:2" x14ac:dyDescent="0.25">
      <c r="A57773" s="118"/>
      <c r="B57773" s="136"/>
    </row>
    <row r="57774" spans="1:2" x14ac:dyDescent="0.25">
      <c r="A57774" s="118"/>
      <c r="B57774" s="136"/>
    </row>
    <row r="57775" spans="1:2" x14ac:dyDescent="0.25">
      <c r="A57775" s="118"/>
      <c r="B57775" s="136"/>
    </row>
    <row r="57776" spans="1:2" x14ac:dyDescent="0.25">
      <c r="A57776" s="118"/>
      <c r="B57776" s="136"/>
    </row>
    <row r="57777" spans="1:2" x14ac:dyDescent="0.25">
      <c r="A57777" s="118"/>
      <c r="B57777" s="136"/>
    </row>
    <row r="57778" spans="1:2" x14ac:dyDescent="0.25">
      <c r="A57778" s="118"/>
      <c r="B57778" s="136"/>
    </row>
    <row r="57779" spans="1:2" x14ac:dyDescent="0.25">
      <c r="A57779" s="118"/>
      <c r="B57779" s="136"/>
    </row>
    <row r="57780" spans="1:2" x14ac:dyDescent="0.25">
      <c r="A57780" s="118"/>
      <c r="B57780" s="136"/>
    </row>
    <row r="57781" spans="1:2" x14ac:dyDescent="0.25">
      <c r="A57781" s="118"/>
      <c r="B57781" s="136"/>
    </row>
    <row r="57782" spans="1:2" x14ac:dyDescent="0.25">
      <c r="A57782" s="118"/>
      <c r="B57782" s="136"/>
    </row>
    <row r="57783" spans="1:2" x14ac:dyDescent="0.25">
      <c r="A57783" s="118"/>
      <c r="B57783" s="136"/>
    </row>
    <row r="57784" spans="1:2" x14ac:dyDescent="0.25">
      <c r="A57784" s="118"/>
      <c r="B57784" s="136"/>
    </row>
    <row r="57785" spans="1:2" x14ac:dyDescent="0.25">
      <c r="A57785" s="118"/>
      <c r="B57785" s="136"/>
    </row>
    <row r="57786" spans="1:2" x14ac:dyDescent="0.25">
      <c r="A57786" s="118"/>
      <c r="B57786" s="136"/>
    </row>
    <row r="57787" spans="1:2" x14ac:dyDescent="0.25">
      <c r="A57787" s="118"/>
      <c r="B57787" s="136"/>
    </row>
    <row r="57788" spans="1:2" x14ac:dyDescent="0.25">
      <c r="A57788" s="118"/>
      <c r="B57788" s="136"/>
    </row>
    <row r="57789" spans="1:2" x14ac:dyDescent="0.25">
      <c r="A57789" s="118"/>
      <c r="B57789" s="136"/>
    </row>
    <row r="57790" spans="1:2" x14ac:dyDescent="0.25">
      <c r="A57790" s="118"/>
      <c r="B57790" s="136"/>
    </row>
    <row r="57791" spans="1:2" x14ac:dyDescent="0.25">
      <c r="A57791" s="118"/>
      <c r="B57791" s="136"/>
    </row>
    <row r="57792" spans="1:2" x14ac:dyDescent="0.25">
      <c r="A57792" s="118"/>
      <c r="B57792" s="136"/>
    </row>
    <row r="57793" spans="1:2" x14ac:dyDescent="0.25">
      <c r="A57793" s="118"/>
      <c r="B57793" s="136"/>
    </row>
    <row r="57794" spans="1:2" x14ac:dyDescent="0.25">
      <c r="A57794" s="118"/>
      <c r="B57794" s="136"/>
    </row>
    <row r="57795" spans="1:2" x14ac:dyDescent="0.25">
      <c r="A57795" s="118"/>
      <c r="B57795" s="136"/>
    </row>
    <row r="57796" spans="1:2" x14ac:dyDescent="0.25">
      <c r="A57796" s="118"/>
      <c r="B57796" s="136"/>
    </row>
    <row r="57797" spans="1:2" x14ac:dyDescent="0.25">
      <c r="A57797" s="118"/>
      <c r="B57797" s="136"/>
    </row>
    <row r="57798" spans="1:2" x14ac:dyDescent="0.25">
      <c r="A57798" s="118"/>
      <c r="B57798" s="136"/>
    </row>
    <row r="57799" spans="1:2" x14ac:dyDescent="0.25">
      <c r="A57799" s="118"/>
      <c r="B57799" s="136"/>
    </row>
    <row r="57800" spans="1:2" x14ac:dyDescent="0.25">
      <c r="A57800" s="118"/>
      <c r="B57800" s="136"/>
    </row>
    <row r="57801" spans="1:2" x14ac:dyDescent="0.25">
      <c r="A57801" s="118"/>
      <c r="B57801" s="136"/>
    </row>
    <row r="57802" spans="1:2" x14ac:dyDescent="0.25">
      <c r="A57802" s="118"/>
      <c r="B57802" s="136"/>
    </row>
    <row r="57803" spans="1:2" x14ac:dyDescent="0.25">
      <c r="A57803" s="118"/>
      <c r="B57803" s="136"/>
    </row>
    <row r="57804" spans="1:2" x14ac:dyDescent="0.25">
      <c r="A57804" s="118"/>
      <c r="B57804" s="136"/>
    </row>
    <row r="57805" spans="1:2" x14ac:dyDescent="0.25">
      <c r="A57805" s="118"/>
      <c r="B57805" s="136"/>
    </row>
    <row r="57806" spans="1:2" x14ac:dyDescent="0.25">
      <c r="A57806" s="118"/>
      <c r="B57806" s="136"/>
    </row>
    <row r="57807" spans="1:2" x14ac:dyDescent="0.25">
      <c r="A57807" s="118"/>
      <c r="B57807" s="136"/>
    </row>
    <row r="57808" spans="1:2" x14ac:dyDescent="0.25">
      <c r="A57808" s="118"/>
      <c r="B57808" s="136"/>
    </row>
    <row r="57809" spans="1:2" x14ac:dyDescent="0.25">
      <c r="A57809" s="118"/>
      <c r="B57809" s="136"/>
    </row>
    <row r="57810" spans="1:2" x14ac:dyDescent="0.25">
      <c r="A57810" s="118"/>
      <c r="B57810" s="136"/>
    </row>
    <row r="57811" spans="1:2" x14ac:dyDescent="0.25">
      <c r="A57811" s="118"/>
      <c r="B57811" s="136"/>
    </row>
    <row r="57812" spans="1:2" x14ac:dyDescent="0.25">
      <c r="A57812" s="118"/>
      <c r="B57812" s="136"/>
    </row>
    <row r="57813" spans="1:2" x14ac:dyDescent="0.25">
      <c r="A57813" s="118"/>
      <c r="B57813" s="136"/>
    </row>
    <row r="57814" spans="1:2" x14ac:dyDescent="0.25">
      <c r="A57814" s="118"/>
      <c r="B57814" s="136"/>
    </row>
    <row r="57815" spans="1:2" x14ac:dyDescent="0.25">
      <c r="A57815" s="118"/>
      <c r="B57815" s="136"/>
    </row>
    <row r="57816" spans="1:2" x14ac:dyDescent="0.25">
      <c r="A57816" s="118"/>
      <c r="B57816" s="136"/>
    </row>
    <row r="57817" spans="1:2" x14ac:dyDescent="0.25">
      <c r="A57817" s="118"/>
      <c r="B57817" s="136"/>
    </row>
    <row r="57818" spans="1:2" x14ac:dyDescent="0.25">
      <c r="A57818" s="118"/>
      <c r="B57818" s="136"/>
    </row>
    <row r="57819" spans="1:2" x14ac:dyDescent="0.25">
      <c r="A57819" s="118"/>
      <c r="B57819" s="136"/>
    </row>
    <row r="57820" spans="1:2" x14ac:dyDescent="0.25">
      <c r="A57820" s="118"/>
      <c r="B57820" s="136"/>
    </row>
    <row r="57821" spans="1:2" x14ac:dyDescent="0.25">
      <c r="A57821" s="118"/>
      <c r="B57821" s="136"/>
    </row>
    <row r="57822" spans="1:2" x14ac:dyDescent="0.25">
      <c r="A57822" s="118"/>
      <c r="B57822" s="136"/>
    </row>
    <row r="57823" spans="1:2" x14ac:dyDescent="0.25">
      <c r="A57823" s="118"/>
      <c r="B57823" s="136"/>
    </row>
    <row r="57824" spans="1:2" x14ac:dyDescent="0.25">
      <c r="A57824" s="118"/>
      <c r="B57824" s="136"/>
    </row>
    <row r="57825" spans="1:2" x14ac:dyDescent="0.25">
      <c r="A57825" s="118"/>
      <c r="B57825" s="136"/>
    </row>
    <row r="57826" spans="1:2" x14ac:dyDescent="0.25">
      <c r="A57826" s="118"/>
      <c r="B57826" s="136"/>
    </row>
    <row r="57827" spans="1:2" x14ac:dyDescent="0.25">
      <c r="A57827" s="118"/>
      <c r="B57827" s="136"/>
    </row>
    <row r="57828" spans="1:2" x14ac:dyDescent="0.25">
      <c r="A57828" s="118"/>
      <c r="B57828" s="136"/>
    </row>
    <row r="57829" spans="1:2" x14ac:dyDescent="0.25">
      <c r="A57829" s="118"/>
      <c r="B57829" s="136"/>
    </row>
    <row r="57830" spans="1:2" x14ac:dyDescent="0.25">
      <c r="A57830" s="118"/>
      <c r="B57830" s="136"/>
    </row>
    <row r="57831" spans="1:2" x14ac:dyDescent="0.25">
      <c r="A57831" s="118"/>
      <c r="B57831" s="136"/>
    </row>
    <row r="57832" spans="1:2" x14ac:dyDescent="0.25">
      <c r="A57832" s="118"/>
      <c r="B57832" s="136"/>
    </row>
    <row r="57833" spans="1:2" x14ac:dyDescent="0.25">
      <c r="A57833" s="118"/>
      <c r="B57833" s="136"/>
    </row>
    <row r="57834" spans="1:2" x14ac:dyDescent="0.25">
      <c r="A57834" s="118"/>
      <c r="B57834" s="136"/>
    </row>
    <row r="57835" spans="1:2" x14ac:dyDescent="0.25">
      <c r="A57835" s="118"/>
      <c r="B57835" s="136"/>
    </row>
    <row r="57836" spans="1:2" x14ac:dyDescent="0.25">
      <c r="A57836" s="118"/>
      <c r="B57836" s="136"/>
    </row>
    <row r="57837" spans="1:2" x14ac:dyDescent="0.25">
      <c r="A57837" s="118"/>
      <c r="B57837" s="136"/>
    </row>
    <row r="57838" spans="1:2" x14ac:dyDescent="0.25">
      <c r="A57838" s="118"/>
      <c r="B57838" s="136"/>
    </row>
    <row r="57839" spans="1:2" x14ac:dyDescent="0.25">
      <c r="A57839" s="118"/>
      <c r="B57839" s="136"/>
    </row>
    <row r="57840" spans="1:2" x14ac:dyDescent="0.25">
      <c r="A57840" s="118"/>
      <c r="B57840" s="136"/>
    </row>
    <row r="57841" spans="1:2" x14ac:dyDescent="0.25">
      <c r="A57841" s="118"/>
      <c r="B57841" s="136"/>
    </row>
    <row r="57842" spans="1:2" x14ac:dyDescent="0.25">
      <c r="A57842" s="118"/>
      <c r="B57842" s="136"/>
    </row>
    <row r="57843" spans="1:2" x14ac:dyDescent="0.25">
      <c r="A57843" s="118"/>
      <c r="B57843" s="136"/>
    </row>
    <row r="57844" spans="1:2" x14ac:dyDescent="0.25">
      <c r="A57844" s="118"/>
      <c r="B57844" s="136"/>
    </row>
    <row r="57845" spans="1:2" x14ac:dyDescent="0.25">
      <c r="A57845" s="118"/>
      <c r="B57845" s="136"/>
    </row>
    <row r="57846" spans="1:2" x14ac:dyDescent="0.25">
      <c r="A57846" s="118"/>
      <c r="B57846" s="136"/>
    </row>
    <row r="57847" spans="1:2" x14ac:dyDescent="0.25">
      <c r="A57847" s="118"/>
      <c r="B57847" s="136"/>
    </row>
    <row r="57848" spans="1:2" x14ac:dyDescent="0.25">
      <c r="A57848" s="118"/>
      <c r="B57848" s="136"/>
    </row>
    <row r="57849" spans="1:2" x14ac:dyDescent="0.25">
      <c r="A57849" s="118"/>
      <c r="B57849" s="136"/>
    </row>
    <row r="57850" spans="1:2" x14ac:dyDescent="0.25">
      <c r="A57850" s="118"/>
      <c r="B57850" s="136"/>
    </row>
    <row r="57851" spans="1:2" x14ac:dyDescent="0.25">
      <c r="A57851" s="118"/>
      <c r="B57851" s="136"/>
    </row>
    <row r="57852" spans="1:2" x14ac:dyDescent="0.25">
      <c r="A57852" s="118"/>
      <c r="B57852" s="136"/>
    </row>
    <row r="57853" spans="1:2" x14ac:dyDescent="0.25">
      <c r="A57853" s="118"/>
      <c r="B57853" s="136"/>
    </row>
    <row r="57854" spans="1:2" x14ac:dyDescent="0.25">
      <c r="A57854" s="118"/>
      <c r="B57854" s="136"/>
    </row>
    <row r="57855" spans="1:2" x14ac:dyDescent="0.25">
      <c r="A57855" s="118"/>
      <c r="B57855" s="136"/>
    </row>
    <row r="57856" spans="1:2" x14ac:dyDescent="0.25">
      <c r="A57856" s="118"/>
      <c r="B57856" s="136"/>
    </row>
    <row r="57857" spans="1:2" x14ac:dyDescent="0.25">
      <c r="A57857" s="118"/>
      <c r="B57857" s="136"/>
    </row>
    <row r="57858" spans="1:2" x14ac:dyDescent="0.25">
      <c r="A57858" s="118"/>
      <c r="B57858" s="136"/>
    </row>
    <row r="57859" spans="1:2" x14ac:dyDescent="0.25">
      <c r="A57859" s="118"/>
      <c r="B57859" s="136"/>
    </row>
    <row r="57860" spans="1:2" x14ac:dyDescent="0.25">
      <c r="A57860" s="118"/>
      <c r="B57860" s="136"/>
    </row>
    <row r="57861" spans="1:2" x14ac:dyDescent="0.25">
      <c r="A57861" s="118"/>
      <c r="B57861" s="136"/>
    </row>
    <row r="57862" spans="1:2" x14ac:dyDescent="0.25">
      <c r="A57862" s="118"/>
      <c r="B57862" s="136"/>
    </row>
    <row r="57863" spans="1:2" x14ac:dyDescent="0.25">
      <c r="A57863" s="118"/>
      <c r="B57863" s="136"/>
    </row>
    <row r="57864" spans="1:2" x14ac:dyDescent="0.25">
      <c r="A57864" s="118"/>
      <c r="B57864" s="136"/>
    </row>
    <row r="57865" spans="1:2" x14ac:dyDescent="0.25">
      <c r="A57865" s="118"/>
      <c r="B57865" s="136"/>
    </row>
    <row r="57866" spans="1:2" x14ac:dyDescent="0.25">
      <c r="A57866" s="118"/>
      <c r="B57866" s="136"/>
    </row>
    <row r="57867" spans="1:2" x14ac:dyDescent="0.25">
      <c r="A57867" s="118"/>
      <c r="B57867" s="136"/>
    </row>
    <row r="57868" spans="1:2" x14ac:dyDescent="0.25">
      <c r="A57868" s="118"/>
      <c r="B57868" s="136"/>
    </row>
    <row r="57869" spans="1:2" x14ac:dyDescent="0.25">
      <c r="A57869" s="118"/>
      <c r="B57869" s="136"/>
    </row>
    <row r="57870" spans="1:2" x14ac:dyDescent="0.25">
      <c r="A57870" s="118"/>
      <c r="B57870" s="136"/>
    </row>
    <row r="57871" spans="1:2" x14ac:dyDescent="0.25">
      <c r="A57871" s="118"/>
      <c r="B57871" s="136"/>
    </row>
    <row r="57872" spans="1:2" x14ac:dyDescent="0.25">
      <c r="A57872" s="118"/>
      <c r="B57872" s="136"/>
    </row>
    <row r="57873" spans="1:2" x14ac:dyDescent="0.25">
      <c r="A57873" s="118"/>
      <c r="B57873" s="136"/>
    </row>
    <row r="57874" spans="1:2" x14ac:dyDescent="0.25">
      <c r="A57874" s="118"/>
      <c r="B57874" s="136"/>
    </row>
    <row r="57875" spans="1:2" x14ac:dyDescent="0.25">
      <c r="A57875" s="118"/>
      <c r="B57875" s="136"/>
    </row>
    <row r="57876" spans="1:2" x14ac:dyDescent="0.25">
      <c r="A57876" s="118"/>
      <c r="B57876" s="136"/>
    </row>
    <row r="57877" spans="1:2" x14ac:dyDescent="0.25">
      <c r="A57877" s="118"/>
      <c r="B57877" s="136"/>
    </row>
    <row r="57878" spans="1:2" x14ac:dyDescent="0.25">
      <c r="A57878" s="118"/>
      <c r="B57878" s="136"/>
    </row>
    <row r="57879" spans="1:2" x14ac:dyDescent="0.25">
      <c r="A57879" s="118"/>
      <c r="B57879" s="136"/>
    </row>
    <row r="57880" spans="1:2" x14ac:dyDescent="0.25">
      <c r="A57880" s="118"/>
      <c r="B57880" s="136"/>
    </row>
    <row r="57881" spans="1:2" x14ac:dyDescent="0.25">
      <c r="A57881" s="118"/>
      <c r="B57881" s="136"/>
    </row>
    <row r="57882" spans="1:2" x14ac:dyDescent="0.25">
      <c r="A57882" s="118"/>
      <c r="B57882" s="136"/>
    </row>
    <row r="57883" spans="1:2" x14ac:dyDescent="0.25">
      <c r="A57883" s="118"/>
      <c r="B57883" s="136"/>
    </row>
    <row r="57884" spans="1:2" x14ac:dyDescent="0.25">
      <c r="A57884" s="118"/>
      <c r="B57884" s="136"/>
    </row>
    <row r="57885" spans="1:2" x14ac:dyDescent="0.25">
      <c r="A57885" s="118"/>
      <c r="B57885" s="136"/>
    </row>
    <row r="57886" spans="1:2" x14ac:dyDescent="0.25">
      <c r="A57886" s="118"/>
      <c r="B57886" s="136"/>
    </row>
    <row r="57887" spans="1:2" x14ac:dyDescent="0.25">
      <c r="A57887" s="118"/>
      <c r="B57887" s="136"/>
    </row>
    <row r="57888" spans="1:2" x14ac:dyDescent="0.25">
      <c r="A57888" s="118"/>
      <c r="B57888" s="136"/>
    </row>
    <row r="57889" spans="1:2" x14ac:dyDescent="0.25">
      <c r="A57889" s="118"/>
      <c r="B57889" s="136"/>
    </row>
    <row r="57890" spans="1:2" x14ac:dyDescent="0.25">
      <c r="A57890" s="118"/>
      <c r="B57890" s="136"/>
    </row>
    <row r="57891" spans="1:2" x14ac:dyDescent="0.25">
      <c r="A57891" s="118"/>
      <c r="B57891" s="136"/>
    </row>
    <row r="57892" spans="1:2" x14ac:dyDescent="0.25">
      <c r="A57892" s="118"/>
      <c r="B57892" s="136"/>
    </row>
    <row r="57893" spans="1:2" x14ac:dyDescent="0.25">
      <c r="A57893" s="118"/>
      <c r="B57893" s="136"/>
    </row>
    <row r="57894" spans="1:2" x14ac:dyDescent="0.25">
      <c r="A57894" s="118"/>
      <c r="B57894" s="136"/>
    </row>
    <row r="57895" spans="1:2" x14ac:dyDescent="0.25">
      <c r="A57895" s="118"/>
      <c r="B57895" s="136"/>
    </row>
    <row r="57896" spans="1:2" x14ac:dyDescent="0.25">
      <c r="A57896" s="118"/>
      <c r="B57896" s="136"/>
    </row>
    <row r="57897" spans="1:2" x14ac:dyDescent="0.25">
      <c r="A57897" s="118"/>
      <c r="B57897" s="136"/>
    </row>
    <row r="57898" spans="1:2" x14ac:dyDescent="0.25">
      <c r="A57898" s="118"/>
      <c r="B57898" s="136"/>
    </row>
    <row r="57899" spans="1:2" x14ac:dyDescent="0.25">
      <c r="A57899" s="118"/>
      <c r="B57899" s="136"/>
    </row>
    <row r="57900" spans="1:2" x14ac:dyDescent="0.25">
      <c r="A57900" s="118"/>
      <c r="B57900" s="136"/>
    </row>
    <row r="57901" spans="1:2" x14ac:dyDescent="0.25">
      <c r="A57901" s="118"/>
      <c r="B57901" s="136"/>
    </row>
    <row r="57902" spans="1:2" x14ac:dyDescent="0.25">
      <c r="A57902" s="118"/>
      <c r="B57902" s="136"/>
    </row>
    <row r="57903" spans="1:2" x14ac:dyDescent="0.25">
      <c r="A57903" s="118"/>
      <c r="B57903" s="136"/>
    </row>
    <row r="57904" spans="1:2" x14ac:dyDescent="0.25">
      <c r="A57904" s="118"/>
      <c r="B57904" s="136"/>
    </row>
    <row r="57905" spans="1:2" x14ac:dyDescent="0.25">
      <c r="A57905" s="118"/>
      <c r="B57905" s="136"/>
    </row>
    <row r="57906" spans="1:2" x14ac:dyDescent="0.25">
      <c r="A57906" s="118"/>
      <c r="B57906" s="136"/>
    </row>
    <row r="57907" spans="1:2" x14ac:dyDescent="0.25">
      <c r="A57907" s="118"/>
      <c r="B57907" s="136"/>
    </row>
    <row r="57908" spans="1:2" x14ac:dyDescent="0.25">
      <c r="A57908" s="118"/>
      <c r="B57908" s="136"/>
    </row>
    <row r="57909" spans="1:2" x14ac:dyDescent="0.25">
      <c r="A57909" s="118"/>
      <c r="B57909" s="136"/>
    </row>
    <row r="57910" spans="1:2" x14ac:dyDescent="0.25">
      <c r="A57910" s="118"/>
      <c r="B57910" s="136"/>
    </row>
    <row r="57911" spans="1:2" x14ac:dyDescent="0.25">
      <c r="A57911" s="118"/>
      <c r="B57911" s="136"/>
    </row>
    <row r="57912" spans="1:2" x14ac:dyDescent="0.25">
      <c r="A57912" s="118"/>
      <c r="B57912" s="136"/>
    </row>
    <row r="57913" spans="1:2" x14ac:dyDescent="0.25">
      <c r="A57913" s="118"/>
      <c r="B57913" s="136"/>
    </row>
    <row r="57914" spans="1:2" x14ac:dyDescent="0.25">
      <c r="A57914" s="118"/>
      <c r="B57914" s="136"/>
    </row>
    <row r="57915" spans="1:2" x14ac:dyDescent="0.25">
      <c r="A57915" s="118"/>
      <c r="B57915" s="136"/>
    </row>
    <row r="57916" spans="1:2" x14ac:dyDescent="0.25">
      <c r="A57916" s="118"/>
      <c r="B57916" s="136"/>
    </row>
    <row r="57917" spans="1:2" x14ac:dyDescent="0.25">
      <c r="A57917" s="118"/>
      <c r="B57917" s="136"/>
    </row>
    <row r="57918" spans="1:2" x14ac:dyDescent="0.25">
      <c r="A57918" s="118"/>
      <c r="B57918" s="136"/>
    </row>
    <row r="57919" spans="1:2" x14ac:dyDescent="0.25">
      <c r="A57919" s="118"/>
      <c r="B57919" s="136"/>
    </row>
    <row r="57920" spans="1:2" x14ac:dyDescent="0.25">
      <c r="A57920" s="118"/>
      <c r="B57920" s="136"/>
    </row>
    <row r="57921" spans="1:2" x14ac:dyDescent="0.25">
      <c r="A57921" s="118"/>
      <c r="B57921" s="136"/>
    </row>
    <row r="57922" spans="1:2" x14ac:dyDescent="0.25">
      <c r="A57922" s="118"/>
      <c r="B57922" s="136"/>
    </row>
    <row r="57923" spans="1:2" x14ac:dyDescent="0.25">
      <c r="A57923" s="118"/>
      <c r="B57923" s="136"/>
    </row>
    <row r="57924" spans="1:2" x14ac:dyDescent="0.25">
      <c r="A57924" s="118"/>
      <c r="B57924" s="136"/>
    </row>
    <row r="57925" spans="1:2" x14ac:dyDescent="0.25">
      <c r="A57925" s="118"/>
      <c r="B57925" s="136"/>
    </row>
    <row r="57926" spans="1:2" x14ac:dyDescent="0.25">
      <c r="A57926" s="118"/>
      <c r="B57926" s="136"/>
    </row>
    <row r="57927" spans="1:2" x14ac:dyDescent="0.25">
      <c r="A57927" s="118"/>
      <c r="B57927" s="136"/>
    </row>
    <row r="57928" spans="1:2" x14ac:dyDescent="0.25">
      <c r="A57928" s="118"/>
      <c r="B57928" s="136"/>
    </row>
    <row r="57929" spans="1:2" x14ac:dyDescent="0.25">
      <c r="A57929" s="118"/>
      <c r="B57929" s="136"/>
    </row>
    <row r="57930" spans="1:2" x14ac:dyDescent="0.25">
      <c r="A57930" s="118"/>
      <c r="B57930" s="136"/>
    </row>
    <row r="57931" spans="1:2" x14ac:dyDescent="0.25">
      <c r="A57931" s="118"/>
      <c r="B57931" s="136"/>
    </row>
    <row r="57932" spans="1:2" x14ac:dyDescent="0.25">
      <c r="A57932" s="118"/>
      <c r="B57932" s="136"/>
    </row>
    <row r="57933" spans="1:2" x14ac:dyDescent="0.25">
      <c r="A57933" s="118"/>
      <c r="B57933" s="136"/>
    </row>
    <row r="57934" spans="1:2" x14ac:dyDescent="0.25">
      <c r="A57934" s="118"/>
      <c r="B57934" s="136"/>
    </row>
    <row r="57935" spans="1:2" x14ac:dyDescent="0.25">
      <c r="A57935" s="118"/>
      <c r="B57935" s="136"/>
    </row>
    <row r="57936" spans="1:2" x14ac:dyDescent="0.25">
      <c r="A57936" s="118"/>
      <c r="B57936" s="136"/>
    </row>
    <row r="57937" spans="1:2" x14ac:dyDescent="0.25">
      <c r="A57937" s="118"/>
      <c r="B57937" s="136"/>
    </row>
    <row r="57938" spans="1:2" x14ac:dyDescent="0.25">
      <c r="A57938" s="118"/>
      <c r="B57938" s="136"/>
    </row>
    <row r="57939" spans="1:2" x14ac:dyDescent="0.25">
      <c r="A57939" s="118"/>
      <c r="B57939" s="136"/>
    </row>
    <row r="57940" spans="1:2" x14ac:dyDescent="0.25">
      <c r="A57940" s="118"/>
      <c r="B57940" s="136"/>
    </row>
    <row r="57941" spans="1:2" x14ac:dyDescent="0.25">
      <c r="A57941" s="118"/>
      <c r="B57941" s="136"/>
    </row>
    <row r="57942" spans="1:2" x14ac:dyDescent="0.25">
      <c r="A57942" s="118"/>
      <c r="B57942" s="136"/>
    </row>
    <row r="57943" spans="1:2" x14ac:dyDescent="0.25">
      <c r="A57943" s="118"/>
      <c r="B57943" s="136"/>
    </row>
    <row r="57944" spans="1:2" x14ac:dyDescent="0.25">
      <c r="A57944" s="118"/>
      <c r="B57944" s="136"/>
    </row>
    <row r="57945" spans="1:2" x14ac:dyDescent="0.25">
      <c r="A57945" s="118"/>
      <c r="B57945" s="136"/>
    </row>
    <row r="57946" spans="1:2" x14ac:dyDescent="0.25">
      <c r="A57946" s="118"/>
      <c r="B57946" s="136"/>
    </row>
    <row r="57947" spans="1:2" x14ac:dyDescent="0.25">
      <c r="A57947" s="118"/>
      <c r="B57947" s="136"/>
    </row>
    <row r="57948" spans="1:2" x14ac:dyDescent="0.25">
      <c r="A57948" s="118"/>
      <c r="B57948" s="136"/>
    </row>
    <row r="57949" spans="1:2" x14ac:dyDescent="0.25">
      <c r="A57949" s="118"/>
      <c r="B57949" s="136"/>
    </row>
    <row r="57950" spans="1:2" x14ac:dyDescent="0.25">
      <c r="A57950" s="118"/>
      <c r="B57950" s="136"/>
    </row>
    <row r="57951" spans="1:2" x14ac:dyDescent="0.25">
      <c r="A57951" s="118"/>
      <c r="B57951" s="136"/>
    </row>
    <row r="57952" spans="1:2" x14ac:dyDescent="0.25">
      <c r="A57952" s="118"/>
      <c r="B57952" s="136"/>
    </row>
    <row r="57953" spans="1:2" x14ac:dyDescent="0.25">
      <c r="A57953" s="118"/>
      <c r="B57953" s="136"/>
    </row>
    <row r="57954" spans="1:2" x14ac:dyDescent="0.25">
      <c r="A57954" s="118"/>
      <c r="B57954" s="136"/>
    </row>
    <row r="57955" spans="1:2" x14ac:dyDescent="0.25">
      <c r="A57955" s="118"/>
      <c r="B57955" s="136"/>
    </row>
    <row r="57956" spans="1:2" x14ac:dyDescent="0.25">
      <c r="A57956" s="118"/>
      <c r="B57956" s="136"/>
    </row>
    <row r="57957" spans="1:2" x14ac:dyDescent="0.25">
      <c r="A57957" s="118"/>
      <c r="B57957" s="136"/>
    </row>
    <row r="57958" spans="1:2" x14ac:dyDescent="0.25">
      <c r="A57958" s="118"/>
      <c r="B57958" s="136"/>
    </row>
    <row r="57959" spans="1:2" x14ac:dyDescent="0.25">
      <c r="A57959" s="118"/>
      <c r="B57959" s="136"/>
    </row>
    <row r="57960" spans="1:2" x14ac:dyDescent="0.25">
      <c r="A57960" s="118"/>
      <c r="B57960" s="136"/>
    </row>
    <row r="57961" spans="1:2" x14ac:dyDescent="0.25">
      <c r="A57961" s="118"/>
      <c r="B57961" s="136"/>
    </row>
    <row r="57962" spans="1:2" x14ac:dyDescent="0.25">
      <c r="A57962" s="118"/>
      <c r="B57962" s="136"/>
    </row>
    <row r="57963" spans="1:2" x14ac:dyDescent="0.25">
      <c r="A57963" s="118"/>
      <c r="B57963" s="136"/>
    </row>
    <row r="57964" spans="1:2" x14ac:dyDescent="0.25">
      <c r="A57964" s="118"/>
      <c r="B57964" s="136"/>
    </row>
    <row r="57965" spans="1:2" x14ac:dyDescent="0.25">
      <c r="A57965" s="118"/>
      <c r="B57965" s="136"/>
    </row>
    <row r="57966" spans="1:2" x14ac:dyDescent="0.25">
      <c r="A57966" s="118"/>
      <c r="B57966" s="136"/>
    </row>
    <row r="57967" spans="1:2" x14ac:dyDescent="0.25">
      <c r="A57967" s="118"/>
      <c r="B57967" s="136"/>
    </row>
    <row r="57968" spans="1:2" x14ac:dyDescent="0.25">
      <c r="A57968" s="118"/>
      <c r="B57968" s="136"/>
    </row>
    <row r="57969" spans="1:2" x14ac:dyDescent="0.25">
      <c r="A57969" s="118"/>
      <c r="B57969" s="136"/>
    </row>
    <row r="57970" spans="1:2" x14ac:dyDescent="0.25">
      <c r="A57970" s="118"/>
      <c r="B57970" s="136"/>
    </row>
    <row r="57971" spans="1:2" x14ac:dyDescent="0.25">
      <c r="A57971" s="118"/>
      <c r="B57971" s="136"/>
    </row>
    <row r="57972" spans="1:2" x14ac:dyDescent="0.25">
      <c r="A57972" s="118"/>
      <c r="B57972" s="136"/>
    </row>
    <row r="57973" spans="1:2" x14ac:dyDescent="0.25">
      <c r="A57973" s="118"/>
      <c r="B57973" s="136"/>
    </row>
    <row r="57974" spans="1:2" x14ac:dyDescent="0.25">
      <c r="A57974" s="118"/>
      <c r="B57974" s="136"/>
    </row>
    <row r="57975" spans="1:2" x14ac:dyDescent="0.25">
      <c r="A57975" s="118"/>
      <c r="B57975" s="136"/>
    </row>
    <row r="57976" spans="1:2" x14ac:dyDescent="0.25">
      <c r="A57976" s="118"/>
      <c r="B57976" s="136"/>
    </row>
    <row r="57977" spans="1:2" x14ac:dyDescent="0.25">
      <c r="A57977" s="118"/>
      <c r="B57977" s="136"/>
    </row>
    <row r="57978" spans="1:2" x14ac:dyDescent="0.25">
      <c r="A57978" s="118"/>
      <c r="B57978" s="136"/>
    </row>
    <row r="57979" spans="1:2" x14ac:dyDescent="0.25">
      <c r="A57979" s="118"/>
      <c r="B57979" s="136"/>
    </row>
    <row r="57980" spans="1:2" x14ac:dyDescent="0.25">
      <c r="A57980" s="118"/>
      <c r="B57980" s="136"/>
    </row>
    <row r="57981" spans="1:2" x14ac:dyDescent="0.25">
      <c r="A57981" s="118"/>
      <c r="B57981" s="136"/>
    </row>
    <row r="57982" spans="1:2" x14ac:dyDescent="0.25">
      <c r="A57982" s="118"/>
      <c r="B57982" s="136"/>
    </row>
    <row r="57983" spans="1:2" x14ac:dyDescent="0.25">
      <c r="A57983" s="118"/>
      <c r="B57983" s="136"/>
    </row>
    <row r="57984" spans="1:2" x14ac:dyDescent="0.25">
      <c r="A57984" s="118"/>
      <c r="B57984" s="136"/>
    </row>
    <row r="57985" spans="1:2" x14ac:dyDescent="0.25">
      <c r="A57985" s="118"/>
      <c r="B57985" s="136"/>
    </row>
    <row r="57986" spans="1:2" x14ac:dyDescent="0.25">
      <c r="A57986" s="118"/>
      <c r="B57986" s="136"/>
    </row>
    <row r="57987" spans="1:2" x14ac:dyDescent="0.25">
      <c r="A57987" s="118"/>
      <c r="B57987" s="136"/>
    </row>
    <row r="57988" spans="1:2" x14ac:dyDescent="0.25">
      <c r="A57988" s="118"/>
      <c r="B57988" s="136"/>
    </row>
    <row r="57989" spans="1:2" x14ac:dyDescent="0.25">
      <c r="A57989" s="118"/>
      <c r="B57989" s="136"/>
    </row>
    <row r="57990" spans="1:2" x14ac:dyDescent="0.25">
      <c r="A57990" s="118"/>
      <c r="B57990" s="136"/>
    </row>
    <row r="57991" spans="1:2" x14ac:dyDescent="0.25">
      <c r="A57991" s="118"/>
      <c r="B57991" s="136"/>
    </row>
    <row r="57992" spans="1:2" x14ac:dyDescent="0.25">
      <c r="A57992" s="118"/>
      <c r="B57992" s="136"/>
    </row>
    <row r="57993" spans="1:2" x14ac:dyDescent="0.25">
      <c r="A57993" s="118"/>
      <c r="B57993" s="136"/>
    </row>
    <row r="57994" spans="1:2" x14ac:dyDescent="0.25">
      <c r="A57994" s="118"/>
      <c r="B57994" s="136"/>
    </row>
    <row r="57995" spans="1:2" x14ac:dyDescent="0.25">
      <c r="A57995" s="118"/>
      <c r="B57995" s="136"/>
    </row>
    <row r="57996" spans="1:2" x14ac:dyDescent="0.25">
      <c r="A57996" s="118"/>
      <c r="B57996" s="136"/>
    </row>
    <row r="57997" spans="1:2" x14ac:dyDescent="0.25">
      <c r="A57997" s="118"/>
      <c r="B57997" s="136"/>
    </row>
    <row r="57998" spans="1:2" x14ac:dyDescent="0.25">
      <c r="A57998" s="118"/>
      <c r="B57998" s="136"/>
    </row>
    <row r="57999" spans="1:2" x14ac:dyDescent="0.25">
      <c r="A57999" s="118"/>
      <c r="B57999" s="136"/>
    </row>
    <row r="58000" spans="1:2" x14ac:dyDescent="0.25">
      <c r="A58000" s="118"/>
      <c r="B58000" s="136"/>
    </row>
    <row r="58001" spans="1:2" x14ac:dyDescent="0.25">
      <c r="A58001" s="118"/>
      <c r="B58001" s="136"/>
    </row>
    <row r="58002" spans="1:2" x14ac:dyDescent="0.25">
      <c r="A58002" s="118"/>
      <c r="B58002" s="136"/>
    </row>
    <row r="58003" spans="1:2" x14ac:dyDescent="0.25">
      <c r="A58003" s="118"/>
      <c r="B58003" s="136"/>
    </row>
    <row r="58004" spans="1:2" x14ac:dyDescent="0.25">
      <c r="A58004" s="118"/>
      <c r="B58004" s="136"/>
    </row>
    <row r="58005" spans="1:2" x14ac:dyDescent="0.25">
      <c r="A58005" s="118"/>
      <c r="B58005" s="136"/>
    </row>
    <row r="58006" spans="1:2" x14ac:dyDescent="0.25">
      <c r="A58006" s="118"/>
      <c r="B58006" s="136"/>
    </row>
    <row r="58007" spans="1:2" x14ac:dyDescent="0.25">
      <c r="A58007" s="118"/>
      <c r="B58007" s="136"/>
    </row>
    <row r="58008" spans="1:2" x14ac:dyDescent="0.25">
      <c r="A58008" s="118"/>
      <c r="B58008" s="136"/>
    </row>
    <row r="58009" spans="1:2" x14ac:dyDescent="0.25">
      <c r="A58009" s="118"/>
      <c r="B58009" s="136"/>
    </row>
    <row r="58010" spans="1:2" x14ac:dyDescent="0.25">
      <c r="A58010" s="118"/>
      <c r="B58010" s="136"/>
    </row>
    <row r="58011" spans="1:2" x14ac:dyDescent="0.25">
      <c r="A58011" s="118"/>
      <c r="B58011" s="136"/>
    </row>
    <row r="58012" spans="1:2" x14ac:dyDescent="0.25">
      <c r="A58012" s="118"/>
      <c r="B58012" s="136"/>
    </row>
    <row r="58013" spans="1:2" x14ac:dyDescent="0.25">
      <c r="A58013" s="118"/>
      <c r="B58013" s="136"/>
    </row>
    <row r="58014" spans="1:2" x14ac:dyDescent="0.25">
      <c r="A58014" s="118"/>
      <c r="B58014" s="136"/>
    </row>
    <row r="58015" spans="1:2" x14ac:dyDescent="0.25">
      <c r="A58015" s="118"/>
      <c r="B58015" s="136"/>
    </row>
    <row r="58016" spans="1:2" x14ac:dyDescent="0.25">
      <c r="A58016" s="118"/>
      <c r="B58016" s="136"/>
    </row>
    <row r="58017" spans="1:2" x14ac:dyDescent="0.25">
      <c r="A58017" s="118"/>
      <c r="B58017" s="136"/>
    </row>
    <row r="58018" spans="1:2" x14ac:dyDescent="0.25">
      <c r="A58018" s="118"/>
      <c r="B58018" s="136"/>
    </row>
    <row r="58019" spans="1:2" x14ac:dyDescent="0.25">
      <c r="A58019" s="118"/>
      <c r="B58019" s="136"/>
    </row>
    <row r="58020" spans="1:2" x14ac:dyDescent="0.25">
      <c r="A58020" s="118"/>
      <c r="B58020" s="136"/>
    </row>
    <row r="58021" spans="1:2" x14ac:dyDescent="0.25">
      <c r="A58021" s="118"/>
      <c r="B58021" s="136"/>
    </row>
    <row r="58022" spans="1:2" x14ac:dyDescent="0.25">
      <c r="A58022" s="118"/>
      <c r="B58022" s="136"/>
    </row>
    <row r="58023" spans="1:2" x14ac:dyDescent="0.25">
      <c r="A58023" s="118"/>
      <c r="B58023" s="136"/>
    </row>
    <row r="58024" spans="1:2" x14ac:dyDescent="0.25">
      <c r="A58024" s="118"/>
      <c r="B58024" s="136"/>
    </row>
    <row r="58025" spans="1:2" x14ac:dyDescent="0.25">
      <c r="A58025" s="118"/>
      <c r="B58025" s="136"/>
    </row>
    <row r="58026" spans="1:2" x14ac:dyDescent="0.25">
      <c r="A58026" s="118"/>
      <c r="B58026" s="136"/>
    </row>
    <row r="58027" spans="1:2" x14ac:dyDescent="0.25">
      <c r="A58027" s="118"/>
      <c r="B58027" s="136"/>
    </row>
    <row r="58028" spans="1:2" x14ac:dyDescent="0.25">
      <c r="A58028" s="118"/>
      <c r="B58028" s="136"/>
    </row>
    <row r="58029" spans="1:2" x14ac:dyDescent="0.25">
      <c r="A58029" s="118"/>
      <c r="B58029" s="136"/>
    </row>
    <row r="58030" spans="1:2" x14ac:dyDescent="0.25">
      <c r="A58030" s="118"/>
      <c r="B58030" s="136"/>
    </row>
    <row r="58031" spans="1:2" x14ac:dyDescent="0.25">
      <c r="A58031" s="118"/>
      <c r="B58031" s="136"/>
    </row>
    <row r="58032" spans="1:2" x14ac:dyDescent="0.25">
      <c r="A58032" s="118"/>
      <c r="B58032" s="136"/>
    </row>
    <row r="58033" spans="1:2" x14ac:dyDescent="0.25">
      <c r="A58033" s="118"/>
      <c r="B58033" s="136"/>
    </row>
    <row r="58034" spans="1:2" x14ac:dyDescent="0.25">
      <c r="A58034" s="118"/>
      <c r="B58034" s="136"/>
    </row>
    <row r="58035" spans="1:2" x14ac:dyDescent="0.25">
      <c r="A58035" s="118"/>
      <c r="B58035" s="136"/>
    </row>
    <row r="58036" spans="1:2" x14ac:dyDescent="0.25">
      <c r="A58036" s="118"/>
      <c r="B58036" s="136"/>
    </row>
    <row r="58037" spans="1:2" x14ac:dyDescent="0.25">
      <c r="A58037" s="118"/>
      <c r="B58037" s="136"/>
    </row>
    <row r="58038" spans="1:2" x14ac:dyDescent="0.25">
      <c r="A58038" s="118"/>
      <c r="B58038" s="136"/>
    </row>
    <row r="58039" spans="1:2" x14ac:dyDescent="0.25">
      <c r="A58039" s="118"/>
      <c r="B58039" s="136"/>
    </row>
    <row r="58040" spans="1:2" x14ac:dyDescent="0.25">
      <c r="A58040" s="118"/>
      <c r="B58040" s="136"/>
    </row>
    <row r="58041" spans="1:2" x14ac:dyDescent="0.25">
      <c r="A58041" s="118"/>
      <c r="B58041" s="136"/>
    </row>
    <row r="58042" spans="1:2" x14ac:dyDescent="0.25">
      <c r="A58042" s="118"/>
      <c r="B58042" s="136"/>
    </row>
    <row r="58043" spans="1:2" x14ac:dyDescent="0.25">
      <c r="A58043" s="118"/>
      <c r="B58043" s="136"/>
    </row>
    <row r="58044" spans="1:2" x14ac:dyDescent="0.25">
      <c r="A58044" s="118"/>
      <c r="B58044" s="136"/>
    </row>
    <row r="58045" spans="1:2" x14ac:dyDescent="0.25">
      <c r="A58045" s="118"/>
      <c r="B58045" s="136"/>
    </row>
    <row r="58046" spans="1:2" x14ac:dyDescent="0.25">
      <c r="A58046" s="118"/>
      <c r="B58046" s="136"/>
    </row>
    <row r="58047" spans="1:2" x14ac:dyDescent="0.25">
      <c r="A58047" s="118"/>
      <c r="B58047" s="136"/>
    </row>
    <row r="58048" spans="1:2" x14ac:dyDescent="0.25">
      <c r="A58048" s="118"/>
      <c r="B58048" s="136"/>
    </row>
    <row r="58049" spans="1:2" x14ac:dyDescent="0.25">
      <c r="A58049" s="118"/>
      <c r="B58049" s="136"/>
    </row>
    <row r="58050" spans="1:2" x14ac:dyDescent="0.25">
      <c r="A58050" s="118"/>
      <c r="B58050" s="136"/>
    </row>
    <row r="58051" spans="1:2" x14ac:dyDescent="0.25">
      <c r="A58051" s="118"/>
      <c r="B58051" s="136"/>
    </row>
    <row r="58052" spans="1:2" x14ac:dyDescent="0.25">
      <c r="A58052" s="118"/>
      <c r="B58052" s="136"/>
    </row>
    <row r="58053" spans="1:2" x14ac:dyDescent="0.25">
      <c r="A58053" s="118"/>
      <c r="B58053" s="136"/>
    </row>
    <row r="58054" spans="1:2" x14ac:dyDescent="0.25">
      <c r="A58054" s="118"/>
      <c r="B58054" s="136"/>
    </row>
    <row r="58055" spans="1:2" x14ac:dyDescent="0.25">
      <c r="A58055" s="118"/>
      <c r="B58055" s="136"/>
    </row>
    <row r="58056" spans="1:2" x14ac:dyDescent="0.25">
      <c r="A58056" s="118"/>
      <c r="B58056" s="136"/>
    </row>
    <row r="58057" spans="1:2" x14ac:dyDescent="0.25">
      <c r="A58057" s="118"/>
      <c r="B58057" s="136"/>
    </row>
    <row r="58058" spans="1:2" x14ac:dyDescent="0.25">
      <c r="A58058" s="118"/>
      <c r="B58058" s="136"/>
    </row>
    <row r="58059" spans="1:2" x14ac:dyDescent="0.25">
      <c r="A58059" s="118"/>
      <c r="B58059" s="136"/>
    </row>
    <row r="58060" spans="1:2" x14ac:dyDescent="0.25">
      <c r="A58060" s="118"/>
      <c r="B58060" s="136"/>
    </row>
    <row r="58061" spans="1:2" x14ac:dyDescent="0.25">
      <c r="A58061" s="118"/>
      <c r="B58061" s="136"/>
    </row>
    <row r="58062" spans="1:2" x14ac:dyDescent="0.25">
      <c r="A58062" s="118"/>
      <c r="B58062" s="136"/>
    </row>
    <row r="58063" spans="1:2" x14ac:dyDescent="0.25">
      <c r="A58063" s="118"/>
      <c r="B58063" s="136"/>
    </row>
    <row r="58064" spans="1:2" x14ac:dyDescent="0.25">
      <c r="A58064" s="118"/>
      <c r="B58064" s="136"/>
    </row>
    <row r="58065" spans="1:2" x14ac:dyDescent="0.25">
      <c r="A58065" s="118"/>
      <c r="B58065" s="136"/>
    </row>
    <row r="58066" spans="1:2" x14ac:dyDescent="0.25">
      <c r="A58066" s="118"/>
      <c r="B58066" s="136"/>
    </row>
    <row r="58067" spans="1:2" x14ac:dyDescent="0.25">
      <c r="A58067" s="118"/>
      <c r="B58067" s="136"/>
    </row>
    <row r="58068" spans="1:2" x14ac:dyDescent="0.25">
      <c r="A58068" s="118"/>
      <c r="B58068" s="136"/>
    </row>
    <row r="58069" spans="1:2" x14ac:dyDescent="0.25">
      <c r="A58069" s="118"/>
      <c r="B58069" s="136"/>
    </row>
    <row r="58070" spans="1:2" x14ac:dyDescent="0.25">
      <c r="A58070" s="118"/>
      <c r="B58070" s="136"/>
    </row>
    <row r="58071" spans="1:2" x14ac:dyDescent="0.25">
      <c r="A58071" s="118"/>
      <c r="B58071" s="136"/>
    </row>
    <row r="58072" spans="1:2" x14ac:dyDescent="0.25">
      <c r="A58072" s="118"/>
      <c r="B58072" s="136"/>
    </row>
    <row r="58073" spans="1:2" x14ac:dyDescent="0.25">
      <c r="A58073" s="118"/>
      <c r="B58073" s="136"/>
    </row>
    <row r="58074" spans="1:2" x14ac:dyDescent="0.25">
      <c r="A58074" s="118"/>
      <c r="B58074" s="136"/>
    </row>
    <row r="58075" spans="1:2" x14ac:dyDescent="0.25">
      <c r="A58075" s="118"/>
      <c r="B58075" s="136"/>
    </row>
    <row r="58076" spans="1:2" x14ac:dyDescent="0.25">
      <c r="A58076" s="118"/>
      <c r="B58076" s="136"/>
    </row>
    <row r="58077" spans="1:2" x14ac:dyDescent="0.25">
      <c r="A58077" s="118"/>
      <c r="B58077" s="136"/>
    </row>
    <row r="58078" spans="1:2" x14ac:dyDescent="0.25">
      <c r="A58078" s="118"/>
      <c r="B58078" s="136"/>
    </row>
    <row r="58079" spans="1:2" x14ac:dyDescent="0.25">
      <c r="A58079" s="118"/>
      <c r="B58079" s="136"/>
    </row>
    <row r="58080" spans="1:2" x14ac:dyDescent="0.25">
      <c r="A58080" s="118"/>
      <c r="B58080" s="136"/>
    </row>
    <row r="58081" spans="1:2" x14ac:dyDescent="0.25">
      <c r="A58081" s="118"/>
      <c r="B58081" s="136"/>
    </row>
    <row r="58082" spans="1:2" x14ac:dyDescent="0.25">
      <c r="A58082" s="118"/>
      <c r="B58082" s="136"/>
    </row>
    <row r="58083" spans="1:2" x14ac:dyDescent="0.25">
      <c r="A58083" s="118"/>
      <c r="B58083" s="136"/>
    </row>
    <row r="58084" spans="1:2" x14ac:dyDescent="0.25">
      <c r="A58084" s="118"/>
      <c r="B58084" s="136"/>
    </row>
    <row r="58085" spans="1:2" x14ac:dyDescent="0.25">
      <c r="A58085" s="118"/>
      <c r="B58085" s="136"/>
    </row>
    <row r="58086" spans="1:2" x14ac:dyDescent="0.25">
      <c r="A58086" s="118"/>
      <c r="B58086" s="136"/>
    </row>
    <row r="58087" spans="1:2" x14ac:dyDescent="0.25">
      <c r="A58087" s="118"/>
      <c r="B58087" s="136"/>
    </row>
    <row r="58088" spans="1:2" x14ac:dyDescent="0.25">
      <c r="A58088" s="118"/>
      <c r="B58088" s="136"/>
    </row>
    <row r="58089" spans="1:2" x14ac:dyDescent="0.25">
      <c r="A58089" s="118"/>
      <c r="B58089" s="136"/>
    </row>
    <row r="58090" spans="1:2" x14ac:dyDescent="0.25">
      <c r="A58090" s="118"/>
      <c r="B58090" s="136"/>
    </row>
    <row r="58091" spans="1:2" x14ac:dyDescent="0.25">
      <c r="A58091" s="118"/>
      <c r="B58091" s="136"/>
    </row>
    <row r="58092" spans="1:2" x14ac:dyDescent="0.25">
      <c r="A58092" s="118"/>
      <c r="B58092" s="136"/>
    </row>
    <row r="58093" spans="1:2" x14ac:dyDescent="0.25">
      <c r="A58093" s="118"/>
      <c r="B58093" s="136"/>
    </row>
    <row r="58094" spans="1:2" x14ac:dyDescent="0.25">
      <c r="A58094" s="118"/>
      <c r="B58094" s="136"/>
    </row>
    <row r="58095" spans="1:2" x14ac:dyDescent="0.25">
      <c r="A58095" s="118"/>
      <c r="B58095" s="136"/>
    </row>
    <row r="58096" spans="1:2" x14ac:dyDescent="0.25">
      <c r="A58096" s="118"/>
      <c r="B58096" s="136"/>
    </row>
    <row r="58097" spans="1:2" x14ac:dyDescent="0.25">
      <c r="A58097" s="118"/>
      <c r="B58097" s="136"/>
    </row>
    <row r="58098" spans="1:2" x14ac:dyDescent="0.25">
      <c r="A58098" s="118"/>
      <c r="B58098" s="136"/>
    </row>
    <row r="58099" spans="1:2" x14ac:dyDescent="0.25">
      <c r="A58099" s="118"/>
      <c r="B58099" s="136"/>
    </row>
    <row r="58100" spans="1:2" x14ac:dyDescent="0.25">
      <c r="A58100" s="118"/>
      <c r="B58100" s="136"/>
    </row>
    <row r="58101" spans="1:2" x14ac:dyDescent="0.25">
      <c r="A58101" s="118"/>
      <c r="B58101" s="136"/>
    </row>
    <row r="58102" spans="1:2" x14ac:dyDescent="0.25">
      <c r="A58102" s="118"/>
      <c r="B58102" s="136"/>
    </row>
    <row r="58103" spans="1:2" x14ac:dyDescent="0.25">
      <c r="A58103" s="118"/>
      <c r="B58103" s="136"/>
    </row>
    <row r="58104" spans="1:2" x14ac:dyDescent="0.25">
      <c r="A58104" s="118"/>
      <c r="B58104" s="136"/>
    </row>
    <row r="58105" spans="1:2" x14ac:dyDescent="0.25">
      <c r="A58105" s="118"/>
      <c r="B58105" s="136"/>
    </row>
    <row r="58106" spans="1:2" x14ac:dyDescent="0.25">
      <c r="A58106" s="118"/>
      <c r="B58106" s="136"/>
    </row>
    <row r="58107" spans="1:2" x14ac:dyDescent="0.25">
      <c r="A58107" s="118"/>
      <c r="B58107" s="136"/>
    </row>
    <row r="58108" spans="1:2" x14ac:dyDescent="0.25">
      <c r="A58108" s="118"/>
      <c r="B58108" s="136"/>
    </row>
    <row r="58109" spans="1:2" x14ac:dyDescent="0.25">
      <c r="A58109" s="118"/>
      <c r="B58109" s="136"/>
    </row>
    <row r="58110" spans="1:2" x14ac:dyDescent="0.25">
      <c r="A58110" s="118"/>
      <c r="B58110" s="136"/>
    </row>
    <row r="58111" spans="1:2" x14ac:dyDescent="0.25">
      <c r="A58111" s="118"/>
      <c r="B58111" s="136"/>
    </row>
    <row r="58112" spans="1:2" x14ac:dyDescent="0.25">
      <c r="A58112" s="118"/>
      <c r="B58112" s="136"/>
    </row>
    <row r="58113" spans="1:2" x14ac:dyDescent="0.25">
      <c r="A58113" s="118"/>
      <c r="B58113" s="136"/>
    </row>
    <row r="58114" spans="1:2" x14ac:dyDescent="0.25">
      <c r="A58114" s="118"/>
      <c r="B58114" s="136"/>
    </row>
    <row r="58115" spans="1:2" x14ac:dyDescent="0.25">
      <c r="A58115" s="118"/>
      <c r="B58115" s="136"/>
    </row>
    <row r="58116" spans="1:2" x14ac:dyDescent="0.25">
      <c r="A58116" s="118"/>
      <c r="B58116" s="136"/>
    </row>
    <row r="58117" spans="1:2" x14ac:dyDescent="0.25">
      <c r="A58117" s="118"/>
      <c r="B58117" s="136"/>
    </row>
    <row r="58118" spans="1:2" x14ac:dyDescent="0.25">
      <c r="A58118" s="118"/>
      <c r="B58118" s="136"/>
    </row>
    <row r="58119" spans="1:2" x14ac:dyDescent="0.25">
      <c r="A58119" s="118"/>
      <c r="B58119" s="136"/>
    </row>
    <row r="58120" spans="1:2" x14ac:dyDescent="0.25">
      <c r="A58120" s="118"/>
      <c r="B58120" s="136"/>
    </row>
    <row r="58121" spans="1:2" x14ac:dyDescent="0.25">
      <c r="A58121" s="118"/>
      <c r="B58121" s="136"/>
    </row>
    <row r="58122" spans="1:2" x14ac:dyDescent="0.25">
      <c r="A58122" s="118"/>
      <c r="B58122" s="136"/>
    </row>
    <row r="58123" spans="1:2" x14ac:dyDescent="0.25">
      <c r="A58123" s="118"/>
      <c r="B58123" s="136"/>
    </row>
    <row r="58124" spans="1:2" x14ac:dyDescent="0.25">
      <c r="A58124" s="118"/>
      <c r="B58124" s="136"/>
    </row>
    <row r="58125" spans="1:2" x14ac:dyDescent="0.25">
      <c r="A58125" s="118"/>
      <c r="B58125" s="136"/>
    </row>
    <row r="58126" spans="1:2" x14ac:dyDescent="0.25">
      <c r="A58126" s="118"/>
      <c r="B58126" s="136"/>
    </row>
    <row r="58127" spans="1:2" x14ac:dyDescent="0.25">
      <c r="A58127" s="118"/>
      <c r="B58127" s="136"/>
    </row>
    <row r="58128" spans="1:2" x14ac:dyDescent="0.25">
      <c r="A58128" s="118"/>
      <c r="B58128" s="136"/>
    </row>
    <row r="58129" spans="1:2" x14ac:dyDescent="0.25">
      <c r="A58129" s="118"/>
      <c r="B58129" s="136"/>
    </row>
    <row r="58130" spans="1:2" x14ac:dyDescent="0.25">
      <c r="A58130" s="118"/>
      <c r="B58130" s="136"/>
    </row>
    <row r="58131" spans="1:2" x14ac:dyDescent="0.25">
      <c r="A58131" s="118"/>
      <c r="B58131" s="136"/>
    </row>
    <row r="58132" spans="1:2" x14ac:dyDescent="0.25">
      <c r="A58132" s="118"/>
      <c r="B58132" s="136"/>
    </row>
    <row r="58133" spans="1:2" x14ac:dyDescent="0.25">
      <c r="A58133" s="118"/>
      <c r="B58133" s="136"/>
    </row>
    <row r="58134" spans="1:2" x14ac:dyDescent="0.25">
      <c r="A58134" s="118"/>
      <c r="B58134" s="136"/>
    </row>
    <row r="58135" spans="1:2" x14ac:dyDescent="0.25">
      <c r="A58135" s="118"/>
      <c r="B58135" s="136"/>
    </row>
    <row r="58136" spans="1:2" x14ac:dyDescent="0.25">
      <c r="A58136" s="118"/>
      <c r="B58136" s="136"/>
    </row>
    <row r="58137" spans="1:2" x14ac:dyDescent="0.25">
      <c r="A58137" s="118"/>
      <c r="B58137" s="136"/>
    </row>
    <row r="58138" spans="1:2" x14ac:dyDescent="0.25">
      <c r="A58138" s="118"/>
      <c r="B58138" s="136"/>
    </row>
    <row r="58139" spans="1:2" x14ac:dyDescent="0.25">
      <c r="A58139" s="118"/>
      <c r="B58139" s="136"/>
    </row>
    <row r="58140" spans="1:2" x14ac:dyDescent="0.25">
      <c r="A58140" s="118"/>
      <c r="B58140" s="136"/>
    </row>
    <row r="58141" spans="1:2" x14ac:dyDescent="0.25">
      <c r="A58141" s="118"/>
      <c r="B58141" s="136"/>
    </row>
    <row r="58142" spans="1:2" x14ac:dyDescent="0.25">
      <c r="A58142" s="118"/>
      <c r="B58142" s="136"/>
    </row>
    <row r="58143" spans="1:2" x14ac:dyDescent="0.25">
      <c r="A58143" s="118"/>
      <c r="B58143" s="136"/>
    </row>
    <row r="58144" spans="1:2" x14ac:dyDescent="0.25">
      <c r="A58144" s="118"/>
      <c r="B58144" s="136"/>
    </row>
    <row r="58145" spans="1:2" x14ac:dyDescent="0.25">
      <c r="A58145" s="118"/>
      <c r="B58145" s="136"/>
    </row>
    <row r="58146" spans="1:2" x14ac:dyDescent="0.25">
      <c r="A58146" s="118"/>
      <c r="B58146" s="136"/>
    </row>
    <row r="58147" spans="1:2" x14ac:dyDescent="0.25">
      <c r="A58147" s="118"/>
      <c r="B58147" s="136"/>
    </row>
    <row r="58148" spans="1:2" x14ac:dyDescent="0.25">
      <c r="A58148" s="118"/>
      <c r="B58148" s="136"/>
    </row>
    <row r="58149" spans="1:2" x14ac:dyDescent="0.25">
      <c r="A58149" s="118"/>
      <c r="B58149" s="136"/>
    </row>
    <row r="58150" spans="1:2" x14ac:dyDescent="0.25">
      <c r="A58150" s="118"/>
      <c r="B58150" s="136"/>
    </row>
    <row r="58151" spans="1:2" x14ac:dyDescent="0.25">
      <c r="A58151" s="118"/>
      <c r="B58151" s="136"/>
    </row>
    <row r="58152" spans="1:2" x14ac:dyDescent="0.25">
      <c r="A58152" s="118"/>
      <c r="B58152" s="136"/>
    </row>
    <row r="58153" spans="1:2" x14ac:dyDescent="0.25">
      <c r="A58153" s="118"/>
      <c r="B58153" s="136"/>
    </row>
    <row r="58154" spans="1:2" x14ac:dyDescent="0.25">
      <c r="A58154" s="118"/>
      <c r="B58154" s="136"/>
    </row>
    <row r="58155" spans="1:2" x14ac:dyDescent="0.25">
      <c r="A58155" s="118"/>
      <c r="B58155" s="136"/>
    </row>
    <row r="58156" spans="1:2" x14ac:dyDescent="0.25">
      <c r="A58156" s="118"/>
      <c r="B58156" s="136"/>
    </row>
    <row r="58157" spans="1:2" x14ac:dyDescent="0.25">
      <c r="A58157" s="118"/>
      <c r="B58157" s="136"/>
    </row>
    <row r="58158" spans="1:2" x14ac:dyDescent="0.25">
      <c r="A58158" s="118"/>
      <c r="B58158" s="136"/>
    </row>
    <row r="58159" spans="1:2" x14ac:dyDescent="0.25">
      <c r="A58159" s="118"/>
      <c r="B58159" s="136"/>
    </row>
    <row r="58160" spans="1:2" x14ac:dyDescent="0.25">
      <c r="A58160" s="118"/>
      <c r="B58160" s="136"/>
    </row>
    <row r="58161" spans="1:2" x14ac:dyDescent="0.25">
      <c r="A58161" s="118"/>
      <c r="B58161" s="136"/>
    </row>
    <row r="58162" spans="1:2" x14ac:dyDescent="0.25">
      <c r="A58162" s="118"/>
      <c r="B58162" s="136"/>
    </row>
    <row r="58163" spans="1:2" x14ac:dyDescent="0.25">
      <c r="A58163" s="118"/>
      <c r="B58163" s="136"/>
    </row>
    <row r="58164" spans="1:2" x14ac:dyDescent="0.25">
      <c r="A58164" s="118"/>
      <c r="B58164" s="136"/>
    </row>
    <row r="58165" spans="1:2" x14ac:dyDescent="0.25">
      <c r="A58165" s="118"/>
      <c r="B58165" s="136"/>
    </row>
    <row r="58166" spans="1:2" x14ac:dyDescent="0.25">
      <c r="A58166" s="118"/>
      <c r="B58166" s="136"/>
    </row>
    <row r="58167" spans="1:2" x14ac:dyDescent="0.25">
      <c r="A58167" s="118"/>
      <c r="B58167" s="136"/>
    </row>
    <row r="58168" spans="1:2" x14ac:dyDescent="0.25">
      <c r="A58168" s="118"/>
      <c r="B58168" s="136"/>
    </row>
    <row r="58169" spans="1:2" x14ac:dyDescent="0.25">
      <c r="A58169" s="118"/>
      <c r="B58169" s="136"/>
    </row>
    <row r="58170" spans="1:2" x14ac:dyDescent="0.25">
      <c r="A58170" s="118"/>
      <c r="B58170" s="136"/>
    </row>
    <row r="58171" spans="1:2" x14ac:dyDescent="0.25">
      <c r="A58171" s="118"/>
      <c r="B58171" s="136"/>
    </row>
    <row r="58172" spans="1:2" x14ac:dyDescent="0.25">
      <c r="A58172" s="118"/>
      <c r="B58172" s="136"/>
    </row>
    <row r="58173" spans="1:2" x14ac:dyDescent="0.25">
      <c r="A58173" s="118"/>
      <c r="B58173" s="136"/>
    </row>
    <row r="58174" spans="1:2" x14ac:dyDescent="0.25">
      <c r="A58174" s="118"/>
      <c r="B58174" s="136"/>
    </row>
    <row r="58175" spans="1:2" x14ac:dyDescent="0.25">
      <c r="A58175" s="118"/>
      <c r="B58175" s="136"/>
    </row>
    <row r="58176" spans="1:2" x14ac:dyDescent="0.25">
      <c r="A58176" s="118"/>
      <c r="B58176" s="136"/>
    </row>
    <row r="58177" spans="1:2" x14ac:dyDescent="0.25">
      <c r="A58177" s="118"/>
      <c r="B58177" s="136"/>
    </row>
    <row r="58178" spans="1:2" x14ac:dyDescent="0.25">
      <c r="A58178" s="118"/>
      <c r="B58178" s="136"/>
    </row>
    <row r="58179" spans="1:2" x14ac:dyDescent="0.25">
      <c r="A58179" s="118"/>
      <c r="B58179" s="136"/>
    </row>
    <row r="58180" spans="1:2" x14ac:dyDescent="0.25">
      <c r="A58180" s="118"/>
      <c r="B58180" s="136"/>
    </row>
    <row r="58181" spans="1:2" x14ac:dyDescent="0.25">
      <c r="A58181" s="118"/>
      <c r="B58181" s="136"/>
    </row>
    <row r="58182" spans="1:2" x14ac:dyDescent="0.25">
      <c r="A58182" s="118"/>
      <c r="B58182" s="136"/>
    </row>
    <row r="58183" spans="1:2" x14ac:dyDescent="0.25">
      <c r="A58183" s="118"/>
      <c r="B58183" s="136"/>
    </row>
    <row r="58184" spans="1:2" x14ac:dyDescent="0.25">
      <c r="A58184" s="118"/>
      <c r="B58184" s="136"/>
    </row>
    <row r="58185" spans="1:2" x14ac:dyDescent="0.25">
      <c r="A58185" s="118"/>
      <c r="B58185" s="136"/>
    </row>
    <row r="58186" spans="1:2" x14ac:dyDescent="0.25">
      <c r="A58186" s="118"/>
      <c r="B58186" s="136"/>
    </row>
    <row r="58187" spans="1:2" x14ac:dyDescent="0.25">
      <c r="A58187" s="118"/>
      <c r="B58187" s="136"/>
    </row>
    <row r="58188" spans="1:2" x14ac:dyDescent="0.25">
      <c r="A58188" s="118"/>
      <c r="B58188" s="136"/>
    </row>
    <row r="58189" spans="1:2" x14ac:dyDescent="0.25">
      <c r="A58189" s="118"/>
      <c r="B58189" s="136"/>
    </row>
    <row r="58190" spans="1:2" x14ac:dyDescent="0.25">
      <c r="A58190" s="118"/>
      <c r="B58190" s="136"/>
    </row>
    <row r="58191" spans="1:2" x14ac:dyDescent="0.25">
      <c r="A58191" s="118"/>
      <c r="B58191" s="136"/>
    </row>
    <row r="58192" spans="1:2" x14ac:dyDescent="0.25">
      <c r="A58192" s="118"/>
      <c r="B58192" s="136"/>
    </row>
    <row r="58193" spans="1:2" x14ac:dyDescent="0.25">
      <c r="A58193" s="118"/>
      <c r="B58193" s="136"/>
    </row>
    <row r="58194" spans="1:2" x14ac:dyDescent="0.25">
      <c r="A58194" s="118"/>
      <c r="B58194" s="136"/>
    </row>
    <row r="58195" spans="1:2" x14ac:dyDescent="0.25">
      <c r="A58195" s="118"/>
      <c r="B58195" s="136"/>
    </row>
    <row r="58196" spans="1:2" x14ac:dyDescent="0.25">
      <c r="A58196" s="118"/>
      <c r="B58196" s="136"/>
    </row>
    <row r="58197" spans="1:2" x14ac:dyDescent="0.25">
      <c r="A58197" s="118"/>
      <c r="B58197" s="136"/>
    </row>
    <row r="58198" spans="1:2" x14ac:dyDescent="0.25">
      <c r="A58198" s="118"/>
      <c r="B58198" s="136"/>
    </row>
    <row r="58199" spans="1:2" x14ac:dyDescent="0.25">
      <c r="A58199" s="118"/>
      <c r="B58199" s="136"/>
    </row>
    <row r="58200" spans="1:2" x14ac:dyDescent="0.25">
      <c r="A58200" s="118"/>
      <c r="B58200" s="136"/>
    </row>
    <row r="58201" spans="1:2" x14ac:dyDescent="0.25">
      <c r="A58201" s="118"/>
      <c r="B58201" s="136"/>
    </row>
    <row r="58202" spans="1:2" x14ac:dyDescent="0.25">
      <c r="A58202" s="118"/>
      <c r="B58202" s="136"/>
    </row>
    <row r="58203" spans="1:2" x14ac:dyDescent="0.25">
      <c r="A58203" s="118"/>
      <c r="B58203" s="136"/>
    </row>
    <row r="58204" spans="1:2" x14ac:dyDescent="0.25">
      <c r="A58204" s="118"/>
      <c r="B58204" s="136"/>
    </row>
    <row r="58205" spans="1:2" x14ac:dyDescent="0.25">
      <c r="A58205" s="118"/>
      <c r="B58205" s="136"/>
    </row>
    <row r="58206" spans="1:2" x14ac:dyDescent="0.25">
      <c r="A58206" s="118"/>
      <c r="B58206" s="136"/>
    </row>
    <row r="58207" spans="1:2" x14ac:dyDescent="0.25">
      <c r="A58207" s="118"/>
      <c r="B58207" s="136"/>
    </row>
    <row r="58208" spans="1:2" x14ac:dyDescent="0.25">
      <c r="A58208" s="118"/>
      <c r="B58208" s="136"/>
    </row>
    <row r="58209" spans="1:2" x14ac:dyDescent="0.25">
      <c r="A58209" s="118"/>
      <c r="B58209" s="136"/>
    </row>
    <row r="58210" spans="1:2" x14ac:dyDescent="0.25">
      <c r="A58210" s="118"/>
      <c r="B58210" s="136"/>
    </row>
    <row r="58211" spans="1:2" x14ac:dyDescent="0.25">
      <c r="A58211" s="118"/>
      <c r="B58211" s="136"/>
    </row>
    <row r="58212" spans="1:2" x14ac:dyDescent="0.25">
      <c r="A58212" s="118"/>
      <c r="B58212" s="136"/>
    </row>
    <row r="58213" spans="1:2" x14ac:dyDescent="0.25">
      <c r="A58213" s="118"/>
      <c r="B58213" s="136"/>
    </row>
    <row r="58214" spans="1:2" x14ac:dyDescent="0.25">
      <c r="A58214" s="118"/>
      <c r="B58214" s="136"/>
    </row>
    <row r="58215" spans="1:2" x14ac:dyDescent="0.25">
      <c r="A58215" s="118"/>
      <c r="B58215" s="136"/>
    </row>
    <row r="58216" spans="1:2" x14ac:dyDescent="0.25">
      <c r="A58216" s="118"/>
      <c r="B58216" s="136"/>
    </row>
    <row r="58217" spans="1:2" x14ac:dyDescent="0.25">
      <c r="A58217" s="118"/>
      <c r="B58217" s="136"/>
    </row>
    <row r="58218" spans="1:2" x14ac:dyDescent="0.25">
      <c r="A58218" s="118"/>
      <c r="B58218" s="136"/>
    </row>
    <row r="58219" spans="1:2" x14ac:dyDescent="0.25">
      <c r="A58219" s="118"/>
      <c r="B58219" s="136"/>
    </row>
    <row r="58220" spans="1:2" x14ac:dyDescent="0.25">
      <c r="A58220" s="118"/>
      <c r="B58220" s="136"/>
    </row>
    <row r="58221" spans="1:2" x14ac:dyDescent="0.25">
      <c r="A58221" s="118"/>
      <c r="B58221" s="136"/>
    </row>
    <row r="58222" spans="1:2" x14ac:dyDescent="0.25">
      <c r="A58222" s="118"/>
      <c r="B58222" s="136"/>
    </row>
    <row r="58223" spans="1:2" x14ac:dyDescent="0.25">
      <c r="A58223" s="118"/>
      <c r="B58223" s="136"/>
    </row>
    <row r="58224" spans="1:2" x14ac:dyDescent="0.25">
      <c r="A58224" s="118"/>
      <c r="B58224" s="136"/>
    </row>
    <row r="58225" spans="1:2" x14ac:dyDescent="0.25">
      <c r="A58225" s="118"/>
      <c r="B58225" s="136"/>
    </row>
    <row r="58226" spans="1:2" x14ac:dyDescent="0.25">
      <c r="A58226" s="118"/>
      <c r="B58226" s="136"/>
    </row>
    <row r="58227" spans="1:2" x14ac:dyDescent="0.25">
      <c r="A58227" s="118"/>
      <c r="B58227" s="136"/>
    </row>
    <row r="58228" spans="1:2" x14ac:dyDescent="0.25">
      <c r="A58228" s="118"/>
      <c r="B58228" s="136"/>
    </row>
    <row r="58229" spans="1:2" x14ac:dyDescent="0.25">
      <c r="A58229" s="118"/>
      <c r="B58229" s="136"/>
    </row>
    <row r="58230" spans="1:2" x14ac:dyDescent="0.25">
      <c r="A58230" s="118"/>
      <c r="B58230" s="136"/>
    </row>
    <row r="58231" spans="1:2" x14ac:dyDescent="0.25">
      <c r="A58231" s="118"/>
      <c r="B58231" s="136"/>
    </row>
    <row r="58232" spans="1:2" x14ac:dyDescent="0.25">
      <c r="A58232" s="118"/>
      <c r="B58232" s="136"/>
    </row>
    <row r="58233" spans="1:2" x14ac:dyDescent="0.25">
      <c r="A58233" s="118"/>
      <c r="B58233" s="136"/>
    </row>
    <row r="58234" spans="1:2" x14ac:dyDescent="0.25">
      <c r="A58234" s="118"/>
      <c r="B58234" s="136"/>
    </row>
    <row r="58235" spans="1:2" x14ac:dyDescent="0.25">
      <c r="A58235" s="118"/>
      <c r="B58235" s="136"/>
    </row>
    <row r="58236" spans="1:2" x14ac:dyDescent="0.25">
      <c r="A58236" s="118"/>
      <c r="B58236" s="136"/>
    </row>
    <row r="58237" spans="1:2" x14ac:dyDescent="0.25">
      <c r="A58237" s="118"/>
      <c r="B58237" s="136"/>
    </row>
    <row r="58238" spans="1:2" x14ac:dyDescent="0.25">
      <c r="A58238" s="118"/>
      <c r="B58238" s="136"/>
    </row>
    <row r="58239" spans="1:2" x14ac:dyDescent="0.25">
      <c r="A58239" s="118"/>
      <c r="B58239" s="136"/>
    </row>
    <row r="58240" spans="1:2" x14ac:dyDescent="0.25">
      <c r="A58240" s="118"/>
      <c r="B58240" s="136"/>
    </row>
    <row r="58241" spans="1:2" x14ac:dyDescent="0.25">
      <c r="A58241" s="118"/>
      <c r="B58241" s="136"/>
    </row>
    <row r="58242" spans="1:2" x14ac:dyDescent="0.25">
      <c r="A58242" s="118"/>
      <c r="B58242" s="136"/>
    </row>
    <row r="58243" spans="1:2" x14ac:dyDescent="0.25">
      <c r="A58243" s="118"/>
      <c r="B58243" s="136"/>
    </row>
    <row r="58244" spans="1:2" x14ac:dyDescent="0.25">
      <c r="A58244" s="118"/>
      <c r="B58244" s="136"/>
    </row>
    <row r="58245" spans="1:2" x14ac:dyDescent="0.25">
      <c r="A58245" s="118"/>
      <c r="B58245" s="136"/>
    </row>
    <row r="58246" spans="1:2" x14ac:dyDescent="0.25">
      <c r="A58246" s="118"/>
      <c r="B58246" s="136"/>
    </row>
    <row r="58247" spans="1:2" x14ac:dyDescent="0.25">
      <c r="A58247" s="118"/>
      <c r="B58247" s="136"/>
    </row>
    <row r="58248" spans="1:2" x14ac:dyDescent="0.25">
      <c r="A58248" s="118"/>
      <c r="B58248" s="136"/>
    </row>
    <row r="58249" spans="1:2" x14ac:dyDescent="0.25">
      <c r="A58249" s="118"/>
      <c r="B58249" s="136"/>
    </row>
    <row r="58250" spans="1:2" x14ac:dyDescent="0.25">
      <c r="A58250" s="118"/>
      <c r="B58250" s="136"/>
    </row>
    <row r="58251" spans="1:2" x14ac:dyDescent="0.25">
      <c r="A58251" s="118"/>
      <c r="B58251" s="136"/>
    </row>
    <row r="58252" spans="1:2" x14ac:dyDescent="0.25">
      <c r="A58252" s="118"/>
      <c r="B58252" s="136"/>
    </row>
    <row r="58253" spans="1:2" x14ac:dyDescent="0.25">
      <c r="A58253" s="118"/>
      <c r="B58253" s="136"/>
    </row>
    <row r="58254" spans="1:2" x14ac:dyDescent="0.25">
      <c r="A58254" s="118"/>
      <c r="B58254" s="136"/>
    </row>
    <row r="58255" spans="1:2" x14ac:dyDescent="0.25">
      <c r="A58255" s="118"/>
      <c r="B58255" s="136"/>
    </row>
    <row r="58256" spans="1:2" x14ac:dyDescent="0.25">
      <c r="A58256" s="118"/>
      <c r="B58256" s="136"/>
    </row>
    <row r="58257" spans="1:2" x14ac:dyDescent="0.25">
      <c r="A58257" s="118"/>
      <c r="B58257" s="136"/>
    </row>
    <row r="58258" spans="1:2" x14ac:dyDescent="0.25">
      <c r="A58258" s="118"/>
      <c r="B58258" s="136"/>
    </row>
    <row r="58259" spans="1:2" x14ac:dyDescent="0.25">
      <c r="A58259" s="118"/>
      <c r="B58259" s="136"/>
    </row>
    <row r="58260" spans="1:2" x14ac:dyDescent="0.25">
      <c r="A58260" s="118"/>
      <c r="B58260" s="136"/>
    </row>
    <row r="58261" spans="1:2" x14ac:dyDescent="0.25">
      <c r="A58261" s="118"/>
      <c r="B58261" s="136"/>
    </row>
    <row r="58262" spans="1:2" x14ac:dyDescent="0.25">
      <c r="A58262" s="118"/>
      <c r="B58262" s="136"/>
    </row>
    <row r="58263" spans="1:2" x14ac:dyDescent="0.25">
      <c r="A58263" s="118"/>
      <c r="B58263" s="136"/>
    </row>
    <row r="58264" spans="1:2" x14ac:dyDescent="0.25">
      <c r="A58264" s="118"/>
      <c r="B58264" s="136"/>
    </row>
    <row r="58265" spans="1:2" x14ac:dyDescent="0.25">
      <c r="A58265" s="118"/>
      <c r="B58265" s="136"/>
    </row>
    <row r="58266" spans="1:2" x14ac:dyDescent="0.25">
      <c r="A58266" s="118"/>
      <c r="B58266" s="136"/>
    </row>
    <row r="58267" spans="1:2" x14ac:dyDescent="0.25">
      <c r="A58267" s="118"/>
      <c r="B58267" s="136"/>
    </row>
    <row r="58268" spans="1:2" x14ac:dyDescent="0.25">
      <c r="A58268" s="118"/>
      <c r="B58268" s="136"/>
    </row>
    <row r="58269" spans="1:2" x14ac:dyDescent="0.25">
      <c r="A58269" s="118"/>
      <c r="B58269" s="136"/>
    </row>
    <row r="58270" spans="1:2" x14ac:dyDescent="0.25">
      <c r="A58270" s="118"/>
      <c r="B58270" s="136"/>
    </row>
    <row r="58271" spans="1:2" x14ac:dyDescent="0.25">
      <c r="A58271" s="118"/>
      <c r="B58271" s="136"/>
    </row>
    <row r="58272" spans="1:2" x14ac:dyDescent="0.25">
      <c r="A58272" s="118"/>
      <c r="B58272" s="136"/>
    </row>
    <row r="58273" spans="1:2" x14ac:dyDescent="0.25">
      <c r="A58273" s="118"/>
      <c r="B58273" s="136"/>
    </row>
    <row r="58274" spans="1:2" x14ac:dyDescent="0.25">
      <c r="A58274" s="118"/>
      <c r="B58274" s="136"/>
    </row>
    <row r="58275" spans="1:2" x14ac:dyDescent="0.25">
      <c r="A58275" s="118"/>
      <c r="B58275" s="136"/>
    </row>
    <row r="58276" spans="1:2" x14ac:dyDescent="0.25">
      <c r="A58276" s="118"/>
      <c r="B58276" s="136"/>
    </row>
    <row r="58277" spans="1:2" x14ac:dyDescent="0.25">
      <c r="A58277" s="118"/>
      <c r="B58277" s="136"/>
    </row>
    <row r="58278" spans="1:2" x14ac:dyDescent="0.25">
      <c r="A58278" s="118"/>
      <c r="B58278" s="136"/>
    </row>
    <row r="58279" spans="1:2" x14ac:dyDescent="0.25">
      <c r="A58279" s="118"/>
      <c r="B58279" s="136"/>
    </row>
    <row r="58280" spans="1:2" x14ac:dyDescent="0.25">
      <c r="A58280" s="118"/>
      <c r="B58280" s="136"/>
    </row>
    <row r="58281" spans="1:2" x14ac:dyDescent="0.25">
      <c r="A58281" s="118"/>
      <c r="B58281" s="136"/>
    </row>
    <row r="58282" spans="1:2" x14ac:dyDescent="0.25">
      <c r="A58282" s="118"/>
      <c r="B58282" s="136"/>
    </row>
    <row r="58283" spans="1:2" x14ac:dyDescent="0.25">
      <c r="A58283" s="118"/>
      <c r="B58283" s="136"/>
    </row>
    <row r="58284" spans="1:2" x14ac:dyDescent="0.25">
      <c r="A58284" s="118"/>
      <c r="B58284" s="136"/>
    </row>
    <row r="58285" spans="1:2" x14ac:dyDescent="0.25">
      <c r="A58285" s="118"/>
      <c r="B58285" s="136"/>
    </row>
    <row r="58286" spans="1:2" x14ac:dyDescent="0.25">
      <c r="A58286" s="118"/>
      <c r="B58286" s="136"/>
    </row>
    <row r="58287" spans="1:2" x14ac:dyDescent="0.25">
      <c r="A58287" s="118"/>
      <c r="B58287" s="136"/>
    </row>
    <row r="58288" spans="1:2" x14ac:dyDescent="0.25">
      <c r="A58288" s="118"/>
      <c r="B58288" s="136"/>
    </row>
    <row r="58289" spans="1:2" x14ac:dyDescent="0.25">
      <c r="A58289" s="118"/>
      <c r="B58289" s="136"/>
    </row>
    <row r="58290" spans="1:2" x14ac:dyDescent="0.25">
      <c r="A58290" s="118"/>
      <c r="B58290" s="136"/>
    </row>
    <row r="58291" spans="1:2" x14ac:dyDescent="0.25">
      <c r="A58291" s="118"/>
      <c r="B58291" s="136"/>
    </row>
    <row r="58292" spans="1:2" x14ac:dyDescent="0.25">
      <c r="A58292" s="118"/>
      <c r="B58292" s="136"/>
    </row>
    <row r="58293" spans="1:2" x14ac:dyDescent="0.25">
      <c r="A58293" s="118"/>
      <c r="B58293" s="136"/>
    </row>
    <row r="58294" spans="1:2" x14ac:dyDescent="0.25">
      <c r="A58294" s="118"/>
      <c r="B58294" s="136"/>
    </row>
    <row r="58295" spans="1:2" x14ac:dyDescent="0.25">
      <c r="A58295" s="118"/>
      <c r="B58295" s="136"/>
    </row>
    <row r="58296" spans="1:2" x14ac:dyDescent="0.25">
      <c r="A58296" s="118"/>
      <c r="B58296" s="136"/>
    </row>
    <row r="58297" spans="1:2" x14ac:dyDescent="0.25">
      <c r="A58297" s="118"/>
      <c r="B58297" s="136"/>
    </row>
    <row r="58298" spans="1:2" x14ac:dyDescent="0.25">
      <c r="A58298" s="118"/>
      <c r="B58298" s="136"/>
    </row>
    <row r="58299" spans="1:2" x14ac:dyDescent="0.25">
      <c r="A58299" s="118"/>
      <c r="B58299" s="136"/>
    </row>
    <row r="58300" spans="1:2" x14ac:dyDescent="0.25">
      <c r="A58300" s="118"/>
      <c r="B58300" s="136"/>
    </row>
    <row r="58301" spans="1:2" x14ac:dyDescent="0.25">
      <c r="A58301" s="118"/>
      <c r="B58301" s="136"/>
    </row>
    <row r="58302" spans="1:2" x14ac:dyDescent="0.25">
      <c r="A58302" s="118"/>
      <c r="B58302" s="136"/>
    </row>
    <row r="58303" spans="1:2" x14ac:dyDescent="0.25">
      <c r="A58303" s="118"/>
      <c r="B58303" s="136"/>
    </row>
    <row r="58304" spans="1:2" x14ac:dyDescent="0.25">
      <c r="A58304" s="118"/>
      <c r="B58304" s="136"/>
    </row>
    <row r="58305" spans="1:2" x14ac:dyDescent="0.25">
      <c r="A58305" s="118"/>
      <c r="B58305" s="136"/>
    </row>
    <row r="58306" spans="1:2" x14ac:dyDescent="0.25">
      <c r="A58306" s="118"/>
      <c r="B58306" s="136"/>
    </row>
    <row r="58307" spans="1:2" x14ac:dyDescent="0.25">
      <c r="A58307" s="118"/>
      <c r="B58307" s="136"/>
    </row>
    <row r="58308" spans="1:2" x14ac:dyDescent="0.25">
      <c r="A58308" s="118"/>
      <c r="B58308" s="136"/>
    </row>
    <row r="58309" spans="1:2" x14ac:dyDescent="0.25">
      <c r="A58309" s="118"/>
      <c r="B58309" s="136"/>
    </row>
    <row r="58310" spans="1:2" x14ac:dyDescent="0.25">
      <c r="A58310" s="118"/>
      <c r="B58310" s="136"/>
    </row>
    <row r="58311" spans="1:2" x14ac:dyDescent="0.25">
      <c r="A58311" s="118"/>
      <c r="B58311" s="136"/>
    </row>
    <row r="58312" spans="1:2" x14ac:dyDescent="0.25">
      <c r="A58312" s="118"/>
      <c r="B58312" s="136"/>
    </row>
    <row r="58313" spans="1:2" x14ac:dyDescent="0.25">
      <c r="A58313" s="118"/>
      <c r="B58313" s="136"/>
    </row>
    <row r="58314" spans="1:2" x14ac:dyDescent="0.25">
      <c r="A58314" s="118"/>
      <c r="B58314" s="136"/>
    </row>
    <row r="58315" spans="1:2" x14ac:dyDescent="0.25">
      <c r="A58315" s="118"/>
      <c r="B58315" s="136"/>
    </row>
    <row r="58316" spans="1:2" x14ac:dyDescent="0.25">
      <c r="A58316" s="118"/>
      <c r="B58316" s="136"/>
    </row>
    <row r="58317" spans="1:2" x14ac:dyDescent="0.25">
      <c r="A58317" s="118"/>
      <c r="B58317" s="136"/>
    </row>
    <row r="58318" spans="1:2" x14ac:dyDescent="0.25">
      <c r="A58318" s="118"/>
      <c r="B58318" s="136"/>
    </row>
    <row r="58319" spans="1:2" x14ac:dyDescent="0.25">
      <c r="A58319" s="118"/>
      <c r="B58319" s="136"/>
    </row>
    <row r="58320" spans="1:2" x14ac:dyDescent="0.25">
      <c r="A58320" s="118"/>
      <c r="B58320" s="136"/>
    </row>
    <row r="58321" spans="1:2" x14ac:dyDescent="0.25">
      <c r="A58321" s="118"/>
      <c r="B58321" s="136"/>
    </row>
    <row r="58322" spans="1:2" x14ac:dyDescent="0.25">
      <c r="A58322" s="118"/>
      <c r="B58322" s="136"/>
    </row>
    <row r="58323" spans="1:2" x14ac:dyDescent="0.25">
      <c r="A58323" s="118"/>
      <c r="B58323" s="136"/>
    </row>
    <row r="58324" spans="1:2" x14ac:dyDescent="0.25">
      <c r="A58324" s="118"/>
      <c r="B58324" s="136"/>
    </row>
    <row r="58325" spans="1:2" x14ac:dyDescent="0.25">
      <c r="A58325" s="118"/>
      <c r="B58325" s="136"/>
    </row>
    <row r="58326" spans="1:2" x14ac:dyDescent="0.25">
      <c r="A58326" s="118"/>
      <c r="B58326" s="136"/>
    </row>
    <row r="58327" spans="1:2" x14ac:dyDescent="0.25">
      <c r="A58327" s="118"/>
      <c r="B58327" s="136"/>
    </row>
    <row r="58328" spans="1:2" x14ac:dyDescent="0.25">
      <c r="A58328" s="118"/>
      <c r="B58328" s="136"/>
    </row>
    <row r="58329" spans="1:2" x14ac:dyDescent="0.25">
      <c r="A58329" s="118"/>
      <c r="B58329" s="136"/>
    </row>
    <row r="58330" spans="1:2" x14ac:dyDescent="0.25">
      <c r="A58330" s="118"/>
      <c r="B58330" s="136"/>
    </row>
    <row r="58331" spans="1:2" x14ac:dyDescent="0.25">
      <c r="A58331" s="118"/>
      <c r="B58331" s="136"/>
    </row>
    <row r="58332" spans="1:2" x14ac:dyDescent="0.25">
      <c r="A58332" s="118"/>
      <c r="B58332" s="136"/>
    </row>
    <row r="58333" spans="1:2" x14ac:dyDescent="0.25">
      <c r="A58333" s="118"/>
      <c r="B58333" s="136"/>
    </row>
    <row r="58334" spans="1:2" x14ac:dyDescent="0.25">
      <c r="A58334" s="118"/>
      <c r="B58334" s="136"/>
    </row>
    <row r="58335" spans="1:2" x14ac:dyDescent="0.25">
      <c r="A58335" s="118"/>
      <c r="B58335" s="136"/>
    </row>
    <row r="58336" spans="1:2" x14ac:dyDescent="0.25">
      <c r="A58336" s="118"/>
      <c r="B58336" s="136"/>
    </row>
    <row r="58337" spans="1:2" x14ac:dyDescent="0.25">
      <c r="A58337" s="118"/>
      <c r="B58337" s="136"/>
    </row>
    <row r="58338" spans="1:2" x14ac:dyDescent="0.25">
      <c r="A58338" s="118"/>
      <c r="B58338" s="136"/>
    </row>
    <row r="58339" spans="1:2" x14ac:dyDescent="0.25">
      <c r="A58339" s="118"/>
      <c r="B58339" s="136"/>
    </row>
    <row r="58340" spans="1:2" x14ac:dyDescent="0.25">
      <c r="A58340" s="118"/>
      <c r="B58340" s="136"/>
    </row>
    <row r="58341" spans="1:2" x14ac:dyDescent="0.25">
      <c r="A58341" s="118"/>
      <c r="B58341" s="136"/>
    </row>
    <row r="58342" spans="1:2" x14ac:dyDescent="0.25">
      <c r="A58342" s="118"/>
      <c r="B58342" s="136"/>
    </row>
    <row r="58343" spans="1:2" x14ac:dyDescent="0.25">
      <c r="A58343" s="118"/>
      <c r="B58343" s="136"/>
    </row>
    <row r="58344" spans="1:2" x14ac:dyDescent="0.25">
      <c r="A58344" s="118"/>
      <c r="B58344" s="136"/>
    </row>
    <row r="58345" spans="1:2" x14ac:dyDescent="0.25">
      <c r="A58345" s="118"/>
      <c r="B58345" s="136"/>
    </row>
    <row r="58346" spans="1:2" x14ac:dyDescent="0.25">
      <c r="A58346" s="118"/>
      <c r="B58346" s="136"/>
    </row>
    <row r="58347" spans="1:2" x14ac:dyDescent="0.25">
      <c r="A58347" s="118"/>
      <c r="B58347" s="136"/>
    </row>
    <row r="58348" spans="1:2" x14ac:dyDescent="0.25">
      <c r="A58348" s="118"/>
      <c r="B58348" s="136"/>
    </row>
    <row r="58349" spans="1:2" x14ac:dyDescent="0.25">
      <c r="A58349" s="118"/>
      <c r="B58349" s="136"/>
    </row>
    <row r="58350" spans="1:2" x14ac:dyDescent="0.25">
      <c r="A58350" s="118"/>
      <c r="B58350" s="136"/>
    </row>
    <row r="58351" spans="1:2" x14ac:dyDescent="0.25">
      <c r="A58351" s="118"/>
      <c r="B58351" s="136"/>
    </row>
    <row r="58352" spans="1:2" x14ac:dyDescent="0.25">
      <c r="A58352" s="118"/>
      <c r="B58352" s="136"/>
    </row>
    <row r="58353" spans="1:2" x14ac:dyDescent="0.25">
      <c r="A58353" s="118"/>
      <c r="B58353" s="136"/>
    </row>
    <row r="58354" spans="1:2" x14ac:dyDescent="0.25">
      <c r="A58354" s="118"/>
      <c r="B58354" s="136"/>
    </row>
    <row r="58355" spans="1:2" x14ac:dyDescent="0.25">
      <c r="A58355" s="118"/>
      <c r="B58355" s="136"/>
    </row>
    <row r="58356" spans="1:2" x14ac:dyDescent="0.25">
      <c r="A58356" s="118"/>
      <c r="B58356" s="136"/>
    </row>
    <row r="58357" spans="1:2" x14ac:dyDescent="0.25">
      <c r="A58357" s="118"/>
      <c r="B58357" s="136"/>
    </row>
    <row r="58358" spans="1:2" x14ac:dyDescent="0.25">
      <c r="A58358" s="118"/>
      <c r="B58358" s="136"/>
    </row>
    <row r="58359" spans="1:2" x14ac:dyDescent="0.25">
      <c r="A58359" s="118"/>
      <c r="B58359" s="136"/>
    </row>
    <row r="58360" spans="1:2" x14ac:dyDescent="0.25">
      <c r="A58360" s="118"/>
      <c r="B58360" s="136"/>
    </row>
    <row r="58361" spans="1:2" x14ac:dyDescent="0.25">
      <c r="A58361" s="118"/>
      <c r="B58361" s="136"/>
    </row>
    <row r="58362" spans="1:2" x14ac:dyDescent="0.25">
      <c r="A58362" s="118"/>
      <c r="B58362" s="136"/>
    </row>
    <row r="58363" spans="1:2" x14ac:dyDescent="0.25">
      <c r="A58363" s="118"/>
      <c r="B58363" s="136"/>
    </row>
    <row r="58364" spans="1:2" x14ac:dyDescent="0.25">
      <c r="A58364" s="118"/>
      <c r="B58364" s="136"/>
    </row>
    <row r="58365" spans="1:2" x14ac:dyDescent="0.25">
      <c r="A58365" s="118"/>
      <c r="B58365" s="136"/>
    </row>
    <row r="58366" spans="1:2" x14ac:dyDescent="0.25">
      <c r="A58366" s="118"/>
      <c r="B58366" s="136"/>
    </row>
    <row r="58367" spans="1:2" x14ac:dyDescent="0.25">
      <c r="A58367" s="118"/>
      <c r="B58367" s="136"/>
    </row>
    <row r="58368" spans="1:2" x14ac:dyDescent="0.25">
      <c r="A58368" s="118"/>
      <c r="B58368" s="136"/>
    </row>
    <row r="58369" spans="1:2" x14ac:dyDescent="0.25">
      <c r="A58369" s="118"/>
      <c r="B58369" s="136"/>
    </row>
    <row r="58370" spans="1:2" x14ac:dyDescent="0.25">
      <c r="A58370" s="118"/>
      <c r="B58370" s="136"/>
    </row>
    <row r="58371" spans="1:2" x14ac:dyDescent="0.25">
      <c r="A58371" s="118"/>
      <c r="B58371" s="136"/>
    </row>
    <row r="58372" spans="1:2" x14ac:dyDescent="0.25">
      <c r="A58372" s="118"/>
      <c r="B58372" s="136"/>
    </row>
    <row r="58373" spans="1:2" x14ac:dyDescent="0.25">
      <c r="A58373" s="118"/>
      <c r="B58373" s="136"/>
    </row>
    <row r="58374" spans="1:2" x14ac:dyDescent="0.25">
      <c r="A58374" s="118"/>
      <c r="B58374" s="136"/>
    </row>
    <row r="58375" spans="1:2" x14ac:dyDescent="0.25">
      <c r="A58375" s="118"/>
      <c r="B58375" s="136"/>
    </row>
    <row r="58376" spans="1:2" x14ac:dyDescent="0.25">
      <c r="A58376" s="118"/>
      <c r="B58376" s="136"/>
    </row>
    <row r="58377" spans="1:2" x14ac:dyDescent="0.25">
      <c r="A58377" s="118"/>
      <c r="B58377" s="136"/>
    </row>
    <row r="58378" spans="1:2" x14ac:dyDescent="0.25">
      <c r="A58378" s="118"/>
      <c r="B58378" s="136"/>
    </row>
    <row r="58379" spans="1:2" x14ac:dyDescent="0.25">
      <c r="A58379" s="118"/>
      <c r="B58379" s="136"/>
    </row>
    <row r="58380" spans="1:2" x14ac:dyDescent="0.25">
      <c r="A58380" s="118"/>
      <c r="B58380" s="136"/>
    </row>
    <row r="58381" spans="1:2" x14ac:dyDescent="0.25">
      <c r="A58381" s="118"/>
      <c r="B58381" s="136"/>
    </row>
    <row r="58382" spans="1:2" x14ac:dyDescent="0.25">
      <c r="A58382" s="118"/>
      <c r="B58382" s="136"/>
    </row>
    <row r="58383" spans="1:2" x14ac:dyDescent="0.25">
      <c r="A58383" s="118"/>
      <c r="B58383" s="136"/>
    </row>
    <row r="58384" spans="1:2" x14ac:dyDescent="0.25">
      <c r="A58384" s="118"/>
      <c r="B58384" s="136"/>
    </row>
    <row r="58385" spans="1:2" x14ac:dyDescent="0.25">
      <c r="A58385" s="118"/>
      <c r="B58385" s="136"/>
    </row>
    <row r="58386" spans="1:2" x14ac:dyDescent="0.25">
      <c r="A58386" s="118"/>
      <c r="B58386" s="136"/>
    </row>
    <row r="58387" spans="1:2" x14ac:dyDescent="0.25">
      <c r="A58387" s="118"/>
      <c r="B58387" s="136"/>
    </row>
    <row r="58388" spans="1:2" x14ac:dyDescent="0.25">
      <c r="A58388" s="118"/>
      <c r="B58388" s="136"/>
    </row>
    <row r="58389" spans="1:2" x14ac:dyDescent="0.25">
      <c r="A58389" s="118"/>
      <c r="B58389" s="136"/>
    </row>
    <row r="58390" spans="1:2" x14ac:dyDescent="0.25">
      <c r="A58390" s="118"/>
      <c r="B58390" s="136"/>
    </row>
    <row r="58391" spans="1:2" x14ac:dyDescent="0.25">
      <c r="A58391" s="118"/>
      <c r="B58391" s="136"/>
    </row>
    <row r="58392" spans="1:2" x14ac:dyDescent="0.25">
      <c r="A58392" s="118"/>
      <c r="B58392" s="136"/>
    </row>
    <row r="58393" spans="1:2" x14ac:dyDescent="0.25">
      <c r="A58393" s="118"/>
      <c r="B58393" s="136"/>
    </row>
    <row r="58394" spans="1:2" x14ac:dyDescent="0.25">
      <c r="A58394" s="118"/>
      <c r="B58394" s="136"/>
    </row>
    <row r="58395" spans="1:2" x14ac:dyDescent="0.25">
      <c r="A58395" s="118"/>
      <c r="B58395" s="136"/>
    </row>
    <row r="58396" spans="1:2" x14ac:dyDescent="0.25">
      <c r="A58396" s="118"/>
      <c r="B58396" s="136"/>
    </row>
    <row r="58397" spans="1:2" x14ac:dyDescent="0.25">
      <c r="A58397" s="118"/>
      <c r="B58397" s="136"/>
    </row>
    <row r="58398" spans="1:2" x14ac:dyDescent="0.25">
      <c r="A58398" s="118"/>
      <c r="B58398" s="136"/>
    </row>
    <row r="58399" spans="1:2" x14ac:dyDescent="0.25">
      <c r="A58399" s="118"/>
      <c r="B58399" s="136"/>
    </row>
    <row r="58400" spans="1:2" x14ac:dyDescent="0.25">
      <c r="A58400" s="118"/>
      <c r="B58400" s="136"/>
    </row>
    <row r="58401" spans="1:2" x14ac:dyDescent="0.25">
      <c r="A58401" s="118"/>
      <c r="B58401" s="136"/>
    </row>
    <row r="58402" spans="1:2" x14ac:dyDescent="0.25">
      <c r="A58402" s="118"/>
      <c r="B58402" s="136"/>
    </row>
    <row r="58403" spans="1:2" x14ac:dyDescent="0.25">
      <c r="A58403" s="118"/>
      <c r="B58403" s="136"/>
    </row>
    <row r="58404" spans="1:2" x14ac:dyDescent="0.25">
      <c r="A58404" s="118"/>
      <c r="B58404" s="136"/>
    </row>
    <row r="58405" spans="1:2" x14ac:dyDescent="0.25">
      <c r="A58405" s="118"/>
      <c r="B58405" s="136"/>
    </row>
    <row r="58406" spans="1:2" x14ac:dyDescent="0.25">
      <c r="A58406" s="118"/>
      <c r="B58406" s="136"/>
    </row>
    <row r="58407" spans="1:2" x14ac:dyDescent="0.25">
      <c r="A58407" s="118"/>
      <c r="B58407" s="136"/>
    </row>
    <row r="58408" spans="1:2" x14ac:dyDescent="0.25">
      <c r="A58408" s="118"/>
      <c r="B58408" s="136"/>
    </row>
    <row r="58409" spans="1:2" x14ac:dyDescent="0.25">
      <c r="A58409" s="118"/>
      <c r="B58409" s="136"/>
    </row>
    <row r="58410" spans="1:2" x14ac:dyDescent="0.25">
      <c r="A58410" s="118"/>
      <c r="B58410" s="136"/>
    </row>
    <row r="58411" spans="1:2" x14ac:dyDescent="0.25">
      <c r="A58411" s="118"/>
      <c r="B58411" s="136"/>
    </row>
    <row r="58412" spans="1:2" x14ac:dyDescent="0.25">
      <c r="A58412" s="118"/>
      <c r="B58412" s="136"/>
    </row>
    <row r="58413" spans="1:2" x14ac:dyDescent="0.25">
      <c r="A58413" s="118"/>
      <c r="B58413" s="136"/>
    </row>
    <row r="58414" spans="1:2" x14ac:dyDescent="0.25">
      <c r="A58414" s="118"/>
      <c r="B58414" s="136"/>
    </row>
    <row r="58415" spans="1:2" x14ac:dyDescent="0.25">
      <c r="A58415" s="118"/>
      <c r="B58415" s="136"/>
    </row>
    <row r="58416" spans="1:2" x14ac:dyDescent="0.25">
      <c r="A58416" s="118"/>
      <c r="B58416" s="136"/>
    </row>
    <row r="58417" spans="1:2" x14ac:dyDescent="0.25">
      <c r="A58417" s="118"/>
      <c r="B58417" s="136"/>
    </row>
    <row r="58418" spans="1:2" x14ac:dyDescent="0.25">
      <c r="A58418" s="118"/>
      <c r="B58418" s="136"/>
    </row>
    <row r="58419" spans="1:2" x14ac:dyDescent="0.25">
      <c r="A58419" s="118"/>
      <c r="B58419" s="136"/>
    </row>
    <row r="58420" spans="1:2" x14ac:dyDescent="0.25">
      <c r="A58420" s="118"/>
      <c r="B58420" s="136"/>
    </row>
    <row r="58421" spans="1:2" x14ac:dyDescent="0.25">
      <c r="A58421" s="118"/>
      <c r="B58421" s="136"/>
    </row>
    <row r="58422" spans="1:2" x14ac:dyDescent="0.25">
      <c r="A58422" s="118"/>
      <c r="B58422" s="136"/>
    </row>
    <row r="58423" spans="1:2" x14ac:dyDescent="0.25">
      <c r="A58423" s="118"/>
      <c r="B58423" s="136"/>
    </row>
    <row r="58424" spans="1:2" x14ac:dyDescent="0.25">
      <c r="A58424" s="118"/>
      <c r="B58424" s="136"/>
    </row>
    <row r="58425" spans="1:2" x14ac:dyDescent="0.25">
      <c r="A58425" s="118"/>
      <c r="B58425" s="136"/>
    </row>
    <row r="58426" spans="1:2" x14ac:dyDescent="0.25">
      <c r="A58426" s="118"/>
      <c r="B58426" s="136"/>
    </row>
    <row r="58427" spans="1:2" x14ac:dyDescent="0.25">
      <c r="A58427" s="118"/>
      <c r="B58427" s="136"/>
    </row>
    <row r="58428" spans="1:2" x14ac:dyDescent="0.25">
      <c r="A58428" s="118"/>
      <c r="B58428" s="136"/>
    </row>
    <row r="58429" spans="1:2" x14ac:dyDescent="0.25">
      <c r="A58429" s="118"/>
      <c r="B58429" s="136"/>
    </row>
    <row r="58430" spans="1:2" x14ac:dyDescent="0.25">
      <c r="A58430" s="118"/>
      <c r="B58430" s="136"/>
    </row>
    <row r="58431" spans="1:2" x14ac:dyDescent="0.25">
      <c r="A58431" s="118"/>
      <c r="B58431" s="136"/>
    </row>
    <row r="58432" spans="1:2" x14ac:dyDescent="0.25">
      <c r="A58432" s="118"/>
      <c r="B58432" s="136"/>
    </row>
    <row r="58433" spans="1:2" x14ac:dyDescent="0.25">
      <c r="A58433" s="118"/>
      <c r="B58433" s="136"/>
    </row>
    <row r="58434" spans="1:2" x14ac:dyDescent="0.25">
      <c r="A58434" s="118"/>
      <c r="B58434" s="136"/>
    </row>
    <row r="58435" spans="1:2" x14ac:dyDescent="0.25">
      <c r="A58435" s="118"/>
      <c r="B58435" s="136"/>
    </row>
    <row r="58436" spans="1:2" x14ac:dyDescent="0.25">
      <c r="A58436" s="118"/>
      <c r="B58436" s="136"/>
    </row>
    <row r="58437" spans="1:2" x14ac:dyDescent="0.25">
      <c r="A58437" s="118"/>
      <c r="B58437" s="136"/>
    </row>
    <row r="58438" spans="1:2" x14ac:dyDescent="0.25">
      <c r="A58438" s="118"/>
      <c r="B58438" s="136"/>
    </row>
    <row r="58439" spans="1:2" x14ac:dyDescent="0.25">
      <c r="A58439" s="118"/>
      <c r="B58439" s="136"/>
    </row>
    <row r="58440" spans="1:2" x14ac:dyDescent="0.25">
      <c r="A58440" s="118"/>
      <c r="B58440" s="136"/>
    </row>
    <row r="58441" spans="1:2" x14ac:dyDescent="0.25">
      <c r="A58441" s="118"/>
      <c r="B58441" s="136"/>
    </row>
    <row r="58442" spans="1:2" x14ac:dyDescent="0.25">
      <c r="A58442" s="118"/>
      <c r="B58442" s="136"/>
    </row>
    <row r="58443" spans="1:2" x14ac:dyDescent="0.25">
      <c r="A58443" s="118"/>
      <c r="B58443" s="136"/>
    </row>
    <row r="58444" spans="1:2" x14ac:dyDescent="0.25">
      <c r="A58444" s="118"/>
      <c r="B58444" s="136"/>
    </row>
    <row r="58445" spans="1:2" x14ac:dyDescent="0.25">
      <c r="A58445" s="118"/>
      <c r="B58445" s="136"/>
    </row>
    <row r="58446" spans="1:2" x14ac:dyDescent="0.25">
      <c r="A58446" s="118"/>
      <c r="B58446" s="136"/>
    </row>
    <row r="58447" spans="1:2" x14ac:dyDescent="0.25">
      <c r="A58447" s="118"/>
      <c r="B58447" s="136"/>
    </row>
    <row r="58448" spans="1:2" x14ac:dyDescent="0.25">
      <c r="A58448" s="118"/>
      <c r="B58448" s="136"/>
    </row>
    <row r="58449" spans="1:2" x14ac:dyDescent="0.25">
      <c r="A58449" s="118"/>
      <c r="B58449" s="136"/>
    </row>
    <row r="58450" spans="1:2" x14ac:dyDescent="0.25">
      <c r="A58450" s="118"/>
      <c r="B58450" s="136"/>
    </row>
    <row r="58451" spans="1:2" x14ac:dyDescent="0.25">
      <c r="A58451" s="118"/>
      <c r="B58451" s="136"/>
    </row>
    <row r="58452" spans="1:2" x14ac:dyDescent="0.25">
      <c r="A58452" s="118"/>
      <c r="B58452" s="136"/>
    </row>
    <row r="58453" spans="1:2" x14ac:dyDescent="0.25">
      <c r="A58453" s="118"/>
      <c r="B58453" s="136"/>
    </row>
    <row r="58454" spans="1:2" x14ac:dyDescent="0.25">
      <c r="A58454" s="118"/>
      <c r="B58454" s="136"/>
    </row>
    <row r="58455" spans="1:2" x14ac:dyDescent="0.25">
      <c r="A58455" s="118"/>
      <c r="B58455" s="136"/>
    </row>
    <row r="58456" spans="1:2" x14ac:dyDescent="0.25">
      <c r="A58456" s="118"/>
      <c r="B58456" s="136"/>
    </row>
    <row r="58457" spans="1:2" x14ac:dyDescent="0.25">
      <c r="A58457" s="118"/>
      <c r="B58457" s="136"/>
    </row>
    <row r="58458" spans="1:2" x14ac:dyDescent="0.25">
      <c r="A58458" s="118"/>
      <c r="B58458" s="136"/>
    </row>
    <row r="58459" spans="1:2" x14ac:dyDescent="0.25">
      <c r="A58459" s="118"/>
      <c r="B58459" s="136"/>
    </row>
    <row r="58460" spans="1:2" x14ac:dyDescent="0.25">
      <c r="A58460" s="118"/>
      <c r="B58460" s="136"/>
    </row>
    <row r="58461" spans="1:2" x14ac:dyDescent="0.25">
      <c r="A58461" s="118"/>
      <c r="B58461" s="136"/>
    </row>
    <row r="58462" spans="1:2" x14ac:dyDescent="0.25">
      <c r="A58462" s="118"/>
      <c r="B58462" s="136"/>
    </row>
    <row r="58463" spans="1:2" x14ac:dyDescent="0.25">
      <c r="A58463" s="118"/>
      <c r="B58463" s="136"/>
    </row>
    <row r="58464" spans="1:2" x14ac:dyDescent="0.25">
      <c r="A58464" s="118"/>
      <c r="B58464" s="136"/>
    </row>
    <row r="58465" spans="1:2" x14ac:dyDescent="0.25">
      <c r="A58465" s="118"/>
      <c r="B58465" s="136"/>
    </row>
    <row r="58466" spans="1:2" x14ac:dyDescent="0.25">
      <c r="A58466" s="118"/>
      <c r="B58466" s="136"/>
    </row>
    <row r="58467" spans="1:2" x14ac:dyDescent="0.25">
      <c r="A58467" s="118"/>
      <c r="B58467" s="136"/>
    </row>
    <row r="58468" spans="1:2" x14ac:dyDescent="0.25">
      <c r="A58468" s="118"/>
      <c r="B58468" s="136"/>
    </row>
    <row r="58469" spans="1:2" x14ac:dyDescent="0.25">
      <c r="A58469" s="118"/>
      <c r="B58469" s="136"/>
    </row>
    <row r="58470" spans="1:2" x14ac:dyDescent="0.25">
      <c r="A58470" s="118"/>
      <c r="B58470" s="136"/>
    </row>
    <row r="58471" spans="1:2" x14ac:dyDescent="0.25">
      <c r="A58471" s="118"/>
      <c r="B58471" s="136"/>
    </row>
    <row r="58472" spans="1:2" x14ac:dyDescent="0.25">
      <c r="A58472" s="118"/>
      <c r="B58472" s="136"/>
    </row>
    <row r="58473" spans="1:2" x14ac:dyDescent="0.25">
      <c r="A58473" s="118"/>
      <c r="B58473" s="136"/>
    </row>
    <row r="58474" spans="1:2" x14ac:dyDescent="0.25">
      <c r="A58474" s="118"/>
      <c r="B58474" s="136"/>
    </row>
    <row r="58475" spans="1:2" x14ac:dyDescent="0.25">
      <c r="A58475" s="118"/>
      <c r="B58475" s="136"/>
    </row>
    <row r="58476" spans="1:2" x14ac:dyDescent="0.25">
      <c r="A58476" s="118"/>
      <c r="B58476" s="136"/>
    </row>
    <row r="58477" spans="1:2" x14ac:dyDescent="0.25">
      <c r="A58477" s="118"/>
      <c r="B58477" s="136"/>
    </row>
    <row r="58478" spans="1:2" x14ac:dyDescent="0.25">
      <c r="A58478" s="118"/>
      <c r="B58478" s="136"/>
    </row>
    <row r="58479" spans="1:2" x14ac:dyDescent="0.25">
      <c r="A58479" s="118"/>
      <c r="B58479" s="136"/>
    </row>
    <row r="58480" spans="1:2" x14ac:dyDescent="0.25">
      <c r="A58480" s="118"/>
      <c r="B58480" s="136"/>
    </row>
    <row r="58481" spans="1:2" x14ac:dyDescent="0.25">
      <c r="A58481" s="118"/>
      <c r="B58481" s="136"/>
    </row>
    <row r="58482" spans="1:2" x14ac:dyDescent="0.25">
      <c r="A58482" s="118"/>
      <c r="B58482" s="136"/>
    </row>
    <row r="58483" spans="1:2" x14ac:dyDescent="0.25">
      <c r="A58483" s="118"/>
      <c r="B58483" s="136"/>
    </row>
    <row r="58484" spans="1:2" x14ac:dyDescent="0.25">
      <c r="A58484" s="118"/>
      <c r="B58484" s="136"/>
    </row>
    <row r="58485" spans="1:2" x14ac:dyDescent="0.25">
      <c r="A58485" s="118"/>
      <c r="B58485" s="136"/>
    </row>
    <row r="58486" spans="1:2" x14ac:dyDescent="0.25">
      <c r="A58486" s="118"/>
      <c r="B58486" s="136"/>
    </row>
    <row r="58487" spans="1:2" x14ac:dyDescent="0.25">
      <c r="A58487" s="118"/>
      <c r="B58487" s="136"/>
    </row>
    <row r="58488" spans="1:2" x14ac:dyDescent="0.25">
      <c r="A58488" s="118"/>
      <c r="B58488" s="136"/>
    </row>
    <row r="58489" spans="1:2" x14ac:dyDescent="0.25">
      <c r="A58489" s="118"/>
      <c r="B58489" s="136"/>
    </row>
    <row r="58490" spans="1:2" x14ac:dyDescent="0.25">
      <c r="A58490" s="118"/>
      <c r="B58490" s="136"/>
    </row>
    <row r="58491" spans="1:2" x14ac:dyDescent="0.25">
      <c r="A58491" s="118"/>
      <c r="B58491" s="136"/>
    </row>
    <row r="58492" spans="1:2" x14ac:dyDescent="0.25">
      <c r="A58492" s="118"/>
      <c r="B58492" s="136"/>
    </row>
    <row r="58493" spans="1:2" x14ac:dyDescent="0.25">
      <c r="A58493" s="118"/>
      <c r="B58493" s="136"/>
    </row>
    <row r="58494" spans="1:2" x14ac:dyDescent="0.25">
      <c r="A58494" s="118"/>
      <c r="B58494" s="136"/>
    </row>
    <row r="58495" spans="1:2" x14ac:dyDescent="0.25">
      <c r="A58495" s="118"/>
      <c r="B58495" s="136"/>
    </row>
    <row r="58496" spans="1:2" x14ac:dyDescent="0.25">
      <c r="A58496" s="118"/>
      <c r="B58496" s="136"/>
    </row>
    <row r="58497" spans="1:2" x14ac:dyDescent="0.25">
      <c r="A58497" s="118"/>
      <c r="B58497" s="136"/>
    </row>
    <row r="58498" spans="1:2" x14ac:dyDescent="0.25">
      <c r="A58498" s="118"/>
      <c r="B58498" s="136"/>
    </row>
    <row r="58499" spans="1:2" x14ac:dyDescent="0.25">
      <c r="A58499" s="118"/>
      <c r="B58499" s="136"/>
    </row>
    <row r="58500" spans="1:2" x14ac:dyDescent="0.25">
      <c r="A58500" s="118"/>
      <c r="B58500" s="136"/>
    </row>
    <row r="58501" spans="1:2" x14ac:dyDescent="0.25">
      <c r="A58501" s="118"/>
      <c r="B58501" s="136"/>
    </row>
    <row r="58502" spans="1:2" x14ac:dyDescent="0.25">
      <c r="A58502" s="118"/>
      <c r="B58502" s="136"/>
    </row>
    <row r="58503" spans="1:2" x14ac:dyDescent="0.25">
      <c r="A58503" s="118"/>
      <c r="B58503" s="136"/>
    </row>
    <row r="58504" spans="1:2" x14ac:dyDescent="0.25">
      <c r="A58504" s="118"/>
      <c r="B58504" s="136"/>
    </row>
    <row r="58505" spans="1:2" x14ac:dyDescent="0.25">
      <c r="A58505" s="118"/>
      <c r="B58505" s="136"/>
    </row>
    <row r="58506" spans="1:2" x14ac:dyDescent="0.25">
      <c r="A58506" s="118"/>
      <c r="B58506" s="136"/>
    </row>
    <row r="58507" spans="1:2" x14ac:dyDescent="0.25">
      <c r="A58507" s="118"/>
      <c r="B58507" s="136"/>
    </row>
    <row r="58508" spans="1:2" x14ac:dyDescent="0.25">
      <c r="A58508" s="118"/>
      <c r="B58508" s="136"/>
    </row>
    <row r="58509" spans="1:2" x14ac:dyDescent="0.25">
      <c r="A58509" s="118"/>
      <c r="B58509" s="136"/>
    </row>
    <row r="58510" spans="1:2" x14ac:dyDescent="0.25">
      <c r="A58510" s="118"/>
      <c r="B58510" s="136"/>
    </row>
    <row r="58511" spans="1:2" x14ac:dyDescent="0.25">
      <c r="A58511" s="118"/>
      <c r="B58511" s="136"/>
    </row>
    <row r="58512" spans="1:2" x14ac:dyDescent="0.25">
      <c r="A58512" s="118"/>
      <c r="B58512" s="136"/>
    </row>
    <row r="58513" spans="1:2" x14ac:dyDescent="0.25">
      <c r="A58513" s="118"/>
      <c r="B58513" s="136"/>
    </row>
    <row r="58514" spans="1:2" x14ac:dyDescent="0.25">
      <c r="A58514" s="118"/>
      <c r="B58514" s="136"/>
    </row>
    <row r="58515" spans="1:2" x14ac:dyDescent="0.25">
      <c r="A58515" s="118"/>
      <c r="B58515" s="136"/>
    </row>
    <row r="58516" spans="1:2" x14ac:dyDescent="0.25">
      <c r="A58516" s="118"/>
      <c r="B58516" s="136"/>
    </row>
    <row r="58517" spans="1:2" x14ac:dyDescent="0.25">
      <c r="A58517" s="118"/>
      <c r="B58517" s="136"/>
    </row>
    <row r="58518" spans="1:2" x14ac:dyDescent="0.25">
      <c r="A58518" s="118"/>
      <c r="B58518" s="136"/>
    </row>
    <row r="58519" spans="1:2" x14ac:dyDescent="0.25">
      <c r="A58519" s="118"/>
      <c r="B58519" s="136"/>
    </row>
    <row r="58520" spans="1:2" x14ac:dyDescent="0.25">
      <c r="A58520" s="118"/>
      <c r="B58520" s="136"/>
    </row>
    <row r="58521" spans="1:2" x14ac:dyDescent="0.25">
      <c r="A58521" s="118"/>
      <c r="B58521" s="136"/>
    </row>
    <row r="58522" spans="1:2" x14ac:dyDescent="0.25">
      <c r="A58522" s="118"/>
      <c r="B58522" s="136"/>
    </row>
    <row r="58523" spans="1:2" x14ac:dyDescent="0.25">
      <c r="A58523" s="118"/>
      <c r="B58523" s="136"/>
    </row>
    <row r="58524" spans="1:2" x14ac:dyDescent="0.25">
      <c r="A58524" s="118"/>
      <c r="B58524" s="136"/>
    </row>
    <row r="58525" spans="1:2" x14ac:dyDescent="0.25">
      <c r="A58525" s="118"/>
      <c r="B58525" s="136"/>
    </row>
    <row r="58526" spans="1:2" x14ac:dyDescent="0.25">
      <c r="A58526" s="118"/>
      <c r="B58526" s="136"/>
    </row>
    <row r="58527" spans="1:2" x14ac:dyDescent="0.25">
      <c r="A58527" s="118"/>
      <c r="B58527" s="136"/>
    </row>
    <row r="58528" spans="1:2" x14ac:dyDescent="0.25">
      <c r="A58528" s="118"/>
      <c r="B58528" s="136"/>
    </row>
    <row r="58529" spans="1:2" x14ac:dyDescent="0.25">
      <c r="A58529" s="118"/>
      <c r="B58529" s="136"/>
    </row>
    <row r="58530" spans="1:2" x14ac:dyDescent="0.25">
      <c r="A58530" s="118"/>
      <c r="B58530" s="136"/>
    </row>
    <row r="58531" spans="1:2" x14ac:dyDescent="0.25">
      <c r="A58531" s="118"/>
      <c r="B58531" s="136"/>
    </row>
    <row r="58532" spans="1:2" x14ac:dyDescent="0.25">
      <c r="A58532" s="118"/>
      <c r="B58532" s="136"/>
    </row>
    <row r="58533" spans="1:2" x14ac:dyDescent="0.25">
      <c r="A58533" s="118"/>
      <c r="B58533" s="136"/>
    </row>
    <row r="58534" spans="1:2" x14ac:dyDescent="0.25">
      <c r="A58534" s="118"/>
      <c r="B58534" s="136"/>
    </row>
    <row r="58535" spans="1:2" x14ac:dyDescent="0.25">
      <c r="A58535" s="118"/>
      <c r="B58535" s="136"/>
    </row>
    <row r="58536" spans="1:2" x14ac:dyDescent="0.25">
      <c r="A58536" s="118"/>
      <c r="B58536" s="136"/>
    </row>
    <row r="58537" spans="1:2" x14ac:dyDescent="0.25">
      <c r="A58537" s="118"/>
      <c r="B58537" s="136"/>
    </row>
    <row r="58538" spans="1:2" x14ac:dyDescent="0.25">
      <c r="A58538" s="118"/>
      <c r="B58538" s="136"/>
    </row>
    <row r="58539" spans="1:2" x14ac:dyDescent="0.25">
      <c r="A58539" s="118"/>
      <c r="B58539" s="136"/>
    </row>
    <row r="58540" spans="1:2" x14ac:dyDescent="0.25">
      <c r="A58540" s="118"/>
      <c r="B58540" s="136"/>
    </row>
    <row r="58541" spans="1:2" x14ac:dyDescent="0.25">
      <c r="A58541" s="118"/>
      <c r="B58541" s="136"/>
    </row>
    <row r="58542" spans="1:2" x14ac:dyDescent="0.25">
      <c r="A58542" s="118"/>
      <c r="B58542" s="136"/>
    </row>
    <row r="58543" spans="1:2" x14ac:dyDescent="0.25">
      <c r="A58543" s="118"/>
      <c r="B58543" s="136"/>
    </row>
    <row r="58544" spans="1:2" x14ac:dyDescent="0.25">
      <c r="A58544" s="118"/>
      <c r="B58544" s="136"/>
    </row>
    <row r="58545" spans="1:2" x14ac:dyDescent="0.25">
      <c r="A58545" s="118"/>
      <c r="B58545" s="136"/>
    </row>
    <row r="58546" spans="1:2" x14ac:dyDescent="0.25">
      <c r="A58546" s="118"/>
      <c r="B58546" s="136"/>
    </row>
    <row r="58547" spans="1:2" x14ac:dyDescent="0.25">
      <c r="A58547" s="118"/>
      <c r="B58547" s="136"/>
    </row>
    <row r="58548" spans="1:2" x14ac:dyDescent="0.25">
      <c r="A58548" s="118"/>
      <c r="B58548" s="136"/>
    </row>
    <row r="58549" spans="1:2" x14ac:dyDescent="0.25">
      <c r="A58549" s="118"/>
      <c r="B58549" s="136"/>
    </row>
    <row r="58550" spans="1:2" x14ac:dyDescent="0.25">
      <c r="A58550" s="118"/>
      <c r="B58550" s="136"/>
    </row>
    <row r="58551" spans="1:2" x14ac:dyDescent="0.25">
      <c r="A58551" s="118"/>
      <c r="B58551" s="136"/>
    </row>
    <row r="58552" spans="1:2" x14ac:dyDescent="0.25">
      <c r="A58552" s="118"/>
      <c r="B58552" s="136"/>
    </row>
    <row r="58553" spans="1:2" x14ac:dyDescent="0.25">
      <c r="A58553" s="118"/>
      <c r="B58553" s="136"/>
    </row>
    <row r="58554" spans="1:2" x14ac:dyDescent="0.25">
      <c r="A58554" s="118"/>
      <c r="B58554" s="136"/>
    </row>
    <row r="58555" spans="1:2" x14ac:dyDescent="0.25">
      <c r="A58555" s="118"/>
      <c r="B58555" s="136"/>
    </row>
    <row r="58556" spans="1:2" x14ac:dyDescent="0.25">
      <c r="A58556" s="118"/>
      <c r="B58556" s="136"/>
    </row>
    <row r="58557" spans="1:2" x14ac:dyDescent="0.25">
      <c r="A58557" s="118"/>
      <c r="B58557" s="136"/>
    </row>
    <row r="58558" spans="1:2" x14ac:dyDescent="0.25">
      <c r="A58558" s="118"/>
      <c r="B58558" s="136"/>
    </row>
    <row r="58559" spans="1:2" x14ac:dyDescent="0.25">
      <c r="A58559" s="118"/>
      <c r="B58559" s="136"/>
    </row>
    <row r="58560" spans="1:2" x14ac:dyDescent="0.25">
      <c r="A58560" s="118"/>
      <c r="B58560" s="136"/>
    </row>
    <row r="58561" spans="1:2" x14ac:dyDescent="0.25">
      <c r="A58561" s="118"/>
      <c r="B58561" s="136"/>
    </row>
    <row r="58562" spans="1:2" x14ac:dyDescent="0.25">
      <c r="A58562" s="118"/>
      <c r="B58562" s="136"/>
    </row>
    <row r="58563" spans="1:2" x14ac:dyDescent="0.25">
      <c r="A58563" s="118"/>
      <c r="B58563" s="136"/>
    </row>
    <row r="58564" spans="1:2" x14ac:dyDescent="0.25">
      <c r="A58564" s="118"/>
      <c r="B58564" s="136"/>
    </row>
    <row r="58565" spans="1:2" x14ac:dyDescent="0.25">
      <c r="A58565" s="118"/>
      <c r="B58565" s="136"/>
    </row>
    <row r="58566" spans="1:2" x14ac:dyDescent="0.25">
      <c r="A58566" s="118"/>
      <c r="B58566" s="136"/>
    </row>
    <row r="58567" spans="1:2" x14ac:dyDescent="0.25">
      <c r="A58567" s="118"/>
      <c r="B58567" s="136"/>
    </row>
    <row r="58568" spans="1:2" x14ac:dyDescent="0.25">
      <c r="A58568" s="118"/>
      <c r="B58568" s="136"/>
    </row>
    <row r="58569" spans="1:2" x14ac:dyDescent="0.25">
      <c r="A58569" s="118"/>
      <c r="B58569" s="136"/>
    </row>
    <row r="58570" spans="1:2" x14ac:dyDescent="0.25">
      <c r="A58570" s="118"/>
      <c r="B58570" s="136"/>
    </row>
    <row r="58571" spans="1:2" x14ac:dyDescent="0.25">
      <c r="A58571" s="118"/>
      <c r="B58571" s="136"/>
    </row>
    <row r="58572" spans="1:2" x14ac:dyDescent="0.25">
      <c r="A58572" s="118"/>
      <c r="B58572" s="136"/>
    </row>
    <row r="58573" spans="1:2" x14ac:dyDescent="0.25">
      <c r="A58573" s="118"/>
      <c r="B58573" s="136"/>
    </row>
    <row r="58574" spans="1:2" x14ac:dyDescent="0.25">
      <c r="A58574" s="118"/>
      <c r="B58574" s="136"/>
    </row>
    <row r="58575" spans="1:2" x14ac:dyDescent="0.25">
      <c r="A58575" s="118"/>
      <c r="B58575" s="136"/>
    </row>
    <row r="58576" spans="1:2" x14ac:dyDescent="0.25">
      <c r="A58576" s="118"/>
      <c r="B58576" s="136"/>
    </row>
    <row r="58577" spans="1:2" x14ac:dyDescent="0.25">
      <c r="A58577" s="118"/>
      <c r="B58577" s="136"/>
    </row>
    <row r="58578" spans="1:2" x14ac:dyDescent="0.25">
      <c r="A58578" s="118"/>
      <c r="B58578" s="136"/>
    </row>
    <row r="58579" spans="1:2" x14ac:dyDescent="0.25">
      <c r="A58579" s="118"/>
      <c r="B58579" s="136"/>
    </row>
    <row r="58580" spans="1:2" x14ac:dyDescent="0.25">
      <c r="A58580" s="118"/>
      <c r="B58580" s="136"/>
    </row>
    <row r="58581" spans="1:2" x14ac:dyDescent="0.25">
      <c r="A58581" s="118"/>
      <c r="B58581" s="136"/>
    </row>
    <row r="58582" spans="1:2" x14ac:dyDescent="0.25">
      <c r="A58582" s="118"/>
      <c r="B58582" s="136"/>
    </row>
    <row r="58583" spans="1:2" x14ac:dyDescent="0.25">
      <c r="A58583" s="118"/>
      <c r="B58583" s="136"/>
    </row>
    <row r="58584" spans="1:2" x14ac:dyDescent="0.25">
      <c r="A58584" s="118"/>
      <c r="B58584" s="136"/>
    </row>
    <row r="58585" spans="1:2" x14ac:dyDescent="0.25">
      <c r="A58585" s="118"/>
      <c r="B58585" s="136"/>
    </row>
    <row r="58586" spans="1:2" x14ac:dyDescent="0.25">
      <c r="A58586" s="118"/>
      <c r="B58586" s="136"/>
    </row>
    <row r="58587" spans="1:2" x14ac:dyDescent="0.25">
      <c r="A58587" s="118"/>
      <c r="B58587" s="136"/>
    </row>
    <row r="58588" spans="1:2" x14ac:dyDescent="0.25">
      <c r="A58588" s="118"/>
      <c r="B58588" s="136"/>
    </row>
    <row r="58589" spans="1:2" x14ac:dyDescent="0.25">
      <c r="A58589" s="118"/>
      <c r="B58589" s="136"/>
    </row>
    <row r="58590" spans="1:2" x14ac:dyDescent="0.25">
      <c r="A58590" s="118"/>
      <c r="B58590" s="136"/>
    </row>
    <row r="58591" spans="1:2" x14ac:dyDescent="0.25">
      <c r="A58591" s="118"/>
      <c r="B58591" s="136"/>
    </row>
    <row r="58592" spans="1:2" x14ac:dyDescent="0.25">
      <c r="A58592" s="118"/>
      <c r="B58592" s="136"/>
    </row>
    <row r="58593" spans="1:2" x14ac:dyDescent="0.25">
      <c r="A58593" s="118"/>
      <c r="B58593" s="136"/>
    </row>
    <row r="58594" spans="1:2" x14ac:dyDescent="0.25">
      <c r="A58594" s="118"/>
      <c r="B58594" s="136"/>
    </row>
    <row r="58595" spans="1:2" x14ac:dyDescent="0.25">
      <c r="A58595" s="118"/>
      <c r="B58595" s="136"/>
    </row>
    <row r="58596" spans="1:2" x14ac:dyDescent="0.25">
      <c r="A58596" s="118"/>
      <c r="B58596" s="136"/>
    </row>
    <row r="58597" spans="1:2" x14ac:dyDescent="0.25">
      <c r="A58597" s="118"/>
      <c r="B58597" s="136"/>
    </row>
    <row r="58598" spans="1:2" x14ac:dyDescent="0.25">
      <c r="A58598" s="118"/>
      <c r="B58598" s="136"/>
    </row>
    <row r="58599" spans="1:2" x14ac:dyDescent="0.25">
      <c r="A58599" s="118"/>
      <c r="B58599" s="136"/>
    </row>
    <row r="58600" spans="1:2" x14ac:dyDescent="0.25">
      <c r="A58600" s="118"/>
      <c r="B58600" s="136"/>
    </row>
    <row r="58601" spans="1:2" x14ac:dyDescent="0.25">
      <c r="A58601" s="118"/>
      <c r="B58601" s="136"/>
    </row>
    <row r="58602" spans="1:2" x14ac:dyDescent="0.25">
      <c r="A58602" s="118"/>
      <c r="B58602" s="136"/>
    </row>
    <row r="58603" spans="1:2" x14ac:dyDescent="0.25">
      <c r="A58603" s="118"/>
      <c r="B58603" s="136"/>
    </row>
    <row r="58604" spans="1:2" x14ac:dyDescent="0.25">
      <c r="A58604" s="118"/>
      <c r="B58604" s="136"/>
    </row>
    <row r="58605" spans="1:2" x14ac:dyDescent="0.25">
      <c r="A58605" s="118"/>
      <c r="B58605" s="136"/>
    </row>
    <row r="58606" spans="1:2" x14ac:dyDescent="0.25">
      <c r="A58606" s="118"/>
      <c r="B58606" s="136"/>
    </row>
    <row r="58607" spans="1:2" x14ac:dyDescent="0.25">
      <c r="A58607" s="118"/>
      <c r="B58607" s="136"/>
    </row>
    <row r="58608" spans="1:2" x14ac:dyDescent="0.25">
      <c r="A58608" s="118"/>
      <c r="B58608" s="136"/>
    </row>
    <row r="58609" spans="1:2" x14ac:dyDescent="0.25">
      <c r="A58609" s="118"/>
      <c r="B58609" s="136"/>
    </row>
    <row r="58610" spans="1:2" x14ac:dyDescent="0.25">
      <c r="A58610" s="118"/>
      <c r="B58610" s="136"/>
    </row>
    <row r="58611" spans="1:2" x14ac:dyDescent="0.25">
      <c r="A58611" s="118"/>
      <c r="B58611" s="136"/>
    </row>
    <row r="58612" spans="1:2" x14ac:dyDescent="0.25">
      <c r="A58612" s="118"/>
      <c r="B58612" s="136"/>
    </row>
    <row r="58613" spans="1:2" x14ac:dyDescent="0.25">
      <c r="A58613" s="118"/>
      <c r="B58613" s="136"/>
    </row>
    <row r="58614" spans="1:2" x14ac:dyDescent="0.25">
      <c r="A58614" s="118"/>
      <c r="B58614" s="136"/>
    </row>
    <row r="58615" spans="1:2" x14ac:dyDescent="0.25">
      <c r="A58615" s="118"/>
      <c r="B58615" s="136"/>
    </row>
    <row r="58616" spans="1:2" x14ac:dyDescent="0.25">
      <c r="A58616" s="118"/>
      <c r="B58616" s="136"/>
    </row>
    <row r="58617" spans="1:2" x14ac:dyDescent="0.25">
      <c r="A58617" s="118"/>
      <c r="B58617" s="136"/>
    </row>
    <row r="58618" spans="1:2" x14ac:dyDescent="0.25">
      <c r="A58618" s="118"/>
      <c r="B58618" s="136"/>
    </row>
    <row r="58619" spans="1:2" x14ac:dyDescent="0.25">
      <c r="A58619" s="118"/>
      <c r="B58619" s="136"/>
    </row>
    <row r="58620" spans="1:2" x14ac:dyDescent="0.25">
      <c r="A58620" s="118"/>
      <c r="B58620" s="136"/>
    </row>
    <row r="58621" spans="1:2" x14ac:dyDescent="0.25">
      <c r="A58621" s="118"/>
      <c r="B58621" s="136"/>
    </row>
    <row r="58622" spans="1:2" x14ac:dyDescent="0.25">
      <c r="A58622" s="118"/>
      <c r="B58622" s="136"/>
    </row>
    <row r="58623" spans="1:2" x14ac:dyDescent="0.25">
      <c r="A58623" s="118"/>
      <c r="B58623" s="136"/>
    </row>
    <row r="58624" spans="1:2" x14ac:dyDescent="0.25">
      <c r="A58624" s="118"/>
      <c r="B58624" s="136"/>
    </row>
    <row r="58625" spans="1:2" x14ac:dyDescent="0.25">
      <c r="A58625" s="118"/>
      <c r="B58625" s="136"/>
    </row>
    <row r="58626" spans="1:2" x14ac:dyDescent="0.25">
      <c r="A58626" s="118"/>
      <c r="B58626" s="136"/>
    </row>
    <row r="58627" spans="1:2" x14ac:dyDescent="0.25">
      <c r="A58627" s="118"/>
      <c r="B58627" s="136"/>
    </row>
    <row r="58628" spans="1:2" x14ac:dyDescent="0.25">
      <c r="A58628" s="118"/>
      <c r="B58628" s="136"/>
    </row>
    <row r="58629" spans="1:2" x14ac:dyDescent="0.25">
      <c r="A58629" s="118"/>
      <c r="B58629" s="136"/>
    </row>
    <row r="58630" spans="1:2" x14ac:dyDescent="0.25">
      <c r="A58630" s="118"/>
      <c r="B58630" s="136"/>
    </row>
    <row r="58631" spans="1:2" x14ac:dyDescent="0.25">
      <c r="A58631" s="118"/>
      <c r="B58631" s="136"/>
    </row>
    <row r="58632" spans="1:2" x14ac:dyDescent="0.25">
      <c r="A58632" s="118"/>
      <c r="B58632" s="136"/>
    </row>
    <row r="58633" spans="1:2" x14ac:dyDescent="0.25">
      <c r="A58633" s="118"/>
      <c r="B58633" s="136"/>
    </row>
    <row r="58634" spans="1:2" x14ac:dyDescent="0.25">
      <c r="A58634" s="118"/>
      <c r="B58634" s="136"/>
    </row>
    <row r="58635" spans="1:2" x14ac:dyDescent="0.25">
      <c r="A58635" s="118"/>
      <c r="B58635" s="136"/>
    </row>
    <row r="58636" spans="1:2" x14ac:dyDescent="0.25">
      <c r="A58636" s="118"/>
      <c r="B58636" s="136"/>
    </row>
    <row r="58637" spans="1:2" x14ac:dyDescent="0.25">
      <c r="A58637" s="118"/>
      <c r="B58637" s="136"/>
    </row>
    <row r="58638" spans="1:2" x14ac:dyDescent="0.25">
      <c r="A58638" s="118"/>
      <c r="B58638" s="136"/>
    </row>
    <row r="58639" spans="1:2" x14ac:dyDescent="0.25">
      <c r="A58639" s="118"/>
      <c r="B58639" s="136"/>
    </row>
    <row r="58640" spans="1:2" x14ac:dyDescent="0.25">
      <c r="A58640" s="118"/>
      <c r="B58640" s="136"/>
    </row>
    <row r="58641" spans="1:2" x14ac:dyDescent="0.25">
      <c r="A58641" s="118"/>
      <c r="B58641" s="136"/>
    </row>
    <row r="58642" spans="1:2" x14ac:dyDescent="0.25">
      <c r="A58642" s="118"/>
      <c r="B58642" s="136"/>
    </row>
    <row r="58643" spans="1:2" x14ac:dyDescent="0.25">
      <c r="A58643" s="118"/>
      <c r="B58643" s="136"/>
    </row>
    <row r="58644" spans="1:2" x14ac:dyDescent="0.25">
      <c r="A58644" s="118"/>
      <c r="B58644" s="136"/>
    </row>
    <row r="58645" spans="1:2" x14ac:dyDescent="0.25">
      <c r="A58645" s="118"/>
      <c r="B58645" s="136"/>
    </row>
    <row r="58646" spans="1:2" x14ac:dyDescent="0.25">
      <c r="A58646" s="118"/>
      <c r="B58646" s="136"/>
    </row>
    <row r="58647" spans="1:2" x14ac:dyDescent="0.25">
      <c r="A58647" s="118"/>
      <c r="B58647" s="136"/>
    </row>
    <row r="58648" spans="1:2" x14ac:dyDescent="0.25">
      <c r="A58648" s="118"/>
      <c r="B58648" s="136"/>
    </row>
    <row r="58649" spans="1:2" x14ac:dyDescent="0.25">
      <c r="A58649" s="118"/>
      <c r="B58649" s="136"/>
    </row>
    <row r="58650" spans="1:2" x14ac:dyDescent="0.25">
      <c r="A58650" s="118"/>
      <c r="B58650" s="136"/>
    </row>
    <row r="58651" spans="1:2" x14ac:dyDescent="0.25">
      <c r="A58651" s="118"/>
      <c r="B58651" s="136"/>
    </row>
    <row r="58652" spans="1:2" x14ac:dyDescent="0.25">
      <c r="A58652" s="118"/>
      <c r="B58652" s="136"/>
    </row>
    <row r="58653" spans="1:2" x14ac:dyDescent="0.25">
      <c r="A58653" s="118"/>
      <c r="B58653" s="136"/>
    </row>
    <row r="58654" spans="1:2" x14ac:dyDescent="0.25">
      <c r="A58654" s="118"/>
      <c r="B58654" s="136"/>
    </row>
    <row r="58655" spans="1:2" x14ac:dyDescent="0.25">
      <c r="A58655" s="118"/>
      <c r="B58655" s="136"/>
    </row>
    <row r="58656" spans="1:2" x14ac:dyDescent="0.25">
      <c r="A58656" s="118"/>
      <c r="B58656" s="136"/>
    </row>
    <row r="58657" spans="1:2" x14ac:dyDescent="0.25">
      <c r="A58657" s="118"/>
      <c r="B58657" s="136"/>
    </row>
    <row r="58658" spans="1:2" x14ac:dyDescent="0.25">
      <c r="A58658" s="118"/>
      <c r="B58658" s="136"/>
    </row>
    <row r="58659" spans="1:2" x14ac:dyDescent="0.25">
      <c r="A58659" s="118"/>
      <c r="B58659" s="136"/>
    </row>
    <row r="58660" spans="1:2" x14ac:dyDescent="0.25">
      <c r="A58660" s="118"/>
      <c r="B58660" s="136"/>
    </row>
    <row r="58661" spans="1:2" x14ac:dyDescent="0.25">
      <c r="A58661" s="118"/>
      <c r="B58661" s="136"/>
    </row>
    <row r="58662" spans="1:2" x14ac:dyDescent="0.25">
      <c r="A58662" s="118"/>
      <c r="B58662" s="136"/>
    </row>
    <row r="58663" spans="1:2" x14ac:dyDescent="0.25">
      <c r="A58663" s="118"/>
      <c r="B58663" s="136"/>
    </row>
    <row r="58664" spans="1:2" x14ac:dyDescent="0.25">
      <c r="A58664" s="118"/>
      <c r="B58664" s="136"/>
    </row>
    <row r="58665" spans="1:2" x14ac:dyDescent="0.25">
      <c r="A58665" s="118"/>
      <c r="B58665" s="136"/>
    </row>
    <row r="58666" spans="1:2" x14ac:dyDescent="0.25">
      <c r="A58666" s="118"/>
      <c r="B58666" s="136"/>
    </row>
    <row r="58667" spans="1:2" x14ac:dyDescent="0.25">
      <c r="A58667" s="118"/>
      <c r="B58667" s="136"/>
    </row>
    <row r="58668" spans="1:2" x14ac:dyDescent="0.25">
      <c r="A58668" s="118"/>
      <c r="B58668" s="136"/>
    </row>
    <row r="58669" spans="1:2" x14ac:dyDescent="0.25">
      <c r="A58669" s="118"/>
      <c r="B58669" s="136"/>
    </row>
    <row r="58670" spans="1:2" x14ac:dyDescent="0.25">
      <c r="A58670" s="118"/>
      <c r="B58670" s="136"/>
    </row>
    <row r="58671" spans="1:2" x14ac:dyDescent="0.25">
      <c r="A58671" s="118"/>
      <c r="B58671" s="136"/>
    </row>
    <row r="58672" spans="1:2" x14ac:dyDescent="0.25">
      <c r="A58672" s="118"/>
      <c r="B58672" s="136"/>
    </row>
    <row r="58673" spans="1:2" x14ac:dyDescent="0.25">
      <c r="A58673" s="118"/>
      <c r="B58673" s="136"/>
    </row>
    <row r="58674" spans="1:2" x14ac:dyDescent="0.25">
      <c r="A58674" s="118"/>
      <c r="B58674" s="136"/>
    </row>
    <row r="58675" spans="1:2" x14ac:dyDescent="0.25">
      <c r="A58675" s="118"/>
      <c r="B58675" s="136"/>
    </row>
    <row r="58676" spans="1:2" x14ac:dyDescent="0.25">
      <c r="A58676" s="118"/>
      <c r="B58676" s="136"/>
    </row>
    <row r="58677" spans="1:2" x14ac:dyDescent="0.25">
      <c r="A58677" s="118"/>
      <c r="B58677" s="136"/>
    </row>
    <row r="58678" spans="1:2" x14ac:dyDescent="0.25">
      <c r="A58678" s="118"/>
      <c r="B58678" s="136"/>
    </row>
    <row r="58679" spans="1:2" x14ac:dyDescent="0.25">
      <c r="A58679" s="118"/>
      <c r="B58679" s="136"/>
    </row>
    <row r="58680" spans="1:2" x14ac:dyDescent="0.25">
      <c r="A58680" s="118"/>
      <c r="B58680" s="136"/>
    </row>
    <row r="58681" spans="1:2" x14ac:dyDescent="0.25">
      <c r="A58681" s="118"/>
      <c r="B58681" s="136"/>
    </row>
    <row r="58682" spans="1:2" x14ac:dyDescent="0.25">
      <c r="A58682" s="118"/>
      <c r="B58682" s="136"/>
    </row>
    <row r="58683" spans="1:2" x14ac:dyDescent="0.25">
      <c r="A58683" s="118"/>
      <c r="B58683" s="136"/>
    </row>
    <row r="58684" spans="1:2" x14ac:dyDescent="0.25">
      <c r="A58684" s="118"/>
      <c r="B58684" s="136"/>
    </row>
    <row r="58685" spans="1:2" x14ac:dyDescent="0.25">
      <c r="A58685" s="118"/>
      <c r="B58685" s="136"/>
    </row>
    <row r="58686" spans="1:2" x14ac:dyDescent="0.25">
      <c r="A58686" s="118"/>
      <c r="B58686" s="136"/>
    </row>
    <row r="58687" spans="1:2" x14ac:dyDescent="0.25">
      <c r="A58687" s="118"/>
      <c r="B58687" s="136"/>
    </row>
    <row r="58688" spans="1:2" x14ac:dyDescent="0.25">
      <c r="A58688" s="118"/>
      <c r="B58688" s="136"/>
    </row>
    <row r="58689" spans="1:2" x14ac:dyDescent="0.25">
      <c r="A58689" s="118"/>
      <c r="B58689" s="136"/>
    </row>
    <row r="58690" spans="1:2" x14ac:dyDescent="0.25">
      <c r="A58690" s="118"/>
      <c r="B58690" s="136"/>
    </row>
    <row r="58691" spans="1:2" x14ac:dyDescent="0.25">
      <c r="A58691" s="118"/>
      <c r="B58691" s="136"/>
    </row>
    <row r="58692" spans="1:2" x14ac:dyDescent="0.25">
      <c r="A58692" s="118"/>
      <c r="B58692" s="136"/>
    </row>
    <row r="58693" spans="1:2" x14ac:dyDescent="0.25">
      <c r="A58693" s="118"/>
      <c r="B58693" s="136"/>
    </row>
    <row r="58694" spans="1:2" x14ac:dyDescent="0.25">
      <c r="A58694" s="118"/>
      <c r="B58694" s="136"/>
    </row>
    <row r="58695" spans="1:2" x14ac:dyDescent="0.25">
      <c r="A58695" s="118"/>
      <c r="B58695" s="136"/>
    </row>
    <row r="58696" spans="1:2" x14ac:dyDescent="0.25">
      <c r="A58696" s="118"/>
      <c r="B58696" s="136"/>
    </row>
    <row r="58697" spans="1:2" x14ac:dyDescent="0.25">
      <c r="A58697" s="118"/>
      <c r="B58697" s="136"/>
    </row>
    <row r="58698" spans="1:2" x14ac:dyDescent="0.25">
      <c r="A58698" s="118"/>
      <c r="B58698" s="136"/>
    </row>
    <row r="58699" spans="1:2" x14ac:dyDescent="0.25">
      <c r="A58699" s="118"/>
      <c r="B58699" s="136"/>
    </row>
    <row r="58700" spans="1:2" x14ac:dyDescent="0.25">
      <c r="A58700" s="118"/>
      <c r="B58700" s="136"/>
    </row>
    <row r="58701" spans="1:2" x14ac:dyDescent="0.25">
      <c r="A58701" s="118"/>
      <c r="B58701" s="136"/>
    </row>
    <row r="58702" spans="1:2" x14ac:dyDescent="0.25">
      <c r="A58702" s="118"/>
      <c r="B58702" s="136"/>
    </row>
    <row r="58703" spans="1:2" x14ac:dyDescent="0.25">
      <c r="A58703" s="118"/>
      <c r="B58703" s="136"/>
    </row>
    <row r="58704" spans="1:2" x14ac:dyDescent="0.25">
      <c r="A58704" s="118"/>
      <c r="B58704" s="136"/>
    </row>
    <row r="58705" spans="1:2" x14ac:dyDescent="0.25">
      <c r="A58705" s="118"/>
      <c r="B58705" s="136"/>
    </row>
    <row r="58706" spans="1:2" x14ac:dyDescent="0.25">
      <c r="A58706" s="118"/>
      <c r="B58706" s="136"/>
    </row>
    <row r="58707" spans="1:2" x14ac:dyDescent="0.25">
      <c r="A58707" s="118"/>
      <c r="B58707" s="136"/>
    </row>
    <row r="58708" spans="1:2" x14ac:dyDescent="0.25">
      <c r="A58708" s="118"/>
      <c r="B58708" s="136"/>
    </row>
    <row r="58709" spans="1:2" x14ac:dyDescent="0.25">
      <c r="A58709" s="118"/>
      <c r="B58709" s="136"/>
    </row>
    <row r="58710" spans="1:2" x14ac:dyDescent="0.25">
      <c r="A58710" s="118"/>
      <c r="B58710" s="136"/>
    </row>
    <row r="58711" spans="1:2" x14ac:dyDescent="0.25">
      <c r="A58711" s="118"/>
      <c r="B58711" s="136"/>
    </row>
    <row r="58712" spans="1:2" x14ac:dyDescent="0.25">
      <c r="A58712" s="118"/>
      <c r="B58712" s="136"/>
    </row>
    <row r="58713" spans="1:2" x14ac:dyDescent="0.25">
      <c r="A58713" s="118"/>
      <c r="B58713" s="136"/>
    </row>
    <row r="58714" spans="1:2" x14ac:dyDescent="0.25">
      <c r="A58714" s="118"/>
      <c r="B58714" s="136"/>
    </row>
    <row r="58715" spans="1:2" x14ac:dyDescent="0.25">
      <c r="A58715" s="118"/>
      <c r="B58715" s="136"/>
    </row>
    <row r="58716" spans="1:2" x14ac:dyDescent="0.25">
      <c r="A58716" s="118"/>
      <c r="B58716" s="136"/>
    </row>
    <row r="58717" spans="1:2" x14ac:dyDescent="0.25">
      <c r="A58717" s="118"/>
      <c r="B58717" s="136"/>
    </row>
    <row r="58718" spans="1:2" x14ac:dyDescent="0.25">
      <c r="A58718" s="118"/>
      <c r="B58718" s="136"/>
    </row>
    <row r="58719" spans="1:2" x14ac:dyDescent="0.25">
      <c r="A58719" s="118"/>
      <c r="B58719" s="136"/>
    </row>
    <row r="58720" spans="1:2" x14ac:dyDescent="0.25">
      <c r="A58720" s="118"/>
      <c r="B58720" s="136"/>
    </row>
    <row r="58721" spans="1:2" x14ac:dyDescent="0.25">
      <c r="A58721" s="118"/>
      <c r="B58721" s="136"/>
    </row>
    <row r="58722" spans="1:2" x14ac:dyDescent="0.25">
      <c r="A58722" s="118"/>
      <c r="B58722" s="136"/>
    </row>
    <row r="58723" spans="1:2" x14ac:dyDescent="0.25">
      <c r="A58723" s="118"/>
      <c r="B58723" s="136"/>
    </row>
    <row r="58724" spans="1:2" x14ac:dyDescent="0.25">
      <c r="A58724" s="118"/>
      <c r="B58724" s="136"/>
    </row>
    <row r="58725" spans="1:2" x14ac:dyDescent="0.25">
      <c r="A58725" s="118"/>
      <c r="B58725" s="136"/>
    </row>
    <row r="58726" spans="1:2" x14ac:dyDescent="0.25">
      <c r="A58726" s="118"/>
      <c r="B58726" s="136"/>
    </row>
    <row r="58727" spans="1:2" x14ac:dyDescent="0.25">
      <c r="A58727" s="118"/>
      <c r="B58727" s="136"/>
    </row>
    <row r="58728" spans="1:2" x14ac:dyDescent="0.25">
      <c r="A58728" s="118"/>
      <c r="B58728" s="136"/>
    </row>
    <row r="58729" spans="1:2" x14ac:dyDescent="0.25">
      <c r="A58729" s="118"/>
      <c r="B58729" s="136"/>
    </row>
    <row r="58730" spans="1:2" x14ac:dyDescent="0.25">
      <c r="A58730" s="118"/>
      <c r="B58730" s="136"/>
    </row>
    <row r="58731" spans="1:2" x14ac:dyDescent="0.25">
      <c r="A58731" s="118"/>
      <c r="B58731" s="136"/>
    </row>
    <row r="58732" spans="1:2" x14ac:dyDescent="0.25">
      <c r="A58732" s="118"/>
      <c r="B58732" s="136"/>
    </row>
    <row r="58733" spans="1:2" x14ac:dyDescent="0.25">
      <c r="A58733" s="118"/>
      <c r="B58733" s="136"/>
    </row>
    <row r="58734" spans="1:2" x14ac:dyDescent="0.25">
      <c r="A58734" s="118"/>
      <c r="B58734" s="136"/>
    </row>
    <row r="58735" spans="1:2" x14ac:dyDescent="0.25">
      <c r="A58735" s="118"/>
      <c r="B58735" s="136"/>
    </row>
    <row r="58736" spans="1:2" x14ac:dyDescent="0.25">
      <c r="A58736" s="118"/>
      <c r="B58736" s="136"/>
    </row>
    <row r="58737" spans="1:2" x14ac:dyDescent="0.25">
      <c r="A58737" s="118"/>
      <c r="B58737" s="136"/>
    </row>
    <row r="58738" spans="1:2" x14ac:dyDescent="0.25">
      <c r="A58738" s="118"/>
      <c r="B58738" s="136"/>
    </row>
    <row r="58739" spans="1:2" x14ac:dyDescent="0.25">
      <c r="A58739" s="118"/>
      <c r="B58739" s="136"/>
    </row>
    <row r="58740" spans="1:2" x14ac:dyDescent="0.25">
      <c r="A58740" s="118"/>
      <c r="B58740" s="136"/>
    </row>
    <row r="58741" spans="1:2" x14ac:dyDescent="0.25">
      <c r="A58741" s="118"/>
      <c r="B58741" s="136"/>
    </row>
    <row r="58742" spans="1:2" x14ac:dyDescent="0.25">
      <c r="A58742" s="118"/>
      <c r="B58742" s="136"/>
    </row>
    <row r="58743" spans="1:2" x14ac:dyDescent="0.25">
      <c r="A58743" s="118"/>
      <c r="B58743" s="136"/>
    </row>
    <row r="58744" spans="1:2" x14ac:dyDescent="0.25">
      <c r="A58744" s="118"/>
      <c r="B58744" s="136"/>
    </row>
    <row r="58745" spans="1:2" x14ac:dyDescent="0.25">
      <c r="A58745" s="118"/>
      <c r="B58745" s="136"/>
    </row>
    <row r="58746" spans="1:2" x14ac:dyDescent="0.25">
      <c r="A58746" s="118"/>
      <c r="B58746" s="136"/>
    </row>
    <row r="58747" spans="1:2" x14ac:dyDescent="0.25">
      <c r="A58747" s="118"/>
      <c r="B58747" s="136"/>
    </row>
    <row r="58748" spans="1:2" x14ac:dyDescent="0.25">
      <c r="A58748" s="118"/>
      <c r="B58748" s="136"/>
    </row>
    <row r="58749" spans="1:2" x14ac:dyDescent="0.25">
      <c r="A58749" s="118"/>
      <c r="B58749" s="136"/>
    </row>
    <row r="58750" spans="1:2" x14ac:dyDescent="0.25">
      <c r="A58750" s="118"/>
      <c r="B58750" s="136"/>
    </row>
    <row r="58751" spans="1:2" x14ac:dyDescent="0.25">
      <c r="A58751" s="118"/>
      <c r="B58751" s="136"/>
    </row>
    <row r="58752" spans="1:2" x14ac:dyDescent="0.25">
      <c r="A58752" s="118"/>
      <c r="B58752" s="136"/>
    </row>
    <row r="58753" spans="1:2" x14ac:dyDescent="0.25">
      <c r="A58753" s="118"/>
      <c r="B58753" s="136"/>
    </row>
    <row r="58754" spans="1:2" x14ac:dyDescent="0.25">
      <c r="A58754" s="118"/>
      <c r="B58754" s="136"/>
    </row>
    <row r="58755" spans="1:2" x14ac:dyDescent="0.25">
      <c r="A58755" s="118"/>
      <c r="B58755" s="136"/>
    </row>
    <row r="58756" spans="1:2" x14ac:dyDescent="0.25">
      <c r="A58756" s="118"/>
      <c r="B58756" s="136"/>
    </row>
    <row r="58757" spans="1:2" x14ac:dyDescent="0.25">
      <c r="A58757" s="118"/>
      <c r="B58757" s="136"/>
    </row>
    <row r="58758" spans="1:2" x14ac:dyDescent="0.25">
      <c r="A58758" s="118"/>
      <c r="B58758" s="136"/>
    </row>
    <row r="58759" spans="1:2" x14ac:dyDescent="0.25">
      <c r="A58759" s="118"/>
      <c r="B58759" s="136"/>
    </row>
    <row r="58760" spans="1:2" x14ac:dyDescent="0.25">
      <c r="A58760" s="118"/>
      <c r="B58760" s="136"/>
    </row>
    <row r="58761" spans="1:2" x14ac:dyDescent="0.25">
      <c r="A58761" s="118"/>
      <c r="B58761" s="136"/>
    </row>
    <row r="58762" spans="1:2" x14ac:dyDescent="0.25">
      <c r="A58762" s="118"/>
      <c r="B58762" s="136"/>
    </row>
    <row r="58763" spans="1:2" x14ac:dyDescent="0.25">
      <c r="A58763" s="118"/>
      <c r="B58763" s="136"/>
    </row>
    <row r="58764" spans="1:2" x14ac:dyDescent="0.25">
      <c r="A58764" s="118"/>
      <c r="B58764" s="136"/>
    </row>
    <row r="58765" spans="1:2" x14ac:dyDescent="0.25">
      <c r="A58765" s="118"/>
      <c r="B58765" s="136"/>
    </row>
    <row r="58766" spans="1:2" x14ac:dyDescent="0.25">
      <c r="A58766" s="118"/>
      <c r="B58766" s="136"/>
    </row>
    <row r="58767" spans="1:2" x14ac:dyDescent="0.25">
      <c r="A58767" s="118"/>
      <c r="B58767" s="136"/>
    </row>
    <row r="58768" spans="1:2" x14ac:dyDescent="0.25">
      <c r="A58768" s="118"/>
      <c r="B58768" s="136"/>
    </row>
    <row r="58769" spans="1:2" x14ac:dyDescent="0.25">
      <c r="A58769" s="118"/>
      <c r="B58769" s="136"/>
    </row>
    <row r="58770" spans="1:2" x14ac:dyDescent="0.25">
      <c r="A58770" s="118"/>
      <c r="B58770" s="136"/>
    </row>
    <row r="58771" spans="1:2" x14ac:dyDescent="0.25">
      <c r="A58771" s="118"/>
      <c r="B58771" s="136"/>
    </row>
    <row r="58772" spans="1:2" x14ac:dyDescent="0.25">
      <c r="A58772" s="118"/>
      <c r="B58772" s="136"/>
    </row>
    <row r="58773" spans="1:2" x14ac:dyDescent="0.25">
      <c r="A58773" s="118"/>
      <c r="B58773" s="136"/>
    </row>
    <row r="58774" spans="1:2" x14ac:dyDescent="0.25">
      <c r="A58774" s="118"/>
      <c r="B58774" s="136"/>
    </row>
    <row r="58775" spans="1:2" x14ac:dyDescent="0.25">
      <c r="A58775" s="118"/>
      <c r="B58775" s="136"/>
    </row>
    <row r="58776" spans="1:2" x14ac:dyDescent="0.25">
      <c r="A58776" s="118"/>
      <c r="B58776" s="136"/>
    </row>
    <row r="58777" spans="1:2" x14ac:dyDescent="0.25">
      <c r="A58777" s="118"/>
      <c r="B58777" s="136"/>
    </row>
    <row r="58778" spans="1:2" x14ac:dyDescent="0.25">
      <c r="A58778" s="118"/>
      <c r="B58778" s="136"/>
    </row>
    <row r="58779" spans="1:2" x14ac:dyDescent="0.25">
      <c r="A58779" s="118"/>
      <c r="B58779" s="136"/>
    </row>
    <row r="58780" spans="1:2" x14ac:dyDescent="0.25">
      <c r="A58780" s="118"/>
      <c r="B58780" s="136"/>
    </row>
    <row r="58781" spans="1:2" x14ac:dyDescent="0.25">
      <c r="A58781" s="118"/>
      <c r="B58781" s="136"/>
    </row>
    <row r="58782" spans="1:2" x14ac:dyDescent="0.25">
      <c r="A58782" s="118"/>
      <c r="B58782" s="136"/>
    </row>
    <row r="58783" spans="1:2" x14ac:dyDescent="0.25">
      <c r="A58783" s="118"/>
      <c r="B58783" s="136"/>
    </row>
    <row r="58784" spans="1:2" x14ac:dyDescent="0.25">
      <c r="A58784" s="118"/>
      <c r="B58784" s="136"/>
    </row>
    <row r="58785" spans="1:2" x14ac:dyDescent="0.25">
      <c r="A58785" s="118"/>
      <c r="B58785" s="136"/>
    </row>
    <row r="58786" spans="1:2" x14ac:dyDescent="0.25">
      <c r="A58786" s="118"/>
      <c r="B58786" s="136"/>
    </row>
    <row r="58787" spans="1:2" x14ac:dyDescent="0.25">
      <c r="A58787" s="118"/>
      <c r="B58787" s="136"/>
    </row>
    <row r="58788" spans="1:2" x14ac:dyDescent="0.25">
      <c r="A58788" s="118"/>
      <c r="B58788" s="136"/>
    </row>
    <row r="58789" spans="1:2" x14ac:dyDescent="0.25">
      <c r="A58789" s="118"/>
      <c r="B58789" s="136"/>
    </row>
    <row r="58790" spans="1:2" x14ac:dyDescent="0.25">
      <c r="A58790" s="118"/>
      <c r="B58790" s="136"/>
    </row>
    <row r="58791" spans="1:2" x14ac:dyDescent="0.25">
      <c r="A58791" s="118"/>
      <c r="B58791" s="136"/>
    </row>
    <row r="58792" spans="1:2" x14ac:dyDescent="0.25">
      <c r="A58792" s="118"/>
      <c r="B58792" s="136"/>
    </row>
    <row r="58793" spans="1:2" x14ac:dyDescent="0.25">
      <c r="A58793" s="118"/>
      <c r="B58793" s="136"/>
    </row>
    <row r="58794" spans="1:2" x14ac:dyDescent="0.25">
      <c r="A58794" s="118"/>
      <c r="B58794" s="136"/>
    </row>
    <row r="58795" spans="1:2" x14ac:dyDescent="0.25">
      <c r="A58795" s="118"/>
      <c r="B58795" s="136"/>
    </row>
    <row r="58796" spans="1:2" x14ac:dyDescent="0.25">
      <c r="A58796" s="118"/>
      <c r="B58796" s="136"/>
    </row>
    <row r="58797" spans="1:2" x14ac:dyDescent="0.25">
      <c r="A58797" s="118"/>
      <c r="B58797" s="136"/>
    </row>
    <row r="58798" spans="1:2" x14ac:dyDescent="0.25">
      <c r="A58798" s="118"/>
      <c r="B58798" s="136"/>
    </row>
    <row r="58799" spans="1:2" x14ac:dyDescent="0.25">
      <c r="A58799" s="118"/>
      <c r="B58799" s="136"/>
    </row>
    <row r="58800" spans="1:2" x14ac:dyDescent="0.25">
      <c r="A58800" s="118"/>
      <c r="B58800" s="136"/>
    </row>
    <row r="58801" spans="1:2" x14ac:dyDescent="0.25">
      <c r="A58801" s="118"/>
      <c r="B58801" s="136"/>
    </row>
    <row r="58802" spans="1:2" x14ac:dyDescent="0.25">
      <c r="A58802" s="118"/>
      <c r="B58802" s="136"/>
    </row>
    <row r="58803" spans="1:2" x14ac:dyDescent="0.25">
      <c r="A58803" s="118"/>
      <c r="B58803" s="136"/>
    </row>
    <row r="58804" spans="1:2" x14ac:dyDescent="0.25">
      <c r="A58804" s="118"/>
      <c r="B58804" s="136"/>
    </row>
    <row r="58805" spans="1:2" x14ac:dyDescent="0.25">
      <c r="A58805" s="118"/>
      <c r="B58805" s="136"/>
    </row>
    <row r="58806" spans="1:2" x14ac:dyDescent="0.25">
      <c r="A58806" s="118"/>
      <c r="B58806" s="136"/>
    </row>
    <row r="58807" spans="1:2" x14ac:dyDescent="0.25">
      <c r="A58807" s="118"/>
      <c r="B58807" s="136"/>
    </row>
    <row r="58808" spans="1:2" x14ac:dyDescent="0.25">
      <c r="A58808" s="118"/>
      <c r="B58808" s="136"/>
    </row>
    <row r="58809" spans="1:2" x14ac:dyDescent="0.25">
      <c r="A58809" s="118"/>
      <c r="B58809" s="136"/>
    </row>
    <row r="58810" spans="1:2" x14ac:dyDescent="0.25">
      <c r="A58810" s="118"/>
      <c r="B58810" s="136"/>
    </row>
    <row r="58811" spans="1:2" x14ac:dyDescent="0.25">
      <c r="A58811" s="118"/>
      <c r="B58811" s="136"/>
    </row>
    <row r="58812" spans="1:2" x14ac:dyDescent="0.25">
      <c r="A58812" s="118"/>
      <c r="B58812" s="136"/>
    </row>
    <row r="58813" spans="1:2" x14ac:dyDescent="0.25">
      <c r="A58813" s="118"/>
      <c r="B58813" s="136"/>
    </row>
    <row r="58814" spans="1:2" x14ac:dyDescent="0.25">
      <c r="A58814" s="118"/>
      <c r="B58814" s="136"/>
    </row>
    <row r="58815" spans="1:2" x14ac:dyDescent="0.25">
      <c r="A58815" s="118"/>
      <c r="B58815" s="136"/>
    </row>
    <row r="58816" spans="1:2" x14ac:dyDescent="0.25">
      <c r="A58816" s="118"/>
      <c r="B58816" s="136"/>
    </row>
    <row r="58817" spans="1:2" x14ac:dyDescent="0.25">
      <c r="A58817" s="118"/>
      <c r="B58817" s="136"/>
    </row>
    <row r="58818" spans="1:2" x14ac:dyDescent="0.25">
      <c r="A58818" s="118"/>
      <c r="B58818" s="136"/>
    </row>
    <row r="58819" spans="1:2" x14ac:dyDescent="0.25">
      <c r="A58819" s="118"/>
      <c r="B58819" s="136"/>
    </row>
    <row r="58820" spans="1:2" x14ac:dyDescent="0.25">
      <c r="A58820" s="118"/>
      <c r="B58820" s="136"/>
    </row>
    <row r="58821" spans="1:2" x14ac:dyDescent="0.25">
      <c r="A58821" s="118"/>
      <c r="B58821" s="136"/>
    </row>
    <row r="58822" spans="1:2" x14ac:dyDescent="0.25">
      <c r="A58822" s="118"/>
      <c r="B58822" s="136"/>
    </row>
    <row r="58823" spans="1:2" x14ac:dyDescent="0.25">
      <c r="A58823" s="118"/>
      <c r="B58823" s="136"/>
    </row>
    <row r="58824" spans="1:2" x14ac:dyDescent="0.25">
      <c r="A58824" s="118"/>
      <c r="B58824" s="136"/>
    </row>
    <row r="58825" spans="1:2" x14ac:dyDescent="0.25">
      <c r="A58825" s="118"/>
      <c r="B58825" s="136"/>
    </row>
    <row r="58826" spans="1:2" x14ac:dyDescent="0.25">
      <c r="A58826" s="118"/>
      <c r="B58826" s="136"/>
    </row>
    <row r="58827" spans="1:2" x14ac:dyDescent="0.25">
      <c r="A58827" s="118"/>
      <c r="B58827" s="136"/>
    </row>
    <row r="58828" spans="1:2" x14ac:dyDescent="0.25">
      <c r="A58828" s="118"/>
      <c r="B58828" s="136"/>
    </row>
    <row r="58829" spans="1:2" x14ac:dyDescent="0.25">
      <c r="A58829" s="118"/>
      <c r="B58829" s="136"/>
    </row>
    <row r="58830" spans="1:2" x14ac:dyDescent="0.25">
      <c r="A58830" s="118"/>
      <c r="B58830" s="136"/>
    </row>
    <row r="58831" spans="1:2" x14ac:dyDescent="0.25">
      <c r="A58831" s="118"/>
      <c r="B58831" s="136"/>
    </row>
    <row r="58832" spans="1:2" x14ac:dyDescent="0.25">
      <c r="A58832" s="118"/>
      <c r="B58832" s="136"/>
    </row>
    <row r="58833" spans="1:2" x14ac:dyDescent="0.25">
      <c r="A58833" s="118"/>
      <c r="B58833" s="136"/>
    </row>
    <row r="58834" spans="1:2" x14ac:dyDescent="0.25">
      <c r="A58834" s="118"/>
      <c r="B58834" s="136"/>
    </row>
    <row r="58835" spans="1:2" x14ac:dyDescent="0.25">
      <c r="A58835" s="118"/>
      <c r="B58835" s="136"/>
    </row>
    <row r="58836" spans="1:2" x14ac:dyDescent="0.25">
      <c r="A58836" s="118"/>
      <c r="B58836" s="136"/>
    </row>
    <row r="58837" spans="1:2" x14ac:dyDescent="0.25">
      <c r="A58837" s="118"/>
      <c r="B58837" s="136"/>
    </row>
    <row r="58838" spans="1:2" x14ac:dyDescent="0.25">
      <c r="A58838" s="118"/>
      <c r="B58838" s="136"/>
    </row>
    <row r="58839" spans="1:2" x14ac:dyDescent="0.25">
      <c r="A58839" s="118"/>
      <c r="B58839" s="136"/>
    </row>
    <row r="58840" spans="1:2" x14ac:dyDescent="0.25">
      <c r="A58840" s="118"/>
      <c r="B58840" s="136"/>
    </row>
    <row r="58841" spans="1:2" x14ac:dyDescent="0.25">
      <c r="A58841" s="118"/>
      <c r="B58841" s="136"/>
    </row>
    <row r="58842" spans="1:2" x14ac:dyDescent="0.25">
      <c r="A58842" s="118"/>
      <c r="B58842" s="136"/>
    </row>
    <row r="58843" spans="1:2" x14ac:dyDescent="0.25">
      <c r="A58843" s="118"/>
      <c r="B58843" s="136"/>
    </row>
    <row r="58844" spans="1:2" x14ac:dyDescent="0.25">
      <c r="A58844" s="118"/>
      <c r="B58844" s="136"/>
    </row>
    <row r="58845" spans="1:2" x14ac:dyDescent="0.25">
      <c r="A58845" s="118"/>
      <c r="B58845" s="136"/>
    </row>
    <row r="58846" spans="1:2" x14ac:dyDescent="0.25">
      <c r="A58846" s="118"/>
      <c r="B58846" s="136"/>
    </row>
    <row r="58847" spans="1:2" x14ac:dyDescent="0.25">
      <c r="A58847" s="118"/>
      <c r="B58847" s="136"/>
    </row>
    <row r="58848" spans="1:2" x14ac:dyDescent="0.25">
      <c r="A58848" s="118"/>
      <c r="B58848" s="136"/>
    </row>
    <row r="58849" spans="1:2" x14ac:dyDescent="0.25">
      <c r="A58849" s="118"/>
      <c r="B58849" s="136"/>
    </row>
    <row r="58850" spans="1:2" x14ac:dyDescent="0.25">
      <c r="A58850" s="118"/>
      <c r="B58850" s="136"/>
    </row>
    <row r="58851" spans="1:2" x14ac:dyDescent="0.25">
      <c r="A58851" s="118"/>
      <c r="B58851" s="136"/>
    </row>
    <row r="58852" spans="1:2" x14ac:dyDescent="0.25">
      <c r="A58852" s="118"/>
      <c r="B58852" s="136"/>
    </row>
    <row r="58853" spans="1:2" x14ac:dyDescent="0.25">
      <c r="A58853" s="118"/>
      <c r="B58853" s="136"/>
    </row>
    <row r="58854" spans="1:2" x14ac:dyDescent="0.25">
      <c r="A58854" s="118"/>
      <c r="B58854" s="136"/>
    </row>
    <row r="58855" spans="1:2" x14ac:dyDescent="0.25">
      <c r="A58855" s="118"/>
      <c r="B58855" s="136"/>
    </row>
    <row r="58856" spans="1:2" x14ac:dyDescent="0.25">
      <c r="A58856" s="118"/>
      <c r="B58856" s="136"/>
    </row>
    <row r="58857" spans="1:2" x14ac:dyDescent="0.25">
      <c r="A58857" s="118"/>
      <c r="B58857" s="136"/>
    </row>
    <row r="58858" spans="1:2" x14ac:dyDescent="0.25">
      <c r="A58858" s="118"/>
      <c r="B58858" s="136"/>
    </row>
    <row r="58859" spans="1:2" x14ac:dyDescent="0.25">
      <c r="A58859" s="118"/>
      <c r="B58859" s="136"/>
    </row>
    <row r="58860" spans="1:2" x14ac:dyDescent="0.25">
      <c r="A58860" s="118"/>
      <c r="B58860" s="136"/>
    </row>
    <row r="58861" spans="1:2" x14ac:dyDescent="0.25">
      <c r="A58861" s="118"/>
      <c r="B58861" s="136"/>
    </row>
    <row r="58862" spans="1:2" x14ac:dyDescent="0.25">
      <c r="A58862" s="118"/>
      <c r="B58862" s="136"/>
    </row>
    <row r="58863" spans="1:2" x14ac:dyDescent="0.25">
      <c r="A58863" s="118"/>
      <c r="B58863" s="136"/>
    </row>
    <row r="58864" spans="1:2" x14ac:dyDescent="0.25">
      <c r="A58864" s="118"/>
      <c r="B58864" s="136"/>
    </row>
    <row r="58865" spans="1:2" x14ac:dyDescent="0.25">
      <c r="A58865" s="118"/>
      <c r="B58865" s="136"/>
    </row>
    <row r="58866" spans="1:2" x14ac:dyDescent="0.25">
      <c r="A58866" s="118"/>
      <c r="B58866" s="136"/>
    </row>
    <row r="58867" spans="1:2" x14ac:dyDescent="0.25">
      <c r="A58867" s="118"/>
      <c r="B58867" s="136"/>
    </row>
    <row r="58868" spans="1:2" x14ac:dyDescent="0.25">
      <c r="A58868" s="118"/>
      <c r="B58868" s="136"/>
    </row>
    <row r="58869" spans="1:2" x14ac:dyDescent="0.25">
      <c r="A58869" s="118"/>
      <c r="B58869" s="136"/>
    </row>
    <row r="58870" spans="1:2" x14ac:dyDescent="0.25">
      <c r="A58870" s="118"/>
      <c r="B58870" s="136"/>
    </row>
    <row r="58871" spans="1:2" x14ac:dyDescent="0.25">
      <c r="A58871" s="118"/>
      <c r="B58871" s="136"/>
    </row>
    <row r="58872" spans="1:2" x14ac:dyDescent="0.25">
      <c r="A58872" s="118"/>
      <c r="B58872" s="136"/>
    </row>
    <row r="58873" spans="1:2" x14ac:dyDescent="0.25">
      <c r="A58873" s="118"/>
      <c r="B58873" s="136"/>
    </row>
    <row r="58874" spans="1:2" x14ac:dyDescent="0.25">
      <c r="A58874" s="118"/>
      <c r="B58874" s="136"/>
    </row>
    <row r="58875" spans="1:2" x14ac:dyDescent="0.25">
      <c r="A58875" s="118"/>
      <c r="B58875" s="136"/>
    </row>
    <row r="58876" spans="1:2" x14ac:dyDescent="0.25">
      <c r="A58876" s="118"/>
      <c r="B58876" s="136"/>
    </row>
    <row r="58877" spans="1:2" x14ac:dyDescent="0.25">
      <c r="A58877" s="118"/>
      <c r="B58877" s="136"/>
    </row>
    <row r="58878" spans="1:2" x14ac:dyDescent="0.25">
      <c r="A58878" s="118"/>
      <c r="B58878" s="136"/>
    </row>
    <row r="58879" spans="1:2" x14ac:dyDescent="0.25">
      <c r="A58879" s="118"/>
      <c r="B58879" s="136"/>
    </row>
    <row r="58880" spans="1:2" x14ac:dyDescent="0.25">
      <c r="A58880" s="118"/>
      <c r="B58880" s="136"/>
    </row>
    <row r="58881" spans="1:2" x14ac:dyDescent="0.25">
      <c r="A58881" s="118"/>
      <c r="B58881" s="136"/>
    </row>
    <row r="58882" spans="1:2" x14ac:dyDescent="0.25">
      <c r="A58882" s="118"/>
      <c r="B58882" s="136"/>
    </row>
    <row r="58883" spans="1:2" x14ac:dyDescent="0.25">
      <c r="A58883" s="118"/>
      <c r="B58883" s="136"/>
    </row>
    <row r="58884" spans="1:2" x14ac:dyDescent="0.25">
      <c r="A58884" s="118"/>
      <c r="B58884" s="136"/>
    </row>
    <row r="58885" spans="1:2" x14ac:dyDescent="0.25">
      <c r="A58885" s="118"/>
      <c r="B58885" s="136"/>
    </row>
    <row r="58886" spans="1:2" x14ac:dyDescent="0.25">
      <c r="A58886" s="118"/>
      <c r="B58886" s="136"/>
    </row>
    <row r="58887" spans="1:2" x14ac:dyDescent="0.25">
      <c r="A58887" s="118"/>
      <c r="B58887" s="136"/>
    </row>
    <row r="58888" spans="1:2" x14ac:dyDescent="0.25">
      <c r="A58888" s="118"/>
      <c r="B58888" s="136"/>
    </row>
    <row r="58889" spans="1:2" x14ac:dyDescent="0.25">
      <c r="A58889" s="118"/>
      <c r="B58889" s="136"/>
    </row>
    <row r="58890" spans="1:2" x14ac:dyDescent="0.25">
      <c r="A58890" s="118"/>
      <c r="B58890" s="136"/>
    </row>
    <row r="58891" spans="1:2" x14ac:dyDescent="0.25">
      <c r="A58891" s="118"/>
      <c r="B58891" s="136"/>
    </row>
    <row r="58892" spans="1:2" x14ac:dyDescent="0.25">
      <c r="A58892" s="118"/>
      <c r="B58892" s="136"/>
    </row>
    <row r="58893" spans="1:2" x14ac:dyDescent="0.25">
      <c r="A58893" s="118"/>
      <c r="B58893" s="136"/>
    </row>
    <row r="58894" spans="1:2" x14ac:dyDescent="0.25">
      <c r="A58894" s="118"/>
      <c r="B58894" s="136"/>
    </row>
    <row r="58895" spans="1:2" x14ac:dyDescent="0.25">
      <c r="A58895" s="118"/>
      <c r="B58895" s="136"/>
    </row>
    <row r="58896" spans="1:2" x14ac:dyDescent="0.25">
      <c r="A58896" s="118"/>
      <c r="B58896" s="136"/>
    </row>
    <row r="58897" spans="1:2" x14ac:dyDescent="0.25">
      <c r="A58897" s="118"/>
      <c r="B58897" s="136"/>
    </row>
    <row r="58898" spans="1:2" x14ac:dyDescent="0.25">
      <c r="A58898" s="118"/>
      <c r="B58898" s="136"/>
    </row>
    <row r="58899" spans="1:2" x14ac:dyDescent="0.25">
      <c r="A58899" s="118"/>
      <c r="B58899" s="136"/>
    </row>
    <row r="58900" spans="1:2" x14ac:dyDescent="0.25">
      <c r="A58900" s="118"/>
      <c r="B58900" s="136"/>
    </row>
    <row r="58901" spans="1:2" x14ac:dyDescent="0.25">
      <c r="A58901" s="118"/>
      <c r="B58901" s="136"/>
    </row>
    <row r="58902" spans="1:2" x14ac:dyDescent="0.25">
      <c r="A58902" s="118"/>
      <c r="B58902" s="136"/>
    </row>
    <row r="58903" spans="1:2" x14ac:dyDescent="0.25">
      <c r="A58903" s="118"/>
      <c r="B58903" s="136"/>
    </row>
    <row r="58904" spans="1:2" x14ac:dyDescent="0.25">
      <c r="A58904" s="118"/>
      <c r="B58904" s="136"/>
    </row>
    <row r="58905" spans="1:2" x14ac:dyDescent="0.25">
      <c r="A58905" s="118"/>
      <c r="B58905" s="136"/>
    </row>
    <row r="58906" spans="1:2" x14ac:dyDescent="0.25">
      <c r="A58906" s="118"/>
      <c r="B58906" s="136"/>
    </row>
    <row r="58907" spans="1:2" x14ac:dyDescent="0.25">
      <c r="A58907" s="118"/>
      <c r="B58907" s="136"/>
    </row>
    <row r="58908" spans="1:2" x14ac:dyDescent="0.25">
      <c r="A58908" s="118"/>
      <c r="B58908" s="136"/>
    </row>
    <row r="58909" spans="1:2" x14ac:dyDescent="0.25">
      <c r="A58909" s="118"/>
      <c r="B58909" s="136"/>
    </row>
    <row r="58910" spans="1:2" x14ac:dyDescent="0.25">
      <c r="A58910" s="118"/>
      <c r="B58910" s="136"/>
    </row>
    <row r="58911" spans="1:2" x14ac:dyDescent="0.25">
      <c r="A58911" s="118"/>
      <c r="B58911" s="136"/>
    </row>
    <row r="58912" spans="1:2" x14ac:dyDescent="0.25">
      <c r="A58912" s="118"/>
      <c r="B58912" s="136"/>
    </row>
    <row r="58913" spans="1:2" x14ac:dyDescent="0.25">
      <c r="A58913" s="118"/>
      <c r="B58913" s="136"/>
    </row>
    <row r="58914" spans="1:2" x14ac:dyDescent="0.25">
      <c r="A58914" s="118"/>
      <c r="B58914" s="136"/>
    </row>
    <row r="58915" spans="1:2" x14ac:dyDescent="0.25">
      <c r="A58915" s="118"/>
      <c r="B58915" s="136"/>
    </row>
    <row r="58916" spans="1:2" x14ac:dyDescent="0.25">
      <c r="A58916" s="118"/>
      <c r="B58916" s="136"/>
    </row>
    <row r="58917" spans="1:2" x14ac:dyDescent="0.25">
      <c r="A58917" s="118"/>
      <c r="B58917" s="136"/>
    </row>
    <row r="58918" spans="1:2" x14ac:dyDescent="0.25">
      <c r="A58918" s="118"/>
      <c r="B58918" s="136"/>
    </row>
    <row r="58919" spans="1:2" x14ac:dyDescent="0.25">
      <c r="A58919" s="118"/>
      <c r="B58919" s="136"/>
    </row>
    <row r="58920" spans="1:2" x14ac:dyDescent="0.25">
      <c r="A58920" s="118"/>
      <c r="B58920" s="136"/>
    </row>
    <row r="58921" spans="1:2" x14ac:dyDescent="0.25">
      <c r="A58921" s="118"/>
      <c r="B58921" s="136"/>
    </row>
    <row r="58922" spans="1:2" x14ac:dyDescent="0.25">
      <c r="A58922" s="118"/>
      <c r="B58922" s="136"/>
    </row>
    <row r="58923" spans="1:2" x14ac:dyDescent="0.25">
      <c r="A58923" s="118"/>
      <c r="B58923" s="136"/>
    </row>
    <row r="58924" spans="1:2" x14ac:dyDescent="0.25">
      <c r="A58924" s="118"/>
      <c r="B58924" s="136"/>
    </row>
    <row r="58925" spans="1:2" x14ac:dyDescent="0.25">
      <c r="A58925" s="118"/>
      <c r="B58925" s="136"/>
    </row>
    <row r="58926" spans="1:2" x14ac:dyDescent="0.25">
      <c r="A58926" s="118"/>
      <c r="B58926" s="136"/>
    </row>
    <row r="58927" spans="1:2" x14ac:dyDescent="0.25">
      <c r="A58927" s="118"/>
      <c r="B58927" s="136"/>
    </row>
    <row r="58928" spans="1:2" x14ac:dyDescent="0.25">
      <c r="A58928" s="118"/>
      <c r="B58928" s="136"/>
    </row>
    <row r="58929" spans="1:2" x14ac:dyDescent="0.25">
      <c r="A58929" s="118"/>
      <c r="B58929" s="136"/>
    </row>
    <row r="58930" spans="1:2" x14ac:dyDescent="0.25">
      <c r="A58930" s="118"/>
      <c r="B58930" s="136"/>
    </row>
    <row r="58931" spans="1:2" x14ac:dyDescent="0.25">
      <c r="A58931" s="118"/>
      <c r="B58931" s="136"/>
    </row>
    <row r="58932" spans="1:2" x14ac:dyDescent="0.25">
      <c r="A58932" s="118"/>
      <c r="B58932" s="136"/>
    </row>
    <row r="58933" spans="1:2" x14ac:dyDescent="0.25">
      <c r="A58933" s="118"/>
      <c r="B58933" s="136"/>
    </row>
    <row r="58934" spans="1:2" x14ac:dyDescent="0.25">
      <c r="A58934" s="118"/>
      <c r="B58934" s="136"/>
    </row>
    <row r="58935" spans="1:2" x14ac:dyDescent="0.25">
      <c r="A58935" s="118"/>
      <c r="B58935" s="136"/>
    </row>
    <row r="58936" spans="1:2" x14ac:dyDescent="0.25">
      <c r="A58936" s="118"/>
      <c r="B58936" s="136"/>
    </row>
    <row r="58937" spans="1:2" x14ac:dyDescent="0.25">
      <c r="A58937" s="118"/>
      <c r="B58937" s="136"/>
    </row>
    <row r="58938" spans="1:2" x14ac:dyDescent="0.25">
      <c r="A58938" s="118"/>
      <c r="B58938" s="136"/>
    </row>
    <row r="58939" spans="1:2" x14ac:dyDescent="0.25">
      <c r="A58939" s="118"/>
      <c r="B58939" s="136"/>
    </row>
    <row r="58940" spans="1:2" x14ac:dyDescent="0.25">
      <c r="A58940" s="118"/>
      <c r="B58940" s="136"/>
    </row>
    <row r="58941" spans="1:2" x14ac:dyDescent="0.25">
      <c r="A58941" s="118"/>
      <c r="B58941" s="136"/>
    </row>
    <row r="58942" spans="1:2" x14ac:dyDescent="0.25">
      <c r="A58942" s="118"/>
      <c r="B58942" s="136"/>
    </row>
    <row r="58943" spans="1:2" x14ac:dyDescent="0.25">
      <c r="A58943" s="118"/>
      <c r="B58943" s="136"/>
    </row>
    <row r="58944" spans="1:2" x14ac:dyDescent="0.25">
      <c r="A58944" s="118"/>
      <c r="B58944" s="136"/>
    </row>
    <row r="58945" spans="1:2" x14ac:dyDescent="0.25">
      <c r="A58945" s="118"/>
      <c r="B58945" s="136"/>
    </row>
    <row r="58946" spans="1:2" x14ac:dyDescent="0.25">
      <c r="A58946" s="118"/>
      <c r="B58946" s="136"/>
    </row>
    <row r="58947" spans="1:2" x14ac:dyDescent="0.25">
      <c r="A58947" s="118"/>
      <c r="B58947" s="136"/>
    </row>
    <row r="58948" spans="1:2" x14ac:dyDescent="0.25">
      <c r="A58948" s="118"/>
      <c r="B58948" s="136"/>
    </row>
    <row r="58949" spans="1:2" x14ac:dyDescent="0.25">
      <c r="A58949" s="118"/>
      <c r="B58949" s="136"/>
    </row>
    <row r="58950" spans="1:2" x14ac:dyDescent="0.25">
      <c r="A58950" s="118"/>
      <c r="B58950" s="136"/>
    </row>
    <row r="58951" spans="1:2" x14ac:dyDescent="0.25">
      <c r="A58951" s="118"/>
      <c r="B58951" s="136"/>
    </row>
    <row r="58952" spans="1:2" x14ac:dyDescent="0.25">
      <c r="A58952" s="118"/>
      <c r="B58952" s="136"/>
    </row>
    <row r="58953" spans="1:2" x14ac:dyDescent="0.25">
      <c r="A58953" s="118"/>
      <c r="B58953" s="136"/>
    </row>
    <row r="58954" spans="1:2" x14ac:dyDescent="0.25">
      <c r="A58954" s="118"/>
      <c r="B58954" s="136"/>
    </row>
    <row r="58955" spans="1:2" x14ac:dyDescent="0.25">
      <c r="A58955" s="118"/>
      <c r="B58955" s="136"/>
    </row>
    <row r="58956" spans="1:2" x14ac:dyDescent="0.25">
      <c r="A58956" s="118"/>
      <c r="B58956" s="136"/>
    </row>
    <row r="58957" spans="1:2" x14ac:dyDescent="0.25">
      <c r="A58957" s="118"/>
      <c r="B58957" s="136"/>
    </row>
    <row r="58958" spans="1:2" x14ac:dyDescent="0.25">
      <c r="A58958" s="118"/>
      <c r="B58958" s="136"/>
    </row>
    <row r="58959" spans="1:2" x14ac:dyDescent="0.25">
      <c r="A58959" s="118"/>
      <c r="B58959" s="136"/>
    </row>
    <row r="58960" spans="1:2" x14ac:dyDescent="0.25">
      <c r="A58960" s="118"/>
      <c r="B58960" s="136"/>
    </row>
    <row r="58961" spans="1:2" x14ac:dyDescent="0.25">
      <c r="A58961" s="118"/>
      <c r="B58961" s="136"/>
    </row>
    <row r="58962" spans="1:2" x14ac:dyDescent="0.25">
      <c r="A58962" s="118"/>
      <c r="B58962" s="136"/>
    </row>
    <row r="58963" spans="1:2" x14ac:dyDescent="0.25">
      <c r="A58963" s="118"/>
      <c r="B58963" s="136"/>
    </row>
    <row r="58964" spans="1:2" x14ac:dyDescent="0.25">
      <c r="A58964" s="118"/>
      <c r="B58964" s="136"/>
    </row>
    <row r="58965" spans="1:2" x14ac:dyDescent="0.25">
      <c r="A58965" s="118"/>
      <c r="B58965" s="136"/>
    </row>
    <row r="58966" spans="1:2" x14ac:dyDescent="0.25">
      <c r="A58966" s="118"/>
      <c r="B58966" s="136"/>
    </row>
    <row r="58967" spans="1:2" x14ac:dyDescent="0.25">
      <c r="A58967" s="118"/>
      <c r="B58967" s="136"/>
    </row>
    <row r="58968" spans="1:2" x14ac:dyDescent="0.25">
      <c r="A58968" s="118"/>
      <c r="B58968" s="136"/>
    </row>
    <row r="58969" spans="1:2" x14ac:dyDescent="0.25">
      <c r="A58969" s="118"/>
      <c r="B58969" s="136"/>
    </row>
    <row r="58970" spans="1:2" x14ac:dyDescent="0.25">
      <c r="A58970" s="118"/>
      <c r="B58970" s="136"/>
    </row>
    <row r="58971" spans="1:2" x14ac:dyDescent="0.25">
      <c r="A58971" s="118"/>
      <c r="B58971" s="136"/>
    </row>
    <row r="58972" spans="1:2" x14ac:dyDescent="0.25">
      <c r="A58972" s="118"/>
      <c r="B58972" s="136"/>
    </row>
    <row r="58973" spans="1:2" x14ac:dyDescent="0.25">
      <c r="A58973" s="118"/>
      <c r="B58973" s="136"/>
    </row>
    <row r="58974" spans="1:2" x14ac:dyDescent="0.25">
      <c r="A58974" s="118"/>
      <c r="B58974" s="136"/>
    </row>
    <row r="58975" spans="1:2" x14ac:dyDescent="0.25">
      <c r="A58975" s="118"/>
      <c r="B58975" s="136"/>
    </row>
    <row r="58976" spans="1:2" x14ac:dyDescent="0.25">
      <c r="A58976" s="118"/>
      <c r="B58976" s="136"/>
    </row>
    <row r="58977" spans="1:2" x14ac:dyDescent="0.25">
      <c r="A58977" s="118"/>
      <c r="B58977" s="136"/>
    </row>
    <row r="58978" spans="1:2" x14ac:dyDescent="0.25">
      <c r="A58978" s="118"/>
      <c r="B58978" s="136"/>
    </row>
    <row r="58979" spans="1:2" x14ac:dyDescent="0.25">
      <c r="A58979" s="118"/>
      <c r="B58979" s="136"/>
    </row>
    <row r="58980" spans="1:2" x14ac:dyDescent="0.25">
      <c r="A58980" s="118"/>
      <c r="B58980" s="136"/>
    </row>
    <row r="58981" spans="1:2" x14ac:dyDescent="0.25">
      <c r="A58981" s="118"/>
      <c r="B58981" s="136"/>
    </row>
    <row r="58982" spans="1:2" x14ac:dyDescent="0.25">
      <c r="A58982" s="118"/>
      <c r="B58982" s="136"/>
    </row>
    <row r="58983" spans="1:2" x14ac:dyDescent="0.25">
      <c r="A58983" s="118"/>
      <c r="B58983" s="136"/>
    </row>
    <row r="58984" spans="1:2" x14ac:dyDescent="0.25">
      <c r="A58984" s="118"/>
      <c r="B58984" s="136"/>
    </row>
    <row r="58985" spans="1:2" x14ac:dyDescent="0.25">
      <c r="A58985" s="118"/>
      <c r="B58985" s="136"/>
    </row>
    <row r="58986" spans="1:2" x14ac:dyDescent="0.25">
      <c r="A58986" s="118"/>
      <c r="B58986" s="136"/>
    </row>
    <row r="58987" spans="1:2" x14ac:dyDescent="0.25">
      <c r="A58987" s="118"/>
      <c r="B58987" s="136"/>
    </row>
    <row r="58988" spans="1:2" x14ac:dyDescent="0.25">
      <c r="A58988" s="118"/>
      <c r="B58988" s="136"/>
    </row>
    <row r="58989" spans="1:2" x14ac:dyDescent="0.25">
      <c r="A58989" s="118"/>
      <c r="B58989" s="136"/>
    </row>
    <row r="58990" spans="1:2" x14ac:dyDescent="0.25">
      <c r="A58990" s="118"/>
      <c r="B58990" s="136"/>
    </row>
    <row r="58991" spans="1:2" x14ac:dyDescent="0.25">
      <c r="A58991" s="118"/>
      <c r="B58991" s="136"/>
    </row>
    <row r="58992" spans="1:2" x14ac:dyDescent="0.25">
      <c r="A58992" s="118"/>
      <c r="B58992" s="136"/>
    </row>
    <row r="58993" spans="1:2" x14ac:dyDescent="0.25">
      <c r="A58993" s="118"/>
      <c r="B58993" s="136"/>
    </row>
    <row r="58994" spans="1:2" x14ac:dyDescent="0.25">
      <c r="A58994" s="118"/>
      <c r="B58994" s="136"/>
    </row>
    <row r="58995" spans="1:2" x14ac:dyDescent="0.25">
      <c r="A58995" s="118"/>
      <c r="B58995" s="136"/>
    </row>
    <row r="58996" spans="1:2" x14ac:dyDescent="0.25">
      <c r="A58996" s="118"/>
      <c r="B58996" s="136"/>
    </row>
    <row r="58997" spans="1:2" x14ac:dyDescent="0.25">
      <c r="A58997" s="118"/>
      <c r="B58997" s="136"/>
    </row>
    <row r="58998" spans="1:2" x14ac:dyDescent="0.25">
      <c r="A58998" s="118"/>
      <c r="B58998" s="136"/>
    </row>
    <row r="58999" spans="1:2" x14ac:dyDescent="0.25">
      <c r="A58999" s="118"/>
      <c r="B58999" s="136"/>
    </row>
    <row r="59000" spans="1:2" x14ac:dyDescent="0.25">
      <c r="A59000" s="118"/>
      <c r="B59000" s="136"/>
    </row>
    <row r="59001" spans="1:2" x14ac:dyDescent="0.25">
      <c r="A59001" s="118"/>
      <c r="B59001" s="136"/>
    </row>
    <row r="59002" spans="1:2" x14ac:dyDescent="0.25">
      <c r="A59002" s="118"/>
      <c r="B59002" s="136"/>
    </row>
    <row r="59003" spans="1:2" x14ac:dyDescent="0.25">
      <c r="A59003" s="118"/>
      <c r="B59003" s="136"/>
    </row>
    <row r="59004" spans="1:2" x14ac:dyDescent="0.25">
      <c r="A59004" s="118"/>
      <c r="B59004" s="136"/>
    </row>
    <row r="59005" spans="1:2" x14ac:dyDescent="0.25">
      <c r="A59005" s="118"/>
      <c r="B59005" s="136"/>
    </row>
    <row r="59006" spans="1:2" x14ac:dyDescent="0.25">
      <c r="A59006" s="118"/>
      <c r="B59006" s="136"/>
    </row>
    <row r="59007" spans="1:2" x14ac:dyDescent="0.25">
      <c r="A59007" s="118"/>
      <c r="B59007" s="136"/>
    </row>
    <row r="59008" spans="1:2" x14ac:dyDescent="0.25">
      <c r="A59008" s="118"/>
      <c r="B59008" s="136"/>
    </row>
    <row r="59009" spans="1:2" x14ac:dyDescent="0.25">
      <c r="A59009" s="118"/>
      <c r="B59009" s="136"/>
    </row>
    <row r="59010" spans="1:2" x14ac:dyDescent="0.25">
      <c r="A59010" s="118"/>
      <c r="B59010" s="136"/>
    </row>
    <row r="59011" spans="1:2" x14ac:dyDescent="0.25">
      <c r="A59011" s="118"/>
      <c r="B59011" s="136"/>
    </row>
    <row r="59012" spans="1:2" x14ac:dyDescent="0.25">
      <c r="A59012" s="118"/>
      <c r="B59012" s="136"/>
    </row>
    <row r="59013" spans="1:2" x14ac:dyDescent="0.25">
      <c r="A59013" s="118"/>
      <c r="B59013" s="136"/>
    </row>
    <row r="59014" spans="1:2" x14ac:dyDescent="0.25">
      <c r="A59014" s="118"/>
      <c r="B59014" s="136"/>
    </row>
    <row r="59015" spans="1:2" x14ac:dyDescent="0.25">
      <c r="A59015" s="118"/>
      <c r="B59015" s="136"/>
    </row>
    <row r="59016" spans="1:2" x14ac:dyDescent="0.25">
      <c r="A59016" s="118"/>
      <c r="B59016" s="136"/>
    </row>
    <row r="59017" spans="1:2" x14ac:dyDescent="0.25">
      <c r="A59017" s="118"/>
      <c r="B59017" s="136"/>
    </row>
    <row r="59018" spans="1:2" x14ac:dyDescent="0.25">
      <c r="A59018" s="118"/>
      <c r="B59018" s="136"/>
    </row>
    <row r="59019" spans="1:2" x14ac:dyDescent="0.25">
      <c r="A59019" s="118"/>
      <c r="B59019" s="136"/>
    </row>
    <row r="59020" spans="1:2" x14ac:dyDescent="0.25">
      <c r="A59020" s="118"/>
      <c r="B59020" s="136"/>
    </row>
    <row r="59021" spans="1:2" x14ac:dyDescent="0.25">
      <c r="A59021" s="118"/>
      <c r="B59021" s="136"/>
    </row>
    <row r="59022" spans="1:2" x14ac:dyDescent="0.25">
      <c r="A59022" s="118"/>
      <c r="B59022" s="136"/>
    </row>
    <row r="59023" spans="1:2" x14ac:dyDescent="0.25">
      <c r="A59023" s="118"/>
      <c r="B59023" s="136"/>
    </row>
    <row r="59024" spans="1:2" x14ac:dyDescent="0.25">
      <c r="A59024" s="118"/>
      <c r="B59024" s="136"/>
    </row>
    <row r="59025" spans="1:2" x14ac:dyDescent="0.25">
      <c r="A59025" s="118"/>
      <c r="B59025" s="136"/>
    </row>
    <row r="59026" spans="1:2" x14ac:dyDescent="0.25">
      <c r="A59026" s="118"/>
      <c r="B59026" s="136"/>
    </row>
    <row r="59027" spans="1:2" x14ac:dyDescent="0.25">
      <c r="A59027" s="118"/>
      <c r="B59027" s="136"/>
    </row>
    <row r="59028" spans="1:2" x14ac:dyDescent="0.25">
      <c r="A59028" s="118"/>
      <c r="B59028" s="136"/>
    </row>
    <row r="59029" spans="1:2" x14ac:dyDescent="0.25">
      <c r="A59029" s="118"/>
      <c r="B59029" s="136"/>
    </row>
    <row r="59030" spans="1:2" x14ac:dyDescent="0.25">
      <c r="A59030" s="118"/>
      <c r="B59030" s="136"/>
    </row>
    <row r="59031" spans="1:2" x14ac:dyDescent="0.25">
      <c r="A59031" s="118"/>
      <c r="B59031" s="136"/>
    </row>
    <row r="59032" spans="1:2" x14ac:dyDescent="0.25">
      <c r="A59032" s="118"/>
      <c r="B59032" s="136"/>
    </row>
    <row r="59033" spans="1:2" x14ac:dyDescent="0.25">
      <c r="A59033" s="118"/>
      <c r="B59033" s="136"/>
    </row>
    <row r="59034" spans="1:2" x14ac:dyDescent="0.25">
      <c r="A59034" s="118"/>
      <c r="B59034" s="136"/>
    </row>
    <row r="59035" spans="1:2" x14ac:dyDescent="0.25">
      <c r="A59035" s="118"/>
      <c r="B59035" s="136"/>
    </row>
    <row r="59036" spans="1:2" x14ac:dyDescent="0.25">
      <c r="A59036" s="118"/>
      <c r="B59036" s="136"/>
    </row>
    <row r="59037" spans="1:2" x14ac:dyDescent="0.25">
      <c r="A59037" s="118"/>
      <c r="B59037" s="136"/>
    </row>
    <row r="59038" spans="1:2" x14ac:dyDescent="0.25">
      <c r="A59038" s="118"/>
      <c r="B59038" s="136"/>
    </row>
    <row r="59039" spans="1:2" x14ac:dyDescent="0.25">
      <c r="A59039" s="118"/>
      <c r="B59039" s="136"/>
    </row>
    <row r="59040" spans="1:2" x14ac:dyDescent="0.25">
      <c r="A59040" s="118"/>
      <c r="B59040" s="136"/>
    </row>
    <row r="59041" spans="1:2" x14ac:dyDescent="0.25">
      <c r="A59041" s="118"/>
      <c r="B59041" s="136"/>
    </row>
    <row r="59042" spans="1:2" x14ac:dyDescent="0.25">
      <c r="A59042" s="118"/>
      <c r="B59042" s="136"/>
    </row>
    <row r="59043" spans="1:2" x14ac:dyDescent="0.25">
      <c r="A59043" s="118"/>
      <c r="B59043" s="136"/>
    </row>
    <row r="59044" spans="1:2" x14ac:dyDescent="0.25">
      <c r="A59044" s="118"/>
      <c r="B59044" s="136"/>
    </row>
    <row r="59045" spans="1:2" x14ac:dyDescent="0.25">
      <c r="A59045" s="118"/>
      <c r="B59045" s="136"/>
    </row>
    <row r="59046" spans="1:2" x14ac:dyDescent="0.25">
      <c r="A59046" s="118"/>
      <c r="B59046" s="136"/>
    </row>
    <row r="59047" spans="1:2" x14ac:dyDescent="0.25">
      <c r="A59047" s="118"/>
      <c r="B59047" s="136"/>
    </row>
    <row r="59048" spans="1:2" x14ac:dyDescent="0.25">
      <c r="A59048" s="118"/>
      <c r="B59048" s="136"/>
    </row>
    <row r="59049" spans="1:2" x14ac:dyDescent="0.25">
      <c r="A59049" s="118"/>
      <c r="B59049" s="136"/>
    </row>
    <row r="59050" spans="1:2" x14ac:dyDescent="0.25">
      <c r="A59050" s="118"/>
      <c r="B59050" s="136"/>
    </row>
    <row r="59051" spans="1:2" x14ac:dyDescent="0.25">
      <c r="A59051" s="118"/>
      <c r="B59051" s="136"/>
    </row>
    <row r="59052" spans="1:2" x14ac:dyDescent="0.25">
      <c r="A59052" s="118"/>
      <c r="B59052" s="136"/>
    </row>
    <row r="59053" spans="1:2" x14ac:dyDescent="0.25">
      <c r="A59053" s="118"/>
      <c r="B59053" s="136"/>
    </row>
    <row r="59054" spans="1:2" x14ac:dyDescent="0.25">
      <c r="A59054" s="118"/>
      <c r="B59054" s="136"/>
    </row>
    <row r="59055" spans="1:2" x14ac:dyDescent="0.25">
      <c r="A59055" s="118"/>
      <c r="B59055" s="136"/>
    </row>
    <row r="59056" spans="1:2" x14ac:dyDescent="0.25">
      <c r="A59056" s="118"/>
      <c r="B59056" s="136"/>
    </row>
    <row r="59057" spans="1:2" x14ac:dyDescent="0.25">
      <c r="A59057" s="118"/>
      <c r="B59057" s="136"/>
    </row>
    <row r="59058" spans="1:2" x14ac:dyDescent="0.25">
      <c r="A59058" s="118"/>
      <c r="B59058" s="136"/>
    </row>
    <row r="59059" spans="1:2" x14ac:dyDescent="0.25">
      <c r="A59059" s="118"/>
      <c r="B59059" s="136"/>
    </row>
    <row r="59060" spans="1:2" x14ac:dyDescent="0.25">
      <c r="A59060" s="118"/>
      <c r="B59060" s="136"/>
    </row>
    <row r="59061" spans="1:2" x14ac:dyDescent="0.25">
      <c r="A59061" s="118"/>
      <c r="B59061" s="136"/>
    </row>
    <row r="59062" spans="1:2" x14ac:dyDescent="0.25">
      <c r="A59062" s="118"/>
      <c r="B59062" s="136"/>
    </row>
    <row r="59063" spans="1:2" x14ac:dyDescent="0.25">
      <c r="A59063" s="118"/>
      <c r="B59063" s="136"/>
    </row>
    <row r="59064" spans="1:2" x14ac:dyDescent="0.25">
      <c r="A59064" s="118"/>
      <c r="B59064" s="136"/>
    </row>
    <row r="59065" spans="1:2" x14ac:dyDescent="0.25">
      <c r="A59065" s="118"/>
      <c r="B59065" s="136"/>
    </row>
    <row r="59066" spans="1:2" x14ac:dyDescent="0.25">
      <c r="A59066" s="118"/>
      <c r="B59066" s="136"/>
    </row>
    <row r="59067" spans="1:2" x14ac:dyDescent="0.25">
      <c r="A59067" s="118"/>
      <c r="B59067" s="136"/>
    </row>
    <row r="59068" spans="1:2" x14ac:dyDescent="0.25">
      <c r="A59068" s="118"/>
      <c r="B59068" s="136"/>
    </row>
    <row r="59069" spans="1:2" x14ac:dyDescent="0.25">
      <c r="A59069" s="118"/>
      <c r="B59069" s="136"/>
    </row>
    <row r="59070" spans="1:2" x14ac:dyDescent="0.25">
      <c r="A59070" s="118"/>
      <c r="B59070" s="136"/>
    </row>
    <row r="59071" spans="1:2" x14ac:dyDescent="0.25">
      <c r="A59071" s="118"/>
      <c r="B59071" s="136"/>
    </row>
    <row r="59072" spans="1:2" x14ac:dyDescent="0.25">
      <c r="A59072" s="118"/>
      <c r="B59072" s="136"/>
    </row>
    <row r="59073" spans="1:2" x14ac:dyDescent="0.25">
      <c r="A59073" s="118"/>
      <c r="B59073" s="136"/>
    </row>
    <row r="59074" spans="1:2" x14ac:dyDescent="0.25">
      <c r="A59074" s="118"/>
      <c r="B59074" s="136"/>
    </row>
    <row r="59075" spans="1:2" x14ac:dyDescent="0.25">
      <c r="A59075" s="118"/>
      <c r="B59075" s="136"/>
    </row>
    <row r="59076" spans="1:2" x14ac:dyDescent="0.25">
      <c r="A59076" s="118"/>
      <c r="B59076" s="136"/>
    </row>
    <row r="59077" spans="1:2" x14ac:dyDescent="0.25">
      <c r="A59077" s="118"/>
      <c r="B59077" s="136"/>
    </row>
    <row r="59078" spans="1:2" x14ac:dyDescent="0.25">
      <c r="A59078" s="118"/>
      <c r="B59078" s="136"/>
    </row>
    <row r="59079" spans="1:2" x14ac:dyDescent="0.25">
      <c r="A59079" s="118"/>
      <c r="B59079" s="136"/>
    </row>
    <row r="59080" spans="1:2" x14ac:dyDescent="0.25">
      <c r="A59080" s="118"/>
      <c r="B59080" s="136"/>
    </row>
    <row r="59081" spans="1:2" x14ac:dyDescent="0.25">
      <c r="A59081" s="118"/>
      <c r="B59081" s="136"/>
    </row>
    <row r="59082" spans="1:2" x14ac:dyDescent="0.25">
      <c r="A59082" s="118"/>
      <c r="B59082" s="136"/>
    </row>
    <row r="59083" spans="1:2" x14ac:dyDescent="0.25">
      <c r="A59083" s="118"/>
      <c r="B59083" s="136"/>
    </row>
    <row r="59084" spans="1:2" x14ac:dyDescent="0.25">
      <c r="A59084" s="118"/>
      <c r="B59084" s="136"/>
    </row>
    <row r="59085" spans="1:2" x14ac:dyDescent="0.25">
      <c r="A59085" s="118"/>
      <c r="B59085" s="136"/>
    </row>
    <row r="59086" spans="1:2" x14ac:dyDescent="0.25">
      <c r="A59086" s="118"/>
      <c r="B59086" s="136"/>
    </row>
    <row r="59087" spans="1:2" x14ac:dyDescent="0.25">
      <c r="A59087" s="118"/>
      <c r="B59087" s="136"/>
    </row>
    <row r="59088" spans="1:2" x14ac:dyDescent="0.25">
      <c r="A59088" s="118"/>
      <c r="B59088" s="136"/>
    </row>
    <row r="59089" spans="1:2" x14ac:dyDescent="0.25">
      <c r="A59089" s="118"/>
      <c r="B59089" s="136"/>
    </row>
    <row r="59090" spans="1:2" x14ac:dyDescent="0.25">
      <c r="A59090" s="118"/>
      <c r="B59090" s="136"/>
    </row>
    <row r="59091" spans="1:2" x14ac:dyDescent="0.25">
      <c r="A59091" s="118"/>
      <c r="B59091" s="136"/>
    </row>
    <row r="59092" spans="1:2" x14ac:dyDescent="0.25">
      <c r="A59092" s="118"/>
      <c r="B59092" s="136"/>
    </row>
    <row r="59093" spans="1:2" x14ac:dyDescent="0.25">
      <c r="A59093" s="118"/>
      <c r="B59093" s="136"/>
    </row>
    <row r="59094" spans="1:2" x14ac:dyDescent="0.25">
      <c r="A59094" s="118"/>
      <c r="B59094" s="136"/>
    </row>
    <row r="59095" spans="1:2" x14ac:dyDescent="0.25">
      <c r="A59095" s="118"/>
      <c r="B59095" s="136"/>
    </row>
    <row r="59096" spans="1:2" x14ac:dyDescent="0.25">
      <c r="A59096" s="118"/>
      <c r="B59096" s="136"/>
    </row>
    <row r="59097" spans="1:2" x14ac:dyDescent="0.25">
      <c r="A59097" s="118"/>
      <c r="B59097" s="136"/>
    </row>
    <row r="59098" spans="1:2" x14ac:dyDescent="0.25">
      <c r="A59098" s="118"/>
      <c r="B59098" s="136"/>
    </row>
    <row r="59099" spans="1:2" x14ac:dyDescent="0.25">
      <c r="A59099" s="118"/>
      <c r="B59099" s="136"/>
    </row>
    <row r="59100" spans="1:2" x14ac:dyDescent="0.25">
      <c r="A59100" s="118"/>
      <c r="B59100" s="136"/>
    </row>
    <row r="59101" spans="1:2" x14ac:dyDescent="0.25">
      <c r="A59101" s="118"/>
      <c r="B59101" s="136"/>
    </row>
    <row r="59102" spans="1:2" x14ac:dyDescent="0.25">
      <c r="A59102" s="118"/>
      <c r="B59102" s="136"/>
    </row>
    <row r="59103" spans="1:2" x14ac:dyDescent="0.25">
      <c r="A59103" s="118"/>
      <c r="B59103" s="136"/>
    </row>
    <row r="59104" spans="1:2" x14ac:dyDescent="0.25">
      <c r="A59104" s="118"/>
      <c r="B59104" s="136"/>
    </row>
    <row r="59105" spans="1:2" x14ac:dyDescent="0.25">
      <c r="A59105" s="118"/>
      <c r="B59105" s="136"/>
    </row>
    <row r="59106" spans="1:2" x14ac:dyDescent="0.25">
      <c r="A59106" s="118"/>
      <c r="B59106" s="136"/>
    </row>
    <row r="59107" spans="1:2" x14ac:dyDescent="0.25">
      <c r="A59107" s="118"/>
      <c r="B59107" s="136"/>
    </row>
    <row r="59108" spans="1:2" x14ac:dyDescent="0.25">
      <c r="A59108" s="118"/>
      <c r="B59108" s="136"/>
    </row>
    <row r="59109" spans="1:2" x14ac:dyDescent="0.25">
      <c r="A59109" s="118"/>
      <c r="B59109" s="136"/>
    </row>
    <row r="59110" spans="1:2" x14ac:dyDescent="0.25">
      <c r="A59110" s="118"/>
      <c r="B59110" s="136"/>
    </row>
    <row r="59111" spans="1:2" x14ac:dyDescent="0.25">
      <c r="A59111" s="118"/>
      <c r="B59111" s="136"/>
    </row>
    <row r="59112" spans="1:2" x14ac:dyDescent="0.25">
      <c r="A59112" s="118"/>
      <c r="B59112" s="136"/>
    </row>
    <row r="59113" spans="1:2" x14ac:dyDescent="0.25">
      <c r="A59113" s="118"/>
      <c r="B59113" s="136"/>
    </row>
    <row r="59114" spans="1:2" x14ac:dyDescent="0.25">
      <c r="A59114" s="118"/>
      <c r="B59114" s="136"/>
    </row>
    <row r="59115" spans="1:2" x14ac:dyDescent="0.25">
      <c r="A59115" s="118"/>
      <c r="B59115" s="136"/>
    </row>
    <row r="59116" spans="1:2" x14ac:dyDescent="0.25">
      <c r="A59116" s="118"/>
      <c r="B59116" s="136"/>
    </row>
    <row r="59117" spans="1:2" x14ac:dyDescent="0.25">
      <c r="A59117" s="118"/>
      <c r="B59117" s="136"/>
    </row>
    <row r="59118" spans="1:2" x14ac:dyDescent="0.25">
      <c r="A59118" s="118"/>
      <c r="B59118" s="136"/>
    </row>
    <row r="59119" spans="1:2" x14ac:dyDescent="0.25">
      <c r="A59119" s="118"/>
      <c r="B59119" s="136"/>
    </row>
    <row r="59120" spans="1:2" x14ac:dyDescent="0.25">
      <c r="A59120" s="118"/>
      <c r="B59120" s="136"/>
    </row>
    <row r="59121" spans="1:2" x14ac:dyDescent="0.25">
      <c r="A59121" s="118"/>
      <c r="B59121" s="136"/>
    </row>
    <row r="59122" spans="1:2" x14ac:dyDescent="0.25">
      <c r="A59122" s="118"/>
      <c r="B59122" s="136"/>
    </row>
    <row r="59123" spans="1:2" x14ac:dyDescent="0.25">
      <c r="A59123" s="118"/>
      <c r="B59123" s="136"/>
    </row>
    <row r="59124" spans="1:2" x14ac:dyDescent="0.25">
      <c r="A59124" s="118"/>
      <c r="B59124" s="136"/>
    </row>
    <row r="59125" spans="1:2" x14ac:dyDescent="0.25">
      <c r="A59125" s="118"/>
      <c r="B59125" s="136"/>
    </row>
    <row r="59126" spans="1:2" x14ac:dyDescent="0.25">
      <c r="A59126" s="118"/>
      <c r="B59126" s="136"/>
    </row>
    <row r="59127" spans="1:2" x14ac:dyDescent="0.25">
      <c r="A59127" s="118"/>
      <c r="B59127" s="136"/>
    </row>
    <row r="59128" spans="1:2" x14ac:dyDescent="0.25">
      <c r="A59128" s="118"/>
      <c r="B59128" s="136"/>
    </row>
    <row r="59129" spans="1:2" x14ac:dyDescent="0.25">
      <c r="A59129" s="118"/>
      <c r="B59129" s="136"/>
    </row>
    <row r="59130" spans="1:2" x14ac:dyDescent="0.25">
      <c r="A59130" s="118"/>
      <c r="B59130" s="136"/>
    </row>
    <row r="59131" spans="1:2" x14ac:dyDescent="0.25">
      <c r="A59131" s="118"/>
      <c r="B59131" s="136"/>
    </row>
    <row r="59132" spans="1:2" x14ac:dyDescent="0.25">
      <c r="A59132" s="118"/>
      <c r="B59132" s="136"/>
    </row>
    <row r="59133" spans="1:2" x14ac:dyDescent="0.25">
      <c r="A59133" s="118"/>
      <c r="B59133" s="136"/>
    </row>
    <row r="59134" spans="1:2" x14ac:dyDescent="0.25">
      <c r="A59134" s="118"/>
      <c r="B59134" s="136"/>
    </row>
    <row r="59135" spans="1:2" x14ac:dyDescent="0.25">
      <c r="A59135" s="118"/>
      <c r="B59135" s="136"/>
    </row>
    <row r="59136" spans="1:2" x14ac:dyDescent="0.25">
      <c r="A59136" s="118"/>
      <c r="B59136" s="136"/>
    </row>
    <row r="59137" spans="1:2" x14ac:dyDescent="0.25">
      <c r="A59137" s="118"/>
      <c r="B59137" s="136"/>
    </row>
    <row r="59138" spans="1:2" x14ac:dyDescent="0.25">
      <c r="A59138" s="118"/>
      <c r="B59138" s="136"/>
    </row>
    <row r="59139" spans="1:2" x14ac:dyDescent="0.25">
      <c r="A59139" s="118"/>
      <c r="B59139" s="136"/>
    </row>
    <row r="59140" spans="1:2" x14ac:dyDescent="0.25">
      <c r="A59140" s="118"/>
      <c r="B59140" s="136"/>
    </row>
    <row r="59141" spans="1:2" x14ac:dyDescent="0.25">
      <c r="A59141" s="118"/>
      <c r="B59141" s="136"/>
    </row>
    <row r="59142" spans="1:2" x14ac:dyDescent="0.25">
      <c r="A59142" s="118"/>
      <c r="B59142" s="136"/>
    </row>
    <row r="59143" spans="1:2" x14ac:dyDescent="0.25">
      <c r="A59143" s="118"/>
      <c r="B59143" s="136"/>
    </row>
    <row r="59144" spans="1:2" x14ac:dyDescent="0.25">
      <c r="A59144" s="118"/>
      <c r="B59144" s="136"/>
    </row>
    <row r="59145" spans="1:2" x14ac:dyDescent="0.25">
      <c r="A59145" s="118"/>
      <c r="B59145" s="136"/>
    </row>
    <row r="59146" spans="1:2" x14ac:dyDescent="0.25">
      <c r="A59146" s="118"/>
      <c r="B59146" s="136"/>
    </row>
    <row r="59147" spans="1:2" x14ac:dyDescent="0.25">
      <c r="A59147" s="118"/>
      <c r="B59147" s="136"/>
    </row>
    <row r="59148" spans="1:2" x14ac:dyDescent="0.25">
      <c r="A59148" s="118"/>
      <c r="B59148" s="136"/>
    </row>
    <row r="59149" spans="1:2" x14ac:dyDescent="0.25">
      <c r="A59149" s="118"/>
      <c r="B59149" s="136"/>
    </row>
    <row r="59150" spans="1:2" x14ac:dyDescent="0.25">
      <c r="A59150" s="118"/>
      <c r="B59150" s="136"/>
    </row>
    <row r="59151" spans="1:2" x14ac:dyDescent="0.25">
      <c r="A59151" s="118"/>
      <c r="B59151" s="136"/>
    </row>
    <row r="59152" spans="1:2" x14ac:dyDescent="0.25">
      <c r="A59152" s="118"/>
      <c r="B59152" s="136"/>
    </row>
    <row r="59153" spans="1:2" x14ac:dyDescent="0.25">
      <c r="A59153" s="118"/>
      <c r="B59153" s="136"/>
    </row>
    <row r="59154" spans="1:2" x14ac:dyDescent="0.25">
      <c r="A59154" s="118"/>
      <c r="B59154" s="136"/>
    </row>
    <row r="59155" spans="1:2" x14ac:dyDescent="0.25">
      <c r="A59155" s="118"/>
      <c r="B59155" s="136"/>
    </row>
    <row r="59156" spans="1:2" x14ac:dyDescent="0.25">
      <c r="A59156" s="118"/>
      <c r="B59156" s="136"/>
    </row>
    <row r="59157" spans="1:2" x14ac:dyDescent="0.25">
      <c r="A59157" s="118"/>
      <c r="B59157" s="136"/>
    </row>
    <row r="59158" spans="1:2" x14ac:dyDescent="0.25">
      <c r="A59158" s="118"/>
      <c r="B59158" s="136"/>
    </row>
    <row r="59159" spans="1:2" x14ac:dyDescent="0.25">
      <c r="A59159" s="118"/>
      <c r="B59159" s="136"/>
    </row>
    <row r="59160" spans="1:2" x14ac:dyDescent="0.25">
      <c r="A59160" s="118"/>
      <c r="B59160" s="136"/>
    </row>
    <row r="59161" spans="1:2" x14ac:dyDescent="0.25">
      <c r="A59161" s="118"/>
      <c r="B59161" s="136"/>
    </row>
    <row r="59162" spans="1:2" x14ac:dyDescent="0.25">
      <c r="A59162" s="118"/>
      <c r="B59162" s="136"/>
    </row>
    <row r="59163" spans="1:2" x14ac:dyDescent="0.25">
      <c r="A59163" s="118"/>
      <c r="B59163" s="136"/>
    </row>
    <row r="59164" spans="1:2" x14ac:dyDescent="0.25">
      <c r="A59164" s="118"/>
      <c r="B59164" s="136"/>
    </row>
    <row r="59165" spans="1:2" x14ac:dyDescent="0.25">
      <c r="A59165" s="118"/>
      <c r="B59165" s="136"/>
    </row>
    <row r="59166" spans="1:2" x14ac:dyDescent="0.25">
      <c r="A59166" s="118"/>
      <c r="B59166" s="136"/>
    </row>
    <row r="59167" spans="1:2" x14ac:dyDescent="0.25">
      <c r="A59167" s="118"/>
      <c r="B59167" s="136"/>
    </row>
    <row r="59168" spans="1:2" x14ac:dyDescent="0.25">
      <c r="A59168" s="118"/>
      <c r="B59168" s="136"/>
    </row>
    <row r="59169" spans="1:2" x14ac:dyDescent="0.25">
      <c r="A59169" s="118"/>
      <c r="B59169" s="136"/>
    </row>
    <row r="59170" spans="1:2" x14ac:dyDescent="0.25">
      <c r="A59170" s="118"/>
      <c r="B59170" s="136"/>
    </row>
    <row r="59171" spans="1:2" x14ac:dyDescent="0.25">
      <c r="A59171" s="118"/>
      <c r="B59171" s="136"/>
    </row>
    <row r="59172" spans="1:2" x14ac:dyDescent="0.25">
      <c r="A59172" s="118"/>
      <c r="B59172" s="136"/>
    </row>
    <row r="59173" spans="1:2" x14ac:dyDescent="0.25">
      <c r="A59173" s="118"/>
      <c r="B59173" s="136"/>
    </row>
    <row r="59174" spans="1:2" x14ac:dyDescent="0.25">
      <c r="A59174" s="118"/>
      <c r="B59174" s="136"/>
    </row>
    <row r="59175" spans="1:2" x14ac:dyDescent="0.25">
      <c r="A59175" s="118"/>
      <c r="B59175" s="136"/>
    </row>
    <row r="59176" spans="1:2" x14ac:dyDescent="0.25">
      <c r="A59176" s="118"/>
      <c r="B59176" s="136"/>
    </row>
    <row r="59177" spans="1:2" x14ac:dyDescent="0.25">
      <c r="A59177" s="118"/>
      <c r="B59177" s="136"/>
    </row>
    <row r="59178" spans="1:2" x14ac:dyDescent="0.25">
      <c r="A59178" s="118"/>
      <c r="B59178" s="136"/>
    </row>
    <row r="59179" spans="1:2" x14ac:dyDescent="0.25">
      <c r="A59179" s="118"/>
      <c r="B59179" s="136"/>
    </row>
    <row r="59180" spans="1:2" x14ac:dyDescent="0.25">
      <c r="A59180" s="118"/>
      <c r="B59180" s="136"/>
    </row>
    <row r="59181" spans="1:2" x14ac:dyDescent="0.25">
      <c r="A59181" s="118"/>
      <c r="B59181" s="136"/>
    </row>
    <row r="59182" spans="1:2" x14ac:dyDescent="0.25">
      <c r="A59182" s="118"/>
      <c r="B59182" s="136"/>
    </row>
    <row r="59183" spans="1:2" x14ac:dyDescent="0.25">
      <c r="A59183" s="118"/>
      <c r="B59183" s="136"/>
    </row>
    <row r="59184" spans="1:2" x14ac:dyDescent="0.25">
      <c r="A59184" s="118"/>
      <c r="B59184" s="136"/>
    </row>
    <row r="59185" spans="1:2" x14ac:dyDescent="0.25">
      <c r="A59185" s="118"/>
      <c r="B59185" s="136"/>
    </row>
    <row r="59186" spans="1:2" x14ac:dyDescent="0.25">
      <c r="A59186" s="118"/>
      <c r="B59186" s="136"/>
    </row>
    <row r="59187" spans="1:2" x14ac:dyDescent="0.25">
      <c r="A59187" s="118"/>
      <c r="B59187" s="136"/>
    </row>
    <row r="59188" spans="1:2" x14ac:dyDescent="0.25">
      <c r="A59188" s="118"/>
      <c r="B59188" s="136"/>
    </row>
    <row r="59189" spans="1:2" x14ac:dyDescent="0.25">
      <c r="A59189" s="118"/>
      <c r="B59189" s="136"/>
    </row>
    <row r="59190" spans="1:2" x14ac:dyDescent="0.25">
      <c r="A59190" s="118"/>
      <c r="B59190" s="136"/>
    </row>
    <row r="59191" spans="1:2" x14ac:dyDescent="0.25">
      <c r="A59191" s="118"/>
      <c r="B59191" s="136"/>
    </row>
    <row r="59192" spans="1:2" x14ac:dyDescent="0.25">
      <c r="A59192" s="118"/>
      <c r="B59192" s="136"/>
    </row>
    <row r="59193" spans="1:2" x14ac:dyDescent="0.25">
      <c r="A59193" s="118"/>
      <c r="B59193" s="136"/>
    </row>
    <row r="59194" spans="1:2" x14ac:dyDescent="0.25">
      <c r="A59194" s="118"/>
      <c r="B59194" s="136"/>
    </row>
    <row r="59195" spans="1:2" x14ac:dyDescent="0.25">
      <c r="A59195" s="118"/>
      <c r="B59195" s="136"/>
    </row>
    <row r="59196" spans="1:2" x14ac:dyDescent="0.25">
      <c r="A59196" s="118"/>
      <c r="B59196" s="136"/>
    </row>
    <row r="59197" spans="1:2" x14ac:dyDescent="0.25">
      <c r="A59197" s="118"/>
      <c r="B59197" s="136"/>
    </row>
    <row r="59198" spans="1:2" x14ac:dyDescent="0.25">
      <c r="A59198" s="118"/>
      <c r="B59198" s="136"/>
    </row>
    <row r="59199" spans="1:2" x14ac:dyDescent="0.25">
      <c r="A59199" s="118"/>
      <c r="B59199" s="136"/>
    </row>
    <row r="59200" spans="1:2" x14ac:dyDescent="0.25">
      <c r="A59200" s="118"/>
      <c r="B59200" s="136"/>
    </row>
    <row r="59201" spans="1:2" x14ac:dyDescent="0.25">
      <c r="A59201" s="118"/>
      <c r="B59201" s="136"/>
    </row>
    <row r="59202" spans="1:2" x14ac:dyDescent="0.25">
      <c r="A59202" s="118"/>
      <c r="B59202" s="136"/>
    </row>
    <row r="59203" spans="1:2" x14ac:dyDescent="0.25">
      <c r="A59203" s="118"/>
      <c r="B59203" s="136"/>
    </row>
    <row r="59204" spans="1:2" x14ac:dyDescent="0.25">
      <c r="A59204" s="118"/>
      <c r="B59204" s="136"/>
    </row>
    <row r="59205" spans="1:2" x14ac:dyDescent="0.25">
      <c r="A59205" s="118"/>
      <c r="B59205" s="136"/>
    </row>
    <row r="59206" spans="1:2" x14ac:dyDescent="0.25">
      <c r="A59206" s="118"/>
      <c r="B59206" s="136"/>
    </row>
    <row r="59207" spans="1:2" x14ac:dyDescent="0.25">
      <c r="A59207" s="118"/>
      <c r="B59207" s="136"/>
    </row>
    <row r="59208" spans="1:2" x14ac:dyDescent="0.25">
      <c r="A59208" s="118"/>
      <c r="B59208" s="136"/>
    </row>
    <row r="59209" spans="1:2" x14ac:dyDescent="0.25">
      <c r="A59209" s="118"/>
      <c r="B59209" s="136"/>
    </row>
    <row r="59210" spans="1:2" x14ac:dyDescent="0.25">
      <c r="A59210" s="118"/>
      <c r="B59210" s="136"/>
    </row>
    <row r="59211" spans="1:2" x14ac:dyDescent="0.25">
      <c r="A59211" s="118"/>
      <c r="B59211" s="136"/>
    </row>
    <row r="59212" spans="1:2" x14ac:dyDescent="0.25">
      <c r="A59212" s="118"/>
      <c r="B59212" s="136"/>
    </row>
    <row r="59213" spans="1:2" x14ac:dyDescent="0.25">
      <c r="A59213" s="118"/>
      <c r="B59213" s="136"/>
    </row>
    <row r="59214" spans="1:2" x14ac:dyDescent="0.25">
      <c r="A59214" s="118"/>
      <c r="B59214" s="136"/>
    </row>
    <row r="59215" spans="1:2" x14ac:dyDescent="0.25">
      <c r="A59215" s="118"/>
      <c r="B59215" s="136"/>
    </row>
    <row r="59216" spans="1:2" x14ac:dyDescent="0.25">
      <c r="A59216" s="118"/>
      <c r="B59216" s="136"/>
    </row>
    <row r="59217" spans="1:2" x14ac:dyDescent="0.25">
      <c r="A59217" s="118"/>
      <c r="B59217" s="136"/>
    </row>
    <row r="59218" spans="1:2" x14ac:dyDescent="0.25">
      <c r="A59218" s="118"/>
      <c r="B59218" s="136"/>
    </row>
    <row r="59219" spans="1:2" x14ac:dyDescent="0.25">
      <c r="A59219" s="118"/>
      <c r="B59219" s="136"/>
    </row>
    <row r="59220" spans="1:2" x14ac:dyDescent="0.25">
      <c r="A59220" s="118"/>
      <c r="B59220" s="136"/>
    </row>
    <row r="59221" spans="1:2" x14ac:dyDescent="0.25">
      <c r="A59221" s="118"/>
      <c r="B59221" s="136"/>
    </row>
    <row r="59222" spans="1:2" x14ac:dyDescent="0.25">
      <c r="A59222" s="118"/>
      <c r="B59222" s="136"/>
    </row>
    <row r="59223" spans="1:2" x14ac:dyDescent="0.25">
      <c r="A59223" s="118"/>
      <c r="B59223" s="136"/>
    </row>
    <row r="59224" spans="1:2" x14ac:dyDescent="0.25">
      <c r="A59224" s="118"/>
      <c r="B59224" s="136"/>
    </row>
    <row r="59225" spans="1:2" x14ac:dyDescent="0.25">
      <c r="A59225" s="118"/>
      <c r="B59225" s="136"/>
    </row>
    <row r="59226" spans="1:2" x14ac:dyDescent="0.25">
      <c r="A59226" s="118"/>
      <c r="B59226" s="136"/>
    </row>
    <row r="59227" spans="1:2" x14ac:dyDescent="0.25">
      <c r="A59227" s="118"/>
      <c r="B59227" s="136"/>
    </row>
    <row r="59228" spans="1:2" x14ac:dyDescent="0.25">
      <c r="A59228" s="118"/>
      <c r="B59228" s="136"/>
    </row>
    <row r="59229" spans="1:2" x14ac:dyDescent="0.25">
      <c r="A59229" s="118"/>
      <c r="B59229" s="136"/>
    </row>
    <row r="59230" spans="1:2" x14ac:dyDescent="0.25">
      <c r="A59230" s="118"/>
      <c r="B59230" s="136"/>
    </row>
    <row r="59231" spans="1:2" x14ac:dyDescent="0.25">
      <c r="A59231" s="118"/>
      <c r="B59231" s="136"/>
    </row>
    <row r="59232" spans="1:2" x14ac:dyDescent="0.25">
      <c r="A59232" s="118"/>
      <c r="B59232" s="136"/>
    </row>
    <row r="59233" spans="1:2" x14ac:dyDescent="0.25">
      <c r="A59233" s="118"/>
      <c r="B59233" s="136"/>
    </row>
    <row r="59234" spans="1:2" x14ac:dyDescent="0.25">
      <c r="A59234" s="118"/>
      <c r="B59234" s="136"/>
    </row>
    <row r="59235" spans="1:2" x14ac:dyDescent="0.25">
      <c r="A59235" s="118"/>
      <c r="B59235" s="136"/>
    </row>
    <row r="59236" spans="1:2" x14ac:dyDescent="0.25">
      <c r="A59236" s="118"/>
      <c r="B59236" s="136"/>
    </row>
    <row r="59237" spans="1:2" x14ac:dyDescent="0.25">
      <c r="A59237" s="118"/>
      <c r="B59237" s="136"/>
    </row>
    <row r="59238" spans="1:2" x14ac:dyDescent="0.25">
      <c r="A59238" s="118"/>
      <c r="B59238" s="136"/>
    </row>
    <row r="59239" spans="1:2" x14ac:dyDescent="0.25">
      <c r="A59239" s="118"/>
      <c r="B59239" s="136"/>
    </row>
    <row r="59240" spans="1:2" x14ac:dyDescent="0.25">
      <c r="A59240" s="118"/>
      <c r="B59240" s="136"/>
    </row>
    <row r="59241" spans="1:2" x14ac:dyDescent="0.25">
      <c r="A59241" s="118"/>
      <c r="B59241" s="136"/>
    </row>
    <row r="59242" spans="1:2" x14ac:dyDescent="0.25">
      <c r="A59242" s="118"/>
      <c r="B59242" s="136"/>
    </row>
    <row r="59243" spans="1:2" x14ac:dyDescent="0.25">
      <c r="A59243" s="118"/>
      <c r="B59243" s="136"/>
    </row>
    <row r="59244" spans="1:2" x14ac:dyDescent="0.25">
      <c r="A59244" s="118"/>
      <c r="B59244" s="136"/>
    </row>
    <row r="59245" spans="1:2" x14ac:dyDescent="0.25">
      <c r="A59245" s="118"/>
      <c r="B59245" s="136"/>
    </row>
    <row r="59246" spans="1:2" x14ac:dyDescent="0.25">
      <c r="A59246" s="118"/>
      <c r="B59246" s="136"/>
    </row>
    <row r="59247" spans="1:2" x14ac:dyDescent="0.25">
      <c r="A59247" s="118"/>
      <c r="B59247" s="136"/>
    </row>
    <row r="59248" spans="1:2" x14ac:dyDescent="0.25">
      <c r="A59248" s="118"/>
      <c r="B59248" s="136"/>
    </row>
    <row r="59249" spans="1:2" x14ac:dyDescent="0.25">
      <c r="A59249" s="118"/>
      <c r="B59249" s="136"/>
    </row>
    <row r="59250" spans="1:2" x14ac:dyDescent="0.25">
      <c r="A59250" s="118"/>
      <c r="B59250" s="136"/>
    </row>
    <row r="59251" spans="1:2" x14ac:dyDescent="0.25">
      <c r="A59251" s="118"/>
      <c r="B59251" s="136"/>
    </row>
    <row r="59252" spans="1:2" x14ac:dyDescent="0.25">
      <c r="A59252" s="118"/>
      <c r="B59252" s="136"/>
    </row>
    <row r="59253" spans="1:2" x14ac:dyDescent="0.25">
      <c r="A59253" s="118"/>
      <c r="B59253" s="136"/>
    </row>
    <row r="59254" spans="1:2" x14ac:dyDescent="0.25">
      <c r="A59254" s="118"/>
      <c r="B59254" s="136"/>
    </row>
    <row r="59255" spans="1:2" x14ac:dyDescent="0.25">
      <c r="A59255" s="118"/>
      <c r="B59255" s="136"/>
    </row>
    <row r="59256" spans="1:2" x14ac:dyDescent="0.25">
      <c r="A59256" s="118"/>
      <c r="B59256" s="136"/>
    </row>
    <row r="59257" spans="1:2" x14ac:dyDescent="0.25">
      <c r="A59257" s="118"/>
      <c r="B59257" s="136"/>
    </row>
    <row r="59258" spans="1:2" x14ac:dyDescent="0.25">
      <c r="A59258" s="118"/>
      <c r="B59258" s="136"/>
    </row>
    <row r="59259" spans="1:2" x14ac:dyDescent="0.25">
      <c r="A59259" s="118"/>
      <c r="B59259" s="136"/>
    </row>
    <row r="59260" spans="1:2" x14ac:dyDescent="0.25">
      <c r="A59260" s="118"/>
      <c r="B59260" s="136"/>
    </row>
    <row r="59261" spans="1:2" x14ac:dyDescent="0.25">
      <c r="A59261" s="118"/>
      <c r="B59261" s="136"/>
    </row>
    <row r="59262" spans="1:2" x14ac:dyDescent="0.25">
      <c r="A59262" s="118"/>
      <c r="B59262" s="136"/>
    </row>
    <row r="59263" spans="1:2" x14ac:dyDescent="0.25">
      <c r="A59263" s="118"/>
      <c r="B59263" s="136"/>
    </row>
    <row r="59264" spans="1:2" x14ac:dyDescent="0.25">
      <c r="A59264" s="118"/>
      <c r="B59264" s="136"/>
    </row>
    <row r="59265" spans="1:2" x14ac:dyDescent="0.25">
      <c r="A59265" s="118"/>
      <c r="B59265" s="136"/>
    </row>
    <row r="59266" spans="1:2" x14ac:dyDescent="0.25">
      <c r="A59266" s="118"/>
      <c r="B59266" s="136"/>
    </row>
    <row r="59267" spans="1:2" x14ac:dyDescent="0.25">
      <c r="A59267" s="118"/>
      <c r="B59267" s="136"/>
    </row>
    <row r="59268" spans="1:2" x14ac:dyDescent="0.25">
      <c r="A59268" s="118"/>
      <c r="B59268" s="136"/>
    </row>
    <row r="59269" spans="1:2" x14ac:dyDescent="0.25">
      <c r="A59269" s="118"/>
      <c r="B59269" s="136"/>
    </row>
    <row r="59270" spans="1:2" x14ac:dyDescent="0.25">
      <c r="A59270" s="118"/>
      <c r="B59270" s="136"/>
    </row>
    <row r="59271" spans="1:2" x14ac:dyDescent="0.25">
      <c r="A59271" s="118"/>
      <c r="B59271" s="136"/>
    </row>
    <row r="59272" spans="1:2" x14ac:dyDescent="0.25">
      <c r="A59272" s="118"/>
      <c r="B59272" s="136"/>
    </row>
    <row r="59273" spans="1:2" x14ac:dyDescent="0.25">
      <c r="A59273" s="118"/>
      <c r="B59273" s="136"/>
    </row>
    <row r="59274" spans="1:2" x14ac:dyDescent="0.25">
      <c r="A59274" s="118"/>
      <c r="B59274" s="136"/>
    </row>
    <row r="59275" spans="1:2" x14ac:dyDescent="0.25">
      <c r="A59275" s="118"/>
      <c r="B59275" s="136"/>
    </row>
    <row r="59276" spans="1:2" x14ac:dyDescent="0.25">
      <c r="A59276" s="118"/>
      <c r="B59276" s="136"/>
    </row>
    <row r="59277" spans="1:2" x14ac:dyDescent="0.25">
      <c r="A59277" s="118"/>
      <c r="B59277" s="136"/>
    </row>
    <row r="59278" spans="1:2" x14ac:dyDescent="0.25">
      <c r="A59278" s="118"/>
      <c r="B59278" s="136"/>
    </row>
    <row r="59279" spans="1:2" x14ac:dyDescent="0.25">
      <c r="A59279" s="118"/>
      <c r="B59279" s="136"/>
    </row>
    <row r="59280" spans="1:2" x14ac:dyDescent="0.25">
      <c r="A59280" s="118"/>
      <c r="B59280" s="136"/>
    </row>
    <row r="59281" spans="1:2" x14ac:dyDescent="0.25">
      <c r="A59281" s="118"/>
      <c r="B59281" s="136"/>
    </row>
    <row r="59282" spans="1:2" x14ac:dyDescent="0.25">
      <c r="A59282" s="118"/>
      <c r="B59282" s="136"/>
    </row>
    <row r="59283" spans="1:2" x14ac:dyDescent="0.25">
      <c r="A59283" s="118"/>
      <c r="B59283" s="136"/>
    </row>
    <row r="59284" spans="1:2" x14ac:dyDescent="0.25">
      <c r="A59284" s="118"/>
      <c r="B59284" s="136"/>
    </row>
    <row r="59285" spans="1:2" x14ac:dyDescent="0.25">
      <c r="A59285" s="118"/>
      <c r="B59285" s="136"/>
    </row>
    <row r="59286" spans="1:2" x14ac:dyDescent="0.25">
      <c r="A59286" s="118"/>
      <c r="B59286" s="136"/>
    </row>
    <row r="59287" spans="1:2" x14ac:dyDescent="0.25">
      <c r="A59287" s="118"/>
      <c r="B59287" s="136"/>
    </row>
    <row r="59288" spans="1:2" x14ac:dyDescent="0.25">
      <c r="A59288" s="118"/>
      <c r="B59288" s="136"/>
    </row>
    <row r="59289" spans="1:2" x14ac:dyDescent="0.25">
      <c r="A59289" s="118"/>
      <c r="B59289" s="136"/>
    </row>
    <row r="59290" spans="1:2" x14ac:dyDescent="0.25">
      <c r="A59290" s="118"/>
      <c r="B59290" s="136"/>
    </row>
    <row r="59291" spans="1:2" x14ac:dyDescent="0.25">
      <c r="A59291" s="118"/>
      <c r="B59291" s="136"/>
    </row>
    <row r="59292" spans="1:2" x14ac:dyDescent="0.25">
      <c r="A59292" s="118"/>
      <c r="B59292" s="136"/>
    </row>
    <row r="59293" spans="1:2" x14ac:dyDescent="0.25">
      <c r="A59293" s="118"/>
      <c r="B59293" s="136"/>
    </row>
    <row r="59294" spans="1:2" x14ac:dyDescent="0.25">
      <c r="A59294" s="118"/>
      <c r="B59294" s="136"/>
    </row>
    <row r="59295" spans="1:2" x14ac:dyDescent="0.25">
      <c r="A59295" s="118"/>
      <c r="B59295" s="136"/>
    </row>
    <row r="59296" spans="1:2" x14ac:dyDescent="0.25">
      <c r="A59296" s="118"/>
      <c r="B59296" s="136"/>
    </row>
    <row r="59297" spans="1:2" x14ac:dyDescent="0.25">
      <c r="A59297" s="118"/>
      <c r="B59297" s="136"/>
    </row>
    <row r="59298" spans="1:2" x14ac:dyDescent="0.25">
      <c r="A59298" s="118"/>
      <c r="B59298" s="136"/>
    </row>
    <row r="59299" spans="1:2" x14ac:dyDescent="0.25">
      <c r="A59299" s="118"/>
      <c r="B59299" s="136"/>
    </row>
    <row r="59300" spans="1:2" x14ac:dyDescent="0.25">
      <c r="A59300" s="118"/>
      <c r="B59300" s="136"/>
    </row>
    <row r="59301" spans="1:2" x14ac:dyDescent="0.25">
      <c r="A59301" s="118"/>
      <c r="B59301" s="136"/>
    </row>
    <row r="59302" spans="1:2" x14ac:dyDescent="0.25">
      <c r="A59302" s="118"/>
      <c r="B59302" s="136"/>
    </row>
    <row r="59303" spans="1:2" x14ac:dyDescent="0.25">
      <c r="A59303" s="118"/>
      <c r="B59303" s="136"/>
    </row>
    <row r="59304" spans="1:2" x14ac:dyDescent="0.25">
      <c r="A59304" s="118"/>
      <c r="B59304" s="136"/>
    </row>
    <row r="59305" spans="1:2" x14ac:dyDescent="0.25">
      <c r="A59305" s="118"/>
      <c r="B59305" s="136"/>
    </row>
    <row r="59306" spans="1:2" x14ac:dyDescent="0.25">
      <c r="A59306" s="118"/>
      <c r="B59306" s="136"/>
    </row>
    <row r="59307" spans="1:2" x14ac:dyDescent="0.25">
      <c r="A59307" s="118"/>
      <c r="B59307" s="136"/>
    </row>
    <row r="59308" spans="1:2" x14ac:dyDescent="0.25">
      <c r="A59308" s="118"/>
      <c r="B59308" s="136"/>
    </row>
    <row r="59309" spans="1:2" x14ac:dyDescent="0.25">
      <c r="A59309" s="118"/>
      <c r="B59309" s="136"/>
    </row>
    <row r="59310" spans="1:2" x14ac:dyDescent="0.25">
      <c r="A59310" s="118"/>
      <c r="B59310" s="136"/>
    </row>
    <row r="59311" spans="1:2" x14ac:dyDescent="0.25">
      <c r="A59311" s="118"/>
      <c r="B59311" s="136"/>
    </row>
    <row r="59312" spans="1:2" x14ac:dyDescent="0.25">
      <c r="A59312" s="118"/>
      <c r="B59312" s="136"/>
    </row>
    <row r="59313" spans="1:2" x14ac:dyDescent="0.25">
      <c r="A59313" s="118"/>
      <c r="B59313" s="136"/>
    </row>
    <row r="59314" spans="1:2" x14ac:dyDescent="0.25">
      <c r="A59314" s="118"/>
      <c r="B59314" s="136"/>
    </row>
    <row r="59315" spans="1:2" x14ac:dyDescent="0.25">
      <c r="A59315" s="118"/>
      <c r="B59315" s="136"/>
    </row>
    <row r="59316" spans="1:2" x14ac:dyDescent="0.25">
      <c r="A59316" s="118"/>
      <c r="B59316" s="136"/>
    </row>
    <row r="59317" spans="1:2" x14ac:dyDescent="0.25">
      <c r="A59317" s="118"/>
      <c r="B59317" s="136"/>
    </row>
    <row r="59318" spans="1:2" x14ac:dyDescent="0.25">
      <c r="A59318" s="118"/>
      <c r="B59318" s="136"/>
    </row>
    <row r="59319" spans="1:2" x14ac:dyDescent="0.25">
      <c r="A59319" s="118"/>
      <c r="B59319" s="136"/>
    </row>
    <row r="59320" spans="1:2" x14ac:dyDescent="0.25">
      <c r="A59320" s="118"/>
      <c r="B59320" s="136"/>
    </row>
    <row r="59321" spans="1:2" x14ac:dyDescent="0.25">
      <c r="A59321" s="118"/>
      <c r="B59321" s="136"/>
    </row>
    <row r="59322" spans="1:2" x14ac:dyDescent="0.25">
      <c r="A59322" s="118"/>
      <c r="B59322" s="136"/>
    </row>
    <row r="59323" spans="1:2" x14ac:dyDescent="0.25">
      <c r="A59323" s="118"/>
      <c r="B59323" s="136"/>
    </row>
    <row r="59324" spans="1:2" x14ac:dyDescent="0.25">
      <c r="A59324" s="118"/>
      <c r="B59324" s="136"/>
    </row>
    <row r="59325" spans="1:2" x14ac:dyDescent="0.25">
      <c r="A59325" s="118"/>
      <c r="B59325" s="136"/>
    </row>
    <row r="59326" spans="1:2" x14ac:dyDescent="0.25">
      <c r="A59326" s="118"/>
      <c r="B59326" s="136"/>
    </row>
    <row r="59327" spans="1:2" x14ac:dyDescent="0.25">
      <c r="A59327" s="118"/>
      <c r="B59327" s="136"/>
    </row>
    <row r="59328" spans="1:2" x14ac:dyDescent="0.25">
      <c r="A59328" s="118"/>
      <c r="B59328" s="136"/>
    </row>
    <row r="59329" spans="1:2" x14ac:dyDescent="0.25">
      <c r="A59329" s="118"/>
      <c r="B59329" s="136"/>
    </row>
    <row r="59330" spans="1:2" x14ac:dyDescent="0.25">
      <c r="A59330" s="118"/>
      <c r="B59330" s="136"/>
    </row>
    <row r="59331" spans="1:2" x14ac:dyDescent="0.25">
      <c r="A59331" s="118"/>
      <c r="B59331" s="136"/>
    </row>
    <row r="59332" spans="1:2" x14ac:dyDescent="0.25">
      <c r="A59332" s="118"/>
      <c r="B59332" s="136"/>
    </row>
    <row r="59333" spans="1:2" x14ac:dyDescent="0.25">
      <c r="A59333" s="118"/>
      <c r="B59333" s="136"/>
    </row>
    <row r="59334" spans="1:2" x14ac:dyDescent="0.25">
      <c r="A59334" s="118"/>
      <c r="B59334" s="136"/>
    </row>
    <row r="59335" spans="1:2" x14ac:dyDescent="0.25">
      <c r="A59335" s="118"/>
      <c r="B59335" s="136"/>
    </row>
    <row r="59336" spans="1:2" x14ac:dyDescent="0.25">
      <c r="A59336" s="118"/>
      <c r="B59336" s="136"/>
    </row>
    <row r="59337" spans="1:2" x14ac:dyDescent="0.25">
      <c r="A59337" s="118"/>
      <c r="B59337" s="136"/>
    </row>
    <row r="59338" spans="1:2" x14ac:dyDescent="0.25">
      <c r="A59338" s="118"/>
      <c r="B59338" s="136"/>
    </row>
    <row r="59339" spans="1:2" x14ac:dyDescent="0.25">
      <c r="A59339" s="118"/>
      <c r="B59339" s="136"/>
    </row>
    <row r="59340" spans="1:2" x14ac:dyDescent="0.25">
      <c r="A59340" s="118"/>
      <c r="B59340" s="136"/>
    </row>
    <row r="59341" spans="1:2" x14ac:dyDescent="0.25">
      <c r="A59341" s="118"/>
      <c r="B59341" s="136"/>
    </row>
    <row r="59342" spans="1:2" x14ac:dyDescent="0.25">
      <c r="A59342" s="118"/>
      <c r="B59342" s="136"/>
    </row>
    <row r="59343" spans="1:2" x14ac:dyDescent="0.25">
      <c r="A59343" s="118"/>
      <c r="B59343" s="136"/>
    </row>
    <row r="59344" spans="1:2" x14ac:dyDescent="0.25">
      <c r="A59344" s="118"/>
      <c r="B59344" s="136"/>
    </row>
    <row r="59345" spans="1:2" x14ac:dyDescent="0.25">
      <c r="A59345" s="118"/>
      <c r="B59345" s="136"/>
    </row>
    <row r="59346" spans="1:2" x14ac:dyDescent="0.25">
      <c r="A59346" s="118"/>
      <c r="B59346" s="136"/>
    </row>
    <row r="59347" spans="1:2" x14ac:dyDescent="0.25">
      <c r="A59347" s="118"/>
      <c r="B59347" s="136"/>
    </row>
    <row r="59348" spans="1:2" x14ac:dyDescent="0.25">
      <c r="A59348" s="118"/>
      <c r="B59348" s="136"/>
    </row>
    <row r="59349" spans="1:2" x14ac:dyDescent="0.25">
      <c r="A59349" s="118"/>
      <c r="B59349" s="136"/>
    </row>
    <row r="59350" spans="1:2" x14ac:dyDescent="0.25">
      <c r="A59350" s="118"/>
      <c r="B59350" s="136"/>
    </row>
    <row r="59351" spans="1:2" x14ac:dyDescent="0.25">
      <c r="A59351" s="118"/>
      <c r="B59351" s="136"/>
    </row>
    <row r="59352" spans="1:2" x14ac:dyDescent="0.25">
      <c r="A59352" s="118"/>
      <c r="B59352" s="136"/>
    </row>
    <row r="59353" spans="1:2" x14ac:dyDescent="0.25">
      <c r="A59353" s="118"/>
      <c r="B59353" s="136"/>
    </row>
    <row r="59354" spans="1:2" x14ac:dyDescent="0.25">
      <c r="A59354" s="118"/>
      <c r="B59354" s="136"/>
    </row>
    <row r="59355" spans="1:2" x14ac:dyDescent="0.25">
      <c r="A59355" s="118"/>
      <c r="B59355" s="136"/>
    </row>
    <row r="59356" spans="1:2" x14ac:dyDescent="0.25">
      <c r="A59356" s="118"/>
      <c r="B59356" s="136"/>
    </row>
    <row r="59357" spans="1:2" x14ac:dyDescent="0.25">
      <c r="A59357" s="118"/>
      <c r="B59357" s="136"/>
    </row>
    <row r="59358" spans="1:2" x14ac:dyDescent="0.25">
      <c r="A59358" s="118"/>
      <c r="B59358" s="136"/>
    </row>
    <row r="59359" spans="1:2" x14ac:dyDescent="0.25">
      <c r="A59359" s="118"/>
      <c r="B59359" s="136"/>
    </row>
    <row r="59360" spans="1:2" x14ac:dyDescent="0.25">
      <c r="A59360" s="118"/>
      <c r="B59360" s="136"/>
    </row>
    <row r="59361" spans="1:2" x14ac:dyDescent="0.25">
      <c r="A59361" s="118"/>
      <c r="B59361" s="136"/>
    </row>
    <row r="59362" spans="1:2" x14ac:dyDescent="0.25">
      <c r="A59362" s="118"/>
      <c r="B59362" s="136"/>
    </row>
    <row r="59363" spans="1:2" x14ac:dyDescent="0.25">
      <c r="A59363" s="118"/>
      <c r="B59363" s="136"/>
    </row>
    <row r="59364" spans="1:2" x14ac:dyDescent="0.25">
      <c r="A59364" s="118"/>
      <c r="B59364" s="136"/>
    </row>
    <row r="59365" spans="1:2" x14ac:dyDescent="0.25">
      <c r="A59365" s="118"/>
      <c r="B59365" s="136"/>
    </row>
    <row r="59366" spans="1:2" x14ac:dyDescent="0.25">
      <c r="A59366" s="118"/>
      <c r="B59366" s="136"/>
    </row>
    <row r="59367" spans="1:2" x14ac:dyDescent="0.25">
      <c r="A59367" s="118"/>
      <c r="B59367" s="136"/>
    </row>
    <row r="59368" spans="1:2" x14ac:dyDescent="0.25">
      <c r="A59368" s="118"/>
      <c r="B59368" s="136"/>
    </row>
    <row r="59369" spans="1:2" x14ac:dyDescent="0.25">
      <c r="A59369" s="118"/>
      <c r="B59369" s="136"/>
    </row>
    <row r="59370" spans="1:2" x14ac:dyDescent="0.25">
      <c r="A59370" s="118"/>
      <c r="B59370" s="136"/>
    </row>
    <row r="59371" spans="1:2" x14ac:dyDescent="0.25">
      <c r="A59371" s="118"/>
      <c r="B59371" s="136"/>
    </row>
    <row r="59372" spans="1:2" x14ac:dyDescent="0.25">
      <c r="A59372" s="118"/>
      <c r="B59372" s="136"/>
    </row>
    <row r="59373" spans="1:2" x14ac:dyDescent="0.25">
      <c r="A59373" s="118"/>
      <c r="B59373" s="136"/>
    </row>
    <row r="59374" spans="1:2" x14ac:dyDescent="0.25">
      <c r="A59374" s="118"/>
      <c r="B59374" s="136"/>
    </row>
    <row r="59375" spans="1:2" x14ac:dyDescent="0.25">
      <c r="A59375" s="118"/>
      <c r="B59375" s="136"/>
    </row>
    <row r="59376" spans="1:2" x14ac:dyDescent="0.25">
      <c r="A59376" s="118"/>
      <c r="B59376" s="136"/>
    </row>
    <row r="59377" spans="1:2" x14ac:dyDescent="0.25">
      <c r="A59377" s="118"/>
      <c r="B59377" s="136"/>
    </row>
    <row r="59378" spans="1:2" x14ac:dyDescent="0.25">
      <c r="A59378" s="118"/>
      <c r="B59378" s="136"/>
    </row>
    <row r="59379" spans="1:2" x14ac:dyDescent="0.25">
      <c r="A59379" s="118"/>
      <c r="B59379" s="136"/>
    </row>
    <row r="59380" spans="1:2" x14ac:dyDescent="0.25">
      <c r="A59380" s="118"/>
      <c r="B59380" s="136"/>
    </row>
    <row r="59381" spans="1:2" x14ac:dyDescent="0.25">
      <c r="A59381" s="118"/>
      <c r="B59381" s="136"/>
    </row>
    <row r="59382" spans="1:2" x14ac:dyDescent="0.25">
      <c r="A59382" s="118"/>
      <c r="B59382" s="136"/>
    </row>
    <row r="59383" spans="1:2" x14ac:dyDescent="0.25">
      <c r="A59383" s="118"/>
      <c r="B59383" s="136"/>
    </row>
    <row r="59384" spans="1:2" x14ac:dyDescent="0.25">
      <c r="A59384" s="118"/>
      <c r="B59384" s="136"/>
    </row>
    <row r="59385" spans="1:2" x14ac:dyDescent="0.25">
      <c r="A59385" s="118"/>
      <c r="B59385" s="136"/>
    </row>
    <row r="59386" spans="1:2" x14ac:dyDescent="0.25">
      <c r="A59386" s="118"/>
      <c r="B59386" s="136"/>
    </row>
    <row r="59387" spans="1:2" x14ac:dyDescent="0.25">
      <c r="A59387" s="118"/>
      <c r="B59387" s="136"/>
    </row>
    <row r="59388" spans="1:2" x14ac:dyDescent="0.25">
      <c r="A59388" s="118"/>
      <c r="B59388" s="136"/>
    </row>
    <row r="59389" spans="1:2" x14ac:dyDescent="0.25">
      <c r="A59389" s="118"/>
      <c r="B59389" s="136"/>
    </row>
    <row r="59390" spans="1:2" x14ac:dyDescent="0.25">
      <c r="A59390" s="118"/>
      <c r="B59390" s="136"/>
    </row>
    <row r="59391" spans="1:2" x14ac:dyDescent="0.25">
      <c r="A59391" s="118"/>
      <c r="B59391" s="136"/>
    </row>
    <row r="59392" spans="1:2" x14ac:dyDescent="0.25">
      <c r="A59392" s="118"/>
      <c r="B59392" s="136"/>
    </row>
    <row r="59393" spans="1:2" x14ac:dyDescent="0.25">
      <c r="A59393" s="118"/>
      <c r="B59393" s="136"/>
    </row>
    <row r="59394" spans="1:2" x14ac:dyDescent="0.25">
      <c r="A59394" s="118"/>
      <c r="B59394" s="136"/>
    </row>
    <row r="59395" spans="1:2" x14ac:dyDescent="0.25">
      <c r="A59395" s="118"/>
      <c r="B59395" s="136"/>
    </row>
    <row r="59396" spans="1:2" x14ac:dyDescent="0.25">
      <c r="A59396" s="118"/>
      <c r="B59396" s="136"/>
    </row>
    <row r="59397" spans="1:2" x14ac:dyDescent="0.25">
      <c r="A59397" s="118"/>
      <c r="B59397" s="136"/>
    </row>
    <row r="59398" spans="1:2" x14ac:dyDescent="0.25">
      <c r="A59398" s="118"/>
      <c r="B59398" s="136"/>
    </row>
    <row r="59399" spans="1:2" x14ac:dyDescent="0.25">
      <c r="A59399" s="118"/>
      <c r="B59399" s="136"/>
    </row>
    <row r="59400" spans="1:2" x14ac:dyDescent="0.25">
      <c r="A59400" s="118"/>
      <c r="B59400" s="136"/>
    </row>
    <row r="59401" spans="1:2" x14ac:dyDescent="0.25">
      <c r="A59401" s="118"/>
      <c r="B59401" s="136"/>
    </row>
    <row r="59402" spans="1:2" x14ac:dyDescent="0.25">
      <c r="A59402" s="118"/>
      <c r="B59402" s="136"/>
    </row>
    <row r="59403" spans="1:2" x14ac:dyDescent="0.25">
      <c r="A59403" s="118"/>
      <c r="B59403" s="136"/>
    </row>
    <row r="59404" spans="1:2" x14ac:dyDescent="0.25">
      <c r="A59404" s="118"/>
      <c r="B59404" s="136"/>
    </row>
    <row r="59405" spans="1:2" x14ac:dyDescent="0.25">
      <c r="A59405" s="118"/>
      <c r="B59405" s="136"/>
    </row>
    <row r="59406" spans="1:2" x14ac:dyDescent="0.25">
      <c r="A59406" s="118"/>
      <c r="B59406" s="136"/>
    </row>
    <row r="59407" spans="1:2" x14ac:dyDescent="0.25">
      <c r="A59407" s="118"/>
      <c r="B59407" s="136"/>
    </row>
    <row r="59408" spans="1:2" x14ac:dyDescent="0.25">
      <c r="A59408" s="118"/>
      <c r="B59408" s="136"/>
    </row>
    <row r="59409" spans="1:2" x14ac:dyDescent="0.25">
      <c r="A59409" s="118"/>
      <c r="B59409" s="136"/>
    </row>
    <row r="59410" spans="1:2" x14ac:dyDescent="0.25">
      <c r="A59410" s="118"/>
      <c r="B59410" s="136"/>
    </row>
    <row r="59411" spans="1:2" x14ac:dyDescent="0.25">
      <c r="A59411" s="118"/>
      <c r="B59411" s="136"/>
    </row>
    <row r="59412" spans="1:2" x14ac:dyDescent="0.25">
      <c r="A59412" s="118"/>
      <c r="B59412" s="136"/>
    </row>
    <row r="59413" spans="1:2" x14ac:dyDescent="0.25">
      <c r="A59413" s="118"/>
      <c r="B59413" s="136"/>
    </row>
    <row r="59414" spans="1:2" x14ac:dyDescent="0.25">
      <c r="A59414" s="118"/>
      <c r="B59414" s="136"/>
    </row>
    <row r="59415" spans="1:2" x14ac:dyDescent="0.25">
      <c r="A59415" s="118"/>
      <c r="B59415" s="136"/>
    </row>
    <row r="59416" spans="1:2" x14ac:dyDescent="0.25">
      <c r="A59416" s="118"/>
      <c r="B59416" s="136"/>
    </row>
    <row r="59417" spans="1:2" x14ac:dyDescent="0.25">
      <c r="A59417" s="118"/>
      <c r="B59417" s="136"/>
    </row>
    <row r="59418" spans="1:2" x14ac:dyDescent="0.25">
      <c r="A59418" s="118"/>
      <c r="B59418" s="136"/>
    </row>
    <row r="59419" spans="1:2" x14ac:dyDescent="0.25">
      <c r="A59419" s="118"/>
      <c r="B59419" s="136"/>
    </row>
    <row r="59420" spans="1:2" x14ac:dyDescent="0.25">
      <c r="A59420" s="118"/>
      <c r="B59420" s="136"/>
    </row>
    <row r="59421" spans="1:2" x14ac:dyDescent="0.25">
      <c r="A59421" s="118"/>
      <c r="B59421" s="136"/>
    </row>
    <row r="59422" spans="1:2" x14ac:dyDescent="0.25">
      <c r="A59422" s="118"/>
      <c r="B59422" s="136"/>
    </row>
    <row r="59423" spans="1:2" x14ac:dyDescent="0.25">
      <c r="A59423" s="118"/>
      <c r="B59423" s="136"/>
    </row>
    <row r="59424" spans="1:2" x14ac:dyDescent="0.25">
      <c r="A59424" s="118"/>
      <c r="B59424" s="136"/>
    </row>
    <row r="59425" spans="1:2" x14ac:dyDescent="0.25">
      <c r="A59425" s="118"/>
      <c r="B59425" s="136"/>
    </row>
    <row r="59426" spans="1:2" x14ac:dyDescent="0.25">
      <c r="A59426" s="118"/>
      <c r="B59426" s="136"/>
    </row>
    <row r="59427" spans="1:2" x14ac:dyDescent="0.25">
      <c r="A59427" s="118"/>
      <c r="B59427" s="136"/>
    </row>
    <row r="59428" spans="1:2" x14ac:dyDescent="0.25">
      <c r="A59428" s="118"/>
      <c r="B59428" s="136"/>
    </row>
    <row r="59429" spans="1:2" x14ac:dyDescent="0.25">
      <c r="A59429" s="118"/>
      <c r="B59429" s="136"/>
    </row>
    <row r="59430" spans="1:2" x14ac:dyDescent="0.25">
      <c r="A59430" s="118"/>
      <c r="B59430" s="136"/>
    </row>
    <row r="59431" spans="1:2" x14ac:dyDescent="0.25">
      <c r="A59431" s="118"/>
      <c r="B59431" s="136"/>
    </row>
    <row r="59432" spans="1:2" x14ac:dyDescent="0.25">
      <c r="A59432" s="118"/>
      <c r="B59432" s="136"/>
    </row>
    <row r="59433" spans="1:2" x14ac:dyDescent="0.25">
      <c r="A59433" s="118"/>
      <c r="B59433" s="136"/>
    </row>
    <row r="59434" spans="1:2" x14ac:dyDescent="0.25">
      <c r="A59434" s="118"/>
      <c r="B59434" s="136"/>
    </row>
    <row r="59435" spans="1:2" x14ac:dyDescent="0.25">
      <c r="A59435" s="118"/>
      <c r="B59435" s="136"/>
    </row>
    <row r="59436" spans="1:2" x14ac:dyDescent="0.25">
      <c r="A59436" s="118"/>
      <c r="B59436" s="136"/>
    </row>
    <row r="59437" spans="1:2" x14ac:dyDescent="0.25">
      <c r="A59437" s="118"/>
      <c r="B59437" s="136"/>
    </row>
    <row r="59438" spans="1:2" x14ac:dyDescent="0.25">
      <c r="A59438" s="118"/>
      <c r="B59438" s="136"/>
    </row>
    <row r="59439" spans="1:2" x14ac:dyDescent="0.25">
      <c r="A59439" s="118"/>
      <c r="B59439" s="136"/>
    </row>
    <row r="59440" spans="1:2" x14ac:dyDescent="0.25">
      <c r="A59440" s="118"/>
      <c r="B59440" s="136"/>
    </row>
    <row r="59441" spans="1:2" x14ac:dyDescent="0.25">
      <c r="A59441" s="118"/>
      <c r="B59441" s="136"/>
    </row>
    <row r="59442" spans="1:2" x14ac:dyDescent="0.25">
      <c r="A59442" s="118"/>
      <c r="B59442" s="136"/>
    </row>
    <row r="59443" spans="1:2" x14ac:dyDescent="0.25">
      <c r="A59443" s="118"/>
      <c r="B59443" s="136"/>
    </row>
    <row r="59444" spans="1:2" x14ac:dyDescent="0.25">
      <c r="A59444" s="118"/>
      <c r="B59444" s="136"/>
    </row>
    <row r="59445" spans="1:2" x14ac:dyDescent="0.25">
      <c r="A59445" s="118"/>
      <c r="B59445" s="136"/>
    </row>
    <row r="59446" spans="1:2" x14ac:dyDescent="0.25">
      <c r="A59446" s="118"/>
      <c r="B59446" s="136"/>
    </row>
    <row r="59447" spans="1:2" x14ac:dyDescent="0.25">
      <c r="A59447" s="118"/>
      <c r="B59447" s="136"/>
    </row>
    <row r="59448" spans="1:2" x14ac:dyDescent="0.25">
      <c r="A59448" s="118"/>
      <c r="B59448" s="136"/>
    </row>
    <row r="59449" spans="1:2" x14ac:dyDescent="0.25">
      <c r="A59449" s="118"/>
      <c r="B59449" s="136"/>
    </row>
    <row r="59450" spans="1:2" x14ac:dyDescent="0.25">
      <c r="A59450" s="118"/>
      <c r="B59450" s="136"/>
    </row>
    <row r="59451" spans="1:2" x14ac:dyDescent="0.25">
      <c r="A59451" s="118"/>
      <c r="B59451" s="136"/>
    </row>
    <row r="59452" spans="1:2" x14ac:dyDescent="0.25">
      <c r="A59452" s="118"/>
      <c r="B59452" s="136"/>
    </row>
    <row r="59453" spans="1:2" x14ac:dyDescent="0.25">
      <c r="A59453" s="118"/>
      <c r="B59453" s="136"/>
    </row>
    <row r="59454" spans="1:2" x14ac:dyDescent="0.25">
      <c r="A59454" s="118"/>
      <c r="B59454" s="136"/>
    </row>
    <row r="59455" spans="1:2" x14ac:dyDescent="0.25">
      <c r="A59455" s="118"/>
      <c r="B59455" s="136"/>
    </row>
    <row r="59456" spans="1:2" x14ac:dyDescent="0.25">
      <c r="A59456" s="118"/>
      <c r="B59456" s="136"/>
    </row>
    <row r="59457" spans="1:2" x14ac:dyDescent="0.25">
      <c r="A59457" s="118"/>
      <c r="B59457" s="136"/>
    </row>
    <row r="59458" spans="1:2" x14ac:dyDescent="0.25">
      <c r="A59458" s="118"/>
      <c r="B59458" s="136"/>
    </row>
    <row r="59459" spans="1:2" x14ac:dyDescent="0.25">
      <c r="A59459" s="118"/>
      <c r="B59459" s="136"/>
    </row>
    <row r="59460" spans="1:2" x14ac:dyDescent="0.25">
      <c r="A59460" s="118"/>
      <c r="B59460" s="136"/>
    </row>
    <row r="59461" spans="1:2" x14ac:dyDescent="0.25">
      <c r="A59461" s="118"/>
      <c r="B59461" s="136"/>
    </row>
    <row r="59462" spans="1:2" x14ac:dyDescent="0.25">
      <c r="A59462" s="118"/>
      <c r="B59462" s="136"/>
    </row>
    <row r="59463" spans="1:2" x14ac:dyDescent="0.25">
      <c r="A59463" s="118"/>
      <c r="B59463" s="136"/>
    </row>
    <row r="59464" spans="1:2" x14ac:dyDescent="0.25">
      <c r="A59464" s="118"/>
      <c r="B59464" s="136"/>
    </row>
    <row r="59465" spans="1:2" x14ac:dyDescent="0.25">
      <c r="A59465" s="118"/>
      <c r="B59465" s="136"/>
    </row>
    <row r="59466" spans="1:2" x14ac:dyDescent="0.25">
      <c r="A59466" s="118"/>
      <c r="B59466" s="136"/>
    </row>
    <row r="59467" spans="1:2" x14ac:dyDescent="0.25">
      <c r="A59467" s="118"/>
      <c r="B59467" s="136"/>
    </row>
    <row r="59468" spans="1:2" x14ac:dyDescent="0.25">
      <c r="A59468" s="118"/>
      <c r="B59468" s="136"/>
    </row>
    <row r="59469" spans="1:2" x14ac:dyDescent="0.25">
      <c r="A59469" s="118"/>
      <c r="B59469" s="136"/>
    </row>
    <row r="59470" spans="1:2" x14ac:dyDescent="0.25">
      <c r="A59470" s="118"/>
      <c r="B59470" s="136"/>
    </row>
    <row r="59471" spans="1:2" x14ac:dyDescent="0.25">
      <c r="A59471" s="118"/>
      <c r="B59471" s="136"/>
    </row>
    <row r="59472" spans="1:2" x14ac:dyDescent="0.25">
      <c r="A59472" s="118"/>
      <c r="B59472" s="136"/>
    </row>
    <row r="59473" spans="1:2" x14ac:dyDescent="0.25">
      <c r="A59473" s="118"/>
      <c r="B59473" s="136"/>
    </row>
    <row r="59474" spans="1:2" x14ac:dyDescent="0.25">
      <c r="A59474" s="118"/>
      <c r="B59474" s="136"/>
    </row>
    <row r="59475" spans="1:2" x14ac:dyDescent="0.25">
      <c r="A59475" s="118"/>
      <c r="B59475" s="136"/>
    </row>
    <row r="59476" spans="1:2" x14ac:dyDescent="0.25">
      <c r="A59476" s="118"/>
      <c r="B59476" s="136"/>
    </row>
    <row r="59477" spans="1:2" x14ac:dyDescent="0.25">
      <c r="A59477" s="118"/>
      <c r="B59477" s="136"/>
    </row>
    <row r="59478" spans="1:2" x14ac:dyDescent="0.25">
      <c r="A59478" s="118"/>
      <c r="B59478" s="136"/>
    </row>
    <row r="59479" spans="1:2" x14ac:dyDescent="0.25">
      <c r="A59479" s="118"/>
      <c r="B59479" s="136"/>
    </row>
    <row r="59480" spans="1:2" x14ac:dyDescent="0.25">
      <c r="A59480" s="118"/>
      <c r="B59480" s="136"/>
    </row>
    <row r="59481" spans="1:2" x14ac:dyDescent="0.25">
      <c r="A59481" s="118"/>
      <c r="B59481" s="136"/>
    </row>
    <row r="59482" spans="1:2" x14ac:dyDescent="0.25">
      <c r="A59482" s="118"/>
      <c r="B59482" s="136"/>
    </row>
    <row r="59483" spans="1:2" x14ac:dyDescent="0.25">
      <c r="A59483" s="118"/>
      <c r="B59483" s="136"/>
    </row>
    <row r="59484" spans="1:2" x14ac:dyDescent="0.25">
      <c r="A59484" s="118"/>
      <c r="B59484" s="136"/>
    </row>
    <row r="59485" spans="1:2" x14ac:dyDescent="0.25">
      <c r="A59485" s="118"/>
      <c r="B59485" s="136"/>
    </row>
    <row r="59486" spans="1:2" x14ac:dyDescent="0.25">
      <c r="A59486" s="118"/>
      <c r="B59486" s="136"/>
    </row>
    <row r="59487" spans="1:2" x14ac:dyDescent="0.25">
      <c r="A59487" s="118"/>
      <c r="B59487" s="136"/>
    </row>
    <row r="59488" spans="1:2" x14ac:dyDescent="0.25">
      <c r="A59488" s="118"/>
      <c r="B59488" s="136"/>
    </row>
    <row r="59489" spans="1:2" x14ac:dyDescent="0.25">
      <c r="A59489" s="118"/>
      <c r="B59489" s="136"/>
    </row>
    <row r="59490" spans="1:2" x14ac:dyDescent="0.25">
      <c r="A59490" s="118"/>
      <c r="B59490" s="136"/>
    </row>
    <row r="59491" spans="1:2" x14ac:dyDescent="0.25">
      <c r="A59491" s="118"/>
      <c r="B59491" s="136"/>
    </row>
    <row r="59492" spans="1:2" x14ac:dyDescent="0.25">
      <c r="A59492" s="118"/>
      <c r="B59492" s="136"/>
    </row>
    <row r="59493" spans="1:2" x14ac:dyDescent="0.25">
      <c r="A59493" s="118"/>
      <c r="B59493" s="136"/>
    </row>
    <row r="59494" spans="1:2" x14ac:dyDescent="0.25">
      <c r="A59494" s="118"/>
      <c r="B59494" s="136"/>
    </row>
    <row r="59495" spans="1:2" x14ac:dyDescent="0.25">
      <c r="A59495" s="118"/>
      <c r="B59495" s="136"/>
    </row>
    <row r="59496" spans="1:2" x14ac:dyDescent="0.25">
      <c r="A59496" s="118"/>
      <c r="B59496" s="136"/>
    </row>
    <row r="59497" spans="1:2" x14ac:dyDescent="0.25">
      <c r="A59497" s="118"/>
      <c r="B59497" s="136"/>
    </row>
    <row r="59498" spans="1:2" x14ac:dyDescent="0.25">
      <c r="A59498" s="118"/>
      <c r="B59498" s="136"/>
    </row>
    <row r="59499" spans="1:2" x14ac:dyDescent="0.25">
      <c r="A59499" s="118"/>
      <c r="B59499" s="136"/>
    </row>
    <row r="59500" spans="1:2" x14ac:dyDescent="0.25">
      <c r="A59500" s="118"/>
      <c r="B59500" s="136"/>
    </row>
    <row r="59501" spans="1:2" x14ac:dyDescent="0.25">
      <c r="A59501" s="118"/>
      <c r="B59501" s="136"/>
    </row>
    <row r="59502" spans="1:2" x14ac:dyDescent="0.25">
      <c r="A59502" s="118"/>
      <c r="B59502" s="136"/>
    </row>
    <row r="59503" spans="1:2" x14ac:dyDescent="0.25">
      <c r="A59503" s="118"/>
      <c r="B59503" s="136"/>
    </row>
    <row r="59504" spans="1:2" x14ac:dyDescent="0.25">
      <c r="A59504" s="118"/>
      <c r="B59504" s="136"/>
    </row>
    <row r="59505" spans="1:2" x14ac:dyDescent="0.25">
      <c r="A59505" s="118"/>
      <c r="B59505" s="136"/>
    </row>
    <row r="59506" spans="1:2" x14ac:dyDescent="0.25">
      <c r="A59506" s="118"/>
      <c r="B59506" s="136"/>
    </row>
    <row r="59507" spans="1:2" x14ac:dyDescent="0.25">
      <c r="A59507" s="118"/>
      <c r="B59507" s="136"/>
    </row>
    <row r="59508" spans="1:2" x14ac:dyDescent="0.25">
      <c r="A59508" s="118"/>
      <c r="B59508" s="136"/>
    </row>
    <row r="59509" spans="1:2" x14ac:dyDescent="0.25">
      <c r="A59509" s="118"/>
      <c r="B59509" s="136"/>
    </row>
    <row r="59510" spans="1:2" x14ac:dyDescent="0.25">
      <c r="A59510" s="118"/>
      <c r="B59510" s="136"/>
    </row>
    <row r="59511" spans="1:2" x14ac:dyDescent="0.25">
      <c r="A59511" s="118"/>
      <c r="B59511" s="136"/>
    </row>
    <row r="59512" spans="1:2" x14ac:dyDescent="0.25">
      <c r="A59512" s="118"/>
      <c r="B59512" s="136"/>
    </row>
    <row r="59513" spans="1:2" x14ac:dyDescent="0.25">
      <c r="A59513" s="118"/>
      <c r="B59513" s="136"/>
    </row>
    <row r="59514" spans="1:2" x14ac:dyDescent="0.25">
      <c r="A59514" s="118"/>
      <c r="B59514" s="136"/>
    </row>
    <row r="59515" spans="1:2" x14ac:dyDescent="0.25">
      <c r="A59515" s="118"/>
      <c r="B59515" s="136"/>
    </row>
    <row r="59516" spans="1:2" x14ac:dyDescent="0.25">
      <c r="A59516" s="118"/>
      <c r="B59516" s="136"/>
    </row>
    <row r="59517" spans="1:2" x14ac:dyDescent="0.25">
      <c r="A59517" s="118"/>
      <c r="B59517" s="136"/>
    </row>
    <row r="59518" spans="1:2" x14ac:dyDescent="0.25">
      <c r="A59518" s="118"/>
      <c r="B59518" s="136"/>
    </row>
    <row r="59519" spans="1:2" x14ac:dyDescent="0.25">
      <c r="A59519" s="118"/>
      <c r="B59519" s="136"/>
    </row>
    <row r="59520" spans="1:2" x14ac:dyDescent="0.25">
      <c r="A59520" s="118"/>
      <c r="B59520" s="136"/>
    </row>
    <row r="59521" spans="1:2" x14ac:dyDescent="0.25">
      <c r="A59521" s="118"/>
      <c r="B59521" s="136"/>
    </row>
    <row r="59522" spans="1:2" x14ac:dyDescent="0.25">
      <c r="A59522" s="118"/>
      <c r="B59522" s="136"/>
    </row>
    <row r="59523" spans="1:2" x14ac:dyDescent="0.25">
      <c r="A59523" s="118"/>
      <c r="B59523" s="136"/>
    </row>
    <row r="59524" spans="1:2" x14ac:dyDescent="0.25">
      <c r="A59524" s="118"/>
      <c r="B59524" s="136"/>
    </row>
    <row r="59525" spans="1:2" x14ac:dyDescent="0.25">
      <c r="A59525" s="118"/>
      <c r="B59525" s="136"/>
    </row>
    <row r="59526" spans="1:2" x14ac:dyDescent="0.25">
      <c r="A59526" s="118"/>
      <c r="B59526" s="136"/>
    </row>
    <row r="59527" spans="1:2" x14ac:dyDescent="0.25">
      <c r="A59527" s="118"/>
      <c r="B59527" s="136"/>
    </row>
    <row r="59528" spans="1:2" x14ac:dyDescent="0.25">
      <c r="A59528" s="118"/>
      <c r="B59528" s="136"/>
    </row>
    <row r="59529" spans="1:2" x14ac:dyDescent="0.25">
      <c r="A59529" s="118"/>
      <c r="B59529" s="136"/>
    </row>
    <row r="59530" spans="1:2" x14ac:dyDescent="0.25">
      <c r="A59530" s="118"/>
      <c r="B59530" s="136"/>
    </row>
    <row r="59531" spans="1:2" x14ac:dyDescent="0.25">
      <c r="A59531" s="118"/>
      <c r="B59531" s="136"/>
    </row>
    <row r="59532" spans="1:2" x14ac:dyDescent="0.25">
      <c r="A59532" s="118"/>
      <c r="B59532" s="136"/>
    </row>
    <row r="59533" spans="1:2" x14ac:dyDescent="0.25">
      <c r="A59533" s="118"/>
      <c r="B59533" s="136"/>
    </row>
    <row r="59534" spans="1:2" x14ac:dyDescent="0.25">
      <c r="A59534" s="118"/>
      <c r="B59534" s="136"/>
    </row>
    <row r="59535" spans="1:2" x14ac:dyDescent="0.25">
      <c r="A59535" s="118"/>
      <c r="B59535" s="136"/>
    </row>
    <row r="59536" spans="1:2" x14ac:dyDescent="0.25">
      <c r="A59536" s="118"/>
      <c r="B59536" s="136"/>
    </row>
    <row r="59537" spans="1:2" x14ac:dyDescent="0.25">
      <c r="A59537" s="118"/>
      <c r="B59537" s="136"/>
    </row>
    <row r="59538" spans="1:2" x14ac:dyDescent="0.25">
      <c r="A59538" s="118"/>
      <c r="B59538" s="136"/>
    </row>
    <row r="59539" spans="1:2" x14ac:dyDescent="0.25">
      <c r="A59539" s="118"/>
      <c r="B59539" s="136"/>
    </row>
    <row r="59540" spans="1:2" x14ac:dyDescent="0.25">
      <c r="A59540" s="118"/>
      <c r="B59540" s="136"/>
    </row>
    <row r="59541" spans="1:2" x14ac:dyDescent="0.25">
      <c r="A59541" s="118"/>
      <c r="B59541" s="136"/>
    </row>
    <row r="59542" spans="1:2" x14ac:dyDescent="0.25">
      <c r="A59542" s="118"/>
      <c r="B59542" s="136"/>
    </row>
    <row r="59543" spans="1:2" x14ac:dyDescent="0.25">
      <c r="A59543" s="118"/>
      <c r="B59543" s="136"/>
    </row>
    <row r="59544" spans="1:2" x14ac:dyDescent="0.25">
      <c r="A59544" s="118"/>
      <c r="B59544" s="136"/>
    </row>
    <row r="59545" spans="1:2" x14ac:dyDescent="0.25">
      <c r="A59545" s="118"/>
      <c r="B59545" s="136"/>
    </row>
    <row r="59546" spans="1:2" x14ac:dyDescent="0.25">
      <c r="A59546" s="118"/>
      <c r="B59546" s="136"/>
    </row>
    <row r="59547" spans="1:2" x14ac:dyDescent="0.25">
      <c r="A59547" s="118"/>
      <c r="B59547" s="136"/>
    </row>
    <row r="59548" spans="1:2" x14ac:dyDescent="0.25">
      <c r="A59548" s="118"/>
      <c r="B59548" s="136"/>
    </row>
    <row r="59549" spans="1:2" x14ac:dyDescent="0.25">
      <c r="A59549" s="118"/>
      <c r="B59549" s="136"/>
    </row>
    <row r="59550" spans="1:2" x14ac:dyDescent="0.25">
      <c r="A59550" s="118"/>
      <c r="B59550" s="136"/>
    </row>
    <row r="59551" spans="1:2" x14ac:dyDescent="0.25">
      <c r="A59551" s="118"/>
      <c r="B59551" s="136"/>
    </row>
    <row r="59552" spans="1:2" x14ac:dyDescent="0.25">
      <c r="A59552" s="118"/>
      <c r="B59552" s="136"/>
    </row>
    <row r="59553" spans="1:2" x14ac:dyDescent="0.25">
      <c r="A59553" s="118"/>
      <c r="B59553" s="136"/>
    </row>
    <row r="59554" spans="1:2" x14ac:dyDescent="0.25">
      <c r="A59554" s="118"/>
      <c r="B59554" s="136"/>
    </row>
    <row r="59555" spans="1:2" x14ac:dyDescent="0.25">
      <c r="A59555" s="118"/>
      <c r="B59555" s="136"/>
    </row>
    <row r="59556" spans="1:2" x14ac:dyDescent="0.25">
      <c r="A59556" s="118"/>
      <c r="B59556" s="136"/>
    </row>
    <row r="59557" spans="1:2" x14ac:dyDescent="0.25">
      <c r="A59557" s="118"/>
      <c r="B59557" s="136"/>
    </row>
    <row r="59558" spans="1:2" x14ac:dyDescent="0.25">
      <c r="A59558" s="118"/>
      <c r="B59558" s="136"/>
    </row>
    <row r="59559" spans="1:2" x14ac:dyDescent="0.25">
      <c r="A59559" s="118"/>
      <c r="B59559" s="136"/>
    </row>
    <row r="59560" spans="1:2" x14ac:dyDescent="0.25">
      <c r="A59560" s="118"/>
      <c r="B59560" s="136"/>
    </row>
    <row r="59561" spans="1:2" x14ac:dyDescent="0.25">
      <c r="A59561" s="118"/>
      <c r="B59561" s="136"/>
    </row>
    <row r="59562" spans="1:2" x14ac:dyDescent="0.25">
      <c r="A59562" s="118"/>
      <c r="B59562" s="136"/>
    </row>
    <row r="59563" spans="1:2" x14ac:dyDescent="0.25">
      <c r="A59563" s="118"/>
      <c r="B59563" s="136"/>
    </row>
    <row r="59564" spans="1:2" x14ac:dyDescent="0.25">
      <c r="A59564" s="118"/>
      <c r="B59564" s="136"/>
    </row>
    <row r="59565" spans="1:2" x14ac:dyDescent="0.25">
      <c r="A59565" s="118"/>
      <c r="B59565" s="136"/>
    </row>
    <row r="59566" spans="1:2" x14ac:dyDescent="0.25">
      <c r="A59566" s="118"/>
      <c r="B59566" s="136"/>
    </row>
    <row r="59567" spans="1:2" x14ac:dyDescent="0.25">
      <c r="A59567" s="118"/>
      <c r="B59567" s="136"/>
    </row>
    <row r="59568" spans="1:2" x14ac:dyDescent="0.25">
      <c r="A59568" s="118"/>
      <c r="B59568" s="136"/>
    </row>
    <row r="59569" spans="1:2" x14ac:dyDescent="0.25">
      <c r="A59569" s="118"/>
      <c r="B59569" s="136"/>
    </row>
    <row r="59570" spans="1:2" x14ac:dyDescent="0.25">
      <c r="A59570" s="118"/>
      <c r="B59570" s="136"/>
    </row>
    <row r="59571" spans="1:2" x14ac:dyDescent="0.25">
      <c r="A59571" s="118"/>
      <c r="B59571" s="136"/>
    </row>
    <row r="59572" spans="1:2" x14ac:dyDescent="0.25">
      <c r="A59572" s="118"/>
      <c r="B59572" s="136"/>
    </row>
    <row r="59573" spans="1:2" x14ac:dyDescent="0.25">
      <c r="A59573" s="118"/>
      <c r="B59573" s="136"/>
    </row>
    <row r="59574" spans="1:2" x14ac:dyDescent="0.25">
      <c r="A59574" s="118"/>
      <c r="B59574" s="136"/>
    </row>
    <row r="59575" spans="1:2" x14ac:dyDescent="0.25">
      <c r="A59575" s="118"/>
      <c r="B59575" s="136"/>
    </row>
    <row r="59576" spans="1:2" x14ac:dyDescent="0.25">
      <c r="A59576" s="118"/>
      <c r="B59576" s="136"/>
    </row>
    <row r="59577" spans="1:2" x14ac:dyDescent="0.25">
      <c r="A59577" s="118"/>
      <c r="B59577" s="136"/>
    </row>
    <row r="59578" spans="1:2" x14ac:dyDescent="0.25">
      <c r="A59578" s="118"/>
      <c r="B59578" s="136"/>
    </row>
    <row r="59579" spans="1:2" x14ac:dyDescent="0.25">
      <c r="A59579" s="118"/>
      <c r="B59579" s="136"/>
    </row>
    <row r="59580" spans="1:2" x14ac:dyDescent="0.25">
      <c r="A59580" s="118"/>
      <c r="B59580" s="136"/>
    </row>
    <row r="59581" spans="1:2" x14ac:dyDescent="0.25">
      <c r="A59581" s="118"/>
      <c r="B59581" s="136"/>
    </row>
    <row r="59582" spans="1:2" x14ac:dyDescent="0.25">
      <c r="A59582" s="118"/>
      <c r="B59582" s="136"/>
    </row>
    <row r="59583" spans="1:2" x14ac:dyDescent="0.25">
      <c r="A59583" s="118"/>
      <c r="B59583" s="136"/>
    </row>
    <row r="59584" spans="1:2" x14ac:dyDescent="0.25">
      <c r="A59584" s="118"/>
      <c r="B59584" s="136"/>
    </row>
    <row r="59585" spans="1:2" x14ac:dyDescent="0.25">
      <c r="A59585" s="118"/>
      <c r="B59585" s="136"/>
    </row>
    <row r="59586" spans="1:2" x14ac:dyDescent="0.25">
      <c r="A59586" s="118"/>
      <c r="B59586" s="136"/>
    </row>
    <row r="59587" spans="1:2" x14ac:dyDescent="0.25">
      <c r="A59587" s="118"/>
      <c r="B59587" s="136"/>
    </row>
    <row r="59588" spans="1:2" x14ac:dyDescent="0.25">
      <c r="A59588" s="118"/>
      <c r="B59588" s="136"/>
    </row>
    <row r="59589" spans="1:2" x14ac:dyDescent="0.25">
      <c r="A59589" s="118"/>
      <c r="B59589" s="136"/>
    </row>
    <row r="59590" spans="1:2" x14ac:dyDescent="0.25">
      <c r="A59590" s="118"/>
      <c r="B59590" s="136"/>
    </row>
    <row r="59591" spans="1:2" x14ac:dyDescent="0.25">
      <c r="A59591" s="118"/>
      <c r="B59591" s="136"/>
    </row>
    <row r="59592" spans="1:2" x14ac:dyDescent="0.25">
      <c r="A59592" s="118"/>
      <c r="B59592" s="136"/>
    </row>
    <row r="59593" spans="1:2" x14ac:dyDescent="0.25">
      <c r="A59593" s="118"/>
      <c r="B59593" s="136"/>
    </row>
    <row r="59594" spans="1:2" x14ac:dyDescent="0.25">
      <c r="A59594" s="118"/>
      <c r="B59594" s="136"/>
    </row>
    <row r="59595" spans="1:2" x14ac:dyDescent="0.25">
      <c r="A59595" s="118"/>
      <c r="B59595" s="136"/>
    </row>
    <row r="59596" spans="1:2" x14ac:dyDescent="0.25">
      <c r="A59596" s="118"/>
      <c r="B59596" s="136"/>
    </row>
    <row r="59597" spans="1:2" x14ac:dyDescent="0.25">
      <c r="A59597" s="118"/>
      <c r="B59597" s="136"/>
    </row>
    <row r="59598" spans="1:2" x14ac:dyDescent="0.25">
      <c r="A59598" s="118"/>
      <c r="B59598" s="136"/>
    </row>
    <row r="59599" spans="1:2" x14ac:dyDescent="0.25">
      <c r="A59599" s="118"/>
      <c r="B59599" s="136"/>
    </row>
    <row r="59600" spans="1:2" x14ac:dyDescent="0.25">
      <c r="A59600" s="118"/>
      <c r="B59600" s="136"/>
    </row>
    <row r="59601" spans="1:2" x14ac:dyDescent="0.25">
      <c r="A59601" s="118"/>
      <c r="B59601" s="136"/>
    </row>
    <row r="59602" spans="1:2" x14ac:dyDescent="0.25">
      <c r="A59602" s="118"/>
      <c r="B59602" s="136"/>
    </row>
    <row r="59603" spans="1:2" x14ac:dyDescent="0.25">
      <c r="A59603" s="118"/>
      <c r="B59603" s="136"/>
    </row>
    <row r="59604" spans="1:2" x14ac:dyDescent="0.25">
      <c r="A59604" s="118"/>
      <c r="B59604" s="136"/>
    </row>
    <row r="59605" spans="1:2" x14ac:dyDescent="0.25">
      <c r="A59605" s="118"/>
      <c r="B59605" s="136"/>
    </row>
    <row r="59606" spans="1:2" x14ac:dyDescent="0.25">
      <c r="A59606" s="118"/>
      <c r="B59606" s="136"/>
    </row>
    <row r="59607" spans="1:2" x14ac:dyDescent="0.25">
      <c r="A59607" s="118"/>
      <c r="B59607" s="136"/>
    </row>
    <row r="59608" spans="1:2" x14ac:dyDescent="0.25">
      <c r="A59608" s="118"/>
      <c r="B59608" s="136"/>
    </row>
    <row r="59609" spans="1:2" x14ac:dyDescent="0.25">
      <c r="A59609" s="118"/>
      <c r="B59609" s="136"/>
    </row>
    <row r="59610" spans="1:2" x14ac:dyDescent="0.25">
      <c r="A59610" s="118"/>
      <c r="B59610" s="136"/>
    </row>
    <row r="59611" spans="1:2" x14ac:dyDescent="0.25">
      <c r="A59611" s="118"/>
      <c r="B59611" s="136"/>
    </row>
    <row r="59612" spans="1:2" x14ac:dyDescent="0.25">
      <c r="A59612" s="118"/>
      <c r="B59612" s="136"/>
    </row>
    <row r="59613" spans="1:2" x14ac:dyDescent="0.25">
      <c r="A59613" s="118"/>
      <c r="B59613" s="136"/>
    </row>
    <row r="59614" spans="1:2" x14ac:dyDescent="0.25">
      <c r="A59614" s="118"/>
      <c r="B59614" s="136"/>
    </row>
    <row r="59615" spans="1:2" x14ac:dyDescent="0.25">
      <c r="A59615" s="118"/>
      <c r="B59615" s="136"/>
    </row>
    <row r="59616" spans="1:2" x14ac:dyDescent="0.25">
      <c r="A59616" s="118"/>
      <c r="B59616" s="136"/>
    </row>
    <row r="59617" spans="1:2" x14ac:dyDescent="0.25">
      <c r="A59617" s="118"/>
      <c r="B59617" s="136"/>
    </row>
    <row r="59618" spans="1:2" x14ac:dyDescent="0.25">
      <c r="A59618" s="118"/>
      <c r="B59618" s="136"/>
    </row>
    <row r="59619" spans="1:2" x14ac:dyDescent="0.25">
      <c r="A59619" s="118"/>
      <c r="B59619" s="136"/>
    </row>
    <row r="59620" spans="1:2" x14ac:dyDescent="0.25">
      <c r="A59620" s="118"/>
      <c r="B59620" s="136"/>
    </row>
    <row r="59621" spans="1:2" x14ac:dyDescent="0.25">
      <c r="A59621" s="118"/>
      <c r="B59621" s="136"/>
    </row>
    <row r="59622" spans="1:2" x14ac:dyDescent="0.25">
      <c r="A59622" s="118"/>
      <c r="B59622" s="136"/>
    </row>
    <row r="59623" spans="1:2" x14ac:dyDescent="0.25">
      <c r="A59623" s="118"/>
      <c r="B59623" s="136"/>
    </row>
    <row r="59624" spans="1:2" x14ac:dyDescent="0.25">
      <c r="A59624" s="118"/>
      <c r="B59624" s="136"/>
    </row>
    <row r="59625" spans="1:2" x14ac:dyDescent="0.25">
      <c r="A59625" s="118"/>
      <c r="B59625" s="136"/>
    </row>
    <row r="59626" spans="1:2" x14ac:dyDescent="0.25">
      <c r="A59626" s="118"/>
      <c r="B59626" s="136"/>
    </row>
    <row r="59627" spans="1:2" x14ac:dyDescent="0.25">
      <c r="A59627" s="118"/>
      <c r="B59627" s="136"/>
    </row>
    <row r="59628" spans="1:2" x14ac:dyDescent="0.25">
      <c r="A59628" s="118"/>
      <c r="B59628" s="136"/>
    </row>
    <row r="59629" spans="1:2" x14ac:dyDescent="0.25">
      <c r="A59629" s="118"/>
      <c r="B59629" s="136"/>
    </row>
    <row r="59630" spans="1:2" x14ac:dyDescent="0.25">
      <c r="A59630" s="118"/>
      <c r="B59630" s="136"/>
    </row>
    <row r="59631" spans="1:2" x14ac:dyDescent="0.25">
      <c r="A59631" s="118"/>
      <c r="B59631" s="136"/>
    </row>
    <row r="59632" spans="1:2" x14ac:dyDescent="0.25">
      <c r="A59632" s="118"/>
      <c r="B59632" s="136"/>
    </row>
    <row r="59633" spans="1:2" x14ac:dyDescent="0.25">
      <c r="A59633" s="118"/>
      <c r="B59633" s="136"/>
    </row>
    <row r="59634" spans="1:2" x14ac:dyDescent="0.25">
      <c r="A59634" s="118"/>
      <c r="B59634" s="136"/>
    </row>
    <row r="59635" spans="1:2" x14ac:dyDescent="0.25">
      <c r="A59635" s="118"/>
      <c r="B59635" s="136"/>
    </row>
    <row r="59636" spans="1:2" x14ac:dyDescent="0.25">
      <c r="A59636" s="118"/>
      <c r="B59636" s="136"/>
    </row>
    <row r="59637" spans="1:2" x14ac:dyDescent="0.25">
      <c r="A59637" s="118"/>
      <c r="B59637" s="136"/>
    </row>
    <row r="59638" spans="1:2" x14ac:dyDescent="0.25">
      <c r="A59638" s="118"/>
      <c r="B59638" s="136"/>
    </row>
    <row r="59639" spans="1:2" x14ac:dyDescent="0.25">
      <c r="A59639" s="118"/>
      <c r="B59639" s="136"/>
    </row>
    <row r="59640" spans="1:2" x14ac:dyDescent="0.25">
      <c r="A59640" s="118"/>
      <c r="B59640" s="136"/>
    </row>
    <row r="59641" spans="1:2" x14ac:dyDescent="0.25">
      <c r="A59641" s="118"/>
      <c r="B59641" s="136"/>
    </row>
    <row r="59642" spans="1:2" x14ac:dyDescent="0.25">
      <c r="A59642" s="118"/>
      <c r="B59642" s="136"/>
    </row>
    <row r="59643" spans="1:2" x14ac:dyDescent="0.25">
      <c r="A59643" s="118"/>
      <c r="B59643" s="136"/>
    </row>
    <row r="59644" spans="1:2" x14ac:dyDescent="0.25">
      <c r="A59644" s="118"/>
      <c r="B59644" s="136"/>
    </row>
    <row r="59645" spans="1:2" x14ac:dyDescent="0.25">
      <c r="A59645" s="118"/>
      <c r="B59645" s="136"/>
    </row>
    <row r="59646" spans="1:2" x14ac:dyDescent="0.25">
      <c r="A59646" s="118"/>
      <c r="B59646" s="136"/>
    </row>
    <row r="59647" spans="1:2" x14ac:dyDescent="0.25">
      <c r="A59647" s="118"/>
      <c r="B59647" s="136"/>
    </row>
    <row r="59648" spans="1:2" x14ac:dyDescent="0.25">
      <c r="A59648" s="118"/>
      <c r="B59648" s="136"/>
    </row>
    <row r="59649" spans="1:2" x14ac:dyDescent="0.25">
      <c r="A59649" s="118"/>
      <c r="B59649" s="136"/>
    </row>
    <row r="59650" spans="1:2" x14ac:dyDescent="0.25">
      <c r="A59650" s="118"/>
      <c r="B59650" s="136"/>
    </row>
    <row r="59651" spans="1:2" x14ac:dyDescent="0.25">
      <c r="A59651" s="118"/>
      <c r="B59651" s="136"/>
    </row>
    <row r="59652" spans="1:2" x14ac:dyDescent="0.25">
      <c r="A59652" s="118"/>
      <c r="B59652" s="136"/>
    </row>
    <row r="59653" spans="1:2" x14ac:dyDescent="0.25">
      <c r="A59653" s="118"/>
      <c r="B59653" s="136"/>
    </row>
    <row r="59654" spans="1:2" x14ac:dyDescent="0.25">
      <c r="A59654" s="118"/>
      <c r="B59654" s="136"/>
    </row>
    <row r="59655" spans="1:2" x14ac:dyDescent="0.25">
      <c r="A59655" s="118"/>
      <c r="B59655" s="136"/>
    </row>
    <row r="59656" spans="1:2" x14ac:dyDescent="0.25">
      <c r="A59656" s="118"/>
      <c r="B59656" s="136"/>
    </row>
    <row r="59657" spans="1:2" x14ac:dyDescent="0.25">
      <c r="A59657" s="118"/>
      <c r="B59657" s="136"/>
    </row>
    <row r="59658" spans="1:2" x14ac:dyDescent="0.25">
      <c r="A59658" s="118"/>
      <c r="B59658" s="136"/>
    </row>
    <row r="59659" spans="1:2" x14ac:dyDescent="0.25">
      <c r="A59659" s="118"/>
      <c r="B59659" s="136"/>
    </row>
    <row r="59660" spans="1:2" x14ac:dyDescent="0.25">
      <c r="A59660" s="118"/>
      <c r="B59660" s="136"/>
    </row>
    <row r="59661" spans="1:2" x14ac:dyDescent="0.25">
      <c r="A59661" s="118"/>
      <c r="B59661" s="136"/>
    </row>
    <row r="59662" spans="1:2" x14ac:dyDescent="0.25">
      <c r="A59662" s="118"/>
      <c r="B59662" s="136"/>
    </row>
    <row r="59663" spans="1:2" x14ac:dyDescent="0.25">
      <c r="A59663" s="118"/>
      <c r="B59663" s="136"/>
    </row>
    <row r="59664" spans="1:2" x14ac:dyDescent="0.25">
      <c r="A59664" s="118"/>
      <c r="B59664" s="136"/>
    </row>
    <row r="59665" spans="1:2" x14ac:dyDescent="0.25">
      <c r="A59665" s="118"/>
      <c r="B59665" s="136"/>
    </row>
    <row r="59666" spans="1:2" x14ac:dyDescent="0.25">
      <c r="A59666" s="118"/>
      <c r="B59666" s="136"/>
    </row>
    <row r="59667" spans="1:2" x14ac:dyDescent="0.25">
      <c r="A59667" s="118"/>
      <c r="B59667" s="136"/>
    </row>
    <row r="59668" spans="1:2" x14ac:dyDescent="0.25">
      <c r="A59668" s="118"/>
      <c r="B59668" s="136"/>
    </row>
    <row r="59669" spans="1:2" x14ac:dyDescent="0.25">
      <c r="A59669" s="118"/>
      <c r="B59669" s="136"/>
    </row>
    <row r="59670" spans="1:2" x14ac:dyDescent="0.25">
      <c r="A59670" s="118"/>
      <c r="B59670" s="136"/>
    </row>
    <row r="59671" spans="1:2" x14ac:dyDescent="0.25">
      <c r="A59671" s="118"/>
      <c r="B59671" s="136"/>
    </row>
    <row r="59672" spans="1:2" x14ac:dyDescent="0.25">
      <c r="A59672" s="118"/>
      <c r="B59672" s="136"/>
    </row>
    <row r="59673" spans="1:2" x14ac:dyDescent="0.25">
      <c r="A59673" s="118"/>
      <c r="B59673" s="136"/>
    </row>
    <row r="59674" spans="1:2" x14ac:dyDescent="0.25">
      <c r="A59674" s="118"/>
      <c r="B59674" s="136"/>
    </row>
    <row r="59675" spans="1:2" x14ac:dyDescent="0.25">
      <c r="A59675" s="118"/>
      <c r="B59675" s="136"/>
    </row>
    <row r="59676" spans="1:2" x14ac:dyDescent="0.25">
      <c r="A59676" s="118"/>
      <c r="B59676" s="136"/>
    </row>
    <row r="59677" spans="1:2" x14ac:dyDescent="0.25">
      <c r="A59677" s="118"/>
      <c r="B59677" s="136"/>
    </row>
    <row r="59678" spans="1:2" x14ac:dyDescent="0.25">
      <c r="A59678" s="118"/>
      <c r="B59678" s="136"/>
    </row>
    <row r="59679" spans="1:2" x14ac:dyDescent="0.25">
      <c r="A59679" s="118"/>
      <c r="B59679" s="136"/>
    </row>
    <row r="59680" spans="1:2" x14ac:dyDescent="0.25">
      <c r="A59680" s="118"/>
      <c r="B59680" s="136"/>
    </row>
    <row r="59681" spans="1:2" x14ac:dyDescent="0.25">
      <c r="A59681" s="118"/>
      <c r="B59681" s="136"/>
    </row>
    <row r="59682" spans="1:2" x14ac:dyDescent="0.25">
      <c r="A59682" s="118"/>
      <c r="B59682" s="136"/>
    </row>
    <row r="59683" spans="1:2" x14ac:dyDescent="0.25">
      <c r="A59683" s="118"/>
      <c r="B59683" s="136"/>
    </row>
    <row r="59684" spans="1:2" x14ac:dyDescent="0.25">
      <c r="A59684" s="118"/>
      <c r="B59684" s="136"/>
    </row>
    <row r="59685" spans="1:2" x14ac:dyDescent="0.25">
      <c r="A59685" s="118"/>
      <c r="B59685" s="136"/>
    </row>
    <row r="59686" spans="1:2" x14ac:dyDescent="0.25">
      <c r="A59686" s="118"/>
      <c r="B59686" s="136"/>
    </row>
    <row r="59687" spans="1:2" x14ac:dyDescent="0.25">
      <c r="A59687" s="118"/>
      <c r="B59687" s="136"/>
    </row>
    <row r="59688" spans="1:2" x14ac:dyDescent="0.25">
      <c r="A59688" s="118"/>
      <c r="B59688" s="136"/>
    </row>
    <row r="59689" spans="1:2" x14ac:dyDescent="0.25">
      <c r="A59689" s="118"/>
      <c r="B59689" s="136"/>
    </row>
    <row r="59690" spans="1:2" x14ac:dyDescent="0.25">
      <c r="A59690" s="118"/>
      <c r="B59690" s="136"/>
    </row>
    <row r="59691" spans="1:2" x14ac:dyDescent="0.25">
      <c r="A59691" s="118"/>
      <c r="B59691" s="136"/>
    </row>
    <row r="59692" spans="1:2" x14ac:dyDescent="0.25">
      <c r="A59692" s="118"/>
      <c r="B59692" s="136"/>
    </row>
    <row r="59693" spans="1:2" x14ac:dyDescent="0.25">
      <c r="A59693" s="118"/>
      <c r="B59693" s="136"/>
    </row>
    <row r="59694" spans="1:2" x14ac:dyDescent="0.25">
      <c r="A59694" s="118"/>
      <c r="B59694" s="136"/>
    </row>
    <row r="59695" spans="1:2" x14ac:dyDescent="0.25">
      <c r="A59695" s="118"/>
      <c r="B59695" s="136"/>
    </row>
    <row r="59696" spans="1:2" x14ac:dyDescent="0.25">
      <c r="A59696" s="118"/>
      <c r="B59696" s="136"/>
    </row>
    <row r="59697" spans="1:2" x14ac:dyDescent="0.25">
      <c r="A59697" s="118"/>
      <c r="B59697" s="136"/>
    </row>
    <row r="59698" spans="1:2" x14ac:dyDescent="0.25">
      <c r="A59698" s="118"/>
      <c r="B59698" s="136"/>
    </row>
    <row r="59699" spans="1:2" x14ac:dyDescent="0.25">
      <c r="A59699" s="118"/>
      <c r="B59699" s="136"/>
    </row>
    <row r="59700" spans="1:2" x14ac:dyDescent="0.25">
      <c r="A59700" s="118"/>
      <c r="B59700" s="136"/>
    </row>
    <row r="59701" spans="1:2" x14ac:dyDescent="0.25">
      <c r="A59701" s="118"/>
      <c r="B59701" s="136"/>
    </row>
    <row r="59702" spans="1:2" x14ac:dyDescent="0.25">
      <c r="A59702" s="118"/>
      <c r="B59702" s="136"/>
    </row>
    <row r="59703" spans="1:2" x14ac:dyDescent="0.25">
      <c r="A59703" s="118"/>
      <c r="B59703" s="136"/>
    </row>
    <row r="59704" spans="1:2" x14ac:dyDescent="0.25">
      <c r="A59704" s="118"/>
      <c r="B59704" s="136"/>
    </row>
    <row r="59705" spans="1:2" x14ac:dyDescent="0.25">
      <c r="A59705" s="118"/>
      <c r="B59705" s="136"/>
    </row>
    <row r="59706" spans="1:2" x14ac:dyDescent="0.25">
      <c r="A59706" s="118"/>
      <c r="B59706" s="136"/>
    </row>
    <row r="59707" spans="1:2" x14ac:dyDescent="0.25">
      <c r="A59707" s="118"/>
      <c r="B59707" s="136"/>
    </row>
    <row r="59708" spans="1:2" x14ac:dyDescent="0.25">
      <c r="A59708" s="118"/>
      <c r="B59708" s="136"/>
    </row>
    <row r="59709" spans="1:2" x14ac:dyDescent="0.25">
      <c r="A59709" s="118"/>
      <c r="B59709" s="136"/>
    </row>
    <row r="59710" spans="1:2" x14ac:dyDescent="0.25">
      <c r="A59710" s="118"/>
      <c r="B59710" s="136"/>
    </row>
    <row r="59711" spans="1:2" x14ac:dyDescent="0.25">
      <c r="A59711" s="118"/>
      <c r="B59711" s="136"/>
    </row>
    <row r="59712" spans="1:2" x14ac:dyDescent="0.25">
      <c r="A59712" s="118"/>
      <c r="B59712" s="136"/>
    </row>
    <row r="59713" spans="1:2" x14ac:dyDescent="0.25">
      <c r="A59713" s="118"/>
      <c r="B59713" s="136"/>
    </row>
    <row r="59714" spans="1:2" x14ac:dyDescent="0.25">
      <c r="A59714" s="118"/>
      <c r="B59714" s="136"/>
    </row>
    <row r="59715" spans="1:2" x14ac:dyDescent="0.25">
      <c r="A59715" s="118"/>
      <c r="B59715" s="136"/>
    </row>
    <row r="59716" spans="1:2" x14ac:dyDescent="0.25">
      <c r="A59716" s="118"/>
      <c r="B59716" s="136"/>
    </row>
    <row r="59717" spans="1:2" x14ac:dyDescent="0.25">
      <c r="A59717" s="118"/>
      <c r="B59717" s="136"/>
    </row>
    <row r="59718" spans="1:2" x14ac:dyDescent="0.25">
      <c r="A59718" s="118"/>
      <c r="B59718" s="136"/>
    </row>
    <row r="59719" spans="1:2" x14ac:dyDescent="0.25">
      <c r="A59719" s="118"/>
      <c r="B59719" s="136"/>
    </row>
    <row r="59720" spans="1:2" x14ac:dyDescent="0.25">
      <c r="A59720" s="118"/>
      <c r="B59720" s="136"/>
    </row>
    <row r="59721" spans="1:2" x14ac:dyDescent="0.25">
      <c r="A59721" s="118"/>
      <c r="B59721" s="136"/>
    </row>
    <row r="59722" spans="1:2" x14ac:dyDescent="0.25">
      <c r="A59722" s="118"/>
      <c r="B59722" s="136"/>
    </row>
    <row r="59723" spans="1:2" x14ac:dyDescent="0.25">
      <c r="A59723" s="118"/>
      <c r="B59723" s="136"/>
    </row>
    <row r="59724" spans="1:2" x14ac:dyDescent="0.25">
      <c r="A59724" s="118"/>
      <c r="B59724" s="136"/>
    </row>
    <row r="59725" spans="1:2" x14ac:dyDescent="0.25">
      <c r="A59725" s="118"/>
      <c r="B59725" s="136"/>
    </row>
    <row r="59726" spans="1:2" x14ac:dyDescent="0.25">
      <c r="A59726" s="118"/>
      <c r="B59726" s="136"/>
    </row>
    <row r="59727" spans="1:2" x14ac:dyDescent="0.25">
      <c r="A59727" s="118"/>
      <c r="B59727" s="136"/>
    </row>
    <row r="59728" spans="1:2" x14ac:dyDescent="0.25">
      <c r="A59728" s="118"/>
      <c r="B59728" s="136"/>
    </row>
    <row r="59729" spans="1:2" x14ac:dyDescent="0.25">
      <c r="A59729" s="118"/>
      <c r="B59729" s="136"/>
    </row>
    <row r="59730" spans="1:2" x14ac:dyDescent="0.25">
      <c r="A59730" s="118"/>
      <c r="B59730" s="136"/>
    </row>
    <row r="59731" spans="1:2" x14ac:dyDescent="0.25">
      <c r="A59731" s="118"/>
      <c r="B59731" s="136"/>
    </row>
    <row r="59732" spans="1:2" x14ac:dyDescent="0.25">
      <c r="A59732" s="118"/>
      <c r="B59732" s="136"/>
    </row>
    <row r="59733" spans="1:2" x14ac:dyDescent="0.25">
      <c r="A59733" s="118"/>
      <c r="B59733" s="136"/>
    </row>
    <row r="59734" spans="1:2" x14ac:dyDescent="0.25">
      <c r="A59734" s="118"/>
      <c r="B59734" s="136"/>
    </row>
    <row r="59735" spans="1:2" x14ac:dyDescent="0.25">
      <c r="A59735" s="118"/>
      <c r="B59735" s="136"/>
    </row>
    <row r="59736" spans="1:2" x14ac:dyDescent="0.25">
      <c r="A59736" s="118"/>
      <c r="B59736" s="136"/>
    </row>
    <row r="59737" spans="1:2" x14ac:dyDescent="0.25">
      <c r="A59737" s="118"/>
      <c r="B59737" s="136"/>
    </row>
    <row r="59738" spans="1:2" x14ac:dyDescent="0.25">
      <c r="A59738" s="118"/>
      <c r="B59738" s="136"/>
    </row>
    <row r="59739" spans="1:2" x14ac:dyDescent="0.25">
      <c r="A59739" s="118"/>
      <c r="B59739" s="136"/>
    </row>
    <row r="59740" spans="1:2" x14ac:dyDescent="0.25">
      <c r="A59740" s="118"/>
      <c r="B59740" s="136"/>
    </row>
    <row r="59741" spans="1:2" x14ac:dyDescent="0.25">
      <c r="A59741" s="118"/>
      <c r="B59741" s="136"/>
    </row>
    <row r="59742" spans="1:2" x14ac:dyDescent="0.25">
      <c r="A59742" s="118"/>
      <c r="B59742" s="136"/>
    </row>
    <row r="59743" spans="1:2" x14ac:dyDescent="0.25">
      <c r="A59743" s="118"/>
      <c r="B59743" s="136"/>
    </row>
    <row r="59744" spans="1:2" x14ac:dyDescent="0.25">
      <c r="A59744" s="118"/>
      <c r="B59744" s="136"/>
    </row>
    <row r="59745" spans="1:2" x14ac:dyDescent="0.25">
      <c r="A59745" s="118"/>
      <c r="B59745" s="136"/>
    </row>
    <row r="59746" spans="1:2" x14ac:dyDescent="0.25">
      <c r="A59746" s="118"/>
      <c r="B59746" s="136"/>
    </row>
    <row r="59747" spans="1:2" x14ac:dyDescent="0.25">
      <c r="A59747" s="118"/>
      <c r="B59747" s="136"/>
    </row>
    <row r="59748" spans="1:2" x14ac:dyDescent="0.25">
      <c r="A59748" s="118"/>
      <c r="B59748" s="136"/>
    </row>
    <row r="59749" spans="1:2" x14ac:dyDescent="0.25">
      <c r="A59749" s="118"/>
      <c r="B59749" s="136"/>
    </row>
    <row r="59750" spans="1:2" x14ac:dyDescent="0.25">
      <c r="A59750" s="118"/>
      <c r="B59750" s="136"/>
    </row>
    <row r="59751" spans="1:2" x14ac:dyDescent="0.25">
      <c r="A59751" s="118"/>
      <c r="B59751" s="136"/>
    </row>
    <row r="59752" spans="1:2" x14ac:dyDescent="0.25">
      <c r="A59752" s="118"/>
      <c r="B59752" s="136"/>
    </row>
    <row r="59753" spans="1:2" x14ac:dyDescent="0.25">
      <c r="A59753" s="118"/>
      <c r="B59753" s="136"/>
    </row>
    <row r="59754" spans="1:2" x14ac:dyDescent="0.25">
      <c r="A59754" s="118"/>
      <c r="B59754" s="136"/>
    </row>
    <row r="59755" spans="1:2" x14ac:dyDescent="0.25">
      <c r="A59755" s="118"/>
      <c r="B59755" s="136"/>
    </row>
    <row r="59756" spans="1:2" x14ac:dyDescent="0.25">
      <c r="A59756" s="118"/>
      <c r="B59756" s="136"/>
    </row>
    <row r="59757" spans="1:2" x14ac:dyDescent="0.25">
      <c r="A59757" s="118"/>
      <c r="B59757" s="136"/>
    </row>
    <row r="59758" spans="1:2" x14ac:dyDescent="0.25">
      <c r="A59758" s="118"/>
      <c r="B59758" s="136"/>
    </row>
    <row r="59759" spans="1:2" x14ac:dyDescent="0.25">
      <c r="A59759" s="118"/>
      <c r="B59759" s="136"/>
    </row>
    <row r="59760" spans="1:2" x14ac:dyDescent="0.25">
      <c r="A59760" s="118"/>
      <c r="B59760" s="136"/>
    </row>
    <row r="59761" spans="1:2" x14ac:dyDescent="0.25">
      <c r="A59761" s="118"/>
      <c r="B59761" s="136"/>
    </row>
    <row r="59762" spans="1:2" x14ac:dyDescent="0.25">
      <c r="A59762" s="118"/>
      <c r="B59762" s="136"/>
    </row>
    <row r="59763" spans="1:2" x14ac:dyDescent="0.25">
      <c r="A59763" s="118"/>
      <c r="B59763" s="136"/>
    </row>
    <row r="59764" spans="1:2" x14ac:dyDescent="0.25">
      <c r="A59764" s="118"/>
      <c r="B59764" s="136"/>
    </row>
    <row r="59765" spans="1:2" x14ac:dyDescent="0.25">
      <c r="A59765" s="118"/>
      <c r="B59765" s="136"/>
    </row>
    <row r="59766" spans="1:2" x14ac:dyDescent="0.25">
      <c r="A59766" s="118"/>
      <c r="B59766" s="136"/>
    </row>
    <row r="59767" spans="1:2" x14ac:dyDescent="0.25">
      <c r="A59767" s="118"/>
      <c r="B59767" s="136"/>
    </row>
    <row r="59768" spans="1:2" x14ac:dyDescent="0.25">
      <c r="A59768" s="118"/>
      <c r="B59768" s="136"/>
    </row>
    <row r="59769" spans="1:2" x14ac:dyDescent="0.25">
      <c r="A59769" s="118"/>
      <c r="B59769" s="136"/>
    </row>
    <row r="59770" spans="1:2" x14ac:dyDescent="0.25">
      <c r="A59770" s="118"/>
      <c r="B59770" s="136"/>
    </row>
    <row r="59771" spans="1:2" x14ac:dyDescent="0.25">
      <c r="A59771" s="118"/>
      <c r="B59771" s="136"/>
    </row>
    <row r="59772" spans="1:2" x14ac:dyDescent="0.25">
      <c r="A59772" s="118"/>
      <c r="B59772" s="136"/>
    </row>
    <row r="59773" spans="1:2" x14ac:dyDescent="0.25">
      <c r="A59773" s="118"/>
      <c r="B59773" s="136"/>
    </row>
    <row r="59774" spans="1:2" x14ac:dyDescent="0.25">
      <c r="A59774" s="118"/>
      <c r="B59774" s="136"/>
    </row>
    <row r="59775" spans="1:2" x14ac:dyDescent="0.25">
      <c r="A59775" s="118"/>
      <c r="B59775" s="136"/>
    </row>
    <row r="59776" spans="1:2" x14ac:dyDescent="0.25">
      <c r="A59776" s="118"/>
      <c r="B59776" s="136"/>
    </row>
    <row r="59777" spans="1:2" x14ac:dyDescent="0.25">
      <c r="A59777" s="118"/>
      <c r="B59777" s="136"/>
    </row>
    <row r="59778" spans="1:2" x14ac:dyDescent="0.25">
      <c r="A59778" s="118"/>
      <c r="B59778" s="136"/>
    </row>
    <row r="59779" spans="1:2" x14ac:dyDescent="0.25">
      <c r="A59779" s="118"/>
      <c r="B59779" s="136"/>
    </row>
    <row r="59780" spans="1:2" x14ac:dyDescent="0.25">
      <c r="A59780" s="118"/>
      <c r="B59780" s="136"/>
    </row>
    <row r="59781" spans="1:2" x14ac:dyDescent="0.25">
      <c r="A59781" s="118"/>
      <c r="B59781" s="136"/>
    </row>
    <row r="59782" spans="1:2" x14ac:dyDescent="0.25">
      <c r="A59782" s="118"/>
      <c r="B59782" s="136"/>
    </row>
    <row r="59783" spans="1:2" x14ac:dyDescent="0.25">
      <c r="A59783" s="118"/>
      <c r="B59783" s="136"/>
    </row>
    <row r="59784" spans="1:2" x14ac:dyDescent="0.25">
      <c r="A59784" s="118"/>
      <c r="B59784" s="136"/>
    </row>
    <row r="59785" spans="1:2" x14ac:dyDescent="0.25">
      <c r="A59785" s="118"/>
      <c r="B59785" s="136"/>
    </row>
    <row r="59786" spans="1:2" x14ac:dyDescent="0.25">
      <c r="A59786" s="118"/>
      <c r="B59786" s="136"/>
    </row>
    <row r="59787" spans="1:2" x14ac:dyDescent="0.25">
      <c r="A59787" s="118"/>
      <c r="B59787" s="136"/>
    </row>
    <row r="59788" spans="1:2" x14ac:dyDescent="0.25">
      <c r="A59788" s="118"/>
      <c r="B59788" s="136"/>
    </row>
    <row r="59789" spans="1:2" x14ac:dyDescent="0.25">
      <c r="A59789" s="118"/>
      <c r="B59789" s="136"/>
    </row>
    <row r="59790" spans="1:2" x14ac:dyDescent="0.25">
      <c r="A59790" s="118"/>
      <c r="B59790" s="136"/>
    </row>
    <row r="59791" spans="1:2" x14ac:dyDescent="0.25">
      <c r="A59791" s="118"/>
      <c r="B59791" s="136"/>
    </row>
    <row r="59792" spans="1:2" x14ac:dyDescent="0.25">
      <c r="A59792" s="118"/>
      <c r="B59792" s="136"/>
    </row>
    <row r="59793" spans="1:2" x14ac:dyDescent="0.25">
      <c r="A59793" s="118"/>
      <c r="B59793" s="136"/>
    </row>
    <row r="59794" spans="1:2" x14ac:dyDescent="0.25">
      <c r="A59794" s="118"/>
      <c r="B59794" s="136"/>
    </row>
    <row r="59795" spans="1:2" x14ac:dyDescent="0.25">
      <c r="A59795" s="118"/>
      <c r="B59795" s="136"/>
    </row>
    <row r="59796" spans="1:2" x14ac:dyDescent="0.25">
      <c r="A59796" s="118"/>
      <c r="B59796" s="136"/>
    </row>
    <row r="59797" spans="1:2" x14ac:dyDescent="0.25">
      <c r="A59797" s="118"/>
      <c r="B59797" s="136"/>
    </row>
    <row r="59798" spans="1:2" x14ac:dyDescent="0.25">
      <c r="A59798" s="118"/>
      <c r="B59798" s="136"/>
    </row>
    <row r="59799" spans="1:2" x14ac:dyDescent="0.25">
      <c r="A59799" s="118"/>
      <c r="B59799" s="136"/>
    </row>
    <row r="59800" spans="1:2" x14ac:dyDescent="0.25">
      <c r="A59800" s="118"/>
      <c r="B59800" s="136"/>
    </row>
    <row r="59801" spans="1:2" x14ac:dyDescent="0.25">
      <c r="A59801" s="118"/>
      <c r="B59801" s="136"/>
    </row>
    <row r="59802" spans="1:2" x14ac:dyDescent="0.25">
      <c r="A59802" s="118"/>
      <c r="B59802" s="136"/>
    </row>
    <row r="59803" spans="1:2" x14ac:dyDescent="0.25">
      <c r="A59803" s="118"/>
      <c r="B59803" s="136"/>
    </row>
    <row r="59804" spans="1:2" x14ac:dyDescent="0.25">
      <c r="A59804" s="118"/>
      <c r="B59804" s="136"/>
    </row>
    <row r="59805" spans="1:2" x14ac:dyDescent="0.25">
      <c r="A59805" s="118"/>
      <c r="B59805" s="136"/>
    </row>
    <row r="59806" spans="1:2" x14ac:dyDescent="0.25">
      <c r="A59806" s="118"/>
      <c r="B59806" s="136"/>
    </row>
    <row r="59807" spans="1:2" x14ac:dyDescent="0.25">
      <c r="A59807" s="118"/>
      <c r="B59807" s="136"/>
    </row>
    <row r="59808" spans="1:2" x14ac:dyDescent="0.25">
      <c r="A59808" s="118"/>
      <c r="B59808" s="136"/>
    </row>
    <row r="59809" spans="1:2" x14ac:dyDescent="0.25">
      <c r="A59809" s="118"/>
      <c r="B59809" s="136"/>
    </row>
    <row r="59810" spans="1:2" x14ac:dyDescent="0.25">
      <c r="A59810" s="118"/>
      <c r="B59810" s="136"/>
    </row>
    <row r="59811" spans="1:2" x14ac:dyDescent="0.25">
      <c r="A59811" s="118"/>
      <c r="B59811" s="136"/>
    </row>
    <row r="59812" spans="1:2" x14ac:dyDescent="0.25">
      <c r="A59812" s="118"/>
      <c r="B59812" s="136"/>
    </row>
    <row r="59813" spans="1:2" x14ac:dyDescent="0.25">
      <c r="A59813" s="118"/>
      <c r="B59813" s="136"/>
    </row>
    <row r="59814" spans="1:2" x14ac:dyDescent="0.25">
      <c r="A59814" s="118"/>
      <c r="B59814" s="136"/>
    </row>
    <row r="59815" spans="1:2" x14ac:dyDescent="0.25">
      <c r="A59815" s="118"/>
      <c r="B59815" s="136"/>
    </row>
    <row r="59816" spans="1:2" x14ac:dyDescent="0.25">
      <c r="A59816" s="118"/>
      <c r="B59816" s="136"/>
    </row>
    <row r="59817" spans="1:2" x14ac:dyDescent="0.25">
      <c r="A59817" s="118"/>
      <c r="B59817" s="136"/>
    </row>
    <row r="59818" spans="1:2" x14ac:dyDescent="0.25">
      <c r="A59818" s="118"/>
      <c r="B59818" s="136"/>
    </row>
    <row r="59819" spans="1:2" x14ac:dyDescent="0.25">
      <c r="A59819" s="118"/>
      <c r="B59819" s="136"/>
    </row>
    <row r="59820" spans="1:2" x14ac:dyDescent="0.25">
      <c r="A59820" s="118"/>
      <c r="B59820" s="136"/>
    </row>
    <row r="59821" spans="1:2" x14ac:dyDescent="0.25">
      <c r="A59821" s="118"/>
      <c r="B59821" s="136"/>
    </row>
    <row r="59822" spans="1:2" x14ac:dyDescent="0.25">
      <c r="A59822" s="118"/>
      <c r="B59822" s="136"/>
    </row>
    <row r="59823" spans="1:2" x14ac:dyDescent="0.25">
      <c r="A59823" s="118"/>
      <c r="B59823" s="136"/>
    </row>
    <row r="59824" spans="1:2" x14ac:dyDescent="0.25">
      <c r="A59824" s="118"/>
      <c r="B59824" s="136"/>
    </row>
    <row r="59825" spans="1:2" x14ac:dyDescent="0.25">
      <c r="A59825" s="118"/>
      <c r="B59825" s="136"/>
    </row>
    <row r="59826" spans="1:2" x14ac:dyDescent="0.25">
      <c r="A59826" s="118"/>
      <c r="B59826" s="136"/>
    </row>
    <row r="59827" spans="1:2" x14ac:dyDescent="0.25">
      <c r="A59827" s="118"/>
      <c r="B59827" s="136"/>
    </row>
    <row r="59828" spans="1:2" x14ac:dyDescent="0.25">
      <c r="A59828" s="118"/>
      <c r="B59828" s="136"/>
    </row>
    <row r="59829" spans="1:2" x14ac:dyDescent="0.25">
      <c r="A59829" s="118"/>
      <c r="B59829" s="136"/>
    </row>
    <row r="59830" spans="1:2" x14ac:dyDescent="0.25">
      <c r="A59830" s="118"/>
      <c r="B59830" s="136"/>
    </row>
    <row r="59831" spans="1:2" x14ac:dyDescent="0.25">
      <c r="A59831" s="118"/>
      <c r="B59831" s="136"/>
    </row>
    <row r="59832" spans="1:2" x14ac:dyDescent="0.25">
      <c r="A59832" s="118"/>
      <c r="B59832" s="136"/>
    </row>
    <row r="59833" spans="1:2" x14ac:dyDescent="0.25">
      <c r="A59833" s="118"/>
      <c r="B59833" s="136"/>
    </row>
    <row r="59834" spans="1:2" x14ac:dyDescent="0.25">
      <c r="A59834" s="118"/>
      <c r="B59834" s="136"/>
    </row>
    <row r="59835" spans="1:2" x14ac:dyDescent="0.25">
      <c r="A59835" s="118"/>
      <c r="B59835" s="136"/>
    </row>
    <row r="59836" spans="1:2" x14ac:dyDescent="0.25">
      <c r="A59836" s="118"/>
      <c r="B59836" s="136"/>
    </row>
    <row r="59837" spans="1:2" x14ac:dyDescent="0.25">
      <c r="A59837" s="118"/>
      <c r="B59837" s="136"/>
    </row>
    <row r="59838" spans="1:2" x14ac:dyDescent="0.25">
      <c r="A59838" s="118"/>
      <c r="B59838" s="136"/>
    </row>
    <row r="59839" spans="1:2" x14ac:dyDescent="0.25">
      <c r="A59839" s="118"/>
      <c r="B59839" s="136"/>
    </row>
    <row r="59840" spans="1:2" x14ac:dyDescent="0.25">
      <c r="A59840" s="118"/>
      <c r="B59840" s="136"/>
    </row>
    <row r="59841" spans="1:2" x14ac:dyDescent="0.25">
      <c r="A59841" s="118"/>
      <c r="B59841" s="136"/>
    </row>
    <row r="59842" spans="1:2" x14ac:dyDescent="0.25">
      <c r="A59842" s="118"/>
      <c r="B59842" s="136"/>
    </row>
    <row r="59843" spans="1:2" x14ac:dyDescent="0.25">
      <c r="A59843" s="118"/>
      <c r="B59843" s="136"/>
    </row>
    <row r="59844" spans="1:2" x14ac:dyDescent="0.25">
      <c r="A59844" s="118"/>
      <c r="B59844" s="136"/>
    </row>
    <row r="59845" spans="1:2" x14ac:dyDescent="0.25">
      <c r="A59845" s="118"/>
      <c r="B59845" s="136"/>
    </row>
    <row r="59846" spans="1:2" x14ac:dyDescent="0.25">
      <c r="A59846" s="118"/>
      <c r="B59846" s="136"/>
    </row>
    <row r="59847" spans="1:2" x14ac:dyDescent="0.25">
      <c r="A59847" s="118"/>
      <c r="B59847" s="136"/>
    </row>
    <row r="59848" spans="1:2" x14ac:dyDescent="0.25">
      <c r="A59848" s="118"/>
      <c r="B59848" s="136"/>
    </row>
    <row r="59849" spans="1:2" x14ac:dyDescent="0.25">
      <c r="A59849" s="118"/>
      <c r="B59849" s="136"/>
    </row>
    <row r="59850" spans="1:2" x14ac:dyDescent="0.25">
      <c r="A59850" s="118"/>
      <c r="B59850" s="136"/>
    </row>
    <row r="59851" spans="1:2" x14ac:dyDescent="0.25">
      <c r="A59851" s="118"/>
      <c r="B59851" s="136"/>
    </row>
    <row r="59852" spans="1:2" x14ac:dyDescent="0.25">
      <c r="A59852" s="118"/>
      <c r="B59852" s="136"/>
    </row>
    <row r="59853" spans="1:2" x14ac:dyDescent="0.25">
      <c r="A59853" s="118"/>
      <c r="B59853" s="136"/>
    </row>
    <row r="59854" spans="1:2" x14ac:dyDescent="0.25">
      <c r="A59854" s="118"/>
      <c r="B59854" s="136"/>
    </row>
    <row r="59855" spans="1:2" x14ac:dyDescent="0.25">
      <c r="A59855" s="118"/>
      <c r="B59855" s="136"/>
    </row>
    <row r="59856" spans="1:2" x14ac:dyDescent="0.25">
      <c r="A59856" s="118"/>
      <c r="B59856" s="136"/>
    </row>
    <row r="59857" spans="1:2" x14ac:dyDescent="0.25">
      <c r="A59857" s="118"/>
      <c r="B59857" s="136"/>
    </row>
    <row r="59858" spans="1:2" x14ac:dyDescent="0.25">
      <c r="A59858" s="118"/>
      <c r="B59858" s="136"/>
    </row>
    <row r="59859" spans="1:2" x14ac:dyDescent="0.25">
      <c r="A59859" s="118"/>
      <c r="B59859" s="136"/>
    </row>
    <row r="59860" spans="1:2" x14ac:dyDescent="0.25">
      <c r="A59860" s="118"/>
      <c r="B59860" s="136"/>
    </row>
    <row r="59861" spans="1:2" x14ac:dyDescent="0.25">
      <c r="A59861" s="118"/>
      <c r="B59861" s="136"/>
    </row>
    <row r="59862" spans="1:2" x14ac:dyDescent="0.25">
      <c r="A59862" s="118"/>
      <c r="B59862" s="136"/>
    </row>
    <row r="59863" spans="1:2" x14ac:dyDescent="0.25">
      <c r="A59863" s="118"/>
      <c r="B59863" s="136"/>
    </row>
    <row r="59864" spans="1:2" x14ac:dyDescent="0.25">
      <c r="A59864" s="118"/>
      <c r="B59864" s="136"/>
    </row>
    <row r="59865" spans="1:2" x14ac:dyDescent="0.25">
      <c r="A59865" s="118"/>
      <c r="B59865" s="136"/>
    </row>
    <row r="59866" spans="1:2" x14ac:dyDescent="0.25">
      <c r="A59866" s="118"/>
      <c r="B59866" s="136"/>
    </row>
    <row r="59867" spans="1:2" x14ac:dyDescent="0.25">
      <c r="A59867" s="118"/>
      <c r="B59867" s="136"/>
    </row>
    <row r="59868" spans="1:2" x14ac:dyDescent="0.25">
      <c r="A59868" s="118"/>
      <c r="B59868" s="136"/>
    </row>
    <row r="59869" spans="1:2" x14ac:dyDescent="0.25">
      <c r="A59869" s="118"/>
      <c r="B59869" s="136"/>
    </row>
    <row r="59870" spans="1:2" x14ac:dyDescent="0.25">
      <c r="A59870" s="118"/>
      <c r="B59870" s="136"/>
    </row>
    <row r="59871" spans="1:2" x14ac:dyDescent="0.25">
      <c r="A59871" s="118"/>
      <c r="B59871" s="136"/>
    </row>
    <row r="59872" spans="1:2" x14ac:dyDescent="0.25">
      <c r="A59872" s="118"/>
      <c r="B59872" s="136"/>
    </row>
    <row r="59873" spans="1:2" x14ac:dyDescent="0.25">
      <c r="A59873" s="118"/>
      <c r="B59873" s="136"/>
    </row>
    <row r="59874" spans="1:2" x14ac:dyDescent="0.25">
      <c r="A59874" s="118"/>
      <c r="B59874" s="136"/>
    </row>
    <row r="59875" spans="1:2" x14ac:dyDescent="0.25">
      <c r="A59875" s="118"/>
      <c r="B59875" s="136"/>
    </row>
    <row r="59876" spans="1:2" x14ac:dyDescent="0.25">
      <c r="A59876" s="118"/>
      <c r="B59876" s="136"/>
    </row>
    <row r="59877" spans="1:2" x14ac:dyDescent="0.25">
      <c r="A59877" s="118"/>
      <c r="B59877" s="136"/>
    </row>
    <row r="59878" spans="1:2" x14ac:dyDescent="0.25">
      <c r="A59878" s="118"/>
      <c r="B59878" s="136"/>
    </row>
    <row r="59879" spans="1:2" x14ac:dyDescent="0.25">
      <c r="A59879" s="118"/>
      <c r="B59879" s="136"/>
    </row>
    <row r="59880" spans="1:2" x14ac:dyDescent="0.25">
      <c r="A59880" s="118"/>
      <c r="B59880" s="136"/>
    </row>
    <row r="59881" spans="1:2" x14ac:dyDescent="0.25">
      <c r="A59881" s="118"/>
      <c r="B59881" s="136"/>
    </row>
    <row r="59882" spans="1:2" x14ac:dyDescent="0.25">
      <c r="A59882" s="118"/>
      <c r="B59882" s="136"/>
    </row>
    <row r="59883" spans="1:2" x14ac:dyDescent="0.25">
      <c r="A59883" s="118"/>
      <c r="B59883" s="136"/>
    </row>
    <row r="59884" spans="1:2" x14ac:dyDescent="0.25">
      <c r="A59884" s="118"/>
      <c r="B59884" s="136"/>
    </row>
    <row r="59885" spans="1:2" x14ac:dyDescent="0.25">
      <c r="A59885" s="118"/>
      <c r="B59885" s="136"/>
    </row>
    <row r="59886" spans="1:2" x14ac:dyDescent="0.25">
      <c r="A59886" s="118"/>
      <c r="B59886" s="136"/>
    </row>
    <row r="59887" spans="1:2" x14ac:dyDescent="0.25">
      <c r="A59887" s="118"/>
      <c r="B59887" s="136"/>
    </row>
    <row r="59888" spans="1:2" x14ac:dyDescent="0.25">
      <c r="A59888" s="118"/>
      <c r="B59888" s="136"/>
    </row>
    <row r="59889" spans="1:2" x14ac:dyDescent="0.25">
      <c r="A59889" s="118"/>
      <c r="B59889" s="136"/>
    </row>
    <row r="59890" spans="1:2" x14ac:dyDescent="0.25">
      <c r="A59890" s="118"/>
      <c r="B59890" s="136"/>
    </row>
    <row r="59891" spans="1:2" x14ac:dyDescent="0.25">
      <c r="A59891" s="118"/>
      <c r="B59891" s="136"/>
    </row>
    <row r="59892" spans="1:2" x14ac:dyDescent="0.25">
      <c r="A59892" s="118"/>
      <c r="B59892" s="136"/>
    </row>
    <row r="59893" spans="1:2" x14ac:dyDescent="0.25">
      <c r="A59893" s="118"/>
      <c r="B59893" s="136"/>
    </row>
    <row r="59894" spans="1:2" x14ac:dyDescent="0.25">
      <c r="A59894" s="118"/>
      <c r="B59894" s="136"/>
    </row>
    <row r="59895" spans="1:2" x14ac:dyDescent="0.25">
      <c r="A59895" s="118"/>
      <c r="B59895" s="136"/>
    </row>
    <row r="59896" spans="1:2" x14ac:dyDescent="0.25">
      <c r="A59896" s="118"/>
      <c r="B59896" s="136"/>
    </row>
    <row r="59897" spans="1:2" x14ac:dyDescent="0.25">
      <c r="A59897" s="118"/>
      <c r="B59897" s="136"/>
    </row>
    <row r="59898" spans="1:2" x14ac:dyDescent="0.25">
      <c r="A59898" s="118"/>
      <c r="B59898" s="136"/>
    </row>
    <row r="59899" spans="1:2" x14ac:dyDescent="0.25">
      <c r="A59899" s="118"/>
      <c r="B59899" s="136"/>
    </row>
    <row r="59900" spans="1:2" x14ac:dyDescent="0.25">
      <c r="A59900" s="118"/>
      <c r="B59900" s="136"/>
    </row>
    <row r="59901" spans="1:2" x14ac:dyDescent="0.25">
      <c r="A59901" s="118"/>
      <c r="B59901" s="136"/>
    </row>
    <row r="59902" spans="1:2" x14ac:dyDescent="0.25">
      <c r="A59902" s="118"/>
      <c r="B59902" s="136"/>
    </row>
    <row r="59903" spans="1:2" x14ac:dyDescent="0.25">
      <c r="A59903" s="118"/>
      <c r="B59903" s="136"/>
    </row>
    <row r="59904" spans="1:2" x14ac:dyDescent="0.25">
      <c r="A59904" s="118"/>
      <c r="B59904" s="136"/>
    </row>
    <row r="59905" spans="1:2" x14ac:dyDescent="0.25">
      <c r="A59905" s="118"/>
      <c r="B59905" s="136"/>
    </row>
    <row r="59906" spans="1:2" x14ac:dyDescent="0.25">
      <c r="A59906" s="118"/>
      <c r="B59906" s="136"/>
    </row>
    <row r="59907" spans="1:2" x14ac:dyDescent="0.25">
      <c r="A59907" s="118"/>
      <c r="B59907" s="136"/>
    </row>
    <row r="59908" spans="1:2" x14ac:dyDescent="0.25">
      <c r="A59908" s="118"/>
      <c r="B59908" s="136"/>
    </row>
    <row r="59909" spans="1:2" x14ac:dyDescent="0.25">
      <c r="A59909" s="118"/>
      <c r="B59909" s="136"/>
    </row>
    <row r="59910" spans="1:2" x14ac:dyDescent="0.25">
      <c r="A59910" s="118"/>
      <c r="B59910" s="136"/>
    </row>
    <row r="59911" spans="1:2" x14ac:dyDescent="0.25">
      <c r="A59911" s="118"/>
      <c r="B59911" s="136"/>
    </row>
    <row r="59912" spans="1:2" x14ac:dyDescent="0.25">
      <c r="A59912" s="118"/>
      <c r="B59912" s="136"/>
    </row>
    <row r="59913" spans="1:2" x14ac:dyDescent="0.25">
      <c r="A59913" s="118"/>
      <c r="B59913" s="136"/>
    </row>
    <row r="59914" spans="1:2" x14ac:dyDescent="0.25">
      <c r="A59914" s="118"/>
      <c r="B59914" s="136"/>
    </row>
    <row r="59915" spans="1:2" x14ac:dyDescent="0.25">
      <c r="A59915" s="118"/>
      <c r="B59915" s="136"/>
    </row>
    <row r="59916" spans="1:2" x14ac:dyDescent="0.25">
      <c r="A59916" s="118"/>
      <c r="B59916" s="136"/>
    </row>
    <row r="59917" spans="1:2" x14ac:dyDescent="0.25">
      <c r="A59917" s="118"/>
      <c r="B59917" s="136"/>
    </row>
    <row r="59918" spans="1:2" x14ac:dyDescent="0.25">
      <c r="A59918" s="118"/>
      <c r="B59918" s="136"/>
    </row>
    <row r="59919" spans="1:2" x14ac:dyDescent="0.25">
      <c r="A59919" s="118"/>
      <c r="B59919" s="136"/>
    </row>
    <row r="59920" spans="1:2" x14ac:dyDescent="0.25">
      <c r="A59920" s="118"/>
      <c r="B59920" s="136"/>
    </row>
    <row r="59921" spans="1:2" x14ac:dyDescent="0.25">
      <c r="A59921" s="118"/>
      <c r="B59921" s="136"/>
    </row>
    <row r="59922" spans="1:2" x14ac:dyDescent="0.25">
      <c r="A59922" s="118"/>
      <c r="B59922" s="136"/>
    </row>
    <row r="59923" spans="1:2" x14ac:dyDescent="0.25">
      <c r="A59923" s="118"/>
      <c r="B59923" s="136"/>
    </row>
    <row r="59924" spans="1:2" x14ac:dyDescent="0.25">
      <c r="A59924" s="118"/>
      <c r="B59924" s="136"/>
    </row>
    <row r="59925" spans="1:2" x14ac:dyDescent="0.25">
      <c r="A59925" s="118"/>
      <c r="B59925" s="136"/>
    </row>
    <row r="59926" spans="1:2" x14ac:dyDescent="0.25">
      <c r="A59926" s="118"/>
      <c r="B59926" s="136"/>
    </row>
    <row r="59927" spans="1:2" x14ac:dyDescent="0.25">
      <c r="A59927" s="118"/>
      <c r="B59927" s="136"/>
    </row>
    <row r="59928" spans="1:2" x14ac:dyDescent="0.25">
      <c r="A59928" s="118"/>
      <c r="B59928" s="136"/>
    </row>
    <row r="59929" spans="1:2" x14ac:dyDescent="0.25">
      <c r="A59929" s="118"/>
      <c r="B59929" s="136"/>
    </row>
    <row r="59930" spans="1:2" x14ac:dyDescent="0.25">
      <c r="A59930" s="118"/>
      <c r="B59930" s="136"/>
    </row>
    <row r="59931" spans="1:2" x14ac:dyDescent="0.25">
      <c r="A59931" s="118"/>
      <c r="B59931" s="136"/>
    </row>
    <row r="59932" spans="1:2" x14ac:dyDescent="0.25">
      <c r="A59932" s="118"/>
      <c r="B59932" s="136"/>
    </row>
    <row r="59933" spans="1:2" x14ac:dyDescent="0.25">
      <c r="A59933" s="118"/>
      <c r="B59933" s="136"/>
    </row>
    <row r="59934" spans="1:2" x14ac:dyDescent="0.25">
      <c r="A59934" s="118"/>
      <c r="B59934" s="136"/>
    </row>
    <row r="59935" spans="1:2" x14ac:dyDescent="0.25">
      <c r="A59935" s="118"/>
      <c r="B59935" s="136"/>
    </row>
    <row r="59936" spans="1:2" x14ac:dyDescent="0.25">
      <c r="A59936" s="118"/>
      <c r="B59936" s="136"/>
    </row>
    <row r="59937" spans="1:2" x14ac:dyDescent="0.25">
      <c r="A59937" s="118"/>
      <c r="B59937" s="136"/>
    </row>
    <row r="59938" spans="1:2" x14ac:dyDescent="0.25">
      <c r="A59938" s="118"/>
      <c r="B59938" s="136"/>
    </row>
    <row r="59939" spans="1:2" x14ac:dyDescent="0.25">
      <c r="A59939" s="118"/>
      <c r="B59939" s="136"/>
    </row>
    <row r="59940" spans="1:2" x14ac:dyDescent="0.25">
      <c r="A59940" s="118"/>
      <c r="B59940" s="136"/>
    </row>
    <row r="59941" spans="1:2" x14ac:dyDescent="0.25">
      <c r="A59941" s="118"/>
      <c r="B59941" s="136"/>
    </row>
    <row r="59942" spans="1:2" x14ac:dyDescent="0.25">
      <c r="A59942" s="118"/>
      <c r="B59942" s="136"/>
    </row>
    <row r="59943" spans="1:2" x14ac:dyDescent="0.25">
      <c r="A59943" s="118"/>
      <c r="B59943" s="136"/>
    </row>
    <row r="59944" spans="1:2" x14ac:dyDescent="0.25">
      <c r="A59944" s="118"/>
      <c r="B59944" s="136"/>
    </row>
    <row r="59945" spans="1:2" x14ac:dyDescent="0.25">
      <c r="A59945" s="118"/>
      <c r="B59945" s="136"/>
    </row>
    <row r="59946" spans="1:2" x14ac:dyDescent="0.25">
      <c r="A59946" s="118"/>
      <c r="B59946" s="136"/>
    </row>
    <row r="59947" spans="1:2" x14ac:dyDescent="0.25">
      <c r="A59947" s="118"/>
      <c r="B59947" s="136"/>
    </row>
    <row r="59948" spans="1:2" x14ac:dyDescent="0.25">
      <c r="A59948" s="118"/>
      <c r="B59948" s="136"/>
    </row>
    <row r="59949" spans="1:2" x14ac:dyDescent="0.25">
      <c r="A59949" s="118"/>
      <c r="B59949" s="136"/>
    </row>
    <row r="59950" spans="1:2" x14ac:dyDescent="0.25">
      <c r="A59950" s="118"/>
      <c r="B59950" s="136"/>
    </row>
    <row r="59951" spans="1:2" x14ac:dyDescent="0.25">
      <c r="A59951" s="118"/>
      <c r="B59951" s="136"/>
    </row>
    <row r="59952" spans="1:2" x14ac:dyDescent="0.25">
      <c r="A59952" s="118"/>
      <c r="B59952" s="136"/>
    </row>
    <row r="59953" spans="1:2" x14ac:dyDescent="0.25">
      <c r="A59953" s="118"/>
      <c r="B59953" s="136"/>
    </row>
    <row r="59954" spans="1:2" x14ac:dyDescent="0.25">
      <c r="A59954" s="118"/>
      <c r="B59954" s="136"/>
    </row>
    <row r="59955" spans="1:2" x14ac:dyDescent="0.25">
      <c r="A59955" s="118"/>
      <c r="B59955" s="136"/>
    </row>
    <row r="59956" spans="1:2" x14ac:dyDescent="0.25">
      <c r="A59956" s="118"/>
      <c r="B59956" s="136"/>
    </row>
    <row r="59957" spans="1:2" x14ac:dyDescent="0.25">
      <c r="A59957" s="118"/>
      <c r="B59957" s="136"/>
    </row>
    <row r="59958" spans="1:2" x14ac:dyDescent="0.25">
      <c r="A59958" s="118"/>
      <c r="B59958" s="136"/>
    </row>
    <row r="59959" spans="1:2" x14ac:dyDescent="0.25">
      <c r="A59959" s="118"/>
      <c r="B59959" s="136"/>
    </row>
    <row r="59960" spans="1:2" x14ac:dyDescent="0.25">
      <c r="A59960" s="118"/>
      <c r="B59960" s="136"/>
    </row>
    <row r="59961" spans="1:2" x14ac:dyDescent="0.25">
      <c r="A59961" s="118"/>
      <c r="B59961" s="136"/>
    </row>
    <row r="59962" spans="1:2" x14ac:dyDescent="0.25">
      <c r="A59962" s="118"/>
      <c r="B59962" s="136"/>
    </row>
    <row r="59963" spans="1:2" x14ac:dyDescent="0.25">
      <c r="A59963" s="118"/>
      <c r="B59963" s="136"/>
    </row>
    <row r="59964" spans="1:2" x14ac:dyDescent="0.25">
      <c r="A59964" s="118"/>
      <c r="B59964" s="136"/>
    </row>
    <row r="59965" spans="1:2" x14ac:dyDescent="0.25">
      <c r="A59965" s="118"/>
      <c r="B59965" s="136"/>
    </row>
    <row r="59966" spans="1:2" x14ac:dyDescent="0.25">
      <c r="A59966" s="118"/>
      <c r="B59966" s="136"/>
    </row>
    <row r="59967" spans="1:2" x14ac:dyDescent="0.25">
      <c r="A59967" s="118"/>
      <c r="B59967" s="136"/>
    </row>
    <row r="59968" spans="1:2" x14ac:dyDescent="0.25">
      <c r="A59968" s="118"/>
      <c r="B59968" s="136"/>
    </row>
    <row r="59969" spans="1:2" x14ac:dyDescent="0.25">
      <c r="A59969" s="118"/>
      <c r="B59969" s="136"/>
    </row>
    <row r="59970" spans="1:2" x14ac:dyDescent="0.25">
      <c r="A59970" s="118"/>
      <c r="B59970" s="136"/>
    </row>
    <row r="59971" spans="1:2" x14ac:dyDescent="0.25">
      <c r="A59971" s="118"/>
      <c r="B59971" s="136"/>
    </row>
    <row r="59972" spans="1:2" x14ac:dyDescent="0.25">
      <c r="A59972" s="118"/>
      <c r="B59972" s="136"/>
    </row>
    <row r="59973" spans="1:2" x14ac:dyDescent="0.25">
      <c r="A59973" s="118"/>
      <c r="B59973" s="136"/>
    </row>
    <row r="59974" spans="1:2" x14ac:dyDescent="0.25">
      <c r="A59974" s="118"/>
      <c r="B59974" s="136"/>
    </row>
    <row r="59975" spans="1:2" x14ac:dyDescent="0.25">
      <c r="A59975" s="118"/>
      <c r="B59975" s="136"/>
    </row>
    <row r="59976" spans="1:2" x14ac:dyDescent="0.25">
      <c r="A59976" s="118"/>
      <c r="B59976" s="136"/>
    </row>
    <row r="59977" spans="1:2" x14ac:dyDescent="0.25">
      <c r="A59977" s="118"/>
      <c r="B59977" s="136"/>
    </row>
    <row r="59978" spans="1:2" x14ac:dyDescent="0.25">
      <c r="A59978" s="118"/>
      <c r="B59978" s="136"/>
    </row>
    <row r="59979" spans="1:2" x14ac:dyDescent="0.25">
      <c r="A59979" s="118"/>
      <c r="B59979" s="136"/>
    </row>
    <row r="59980" spans="1:2" x14ac:dyDescent="0.25">
      <c r="A59980" s="118"/>
      <c r="B59980" s="136"/>
    </row>
    <row r="59981" spans="1:2" x14ac:dyDescent="0.25">
      <c r="A59981" s="118"/>
      <c r="B59981" s="136"/>
    </row>
    <row r="59982" spans="1:2" x14ac:dyDescent="0.25">
      <c r="A59982" s="118"/>
      <c r="B59982" s="136"/>
    </row>
    <row r="59983" spans="1:2" x14ac:dyDescent="0.25">
      <c r="A59983" s="118"/>
      <c r="B59983" s="136"/>
    </row>
    <row r="59984" spans="1:2" x14ac:dyDescent="0.25">
      <c r="A59984" s="118"/>
      <c r="B59984" s="136"/>
    </row>
    <row r="59985" spans="1:2" x14ac:dyDescent="0.25">
      <c r="A59985" s="118"/>
      <c r="B59985" s="136"/>
    </row>
    <row r="59986" spans="1:2" x14ac:dyDescent="0.25">
      <c r="A59986" s="118"/>
      <c r="B59986" s="136"/>
    </row>
    <row r="59987" spans="1:2" x14ac:dyDescent="0.25">
      <c r="A59987" s="118"/>
      <c r="B59987" s="136"/>
    </row>
    <row r="59988" spans="1:2" x14ac:dyDescent="0.25">
      <c r="A59988" s="118"/>
      <c r="B59988" s="136"/>
    </row>
    <row r="59989" spans="1:2" x14ac:dyDescent="0.25">
      <c r="A59989" s="118"/>
      <c r="B59989" s="136"/>
    </row>
    <row r="59990" spans="1:2" x14ac:dyDescent="0.25">
      <c r="A59990" s="118"/>
      <c r="B59990" s="136"/>
    </row>
    <row r="59991" spans="1:2" x14ac:dyDescent="0.25">
      <c r="A59991" s="118"/>
      <c r="B59991" s="136"/>
    </row>
    <row r="59992" spans="1:2" x14ac:dyDescent="0.25">
      <c r="A59992" s="118"/>
      <c r="B59992" s="136"/>
    </row>
    <row r="59993" spans="1:2" x14ac:dyDescent="0.25">
      <c r="A59993" s="118"/>
      <c r="B59993" s="136"/>
    </row>
    <row r="59994" spans="1:2" x14ac:dyDescent="0.25">
      <c r="A59994" s="118"/>
      <c r="B59994" s="136"/>
    </row>
    <row r="59995" spans="1:2" x14ac:dyDescent="0.25">
      <c r="A59995" s="118"/>
      <c r="B59995" s="136"/>
    </row>
    <row r="59996" spans="1:2" x14ac:dyDescent="0.25">
      <c r="A59996" s="118"/>
      <c r="B59996" s="136"/>
    </row>
    <row r="59997" spans="1:2" x14ac:dyDescent="0.25">
      <c r="A59997" s="118"/>
      <c r="B59997" s="136"/>
    </row>
    <row r="59998" spans="1:2" x14ac:dyDescent="0.25">
      <c r="A59998" s="118"/>
      <c r="B59998" s="136"/>
    </row>
    <row r="59999" spans="1:2" x14ac:dyDescent="0.25">
      <c r="A59999" s="118"/>
      <c r="B59999" s="136"/>
    </row>
    <row r="60000" spans="1:2" x14ac:dyDescent="0.25">
      <c r="A60000" s="118"/>
      <c r="B60000" s="136"/>
    </row>
    <row r="60001" spans="1:2" x14ac:dyDescent="0.25">
      <c r="A60001" s="118"/>
      <c r="B60001" s="136"/>
    </row>
    <row r="60002" spans="1:2" x14ac:dyDescent="0.25">
      <c r="A60002" s="118"/>
      <c r="B60002" s="136"/>
    </row>
    <row r="60003" spans="1:2" x14ac:dyDescent="0.25">
      <c r="A60003" s="118"/>
      <c r="B60003" s="136"/>
    </row>
    <row r="60004" spans="1:2" x14ac:dyDescent="0.25">
      <c r="A60004" s="118"/>
      <c r="B60004" s="136"/>
    </row>
    <row r="60005" spans="1:2" x14ac:dyDescent="0.25">
      <c r="A60005" s="118"/>
      <c r="B60005" s="136"/>
    </row>
    <row r="60006" spans="1:2" x14ac:dyDescent="0.25">
      <c r="A60006" s="118"/>
      <c r="B60006" s="136"/>
    </row>
    <row r="60007" spans="1:2" x14ac:dyDescent="0.25">
      <c r="A60007" s="118"/>
      <c r="B60007" s="136"/>
    </row>
    <row r="60008" spans="1:2" x14ac:dyDescent="0.25">
      <c r="A60008" s="118"/>
      <c r="B60008" s="136"/>
    </row>
    <row r="60009" spans="1:2" x14ac:dyDescent="0.25">
      <c r="A60009" s="118"/>
      <c r="B60009" s="136"/>
    </row>
    <row r="60010" spans="1:2" x14ac:dyDescent="0.25">
      <c r="A60010" s="118"/>
      <c r="B60010" s="136"/>
    </row>
    <row r="60011" spans="1:2" x14ac:dyDescent="0.25">
      <c r="A60011" s="118"/>
      <c r="B60011" s="136"/>
    </row>
    <row r="60012" spans="1:2" x14ac:dyDescent="0.25">
      <c r="A60012" s="118"/>
      <c r="B60012" s="136"/>
    </row>
    <row r="60013" spans="1:2" x14ac:dyDescent="0.25">
      <c r="A60013" s="118"/>
      <c r="B60013" s="136"/>
    </row>
    <row r="60014" spans="1:2" x14ac:dyDescent="0.25">
      <c r="A60014" s="118"/>
      <c r="B60014" s="136"/>
    </row>
    <row r="60015" spans="1:2" x14ac:dyDescent="0.25">
      <c r="A60015" s="118"/>
      <c r="B60015" s="136"/>
    </row>
    <row r="60016" spans="1:2" x14ac:dyDescent="0.25">
      <c r="A60016" s="118"/>
      <c r="B60016" s="136"/>
    </row>
    <row r="60017" spans="1:2" x14ac:dyDescent="0.25">
      <c r="A60017" s="118"/>
      <c r="B60017" s="136"/>
    </row>
    <row r="60018" spans="1:2" x14ac:dyDescent="0.25">
      <c r="A60018" s="118"/>
      <c r="B60018" s="136"/>
    </row>
    <row r="60019" spans="1:2" x14ac:dyDescent="0.25">
      <c r="A60019" s="118"/>
      <c r="B60019" s="136"/>
    </row>
    <row r="60020" spans="1:2" x14ac:dyDescent="0.25">
      <c r="A60020" s="118"/>
      <c r="B60020" s="136"/>
    </row>
    <row r="60021" spans="1:2" x14ac:dyDescent="0.25">
      <c r="A60021" s="118"/>
      <c r="B60021" s="136"/>
    </row>
    <row r="60022" spans="1:2" x14ac:dyDescent="0.25">
      <c r="A60022" s="118"/>
      <c r="B60022" s="136"/>
    </row>
    <row r="60023" spans="1:2" x14ac:dyDescent="0.25">
      <c r="A60023" s="118"/>
      <c r="B60023" s="136"/>
    </row>
    <row r="60024" spans="1:2" x14ac:dyDescent="0.25">
      <c r="A60024" s="118"/>
      <c r="B60024" s="136"/>
    </row>
    <row r="60025" spans="1:2" x14ac:dyDescent="0.25">
      <c r="A60025" s="118"/>
      <c r="B60025" s="136"/>
    </row>
    <row r="60026" spans="1:2" x14ac:dyDescent="0.25">
      <c r="A60026" s="118"/>
      <c r="B60026" s="136"/>
    </row>
    <row r="60027" spans="1:2" x14ac:dyDescent="0.25">
      <c r="A60027" s="118"/>
      <c r="B60027" s="136"/>
    </row>
    <row r="60028" spans="1:2" x14ac:dyDescent="0.25">
      <c r="A60028" s="118"/>
      <c r="B60028" s="136"/>
    </row>
    <row r="60029" spans="1:2" x14ac:dyDescent="0.25">
      <c r="A60029" s="118"/>
      <c r="B60029" s="136"/>
    </row>
    <row r="60030" spans="1:2" x14ac:dyDescent="0.25">
      <c r="A60030" s="118"/>
      <c r="B60030" s="136"/>
    </row>
    <row r="60031" spans="1:2" x14ac:dyDescent="0.25">
      <c r="A60031" s="118"/>
      <c r="B60031" s="136"/>
    </row>
    <row r="60032" spans="1:2" x14ac:dyDescent="0.25">
      <c r="A60032" s="118"/>
      <c r="B60032" s="136"/>
    </row>
    <row r="60033" spans="1:2" x14ac:dyDescent="0.25">
      <c r="A60033" s="118"/>
      <c r="B60033" s="136"/>
    </row>
    <row r="60034" spans="1:2" x14ac:dyDescent="0.25">
      <c r="A60034" s="118"/>
      <c r="B60034" s="136"/>
    </row>
    <row r="60035" spans="1:2" x14ac:dyDescent="0.25">
      <c r="A60035" s="118"/>
      <c r="B60035" s="136"/>
    </row>
    <row r="60036" spans="1:2" x14ac:dyDescent="0.25">
      <c r="A60036" s="118"/>
      <c r="B60036" s="136"/>
    </row>
    <row r="60037" spans="1:2" x14ac:dyDescent="0.25">
      <c r="A60037" s="118"/>
      <c r="B60037" s="136"/>
    </row>
    <row r="60038" spans="1:2" x14ac:dyDescent="0.25">
      <c r="A60038" s="118"/>
      <c r="B60038" s="136"/>
    </row>
    <row r="60039" spans="1:2" x14ac:dyDescent="0.25">
      <c r="A60039" s="118"/>
      <c r="B60039" s="136"/>
    </row>
    <row r="60040" spans="1:2" x14ac:dyDescent="0.25">
      <c r="A60040" s="118"/>
      <c r="B60040" s="136"/>
    </row>
    <row r="60041" spans="1:2" x14ac:dyDescent="0.25">
      <c r="A60041" s="118"/>
      <c r="B60041" s="136"/>
    </row>
    <row r="60042" spans="1:2" x14ac:dyDescent="0.25">
      <c r="A60042" s="118"/>
      <c r="B60042" s="136"/>
    </row>
    <row r="60043" spans="1:2" x14ac:dyDescent="0.25">
      <c r="A60043" s="118"/>
      <c r="B60043" s="136"/>
    </row>
    <row r="60044" spans="1:2" x14ac:dyDescent="0.25">
      <c r="A60044" s="118"/>
      <c r="B60044" s="136"/>
    </row>
    <row r="60045" spans="1:2" x14ac:dyDescent="0.25">
      <c r="A60045" s="118"/>
      <c r="B60045" s="136"/>
    </row>
    <row r="60046" spans="1:2" x14ac:dyDescent="0.25">
      <c r="A60046" s="118"/>
      <c r="B60046" s="136"/>
    </row>
    <row r="60047" spans="1:2" x14ac:dyDescent="0.25">
      <c r="A60047" s="118"/>
      <c r="B60047" s="136"/>
    </row>
    <row r="60048" spans="1:2" x14ac:dyDescent="0.25">
      <c r="A60048" s="118"/>
      <c r="B60048" s="136"/>
    </row>
    <row r="60049" spans="1:2" x14ac:dyDescent="0.25">
      <c r="A60049" s="118"/>
      <c r="B60049" s="136"/>
    </row>
    <row r="60050" spans="1:2" x14ac:dyDescent="0.25">
      <c r="A60050" s="118"/>
      <c r="B60050" s="136"/>
    </row>
    <row r="60051" spans="1:2" x14ac:dyDescent="0.25">
      <c r="A60051" s="118"/>
      <c r="B60051" s="136"/>
    </row>
    <row r="60052" spans="1:2" x14ac:dyDescent="0.25">
      <c r="A60052" s="118"/>
      <c r="B60052" s="136"/>
    </row>
    <row r="60053" spans="1:2" x14ac:dyDescent="0.25">
      <c r="A60053" s="118"/>
      <c r="B60053" s="136"/>
    </row>
    <row r="60054" spans="1:2" x14ac:dyDescent="0.25">
      <c r="A60054" s="118"/>
      <c r="B60054" s="136"/>
    </row>
    <row r="60055" spans="1:2" x14ac:dyDescent="0.25">
      <c r="A60055" s="118"/>
      <c r="B60055" s="136"/>
    </row>
    <row r="60056" spans="1:2" x14ac:dyDescent="0.25">
      <c r="A60056" s="118"/>
      <c r="B60056" s="136"/>
    </row>
    <row r="60057" spans="1:2" x14ac:dyDescent="0.25">
      <c r="A60057" s="118"/>
      <c r="B60057" s="136"/>
    </row>
    <row r="60058" spans="1:2" x14ac:dyDescent="0.25">
      <c r="A60058" s="118"/>
      <c r="B60058" s="136"/>
    </row>
    <row r="60059" spans="1:2" x14ac:dyDescent="0.25">
      <c r="A60059" s="118"/>
      <c r="B60059" s="136"/>
    </row>
    <row r="60060" spans="1:2" x14ac:dyDescent="0.25">
      <c r="A60060" s="118"/>
      <c r="B60060" s="136"/>
    </row>
    <row r="60061" spans="1:2" x14ac:dyDescent="0.25">
      <c r="A60061" s="118"/>
      <c r="B60061" s="136"/>
    </row>
    <row r="60062" spans="1:2" x14ac:dyDescent="0.25">
      <c r="A60062" s="118"/>
      <c r="B60062" s="136"/>
    </row>
    <row r="60063" spans="1:2" x14ac:dyDescent="0.25">
      <c r="A60063" s="118"/>
      <c r="B60063" s="136"/>
    </row>
    <row r="60064" spans="1:2" x14ac:dyDescent="0.25">
      <c r="A60064" s="118"/>
      <c r="B60064" s="136"/>
    </row>
    <row r="60065" spans="1:2" x14ac:dyDescent="0.25">
      <c r="A60065" s="118"/>
      <c r="B60065" s="136"/>
    </row>
    <row r="60066" spans="1:2" x14ac:dyDescent="0.25">
      <c r="A60066" s="118"/>
      <c r="B60066" s="136"/>
    </row>
    <row r="60067" spans="1:2" x14ac:dyDescent="0.25">
      <c r="A60067" s="118"/>
      <c r="B60067" s="136"/>
    </row>
    <row r="60068" spans="1:2" x14ac:dyDescent="0.25">
      <c r="A60068" s="118"/>
      <c r="B60068" s="136"/>
    </row>
    <row r="60069" spans="1:2" x14ac:dyDescent="0.25">
      <c r="A60069" s="118"/>
      <c r="B60069" s="136"/>
    </row>
    <row r="60070" spans="1:2" x14ac:dyDescent="0.25">
      <c r="A60070" s="118"/>
      <c r="B60070" s="136"/>
    </row>
    <row r="60071" spans="1:2" x14ac:dyDescent="0.25">
      <c r="A60071" s="118"/>
      <c r="B60071" s="136"/>
    </row>
    <row r="60072" spans="1:2" x14ac:dyDescent="0.25">
      <c r="A60072" s="118"/>
      <c r="B60072" s="136"/>
    </row>
    <row r="60073" spans="1:2" x14ac:dyDescent="0.25">
      <c r="A60073" s="118"/>
      <c r="B60073" s="136"/>
    </row>
    <row r="60074" spans="1:2" x14ac:dyDescent="0.25">
      <c r="A60074" s="118"/>
      <c r="B60074" s="136"/>
    </row>
    <row r="60075" spans="1:2" x14ac:dyDescent="0.25">
      <c r="A60075" s="118"/>
      <c r="B60075" s="136"/>
    </row>
    <row r="60076" spans="1:2" x14ac:dyDescent="0.25">
      <c r="A60076" s="118"/>
      <c r="B60076" s="136"/>
    </row>
    <row r="60077" spans="1:2" x14ac:dyDescent="0.25">
      <c r="A60077" s="118"/>
      <c r="B60077" s="136"/>
    </row>
    <row r="60078" spans="1:2" x14ac:dyDescent="0.25">
      <c r="A60078" s="118"/>
      <c r="B60078" s="136"/>
    </row>
    <row r="60079" spans="1:2" x14ac:dyDescent="0.25">
      <c r="A60079" s="118"/>
      <c r="B60079" s="136"/>
    </row>
    <row r="60080" spans="1:2" x14ac:dyDescent="0.25">
      <c r="A60080" s="118"/>
      <c r="B60080" s="136"/>
    </row>
    <row r="60081" spans="1:2" x14ac:dyDescent="0.25">
      <c r="A60081" s="118"/>
      <c r="B60081" s="136"/>
    </row>
    <row r="60082" spans="1:2" x14ac:dyDescent="0.25">
      <c r="A60082" s="118"/>
      <c r="B60082" s="136"/>
    </row>
    <row r="60083" spans="1:2" x14ac:dyDescent="0.25">
      <c r="A60083" s="118"/>
      <c r="B60083" s="136"/>
    </row>
    <row r="60084" spans="1:2" x14ac:dyDescent="0.25">
      <c r="A60084" s="118"/>
      <c r="B60084" s="136"/>
    </row>
    <row r="60085" spans="1:2" x14ac:dyDescent="0.25">
      <c r="A60085" s="118"/>
      <c r="B60085" s="136"/>
    </row>
    <row r="60086" spans="1:2" x14ac:dyDescent="0.25">
      <c r="A60086" s="118"/>
      <c r="B60086" s="136"/>
    </row>
    <row r="60087" spans="1:2" x14ac:dyDescent="0.25">
      <c r="A60087" s="118"/>
      <c r="B60087" s="136"/>
    </row>
    <row r="60088" spans="1:2" x14ac:dyDescent="0.25">
      <c r="A60088" s="118"/>
      <c r="B60088" s="136"/>
    </row>
    <row r="60089" spans="1:2" x14ac:dyDescent="0.25">
      <c r="A60089" s="118"/>
      <c r="B60089" s="136"/>
    </row>
    <row r="60090" spans="1:2" x14ac:dyDescent="0.25">
      <c r="A60090" s="118"/>
      <c r="B60090" s="136"/>
    </row>
    <row r="60091" spans="1:2" x14ac:dyDescent="0.25">
      <c r="A60091" s="118"/>
      <c r="B60091" s="136"/>
    </row>
    <row r="60092" spans="1:2" x14ac:dyDescent="0.25">
      <c r="A60092" s="118"/>
      <c r="B60092" s="136"/>
    </row>
    <row r="60093" spans="1:2" x14ac:dyDescent="0.25">
      <c r="A60093" s="118"/>
      <c r="B60093" s="136"/>
    </row>
    <row r="60094" spans="1:2" x14ac:dyDescent="0.25">
      <c r="A60094" s="118"/>
      <c r="B60094" s="136"/>
    </row>
    <row r="60095" spans="1:2" x14ac:dyDescent="0.25">
      <c r="A60095" s="118"/>
      <c r="B60095" s="136"/>
    </row>
    <row r="60096" spans="1:2" x14ac:dyDescent="0.25">
      <c r="A60096" s="118"/>
      <c r="B60096" s="136"/>
    </row>
    <row r="60097" spans="1:2" x14ac:dyDescent="0.25">
      <c r="A60097" s="118"/>
      <c r="B60097" s="136"/>
    </row>
    <row r="60098" spans="1:2" x14ac:dyDescent="0.25">
      <c r="A60098" s="118"/>
      <c r="B60098" s="136"/>
    </row>
    <row r="60099" spans="1:2" x14ac:dyDescent="0.25">
      <c r="A60099" s="118"/>
      <c r="B60099" s="136"/>
    </row>
    <row r="60100" spans="1:2" x14ac:dyDescent="0.25">
      <c r="A60100" s="118"/>
      <c r="B60100" s="136"/>
    </row>
    <row r="60101" spans="1:2" x14ac:dyDescent="0.25">
      <c r="A60101" s="118"/>
      <c r="B60101" s="136"/>
    </row>
    <row r="60102" spans="1:2" x14ac:dyDescent="0.25">
      <c r="A60102" s="118"/>
      <c r="B60102" s="136"/>
    </row>
    <row r="60103" spans="1:2" x14ac:dyDescent="0.25">
      <c r="A60103" s="118"/>
      <c r="B60103" s="136"/>
    </row>
    <row r="60104" spans="1:2" x14ac:dyDescent="0.25">
      <c r="A60104" s="118"/>
      <c r="B60104" s="136"/>
    </row>
    <row r="60105" spans="1:2" x14ac:dyDescent="0.25">
      <c r="A60105" s="118"/>
      <c r="B60105" s="136"/>
    </row>
    <row r="60106" spans="1:2" x14ac:dyDescent="0.25">
      <c r="A60106" s="118"/>
      <c r="B60106" s="136"/>
    </row>
    <row r="60107" spans="1:2" x14ac:dyDescent="0.25">
      <c r="A60107" s="118"/>
      <c r="B60107" s="136"/>
    </row>
    <row r="60108" spans="1:2" x14ac:dyDescent="0.25">
      <c r="A60108" s="118"/>
      <c r="B60108" s="136"/>
    </row>
    <row r="60109" spans="1:2" x14ac:dyDescent="0.25">
      <c r="A60109" s="118"/>
      <c r="B60109" s="136"/>
    </row>
    <row r="60110" spans="1:2" x14ac:dyDescent="0.25">
      <c r="A60110" s="118"/>
      <c r="B60110" s="136"/>
    </row>
    <row r="60111" spans="1:2" x14ac:dyDescent="0.25">
      <c r="A60111" s="118"/>
      <c r="B60111" s="136"/>
    </row>
    <row r="60112" spans="1:2" x14ac:dyDescent="0.25">
      <c r="A60112" s="118"/>
      <c r="B60112" s="136"/>
    </row>
    <row r="60113" spans="1:2" x14ac:dyDescent="0.25">
      <c r="A60113" s="118"/>
      <c r="B60113" s="136"/>
    </row>
    <row r="60114" spans="1:2" x14ac:dyDescent="0.25">
      <c r="A60114" s="118"/>
      <c r="B60114" s="136"/>
    </row>
    <row r="60115" spans="1:2" x14ac:dyDescent="0.25">
      <c r="A60115" s="118"/>
      <c r="B60115" s="136"/>
    </row>
    <row r="60116" spans="1:2" x14ac:dyDescent="0.25">
      <c r="A60116" s="118"/>
      <c r="B60116" s="136"/>
    </row>
    <row r="60117" spans="1:2" x14ac:dyDescent="0.25">
      <c r="A60117" s="118"/>
      <c r="B60117" s="136"/>
    </row>
    <row r="60118" spans="1:2" x14ac:dyDescent="0.25">
      <c r="A60118" s="118"/>
      <c r="B60118" s="136"/>
    </row>
    <row r="60119" spans="1:2" x14ac:dyDescent="0.25">
      <c r="A60119" s="118"/>
      <c r="B60119" s="136"/>
    </row>
    <row r="60120" spans="1:2" x14ac:dyDescent="0.25">
      <c r="A60120" s="118"/>
      <c r="B60120" s="136"/>
    </row>
    <row r="60121" spans="1:2" x14ac:dyDescent="0.25">
      <c r="A60121" s="118"/>
      <c r="B60121" s="136"/>
    </row>
    <row r="60122" spans="1:2" x14ac:dyDescent="0.25">
      <c r="A60122" s="118"/>
      <c r="B60122" s="136"/>
    </row>
    <row r="60123" spans="1:2" x14ac:dyDescent="0.25">
      <c r="A60123" s="118"/>
      <c r="B60123" s="136"/>
    </row>
    <row r="60124" spans="1:2" x14ac:dyDescent="0.25">
      <c r="A60124" s="118"/>
      <c r="B60124" s="136"/>
    </row>
    <row r="60125" spans="1:2" x14ac:dyDescent="0.25">
      <c r="A60125" s="118"/>
      <c r="B60125" s="136"/>
    </row>
    <row r="60126" spans="1:2" x14ac:dyDescent="0.25">
      <c r="A60126" s="118"/>
      <c r="B60126" s="136"/>
    </row>
    <row r="60127" spans="1:2" x14ac:dyDescent="0.25">
      <c r="A60127" s="118"/>
      <c r="B60127" s="136"/>
    </row>
    <row r="60128" spans="1:2" x14ac:dyDescent="0.25">
      <c r="A60128" s="118"/>
      <c r="B60128" s="136"/>
    </row>
    <row r="60129" spans="1:2" x14ac:dyDescent="0.25">
      <c r="A60129" s="118"/>
      <c r="B60129" s="136"/>
    </row>
    <row r="60130" spans="1:2" x14ac:dyDescent="0.25">
      <c r="A60130" s="118"/>
      <c r="B60130" s="136"/>
    </row>
    <row r="60131" spans="1:2" x14ac:dyDescent="0.25">
      <c r="A60131" s="118"/>
      <c r="B60131" s="136"/>
    </row>
    <row r="60132" spans="1:2" x14ac:dyDescent="0.25">
      <c r="A60132" s="118"/>
      <c r="B60132" s="136"/>
    </row>
    <row r="60133" spans="1:2" x14ac:dyDescent="0.25">
      <c r="A60133" s="118"/>
      <c r="B60133" s="136"/>
    </row>
    <row r="60134" spans="1:2" x14ac:dyDescent="0.25">
      <c r="A60134" s="118"/>
      <c r="B60134" s="136"/>
    </row>
    <row r="60135" spans="1:2" x14ac:dyDescent="0.25">
      <c r="A60135" s="118"/>
      <c r="B60135" s="136"/>
    </row>
    <row r="60136" spans="1:2" x14ac:dyDescent="0.25">
      <c r="A60136" s="118"/>
      <c r="B60136" s="136"/>
    </row>
    <row r="60137" spans="1:2" x14ac:dyDescent="0.25">
      <c r="A60137" s="118"/>
      <c r="B60137" s="136"/>
    </row>
    <row r="60138" spans="1:2" x14ac:dyDescent="0.25">
      <c r="A60138" s="118"/>
      <c r="B60138" s="136"/>
    </row>
    <row r="60139" spans="1:2" x14ac:dyDescent="0.25">
      <c r="A60139" s="118"/>
      <c r="B60139" s="136"/>
    </row>
    <row r="60140" spans="1:2" x14ac:dyDescent="0.25">
      <c r="A60140" s="118"/>
      <c r="B60140" s="136"/>
    </row>
    <row r="60141" spans="1:2" x14ac:dyDescent="0.25">
      <c r="A60141" s="118"/>
      <c r="B60141" s="136"/>
    </row>
    <row r="60142" spans="1:2" x14ac:dyDescent="0.25">
      <c r="A60142" s="118"/>
      <c r="B60142" s="136"/>
    </row>
    <row r="60143" spans="1:2" x14ac:dyDescent="0.25">
      <c r="A60143" s="118"/>
      <c r="B60143" s="136"/>
    </row>
    <row r="60144" spans="1:2" x14ac:dyDescent="0.25">
      <c r="A60144" s="118"/>
      <c r="B60144" s="136"/>
    </row>
    <row r="60145" spans="1:2" x14ac:dyDescent="0.25">
      <c r="A60145" s="118"/>
      <c r="B60145" s="136"/>
    </row>
    <row r="60146" spans="1:2" x14ac:dyDescent="0.25">
      <c r="A60146" s="118"/>
      <c r="B60146" s="136"/>
    </row>
    <row r="60147" spans="1:2" x14ac:dyDescent="0.25">
      <c r="A60147" s="118"/>
      <c r="B60147" s="136"/>
    </row>
    <row r="60148" spans="1:2" x14ac:dyDescent="0.25">
      <c r="A60148" s="118"/>
      <c r="B60148" s="136"/>
    </row>
    <row r="60149" spans="1:2" x14ac:dyDescent="0.25">
      <c r="A60149" s="118"/>
      <c r="B60149" s="136"/>
    </row>
    <row r="60150" spans="1:2" x14ac:dyDescent="0.25">
      <c r="A60150" s="118"/>
      <c r="B60150" s="136"/>
    </row>
    <row r="60151" spans="1:2" x14ac:dyDescent="0.25">
      <c r="A60151" s="118"/>
      <c r="B60151" s="136"/>
    </row>
    <row r="60152" spans="1:2" x14ac:dyDescent="0.25">
      <c r="A60152" s="118"/>
      <c r="B60152" s="136"/>
    </row>
    <row r="60153" spans="1:2" x14ac:dyDescent="0.25">
      <c r="A60153" s="118"/>
      <c r="B60153" s="136"/>
    </row>
    <row r="60154" spans="1:2" x14ac:dyDescent="0.25">
      <c r="A60154" s="118"/>
      <c r="B60154" s="136"/>
    </row>
    <row r="60155" spans="1:2" x14ac:dyDescent="0.25">
      <c r="A60155" s="118"/>
      <c r="B60155" s="136"/>
    </row>
    <row r="60156" spans="1:2" x14ac:dyDescent="0.25">
      <c r="A60156" s="118"/>
      <c r="B60156" s="136"/>
    </row>
    <row r="60157" spans="1:2" x14ac:dyDescent="0.25">
      <c r="A60157" s="118"/>
      <c r="B60157" s="136"/>
    </row>
    <row r="60158" spans="1:2" x14ac:dyDescent="0.25">
      <c r="A60158" s="118"/>
      <c r="B60158" s="136"/>
    </row>
    <row r="60159" spans="1:2" x14ac:dyDescent="0.25">
      <c r="A60159" s="118"/>
      <c r="B60159" s="136"/>
    </row>
    <row r="60160" spans="1:2" x14ac:dyDescent="0.25">
      <c r="A60160" s="118"/>
      <c r="B60160" s="136"/>
    </row>
    <row r="60161" spans="1:2" x14ac:dyDescent="0.25">
      <c r="A60161" s="118"/>
      <c r="B60161" s="136"/>
    </row>
    <row r="60162" spans="1:2" x14ac:dyDescent="0.25">
      <c r="A60162" s="118"/>
      <c r="B60162" s="136"/>
    </row>
    <row r="60163" spans="1:2" x14ac:dyDescent="0.25">
      <c r="A60163" s="118"/>
      <c r="B60163" s="136"/>
    </row>
    <row r="60164" spans="1:2" x14ac:dyDescent="0.25">
      <c r="A60164" s="118"/>
      <c r="B60164" s="136"/>
    </row>
    <row r="60165" spans="1:2" x14ac:dyDescent="0.25">
      <c r="A60165" s="118"/>
      <c r="B60165" s="136"/>
    </row>
    <row r="60166" spans="1:2" x14ac:dyDescent="0.25">
      <c r="A60166" s="118"/>
      <c r="B60166" s="136"/>
    </row>
    <row r="60167" spans="1:2" x14ac:dyDescent="0.25">
      <c r="A60167" s="118"/>
      <c r="B60167" s="136"/>
    </row>
    <row r="60168" spans="1:2" x14ac:dyDescent="0.25">
      <c r="A60168" s="118"/>
      <c r="B60168" s="136"/>
    </row>
    <row r="60169" spans="1:2" x14ac:dyDescent="0.25">
      <c r="A60169" s="118"/>
      <c r="B60169" s="136"/>
    </row>
    <row r="60170" spans="1:2" x14ac:dyDescent="0.25">
      <c r="A60170" s="118"/>
      <c r="B60170" s="136"/>
    </row>
    <row r="60171" spans="1:2" x14ac:dyDescent="0.25">
      <c r="A60171" s="118"/>
      <c r="B60171" s="136"/>
    </row>
    <row r="60172" spans="1:2" x14ac:dyDescent="0.25">
      <c r="A60172" s="118"/>
      <c r="B60172" s="136"/>
    </row>
    <row r="60173" spans="1:2" x14ac:dyDescent="0.25">
      <c r="A60173" s="118"/>
      <c r="B60173" s="136"/>
    </row>
    <row r="60174" spans="1:2" x14ac:dyDescent="0.25">
      <c r="A60174" s="118"/>
      <c r="B60174" s="136"/>
    </row>
    <row r="60175" spans="1:2" x14ac:dyDescent="0.25">
      <c r="A60175" s="118"/>
      <c r="B60175" s="136"/>
    </row>
    <row r="60176" spans="1:2" x14ac:dyDescent="0.25">
      <c r="A60176" s="118"/>
      <c r="B60176" s="136"/>
    </row>
    <row r="60177" spans="1:2" x14ac:dyDescent="0.25">
      <c r="A60177" s="118"/>
      <c r="B60177" s="136"/>
    </row>
    <row r="60178" spans="1:2" x14ac:dyDescent="0.25">
      <c r="A60178" s="118"/>
      <c r="B60178" s="136"/>
    </row>
    <row r="60179" spans="1:2" x14ac:dyDescent="0.25">
      <c r="A60179" s="118"/>
      <c r="B60179" s="136"/>
    </row>
    <row r="60180" spans="1:2" x14ac:dyDescent="0.25">
      <c r="A60180" s="118"/>
      <c r="B60180" s="136"/>
    </row>
    <row r="60181" spans="1:2" x14ac:dyDescent="0.25">
      <c r="A60181" s="118"/>
      <c r="B60181" s="136"/>
    </row>
    <row r="60182" spans="1:2" x14ac:dyDescent="0.25">
      <c r="A60182" s="118"/>
      <c r="B60182" s="136"/>
    </row>
    <row r="60183" spans="1:2" x14ac:dyDescent="0.25">
      <c r="A60183" s="118"/>
      <c r="B60183" s="136"/>
    </row>
    <row r="60184" spans="1:2" x14ac:dyDescent="0.25">
      <c r="A60184" s="118"/>
      <c r="B60184" s="136"/>
    </row>
    <row r="60185" spans="1:2" x14ac:dyDescent="0.25">
      <c r="A60185" s="118"/>
      <c r="B60185" s="136"/>
    </row>
    <row r="60186" spans="1:2" x14ac:dyDescent="0.25">
      <c r="A60186" s="118"/>
      <c r="B60186" s="136"/>
    </row>
    <row r="60187" spans="1:2" x14ac:dyDescent="0.25">
      <c r="A60187" s="118"/>
      <c r="B60187" s="136"/>
    </row>
    <row r="60188" spans="1:2" x14ac:dyDescent="0.25">
      <c r="A60188" s="118"/>
      <c r="B60188" s="136"/>
    </row>
    <row r="60189" spans="1:2" x14ac:dyDescent="0.25">
      <c r="A60189" s="118"/>
      <c r="B60189" s="136"/>
    </row>
    <row r="60190" spans="1:2" x14ac:dyDescent="0.25">
      <c r="A60190" s="118"/>
      <c r="B60190" s="136"/>
    </row>
    <row r="60191" spans="1:2" x14ac:dyDescent="0.25">
      <c r="A60191" s="118"/>
      <c r="B60191" s="136"/>
    </row>
    <row r="60192" spans="1:2" x14ac:dyDescent="0.25">
      <c r="A60192" s="118"/>
      <c r="B60192" s="136"/>
    </row>
    <row r="60193" spans="1:2" x14ac:dyDescent="0.25">
      <c r="A60193" s="118"/>
      <c r="B60193" s="136"/>
    </row>
    <row r="60194" spans="1:2" x14ac:dyDescent="0.25">
      <c r="A60194" s="118"/>
      <c r="B60194" s="136"/>
    </row>
    <row r="60195" spans="1:2" x14ac:dyDescent="0.25">
      <c r="A60195" s="118"/>
      <c r="B60195" s="136"/>
    </row>
    <row r="60196" spans="1:2" x14ac:dyDescent="0.25">
      <c r="A60196" s="118"/>
      <c r="B60196" s="136"/>
    </row>
    <row r="60197" spans="1:2" x14ac:dyDescent="0.25">
      <c r="A60197" s="118"/>
      <c r="B60197" s="136"/>
    </row>
    <row r="60198" spans="1:2" x14ac:dyDescent="0.25">
      <c r="A60198" s="118"/>
      <c r="B60198" s="136"/>
    </row>
    <row r="60199" spans="1:2" x14ac:dyDescent="0.25">
      <c r="A60199" s="118"/>
      <c r="B60199" s="136"/>
    </row>
    <row r="60200" spans="1:2" x14ac:dyDescent="0.25">
      <c r="A60200" s="118"/>
      <c r="B60200" s="136"/>
    </row>
    <row r="60201" spans="1:2" x14ac:dyDescent="0.25">
      <c r="A60201" s="118"/>
      <c r="B60201" s="136"/>
    </row>
    <row r="60202" spans="1:2" x14ac:dyDescent="0.25">
      <c r="A60202" s="118"/>
      <c r="B60202" s="136"/>
    </row>
    <row r="60203" spans="1:2" x14ac:dyDescent="0.25">
      <c r="A60203" s="118"/>
      <c r="B60203" s="136"/>
    </row>
    <row r="60204" spans="1:2" x14ac:dyDescent="0.25">
      <c r="A60204" s="118"/>
      <c r="B60204" s="136"/>
    </row>
    <row r="60205" spans="1:2" x14ac:dyDescent="0.25">
      <c r="A60205" s="118"/>
      <c r="B60205" s="136"/>
    </row>
    <row r="60206" spans="1:2" x14ac:dyDescent="0.25">
      <c r="A60206" s="118"/>
      <c r="B60206" s="136"/>
    </row>
    <row r="60207" spans="1:2" x14ac:dyDescent="0.25">
      <c r="A60207" s="118"/>
      <c r="B60207" s="136"/>
    </row>
    <row r="60208" spans="1:2" x14ac:dyDescent="0.25">
      <c r="A60208" s="118"/>
      <c r="B60208" s="136"/>
    </row>
    <row r="60209" spans="1:2" x14ac:dyDescent="0.25">
      <c r="A60209" s="118"/>
      <c r="B60209" s="136"/>
    </row>
    <row r="60210" spans="1:2" x14ac:dyDescent="0.25">
      <c r="A60210" s="118"/>
      <c r="B60210" s="136"/>
    </row>
    <row r="60211" spans="1:2" x14ac:dyDescent="0.25">
      <c r="A60211" s="118"/>
      <c r="B60211" s="136"/>
    </row>
    <row r="60212" spans="1:2" x14ac:dyDescent="0.25">
      <c r="A60212" s="118"/>
      <c r="B60212" s="136"/>
    </row>
    <row r="60213" spans="1:2" x14ac:dyDescent="0.25">
      <c r="A60213" s="118"/>
      <c r="B60213" s="136"/>
    </row>
    <row r="60214" spans="1:2" x14ac:dyDescent="0.25">
      <c r="A60214" s="118"/>
      <c r="B60214" s="136"/>
    </row>
    <row r="60215" spans="1:2" x14ac:dyDescent="0.25">
      <c r="A60215" s="118"/>
      <c r="B60215" s="136"/>
    </row>
    <row r="60216" spans="1:2" x14ac:dyDescent="0.25">
      <c r="A60216" s="118"/>
      <c r="B60216" s="136"/>
    </row>
    <row r="60217" spans="1:2" x14ac:dyDescent="0.25">
      <c r="A60217" s="118"/>
      <c r="B60217" s="136"/>
    </row>
    <row r="60218" spans="1:2" x14ac:dyDescent="0.25">
      <c r="A60218" s="118"/>
      <c r="B60218" s="136"/>
    </row>
    <row r="60219" spans="1:2" x14ac:dyDescent="0.25">
      <c r="A60219" s="118"/>
      <c r="B60219" s="136"/>
    </row>
    <row r="60220" spans="1:2" x14ac:dyDescent="0.25">
      <c r="A60220" s="118"/>
      <c r="B60220" s="136"/>
    </row>
    <row r="60221" spans="1:2" x14ac:dyDescent="0.25">
      <c r="A60221" s="118"/>
      <c r="B60221" s="136"/>
    </row>
    <row r="60222" spans="1:2" x14ac:dyDescent="0.25">
      <c r="A60222" s="118"/>
      <c r="B60222" s="136"/>
    </row>
    <row r="60223" spans="1:2" x14ac:dyDescent="0.25">
      <c r="A60223" s="118"/>
      <c r="B60223" s="136"/>
    </row>
    <row r="60224" spans="1:2" x14ac:dyDescent="0.25">
      <c r="A60224" s="118"/>
      <c r="B60224" s="136"/>
    </row>
    <row r="60225" spans="1:2" x14ac:dyDescent="0.25">
      <c r="A60225" s="118"/>
      <c r="B60225" s="136"/>
    </row>
    <row r="60226" spans="1:2" x14ac:dyDescent="0.25">
      <c r="A60226" s="118"/>
      <c r="B60226" s="136"/>
    </row>
    <row r="60227" spans="1:2" x14ac:dyDescent="0.25">
      <c r="A60227" s="118"/>
      <c r="B60227" s="136"/>
    </row>
    <row r="60228" spans="1:2" x14ac:dyDescent="0.25">
      <c r="A60228" s="118"/>
      <c r="B60228" s="136"/>
    </row>
    <row r="60229" spans="1:2" x14ac:dyDescent="0.25">
      <c r="A60229" s="118"/>
      <c r="B60229" s="136"/>
    </row>
    <row r="60230" spans="1:2" x14ac:dyDescent="0.25">
      <c r="A60230" s="118"/>
      <c r="B60230" s="136"/>
    </row>
    <row r="60231" spans="1:2" x14ac:dyDescent="0.25">
      <c r="A60231" s="118"/>
      <c r="B60231" s="136"/>
    </row>
    <row r="60232" spans="1:2" x14ac:dyDescent="0.25">
      <c r="A60232" s="118"/>
      <c r="B60232" s="136"/>
    </row>
    <row r="60233" spans="1:2" x14ac:dyDescent="0.25">
      <c r="A60233" s="118"/>
      <c r="B60233" s="136"/>
    </row>
    <row r="60234" spans="1:2" x14ac:dyDescent="0.25">
      <c r="A60234" s="118"/>
      <c r="B60234" s="136"/>
    </row>
    <row r="60235" spans="1:2" x14ac:dyDescent="0.25">
      <c r="A60235" s="118"/>
      <c r="B60235" s="136"/>
    </row>
    <row r="60236" spans="1:2" x14ac:dyDescent="0.25">
      <c r="A60236" s="118"/>
      <c r="B60236" s="136"/>
    </row>
    <row r="60237" spans="1:2" x14ac:dyDescent="0.25">
      <c r="A60237" s="118"/>
      <c r="B60237" s="136"/>
    </row>
    <row r="60238" spans="1:2" x14ac:dyDescent="0.25">
      <c r="A60238" s="118"/>
      <c r="B60238" s="136"/>
    </row>
    <row r="60239" spans="1:2" x14ac:dyDescent="0.25">
      <c r="A60239" s="118"/>
      <c r="B60239" s="136"/>
    </row>
    <row r="60240" spans="1:2" x14ac:dyDescent="0.25">
      <c r="A60240" s="118"/>
      <c r="B60240" s="136"/>
    </row>
    <row r="60241" spans="1:2" x14ac:dyDescent="0.25">
      <c r="A60241" s="118"/>
      <c r="B60241" s="136"/>
    </row>
    <row r="60242" spans="1:2" x14ac:dyDescent="0.25">
      <c r="A60242" s="118"/>
      <c r="B60242" s="136"/>
    </row>
    <row r="60243" spans="1:2" x14ac:dyDescent="0.25">
      <c r="A60243" s="118"/>
      <c r="B60243" s="136"/>
    </row>
    <row r="60244" spans="1:2" x14ac:dyDescent="0.25">
      <c r="A60244" s="118"/>
      <c r="B60244" s="136"/>
    </row>
    <row r="60245" spans="1:2" x14ac:dyDescent="0.25">
      <c r="A60245" s="118"/>
      <c r="B60245" s="136"/>
    </row>
    <row r="60246" spans="1:2" x14ac:dyDescent="0.25">
      <c r="A60246" s="118"/>
      <c r="B60246" s="136"/>
    </row>
    <row r="60247" spans="1:2" x14ac:dyDescent="0.25">
      <c r="A60247" s="118"/>
      <c r="B60247" s="136"/>
    </row>
    <row r="60248" spans="1:2" x14ac:dyDescent="0.25">
      <c r="A60248" s="118"/>
      <c r="B60248" s="136"/>
    </row>
    <row r="60249" spans="1:2" x14ac:dyDescent="0.25">
      <c r="A60249" s="118"/>
      <c r="B60249" s="136"/>
    </row>
    <row r="60250" spans="1:2" x14ac:dyDescent="0.25">
      <c r="A60250" s="118"/>
      <c r="B60250" s="136"/>
    </row>
    <row r="60251" spans="1:2" x14ac:dyDescent="0.25">
      <c r="A60251" s="118"/>
      <c r="B60251" s="136"/>
    </row>
    <row r="60252" spans="1:2" x14ac:dyDescent="0.25">
      <c r="A60252" s="118"/>
      <c r="B60252" s="136"/>
    </row>
    <row r="60253" spans="1:2" x14ac:dyDescent="0.25">
      <c r="A60253" s="118"/>
      <c r="B60253" s="136"/>
    </row>
    <row r="60254" spans="1:2" x14ac:dyDescent="0.25">
      <c r="A60254" s="118"/>
      <c r="B60254" s="136"/>
    </row>
    <row r="60255" spans="1:2" x14ac:dyDescent="0.25">
      <c r="A60255" s="118"/>
      <c r="B60255" s="136"/>
    </row>
    <row r="60256" spans="1:2" x14ac:dyDescent="0.25">
      <c r="A60256" s="118"/>
      <c r="B60256" s="136"/>
    </row>
    <row r="60257" spans="1:2" x14ac:dyDescent="0.25">
      <c r="A60257" s="118"/>
      <c r="B60257" s="136"/>
    </row>
    <row r="60258" spans="1:2" x14ac:dyDescent="0.25">
      <c r="A60258" s="118"/>
      <c r="B60258" s="136"/>
    </row>
    <row r="60259" spans="1:2" x14ac:dyDescent="0.25">
      <c r="A60259" s="118"/>
      <c r="B60259" s="136"/>
    </row>
    <row r="60260" spans="1:2" x14ac:dyDescent="0.25">
      <c r="A60260" s="118"/>
      <c r="B60260" s="136"/>
    </row>
    <row r="60261" spans="1:2" x14ac:dyDescent="0.25">
      <c r="A60261" s="118"/>
      <c r="B60261" s="136"/>
    </row>
    <row r="60262" spans="1:2" x14ac:dyDescent="0.25">
      <c r="A60262" s="118"/>
      <c r="B60262" s="136"/>
    </row>
    <row r="60263" spans="1:2" x14ac:dyDescent="0.25">
      <c r="A60263" s="118"/>
      <c r="B60263" s="136"/>
    </row>
    <row r="60264" spans="1:2" x14ac:dyDescent="0.25">
      <c r="A60264" s="118"/>
      <c r="B60264" s="136"/>
    </row>
    <row r="60265" spans="1:2" x14ac:dyDescent="0.25">
      <c r="A60265" s="118"/>
      <c r="B60265" s="136"/>
    </row>
    <row r="60266" spans="1:2" x14ac:dyDescent="0.25">
      <c r="A60266" s="118"/>
      <c r="B60266" s="136"/>
    </row>
    <row r="60267" spans="1:2" x14ac:dyDescent="0.25">
      <c r="A60267" s="118"/>
      <c r="B60267" s="136"/>
    </row>
    <row r="60268" spans="1:2" x14ac:dyDescent="0.25">
      <c r="A60268" s="118"/>
      <c r="B60268" s="136"/>
    </row>
    <row r="60269" spans="1:2" x14ac:dyDescent="0.25">
      <c r="A60269" s="118"/>
      <c r="B60269" s="136"/>
    </row>
    <row r="60270" spans="1:2" x14ac:dyDescent="0.25">
      <c r="A60270" s="118"/>
      <c r="B60270" s="136"/>
    </row>
    <row r="60271" spans="1:2" x14ac:dyDescent="0.25">
      <c r="A60271" s="118"/>
      <c r="B60271" s="136"/>
    </row>
    <row r="60272" spans="1:2" x14ac:dyDescent="0.25">
      <c r="A60272" s="118"/>
      <c r="B60272" s="136"/>
    </row>
    <row r="60273" spans="1:2" x14ac:dyDescent="0.25">
      <c r="A60273" s="118"/>
      <c r="B60273" s="136"/>
    </row>
    <row r="60274" spans="1:2" x14ac:dyDescent="0.25">
      <c r="A60274" s="118"/>
      <c r="B60274" s="136"/>
    </row>
    <row r="60275" spans="1:2" x14ac:dyDescent="0.25">
      <c r="A60275" s="118"/>
      <c r="B60275" s="136"/>
    </row>
    <row r="60276" spans="1:2" x14ac:dyDescent="0.25">
      <c r="A60276" s="118"/>
      <c r="B60276" s="136"/>
    </row>
    <row r="60277" spans="1:2" x14ac:dyDescent="0.25">
      <c r="A60277" s="118"/>
      <c r="B60277" s="136"/>
    </row>
    <row r="60278" spans="1:2" x14ac:dyDescent="0.25">
      <c r="A60278" s="118"/>
      <c r="B60278" s="136"/>
    </row>
    <row r="60279" spans="1:2" x14ac:dyDescent="0.25">
      <c r="A60279" s="118"/>
      <c r="B60279" s="136"/>
    </row>
    <row r="60280" spans="1:2" x14ac:dyDescent="0.25">
      <c r="A60280" s="118"/>
      <c r="B60280" s="136"/>
    </row>
    <row r="60281" spans="1:2" x14ac:dyDescent="0.25">
      <c r="A60281" s="118"/>
      <c r="B60281" s="136"/>
    </row>
    <row r="60282" spans="1:2" x14ac:dyDescent="0.25">
      <c r="A60282" s="118"/>
      <c r="B60282" s="136"/>
    </row>
    <row r="60283" spans="1:2" x14ac:dyDescent="0.25">
      <c r="A60283" s="118"/>
      <c r="B60283" s="136"/>
    </row>
    <row r="60284" spans="1:2" x14ac:dyDescent="0.25">
      <c r="A60284" s="118"/>
      <c r="B60284" s="136"/>
    </row>
    <row r="60285" spans="1:2" x14ac:dyDescent="0.25">
      <c r="A60285" s="118"/>
      <c r="B60285" s="136"/>
    </row>
    <row r="60286" spans="1:2" x14ac:dyDescent="0.25">
      <c r="A60286" s="118"/>
      <c r="B60286" s="136"/>
    </row>
    <row r="60287" spans="1:2" x14ac:dyDescent="0.25">
      <c r="A60287" s="118"/>
      <c r="B60287" s="136"/>
    </row>
    <row r="60288" spans="1:2" x14ac:dyDescent="0.25">
      <c r="A60288" s="118"/>
      <c r="B60288" s="136"/>
    </row>
    <row r="60289" spans="1:2" x14ac:dyDescent="0.25">
      <c r="A60289" s="118"/>
      <c r="B60289" s="136"/>
    </row>
    <row r="60290" spans="1:2" x14ac:dyDescent="0.25">
      <c r="A60290" s="118"/>
      <c r="B60290" s="136"/>
    </row>
    <row r="60291" spans="1:2" x14ac:dyDescent="0.25">
      <c r="A60291" s="118"/>
      <c r="B60291" s="136"/>
    </row>
    <row r="60292" spans="1:2" x14ac:dyDescent="0.25">
      <c r="A60292" s="118"/>
      <c r="B60292" s="136"/>
    </row>
    <row r="60293" spans="1:2" x14ac:dyDescent="0.25">
      <c r="A60293" s="118"/>
      <c r="B60293" s="136"/>
    </row>
    <row r="60294" spans="1:2" x14ac:dyDescent="0.25">
      <c r="A60294" s="118"/>
      <c r="B60294" s="136"/>
    </row>
    <row r="60295" spans="1:2" x14ac:dyDescent="0.25">
      <c r="A60295" s="118"/>
      <c r="B60295" s="136"/>
    </row>
    <row r="60296" spans="1:2" x14ac:dyDescent="0.25">
      <c r="A60296" s="118"/>
      <c r="B60296" s="136"/>
    </row>
    <row r="60297" spans="1:2" x14ac:dyDescent="0.25">
      <c r="A60297" s="118"/>
      <c r="B60297" s="136"/>
    </row>
    <row r="60298" spans="1:2" x14ac:dyDescent="0.25">
      <c r="A60298" s="118"/>
      <c r="B60298" s="136"/>
    </row>
    <row r="60299" spans="1:2" x14ac:dyDescent="0.25">
      <c r="A60299" s="118"/>
      <c r="B60299" s="136"/>
    </row>
    <row r="60300" spans="1:2" x14ac:dyDescent="0.25">
      <c r="A60300" s="118"/>
      <c r="B60300" s="136"/>
    </row>
    <row r="60301" spans="1:2" x14ac:dyDescent="0.25">
      <c r="A60301" s="118"/>
      <c r="B60301" s="136"/>
    </row>
    <row r="60302" spans="1:2" x14ac:dyDescent="0.25">
      <c r="A60302" s="118"/>
      <c r="B60302" s="136"/>
    </row>
    <row r="60303" spans="1:2" x14ac:dyDescent="0.25">
      <c r="A60303" s="118"/>
      <c r="B60303" s="136"/>
    </row>
    <row r="60304" spans="1:2" x14ac:dyDescent="0.25">
      <c r="A60304" s="118"/>
      <c r="B60304" s="136"/>
    </row>
    <row r="60305" spans="1:2" x14ac:dyDescent="0.25">
      <c r="A60305" s="118"/>
      <c r="B60305" s="136"/>
    </row>
    <row r="60306" spans="1:2" x14ac:dyDescent="0.25">
      <c r="A60306" s="118"/>
      <c r="B60306" s="136"/>
    </row>
    <row r="60307" spans="1:2" x14ac:dyDescent="0.25">
      <c r="A60307" s="118"/>
      <c r="B60307" s="136"/>
    </row>
    <row r="60308" spans="1:2" x14ac:dyDescent="0.25">
      <c r="A60308" s="118"/>
      <c r="B60308" s="136"/>
    </row>
    <row r="60309" spans="1:2" x14ac:dyDescent="0.25">
      <c r="A60309" s="118"/>
      <c r="B60309" s="136"/>
    </row>
    <row r="60310" spans="1:2" x14ac:dyDescent="0.25">
      <c r="A60310" s="118"/>
      <c r="B60310" s="136"/>
    </row>
    <row r="60311" spans="1:2" x14ac:dyDescent="0.25">
      <c r="A60311" s="118"/>
      <c r="B60311" s="136"/>
    </row>
    <row r="60312" spans="1:2" x14ac:dyDescent="0.25">
      <c r="A60312" s="118"/>
      <c r="B60312" s="136"/>
    </row>
    <row r="60313" spans="1:2" x14ac:dyDescent="0.25">
      <c r="A60313" s="118"/>
      <c r="B60313" s="136"/>
    </row>
    <row r="60314" spans="1:2" x14ac:dyDescent="0.25">
      <c r="A60314" s="118"/>
      <c r="B60314" s="136"/>
    </row>
    <row r="60315" spans="1:2" x14ac:dyDescent="0.25">
      <c r="A60315" s="118"/>
      <c r="B60315" s="136"/>
    </row>
    <row r="60316" spans="1:2" x14ac:dyDescent="0.25">
      <c r="A60316" s="118"/>
      <c r="B60316" s="136"/>
    </row>
    <row r="60317" spans="1:2" x14ac:dyDescent="0.25">
      <c r="A60317" s="118"/>
      <c r="B60317" s="136"/>
    </row>
    <row r="60318" spans="1:2" x14ac:dyDescent="0.25">
      <c r="A60318" s="118"/>
      <c r="B60318" s="136"/>
    </row>
    <row r="60319" spans="1:2" x14ac:dyDescent="0.25">
      <c r="A60319" s="118"/>
      <c r="B60319" s="136"/>
    </row>
    <row r="60320" spans="1:2" x14ac:dyDescent="0.25">
      <c r="A60320" s="118"/>
      <c r="B60320" s="136"/>
    </row>
    <row r="60321" spans="1:2" x14ac:dyDescent="0.25">
      <c r="A60321" s="118"/>
      <c r="B60321" s="136"/>
    </row>
    <row r="60322" spans="1:2" x14ac:dyDescent="0.25">
      <c r="A60322" s="118"/>
      <c r="B60322" s="136"/>
    </row>
    <row r="60323" spans="1:2" x14ac:dyDescent="0.25">
      <c r="A60323" s="118"/>
      <c r="B60323" s="136"/>
    </row>
    <row r="60324" spans="1:2" x14ac:dyDescent="0.25">
      <c r="A60324" s="118"/>
      <c r="B60324" s="136"/>
    </row>
    <row r="60325" spans="1:2" x14ac:dyDescent="0.25">
      <c r="A60325" s="118"/>
      <c r="B60325" s="136"/>
    </row>
    <row r="60326" spans="1:2" x14ac:dyDescent="0.25">
      <c r="A60326" s="118"/>
      <c r="B60326" s="136"/>
    </row>
    <row r="60327" spans="1:2" x14ac:dyDescent="0.25">
      <c r="A60327" s="118"/>
      <c r="B60327" s="136"/>
    </row>
    <row r="60328" spans="1:2" x14ac:dyDescent="0.25">
      <c r="A60328" s="118"/>
      <c r="B60328" s="136"/>
    </row>
    <row r="60329" spans="1:2" x14ac:dyDescent="0.25">
      <c r="A60329" s="118"/>
      <c r="B60329" s="136"/>
    </row>
    <row r="60330" spans="1:2" x14ac:dyDescent="0.25">
      <c r="A60330" s="118"/>
      <c r="B60330" s="136"/>
    </row>
    <row r="60331" spans="1:2" x14ac:dyDescent="0.25">
      <c r="A60331" s="118"/>
      <c r="B60331" s="136"/>
    </row>
    <row r="60332" spans="1:2" x14ac:dyDescent="0.25">
      <c r="A60332" s="118"/>
      <c r="B60332" s="136"/>
    </row>
    <row r="60333" spans="1:2" x14ac:dyDescent="0.25">
      <c r="A60333" s="118"/>
      <c r="B60333" s="136"/>
    </row>
    <row r="60334" spans="1:2" x14ac:dyDescent="0.25">
      <c r="A60334" s="118"/>
      <c r="B60334" s="136"/>
    </row>
    <row r="60335" spans="1:2" x14ac:dyDescent="0.25">
      <c r="A60335" s="118"/>
      <c r="B60335" s="136"/>
    </row>
    <row r="60336" spans="1:2" x14ac:dyDescent="0.25">
      <c r="A60336" s="118"/>
      <c r="B60336" s="136"/>
    </row>
    <row r="60337" spans="1:2" x14ac:dyDescent="0.25">
      <c r="A60337" s="118"/>
      <c r="B60337" s="136"/>
    </row>
    <row r="60338" spans="1:2" x14ac:dyDescent="0.25">
      <c r="A60338" s="118"/>
      <c r="B60338" s="136"/>
    </row>
    <row r="60339" spans="1:2" x14ac:dyDescent="0.25">
      <c r="A60339" s="118"/>
      <c r="B60339" s="136"/>
    </row>
    <row r="60340" spans="1:2" x14ac:dyDescent="0.25">
      <c r="A60340" s="118"/>
      <c r="B60340" s="136"/>
    </row>
    <row r="60341" spans="1:2" x14ac:dyDescent="0.25">
      <c r="A60341" s="118"/>
      <c r="B60341" s="136"/>
    </row>
    <row r="60342" spans="1:2" x14ac:dyDescent="0.25">
      <c r="A60342" s="118"/>
      <c r="B60342" s="136"/>
    </row>
    <row r="60343" spans="1:2" x14ac:dyDescent="0.25">
      <c r="A60343" s="118"/>
      <c r="B60343" s="136"/>
    </row>
    <row r="60344" spans="1:2" x14ac:dyDescent="0.25">
      <c r="A60344" s="118"/>
      <c r="B60344" s="136"/>
    </row>
    <row r="60345" spans="1:2" x14ac:dyDescent="0.25">
      <c r="A60345" s="118"/>
      <c r="B60345" s="136"/>
    </row>
    <row r="60346" spans="1:2" x14ac:dyDescent="0.25">
      <c r="A60346" s="118"/>
      <c r="B60346" s="136"/>
    </row>
    <row r="60347" spans="1:2" x14ac:dyDescent="0.25">
      <c r="A60347" s="118"/>
      <c r="B60347" s="136"/>
    </row>
    <row r="60348" spans="1:2" x14ac:dyDescent="0.25">
      <c r="A60348" s="118"/>
      <c r="B60348" s="136"/>
    </row>
    <row r="60349" spans="1:2" x14ac:dyDescent="0.25">
      <c r="A60349" s="118"/>
      <c r="B60349" s="136"/>
    </row>
    <row r="60350" spans="1:2" x14ac:dyDescent="0.25">
      <c r="A60350" s="118"/>
      <c r="B60350" s="136"/>
    </row>
    <row r="60351" spans="1:2" x14ac:dyDescent="0.25">
      <c r="A60351" s="118"/>
      <c r="B60351" s="136"/>
    </row>
    <row r="60352" spans="1:2" x14ac:dyDescent="0.25">
      <c r="A60352" s="118"/>
      <c r="B60352" s="136"/>
    </row>
    <row r="60353" spans="1:2" x14ac:dyDescent="0.25">
      <c r="A60353" s="118"/>
      <c r="B60353" s="136"/>
    </row>
    <row r="60354" spans="1:2" x14ac:dyDescent="0.25">
      <c r="A60354" s="118"/>
      <c r="B60354" s="136"/>
    </row>
    <row r="60355" spans="1:2" x14ac:dyDescent="0.25">
      <c r="A60355" s="118"/>
      <c r="B60355" s="136"/>
    </row>
    <row r="60356" spans="1:2" x14ac:dyDescent="0.25">
      <c r="A60356" s="118"/>
      <c r="B60356" s="136"/>
    </row>
    <row r="60357" spans="1:2" x14ac:dyDescent="0.25">
      <c r="A60357" s="118"/>
      <c r="B60357" s="136"/>
    </row>
    <row r="60358" spans="1:2" x14ac:dyDescent="0.25">
      <c r="A60358" s="118"/>
      <c r="B60358" s="136"/>
    </row>
    <row r="60359" spans="1:2" x14ac:dyDescent="0.25">
      <c r="A60359" s="118"/>
      <c r="B60359" s="136"/>
    </row>
    <row r="60360" spans="1:2" x14ac:dyDescent="0.25">
      <c r="A60360" s="118"/>
      <c r="B60360" s="136"/>
    </row>
    <row r="60361" spans="1:2" x14ac:dyDescent="0.25">
      <c r="A60361" s="118"/>
      <c r="B60361" s="136"/>
    </row>
    <row r="60362" spans="1:2" x14ac:dyDescent="0.25">
      <c r="A60362" s="118"/>
      <c r="B60362" s="136"/>
    </row>
    <row r="60363" spans="1:2" x14ac:dyDescent="0.25">
      <c r="A60363" s="118"/>
      <c r="B60363" s="136"/>
    </row>
    <row r="60364" spans="1:2" x14ac:dyDescent="0.25">
      <c r="A60364" s="118"/>
      <c r="B60364" s="136"/>
    </row>
    <row r="60365" spans="1:2" x14ac:dyDescent="0.25">
      <c r="A60365" s="118"/>
      <c r="B60365" s="136"/>
    </row>
    <row r="60366" spans="1:2" x14ac:dyDescent="0.25">
      <c r="A60366" s="118"/>
      <c r="B60366" s="136"/>
    </row>
    <row r="60367" spans="1:2" x14ac:dyDescent="0.25">
      <c r="A60367" s="118"/>
      <c r="B60367" s="136"/>
    </row>
    <row r="60368" spans="1:2" x14ac:dyDescent="0.25">
      <c r="A60368" s="118"/>
      <c r="B60368" s="136"/>
    </row>
    <row r="60369" spans="1:2" x14ac:dyDescent="0.25">
      <c r="A60369" s="118"/>
      <c r="B60369" s="136"/>
    </row>
    <row r="60370" spans="1:2" x14ac:dyDescent="0.25">
      <c r="A60370" s="118"/>
      <c r="B60370" s="136"/>
    </row>
    <row r="60371" spans="1:2" x14ac:dyDescent="0.25">
      <c r="A60371" s="118"/>
      <c r="B60371" s="136"/>
    </row>
    <row r="60372" spans="1:2" x14ac:dyDescent="0.25">
      <c r="A60372" s="118"/>
      <c r="B60372" s="136"/>
    </row>
    <row r="60373" spans="1:2" x14ac:dyDescent="0.25">
      <c r="A60373" s="118"/>
      <c r="B60373" s="136"/>
    </row>
    <row r="60374" spans="1:2" x14ac:dyDescent="0.25">
      <c r="A60374" s="118"/>
      <c r="B60374" s="136"/>
    </row>
    <row r="60375" spans="1:2" x14ac:dyDescent="0.25">
      <c r="A60375" s="118"/>
      <c r="B60375" s="136"/>
    </row>
    <row r="60376" spans="1:2" x14ac:dyDescent="0.25">
      <c r="A60376" s="118"/>
      <c r="B60376" s="136"/>
    </row>
    <row r="60377" spans="1:2" x14ac:dyDescent="0.25">
      <c r="A60377" s="118"/>
      <c r="B60377" s="136"/>
    </row>
    <row r="60378" spans="1:2" x14ac:dyDescent="0.25">
      <c r="A60378" s="118"/>
      <c r="B60378" s="136"/>
    </row>
    <row r="60379" spans="1:2" x14ac:dyDescent="0.25">
      <c r="A60379" s="118"/>
      <c r="B60379" s="136"/>
    </row>
    <row r="60380" spans="1:2" x14ac:dyDescent="0.25">
      <c r="A60380" s="118"/>
      <c r="B60380" s="136"/>
    </row>
    <row r="60381" spans="1:2" x14ac:dyDescent="0.25">
      <c r="A60381" s="118"/>
      <c r="B60381" s="136"/>
    </row>
    <row r="60382" spans="1:2" x14ac:dyDescent="0.25">
      <c r="A60382" s="118"/>
      <c r="B60382" s="136"/>
    </row>
    <row r="60383" spans="1:2" x14ac:dyDescent="0.25">
      <c r="A60383" s="118"/>
      <c r="B60383" s="136"/>
    </row>
    <row r="60384" spans="1:2" x14ac:dyDescent="0.25">
      <c r="A60384" s="118"/>
      <c r="B60384" s="136"/>
    </row>
    <row r="60385" spans="1:2" x14ac:dyDescent="0.25">
      <c r="A60385" s="118"/>
      <c r="B60385" s="136"/>
    </row>
    <row r="60386" spans="1:2" x14ac:dyDescent="0.25">
      <c r="A60386" s="118"/>
      <c r="B60386" s="136"/>
    </row>
    <row r="60387" spans="1:2" x14ac:dyDescent="0.25">
      <c r="A60387" s="118"/>
      <c r="B60387" s="136"/>
    </row>
    <row r="60388" spans="1:2" x14ac:dyDescent="0.25">
      <c r="A60388" s="118"/>
      <c r="B60388" s="136"/>
    </row>
    <row r="60389" spans="1:2" x14ac:dyDescent="0.25">
      <c r="A60389" s="118"/>
      <c r="B60389" s="136"/>
    </row>
    <row r="60390" spans="1:2" x14ac:dyDescent="0.25">
      <c r="A60390" s="118"/>
      <c r="B60390" s="136"/>
    </row>
    <row r="60391" spans="1:2" x14ac:dyDescent="0.25">
      <c r="A60391" s="118"/>
      <c r="B60391" s="136"/>
    </row>
    <row r="60392" spans="1:2" x14ac:dyDescent="0.25">
      <c r="A60392" s="118"/>
      <c r="B60392" s="136"/>
    </row>
    <row r="60393" spans="1:2" x14ac:dyDescent="0.25">
      <c r="A60393" s="118"/>
      <c r="B60393" s="136"/>
    </row>
    <row r="60394" spans="1:2" x14ac:dyDescent="0.25">
      <c r="A60394" s="118"/>
      <c r="B60394" s="136"/>
    </row>
    <row r="60395" spans="1:2" x14ac:dyDescent="0.25">
      <c r="A60395" s="118"/>
      <c r="B60395" s="136"/>
    </row>
    <row r="60396" spans="1:2" x14ac:dyDescent="0.25">
      <c r="A60396" s="118"/>
      <c r="B60396" s="136"/>
    </row>
    <row r="60397" spans="1:2" x14ac:dyDescent="0.25">
      <c r="A60397" s="118"/>
      <c r="B60397" s="136"/>
    </row>
    <row r="60398" spans="1:2" x14ac:dyDescent="0.25">
      <c r="A60398" s="118"/>
      <c r="B60398" s="136"/>
    </row>
    <row r="60399" spans="1:2" x14ac:dyDescent="0.25">
      <c r="A60399" s="118"/>
      <c r="B60399" s="136"/>
    </row>
    <row r="60400" spans="1:2" x14ac:dyDescent="0.25">
      <c r="A60400" s="118"/>
      <c r="B60400" s="136"/>
    </row>
    <row r="60401" spans="1:2" x14ac:dyDescent="0.25">
      <c r="A60401" s="118"/>
      <c r="B60401" s="136"/>
    </row>
    <row r="60402" spans="1:2" x14ac:dyDescent="0.25">
      <c r="A60402" s="118"/>
      <c r="B60402" s="136"/>
    </row>
    <row r="60403" spans="1:2" x14ac:dyDescent="0.25">
      <c r="A60403" s="118"/>
      <c r="B60403" s="136"/>
    </row>
    <row r="60404" spans="1:2" x14ac:dyDescent="0.25">
      <c r="A60404" s="118"/>
      <c r="B60404" s="136"/>
    </row>
    <row r="60405" spans="1:2" x14ac:dyDescent="0.25">
      <c r="A60405" s="118"/>
      <c r="B60405" s="136"/>
    </row>
    <row r="60406" spans="1:2" x14ac:dyDescent="0.25">
      <c r="A60406" s="118"/>
      <c r="B60406" s="136"/>
    </row>
    <row r="60407" spans="1:2" x14ac:dyDescent="0.25">
      <c r="A60407" s="118"/>
      <c r="B60407" s="136"/>
    </row>
    <row r="60408" spans="1:2" x14ac:dyDescent="0.25">
      <c r="A60408" s="118"/>
      <c r="B60408" s="136"/>
    </row>
    <row r="60409" spans="1:2" x14ac:dyDescent="0.25">
      <c r="A60409" s="118"/>
      <c r="B60409" s="136"/>
    </row>
    <row r="60410" spans="1:2" x14ac:dyDescent="0.25">
      <c r="A60410" s="118"/>
      <c r="B60410" s="136"/>
    </row>
    <row r="60411" spans="1:2" x14ac:dyDescent="0.25">
      <c r="A60411" s="118"/>
      <c r="B60411" s="136"/>
    </row>
    <row r="60412" spans="1:2" x14ac:dyDescent="0.25">
      <c r="A60412" s="118"/>
      <c r="B60412" s="136"/>
    </row>
    <row r="60413" spans="1:2" x14ac:dyDescent="0.25">
      <c r="A60413" s="118"/>
      <c r="B60413" s="136"/>
    </row>
    <row r="60414" spans="1:2" x14ac:dyDescent="0.25">
      <c r="A60414" s="118"/>
      <c r="B60414" s="136"/>
    </row>
    <row r="60415" spans="1:2" x14ac:dyDescent="0.25">
      <c r="A60415" s="118"/>
      <c r="B60415" s="136"/>
    </row>
    <row r="60416" spans="1:2" x14ac:dyDescent="0.25">
      <c r="A60416" s="118"/>
      <c r="B60416" s="136"/>
    </row>
    <row r="60417" spans="1:2" x14ac:dyDescent="0.25">
      <c r="A60417" s="118"/>
      <c r="B60417" s="136"/>
    </row>
    <row r="60418" spans="1:2" x14ac:dyDescent="0.25">
      <c r="A60418" s="118"/>
      <c r="B60418" s="136"/>
    </row>
    <row r="60419" spans="1:2" x14ac:dyDescent="0.25">
      <c r="A60419" s="118"/>
      <c r="B60419" s="136"/>
    </row>
    <row r="60420" spans="1:2" x14ac:dyDescent="0.25">
      <c r="A60420" s="118"/>
      <c r="B60420" s="136"/>
    </row>
    <row r="60421" spans="1:2" x14ac:dyDescent="0.25">
      <c r="A60421" s="118"/>
      <c r="B60421" s="136"/>
    </row>
    <row r="60422" spans="1:2" x14ac:dyDescent="0.25">
      <c r="A60422" s="118"/>
      <c r="B60422" s="136"/>
    </row>
    <row r="60423" spans="1:2" x14ac:dyDescent="0.25">
      <c r="A60423" s="118"/>
      <c r="B60423" s="136"/>
    </row>
    <row r="60424" spans="1:2" x14ac:dyDescent="0.25">
      <c r="A60424" s="118"/>
      <c r="B60424" s="136"/>
    </row>
    <row r="60425" spans="1:2" x14ac:dyDescent="0.25">
      <c r="A60425" s="118"/>
      <c r="B60425" s="136"/>
    </row>
    <row r="60426" spans="1:2" x14ac:dyDescent="0.25">
      <c r="A60426" s="118"/>
      <c r="B60426" s="136"/>
    </row>
    <row r="60427" spans="1:2" x14ac:dyDescent="0.25">
      <c r="A60427" s="118"/>
      <c r="B60427" s="136"/>
    </row>
    <row r="60428" spans="1:2" x14ac:dyDescent="0.25">
      <c r="A60428" s="118"/>
      <c r="B60428" s="136"/>
    </row>
    <row r="60429" spans="1:2" x14ac:dyDescent="0.25">
      <c r="A60429" s="118"/>
      <c r="B60429" s="136"/>
    </row>
    <row r="60430" spans="1:2" x14ac:dyDescent="0.25">
      <c r="A60430" s="118"/>
      <c r="B60430" s="136"/>
    </row>
    <row r="60431" spans="1:2" x14ac:dyDescent="0.25">
      <c r="A60431" s="118"/>
      <c r="B60431" s="136"/>
    </row>
    <row r="60432" spans="1:2" x14ac:dyDescent="0.25">
      <c r="A60432" s="118"/>
      <c r="B60432" s="136"/>
    </row>
    <row r="60433" spans="1:2" x14ac:dyDescent="0.25">
      <c r="A60433" s="118"/>
      <c r="B60433" s="136"/>
    </row>
    <row r="60434" spans="1:2" x14ac:dyDescent="0.25">
      <c r="A60434" s="118"/>
      <c r="B60434" s="136"/>
    </row>
    <row r="60435" spans="1:2" x14ac:dyDescent="0.25">
      <c r="A60435" s="118"/>
      <c r="B60435" s="136"/>
    </row>
    <row r="60436" spans="1:2" x14ac:dyDescent="0.25">
      <c r="A60436" s="118"/>
      <c r="B60436" s="136"/>
    </row>
    <row r="60437" spans="1:2" x14ac:dyDescent="0.25">
      <c r="A60437" s="118"/>
      <c r="B60437" s="136"/>
    </row>
    <row r="60438" spans="1:2" x14ac:dyDescent="0.25">
      <c r="A60438" s="118"/>
      <c r="B60438" s="136"/>
    </row>
    <row r="60439" spans="1:2" x14ac:dyDescent="0.25">
      <c r="A60439" s="118"/>
      <c r="B60439" s="136"/>
    </row>
    <row r="60440" spans="1:2" x14ac:dyDescent="0.25">
      <c r="A60440" s="118"/>
      <c r="B60440" s="136"/>
    </row>
    <row r="60441" spans="1:2" x14ac:dyDescent="0.25">
      <c r="A60441" s="118"/>
      <c r="B60441" s="136"/>
    </row>
    <row r="60442" spans="1:2" x14ac:dyDescent="0.25">
      <c r="A60442" s="118"/>
      <c r="B60442" s="136"/>
    </row>
    <row r="60443" spans="1:2" x14ac:dyDescent="0.25">
      <c r="A60443" s="118"/>
      <c r="B60443" s="136"/>
    </row>
    <row r="60444" spans="1:2" x14ac:dyDescent="0.25">
      <c r="A60444" s="118"/>
      <c r="B60444" s="136"/>
    </row>
    <row r="60445" spans="1:2" x14ac:dyDescent="0.25">
      <c r="A60445" s="118"/>
      <c r="B60445" s="136"/>
    </row>
    <row r="60446" spans="1:2" x14ac:dyDescent="0.25">
      <c r="A60446" s="118"/>
      <c r="B60446" s="136"/>
    </row>
    <row r="60447" spans="1:2" x14ac:dyDescent="0.25">
      <c r="A60447" s="118"/>
      <c r="B60447" s="136"/>
    </row>
    <row r="60448" spans="1:2" x14ac:dyDescent="0.25">
      <c r="A60448" s="118"/>
      <c r="B60448" s="136"/>
    </row>
    <row r="60449" spans="1:2" x14ac:dyDescent="0.25">
      <c r="A60449" s="118"/>
      <c r="B60449" s="136"/>
    </row>
    <row r="60450" spans="1:2" x14ac:dyDescent="0.25">
      <c r="A60450" s="118"/>
      <c r="B60450" s="136"/>
    </row>
    <row r="60451" spans="1:2" x14ac:dyDescent="0.25">
      <c r="A60451" s="118"/>
      <c r="B60451" s="136"/>
    </row>
    <row r="60452" spans="1:2" x14ac:dyDescent="0.25">
      <c r="A60452" s="118"/>
      <c r="B60452" s="136"/>
    </row>
    <row r="60453" spans="1:2" x14ac:dyDescent="0.25">
      <c r="A60453" s="118"/>
      <c r="B60453" s="136"/>
    </row>
    <row r="60454" spans="1:2" x14ac:dyDescent="0.25">
      <c r="A60454" s="118"/>
      <c r="B60454" s="136"/>
    </row>
    <row r="60455" spans="1:2" x14ac:dyDescent="0.25">
      <c r="A60455" s="118"/>
      <c r="B60455" s="136"/>
    </row>
    <row r="60456" spans="1:2" x14ac:dyDescent="0.25">
      <c r="A60456" s="118"/>
      <c r="B60456" s="136"/>
    </row>
    <row r="60457" spans="1:2" x14ac:dyDescent="0.25">
      <c r="A60457" s="118"/>
      <c r="B60457" s="136"/>
    </row>
    <row r="60458" spans="1:2" x14ac:dyDescent="0.25">
      <c r="A60458" s="118"/>
      <c r="B60458" s="136"/>
    </row>
    <row r="60459" spans="1:2" x14ac:dyDescent="0.25">
      <c r="A60459" s="118"/>
      <c r="B60459" s="136"/>
    </row>
    <row r="60460" spans="1:2" x14ac:dyDescent="0.25">
      <c r="A60460" s="118"/>
      <c r="B60460" s="136"/>
    </row>
    <row r="60461" spans="1:2" x14ac:dyDescent="0.25">
      <c r="A60461" s="118"/>
      <c r="B60461" s="136"/>
    </row>
    <row r="60462" spans="1:2" x14ac:dyDescent="0.25">
      <c r="A60462" s="118"/>
      <c r="B60462" s="136"/>
    </row>
    <row r="60463" spans="1:2" x14ac:dyDescent="0.25">
      <c r="A60463" s="118"/>
      <c r="B60463" s="136"/>
    </row>
    <row r="60464" spans="1:2" x14ac:dyDescent="0.25">
      <c r="A60464" s="118"/>
      <c r="B60464" s="136"/>
    </row>
    <row r="60465" spans="1:2" x14ac:dyDescent="0.25">
      <c r="A60465" s="118"/>
      <c r="B60465" s="136"/>
    </row>
    <row r="60466" spans="1:2" x14ac:dyDescent="0.25">
      <c r="A60466" s="118"/>
      <c r="B60466" s="136"/>
    </row>
    <row r="60467" spans="1:2" x14ac:dyDescent="0.25">
      <c r="A60467" s="118"/>
      <c r="B60467" s="136"/>
    </row>
    <row r="60468" spans="1:2" x14ac:dyDescent="0.25">
      <c r="A60468" s="118"/>
      <c r="B60468" s="136"/>
    </row>
    <row r="60469" spans="1:2" x14ac:dyDescent="0.25">
      <c r="A60469" s="118"/>
      <c r="B60469" s="136"/>
    </row>
    <row r="60470" spans="1:2" x14ac:dyDescent="0.25">
      <c r="A60470" s="118"/>
      <c r="B60470" s="136"/>
    </row>
    <row r="60471" spans="1:2" x14ac:dyDescent="0.25">
      <c r="A60471" s="118"/>
      <c r="B60471" s="136"/>
    </row>
    <row r="60472" spans="1:2" x14ac:dyDescent="0.25">
      <c r="A60472" s="118"/>
      <c r="B60472" s="136"/>
    </row>
    <row r="60473" spans="1:2" x14ac:dyDescent="0.25">
      <c r="A60473" s="118"/>
      <c r="B60473" s="136"/>
    </row>
    <row r="60474" spans="1:2" x14ac:dyDescent="0.25">
      <c r="A60474" s="118"/>
      <c r="B60474" s="136"/>
    </row>
    <row r="60475" spans="1:2" x14ac:dyDescent="0.25">
      <c r="A60475" s="118"/>
      <c r="B60475" s="136"/>
    </row>
    <row r="60476" spans="1:2" x14ac:dyDescent="0.25">
      <c r="A60476" s="118"/>
      <c r="B60476" s="136"/>
    </row>
    <row r="60477" spans="1:2" x14ac:dyDescent="0.25">
      <c r="A60477" s="118"/>
      <c r="B60477" s="136"/>
    </row>
    <row r="60478" spans="1:2" x14ac:dyDescent="0.25">
      <c r="A60478" s="118"/>
      <c r="B60478" s="136"/>
    </row>
    <row r="60479" spans="1:2" x14ac:dyDescent="0.25">
      <c r="A60479" s="118"/>
      <c r="B60479" s="136"/>
    </row>
    <row r="60480" spans="1:2" x14ac:dyDescent="0.25">
      <c r="A60480" s="118"/>
      <c r="B60480" s="136"/>
    </row>
    <row r="60481" spans="1:2" x14ac:dyDescent="0.25">
      <c r="A60481" s="118"/>
      <c r="B60481" s="136"/>
    </row>
    <row r="60482" spans="1:2" x14ac:dyDescent="0.25">
      <c r="A60482" s="118"/>
      <c r="B60482" s="136"/>
    </row>
    <row r="60483" spans="1:2" x14ac:dyDescent="0.25">
      <c r="A60483" s="118"/>
      <c r="B60483" s="136"/>
    </row>
    <row r="60484" spans="1:2" x14ac:dyDescent="0.25">
      <c r="A60484" s="118"/>
      <c r="B60484" s="136"/>
    </row>
    <row r="60485" spans="1:2" x14ac:dyDescent="0.25">
      <c r="A60485" s="118"/>
      <c r="B60485" s="136"/>
    </row>
    <row r="60486" spans="1:2" x14ac:dyDescent="0.25">
      <c r="A60486" s="118"/>
      <c r="B60486" s="136"/>
    </row>
    <row r="60487" spans="1:2" x14ac:dyDescent="0.25">
      <c r="A60487" s="118"/>
      <c r="B60487" s="136"/>
    </row>
    <row r="60488" spans="1:2" x14ac:dyDescent="0.25">
      <c r="A60488" s="118"/>
      <c r="B60488" s="136"/>
    </row>
    <row r="60489" spans="1:2" x14ac:dyDescent="0.25">
      <c r="A60489" s="118"/>
      <c r="B60489" s="136"/>
    </row>
    <row r="60490" spans="1:2" x14ac:dyDescent="0.25">
      <c r="A60490" s="118"/>
      <c r="B60490" s="136"/>
    </row>
    <row r="60491" spans="1:2" x14ac:dyDescent="0.25">
      <c r="A60491" s="118"/>
      <c r="B60491" s="136"/>
    </row>
    <row r="60492" spans="1:2" x14ac:dyDescent="0.25">
      <c r="A60492" s="118"/>
      <c r="B60492" s="136"/>
    </row>
    <row r="60493" spans="1:2" x14ac:dyDescent="0.25">
      <c r="A60493" s="118"/>
      <c r="B60493" s="136"/>
    </row>
    <row r="60494" spans="1:2" x14ac:dyDescent="0.25">
      <c r="A60494" s="118"/>
      <c r="B60494" s="136"/>
    </row>
    <row r="60495" spans="1:2" x14ac:dyDescent="0.25">
      <c r="A60495" s="118"/>
      <c r="B60495" s="136"/>
    </row>
    <row r="60496" spans="1:2" x14ac:dyDescent="0.25">
      <c r="A60496" s="118"/>
      <c r="B60496" s="136"/>
    </row>
    <row r="60497" spans="1:2" x14ac:dyDescent="0.25">
      <c r="A60497" s="118"/>
      <c r="B60497" s="136"/>
    </row>
    <row r="60498" spans="1:2" x14ac:dyDescent="0.25">
      <c r="A60498" s="118"/>
      <c r="B60498" s="136"/>
    </row>
    <row r="60499" spans="1:2" x14ac:dyDescent="0.25">
      <c r="A60499" s="118"/>
      <c r="B60499" s="136"/>
    </row>
    <row r="60500" spans="1:2" x14ac:dyDescent="0.25">
      <c r="A60500" s="118"/>
      <c r="B60500" s="136"/>
    </row>
    <row r="60501" spans="1:2" x14ac:dyDescent="0.25">
      <c r="A60501" s="118"/>
      <c r="B60501" s="136"/>
    </row>
    <row r="60502" spans="1:2" x14ac:dyDescent="0.25">
      <c r="A60502" s="118"/>
      <c r="B60502" s="136"/>
    </row>
    <row r="60503" spans="1:2" x14ac:dyDescent="0.25">
      <c r="A60503" s="118"/>
      <c r="B60503" s="136"/>
    </row>
    <row r="60504" spans="1:2" x14ac:dyDescent="0.25">
      <c r="A60504" s="118"/>
      <c r="B60504" s="136"/>
    </row>
    <row r="60505" spans="1:2" x14ac:dyDescent="0.25">
      <c r="A60505" s="118"/>
      <c r="B60505" s="136"/>
    </row>
    <row r="60506" spans="1:2" x14ac:dyDescent="0.25">
      <c r="A60506" s="118"/>
      <c r="B60506" s="136"/>
    </row>
    <row r="60507" spans="1:2" x14ac:dyDescent="0.25">
      <c r="A60507" s="118"/>
      <c r="B60507" s="136"/>
    </row>
    <row r="60508" spans="1:2" x14ac:dyDescent="0.25">
      <c r="A60508" s="118"/>
      <c r="B60508" s="136"/>
    </row>
    <row r="60509" spans="1:2" x14ac:dyDescent="0.25">
      <c r="A60509" s="118"/>
      <c r="B60509" s="136"/>
    </row>
    <row r="60510" spans="1:2" x14ac:dyDescent="0.25">
      <c r="A60510" s="118"/>
      <c r="B60510" s="136"/>
    </row>
    <row r="60511" spans="1:2" x14ac:dyDescent="0.25">
      <c r="A60511" s="118"/>
      <c r="B60511" s="136"/>
    </row>
    <row r="60512" spans="1:2" x14ac:dyDescent="0.25">
      <c r="A60512" s="118"/>
      <c r="B60512" s="136"/>
    </row>
    <row r="60513" spans="1:2" x14ac:dyDescent="0.25">
      <c r="A60513" s="118"/>
      <c r="B60513" s="136"/>
    </row>
    <row r="60514" spans="1:2" x14ac:dyDescent="0.25">
      <c r="A60514" s="118"/>
      <c r="B60514" s="136"/>
    </row>
    <row r="60515" spans="1:2" x14ac:dyDescent="0.25">
      <c r="A60515" s="118"/>
      <c r="B60515" s="136"/>
    </row>
    <row r="60516" spans="1:2" x14ac:dyDescent="0.25">
      <c r="A60516" s="118"/>
      <c r="B60516" s="136"/>
    </row>
    <row r="60517" spans="1:2" x14ac:dyDescent="0.25">
      <c r="A60517" s="118"/>
      <c r="B60517" s="136"/>
    </row>
    <row r="60518" spans="1:2" x14ac:dyDescent="0.25">
      <c r="A60518" s="118"/>
      <c r="B60518" s="136"/>
    </row>
    <row r="60519" spans="1:2" x14ac:dyDescent="0.25">
      <c r="A60519" s="118"/>
      <c r="B60519" s="136"/>
    </row>
    <row r="60520" spans="1:2" x14ac:dyDescent="0.25">
      <c r="A60520" s="118"/>
      <c r="B60520" s="136"/>
    </row>
    <row r="60521" spans="1:2" x14ac:dyDescent="0.25">
      <c r="A60521" s="118"/>
      <c r="B60521" s="136"/>
    </row>
    <row r="60522" spans="1:2" x14ac:dyDescent="0.25">
      <c r="A60522" s="118"/>
      <c r="B60522" s="136"/>
    </row>
    <row r="60523" spans="1:2" x14ac:dyDescent="0.25">
      <c r="A60523" s="118"/>
      <c r="B60523" s="136"/>
    </row>
    <row r="60524" spans="1:2" x14ac:dyDescent="0.25">
      <c r="A60524" s="118"/>
      <c r="B60524" s="136"/>
    </row>
    <row r="60525" spans="1:2" x14ac:dyDescent="0.25">
      <c r="A60525" s="118"/>
      <c r="B60525" s="136"/>
    </row>
    <row r="60526" spans="1:2" x14ac:dyDescent="0.25">
      <c r="A60526" s="118"/>
      <c r="B60526" s="136"/>
    </row>
    <row r="60527" spans="1:2" x14ac:dyDescent="0.25">
      <c r="A60527" s="118"/>
      <c r="B60527" s="136"/>
    </row>
    <row r="60528" spans="1:2" x14ac:dyDescent="0.25">
      <c r="A60528" s="118"/>
      <c r="B60528" s="136"/>
    </row>
    <row r="60529" spans="1:2" x14ac:dyDescent="0.25">
      <c r="A60529" s="118"/>
      <c r="B60529" s="136"/>
    </row>
    <row r="60530" spans="1:2" x14ac:dyDescent="0.25">
      <c r="A60530" s="118"/>
      <c r="B60530" s="136"/>
    </row>
    <row r="60531" spans="1:2" x14ac:dyDescent="0.25">
      <c r="A60531" s="118"/>
      <c r="B60531" s="136"/>
    </row>
    <row r="60532" spans="1:2" x14ac:dyDescent="0.25">
      <c r="A60532" s="118"/>
      <c r="B60532" s="136"/>
    </row>
    <row r="60533" spans="1:2" x14ac:dyDescent="0.25">
      <c r="A60533" s="118"/>
      <c r="B60533" s="136"/>
    </row>
    <row r="60534" spans="1:2" x14ac:dyDescent="0.25">
      <c r="A60534" s="118"/>
      <c r="B60534" s="136"/>
    </row>
    <row r="60535" spans="1:2" x14ac:dyDescent="0.25">
      <c r="A60535" s="118"/>
      <c r="B60535" s="136"/>
    </row>
    <row r="60536" spans="1:2" x14ac:dyDescent="0.25">
      <c r="A60536" s="118"/>
      <c r="B60536" s="136"/>
    </row>
    <row r="60537" spans="1:2" x14ac:dyDescent="0.25">
      <c r="A60537" s="118"/>
      <c r="B60537" s="136"/>
    </row>
    <row r="60538" spans="1:2" x14ac:dyDescent="0.25">
      <c r="A60538" s="118"/>
      <c r="B60538" s="136"/>
    </row>
    <row r="60539" spans="1:2" x14ac:dyDescent="0.25">
      <c r="A60539" s="118"/>
      <c r="B60539" s="136"/>
    </row>
    <row r="60540" spans="1:2" x14ac:dyDescent="0.25">
      <c r="A60540" s="118"/>
      <c r="B60540" s="136"/>
    </row>
    <row r="60541" spans="1:2" x14ac:dyDescent="0.25">
      <c r="A60541" s="118"/>
      <c r="B60541" s="136"/>
    </row>
    <row r="60542" spans="1:2" x14ac:dyDescent="0.25">
      <c r="A60542" s="118"/>
      <c r="B60542" s="136"/>
    </row>
    <row r="60543" spans="1:2" x14ac:dyDescent="0.25">
      <c r="A60543" s="118"/>
      <c r="B60543" s="136"/>
    </row>
    <row r="60544" spans="1:2" x14ac:dyDescent="0.25">
      <c r="A60544" s="118"/>
      <c r="B60544" s="136"/>
    </row>
    <row r="60545" spans="1:2" x14ac:dyDescent="0.25">
      <c r="A60545" s="118"/>
      <c r="B60545" s="136"/>
    </row>
    <row r="60546" spans="1:2" x14ac:dyDescent="0.25">
      <c r="A60546" s="118"/>
      <c r="B60546" s="136"/>
    </row>
    <row r="60547" spans="1:2" x14ac:dyDescent="0.25">
      <c r="A60547" s="118"/>
      <c r="B60547" s="136"/>
    </row>
    <row r="60548" spans="1:2" x14ac:dyDescent="0.25">
      <c r="A60548" s="118"/>
      <c r="B60548" s="136"/>
    </row>
    <row r="60549" spans="1:2" x14ac:dyDescent="0.25">
      <c r="A60549" s="118"/>
      <c r="B60549" s="136"/>
    </row>
    <row r="60550" spans="1:2" x14ac:dyDescent="0.25">
      <c r="A60550" s="118"/>
      <c r="B60550" s="136"/>
    </row>
    <row r="60551" spans="1:2" x14ac:dyDescent="0.25">
      <c r="A60551" s="118"/>
      <c r="B60551" s="136"/>
    </row>
    <row r="60552" spans="1:2" x14ac:dyDescent="0.25">
      <c r="A60552" s="118"/>
      <c r="B60552" s="136"/>
    </row>
    <row r="60553" spans="1:2" x14ac:dyDescent="0.25">
      <c r="A60553" s="118"/>
      <c r="B60553" s="136"/>
    </row>
    <row r="60554" spans="1:2" x14ac:dyDescent="0.25">
      <c r="A60554" s="118"/>
      <c r="B60554" s="136"/>
    </row>
    <row r="60555" spans="1:2" x14ac:dyDescent="0.25">
      <c r="A60555" s="118"/>
      <c r="B60555" s="136"/>
    </row>
    <row r="60556" spans="1:2" x14ac:dyDescent="0.25">
      <c r="A60556" s="118"/>
      <c r="B60556" s="136"/>
    </row>
    <row r="60557" spans="1:2" x14ac:dyDescent="0.25">
      <c r="A60557" s="118"/>
      <c r="B60557" s="136"/>
    </row>
    <row r="60558" spans="1:2" x14ac:dyDescent="0.25">
      <c r="A60558" s="118"/>
      <c r="B60558" s="136"/>
    </row>
    <row r="60559" spans="1:2" x14ac:dyDescent="0.25">
      <c r="A60559" s="118"/>
      <c r="B60559" s="136"/>
    </row>
    <row r="60560" spans="1:2" x14ac:dyDescent="0.25">
      <c r="A60560" s="118"/>
      <c r="B60560" s="136"/>
    </row>
    <row r="60561" spans="1:2" x14ac:dyDescent="0.25">
      <c r="A60561" s="118"/>
      <c r="B60561" s="136"/>
    </row>
    <row r="60562" spans="1:2" x14ac:dyDescent="0.25">
      <c r="A60562" s="118"/>
      <c r="B60562" s="136"/>
    </row>
    <row r="60563" spans="1:2" x14ac:dyDescent="0.25">
      <c r="A60563" s="118"/>
      <c r="B60563" s="136"/>
    </row>
    <row r="60564" spans="1:2" x14ac:dyDescent="0.25">
      <c r="A60564" s="118"/>
      <c r="B60564" s="136"/>
    </row>
    <row r="60565" spans="1:2" x14ac:dyDescent="0.25">
      <c r="A60565" s="118"/>
      <c r="B60565" s="136"/>
    </row>
    <row r="60566" spans="1:2" x14ac:dyDescent="0.25">
      <c r="A60566" s="118"/>
      <c r="B60566" s="136"/>
    </row>
    <row r="60567" spans="1:2" x14ac:dyDescent="0.25">
      <c r="A60567" s="118"/>
      <c r="B60567" s="136"/>
    </row>
    <row r="60568" spans="1:2" x14ac:dyDescent="0.25">
      <c r="A60568" s="118"/>
      <c r="B60568" s="136"/>
    </row>
    <row r="60569" spans="1:2" x14ac:dyDescent="0.25">
      <c r="A60569" s="118"/>
      <c r="B60569" s="136"/>
    </row>
    <row r="60570" spans="1:2" x14ac:dyDescent="0.25">
      <c r="A60570" s="118"/>
      <c r="B60570" s="136"/>
    </row>
    <row r="60571" spans="1:2" x14ac:dyDescent="0.25">
      <c r="A60571" s="118"/>
      <c r="B60571" s="136"/>
    </row>
    <row r="60572" spans="1:2" x14ac:dyDescent="0.25">
      <c r="A60572" s="118"/>
      <c r="B60572" s="136"/>
    </row>
    <row r="60573" spans="1:2" x14ac:dyDescent="0.25">
      <c r="A60573" s="118"/>
      <c r="B60573" s="136"/>
    </row>
    <row r="60574" spans="1:2" x14ac:dyDescent="0.25">
      <c r="A60574" s="118"/>
      <c r="B60574" s="136"/>
    </row>
    <row r="60575" spans="1:2" x14ac:dyDescent="0.25">
      <c r="A60575" s="118"/>
      <c r="B60575" s="136"/>
    </row>
    <row r="60576" spans="1:2" x14ac:dyDescent="0.25">
      <c r="A60576" s="118"/>
      <c r="B60576" s="136"/>
    </row>
    <row r="60577" spans="1:2" x14ac:dyDescent="0.25">
      <c r="A60577" s="118"/>
      <c r="B60577" s="136"/>
    </row>
    <row r="60578" spans="1:2" x14ac:dyDescent="0.25">
      <c r="A60578" s="118"/>
      <c r="B60578" s="136"/>
    </row>
    <row r="60579" spans="1:2" x14ac:dyDescent="0.25">
      <c r="A60579" s="118"/>
      <c r="B60579" s="136"/>
    </row>
    <row r="60580" spans="1:2" x14ac:dyDescent="0.25">
      <c r="A60580" s="118"/>
      <c r="B60580" s="136"/>
    </row>
    <row r="60581" spans="1:2" x14ac:dyDescent="0.25">
      <c r="A60581" s="118"/>
      <c r="B60581" s="136"/>
    </row>
    <row r="60582" spans="1:2" x14ac:dyDescent="0.25">
      <c r="A60582" s="118"/>
      <c r="B60582" s="136"/>
    </row>
    <row r="60583" spans="1:2" x14ac:dyDescent="0.25">
      <c r="A60583" s="118"/>
      <c r="B60583" s="136"/>
    </row>
    <row r="60584" spans="1:2" x14ac:dyDescent="0.25">
      <c r="A60584" s="118"/>
      <c r="B60584" s="136"/>
    </row>
    <row r="60585" spans="1:2" x14ac:dyDescent="0.25">
      <c r="A60585" s="118"/>
      <c r="B60585" s="136"/>
    </row>
    <row r="60586" spans="1:2" x14ac:dyDescent="0.25">
      <c r="A60586" s="118"/>
      <c r="B60586" s="136"/>
    </row>
    <row r="60587" spans="1:2" x14ac:dyDescent="0.25">
      <c r="A60587" s="118"/>
      <c r="B60587" s="136"/>
    </row>
    <row r="60588" spans="1:2" x14ac:dyDescent="0.25">
      <c r="A60588" s="118"/>
      <c r="B60588" s="136"/>
    </row>
    <row r="60589" spans="1:2" x14ac:dyDescent="0.25">
      <c r="A60589" s="118"/>
      <c r="B60589" s="136"/>
    </row>
    <row r="60590" spans="1:2" x14ac:dyDescent="0.25">
      <c r="A60590" s="118"/>
      <c r="B60590" s="136"/>
    </row>
    <row r="60591" spans="1:2" x14ac:dyDescent="0.25">
      <c r="A60591" s="118"/>
      <c r="B60591" s="136"/>
    </row>
    <row r="60592" spans="1:2" x14ac:dyDescent="0.25">
      <c r="A60592" s="118"/>
      <c r="B60592" s="136"/>
    </row>
    <row r="60593" spans="1:2" x14ac:dyDescent="0.25">
      <c r="A60593" s="118"/>
      <c r="B60593" s="136"/>
    </row>
    <row r="60594" spans="1:2" x14ac:dyDescent="0.25">
      <c r="A60594" s="118"/>
      <c r="B60594" s="136"/>
    </row>
    <row r="60595" spans="1:2" x14ac:dyDescent="0.25">
      <c r="A60595" s="118"/>
      <c r="B60595" s="136"/>
    </row>
    <row r="60596" spans="1:2" x14ac:dyDescent="0.25">
      <c r="A60596" s="118"/>
      <c r="B60596" s="136"/>
    </row>
    <row r="60597" spans="1:2" x14ac:dyDescent="0.25">
      <c r="A60597" s="118"/>
      <c r="B60597" s="136"/>
    </row>
    <row r="60598" spans="1:2" x14ac:dyDescent="0.25">
      <c r="A60598" s="118"/>
      <c r="B60598" s="136"/>
    </row>
    <row r="60599" spans="1:2" x14ac:dyDescent="0.25">
      <c r="A60599" s="118"/>
      <c r="B60599" s="136"/>
    </row>
    <row r="60600" spans="1:2" x14ac:dyDescent="0.25">
      <c r="A60600" s="118"/>
      <c r="B60600" s="136"/>
    </row>
    <row r="60601" spans="1:2" x14ac:dyDescent="0.25">
      <c r="A60601" s="118"/>
      <c r="B60601" s="136"/>
    </row>
    <row r="60602" spans="1:2" x14ac:dyDescent="0.25">
      <c r="A60602" s="118"/>
      <c r="B60602" s="136"/>
    </row>
    <row r="60603" spans="1:2" x14ac:dyDescent="0.25">
      <c r="A60603" s="118"/>
      <c r="B60603" s="136"/>
    </row>
    <row r="60604" spans="1:2" x14ac:dyDescent="0.25">
      <c r="A60604" s="118"/>
      <c r="B60604" s="136"/>
    </row>
    <row r="60605" spans="1:2" x14ac:dyDescent="0.25">
      <c r="A60605" s="118"/>
      <c r="B60605" s="136"/>
    </row>
    <row r="60606" spans="1:2" x14ac:dyDescent="0.25">
      <c r="A60606" s="118"/>
      <c r="B60606" s="136"/>
    </row>
    <row r="60607" spans="1:2" x14ac:dyDescent="0.25">
      <c r="A60607" s="118"/>
      <c r="B60607" s="136"/>
    </row>
    <row r="60608" spans="1:2" x14ac:dyDescent="0.25">
      <c r="A60608" s="118"/>
      <c r="B60608" s="136"/>
    </row>
    <row r="60609" spans="1:2" x14ac:dyDescent="0.25">
      <c r="A60609" s="118"/>
      <c r="B60609" s="136"/>
    </row>
    <row r="60610" spans="1:2" x14ac:dyDescent="0.25">
      <c r="A60610" s="118"/>
      <c r="B60610" s="136"/>
    </row>
    <row r="60611" spans="1:2" x14ac:dyDescent="0.25">
      <c r="A60611" s="118"/>
      <c r="B60611" s="136"/>
    </row>
    <row r="60612" spans="1:2" x14ac:dyDescent="0.25">
      <c r="A60612" s="118"/>
      <c r="B60612" s="136"/>
    </row>
    <row r="60613" spans="1:2" x14ac:dyDescent="0.25">
      <c r="A60613" s="118"/>
      <c r="B60613" s="136"/>
    </row>
    <row r="60614" spans="1:2" x14ac:dyDescent="0.25">
      <c r="A60614" s="118"/>
      <c r="B60614" s="136"/>
    </row>
    <row r="60615" spans="1:2" x14ac:dyDescent="0.25">
      <c r="A60615" s="118"/>
      <c r="B60615" s="136"/>
    </row>
    <row r="60616" spans="1:2" x14ac:dyDescent="0.25">
      <c r="A60616" s="118"/>
      <c r="B60616" s="136"/>
    </row>
    <row r="60617" spans="1:2" x14ac:dyDescent="0.25">
      <c r="A60617" s="118"/>
      <c r="B60617" s="136"/>
    </row>
    <row r="60618" spans="1:2" x14ac:dyDescent="0.25">
      <c r="A60618" s="118"/>
      <c r="B60618" s="136"/>
    </row>
    <row r="60619" spans="1:2" x14ac:dyDescent="0.25">
      <c r="A60619" s="118"/>
      <c r="B60619" s="136"/>
    </row>
    <row r="60620" spans="1:2" x14ac:dyDescent="0.25">
      <c r="A60620" s="118"/>
      <c r="B60620" s="136"/>
    </row>
    <row r="60621" spans="1:2" x14ac:dyDescent="0.25">
      <c r="A60621" s="118"/>
      <c r="B60621" s="136"/>
    </row>
    <row r="60622" spans="1:2" x14ac:dyDescent="0.25">
      <c r="A60622" s="118"/>
      <c r="B60622" s="136"/>
    </row>
    <row r="60623" spans="1:2" x14ac:dyDescent="0.25">
      <c r="A60623" s="118"/>
      <c r="B60623" s="136"/>
    </row>
    <row r="60624" spans="1:2" x14ac:dyDescent="0.25">
      <c r="A60624" s="118"/>
      <c r="B60624" s="136"/>
    </row>
    <row r="60625" spans="1:2" x14ac:dyDescent="0.25">
      <c r="A60625" s="118"/>
      <c r="B60625" s="136"/>
    </row>
    <row r="60626" spans="1:2" x14ac:dyDescent="0.25">
      <c r="A60626" s="118"/>
      <c r="B60626" s="136"/>
    </row>
    <row r="60627" spans="1:2" x14ac:dyDescent="0.25">
      <c r="A60627" s="118"/>
      <c r="B60627" s="136"/>
    </row>
    <row r="60628" spans="1:2" x14ac:dyDescent="0.25">
      <c r="A60628" s="118"/>
      <c r="B60628" s="136"/>
    </row>
    <row r="60629" spans="1:2" x14ac:dyDescent="0.25">
      <c r="A60629" s="118"/>
      <c r="B60629" s="136"/>
    </row>
    <row r="60630" spans="1:2" x14ac:dyDescent="0.25">
      <c r="A60630" s="118"/>
      <c r="B60630" s="136"/>
    </row>
    <row r="60631" spans="1:2" x14ac:dyDescent="0.25">
      <c r="A60631" s="118"/>
      <c r="B60631" s="136"/>
    </row>
    <row r="60632" spans="1:2" x14ac:dyDescent="0.25">
      <c r="A60632" s="118"/>
      <c r="B60632" s="136"/>
    </row>
    <row r="60633" spans="1:2" x14ac:dyDescent="0.25">
      <c r="A60633" s="118"/>
      <c r="B60633" s="136"/>
    </row>
    <row r="60634" spans="1:2" x14ac:dyDescent="0.25">
      <c r="A60634" s="118"/>
      <c r="B60634" s="136"/>
    </row>
    <row r="60635" spans="1:2" x14ac:dyDescent="0.25">
      <c r="A60635" s="118"/>
      <c r="B60635" s="136"/>
    </row>
    <row r="60636" spans="1:2" x14ac:dyDescent="0.25">
      <c r="A60636" s="118"/>
      <c r="B60636" s="136"/>
    </row>
    <row r="60637" spans="1:2" x14ac:dyDescent="0.25">
      <c r="A60637" s="118"/>
      <c r="B60637" s="136"/>
    </row>
    <row r="60638" spans="1:2" x14ac:dyDescent="0.25">
      <c r="A60638" s="118"/>
      <c r="B60638" s="136"/>
    </row>
    <row r="60639" spans="1:2" x14ac:dyDescent="0.25">
      <c r="A60639" s="118"/>
      <c r="B60639" s="136"/>
    </row>
    <row r="60640" spans="1:2" x14ac:dyDescent="0.25">
      <c r="A60640" s="118"/>
      <c r="B60640" s="136"/>
    </row>
    <row r="60641" spans="1:2" x14ac:dyDescent="0.25">
      <c r="A60641" s="118"/>
      <c r="B60641" s="136"/>
    </row>
    <row r="60642" spans="1:2" x14ac:dyDescent="0.25">
      <c r="A60642" s="118"/>
      <c r="B60642" s="136"/>
    </row>
    <row r="60643" spans="1:2" x14ac:dyDescent="0.25">
      <c r="A60643" s="118"/>
      <c r="B60643" s="136"/>
    </row>
    <row r="60644" spans="1:2" x14ac:dyDescent="0.25">
      <c r="A60644" s="118"/>
      <c r="B60644" s="136"/>
    </row>
    <row r="60645" spans="1:2" x14ac:dyDescent="0.25">
      <c r="A60645" s="118"/>
      <c r="B60645" s="136"/>
    </row>
    <row r="60646" spans="1:2" x14ac:dyDescent="0.25">
      <c r="A60646" s="118"/>
      <c r="B60646" s="136"/>
    </row>
    <row r="60647" spans="1:2" x14ac:dyDescent="0.25">
      <c r="A60647" s="118"/>
      <c r="B60647" s="136"/>
    </row>
    <row r="60648" spans="1:2" x14ac:dyDescent="0.25">
      <c r="A60648" s="118"/>
      <c r="B60648" s="136"/>
    </row>
    <row r="60649" spans="1:2" x14ac:dyDescent="0.25">
      <c r="A60649" s="118"/>
      <c r="B60649" s="136"/>
    </row>
    <row r="60650" spans="1:2" x14ac:dyDescent="0.25">
      <c r="A60650" s="118"/>
      <c r="B60650" s="136"/>
    </row>
    <row r="60651" spans="1:2" x14ac:dyDescent="0.25">
      <c r="A60651" s="118"/>
      <c r="B60651" s="136"/>
    </row>
    <row r="60652" spans="1:2" x14ac:dyDescent="0.25">
      <c r="A60652" s="118"/>
      <c r="B60652" s="136"/>
    </row>
    <row r="60653" spans="1:2" x14ac:dyDescent="0.25">
      <c r="A60653" s="118"/>
      <c r="B60653" s="136"/>
    </row>
    <row r="60654" spans="1:2" x14ac:dyDescent="0.25">
      <c r="A60654" s="118"/>
      <c r="B60654" s="136"/>
    </row>
    <row r="60655" spans="1:2" x14ac:dyDescent="0.25">
      <c r="A60655" s="118"/>
      <c r="B60655" s="136"/>
    </row>
    <row r="60656" spans="1:2" x14ac:dyDescent="0.25">
      <c r="A60656" s="118"/>
      <c r="B60656" s="136"/>
    </row>
    <row r="60657" spans="1:2" x14ac:dyDescent="0.25">
      <c r="A60657" s="118"/>
      <c r="B60657" s="136"/>
    </row>
    <row r="60658" spans="1:2" x14ac:dyDescent="0.25">
      <c r="A60658" s="118"/>
      <c r="B60658" s="136"/>
    </row>
    <row r="60659" spans="1:2" x14ac:dyDescent="0.25">
      <c r="A60659" s="118"/>
      <c r="B60659" s="136"/>
    </row>
    <row r="60660" spans="1:2" x14ac:dyDescent="0.25">
      <c r="A60660" s="118"/>
      <c r="B60660" s="136"/>
    </row>
    <row r="60661" spans="1:2" x14ac:dyDescent="0.25">
      <c r="A60661" s="118"/>
      <c r="B60661" s="136"/>
    </row>
    <row r="60662" spans="1:2" x14ac:dyDescent="0.25">
      <c r="A60662" s="118"/>
      <c r="B60662" s="136"/>
    </row>
    <row r="60663" spans="1:2" x14ac:dyDescent="0.25">
      <c r="A60663" s="118"/>
      <c r="B60663" s="136"/>
    </row>
    <row r="60664" spans="1:2" x14ac:dyDescent="0.25">
      <c r="A60664" s="118"/>
      <c r="B60664" s="136"/>
    </row>
    <row r="60665" spans="1:2" x14ac:dyDescent="0.25">
      <c r="A60665" s="118"/>
      <c r="B60665" s="136"/>
    </row>
    <row r="60666" spans="1:2" x14ac:dyDescent="0.25">
      <c r="A60666" s="118"/>
      <c r="B60666" s="136"/>
    </row>
    <row r="60667" spans="1:2" x14ac:dyDescent="0.25">
      <c r="A60667" s="118"/>
      <c r="B60667" s="136"/>
    </row>
    <row r="60668" spans="1:2" x14ac:dyDescent="0.25">
      <c r="A60668" s="118"/>
      <c r="B60668" s="136"/>
    </row>
    <row r="60669" spans="1:2" x14ac:dyDescent="0.25">
      <c r="A60669" s="118"/>
      <c r="B60669" s="136"/>
    </row>
    <row r="60670" spans="1:2" x14ac:dyDescent="0.25">
      <c r="A60670" s="118"/>
      <c r="B60670" s="136"/>
    </row>
    <row r="60671" spans="1:2" x14ac:dyDescent="0.25">
      <c r="A60671" s="118"/>
      <c r="B60671" s="136"/>
    </row>
    <row r="60672" spans="1:2" x14ac:dyDescent="0.25">
      <c r="A60672" s="118"/>
      <c r="B60672" s="136"/>
    </row>
    <row r="60673" spans="1:2" x14ac:dyDescent="0.25">
      <c r="A60673" s="118"/>
      <c r="B60673" s="136"/>
    </row>
    <row r="60674" spans="1:2" x14ac:dyDescent="0.25">
      <c r="A60674" s="118"/>
      <c r="B60674" s="136"/>
    </row>
    <row r="60675" spans="1:2" x14ac:dyDescent="0.25">
      <c r="A60675" s="118"/>
      <c r="B60675" s="136"/>
    </row>
    <row r="60676" spans="1:2" x14ac:dyDescent="0.25">
      <c r="A60676" s="118"/>
      <c r="B60676" s="136"/>
    </row>
    <row r="60677" spans="1:2" x14ac:dyDescent="0.25">
      <c r="A60677" s="118"/>
      <c r="B60677" s="136"/>
    </row>
    <row r="60678" spans="1:2" x14ac:dyDescent="0.25">
      <c r="A60678" s="118"/>
      <c r="B60678" s="136"/>
    </row>
    <row r="60679" spans="1:2" x14ac:dyDescent="0.25">
      <c r="A60679" s="118"/>
      <c r="B60679" s="136"/>
    </row>
    <row r="60680" spans="1:2" x14ac:dyDescent="0.25">
      <c r="A60680" s="118"/>
      <c r="B60680" s="136"/>
    </row>
    <row r="60681" spans="1:2" x14ac:dyDescent="0.25">
      <c r="A60681" s="118"/>
      <c r="B60681" s="136"/>
    </row>
    <row r="60682" spans="1:2" x14ac:dyDescent="0.25">
      <c r="A60682" s="118"/>
      <c r="B60682" s="136"/>
    </row>
    <row r="60683" spans="1:2" x14ac:dyDescent="0.25">
      <c r="A60683" s="118"/>
      <c r="B60683" s="136"/>
    </row>
    <row r="60684" spans="1:2" x14ac:dyDescent="0.25">
      <c r="A60684" s="118"/>
      <c r="B60684" s="136"/>
    </row>
    <row r="60685" spans="1:2" x14ac:dyDescent="0.25">
      <c r="A60685" s="118"/>
      <c r="B60685" s="136"/>
    </row>
    <row r="60686" spans="1:2" x14ac:dyDescent="0.25">
      <c r="A60686" s="118"/>
      <c r="B60686" s="136"/>
    </row>
    <row r="60687" spans="1:2" x14ac:dyDescent="0.25">
      <c r="A60687" s="118"/>
      <c r="B60687" s="136"/>
    </row>
    <row r="60688" spans="1:2" x14ac:dyDescent="0.25">
      <c r="A60688" s="118"/>
      <c r="B60688" s="136"/>
    </row>
    <row r="60689" spans="1:2" x14ac:dyDescent="0.25">
      <c r="A60689" s="118"/>
      <c r="B60689" s="136"/>
    </row>
    <row r="60690" spans="1:2" x14ac:dyDescent="0.25">
      <c r="A60690" s="118"/>
      <c r="B60690" s="136"/>
    </row>
    <row r="60691" spans="1:2" x14ac:dyDescent="0.25">
      <c r="A60691" s="118"/>
      <c r="B60691" s="136"/>
    </row>
    <row r="60692" spans="1:2" x14ac:dyDescent="0.25">
      <c r="A60692" s="118"/>
      <c r="B60692" s="136"/>
    </row>
    <row r="60693" spans="1:2" x14ac:dyDescent="0.25">
      <c r="A60693" s="118"/>
      <c r="B60693" s="136"/>
    </row>
    <row r="60694" spans="1:2" x14ac:dyDescent="0.25">
      <c r="A60694" s="118"/>
      <c r="B60694" s="136"/>
    </row>
    <row r="60695" spans="1:2" x14ac:dyDescent="0.25">
      <c r="A60695" s="118"/>
      <c r="B60695" s="136"/>
    </row>
    <row r="60696" spans="1:2" x14ac:dyDescent="0.25">
      <c r="A60696" s="118"/>
      <c r="B60696" s="136"/>
    </row>
    <row r="60697" spans="1:2" x14ac:dyDescent="0.25">
      <c r="A60697" s="118"/>
      <c r="B60697" s="136"/>
    </row>
    <row r="60698" spans="1:2" x14ac:dyDescent="0.25">
      <c r="A60698" s="118"/>
      <c r="B60698" s="136"/>
    </row>
    <row r="60699" spans="1:2" x14ac:dyDescent="0.25">
      <c r="A60699" s="118"/>
      <c r="B60699" s="136"/>
    </row>
    <row r="60700" spans="1:2" x14ac:dyDescent="0.25">
      <c r="A60700" s="118"/>
      <c r="B60700" s="136"/>
    </row>
    <row r="60701" spans="1:2" x14ac:dyDescent="0.25">
      <c r="A60701" s="118"/>
      <c r="B60701" s="136"/>
    </row>
    <row r="60702" spans="1:2" x14ac:dyDescent="0.25">
      <c r="A60702" s="118"/>
      <c r="B60702" s="136"/>
    </row>
    <row r="60703" spans="1:2" x14ac:dyDescent="0.25">
      <c r="A60703" s="118"/>
      <c r="B60703" s="136"/>
    </row>
    <row r="60704" spans="1:2" x14ac:dyDescent="0.25">
      <c r="A60704" s="118"/>
      <c r="B60704" s="136"/>
    </row>
    <row r="60705" spans="1:2" x14ac:dyDescent="0.25">
      <c r="A60705" s="118"/>
      <c r="B60705" s="136"/>
    </row>
    <row r="60706" spans="1:2" x14ac:dyDescent="0.25">
      <c r="A60706" s="118"/>
      <c r="B60706" s="136"/>
    </row>
    <row r="60707" spans="1:2" x14ac:dyDescent="0.25">
      <c r="A60707" s="118"/>
      <c r="B60707" s="136"/>
    </row>
    <row r="60708" spans="1:2" x14ac:dyDescent="0.25">
      <c r="A60708" s="118"/>
      <c r="B60708" s="136"/>
    </row>
    <row r="60709" spans="1:2" x14ac:dyDescent="0.25">
      <c r="A60709" s="118"/>
      <c r="B60709" s="136"/>
    </row>
    <row r="60710" spans="1:2" x14ac:dyDescent="0.25">
      <c r="A60710" s="118"/>
      <c r="B60710" s="136"/>
    </row>
    <row r="60711" spans="1:2" x14ac:dyDescent="0.25">
      <c r="A60711" s="118"/>
      <c r="B60711" s="136"/>
    </row>
    <row r="60712" spans="1:2" x14ac:dyDescent="0.25">
      <c r="A60712" s="118"/>
      <c r="B60712" s="136"/>
    </row>
    <row r="60713" spans="1:2" x14ac:dyDescent="0.25">
      <c r="A60713" s="118"/>
      <c r="B60713" s="136"/>
    </row>
    <row r="60714" spans="1:2" x14ac:dyDescent="0.25">
      <c r="A60714" s="118"/>
      <c r="B60714" s="136"/>
    </row>
    <row r="60715" spans="1:2" x14ac:dyDescent="0.25">
      <c r="A60715" s="118"/>
      <c r="B60715" s="136"/>
    </row>
    <row r="60716" spans="1:2" x14ac:dyDescent="0.25">
      <c r="A60716" s="118"/>
      <c r="B60716" s="136"/>
    </row>
    <row r="60717" spans="1:2" x14ac:dyDescent="0.25">
      <c r="A60717" s="118"/>
      <c r="B60717" s="136"/>
    </row>
    <row r="60718" spans="1:2" x14ac:dyDescent="0.25">
      <c r="A60718" s="118"/>
      <c r="B60718" s="136"/>
    </row>
    <row r="60719" spans="1:2" x14ac:dyDescent="0.25">
      <c r="A60719" s="118"/>
      <c r="B60719" s="136"/>
    </row>
    <row r="60720" spans="1:2" x14ac:dyDescent="0.25">
      <c r="A60720" s="118"/>
      <c r="B60720" s="136"/>
    </row>
    <row r="60721" spans="1:2" x14ac:dyDescent="0.25">
      <c r="A60721" s="118"/>
      <c r="B60721" s="136"/>
    </row>
    <row r="60722" spans="1:2" x14ac:dyDescent="0.25">
      <c r="A60722" s="118"/>
      <c r="B60722" s="136"/>
    </row>
    <row r="60723" spans="1:2" x14ac:dyDescent="0.25">
      <c r="A60723" s="118"/>
      <c r="B60723" s="136"/>
    </row>
    <row r="60724" spans="1:2" x14ac:dyDescent="0.25">
      <c r="A60724" s="118"/>
      <c r="B60724" s="136"/>
    </row>
    <row r="60725" spans="1:2" x14ac:dyDescent="0.25">
      <c r="A60725" s="118"/>
      <c r="B60725" s="136"/>
    </row>
    <row r="60726" spans="1:2" x14ac:dyDescent="0.25">
      <c r="A60726" s="118"/>
      <c r="B60726" s="136"/>
    </row>
    <row r="60727" spans="1:2" x14ac:dyDescent="0.25">
      <c r="A60727" s="118"/>
      <c r="B60727" s="136"/>
    </row>
    <row r="60728" spans="1:2" x14ac:dyDescent="0.25">
      <c r="A60728" s="118"/>
      <c r="B60728" s="136"/>
    </row>
    <row r="60729" spans="1:2" x14ac:dyDescent="0.25">
      <c r="A60729" s="118"/>
      <c r="B60729" s="136"/>
    </row>
    <row r="60730" spans="1:2" x14ac:dyDescent="0.25">
      <c r="A60730" s="118"/>
      <c r="B60730" s="136"/>
    </row>
    <row r="60731" spans="1:2" x14ac:dyDescent="0.25">
      <c r="A60731" s="118"/>
      <c r="B60731" s="136"/>
    </row>
    <row r="60732" spans="1:2" x14ac:dyDescent="0.25">
      <c r="A60732" s="118"/>
      <c r="B60732" s="136"/>
    </row>
    <row r="60733" spans="1:2" x14ac:dyDescent="0.25">
      <c r="A60733" s="118"/>
      <c r="B60733" s="136"/>
    </row>
    <row r="60734" spans="1:2" x14ac:dyDescent="0.25">
      <c r="A60734" s="118"/>
      <c r="B60734" s="136"/>
    </row>
    <row r="60735" spans="1:2" x14ac:dyDescent="0.25">
      <c r="A60735" s="118"/>
      <c r="B60735" s="136"/>
    </row>
    <row r="60736" spans="1:2" x14ac:dyDescent="0.25">
      <c r="A60736" s="118"/>
      <c r="B60736" s="136"/>
    </row>
    <row r="60737" spans="1:2" x14ac:dyDescent="0.25">
      <c r="A60737" s="118"/>
      <c r="B60737" s="136"/>
    </row>
    <row r="60738" spans="1:2" x14ac:dyDescent="0.25">
      <c r="A60738" s="118"/>
      <c r="B60738" s="136"/>
    </row>
    <row r="60739" spans="1:2" x14ac:dyDescent="0.25">
      <c r="A60739" s="118"/>
      <c r="B60739" s="136"/>
    </row>
    <row r="60740" spans="1:2" x14ac:dyDescent="0.25">
      <c r="A60740" s="118"/>
      <c r="B60740" s="136"/>
    </row>
    <row r="60741" spans="1:2" x14ac:dyDescent="0.25">
      <c r="A60741" s="118"/>
      <c r="B60741" s="136"/>
    </row>
    <row r="60742" spans="1:2" x14ac:dyDescent="0.25">
      <c r="A60742" s="118"/>
      <c r="B60742" s="136"/>
    </row>
    <row r="60743" spans="1:2" x14ac:dyDescent="0.25">
      <c r="A60743" s="118"/>
      <c r="B60743" s="136"/>
    </row>
    <row r="60744" spans="1:2" x14ac:dyDescent="0.25">
      <c r="A60744" s="118"/>
      <c r="B60744" s="136"/>
    </row>
    <row r="60745" spans="1:2" x14ac:dyDescent="0.25">
      <c r="A60745" s="118"/>
      <c r="B60745" s="136"/>
    </row>
    <row r="60746" spans="1:2" x14ac:dyDescent="0.25">
      <c r="A60746" s="118"/>
      <c r="B60746" s="136"/>
    </row>
    <row r="60747" spans="1:2" x14ac:dyDescent="0.25">
      <c r="A60747" s="118"/>
      <c r="B60747" s="136"/>
    </row>
    <row r="60748" spans="1:2" x14ac:dyDescent="0.25">
      <c r="A60748" s="118"/>
      <c r="B60748" s="136"/>
    </row>
    <row r="60749" spans="1:2" x14ac:dyDescent="0.25">
      <c r="A60749" s="118"/>
      <c r="B60749" s="136"/>
    </row>
    <row r="60750" spans="1:2" x14ac:dyDescent="0.25">
      <c r="A60750" s="118"/>
      <c r="B60750" s="136"/>
    </row>
    <row r="60751" spans="1:2" x14ac:dyDescent="0.25">
      <c r="A60751" s="118"/>
      <c r="B60751" s="136"/>
    </row>
    <row r="60752" spans="1:2" x14ac:dyDescent="0.25">
      <c r="A60752" s="118"/>
      <c r="B60752" s="136"/>
    </row>
    <row r="60753" spans="1:2" x14ac:dyDescent="0.25">
      <c r="A60753" s="118"/>
      <c r="B60753" s="136"/>
    </row>
    <row r="60754" spans="1:2" x14ac:dyDescent="0.25">
      <c r="A60754" s="118"/>
      <c r="B60754" s="136"/>
    </row>
    <row r="60755" spans="1:2" x14ac:dyDescent="0.25">
      <c r="A60755" s="118"/>
      <c r="B60755" s="136"/>
    </row>
    <row r="60756" spans="1:2" x14ac:dyDescent="0.25">
      <c r="A60756" s="118"/>
      <c r="B60756" s="136"/>
    </row>
    <row r="60757" spans="1:2" x14ac:dyDescent="0.25">
      <c r="A60757" s="118"/>
      <c r="B60757" s="136"/>
    </row>
    <row r="60758" spans="1:2" x14ac:dyDescent="0.25">
      <c r="A60758" s="118"/>
      <c r="B60758" s="136"/>
    </row>
    <row r="60759" spans="1:2" x14ac:dyDescent="0.25">
      <c r="A60759" s="118"/>
      <c r="B60759" s="136"/>
    </row>
    <row r="60760" spans="1:2" x14ac:dyDescent="0.25">
      <c r="A60760" s="118"/>
      <c r="B60760" s="136"/>
    </row>
    <row r="60761" spans="1:2" x14ac:dyDescent="0.25">
      <c r="A60761" s="118"/>
      <c r="B60761" s="136"/>
    </row>
    <row r="60762" spans="1:2" x14ac:dyDescent="0.25">
      <c r="A60762" s="118"/>
      <c r="B60762" s="136"/>
    </row>
    <row r="60763" spans="1:2" x14ac:dyDescent="0.25">
      <c r="A60763" s="118"/>
      <c r="B60763" s="136"/>
    </row>
    <row r="60764" spans="1:2" x14ac:dyDescent="0.25">
      <c r="A60764" s="118"/>
      <c r="B60764" s="136"/>
    </row>
    <row r="60765" spans="1:2" x14ac:dyDescent="0.25">
      <c r="A60765" s="118"/>
      <c r="B60765" s="136"/>
    </row>
    <row r="60766" spans="1:2" x14ac:dyDescent="0.25">
      <c r="A60766" s="118"/>
      <c r="B60766" s="136"/>
    </row>
    <row r="60767" spans="1:2" x14ac:dyDescent="0.25">
      <c r="A60767" s="118"/>
      <c r="B60767" s="136"/>
    </row>
    <row r="60768" spans="1:2" x14ac:dyDescent="0.25">
      <c r="A60768" s="118"/>
      <c r="B60768" s="136"/>
    </row>
    <row r="60769" spans="1:2" x14ac:dyDescent="0.25">
      <c r="A60769" s="118"/>
      <c r="B60769" s="136"/>
    </row>
    <row r="60770" spans="1:2" x14ac:dyDescent="0.25">
      <c r="A60770" s="118"/>
      <c r="B60770" s="136"/>
    </row>
    <row r="60771" spans="1:2" x14ac:dyDescent="0.25">
      <c r="A60771" s="118"/>
      <c r="B60771" s="136"/>
    </row>
    <row r="60772" spans="1:2" x14ac:dyDescent="0.25">
      <c r="A60772" s="118"/>
      <c r="B60772" s="136"/>
    </row>
    <row r="60773" spans="1:2" x14ac:dyDescent="0.25">
      <c r="A60773" s="118"/>
      <c r="B60773" s="136"/>
    </row>
    <row r="60774" spans="1:2" x14ac:dyDescent="0.25">
      <c r="A60774" s="118"/>
      <c r="B60774" s="136"/>
    </row>
    <row r="60775" spans="1:2" x14ac:dyDescent="0.25">
      <c r="A60775" s="118"/>
      <c r="B60775" s="136"/>
    </row>
    <row r="60776" spans="1:2" x14ac:dyDescent="0.25">
      <c r="A60776" s="118"/>
      <c r="B60776" s="136"/>
    </row>
    <row r="60777" spans="1:2" x14ac:dyDescent="0.25">
      <c r="A60777" s="118"/>
      <c r="B60777" s="136"/>
    </row>
    <row r="60778" spans="1:2" x14ac:dyDescent="0.25">
      <c r="A60778" s="118"/>
      <c r="B60778" s="136"/>
    </row>
    <row r="60779" spans="1:2" x14ac:dyDescent="0.25">
      <c r="A60779" s="118"/>
      <c r="B60779" s="136"/>
    </row>
    <row r="60780" spans="1:2" x14ac:dyDescent="0.25">
      <c r="A60780" s="118"/>
      <c r="B60780" s="136"/>
    </row>
    <row r="60781" spans="1:2" x14ac:dyDescent="0.25">
      <c r="A60781" s="118"/>
      <c r="B60781" s="136"/>
    </row>
    <row r="60782" spans="1:2" x14ac:dyDescent="0.25">
      <c r="A60782" s="118"/>
      <c r="B60782" s="136"/>
    </row>
    <row r="60783" spans="1:2" x14ac:dyDescent="0.25">
      <c r="A60783" s="118"/>
      <c r="B60783" s="136"/>
    </row>
    <row r="60784" spans="1:2" x14ac:dyDescent="0.25">
      <c r="A60784" s="118"/>
      <c r="B60784" s="136"/>
    </row>
    <row r="60785" spans="1:2" x14ac:dyDescent="0.25">
      <c r="A60785" s="118"/>
      <c r="B60785" s="136"/>
    </row>
    <row r="60786" spans="1:2" x14ac:dyDescent="0.25">
      <c r="A60786" s="118"/>
      <c r="B60786" s="136"/>
    </row>
    <row r="60787" spans="1:2" x14ac:dyDescent="0.25">
      <c r="A60787" s="118"/>
      <c r="B60787" s="136"/>
    </row>
    <row r="60788" spans="1:2" x14ac:dyDescent="0.25">
      <c r="A60788" s="118"/>
      <c r="B60788" s="136"/>
    </row>
    <row r="60789" spans="1:2" x14ac:dyDescent="0.25">
      <c r="A60789" s="118"/>
      <c r="B60789" s="136"/>
    </row>
    <row r="60790" spans="1:2" x14ac:dyDescent="0.25">
      <c r="A60790" s="118"/>
      <c r="B60790" s="136"/>
    </row>
    <row r="60791" spans="1:2" x14ac:dyDescent="0.25">
      <c r="A60791" s="118"/>
      <c r="B60791" s="136"/>
    </row>
    <row r="60792" spans="1:2" x14ac:dyDescent="0.25">
      <c r="A60792" s="118"/>
      <c r="B60792" s="136"/>
    </row>
    <row r="60793" spans="1:2" x14ac:dyDescent="0.25">
      <c r="A60793" s="118"/>
      <c r="B60793" s="136"/>
    </row>
    <row r="60794" spans="1:2" x14ac:dyDescent="0.25">
      <c r="A60794" s="118"/>
      <c r="B60794" s="136"/>
    </row>
    <row r="60795" spans="1:2" x14ac:dyDescent="0.25">
      <c r="A60795" s="118"/>
      <c r="B60795" s="136"/>
    </row>
    <row r="60796" spans="1:2" x14ac:dyDescent="0.25">
      <c r="A60796" s="118"/>
      <c r="B60796" s="136"/>
    </row>
    <row r="60797" spans="1:2" x14ac:dyDescent="0.25">
      <c r="A60797" s="118"/>
      <c r="B60797" s="136"/>
    </row>
    <row r="60798" spans="1:2" x14ac:dyDescent="0.25">
      <c r="A60798" s="118"/>
      <c r="B60798" s="136"/>
    </row>
    <row r="60799" spans="1:2" x14ac:dyDescent="0.25">
      <c r="A60799" s="118"/>
      <c r="B60799" s="136"/>
    </row>
    <row r="60800" spans="1:2" x14ac:dyDescent="0.25">
      <c r="A60800" s="118"/>
      <c r="B60800" s="136"/>
    </row>
    <row r="60801" spans="1:2" x14ac:dyDescent="0.25">
      <c r="A60801" s="118"/>
      <c r="B60801" s="136"/>
    </row>
    <row r="60802" spans="1:2" x14ac:dyDescent="0.25">
      <c r="A60802" s="118"/>
      <c r="B60802" s="136"/>
    </row>
    <row r="60803" spans="1:2" x14ac:dyDescent="0.25">
      <c r="A60803" s="118"/>
      <c r="B60803" s="136"/>
    </row>
    <row r="60804" spans="1:2" x14ac:dyDescent="0.25">
      <c r="A60804" s="118"/>
      <c r="B60804" s="136"/>
    </row>
    <row r="60805" spans="1:2" x14ac:dyDescent="0.25">
      <c r="A60805" s="118"/>
      <c r="B60805" s="136"/>
    </row>
    <row r="60806" spans="1:2" x14ac:dyDescent="0.25">
      <c r="A60806" s="118"/>
      <c r="B60806" s="136"/>
    </row>
    <row r="60807" spans="1:2" x14ac:dyDescent="0.25">
      <c r="A60807" s="118"/>
      <c r="B60807" s="136"/>
    </row>
    <row r="60808" spans="1:2" x14ac:dyDescent="0.25">
      <c r="A60808" s="118"/>
      <c r="B60808" s="136"/>
    </row>
    <row r="60809" spans="1:2" x14ac:dyDescent="0.25">
      <c r="A60809" s="118"/>
      <c r="B60809" s="136"/>
    </row>
    <row r="60810" spans="1:2" x14ac:dyDescent="0.25">
      <c r="A60810" s="118"/>
      <c r="B60810" s="136"/>
    </row>
    <row r="60811" spans="1:2" x14ac:dyDescent="0.25">
      <c r="A60811" s="118"/>
      <c r="B60811" s="136"/>
    </row>
    <row r="60812" spans="1:2" x14ac:dyDescent="0.25">
      <c r="A60812" s="118"/>
      <c r="B60812" s="136"/>
    </row>
    <row r="60813" spans="1:2" x14ac:dyDescent="0.25">
      <c r="A60813" s="118"/>
      <c r="B60813" s="136"/>
    </row>
    <row r="60814" spans="1:2" x14ac:dyDescent="0.25">
      <c r="A60814" s="118"/>
      <c r="B60814" s="136"/>
    </row>
    <row r="60815" spans="1:2" x14ac:dyDescent="0.25">
      <c r="A60815" s="118"/>
      <c r="B60815" s="136"/>
    </row>
    <row r="60816" spans="1:2" x14ac:dyDescent="0.25">
      <c r="A60816" s="118"/>
      <c r="B60816" s="136"/>
    </row>
    <row r="60817" spans="1:2" x14ac:dyDescent="0.25">
      <c r="A60817" s="118"/>
      <c r="B60817" s="136"/>
    </row>
    <row r="60818" spans="1:2" x14ac:dyDescent="0.25">
      <c r="A60818" s="118"/>
      <c r="B60818" s="136"/>
    </row>
    <row r="60819" spans="1:2" x14ac:dyDescent="0.25">
      <c r="A60819" s="118"/>
      <c r="B60819" s="136"/>
    </row>
    <row r="60820" spans="1:2" x14ac:dyDescent="0.25">
      <c r="A60820" s="118"/>
      <c r="B60820" s="136"/>
    </row>
    <row r="60821" spans="1:2" x14ac:dyDescent="0.25">
      <c r="A60821" s="118"/>
      <c r="B60821" s="136"/>
    </row>
    <row r="60822" spans="1:2" x14ac:dyDescent="0.25">
      <c r="A60822" s="118"/>
      <c r="B60822" s="136"/>
    </row>
    <row r="60823" spans="1:2" x14ac:dyDescent="0.25">
      <c r="A60823" s="118"/>
      <c r="B60823" s="136"/>
    </row>
    <row r="60824" spans="1:2" x14ac:dyDescent="0.25">
      <c r="A60824" s="118"/>
      <c r="B60824" s="136"/>
    </row>
    <row r="60825" spans="1:2" x14ac:dyDescent="0.25">
      <c r="A60825" s="118"/>
      <c r="B60825" s="136"/>
    </row>
    <row r="60826" spans="1:2" x14ac:dyDescent="0.25">
      <c r="A60826" s="118"/>
      <c r="B60826" s="136"/>
    </row>
    <row r="60827" spans="1:2" x14ac:dyDescent="0.25">
      <c r="A60827" s="118"/>
      <c r="B60827" s="136"/>
    </row>
    <row r="60828" spans="1:2" x14ac:dyDescent="0.25">
      <c r="A60828" s="118"/>
      <c r="B60828" s="136"/>
    </row>
    <row r="60829" spans="1:2" x14ac:dyDescent="0.25">
      <c r="A60829" s="118"/>
      <c r="B60829" s="136"/>
    </row>
    <row r="60830" spans="1:2" x14ac:dyDescent="0.25">
      <c r="A60830" s="118"/>
      <c r="B60830" s="136"/>
    </row>
    <row r="60831" spans="1:2" x14ac:dyDescent="0.25">
      <c r="A60831" s="118"/>
      <c r="B60831" s="136"/>
    </row>
    <row r="60832" spans="1:2" x14ac:dyDescent="0.25">
      <c r="A60832" s="118"/>
      <c r="B60832" s="136"/>
    </row>
    <row r="60833" spans="1:2" x14ac:dyDescent="0.25">
      <c r="A60833" s="118"/>
      <c r="B60833" s="136"/>
    </row>
    <row r="60834" spans="1:2" x14ac:dyDescent="0.25">
      <c r="A60834" s="118"/>
      <c r="B60834" s="136"/>
    </row>
    <row r="60835" spans="1:2" x14ac:dyDescent="0.25">
      <c r="A60835" s="118"/>
      <c r="B60835" s="136"/>
    </row>
    <row r="60836" spans="1:2" x14ac:dyDescent="0.25">
      <c r="A60836" s="118"/>
      <c r="B60836" s="136"/>
    </row>
    <row r="60837" spans="1:2" x14ac:dyDescent="0.25">
      <c r="A60837" s="118"/>
      <c r="B60837" s="136"/>
    </row>
    <row r="60838" spans="1:2" x14ac:dyDescent="0.25">
      <c r="A60838" s="118"/>
      <c r="B60838" s="136"/>
    </row>
    <row r="60839" spans="1:2" x14ac:dyDescent="0.25">
      <c r="A60839" s="118"/>
      <c r="B60839" s="136"/>
    </row>
    <row r="60840" spans="1:2" x14ac:dyDescent="0.25">
      <c r="A60840" s="118"/>
      <c r="B60840" s="136"/>
    </row>
    <row r="60841" spans="1:2" x14ac:dyDescent="0.25">
      <c r="A60841" s="118"/>
      <c r="B60841" s="136"/>
    </row>
    <row r="60842" spans="1:2" x14ac:dyDescent="0.25">
      <c r="A60842" s="118"/>
      <c r="B60842" s="136"/>
    </row>
    <row r="60843" spans="1:2" x14ac:dyDescent="0.25">
      <c r="A60843" s="118"/>
      <c r="B60843" s="136"/>
    </row>
    <row r="60844" spans="1:2" x14ac:dyDescent="0.25">
      <c r="A60844" s="118"/>
      <c r="B60844" s="136"/>
    </row>
    <row r="60845" spans="1:2" x14ac:dyDescent="0.25">
      <c r="A60845" s="118"/>
      <c r="B60845" s="136"/>
    </row>
    <row r="60846" spans="1:2" x14ac:dyDescent="0.25">
      <c r="A60846" s="118"/>
      <c r="B60846" s="136"/>
    </row>
    <row r="60847" spans="1:2" x14ac:dyDescent="0.25">
      <c r="A60847" s="118"/>
      <c r="B60847" s="136"/>
    </row>
    <row r="60848" spans="1:2" x14ac:dyDescent="0.25">
      <c r="A60848" s="118"/>
      <c r="B60848" s="136"/>
    </row>
    <row r="60849" spans="1:2" x14ac:dyDescent="0.25">
      <c r="A60849" s="118"/>
      <c r="B60849" s="136"/>
    </row>
    <row r="60850" spans="1:2" x14ac:dyDescent="0.25">
      <c r="A60850" s="118"/>
      <c r="B60850" s="136"/>
    </row>
    <row r="60851" spans="1:2" x14ac:dyDescent="0.25">
      <c r="A60851" s="118"/>
      <c r="B60851" s="136"/>
    </row>
    <row r="60852" spans="1:2" x14ac:dyDescent="0.25">
      <c r="A60852" s="118"/>
      <c r="B60852" s="136"/>
    </row>
    <row r="60853" spans="1:2" x14ac:dyDescent="0.25">
      <c r="A60853" s="118"/>
      <c r="B60853" s="136"/>
    </row>
    <row r="60854" spans="1:2" x14ac:dyDescent="0.25">
      <c r="A60854" s="118"/>
      <c r="B60854" s="136"/>
    </row>
    <row r="60855" spans="1:2" x14ac:dyDescent="0.25">
      <c r="A60855" s="118"/>
      <c r="B60855" s="136"/>
    </row>
    <row r="60856" spans="1:2" x14ac:dyDescent="0.25">
      <c r="A60856" s="118"/>
      <c r="B60856" s="136"/>
    </row>
    <row r="60857" spans="1:2" x14ac:dyDescent="0.25">
      <c r="A60857" s="118"/>
      <c r="B60857" s="136"/>
    </row>
    <row r="60858" spans="1:2" x14ac:dyDescent="0.25">
      <c r="A60858" s="118"/>
      <c r="B60858" s="136"/>
    </row>
    <row r="60859" spans="1:2" x14ac:dyDescent="0.25">
      <c r="A60859" s="118"/>
      <c r="B60859" s="136"/>
    </row>
    <row r="60860" spans="1:2" x14ac:dyDescent="0.25">
      <c r="A60860" s="118"/>
      <c r="B60860" s="136"/>
    </row>
    <row r="60861" spans="1:2" x14ac:dyDescent="0.25">
      <c r="A60861" s="118"/>
      <c r="B60861" s="136"/>
    </row>
    <row r="60862" spans="1:2" x14ac:dyDescent="0.25">
      <c r="A60862" s="118"/>
      <c r="B60862" s="136"/>
    </row>
    <row r="60863" spans="1:2" x14ac:dyDescent="0.25">
      <c r="A60863" s="118"/>
      <c r="B60863" s="136"/>
    </row>
    <row r="60864" spans="1:2" x14ac:dyDescent="0.25">
      <c r="A60864" s="118"/>
      <c r="B60864" s="136"/>
    </row>
    <row r="60865" spans="1:2" x14ac:dyDescent="0.25">
      <c r="A60865" s="118"/>
      <c r="B60865" s="136"/>
    </row>
    <row r="60866" spans="1:2" x14ac:dyDescent="0.25">
      <c r="A60866" s="118"/>
      <c r="B60866" s="136"/>
    </row>
    <row r="60867" spans="1:2" x14ac:dyDescent="0.25">
      <c r="A60867" s="118"/>
      <c r="B60867" s="136"/>
    </row>
    <row r="60868" spans="1:2" x14ac:dyDescent="0.25">
      <c r="A60868" s="118"/>
      <c r="B60868" s="136"/>
    </row>
    <row r="60869" spans="1:2" x14ac:dyDescent="0.25">
      <c r="A60869" s="118"/>
      <c r="B60869" s="136"/>
    </row>
    <row r="60870" spans="1:2" x14ac:dyDescent="0.25">
      <c r="A60870" s="118"/>
      <c r="B60870" s="136"/>
    </row>
    <row r="60871" spans="1:2" x14ac:dyDescent="0.25">
      <c r="A60871" s="118"/>
      <c r="B60871" s="136"/>
    </row>
    <row r="60872" spans="1:2" x14ac:dyDescent="0.25">
      <c r="A60872" s="118"/>
      <c r="B60872" s="136"/>
    </row>
    <row r="60873" spans="1:2" x14ac:dyDescent="0.25">
      <c r="A60873" s="118"/>
      <c r="B60873" s="136"/>
    </row>
    <row r="60874" spans="1:2" x14ac:dyDescent="0.25">
      <c r="A60874" s="118"/>
      <c r="B60874" s="136"/>
    </row>
    <row r="60875" spans="1:2" x14ac:dyDescent="0.25">
      <c r="A60875" s="118"/>
      <c r="B60875" s="136"/>
    </row>
    <row r="60876" spans="1:2" x14ac:dyDescent="0.25">
      <c r="A60876" s="118"/>
      <c r="B60876" s="136"/>
    </row>
    <row r="60877" spans="1:2" x14ac:dyDescent="0.25">
      <c r="A60877" s="118"/>
      <c r="B60877" s="136"/>
    </row>
    <row r="60878" spans="1:2" x14ac:dyDescent="0.25">
      <c r="A60878" s="118"/>
      <c r="B60878" s="136"/>
    </row>
    <row r="60879" spans="1:2" x14ac:dyDescent="0.25">
      <c r="A60879" s="118"/>
      <c r="B60879" s="136"/>
    </row>
    <row r="60880" spans="1:2" x14ac:dyDescent="0.25">
      <c r="A60880" s="118"/>
      <c r="B60880" s="136"/>
    </row>
    <row r="60881" spans="1:2" x14ac:dyDescent="0.25">
      <c r="A60881" s="118"/>
      <c r="B60881" s="136"/>
    </row>
    <row r="60882" spans="1:2" x14ac:dyDescent="0.25">
      <c r="A60882" s="118"/>
      <c r="B60882" s="136"/>
    </row>
    <row r="60883" spans="1:2" x14ac:dyDescent="0.25">
      <c r="A60883" s="118"/>
      <c r="B60883" s="136"/>
    </row>
    <row r="60884" spans="1:2" x14ac:dyDescent="0.25">
      <c r="A60884" s="118"/>
      <c r="B60884" s="136"/>
    </row>
    <row r="60885" spans="1:2" x14ac:dyDescent="0.25">
      <c r="A60885" s="118"/>
      <c r="B60885" s="136"/>
    </row>
    <row r="60886" spans="1:2" x14ac:dyDescent="0.25">
      <c r="A60886" s="118"/>
      <c r="B60886" s="136"/>
    </row>
    <row r="60887" spans="1:2" x14ac:dyDescent="0.25">
      <c r="A60887" s="118"/>
      <c r="B60887" s="136"/>
    </row>
    <row r="60888" spans="1:2" x14ac:dyDescent="0.25">
      <c r="A60888" s="118"/>
      <c r="B60888" s="136"/>
    </row>
    <row r="60889" spans="1:2" x14ac:dyDescent="0.25">
      <c r="A60889" s="118"/>
      <c r="B60889" s="136"/>
    </row>
    <row r="60890" spans="1:2" x14ac:dyDescent="0.25">
      <c r="A60890" s="118"/>
      <c r="B60890" s="136"/>
    </row>
    <row r="60891" spans="1:2" x14ac:dyDescent="0.25">
      <c r="A60891" s="118"/>
      <c r="B60891" s="136"/>
    </row>
    <row r="60892" spans="1:2" x14ac:dyDescent="0.25">
      <c r="A60892" s="118"/>
      <c r="B60892" s="136"/>
    </row>
    <row r="60893" spans="1:2" x14ac:dyDescent="0.25">
      <c r="A60893" s="118"/>
      <c r="B60893" s="136"/>
    </row>
    <row r="60894" spans="1:2" x14ac:dyDescent="0.25">
      <c r="A60894" s="118"/>
      <c r="B60894" s="136"/>
    </row>
    <row r="60895" spans="1:2" x14ac:dyDescent="0.25">
      <c r="A60895" s="118"/>
      <c r="B60895" s="136"/>
    </row>
    <row r="60896" spans="1:2" x14ac:dyDescent="0.25">
      <c r="A60896" s="118"/>
      <c r="B60896" s="136"/>
    </row>
    <row r="60897" spans="1:2" x14ac:dyDescent="0.25">
      <c r="A60897" s="118"/>
      <c r="B60897" s="136"/>
    </row>
    <row r="60898" spans="1:2" x14ac:dyDescent="0.25">
      <c r="A60898" s="118"/>
      <c r="B60898" s="136"/>
    </row>
    <row r="60899" spans="1:2" x14ac:dyDescent="0.25">
      <c r="A60899" s="118"/>
      <c r="B60899" s="136"/>
    </row>
    <row r="60900" spans="1:2" x14ac:dyDescent="0.25">
      <c r="A60900" s="118"/>
      <c r="B60900" s="136"/>
    </row>
    <row r="60901" spans="1:2" x14ac:dyDescent="0.25">
      <c r="A60901" s="118"/>
      <c r="B60901" s="136"/>
    </row>
    <row r="60902" spans="1:2" x14ac:dyDescent="0.25">
      <c r="A60902" s="118"/>
      <c r="B60902" s="136"/>
    </row>
    <row r="60903" spans="1:2" x14ac:dyDescent="0.25">
      <c r="A60903" s="118"/>
      <c r="B60903" s="136"/>
    </row>
    <row r="60904" spans="1:2" x14ac:dyDescent="0.25">
      <c r="A60904" s="118"/>
      <c r="B60904" s="136"/>
    </row>
    <row r="60905" spans="1:2" x14ac:dyDescent="0.25">
      <c r="A60905" s="118"/>
      <c r="B60905" s="136"/>
    </row>
    <row r="60906" spans="1:2" x14ac:dyDescent="0.25">
      <c r="A60906" s="118"/>
      <c r="B60906" s="136"/>
    </row>
    <row r="60907" spans="1:2" x14ac:dyDescent="0.25">
      <c r="A60907" s="118"/>
      <c r="B60907" s="136"/>
    </row>
    <row r="60908" spans="1:2" x14ac:dyDescent="0.25">
      <c r="A60908" s="118"/>
      <c r="B60908" s="136"/>
    </row>
    <row r="60909" spans="1:2" x14ac:dyDescent="0.25">
      <c r="A60909" s="118"/>
      <c r="B60909" s="136"/>
    </row>
    <row r="60910" spans="1:2" x14ac:dyDescent="0.25">
      <c r="A60910" s="118"/>
      <c r="B60910" s="136"/>
    </row>
    <row r="60911" spans="1:2" x14ac:dyDescent="0.25">
      <c r="A60911" s="118"/>
      <c r="B60911" s="136"/>
    </row>
    <row r="60912" spans="1:2" x14ac:dyDescent="0.25">
      <c r="A60912" s="118"/>
      <c r="B60912" s="136"/>
    </row>
    <row r="60913" spans="1:2" x14ac:dyDescent="0.25">
      <c r="A60913" s="118"/>
      <c r="B60913" s="136"/>
    </row>
    <row r="60914" spans="1:2" x14ac:dyDescent="0.25">
      <c r="A60914" s="118"/>
      <c r="B60914" s="136"/>
    </row>
    <row r="60915" spans="1:2" x14ac:dyDescent="0.25">
      <c r="A60915" s="118"/>
      <c r="B60915" s="136"/>
    </row>
    <row r="60916" spans="1:2" x14ac:dyDescent="0.25">
      <c r="A60916" s="118"/>
      <c r="B60916" s="136"/>
    </row>
    <row r="60917" spans="1:2" x14ac:dyDescent="0.25">
      <c r="A60917" s="118"/>
      <c r="B60917" s="136"/>
    </row>
    <row r="60918" spans="1:2" x14ac:dyDescent="0.25">
      <c r="A60918" s="118"/>
      <c r="B60918" s="136"/>
    </row>
    <row r="60919" spans="1:2" x14ac:dyDescent="0.25">
      <c r="A60919" s="118"/>
      <c r="B60919" s="136"/>
    </row>
    <row r="60920" spans="1:2" x14ac:dyDescent="0.25">
      <c r="A60920" s="118"/>
      <c r="B60920" s="136"/>
    </row>
    <row r="60921" spans="1:2" x14ac:dyDescent="0.25">
      <c r="A60921" s="118"/>
      <c r="B60921" s="136"/>
    </row>
    <row r="60922" spans="1:2" x14ac:dyDescent="0.25">
      <c r="A60922" s="118"/>
      <c r="B60922" s="136"/>
    </row>
    <row r="60923" spans="1:2" x14ac:dyDescent="0.25">
      <c r="A60923" s="118"/>
      <c r="B60923" s="136"/>
    </row>
    <row r="60924" spans="1:2" x14ac:dyDescent="0.25">
      <c r="A60924" s="118"/>
      <c r="B60924" s="136"/>
    </row>
    <row r="60925" spans="1:2" x14ac:dyDescent="0.25">
      <c r="A60925" s="118"/>
      <c r="B60925" s="136"/>
    </row>
    <row r="60926" spans="1:2" x14ac:dyDescent="0.25">
      <c r="A60926" s="118"/>
      <c r="B60926" s="136"/>
    </row>
    <row r="60927" spans="1:2" x14ac:dyDescent="0.25">
      <c r="A60927" s="118"/>
      <c r="B60927" s="136"/>
    </row>
    <row r="60928" spans="1:2" x14ac:dyDescent="0.25">
      <c r="A60928" s="118"/>
      <c r="B60928" s="136"/>
    </row>
    <row r="60929" spans="1:2" x14ac:dyDescent="0.25">
      <c r="A60929" s="118"/>
      <c r="B60929" s="136"/>
    </row>
    <row r="60930" spans="1:2" x14ac:dyDescent="0.25">
      <c r="A60930" s="118"/>
      <c r="B60930" s="136"/>
    </row>
    <row r="60931" spans="1:2" x14ac:dyDescent="0.25">
      <c r="A60931" s="118"/>
      <c r="B60931" s="136"/>
    </row>
    <row r="60932" spans="1:2" x14ac:dyDescent="0.25">
      <c r="A60932" s="118"/>
      <c r="B60932" s="136"/>
    </row>
    <row r="60933" spans="1:2" x14ac:dyDescent="0.25">
      <c r="A60933" s="118"/>
      <c r="B60933" s="136"/>
    </row>
    <row r="60934" spans="1:2" x14ac:dyDescent="0.25">
      <c r="A60934" s="118"/>
      <c r="B60934" s="136"/>
    </row>
    <row r="60935" spans="1:2" x14ac:dyDescent="0.25">
      <c r="A60935" s="118"/>
      <c r="B60935" s="136"/>
    </row>
    <row r="60936" spans="1:2" x14ac:dyDescent="0.25">
      <c r="A60936" s="118"/>
      <c r="B60936" s="136"/>
    </row>
    <row r="60937" spans="1:2" x14ac:dyDescent="0.25">
      <c r="A60937" s="118"/>
      <c r="B60937" s="136"/>
    </row>
    <row r="60938" spans="1:2" x14ac:dyDescent="0.25">
      <c r="A60938" s="118"/>
      <c r="B60938" s="136"/>
    </row>
    <row r="60939" spans="1:2" x14ac:dyDescent="0.25">
      <c r="A60939" s="118"/>
      <c r="B60939" s="136"/>
    </row>
    <row r="60940" spans="1:2" x14ac:dyDescent="0.25">
      <c r="A60940" s="118"/>
      <c r="B60940" s="136"/>
    </row>
    <row r="60941" spans="1:2" x14ac:dyDescent="0.25">
      <c r="A60941" s="118"/>
      <c r="B60941" s="136"/>
    </row>
    <row r="60942" spans="1:2" x14ac:dyDescent="0.25">
      <c r="A60942" s="118"/>
      <c r="B60942" s="136"/>
    </row>
    <row r="60943" spans="1:2" x14ac:dyDescent="0.25">
      <c r="A60943" s="118"/>
      <c r="B60943" s="136"/>
    </row>
    <row r="60944" spans="1:2" x14ac:dyDescent="0.25">
      <c r="A60944" s="118"/>
      <c r="B60944" s="136"/>
    </row>
    <row r="60945" spans="1:2" x14ac:dyDescent="0.25">
      <c r="A60945" s="118"/>
      <c r="B60945" s="136"/>
    </row>
    <row r="60946" spans="1:2" x14ac:dyDescent="0.25">
      <c r="A60946" s="118"/>
      <c r="B60946" s="136"/>
    </row>
    <row r="60947" spans="1:2" x14ac:dyDescent="0.25">
      <c r="A60947" s="118"/>
      <c r="B60947" s="136"/>
    </row>
    <row r="60948" spans="1:2" x14ac:dyDescent="0.25">
      <c r="A60948" s="118"/>
      <c r="B60948" s="136"/>
    </row>
    <row r="60949" spans="1:2" x14ac:dyDescent="0.25">
      <c r="A60949" s="118"/>
      <c r="B60949" s="136"/>
    </row>
    <row r="60950" spans="1:2" x14ac:dyDescent="0.25">
      <c r="A60950" s="118"/>
      <c r="B60950" s="136"/>
    </row>
    <row r="60951" spans="1:2" x14ac:dyDescent="0.25">
      <c r="A60951" s="118"/>
      <c r="B60951" s="136"/>
    </row>
    <row r="60952" spans="1:2" x14ac:dyDescent="0.25">
      <c r="A60952" s="118"/>
      <c r="B60952" s="136"/>
    </row>
    <row r="60953" spans="1:2" x14ac:dyDescent="0.25">
      <c r="A60953" s="118"/>
      <c r="B60953" s="136"/>
    </row>
    <row r="60954" spans="1:2" x14ac:dyDescent="0.25">
      <c r="A60954" s="118"/>
      <c r="B60954" s="136"/>
    </row>
    <row r="60955" spans="1:2" x14ac:dyDescent="0.25">
      <c r="A60955" s="118"/>
      <c r="B60955" s="136"/>
    </row>
    <row r="60956" spans="1:2" x14ac:dyDescent="0.25">
      <c r="A60956" s="118"/>
      <c r="B60956" s="136"/>
    </row>
    <row r="60957" spans="1:2" x14ac:dyDescent="0.25">
      <c r="A60957" s="118"/>
      <c r="B60957" s="136"/>
    </row>
    <row r="60958" spans="1:2" x14ac:dyDescent="0.25">
      <c r="A60958" s="118"/>
      <c r="B60958" s="136"/>
    </row>
    <row r="60959" spans="1:2" x14ac:dyDescent="0.25">
      <c r="A60959" s="118"/>
      <c r="B60959" s="136"/>
    </row>
    <row r="60960" spans="1:2" x14ac:dyDescent="0.25">
      <c r="A60960" s="118"/>
      <c r="B60960" s="136"/>
    </row>
    <row r="60961" spans="1:2" x14ac:dyDescent="0.25">
      <c r="A60961" s="118"/>
      <c r="B60961" s="136"/>
    </row>
    <row r="60962" spans="1:2" x14ac:dyDescent="0.25">
      <c r="A60962" s="118"/>
      <c r="B60962" s="136"/>
    </row>
    <row r="60963" spans="1:2" x14ac:dyDescent="0.25">
      <c r="A60963" s="118"/>
      <c r="B60963" s="136"/>
    </row>
    <row r="60964" spans="1:2" x14ac:dyDescent="0.25">
      <c r="A60964" s="118"/>
      <c r="B60964" s="136"/>
    </row>
    <row r="60965" spans="1:2" x14ac:dyDescent="0.25">
      <c r="A60965" s="118"/>
      <c r="B60965" s="136"/>
    </row>
    <row r="60966" spans="1:2" x14ac:dyDescent="0.25">
      <c r="A60966" s="118"/>
      <c r="B60966" s="136"/>
    </row>
    <row r="60967" spans="1:2" x14ac:dyDescent="0.25">
      <c r="A60967" s="118"/>
      <c r="B60967" s="136"/>
    </row>
    <row r="60968" spans="1:2" x14ac:dyDescent="0.25">
      <c r="A60968" s="118"/>
      <c r="B60968" s="136"/>
    </row>
    <row r="60969" spans="1:2" x14ac:dyDescent="0.25">
      <c r="A60969" s="118"/>
      <c r="B60969" s="136"/>
    </row>
    <row r="60970" spans="1:2" x14ac:dyDescent="0.25">
      <c r="A60970" s="118"/>
      <c r="B60970" s="136"/>
    </row>
    <row r="60971" spans="1:2" x14ac:dyDescent="0.25">
      <c r="A60971" s="118"/>
      <c r="B60971" s="136"/>
    </row>
    <row r="60972" spans="1:2" x14ac:dyDescent="0.25">
      <c r="A60972" s="118"/>
      <c r="B60972" s="136"/>
    </row>
    <row r="60973" spans="1:2" x14ac:dyDescent="0.25">
      <c r="A60973" s="118"/>
      <c r="B60973" s="136"/>
    </row>
    <row r="60974" spans="1:2" x14ac:dyDescent="0.25">
      <c r="A60974" s="118"/>
      <c r="B60974" s="136"/>
    </row>
    <row r="60975" spans="1:2" x14ac:dyDescent="0.25">
      <c r="A60975" s="118"/>
      <c r="B60975" s="136"/>
    </row>
    <row r="60976" spans="1:2" x14ac:dyDescent="0.25">
      <c r="A60976" s="118"/>
      <c r="B60976" s="136"/>
    </row>
    <row r="60977" spans="1:2" x14ac:dyDescent="0.25">
      <c r="A60977" s="118"/>
      <c r="B60977" s="136"/>
    </row>
    <row r="60978" spans="1:2" x14ac:dyDescent="0.25">
      <c r="A60978" s="118"/>
      <c r="B60978" s="136"/>
    </row>
    <row r="60979" spans="1:2" x14ac:dyDescent="0.25">
      <c r="A60979" s="118"/>
      <c r="B60979" s="136"/>
    </row>
    <row r="60980" spans="1:2" x14ac:dyDescent="0.25">
      <c r="A60980" s="118"/>
      <c r="B60980" s="136"/>
    </row>
    <row r="60981" spans="1:2" x14ac:dyDescent="0.25">
      <c r="A60981" s="118"/>
      <c r="B60981" s="136"/>
    </row>
    <row r="60982" spans="1:2" x14ac:dyDescent="0.25">
      <c r="A60982" s="118"/>
      <c r="B60982" s="136"/>
    </row>
    <row r="60983" spans="1:2" x14ac:dyDescent="0.25">
      <c r="A60983" s="118"/>
      <c r="B60983" s="136"/>
    </row>
    <row r="60984" spans="1:2" x14ac:dyDescent="0.25">
      <c r="A60984" s="118"/>
      <c r="B60984" s="136"/>
    </row>
    <row r="60985" spans="1:2" x14ac:dyDescent="0.25">
      <c r="A60985" s="118"/>
      <c r="B60985" s="136"/>
    </row>
    <row r="60986" spans="1:2" x14ac:dyDescent="0.25">
      <c r="A60986" s="118"/>
      <c r="B60986" s="136"/>
    </row>
    <row r="60987" spans="1:2" x14ac:dyDescent="0.25">
      <c r="A60987" s="118"/>
      <c r="B60987" s="136"/>
    </row>
    <row r="60988" spans="1:2" x14ac:dyDescent="0.25">
      <c r="A60988" s="118"/>
      <c r="B60988" s="136"/>
    </row>
    <row r="60989" spans="1:2" x14ac:dyDescent="0.25">
      <c r="A60989" s="118"/>
      <c r="B60989" s="136"/>
    </row>
    <row r="60990" spans="1:2" x14ac:dyDescent="0.25">
      <c r="A60990" s="118"/>
      <c r="B60990" s="136"/>
    </row>
    <row r="60991" spans="1:2" x14ac:dyDescent="0.25">
      <c r="A60991" s="118"/>
      <c r="B60991" s="136"/>
    </row>
    <row r="60992" spans="1:2" x14ac:dyDescent="0.25">
      <c r="A60992" s="118"/>
      <c r="B60992" s="136"/>
    </row>
    <row r="60993" spans="1:2" x14ac:dyDescent="0.25">
      <c r="A60993" s="118"/>
      <c r="B60993" s="136"/>
    </row>
    <row r="60994" spans="1:2" x14ac:dyDescent="0.25">
      <c r="A60994" s="118"/>
      <c r="B60994" s="136"/>
    </row>
    <row r="60995" spans="1:2" x14ac:dyDescent="0.25">
      <c r="A60995" s="118"/>
      <c r="B60995" s="136"/>
    </row>
    <row r="60996" spans="1:2" x14ac:dyDescent="0.25">
      <c r="A60996" s="118"/>
      <c r="B60996" s="136"/>
    </row>
    <row r="60997" spans="1:2" x14ac:dyDescent="0.25">
      <c r="A60997" s="118"/>
      <c r="B60997" s="136"/>
    </row>
    <row r="60998" spans="1:2" x14ac:dyDescent="0.25">
      <c r="A60998" s="118"/>
      <c r="B60998" s="136"/>
    </row>
    <row r="60999" spans="1:2" x14ac:dyDescent="0.25">
      <c r="A60999" s="118"/>
      <c r="B60999" s="136"/>
    </row>
    <row r="61000" spans="1:2" x14ac:dyDescent="0.25">
      <c r="A61000" s="118"/>
      <c r="B61000" s="136"/>
    </row>
    <row r="61001" spans="1:2" x14ac:dyDescent="0.25">
      <c r="A61001" s="118"/>
      <c r="B61001" s="136"/>
    </row>
    <row r="61002" spans="1:2" x14ac:dyDescent="0.25">
      <c r="A61002" s="118"/>
      <c r="B61002" s="136"/>
    </row>
    <row r="61003" spans="1:2" x14ac:dyDescent="0.25">
      <c r="A61003" s="118"/>
      <c r="B61003" s="136"/>
    </row>
    <row r="61004" spans="1:2" x14ac:dyDescent="0.25">
      <c r="A61004" s="118"/>
      <c r="B61004" s="136"/>
    </row>
    <row r="61005" spans="1:2" x14ac:dyDescent="0.25">
      <c r="A61005" s="118"/>
      <c r="B61005" s="136"/>
    </row>
    <row r="61006" spans="1:2" x14ac:dyDescent="0.25">
      <c r="A61006" s="118"/>
      <c r="B61006" s="136"/>
    </row>
    <row r="61007" spans="1:2" x14ac:dyDescent="0.25">
      <c r="A61007" s="118"/>
      <c r="B61007" s="136"/>
    </row>
    <row r="61008" spans="1:2" x14ac:dyDescent="0.25">
      <c r="A61008" s="118"/>
      <c r="B61008" s="136"/>
    </row>
    <row r="61009" spans="1:2" x14ac:dyDescent="0.25">
      <c r="A61009" s="118"/>
      <c r="B61009" s="136"/>
    </row>
    <row r="61010" spans="1:2" x14ac:dyDescent="0.25">
      <c r="A61010" s="118"/>
      <c r="B61010" s="136"/>
    </row>
    <row r="61011" spans="1:2" x14ac:dyDescent="0.25">
      <c r="A61011" s="118"/>
      <c r="B61011" s="136"/>
    </row>
    <row r="61012" spans="1:2" x14ac:dyDescent="0.25">
      <c r="A61012" s="118"/>
      <c r="B61012" s="136"/>
    </row>
    <row r="61013" spans="1:2" x14ac:dyDescent="0.25">
      <c r="A61013" s="118"/>
      <c r="B61013" s="136"/>
    </row>
    <row r="61014" spans="1:2" x14ac:dyDescent="0.25">
      <c r="A61014" s="118"/>
      <c r="B61014" s="136"/>
    </row>
    <row r="61015" spans="1:2" x14ac:dyDescent="0.25">
      <c r="A61015" s="118"/>
      <c r="B61015" s="136"/>
    </row>
    <row r="61016" spans="1:2" x14ac:dyDescent="0.25">
      <c r="A61016" s="118"/>
      <c r="B61016" s="136"/>
    </row>
    <row r="61017" spans="1:2" x14ac:dyDescent="0.25">
      <c r="A61017" s="118"/>
      <c r="B61017" s="136"/>
    </row>
    <row r="61018" spans="1:2" x14ac:dyDescent="0.25">
      <c r="A61018" s="118"/>
      <c r="B61018" s="136"/>
    </row>
    <row r="61019" spans="1:2" x14ac:dyDescent="0.25">
      <c r="A61019" s="118"/>
      <c r="B61019" s="136"/>
    </row>
    <row r="61020" spans="1:2" x14ac:dyDescent="0.25">
      <c r="A61020" s="118"/>
      <c r="B61020" s="136"/>
    </row>
    <row r="61021" spans="1:2" x14ac:dyDescent="0.25">
      <c r="A61021" s="118"/>
      <c r="B61021" s="136"/>
    </row>
    <row r="61022" spans="1:2" x14ac:dyDescent="0.25">
      <c r="A61022" s="118"/>
      <c r="B61022" s="136"/>
    </row>
    <row r="61023" spans="1:2" x14ac:dyDescent="0.25">
      <c r="A61023" s="118"/>
      <c r="B61023" s="136"/>
    </row>
    <row r="61024" spans="1:2" x14ac:dyDescent="0.25">
      <c r="A61024" s="118"/>
      <c r="B61024" s="136"/>
    </row>
    <row r="61025" spans="1:2" x14ac:dyDescent="0.25">
      <c r="A61025" s="118"/>
      <c r="B61025" s="136"/>
    </row>
    <row r="61026" spans="1:2" x14ac:dyDescent="0.25">
      <c r="A61026" s="118"/>
      <c r="B61026" s="136"/>
    </row>
    <row r="61027" spans="1:2" x14ac:dyDescent="0.25">
      <c r="A61027" s="118"/>
      <c r="B61027" s="136"/>
    </row>
    <row r="61028" spans="1:2" x14ac:dyDescent="0.25">
      <c r="A61028" s="118"/>
      <c r="B61028" s="136"/>
    </row>
    <row r="61029" spans="1:2" x14ac:dyDescent="0.25">
      <c r="A61029" s="118"/>
      <c r="B61029" s="136"/>
    </row>
    <row r="61030" spans="1:2" x14ac:dyDescent="0.25">
      <c r="A61030" s="118"/>
      <c r="B61030" s="136"/>
    </row>
    <row r="61031" spans="1:2" x14ac:dyDescent="0.25">
      <c r="A61031" s="118"/>
      <c r="B61031" s="136"/>
    </row>
    <row r="61032" spans="1:2" x14ac:dyDescent="0.25">
      <c r="A61032" s="118"/>
      <c r="B61032" s="136"/>
    </row>
    <row r="61033" spans="1:2" x14ac:dyDescent="0.25">
      <c r="A61033" s="118"/>
      <c r="B61033" s="136"/>
    </row>
    <row r="61034" spans="1:2" x14ac:dyDescent="0.25">
      <c r="A61034" s="118"/>
      <c r="B61034" s="136"/>
    </row>
    <row r="61035" spans="1:2" x14ac:dyDescent="0.25">
      <c r="A61035" s="118"/>
      <c r="B61035" s="136"/>
    </row>
    <row r="61036" spans="1:2" x14ac:dyDescent="0.25">
      <c r="A61036" s="118"/>
      <c r="B61036" s="136"/>
    </row>
    <row r="61037" spans="1:2" x14ac:dyDescent="0.25">
      <c r="A61037" s="118"/>
      <c r="B61037" s="136"/>
    </row>
    <row r="61038" spans="1:2" x14ac:dyDescent="0.25">
      <c r="A61038" s="118"/>
      <c r="B61038" s="136"/>
    </row>
    <row r="61039" spans="1:2" x14ac:dyDescent="0.25">
      <c r="A61039" s="118"/>
      <c r="B61039" s="136"/>
    </row>
    <row r="61040" spans="1:2" x14ac:dyDescent="0.25">
      <c r="A61040" s="118"/>
      <c r="B61040" s="136"/>
    </row>
    <row r="61041" spans="1:2" x14ac:dyDescent="0.25">
      <c r="A61041" s="118"/>
      <c r="B61041" s="136"/>
    </row>
    <row r="61042" spans="1:2" x14ac:dyDescent="0.25">
      <c r="A61042" s="118"/>
      <c r="B61042" s="136"/>
    </row>
    <row r="61043" spans="1:2" x14ac:dyDescent="0.25">
      <c r="A61043" s="118"/>
      <c r="B61043" s="136"/>
    </row>
    <row r="61044" spans="1:2" x14ac:dyDescent="0.25">
      <c r="A61044" s="118"/>
      <c r="B61044" s="136"/>
    </row>
    <row r="61045" spans="1:2" x14ac:dyDescent="0.25">
      <c r="A61045" s="118"/>
      <c r="B61045" s="136"/>
    </row>
    <row r="61046" spans="1:2" x14ac:dyDescent="0.25">
      <c r="A61046" s="118"/>
      <c r="B61046" s="136"/>
    </row>
    <row r="61047" spans="1:2" x14ac:dyDescent="0.25">
      <c r="A61047" s="118"/>
      <c r="B61047" s="136"/>
    </row>
    <row r="61048" spans="1:2" x14ac:dyDescent="0.25">
      <c r="A61048" s="118"/>
      <c r="B61048" s="136"/>
    </row>
    <row r="61049" spans="1:2" x14ac:dyDescent="0.25">
      <c r="A61049" s="118"/>
      <c r="B61049" s="136"/>
    </row>
    <row r="61050" spans="1:2" x14ac:dyDescent="0.25">
      <c r="A61050" s="118"/>
      <c r="B61050" s="136"/>
    </row>
    <row r="61051" spans="1:2" x14ac:dyDescent="0.25">
      <c r="A61051" s="118"/>
      <c r="B61051" s="136"/>
    </row>
    <row r="61052" spans="1:2" x14ac:dyDescent="0.25">
      <c r="A61052" s="118"/>
      <c r="B61052" s="136"/>
    </row>
    <row r="61053" spans="1:2" x14ac:dyDescent="0.25">
      <c r="A61053" s="118"/>
      <c r="B61053" s="136"/>
    </row>
    <row r="61054" spans="1:2" x14ac:dyDescent="0.25">
      <c r="A61054" s="118"/>
      <c r="B61054" s="136"/>
    </row>
    <row r="61055" spans="1:2" x14ac:dyDescent="0.25">
      <c r="A61055" s="118"/>
      <c r="B61055" s="136"/>
    </row>
    <row r="61056" spans="1:2" x14ac:dyDescent="0.25">
      <c r="A61056" s="118"/>
      <c r="B61056" s="136"/>
    </row>
    <row r="61057" spans="1:2" x14ac:dyDescent="0.25">
      <c r="A61057" s="118"/>
      <c r="B61057" s="136"/>
    </row>
    <row r="61058" spans="1:2" x14ac:dyDescent="0.25">
      <c r="A61058" s="118"/>
      <c r="B61058" s="136"/>
    </row>
    <row r="61059" spans="1:2" x14ac:dyDescent="0.25">
      <c r="A61059" s="118"/>
      <c r="B61059" s="136"/>
    </row>
    <row r="61060" spans="1:2" x14ac:dyDescent="0.25">
      <c r="A61060" s="118"/>
      <c r="B61060" s="136"/>
    </row>
    <row r="61061" spans="1:2" x14ac:dyDescent="0.25">
      <c r="A61061" s="118"/>
      <c r="B61061" s="136"/>
    </row>
    <row r="61062" spans="1:2" x14ac:dyDescent="0.25">
      <c r="A61062" s="118"/>
      <c r="B61062" s="136"/>
    </row>
    <row r="61063" spans="1:2" x14ac:dyDescent="0.25">
      <c r="A61063" s="118"/>
      <c r="B61063" s="136"/>
    </row>
    <row r="61064" spans="1:2" x14ac:dyDescent="0.25">
      <c r="A61064" s="118"/>
      <c r="B61064" s="136"/>
    </row>
    <row r="61065" spans="1:2" x14ac:dyDescent="0.25">
      <c r="A61065" s="118"/>
      <c r="B61065" s="136"/>
    </row>
    <row r="61066" spans="1:2" x14ac:dyDescent="0.25">
      <c r="A61066" s="118"/>
      <c r="B61066" s="136"/>
    </row>
    <row r="61067" spans="1:2" x14ac:dyDescent="0.25">
      <c r="A61067" s="118"/>
      <c r="B61067" s="136"/>
    </row>
    <row r="61068" spans="1:2" x14ac:dyDescent="0.25">
      <c r="A61068" s="118"/>
      <c r="B61068" s="136"/>
    </row>
    <row r="61069" spans="1:2" x14ac:dyDescent="0.25">
      <c r="A61069" s="118"/>
      <c r="B61069" s="136"/>
    </row>
    <row r="61070" spans="1:2" x14ac:dyDescent="0.25">
      <c r="A61070" s="118"/>
      <c r="B61070" s="136"/>
    </row>
    <row r="61071" spans="1:2" x14ac:dyDescent="0.25">
      <c r="A61071" s="118"/>
      <c r="B61071" s="136"/>
    </row>
    <row r="61072" spans="1:2" x14ac:dyDescent="0.25">
      <c r="A61072" s="118"/>
      <c r="B61072" s="136"/>
    </row>
    <row r="61073" spans="1:2" x14ac:dyDescent="0.25">
      <c r="A61073" s="118"/>
      <c r="B61073" s="136"/>
    </row>
    <row r="61074" spans="1:2" x14ac:dyDescent="0.25">
      <c r="A61074" s="118"/>
      <c r="B61074" s="136"/>
    </row>
    <row r="61075" spans="1:2" x14ac:dyDescent="0.25">
      <c r="A61075" s="118"/>
      <c r="B61075" s="136"/>
    </row>
    <row r="61076" spans="1:2" x14ac:dyDescent="0.25">
      <c r="A61076" s="118"/>
      <c r="B61076" s="136"/>
    </row>
    <row r="61077" spans="1:2" x14ac:dyDescent="0.25">
      <c r="A61077" s="118"/>
      <c r="B61077" s="136"/>
    </row>
    <row r="61078" spans="1:2" x14ac:dyDescent="0.25">
      <c r="A61078" s="118"/>
      <c r="B61078" s="136"/>
    </row>
    <row r="61079" spans="1:2" x14ac:dyDescent="0.25">
      <c r="A61079" s="118"/>
      <c r="B61079" s="136"/>
    </row>
    <row r="61080" spans="1:2" x14ac:dyDescent="0.25">
      <c r="A61080" s="118"/>
      <c r="B61080" s="136"/>
    </row>
    <row r="61081" spans="1:2" x14ac:dyDescent="0.25">
      <c r="A61081" s="118"/>
      <c r="B61081" s="136"/>
    </row>
    <row r="61082" spans="1:2" x14ac:dyDescent="0.25">
      <c r="A61082" s="118"/>
      <c r="B61082" s="136"/>
    </row>
    <row r="61083" spans="1:2" x14ac:dyDescent="0.25">
      <c r="A61083" s="118"/>
      <c r="B61083" s="136"/>
    </row>
    <row r="61084" spans="1:2" x14ac:dyDescent="0.25">
      <c r="A61084" s="118"/>
      <c r="B61084" s="136"/>
    </row>
    <row r="61085" spans="1:2" x14ac:dyDescent="0.25">
      <c r="A61085" s="118"/>
      <c r="B61085" s="136"/>
    </row>
    <row r="61086" spans="1:2" x14ac:dyDescent="0.25">
      <c r="A61086" s="118"/>
      <c r="B61086" s="136"/>
    </row>
    <row r="61087" spans="1:2" x14ac:dyDescent="0.25">
      <c r="A61087" s="118"/>
      <c r="B61087" s="136"/>
    </row>
    <row r="61088" spans="1:2" x14ac:dyDescent="0.25">
      <c r="A61088" s="118"/>
      <c r="B61088" s="136"/>
    </row>
    <row r="61089" spans="1:2" x14ac:dyDescent="0.25">
      <c r="A61089" s="118"/>
      <c r="B61089" s="136"/>
    </row>
    <row r="61090" spans="1:2" x14ac:dyDescent="0.25">
      <c r="A61090" s="118"/>
      <c r="B61090" s="136"/>
    </row>
    <row r="61091" spans="1:2" x14ac:dyDescent="0.25">
      <c r="A61091" s="118"/>
      <c r="B61091" s="136"/>
    </row>
    <row r="61092" spans="1:2" x14ac:dyDescent="0.25">
      <c r="A61092" s="118"/>
      <c r="B61092" s="136"/>
    </row>
    <row r="61093" spans="1:2" x14ac:dyDescent="0.25">
      <c r="A61093" s="118"/>
      <c r="B61093" s="136"/>
    </row>
    <row r="61094" spans="1:2" x14ac:dyDescent="0.25">
      <c r="A61094" s="118"/>
      <c r="B61094" s="136"/>
    </row>
    <row r="61095" spans="1:2" x14ac:dyDescent="0.25">
      <c r="A61095" s="118"/>
      <c r="B61095" s="136"/>
    </row>
    <row r="61096" spans="1:2" x14ac:dyDescent="0.25">
      <c r="A61096" s="118"/>
      <c r="B61096" s="136"/>
    </row>
    <row r="61097" spans="1:2" x14ac:dyDescent="0.25">
      <c r="A61097" s="118"/>
      <c r="B61097" s="136"/>
    </row>
    <row r="61098" spans="1:2" x14ac:dyDescent="0.25">
      <c r="A61098" s="118"/>
      <c r="B61098" s="136"/>
    </row>
    <row r="61099" spans="1:2" x14ac:dyDescent="0.25">
      <c r="A61099" s="118"/>
      <c r="B61099" s="136"/>
    </row>
    <row r="61100" spans="1:2" x14ac:dyDescent="0.25">
      <c r="A61100" s="118"/>
      <c r="B61100" s="136"/>
    </row>
    <row r="61101" spans="1:2" x14ac:dyDescent="0.25">
      <c r="A61101" s="118"/>
      <c r="B61101" s="136"/>
    </row>
    <row r="61102" spans="1:2" x14ac:dyDescent="0.25">
      <c r="A61102" s="118"/>
      <c r="B61102" s="136"/>
    </row>
    <row r="61103" spans="1:2" x14ac:dyDescent="0.25">
      <c r="A61103" s="118"/>
      <c r="B61103" s="136"/>
    </row>
    <row r="61104" spans="1:2" x14ac:dyDescent="0.25">
      <c r="A61104" s="118"/>
      <c r="B61104" s="136"/>
    </row>
    <row r="61105" spans="1:2" x14ac:dyDescent="0.25">
      <c r="A61105" s="118"/>
      <c r="B61105" s="136"/>
    </row>
    <row r="61106" spans="1:2" x14ac:dyDescent="0.25">
      <c r="A61106" s="118"/>
      <c r="B61106" s="136"/>
    </row>
    <row r="61107" spans="1:2" x14ac:dyDescent="0.25">
      <c r="A61107" s="118"/>
      <c r="B61107" s="136"/>
    </row>
    <row r="61108" spans="1:2" x14ac:dyDescent="0.25">
      <c r="A61108" s="118"/>
      <c r="B61108" s="136"/>
    </row>
    <row r="61109" spans="1:2" x14ac:dyDescent="0.25">
      <c r="A61109" s="118"/>
      <c r="B61109" s="136"/>
    </row>
    <row r="61110" spans="1:2" x14ac:dyDescent="0.25">
      <c r="A61110" s="118"/>
      <c r="B61110" s="136"/>
    </row>
    <row r="61111" spans="1:2" x14ac:dyDescent="0.25">
      <c r="A61111" s="118"/>
      <c r="B61111" s="136"/>
    </row>
    <row r="61112" spans="1:2" x14ac:dyDescent="0.25">
      <c r="A61112" s="118"/>
      <c r="B61112" s="136"/>
    </row>
    <row r="61113" spans="1:2" x14ac:dyDescent="0.25">
      <c r="A61113" s="118"/>
      <c r="B61113" s="136"/>
    </row>
    <row r="61114" spans="1:2" x14ac:dyDescent="0.25">
      <c r="A61114" s="118"/>
      <c r="B61114" s="136"/>
    </row>
    <row r="61115" spans="1:2" x14ac:dyDescent="0.25">
      <c r="A61115" s="118"/>
      <c r="B61115" s="136"/>
    </row>
    <row r="61116" spans="1:2" x14ac:dyDescent="0.25">
      <c r="A61116" s="118"/>
      <c r="B61116" s="136"/>
    </row>
    <row r="61117" spans="1:2" x14ac:dyDescent="0.25">
      <c r="A61117" s="118"/>
      <c r="B61117" s="136"/>
    </row>
    <row r="61118" spans="1:2" x14ac:dyDescent="0.25">
      <c r="A61118" s="118"/>
      <c r="B61118" s="136"/>
    </row>
    <row r="61119" spans="1:2" x14ac:dyDescent="0.25">
      <c r="A61119" s="118"/>
      <c r="B61119" s="136"/>
    </row>
    <row r="61120" spans="1:2" x14ac:dyDescent="0.25">
      <c r="A61120" s="118"/>
      <c r="B61120" s="136"/>
    </row>
    <row r="61121" spans="1:2" x14ac:dyDescent="0.25">
      <c r="A61121" s="118"/>
      <c r="B61121" s="136"/>
    </row>
    <row r="61122" spans="1:2" x14ac:dyDescent="0.25">
      <c r="A61122" s="118"/>
      <c r="B61122" s="136"/>
    </row>
    <row r="61123" spans="1:2" x14ac:dyDescent="0.25">
      <c r="A61123" s="118"/>
      <c r="B61123" s="136"/>
    </row>
    <row r="61124" spans="1:2" x14ac:dyDescent="0.25">
      <c r="A61124" s="118"/>
      <c r="B61124" s="136"/>
    </row>
    <row r="61125" spans="1:2" x14ac:dyDescent="0.25">
      <c r="A61125" s="118"/>
      <c r="B61125" s="136"/>
    </row>
    <row r="61126" spans="1:2" x14ac:dyDescent="0.25">
      <c r="A61126" s="118"/>
      <c r="B61126" s="136"/>
    </row>
    <row r="61127" spans="1:2" x14ac:dyDescent="0.25">
      <c r="A61127" s="118"/>
      <c r="B61127" s="136"/>
    </row>
    <row r="61128" spans="1:2" x14ac:dyDescent="0.25">
      <c r="A61128" s="118"/>
      <c r="B61128" s="136"/>
    </row>
    <row r="61129" spans="1:2" x14ac:dyDescent="0.25">
      <c r="A61129" s="118"/>
      <c r="B61129" s="136"/>
    </row>
    <row r="61130" spans="1:2" x14ac:dyDescent="0.25">
      <c r="A61130" s="118"/>
      <c r="B61130" s="136"/>
    </row>
    <row r="61131" spans="1:2" x14ac:dyDescent="0.25">
      <c r="A61131" s="118"/>
      <c r="B61131" s="136"/>
    </row>
    <row r="61132" spans="1:2" x14ac:dyDescent="0.25">
      <c r="A61132" s="118"/>
      <c r="B61132" s="136"/>
    </row>
    <row r="61133" spans="1:2" x14ac:dyDescent="0.25">
      <c r="A61133" s="118"/>
      <c r="B61133" s="136"/>
    </row>
    <row r="61134" spans="1:2" x14ac:dyDescent="0.25">
      <c r="A61134" s="118"/>
      <c r="B61134" s="136"/>
    </row>
    <row r="61135" spans="1:2" x14ac:dyDescent="0.25">
      <c r="A61135" s="118"/>
      <c r="B61135" s="136"/>
    </row>
    <row r="61136" spans="1:2" x14ac:dyDescent="0.25">
      <c r="A61136" s="118"/>
      <c r="B61136" s="136"/>
    </row>
    <row r="61137" spans="1:2" x14ac:dyDescent="0.25">
      <c r="A61137" s="118"/>
      <c r="B61137" s="136"/>
    </row>
    <row r="61138" spans="1:2" x14ac:dyDescent="0.25">
      <c r="A61138" s="118"/>
      <c r="B61138" s="136"/>
    </row>
    <row r="61139" spans="1:2" x14ac:dyDescent="0.25">
      <c r="A61139" s="118"/>
      <c r="B61139" s="136"/>
    </row>
    <row r="61140" spans="1:2" x14ac:dyDescent="0.25">
      <c r="A61140" s="118"/>
      <c r="B61140" s="136"/>
    </row>
    <row r="61141" spans="1:2" x14ac:dyDescent="0.25">
      <c r="A61141" s="118"/>
      <c r="B61141" s="136"/>
    </row>
    <row r="61142" spans="1:2" x14ac:dyDescent="0.25">
      <c r="A61142" s="118"/>
      <c r="B61142" s="136"/>
    </row>
    <row r="61143" spans="1:2" x14ac:dyDescent="0.25">
      <c r="A61143" s="118"/>
      <c r="B61143" s="136"/>
    </row>
    <row r="61144" spans="1:2" x14ac:dyDescent="0.25">
      <c r="A61144" s="118"/>
      <c r="B61144" s="136"/>
    </row>
    <row r="61145" spans="1:2" x14ac:dyDescent="0.25">
      <c r="A61145" s="118"/>
      <c r="B61145" s="136"/>
    </row>
    <row r="61146" spans="1:2" x14ac:dyDescent="0.25">
      <c r="A61146" s="118"/>
      <c r="B61146" s="136"/>
    </row>
    <row r="61147" spans="1:2" x14ac:dyDescent="0.25">
      <c r="A61147" s="118"/>
      <c r="B61147" s="136"/>
    </row>
    <row r="61148" spans="1:2" x14ac:dyDescent="0.25">
      <c r="A61148" s="118"/>
      <c r="B61148" s="136"/>
    </row>
    <row r="61149" spans="1:2" x14ac:dyDescent="0.25">
      <c r="A61149" s="118"/>
      <c r="B61149" s="136"/>
    </row>
    <row r="61150" spans="1:2" x14ac:dyDescent="0.25">
      <c r="A61150" s="118"/>
      <c r="B61150" s="136"/>
    </row>
    <row r="61151" spans="1:2" x14ac:dyDescent="0.25">
      <c r="A61151" s="118"/>
      <c r="B61151" s="136"/>
    </row>
    <row r="61152" spans="1:2" x14ac:dyDescent="0.25">
      <c r="A61152" s="118"/>
      <c r="B61152" s="136"/>
    </row>
    <row r="61153" spans="1:2" x14ac:dyDescent="0.25">
      <c r="A61153" s="118"/>
      <c r="B61153" s="136"/>
    </row>
    <row r="61154" spans="1:2" x14ac:dyDescent="0.25">
      <c r="A61154" s="118"/>
      <c r="B61154" s="136"/>
    </row>
    <row r="61155" spans="1:2" x14ac:dyDescent="0.25">
      <c r="A61155" s="118"/>
      <c r="B61155" s="136"/>
    </row>
    <row r="61156" spans="1:2" x14ac:dyDescent="0.25">
      <c r="A61156" s="118"/>
      <c r="B61156" s="136"/>
    </row>
    <row r="61157" spans="1:2" x14ac:dyDescent="0.25">
      <c r="A61157" s="118"/>
      <c r="B61157" s="136"/>
    </row>
    <row r="61158" spans="1:2" x14ac:dyDescent="0.25">
      <c r="A61158" s="118"/>
      <c r="B61158" s="136"/>
    </row>
    <row r="61159" spans="1:2" x14ac:dyDescent="0.25">
      <c r="A61159" s="118"/>
      <c r="B61159" s="136"/>
    </row>
    <row r="61160" spans="1:2" x14ac:dyDescent="0.25">
      <c r="A61160" s="118"/>
      <c r="B61160" s="136"/>
    </row>
    <row r="61161" spans="1:2" x14ac:dyDescent="0.25">
      <c r="A61161" s="118"/>
      <c r="B61161" s="136"/>
    </row>
    <row r="61162" spans="1:2" x14ac:dyDescent="0.25">
      <c r="A61162" s="118"/>
      <c r="B61162" s="136"/>
    </row>
    <row r="61163" spans="1:2" x14ac:dyDescent="0.25">
      <c r="A61163" s="118"/>
      <c r="B61163" s="136"/>
    </row>
    <row r="61164" spans="1:2" x14ac:dyDescent="0.25">
      <c r="A61164" s="118"/>
      <c r="B61164" s="136"/>
    </row>
    <row r="61165" spans="1:2" x14ac:dyDescent="0.25">
      <c r="A61165" s="118"/>
      <c r="B61165" s="136"/>
    </row>
    <row r="61166" spans="1:2" x14ac:dyDescent="0.25">
      <c r="A61166" s="118"/>
      <c r="B61166" s="136"/>
    </row>
    <row r="61167" spans="1:2" x14ac:dyDescent="0.25">
      <c r="A61167" s="118"/>
      <c r="B61167" s="136"/>
    </row>
    <row r="61168" spans="1:2" x14ac:dyDescent="0.25">
      <c r="A61168" s="118"/>
      <c r="B61168" s="136"/>
    </row>
    <row r="61169" spans="1:2" x14ac:dyDescent="0.25">
      <c r="A61169" s="118"/>
      <c r="B61169" s="136"/>
    </row>
    <row r="61170" spans="1:2" x14ac:dyDescent="0.25">
      <c r="A61170" s="118"/>
      <c r="B61170" s="136"/>
    </row>
    <row r="61171" spans="1:2" x14ac:dyDescent="0.25">
      <c r="A61171" s="118"/>
      <c r="B61171" s="136"/>
    </row>
    <row r="61172" spans="1:2" x14ac:dyDescent="0.25">
      <c r="A61172" s="118"/>
      <c r="B61172" s="136"/>
    </row>
    <row r="61173" spans="1:2" x14ac:dyDescent="0.25">
      <c r="A61173" s="118"/>
      <c r="B61173" s="136"/>
    </row>
    <row r="61174" spans="1:2" x14ac:dyDescent="0.25">
      <c r="A61174" s="118"/>
      <c r="B61174" s="136"/>
    </row>
    <row r="61175" spans="1:2" x14ac:dyDescent="0.25">
      <c r="A61175" s="118"/>
      <c r="B61175" s="136"/>
    </row>
    <row r="61176" spans="1:2" x14ac:dyDescent="0.25">
      <c r="A61176" s="118"/>
      <c r="B61176" s="136"/>
    </row>
    <row r="61177" spans="1:2" x14ac:dyDescent="0.25">
      <c r="A61177" s="118"/>
      <c r="B61177" s="136"/>
    </row>
    <row r="61178" spans="1:2" x14ac:dyDescent="0.25">
      <c r="A61178" s="118"/>
      <c r="B61178" s="136"/>
    </row>
    <row r="61179" spans="1:2" x14ac:dyDescent="0.25">
      <c r="A61179" s="118"/>
      <c r="B61179" s="136"/>
    </row>
    <row r="61180" spans="1:2" x14ac:dyDescent="0.25">
      <c r="A61180" s="118"/>
      <c r="B61180" s="136"/>
    </row>
    <row r="61181" spans="1:2" x14ac:dyDescent="0.25">
      <c r="A61181" s="118"/>
      <c r="B61181" s="136"/>
    </row>
    <row r="61182" spans="1:2" x14ac:dyDescent="0.25">
      <c r="A61182" s="118"/>
      <c r="B61182" s="136"/>
    </row>
    <row r="61183" spans="1:2" x14ac:dyDescent="0.25">
      <c r="A61183" s="118"/>
      <c r="B61183" s="136"/>
    </row>
    <row r="61184" spans="1:2" x14ac:dyDescent="0.25">
      <c r="A61184" s="118"/>
      <c r="B61184" s="136"/>
    </row>
    <row r="61185" spans="1:2" x14ac:dyDescent="0.25">
      <c r="A61185" s="118"/>
      <c r="B61185" s="136"/>
    </row>
    <row r="61186" spans="1:2" x14ac:dyDescent="0.25">
      <c r="A61186" s="118"/>
      <c r="B61186" s="136"/>
    </row>
    <row r="61187" spans="1:2" x14ac:dyDescent="0.25">
      <c r="A61187" s="118"/>
      <c r="B61187" s="136"/>
    </row>
    <row r="61188" spans="1:2" x14ac:dyDescent="0.25">
      <c r="A61188" s="118"/>
      <c r="B61188" s="136"/>
    </row>
    <row r="61189" spans="1:2" x14ac:dyDescent="0.25">
      <c r="A61189" s="118"/>
      <c r="B61189" s="136"/>
    </row>
    <row r="61190" spans="1:2" x14ac:dyDescent="0.25">
      <c r="A61190" s="118"/>
      <c r="B61190" s="136"/>
    </row>
    <row r="61191" spans="1:2" x14ac:dyDescent="0.25">
      <c r="A61191" s="118"/>
      <c r="B61191" s="136"/>
    </row>
    <row r="61192" spans="1:2" x14ac:dyDescent="0.25">
      <c r="A61192" s="118"/>
      <c r="B61192" s="136"/>
    </row>
    <row r="61193" spans="1:2" x14ac:dyDescent="0.25">
      <c r="A61193" s="118"/>
      <c r="B61193" s="136"/>
    </row>
    <row r="61194" spans="1:2" x14ac:dyDescent="0.25">
      <c r="A61194" s="118"/>
      <c r="B61194" s="136"/>
    </row>
    <row r="61195" spans="1:2" x14ac:dyDescent="0.25">
      <c r="A61195" s="118"/>
      <c r="B61195" s="136"/>
    </row>
    <row r="61196" spans="1:2" x14ac:dyDescent="0.25">
      <c r="A61196" s="118"/>
      <c r="B61196" s="136"/>
    </row>
    <row r="61197" spans="1:2" x14ac:dyDescent="0.25">
      <c r="A61197" s="118"/>
      <c r="B61197" s="136"/>
    </row>
    <row r="61198" spans="1:2" x14ac:dyDescent="0.25">
      <c r="A61198" s="118"/>
      <c r="B61198" s="136"/>
    </row>
    <row r="61199" spans="1:2" x14ac:dyDescent="0.25">
      <c r="A61199" s="118"/>
      <c r="B61199" s="136"/>
    </row>
    <row r="61200" spans="1:2" x14ac:dyDescent="0.25">
      <c r="A61200" s="118"/>
      <c r="B61200" s="136"/>
    </row>
    <row r="61201" spans="1:2" x14ac:dyDescent="0.25">
      <c r="A61201" s="118"/>
      <c r="B61201" s="136"/>
    </row>
    <row r="61202" spans="1:2" x14ac:dyDescent="0.25">
      <c r="A61202" s="118"/>
      <c r="B61202" s="136"/>
    </row>
    <row r="61203" spans="1:2" x14ac:dyDescent="0.25">
      <c r="A61203" s="118"/>
      <c r="B61203" s="136"/>
    </row>
    <row r="61204" spans="1:2" x14ac:dyDescent="0.25">
      <c r="A61204" s="118"/>
      <c r="B61204" s="136"/>
    </row>
    <row r="61205" spans="1:2" x14ac:dyDescent="0.25">
      <c r="A61205" s="118"/>
      <c r="B61205" s="136"/>
    </row>
    <row r="61206" spans="1:2" x14ac:dyDescent="0.25">
      <c r="A61206" s="118"/>
      <c r="B61206" s="136"/>
    </row>
    <row r="61207" spans="1:2" x14ac:dyDescent="0.25">
      <c r="A61207" s="118"/>
      <c r="B61207" s="136"/>
    </row>
    <row r="61208" spans="1:2" x14ac:dyDescent="0.25">
      <c r="A61208" s="118"/>
      <c r="B61208" s="136"/>
    </row>
    <row r="61209" spans="1:2" x14ac:dyDescent="0.25">
      <c r="A61209" s="118"/>
      <c r="B61209" s="136"/>
    </row>
    <row r="61210" spans="1:2" x14ac:dyDescent="0.25">
      <c r="A61210" s="118"/>
      <c r="B61210" s="136"/>
    </row>
    <row r="61211" spans="1:2" x14ac:dyDescent="0.25">
      <c r="A61211" s="118"/>
      <c r="B61211" s="136"/>
    </row>
    <row r="61212" spans="1:2" x14ac:dyDescent="0.25">
      <c r="A61212" s="118"/>
      <c r="B61212" s="136"/>
    </row>
    <row r="61213" spans="1:2" x14ac:dyDescent="0.25">
      <c r="A61213" s="118"/>
      <c r="B61213" s="136"/>
    </row>
    <row r="61214" spans="1:2" x14ac:dyDescent="0.25">
      <c r="A61214" s="118"/>
      <c r="B61214" s="136"/>
    </row>
    <row r="61215" spans="1:2" x14ac:dyDescent="0.25">
      <c r="A61215" s="118"/>
      <c r="B61215" s="136"/>
    </row>
    <row r="61216" spans="1:2" x14ac:dyDescent="0.25">
      <c r="A61216" s="118"/>
      <c r="B61216" s="136"/>
    </row>
    <row r="61217" spans="1:2" x14ac:dyDescent="0.25">
      <c r="A61217" s="118"/>
      <c r="B61217" s="136"/>
    </row>
    <row r="61218" spans="1:2" x14ac:dyDescent="0.25">
      <c r="A61218" s="118"/>
      <c r="B61218" s="136"/>
    </row>
    <row r="61219" spans="1:2" x14ac:dyDescent="0.25">
      <c r="A61219" s="118"/>
      <c r="B61219" s="136"/>
    </row>
    <row r="61220" spans="1:2" x14ac:dyDescent="0.25">
      <c r="A61220" s="118"/>
      <c r="B61220" s="136"/>
    </row>
    <row r="61221" spans="1:2" x14ac:dyDescent="0.25">
      <c r="A61221" s="118"/>
      <c r="B61221" s="136"/>
    </row>
    <row r="61222" spans="1:2" x14ac:dyDescent="0.25">
      <c r="A61222" s="118"/>
      <c r="B61222" s="136"/>
    </row>
    <row r="61223" spans="1:2" x14ac:dyDescent="0.25">
      <c r="A61223" s="118"/>
      <c r="B61223" s="136"/>
    </row>
    <row r="61224" spans="1:2" x14ac:dyDescent="0.25">
      <c r="A61224" s="118"/>
      <c r="B61224" s="136"/>
    </row>
    <row r="61225" spans="1:2" x14ac:dyDescent="0.25">
      <c r="A61225" s="118"/>
      <c r="B61225" s="136"/>
    </row>
    <row r="61226" spans="1:2" x14ac:dyDescent="0.25">
      <c r="A61226" s="118"/>
      <c r="B61226" s="136"/>
    </row>
    <row r="61227" spans="1:2" x14ac:dyDescent="0.25">
      <c r="A61227" s="118"/>
      <c r="B61227" s="136"/>
    </row>
    <row r="61228" spans="1:2" x14ac:dyDescent="0.25">
      <c r="A61228" s="118"/>
      <c r="B61228" s="136"/>
    </row>
    <row r="61229" spans="1:2" x14ac:dyDescent="0.25">
      <c r="A61229" s="118"/>
      <c r="B61229" s="136"/>
    </row>
    <row r="61230" spans="1:2" x14ac:dyDescent="0.25">
      <c r="A61230" s="118"/>
      <c r="B61230" s="136"/>
    </row>
    <row r="61231" spans="1:2" x14ac:dyDescent="0.25">
      <c r="A61231" s="118"/>
      <c r="B61231" s="136"/>
    </row>
    <row r="61232" spans="1:2" x14ac:dyDescent="0.25">
      <c r="A61232" s="118"/>
      <c r="B61232" s="136"/>
    </row>
    <row r="61233" spans="1:2" x14ac:dyDescent="0.25">
      <c r="A61233" s="118"/>
      <c r="B61233" s="136"/>
    </row>
    <row r="61234" spans="1:2" x14ac:dyDescent="0.25">
      <c r="A61234" s="118"/>
      <c r="B61234" s="136"/>
    </row>
    <row r="61235" spans="1:2" x14ac:dyDescent="0.25">
      <c r="A61235" s="118"/>
      <c r="B61235" s="136"/>
    </row>
    <row r="61236" spans="1:2" x14ac:dyDescent="0.25">
      <c r="A61236" s="118"/>
      <c r="B61236" s="136"/>
    </row>
    <row r="61237" spans="1:2" x14ac:dyDescent="0.25">
      <c r="A61237" s="118"/>
      <c r="B61237" s="136"/>
    </row>
    <row r="61238" spans="1:2" x14ac:dyDescent="0.25">
      <c r="A61238" s="118"/>
      <c r="B61238" s="136"/>
    </row>
    <row r="61239" spans="1:2" x14ac:dyDescent="0.25">
      <c r="A61239" s="118"/>
      <c r="B61239" s="136"/>
    </row>
    <row r="61240" spans="1:2" x14ac:dyDescent="0.25">
      <c r="A61240" s="118"/>
      <c r="B61240" s="136"/>
    </row>
    <row r="61241" spans="1:2" x14ac:dyDescent="0.25">
      <c r="A61241" s="118"/>
      <c r="B61241" s="136"/>
    </row>
    <row r="61242" spans="1:2" x14ac:dyDescent="0.25">
      <c r="A61242" s="118"/>
      <c r="B61242" s="136"/>
    </row>
    <row r="61243" spans="1:2" x14ac:dyDescent="0.25">
      <c r="A61243" s="118"/>
      <c r="B61243" s="136"/>
    </row>
    <row r="61244" spans="1:2" x14ac:dyDescent="0.25">
      <c r="A61244" s="118"/>
      <c r="B61244" s="136"/>
    </row>
    <row r="61245" spans="1:2" x14ac:dyDescent="0.25">
      <c r="A61245" s="118"/>
      <c r="B61245" s="136"/>
    </row>
    <row r="61246" spans="1:2" x14ac:dyDescent="0.25">
      <c r="A61246" s="118"/>
      <c r="B61246" s="136"/>
    </row>
    <row r="61247" spans="1:2" x14ac:dyDescent="0.25">
      <c r="A61247" s="118"/>
      <c r="B61247" s="136"/>
    </row>
    <row r="61248" spans="1:2" x14ac:dyDescent="0.25">
      <c r="A61248" s="118"/>
      <c r="B61248" s="136"/>
    </row>
    <row r="61249" spans="1:2" x14ac:dyDescent="0.25">
      <c r="A61249" s="118"/>
      <c r="B61249" s="136"/>
    </row>
    <row r="61250" spans="1:2" x14ac:dyDescent="0.25">
      <c r="A61250" s="118"/>
      <c r="B61250" s="136"/>
    </row>
    <row r="61251" spans="1:2" x14ac:dyDescent="0.25">
      <c r="A61251" s="118"/>
      <c r="B61251" s="136"/>
    </row>
    <row r="61252" spans="1:2" x14ac:dyDescent="0.25">
      <c r="A61252" s="118"/>
      <c r="B61252" s="136"/>
    </row>
    <row r="61253" spans="1:2" x14ac:dyDescent="0.25">
      <c r="A61253" s="118"/>
      <c r="B61253" s="136"/>
    </row>
    <row r="61254" spans="1:2" x14ac:dyDescent="0.25">
      <c r="A61254" s="118"/>
      <c r="B61254" s="136"/>
    </row>
    <row r="61255" spans="1:2" x14ac:dyDescent="0.25">
      <c r="A61255" s="118"/>
      <c r="B61255" s="136"/>
    </row>
    <row r="61256" spans="1:2" x14ac:dyDescent="0.25">
      <c r="A61256" s="118"/>
      <c r="B61256" s="136"/>
    </row>
    <row r="61257" spans="1:2" x14ac:dyDescent="0.25">
      <c r="A61257" s="118"/>
      <c r="B61257" s="136"/>
    </row>
    <row r="61258" spans="1:2" x14ac:dyDescent="0.25">
      <c r="A61258" s="118"/>
      <c r="B61258" s="136"/>
    </row>
    <row r="61259" spans="1:2" x14ac:dyDescent="0.25">
      <c r="A61259" s="118"/>
      <c r="B61259" s="136"/>
    </row>
    <row r="61260" spans="1:2" x14ac:dyDescent="0.25">
      <c r="A61260" s="118"/>
      <c r="B61260" s="136"/>
    </row>
    <row r="61261" spans="1:2" x14ac:dyDescent="0.25">
      <c r="A61261" s="118"/>
      <c r="B61261" s="136"/>
    </row>
    <row r="61262" spans="1:2" x14ac:dyDescent="0.25">
      <c r="A61262" s="118"/>
      <c r="B61262" s="136"/>
    </row>
    <row r="61263" spans="1:2" x14ac:dyDescent="0.25">
      <c r="A61263" s="118"/>
      <c r="B61263" s="136"/>
    </row>
    <row r="61264" spans="1:2" x14ac:dyDescent="0.25">
      <c r="A61264" s="118"/>
      <c r="B61264" s="136"/>
    </row>
    <row r="61265" spans="1:2" x14ac:dyDescent="0.25">
      <c r="A61265" s="118"/>
      <c r="B61265" s="136"/>
    </row>
    <row r="61266" spans="1:2" x14ac:dyDescent="0.25">
      <c r="A61266" s="118"/>
      <c r="B61266" s="136"/>
    </row>
    <row r="61267" spans="1:2" x14ac:dyDescent="0.25">
      <c r="A61267" s="118"/>
      <c r="B61267" s="136"/>
    </row>
    <row r="61268" spans="1:2" x14ac:dyDescent="0.25">
      <c r="A61268" s="118"/>
      <c r="B61268" s="136"/>
    </row>
    <row r="61269" spans="1:2" x14ac:dyDescent="0.25">
      <c r="A61269" s="118"/>
      <c r="B61269" s="136"/>
    </row>
    <row r="61270" spans="1:2" x14ac:dyDescent="0.25">
      <c r="A61270" s="118"/>
      <c r="B61270" s="136"/>
    </row>
    <row r="61271" spans="1:2" x14ac:dyDescent="0.25">
      <c r="A61271" s="118"/>
      <c r="B61271" s="136"/>
    </row>
    <row r="61272" spans="1:2" x14ac:dyDescent="0.25">
      <c r="A61272" s="118"/>
      <c r="B61272" s="136"/>
    </row>
    <row r="61273" spans="1:2" x14ac:dyDescent="0.25">
      <c r="A61273" s="118"/>
      <c r="B61273" s="136"/>
    </row>
    <row r="61274" spans="1:2" x14ac:dyDescent="0.25">
      <c r="A61274" s="118"/>
      <c r="B61274" s="136"/>
    </row>
    <row r="61275" spans="1:2" x14ac:dyDescent="0.25">
      <c r="A61275" s="118"/>
      <c r="B61275" s="136"/>
    </row>
    <row r="61276" spans="1:2" x14ac:dyDescent="0.25">
      <c r="A61276" s="118"/>
      <c r="B61276" s="136"/>
    </row>
    <row r="61277" spans="1:2" x14ac:dyDescent="0.25">
      <c r="A61277" s="118"/>
      <c r="B61277" s="136"/>
    </row>
    <row r="61278" spans="1:2" x14ac:dyDescent="0.25">
      <c r="A61278" s="118"/>
      <c r="B61278" s="136"/>
    </row>
    <row r="61279" spans="1:2" x14ac:dyDescent="0.25">
      <c r="A61279" s="118"/>
      <c r="B61279" s="136"/>
    </row>
    <row r="61280" spans="1:2" x14ac:dyDescent="0.25">
      <c r="A61280" s="118"/>
      <c r="B61280" s="136"/>
    </row>
    <row r="61281" spans="1:2" x14ac:dyDescent="0.25">
      <c r="A61281" s="118"/>
      <c r="B61281" s="136"/>
    </row>
    <row r="61282" spans="1:2" x14ac:dyDescent="0.25">
      <c r="A61282" s="118"/>
      <c r="B61282" s="136"/>
    </row>
    <row r="61283" spans="1:2" x14ac:dyDescent="0.25">
      <c r="A61283" s="118"/>
      <c r="B61283" s="136"/>
    </row>
    <row r="61284" spans="1:2" x14ac:dyDescent="0.25">
      <c r="A61284" s="118"/>
      <c r="B61284" s="136"/>
    </row>
    <row r="61285" spans="1:2" x14ac:dyDescent="0.25">
      <c r="A61285" s="118"/>
      <c r="B61285" s="136"/>
    </row>
    <row r="61286" spans="1:2" x14ac:dyDescent="0.25">
      <c r="A61286" s="118"/>
      <c r="B61286" s="136"/>
    </row>
    <row r="61287" spans="1:2" x14ac:dyDescent="0.25">
      <c r="A61287" s="118"/>
      <c r="B61287" s="136"/>
    </row>
    <row r="61288" spans="1:2" x14ac:dyDescent="0.25">
      <c r="A61288" s="118"/>
      <c r="B61288" s="136"/>
    </row>
    <row r="61289" spans="1:2" x14ac:dyDescent="0.25">
      <c r="A61289" s="118"/>
      <c r="B61289" s="136"/>
    </row>
    <row r="61290" spans="1:2" x14ac:dyDescent="0.25">
      <c r="A61290" s="118"/>
      <c r="B61290" s="136"/>
    </row>
    <row r="61291" spans="1:2" x14ac:dyDescent="0.25">
      <c r="A61291" s="118"/>
      <c r="B61291" s="136"/>
    </row>
    <row r="61292" spans="1:2" x14ac:dyDescent="0.25">
      <c r="A61292" s="118"/>
      <c r="B61292" s="136"/>
    </row>
    <row r="61293" spans="1:2" x14ac:dyDescent="0.25">
      <c r="A61293" s="118"/>
      <c r="B61293" s="136"/>
    </row>
    <row r="61294" spans="1:2" x14ac:dyDescent="0.25">
      <c r="A61294" s="118"/>
      <c r="B61294" s="136"/>
    </row>
    <row r="61295" spans="1:2" x14ac:dyDescent="0.25">
      <c r="A61295" s="118"/>
      <c r="B61295" s="136"/>
    </row>
    <row r="61296" spans="1:2" x14ac:dyDescent="0.25">
      <c r="A61296" s="118"/>
      <c r="B61296" s="136"/>
    </row>
    <row r="61297" spans="1:2" x14ac:dyDescent="0.25">
      <c r="A61297" s="118"/>
      <c r="B61297" s="136"/>
    </row>
    <row r="61298" spans="1:2" x14ac:dyDescent="0.25">
      <c r="A61298" s="118"/>
      <c r="B61298" s="136"/>
    </row>
    <row r="61299" spans="1:2" x14ac:dyDescent="0.25">
      <c r="A61299" s="118"/>
      <c r="B61299" s="136"/>
    </row>
    <row r="61300" spans="1:2" x14ac:dyDescent="0.25">
      <c r="A61300" s="118"/>
      <c r="B61300" s="136"/>
    </row>
    <row r="61301" spans="1:2" x14ac:dyDescent="0.25">
      <c r="A61301" s="118"/>
      <c r="B61301" s="136"/>
    </row>
    <row r="61302" spans="1:2" x14ac:dyDescent="0.25">
      <c r="A61302" s="118"/>
      <c r="B61302" s="136"/>
    </row>
    <row r="61303" spans="1:2" x14ac:dyDescent="0.25">
      <c r="A61303" s="118"/>
      <c r="B61303" s="136"/>
    </row>
    <row r="61304" spans="1:2" x14ac:dyDescent="0.25">
      <c r="A61304" s="118"/>
      <c r="B61304" s="136"/>
    </row>
    <row r="61305" spans="1:2" x14ac:dyDescent="0.25">
      <c r="A61305" s="118"/>
      <c r="B61305" s="136"/>
    </row>
    <row r="61306" spans="1:2" x14ac:dyDescent="0.25">
      <c r="A61306" s="118"/>
      <c r="B61306" s="136"/>
    </row>
    <row r="61307" spans="1:2" x14ac:dyDescent="0.25">
      <c r="A61307" s="118"/>
      <c r="B61307" s="136"/>
    </row>
    <row r="61308" spans="1:2" x14ac:dyDescent="0.25">
      <c r="A61308" s="118"/>
      <c r="B61308" s="136"/>
    </row>
    <row r="61309" spans="1:2" x14ac:dyDescent="0.25">
      <c r="A61309" s="118"/>
      <c r="B61309" s="136"/>
    </row>
    <row r="61310" spans="1:2" x14ac:dyDescent="0.25">
      <c r="A61310" s="118"/>
      <c r="B61310" s="136"/>
    </row>
    <row r="61311" spans="1:2" x14ac:dyDescent="0.25">
      <c r="A61311" s="118"/>
      <c r="B61311" s="136"/>
    </row>
    <row r="61312" spans="1:2" x14ac:dyDescent="0.25">
      <c r="A61312" s="118"/>
      <c r="B61312" s="136"/>
    </row>
    <row r="61313" spans="1:2" x14ac:dyDescent="0.25">
      <c r="A61313" s="118"/>
      <c r="B61313" s="136"/>
    </row>
    <row r="61314" spans="1:2" x14ac:dyDescent="0.25">
      <c r="A61314" s="118"/>
      <c r="B61314" s="136"/>
    </row>
    <row r="61315" spans="1:2" x14ac:dyDescent="0.25">
      <c r="A61315" s="118"/>
      <c r="B61315" s="136"/>
    </row>
    <row r="61316" spans="1:2" x14ac:dyDescent="0.25">
      <c r="A61316" s="118"/>
      <c r="B61316" s="136"/>
    </row>
    <row r="61317" spans="1:2" x14ac:dyDescent="0.25">
      <c r="A61317" s="118"/>
      <c r="B61317" s="136"/>
    </row>
    <row r="61318" spans="1:2" x14ac:dyDescent="0.25">
      <c r="A61318" s="118"/>
      <c r="B61318" s="136"/>
    </row>
    <row r="61319" spans="1:2" x14ac:dyDescent="0.25">
      <c r="A61319" s="118"/>
      <c r="B61319" s="136"/>
    </row>
    <row r="61320" spans="1:2" x14ac:dyDescent="0.25">
      <c r="A61320" s="118"/>
      <c r="B61320" s="136"/>
    </row>
    <row r="61321" spans="1:2" x14ac:dyDescent="0.25">
      <c r="A61321" s="118"/>
      <c r="B61321" s="136"/>
    </row>
    <row r="61322" spans="1:2" x14ac:dyDescent="0.25">
      <c r="A61322" s="118"/>
      <c r="B61322" s="136"/>
    </row>
    <row r="61323" spans="1:2" x14ac:dyDescent="0.25">
      <c r="A61323" s="118"/>
      <c r="B61323" s="136"/>
    </row>
    <row r="61324" spans="1:2" x14ac:dyDescent="0.25">
      <c r="A61324" s="118"/>
      <c r="B61324" s="136"/>
    </row>
    <row r="61325" spans="1:2" x14ac:dyDescent="0.25">
      <c r="A61325" s="118"/>
      <c r="B61325" s="136"/>
    </row>
    <row r="61326" spans="1:2" x14ac:dyDescent="0.25">
      <c r="A61326" s="118"/>
      <c r="B61326" s="136"/>
    </row>
    <row r="61327" spans="1:2" x14ac:dyDescent="0.25">
      <c r="A61327" s="118"/>
      <c r="B61327" s="136"/>
    </row>
    <row r="61328" spans="1:2" x14ac:dyDescent="0.25">
      <c r="A61328" s="118"/>
      <c r="B61328" s="136"/>
    </row>
    <row r="61329" spans="1:2" x14ac:dyDescent="0.25">
      <c r="A61329" s="118"/>
      <c r="B61329" s="136"/>
    </row>
    <row r="61330" spans="1:2" x14ac:dyDescent="0.25">
      <c r="A61330" s="118"/>
      <c r="B61330" s="136"/>
    </row>
    <row r="61331" spans="1:2" x14ac:dyDescent="0.25">
      <c r="A61331" s="118"/>
      <c r="B61331" s="136"/>
    </row>
    <row r="61332" spans="1:2" x14ac:dyDescent="0.25">
      <c r="A61332" s="118"/>
      <c r="B61332" s="136"/>
    </row>
    <row r="61333" spans="1:2" x14ac:dyDescent="0.25">
      <c r="A61333" s="118"/>
      <c r="B61333" s="136"/>
    </row>
    <row r="61334" spans="1:2" x14ac:dyDescent="0.25">
      <c r="A61334" s="118"/>
      <c r="B61334" s="136"/>
    </row>
    <row r="61335" spans="1:2" x14ac:dyDescent="0.25">
      <c r="A61335" s="118"/>
      <c r="B61335" s="136"/>
    </row>
    <row r="61336" spans="1:2" x14ac:dyDescent="0.25">
      <c r="A61336" s="118"/>
      <c r="B61336" s="136"/>
    </row>
    <row r="61337" spans="1:2" x14ac:dyDescent="0.25">
      <c r="A61337" s="118"/>
      <c r="B61337" s="136"/>
    </row>
    <row r="61338" spans="1:2" x14ac:dyDescent="0.25">
      <c r="A61338" s="118"/>
      <c r="B61338" s="136"/>
    </row>
    <row r="61339" spans="1:2" x14ac:dyDescent="0.25">
      <c r="A61339" s="118"/>
      <c r="B61339" s="136"/>
    </row>
    <row r="61340" spans="1:2" x14ac:dyDescent="0.25">
      <c r="A61340" s="118"/>
      <c r="B61340" s="136"/>
    </row>
    <row r="61341" spans="1:2" x14ac:dyDescent="0.25">
      <c r="A61341" s="118"/>
      <c r="B61341" s="136"/>
    </row>
    <row r="61342" spans="1:2" x14ac:dyDescent="0.25">
      <c r="A61342" s="118"/>
      <c r="B61342" s="136"/>
    </row>
    <row r="61343" spans="1:2" x14ac:dyDescent="0.25">
      <c r="A61343" s="118"/>
      <c r="B61343" s="136"/>
    </row>
    <row r="61344" spans="1:2" x14ac:dyDescent="0.25">
      <c r="A61344" s="118"/>
      <c r="B61344" s="136"/>
    </row>
    <row r="61345" spans="1:2" x14ac:dyDescent="0.25">
      <c r="A61345" s="118"/>
      <c r="B61345" s="136"/>
    </row>
    <row r="61346" spans="1:2" x14ac:dyDescent="0.25">
      <c r="A61346" s="118"/>
      <c r="B61346" s="136"/>
    </row>
    <row r="61347" spans="1:2" x14ac:dyDescent="0.25">
      <c r="A61347" s="118"/>
      <c r="B61347" s="136"/>
    </row>
    <row r="61348" spans="1:2" x14ac:dyDescent="0.25">
      <c r="A61348" s="118"/>
      <c r="B61348" s="136"/>
    </row>
    <row r="61349" spans="1:2" x14ac:dyDescent="0.25">
      <c r="A61349" s="118"/>
      <c r="B61349" s="136"/>
    </row>
    <row r="61350" spans="1:2" x14ac:dyDescent="0.25">
      <c r="A61350" s="118"/>
      <c r="B61350" s="136"/>
    </row>
    <row r="61351" spans="1:2" x14ac:dyDescent="0.25">
      <c r="A61351" s="118"/>
      <c r="B61351" s="136"/>
    </row>
    <row r="61352" spans="1:2" x14ac:dyDescent="0.25">
      <c r="A61352" s="118"/>
      <c r="B61352" s="136"/>
    </row>
    <row r="61353" spans="1:2" x14ac:dyDescent="0.25">
      <c r="A61353" s="118"/>
      <c r="B61353" s="136"/>
    </row>
    <row r="61354" spans="1:2" x14ac:dyDescent="0.25">
      <c r="A61354" s="118"/>
      <c r="B61354" s="136"/>
    </row>
    <row r="61355" spans="1:2" x14ac:dyDescent="0.25">
      <c r="A61355" s="118"/>
      <c r="B61355" s="136"/>
    </row>
    <row r="61356" spans="1:2" x14ac:dyDescent="0.25">
      <c r="A61356" s="118"/>
      <c r="B61356" s="136"/>
    </row>
    <row r="61357" spans="1:2" x14ac:dyDescent="0.25">
      <c r="A61357" s="118"/>
      <c r="B61357" s="136"/>
    </row>
    <row r="61358" spans="1:2" x14ac:dyDescent="0.25">
      <c r="A61358" s="118"/>
      <c r="B61358" s="136"/>
    </row>
    <row r="61359" spans="1:2" x14ac:dyDescent="0.25">
      <c r="A61359" s="118"/>
      <c r="B61359" s="136"/>
    </row>
    <row r="61360" spans="1:2" x14ac:dyDescent="0.25">
      <c r="A61360" s="118"/>
      <c r="B61360" s="136"/>
    </row>
    <row r="61361" spans="1:2" x14ac:dyDescent="0.25">
      <c r="A61361" s="118"/>
      <c r="B61361" s="136"/>
    </row>
    <row r="61362" spans="1:2" x14ac:dyDescent="0.25">
      <c r="A61362" s="118"/>
      <c r="B61362" s="136"/>
    </row>
    <row r="61363" spans="1:2" x14ac:dyDescent="0.25">
      <c r="A61363" s="118"/>
      <c r="B61363" s="136"/>
    </row>
    <row r="61364" spans="1:2" x14ac:dyDescent="0.25">
      <c r="A61364" s="118"/>
      <c r="B61364" s="136"/>
    </row>
    <row r="61365" spans="1:2" x14ac:dyDescent="0.25">
      <c r="A61365" s="118"/>
      <c r="B61365" s="136"/>
    </row>
    <row r="61366" spans="1:2" x14ac:dyDescent="0.25">
      <c r="A61366" s="118"/>
      <c r="B61366" s="136"/>
    </row>
    <row r="61367" spans="1:2" x14ac:dyDescent="0.25">
      <c r="A61367" s="118"/>
      <c r="B61367" s="136"/>
    </row>
    <row r="61368" spans="1:2" x14ac:dyDescent="0.25">
      <c r="A61368" s="118"/>
      <c r="B61368" s="136"/>
    </row>
    <row r="61369" spans="1:2" x14ac:dyDescent="0.25">
      <c r="A61369" s="118"/>
      <c r="B61369" s="136"/>
    </row>
    <row r="61370" spans="1:2" x14ac:dyDescent="0.25">
      <c r="A61370" s="118"/>
      <c r="B61370" s="136"/>
    </row>
    <row r="61371" spans="1:2" x14ac:dyDescent="0.25">
      <c r="A61371" s="118"/>
      <c r="B61371" s="136"/>
    </row>
    <row r="61372" spans="1:2" x14ac:dyDescent="0.25">
      <c r="A61372" s="118"/>
      <c r="B61372" s="136"/>
    </row>
    <row r="61373" spans="1:2" x14ac:dyDescent="0.25">
      <c r="A61373" s="118"/>
      <c r="B61373" s="136"/>
    </row>
    <row r="61374" spans="1:2" x14ac:dyDescent="0.25">
      <c r="A61374" s="118"/>
      <c r="B61374" s="136"/>
    </row>
    <row r="61375" spans="1:2" x14ac:dyDescent="0.25">
      <c r="A61375" s="118"/>
      <c r="B61375" s="136"/>
    </row>
    <row r="61376" spans="1:2" x14ac:dyDescent="0.25">
      <c r="A61376" s="118"/>
      <c r="B61376" s="136"/>
    </row>
    <row r="61377" spans="1:2" x14ac:dyDescent="0.25">
      <c r="A61377" s="118"/>
      <c r="B61377" s="136"/>
    </row>
    <row r="61378" spans="1:2" x14ac:dyDescent="0.25">
      <c r="A61378" s="118"/>
      <c r="B61378" s="136"/>
    </row>
    <row r="61379" spans="1:2" x14ac:dyDescent="0.25">
      <c r="A61379" s="118"/>
      <c r="B61379" s="136"/>
    </row>
    <row r="61380" spans="1:2" x14ac:dyDescent="0.25">
      <c r="A61380" s="118"/>
      <c r="B61380" s="136"/>
    </row>
    <row r="61381" spans="1:2" x14ac:dyDescent="0.25">
      <c r="A61381" s="118"/>
      <c r="B61381" s="136"/>
    </row>
    <row r="61382" spans="1:2" x14ac:dyDescent="0.25">
      <c r="A61382" s="118"/>
      <c r="B61382" s="136"/>
    </row>
    <row r="61383" spans="1:2" x14ac:dyDescent="0.25">
      <c r="A61383" s="118"/>
      <c r="B61383" s="136"/>
    </row>
    <row r="61384" spans="1:2" x14ac:dyDescent="0.25">
      <c r="A61384" s="118"/>
      <c r="B61384" s="136"/>
    </row>
    <row r="61385" spans="1:2" x14ac:dyDescent="0.25">
      <c r="A61385" s="118"/>
      <c r="B61385" s="136"/>
    </row>
    <row r="61386" spans="1:2" x14ac:dyDescent="0.25">
      <c r="A61386" s="118"/>
      <c r="B61386" s="136"/>
    </row>
    <row r="61387" spans="1:2" x14ac:dyDescent="0.25">
      <c r="A61387" s="118"/>
      <c r="B61387" s="136"/>
    </row>
    <row r="61388" spans="1:2" x14ac:dyDescent="0.25">
      <c r="A61388" s="118"/>
      <c r="B61388" s="136"/>
    </row>
    <row r="61389" spans="1:2" x14ac:dyDescent="0.25">
      <c r="A61389" s="118"/>
      <c r="B61389" s="136"/>
    </row>
    <row r="61390" spans="1:2" x14ac:dyDescent="0.25">
      <c r="A61390" s="118"/>
      <c r="B61390" s="136"/>
    </row>
    <row r="61391" spans="1:2" x14ac:dyDescent="0.25">
      <c r="A61391" s="118"/>
      <c r="B61391" s="136"/>
    </row>
    <row r="61392" spans="1:2" x14ac:dyDescent="0.25">
      <c r="A61392" s="118"/>
      <c r="B61392" s="136"/>
    </row>
    <row r="61393" spans="1:2" x14ac:dyDescent="0.25">
      <c r="A61393" s="118"/>
      <c r="B61393" s="136"/>
    </row>
    <row r="61394" spans="1:2" x14ac:dyDescent="0.25">
      <c r="A61394" s="118"/>
      <c r="B61394" s="136"/>
    </row>
    <row r="61395" spans="1:2" x14ac:dyDescent="0.25">
      <c r="A61395" s="118"/>
      <c r="B61395" s="136"/>
    </row>
    <row r="61396" spans="1:2" x14ac:dyDescent="0.25">
      <c r="A61396" s="118"/>
      <c r="B61396" s="136"/>
    </row>
    <row r="61397" spans="1:2" x14ac:dyDescent="0.25">
      <c r="A61397" s="118"/>
      <c r="B61397" s="136"/>
    </row>
    <row r="61398" spans="1:2" x14ac:dyDescent="0.25">
      <c r="A61398" s="118"/>
      <c r="B61398" s="136"/>
    </row>
    <row r="61399" spans="1:2" x14ac:dyDescent="0.25">
      <c r="A61399" s="118"/>
      <c r="B61399" s="136"/>
    </row>
    <row r="61400" spans="1:2" x14ac:dyDescent="0.25">
      <c r="A61400" s="118"/>
      <c r="B61400" s="136"/>
    </row>
    <row r="61401" spans="1:2" x14ac:dyDescent="0.25">
      <c r="A61401" s="118"/>
      <c r="B61401" s="136"/>
    </row>
    <row r="61402" spans="1:2" x14ac:dyDescent="0.25">
      <c r="A61402" s="118"/>
      <c r="B61402" s="136"/>
    </row>
    <row r="61403" spans="1:2" x14ac:dyDescent="0.25">
      <c r="A61403" s="118"/>
      <c r="B61403" s="136"/>
    </row>
    <row r="61404" spans="1:2" x14ac:dyDescent="0.25">
      <c r="A61404" s="118"/>
      <c r="B61404" s="136"/>
    </row>
    <row r="61405" spans="1:2" x14ac:dyDescent="0.25">
      <c r="A61405" s="118"/>
      <c r="B61405" s="136"/>
    </row>
    <row r="61406" spans="1:2" x14ac:dyDescent="0.25">
      <c r="A61406" s="118"/>
      <c r="B61406" s="136"/>
    </row>
    <row r="61407" spans="1:2" x14ac:dyDescent="0.25">
      <c r="A61407" s="118"/>
      <c r="B61407" s="136"/>
    </row>
    <row r="61408" spans="1:2" x14ac:dyDescent="0.25">
      <c r="A61408" s="118"/>
      <c r="B61408" s="136"/>
    </row>
    <row r="61409" spans="1:2" x14ac:dyDescent="0.25">
      <c r="A61409" s="118"/>
      <c r="B61409" s="136"/>
    </row>
    <row r="61410" spans="1:2" x14ac:dyDescent="0.25">
      <c r="A61410" s="118"/>
      <c r="B61410" s="136"/>
    </row>
    <row r="61411" spans="1:2" x14ac:dyDescent="0.25">
      <c r="A61411" s="118"/>
      <c r="B61411" s="136"/>
    </row>
    <row r="61412" spans="1:2" x14ac:dyDescent="0.25">
      <c r="A61412" s="118"/>
      <c r="B61412" s="136"/>
    </row>
    <row r="61413" spans="1:2" x14ac:dyDescent="0.25">
      <c r="A61413" s="118"/>
      <c r="B61413" s="136"/>
    </row>
    <row r="61414" spans="1:2" x14ac:dyDescent="0.25">
      <c r="A61414" s="118"/>
      <c r="B61414" s="136"/>
    </row>
    <row r="61415" spans="1:2" x14ac:dyDescent="0.25">
      <c r="A61415" s="118"/>
      <c r="B61415" s="136"/>
    </row>
    <row r="61416" spans="1:2" x14ac:dyDescent="0.25">
      <c r="A61416" s="118"/>
      <c r="B61416" s="136"/>
    </row>
    <row r="61417" spans="1:2" x14ac:dyDescent="0.25">
      <c r="A61417" s="118"/>
      <c r="B61417" s="136"/>
    </row>
    <row r="61418" spans="1:2" x14ac:dyDescent="0.25">
      <c r="A61418" s="118"/>
      <c r="B61418" s="136"/>
    </row>
    <row r="61419" spans="1:2" x14ac:dyDescent="0.25">
      <c r="A61419" s="118"/>
      <c r="B61419" s="136"/>
    </row>
    <row r="61420" spans="1:2" x14ac:dyDescent="0.25">
      <c r="A61420" s="118"/>
      <c r="B61420" s="136"/>
    </row>
    <row r="61421" spans="1:2" x14ac:dyDescent="0.25">
      <c r="A61421" s="118"/>
      <c r="B61421" s="136"/>
    </row>
    <row r="61422" spans="1:2" x14ac:dyDescent="0.25">
      <c r="A61422" s="118"/>
      <c r="B61422" s="136"/>
    </row>
    <row r="61423" spans="1:2" x14ac:dyDescent="0.25">
      <c r="A61423" s="118"/>
      <c r="B61423" s="136"/>
    </row>
    <row r="61424" spans="1:2" x14ac:dyDescent="0.25">
      <c r="A61424" s="118"/>
      <c r="B61424" s="136"/>
    </row>
    <row r="61425" spans="1:2" x14ac:dyDescent="0.25">
      <c r="A61425" s="118"/>
      <c r="B61425" s="136"/>
    </row>
    <row r="61426" spans="1:2" x14ac:dyDescent="0.25">
      <c r="A61426" s="118"/>
      <c r="B61426" s="136"/>
    </row>
    <row r="61427" spans="1:2" x14ac:dyDescent="0.25">
      <c r="A61427" s="118"/>
      <c r="B61427" s="136"/>
    </row>
    <row r="61428" spans="1:2" x14ac:dyDescent="0.25">
      <c r="A61428" s="118"/>
      <c r="B61428" s="136"/>
    </row>
    <row r="61429" spans="1:2" x14ac:dyDescent="0.25">
      <c r="A61429" s="118"/>
      <c r="B61429" s="136"/>
    </row>
    <row r="61430" spans="1:2" x14ac:dyDescent="0.25">
      <c r="A61430" s="118"/>
      <c r="B61430" s="136"/>
    </row>
    <row r="61431" spans="1:2" x14ac:dyDescent="0.25">
      <c r="A61431" s="118"/>
      <c r="B61431" s="136"/>
    </row>
    <row r="61432" spans="1:2" x14ac:dyDescent="0.25">
      <c r="A61432" s="118"/>
      <c r="B61432" s="136"/>
    </row>
    <row r="61433" spans="1:2" x14ac:dyDescent="0.25">
      <c r="A61433" s="118"/>
      <c r="B61433" s="136"/>
    </row>
    <row r="61434" spans="1:2" x14ac:dyDescent="0.25">
      <c r="A61434" s="118"/>
      <c r="B61434" s="136"/>
    </row>
    <row r="61435" spans="1:2" x14ac:dyDescent="0.25">
      <c r="A61435" s="118"/>
      <c r="B61435" s="136"/>
    </row>
    <row r="61436" spans="1:2" x14ac:dyDescent="0.25">
      <c r="A61436" s="118"/>
      <c r="B61436" s="136"/>
    </row>
    <row r="61437" spans="1:2" x14ac:dyDescent="0.25">
      <c r="A61437" s="118"/>
      <c r="B61437" s="136"/>
    </row>
    <row r="61438" spans="1:2" x14ac:dyDescent="0.25">
      <c r="A61438" s="118"/>
      <c r="B61438" s="136"/>
    </row>
    <row r="61439" spans="1:2" x14ac:dyDescent="0.25">
      <c r="A61439" s="118"/>
      <c r="B61439" s="136"/>
    </row>
    <row r="61440" spans="1:2" x14ac:dyDescent="0.25">
      <c r="A61440" s="118"/>
      <c r="B61440" s="136"/>
    </row>
    <row r="61441" spans="1:2" x14ac:dyDescent="0.25">
      <c r="A61441" s="118"/>
      <c r="B61441" s="136"/>
    </row>
    <row r="61442" spans="1:2" x14ac:dyDescent="0.25">
      <c r="A61442" s="118"/>
      <c r="B61442" s="136"/>
    </row>
    <row r="61443" spans="1:2" x14ac:dyDescent="0.25">
      <c r="A61443" s="118"/>
      <c r="B61443" s="136"/>
    </row>
    <row r="61444" spans="1:2" x14ac:dyDescent="0.25">
      <c r="A61444" s="118"/>
      <c r="B61444" s="136"/>
    </row>
    <row r="61445" spans="1:2" x14ac:dyDescent="0.25">
      <c r="A61445" s="118"/>
      <c r="B61445" s="136"/>
    </row>
    <row r="61446" spans="1:2" x14ac:dyDescent="0.25">
      <c r="A61446" s="118"/>
      <c r="B61446" s="136"/>
    </row>
    <row r="61447" spans="1:2" x14ac:dyDescent="0.25">
      <c r="A61447" s="118"/>
      <c r="B61447" s="136"/>
    </row>
    <row r="61448" spans="1:2" x14ac:dyDescent="0.25">
      <c r="A61448" s="118"/>
      <c r="B61448" s="136"/>
    </row>
    <row r="61449" spans="1:2" x14ac:dyDescent="0.25">
      <c r="A61449" s="118"/>
      <c r="B61449" s="136"/>
    </row>
    <row r="61450" spans="1:2" x14ac:dyDescent="0.25">
      <c r="A61450" s="118"/>
      <c r="B61450" s="136"/>
    </row>
    <row r="61451" spans="1:2" x14ac:dyDescent="0.25">
      <c r="A61451" s="118"/>
      <c r="B61451" s="136"/>
    </row>
    <row r="61452" spans="1:2" x14ac:dyDescent="0.25">
      <c r="A61452" s="118"/>
      <c r="B61452" s="136"/>
    </row>
    <row r="61453" spans="1:2" x14ac:dyDescent="0.25">
      <c r="A61453" s="118"/>
      <c r="B61453" s="136"/>
    </row>
    <row r="61454" spans="1:2" x14ac:dyDescent="0.25">
      <c r="A61454" s="118"/>
      <c r="B61454" s="136"/>
    </row>
    <row r="61455" spans="1:2" x14ac:dyDescent="0.25">
      <c r="A61455" s="118"/>
      <c r="B61455" s="136"/>
    </row>
    <row r="61456" spans="1:2" x14ac:dyDescent="0.25">
      <c r="A61456" s="118"/>
      <c r="B61456" s="136"/>
    </row>
    <row r="61457" spans="1:2" x14ac:dyDescent="0.25">
      <c r="A61457" s="118"/>
      <c r="B61457" s="136"/>
    </row>
    <row r="61458" spans="1:2" x14ac:dyDescent="0.25">
      <c r="A61458" s="118"/>
      <c r="B61458" s="136"/>
    </row>
    <row r="61459" spans="1:2" x14ac:dyDescent="0.25">
      <c r="A61459" s="118"/>
      <c r="B61459" s="136"/>
    </row>
    <row r="61460" spans="1:2" x14ac:dyDescent="0.25">
      <c r="A61460" s="118"/>
      <c r="B61460" s="136"/>
    </row>
    <row r="61461" spans="1:2" x14ac:dyDescent="0.25">
      <c r="A61461" s="118"/>
      <c r="B61461" s="136"/>
    </row>
    <row r="61462" spans="1:2" x14ac:dyDescent="0.25">
      <c r="A61462" s="118"/>
      <c r="B61462" s="136"/>
    </row>
    <row r="61463" spans="1:2" x14ac:dyDescent="0.25">
      <c r="A61463" s="118"/>
      <c r="B61463" s="136"/>
    </row>
    <row r="61464" spans="1:2" x14ac:dyDescent="0.25">
      <c r="A61464" s="118"/>
      <c r="B61464" s="136"/>
    </row>
    <row r="61465" spans="1:2" x14ac:dyDescent="0.25">
      <c r="A61465" s="118"/>
      <c r="B61465" s="136"/>
    </row>
    <row r="61466" spans="1:2" x14ac:dyDescent="0.25">
      <c r="A61466" s="118"/>
      <c r="B61466" s="136"/>
    </row>
    <row r="61467" spans="1:2" x14ac:dyDescent="0.25">
      <c r="A61467" s="118"/>
      <c r="B61467" s="136"/>
    </row>
    <row r="61468" spans="1:2" x14ac:dyDescent="0.25">
      <c r="A61468" s="118"/>
      <c r="B61468" s="136"/>
    </row>
    <row r="61469" spans="1:2" x14ac:dyDescent="0.25">
      <c r="A61469" s="118"/>
      <c r="B61469" s="136"/>
    </row>
    <row r="61470" spans="1:2" x14ac:dyDescent="0.25">
      <c r="A61470" s="118"/>
      <c r="B61470" s="136"/>
    </row>
    <row r="61471" spans="1:2" x14ac:dyDescent="0.25">
      <c r="A61471" s="118"/>
      <c r="B61471" s="136"/>
    </row>
    <row r="61472" spans="1:2" x14ac:dyDescent="0.25">
      <c r="A61472" s="118"/>
      <c r="B61472" s="136"/>
    </row>
    <row r="61473" spans="1:2" x14ac:dyDescent="0.25">
      <c r="A61473" s="118"/>
      <c r="B61473" s="136"/>
    </row>
    <row r="61474" spans="1:2" x14ac:dyDescent="0.25">
      <c r="A61474" s="118"/>
      <c r="B61474" s="136"/>
    </row>
    <row r="61475" spans="1:2" x14ac:dyDescent="0.25">
      <c r="A61475" s="118"/>
      <c r="B61475" s="136"/>
    </row>
    <row r="61476" spans="1:2" x14ac:dyDescent="0.25">
      <c r="A61476" s="118"/>
      <c r="B61476" s="136"/>
    </row>
    <row r="61477" spans="1:2" x14ac:dyDescent="0.25">
      <c r="A61477" s="118"/>
      <c r="B61477" s="136"/>
    </row>
    <row r="61478" spans="1:2" x14ac:dyDescent="0.25">
      <c r="A61478" s="118"/>
      <c r="B61478" s="136"/>
    </row>
    <row r="61479" spans="1:2" x14ac:dyDescent="0.25">
      <c r="A61479" s="118"/>
      <c r="B61479" s="136"/>
    </row>
    <row r="61480" spans="1:2" x14ac:dyDescent="0.25">
      <c r="A61480" s="118"/>
      <c r="B61480" s="136"/>
    </row>
    <row r="61481" spans="1:2" x14ac:dyDescent="0.25">
      <c r="A61481" s="118"/>
      <c r="B61481" s="136"/>
    </row>
    <row r="61482" spans="1:2" x14ac:dyDescent="0.25">
      <c r="A61482" s="118"/>
      <c r="B61482" s="136"/>
    </row>
    <row r="61483" spans="1:2" x14ac:dyDescent="0.25">
      <c r="A61483" s="118"/>
      <c r="B61483" s="136"/>
    </row>
    <row r="61484" spans="1:2" x14ac:dyDescent="0.25">
      <c r="A61484" s="118"/>
      <c r="B61484" s="136"/>
    </row>
    <row r="61485" spans="1:2" x14ac:dyDescent="0.25">
      <c r="A61485" s="118"/>
      <c r="B61485" s="136"/>
    </row>
    <row r="61486" spans="1:2" x14ac:dyDescent="0.25">
      <c r="A61486" s="118"/>
      <c r="B61486" s="136"/>
    </row>
    <row r="61487" spans="1:2" x14ac:dyDescent="0.25">
      <c r="A61487" s="118"/>
      <c r="B61487" s="136"/>
    </row>
    <row r="61488" spans="1:2" x14ac:dyDescent="0.25">
      <c r="A61488" s="118"/>
      <c r="B61488" s="136"/>
    </row>
    <row r="61489" spans="1:2" x14ac:dyDescent="0.25">
      <c r="A61489" s="118"/>
      <c r="B61489" s="136"/>
    </row>
    <row r="61490" spans="1:2" x14ac:dyDescent="0.25">
      <c r="A61490" s="118"/>
      <c r="B61490" s="136"/>
    </row>
    <row r="61491" spans="1:2" x14ac:dyDescent="0.25">
      <c r="A61491" s="118"/>
      <c r="B61491" s="136"/>
    </row>
    <row r="61492" spans="1:2" x14ac:dyDescent="0.25">
      <c r="A61492" s="118"/>
      <c r="B61492" s="136"/>
    </row>
    <row r="61493" spans="1:2" x14ac:dyDescent="0.25">
      <c r="A61493" s="118"/>
      <c r="B61493" s="136"/>
    </row>
    <row r="61494" spans="1:2" x14ac:dyDescent="0.25">
      <c r="A61494" s="118"/>
      <c r="B61494" s="136"/>
    </row>
    <row r="61495" spans="1:2" x14ac:dyDescent="0.25">
      <c r="A61495" s="118"/>
      <c r="B61495" s="136"/>
    </row>
    <row r="61496" spans="1:2" x14ac:dyDescent="0.25">
      <c r="A61496" s="118"/>
      <c r="B61496" s="136"/>
    </row>
    <row r="61497" spans="1:2" x14ac:dyDescent="0.25">
      <c r="A61497" s="118"/>
      <c r="B61497" s="136"/>
    </row>
    <row r="61498" spans="1:2" x14ac:dyDescent="0.25">
      <c r="A61498" s="118"/>
      <c r="B61498" s="136"/>
    </row>
    <row r="61499" spans="1:2" x14ac:dyDescent="0.25">
      <c r="A61499" s="118"/>
      <c r="B61499" s="136"/>
    </row>
    <row r="61500" spans="1:2" x14ac:dyDescent="0.25">
      <c r="A61500" s="118"/>
      <c r="B61500" s="136"/>
    </row>
    <row r="61501" spans="1:2" x14ac:dyDescent="0.25">
      <c r="A61501" s="118"/>
      <c r="B61501" s="136"/>
    </row>
    <row r="61502" spans="1:2" x14ac:dyDescent="0.25">
      <c r="A61502" s="118"/>
      <c r="B61502" s="136"/>
    </row>
    <row r="61503" spans="1:2" x14ac:dyDescent="0.25">
      <c r="A61503" s="118"/>
      <c r="B61503" s="136"/>
    </row>
    <row r="61504" spans="1:2" x14ac:dyDescent="0.25">
      <c r="A61504" s="118"/>
      <c r="B61504" s="136"/>
    </row>
    <row r="61505" spans="1:2" x14ac:dyDescent="0.25">
      <c r="A61505" s="118"/>
      <c r="B61505" s="136"/>
    </row>
    <row r="61506" spans="1:2" x14ac:dyDescent="0.25">
      <c r="A61506" s="118"/>
      <c r="B61506" s="136"/>
    </row>
    <row r="61507" spans="1:2" x14ac:dyDescent="0.25">
      <c r="A61507" s="118"/>
      <c r="B61507" s="136"/>
    </row>
    <row r="61508" spans="1:2" x14ac:dyDescent="0.25">
      <c r="A61508" s="118"/>
      <c r="B61508" s="136"/>
    </row>
    <row r="61509" spans="1:2" x14ac:dyDescent="0.25">
      <c r="A61509" s="118"/>
      <c r="B61509" s="136"/>
    </row>
    <row r="61510" spans="1:2" x14ac:dyDescent="0.25">
      <c r="A61510" s="118"/>
      <c r="B61510" s="136"/>
    </row>
    <row r="61511" spans="1:2" x14ac:dyDescent="0.25">
      <c r="A61511" s="118"/>
      <c r="B61511" s="136"/>
    </row>
    <row r="61512" spans="1:2" x14ac:dyDescent="0.25">
      <c r="A61512" s="118"/>
      <c r="B61512" s="136"/>
    </row>
    <row r="61513" spans="1:2" x14ac:dyDescent="0.25">
      <c r="A61513" s="118"/>
      <c r="B61513" s="136"/>
    </row>
    <row r="61514" spans="1:2" x14ac:dyDescent="0.25">
      <c r="A61514" s="118"/>
      <c r="B61514" s="136"/>
    </row>
    <row r="61515" spans="1:2" x14ac:dyDescent="0.25">
      <c r="A61515" s="118"/>
      <c r="B61515" s="136"/>
    </row>
    <row r="61516" spans="1:2" x14ac:dyDescent="0.25">
      <c r="A61516" s="118"/>
      <c r="B61516" s="136"/>
    </row>
    <row r="61517" spans="1:2" x14ac:dyDescent="0.25">
      <c r="A61517" s="118"/>
      <c r="B61517" s="136"/>
    </row>
    <row r="61518" spans="1:2" x14ac:dyDescent="0.25">
      <c r="A61518" s="118"/>
      <c r="B61518" s="136"/>
    </row>
    <row r="61519" spans="1:2" x14ac:dyDescent="0.25">
      <c r="A61519" s="118"/>
      <c r="B61519" s="136"/>
    </row>
    <row r="61520" spans="1:2" x14ac:dyDescent="0.25">
      <c r="A61520" s="118"/>
      <c r="B61520" s="136"/>
    </row>
    <row r="61521" spans="1:2" x14ac:dyDescent="0.25">
      <c r="A61521" s="118"/>
      <c r="B61521" s="136"/>
    </row>
    <row r="61522" spans="1:2" x14ac:dyDescent="0.25">
      <c r="A61522" s="118"/>
      <c r="B61522" s="136"/>
    </row>
    <row r="61523" spans="1:2" x14ac:dyDescent="0.25">
      <c r="A61523" s="118"/>
      <c r="B61523" s="136"/>
    </row>
    <row r="61524" spans="1:2" x14ac:dyDescent="0.25">
      <c r="A61524" s="118"/>
      <c r="B61524" s="136"/>
    </row>
    <row r="61525" spans="1:2" x14ac:dyDescent="0.25">
      <c r="A61525" s="118"/>
      <c r="B61525" s="136"/>
    </row>
    <row r="61526" spans="1:2" x14ac:dyDescent="0.25">
      <c r="A61526" s="118"/>
      <c r="B61526" s="136"/>
    </row>
    <row r="61527" spans="1:2" x14ac:dyDescent="0.25">
      <c r="A61527" s="118"/>
      <c r="B61527" s="136"/>
    </row>
    <row r="61528" spans="1:2" x14ac:dyDescent="0.25">
      <c r="A61528" s="118"/>
      <c r="B61528" s="136"/>
    </row>
    <row r="61529" spans="1:2" x14ac:dyDescent="0.25">
      <c r="A61529" s="118"/>
      <c r="B61529" s="136"/>
    </row>
    <row r="61530" spans="1:2" x14ac:dyDescent="0.25">
      <c r="A61530" s="118"/>
      <c r="B61530" s="136"/>
    </row>
    <row r="61531" spans="1:2" x14ac:dyDescent="0.25">
      <c r="A61531" s="118"/>
      <c r="B61531" s="136"/>
    </row>
    <row r="61532" spans="1:2" x14ac:dyDescent="0.25">
      <c r="A61532" s="118"/>
      <c r="B61532" s="136"/>
    </row>
    <row r="61533" spans="1:2" x14ac:dyDescent="0.25">
      <c r="A61533" s="118"/>
      <c r="B61533" s="136"/>
    </row>
    <row r="61534" spans="1:2" x14ac:dyDescent="0.25">
      <c r="A61534" s="118"/>
      <c r="B61534" s="136"/>
    </row>
    <row r="61535" spans="1:2" x14ac:dyDescent="0.25">
      <c r="A61535" s="118"/>
      <c r="B61535" s="136"/>
    </row>
    <row r="61536" spans="1:2" x14ac:dyDescent="0.25">
      <c r="A61536" s="118"/>
      <c r="B61536" s="136"/>
    </row>
    <row r="61537" spans="1:2" x14ac:dyDescent="0.25">
      <c r="A61537" s="118"/>
      <c r="B61537" s="136"/>
    </row>
    <row r="61538" spans="1:2" x14ac:dyDescent="0.25">
      <c r="A61538" s="118"/>
      <c r="B61538" s="136"/>
    </row>
    <row r="61539" spans="1:2" x14ac:dyDescent="0.25">
      <c r="A61539" s="118"/>
      <c r="B61539" s="136"/>
    </row>
    <row r="61540" spans="1:2" x14ac:dyDescent="0.25">
      <c r="A61540" s="118"/>
      <c r="B61540" s="136"/>
    </row>
    <row r="61541" spans="1:2" x14ac:dyDescent="0.25">
      <c r="A61541" s="118"/>
      <c r="B61541" s="136"/>
    </row>
    <row r="61542" spans="1:2" x14ac:dyDescent="0.25">
      <c r="A61542" s="118"/>
      <c r="B61542" s="136"/>
    </row>
    <row r="61543" spans="1:2" x14ac:dyDescent="0.25">
      <c r="A61543" s="118"/>
      <c r="B61543" s="136"/>
    </row>
    <row r="61544" spans="1:2" x14ac:dyDescent="0.25">
      <c r="A61544" s="118"/>
      <c r="B61544" s="136"/>
    </row>
    <row r="61545" spans="1:2" x14ac:dyDescent="0.25">
      <c r="A61545" s="118"/>
      <c r="B61545" s="136"/>
    </row>
    <row r="61546" spans="1:2" x14ac:dyDescent="0.25">
      <c r="A61546" s="118"/>
      <c r="B61546" s="136"/>
    </row>
    <row r="61547" spans="1:2" x14ac:dyDescent="0.25">
      <c r="A61547" s="118"/>
      <c r="B61547" s="136"/>
    </row>
    <row r="61548" spans="1:2" x14ac:dyDescent="0.25">
      <c r="A61548" s="118"/>
      <c r="B61548" s="136"/>
    </row>
    <row r="61549" spans="1:2" x14ac:dyDescent="0.25">
      <c r="A61549" s="118"/>
      <c r="B61549" s="136"/>
    </row>
    <row r="61550" spans="1:2" x14ac:dyDescent="0.25">
      <c r="A61550" s="118"/>
      <c r="B61550" s="136"/>
    </row>
    <row r="61551" spans="1:2" x14ac:dyDescent="0.25">
      <c r="A61551" s="118"/>
      <c r="B61551" s="136"/>
    </row>
    <row r="61552" spans="1:2" x14ac:dyDescent="0.25">
      <c r="A61552" s="118"/>
      <c r="B61552" s="136"/>
    </row>
    <row r="61553" spans="1:2" x14ac:dyDescent="0.25">
      <c r="A61553" s="118"/>
      <c r="B61553" s="136"/>
    </row>
    <row r="61554" spans="1:2" x14ac:dyDescent="0.25">
      <c r="A61554" s="118"/>
      <c r="B61554" s="136"/>
    </row>
    <row r="61555" spans="1:2" x14ac:dyDescent="0.25">
      <c r="A61555" s="118"/>
      <c r="B61555" s="136"/>
    </row>
    <row r="61556" spans="1:2" x14ac:dyDescent="0.25">
      <c r="A61556" s="118"/>
      <c r="B61556" s="136"/>
    </row>
    <row r="61557" spans="1:2" x14ac:dyDescent="0.25">
      <c r="A61557" s="118"/>
      <c r="B61557" s="136"/>
    </row>
    <row r="61558" spans="1:2" x14ac:dyDescent="0.25">
      <c r="A61558" s="118"/>
      <c r="B61558" s="136"/>
    </row>
    <row r="61559" spans="1:2" x14ac:dyDescent="0.25">
      <c r="A61559" s="118"/>
      <c r="B61559" s="136"/>
    </row>
    <row r="61560" spans="1:2" x14ac:dyDescent="0.25">
      <c r="A61560" s="118"/>
      <c r="B61560" s="136"/>
    </row>
    <row r="61561" spans="1:2" x14ac:dyDescent="0.25">
      <c r="A61561" s="118"/>
      <c r="B61561" s="136"/>
    </row>
    <row r="61562" spans="1:2" x14ac:dyDescent="0.25">
      <c r="A61562" s="118"/>
      <c r="B61562" s="136"/>
    </row>
    <row r="61563" spans="1:2" x14ac:dyDescent="0.25">
      <c r="A61563" s="118"/>
      <c r="B61563" s="136"/>
    </row>
    <row r="61564" spans="1:2" x14ac:dyDescent="0.25">
      <c r="A61564" s="118"/>
      <c r="B61564" s="136"/>
    </row>
    <row r="61565" spans="1:2" x14ac:dyDescent="0.25">
      <c r="A61565" s="118"/>
      <c r="B61565" s="136"/>
    </row>
    <row r="61566" spans="1:2" x14ac:dyDescent="0.25">
      <c r="A61566" s="118"/>
      <c r="B61566" s="136"/>
    </row>
    <row r="61567" spans="1:2" x14ac:dyDescent="0.25">
      <c r="A61567" s="118"/>
      <c r="B61567" s="136"/>
    </row>
    <row r="61568" spans="1:2" x14ac:dyDescent="0.25">
      <c r="A61568" s="118"/>
      <c r="B61568" s="136"/>
    </row>
    <row r="61569" spans="1:2" x14ac:dyDescent="0.25">
      <c r="A61569" s="118"/>
      <c r="B61569" s="136"/>
    </row>
    <row r="61570" spans="1:2" x14ac:dyDescent="0.25">
      <c r="A61570" s="118"/>
      <c r="B61570" s="136"/>
    </row>
    <row r="61571" spans="1:2" x14ac:dyDescent="0.25">
      <c r="A61571" s="118"/>
      <c r="B61571" s="136"/>
    </row>
    <row r="61572" spans="1:2" x14ac:dyDescent="0.25">
      <c r="A61572" s="118"/>
      <c r="B61572" s="136"/>
    </row>
    <row r="61573" spans="1:2" x14ac:dyDescent="0.25">
      <c r="A61573" s="118"/>
      <c r="B61573" s="136"/>
    </row>
    <row r="61574" spans="1:2" x14ac:dyDescent="0.25">
      <c r="A61574" s="118"/>
      <c r="B61574" s="136"/>
    </row>
    <row r="61575" spans="1:2" x14ac:dyDescent="0.25">
      <c r="A61575" s="118"/>
      <c r="B61575" s="136"/>
    </row>
    <row r="61576" spans="1:2" x14ac:dyDescent="0.25">
      <c r="A61576" s="118"/>
      <c r="B61576" s="136"/>
    </row>
    <row r="61577" spans="1:2" x14ac:dyDescent="0.25">
      <c r="A61577" s="118"/>
      <c r="B61577" s="136"/>
    </row>
    <row r="61578" spans="1:2" x14ac:dyDescent="0.25">
      <c r="A61578" s="118"/>
      <c r="B61578" s="136"/>
    </row>
    <row r="61579" spans="1:2" x14ac:dyDescent="0.25">
      <c r="A61579" s="118"/>
      <c r="B61579" s="136"/>
    </row>
    <row r="61580" spans="1:2" x14ac:dyDescent="0.25">
      <c r="A61580" s="118"/>
      <c r="B61580" s="136"/>
    </row>
    <row r="61581" spans="1:2" x14ac:dyDescent="0.25">
      <c r="A61581" s="118"/>
      <c r="B61581" s="136"/>
    </row>
    <row r="61582" spans="1:2" x14ac:dyDescent="0.25">
      <c r="A61582" s="118"/>
      <c r="B61582" s="136"/>
    </row>
    <row r="61583" spans="1:2" x14ac:dyDescent="0.25">
      <c r="A61583" s="118"/>
      <c r="B61583" s="136"/>
    </row>
    <row r="61584" spans="1:2" x14ac:dyDescent="0.25">
      <c r="A61584" s="118"/>
      <c r="B61584" s="136"/>
    </row>
    <row r="61585" spans="1:2" x14ac:dyDescent="0.25">
      <c r="A61585" s="118"/>
      <c r="B61585" s="136"/>
    </row>
    <row r="61586" spans="1:2" x14ac:dyDescent="0.25">
      <c r="A61586" s="118"/>
      <c r="B61586" s="136"/>
    </row>
    <row r="61587" spans="1:2" x14ac:dyDescent="0.25">
      <c r="A61587" s="118"/>
      <c r="B61587" s="136"/>
    </row>
    <row r="61588" spans="1:2" x14ac:dyDescent="0.25">
      <c r="A61588" s="118"/>
      <c r="B61588" s="136"/>
    </row>
    <row r="61589" spans="1:2" x14ac:dyDescent="0.25">
      <c r="A61589" s="118"/>
      <c r="B61589" s="136"/>
    </row>
    <row r="61590" spans="1:2" x14ac:dyDescent="0.25">
      <c r="A61590" s="118"/>
      <c r="B61590" s="136"/>
    </row>
    <row r="61591" spans="1:2" x14ac:dyDescent="0.25">
      <c r="A61591" s="118"/>
      <c r="B61591" s="136"/>
    </row>
    <row r="61592" spans="1:2" x14ac:dyDescent="0.25">
      <c r="A61592" s="118"/>
      <c r="B61592" s="136"/>
    </row>
    <row r="61593" spans="1:2" x14ac:dyDescent="0.25">
      <c r="A61593" s="118"/>
      <c r="B61593" s="136"/>
    </row>
    <row r="61594" spans="1:2" x14ac:dyDescent="0.25">
      <c r="A61594" s="118"/>
      <c r="B61594" s="136"/>
    </row>
    <row r="61595" spans="1:2" x14ac:dyDescent="0.25">
      <c r="A61595" s="118"/>
      <c r="B61595" s="136"/>
    </row>
    <row r="61596" spans="1:2" x14ac:dyDescent="0.25">
      <c r="A61596" s="118"/>
      <c r="B61596" s="136"/>
    </row>
    <row r="61597" spans="1:2" x14ac:dyDescent="0.25">
      <c r="A61597" s="118"/>
      <c r="B61597" s="136"/>
    </row>
    <row r="61598" spans="1:2" x14ac:dyDescent="0.25">
      <c r="A61598" s="118"/>
      <c r="B61598" s="136"/>
    </row>
    <row r="61599" spans="1:2" x14ac:dyDescent="0.25">
      <c r="A61599" s="118"/>
      <c r="B61599" s="136"/>
    </row>
    <row r="61600" spans="1:2" x14ac:dyDescent="0.25">
      <c r="A61600" s="118"/>
      <c r="B61600" s="136"/>
    </row>
    <row r="61601" spans="1:2" x14ac:dyDescent="0.25">
      <c r="A61601" s="118"/>
      <c r="B61601" s="136"/>
    </row>
    <row r="61602" spans="1:2" x14ac:dyDescent="0.25">
      <c r="A61602" s="118"/>
      <c r="B61602" s="136"/>
    </row>
    <row r="61603" spans="1:2" x14ac:dyDescent="0.25">
      <c r="A61603" s="118"/>
      <c r="B61603" s="136"/>
    </row>
    <row r="61604" spans="1:2" x14ac:dyDescent="0.25">
      <c r="A61604" s="118"/>
      <c r="B61604" s="136"/>
    </row>
    <row r="61605" spans="1:2" x14ac:dyDescent="0.25">
      <c r="A61605" s="118"/>
      <c r="B61605" s="136"/>
    </row>
    <row r="61606" spans="1:2" x14ac:dyDescent="0.25">
      <c r="A61606" s="118"/>
      <c r="B61606" s="136"/>
    </row>
    <row r="61607" spans="1:2" x14ac:dyDescent="0.25">
      <c r="A61607" s="118"/>
      <c r="B61607" s="136"/>
    </row>
    <row r="61608" spans="1:2" x14ac:dyDescent="0.25">
      <c r="A61608" s="118"/>
      <c r="B61608" s="136"/>
    </row>
    <row r="61609" spans="1:2" x14ac:dyDescent="0.25">
      <c r="A61609" s="118"/>
      <c r="B61609" s="136"/>
    </row>
    <row r="61610" spans="1:2" x14ac:dyDescent="0.25">
      <c r="A61610" s="118"/>
      <c r="B61610" s="136"/>
    </row>
    <row r="61611" spans="1:2" x14ac:dyDescent="0.25">
      <c r="A61611" s="118"/>
      <c r="B61611" s="136"/>
    </row>
    <row r="61612" spans="1:2" x14ac:dyDescent="0.25">
      <c r="A61612" s="118"/>
      <c r="B61612" s="136"/>
    </row>
    <row r="61613" spans="1:2" x14ac:dyDescent="0.25">
      <c r="A61613" s="118"/>
      <c r="B61613" s="136"/>
    </row>
    <row r="61614" spans="1:2" x14ac:dyDescent="0.25">
      <c r="A61614" s="118"/>
      <c r="B61614" s="136"/>
    </row>
    <row r="61615" spans="1:2" x14ac:dyDescent="0.25">
      <c r="A61615" s="118"/>
      <c r="B61615" s="136"/>
    </row>
    <row r="61616" spans="1:2" x14ac:dyDescent="0.25">
      <c r="A61616" s="118"/>
      <c r="B61616" s="136"/>
    </row>
    <row r="61617" spans="1:2" x14ac:dyDescent="0.25">
      <c r="A61617" s="118"/>
      <c r="B61617" s="136"/>
    </row>
    <row r="61618" spans="1:2" x14ac:dyDescent="0.25">
      <c r="A61618" s="118"/>
      <c r="B61618" s="136"/>
    </row>
    <row r="61619" spans="1:2" x14ac:dyDescent="0.25">
      <c r="A61619" s="118"/>
      <c r="B61619" s="136"/>
    </row>
    <row r="61620" spans="1:2" x14ac:dyDescent="0.25">
      <c r="A61620" s="118"/>
      <c r="B61620" s="136"/>
    </row>
    <row r="61621" spans="1:2" x14ac:dyDescent="0.25">
      <c r="A61621" s="118"/>
      <c r="B61621" s="136"/>
    </row>
    <row r="61622" spans="1:2" x14ac:dyDescent="0.25">
      <c r="A61622" s="118"/>
      <c r="B61622" s="136"/>
    </row>
    <row r="61623" spans="1:2" x14ac:dyDescent="0.25">
      <c r="A61623" s="118"/>
      <c r="B61623" s="136"/>
    </row>
    <row r="61624" spans="1:2" x14ac:dyDescent="0.25">
      <c r="A61624" s="118"/>
      <c r="B61624" s="136"/>
    </row>
    <row r="61625" spans="1:2" x14ac:dyDescent="0.25">
      <c r="A61625" s="118"/>
      <c r="B61625" s="136"/>
    </row>
    <row r="61626" spans="1:2" x14ac:dyDescent="0.25">
      <c r="A61626" s="118"/>
      <c r="B61626" s="136"/>
    </row>
    <row r="61627" spans="1:2" x14ac:dyDescent="0.25">
      <c r="A61627" s="118"/>
      <c r="B61627" s="136"/>
    </row>
    <row r="61628" spans="1:2" x14ac:dyDescent="0.25">
      <c r="A61628" s="118"/>
      <c r="B61628" s="136"/>
    </row>
    <row r="61629" spans="1:2" x14ac:dyDescent="0.25">
      <c r="A61629" s="118"/>
      <c r="B61629" s="136"/>
    </row>
    <row r="61630" spans="1:2" x14ac:dyDescent="0.25">
      <c r="A61630" s="118"/>
      <c r="B61630" s="136"/>
    </row>
    <row r="61631" spans="1:2" x14ac:dyDescent="0.25">
      <c r="A61631" s="118"/>
      <c r="B61631" s="136"/>
    </row>
    <row r="61632" spans="1:2" x14ac:dyDescent="0.25">
      <c r="A61632" s="118"/>
      <c r="B61632" s="136"/>
    </row>
    <row r="61633" spans="1:2" x14ac:dyDescent="0.25">
      <c r="A61633" s="118"/>
      <c r="B61633" s="136"/>
    </row>
    <row r="61634" spans="1:2" x14ac:dyDescent="0.25">
      <c r="A61634" s="118"/>
      <c r="B61634" s="136"/>
    </row>
    <row r="61635" spans="1:2" x14ac:dyDescent="0.25">
      <c r="A61635" s="118"/>
      <c r="B61635" s="136"/>
    </row>
    <row r="61636" spans="1:2" x14ac:dyDescent="0.25">
      <c r="A61636" s="118"/>
      <c r="B61636" s="136"/>
    </row>
    <row r="61637" spans="1:2" x14ac:dyDescent="0.25">
      <c r="A61637" s="118"/>
      <c r="B61637" s="136"/>
    </row>
    <row r="61638" spans="1:2" x14ac:dyDescent="0.25">
      <c r="A61638" s="118"/>
      <c r="B61638" s="136"/>
    </row>
    <row r="61639" spans="1:2" x14ac:dyDescent="0.25">
      <c r="A61639" s="118"/>
      <c r="B61639" s="136"/>
    </row>
    <row r="61640" spans="1:2" x14ac:dyDescent="0.25">
      <c r="A61640" s="118"/>
      <c r="B61640" s="136"/>
    </row>
    <row r="61641" spans="1:2" x14ac:dyDescent="0.25">
      <c r="A61641" s="118"/>
      <c r="B61641" s="136"/>
    </row>
    <row r="61642" spans="1:2" x14ac:dyDescent="0.25">
      <c r="A61642" s="118"/>
      <c r="B61642" s="136"/>
    </row>
    <row r="61643" spans="1:2" x14ac:dyDescent="0.25">
      <c r="A61643" s="118"/>
      <c r="B61643" s="136"/>
    </row>
    <row r="61644" spans="1:2" x14ac:dyDescent="0.25">
      <c r="A61644" s="118"/>
      <c r="B61644" s="136"/>
    </row>
    <row r="61645" spans="1:2" x14ac:dyDescent="0.25">
      <c r="A61645" s="118"/>
      <c r="B61645" s="136"/>
    </row>
    <row r="61646" spans="1:2" x14ac:dyDescent="0.25">
      <c r="A61646" s="118"/>
      <c r="B61646" s="136"/>
    </row>
    <row r="61647" spans="1:2" x14ac:dyDescent="0.25">
      <c r="A61647" s="118"/>
      <c r="B61647" s="136"/>
    </row>
    <row r="61648" spans="1:2" x14ac:dyDescent="0.25">
      <c r="A61648" s="118"/>
      <c r="B61648" s="136"/>
    </row>
    <row r="61649" spans="1:2" x14ac:dyDescent="0.25">
      <c r="A61649" s="118"/>
      <c r="B61649" s="136"/>
    </row>
    <row r="61650" spans="1:2" x14ac:dyDescent="0.25">
      <c r="A61650" s="118"/>
      <c r="B61650" s="136"/>
    </row>
    <row r="61651" spans="1:2" x14ac:dyDescent="0.25">
      <c r="A61651" s="118"/>
      <c r="B61651" s="136"/>
    </row>
    <row r="61652" spans="1:2" x14ac:dyDescent="0.25">
      <c r="A61652" s="118"/>
      <c r="B61652" s="136"/>
    </row>
    <row r="61653" spans="1:2" x14ac:dyDescent="0.25">
      <c r="A61653" s="118"/>
      <c r="B61653" s="136"/>
    </row>
    <row r="61654" spans="1:2" x14ac:dyDescent="0.25">
      <c r="A61654" s="118"/>
      <c r="B61654" s="136"/>
    </row>
    <row r="61655" spans="1:2" x14ac:dyDescent="0.25">
      <c r="A61655" s="118"/>
      <c r="B61655" s="136"/>
    </row>
    <row r="61656" spans="1:2" x14ac:dyDescent="0.25">
      <c r="A61656" s="118"/>
      <c r="B61656" s="136"/>
    </row>
    <row r="61657" spans="1:2" x14ac:dyDescent="0.25">
      <c r="A61657" s="118"/>
      <c r="B61657" s="136"/>
    </row>
    <row r="61658" spans="1:2" x14ac:dyDescent="0.25">
      <c r="A61658" s="118"/>
      <c r="B61658" s="136"/>
    </row>
    <row r="61659" spans="1:2" x14ac:dyDescent="0.25">
      <c r="A61659" s="118"/>
      <c r="B61659" s="136"/>
    </row>
    <row r="61660" spans="1:2" x14ac:dyDescent="0.25">
      <c r="A61660" s="118"/>
      <c r="B61660" s="136"/>
    </row>
    <row r="61661" spans="1:2" x14ac:dyDescent="0.25">
      <c r="A61661" s="118"/>
      <c r="B61661" s="136"/>
    </row>
    <row r="61662" spans="1:2" x14ac:dyDescent="0.25">
      <c r="A61662" s="118"/>
      <c r="B61662" s="136"/>
    </row>
    <row r="61663" spans="1:2" x14ac:dyDescent="0.25">
      <c r="A61663" s="118"/>
      <c r="B61663" s="136"/>
    </row>
    <row r="61664" spans="1:2" x14ac:dyDescent="0.25">
      <c r="A61664" s="118"/>
      <c r="B61664" s="136"/>
    </row>
    <row r="61665" spans="1:2" x14ac:dyDescent="0.25">
      <c r="A61665" s="118"/>
      <c r="B61665" s="136"/>
    </row>
    <row r="61666" spans="1:2" x14ac:dyDescent="0.25">
      <c r="A61666" s="118"/>
      <c r="B61666" s="136"/>
    </row>
    <row r="61667" spans="1:2" x14ac:dyDescent="0.25">
      <c r="A61667" s="118"/>
      <c r="B61667" s="136"/>
    </row>
    <row r="61668" spans="1:2" x14ac:dyDescent="0.25">
      <c r="A61668" s="118"/>
      <c r="B61668" s="136"/>
    </row>
    <row r="61669" spans="1:2" x14ac:dyDescent="0.25">
      <c r="A61669" s="118"/>
      <c r="B61669" s="136"/>
    </row>
    <row r="61670" spans="1:2" x14ac:dyDescent="0.25">
      <c r="A61670" s="118"/>
      <c r="B61670" s="136"/>
    </row>
    <row r="61671" spans="1:2" x14ac:dyDescent="0.25">
      <c r="A61671" s="118"/>
      <c r="B61671" s="136"/>
    </row>
    <row r="61672" spans="1:2" x14ac:dyDescent="0.25">
      <c r="A61672" s="118"/>
      <c r="B61672" s="136"/>
    </row>
    <row r="61673" spans="1:2" x14ac:dyDescent="0.25">
      <c r="A61673" s="118"/>
      <c r="B61673" s="136"/>
    </row>
    <row r="61674" spans="1:2" x14ac:dyDescent="0.25">
      <c r="A61674" s="118"/>
      <c r="B61674" s="136"/>
    </row>
    <row r="61675" spans="1:2" x14ac:dyDescent="0.25">
      <c r="A61675" s="118"/>
      <c r="B61675" s="136"/>
    </row>
    <row r="61676" spans="1:2" x14ac:dyDescent="0.25">
      <c r="A61676" s="118"/>
      <c r="B61676" s="136"/>
    </row>
    <row r="61677" spans="1:2" x14ac:dyDescent="0.25">
      <c r="A61677" s="118"/>
      <c r="B61677" s="136"/>
    </row>
    <row r="61678" spans="1:2" x14ac:dyDescent="0.25">
      <c r="A61678" s="118"/>
      <c r="B61678" s="136"/>
    </row>
    <row r="61679" spans="1:2" x14ac:dyDescent="0.25">
      <c r="A61679" s="118"/>
      <c r="B61679" s="136"/>
    </row>
    <row r="61680" spans="1:2" x14ac:dyDescent="0.25">
      <c r="A61680" s="118"/>
      <c r="B61680" s="136"/>
    </row>
    <row r="61681" spans="1:2" x14ac:dyDescent="0.25">
      <c r="A61681" s="118"/>
      <c r="B61681" s="136"/>
    </row>
    <row r="61682" spans="1:2" x14ac:dyDescent="0.25">
      <c r="A61682" s="118"/>
      <c r="B61682" s="136"/>
    </row>
    <row r="61683" spans="1:2" x14ac:dyDescent="0.25">
      <c r="A61683" s="118"/>
      <c r="B61683" s="136"/>
    </row>
    <row r="61684" spans="1:2" x14ac:dyDescent="0.25">
      <c r="A61684" s="118"/>
      <c r="B61684" s="136"/>
    </row>
    <row r="61685" spans="1:2" x14ac:dyDescent="0.25">
      <c r="A61685" s="118"/>
      <c r="B61685" s="136"/>
    </row>
    <row r="61686" spans="1:2" x14ac:dyDescent="0.25">
      <c r="A61686" s="118"/>
      <c r="B61686" s="136"/>
    </row>
    <row r="61687" spans="1:2" x14ac:dyDescent="0.25">
      <c r="A61687" s="118"/>
      <c r="B61687" s="136"/>
    </row>
    <row r="61688" spans="1:2" x14ac:dyDescent="0.25">
      <c r="A61688" s="118"/>
      <c r="B61688" s="136"/>
    </row>
    <row r="61689" spans="1:2" x14ac:dyDescent="0.25">
      <c r="A61689" s="118"/>
      <c r="B61689" s="136"/>
    </row>
    <row r="61690" spans="1:2" x14ac:dyDescent="0.25">
      <c r="A61690" s="118"/>
      <c r="B61690" s="136"/>
    </row>
    <row r="61691" spans="1:2" x14ac:dyDescent="0.25">
      <c r="A61691" s="118"/>
      <c r="B61691" s="136"/>
    </row>
    <row r="61692" spans="1:2" x14ac:dyDescent="0.25">
      <c r="A61692" s="118"/>
      <c r="B61692" s="136"/>
    </row>
    <row r="61693" spans="1:2" x14ac:dyDescent="0.25">
      <c r="A61693" s="118"/>
      <c r="B61693" s="136"/>
    </row>
    <row r="61694" spans="1:2" x14ac:dyDescent="0.25">
      <c r="A61694" s="118"/>
      <c r="B61694" s="136"/>
    </row>
    <row r="61695" spans="1:2" x14ac:dyDescent="0.25">
      <c r="A61695" s="118"/>
      <c r="B61695" s="136"/>
    </row>
    <row r="61696" spans="1:2" x14ac:dyDescent="0.25">
      <c r="A61696" s="118"/>
      <c r="B61696" s="136"/>
    </row>
    <row r="61697" spans="1:2" x14ac:dyDescent="0.25">
      <c r="A61697" s="118"/>
      <c r="B61697" s="136"/>
    </row>
    <row r="61698" spans="1:2" x14ac:dyDescent="0.25">
      <c r="A61698" s="118"/>
      <c r="B61698" s="136"/>
    </row>
    <row r="61699" spans="1:2" x14ac:dyDescent="0.25">
      <c r="A61699" s="118"/>
      <c r="B61699" s="136"/>
    </row>
    <row r="61700" spans="1:2" x14ac:dyDescent="0.25">
      <c r="A61700" s="118"/>
      <c r="B61700" s="136"/>
    </row>
    <row r="61701" spans="1:2" x14ac:dyDescent="0.25">
      <c r="A61701" s="118"/>
      <c r="B61701" s="136"/>
    </row>
    <row r="61702" spans="1:2" x14ac:dyDescent="0.25">
      <c r="A61702" s="118"/>
      <c r="B61702" s="136"/>
    </row>
    <row r="61703" spans="1:2" x14ac:dyDescent="0.25">
      <c r="A61703" s="118"/>
      <c r="B61703" s="136"/>
    </row>
    <row r="61704" spans="1:2" x14ac:dyDescent="0.25">
      <c r="A61704" s="118"/>
      <c r="B61704" s="136"/>
    </row>
    <row r="61705" spans="1:2" x14ac:dyDescent="0.25">
      <c r="A61705" s="118"/>
      <c r="B61705" s="136"/>
    </row>
    <row r="61706" spans="1:2" x14ac:dyDescent="0.25">
      <c r="A61706" s="118"/>
      <c r="B61706" s="136"/>
    </row>
    <row r="61707" spans="1:2" x14ac:dyDescent="0.25">
      <c r="A61707" s="118"/>
      <c r="B61707" s="136"/>
    </row>
    <row r="61708" spans="1:2" x14ac:dyDescent="0.25">
      <c r="A61708" s="118"/>
      <c r="B61708" s="136"/>
    </row>
    <row r="61709" spans="1:2" x14ac:dyDescent="0.25">
      <c r="A61709" s="118"/>
      <c r="B61709" s="136"/>
    </row>
    <row r="61710" spans="1:2" x14ac:dyDescent="0.25">
      <c r="A61710" s="118"/>
      <c r="B61710" s="136"/>
    </row>
    <row r="61711" spans="1:2" x14ac:dyDescent="0.25">
      <c r="A61711" s="118"/>
      <c r="B61711" s="136"/>
    </row>
    <row r="61712" spans="1:2" x14ac:dyDescent="0.25">
      <c r="A61712" s="118"/>
      <c r="B61712" s="136"/>
    </row>
    <row r="61713" spans="1:2" x14ac:dyDescent="0.25">
      <c r="A61713" s="118"/>
      <c r="B61713" s="136"/>
    </row>
    <row r="61714" spans="1:2" x14ac:dyDescent="0.25">
      <c r="A61714" s="118"/>
      <c r="B61714" s="136"/>
    </row>
    <row r="61715" spans="1:2" x14ac:dyDescent="0.25">
      <c r="A61715" s="118"/>
      <c r="B61715" s="136"/>
    </row>
    <row r="61716" spans="1:2" x14ac:dyDescent="0.25">
      <c r="A61716" s="118"/>
      <c r="B61716" s="136"/>
    </row>
    <row r="61717" spans="1:2" x14ac:dyDescent="0.25">
      <c r="A61717" s="118"/>
      <c r="B61717" s="136"/>
    </row>
    <row r="61718" spans="1:2" x14ac:dyDescent="0.25">
      <c r="A61718" s="118"/>
      <c r="B61718" s="136"/>
    </row>
    <row r="61719" spans="1:2" x14ac:dyDescent="0.25">
      <c r="A61719" s="118"/>
      <c r="B61719" s="136"/>
    </row>
    <row r="61720" spans="1:2" x14ac:dyDescent="0.25">
      <c r="A61720" s="118"/>
      <c r="B61720" s="136"/>
    </row>
    <row r="61721" spans="1:2" x14ac:dyDescent="0.25">
      <c r="A61721" s="118"/>
      <c r="B61721" s="136"/>
    </row>
    <row r="61722" spans="1:2" x14ac:dyDescent="0.25">
      <c r="A61722" s="118"/>
      <c r="B61722" s="136"/>
    </row>
    <row r="61723" spans="1:2" x14ac:dyDescent="0.25">
      <c r="A61723" s="118"/>
      <c r="B61723" s="136"/>
    </row>
    <row r="61724" spans="1:2" x14ac:dyDescent="0.25">
      <c r="A61724" s="118"/>
      <c r="B61724" s="136"/>
    </row>
    <row r="61725" spans="1:2" x14ac:dyDescent="0.25">
      <c r="A61725" s="118"/>
      <c r="B61725" s="136"/>
    </row>
    <row r="61726" spans="1:2" x14ac:dyDescent="0.25">
      <c r="A61726" s="118"/>
      <c r="B61726" s="136"/>
    </row>
    <row r="61727" spans="1:2" x14ac:dyDescent="0.25">
      <c r="A61727" s="118"/>
      <c r="B61727" s="136"/>
    </row>
    <row r="61728" spans="1:2" x14ac:dyDescent="0.25">
      <c r="A61728" s="118"/>
      <c r="B61728" s="136"/>
    </row>
    <row r="61729" spans="1:2" x14ac:dyDescent="0.25">
      <c r="A61729" s="118"/>
      <c r="B61729" s="136"/>
    </row>
    <row r="61730" spans="1:2" x14ac:dyDescent="0.25">
      <c r="A61730" s="118"/>
      <c r="B61730" s="136"/>
    </row>
    <row r="61731" spans="1:2" x14ac:dyDescent="0.25">
      <c r="A61731" s="118"/>
      <c r="B61731" s="136"/>
    </row>
    <row r="61732" spans="1:2" x14ac:dyDescent="0.25">
      <c r="A61732" s="118"/>
      <c r="B61732" s="136"/>
    </row>
    <row r="61733" spans="1:2" x14ac:dyDescent="0.25">
      <c r="A61733" s="118"/>
      <c r="B61733" s="136"/>
    </row>
    <row r="61734" spans="1:2" x14ac:dyDescent="0.25">
      <c r="A61734" s="118"/>
      <c r="B61734" s="136"/>
    </row>
    <row r="61735" spans="1:2" x14ac:dyDescent="0.25">
      <c r="A61735" s="118"/>
      <c r="B61735" s="136"/>
    </row>
    <row r="61736" spans="1:2" x14ac:dyDescent="0.25">
      <c r="A61736" s="118"/>
      <c r="B61736" s="136"/>
    </row>
    <row r="61737" spans="1:2" x14ac:dyDescent="0.25">
      <c r="A61737" s="118"/>
      <c r="B61737" s="136"/>
    </row>
    <row r="61738" spans="1:2" x14ac:dyDescent="0.25">
      <c r="A61738" s="118"/>
      <c r="B61738" s="136"/>
    </row>
    <row r="61739" spans="1:2" x14ac:dyDescent="0.25">
      <c r="A61739" s="118"/>
      <c r="B61739" s="136"/>
    </row>
    <row r="61740" spans="1:2" x14ac:dyDescent="0.25">
      <c r="A61740" s="118"/>
      <c r="B61740" s="136"/>
    </row>
    <row r="61741" spans="1:2" x14ac:dyDescent="0.25">
      <c r="A61741" s="118"/>
      <c r="B61741" s="136"/>
    </row>
    <row r="61742" spans="1:2" x14ac:dyDescent="0.25">
      <c r="A61742" s="118"/>
      <c r="B61742" s="136"/>
    </row>
    <row r="61743" spans="1:2" x14ac:dyDescent="0.25">
      <c r="A61743" s="118"/>
      <c r="B61743" s="136"/>
    </row>
    <row r="61744" spans="1:2" x14ac:dyDescent="0.25">
      <c r="A61744" s="118"/>
      <c r="B61744" s="136"/>
    </row>
    <row r="61745" spans="1:2" x14ac:dyDescent="0.25">
      <c r="A61745" s="118"/>
      <c r="B61745" s="136"/>
    </row>
    <row r="61746" spans="1:2" x14ac:dyDescent="0.25">
      <c r="A61746" s="118"/>
      <c r="B61746" s="136"/>
    </row>
    <row r="61747" spans="1:2" x14ac:dyDescent="0.25">
      <c r="A61747" s="118"/>
      <c r="B61747" s="136"/>
    </row>
    <row r="61748" spans="1:2" x14ac:dyDescent="0.25">
      <c r="A61748" s="118"/>
      <c r="B61748" s="136"/>
    </row>
    <row r="61749" spans="1:2" x14ac:dyDescent="0.25">
      <c r="A61749" s="118"/>
      <c r="B61749" s="136"/>
    </row>
    <row r="61750" spans="1:2" x14ac:dyDescent="0.25">
      <c r="A61750" s="118"/>
      <c r="B61750" s="136"/>
    </row>
    <row r="61751" spans="1:2" x14ac:dyDescent="0.25">
      <c r="A61751" s="118"/>
      <c r="B61751" s="136"/>
    </row>
    <row r="61752" spans="1:2" x14ac:dyDescent="0.25">
      <c r="A61752" s="118"/>
      <c r="B61752" s="136"/>
    </row>
    <row r="61753" spans="1:2" x14ac:dyDescent="0.25">
      <c r="A61753" s="118"/>
      <c r="B61753" s="136"/>
    </row>
    <row r="61754" spans="1:2" x14ac:dyDescent="0.25">
      <c r="A61754" s="118"/>
      <c r="B61754" s="136"/>
    </row>
    <row r="61755" spans="1:2" x14ac:dyDescent="0.25">
      <c r="A61755" s="118"/>
      <c r="B61755" s="136"/>
    </row>
    <row r="61756" spans="1:2" x14ac:dyDescent="0.25">
      <c r="A61756" s="118"/>
      <c r="B61756" s="136"/>
    </row>
    <row r="61757" spans="1:2" x14ac:dyDescent="0.25">
      <c r="A61757" s="118"/>
      <c r="B61757" s="136"/>
    </row>
    <row r="61758" spans="1:2" x14ac:dyDescent="0.25">
      <c r="A61758" s="118"/>
      <c r="B61758" s="136"/>
    </row>
    <row r="61759" spans="1:2" x14ac:dyDescent="0.25">
      <c r="A61759" s="118"/>
      <c r="B61759" s="136"/>
    </row>
    <row r="61760" spans="1:2" x14ac:dyDescent="0.25">
      <c r="A61760" s="118"/>
      <c r="B61760" s="136"/>
    </row>
    <row r="61761" spans="1:2" x14ac:dyDescent="0.25">
      <c r="A61761" s="118"/>
      <c r="B61761" s="136"/>
    </row>
    <row r="61762" spans="1:2" x14ac:dyDescent="0.25">
      <c r="A61762" s="118"/>
      <c r="B61762" s="136"/>
    </row>
    <row r="61763" spans="1:2" x14ac:dyDescent="0.25">
      <c r="A61763" s="118"/>
      <c r="B61763" s="136"/>
    </row>
    <row r="61764" spans="1:2" x14ac:dyDescent="0.25">
      <c r="A61764" s="118"/>
      <c r="B61764" s="136"/>
    </row>
    <row r="61765" spans="1:2" x14ac:dyDescent="0.25">
      <c r="A61765" s="118"/>
      <c r="B61765" s="136"/>
    </row>
    <row r="61766" spans="1:2" x14ac:dyDescent="0.25">
      <c r="A61766" s="118"/>
      <c r="B61766" s="136"/>
    </row>
    <row r="61767" spans="1:2" x14ac:dyDescent="0.25">
      <c r="A61767" s="118"/>
      <c r="B61767" s="136"/>
    </row>
    <row r="61768" spans="1:2" x14ac:dyDescent="0.25">
      <c r="A61768" s="118"/>
      <c r="B61768" s="136"/>
    </row>
    <row r="61769" spans="1:2" x14ac:dyDescent="0.25">
      <c r="A61769" s="118"/>
      <c r="B61769" s="136"/>
    </row>
    <row r="61770" spans="1:2" x14ac:dyDescent="0.25">
      <c r="A61770" s="118"/>
      <c r="B61770" s="136"/>
    </row>
    <row r="61771" spans="1:2" x14ac:dyDescent="0.25">
      <c r="A61771" s="118"/>
      <c r="B61771" s="136"/>
    </row>
    <row r="61772" spans="1:2" x14ac:dyDescent="0.25">
      <c r="A61772" s="118"/>
      <c r="B61772" s="136"/>
    </row>
    <row r="61773" spans="1:2" x14ac:dyDescent="0.25">
      <c r="A61773" s="118"/>
      <c r="B61773" s="136"/>
    </row>
    <row r="61774" spans="1:2" x14ac:dyDescent="0.25">
      <c r="A61774" s="118"/>
      <c r="B61774" s="136"/>
    </row>
    <row r="61775" spans="1:2" x14ac:dyDescent="0.25">
      <c r="A61775" s="118"/>
      <c r="B61775" s="136"/>
    </row>
    <row r="61776" spans="1:2" x14ac:dyDescent="0.25">
      <c r="A61776" s="118"/>
      <c r="B61776" s="136"/>
    </row>
    <row r="61777" spans="1:2" x14ac:dyDescent="0.25">
      <c r="A61777" s="118"/>
      <c r="B61777" s="136"/>
    </row>
    <row r="61778" spans="1:2" x14ac:dyDescent="0.25">
      <c r="A61778" s="118"/>
      <c r="B61778" s="136"/>
    </row>
    <row r="61779" spans="1:2" x14ac:dyDescent="0.25">
      <c r="A61779" s="118"/>
      <c r="B61779" s="136"/>
    </row>
    <row r="61780" spans="1:2" x14ac:dyDescent="0.25">
      <c r="A61780" s="118"/>
      <c r="B61780" s="136"/>
    </row>
    <row r="61781" spans="1:2" x14ac:dyDescent="0.25">
      <c r="A61781" s="118"/>
      <c r="B61781" s="136"/>
    </row>
    <row r="61782" spans="1:2" x14ac:dyDescent="0.25">
      <c r="A61782" s="118"/>
      <c r="B61782" s="136"/>
    </row>
    <row r="61783" spans="1:2" x14ac:dyDescent="0.25">
      <c r="A61783" s="118"/>
      <c r="B61783" s="136"/>
    </row>
    <row r="61784" spans="1:2" x14ac:dyDescent="0.25">
      <c r="A61784" s="118"/>
      <c r="B61784" s="136"/>
    </row>
    <row r="61785" spans="1:2" x14ac:dyDescent="0.25">
      <c r="A61785" s="118"/>
      <c r="B61785" s="136"/>
    </row>
    <row r="61786" spans="1:2" x14ac:dyDescent="0.25">
      <c r="A61786" s="118"/>
      <c r="B61786" s="136"/>
    </row>
    <row r="61787" spans="1:2" x14ac:dyDescent="0.25">
      <c r="A61787" s="118"/>
      <c r="B61787" s="136"/>
    </row>
    <row r="61788" spans="1:2" x14ac:dyDescent="0.25">
      <c r="A61788" s="118"/>
      <c r="B61788" s="136"/>
    </row>
    <row r="61789" spans="1:2" x14ac:dyDescent="0.25">
      <c r="A61789" s="118"/>
      <c r="B61789" s="136"/>
    </row>
    <row r="61790" spans="1:2" x14ac:dyDescent="0.25">
      <c r="A61790" s="118"/>
      <c r="B61790" s="136"/>
    </row>
    <row r="61791" spans="1:2" x14ac:dyDescent="0.25">
      <c r="A61791" s="118"/>
      <c r="B61791" s="136"/>
    </row>
    <row r="61792" spans="1:2" x14ac:dyDescent="0.25">
      <c r="A61792" s="118"/>
      <c r="B61792" s="136"/>
    </row>
    <row r="61793" spans="1:2" x14ac:dyDescent="0.25">
      <c r="A61793" s="118"/>
      <c r="B61793" s="136"/>
    </row>
    <row r="61794" spans="1:2" x14ac:dyDescent="0.25">
      <c r="A61794" s="118"/>
      <c r="B61794" s="136"/>
    </row>
    <row r="61795" spans="1:2" x14ac:dyDescent="0.25">
      <c r="A61795" s="118"/>
      <c r="B61795" s="136"/>
    </row>
    <row r="61796" spans="1:2" x14ac:dyDescent="0.25">
      <c r="A61796" s="118"/>
      <c r="B61796" s="136"/>
    </row>
    <row r="61797" spans="1:2" x14ac:dyDescent="0.25">
      <c r="A61797" s="118"/>
      <c r="B61797" s="136"/>
    </row>
    <row r="61798" spans="1:2" x14ac:dyDescent="0.25">
      <c r="A61798" s="118"/>
      <c r="B61798" s="136"/>
    </row>
    <row r="61799" spans="1:2" x14ac:dyDescent="0.25">
      <c r="A61799" s="118"/>
      <c r="B61799" s="136"/>
    </row>
    <row r="61800" spans="1:2" x14ac:dyDescent="0.25">
      <c r="A61800" s="118"/>
      <c r="B61800" s="136"/>
    </row>
    <row r="61801" spans="1:2" x14ac:dyDescent="0.25">
      <c r="A61801" s="118"/>
      <c r="B61801" s="136"/>
    </row>
    <row r="61802" spans="1:2" x14ac:dyDescent="0.25">
      <c r="A61802" s="118"/>
      <c r="B61802" s="136"/>
    </row>
    <row r="61803" spans="1:2" x14ac:dyDescent="0.25">
      <c r="A61803" s="118"/>
      <c r="B61803" s="136"/>
    </row>
    <row r="61804" spans="1:2" x14ac:dyDescent="0.25">
      <c r="A61804" s="118"/>
      <c r="B61804" s="136"/>
    </row>
    <row r="61805" spans="1:2" x14ac:dyDescent="0.25">
      <c r="A61805" s="118"/>
      <c r="B61805" s="136"/>
    </row>
    <row r="61806" spans="1:2" x14ac:dyDescent="0.25">
      <c r="A61806" s="118"/>
      <c r="B61806" s="136"/>
    </row>
    <row r="61807" spans="1:2" x14ac:dyDescent="0.25">
      <c r="A61807" s="118"/>
      <c r="B61807" s="136"/>
    </row>
    <row r="61808" spans="1:2" x14ac:dyDescent="0.25">
      <c r="A61808" s="118"/>
      <c r="B61808" s="136"/>
    </row>
    <row r="61809" spans="1:2" x14ac:dyDescent="0.25">
      <c r="A61809" s="118"/>
      <c r="B61809" s="136"/>
    </row>
    <row r="61810" spans="1:2" x14ac:dyDescent="0.25">
      <c r="A61810" s="118"/>
      <c r="B61810" s="136"/>
    </row>
    <row r="61811" spans="1:2" x14ac:dyDescent="0.25">
      <c r="A61811" s="118"/>
      <c r="B61811" s="136"/>
    </row>
    <row r="61812" spans="1:2" x14ac:dyDescent="0.25">
      <c r="A61812" s="118"/>
      <c r="B61812" s="136"/>
    </row>
    <row r="61813" spans="1:2" x14ac:dyDescent="0.25">
      <c r="A61813" s="118"/>
      <c r="B61813" s="136"/>
    </row>
    <row r="61814" spans="1:2" x14ac:dyDescent="0.25">
      <c r="A61814" s="118"/>
      <c r="B61814" s="136"/>
    </row>
    <row r="61815" spans="1:2" x14ac:dyDescent="0.25">
      <c r="A61815" s="118"/>
      <c r="B61815" s="136"/>
    </row>
    <row r="61816" spans="1:2" x14ac:dyDescent="0.25">
      <c r="A61816" s="118"/>
      <c r="B61816" s="136"/>
    </row>
    <row r="61817" spans="1:2" x14ac:dyDescent="0.25">
      <c r="A61817" s="118"/>
      <c r="B61817" s="136"/>
    </row>
    <row r="61818" spans="1:2" x14ac:dyDescent="0.25">
      <c r="A61818" s="118"/>
      <c r="B61818" s="136"/>
    </row>
    <row r="61819" spans="1:2" x14ac:dyDescent="0.25">
      <c r="A61819" s="118"/>
      <c r="B61819" s="136"/>
    </row>
    <row r="61820" spans="1:2" x14ac:dyDescent="0.25">
      <c r="A61820" s="118"/>
      <c r="B61820" s="136"/>
    </row>
    <row r="61821" spans="1:2" x14ac:dyDescent="0.25">
      <c r="A61821" s="118"/>
      <c r="B61821" s="136"/>
    </row>
    <row r="61822" spans="1:2" x14ac:dyDescent="0.25">
      <c r="A61822" s="118"/>
      <c r="B61822" s="136"/>
    </row>
    <row r="61823" spans="1:2" x14ac:dyDescent="0.25">
      <c r="A61823" s="118"/>
      <c r="B61823" s="136"/>
    </row>
    <row r="61824" spans="1:2" x14ac:dyDescent="0.25">
      <c r="A61824" s="118"/>
      <c r="B61824" s="136"/>
    </row>
    <row r="61825" spans="1:2" x14ac:dyDescent="0.25">
      <c r="A61825" s="118"/>
      <c r="B61825" s="136"/>
    </row>
    <row r="61826" spans="1:2" x14ac:dyDescent="0.25">
      <c r="A61826" s="118"/>
      <c r="B61826" s="136"/>
    </row>
    <row r="61827" spans="1:2" x14ac:dyDescent="0.25">
      <c r="A61827" s="118"/>
      <c r="B61827" s="136"/>
    </row>
    <row r="61828" spans="1:2" x14ac:dyDescent="0.25">
      <c r="A61828" s="118"/>
      <c r="B61828" s="136"/>
    </row>
    <row r="61829" spans="1:2" x14ac:dyDescent="0.25">
      <c r="A61829" s="118"/>
      <c r="B61829" s="136"/>
    </row>
    <row r="61830" spans="1:2" x14ac:dyDescent="0.25">
      <c r="A61830" s="118"/>
      <c r="B61830" s="136"/>
    </row>
    <row r="61831" spans="1:2" x14ac:dyDescent="0.25">
      <c r="A61831" s="118"/>
      <c r="B61831" s="136"/>
    </row>
    <row r="61832" spans="1:2" x14ac:dyDescent="0.25">
      <c r="A61832" s="118"/>
      <c r="B61832" s="136"/>
    </row>
    <row r="61833" spans="1:2" x14ac:dyDescent="0.25">
      <c r="A61833" s="118"/>
      <c r="B61833" s="136"/>
    </row>
    <row r="61834" spans="1:2" x14ac:dyDescent="0.25">
      <c r="A61834" s="118"/>
      <c r="B61834" s="136"/>
    </row>
    <row r="61835" spans="1:2" x14ac:dyDescent="0.25">
      <c r="A61835" s="118"/>
      <c r="B61835" s="136"/>
    </row>
    <row r="61836" spans="1:2" x14ac:dyDescent="0.25">
      <c r="A61836" s="118"/>
      <c r="B61836" s="136"/>
    </row>
    <row r="61837" spans="1:2" x14ac:dyDescent="0.25">
      <c r="A61837" s="118"/>
      <c r="B61837" s="136"/>
    </row>
    <row r="61838" spans="1:2" x14ac:dyDescent="0.25">
      <c r="A61838" s="118"/>
      <c r="B61838" s="136"/>
    </row>
    <row r="61839" spans="1:2" x14ac:dyDescent="0.25">
      <c r="A61839" s="118"/>
      <c r="B61839" s="136"/>
    </row>
    <row r="61840" spans="1:2" x14ac:dyDescent="0.25">
      <c r="A61840" s="118"/>
      <c r="B61840" s="136"/>
    </row>
    <row r="61841" spans="1:2" x14ac:dyDescent="0.25">
      <c r="A61841" s="118"/>
      <c r="B61841" s="136"/>
    </row>
    <row r="61842" spans="1:2" x14ac:dyDescent="0.25">
      <c r="A61842" s="118"/>
      <c r="B61842" s="136"/>
    </row>
    <row r="61843" spans="1:2" x14ac:dyDescent="0.25">
      <c r="A61843" s="118"/>
      <c r="B61843" s="136"/>
    </row>
    <row r="61844" spans="1:2" x14ac:dyDescent="0.25">
      <c r="A61844" s="118"/>
      <c r="B61844" s="136"/>
    </row>
    <row r="61845" spans="1:2" x14ac:dyDescent="0.25">
      <c r="A61845" s="118"/>
      <c r="B61845" s="136"/>
    </row>
    <row r="61846" spans="1:2" x14ac:dyDescent="0.25">
      <c r="A61846" s="118"/>
      <c r="B61846" s="136"/>
    </row>
    <row r="61847" spans="1:2" x14ac:dyDescent="0.25">
      <c r="A61847" s="118"/>
      <c r="B61847" s="136"/>
    </row>
    <row r="61848" spans="1:2" x14ac:dyDescent="0.25">
      <c r="A61848" s="118"/>
      <c r="B61848" s="136"/>
    </row>
    <row r="61849" spans="1:2" x14ac:dyDescent="0.25">
      <c r="A61849" s="118"/>
      <c r="B61849" s="136"/>
    </row>
    <row r="61850" spans="1:2" x14ac:dyDescent="0.25">
      <c r="A61850" s="118"/>
      <c r="B61850" s="136"/>
    </row>
    <row r="61851" spans="1:2" x14ac:dyDescent="0.25">
      <c r="A61851" s="118"/>
      <c r="B61851" s="136"/>
    </row>
    <row r="61852" spans="1:2" x14ac:dyDescent="0.25">
      <c r="A61852" s="118"/>
      <c r="B61852" s="136"/>
    </row>
    <row r="61853" spans="1:2" x14ac:dyDescent="0.25">
      <c r="A61853" s="118"/>
      <c r="B61853" s="136"/>
    </row>
    <row r="61854" spans="1:2" x14ac:dyDescent="0.25">
      <c r="A61854" s="118"/>
      <c r="B61854" s="136"/>
    </row>
    <row r="61855" spans="1:2" x14ac:dyDescent="0.25">
      <c r="A61855" s="118"/>
      <c r="B61855" s="136"/>
    </row>
    <row r="61856" spans="1:2" x14ac:dyDescent="0.25">
      <c r="A61856" s="118"/>
      <c r="B61856" s="136"/>
    </row>
    <row r="61857" spans="1:2" x14ac:dyDescent="0.25">
      <c r="A61857" s="118"/>
      <c r="B61857" s="136"/>
    </row>
    <row r="61858" spans="1:2" x14ac:dyDescent="0.25">
      <c r="A61858" s="118"/>
      <c r="B61858" s="136"/>
    </row>
    <row r="61859" spans="1:2" x14ac:dyDescent="0.25">
      <c r="A61859" s="118"/>
      <c r="B61859" s="136"/>
    </row>
    <row r="61860" spans="1:2" x14ac:dyDescent="0.25">
      <c r="A61860" s="118"/>
      <c r="B61860" s="136"/>
    </row>
    <row r="61861" spans="1:2" x14ac:dyDescent="0.25">
      <c r="A61861" s="118"/>
      <c r="B61861" s="136"/>
    </row>
    <row r="61862" spans="1:2" x14ac:dyDescent="0.25">
      <c r="A61862" s="118"/>
      <c r="B61862" s="136"/>
    </row>
    <row r="61863" spans="1:2" x14ac:dyDescent="0.25">
      <c r="A61863" s="118"/>
      <c r="B61863" s="136"/>
    </row>
    <row r="61864" spans="1:2" x14ac:dyDescent="0.25">
      <c r="A61864" s="118"/>
      <c r="B61864" s="136"/>
    </row>
    <row r="61865" spans="1:2" x14ac:dyDescent="0.25">
      <c r="A61865" s="118"/>
      <c r="B61865" s="136"/>
    </row>
    <row r="61866" spans="1:2" x14ac:dyDescent="0.25">
      <c r="A61866" s="118"/>
      <c r="B61866" s="136"/>
    </row>
    <row r="61867" spans="1:2" x14ac:dyDescent="0.25">
      <c r="A61867" s="118"/>
      <c r="B61867" s="136"/>
    </row>
    <row r="61868" spans="1:2" x14ac:dyDescent="0.25">
      <c r="A61868" s="118"/>
      <c r="B61868" s="136"/>
    </row>
    <row r="61869" spans="1:2" x14ac:dyDescent="0.25">
      <c r="A61869" s="118"/>
      <c r="B61869" s="136"/>
    </row>
    <row r="61870" spans="1:2" x14ac:dyDescent="0.25">
      <c r="A61870" s="118"/>
      <c r="B61870" s="136"/>
    </row>
    <row r="61871" spans="1:2" x14ac:dyDescent="0.25">
      <c r="A61871" s="118"/>
      <c r="B61871" s="136"/>
    </row>
    <row r="61872" spans="1:2" x14ac:dyDescent="0.25">
      <c r="A61872" s="118"/>
      <c r="B61872" s="136"/>
    </row>
    <row r="61873" spans="1:2" x14ac:dyDescent="0.25">
      <c r="A61873" s="118"/>
      <c r="B61873" s="136"/>
    </row>
    <row r="61874" spans="1:2" x14ac:dyDescent="0.25">
      <c r="A61874" s="118"/>
      <c r="B61874" s="136"/>
    </row>
    <row r="61875" spans="1:2" x14ac:dyDescent="0.25">
      <c r="A61875" s="118"/>
      <c r="B61875" s="136"/>
    </row>
    <row r="61876" spans="1:2" x14ac:dyDescent="0.25">
      <c r="A61876" s="118"/>
      <c r="B61876" s="136"/>
    </row>
    <row r="61877" spans="1:2" x14ac:dyDescent="0.25">
      <c r="A61877" s="118"/>
      <c r="B61877" s="136"/>
    </row>
    <row r="61878" spans="1:2" x14ac:dyDescent="0.25">
      <c r="A61878" s="118"/>
      <c r="B61878" s="136"/>
    </row>
    <row r="61879" spans="1:2" x14ac:dyDescent="0.25">
      <c r="A61879" s="118"/>
      <c r="B61879" s="136"/>
    </row>
    <row r="61880" spans="1:2" x14ac:dyDescent="0.25">
      <c r="A61880" s="118"/>
      <c r="B61880" s="136"/>
    </row>
    <row r="61881" spans="1:2" x14ac:dyDescent="0.25">
      <c r="A61881" s="118"/>
      <c r="B61881" s="136"/>
    </row>
    <row r="61882" spans="1:2" x14ac:dyDescent="0.25">
      <c r="A61882" s="118"/>
      <c r="B61882" s="136"/>
    </row>
    <row r="61883" spans="1:2" x14ac:dyDescent="0.25">
      <c r="A61883" s="118"/>
      <c r="B61883" s="136"/>
    </row>
    <row r="61884" spans="1:2" x14ac:dyDescent="0.25">
      <c r="A61884" s="118"/>
      <c r="B61884" s="136"/>
    </row>
    <row r="61885" spans="1:2" x14ac:dyDescent="0.25">
      <c r="A61885" s="118"/>
      <c r="B61885" s="136"/>
    </row>
    <row r="61886" spans="1:2" x14ac:dyDescent="0.25">
      <c r="A61886" s="118"/>
      <c r="B61886" s="136"/>
    </row>
    <row r="61887" spans="1:2" x14ac:dyDescent="0.25">
      <c r="A61887" s="118"/>
      <c r="B61887" s="136"/>
    </row>
    <row r="61888" spans="1:2" x14ac:dyDescent="0.25">
      <c r="A61888" s="118"/>
      <c r="B61888" s="136"/>
    </row>
    <row r="61889" spans="1:2" x14ac:dyDescent="0.25">
      <c r="A61889" s="118"/>
      <c r="B61889" s="136"/>
    </row>
    <row r="61890" spans="1:2" x14ac:dyDescent="0.25">
      <c r="A61890" s="118"/>
      <c r="B61890" s="136"/>
    </row>
    <row r="61891" spans="1:2" x14ac:dyDescent="0.25">
      <c r="A61891" s="118"/>
      <c r="B61891" s="136"/>
    </row>
    <row r="61892" spans="1:2" x14ac:dyDescent="0.25">
      <c r="A61892" s="118"/>
      <c r="B61892" s="136"/>
    </row>
    <row r="61893" spans="1:2" x14ac:dyDescent="0.25">
      <c r="A61893" s="118"/>
      <c r="B61893" s="136"/>
    </row>
    <row r="61894" spans="1:2" x14ac:dyDescent="0.25">
      <c r="A61894" s="118"/>
      <c r="B61894" s="136"/>
    </row>
    <row r="61895" spans="1:2" x14ac:dyDescent="0.25">
      <c r="A61895" s="118"/>
      <c r="B61895" s="136"/>
    </row>
    <row r="61896" spans="1:2" x14ac:dyDescent="0.25">
      <c r="A61896" s="118"/>
      <c r="B61896" s="136"/>
    </row>
    <row r="61897" spans="1:2" x14ac:dyDescent="0.25">
      <c r="A61897" s="118"/>
      <c r="B61897" s="136"/>
    </row>
    <row r="61898" spans="1:2" x14ac:dyDescent="0.25">
      <c r="A61898" s="118"/>
      <c r="B61898" s="136"/>
    </row>
    <row r="61899" spans="1:2" x14ac:dyDescent="0.25">
      <c r="A61899" s="118"/>
      <c r="B61899" s="136"/>
    </row>
    <row r="61900" spans="1:2" x14ac:dyDescent="0.25">
      <c r="A61900" s="118"/>
      <c r="B61900" s="136"/>
    </row>
    <row r="61901" spans="1:2" x14ac:dyDescent="0.25">
      <c r="A61901" s="118"/>
      <c r="B61901" s="136"/>
    </row>
    <row r="61902" spans="1:2" x14ac:dyDescent="0.25">
      <c r="A61902" s="118"/>
      <c r="B61902" s="136"/>
    </row>
    <row r="61903" spans="1:2" x14ac:dyDescent="0.25">
      <c r="A61903" s="118"/>
      <c r="B61903" s="136"/>
    </row>
    <row r="61904" spans="1:2" x14ac:dyDescent="0.25">
      <c r="A61904" s="118"/>
      <c r="B61904" s="136"/>
    </row>
    <row r="61905" spans="1:2" x14ac:dyDescent="0.25">
      <c r="A61905" s="118"/>
      <c r="B61905" s="136"/>
    </row>
    <row r="61906" spans="1:2" x14ac:dyDescent="0.25">
      <c r="A61906" s="118"/>
      <c r="B61906" s="136"/>
    </row>
    <row r="61907" spans="1:2" x14ac:dyDescent="0.25">
      <c r="A61907" s="118"/>
      <c r="B61907" s="136"/>
    </row>
    <row r="61908" spans="1:2" x14ac:dyDescent="0.25">
      <c r="A61908" s="118"/>
      <c r="B61908" s="136"/>
    </row>
    <row r="61909" spans="1:2" x14ac:dyDescent="0.25">
      <c r="A61909" s="118"/>
      <c r="B61909" s="136"/>
    </row>
    <row r="61910" spans="1:2" x14ac:dyDescent="0.25">
      <c r="A61910" s="118"/>
      <c r="B61910" s="136"/>
    </row>
    <row r="61911" spans="1:2" x14ac:dyDescent="0.25">
      <c r="A61911" s="118"/>
      <c r="B61911" s="136"/>
    </row>
    <row r="61912" spans="1:2" x14ac:dyDescent="0.25">
      <c r="A61912" s="118"/>
      <c r="B61912" s="136"/>
    </row>
    <row r="61913" spans="1:2" x14ac:dyDescent="0.25">
      <c r="A61913" s="118"/>
      <c r="B61913" s="136"/>
    </row>
    <row r="61914" spans="1:2" x14ac:dyDescent="0.25">
      <c r="A61914" s="118"/>
      <c r="B61914" s="136"/>
    </row>
    <row r="61915" spans="1:2" x14ac:dyDescent="0.25">
      <c r="A61915" s="118"/>
      <c r="B61915" s="136"/>
    </row>
    <row r="61916" spans="1:2" x14ac:dyDescent="0.25">
      <c r="A61916" s="118"/>
      <c r="B61916" s="136"/>
    </row>
    <row r="61917" spans="1:2" x14ac:dyDescent="0.25">
      <c r="A61917" s="118"/>
      <c r="B61917" s="136"/>
    </row>
    <row r="61918" spans="1:2" x14ac:dyDescent="0.25">
      <c r="A61918" s="118"/>
      <c r="B61918" s="136"/>
    </row>
    <row r="61919" spans="1:2" x14ac:dyDescent="0.25">
      <c r="A61919" s="118"/>
      <c r="B61919" s="136"/>
    </row>
    <row r="61920" spans="1:2" x14ac:dyDescent="0.25">
      <c r="A61920" s="118"/>
      <c r="B61920" s="136"/>
    </row>
    <row r="61921" spans="1:2" x14ac:dyDescent="0.25">
      <c r="A61921" s="118"/>
      <c r="B61921" s="136"/>
    </row>
    <row r="61922" spans="1:2" x14ac:dyDescent="0.25">
      <c r="A61922" s="118"/>
      <c r="B61922" s="136"/>
    </row>
    <row r="61923" spans="1:2" x14ac:dyDescent="0.25">
      <c r="A61923" s="118"/>
      <c r="B61923" s="136"/>
    </row>
    <row r="61924" spans="1:2" x14ac:dyDescent="0.25">
      <c r="A61924" s="118"/>
      <c r="B61924" s="136"/>
    </row>
    <row r="61925" spans="1:2" x14ac:dyDescent="0.25">
      <c r="A61925" s="118"/>
      <c r="B61925" s="136"/>
    </row>
    <row r="61926" spans="1:2" x14ac:dyDescent="0.25">
      <c r="A61926" s="118"/>
      <c r="B61926" s="136"/>
    </row>
    <row r="61927" spans="1:2" x14ac:dyDescent="0.25">
      <c r="A61927" s="118"/>
      <c r="B61927" s="136"/>
    </row>
    <row r="61928" spans="1:2" x14ac:dyDescent="0.25">
      <c r="A61928" s="118"/>
      <c r="B61928" s="136"/>
    </row>
    <row r="61929" spans="1:2" x14ac:dyDescent="0.25">
      <c r="A61929" s="118"/>
      <c r="B61929" s="136"/>
    </row>
    <row r="61930" spans="1:2" x14ac:dyDescent="0.25">
      <c r="A61930" s="118"/>
      <c r="B61930" s="136"/>
    </row>
    <row r="61931" spans="1:2" x14ac:dyDescent="0.25">
      <c r="A61931" s="118"/>
      <c r="B61931" s="136"/>
    </row>
    <row r="61932" spans="1:2" x14ac:dyDescent="0.25">
      <c r="A61932" s="118"/>
      <c r="B61932" s="136"/>
    </row>
    <row r="61933" spans="1:2" x14ac:dyDescent="0.25">
      <c r="A61933" s="118"/>
      <c r="B61933" s="136"/>
    </row>
    <row r="61934" spans="1:2" x14ac:dyDescent="0.25">
      <c r="A61934" s="118"/>
      <c r="B61934" s="136"/>
    </row>
    <row r="61935" spans="1:2" x14ac:dyDescent="0.25">
      <c r="A61935" s="118"/>
      <c r="B61935" s="136"/>
    </row>
    <row r="61936" spans="1:2" x14ac:dyDescent="0.25">
      <c r="A61936" s="118"/>
      <c r="B61936" s="136"/>
    </row>
    <row r="61937" spans="1:2" x14ac:dyDescent="0.25">
      <c r="A61937" s="118"/>
      <c r="B61937" s="136"/>
    </row>
    <row r="61938" spans="1:2" x14ac:dyDescent="0.25">
      <c r="A61938" s="118"/>
      <c r="B61938" s="136"/>
    </row>
    <row r="61939" spans="1:2" x14ac:dyDescent="0.25">
      <c r="A61939" s="118"/>
      <c r="B61939" s="136"/>
    </row>
    <row r="61940" spans="1:2" x14ac:dyDescent="0.25">
      <c r="A61940" s="118"/>
      <c r="B61940" s="136"/>
    </row>
    <row r="61941" spans="1:2" x14ac:dyDescent="0.25">
      <c r="A61941" s="118"/>
      <c r="B61941" s="136"/>
    </row>
    <row r="61942" spans="1:2" x14ac:dyDescent="0.25">
      <c r="A61942" s="118"/>
      <c r="B61942" s="136"/>
    </row>
    <row r="61943" spans="1:2" x14ac:dyDescent="0.25">
      <c r="A61943" s="118"/>
      <c r="B61943" s="136"/>
    </row>
    <row r="61944" spans="1:2" x14ac:dyDescent="0.25">
      <c r="A61944" s="118"/>
      <c r="B61944" s="136"/>
    </row>
    <row r="61945" spans="1:2" x14ac:dyDescent="0.25">
      <c r="A61945" s="118"/>
      <c r="B61945" s="136"/>
    </row>
    <row r="61946" spans="1:2" x14ac:dyDescent="0.25">
      <c r="A61946" s="118"/>
      <c r="B61946" s="136"/>
    </row>
    <row r="61947" spans="1:2" x14ac:dyDescent="0.25">
      <c r="A61947" s="118"/>
      <c r="B61947" s="136"/>
    </row>
    <row r="61948" spans="1:2" x14ac:dyDescent="0.25">
      <c r="A61948" s="118"/>
      <c r="B61948" s="136"/>
    </row>
    <row r="61949" spans="1:2" x14ac:dyDescent="0.25">
      <c r="A61949" s="118"/>
      <c r="B61949" s="136"/>
    </row>
    <row r="61950" spans="1:2" x14ac:dyDescent="0.25">
      <c r="A61950" s="118"/>
      <c r="B61950" s="136"/>
    </row>
    <row r="61951" spans="1:2" x14ac:dyDescent="0.25">
      <c r="A61951" s="118"/>
      <c r="B61951" s="136"/>
    </row>
    <row r="61952" spans="1:2" x14ac:dyDescent="0.25">
      <c r="A61952" s="118"/>
      <c r="B61952" s="136"/>
    </row>
    <row r="61953" spans="1:2" x14ac:dyDescent="0.25">
      <c r="A61953" s="118"/>
      <c r="B61953" s="136"/>
    </row>
    <row r="61954" spans="1:2" x14ac:dyDescent="0.25">
      <c r="A61954" s="118"/>
      <c r="B61954" s="136"/>
    </row>
    <row r="61955" spans="1:2" x14ac:dyDescent="0.25">
      <c r="A61955" s="118"/>
      <c r="B61955" s="136"/>
    </row>
    <row r="61956" spans="1:2" x14ac:dyDescent="0.25">
      <c r="A61956" s="118"/>
      <c r="B61956" s="136"/>
    </row>
    <row r="61957" spans="1:2" x14ac:dyDescent="0.25">
      <c r="A61957" s="118"/>
      <c r="B61957" s="136"/>
    </row>
    <row r="61958" spans="1:2" x14ac:dyDescent="0.25">
      <c r="A61958" s="118"/>
      <c r="B61958" s="136"/>
    </row>
    <row r="61959" spans="1:2" x14ac:dyDescent="0.25">
      <c r="A61959" s="118"/>
      <c r="B61959" s="136"/>
    </row>
    <row r="61960" spans="1:2" x14ac:dyDescent="0.25">
      <c r="A61960" s="118"/>
      <c r="B61960" s="136"/>
    </row>
    <row r="61961" spans="1:2" x14ac:dyDescent="0.25">
      <c r="A61961" s="118"/>
      <c r="B61961" s="136"/>
    </row>
    <row r="61962" spans="1:2" x14ac:dyDescent="0.25">
      <c r="A61962" s="118"/>
      <c r="B61962" s="136"/>
    </row>
    <row r="61963" spans="1:2" x14ac:dyDescent="0.25">
      <c r="A61963" s="118"/>
      <c r="B61963" s="136"/>
    </row>
    <row r="61964" spans="1:2" x14ac:dyDescent="0.25">
      <c r="A61964" s="118"/>
      <c r="B61964" s="136"/>
    </row>
    <row r="61965" spans="1:2" x14ac:dyDescent="0.25">
      <c r="A61965" s="118"/>
      <c r="B61965" s="136"/>
    </row>
    <row r="61966" spans="1:2" x14ac:dyDescent="0.25">
      <c r="A61966" s="118"/>
      <c r="B61966" s="136"/>
    </row>
    <row r="61967" spans="1:2" x14ac:dyDescent="0.25">
      <c r="A61967" s="118"/>
      <c r="B61967" s="136"/>
    </row>
    <row r="61968" spans="1:2" x14ac:dyDescent="0.25">
      <c r="A61968" s="118"/>
      <c r="B61968" s="136"/>
    </row>
    <row r="61969" spans="1:2" x14ac:dyDescent="0.25">
      <c r="A61969" s="118"/>
      <c r="B61969" s="136"/>
    </row>
    <row r="61970" spans="1:2" x14ac:dyDescent="0.25">
      <c r="A61970" s="118"/>
      <c r="B61970" s="136"/>
    </row>
    <row r="61971" spans="1:2" x14ac:dyDescent="0.25">
      <c r="A61971" s="118"/>
      <c r="B61971" s="136"/>
    </row>
    <row r="61972" spans="1:2" x14ac:dyDescent="0.25">
      <c r="A61972" s="118"/>
      <c r="B61972" s="136"/>
    </row>
    <row r="61973" spans="1:2" x14ac:dyDescent="0.25">
      <c r="A61973" s="118"/>
      <c r="B61973" s="136"/>
    </row>
    <row r="61974" spans="1:2" x14ac:dyDescent="0.25">
      <c r="A61974" s="118"/>
      <c r="B61974" s="136"/>
    </row>
    <row r="61975" spans="1:2" x14ac:dyDescent="0.25">
      <c r="A61975" s="118"/>
      <c r="B61975" s="136"/>
    </row>
    <row r="61976" spans="1:2" x14ac:dyDescent="0.25">
      <c r="A61976" s="118"/>
      <c r="B61976" s="136"/>
    </row>
    <row r="61977" spans="1:2" x14ac:dyDescent="0.25">
      <c r="A61977" s="118"/>
      <c r="B61977" s="136"/>
    </row>
    <row r="61978" spans="1:2" x14ac:dyDescent="0.25">
      <c r="A61978" s="118"/>
      <c r="B61978" s="136"/>
    </row>
    <row r="61979" spans="1:2" x14ac:dyDescent="0.25">
      <c r="A61979" s="118"/>
      <c r="B61979" s="136"/>
    </row>
    <row r="61980" spans="1:2" x14ac:dyDescent="0.25">
      <c r="A61980" s="118"/>
      <c r="B61980" s="136"/>
    </row>
    <row r="61981" spans="1:2" x14ac:dyDescent="0.25">
      <c r="A61981" s="118"/>
      <c r="B61981" s="136"/>
    </row>
    <row r="61982" spans="1:2" x14ac:dyDescent="0.25">
      <c r="A61982" s="118"/>
      <c r="B61982" s="136"/>
    </row>
    <row r="61983" spans="1:2" x14ac:dyDescent="0.25">
      <c r="A61983" s="118"/>
      <c r="B61983" s="136"/>
    </row>
    <row r="61984" spans="1:2" x14ac:dyDescent="0.25">
      <c r="A61984" s="118"/>
      <c r="B61984" s="136"/>
    </row>
    <row r="61985" spans="1:2" x14ac:dyDescent="0.25">
      <c r="A61985" s="118"/>
      <c r="B61985" s="136"/>
    </row>
    <row r="61986" spans="1:2" x14ac:dyDescent="0.25">
      <c r="A61986" s="118"/>
      <c r="B61986" s="136"/>
    </row>
    <row r="61987" spans="1:2" x14ac:dyDescent="0.25">
      <c r="A61987" s="118"/>
      <c r="B61987" s="136"/>
    </row>
    <row r="61988" spans="1:2" x14ac:dyDescent="0.25">
      <c r="A61988" s="118"/>
      <c r="B61988" s="136"/>
    </row>
    <row r="61989" spans="1:2" x14ac:dyDescent="0.25">
      <c r="A61989" s="118"/>
      <c r="B61989" s="136"/>
    </row>
    <row r="61990" spans="1:2" x14ac:dyDescent="0.25">
      <c r="A61990" s="118"/>
      <c r="B61990" s="136"/>
    </row>
    <row r="61991" spans="1:2" x14ac:dyDescent="0.25">
      <c r="A61991" s="118"/>
      <c r="B61991" s="136"/>
    </row>
    <row r="61992" spans="1:2" x14ac:dyDescent="0.25">
      <c r="A61992" s="118"/>
      <c r="B61992" s="136"/>
    </row>
    <row r="61993" spans="1:2" x14ac:dyDescent="0.25">
      <c r="A61993" s="118"/>
      <c r="B61993" s="136"/>
    </row>
    <row r="61994" spans="1:2" x14ac:dyDescent="0.25">
      <c r="A61994" s="118"/>
      <c r="B61994" s="136"/>
    </row>
    <row r="61995" spans="1:2" x14ac:dyDescent="0.25">
      <c r="A61995" s="118"/>
      <c r="B61995" s="136"/>
    </row>
    <row r="61996" spans="1:2" x14ac:dyDescent="0.25">
      <c r="A61996" s="118"/>
      <c r="B61996" s="136"/>
    </row>
    <row r="61997" spans="1:2" x14ac:dyDescent="0.25">
      <c r="A61997" s="118"/>
      <c r="B61997" s="136"/>
    </row>
    <row r="61998" spans="1:2" x14ac:dyDescent="0.25">
      <c r="A61998" s="118"/>
      <c r="B61998" s="136"/>
    </row>
    <row r="61999" spans="1:2" x14ac:dyDescent="0.25">
      <c r="A61999" s="118"/>
      <c r="B61999" s="136"/>
    </row>
    <row r="62000" spans="1:2" x14ac:dyDescent="0.25">
      <c r="A62000" s="118"/>
      <c r="B62000" s="136"/>
    </row>
    <row r="62001" spans="1:2" x14ac:dyDescent="0.25">
      <c r="A62001" s="118"/>
      <c r="B62001" s="136"/>
    </row>
    <row r="62002" spans="1:2" x14ac:dyDescent="0.25">
      <c r="A62002" s="118"/>
      <c r="B62002" s="136"/>
    </row>
    <row r="62003" spans="1:2" x14ac:dyDescent="0.25">
      <c r="A62003" s="118"/>
      <c r="B62003" s="136"/>
    </row>
    <row r="62004" spans="1:2" x14ac:dyDescent="0.25">
      <c r="A62004" s="118"/>
      <c r="B62004" s="136"/>
    </row>
    <row r="62005" spans="1:2" x14ac:dyDescent="0.25">
      <c r="A62005" s="118"/>
      <c r="B62005" s="136"/>
    </row>
    <row r="62006" spans="1:2" x14ac:dyDescent="0.25">
      <c r="A62006" s="118"/>
      <c r="B62006" s="136"/>
    </row>
    <row r="62007" spans="1:2" x14ac:dyDescent="0.25">
      <c r="A62007" s="118"/>
      <c r="B62007" s="136"/>
    </row>
    <row r="62008" spans="1:2" x14ac:dyDescent="0.25">
      <c r="A62008" s="118"/>
      <c r="B62008" s="136"/>
    </row>
    <row r="62009" spans="1:2" x14ac:dyDescent="0.25">
      <c r="A62009" s="118"/>
      <c r="B62009" s="136"/>
    </row>
    <row r="62010" spans="1:2" x14ac:dyDescent="0.25">
      <c r="A62010" s="118"/>
      <c r="B62010" s="136"/>
    </row>
    <row r="62011" spans="1:2" x14ac:dyDescent="0.25">
      <c r="A62011" s="118"/>
      <c r="B62011" s="136"/>
    </row>
    <row r="62012" spans="1:2" x14ac:dyDescent="0.25">
      <c r="A62012" s="118"/>
      <c r="B62012" s="136"/>
    </row>
    <row r="62013" spans="1:2" x14ac:dyDescent="0.25">
      <c r="A62013" s="118"/>
      <c r="B62013" s="136"/>
    </row>
    <row r="62014" spans="1:2" x14ac:dyDescent="0.25">
      <c r="A62014" s="118"/>
      <c r="B62014" s="136"/>
    </row>
    <row r="62015" spans="1:2" x14ac:dyDescent="0.25">
      <c r="A62015" s="118"/>
      <c r="B62015" s="136"/>
    </row>
    <row r="62016" spans="1:2" x14ac:dyDescent="0.25">
      <c r="A62016" s="118"/>
      <c r="B62016" s="136"/>
    </row>
    <row r="62017" spans="1:2" x14ac:dyDescent="0.25">
      <c r="A62017" s="118"/>
      <c r="B62017" s="136"/>
    </row>
    <row r="62018" spans="1:2" x14ac:dyDescent="0.25">
      <c r="A62018" s="118"/>
      <c r="B62018" s="136"/>
    </row>
    <row r="62019" spans="1:2" x14ac:dyDescent="0.25">
      <c r="A62019" s="118"/>
      <c r="B62019" s="136"/>
    </row>
    <row r="62020" spans="1:2" x14ac:dyDescent="0.25">
      <c r="A62020" s="118"/>
      <c r="B62020" s="136"/>
    </row>
    <row r="62021" spans="1:2" x14ac:dyDescent="0.25">
      <c r="A62021" s="118"/>
      <c r="B62021" s="136"/>
    </row>
    <row r="62022" spans="1:2" x14ac:dyDescent="0.25">
      <c r="A62022" s="118"/>
      <c r="B62022" s="136"/>
    </row>
    <row r="62023" spans="1:2" x14ac:dyDescent="0.25">
      <c r="A62023" s="118"/>
      <c r="B62023" s="136"/>
    </row>
    <row r="62024" spans="1:2" x14ac:dyDescent="0.25">
      <c r="A62024" s="118"/>
      <c r="B62024" s="136"/>
    </row>
    <row r="62025" spans="1:2" x14ac:dyDescent="0.25">
      <c r="A62025" s="118"/>
      <c r="B62025" s="136"/>
    </row>
    <row r="62026" spans="1:2" x14ac:dyDescent="0.25">
      <c r="A62026" s="118"/>
      <c r="B62026" s="136"/>
    </row>
    <row r="62027" spans="1:2" x14ac:dyDescent="0.25">
      <c r="A62027" s="118"/>
      <c r="B62027" s="136"/>
    </row>
    <row r="62028" spans="1:2" x14ac:dyDescent="0.25">
      <c r="A62028" s="118"/>
      <c r="B62028" s="136"/>
    </row>
    <row r="62029" spans="1:2" x14ac:dyDescent="0.25">
      <c r="A62029" s="118"/>
      <c r="B62029" s="136"/>
    </row>
    <row r="62030" spans="1:2" x14ac:dyDescent="0.25">
      <c r="A62030" s="118"/>
      <c r="B62030" s="136"/>
    </row>
    <row r="62031" spans="1:2" x14ac:dyDescent="0.25">
      <c r="A62031" s="118"/>
      <c r="B62031" s="136"/>
    </row>
    <row r="62032" spans="1:2" x14ac:dyDescent="0.25">
      <c r="A62032" s="118"/>
      <c r="B62032" s="136"/>
    </row>
    <row r="62033" spans="1:2" x14ac:dyDescent="0.25">
      <c r="A62033" s="118"/>
      <c r="B62033" s="136"/>
    </row>
    <row r="62034" spans="1:2" x14ac:dyDescent="0.25">
      <c r="A62034" s="118"/>
      <c r="B62034" s="136"/>
    </row>
    <row r="62035" spans="1:2" x14ac:dyDescent="0.25">
      <c r="A62035" s="118"/>
      <c r="B62035" s="136"/>
    </row>
    <row r="62036" spans="1:2" x14ac:dyDescent="0.25">
      <c r="A62036" s="118"/>
      <c r="B62036" s="136"/>
    </row>
    <row r="62037" spans="1:2" x14ac:dyDescent="0.25">
      <c r="A62037" s="118"/>
      <c r="B62037" s="136"/>
    </row>
    <row r="62038" spans="1:2" x14ac:dyDescent="0.25">
      <c r="A62038" s="118"/>
      <c r="B62038" s="136"/>
    </row>
    <row r="62039" spans="1:2" x14ac:dyDescent="0.25">
      <c r="A62039" s="118"/>
      <c r="B62039" s="136"/>
    </row>
    <row r="62040" spans="1:2" x14ac:dyDescent="0.25">
      <c r="A62040" s="118"/>
      <c r="B62040" s="136"/>
    </row>
    <row r="62041" spans="1:2" x14ac:dyDescent="0.25">
      <c r="A62041" s="118"/>
      <c r="B62041" s="136"/>
    </row>
    <row r="62042" spans="1:2" x14ac:dyDescent="0.25">
      <c r="A62042" s="118"/>
      <c r="B62042" s="136"/>
    </row>
    <row r="62043" spans="1:2" x14ac:dyDescent="0.25">
      <c r="A62043" s="118"/>
      <c r="B62043" s="136"/>
    </row>
    <row r="62044" spans="1:2" x14ac:dyDescent="0.25">
      <c r="A62044" s="118"/>
      <c r="B62044" s="136"/>
    </row>
    <row r="62045" spans="1:2" x14ac:dyDescent="0.25">
      <c r="A62045" s="118"/>
      <c r="B62045" s="136"/>
    </row>
    <row r="62046" spans="1:2" x14ac:dyDescent="0.25">
      <c r="A62046" s="118"/>
      <c r="B62046" s="136"/>
    </row>
    <row r="62047" spans="1:2" x14ac:dyDescent="0.25">
      <c r="A62047" s="118"/>
      <c r="B62047" s="136"/>
    </row>
    <row r="62048" spans="1:2" x14ac:dyDescent="0.25">
      <c r="A62048" s="118"/>
      <c r="B62048" s="136"/>
    </row>
    <row r="62049" spans="1:2" x14ac:dyDescent="0.25">
      <c r="A62049" s="118"/>
      <c r="B62049" s="136"/>
    </row>
    <row r="62050" spans="1:2" x14ac:dyDescent="0.25">
      <c r="A62050" s="118"/>
      <c r="B62050" s="136"/>
    </row>
    <row r="62051" spans="1:2" x14ac:dyDescent="0.25">
      <c r="A62051" s="118"/>
      <c r="B62051" s="136"/>
    </row>
    <row r="62052" spans="1:2" x14ac:dyDescent="0.25">
      <c r="A62052" s="118"/>
      <c r="B62052" s="136"/>
    </row>
    <row r="62053" spans="1:2" x14ac:dyDescent="0.25">
      <c r="A62053" s="118"/>
      <c r="B62053" s="136"/>
    </row>
    <row r="62054" spans="1:2" x14ac:dyDescent="0.25">
      <c r="A62054" s="118"/>
      <c r="B62054" s="136"/>
    </row>
    <row r="62055" spans="1:2" x14ac:dyDescent="0.25">
      <c r="A62055" s="118"/>
      <c r="B62055" s="136"/>
    </row>
    <row r="62056" spans="1:2" x14ac:dyDescent="0.25">
      <c r="A62056" s="118"/>
      <c r="B62056" s="136"/>
    </row>
    <row r="62057" spans="1:2" x14ac:dyDescent="0.25">
      <c r="A62057" s="118"/>
      <c r="B62057" s="136"/>
    </row>
    <row r="62058" spans="1:2" x14ac:dyDescent="0.25">
      <c r="A62058" s="118"/>
      <c r="B62058" s="136"/>
    </row>
    <row r="62059" spans="1:2" x14ac:dyDescent="0.25">
      <c r="A62059" s="118"/>
      <c r="B62059" s="136"/>
    </row>
    <row r="62060" spans="1:2" x14ac:dyDescent="0.25">
      <c r="A62060" s="118"/>
      <c r="B62060" s="136"/>
    </row>
    <row r="62061" spans="1:2" x14ac:dyDescent="0.25">
      <c r="A62061" s="118"/>
      <c r="B62061" s="136"/>
    </row>
    <row r="62062" spans="1:2" x14ac:dyDescent="0.25">
      <c r="A62062" s="118"/>
      <c r="B62062" s="136"/>
    </row>
    <row r="62063" spans="1:2" x14ac:dyDescent="0.25">
      <c r="A62063" s="118"/>
      <c r="B62063" s="136"/>
    </row>
    <row r="62064" spans="1:2" x14ac:dyDescent="0.25">
      <c r="A62064" s="118"/>
      <c r="B62064" s="136"/>
    </row>
    <row r="62065" spans="1:2" x14ac:dyDescent="0.25">
      <c r="A62065" s="118"/>
      <c r="B62065" s="136"/>
    </row>
    <row r="62066" spans="1:2" x14ac:dyDescent="0.25">
      <c r="A62066" s="118"/>
      <c r="B62066" s="136"/>
    </row>
    <row r="62067" spans="1:2" x14ac:dyDescent="0.25">
      <c r="A62067" s="118"/>
      <c r="B62067" s="136"/>
    </row>
    <row r="62068" spans="1:2" x14ac:dyDescent="0.25">
      <c r="A62068" s="118"/>
      <c r="B62068" s="136"/>
    </row>
    <row r="62069" spans="1:2" x14ac:dyDescent="0.25">
      <c r="A62069" s="118"/>
      <c r="B62069" s="136"/>
    </row>
    <row r="62070" spans="1:2" x14ac:dyDescent="0.25">
      <c r="A62070" s="118"/>
      <c r="B62070" s="136"/>
    </row>
    <row r="62071" spans="1:2" x14ac:dyDescent="0.25">
      <c r="A62071" s="118"/>
      <c r="B62071" s="136"/>
    </row>
    <row r="62072" spans="1:2" x14ac:dyDescent="0.25">
      <c r="A62072" s="118"/>
      <c r="B62072" s="136"/>
    </row>
    <row r="62073" spans="1:2" x14ac:dyDescent="0.25">
      <c r="A62073" s="118"/>
      <c r="B62073" s="136"/>
    </row>
    <row r="62074" spans="1:2" x14ac:dyDescent="0.25">
      <c r="A62074" s="118"/>
      <c r="B62074" s="136"/>
    </row>
    <row r="62075" spans="1:2" x14ac:dyDescent="0.25">
      <c r="A62075" s="118"/>
      <c r="B62075" s="136"/>
    </row>
    <row r="62076" spans="1:2" x14ac:dyDescent="0.25">
      <c r="A62076" s="118"/>
      <c r="B62076" s="136"/>
    </row>
    <row r="62077" spans="1:2" x14ac:dyDescent="0.25">
      <c r="A62077" s="118"/>
      <c r="B62077" s="136"/>
    </row>
    <row r="62078" spans="1:2" x14ac:dyDescent="0.25">
      <c r="A62078" s="118"/>
      <c r="B62078" s="136"/>
    </row>
    <row r="62079" spans="1:2" x14ac:dyDescent="0.25">
      <c r="A62079" s="118"/>
      <c r="B62079" s="136"/>
    </row>
    <row r="62080" spans="1:2" x14ac:dyDescent="0.25">
      <c r="A62080" s="118"/>
      <c r="B62080" s="136"/>
    </row>
    <row r="62081" spans="1:2" x14ac:dyDescent="0.25">
      <c r="A62081" s="118"/>
      <c r="B62081" s="136"/>
    </row>
    <row r="62082" spans="1:2" x14ac:dyDescent="0.25">
      <c r="A62082" s="118"/>
      <c r="B62082" s="136"/>
    </row>
    <row r="62083" spans="1:2" x14ac:dyDescent="0.25">
      <c r="A62083" s="118"/>
      <c r="B62083" s="136"/>
    </row>
    <row r="62084" spans="1:2" x14ac:dyDescent="0.25">
      <c r="A62084" s="118"/>
      <c r="B62084" s="136"/>
    </row>
    <row r="62085" spans="1:2" x14ac:dyDescent="0.25">
      <c r="A62085" s="118"/>
      <c r="B62085" s="136"/>
    </row>
    <row r="62086" spans="1:2" x14ac:dyDescent="0.25">
      <c r="A62086" s="118"/>
      <c r="B62086" s="136"/>
    </row>
    <row r="62087" spans="1:2" x14ac:dyDescent="0.25">
      <c r="A62087" s="118"/>
      <c r="B62087" s="136"/>
    </row>
    <row r="62088" spans="1:2" x14ac:dyDescent="0.25">
      <c r="A62088" s="118"/>
      <c r="B62088" s="136"/>
    </row>
    <row r="62089" spans="1:2" x14ac:dyDescent="0.25">
      <c r="A62089" s="118"/>
      <c r="B62089" s="136"/>
    </row>
    <row r="62090" spans="1:2" x14ac:dyDescent="0.25">
      <c r="A62090" s="118"/>
      <c r="B62090" s="136"/>
    </row>
    <row r="62091" spans="1:2" x14ac:dyDescent="0.25">
      <c r="A62091" s="118"/>
      <c r="B62091" s="136"/>
    </row>
    <row r="62092" spans="1:2" x14ac:dyDescent="0.25">
      <c r="A62092" s="118"/>
      <c r="B62092" s="136"/>
    </row>
    <row r="62093" spans="1:2" x14ac:dyDescent="0.25">
      <c r="A62093" s="118"/>
      <c r="B62093" s="136"/>
    </row>
    <row r="62094" spans="1:2" x14ac:dyDescent="0.25">
      <c r="A62094" s="118"/>
      <c r="B62094" s="136"/>
    </row>
    <row r="62095" spans="1:2" x14ac:dyDescent="0.25">
      <c r="A62095" s="118"/>
      <c r="B62095" s="136"/>
    </row>
    <row r="62096" spans="1:2" x14ac:dyDescent="0.25">
      <c r="A62096" s="118"/>
      <c r="B62096" s="136"/>
    </row>
    <row r="62097" spans="1:2" x14ac:dyDescent="0.25">
      <c r="A62097" s="118"/>
      <c r="B62097" s="136"/>
    </row>
    <row r="62098" spans="1:2" x14ac:dyDescent="0.25">
      <c r="A62098" s="118"/>
      <c r="B62098" s="136"/>
    </row>
    <row r="62099" spans="1:2" x14ac:dyDescent="0.25">
      <c r="A62099" s="118"/>
      <c r="B62099" s="136"/>
    </row>
    <row r="62100" spans="1:2" x14ac:dyDescent="0.25">
      <c r="A62100" s="118"/>
      <c r="B62100" s="136"/>
    </row>
    <row r="62101" spans="1:2" x14ac:dyDescent="0.25">
      <c r="A62101" s="118"/>
      <c r="B62101" s="136"/>
    </row>
    <row r="62102" spans="1:2" x14ac:dyDescent="0.25">
      <c r="A62102" s="118"/>
      <c r="B62102" s="136"/>
    </row>
    <row r="62103" spans="1:2" x14ac:dyDescent="0.25">
      <c r="A62103" s="118"/>
      <c r="B62103" s="136"/>
    </row>
    <row r="62104" spans="1:2" x14ac:dyDescent="0.25">
      <c r="A62104" s="118"/>
      <c r="B62104" s="136"/>
    </row>
    <row r="62105" spans="1:2" x14ac:dyDescent="0.25">
      <c r="A62105" s="118"/>
      <c r="B62105" s="136"/>
    </row>
    <row r="62106" spans="1:2" x14ac:dyDescent="0.25">
      <c r="A62106" s="118"/>
      <c r="B62106" s="136"/>
    </row>
    <row r="62107" spans="1:2" x14ac:dyDescent="0.25">
      <c r="A62107" s="118"/>
      <c r="B62107" s="136"/>
    </row>
    <row r="62108" spans="1:2" x14ac:dyDescent="0.25">
      <c r="A62108" s="118"/>
      <c r="B62108" s="136"/>
    </row>
    <row r="62109" spans="1:2" x14ac:dyDescent="0.25">
      <c r="A62109" s="118"/>
      <c r="B62109" s="136"/>
    </row>
    <row r="62110" spans="1:2" x14ac:dyDescent="0.25">
      <c r="A62110" s="118"/>
      <c r="B62110" s="136"/>
    </row>
    <row r="62111" spans="1:2" x14ac:dyDescent="0.25">
      <c r="A62111" s="118"/>
      <c r="B62111" s="136"/>
    </row>
    <row r="62112" spans="1:2" x14ac:dyDescent="0.25">
      <c r="A62112" s="118"/>
      <c r="B62112" s="136"/>
    </row>
    <row r="62113" spans="1:2" x14ac:dyDescent="0.25">
      <c r="A62113" s="118"/>
      <c r="B62113" s="136"/>
    </row>
    <row r="62114" spans="1:2" x14ac:dyDescent="0.25">
      <c r="A62114" s="118"/>
      <c r="B62114" s="136"/>
    </row>
    <row r="62115" spans="1:2" x14ac:dyDescent="0.25">
      <c r="A62115" s="118"/>
      <c r="B62115" s="136"/>
    </row>
    <row r="62116" spans="1:2" x14ac:dyDescent="0.25">
      <c r="A62116" s="118"/>
      <c r="B62116" s="136"/>
    </row>
    <row r="62117" spans="1:2" x14ac:dyDescent="0.25">
      <c r="A62117" s="118"/>
      <c r="B62117" s="136"/>
    </row>
    <row r="62118" spans="1:2" x14ac:dyDescent="0.25">
      <c r="A62118" s="118"/>
      <c r="B62118" s="136"/>
    </row>
    <row r="62119" spans="1:2" x14ac:dyDescent="0.25">
      <c r="A62119" s="118"/>
      <c r="B62119" s="136"/>
    </row>
    <row r="62120" spans="1:2" x14ac:dyDescent="0.25">
      <c r="A62120" s="118"/>
      <c r="B62120" s="136"/>
    </row>
    <row r="62121" spans="1:2" x14ac:dyDescent="0.25">
      <c r="A62121" s="118"/>
      <c r="B62121" s="136"/>
    </row>
    <row r="62122" spans="1:2" x14ac:dyDescent="0.25">
      <c r="A62122" s="118"/>
      <c r="B62122" s="136"/>
    </row>
    <row r="62123" spans="1:2" x14ac:dyDescent="0.25">
      <c r="A62123" s="118"/>
      <c r="B62123" s="136"/>
    </row>
    <row r="62124" spans="1:2" x14ac:dyDescent="0.25">
      <c r="A62124" s="118"/>
      <c r="B62124" s="136"/>
    </row>
    <row r="62125" spans="1:2" x14ac:dyDescent="0.25">
      <c r="A62125" s="118"/>
      <c r="B62125" s="136"/>
    </row>
    <row r="62126" spans="1:2" x14ac:dyDescent="0.25">
      <c r="A62126" s="118"/>
      <c r="B62126" s="136"/>
    </row>
    <row r="62127" spans="1:2" x14ac:dyDescent="0.25">
      <c r="A62127" s="118"/>
      <c r="B62127" s="136"/>
    </row>
    <row r="62128" spans="1:2" x14ac:dyDescent="0.25">
      <c r="A62128" s="118"/>
      <c r="B62128" s="136"/>
    </row>
    <row r="62129" spans="1:2" x14ac:dyDescent="0.25">
      <c r="A62129" s="118"/>
      <c r="B62129" s="136"/>
    </row>
    <row r="62130" spans="1:2" x14ac:dyDescent="0.25">
      <c r="A62130" s="118"/>
      <c r="B62130" s="136"/>
    </row>
    <row r="62131" spans="1:2" x14ac:dyDescent="0.25">
      <c r="A62131" s="118"/>
      <c r="B62131" s="136"/>
    </row>
    <row r="62132" spans="1:2" x14ac:dyDescent="0.25">
      <c r="A62132" s="118"/>
      <c r="B62132" s="136"/>
    </row>
    <row r="62133" spans="1:2" x14ac:dyDescent="0.25">
      <c r="A62133" s="118"/>
      <c r="B62133" s="136"/>
    </row>
    <row r="62134" spans="1:2" x14ac:dyDescent="0.25">
      <c r="A62134" s="118"/>
      <c r="B62134" s="136"/>
    </row>
    <row r="62135" spans="1:2" x14ac:dyDescent="0.25">
      <c r="A62135" s="118"/>
      <c r="B62135" s="136"/>
    </row>
    <row r="62136" spans="1:2" x14ac:dyDescent="0.25">
      <c r="A62136" s="118"/>
      <c r="B62136" s="136"/>
    </row>
    <row r="62137" spans="1:2" x14ac:dyDescent="0.25">
      <c r="A62137" s="118"/>
      <c r="B62137" s="136"/>
    </row>
    <row r="62138" spans="1:2" x14ac:dyDescent="0.25">
      <c r="A62138" s="118"/>
      <c r="B62138" s="136"/>
    </row>
    <row r="62139" spans="1:2" x14ac:dyDescent="0.25">
      <c r="A62139" s="118"/>
      <c r="B62139" s="136"/>
    </row>
    <row r="62140" spans="1:2" x14ac:dyDescent="0.25">
      <c r="A62140" s="118"/>
      <c r="B62140" s="136"/>
    </row>
    <row r="62141" spans="1:2" x14ac:dyDescent="0.25">
      <c r="A62141" s="118"/>
      <c r="B62141" s="136"/>
    </row>
    <row r="62142" spans="1:2" x14ac:dyDescent="0.25">
      <c r="A62142" s="118"/>
      <c r="B62142" s="136"/>
    </row>
    <row r="62143" spans="1:2" x14ac:dyDescent="0.25">
      <c r="A62143" s="118"/>
      <c r="B62143" s="136"/>
    </row>
    <row r="62144" spans="1:2" x14ac:dyDescent="0.25">
      <c r="A62144" s="118"/>
      <c r="B62144" s="136"/>
    </row>
    <row r="62145" spans="1:2" x14ac:dyDescent="0.25">
      <c r="A62145" s="118"/>
      <c r="B62145" s="136"/>
    </row>
    <row r="62146" spans="1:2" x14ac:dyDescent="0.25">
      <c r="A62146" s="118"/>
      <c r="B62146" s="136"/>
    </row>
    <row r="62147" spans="1:2" x14ac:dyDescent="0.25">
      <c r="A62147" s="118"/>
      <c r="B62147" s="136"/>
    </row>
    <row r="62148" spans="1:2" x14ac:dyDescent="0.25">
      <c r="A62148" s="118"/>
      <c r="B62148" s="136"/>
    </row>
    <row r="62149" spans="1:2" x14ac:dyDescent="0.25">
      <c r="A62149" s="118"/>
      <c r="B62149" s="136"/>
    </row>
    <row r="62150" spans="1:2" x14ac:dyDescent="0.25">
      <c r="A62150" s="118"/>
      <c r="B62150" s="136"/>
    </row>
    <row r="62151" spans="1:2" x14ac:dyDescent="0.25">
      <c r="A62151" s="118"/>
      <c r="B62151" s="136"/>
    </row>
    <row r="62152" spans="1:2" x14ac:dyDescent="0.25">
      <c r="A62152" s="118"/>
      <c r="B62152" s="136"/>
    </row>
    <row r="62153" spans="1:2" x14ac:dyDescent="0.25">
      <c r="A62153" s="118"/>
      <c r="B62153" s="136"/>
    </row>
    <row r="62154" spans="1:2" x14ac:dyDescent="0.25">
      <c r="A62154" s="118"/>
      <c r="B62154" s="136"/>
    </row>
    <row r="62155" spans="1:2" x14ac:dyDescent="0.25">
      <c r="A62155" s="118"/>
      <c r="B62155" s="136"/>
    </row>
    <row r="62156" spans="1:2" x14ac:dyDescent="0.25">
      <c r="A62156" s="118"/>
      <c r="B62156" s="136"/>
    </row>
    <row r="62157" spans="1:2" x14ac:dyDescent="0.25">
      <c r="A62157" s="118"/>
      <c r="B62157" s="136"/>
    </row>
    <row r="62158" spans="1:2" x14ac:dyDescent="0.25">
      <c r="A62158" s="118"/>
      <c r="B62158" s="136"/>
    </row>
    <row r="62159" spans="1:2" x14ac:dyDescent="0.25">
      <c r="A62159" s="118"/>
      <c r="B62159" s="136"/>
    </row>
    <row r="62160" spans="1:2" x14ac:dyDescent="0.25">
      <c r="A62160" s="118"/>
      <c r="B62160" s="136"/>
    </row>
    <row r="62161" spans="1:2" x14ac:dyDescent="0.25">
      <c r="A62161" s="118"/>
      <c r="B62161" s="136"/>
    </row>
    <row r="62162" spans="1:2" x14ac:dyDescent="0.25">
      <c r="A62162" s="118"/>
      <c r="B62162" s="136"/>
    </row>
    <row r="62163" spans="1:2" x14ac:dyDescent="0.25">
      <c r="A62163" s="118"/>
      <c r="B62163" s="136"/>
    </row>
    <row r="62164" spans="1:2" x14ac:dyDescent="0.25">
      <c r="A62164" s="118"/>
      <c r="B62164" s="136"/>
    </row>
    <row r="62165" spans="1:2" x14ac:dyDescent="0.25">
      <c r="A62165" s="118"/>
      <c r="B62165" s="136"/>
    </row>
    <row r="62166" spans="1:2" x14ac:dyDescent="0.25">
      <c r="A62166" s="118"/>
      <c r="B62166" s="136"/>
    </row>
    <row r="62167" spans="1:2" x14ac:dyDescent="0.25">
      <c r="A62167" s="118"/>
      <c r="B62167" s="136"/>
    </row>
    <row r="62168" spans="1:2" x14ac:dyDescent="0.25">
      <c r="A62168" s="118"/>
      <c r="B62168" s="136"/>
    </row>
    <row r="62169" spans="1:2" x14ac:dyDescent="0.25">
      <c r="A62169" s="118"/>
      <c r="B62169" s="136"/>
    </row>
    <row r="62170" spans="1:2" x14ac:dyDescent="0.25">
      <c r="A62170" s="118"/>
      <c r="B62170" s="136"/>
    </row>
    <row r="62171" spans="1:2" x14ac:dyDescent="0.25">
      <c r="A62171" s="118"/>
      <c r="B62171" s="136"/>
    </row>
    <row r="62172" spans="1:2" x14ac:dyDescent="0.25">
      <c r="A62172" s="118"/>
      <c r="B62172" s="136"/>
    </row>
    <row r="62173" spans="1:2" x14ac:dyDescent="0.25">
      <c r="A62173" s="118"/>
      <c r="B62173" s="136"/>
    </row>
    <row r="62174" spans="1:2" x14ac:dyDescent="0.25">
      <c r="A62174" s="118"/>
      <c r="B62174" s="136"/>
    </row>
    <row r="62175" spans="1:2" x14ac:dyDescent="0.25">
      <c r="A62175" s="118"/>
      <c r="B62175" s="136"/>
    </row>
    <row r="62176" spans="1:2" x14ac:dyDescent="0.25">
      <c r="A62176" s="118"/>
      <c r="B62176" s="136"/>
    </row>
    <row r="62177" spans="1:2" x14ac:dyDescent="0.25">
      <c r="A62177" s="118"/>
      <c r="B62177" s="136"/>
    </row>
    <row r="62178" spans="1:2" x14ac:dyDescent="0.25">
      <c r="A62178" s="118"/>
      <c r="B62178" s="136"/>
    </row>
    <row r="62179" spans="1:2" x14ac:dyDescent="0.25">
      <c r="A62179" s="118"/>
      <c r="B62179" s="136"/>
    </row>
    <row r="62180" spans="1:2" x14ac:dyDescent="0.25">
      <c r="A62180" s="118"/>
      <c r="B62180" s="136"/>
    </row>
    <row r="62181" spans="1:2" x14ac:dyDescent="0.25">
      <c r="A62181" s="118"/>
      <c r="B62181" s="136"/>
    </row>
    <row r="62182" spans="1:2" x14ac:dyDescent="0.25">
      <c r="A62182" s="118"/>
      <c r="B62182" s="136"/>
    </row>
    <row r="62183" spans="1:2" x14ac:dyDescent="0.25">
      <c r="A62183" s="118"/>
      <c r="B62183" s="136"/>
    </row>
    <row r="62184" spans="1:2" x14ac:dyDescent="0.25">
      <c r="A62184" s="118"/>
      <c r="B62184" s="136"/>
    </row>
    <row r="62185" spans="1:2" x14ac:dyDescent="0.25">
      <c r="A62185" s="118"/>
      <c r="B62185" s="136"/>
    </row>
    <row r="62186" spans="1:2" x14ac:dyDescent="0.25">
      <c r="A62186" s="118"/>
      <c r="B62186" s="136"/>
    </row>
    <row r="62187" spans="1:2" x14ac:dyDescent="0.25">
      <c r="A62187" s="118"/>
      <c r="B62187" s="136"/>
    </row>
    <row r="62188" spans="1:2" x14ac:dyDescent="0.25">
      <c r="A62188" s="118"/>
      <c r="B62188" s="136"/>
    </row>
    <row r="62189" spans="1:2" x14ac:dyDescent="0.25">
      <c r="A62189" s="118"/>
      <c r="B62189" s="136"/>
    </row>
    <row r="62190" spans="1:2" x14ac:dyDescent="0.25">
      <c r="A62190" s="118"/>
      <c r="B62190" s="136"/>
    </row>
    <row r="62191" spans="1:2" x14ac:dyDescent="0.25">
      <c r="A62191" s="118"/>
      <c r="B62191" s="136"/>
    </row>
    <row r="62192" spans="1:2" x14ac:dyDescent="0.25">
      <c r="A62192" s="118"/>
      <c r="B62192" s="136"/>
    </row>
    <row r="62193" spans="1:2" x14ac:dyDescent="0.25">
      <c r="A62193" s="118"/>
      <c r="B62193" s="136"/>
    </row>
    <row r="62194" spans="1:2" x14ac:dyDescent="0.25">
      <c r="A62194" s="118"/>
      <c r="B62194" s="136"/>
    </row>
    <row r="62195" spans="1:2" x14ac:dyDescent="0.25">
      <c r="A62195" s="118"/>
      <c r="B62195" s="136"/>
    </row>
    <row r="62196" spans="1:2" x14ac:dyDescent="0.25">
      <c r="A62196" s="118"/>
      <c r="B62196" s="136"/>
    </row>
    <row r="62197" spans="1:2" x14ac:dyDescent="0.25">
      <c r="A62197" s="118"/>
      <c r="B62197" s="136"/>
    </row>
    <row r="62198" spans="1:2" x14ac:dyDescent="0.25">
      <c r="A62198" s="118"/>
      <c r="B62198" s="136"/>
    </row>
    <row r="62199" spans="1:2" x14ac:dyDescent="0.25">
      <c r="A62199" s="118"/>
      <c r="B62199" s="136"/>
    </row>
    <row r="62200" spans="1:2" x14ac:dyDescent="0.25">
      <c r="A62200" s="118"/>
      <c r="B62200" s="136"/>
    </row>
    <row r="62201" spans="1:2" x14ac:dyDescent="0.25">
      <c r="A62201" s="118"/>
      <c r="B62201" s="136"/>
    </row>
    <row r="62202" spans="1:2" x14ac:dyDescent="0.25">
      <c r="A62202" s="118"/>
      <c r="B62202" s="136"/>
    </row>
    <row r="62203" spans="1:2" x14ac:dyDescent="0.25">
      <c r="A62203" s="118"/>
      <c r="B62203" s="136"/>
    </row>
    <row r="62204" spans="1:2" x14ac:dyDescent="0.25">
      <c r="A62204" s="118"/>
      <c r="B62204" s="136"/>
    </row>
    <row r="62205" spans="1:2" x14ac:dyDescent="0.25">
      <c r="A62205" s="118"/>
      <c r="B62205" s="136"/>
    </row>
    <row r="62206" spans="1:2" x14ac:dyDescent="0.25">
      <c r="A62206" s="118"/>
      <c r="B62206" s="136"/>
    </row>
    <row r="62207" spans="1:2" x14ac:dyDescent="0.25">
      <c r="A62207" s="118"/>
      <c r="B62207" s="136"/>
    </row>
    <row r="62208" spans="1:2" x14ac:dyDescent="0.25">
      <c r="A62208" s="118"/>
      <c r="B62208" s="136"/>
    </row>
    <row r="62209" spans="1:2" x14ac:dyDescent="0.25">
      <c r="A62209" s="118"/>
      <c r="B62209" s="136"/>
    </row>
    <row r="62210" spans="1:2" x14ac:dyDescent="0.25">
      <c r="A62210" s="118"/>
      <c r="B62210" s="136"/>
    </row>
    <row r="62211" spans="1:2" x14ac:dyDescent="0.25">
      <c r="A62211" s="118"/>
      <c r="B62211" s="136"/>
    </row>
    <row r="62212" spans="1:2" x14ac:dyDescent="0.25">
      <c r="A62212" s="118"/>
      <c r="B62212" s="136"/>
    </row>
    <row r="62213" spans="1:2" x14ac:dyDescent="0.25">
      <c r="A62213" s="118"/>
      <c r="B62213" s="136"/>
    </row>
    <row r="62214" spans="1:2" x14ac:dyDescent="0.25">
      <c r="A62214" s="118"/>
      <c r="B62214" s="136"/>
    </row>
    <row r="62215" spans="1:2" x14ac:dyDescent="0.25">
      <c r="A62215" s="118"/>
      <c r="B62215" s="136"/>
    </row>
    <row r="62216" spans="1:2" x14ac:dyDescent="0.25">
      <c r="A62216" s="118"/>
      <c r="B62216" s="136"/>
    </row>
    <row r="62217" spans="1:2" x14ac:dyDescent="0.25">
      <c r="A62217" s="118"/>
      <c r="B62217" s="136"/>
    </row>
    <row r="62218" spans="1:2" x14ac:dyDescent="0.25">
      <c r="A62218" s="118"/>
      <c r="B62218" s="136"/>
    </row>
    <row r="62219" spans="1:2" x14ac:dyDescent="0.25">
      <c r="A62219" s="118"/>
      <c r="B62219" s="136"/>
    </row>
    <row r="62220" spans="1:2" x14ac:dyDescent="0.25">
      <c r="A62220" s="118"/>
      <c r="B62220" s="136"/>
    </row>
    <row r="62221" spans="1:2" x14ac:dyDescent="0.25">
      <c r="A62221" s="118"/>
      <c r="B62221" s="136"/>
    </row>
    <row r="62222" spans="1:2" x14ac:dyDescent="0.25">
      <c r="A62222" s="118"/>
      <c r="B62222" s="136"/>
    </row>
    <row r="62223" spans="1:2" x14ac:dyDescent="0.25">
      <c r="A62223" s="118"/>
      <c r="B62223" s="136"/>
    </row>
    <row r="62224" spans="1:2" x14ac:dyDescent="0.25">
      <c r="A62224" s="118"/>
      <c r="B62224" s="136"/>
    </row>
    <row r="62225" spans="1:2" x14ac:dyDescent="0.25">
      <c r="A62225" s="118"/>
      <c r="B62225" s="136"/>
    </row>
    <row r="62226" spans="1:2" x14ac:dyDescent="0.25">
      <c r="A62226" s="118"/>
      <c r="B62226" s="136"/>
    </row>
    <row r="62227" spans="1:2" x14ac:dyDescent="0.25">
      <c r="A62227" s="118"/>
      <c r="B62227" s="136"/>
    </row>
    <row r="62228" spans="1:2" x14ac:dyDescent="0.25">
      <c r="A62228" s="118"/>
      <c r="B62228" s="136"/>
    </row>
    <row r="62229" spans="1:2" x14ac:dyDescent="0.25">
      <c r="A62229" s="118"/>
      <c r="B62229" s="136"/>
    </row>
    <row r="62230" spans="1:2" x14ac:dyDescent="0.25">
      <c r="A62230" s="118"/>
      <c r="B62230" s="136"/>
    </row>
    <row r="62231" spans="1:2" x14ac:dyDescent="0.25">
      <c r="A62231" s="118"/>
      <c r="B62231" s="136"/>
    </row>
    <row r="62232" spans="1:2" x14ac:dyDescent="0.25">
      <c r="A62232" s="118"/>
      <c r="B62232" s="136"/>
    </row>
    <row r="62233" spans="1:2" x14ac:dyDescent="0.25">
      <c r="A62233" s="118"/>
      <c r="B62233" s="136"/>
    </row>
    <row r="62234" spans="1:2" x14ac:dyDescent="0.25">
      <c r="A62234" s="118"/>
      <c r="B62234" s="136"/>
    </row>
    <row r="62235" spans="1:2" x14ac:dyDescent="0.25">
      <c r="A62235" s="118"/>
      <c r="B62235" s="136"/>
    </row>
    <row r="62236" spans="1:2" x14ac:dyDescent="0.25">
      <c r="A62236" s="118"/>
      <c r="B62236" s="136"/>
    </row>
    <row r="62237" spans="1:2" x14ac:dyDescent="0.25">
      <c r="A62237" s="118"/>
      <c r="B62237" s="136"/>
    </row>
    <row r="62238" spans="1:2" x14ac:dyDescent="0.25">
      <c r="A62238" s="118"/>
      <c r="B62238" s="136"/>
    </row>
    <row r="62239" spans="1:2" x14ac:dyDescent="0.25">
      <c r="A62239" s="118"/>
      <c r="B62239" s="136"/>
    </row>
    <row r="62240" spans="1:2" x14ac:dyDescent="0.25">
      <c r="A62240" s="118"/>
      <c r="B62240" s="136"/>
    </row>
    <row r="62241" spans="1:2" x14ac:dyDescent="0.25">
      <c r="A62241" s="118"/>
      <c r="B62241" s="136"/>
    </row>
    <row r="62242" spans="1:2" x14ac:dyDescent="0.25">
      <c r="A62242" s="118"/>
      <c r="B62242" s="136"/>
    </row>
    <row r="62243" spans="1:2" x14ac:dyDescent="0.25">
      <c r="A62243" s="118"/>
      <c r="B62243" s="136"/>
    </row>
    <row r="62244" spans="1:2" x14ac:dyDescent="0.25">
      <c r="A62244" s="118"/>
      <c r="B62244" s="136"/>
    </row>
    <row r="62245" spans="1:2" x14ac:dyDescent="0.25">
      <c r="A62245" s="118"/>
      <c r="B62245" s="136"/>
    </row>
    <row r="62246" spans="1:2" x14ac:dyDescent="0.25">
      <c r="A62246" s="118"/>
      <c r="B62246" s="136"/>
    </row>
    <row r="62247" spans="1:2" x14ac:dyDescent="0.25">
      <c r="A62247" s="118"/>
      <c r="B62247" s="136"/>
    </row>
    <row r="62248" spans="1:2" x14ac:dyDescent="0.25">
      <c r="A62248" s="118"/>
      <c r="B62248" s="136"/>
    </row>
    <row r="62249" spans="1:2" x14ac:dyDescent="0.25">
      <c r="A62249" s="118"/>
      <c r="B62249" s="136"/>
    </row>
    <row r="62250" spans="1:2" x14ac:dyDescent="0.25">
      <c r="A62250" s="118"/>
      <c r="B62250" s="136"/>
    </row>
    <row r="62251" spans="1:2" x14ac:dyDescent="0.25">
      <c r="A62251" s="118"/>
      <c r="B62251" s="136"/>
    </row>
    <row r="62252" spans="1:2" x14ac:dyDescent="0.25">
      <c r="A62252" s="118"/>
      <c r="B62252" s="136"/>
    </row>
    <row r="62253" spans="1:2" x14ac:dyDescent="0.25">
      <c r="A62253" s="118"/>
      <c r="B62253" s="136"/>
    </row>
    <row r="62254" spans="1:2" x14ac:dyDescent="0.25">
      <c r="A62254" s="118"/>
      <c r="B62254" s="136"/>
    </row>
    <row r="62255" spans="1:2" x14ac:dyDescent="0.25">
      <c r="A62255" s="118"/>
      <c r="B62255" s="136"/>
    </row>
    <row r="62256" spans="1:2" x14ac:dyDescent="0.25">
      <c r="A62256" s="118"/>
      <c r="B62256" s="136"/>
    </row>
    <row r="62257" spans="1:2" x14ac:dyDescent="0.25">
      <c r="A62257" s="118"/>
      <c r="B62257" s="136"/>
    </row>
    <row r="62258" spans="1:2" x14ac:dyDescent="0.25">
      <c r="A62258" s="118"/>
      <c r="B62258" s="136"/>
    </row>
    <row r="62259" spans="1:2" x14ac:dyDescent="0.25">
      <c r="A62259" s="118"/>
      <c r="B62259" s="136"/>
    </row>
    <row r="62260" spans="1:2" x14ac:dyDescent="0.25">
      <c r="A62260" s="118"/>
      <c r="B62260" s="136"/>
    </row>
    <row r="62261" spans="1:2" x14ac:dyDescent="0.25">
      <c r="A62261" s="118"/>
      <c r="B62261" s="136"/>
    </row>
    <row r="62262" spans="1:2" x14ac:dyDescent="0.25">
      <c r="A62262" s="118"/>
      <c r="B62262" s="136"/>
    </row>
    <row r="62263" spans="1:2" x14ac:dyDescent="0.25">
      <c r="A62263" s="118"/>
      <c r="B62263" s="136"/>
    </row>
    <row r="62264" spans="1:2" x14ac:dyDescent="0.25">
      <c r="A62264" s="118"/>
      <c r="B62264" s="136"/>
    </row>
    <row r="62265" spans="1:2" x14ac:dyDescent="0.25">
      <c r="A62265" s="118"/>
      <c r="B62265" s="136"/>
    </row>
    <row r="62266" spans="1:2" x14ac:dyDescent="0.25">
      <c r="A62266" s="118"/>
      <c r="B62266" s="136"/>
    </row>
    <row r="62267" spans="1:2" x14ac:dyDescent="0.25">
      <c r="A62267" s="118"/>
      <c r="B62267" s="136"/>
    </row>
    <row r="62268" spans="1:2" x14ac:dyDescent="0.25">
      <c r="A62268" s="118"/>
      <c r="B62268" s="136"/>
    </row>
    <row r="62269" spans="1:2" x14ac:dyDescent="0.25">
      <c r="A62269" s="118"/>
      <c r="B62269" s="136"/>
    </row>
    <row r="62270" spans="1:2" x14ac:dyDescent="0.25">
      <c r="A62270" s="118"/>
      <c r="B62270" s="136"/>
    </row>
    <row r="62271" spans="1:2" x14ac:dyDescent="0.25">
      <c r="A62271" s="118"/>
      <c r="B62271" s="136"/>
    </row>
    <row r="62272" spans="1:2" x14ac:dyDescent="0.25">
      <c r="A62272" s="118"/>
      <c r="B62272" s="136"/>
    </row>
    <row r="62273" spans="1:2" x14ac:dyDescent="0.25">
      <c r="A62273" s="118"/>
      <c r="B62273" s="136"/>
    </row>
    <row r="62274" spans="1:2" x14ac:dyDescent="0.25">
      <c r="A62274" s="118"/>
      <c r="B62274" s="136"/>
    </row>
    <row r="62275" spans="1:2" x14ac:dyDescent="0.25">
      <c r="A62275" s="118"/>
      <c r="B62275" s="136"/>
    </row>
    <row r="62276" spans="1:2" x14ac:dyDescent="0.25">
      <c r="A62276" s="118"/>
      <c r="B62276" s="136"/>
    </row>
    <row r="62277" spans="1:2" x14ac:dyDescent="0.25">
      <c r="A62277" s="118"/>
      <c r="B62277" s="136"/>
    </row>
    <row r="62278" spans="1:2" x14ac:dyDescent="0.25">
      <c r="A62278" s="118"/>
      <c r="B62278" s="136"/>
    </row>
    <row r="62279" spans="1:2" x14ac:dyDescent="0.25">
      <c r="A62279" s="118"/>
      <c r="B62279" s="136"/>
    </row>
    <row r="62280" spans="1:2" x14ac:dyDescent="0.25">
      <c r="A62280" s="118"/>
      <c r="B62280" s="136"/>
    </row>
    <row r="62281" spans="1:2" x14ac:dyDescent="0.25">
      <c r="A62281" s="118"/>
      <c r="B62281" s="136"/>
    </row>
    <row r="62282" spans="1:2" x14ac:dyDescent="0.25">
      <c r="A62282" s="118"/>
      <c r="B62282" s="136"/>
    </row>
    <row r="62283" spans="1:2" x14ac:dyDescent="0.25">
      <c r="A62283" s="118"/>
      <c r="B62283" s="136"/>
    </row>
    <row r="62284" spans="1:2" x14ac:dyDescent="0.25">
      <c r="A62284" s="118"/>
      <c r="B62284" s="136"/>
    </row>
    <row r="62285" spans="1:2" x14ac:dyDescent="0.25">
      <c r="A62285" s="118"/>
      <c r="B62285" s="136"/>
    </row>
    <row r="62286" spans="1:2" x14ac:dyDescent="0.25">
      <c r="A62286" s="118"/>
      <c r="B62286" s="136"/>
    </row>
    <row r="62287" spans="1:2" x14ac:dyDescent="0.25">
      <c r="A62287" s="118"/>
      <c r="B62287" s="136"/>
    </row>
    <row r="62288" spans="1:2" x14ac:dyDescent="0.25">
      <c r="A62288" s="118"/>
      <c r="B62288" s="136"/>
    </row>
    <row r="62289" spans="1:2" x14ac:dyDescent="0.25">
      <c r="A62289" s="118"/>
      <c r="B62289" s="136"/>
    </row>
    <row r="62290" spans="1:2" x14ac:dyDescent="0.25">
      <c r="A62290" s="118"/>
      <c r="B62290" s="136"/>
    </row>
    <row r="62291" spans="1:2" x14ac:dyDescent="0.25">
      <c r="A62291" s="118"/>
      <c r="B62291" s="136"/>
    </row>
    <row r="62292" spans="1:2" x14ac:dyDescent="0.25">
      <c r="A62292" s="118"/>
      <c r="B62292" s="136"/>
    </row>
    <row r="62293" spans="1:2" x14ac:dyDescent="0.25">
      <c r="A62293" s="118"/>
      <c r="B62293" s="136"/>
    </row>
    <row r="62294" spans="1:2" x14ac:dyDescent="0.25">
      <c r="A62294" s="118"/>
      <c r="B62294" s="136"/>
    </row>
    <row r="62295" spans="1:2" x14ac:dyDescent="0.25">
      <c r="A62295" s="118"/>
      <c r="B62295" s="136"/>
    </row>
    <row r="62296" spans="1:2" x14ac:dyDescent="0.25">
      <c r="A62296" s="118"/>
      <c r="B62296" s="136"/>
    </row>
    <row r="62297" spans="1:2" x14ac:dyDescent="0.25">
      <c r="A62297" s="118"/>
      <c r="B62297" s="136"/>
    </row>
    <row r="62298" spans="1:2" x14ac:dyDescent="0.25">
      <c r="A62298" s="118"/>
      <c r="B62298" s="136"/>
    </row>
    <row r="62299" spans="1:2" x14ac:dyDescent="0.25">
      <c r="A62299" s="118"/>
      <c r="B62299" s="136"/>
    </row>
    <row r="62300" spans="1:2" x14ac:dyDescent="0.25">
      <c r="A62300" s="118"/>
      <c r="B62300" s="136"/>
    </row>
    <row r="62301" spans="1:2" x14ac:dyDescent="0.25">
      <c r="A62301" s="118"/>
      <c r="B62301" s="136"/>
    </row>
    <row r="62302" spans="1:2" x14ac:dyDescent="0.25">
      <c r="A62302" s="118"/>
      <c r="B62302" s="136"/>
    </row>
    <row r="62303" spans="1:2" x14ac:dyDescent="0.25">
      <c r="A62303" s="118"/>
      <c r="B62303" s="136"/>
    </row>
    <row r="62304" spans="1:2" x14ac:dyDescent="0.25">
      <c r="A62304" s="118"/>
      <c r="B62304" s="136"/>
    </row>
    <row r="62305" spans="1:2" x14ac:dyDescent="0.25">
      <c r="A62305" s="118"/>
      <c r="B62305" s="136"/>
    </row>
    <row r="62306" spans="1:2" x14ac:dyDescent="0.25">
      <c r="A62306" s="118"/>
      <c r="B62306" s="136"/>
    </row>
    <row r="62307" spans="1:2" x14ac:dyDescent="0.25">
      <c r="A62307" s="118"/>
      <c r="B62307" s="136"/>
    </row>
    <row r="62308" spans="1:2" x14ac:dyDescent="0.25">
      <c r="A62308" s="118"/>
      <c r="B62308" s="136"/>
    </row>
    <row r="62309" spans="1:2" x14ac:dyDescent="0.25">
      <c r="A62309" s="118"/>
      <c r="B62309" s="136"/>
    </row>
    <row r="62310" spans="1:2" x14ac:dyDescent="0.25">
      <c r="A62310" s="118"/>
      <c r="B62310" s="136"/>
    </row>
    <row r="62311" spans="1:2" x14ac:dyDescent="0.25">
      <c r="A62311" s="118"/>
      <c r="B62311" s="136"/>
    </row>
    <row r="62312" spans="1:2" x14ac:dyDescent="0.25">
      <c r="A62312" s="118"/>
      <c r="B62312" s="136"/>
    </row>
    <row r="62313" spans="1:2" x14ac:dyDescent="0.25">
      <c r="A62313" s="118"/>
      <c r="B62313" s="136"/>
    </row>
    <row r="62314" spans="1:2" x14ac:dyDescent="0.25">
      <c r="A62314" s="118"/>
      <c r="B62314" s="136"/>
    </row>
    <row r="62315" spans="1:2" x14ac:dyDescent="0.25">
      <c r="A62315" s="118"/>
      <c r="B62315" s="136"/>
    </row>
    <row r="62316" spans="1:2" x14ac:dyDescent="0.25">
      <c r="A62316" s="118"/>
      <c r="B62316" s="136"/>
    </row>
    <row r="62317" spans="1:2" x14ac:dyDescent="0.25">
      <c r="A62317" s="118"/>
      <c r="B62317" s="136"/>
    </row>
    <row r="62318" spans="1:2" x14ac:dyDescent="0.25">
      <c r="A62318" s="118"/>
      <c r="B62318" s="136"/>
    </row>
    <row r="62319" spans="1:2" x14ac:dyDescent="0.25">
      <c r="A62319" s="118"/>
      <c r="B62319" s="136"/>
    </row>
    <row r="62320" spans="1:2" x14ac:dyDescent="0.25">
      <c r="A62320" s="118"/>
      <c r="B62320" s="136"/>
    </row>
    <row r="62321" spans="1:2" x14ac:dyDescent="0.25">
      <c r="A62321" s="118"/>
      <c r="B62321" s="136"/>
    </row>
    <row r="62322" spans="1:2" x14ac:dyDescent="0.25">
      <c r="A62322" s="118"/>
      <c r="B62322" s="136"/>
    </row>
    <row r="62323" spans="1:2" x14ac:dyDescent="0.25">
      <c r="A62323" s="118"/>
      <c r="B62323" s="136"/>
    </row>
    <row r="62324" spans="1:2" x14ac:dyDescent="0.25">
      <c r="A62324" s="118"/>
      <c r="B62324" s="136"/>
    </row>
    <row r="62325" spans="1:2" x14ac:dyDescent="0.25">
      <c r="A62325" s="118"/>
      <c r="B62325" s="136"/>
    </row>
    <row r="62326" spans="1:2" x14ac:dyDescent="0.25">
      <c r="A62326" s="118"/>
      <c r="B62326" s="136"/>
    </row>
    <row r="62327" spans="1:2" x14ac:dyDescent="0.25">
      <c r="A62327" s="118"/>
      <c r="B62327" s="136"/>
    </row>
    <row r="62328" spans="1:2" x14ac:dyDescent="0.25">
      <c r="A62328" s="118"/>
      <c r="B62328" s="136"/>
    </row>
    <row r="62329" spans="1:2" x14ac:dyDescent="0.25">
      <c r="A62329" s="118"/>
      <c r="B62329" s="136"/>
    </row>
    <row r="62330" spans="1:2" x14ac:dyDescent="0.25">
      <c r="A62330" s="118"/>
      <c r="B62330" s="136"/>
    </row>
    <row r="62331" spans="1:2" x14ac:dyDescent="0.25">
      <c r="A62331" s="118"/>
      <c r="B62331" s="136"/>
    </row>
    <row r="62332" spans="1:2" x14ac:dyDescent="0.25">
      <c r="A62332" s="118"/>
      <c r="B62332" s="136"/>
    </row>
    <row r="62333" spans="1:2" x14ac:dyDescent="0.25">
      <c r="A62333" s="118"/>
      <c r="B62333" s="136"/>
    </row>
    <row r="62334" spans="1:2" x14ac:dyDescent="0.25">
      <c r="A62334" s="118"/>
      <c r="B62334" s="136"/>
    </row>
    <row r="62335" spans="1:2" x14ac:dyDescent="0.25">
      <c r="A62335" s="118"/>
      <c r="B62335" s="136"/>
    </row>
    <row r="62336" spans="1:2" x14ac:dyDescent="0.25">
      <c r="A62336" s="118"/>
      <c r="B62336" s="136"/>
    </row>
    <row r="62337" spans="1:2" x14ac:dyDescent="0.25">
      <c r="A62337" s="118"/>
      <c r="B62337" s="136"/>
    </row>
    <row r="62338" spans="1:2" x14ac:dyDescent="0.25">
      <c r="A62338" s="118"/>
      <c r="B62338" s="136"/>
    </row>
    <row r="62339" spans="1:2" x14ac:dyDescent="0.25">
      <c r="A62339" s="118"/>
      <c r="B62339" s="136"/>
    </row>
    <row r="62340" spans="1:2" x14ac:dyDescent="0.25">
      <c r="A62340" s="118"/>
      <c r="B62340" s="136"/>
    </row>
    <row r="62341" spans="1:2" x14ac:dyDescent="0.25">
      <c r="A62341" s="118"/>
      <c r="B62341" s="136"/>
    </row>
    <row r="62342" spans="1:2" x14ac:dyDescent="0.25">
      <c r="A62342" s="118"/>
      <c r="B62342" s="136"/>
    </row>
    <row r="62343" spans="1:2" x14ac:dyDescent="0.25">
      <c r="A62343" s="118"/>
      <c r="B62343" s="136"/>
    </row>
    <row r="62344" spans="1:2" x14ac:dyDescent="0.25">
      <c r="A62344" s="118"/>
      <c r="B62344" s="136"/>
    </row>
    <row r="62345" spans="1:2" x14ac:dyDescent="0.25">
      <c r="A62345" s="118"/>
      <c r="B62345" s="136"/>
    </row>
    <row r="62346" spans="1:2" x14ac:dyDescent="0.25">
      <c r="A62346" s="118"/>
      <c r="B62346" s="136"/>
    </row>
    <row r="62347" spans="1:2" x14ac:dyDescent="0.25">
      <c r="A62347" s="118"/>
      <c r="B62347" s="136"/>
    </row>
    <row r="62348" spans="1:2" x14ac:dyDescent="0.25">
      <c r="A62348" s="118"/>
      <c r="B62348" s="136"/>
    </row>
    <row r="62349" spans="1:2" x14ac:dyDescent="0.25">
      <c r="A62349" s="118"/>
      <c r="B62349" s="136"/>
    </row>
    <row r="62350" spans="1:2" x14ac:dyDescent="0.25">
      <c r="A62350" s="118"/>
      <c r="B62350" s="136"/>
    </row>
    <row r="62351" spans="1:2" x14ac:dyDescent="0.25">
      <c r="A62351" s="118"/>
      <c r="B62351" s="136"/>
    </row>
    <row r="62352" spans="1:2" x14ac:dyDescent="0.25">
      <c r="A62352" s="118"/>
      <c r="B62352" s="136"/>
    </row>
    <row r="62353" spans="1:2" x14ac:dyDescent="0.25">
      <c r="A62353" s="118"/>
      <c r="B62353" s="136"/>
    </row>
    <row r="62354" spans="1:2" x14ac:dyDescent="0.25">
      <c r="A62354" s="118"/>
      <c r="B62354" s="136"/>
    </row>
    <row r="62355" spans="1:2" x14ac:dyDescent="0.25">
      <c r="A62355" s="118"/>
      <c r="B62355" s="136"/>
    </row>
    <row r="62356" spans="1:2" x14ac:dyDescent="0.25">
      <c r="A62356" s="118"/>
      <c r="B62356" s="136"/>
    </row>
    <row r="62357" spans="1:2" x14ac:dyDescent="0.25">
      <c r="A62357" s="118"/>
      <c r="B62357" s="136"/>
    </row>
    <row r="62358" spans="1:2" x14ac:dyDescent="0.25">
      <c r="A62358" s="118"/>
      <c r="B62358" s="136"/>
    </row>
    <row r="62359" spans="1:2" x14ac:dyDescent="0.25">
      <c r="A62359" s="118"/>
      <c r="B62359" s="136"/>
    </row>
    <row r="62360" spans="1:2" x14ac:dyDescent="0.25">
      <c r="A62360" s="118"/>
      <c r="B62360" s="136"/>
    </row>
    <row r="62361" spans="1:2" x14ac:dyDescent="0.25">
      <c r="A62361" s="118"/>
      <c r="B62361" s="136"/>
    </row>
    <row r="62362" spans="1:2" x14ac:dyDescent="0.25">
      <c r="A62362" s="118"/>
      <c r="B62362" s="136"/>
    </row>
    <row r="62363" spans="1:2" x14ac:dyDescent="0.25">
      <c r="A62363" s="118"/>
      <c r="B62363" s="136"/>
    </row>
    <row r="62364" spans="1:2" x14ac:dyDescent="0.25">
      <c r="A62364" s="118"/>
      <c r="B62364" s="136"/>
    </row>
    <row r="62365" spans="1:2" x14ac:dyDescent="0.25">
      <c r="A62365" s="118"/>
      <c r="B62365" s="136"/>
    </row>
    <row r="62366" spans="1:2" x14ac:dyDescent="0.25">
      <c r="A62366" s="118"/>
      <c r="B62366" s="136"/>
    </row>
    <row r="62367" spans="1:2" x14ac:dyDescent="0.25">
      <c r="A62367" s="118"/>
      <c r="B62367" s="136"/>
    </row>
    <row r="62368" spans="1:2" x14ac:dyDescent="0.25">
      <c r="A62368" s="118"/>
      <c r="B62368" s="136"/>
    </row>
    <row r="62369" spans="1:2" x14ac:dyDescent="0.25">
      <c r="A62369" s="118"/>
      <c r="B62369" s="136"/>
    </row>
    <row r="62370" spans="1:2" x14ac:dyDescent="0.25">
      <c r="A62370" s="118"/>
      <c r="B62370" s="136"/>
    </row>
    <row r="62371" spans="1:2" x14ac:dyDescent="0.25">
      <c r="A62371" s="118"/>
      <c r="B62371" s="136"/>
    </row>
    <row r="62372" spans="1:2" x14ac:dyDescent="0.25">
      <c r="A62372" s="118"/>
      <c r="B62372" s="136"/>
    </row>
    <row r="62373" spans="1:2" x14ac:dyDescent="0.25">
      <c r="A62373" s="118"/>
      <c r="B62373" s="136"/>
    </row>
    <row r="62374" spans="1:2" x14ac:dyDescent="0.25">
      <c r="A62374" s="118"/>
      <c r="B62374" s="136"/>
    </row>
    <row r="62375" spans="1:2" x14ac:dyDescent="0.25">
      <c r="A62375" s="118"/>
      <c r="B62375" s="136"/>
    </row>
    <row r="62376" spans="1:2" x14ac:dyDescent="0.25">
      <c r="A62376" s="118"/>
      <c r="B62376" s="136"/>
    </row>
    <row r="62377" spans="1:2" x14ac:dyDescent="0.25">
      <c r="A62377" s="118"/>
      <c r="B62377" s="136"/>
    </row>
    <row r="62378" spans="1:2" x14ac:dyDescent="0.25">
      <c r="A62378" s="118"/>
      <c r="B62378" s="136"/>
    </row>
    <row r="62379" spans="1:2" x14ac:dyDescent="0.25">
      <c r="A62379" s="118"/>
      <c r="B62379" s="136"/>
    </row>
    <row r="62380" spans="1:2" x14ac:dyDescent="0.25">
      <c r="A62380" s="118"/>
      <c r="B62380" s="136"/>
    </row>
    <row r="62381" spans="1:2" x14ac:dyDescent="0.25">
      <c r="A62381" s="118"/>
      <c r="B62381" s="136"/>
    </row>
    <row r="62382" spans="1:2" x14ac:dyDescent="0.25">
      <c r="A62382" s="118"/>
      <c r="B62382" s="136"/>
    </row>
    <row r="62383" spans="1:2" x14ac:dyDescent="0.25">
      <c r="A62383" s="118"/>
      <c r="B62383" s="136"/>
    </row>
    <row r="62384" spans="1:2" x14ac:dyDescent="0.25">
      <c r="A62384" s="118"/>
      <c r="B62384" s="136"/>
    </row>
    <row r="62385" spans="1:2" x14ac:dyDescent="0.25">
      <c r="A62385" s="118"/>
      <c r="B62385" s="136"/>
    </row>
    <row r="62386" spans="1:2" x14ac:dyDescent="0.25">
      <c r="A62386" s="118"/>
      <c r="B62386" s="136"/>
    </row>
    <row r="62387" spans="1:2" x14ac:dyDescent="0.25">
      <c r="A62387" s="118"/>
      <c r="B62387" s="136"/>
    </row>
    <row r="62388" spans="1:2" x14ac:dyDescent="0.25">
      <c r="A62388" s="118"/>
      <c r="B62388" s="136"/>
    </row>
    <row r="62389" spans="1:2" x14ac:dyDescent="0.25">
      <c r="A62389" s="118"/>
      <c r="B62389" s="136"/>
    </row>
    <row r="62390" spans="1:2" x14ac:dyDescent="0.25">
      <c r="A62390" s="118"/>
      <c r="B62390" s="136"/>
    </row>
    <row r="62391" spans="1:2" x14ac:dyDescent="0.25">
      <c r="A62391" s="118"/>
      <c r="B62391" s="136"/>
    </row>
    <row r="62392" spans="1:2" x14ac:dyDescent="0.25">
      <c r="A62392" s="118"/>
      <c r="B62392" s="136"/>
    </row>
    <row r="62393" spans="1:2" x14ac:dyDescent="0.25">
      <c r="A62393" s="118"/>
      <c r="B62393" s="136"/>
    </row>
    <row r="62394" spans="1:2" x14ac:dyDescent="0.25">
      <c r="A62394" s="118"/>
      <c r="B62394" s="136"/>
    </row>
    <row r="62395" spans="1:2" x14ac:dyDescent="0.25">
      <c r="A62395" s="118"/>
      <c r="B62395" s="136"/>
    </row>
    <row r="62396" spans="1:2" x14ac:dyDescent="0.25">
      <c r="A62396" s="118"/>
      <c r="B62396" s="136"/>
    </row>
    <row r="62397" spans="1:2" x14ac:dyDescent="0.25">
      <c r="A62397" s="118"/>
      <c r="B62397" s="136"/>
    </row>
    <row r="62398" spans="1:2" x14ac:dyDescent="0.25">
      <c r="A62398" s="118"/>
      <c r="B62398" s="136"/>
    </row>
    <row r="62399" spans="1:2" x14ac:dyDescent="0.25">
      <c r="A62399" s="118"/>
      <c r="B62399" s="136"/>
    </row>
    <row r="62400" spans="1:2" x14ac:dyDescent="0.25">
      <c r="A62400" s="118"/>
      <c r="B62400" s="136"/>
    </row>
    <row r="62401" spans="1:2" x14ac:dyDescent="0.25">
      <c r="A62401" s="118"/>
      <c r="B62401" s="136"/>
    </row>
    <row r="62402" spans="1:2" x14ac:dyDescent="0.25">
      <c r="A62402" s="118"/>
      <c r="B62402" s="136"/>
    </row>
    <row r="62403" spans="1:2" x14ac:dyDescent="0.25">
      <c r="A62403" s="118"/>
      <c r="B62403" s="136"/>
    </row>
    <row r="62404" spans="1:2" x14ac:dyDescent="0.25">
      <c r="A62404" s="118"/>
      <c r="B62404" s="136"/>
    </row>
    <row r="62405" spans="1:2" x14ac:dyDescent="0.25">
      <c r="A62405" s="118"/>
      <c r="B62405" s="136"/>
    </row>
    <row r="62406" spans="1:2" x14ac:dyDescent="0.25">
      <c r="A62406" s="118"/>
      <c r="B62406" s="136"/>
    </row>
    <row r="62407" spans="1:2" x14ac:dyDescent="0.25">
      <c r="A62407" s="118"/>
      <c r="B62407" s="136"/>
    </row>
    <row r="62408" spans="1:2" x14ac:dyDescent="0.25">
      <c r="A62408" s="118"/>
      <c r="B62408" s="136"/>
    </row>
    <row r="62409" spans="1:2" x14ac:dyDescent="0.25">
      <c r="A62409" s="118"/>
      <c r="B62409" s="136"/>
    </row>
    <row r="62410" spans="1:2" x14ac:dyDescent="0.25">
      <c r="A62410" s="118"/>
      <c r="B62410" s="136"/>
    </row>
    <row r="62411" spans="1:2" x14ac:dyDescent="0.25">
      <c r="A62411" s="118"/>
      <c r="B62411" s="136"/>
    </row>
    <row r="62412" spans="1:2" x14ac:dyDescent="0.25">
      <c r="A62412" s="118"/>
      <c r="B62412" s="136"/>
    </row>
    <row r="62413" spans="1:2" x14ac:dyDescent="0.25">
      <c r="A62413" s="118"/>
      <c r="B62413" s="136"/>
    </row>
    <row r="62414" spans="1:2" x14ac:dyDescent="0.25">
      <c r="A62414" s="118"/>
      <c r="B62414" s="136"/>
    </row>
    <row r="62415" spans="1:2" x14ac:dyDescent="0.25">
      <c r="A62415" s="118"/>
      <c r="B62415" s="136"/>
    </row>
    <row r="62416" spans="1:2" x14ac:dyDescent="0.25">
      <c r="A62416" s="118"/>
      <c r="B62416" s="136"/>
    </row>
    <row r="62417" spans="1:2" x14ac:dyDescent="0.25">
      <c r="A62417" s="118"/>
      <c r="B62417" s="136"/>
    </row>
    <row r="62418" spans="1:2" x14ac:dyDescent="0.25">
      <c r="A62418" s="118"/>
      <c r="B62418" s="136"/>
    </row>
    <row r="62419" spans="1:2" x14ac:dyDescent="0.25">
      <c r="A62419" s="118"/>
      <c r="B62419" s="136"/>
    </row>
    <row r="62420" spans="1:2" x14ac:dyDescent="0.25">
      <c r="A62420" s="118"/>
      <c r="B62420" s="136"/>
    </row>
    <row r="62421" spans="1:2" x14ac:dyDescent="0.25">
      <c r="A62421" s="118"/>
      <c r="B62421" s="136"/>
    </row>
    <row r="62422" spans="1:2" x14ac:dyDescent="0.25">
      <c r="A62422" s="118"/>
      <c r="B62422" s="136"/>
    </row>
    <row r="62423" spans="1:2" x14ac:dyDescent="0.25">
      <c r="A62423" s="118"/>
      <c r="B62423" s="136"/>
    </row>
    <row r="62424" spans="1:2" x14ac:dyDescent="0.25">
      <c r="A62424" s="118"/>
      <c r="B62424" s="136"/>
    </row>
    <row r="62425" spans="1:2" x14ac:dyDescent="0.25">
      <c r="A62425" s="118"/>
      <c r="B62425" s="136"/>
    </row>
    <row r="62426" spans="1:2" x14ac:dyDescent="0.25">
      <c r="A62426" s="118"/>
      <c r="B62426" s="136"/>
    </row>
    <row r="62427" spans="1:2" x14ac:dyDescent="0.25">
      <c r="A62427" s="118"/>
      <c r="B62427" s="136"/>
    </row>
    <row r="62428" spans="1:2" x14ac:dyDescent="0.25">
      <c r="A62428" s="118"/>
      <c r="B62428" s="136"/>
    </row>
    <row r="62429" spans="1:2" x14ac:dyDescent="0.25">
      <c r="A62429" s="118"/>
      <c r="B62429" s="136"/>
    </row>
    <row r="62430" spans="1:2" x14ac:dyDescent="0.25">
      <c r="A62430" s="118"/>
      <c r="B62430" s="136"/>
    </row>
    <row r="62431" spans="1:2" x14ac:dyDescent="0.25">
      <c r="A62431" s="118"/>
      <c r="B62431" s="136"/>
    </row>
    <row r="62432" spans="1:2" x14ac:dyDescent="0.25">
      <c r="A62432" s="118"/>
      <c r="B62432" s="136"/>
    </row>
    <row r="62433" spans="1:2" x14ac:dyDescent="0.25">
      <c r="A62433" s="118"/>
      <c r="B62433" s="136"/>
    </row>
    <row r="62434" spans="1:2" x14ac:dyDescent="0.25">
      <c r="A62434" s="118"/>
      <c r="B62434" s="136"/>
    </row>
    <row r="62435" spans="1:2" x14ac:dyDescent="0.25">
      <c r="A62435" s="118"/>
      <c r="B62435" s="136"/>
    </row>
    <row r="62436" spans="1:2" x14ac:dyDescent="0.25">
      <c r="A62436" s="118"/>
      <c r="B62436" s="136"/>
    </row>
    <row r="62437" spans="1:2" x14ac:dyDescent="0.25">
      <c r="A62437" s="118"/>
      <c r="B62437" s="136"/>
    </row>
    <row r="62438" spans="1:2" x14ac:dyDescent="0.25">
      <c r="A62438" s="118"/>
      <c r="B62438" s="136"/>
    </row>
    <row r="62439" spans="1:2" x14ac:dyDescent="0.25">
      <c r="A62439" s="118"/>
      <c r="B62439" s="136"/>
    </row>
    <row r="62440" spans="1:2" x14ac:dyDescent="0.25">
      <c r="A62440" s="118"/>
      <c r="B62440" s="136"/>
    </row>
    <row r="62441" spans="1:2" x14ac:dyDescent="0.25">
      <c r="A62441" s="118"/>
      <c r="B62441" s="136"/>
    </row>
    <row r="62442" spans="1:2" x14ac:dyDescent="0.25">
      <c r="A62442" s="118"/>
      <c r="B62442" s="136"/>
    </row>
    <row r="62443" spans="1:2" x14ac:dyDescent="0.25">
      <c r="A62443" s="118"/>
      <c r="B62443" s="136"/>
    </row>
    <row r="62444" spans="1:2" x14ac:dyDescent="0.25">
      <c r="A62444" s="118"/>
      <c r="B62444" s="136"/>
    </row>
    <row r="62445" spans="1:2" x14ac:dyDescent="0.25">
      <c r="A62445" s="118"/>
      <c r="B62445" s="136"/>
    </row>
    <row r="62446" spans="1:2" x14ac:dyDescent="0.25">
      <c r="A62446" s="118"/>
      <c r="B62446" s="136"/>
    </row>
    <row r="62447" spans="1:2" x14ac:dyDescent="0.25">
      <c r="A62447" s="118"/>
      <c r="B62447" s="136"/>
    </row>
    <row r="62448" spans="1:2" x14ac:dyDescent="0.25">
      <c r="A62448" s="118"/>
      <c r="B62448" s="136"/>
    </row>
    <row r="62449" spans="1:2" x14ac:dyDescent="0.25">
      <c r="A62449" s="118"/>
      <c r="B62449" s="136"/>
    </row>
    <row r="62450" spans="1:2" x14ac:dyDescent="0.25">
      <c r="A62450" s="118"/>
      <c r="B62450" s="136"/>
    </row>
    <row r="62451" spans="1:2" x14ac:dyDescent="0.25">
      <c r="A62451" s="118"/>
      <c r="B62451" s="136"/>
    </row>
    <row r="62452" spans="1:2" x14ac:dyDescent="0.25">
      <c r="A62452" s="118"/>
      <c r="B62452" s="136"/>
    </row>
    <row r="62453" spans="1:2" x14ac:dyDescent="0.25">
      <c r="A62453" s="118"/>
      <c r="B62453" s="136"/>
    </row>
    <row r="62454" spans="1:2" x14ac:dyDescent="0.25">
      <c r="A62454" s="118"/>
      <c r="B62454" s="136"/>
    </row>
    <row r="62455" spans="1:2" x14ac:dyDescent="0.25">
      <c r="A62455" s="118"/>
      <c r="B62455" s="136"/>
    </row>
    <row r="62456" spans="1:2" x14ac:dyDescent="0.25">
      <c r="A62456" s="118"/>
      <c r="B62456" s="136"/>
    </row>
    <row r="62457" spans="1:2" x14ac:dyDescent="0.25">
      <c r="A62457" s="118"/>
      <c r="B62457" s="136"/>
    </row>
    <row r="62458" spans="1:2" x14ac:dyDescent="0.25">
      <c r="A62458" s="118"/>
      <c r="B62458" s="136"/>
    </row>
    <row r="62459" spans="1:2" x14ac:dyDescent="0.25">
      <c r="A62459" s="118"/>
      <c r="B62459" s="136"/>
    </row>
    <row r="62460" spans="1:2" x14ac:dyDescent="0.25">
      <c r="A62460" s="118"/>
      <c r="B62460" s="136"/>
    </row>
    <row r="62461" spans="1:2" x14ac:dyDescent="0.25">
      <c r="A62461" s="118"/>
      <c r="B62461" s="136"/>
    </row>
    <row r="62462" spans="1:2" x14ac:dyDescent="0.25">
      <c r="A62462" s="118"/>
      <c r="B62462" s="136"/>
    </row>
    <row r="62463" spans="1:2" x14ac:dyDescent="0.25">
      <c r="A62463" s="118"/>
      <c r="B62463" s="136"/>
    </row>
    <row r="62464" spans="1:2" x14ac:dyDescent="0.25">
      <c r="A62464" s="118"/>
      <c r="B62464" s="136"/>
    </row>
    <row r="62465" spans="1:2" x14ac:dyDescent="0.25">
      <c r="A62465" s="118"/>
      <c r="B62465" s="136"/>
    </row>
    <row r="62466" spans="1:2" x14ac:dyDescent="0.25">
      <c r="A62466" s="118"/>
      <c r="B62466" s="136"/>
    </row>
    <row r="62467" spans="1:2" x14ac:dyDescent="0.25">
      <c r="A62467" s="118"/>
      <c r="B62467" s="136"/>
    </row>
    <row r="62468" spans="1:2" x14ac:dyDescent="0.25">
      <c r="A62468" s="118"/>
      <c r="B62468" s="136"/>
    </row>
    <row r="62469" spans="1:2" x14ac:dyDescent="0.25">
      <c r="A62469" s="118"/>
      <c r="B62469" s="136"/>
    </row>
    <row r="62470" spans="1:2" x14ac:dyDescent="0.25">
      <c r="A62470" s="118"/>
      <c r="B62470" s="136"/>
    </row>
    <row r="62471" spans="1:2" x14ac:dyDescent="0.25">
      <c r="A62471" s="118"/>
      <c r="B62471" s="136"/>
    </row>
    <row r="62472" spans="1:2" x14ac:dyDescent="0.25">
      <c r="A62472" s="118"/>
      <c r="B62472" s="136"/>
    </row>
    <row r="62473" spans="1:2" x14ac:dyDescent="0.25">
      <c r="A62473" s="118"/>
      <c r="B62473" s="136"/>
    </row>
    <row r="62474" spans="1:2" x14ac:dyDescent="0.25">
      <c r="A62474" s="118"/>
      <c r="B62474" s="136"/>
    </row>
    <row r="62475" spans="1:2" x14ac:dyDescent="0.25">
      <c r="A62475" s="118"/>
      <c r="B62475" s="136"/>
    </row>
    <row r="62476" spans="1:2" x14ac:dyDescent="0.25">
      <c r="A62476" s="118"/>
      <c r="B62476" s="136"/>
    </row>
    <row r="62477" spans="1:2" x14ac:dyDescent="0.25">
      <c r="A62477" s="118"/>
      <c r="B62477" s="136"/>
    </row>
    <row r="62478" spans="1:2" x14ac:dyDescent="0.25">
      <c r="A62478" s="118"/>
      <c r="B62478" s="136"/>
    </row>
    <row r="62479" spans="1:2" x14ac:dyDescent="0.25">
      <c r="A62479" s="118"/>
      <c r="B62479" s="136"/>
    </row>
    <row r="62480" spans="1:2" x14ac:dyDescent="0.25">
      <c r="A62480" s="118"/>
      <c r="B62480" s="136"/>
    </row>
    <row r="62481" spans="1:2" x14ac:dyDescent="0.25">
      <c r="A62481" s="118"/>
      <c r="B62481" s="136"/>
    </row>
    <row r="62482" spans="1:2" x14ac:dyDescent="0.25">
      <c r="A62482" s="118"/>
      <c r="B62482" s="136"/>
    </row>
    <row r="62483" spans="1:2" x14ac:dyDescent="0.25">
      <c r="A62483" s="118"/>
      <c r="B62483" s="136"/>
    </row>
    <row r="62484" spans="1:2" x14ac:dyDescent="0.25">
      <c r="A62484" s="118"/>
      <c r="B62484" s="136"/>
    </row>
    <row r="62485" spans="1:2" x14ac:dyDescent="0.25">
      <c r="A62485" s="118"/>
      <c r="B62485" s="136"/>
    </row>
    <row r="62486" spans="1:2" x14ac:dyDescent="0.25">
      <c r="A62486" s="118"/>
      <c r="B62486" s="136"/>
    </row>
    <row r="62487" spans="1:2" x14ac:dyDescent="0.25">
      <c r="A62487" s="118"/>
      <c r="B62487" s="136"/>
    </row>
    <row r="62488" spans="1:2" x14ac:dyDescent="0.25">
      <c r="A62488" s="118"/>
      <c r="B62488" s="136"/>
    </row>
    <row r="62489" spans="1:2" x14ac:dyDescent="0.25">
      <c r="A62489" s="118"/>
      <c r="B62489" s="136"/>
    </row>
    <row r="62490" spans="1:2" x14ac:dyDescent="0.25">
      <c r="A62490" s="118"/>
      <c r="B62490" s="136"/>
    </row>
    <row r="62491" spans="1:2" x14ac:dyDescent="0.25">
      <c r="A62491" s="118"/>
      <c r="B62491" s="136"/>
    </row>
    <row r="62492" spans="1:2" x14ac:dyDescent="0.25">
      <c r="A62492" s="118"/>
      <c r="B62492" s="136"/>
    </row>
    <row r="62493" spans="1:2" x14ac:dyDescent="0.25">
      <c r="A62493" s="118"/>
      <c r="B62493" s="136"/>
    </row>
    <row r="62494" spans="1:2" x14ac:dyDescent="0.25">
      <c r="A62494" s="118"/>
      <c r="B62494" s="136"/>
    </row>
    <row r="62495" spans="1:2" x14ac:dyDescent="0.25">
      <c r="A62495" s="118"/>
      <c r="B62495" s="136"/>
    </row>
    <row r="62496" spans="1:2" x14ac:dyDescent="0.25">
      <c r="A62496" s="118"/>
      <c r="B62496" s="136"/>
    </row>
    <row r="62497" spans="1:2" x14ac:dyDescent="0.25">
      <c r="A62497" s="118"/>
      <c r="B62497" s="136"/>
    </row>
    <row r="62498" spans="1:2" x14ac:dyDescent="0.25">
      <c r="A62498" s="118"/>
      <c r="B62498" s="136"/>
    </row>
    <row r="62499" spans="1:2" x14ac:dyDescent="0.25">
      <c r="A62499" s="118"/>
      <c r="B62499" s="136"/>
    </row>
    <row r="62500" spans="1:2" x14ac:dyDescent="0.25">
      <c r="A62500" s="118"/>
      <c r="B62500" s="136"/>
    </row>
    <row r="62501" spans="1:2" x14ac:dyDescent="0.25">
      <c r="A62501" s="118"/>
      <c r="B62501" s="136"/>
    </row>
    <row r="62502" spans="1:2" x14ac:dyDescent="0.25">
      <c r="A62502" s="118"/>
      <c r="B62502" s="136"/>
    </row>
    <row r="62503" spans="1:2" x14ac:dyDescent="0.25">
      <c r="A62503" s="118"/>
      <c r="B62503" s="136"/>
    </row>
    <row r="62504" spans="1:2" x14ac:dyDescent="0.25">
      <c r="A62504" s="118"/>
      <c r="B62504" s="136"/>
    </row>
    <row r="62505" spans="1:2" x14ac:dyDescent="0.25">
      <c r="A62505" s="118"/>
      <c r="B62505" s="136"/>
    </row>
    <row r="62506" spans="1:2" x14ac:dyDescent="0.25">
      <c r="A62506" s="118"/>
      <c r="B62506" s="136"/>
    </row>
    <row r="62507" spans="1:2" x14ac:dyDescent="0.25">
      <c r="A62507" s="118"/>
      <c r="B62507" s="136"/>
    </row>
    <row r="62508" spans="1:2" x14ac:dyDescent="0.25">
      <c r="A62508" s="118"/>
      <c r="B62508" s="136"/>
    </row>
    <row r="62509" spans="1:2" x14ac:dyDescent="0.25">
      <c r="A62509" s="118"/>
      <c r="B62509" s="136"/>
    </row>
    <row r="62510" spans="1:2" x14ac:dyDescent="0.25">
      <c r="A62510" s="118"/>
      <c r="B62510" s="136"/>
    </row>
    <row r="62511" spans="1:2" x14ac:dyDescent="0.25">
      <c r="A62511" s="118"/>
      <c r="B62511" s="136"/>
    </row>
    <row r="62512" spans="1:2" x14ac:dyDescent="0.25">
      <c r="A62512" s="118"/>
      <c r="B62512" s="136"/>
    </row>
    <row r="62513" spans="1:2" x14ac:dyDescent="0.25">
      <c r="A62513" s="118"/>
      <c r="B62513" s="136"/>
    </row>
    <row r="62514" spans="1:2" x14ac:dyDescent="0.25">
      <c r="A62514" s="118"/>
      <c r="B62514" s="136"/>
    </row>
    <row r="62515" spans="1:2" x14ac:dyDescent="0.25">
      <c r="A62515" s="118"/>
      <c r="B62515" s="136"/>
    </row>
    <row r="62516" spans="1:2" x14ac:dyDescent="0.25">
      <c r="A62516" s="118"/>
      <c r="B62516" s="136"/>
    </row>
    <row r="62517" spans="1:2" x14ac:dyDescent="0.25">
      <c r="A62517" s="118"/>
      <c r="B62517" s="136"/>
    </row>
    <row r="62518" spans="1:2" x14ac:dyDescent="0.25">
      <c r="A62518" s="118"/>
      <c r="B62518" s="136"/>
    </row>
    <row r="62519" spans="1:2" x14ac:dyDescent="0.25">
      <c r="A62519" s="118"/>
      <c r="B62519" s="136"/>
    </row>
    <row r="62520" spans="1:2" x14ac:dyDescent="0.25">
      <c r="A62520" s="118"/>
      <c r="B62520" s="136"/>
    </row>
    <row r="62521" spans="1:2" x14ac:dyDescent="0.25">
      <c r="A62521" s="118"/>
      <c r="B62521" s="136"/>
    </row>
    <row r="62522" spans="1:2" x14ac:dyDescent="0.25">
      <c r="A62522" s="118"/>
      <c r="B62522" s="136"/>
    </row>
    <row r="62523" spans="1:2" x14ac:dyDescent="0.25">
      <c r="A62523" s="118"/>
      <c r="B62523" s="136"/>
    </row>
    <row r="62524" spans="1:2" x14ac:dyDescent="0.25">
      <c r="A62524" s="118"/>
      <c r="B62524" s="136"/>
    </row>
    <row r="62525" spans="1:2" x14ac:dyDescent="0.25">
      <c r="A62525" s="118"/>
      <c r="B62525" s="136"/>
    </row>
    <row r="62526" spans="1:2" x14ac:dyDescent="0.25">
      <c r="A62526" s="118"/>
      <c r="B62526" s="136"/>
    </row>
    <row r="62527" spans="1:2" x14ac:dyDescent="0.25">
      <c r="A62527" s="118"/>
      <c r="B62527" s="136"/>
    </row>
    <row r="62528" spans="1:2" x14ac:dyDescent="0.25">
      <c r="A62528" s="118"/>
      <c r="B62528" s="136"/>
    </row>
    <row r="62529" spans="1:2" x14ac:dyDescent="0.25">
      <c r="A62529" s="118"/>
      <c r="B62529" s="136"/>
    </row>
    <row r="62530" spans="1:2" x14ac:dyDescent="0.25">
      <c r="A62530" s="118"/>
      <c r="B62530" s="136"/>
    </row>
    <row r="62531" spans="1:2" x14ac:dyDescent="0.25">
      <c r="A62531" s="118"/>
      <c r="B62531" s="136"/>
    </row>
    <row r="62532" spans="1:2" x14ac:dyDescent="0.25">
      <c r="A62532" s="118"/>
      <c r="B62532" s="136"/>
    </row>
    <row r="62533" spans="1:2" x14ac:dyDescent="0.25">
      <c r="A62533" s="118"/>
      <c r="B62533" s="136"/>
    </row>
    <row r="62534" spans="1:2" x14ac:dyDescent="0.25">
      <c r="A62534" s="118"/>
      <c r="B62534" s="136"/>
    </row>
    <row r="62535" spans="1:2" x14ac:dyDescent="0.25">
      <c r="A62535" s="118"/>
      <c r="B62535" s="136"/>
    </row>
    <row r="62536" spans="1:2" x14ac:dyDescent="0.25">
      <c r="A62536" s="118"/>
      <c r="B62536" s="136"/>
    </row>
    <row r="62537" spans="1:2" x14ac:dyDescent="0.25">
      <c r="A62537" s="118"/>
      <c r="B62537" s="136"/>
    </row>
    <row r="62538" spans="1:2" x14ac:dyDescent="0.25">
      <c r="A62538" s="118"/>
      <c r="B62538" s="136"/>
    </row>
    <row r="62539" spans="1:2" x14ac:dyDescent="0.25">
      <c r="A62539" s="118"/>
      <c r="B62539" s="136"/>
    </row>
    <row r="62540" spans="1:2" x14ac:dyDescent="0.25">
      <c r="A62540" s="118"/>
      <c r="B62540" s="136"/>
    </row>
    <row r="62541" spans="1:2" x14ac:dyDescent="0.25">
      <c r="A62541" s="118"/>
      <c r="B62541" s="136"/>
    </row>
    <row r="62542" spans="1:2" x14ac:dyDescent="0.25">
      <c r="A62542" s="118"/>
      <c r="B62542" s="136"/>
    </row>
    <row r="62543" spans="1:2" x14ac:dyDescent="0.25">
      <c r="A62543" s="118"/>
      <c r="B62543" s="136"/>
    </row>
    <row r="62544" spans="1:2" x14ac:dyDescent="0.25">
      <c r="A62544" s="118"/>
      <c r="B62544" s="136"/>
    </row>
    <row r="62545" spans="1:2" x14ac:dyDescent="0.25">
      <c r="A62545" s="118"/>
      <c r="B62545" s="136"/>
    </row>
    <row r="62546" spans="1:2" x14ac:dyDescent="0.25">
      <c r="A62546" s="118"/>
      <c r="B62546" s="136"/>
    </row>
    <row r="62547" spans="1:2" x14ac:dyDescent="0.25">
      <c r="A62547" s="118"/>
      <c r="B62547" s="136"/>
    </row>
    <row r="62548" spans="1:2" x14ac:dyDescent="0.25">
      <c r="A62548" s="118"/>
      <c r="B62548" s="136"/>
    </row>
    <row r="62549" spans="1:2" x14ac:dyDescent="0.25">
      <c r="A62549" s="118"/>
      <c r="B62549" s="136"/>
    </row>
    <row r="62550" spans="1:2" x14ac:dyDescent="0.25">
      <c r="A62550" s="118"/>
      <c r="B62550" s="136"/>
    </row>
    <row r="62551" spans="1:2" x14ac:dyDescent="0.25">
      <c r="A62551" s="118"/>
      <c r="B62551" s="136"/>
    </row>
    <row r="62552" spans="1:2" x14ac:dyDescent="0.25">
      <c r="A62552" s="118"/>
      <c r="B62552" s="136"/>
    </row>
    <row r="62553" spans="1:2" x14ac:dyDescent="0.25">
      <c r="A62553" s="118"/>
      <c r="B62553" s="136"/>
    </row>
    <row r="62554" spans="1:2" x14ac:dyDescent="0.25">
      <c r="A62554" s="118"/>
      <c r="B62554" s="136"/>
    </row>
    <row r="62555" spans="1:2" x14ac:dyDescent="0.25">
      <c r="A62555" s="118"/>
      <c r="B62555" s="136"/>
    </row>
    <row r="62556" spans="1:2" x14ac:dyDescent="0.25">
      <c r="A62556" s="118"/>
      <c r="B62556" s="136"/>
    </row>
    <row r="62557" spans="1:2" x14ac:dyDescent="0.25">
      <c r="A62557" s="118"/>
      <c r="B62557" s="136"/>
    </row>
    <row r="62558" spans="1:2" x14ac:dyDescent="0.25">
      <c r="A62558" s="118"/>
      <c r="B62558" s="136"/>
    </row>
    <row r="62559" spans="1:2" x14ac:dyDescent="0.25">
      <c r="A62559" s="118"/>
      <c r="B62559" s="136"/>
    </row>
    <row r="62560" spans="1:2" x14ac:dyDescent="0.25">
      <c r="A62560" s="118"/>
      <c r="B62560" s="136"/>
    </row>
    <row r="62561" spans="1:2" x14ac:dyDescent="0.25">
      <c r="A62561" s="118"/>
      <c r="B62561" s="136"/>
    </row>
    <row r="62562" spans="1:2" x14ac:dyDescent="0.25">
      <c r="A62562" s="118"/>
      <c r="B62562" s="136"/>
    </row>
    <row r="62563" spans="1:2" x14ac:dyDescent="0.25">
      <c r="A62563" s="118"/>
      <c r="B62563" s="136"/>
    </row>
    <row r="62564" spans="1:2" x14ac:dyDescent="0.25">
      <c r="A62564" s="118"/>
      <c r="B62564" s="136"/>
    </row>
    <row r="62565" spans="1:2" x14ac:dyDescent="0.25">
      <c r="A62565" s="118"/>
      <c r="B62565" s="136"/>
    </row>
    <row r="62566" spans="1:2" x14ac:dyDescent="0.25">
      <c r="A62566" s="118"/>
      <c r="B62566" s="136"/>
    </row>
    <row r="62567" spans="1:2" x14ac:dyDescent="0.25">
      <c r="A62567" s="118"/>
      <c r="B62567" s="136"/>
    </row>
    <row r="62568" spans="1:2" x14ac:dyDescent="0.25">
      <c r="A62568" s="118"/>
      <c r="B62568" s="136"/>
    </row>
    <row r="62569" spans="1:2" x14ac:dyDescent="0.25">
      <c r="A62569" s="118"/>
      <c r="B62569" s="136"/>
    </row>
    <row r="62570" spans="1:2" x14ac:dyDescent="0.25">
      <c r="A62570" s="118"/>
      <c r="B62570" s="136"/>
    </row>
    <row r="62571" spans="1:2" x14ac:dyDescent="0.25">
      <c r="A62571" s="118"/>
      <c r="B62571" s="136"/>
    </row>
    <row r="62572" spans="1:2" x14ac:dyDescent="0.25">
      <c r="A62572" s="118"/>
      <c r="B62572" s="136"/>
    </row>
    <row r="62573" spans="1:2" x14ac:dyDescent="0.25">
      <c r="A62573" s="118"/>
      <c r="B62573" s="136"/>
    </row>
    <row r="62574" spans="1:2" x14ac:dyDescent="0.25">
      <c r="A62574" s="118"/>
      <c r="B62574" s="136"/>
    </row>
    <row r="62575" spans="1:2" x14ac:dyDescent="0.25">
      <c r="A62575" s="118"/>
      <c r="B62575" s="136"/>
    </row>
    <row r="62576" spans="1:2" x14ac:dyDescent="0.25">
      <c r="A62576" s="118"/>
      <c r="B62576" s="136"/>
    </row>
    <row r="62577" spans="1:2" x14ac:dyDescent="0.25">
      <c r="A62577" s="118"/>
      <c r="B62577" s="136"/>
    </row>
    <row r="62578" spans="1:2" x14ac:dyDescent="0.25">
      <c r="A62578" s="118"/>
      <c r="B62578" s="136"/>
    </row>
    <row r="62579" spans="1:2" x14ac:dyDescent="0.25">
      <c r="A62579" s="118"/>
      <c r="B62579" s="136"/>
    </row>
    <row r="62580" spans="1:2" x14ac:dyDescent="0.25">
      <c r="A62580" s="118"/>
      <c r="B62580" s="136"/>
    </row>
    <row r="62581" spans="1:2" x14ac:dyDescent="0.25">
      <c r="A62581" s="118"/>
      <c r="B62581" s="136"/>
    </row>
    <row r="62582" spans="1:2" x14ac:dyDescent="0.25">
      <c r="A62582" s="118"/>
      <c r="B62582" s="136"/>
    </row>
    <row r="62583" spans="1:2" x14ac:dyDescent="0.25">
      <c r="A62583" s="118"/>
      <c r="B62583" s="136"/>
    </row>
    <row r="62584" spans="1:2" x14ac:dyDescent="0.25">
      <c r="A62584" s="118"/>
      <c r="B62584" s="136"/>
    </row>
    <row r="62585" spans="1:2" x14ac:dyDescent="0.25">
      <c r="A62585" s="118"/>
      <c r="B62585" s="136"/>
    </row>
    <row r="62586" spans="1:2" x14ac:dyDescent="0.25">
      <c r="A62586" s="118"/>
      <c r="B62586" s="136"/>
    </row>
    <row r="62587" spans="1:2" x14ac:dyDescent="0.25">
      <c r="A62587" s="118"/>
      <c r="B62587" s="136"/>
    </row>
    <row r="62588" spans="1:2" x14ac:dyDescent="0.25">
      <c r="A62588" s="118"/>
      <c r="B62588" s="136"/>
    </row>
    <row r="62589" spans="1:2" x14ac:dyDescent="0.25">
      <c r="A62589" s="118"/>
      <c r="B62589" s="136"/>
    </row>
    <row r="62590" spans="1:2" x14ac:dyDescent="0.25">
      <c r="A62590" s="118"/>
      <c r="B62590" s="136"/>
    </row>
    <row r="62591" spans="1:2" x14ac:dyDescent="0.25">
      <c r="A62591" s="118"/>
      <c r="B62591" s="136"/>
    </row>
    <row r="62592" spans="1:2" x14ac:dyDescent="0.25">
      <c r="A62592" s="118"/>
      <c r="B62592" s="136"/>
    </row>
    <row r="62593" spans="1:2" x14ac:dyDescent="0.25">
      <c r="A62593" s="118"/>
      <c r="B62593" s="136"/>
    </row>
    <row r="62594" spans="1:2" x14ac:dyDescent="0.25">
      <c r="A62594" s="118"/>
      <c r="B62594" s="136"/>
    </row>
    <row r="62595" spans="1:2" x14ac:dyDescent="0.25">
      <c r="A62595" s="118"/>
      <c r="B62595" s="136"/>
    </row>
    <row r="62596" spans="1:2" x14ac:dyDescent="0.25">
      <c r="A62596" s="118"/>
      <c r="B62596" s="136"/>
    </row>
    <row r="62597" spans="1:2" x14ac:dyDescent="0.25">
      <c r="A62597" s="118"/>
      <c r="B62597" s="136"/>
    </row>
    <row r="62598" spans="1:2" x14ac:dyDescent="0.25">
      <c r="A62598" s="118"/>
      <c r="B62598" s="136"/>
    </row>
    <row r="62599" spans="1:2" x14ac:dyDescent="0.25">
      <c r="A62599" s="118"/>
      <c r="B62599" s="136"/>
    </row>
    <row r="62600" spans="1:2" x14ac:dyDescent="0.25">
      <c r="A62600" s="118"/>
      <c r="B62600" s="136"/>
    </row>
    <row r="62601" spans="1:2" x14ac:dyDescent="0.25">
      <c r="A62601" s="118"/>
      <c r="B62601" s="136"/>
    </row>
    <row r="62602" spans="1:2" x14ac:dyDescent="0.25">
      <c r="A62602" s="118"/>
      <c r="B62602" s="136"/>
    </row>
    <row r="62603" spans="1:2" x14ac:dyDescent="0.25">
      <c r="A62603" s="118"/>
      <c r="B62603" s="136"/>
    </row>
    <row r="62604" spans="1:2" x14ac:dyDescent="0.25">
      <c r="A62604" s="118"/>
      <c r="B62604" s="136"/>
    </row>
    <row r="62605" spans="1:2" x14ac:dyDescent="0.25">
      <c r="A62605" s="118"/>
      <c r="B62605" s="136"/>
    </row>
    <row r="62606" spans="1:2" x14ac:dyDescent="0.25">
      <c r="A62606" s="118"/>
      <c r="B62606" s="136"/>
    </row>
    <row r="62607" spans="1:2" x14ac:dyDescent="0.25">
      <c r="A62607" s="118"/>
      <c r="B62607" s="136"/>
    </row>
    <row r="62608" spans="1:2" x14ac:dyDescent="0.25">
      <c r="A62608" s="118"/>
      <c r="B62608" s="136"/>
    </row>
    <row r="62609" spans="1:2" x14ac:dyDescent="0.25">
      <c r="A62609" s="118"/>
      <c r="B62609" s="136"/>
    </row>
    <row r="62610" spans="1:2" x14ac:dyDescent="0.25">
      <c r="A62610" s="118"/>
      <c r="B62610" s="136"/>
    </row>
    <row r="62611" spans="1:2" x14ac:dyDescent="0.25">
      <c r="A62611" s="118"/>
      <c r="B62611" s="136"/>
    </row>
    <row r="62612" spans="1:2" x14ac:dyDescent="0.25">
      <c r="A62612" s="118"/>
      <c r="B62612" s="136"/>
    </row>
    <row r="62613" spans="1:2" x14ac:dyDescent="0.25">
      <c r="A62613" s="118"/>
      <c r="B62613" s="136"/>
    </row>
    <row r="62614" spans="1:2" x14ac:dyDescent="0.25">
      <c r="A62614" s="118"/>
      <c r="B62614" s="136"/>
    </row>
    <row r="62615" spans="1:2" x14ac:dyDescent="0.25">
      <c r="A62615" s="118"/>
      <c r="B62615" s="136"/>
    </row>
    <row r="62616" spans="1:2" x14ac:dyDescent="0.25">
      <c r="A62616" s="118"/>
      <c r="B62616" s="136"/>
    </row>
    <row r="62617" spans="1:2" x14ac:dyDescent="0.25">
      <c r="A62617" s="118"/>
      <c r="B62617" s="136"/>
    </row>
    <row r="62618" spans="1:2" x14ac:dyDescent="0.25">
      <c r="A62618" s="118"/>
      <c r="B62618" s="136"/>
    </row>
    <row r="62619" spans="1:2" x14ac:dyDescent="0.25">
      <c r="A62619" s="118"/>
      <c r="B62619" s="136"/>
    </row>
    <row r="62620" spans="1:2" x14ac:dyDescent="0.25">
      <c r="A62620" s="118"/>
      <c r="B62620" s="136"/>
    </row>
    <row r="62621" spans="1:2" x14ac:dyDescent="0.25">
      <c r="A62621" s="118"/>
      <c r="B62621" s="136"/>
    </row>
    <row r="62622" spans="1:2" x14ac:dyDescent="0.25">
      <c r="A62622" s="118"/>
      <c r="B62622" s="136"/>
    </row>
    <row r="62623" spans="1:2" x14ac:dyDescent="0.25">
      <c r="A62623" s="118"/>
      <c r="B62623" s="136"/>
    </row>
    <row r="62624" spans="1:2" x14ac:dyDescent="0.25">
      <c r="A62624" s="118"/>
      <c r="B62624" s="136"/>
    </row>
    <row r="62625" spans="1:2" x14ac:dyDescent="0.25">
      <c r="A62625" s="118"/>
      <c r="B62625" s="136"/>
    </row>
    <row r="62626" spans="1:2" x14ac:dyDescent="0.25">
      <c r="A62626" s="118"/>
      <c r="B62626" s="136"/>
    </row>
    <row r="62627" spans="1:2" x14ac:dyDescent="0.25">
      <c r="A62627" s="118"/>
      <c r="B62627" s="136"/>
    </row>
    <row r="62628" spans="1:2" x14ac:dyDescent="0.25">
      <c r="A62628" s="118"/>
      <c r="B62628" s="136"/>
    </row>
    <row r="62629" spans="1:2" x14ac:dyDescent="0.25">
      <c r="A62629" s="118"/>
      <c r="B62629" s="136"/>
    </row>
    <row r="62630" spans="1:2" x14ac:dyDescent="0.25">
      <c r="A62630" s="118"/>
      <c r="B62630" s="136"/>
    </row>
    <row r="62631" spans="1:2" x14ac:dyDescent="0.25">
      <c r="A62631" s="118"/>
      <c r="B62631" s="136"/>
    </row>
    <row r="62632" spans="1:2" x14ac:dyDescent="0.25">
      <c r="A62632" s="118"/>
      <c r="B62632" s="136"/>
    </row>
    <row r="62633" spans="1:2" x14ac:dyDescent="0.25">
      <c r="A62633" s="118"/>
      <c r="B62633" s="136"/>
    </row>
    <row r="62634" spans="1:2" x14ac:dyDescent="0.25">
      <c r="A62634" s="118"/>
      <c r="B62634" s="136"/>
    </row>
    <row r="62635" spans="1:2" x14ac:dyDescent="0.25">
      <c r="A62635" s="118"/>
      <c r="B62635" s="136"/>
    </row>
    <row r="62636" spans="1:2" x14ac:dyDescent="0.25">
      <c r="A62636" s="118"/>
      <c r="B62636" s="136"/>
    </row>
    <row r="62637" spans="1:2" x14ac:dyDescent="0.25">
      <c r="A62637" s="118"/>
      <c r="B62637" s="136"/>
    </row>
    <row r="62638" spans="1:2" x14ac:dyDescent="0.25">
      <c r="A62638" s="118"/>
      <c r="B62638" s="136"/>
    </row>
    <row r="62639" spans="1:2" x14ac:dyDescent="0.25">
      <c r="A62639" s="118"/>
      <c r="B62639" s="136"/>
    </row>
    <row r="62640" spans="1:2" x14ac:dyDescent="0.25">
      <c r="A62640" s="118"/>
      <c r="B62640" s="136"/>
    </row>
    <row r="62641" spans="1:2" x14ac:dyDescent="0.25">
      <c r="A62641" s="118"/>
      <c r="B62641" s="136"/>
    </row>
    <row r="62642" spans="1:2" x14ac:dyDescent="0.25">
      <c r="A62642" s="118"/>
      <c r="B62642" s="136"/>
    </row>
    <row r="62643" spans="1:2" x14ac:dyDescent="0.25">
      <c r="A62643" s="118"/>
      <c r="B62643" s="136"/>
    </row>
    <row r="62644" spans="1:2" x14ac:dyDescent="0.25">
      <c r="A62644" s="118"/>
      <c r="B62644" s="136"/>
    </row>
    <row r="62645" spans="1:2" x14ac:dyDescent="0.25">
      <c r="A62645" s="118"/>
      <c r="B62645" s="136"/>
    </row>
    <row r="62646" spans="1:2" x14ac:dyDescent="0.25">
      <c r="A62646" s="118"/>
      <c r="B62646" s="136"/>
    </row>
    <row r="62647" spans="1:2" x14ac:dyDescent="0.25">
      <c r="A62647" s="118"/>
      <c r="B62647" s="136"/>
    </row>
    <row r="62648" spans="1:2" x14ac:dyDescent="0.25">
      <c r="A62648" s="118"/>
      <c r="B62648" s="136"/>
    </row>
    <row r="62649" spans="1:2" x14ac:dyDescent="0.25">
      <c r="A62649" s="118"/>
      <c r="B62649" s="136"/>
    </row>
    <row r="62650" spans="1:2" x14ac:dyDescent="0.25">
      <c r="A62650" s="118"/>
      <c r="B62650" s="136"/>
    </row>
    <row r="62651" spans="1:2" x14ac:dyDescent="0.25">
      <c r="A62651" s="118"/>
      <c r="B62651" s="136"/>
    </row>
    <row r="62652" spans="1:2" x14ac:dyDescent="0.25">
      <c r="A62652" s="118"/>
      <c r="B62652" s="136"/>
    </row>
    <row r="62653" spans="1:2" x14ac:dyDescent="0.25">
      <c r="A62653" s="118"/>
      <c r="B62653" s="136"/>
    </row>
    <row r="62654" spans="1:2" x14ac:dyDescent="0.25">
      <c r="A62654" s="118"/>
      <c r="B62654" s="136"/>
    </row>
    <row r="62655" spans="1:2" x14ac:dyDescent="0.25">
      <c r="A62655" s="118"/>
      <c r="B62655" s="136"/>
    </row>
    <row r="62656" spans="1:2" x14ac:dyDescent="0.25">
      <c r="A62656" s="118"/>
      <c r="B62656" s="136"/>
    </row>
    <row r="62657" spans="1:2" x14ac:dyDescent="0.25">
      <c r="A62657" s="118"/>
      <c r="B62657" s="136"/>
    </row>
    <row r="62658" spans="1:2" x14ac:dyDescent="0.25">
      <c r="A62658" s="118"/>
      <c r="B62658" s="136"/>
    </row>
    <row r="62659" spans="1:2" x14ac:dyDescent="0.25">
      <c r="A62659" s="118"/>
      <c r="B62659" s="136"/>
    </row>
    <row r="62660" spans="1:2" x14ac:dyDescent="0.25">
      <c r="A62660" s="118"/>
      <c r="B62660" s="136"/>
    </row>
    <row r="62661" spans="1:2" x14ac:dyDescent="0.25">
      <c r="A62661" s="118"/>
      <c r="B62661" s="136"/>
    </row>
    <row r="62662" spans="1:2" x14ac:dyDescent="0.25">
      <c r="A62662" s="118"/>
      <c r="B62662" s="136"/>
    </row>
    <row r="62663" spans="1:2" x14ac:dyDescent="0.25">
      <c r="A62663" s="118"/>
      <c r="B62663" s="136"/>
    </row>
    <row r="62664" spans="1:2" x14ac:dyDescent="0.25">
      <c r="A62664" s="118"/>
      <c r="B62664" s="136"/>
    </row>
    <row r="62665" spans="1:2" x14ac:dyDescent="0.25">
      <c r="A62665" s="118"/>
      <c r="B62665" s="136"/>
    </row>
    <row r="62666" spans="1:2" x14ac:dyDescent="0.25">
      <c r="A62666" s="118"/>
      <c r="B62666" s="136"/>
    </row>
    <row r="62667" spans="1:2" x14ac:dyDescent="0.25">
      <c r="A62667" s="118"/>
      <c r="B62667" s="136"/>
    </row>
    <row r="62668" spans="1:2" x14ac:dyDescent="0.25">
      <c r="A62668" s="118"/>
      <c r="B62668" s="136"/>
    </row>
    <row r="62669" spans="1:2" x14ac:dyDescent="0.25">
      <c r="A62669" s="118"/>
      <c r="B62669" s="136"/>
    </row>
    <row r="62670" spans="1:2" x14ac:dyDescent="0.25">
      <c r="A62670" s="118"/>
      <c r="B62670" s="136"/>
    </row>
    <row r="62671" spans="1:2" x14ac:dyDescent="0.25">
      <c r="A62671" s="118"/>
      <c r="B62671" s="136"/>
    </row>
    <row r="62672" spans="1:2" x14ac:dyDescent="0.25">
      <c r="A62672" s="118"/>
      <c r="B62672" s="136"/>
    </row>
    <row r="62673" spans="1:2" x14ac:dyDescent="0.25">
      <c r="A62673" s="118"/>
      <c r="B62673" s="136"/>
    </row>
    <row r="62674" spans="1:2" x14ac:dyDescent="0.25">
      <c r="A62674" s="118"/>
      <c r="B62674" s="136"/>
    </row>
    <row r="62675" spans="1:2" x14ac:dyDescent="0.25">
      <c r="A62675" s="118"/>
      <c r="B62675" s="136"/>
    </row>
    <row r="62676" spans="1:2" x14ac:dyDescent="0.25">
      <c r="A62676" s="118"/>
      <c r="B62676" s="136"/>
    </row>
    <row r="62677" spans="1:2" x14ac:dyDescent="0.25">
      <c r="A62677" s="118"/>
      <c r="B62677" s="136"/>
    </row>
    <row r="62678" spans="1:2" x14ac:dyDescent="0.25">
      <c r="A62678" s="118"/>
      <c r="B62678" s="136"/>
    </row>
    <row r="62679" spans="1:2" x14ac:dyDescent="0.25">
      <c r="A62679" s="118"/>
      <c r="B62679" s="136"/>
    </row>
    <row r="62680" spans="1:2" x14ac:dyDescent="0.25">
      <c r="A62680" s="118"/>
      <c r="B62680" s="136"/>
    </row>
    <row r="62681" spans="1:2" x14ac:dyDescent="0.25">
      <c r="A62681" s="118"/>
      <c r="B62681" s="136"/>
    </row>
    <row r="62682" spans="1:2" x14ac:dyDescent="0.25">
      <c r="A62682" s="118"/>
      <c r="B62682" s="136"/>
    </row>
    <row r="62683" spans="1:2" x14ac:dyDescent="0.25">
      <c r="A62683" s="118"/>
      <c r="B62683" s="136"/>
    </row>
    <row r="62684" spans="1:2" x14ac:dyDescent="0.25">
      <c r="A62684" s="118"/>
      <c r="B62684" s="136"/>
    </row>
    <row r="62685" spans="1:2" x14ac:dyDescent="0.25">
      <c r="A62685" s="118"/>
      <c r="B62685" s="136"/>
    </row>
    <row r="62686" spans="1:2" x14ac:dyDescent="0.25">
      <c r="A62686" s="118"/>
      <c r="B62686" s="136"/>
    </row>
    <row r="62687" spans="1:2" x14ac:dyDescent="0.25">
      <c r="A62687" s="118"/>
      <c r="B62687" s="136"/>
    </row>
    <row r="62688" spans="1:2" x14ac:dyDescent="0.25">
      <c r="A62688" s="118"/>
      <c r="B62688" s="136"/>
    </row>
    <row r="62689" spans="1:2" x14ac:dyDescent="0.25">
      <c r="A62689" s="118"/>
      <c r="B62689" s="136"/>
    </row>
    <row r="62690" spans="1:2" x14ac:dyDescent="0.25">
      <c r="A62690" s="118"/>
      <c r="B62690" s="136"/>
    </row>
    <row r="62691" spans="1:2" x14ac:dyDescent="0.25">
      <c r="A62691" s="118"/>
      <c r="B62691" s="136"/>
    </row>
    <row r="62692" spans="1:2" x14ac:dyDescent="0.25">
      <c r="A62692" s="118"/>
      <c r="B62692" s="136"/>
    </row>
    <row r="62693" spans="1:2" x14ac:dyDescent="0.25">
      <c r="A62693" s="118"/>
      <c r="B62693" s="136"/>
    </row>
    <row r="62694" spans="1:2" x14ac:dyDescent="0.25">
      <c r="A62694" s="118"/>
      <c r="B62694" s="136"/>
    </row>
    <row r="62695" spans="1:2" x14ac:dyDescent="0.25">
      <c r="A62695" s="118"/>
      <c r="B62695" s="136"/>
    </row>
    <row r="62696" spans="1:2" x14ac:dyDescent="0.25">
      <c r="A62696" s="118"/>
      <c r="B62696" s="136"/>
    </row>
    <row r="62697" spans="1:2" x14ac:dyDescent="0.25">
      <c r="A62697" s="118"/>
      <c r="B62697" s="136"/>
    </row>
    <row r="62698" spans="1:2" x14ac:dyDescent="0.25">
      <c r="A62698" s="118"/>
      <c r="B62698" s="136"/>
    </row>
    <row r="62699" spans="1:2" x14ac:dyDescent="0.25">
      <c r="A62699" s="118"/>
      <c r="B62699" s="136"/>
    </row>
    <row r="62700" spans="1:2" x14ac:dyDescent="0.25">
      <c r="A62700" s="118"/>
      <c r="B62700" s="136"/>
    </row>
    <row r="62701" spans="1:2" x14ac:dyDescent="0.25">
      <c r="A62701" s="118"/>
      <c r="B62701" s="136"/>
    </row>
    <row r="62702" spans="1:2" x14ac:dyDescent="0.25">
      <c r="A62702" s="118"/>
      <c r="B62702" s="136"/>
    </row>
    <row r="62703" spans="1:2" x14ac:dyDescent="0.25">
      <c r="A62703" s="118"/>
      <c r="B62703" s="136"/>
    </row>
    <row r="62704" spans="1:2" x14ac:dyDescent="0.25">
      <c r="A62704" s="118"/>
      <c r="B62704" s="136"/>
    </row>
    <row r="62705" spans="1:2" x14ac:dyDescent="0.25">
      <c r="A62705" s="118"/>
      <c r="B62705" s="136"/>
    </row>
    <row r="62706" spans="1:2" x14ac:dyDescent="0.25">
      <c r="A62706" s="118"/>
      <c r="B62706" s="136"/>
    </row>
    <row r="62707" spans="1:2" x14ac:dyDescent="0.25">
      <c r="A62707" s="118"/>
      <c r="B62707" s="136"/>
    </row>
    <row r="62708" spans="1:2" x14ac:dyDescent="0.25">
      <c r="A62708" s="118"/>
      <c r="B62708" s="136"/>
    </row>
    <row r="62709" spans="1:2" x14ac:dyDescent="0.25">
      <c r="A62709" s="118"/>
      <c r="B62709" s="136"/>
    </row>
    <row r="62710" spans="1:2" x14ac:dyDescent="0.25">
      <c r="A62710" s="118"/>
      <c r="B62710" s="136"/>
    </row>
    <row r="62711" spans="1:2" x14ac:dyDescent="0.25">
      <c r="A62711" s="118"/>
      <c r="B62711" s="136"/>
    </row>
    <row r="62712" spans="1:2" x14ac:dyDescent="0.25">
      <c r="A62712" s="118"/>
      <c r="B62712" s="136"/>
    </row>
    <row r="62713" spans="1:2" x14ac:dyDescent="0.25">
      <c r="A62713" s="118"/>
      <c r="B62713" s="136"/>
    </row>
    <row r="62714" spans="1:2" x14ac:dyDescent="0.25">
      <c r="A62714" s="118"/>
      <c r="B62714" s="136"/>
    </row>
    <row r="62715" spans="1:2" x14ac:dyDescent="0.25">
      <c r="A62715" s="118"/>
      <c r="B62715" s="136"/>
    </row>
    <row r="62716" spans="1:2" x14ac:dyDescent="0.25">
      <c r="A62716" s="118"/>
      <c r="B62716" s="136"/>
    </row>
    <row r="62717" spans="1:2" x14ac:dyDescent="0.25">
      <c r="A62717" s="118"/>
      <c r="B62717" s="136"/>
    </row>
    <row r="62718" spans="1:2" x14ac:dyDescent="0.25">
      <c r="A62718" s="118"/>
      <c r="B62718" s="136"/>
    </row>
    <row r="62719" spans="1:2" x14ac:dyDescent="0.25">
      <c r="A62719" s="118"/>
      <c r="B62719" s="136"/>
    </row>
    <row r="62720" spans="1:2" x14ac:dyDescent="0.25">
      <c r="A62720" s="118"/>
      <c r="B62720" s="136"/>
    </row>
    <row r="62721" spans="1:2" x14ac:dyDescent="0.25">
      <c r="A62721" s="118"/>
      <c r="B62721" s="136"/>
    </row>
    <row r="62722" spans="1:2" x14ac:dyDescent="0.25">
      <c r="A62722" s="118"/>
      <c r="B62722" s="136"/>
    </row>
    <row r="62723" spans="1:2" x14ac:dyDescent="0.25">
      <c r="A62723" s="118"/>
      <c r="B62723" s="136"/>
    </row>
    <row r="62724" spans="1:2" x14ac:dyDescent="0.25">
      <c r="A62724" s="118"/>
      <c r="B62724" s="136"/>
    </row>
    <row r="62725" spans="1:2" x14ac:dyDescent="0.25">
      <c r="A62725" s="118"/>
      <c r="B62725" s="136"/>
    </row>
    <row r="62726" spans="1:2" x14ac:dyDescent="0.25">
      <c r="A62726" s="118"/>
      <c r="B62726" s="136"/>
    </row>
    <row r="62727" spans="1:2" x14ac:dyDescent="0.25">
      <c r="A62727" s="118"/>
      <c r="B62727" s="136"/>
    </row>
    <row r="62728" spans="1:2" x14ac:dyDescent="0.25">
      <c r="A62728" s="118"/>
      <c r="B62728" s="136"/>
    </row>
    <row r="62729" spans="1:2" x14ac:dyDescent="0.25">
      <c r="A62729" s="118"/>
      <c r="B62729" s="136"/>
    </row>
    <row r="62730" spans="1:2" x14ac:dyDescent="0.25">
      <c r="A62730" s="118"/>
      <c r="B62730" s="136"/>
    </row>
    <row r="62731" spans="1:2" x14ac:dyDescent="0.25">
      <c r="A62731" s="118"/>
      <c r="B62731" s="136"/>
    </row>
    <row r="62732" spans="1:2" x14ac:dyDescent="0.25">
      <c r="A62732" s="118"/>
      <c r="B62732" s="136"/>
    </row>
    <row r="62733" spans="1:2" x14ac:dyDescent="0.25">
      <c r="A62733" s="118"/>
      <c r="B62733" s="136"/>
    </row>
    <row r="62734" spans="1:2" x14ac:dyDescent="0.25">
      <c r="A62734" s="118"/>
      <c r="B62734" s="136"/>
    </row>
    <row r="62735" spans="1:2" x14ac:dyDescent="0.25">
      <c r="A62735" s="118"/>
      <c r="B62735" s="136"/>
    </row>
    <row r="62736" spans="1:2" x14ac:dyDescent="0.25">
      <c r="A62736" s="118"/>
      <c r="B62736" s="136"/>
    </row>
    <row r="62737" spans="1:2" x14ac:dyDescent="0.25">
      <c r="A62737" s="118"/>
      <c r="B62737" s="136"/>
    </row>
    <row r="62738" spans="1:2" x14ac:dyDescent="0.25">
      <c r="A62738" s="118"/>
      <c r="B62738" s="136"/>
    </row>
    <row r="62739" spans="1:2" x14ac:dyDescent="0.25">
      <c r="A62739" s="118"/>
      <c r="B62739" s="136"/>
    </row>
    <row r="62740" spans="1:2" x14ac:dyDescent="0.25">
      <c r="A62740" s="118"/>
      <c r="B62740" s="136"/>
    </row>
    <row r="62741" spans="1:2" x14ac:dyDescent="0.25">
      <c r="A62741" s="118"/>
      <c r="B62741" s="136"/>
    </row>
    <row r="62742" spans="1:2" x14ac:dyDescent="0.25">
      <c r="A62742" s="118"/>
      <c r="B62742" s="136"/>
    </row>
    <row r="62743" spans="1:2" x14ac:dyDescent="0.25">
      <c r="A62743" s="118"/>
      <c r="B62743" s="136"/>
    </row>
    <row r="62744" spans="1:2" x14ac:dyDescent="0.25">
      <c r="A62744" s="118"/>
      <c r="B62744" s="136"/>
    </row>
    <row r="62745" spans="1:2" x14ac:dyDescent="0.25">
      <c r="A62745" s="118"/>
      <c r="B62745" s="136"/>
    </row>
    <row r="62746" spans="1:2" x14ac:dyDescent="0.25">
      <c r="A62746" s="118"/>
      <c r="B62746" s="136"/>
    </row>
    <row r="62747" spans="1:2" x14ac:dyDescent="0.25">
      <c r="A62747" s="118"/>
      <c r="B62747" s="136"/>
    </row>
    <row r="62748" spans="1:2" x14ac:dyDescent="0.25">
      <c r="A62748" s="118"/>
      <c r="B62748" s="136"/>
    </row>
    <row r="62749" spans="1:2" x14ac:dyDescent="0.25">
      <c r="A62749" s="118"/>
      <c r="B62749" s="136"/>
    </row>
    <row r="62750" spans="1:2" x14ac:dyDescent="0.25">
      <c r="A62750" s="118"/>
      <c r="B62750" s="136"/>
    </row>
    <row r="62751" spans="1:2" x14ac:dyDescent="0.25">
      <c r="A62751" s="118"/>
      <c r="B62751" s="136"/>
    </row>
    <row r="62752" spans="1:2" x14ac:dyDescent="0.25">
      <c r="A62752" s="118"/>
      <c r="B62752" s="136"/>
    </row>
    <row r="62753" spans="1:2" x14ac:dyDescent="0.25">
      <c r="A62753" s="118"/>
      <c r="B62753" s="136"/>
    </row>
    <row r="62754" spans="1:2" x14ac:dyDescent="0.25">
      <c r="A62754" s="118"/>
      <c r="B62754" s="136"/>
    </row>
    <row r="62755" spans="1:2" x14ac:dyDescent="0.25">
      <c r="A62755" s="118"/>
      <c r="B62755" s="136"/>
    </row>
    <row r="62756" spans="1:2" x14ac:dyDescent="0.25">
      <c r="A62756" s="118"/>
      <c r="B62756" s="136"/>
    </row>
    <row r="62757" spans="1:2" x14ac:dyDescent="0.25">
      <c r="A62757" s="118"/>
      <c r="B62757" s="136"/>
    </row>
    <row r="62758" spans="1:2" x14ac:dyDescent="0.25">
      <c r="A62758" s="118"/>
      <c r="B62758" s="136"/>
    </row>
    <row r="62759" spans="1:2" x14ac:dyDescent="0.25">
      <c r="A62759" s="118"/>
      <c r="B62759" s="136"/>
    </row>
    <row r="62760" spans="1:2" x14ac:dyDescent="0.25">
      <c r="A62760" s="118"/>
      <c r="B62760" s="136"/>
    </row>
    <row r="62761" spans="1:2" x14ac:dyDescent="0.25">
      <c r="A62761" s="118"/>
      <c r="B62761" s="136"/>
    </row>
    <row r="62762" spans="1:2" x14ac:dyDescent="0.25">
      <c r="A62762" s="118"/>
      <c r="B62762" s="136"/>
    </row>
    <row r="62763" spans="1:2" x14ac:dyDescent="0.25">
      <c r="A62763" s="118"/>
      <c r="B62763" s="136"/>
    </row>
    <row r="62764" spans="1:2" x14ac:dyDescent="0.25">
      <c r="A62764" s="118"/>
      <c r="B62764" s="136"/>
    </row>
    <row r="62765" spans="1:2" x14ac:dyDescent="0.25">
      <c r="A62765" s="118"/>
      <c r="B62765" s="136"/>
    </row>
    <row r="62766" spans="1:2" x14ac:dyDescent="0.25">
      <c r="A62766" s="118"/>
      <c r="B62766" s="136"/>
    </row>
    <row r="62767" spans="1:2" x14ac:dyDescent="0.25">
      <c r="A62767" s="118"/>
      <c r="B62767" s="136"/>
    </row>
    <row r="62768" spans="1:2" x14ac:dyDescent="0.25">
      <c r="A62768" s="118"/>
      <c r="B62768" s="136"/>
    </row>
    <row r="62769" spans="1:2" x14ac:dyDescent="0.25">
      <c r="A62769" s="118"/>
      <c r="B62769" s="136"/>
    </row>
    <row r="62770" spans="1:2" x14ac:dyDescent="0.25">
      <c r="A62770" s="118"/>
      <c r="B62770" s="136"/>
    </row>
    <row r="62771" spans="1:2" x14ac:dyDescent="0.25">
      <c r="A62771" s="118"/>
      <c r="B62771" s="136"/>
    </row>
    <row r="62772" spans="1:2" x14ac:dyDescent="0.25">
      <c r="A62772" s="118"/>
      <c r="B62772" s="136"/>
    </row>
    <row r="62773" spans="1:2" x14ac:dyDescent="0.25">
      <c r="A62773" s="118"/>
      <c r="B62773" s="136"/>
    </row>
    <row r="62774" spans="1:2" x14ac:dyDescent="0.25">
      <c r="A62774" s="118"/>
      <c r="B62774" s="136"/>
    </row>
    <row r="62775" spans="1:2" x14ac:dyDescent="0.25">
      <c r="A62775" s="118"/>
      <c r="B62775" s="136"/>
    </row>
    <row r="62776" spans="1:2" x14ac:dyDescent="0.25">
      <c r="A62776" s="118"/>
      <c r="B62776" s="136"/>
    </row>
    <row r="62777" spans="1:2" x14ac:dyDescent="0.25">
      <c r="A62777" s="118"/>
      <c r="B62777" s="136"/>
    </row>
    <row r="62778" spans="1:2" x14ac:dyDescent="0.25">
      <c r="A62778" s="118"/>
      <c r="B62778" s="136"/>
    </row>
    <row r="62779" spans="1:2" x14ac:dyDescent="0.25">
      <c r="A62779" s="118"/>
      <c r="B62779" s="136"/>
    </row>
    <row r="62780" spans="1:2" x14ac:dyDescent="0.25">
      <c r="A62780" s="118"/>
      <c r="B62780" s="136"/>
    </row>
    <row r="62781" spans="1:2" x14ac:dyDescent="0.25">
      <c r="A62781" s="118"/>
      <c r="B62781" s="136"/>
    </row>
    <row r="62782" spans="1:2" x14ac:dyDescent="0.25">
      <c r="A62782" s="118"/>
      <c r="B62782" s="136"/>
    </row>
    <row r="62783" spans="1:2" x14ac:dyDescent="0.25">
      <c r="A62783" s="118"/>
      <c r="B62783" s="136"/>
    </row>
    <row r="62784" spans="1:2" x14ac:dyDescent="0.25">
      <c r="A62784" s="118"/>
      <c r="B62784" s="136"/>
    </row>
    <row r="62785" spans="1:2" x14ac:dyDescent="0.25">
      <c r="A62785" s="118"/>
      <c r="B62785" s="136"/>
    </row>
    <row r="62786" spans="1:2" x14ac:dyDescent="0.25">
      <c r="A62786" s="118"/>
      <c r="B62786" s="136"/>
    </row>
    <row r="62787" spans="1:2" x14ac:dyDescent="0.25">
      <c r="A62787" s="118"/>
      <c r="B62787" s="136"/>
    </row>
    <row r="62788" spans="1:2" x14ac:dyDescent="0.25">
      <c r="A62788" s="118"/>
      <c r="B62788" s="136"/>
    </row>
    <row r="62789" spans="1:2" x14ac:dyDescent="0.25">
      <c r="A62789" s="118"/>
      <c r="B62789" s="136"/>
    </row>
    <row r="62790" spans="1:2" x14ac:dyDescent="0.25">
      <c r="A62790" s="118"/>
      <c r="B62790" s="136"/>
    </row>
    <row r="62791" spans="1:2" x14ac:dyDescent="0.25">
      <c r="A62791" s="118"/>
      <c r="B62791" s="136"/>
    </row>
    <row r="62792" spans="1:2" x14ac:dyDescent="0.25">
      <c r="A62792" s="118"/>
      <c r="B62792" s="136"/>
    </row>
    <row r="62793" spans="1:2" x14ac:dyDescent="0.25">
      <c r="A62793" s="118"/>
      <c r="B62793" s="136"/>
    </row>
    <row r="62794" spans="1:2" x14ac:dyDescent="0.25">
      <c r="A62794" s="118"/>
      <c r="B62794" s="136"/>
    </row>
    <row r="62795" spans="1:2" x14ac:dyDescent="0.25">
      <c r="A62795" s="118"/>
      <c r="B62795" s="136"/>
    </row>
    <row r="62796" spans="1:2" x14ac:dyDescent="0.25">
      <c r="A62796" s="118"/>
      <c r="B62796" s="136"/>
    </row>
    <row r="62797" spans="1:2" x14ac:dyDescent="0.25">
      <c r="A62797" s="118"/>
      <c r="B62797" s="136"/>
    </row>
    <row r="62798" spans="1:2" x14ac:dyDescent="0.25">
      <c r="A62798" s="118"/>
      <c r="B62798" s="136"/>
    </row>
    <row r="62799" spans="1:2" x14ac:dyDescent="0.25">
      <c r="A62799" s="118"/>
      <c r="B62799" s="136"/>
    </row>
    <row r="62800" spans="1:2" x14ac:dyDescent="0.25">
      <c r="A62800" s="118"/>
      <c r="B62800" s="136"/>
    </row>
    <row r="62801" spans="1:2" x14ac:dyDescent="0.25">
      <c r="A62801" s="118"/>
      <c r="B62801" s="136"/>
    </row>
    <row r="62802" spans="1:2" x14ac:dyDescent="0.25">
      <c r="A62802" s="118"/>
      <c r="B62802" s="136"/>
    </row>
    <row r="62803" spans="1:2" x14ac:dyDescent="0.25">
      <c r="A62803" s="118"/>
      <c r="B62803" s="136"/>
    </row>
    <row r="62804" spans="1:2" x14ac:dyDescent="0.25">
      <c r="A62804" s="118"/>
      <c r="B62804" s="136"/>
    </row>
    <row r="62805" spans="1:2" x14ac:dyDescent="0.25">
      <c r="A62805" s="118"/>
      <c r="B62805" s="136"/>
    </row>
    <row r="62806" spans="1:2" x14ac:dyDescent="0.25">
      <c r="A62806" s="118"/>
      <c r="B62806" s="136"/>
    </row>
    <row r="62807" spans="1:2" x14ac:dyDescent="0.25">
      <c r="A62807" s="118"/>
      <c r="B62807" s="136"/>
    </row>
    <row r="62808" spans="1:2" x14ac:dyDescent="0.25">
      <c r="A62808" s="118"/>
      <c r="B62808" s="136"/>
    </row>
    <row r="62809" spans="1:2" x14ac:dyDescent="0.25">
      <c r="A62809" s="118"/>
      <c r="B62809" s="136"/>
    </row>
    <row r="62810" spans="1:2" x14ac:dyDescent="0.25">
      <c r="A62810" s="118"/>
      <c r="B62810" s="136"/>
    </row>
    <row r="62811" spans="1:2" x14ac:dyDescent="0.25">
      <c r="A62811" s="118"/>
      <c r="B62811" s="136"/>
    </row>
    <row r="62812" spans="1:2" x14ac:dyDescent="0.25">
      <c r="A62812" s="118"/>
      <c r="B62812" s="136"/>
    </row>
    <row r="62813" spans="1:2" x14ac:dyDescent="0.25">
      <c r="A62813" s="118"/>
      <c r="B62813" s="136"/>
    </row>
    <row r="62814" spans="1:2" x14ac:dyDescent="0.25">
      <c r="A62814" s="118"/>
      <c r="B62814" s="136"/>
    </row>
    <row r="62815" spans="1:2" x14ac:dyDescent="0.25">
      <c r="A62815" s="118"/>
      <c r="B62815" s="136"/>
    </row>
    <row r="62816" spans="1:2" x14ac:dyDescent="0.25">
      <c r="A62816" s="118"/>
      <c r="B62816" s="136"/>
    </row>
    <row r="62817" spans="1:2" x14ac:dyDescent="0.25">
      <c r="A62817" s="118"/>
      <c r="B62817" s="136"/>
    </row>
    <row r="62818" spans="1:2" x14ac:dyDescent="0.25">
      <c r="A62818" s="118"/>
      <c r="B62818" s="136"/>
    </row>
    <row r="62819" spans="1:2" x14ac:dyDescent="0.25">
      <c r="A62819" s="118"/>
      <c r="B62819" s="136"/>
    </row>
    <row r="62820" spans="1:2" x14ac:dyDescent="0.25">
      <c r="A62820" s="118"/>
      <c r="B62820" s="136"/>
    </row>
    <row r="62821" spans="1:2" x14ac:dyDescent="0.25">
      <c r="A62821" s="118"/>
      <c r="B62821" s="136"/>
    </row>
    <row r="62822" spans="1:2" x14ac:dyDescent="0.25">
      <c r="A62822" s="118"/>
      <c r="B62822" s="136"/>
    </row>
    <row r="62823" spans="1:2" x14ac:dyDescent="0.25">
      <c r="A62823" s="118"/>
      <c r="B62823" s="136"/>
    </row>
    <row r="62824" spans="1:2" x14ac:dyDescent="0.25">
      <c r="A62824" s="118"/>
      <c r="B62824" s="136"/>
    </row>
    <row r="62825" spans="1:2" x14ac:dyDescent="0.25">
      <c r="A62825" s="118"/>
      <c r="B62825" s="136"/>
    </row>
    <row r="62826" spans="1:2" x14ac:dyDescent="0.25">
      <c r="A62826" s="118"/>
      <c r="B62826" s="136"/>
    </row>
    <row r="62827" spans="1:2" x14ac:dyDescent="0.25">
      <c r="A62827" s="118"/>
      <c r="B62827" s="136"/>
    </row>
    <row r="62828" spans="1:2" x14ac:dyDescent="0.25">
      <c r="A62828" s="118"/>
      <c r="B62828" s="136"/>
    </row>
    <row r="62829" spans="1:2" x14ac:dyDescent="0.25">
      <c r="A62829" s="118"/>
      <c r="B62829" s="136"/>
    </row>
    <row r="62830" spans="1:2" x14ac:dyDescent="0.25">
      <c r="A62830" s="118"/>
      <c r="B62830" s="136"/>
    </row>
    <row r="62831" spans="1:2" x14ac:dyDescent="0.25">
      <c r="A62831" s="118"/>
      <c r="B62831" s="136"/>
    </row>
    <row r="62832" spans="1:2" x14ac:dyDescent="0.25">
      <c r="A62832" s="118"/>
      <c r="B62832" s="136"/>
    </row>
    <row r="62833" spans="1:2" x14ac:dyDescent="0.25">
      <c r="A62833" s="118"/>
      <c r="B62833" s="136"/>
    </row>
    <row r="62834" spans="1:2" x14ac:dyDescent="0.25">
      <c r="A62834" s="118"/>
      <c r="B62834" s="136"/>
    </row>
    <row r="62835" spans="1:2" x14ac:dyDescent="0.25">
      <c r="A62835" s="118"/>
      <c r="B62835" s="136"/>
    </row>
    <row r="62836" spans="1:2" x14ac:dyDescent="0.25">
      <c r="A62836" s="118"/>
      <c r="B62836" s="136"/>
    </row>
    <row r="62837" spans="1:2" x14ac:dyDescent="0.25">
      <c r="A62837" s="118"/>
      <c r="B62837" s="136"/>
    </row>
    <row r="62838" spans="1:2" x14ac:dyDescent="0.25">
      <c r="A62838" s="118"/>
      <c r="B62838" s="136"/>
    </row>
    <row r="62839" spans="1:2" x14ac:dyDescent="0.25">
      <c r="A62839" s="118"/>
      <c r="B62839" s="136"/>
    </row>
    <row r="62840" spans="1:2" x14ac:dyDescent="0.25">
      <c r="A62840" s="118"/>
      <c r="B62840" s="136"/>
    </row>
    <row r="62841" spans="1:2" x14ac:dyDescent="0.25">
      <c r="A62841" s="118"/>
      <c r="B62841" s="136"/>
    </row>
    <row r="62842" spans="1:2" x14ac:dyDescent="0.25">
      <c r="A62842" s="118"/>
      <c r="B62842" s="136"/>
    </row>
    <row r="62843" spans="1:2" x14ac:dyDescent="0.25">
      <c r="A62843" s="118"/>
      <c r="B62843" s="136"/>
    </row>
    <row r="62844" spans="1:2" x14ac:dyDescent="0.25">
      <c r="A62844" s="118"/>
      <c r="B62844" s="136"/>
    </row>
    <row r="62845" spans="1:2" x14ac:dyDescent="0.25">
      <c r="A62845" s="118"/>
      <c r="B62845" s="136"/>
    </row>
    <row r="62846" spans="1:2" x14ac:dyDescent="0.25">
      <c r="A62846" s="118"/>
      <c r="B62846" s="136"/>
    </row>
    <row r="62847" spans="1:2" x14ac:dyDescent="0.25">
      <c r="A62847" s="118"/>
      <c r="B62847" s="136"/>
    </row>
    <row r="62848" spans="1:2" x14ac:dyDescent="0.25">
      <c r="A62848" s="118"/>
      <c r="B62848" s="136"/>
    </row>
    <row r="62849" spans="1:2" x14ac:dyDescent="0.25">
      <c r="A62849" s="118"/>
      <c r="B62849" s="136"/>
    </row>
    <row r="62850" spans="1:2" x14ac:dyDescent="0.25">
      <c r="A62850" s="118"/>
      <c r="B62850" s="136"/>
    </row>
    <row r="62851" spans="1:2" x14ac:dyDescent="0.25">
      <c r="A62851" s="118"/>
      <c r="B62851" s="136"/>
    </row>
    <row r="62852" spans="1:2" x14ac:dyDescent="0.25">
      <c r="A62852" s="118"/>
      <c r="B62852" s="136"/>
    </row>
    <row r="62853" spans="1:2" x14ac:dyDescent="0.25">
      <c r="A62853" s="118"/>
      <c r="B62853" s="136"/>
    </row>
    <row r="62854" spans="1:2" x14ac:dyDescent="0.25">
      <c r="A62854" s="118"/>
      <c r="B62854" s="136"/>
    </row>
    <row r="62855" spans="1:2" x14ac:dyDescent="0.25">
      <c r="A62855" s="118"/>
      <c r="B62855" s="136"/>
    </row>
    <row r="62856" spans="1:2" x14ac:dyDescent="0.25">
      <c r="A62856" s="118"/>
      <c r="B62856" s="136"/>
    </row>
    <row r="62857" spans="1:2" x14ac:dyDescent="0.25">
      <c r="A62857" s="118"/>
      <c r="B62857" s="136"/>
    </row>
    <row r="62858" spans="1:2" x14ac:dyDescent="0.25">
      <c r="A62858" s="118"/>
      <c r="B62858" s="136"/>
    </row>
    <row r="62859" spans="1:2" x14ac:dyDescent="0.25">
      <c r="A62859" s="118"/>
      <c r="B62859" s="136"/>
    </row>
    <row r="62860" spans="1:2" x14ac:dyDescent="0.25">
      <c r="A62860" s="118"/>
      <c r="B62860" s="136"/>
    </row>
    <row r="62861" spans="1:2" x14ac:dyDescent="0.25">
      <c r="A62861" s="118"/>
      <c r="B62861" s="136"/>
    </row>
    <row r="62862" spans="1:2" x14ac:dyDescent="0.25">
      <c r="A62862" s="118"/>
      <c r="B62862" s="136"/>
    </row>
    <row r="62863" spans="1:2" x14ac:dyDescent="0.25">
      <c r="A62863" s="118"/>
      <c r="B62863" s="136"/>
    </row>
    <row r="62864" spans="1:2" x14ac:dyDescent="0.25">
      <c r="A62864" s="118"/>
      <c r="B62864" s="136"/>
    </row>
    <row r="62865" spans="1:2" x14ac:dyDescent="0.25">
      <c r="A62865" s="118"/>
      <c r="B62865" s="136"/>
    </row>
    <row r="62866" spans="1:2" x14ac:dyDescent="0.25">
      <c r="A62866" s="118"/>
      <c r="B62866" s="136"/>
    </row>
    <row r="62867" spans="1:2" x14ac:dyDescent="0.25">
      <c r="A62867" s="118"/>
      <c r="B62867" s="136"/>
    </row>
    <row r="62868" spans="1:2" x14ac:dyDescent="0.25">
      <c r="A62868" s="118"/>
      <c r="B62868" s="136"/>
    </row>
    <row r="62869" spans="1:2" x14ac:dyDescent="0.25">
      <c r="A62869" s="118"/>
      <c r="B62869" s="136"/>
    </row>
    <row r="62870" spans="1:2" x14ac:dyDescent="0.25">
      <c r="A62870" s="118"/>
      <c r="B62870" s="136"/>
    </row>
    <row r="62871" spans="1:2" x14ac:dyDescent="0.25">
      <c r="A62871" s="118"/>
      <c r="B62871" s="136"/>
    </row>
    <row r="62872" spans="1:2" x14ac:dyDescent="0.25">
      <c r="A62872" s="118"/>
      <c r="B62872" s="136"/>
    </row>
    <row r="62873" spans="1:2" x14ac:dyDescent="0.25">
      <c r="A62873" s="118"/>
      <c r="B62873" s="136"/>
    </row>
    <row r="62874" spans="1:2" x14ac:dyDescent="0.25">
      <c r="A62874" s="118"/>
      <c r="B62874" s="136"/>
    </row>
    <row r="62875" spans="1:2" x14ac:dyDescent="0.25">
      <c r="A62875" s="118"/>
      <c r="B62875" s="136"/>
    </row>
    <row r="62876" spans="1:2" x14ac:dyDescent="0.25">
      <c r="A62876" s="118"/>
      <c r="B62876" s="136"/>
    </row>
    <row r="62877" spans="1:2" x14ac:dyDescent="0.25">
      <c r="A62877" s="118"/>
      <c r="B62877" s="136"/>
    </row>
    <row r="62878" spans="1:2" x14ac:dyDescent="0.25">
      <c r="A62878" s="118"/>
      <c r="B62878" s="136"/>
    </row>
    <row r="62879" spans="1:2" x14ac:dyDescent="0.25">
      <c r="A62879" s="118"/>
      <c r="B62879" s="136"/>
    </row>
    <row r="62880" spans="1:2" x14ac:dyDescent="0.25">
      <c r="A62880" s="118"/>
      <c r="B62880" s="136"/>
    </row>
    <row r="62881" spans="1:2" x14ac:dyDescent="0.25">
      <c r="A62881" s="118"/>
      <c r="B62881" s="136"/>
    </row>
    <row r="62882" spans="1:2" x14ac:dyDescent="0.25">
      <c r="A62882" s="118"/>
      <c r="B62882" s="136"/>
    </row>
    <row r="62883" spans="1:2" x14ac:dyDescent="0.25">
      <c r="A62883" s="118"/>
      <c r="B62883" s="136"/>
    </row>
    <row r="62884" spans="1:2" x14ac:dyDescent="0.25">
      <c r="A62884" s="118"/>
      <c r="B62884" s="136"/>
    </row>
    <row r="62885" spans="1:2" x14ac:dyDescent="0.25">
      <c r="A62885" s="118"/>
      <c r="B62885" s="136"/>
    </row>
    <row r="62886" spans="1:2" x14ac:dyDescent="0.25">
      <c r="A62886" s="118"/>
      <c r="B62886" s="136"/>
    </row>
    <row r="62887" spans="1:2" x14ac:dyDescent="0.25">
      <c r="A62887" s="118"/>
      <c r="B62887" s="136"/>
    </row>
    <row r="62888" spans="1:2" x14ac:dyDescent="0.25">
      <c r="A62888" s="118"/>
      <c r="B62888" s="136"/>
    </row>
    <row r="62889" spans="1:2" x14ac:dyDescent="0.25">
      <c r="A62889" s="118"/>
      <c r="B62889" s="136"/>
    </row>
    <row r="62890" spans="1:2" x14ac:dyDescent="0.25">
      <c r="A62890" s="118"/>
      <c r="B62890" s="136"/>
    </row>
    <row r="62891" spans="1:2" x14ac:dyDescent="0.25">
      <c r="A62891" s="118"/>
      <c r="B62891" s="136"/>
    </row>
    <row r="62892" spans="1:2" x14ac:dyDescent="0.25">
      <c r="A62892" s="118"/>
      <c r="B62892" s="136"/>
    </row>
    <row r="62893" spans="1:2" x14ac:dyDescent="0.25">
      <c r="A62893" s="118"/>
      <c r="B62893" s="136"/>
    </row>
    <row r="62894" spans="1:2" x14ac:dyDescent="0.25">
      <c r="A62894" s="118"/>
      <c r="B62894" s="136"/>
    </row>
    <row r="62895" spans="1:2" x14ac:dyDescent="0.25">
      <c r="A62895" s="118"/>
      <c r="B62895" s="136"/>
    </row>
    <row r="62896" spans="1:2" x14ac:dyDescent="0.25">
      <c r="A62896" s="118"/>
      <c r="B62896" s="136"/>
    </row>
    <row r="62897" spans="1:2" x14ac:dyDescent="0.25">
      <c r="A62897" s="118"/>
      <c r="B62897" s="136"/>
    </row>
    <row r="62898" spans="1:2" x14ac:dyDescent="0.25">
      <c r="A62898" s="118"/>
      <c r="B62898" s="136"/>
    </row>
    <row r="62899" spans="1:2" x14ac:dyDescent="0.25">
      <c r="A62899" s="118"/>
      <c r="B62899" s="136"/>
    </row>
    <row r="62900" spans="1:2" x14ac:dyDescent="0.25">
      <c r="A62900" s="118"/>
      <c r="B62900" s="136"/>
    </row>
    <row r="62901" spans="1:2" x14ac:dyDescent="0.25">
      <c r="A62901" s="118"/>
      <c r="B62901" s="136"/>
    </row>
    <row r="62902" spans="1:2" x14ac:dyDescent="0.25">
      <c r="A62902" s="118"/>
      <c r="B62902" s="136"/>
    </row>
    <row r="62903" spans="1:2" x14ac:dyDescent="0.25">
      <c r="A62903" s="118"/>
      <c r="B62903" s="136"/>
    </row>
    <row r="62904" spans="1:2" x14ac:dyDescent="0.25">
      <c r="A62904" s="118"/>
      <c r="B62904" s="136"/>
    </row>
    <row r="62905" spans="1:2" x14ac:dyDescent="0.25">
      <c r="A62905" s="118"/>
      <c r="B62905" s="136"/>
    </row>
    <row r="62906" spans="1:2" x14ac:dyDescent="0.25">
      <c r="A62906" s="118"/>
      <c r="B62906" s="136"/>
    </row>
    <row r="62907" spans="1:2" x14ac:dyDescent="0.25">
      <c r="A62907" s="118"/>
      <c r="B62907" s="136"/>
    </row>
    <row r="62908" spans="1:2" x14ac:dyDescent="0.25">
      <c r="A62908" s="118"/>
      <c r="B62908" s="136"/>
    </row>
    <row r="62909" spans="1:2" x14ac:dyDescent="0.25">
      <c r="A62909" s="118"/>
      <c r="B62909" s="136"/>
    </row>
    <row r="62910" spans="1:2" x14ac:dyDescent="0.25">
      <c r="A62910" s="118"/>
      <c r="B62910" s="136"/>
    </row>
    <row r="62911" spans="1:2" x14ac:dyDescent="0.25">
      <c r="A62911" s="118"/>
      <c r="B62911" s="136"/>
    </row>
    <row r="62912" spans="1:2" x14ac:dyDescent="0.25">
      <c r="A62912" s="118"/>
      <c r="B62912" s="136"/>
    </row>
    <row r="62913" spans="1:2" x14ac:dyDescent="0.25">
      <c r="A62913" s="118"/>
      <c r="B62913" s="136"/>
    </row>
    <row r="62914" spans="1:2" x14ac:dyDescent="0.25">
      <c r="A62914" s="118"/>
      <c r="B62914" s="136"/>
    </row>
    <row r="62915" spans="1:2" x14ac:dyDescent="0.25">
      <c r="A62915" s="118"/>
      <c r="B62915" s="136"/>
    </row>
    <row r="62916" spans="1:2" x14ac:dyDescent="0.25">
      <c r="A62916" s="118"/>
      <c r="B62916" s="136"/>
    </row>
    <row r="62917" spans="1:2" x14ac:dyDescent="0.25">
      <c r="A62917" s="118"/>
      <c r="B62917" s="136"/>
    </row>
    <row r="62918" spans="1:2" x14ac:dyDescent="0.25">
      <c r="A62918" s="118"/>
      <c r="B62918" s="136"/>
    </row>
    <row r="62919" spans="1:2" x14ac:dyDescent="0.25">
      <c r="A62919" s="118"/>
      <c r="B62919" s="136"/>
    </row>
    <row r="62920" spans="1:2" x14ac:dyDescent="0.25">
      <c r="A62920" s="118"/>
      <c r="B62920" s="136"/>
    </row>
    <row r="62921" spans="1:2" x14ac:dyDescent="0.25">
      <c r="A62921" s="118"/>
      <c r="B62921" s="136"/>
    </row>
    <row r="62922" spans="1:2" x14ac:dyDescent="0.25">
      <c r="A62922" s="118"/>
      <c r="B62922" s="136"/>
    </row>
    <row r="62923" spans="1:2" x14ac:dyDescent="0.25">
      <c r="A62923" s="118"/>
      <c r="B62923" s="136"/>
    </row>
    <row r="62924" spans="1:2" x14ac:dyDescent="0.25">
      <c r="A62924" s="118"/>
      <c r="B62924" s="136"/>
    </row>
    <row r="62925" spans="1:2" x14ac:dyDescent="0.25">
      <c r="A62925" s="118"/>
      <c r="B62925" s="136"/>
    </row>
    <row r="62926" spans="1:2" x14ac:dyDescent="0.25">
      <c r="A62926" s="118"/>
      <c r="B62926" s="136"/>
    </row>
    <row r="62927" spans="1:2" x14ac:dyDescent="0.25">
      <c r="A62927" s="118"/>
      <c r="B62927" s="136"/>
    </row>
    <row r="62928" spans="1:2" x14ac:dyDescent="0.25">
      <c r="A62928" s="118"/>
      <c r="B62928" s="136"/>
    </row>
    <row r="62929" spans="1:2" x14ac:dyDescent="0.25">
      <c r="A62929" s="118"/>
      <c r="B62929" s="136"/>
    </row>
    <row r="62930" spans="1:2" x14ac:dyDescent="0.25">
      <c r="A62930" s="118"/>
      <c r="B62930" s="136"/>
    </row>
    <row r="62931" spans="1:2" x14ac:dyDescent="0.25">
      <c r="A62931" s="118"/>
      <c r="B62931" s="136"/>
    </row>
    <row r="62932" spans="1:2" x14ac:dyDescent="0.25">
      <c r="A62932" s="118"/>
      <c r="B62932" s="136"/>
    </row>
    <row r="62933" spans="1:2" x14ac:dyDescent="0.25">
      <c r="A62933" s="118"/>
      <c r="B62933" s="136"/>
    </row>
    <row r="62934" spans="1:2" x14ac:dyDescent="0.25">
      <c r="A62934" s="118"/>
      <c r="B62934" s="136"/>
    </row>
    <row r="62935" spans="1:2" x14ac:dyDescent="0.25">
      <c r="A62935" s="118"/>
      <c r="B62935" s="136"/>
    </row>
    <row r="62936" spans="1:2" x14ac:dyDescent="0.25">
      <c r="A62936" s="118"/>
      <c r="B62936" s="136"/>
    </row>
    <row r="62937" spans="1:2" x14ac:dyDescent="0.25">
      <c r="A62937" s="118"/>
      <c r="B62937" s="136"/>
    </row>
    <row r="62938" spans="1:2" x14ac:dyDescent="0.25">
      <c r="A62938" s="118"/>
      <c r="B62938" s="136"/>
    </row>
    <row r="62939" spans="1:2" x14ac:dyDescent="0.25">
      <c r="A62939" s="118"/>
      <c r="B62939" s="136"/>
    </row>
    <row r="62940" spans="1:2" x14ac:dyDescent="0.25">
      <c r="A62940" s="118"/>
      <c r="B62940" s="136"/>
    </row>
    <row r="62941" spans="1:2" x14ac:dyDescent="0.25">
      <c r="A62941" s="118"/>
      <c r="B62941" s="136"/>
    </row>
    <row r="62942" spans="1:2" x14ac:dyDescent="0.25">
      <c r="A62942" s="118"/>
      <c r="B62942" s="136"/>
    </row>
    <row r="62943" spans="1:2" x14ac:dyDescent="0.25">
      <c r="A62943" s="118"/>
      <c r="B62943" s="136"/>
    </row>
    <row r="62944" spans="1:2" x14ac:dyDescent="0.25">
      <c r="A62944" s="118"/>
      <c r="B62944" s="136"/>
    </row>
    <row r="62945" spans="1:2" x14ac:dyDescent="0.25">
      <c r="A62945" s="118"/>
      <c r="B62945" s="136"/>
    </row>
    <row r="62946" spans="1:2" x14ac:dyDescent="0.25">
      <c r="A62946" s="118"/>
      <c r="B62946" s="136"/>
    </row>
    <row r="62947" spans="1:2" x14ac:dyDescent="0.25">
      <c r="A62947" s="118"/>
      <c r="B62947" s="136"/>
    </row>
    <row r="62948" spans="1:2" x14ac:dyDescent="0.25">
      <c r="A62948" s="118"/>
      <c r="B62948" s="136"/>
    </row>
    <row r="62949" spans="1:2" x14ac:dyDescent="0.25">
      <c r="A62949" s="118"/>
      <c r="B62949" s="136"/>
    </row>
    <row r="62950" spans="1:2" x14ac:dyDescent="0.25">
      <c r="A62950" s="118"/>
      <c r="B62950" s="136"/>
    </row>
    <row r="62951" spans="1:2" x14ac:dyDescent="0.25">
      <c r="A62951" s="118"/>
      <c r="B62951" s="136"/>
    </row>
    <row r="62952" spans="1:2" x14ac:dyDescent="0.25">
      <c r="A62952" s="118"/>
      <c r="B62952" s="136"/>
    </row>
    <row r="62953" spans="1:2" x14ac:dyDescent="0.25">
      <c r="A62953" s="118"/>
      <c r="B62953" s="136"/>
    </row>
    <row r="62954" spans="1:2" x14ac:dyDescent="0.25">
      <c r="A62954" s="118"/>
      <c r="B62954" s="136"/>
    </row>
    <row r="62955" spans="1:2" x14ac:dyDescent="0.25">
      <c r="A62955" s="118"/>
      <c r="B62955" s="136"/>
    </row>
    <row r="62956" spans="1:2" x14ac:dyDescent="0.25">
      <c r="A62956" s="118"/>
      <c r="B62956" s="136"/>
    </row>
    <row r="62957" spans="1:2" x14ac:dyDescent="0.25">
      <c r="A62957" s="118"/>
      <c r="B62957" s="136"/>
    </row>
    <row r="62958" spans="1:2" x14ac:dyDescent="0.25">
      <c r="A62958" s="118"/>
      <c r="B62958" s="136"/>
    </row>
    <row r="62959" spans="1:2" x14ac:dyDescent="0.25">
      <c r="A62959" s="118"/>
      <c r="B62959" s="136"/>
    </row>
    <row r="62960" spans="1:2" x14ac:dyDescent="0.25">
      <c r="A62960" s="118"/>
      <c r="B62960" s="136"/>
    </row>
    <row r="62961" spans="1:2" x14ac:dyDescent="0.25">
      <c r="A62961" s="118"/>
      <c r="B62961" s="136"/>
    </row>
    <row r="62962" spans="1:2" x14ac:dyDescent="0.25">
      <c r="A62962" s="118"/>
      <c r="B62962" s="136"/>
    </row>
    <row r="62963" spans="1:2" x14ac:dyDescent="0.25">
      <c r="A62963" s="118"/>
      <c r="B62963" s="136"/>
    </row>
    <row r="62964" spans="1:2" x14ac:dyDescent="0.25">
      <c r="A62964" s="118"/>
      <c r="B62964" s="136"/>
    </row>
    <row r="62965" spans="1:2" x14ac:dyDescent="0.25">
      <c r="A62965" s="118"/>
      <c r="B62965" s="136"/>
    </row>
    <row r="62966" spans="1:2" x14ac:dyDescent="0.25">
      <c r="A62966" s="118"/>
      <c r="B62966" s="136"/>
    </row>
    <row r="62967" spans="1:2" x14ac:dyDescent="0.25">
      <c r="A62967" s="118"/>
      <c r="B62967" s="136"/>
    </row>
    <row r="62968" spans="1:2" x14ac:dyDescent="0.25">
      <c r="A62968" s="118"/>
      <c r="B62968" s="136"/>
    </row>
    <row r="62969" spans="1:2" x14ac:dyDescent="0.25">
      <c r="A62969" s="118"/>
      <c r="B62969" s="136"/>
    </row>
    <row r="62970" spans="1:2" x14ac:dyDescent="0.25">
      <c r="A62970" s="118"/>
      <c r="B62970" s="136"/>
    </row>
    <row r="62971" spans="1:2" x14ac:dyDescent="0.25">
      <c r="A62971" s="118"/>
      <c r="B62971" s="136"/>
    </row>
    <row r="62972" spans="1:2" x14ac:dyDescent="0.25">
      <c r="A62972" s="118"/>
      <c r="B62972" s="136"/>
    </row>
    <row r="62973" spans="1:2" x14ac:dyDescent="0.25">
      <c r="A62973" s="118"/>
      <c r="B62973" s="136"/>
    </row>
    <row r="62974" spans="1:2" x14ac:dyDescent="0.25">
      <c r="A62974" s="118"/>
      <c r="B62974" s="136"/>
    </row>
    <row r="62975" spans="1:2" x14ac:dyDescent="0.25">
      <c r="A62975" s="118"/>
      <c r="B62975" s="136"/>
    </row>
    <row r="62976" spans="1:2" x14ac:dyDescent="0.25">
      <c r="A62976" s="118"/>
      <c r="B62976" s="136"/>
    </row>
    <row r="62977" spans="1:2" x14ac:dyDescent="0.25">
      <c r="A62977" s="118"/>
      <c r="B62977" s="136"/>
    </row>
    <row r="62978" spans="1:2" x14ac:dyDescent="0.25">
      <c r="A62978" s="118"/>
      <c r="B62978" s="136"/>
    </row>
    <row r="62979" spans="1:2" x14ac:dyDescent="0.25">
      <c r="A62979" s="118"/>
      <c r="B62979" s="136"/>
    </row>
    <row r="62980" spans="1:2" x14ac:dyDescent="0.25">
      <c r="A62980" s="118"/>
      <c r="B62980" s="136"/>
    </row>
    <row r="62981" spans="1:2" x14ac:dyDescent="0.25">
      <c r="A62981" s="118"/>
      <c r="B62981" s="136"/>
    </row>
    <row r="62982" spans="1:2" x14ac:dyDescent="0.25">
      <c r="A62982" s="118"/>
      <c r="B62982" s="136"/>
    </row>
    <row r="62983" spans="1:2" x14ac:dyDescent="0.25">
      <c r="A62983" s="118"/>
      <c r="B62983" s="136"/>
    </row>
    <row r="62984" spans="1:2" x14ac:dyDescent="0.25">
      <c r="A62984" s="118"/>
      <c r="B62984" s="136"/>
    </row>
    <row r="62985" spans="1:2" x14ac:dyDescent="0.25">
      <c r="A62985" s="118"/>
      <c r="B62985" s="136"/>
    </row>
    <row r="62986" spans="1:2" x14ac:dyDescent="0.25">
      <c r="A62986" s="118"/>
      <c r="B62986" s="136"/>
    </row>
    <row r="62987" spans="1:2" x14ac:dyDescent="0.25">
      <c r="A62987" s="118"/>
      <c r="B62987" s="136"/>
    </row>
    <row r="62988" spans="1:2" x14ac:dyDescent="0.25">
      <c r="A62988" s="118"/>
      <c r="B62988" s="136"/>
    </row>
    <row r="62989" spans="1:2" x14ac:dyDescent="0.25">
      <c r="A62989" s="118"/>
      <c r="B62989" s="136"/>
    </row>
    <row r="62990" spans="1:2" x14ac:dyDescent="0.25">
      <c r="A62990" s="118"/>
      <c r="B62990" s="136"/>
    </row>
    <row r="62991" spans="1:2" x14ac:dyDescent="0.25">
      <c r="A62991" s="118"/>
      <c r="B62991" s="136"/>
    </row>
    <row r="62992" spans="1:2" x14ac:dyDescent="0.25">
      <c r="A62992" s="118"/>
      <c r="B62992" s="136"/>
    </row>
    <row r="62993" spans="1:2" x14ac:dyDescent="0.25">
      <c r="A62993" s="118"/>
      <c r="B62993" s="136"/>
    </row>
    <row r="62994" spans="1:2" x14ac:dyDescent="0.25">
      <c r="A62994" s="118"/>
      <c r="B62994" s="136"/>
    </row>
    <row r="62995" spans="1:2" x14ac:dyDescent="0.25">
      <c r="A62995" s="118"/>
      <c r="B62995" s="136"/>
    </row>
    <row r="62996" spans="1:2" x14ac:dyDescent="0.25">
      <c r="A62996" s="118"/>
      <c r="B62996" s="136"/>
    </row>
    <row r="62997" spans="1:2" x14ac:dyDescent="0.25">
      <c r="A62997" s="118"/>
      <c r="B62997" s="136"/>
    </row>
    <row r="62998" spans="1:2" x14ac:dyDescent="0.25">
      <c r="A62998" s="118"/>
      <c r="B62998" s="136"/>
    </row>
    <row r="62999" spans="1:2" x14ac:dyDescent="0.25">
      <c r="A62999" s="118"/>
      <c r="B62999" s="136"/>
    </row>
    <row r="63000" spans="1:2" x14ac:dyDescent="0.25">
      <c r="A63000" s="118"/>
      <c r="B63000" s="136"/>
    </row>
    <row r="63001" spans="1:2" x14ac:dyDescent="0.25">
      <c r="A63001" s="118"/>
      <c r="B63001" s="136"/>
    </row>
    <row r="63002" spans="1:2" x14ac:dyDescent="0.25">
      <c r="A63002" s="118"/>
      <c r="B63002" s="136"/>
    </row>
    <row r="63003" spans="1:2" x14ac:dyDescent="0.25">
      <c r="A63003" s="118"/>
      <c r="B63003" s="136"/>
    </row>
    <row r="63004" spans="1:2" x14ac:dyDescent="0.25">
      <c r="A63004" s="118"/>
      <c r="B63004" s="136"/>
    </row>
    <row r="63005" spans="1:2" x14ac:dyDescent="0.25">
      <c r="A63005" s="118"/>
      <c r="B63005" s="136"/>
    </row>
    <row r="63006" spans="1:2" x14ac:dyDescent="0.25">
      <c r="A63006" s="118"/>
      <c r="B63006" s="136"/>
    </row>
    <row r="63007" spans="1:2" x14ac:dyDescent="0.25">
      <c r="A63007" s="118"/>
      <c r="B63007" s="136"/>
    </row>
    <row r="63008" spans="1:2" x14ac:dyDescent="0.25">
      <c r="A63008" s="118"/>
      <c r="B63008" s="136"/>
    </row>
    <row r="63009" spans="1:2" x14ac:dyDescent="0.25">
      <c r="A63009" s="118"/>
      <c r="B63009" s="136"/>
    </row>
    <row r="63010" spans="1:2" x14ac:dyDescent="0.25">
      <c r="A63010" s="118"/>
      <c r="B63010" s="136"/>
    </row>
    <row r="63011" spans="1:2" x14ac:dyDescent="0.25">
      <c r="A63011" s="118"/>
      <c r="B63011" s="136"/>
    </row>
    <row r="63012" spans="1:2" x14ac:dyDescent="0.25">
      <c r="A63012" s="118"/>
      <c r="B63012" s="136"/>
    </row>
    <row r="63013" spans="1:2" x14ac:dyDescent="0.25">
      <c r="A63013" s="118"/>
      <c r="B63013" s="136"/>
    </row>
    <row r="63014" spans="1:2" x14ac:dyDescent="0.25">
      <c r="A63014" s="118"/>
      <c r="B63014" s="136"/>
    </row>
    <row r="63015" spans="1:2" x14ac:dyDescent="0.25">
      <c r="A63015" s="118"/>
      <c r="B63015" s="136"/>
    </row>
    <row r="63016" spans="1:2" x14ac:dyDescent="0.25">
      <c r="A63016" s="118"/>
      <c r="B63016" s="136"/>
    </row>
    <row r="63017" spans="1:2" x14ac:dyDescent="0.25">
      <c r="A63017" s="118"/>
      <c r="B63017" s="136"/>
    </row>
    <row r="63018" spans="1:2" x14ac:dyDescent="0.25">
      <c r="A63018" s="118"/>
      <c r="B63018" s="136"/>
    </row>
    <row r="63019" spans="1:2" x14ac:dyDescent="0.25">
      <c r="A63019" s="118"/>
      <c r="B63019" s="136"/>
    </row>
    <row r="63020" spans="1:2" x14ac:dyDescent="0.25">
      <c r="A63020" s="118"/>
      <c r="B63020" s="136"/>
    </row>
    <row r="63021" spans="1:2" x14ac:dyDescent="0.25">
      <c r="A63021" s="118"/>
      <c r="B63021" s="136"/>
    </row>
    <row r="63022" spans="1:2" x14ac:dyDescent="0.25">
      <c r="A63022" s="118"/>
      <c r="B63022" s="136"/>
    </row>
    <row r="63023" spans="1:2" x14ac:dyDescent="0.25">
      <c r="A63023" s="118"/>
      <c r="B63023" s="136"/>
    </row>
    <row r="63024" spans="1:2" x14ac:dyDescent="0.25">
      <c r="A63024" s="118"/>
      <c r="B63024" s="136"/>
    </row>
    <row r="63025" spans="1:2" x14ac:dyDescent="0.25">
      <c r="A63025" s="118"/>
      <c r="B63025" s="136"/>
    </row>
    <row r="63026" spans="1:2" x14ac:dyDescent="0.25">
      <c r="A63026" s="118"/>
      <c r="B63026" s="136"/>
    </row>
    <row r="63027" spans="1:2" x14ac:dyDescent="0.25">
      <c r="A63027" s="118"/>
      <c r="B63027" s="136"/>
    </row>
    <row r="63028" spans="1:2" x14ac:dyDescent="0.25">
      <c r="A63028" s="118"/>
      <c r="B63028" s="136"/>
    </row>
    <row r="63029" spans="1:2" x14ac:dyDescent="0.25">
      <c r="A63029" s="118"/>
      <c r="B63029" s="136"/>
    </row>
    <row r="63030" spans="1:2" x14ac:dyDescent="0.25">
      <c r="A63030" s="118"/>
      <c r="B63030" s="136"/>
    </row>
    <row r="63031" spans="1:2" x14ac:dyDescent="0.25">
      <c r="A63031" s="118"/>
      <c r="B63031" s="136"/>
    </row>
    <row r="63032" spans="1:2" x14ac:dyDescent="0.25">
      <c r="A63032" s="118"/>
      <c r="B63032" s="136"/>
    </row>
    <row r="63033" spans="1:2" x14ac:dyDescent="0.25">
      <c r="A63033" s="118"/>
      <c r="B63033" s="136"/>
    </row>
    <row r="63034" spans="1:2" x14ac:dyDescent="0.25">
      <c r="A63034" s="118"/>
      <c r="B63034" s="136"/>
    </row>
    <row r="63035" spans="1:2" x14ac:dyDescent="0.25">
      <c r="A63035" s="118"/>
      <c r="B63035" s="136"/>
    </row>
    <row r="63036" spans="1:2" x14ac:dyDescent="0.25">
      <c r="A63036" s="118"/>
      <c r="B63036" s="136"/>
    </row>
    <row r="63037" spans="1:2" x14ac:dyDescent="0.25">
      <c r="A63037" s="118"/>
      <c r="B63037" s="136"/>
    </row>
    <row r="63038" spans="1:2" x14ac:dyDescent="0.25">
      <c r="A63038" s="118"/>
      <c r="B63038" s="136"/>
    </row>
    <row r="63039" spans="1:2" x14ac:dyDescent="0.25">
      <c r="A63039" s="118"/>
      <c r="B63039" s="136"/>
    </row>
    <row r="63040" spans="1:2" x14ac:dyDescent="0.25">
      <c r="A63040" s="118"/>
      <c r="B63040" s="136"/>
    </row>
    <row r="63041" spans="1:2" x14ac:dyDescent="0.25">
      <c r="A63041" s="118"/>
      <c r="B63041" s="136"/>
    </row>
    <row r="63042" spans="1:2" x14ac:dyDescent="0.25">
      <c r="A63042" s="118"/>
      <c r="B63042" s="136"/>
    </row>
    <row r="63043" spans="1:2" x14ac:dyDescent="0.25">
      <c r="A63043" s="118"/>
      <c r="B63043" s="136"/>
    </row>
    <row r="63044" spans="1:2" x14ac:dyDescent="0.25">
      <c r="A63044" s="118"/>
      <c r="B63044" s="136"/>
    </row>
    <row r="63045" spans="1:2" x14ac:dyDescent="0.25">
      <c r="A63045" s="118"/>
      <c r="B63045" s="136"/>
    </row>
    <row r="63046" spans="1:2" x14ac:dyDescent="0.25">
      <c r="A63046" s="118"/>
      <c r="B63046" s="136"/>
    </row>
    <row r="63047" spans="1:2" x14ac:dyDescent="0.25">
      <c r="A63047" s="118"/>
      <c r="B63047" s="136"/>
    </row>
    <row r="63048" spans="1:2" x14ac:dyDescent="0.25">
      <c r="A63048" s="118"/>
      <c r="B63048" s="136"/>
    </row>
    <row r="63049" spans="1:2" x14ac:dyDescent="0.25">
      <c r="A63049" s="118"/>
      <c r="B63049" s="136"/>
    </row>
    <row r="63050" spans="1:2" x14ac:dyDescent="0.25">
      <c r="A63050" s="118"/>
      <c r="B63050" s="136"/>
    </row>
    <row r="63051" spans="1:2" x14ac:dyDescent="0.25">
      <c r="A63051" s="118"/>
      <c r="B63051" s="136"/>
    </row>
    <row r="63052" spans="1:2" x14ac:dyDescent="0.25">
      <c r="A63052" s="118"/>
      <c r="B63052" s="136"/>
    </row>
    <row r="63053" spans="1:2" x14ac:dyDescent="0.25">
      <c r="A63053" s="118"/>
      <c r="B63053" s="136"/>
    </row>
    <row r="63054" spans="1:2" x14ac:dyDescent="0.25">
      <c r="A63054" s="118"/>
      <c r="B63054" s="136"/>
    </row>
    <row r="63055" spans="1:2" x14ac:dyDescent="0.25">
      <c r="A63055" s="118"/>
      <c r="B63055" s="136"/>
    </row>
    <row r="63056" spans="1:2" x14ac:dyDescent="0.25">
      <c r="A63056" s="118"/>
      <c r="B63056" s="136"/>
    </row>
    <row r="63057" spans="1:2" x14ac:dyDescent="0.25">
      <c r="A63057" s="118"/>
      <c r="B63057" s="136"/>
    </row>
    <row r="63058" spans="1:2" x14ac:dyDescent="0.25">
      <c r="A63058" s="118"/>
      <c r="B63058" s="136"/>
    </row>
    <row r="63059" spans="1:2" x14ac:dyDescent="0.25">
      <c r="A63059" s="118"/>
      <c r="B63059" s="136"/>
    </row>
    <row r="63060" spans="1:2" x14ac:dyDescent="0.25">
      <c r="A63060" s="118"/>
      <c r="B63060" s="136"/>
    </row>
    <row r="63061" spans="1:2" x14ac:dyDescent="0.25">
      <c r="A63061" s="118"/>
      <c r="B63061" s="136"/>
    </row>
    <row r="63062" spans="1:2" x14ac:dyDescent="0.25">
      <c r="A63062" s="118"/>
      <c r="B63062" s="136"/>
    </row>
    <row r="63063" spans="1:2" x14ac:dyDescent="0.25">
      <c r="A63063" s="118"/>
      <c r="B63063" s="136"/>
    </row>
    <row r="63064" spans="1:2" x14ac:dyDescent="0.25">
      <c r="A63064" s="118"/>
      <c r="B63064" s="136"/>
    </row>
    <row r="63065" spans="1:2" x14ac:dyDescent="0.25">
      <c r="A63065" s="118"/>
      <c r="B63065" s="136"/>
    </row>
    <row r="63066" spans="1:2" x14ac:dyDescent="0.25">
      <c r="A63066" s="118"/>
      <c r="B63066" s="136"/>
    </row>
    <row r="63067" spans="1:2" x14ac:dyDescent="0.25">
      <c r="A63067" s="118"/>
      <c r="B63067" s="136"/>
    </row>
    <row r="63068" spans="1:2" x14ac:dyDescent="0.25">
      <c r="A63068" s="118"/>
      <c r="B63068" s="136"/>
    </row>
    <row r="63069" spans="1:2" x14ac:dyDescent="0.25">
      <c r="A63069" s="118"/>
      <c r="B63069" s="136"/>
    </row>
    <row r="63070" spans="1:2" x14ac:dyDescent="0.25">
      <c r="A63070" s="118"/>
      <c r="B63070" s="136"/>
    </row>
    <row r="63071" spans="1:2" x14ac:dyDescent="0.25">
      <c r="A63071" s="118"/>
      <c r="B63071" s="136"/>
    </row>
    <row r="63072" spans="1:2" x14ac:dyDescent="0.25">
      <c r="A63072" s="118"/>
      <c r="B63072" s="136"/>
    </row>
    <row r="63073" spans="1:2" x14ac:dyDescent="0.25">
      <c r="A63073" s="118"/>
      <c r="B63073" s="136"/>
    </row>
    <row r="63074" spans="1:2" x14ac:dyDescent="0.25">
      <c r="A63074" s="118"/>
      <c r="B63074" s="136"/>
    </row>
    <row r="63075" spans="1:2" x14ac:dyDescent="0.25">
      <c r="A63075" s="118"/>
      <c r="B63075" s="136"/>
    </row>
    <row r="63076" spans="1:2" x14ac:dyDescent="0.25">
      <c r="A63076" s="118"/>
      <c r="B63076" s="136"/>
    </row>
    <row r="63077" spans="1:2" x14ac:dyDescent="0.25">
      <c r="A63077" s="118"/>
      <c r="B63077" s="136"/>
    </row>
    <row r="63078" spans="1:2" x14ac:dyDescent="0.25">
      <c r="A63078" s="118"/>
      <c r="B63078" s="136"/>
    </row>
    <row r="63079" spans="1:2" x14ac:dyDescent="0.25">
      <c r="A63079" s="118"/>
      <c r="B63079" s="136"/>
    </row>
    <row r="63080" spans="1:2" x14ac:dyDescent="0.25">
      <c r="A63080" s="118"/>
      <c r="B63080" s="136"/>
    </row>
    <row r="63081" spans="1:2" x14ac:dyDescent="0.25">
      <c r="A63081" s="118"/>
      <c r="B63081" s="136"/>
    </row>
    <row r="63082" spans="1:2" x14ac:dyDescent="0.25">
      <c r="A63082" s="118"/>
      <c r="B63082" s="136"/>
    </row>
    <row r="63083" spans="1:2" x14ac:dyDescent="0.25">
      <c r="A63083" s="118"/>
      <c r="B63083" s="136"/>
    </row>
    <row r="63084" spans="1:2" x14ac:dyDescent="0.25">
      <c r="A63084" s="118"/>
      <c r="B63084" s="136"/>
    </row>
    <row r="63085" spans="1:2" x14ac:dyDescent="0.25">
      <c r="A63085" s="118"/>
      <c r="B63085" s="136"/>
    </row>
    <row r="63086" spans="1:2" x14ac:dyDescent="0.25">
      <c r="A63086" s="118"/>
      <c r="B63086" s="136"/>
    </row>
    <row r="63087" spans="1:2" x14ac:dyDescent="0.25">
      <c r="A63087" s="118"/>
      <c r="B63087" s="136"/>
    </row>
    <row r="63088" spans="1:2" x14ac:dyDescent="0.25">
      <c r="A63088" s="118"/>
      <c r="B63088" s="136"/>
    </row>
    <row r="63089" spans="1:2" x14ac:dyDescent="0.25">
      <c r="A63089" s="118"/>
      <c r="B63089" s="136"/>
    </row>
    <row r="63090" spans="1:2" x14ac:dyDescent="0.25">
      <c r="A63090" s="118"/>
      <c r="B63090" s="136"/>
    </row>
    <row r="63091" spans="1:2" x14ac:dyDescent="0.25">
      <c r="A63091" s="118"/>
      <c r="B63091" s="136"/>
    </row>
    <row r="63092" spans="1:2" x14ac:dyDescent="0.25">
      <c r="A63092" s="118"/>
      <c r="B63092" s="136"/>
    </row>
    <row r="63093" spans="1:2" x14ac:dyDescent="0.25">
      <c r="A63093" s="118"/>
      <c r="B63093" s="136"/>
    </row>
    <row r="63094" spans="1:2" x14ac:dyDescent="0.25">
      <c r="A63094" s="118"/>
      <c r="B63094" s="136"/>
    </row>
    <row r="63095" spans="1:2" x14ac:dyDescent="0.25">
      <c r="A63095" s="118"/>
      <c r="B63095" s="136"/>
    </row>
    <row r="63096" spans="1:2" x14ac:dyDescent="0.25">
      <c r="A63096" s="118"/>
      <c r="B63096" s="136"/>
    </row>
    <row r="63097" spans="1:2" x14ac:dyDescent="0.25">
      <c r="A63097" s="118"/>
      <c r="B63097" s="136"/>
    </row>
    <row r="63098" spans="1:2" x14ac:dyDescent="0.25">
      <c r="A63098" s="118"/>
      <c r="B63098" s="136"/>
    </row>
    <row r="63099" spans="1:2" x14ac:dyDescent="0.25">
      <c r="A63099" s="118"/>
      <c r="B63099" s="136"/>
    </row>
    <row r="63100" spans="1:2" x14ac:dyDescent="0.25">
      <c r="A63100" s="118"/>
      <c r="B63100" s="136"/>
    </row>
    <row r="63101" spans="1:2" x14ac:dyDescent="0.25">
      <c r="A63101" s="118"/>
      <c r="B63101" s="136"/>
    </row>
    <row r="63102" spans="1:2" x14ac:dyDescent="0.25">
      <c r="A63102" s="118"/>
      <c r="B63102" s="136"/>
    </row>
    <row r="63103" spans="1:2" x14ac:dyDescent="0.25">
      <c r="A63103" s="118"/>
      <c r="B63103" s="136"/>
    </row>
    <row r="63104" spans="1:2" x14ac:dyDescent="0.25">
      <c r="A63104" s="118"/>
      <c r="B63104" s="136"/>
    </row>
    <row r="63105" spans="1:2" x14ac:dyDescent="0.25">
      <c r="A63105" s="118"/>
      <c r="B63105" s="136"/>
    </row>
    <row r="63106" spans="1:2" x14ac:dyDescent="0.25">
      <c r="A63106" s="118"/>
      <c r="B63106" s="136"/>
    </row>
    <row r="63107" spans="1:2" x14ac:dyDescent="0.25">
      <c r="A63107" s="118"/>
      <c r="B63107" s="136"/>
    </row>
    <row r="63108" spans="1:2" x14ac:dyDescent="0.25">
      <c r="A63108" s="118"/>
      <c r="B63108" s="136"/>
    </row>
    <row r="63109" spans="1:2" x14ac:dyDescent="0.25">
      <c r="A63109" s="118"/>
      <c r="B63109" s="136"/>
    </row>
    <row r="63110" spans="1:2" x14ac:dyDescent="0.25">
      <c r="A63110" s="118"/>
      <c r="B63110" s="136"/>
    </row>
    <row r="63111" spans="1:2" x14ac:dyDescent="0.25">
      <c r="A63111" s="118"/>
      <c r="B63111" s="136"/>
    </row>
    <row r="63112" spans="1:2" x14ac:dyDescent="0.25">
      <c r="A63112" s="118"/>
      <c r="B63112" s="136"/>
    </row>
    <row r="63113" spans="1:2" x14ac:dyDescent="0.25">
      <c r="A63113" s="118"/>
      <c r="B63113" s="136"/>
    </row>
    <row r="63114" spans="1:2" x14ac:dyDescent="0.25">
      <c r="A63114" s="118"/>
      <c r="B63114" s="136"/>
    </row>
    <row r="63115" spans="1:2" x14ac:dyDescent="0.25">
      <c r="A63115" s="118"/>
      <c r="B63115" s="136"/>
    </row>
    <row r="63116" spans="1:2" x14ac:dyDescent="0.25">
      <c r="A63116" s="118"/>
      <c r="B63116" s="136"/>
    </row>
    <row r="63117" spans="1:2" x14ac:dyDescent="0.25">
      <c r="A63117" s="118"/>
      <c r="B63117" s="136"/>
    </row>
    <row r="63118" spans="1:2" x14ac:dyDescent="0.25">
      <c r="A63118" s="118"/>
      <c r="B63118" s="136"/>
    </row>
    <row r="63119" spans="1:2" x14ac:dyDescent="0.25">
      <c r="A63119" s="118"/>
      <c r="B63119" s="136"/>
    </row>
    <row r="63120" spans="1:2" x14ac:dyDescent="0.25">
      <c r="A63120" s="118"/>
      <c r="B63120" s="136"/>
    </row>
    <row r="63121" spans="1:2" x14ac:dyDescent="0.25">
      <c r="A63121" s="118"/>
      <c r="B63121" s="136"/>
    </row>
    <row r="63122" spans="1:2" x14ac:dyDescent="0.25">
      <c r="A63122" s="118"/>
      <c r="B63122" s="136"/>
    </row>
    <row r="63123" spans="1:2" x14ac:dyDescent="0.25">
      <c r="A63123" s="118"/>
      <c r="B63123" s="136"/>
    </row>
    <row r="63124" spans="1:2" x14ac:dyDescent="0.25">
      <c r="A63124" s="118"/>
      <c r="B63124" s="136"/>
    </row>
    <row r="63125" spans="1:2" x14ac:dyDescent="0.25">
      <c r="A63125" s="118"/>
      <c r="B63125" s="136"/>
    </row>
    <row r="63126" spans="1:2" x14ac:dyDescent="0.25">
      <c r="A63126" s="118"/>
      <c r="B63126" s="136"/>
    </row>
    <row r="63127" spans="1:2" x14ac:dyDescent="0.25">
      <c r="A63127" s="118"/>
      <c r="B63127" s="136"/>
    </row>
    <row r="63128" spans="1:2" x14ac:dyDescent="0.25">
      <c r="A63128" s="118"/>
      <c r="B63128" s="136"/>
    </row>
    <row r="63129" spans="1:2" x14ac:dyDescent="0.25">
      <c r="A63129" s="118"/>
      <c r="B63129" s="136"/>
    </row>
    <row r="63130" spans="1:2" x14ac:dyDescent="0.25">
      <c r="A63130" s="118"/>
      <c r="B63130" s="136"/>
    </row>
    <row r="63131" spans="1:2" x14ac:dyDescent="0.25">
      <c r="A63131" s="118"/>
      <c r="B63131" s="136"/>
    </row>
    <row r="63132" spans="1:2" x14ac:dyDescent="0.25">
      <c r="A63132" s="118"/>
      <c r="B63132" s="136"/>
    </row>
    <row r="63133" spans="1:2" x14ac:dyDescent="0.25">
      <c r="A63133" s="118"/>
      <c r="B63133" s="136"/>
    </row>
    <row r="63134" spans="1:2" x14ac:dyDescent="0.25">
      <c r="A63134" s="118"/>
      <c r="B63134" s="136"/>
    </row>
    <row r="63135" spans="1:2" x14ac:dyDescent="0.25">
      <c r="A63135" s="118"/>
      <c r="B63135" s="136"/>
    </row>
    <row r="63136" spans="1:2" x14ac:dyDescent="0.25">
      <c r="A63136" s="118"/>
      <c r="B63136" s="136"/>
    </row>
    <row r="63137" spans="1:2" x14ac:dyDescent="0.25">
      <c r="A63137" s="118"/>
      <c r="B63137" s="136"/>
    </row>
    <row r="63138" spans="1:2" x14ac:dyDescent="0.25">
      <c r="A63138" s="118"/>
      <c r="B63138" s="136"/>
    </row>
    <row r="63139" spans="1:2" x14ac:dyDescent="0.25">
      <c r="A63139" s="118"/>
      <c r="B63139" s="136"/>
    </row>
    <row r="63140" spans="1:2" x14ac:dyDescent="0.25">
      <c r="A63140" s="118"/>
      <c r="B63140" s="136"/>
    </row>
    <row r="63141" spans="1:2" x14ac:dyDescent="0.25">
      <c r="A63141" s="118"/>
      <c r="B63141" s="136"/>
    </row>
    <row r="63142" spans="1:2" x14ac:dyDescent="0.25">
      <c r="A63142" s="118"/>
      <c r="B63142" s="136"/>
    </row>
    <row r="63143" spans="1:2" x14ac:dyDescent="0.25">
      <c r="A63143" s="118"/>
      <c r="B63143" s="136"/>
    </row>
    <row r="63144" spans="1:2" x14ac:dyDescent="0.25">
      <c r="A63144" s="118"/>
      <c r="B63144" s="136"/>
    </row>
    <row r="63145" spans="1:2" x14ac:dyDescent="0.25">
      <c r="A63145" s="118"/>
      <c r="B63145" s="136"/>
    </row>
    <row r="63146" spans="1:2" x14ac:dyDescent="0.25">
      <c r="A63146" s="118"/>
      <c r="B63146" s="136"/>
    </row>
    <row r="63147" spans="1:2" x14ac:dyDescent="0.25">
      <c r="A63147" s="118"/>
      <c r="B63147" s="136"/>
    </row>
    <row r="63148" spans="1:2" x14ac:dyDescent="0.25">
      <c r="A63148" s="118"/>
      <c r="B63148" s="136"/>
    </row>
    <row r="63149" spans="1:2" x14ac:dyDescent="0.25">
      <c r="A63149" s="118"/>
      <c r="B63149" s="136"/>
    </row>
    <row r="63150" spans="1:2" x14ac:dyDescent="0.25">
      <c r="A63150" s="118"/>
      <c r="B63150" s="136"/>
    </row>
    <row r="63151" spans="1:2" x14ac:dyDescent="0.25">
      <c r="A63151" s="118"/>
      <c r="B63151" s="136"/>
    </row>
    <row r="63152" spans="1:2" x14ac:dyDescent="0.25">
      <c r="A63152" s="118"/>
      <c r="B63152" s="136"/>
    </row>
    <row r="63153" spans="1:2" x14ac:dyDescent="0.25">
      <c r="A63153" s="118"/>
      <c r="B63153" s="136"/>
    </row>
    <row r="63154" spans="1:2" x14ac:dyDescent="0.25">
      <c r="A63154" s="118"/>
      <c r="B63154" s="136"/>
    </row>
    <row r="63155" spans="1:2" x14ac:dyDescent="0.25">
      <c r="A63155" s="118"/>
      <c r="B63155" s="136"/>
    </row>
    <row r="63156" spans="1:2" x14ac:dyDescent="0.25">
      <c r="A63156" s="118"/>
      <c r="B63156" s="136"/>
    </row>
    <row r="63157" spans="1:2" x14ac:dyDescent="0.25">
      <c r="A63157" s="118"/>
      <c r="B63157" s="136"/>
    </row>
    <row r="63158" spans="1:2" x14ac:dyDescent="0.25">
      <c r="A63158" s="118"/>
      <c r="B63158" s="136"/>
    </row>
    <row r="63159" spans="1:2" x14ac:dyDescent="0.25">
      <c r="A63159" s="118"/>
      <c r="B63159" s="136"/>
    </row>
    <row r="63160" spans="1:2" x14ac:dyDescent="0.25">
      <c r="A63160" s="118"/>
      <c r="B63160" s="136"/>
    </row>
    <row r="63161" spans="1:2" x14ac:dyDescent="0.25">
      <c r="A63161" s="118"/>
      <c r="B63161" s="136"/>
    </row>
    <row r="63162" spans="1:2" x14ac:dyDescent="0.25">
      <c r="A63162" s="118"/>
      <c r="B63162" s="136"/>
    </row>
    <row r="63163" spans="1:2" x14ac:dyDescent="0.25">
      <c r="A63163" s="118"/>
      <c r="B63163" s="136"/>
    </row>
    <row r="63164" spans="1:2" x14ac:dyDescent="0.25">
      <c r="A63164" s="118"/>
      <c r="B63164" s="136"/>
    </row>
    <row r="63165" spans="1:2" x14ac:dyDescent="0.25">
      <c r="A63165" s="118"/>
      <c r="B63165" s="136"/>
    </row>
    <row r="63166" spans="1:2" x14ac:dyDescent="0.25">
      <c r="A63166" s="118"/>
      <c r="B63166" s="136"/>
    </row>
    <row r="63167" spans="1:2" x14ac:dyDescent="0.25">
      <c r="A63167" s="118"/>
      <c r="B63167" s="136"/>
    </row>
    <row r="63168" spans="1:2" x14ac:dyDescent="0.25">
      <c r="A63168" s="118"/>
      <c r="B63168" s="136"/>
    </row>
    <row r="63169" spans="1:2" x14ac:dyDescent="0.25">
      <c r="A63169" s="118"/>
      <c r="B63169" s="136"/>
    </row>
    <row r="63170" spans="1:2" x14ac:dyDescent="0.25">
      <c r="A63170" s="118"/>
      <c r="B63170" s="136"/>
    </row>
    <row r="63171" spans="1:2" x14ac:dyDescent="0.25">
      <c r="A63171" s="118"/>
      <c r="B63171" s="136"/>
    </row>
    <row r="63172" spans="1:2" x14ac:dyDescent="0.25">
      <c r="A63172" s="118"/>
      <c r="B63172" s="136"/>
    </row>
    <row r="63173" spans="1:2" x14ac:dyDescent="0.25">
      <c r="A63173" s="118"/>
      <c r="B63173" s="136"/>
    </row>
    <row r="63174" spans="1:2" x14ac:dyDescent="0.25">
      <c r="A63174" s="118"/>
      <c r="B63174" s="136"/>
    </row>
    <row r="63175" spans="1:2" x14ac:dyDescent="0.25">
      <c r="A63175" s="118"/>
      <c r="B63175" s="136"/>
    </row>
    <row r="63176" spans="1:2" x14ac:dyDescent="0.25">
      <c r="A63176" s="118"/>
      <c r="B63176" s="136"/>
    </row>
    <row r="63177" spans="1:2" x14ac:dyDescent="0.25">
      <c r="A63177" s="118"/>
      <c r="B63177" s="136"/>
    </row>
    <row r="63178" spans="1:2" x14ac:dyDescent="0.25">
      <c r="A63178" s="118"/>
      <c r="B63178" s="136"/>
    </row>
    <row r="63179" spans="1:2" x14ac:dyDescent="0.25">
      <c r="A63179" s="118"/>
      <c r="B63179" s="136"/>
    </row>
    <row r="63180" spans="1:2" x14ac:dyDescent="0.25">
      <c r="A63180" s="118"/>
      <c r="B63180" s="136"/>
    </row>
    <row r="63181" spans="1:2" x14ac:dyDescent="0.25">
      <c r="A63181" s="118"/>
      <c r="B63181" s="136"/>
    </row>
    <row r="63182" spans="1:2" x14ac:dyDescent="0.25">
      <c r="A63182" s="118"/>
      <c r="B63182" s="136"/>
    </row>
    <row r="63183" spans="1:2" x14ac:dyDescent="0.25">
      <c r="A63183" s="118"/>
      <c r="B63183" s="136"/>
    </row>
    <row r="63184" spans="1:2" x14ac:dyDescent="0.25">
      <c r="A63184" s="118"/>
      <c r="B63184" s="136"/>
    </row>
    <row r="63185" spans="1:2" x14ac:dyDescent="0.25">
      <c r="A63185" s="118"/>
      <c r="B63185" s="136"/>
    </row>
    <row r="63186" spans="1:2" x14ac:dyDescent="0.25">
      <c r="A63186" s="118"/>
      <c r="B63186" s="136"/>
    </row>
    <row r="63187" spans="1:2" x14ac:dyDescent="0.25">
      <c r="A63187" s="118"/>
      <c r="B63187" s="136"/>
    </row>
    <row r="63188" spans="1:2" x14ac:dyDescent="0.25">
      <c r="A63188" s="118"/>
      <c r="B63188" s="136"/>
    </row>
    <row r="63189" spans="1:2" x14ac:dyDescent="0.25">
      <c r="A63189" s="118"/>
      <c r="B63189" s="136"/>
    </row>
    <row r="63190" spans="1:2" x14ac:dyDescent="0.25">
      <c r="A63190" s="118"/>
      <c r="B63190" s="136"/>
    </row>
    <row r="63191" spans="1:2" x14ac:dyDescent="0.25">
      <c r="A63191" s="118"/>
      <c r="B63191" s="136"/>
    </row>
    <row r="63192" spans="1:2" x14ac:dyDescent="0.25">
      <c r="A63192" s="118"/>
      <c r="B63192" s="136"/>
    </row>
    <row r="63193" spans="1:2" x14ac:dyDescent="0.25">
      <c r="A63193" s="118"/>
      <c r="B63193" s="136"/>
    </row>
    <row r="63194" spans="1:2" x14ac:dyDescent="0.25">
      <c r="A63194" s="118"/>
      <c r="B63194" s="136"/>
    </row>
    <row r="63195" spans="1:2" x14ac:dyDescent="0.25">
      <c r="A63195" s="118"/>
      <c r="B63195" s="136"/>
    </row>
    <row r="63196" spans="1:2" x14ac:dyDescent="0.25">
      <c r="A63196" s="118"/>
      <c r="B63196" s="136"/>
    </row>
    <row r="63197" spans="1:2" x14ac:dyDescent="0.25">
      <c r="A63197" s="118"/>
      <c r="B63197" s="136"/>
    </row>
    <row r="63198" spans="1:2" x14ac:dyDescent="0.25">
      <c r="A63198" s="118"/>
      <c r="B63198" s="136"/>
    </row>
    <row r="63199" spans="1:2" x14ac:dyDescent="0.25">
      <c r="A63199" s="118"/>
      <c r="B63199" s="136"/>
    </row>
    <row r="63200" spans="1:2" x14ac:dyDescent="0.25">
      <c r="A63200" s="118"/>
      <c r="B63200" s="136"/>
    </row>
    <row r="63201" spans="1:2" x14ac:dyDescent="0.25">
      <c r="A63201" s="118"/>
      <c r="B63201" s="136"/>
    </row>
    <row r="63202" spans="1:2" x14ac:dyDescent="0.25">
      <c r="A63202" s="118"/>
      <c r="B63202" s="136"/>
    </row>
    <row r="63203" spans="1:2" x14ac:dyDescent="0.25">
      <c r="A63203" s="118"/>
      <c r="B63203" s="136"/>
    </row>
    <row r="63204" spans="1:2" x14ac:dyDescent="0.25">
      <c r="A63204" s="118"/>
      <c r="B63204" s="136"/>
    </row>
    <row r="63205" spans="1:2" x14ac:dyDescent="0.25">
      <c r="A63205" s="118"/>
      <c r="B63205" s="136"/>
    </row>
    <row r="63206" spans="1:2" x14ac:dyDescent="0.25">
      <c r="A63206" s="118"/>
      <c r="B63206" s="136"/>
    </row>
    <row r="63207" spans="1:2" x14ac:dyDescent="0.25">
      <c r="A63207" s="118"/>
      <c r="B63207" s="136"/>
    </row>
    <row r="63208" spans="1:2" x14ac:dyDescent="0.25">
      <c r="A63208" s="118"/>
      <c r="B63208" s="136"/>
    </row>
    <row r="63209" spans="1:2" x14ac:dyDescent="0.25">
      <c r="A63209" s="118"/>
      <c r="B63209" s="136"/>
    </row>
    <row r="63210" spans="1:2" x14ac:dyDescent="0.25">
      <c r="A63210" s="118"/>
      <c r="B63210" s="136"/>
    </row>
    <row r="63211" spans="1:2" x14ac:dyDescent="0.25">
      <c r="A63211" s="118"/>
      <c r="B63211" s="136"/>
    </row>
    <row r="63212" spans="1:2" x14ac:dyDescent="0.25">
      <c r="A63212" s="118"/>
      <c r="B63212" s="136"/>
    </row>
    <row r="63213" spans="1:2" x14ac:dyDescent="0.25">
      <c r="A63213" s="118"/>
      <c r="B63213" s="136"/>
    </row>
    <row r="63214" spans="1:2" x14ac:dyDescent="0.25">
      <c r="A63214" s="118"/>
      <c r="B63214" s="136"/>
    </row>
    <row r="63215" spans="1:2" x14ac:dyDescent="0.25">
      <c r="A63215" s="118"/>
      <c r="B63215" s="136"/>
    </row>
    <row r="63216" spans="1:2" x14ac:dyDescent="0.25">
      <c r="A63216" s="118"/>
      <c r="B63216" s="136"/>
    </row>
    <row r="63217" spans="1:2" x14ac:dyDescent="0.25">
      <c r="A63217" s="118"/>
      <c r="B63217" s="136"/>
    </row>
    <row r="63218" spans="1:2" x14ac:dyDescent="0.25">
      <c r="A63218" s="118"/>
      <c r="B63218" s="136"/>
    </row>
    <row r="63219" spans="1:2" x14ac:dyDescent="0.25">
      <c r="A63219" s="118"/>
      <c r="B63219" s="136"/>
    </row>
    <row r="63220" spans="1:2" x14ac:dyDescent="0.25">
      <c r="A63220" s="118"/>
      <c r="B63220" s="136"/>
    </row>
    <row r="63221" spans="1:2" x14ac:dyDescent="0.25">
      <c r="A63221" s="118"/>
      <c r="B63221" s="136"/>
    </row>
    <row r="63222" spans="1:2" x14ac:dyDescent="0.25">
      <c r="A63222" s="118"/>
      <c r="B63222" s="136"/>
    </row>
    <row r="63223" spans="1:2" x14ac:dyDescent="0.25">
      <c r="A63223" s="118"/>
      <c r="B63223" s="136"/>
    </row>
    <row r="63224" spans="1:2" x14ac:dyDescent="0.25">
      <c r="A63224" s="118"/>
      <c r="B63224" s="136"/>
    </row>
    <row r="63225" spans="1:2" x14ac:dyDescent="0.25">
      <c r="A63225" s="118"/>
      <c r="B63225" s="136"/>
    </row>
    <row r="63226" spans="1:2" x14ac:dyDescent="0.25">
      <c r="A63226" s="118"/>
      <c r="B63226" s="136"/>
    </row>
    <row r="63227" spans="1:2" x14ac:dyDescent="0.25">
      <c r="A63227" s="118"/>
      <c r="B63227" s="136"/>
    </row>
    <row r="63228" spans="1:2" x14ac:dyDescent="0.25">
      <c r="A63228" s="118"/>
      <c r="B63228" s="136"/>
    </row>
    <row r="63229" spans="1:2" x14ac:dyDescent="0.25">
      <c r="A63229" s="118"/>
      <c r="B63229" s="136"/>
    </row>
    <row r="63230" spans="1:2" x14ac:dyDescent="0.25">
      <c r="A63230" s="118"/>
      <c r="B63230" s="136"/>
    </row>
    <row r="63231" spans="1:2" x14ac:dyDescent="0.25">
      <c r="A63231" s="118"/>
      <c r="B63231" s="136"/>
    </row>
    <row r="63232" spans="1:2" x14ac:dyDescent="0.25">
      <c r="A63232" s="118"/>
      <c r="B63232" s="136"/>
    </row>
    <row r="63233" spans="1:2" x14ac:dyDescent="0.25">
      <c r="A63233" s="118"/>
      <c r="B63233" s="136"/>
    </row>
    <row r="63234" spans="1:2" x14ac:dyDescent="0.25">
      <c r="A63234" s="118"/>
      <c r="B63234" s="136"/>
    </row>
    <row r="63235" spans="1:2" x14ac:dyDescent="0.25">
      <c r="A63235" s="118"/>
      <c r="B63235" s="136"/>
    </row>
    <row r="63236" spans="1:2" x14ac:dyDescent="0.25">
      <c r="A63236" s="118"/>
      <c r="B63236" s="136"/>
    </row>
    <row r="63237" spans="1:2" x14ac:dyDescent="0.25">
      <c r="A63237" s="118"/>
      <c r="B63237" s="136"/>
    </row>
    <row r="63238" spans="1:2" x14ac:dyDescent="0.25">
      <c r="A63238" s="118"/>
      <c r="B63238" s="136"/>
    </row>
    <row r="63239" spans="1:2" x14ac:dyDescent="0.25">
      <c r="A63239" s="118"/>
      <c r="B63239" s="136"/>
    </row>
    <row r="63240" spans="1:2" x14ac:dyDescent="0.25">
      <c r="A63240" s="118"/>
      <c r="B63240" s="136"/>
    </row>
    <row r="63241" spans="1:2" x14ac:dyDescent="0.25">
      <c r="A63241" s="118"/>
      <c r="B63241" s="136"/>
    </row>
    <row r="63242" spans="1:2" x14ac:dyDescent="0.25">
      <c r="A63242" s="118"/>
      <c r="B63242" s="136"/>
    </row>
    <row r="63243" spans="1:2" x14ac:dyDescent="0.25">
      <c r="A63243" s="118"/>
      <c r="B63243" s="136"/>
    </row>
    <row r="63244" spans="1:2" x14ac:dyDescent="0.25">
      <c r="A63244" s="118"/>
      <c r="B63244" s="136"/>
    </row>
    <row r="63245" spans="1:2" x14ac:dyDescent="0.25">
      <c r="A63245" s="118"/>
      <c r="B63245" s="136"/>
    </row>
    <row r="63246" spans="1:2" x14ac:dyDescent="0.25">
      <c r="A63246" s="118"/>
      <c r="B63246" s="136"/>
    </row>
    <row r="63247" spans="1:2" x14ac:dyDescent="0.25">
      <c r="A63247" s="118"/>
      <c r="B63247" s="136"/>
    </row>
    <row r="63248" spans="1:2" x14ac:dyDescent="0.25">
      <c r="A63248" s="118"/>
      <c r="B63248" s="136"/>
    </row>
    <row r="63249" spans="1:2" x14ac:dyDescent="0.25">
      <c r="A63249" s="118"/>
      <c r="B63249" s="136"/>
    </row>
    <row r="63250" spans="1:2" x14ac:dyDescent="0.25">
      <c r="A63250" s="118"/>
      <c r="B63250" s="136"/>
    </row>
    <row r="63251" spans="1:2" x14ac:dyDescent="0.25">
      <c r="A63251" s="118"/>
      <c r="B63251" s="136"/>
    </row>
    <row r="63252" spans="1:2" x14ac:dyDescent="0.25">
      <c r="A63252" s="118"/>
      <c r="B63252" s="136"/>
    </row>
    <row r="63253" spans="1:2" x14ac:dyDescent="0.25">
      <c r="A63253" s="118"/>
      <c r="B63253" s="136"/>
    </row>
    <row r="63254" spans="1:2" x14ac:dyDescent="0.25">
      <c r="A63254" s="118"/>
      <c r="B63254" s="136"/>
    </row>
    <row r="63255" spans="1:2" x14ac:dyDescent="0.25">
      <c r="A63255" s="118"/>
      <c r="B63255" s="136"/>
    </row>
    <row r="63256" spans="1:2" x14ac:dyDescent="0.25">
      <c r="A63256" s="118"/>
      <c r="B63256" s="136"/>
    </row>
    <row r="63257" spans="1:2" x14ac:dyDescent="0.25">
      <c r="A63257" s="118"/>
      <c r="B63257" s="136"/>
    </row>
    <row r="63258" spans="1:2" x14ac:dyDescent="0.25">
      <c r="A63258" s="118"/>
      <c r="B63258" s="136"/>
    </row>
    <row r="63259" spans="1:2" x14ac:dyDescent="0.25">
      <c r="A63259" s="118"/>
      <c r="B63259" s="136"/>
    </row>
    <row r="63260" spans="1:2" x14ac:dyDescent="0.25">
      <c r="A63260" s="118"/>
      <c r="B63260" s="136"/>
    </row>
    <row r="63261" spans="1:2" x14ac:dyDescent="0.25">
      <c r="A63261" s="118"/>
      <c r="B63261" s="136"/>
    </row>
    <row r="63262" spans="1:2" x14ac:dyDescent="0.25">
      <c r="A63262" s="118"/>
      <c r="B63262" s="136"/>
    </row>
    <row r="63263" spans="1:2" x14ac:dyDescent="0.25">
      <c r="A63263" s="118"/>
      <c r="B63263" s="136"/>
    </row>
    <row r="63264" spans="1:2" x14ac:dyDescent="0.25">
      <c r="A63264" s="118"/>
      <c r="B63264" s="136"/>
    </row>
    <row r="63265" spans="1:2" x14ac:dyDescent="0.25">
      <c r="A63265" s="118"/>
      <c r="B63265" s="136"/>
    </row>
    <row r="63266" spans="1:2" x14ac:dyDescent="0.25">
      <c r="A63266" s="118"/>
      <c r="B63266" s="136"/>
    </row>
    <row r="63267" spans="1:2" x14ac:dyDescent="0.25">
      <c r="A63267" s="118"/>
      <c r="B63267" s="136"/>
    </row>
    <row r="63268" spans="1:2" x14ac:dyDescent="0.25">
      <c r="A63268" s="118"/>
      <c r="B63268" s="136"/>
    </row>
    <row r="63269" spans="1:2" x14ac:dyDescent="0.25">
      <c r="A63269" s="118"/>
      <c r="B63269" s="136"/>
    </row>
    <row r="63270" spans="1:2" x14ac:dyDescent="0.25">
      <c r="A63270" s="118"/>
      <c r="B63270" s="136"/>
    </row>
    <row r="63271" spans="1:2" x14ac:dyDescent="0.25">
      <c r="A63271" s="118"/>
      <c r="B63271" s="136"/>
    </row>
    <row r="63272" spans="1:2" x14ac:dyDescent="0.25">
      <c r="A63272" s="118"/>
      <c r="B63272" s="136"/>
    </row>
    <row r="63273" spans="1:2" x14ac:dyDescent="0.25">
      <c r="A63273" s="118"/>
      <c r="B63273" s="136"/>
    </row>
    <row r="63274" spans="1:2" x14ac:dyDescent="0.25">
      <c r="A63274" s="118"/>
      <c r="B63274" s="136"/>
    </row>
    <row r="63275" spans="1:2" x14ac:dyDescent="0.25">
      <c r="A63275" s="118"/>
      <c r="B63275" s="136"/>
    </row>
    <row r="63276" spans="1:2" x14ac:dyDescent="0.25">
      <c r="A63276" s="118"/>
      <c r="B63276" s="136"/>
    </row>
    <row r="63277" spans="1:2" x14ac:dyDescent="0.25">
      <c r="A63277" s="118"/>
      <c r="B63277" s="136"/>
    </row>
    <row r="63278" spans="1:2" x14ac:dyDescent="0.25">
      <c r="A63278" s="118"/>
      <c r="B63278" s="136"/>
    </row>
    <row r="63279" spans="1:2" x14ac:dyDescent="0.25">
      <c r="A63279" s="118"/>
      <c r="B63279" s="136"/>
    </row>
    <row r="63280" spans="1:2" x14ac:dyDescent="0.25">
      <c r="A63280" s="118"/>
      <c r="B63280" s="136"/>
    </row>
    <row r="63281" spans="1:2" x14ac:dyDescent="0.25">
      <c r="A63281" s="118"/>
      <c r="B63281" s="136"/>
    </row>
    <row r="63282" spans="1:2" x14ac:dyDescent="0.25">
      <c r="A63282" s="118"/>
      <c r="B63282" s="136"/>
    </row>
    <row r="63283" spans="1:2" x14ac:dyDescent="0.25">
      <c r="A63283" s="118"/>
      <c r="B63283" s="136"/>
    </row>
    <row r="63284" spans="1:2" x14ac:dyDescent="0.25">
      <c r="A63284" s="118"/>
      <c r="B63284" s="136"/>
    </row>
    <row r="63285" spans="1:2" x14ac:dyDescent="0.25">
      <c r="A63285" s="118"/>
      <c r="B63285" s="136"/>
    </row>
    <row r="63286" spans="1:2" x14ac:dyDescent="0.25">
      <c r="A63286" s="118"/>
      <c r="B63286" s="136"/>
    </row>
    <row r="63287" spans="1:2" x14ac:dyDescent="0.25">
      <c r="A63287" s="118"/>
      <c r="B63287" s="136"/>
    </row>
    <row r="63288" spans="1:2" x14ac:dyDescent="0.25">
      <c r="A63288" s="118"/>
      <c r="B63288" s="136"/>
    </row>
    <row r="63289" spans="1:2" x14ac:dyDescent="0.25">
      <c r="A63289" s="118"/>
      <c r="B63289" s="136"/>
    </row>
    <row r="63290" spans="1:2" x14ac:dyDescent="0.25">
      <c r="A63290" s="118"/>
      <c r="B63290" s="136"/>
    </row>
    <row r="63291" spans="1:2" x14ac:dyDescent="0.25">
      <c r="A63291" s="118"/>
      <c r="B63291" s="136"/>
    </row>
    <row r="63292" spans="1:2" x14ac:dyDescent="0.25">
      <c r="A63292" s="118"/>
      <c r="B63292" s="136"/>
    </row>
    <row r="63293" spans="1:2" x14ac:dyDescent="0.25">
      <c r="A63293" s="118"/>
      <c r="B63293" s="136"/>
    </row>
    <row r="63294" spans="1:2" x14ac:dyDescent="0.25">
      <c r="A63294" s="118"/>
      <c r="B63294" s="136"/>
    </row>
    <row r="63295" spans="1:2" x14ac:dyDescent="0.25">
      <c r="A63295" s="118"/>
      <c r="B63295" s="136"/>
    </row>
    <row r="63296" spans="1:2" x14ac:dyDescent="0.25">
      <c r="A63296" s="118"/>
      <c r="B63296" s="136"/>
    </row>
    <row r="63297" spans="1:2" x14ac:dyDescent="0.25">
      <c r="A63297" s="118"/>
      <c r="B63297" s="136"/>
    </row>
    <row r="63298" spans="1:2" x14ac:dyDescent="0.25">
      <c r="A63298" s="118"/>
      <c r="B63298" s="136"/>
    </row>
    <row r="63299" spans="1:2" x14ac:dyDescent="0.25">
      <c r="A63299" s="118"/>
      <c r="B63299" s="136"/>
    </row>
    <row r="63300" spans="1:2" x14ac:dyDescent="0.25">
      <c r="A63300" s="118"/>
      <c r="B63300" s="136"/>
    </row>
    <row r="63301" spans="1:2" x14ac:dyDescent="0.25">
      <c r="A63301" s="118"/>
      <c r="B63301" s="136"/>
    </row>
    <row r="63302" spans="1:2" x14ac:dyDescent="0.25">
      <c r="A63302" s="118"/>
      <c r="B63302" s="136"/>
    </row>
    <row r="63303" spans="1:2" x14ac:dyDescent="0.25">
      <c r="A63303" s="118"/>
      <c r="B63303" s="136"/>
    </row>
    <row r="63304" spans="1:2" x14ac:dyDescent="0.25">
      <c r="A63304" s="118"/>
      <c r="B63304" s="136"/>
    </row>
    <row r="63305" spans="1:2" x14ac:dyDescent="0.25">
      <c r="A63305" s="118"/>
      <c r="B63305" s="136"/>
    </row>
    <row r="63306" spans="1:2" x14ac:dyDescent="0.25">
      <c r="A63306" s="118"/>
      <c r="B63306" s="136"/>
    </row>
    <row r="63307" spans="1:2" x14ac:dyDescent="0.25">
      <c r="A63307" s="118"/>
      <c r="B63307" s="136"/>
    </row>
    <row r="63308" spans="1:2" x14ac:dyDescent="0.25">
      <c r="A63308" s="118"/>
      <c r="B63308" s="136"/>
    </row>
    <row r="63309" spans="1:2" x14ac:dyDescent="0.25">
      <c r="A63309" s="118"/>
      <c r="B63309" s="136"/>
    </row>
    <row r="63310" spans="1:2" x14ac:dyDescent="0.25">
      <c r="A63310" s="118"/>
      <c r="B63310" s="136"/>
    </row>
    <row r="63311" spans="1:2" x14ac:dyDescent="0.25">
      <c r="A63311" s="118"/>
      <c r="B63311" s="136"/>
    </row>
    <row r="63312" spans="1:2" x14ac:dyDescent="0.25">
      <c r="A63312" s="118"/>
      <c r="B63312" s="136"/>
    </row>
    <row r="63313" spans="1:2" x14ac:dyDescent="0.25">
      <c r="A63313" s="118"/>
      <c r="B63313" s="136"/>
    </row>
    <row r="63314" spans="1:2" x14ac:dyDescent="0.25">
      <c r="A63314" s="118"/>
      <c r="B63314" s="136"/>
    </row>
    <row r="63315" spans="1:2" x14ac:dyDescent="0.25">
      <c r="A63315" s="118"/>
      <c r="B63315" s="136"/>
    </row>
    <row r="63316" spans="1:2" x14ac:dyDescent="0.25">
      <c r="A63316" s="118"/>
      <c r="B63316" s="136"/>
    </row>
    <row r="63317" spans="1:2" x14ac:dyDescent="0.25">
      <c r="A63317" s="118"/>
      <c r="B63317" s="136"/>
    </row>
    <row r="63318" spans="1:2" x14ac:dyDescent="0.25">
      <c r="A63318" s="118"/>
      <c r="B63318" s="136"/>
    </row>
    <row r="63319" spans="1:2" x14ac:dyDescent="0.25">
      <c r="A63319" s="118"/>
      <c r="B63319" s="136"/>
    </row>
    <row r="63320" spans="1:2" x14ac:dyDescent="0.25">
      <c r="A63320" s="118"/>
      <c r="B63320" s="136"/>
    </row>
    <row r="63321" spans="1:2" x14ac:dyDescent="0.25">
      <c r="A63321" s="118"/>
      <c r="B63321" s="136"/>
    </row>
    <row r="63322" spans="1:2" x14ac:dyDescent="0.25">
      <c r="A63322" s="118"/>
      <c r="B63322" s="136"/>
    </row>
    <row r="63323" spans="1:2" x14ac:dyDescent="0.25">
      <c r="A63323" s="118"/>
      <c r="B63323" s="136"/>
    </row>
    <row r="63324" spans="1:2" x14ac:dyDescent="0.25">
      <c r="A63324" s="118"/>
      <c r="B63324" s="136"/>
    </row>
    <row r="63325" spans="1:2" x14ac:dyDescent="0.25">
      <c r="A63325" s="118"/>
      <c r="B63325" s="136"/>
    </row>
    <row r="63326" spans="1:2" x14ac:dyDescent="0.25">
      <c r="A63326" s="118"/>
      <c r="B63326" s="136"/>
    </row>
    <row r="63327" spans="1:2" x14ac:dyDescent="0.25">
      <c r="A63327" s="118"/>
      <c r="B63327" s="136"/>
    </row>
    <row r="63328" spans="1:2" x14ac:dyDescent="0.25">
      <c r="A63328" s="118"/>
      <c r="B63328" s="136"/>
    </row>
    <row r="63329" spans="1:2" x14ac:dyDescent="0.25">
      <c r="A63329" s="118"/>
      <c r="B63329" s="136"/>
    </row>
    <row r="63330" spans="1:2" x14ac:dyDescent="0.25">
      <c r="A63330" s="118"/>
      <c r="B63330" s="136"/>
    </row>
    <row r="63331" spans="1:2" x14ac:dyDescent="0.25">
      <c r="A63331" s="118"/>
      <c r="B63331" s="136"/>
    </row>
    <row r="63332" spans="1:2" x14ac:dyDescent="0.25">
      <c r="A63332" s="118"/>
      <c r="B63332" s="136"/>
    </row>
    <row r="63333" spans="1:2" x14ac:dyDescent="0.25">
      <c r="A63333" s="118"/>
      <c r="B63333" s="136"/>
    </row>
    <row r="63334" spans="1:2" x14ac:dyDescent="0.25">
      <c r="A63334" s="118"/>
      <c r="B63334" s="136"/>
    </row>
    <row r="63335" spans="1:2" x14ac:dyDescent="0.25">
      <c r="A63335" s="118"/>
      <c r="B63335" s="136"/>
    </row>
    <row r="63336" spans="1:2" x14ac:dyDescent="0.25">
      <c r="A63336" s="118"/>
      <c r="B63336" s="136"/>
    </row>
    <row r="63337" spans="1:2" x14ac:dyDescent="0.25">
      <c r="A63337" s="118"/>
      <c r="B63337" s="136"/>
    </row>
    <row r="63338" spans="1:2" x14ac:dyDescent="0.25">
      <c r="A63338" s="118"/>
      <c r="B63338" s="136"/>
    </row>
    <row r="63339" spans="1:2" x14ac:dyDescent="0.25">
      <c r="A63339" s="118"/>
      <c r="B63339" s="136"/>
    </row>
    <row r="63340" spans="1:2" x14ac:dyDescent="0.25">
      <c r="A63340" s="118"/>
      <c r="B63340" s="136"/>
    </row>
    <row r="63341" spans="1:2" x14ac:dyDescent="0.25">
      <c r="A63341" s="118"/>
      <c r="B63341" s="136"/>
    </row>
    <row r="63342" spans="1:2" x14ac:dyDescent="0.25">
      <c r="A63342" s="118"/>
      <c r="B63342" s="136"/>
    </row>
    <row r="63343" spans="1:2" x14ac:dyDescent="0.25">
      <c r="A63343" s="118"/>
      <c r="B63343" s="136"/>
    </row>
    <row r="63344" spans="1:2" x14ac:dyDescent="0.25">
      <c r="A63344" s="118"/>
      <c r="B63344" s="136"/>
    </row>
    <row r="63345" spans="1:2" x14ac:dyDescent="0.25">
      <c r="A63345" s="118"/>
      <c r="B63345" s="136"/>
    </row>
    <row r="63346" spans="1:2" x14ac:dyDescent="0.25">
      <c r="A63346" s="118"/>
      <c r="B63346" s="136"/>
    </row>
    <row r="63347" spans="1:2" x14ac:dyDescent="0.25">
      <c r="A63347" s="118"/>
      <c r="B63347" s="136"/>
    </row>
    <row r="63348" spans="1:2" x14ac:dyDescent="0.25">
      <c r="A63348" s="118"/>
      <c r="B63348" s="136"/>
    </row>
    <row r="63349" spans="1:2" x14ac:dyDescent="0.25">
      <c r="A63349" s="118"/>
      <c r="B63349" s="136"/>
    </row>
    <row r="63350" spans="1:2" x14ac:dyDescent="0.25">
      <c r="A63350" s="118"/>
      <c r="B63350" s="136"/>
    </row>
    <row r="63351" spans="1:2" x14ac:dyDescent="0.25">
      <c r="A63351" s="118"/>
      <c r="B63351" s="136"/>
    </row>
    <row r="63352" spans="1:2" x14ac:dyDescent="0.25">
      <c r="A63352" s="118"/>
      <c r="B63352" s="136"/>
    </row>
    <row r="63353" spans="1:2" x14ac:dyDescent="0.25">
      <c r="A63353" s="118"/>
      <c r="B63353" s="136"/>
    </row>
    <row r="63354" spans="1:2" x14ac:dyDescent="0.25">
      <c r="A63354" s="118"/>
      <c r="B63354" s="136"/>
    </row>
    <row r="63355" spans="1:2" x14ac:dyDescent="0.25">
      <c r="A63355" s="118"/>
      <c r="B63355" s="136"/>
    </row>
    <row r="63356" spans="1:2" x14ac:dyDescent="0.25">
      <c r="A63356" s="118"/>
      <c r="B63356" s="136"/>
    </row>
    <row r="63357" spans="1:2" x14ac:dyDescent="0.25">
      <c r="A63357" s="118"/>
      <c r="B63357" s="136"/>
    </row>
    <row r="63358" spans="1:2" x14ac:dyDescent="0.25">
      <c r="A63358" s="118"/>
      <c r="B63358" s="136"/>
    </row>
    <row r="63359" spans="1:2" x14ac:dyDescent="0.25">
      <c r="A63359" s="118"/>
      <c r="B63359" s="136"/>
    </row>
    <row r="63360" spans="1:2" x14ac:dyDescent="0.25">
      <c r="A63360" s="118"/>
      <c r="B63360" s="136"/>
    </row>
    <row r="63361" spans="1:2" x14ac:dyDescent="0.25">
      <c r="A63361" s="118"/>
      <c r="B63361" s="136"/>
    </row>
    <row r="63362" spans="1:2" x14ac:dyDescent="0.25">
      <c r="A63362" s="118"/>
      <c r="B63362" s="136"/>
    </row>
    <row r="63363" spans="1:2" x14ac:dyDescent="0.25">
      <c r="A63363" s="118"/>
      <c r="B63363" s="136"/>
    </row>
    <row r="63364" spans="1:2" x14ac:dyDescent="0.25">
      <c r="A63364" s="118"/>
      <c r="B63364" s="136"/>
    </row>
    <row r="63365" spans="1:2" x14ac:dyDescent="0.25">
      <c r="A63365" s="118"/>
      <c r="B63365" s="136"/>
    </row>
    <row r="63366" spans="1:2" x14ac:dyDescent="0.25">
      <c r="A63366" s="118"/>
      <c r="B63366" s="136"/>
    </row>
    <row r="63367" spans="1:2" x14ac:dyDescent="0.25">
      <c r="A63367" s="118"/>
      <c r="B63367" s="136"/>
    </row>
    <row r="63368" spans="1:2" x14ac:dyDescent="0.25">
      <c r="A63368" s="118"/>
      <c r="B63368" s="136"/>
    </row>
    <row r="63369" spans="1:2" x14ac:dyDescent="0.25">
      <c r="A63369" s="118"/>
      <c r="B63369" s="136"/>
    </row>
    <row r="63370" spans="1:2" x14ac:dyDescent="0.25">
      <c r="A63370" s="118"/>
      <c r="B63370" s="136"/>
    </row>
    <row r="63371" spans="1:2" x14ac:dyDescent="0.25">
      <c r="A63371" s="118"/>
      <c r="B63371" s="136"/>
    </row>
    <row r="63372" spans="1:2" x14ac:dyDescent="0.25">
      <c r="A63372" s="118"/>
      <c r="B63372" s="136"/>
    </row>
    <row r="63373" spans="1:2" x14ac:dyDescent="0.25">
      <c r="A63373" s="118"/>
      <c r="B63373" s="136"/>
    </row>
    <row r="63374" spans="1:2" x14ac:dyDescent="0.25">
      <c r="A63374" s="118"/>
      <c r="B63374" s="136"/>
    </row>
    <row r="63375" spans="1:2" x14ac:dyDescent="0.25">
      <c r="A63375" s="118"/>
      <c r="B63375" s="136"/>
    </row>
    <row r="63376" spans="1:2" x14ac:dyDescent="0.25">
      <c r="A63376" s="118"/>
      <c r="B63376" s="136"/>
    </row>
    <row r="63377" spans="1:2" x14ac:dyDescent="0.25">
      <c r="A63377" s="118"/>
      <c r="B63377" s="136"/>
    </row>
    <row r="63378" spans="1:2" x14ac:dyDescent="0.25">
      <c r="A63378" s="118"/>
      <c r="B63378" s="136"/>
    </row>
    <row r="63379" spans="1:2" x14ac:dyDescent="0.25">
      <c r="A63379" s="118"/>
      <c r="B63379" s="136"/>
    </row>
    <row r="63380" spans="1:2" x14ac:dyDescent="0.25">
      <c r="A63380" s="118"/>
      <c r="B63380" s="136"/>
    </row>
    <row r="63381" spans="1:2" x14ac:dyDescent="0.25">
      <c r="A63381" s="118"/>
      <c r="B63381" s="136"/>
    </row>
    <row r="63382" spans="1:2" x14ac:dyDescent="0.25">
      <c r="A63382" s="118"/>
      <c r="B63382" s="136"/>
    </row>
    <row r="63383" spans="1:2" x14ac:dyDescent="0.25">
      <c r="A63383" s="118"/>
      <c r="B63383" s="136"/>
    </row>
    <row r="63384" spans="1:2" x14ac:dyDescent="0.25">
      <c r="A63384" s="118"/>
      <c r="B63384" s="136"/>
    </row>
    <row r="63385" spans="1:2" x14ac:dyDescent="0.25">
      <c r="A63385" s="118"/>
      <c r="B63385" s="136"/>
    </row>
    <row r="63386" spans="1:2" x14ac:dyDescent="0.25">
      <c r="A63386" s="118"/>
      <c r="B63386" s="136"/>
    </row>
    <row r="63387" spans="1:2" x14ac:dyDescent="0.25">
      <c r="A63387" s="118"/>
      <c r="B63387" s="136"/>
    </row>
    <row r="63388" spans="1:2" x14ac:dyDescent="0.25">
      <c r="A63388" s="118"/>
      <c r="B63388" s="136"/>
    </row>
    <row r="63389" spans="1:2" x14ac:dyDescent="0.25">
      <c r="A63389" s="118"/>
      <c r="B63389" s="136"/>
    </row>
    <row r="63390" spans="1:2" x14ac:dyDescent="0.25">
      <c r="A63390" s="118"/>
      <c r="B63390" s="136"/>
    </row>
    <row r="63391" spans="1:2" x14ac:dyDescent="0.25">
      <c r="A63391" s="118"/>
      <c r="B63391" s="136"/>
    </row>
    <row r="63392" spans="1:2" x14ac:dyDescent="0.25">
      <c r="A63392" s="118"/>
      <c r="B63392" s="136"/>
    </row>
    <row r="63393" spans="1:2" x14ac:dyDescent="0.25">
      <c r="A63393" s="118"/>
      <c r="B63393" s="136"/>
    </row>
    <row r="63394" spans="1:2" x14ac:dyDescent="0.25">
      <c r="A63394" s="118"/>
      <c r="B63394" s="136"/>
    </row>
    <row r="63395" spans="1:2" x14ac:dyDescent="0.25">
      <c r="A63395" s="118"/>
      <c r="B63395" s="136"/>
    </row>
    <row r="63396" spans="1:2" x14ac:dyDescent="0.25">
      <c r="A63396" s="118"/>
      <c r="B63396" s="136"/>
    </row>
    <row r="63397" spans="1:2" x14ac:dyDescent="0.25">
      <c r="A63397" s="118"/>
      <c r="B63397" s="136"/>
    </row>
    <row r="63398" spans="1:2" x14ac:dyDescent="0.25">
      <c r="A63398" s="118"/>
      <c r="B63398" s="136"/>
    </row>
    <row r="63399" spans="1:2" x14ac:dyDescent="0.25">
      <c r="A63399" s="118"/>
      <c r="B63399" s="136"/>
    </row>
    <row r="63400" spans="1:2" x14ac:dyDescent="0.25">
      <c r="A63400" s="118"/>
      <c r="B63400" s="136"/>
    </row>
    <row r="63401" spans="1:2" x14ac:dyDescent="0.25">
      <c r="A63401" s="118"/>
      <c r="B63401" s="136"/>
    </row>
    <row r="63402" spans="1:2" x14ac:dyDescent="0.25">
      <c r="A63402" s="118"/>
      <c r="B63402" s="136"/>
    </row>
    <row r="63403" spans="1:2" x14ac:dyDescent="0.25">
      <c r="A63403" s="118"/>
      <c r="B63403" s="136"/>
    </row>
    <row r="63404" spans="1:2" x14ac:dyDescent="0.25">
      <c r="A63404" s="118"/>
      <c r="B63404" s="136"/>
    </row>
    <row r="63405" spans="1:2" x14ac:dyDescent="0.25">
      <c r="A63405" s="118"/>
      <c r="B63405" s="136"/>
    </row>
    <row r="63406" spans="1:2" x14ac:dyDescent="0.25">
      <c r="A63406" s="118"/>
      <c r="B63406" s="136"/>
    </row>
    <row r="63407" spans="1:2" x14ac:dyDescent="0.25">
      <c r="A63407" s="118"/>
      <c r="B63407" s="136"/>
    </row>
    <row r="63408" spans="1:2" x14ac:dyDescent="0.25">
      <c r="A63408" s="118"/>
      <c r="B63408" s="136"/>
    </row>
    <row r="63409" spans="1:2" x14ac:dyDescent="0.25">
      <c r="A63409" s="118"/>
      <c r="B63409" s="136"/>
    </row>
    <row r="63410" spans="1:2" x14ac:dyDescent="0.25">
      <c r="A63410" s="118"/>
      <c r="B63410" s="136"/>
    </row>
    <row r="63411" spans="1:2" x14ac:dyDescent="0.25">
      <c r="A63411" s="118"/>
      <c r="B63411" s="136"/>
    </row>
    <row r="63412" spans="1:2" x14ac:dyDescent="0.25">
      <c r="A63412" s="118"/>
      <c r="B63412" s="136"/>
    </row>
    <row r="63413" spans="1:2" x14ac:dyDescent="0.25">
      <c r="A63413" s="118"/>
      <c r="B63413" s="136"/>
    </row>
    <row r="63414" spans="1:2" x14ac:dyDescent="0.25">
      <c r="A63414" s="118"/>
      <c r="B63414" s="136"/>
    </row>
    <row r="63415" spans="1:2" x14ac:dyDescent="0.25">
      <c r="A63415" s="118"/>
      <c r="B63415" s="136"/>
    </row>
    <row r="63416" spans="1:2" x14ac:dyDescent="0.25">
      <c r="A63416" s="118"/>
      <c r="B63416" s="136"/>
    </row>
    <row r="63417" spans="1:2" x14ac:dyDescent="0.25">
      <c r="A63417" s="118"/>
      <c r="B63417" s="136"/>
    </row>
    <row r="63418" spans="1:2" x14ac:dyDescent="0.25">
      <c r="A63418" s="118"/>
      <c r="B63418" s="136"/>
    </row>
    <row r="63419" spans="1:2" x14ac:dyDescent="0.25">
      <c r="A63419" s="118"/>
      <c r="B63419" s="136"/>
    </row>
    <row r="63420" spans="1:2" x14ac:dyDescent="0.25">
      <c r="A63420" s="118"/>
      <c r="B63420" s="136"/>
    </row>
    <row r="63421" spans="1:2" x14ac:dyDescent="0.25">
      <c r="A63421" s="118"/>
      <c r="B63421" s="136"/>
    </row>
    <row r="63422" spans="1:2" x14ac:dyDescent="0.25">
      <c r="A63422" s="118"/>
      <c r="B63422" s="136"/>
    </row>
    <row r="63423" spans="1:2" x14ac:dyDescent="0.25">
      <c r="A63423" s="118"/>
      <c r="B63423" s="136"/>
    </row>
    <row r="63424" spans="1:2" x14ac:dyDescent="0.25">
      <c r="A63424" s="118"/>
      <c r="B63424" s="136"/>
    </row>
    <row r="63425" spans="1:2" x14ac:dyDescent="0.25">
      <c r="A63425" s="118"/>
      <c r="B63425" s="136"/>
    </row>
    <row r="63426" spans="1:2" x14ac:dyDescent="0.25">
      <c r="A63426" s="118"/>
      <c r="B63426" s="136"/>
    </row>
    <row r="63427" spans="1:2" x14ac:dyDescent="0.25">
      <c r="A63427" s="118"/>
      <c r="B63427" s="136"/>
    </row>
    <row r="63428" spans="1:2" x14ac:dyDescent="0.25">
      <c r="A63428" s="118"/>
      <c r="B63428" s="136"/>
    </row>
    <row r="63429" spans="1:2" x14ac:dyDescent="0.25">
      <c r="A63429" s="118"/>
      <c r="B63429" s="136"/>
    </row>
    <row r="63430" spans="1:2" x14ac:dyDescent="0.25">
      <c r="A63430" s="118"/>
      <c r="B63430" s="136"/>
    </row>
    <row r="63431" spans="1:2" x14ac:dyDescent="0.25">
      <c r="A63431" s="118"/>
      <c r="B63431" s="136"/>
    </row>
    <row r="63432" spans="1:2" x14ac:dyDescent="0.25">
      <c r="A63432" s="118"/>
      <c r="B63432" s="136"/>
    </row>
    <row r="63433" spans="1:2" x14ac:dyDescent="0.25">
      <c r="A63433" s="118"/>
      <c r="B63433" s="136"/>
    </row>
    <row r="63434" spans="1:2" x14ac:dyDescent="0.25">
      <c r="A63434" s="118"/>
      <c r="B63434" s="136"/>
    </row>
    <row r="63435" spans="1:2" x14ac:dyDescent="0.25">
      <c r="A63435" s="118"/>
      <c r="B63435" s="136"/>
    </row>
    <row r="63436" spans="1:2" x14ac:dyDescent="0.25">
      <c r="A63436" s="118"/>
      <c r="B63436" s="136"/>
    </row>
    <row r="63437" spans="1:2" x14ac:dyDescent="0.25">
      <c r="A63437" s="118"/>
      <c r="B63437" s="136"/>
    </row>
    <row r="63438" spans="1:2" x14ac:dyDescent="0.25">
      <c r="A63438" s="118"/>
      <c r="B63438" s="136"/>
    </row>
    <row r="63439" spans="1:2" x14ac:dyDescent="0.25">
      <c r="A63439" s="118"/>
      <c r="B63439" s="136"/>
    </row>
    <row r="63440" spans="1:2" x14ac:dyDescent="0.25">
      <c r="A63440" s="118"/>
      <c r="B63440" s="136"/>
    </row>
    <row r="63441" spans="1:2" x14ac:dyDescent="0.25">
      <c r="A63441" s="118"/>
      <c r="B63441" s="136"/>
    </row>
    <row r="63442" spans="1:2" x14ac:dyDescent="0.25">
      <c r="A63442" s="118"/>
      <c r="B63442" s="136"/>
    </row>
    <row r="63443" spans="1:2" x14ac:dyDescent="0.25">
      <c r="A63443" s="118"/>
      <c r="B63443" s="136"/>
    </row>
    <row r="63444" spans="1:2" x14ac:dyDescent="0.25">
      <c r="A63444" s="118"/>
      <c r="B63444" s="136"/>
    </row>
    <row r="63445" spans="1:2" x14ac:dyDescent="0.25">
      <c r="A63445" s="118"/>
      <c r="B63445" s="136"/>
    </row>
    <row r="63446" spans="1:2" x14ac:dyDescent="0.25">
      <c r="A63446" s="118"/>
      <c r="B63446" s="136"/>
    </row>
    <row r="63447" spans="1:2" x14ac:dyDescent="0.25">
      <c r="A63447" s="118"/>
      <c r="B63447" s="136"/>
    </row>
    <row r="63448" spans="1:2" x14ac:dyDescent="0.25">
      <c r="A63448" s="118"/>
      <c r="B63448" s="136"/>
    </row>
    <row r="63449" spans="1:2" x14ac:dyDescent="0.25">
      <c r="A63449" s="118"/>
      <c r="B63449" s="136"/>
    </row>
    <row r="63450" spans="1:2" x14ac:dyDescent="0.25">
      <c r="A63450" s="118"/>
      <c r="B63450" s="136"/>
    </row>
    <row r="63451" spans="1:2" x14ac:dyDescent="0.25">
      <c r="A63451" s="118"/>
      <c r="B63451" s="136"/>
    </row>
    <row r="63452" spans="1:2" x14ac:dyDescent="0.25">
      <c r="A63452" s="118"/>
      <c r="B63452" s="136"/>
    </row>
    <row r="63453" spans="1:2" x14ac:dyDescent="0.25">
      <c r="A63453" s="118"/>
      <c r="B63453" s="136"/>
    </row>
    <row r="63454" spans="1:2" x14ac:dyDescent="0.25">
      <c r="A63454" s="118"/>
      <c r="B63454" s="136"/>
    </row>
    <row r="63455" spans="1:2" x14ac:dyDescent="0.25">
      <c r="A63455" s="118"/>
      <c r="B63455" s="136"/>
    </row>
    <row r="63456" spans="1:2" x14ac:dyDescent="0.25">
      <c r="A63456" s="118"/>
      <c r="B63456" s="136"/>
    </row>
    <row r="63457" spans="1:2" x14ac:dyDescent="0.25">
      <c r="A63457" s="118"/>
      <c r="B63457" s="136"/>
    </row>
    <row r="63458" spans="1:2" x14ac:dyDescent="0.25">
      <c r="A63458" s="118"/>
      <c r="B63458" s="136"/>
    </row>
    <row r="63459" spans="1:2" x14ac:dyDescent="0.25">
      <c r="A63459" s="118"/>
      <c r="B63459" s="136"/>
    </row>
    <row r="63460" spans="1:2" x14ac:dyDescent="0.25">
      <c r="A63460" s="118"/>
      <c r="B63460" s="136"/>
    </row>
    <row r="63461" spans="1:2" x14ac:dyDescent="0.25">
      <c r="A63461" s="118"/>
      <c r="B63461" s="136"/>
    </row>
    <row r="63462" spans="1:2" x14ac:dyDescent="0.25">
      <c r="A63462" s="118"/>
      <c r="B63462" s="136"/>
    </row>
    <row r="63463" spans="1:2" x14ac:dyDescent="0.25">
      <c r="A63463" s="118"/>
      <c r="B63463" s="136"/>
    </row>
    <row r="63464" spans="1:2" x14ac:dyDescent="0.25">
      <c r="A63464" s="118"/>
      <c r="B63464" s="136"/>
    </row>
    <row r="63465" spans="1:2" x14ac:dyDescent="0.25">
      <c r="A63465" s="118"/>
      <c r="B63465" s="136"/>
    </row>
    <row r="63466" spans="1:2" x14ac:dyDescent="0.25">
      <c r="A63466" s="118"/>
      <c r="B63466" s="136"/>
    </row>
    <row r="63467" spans="1:2" x14ac:dyDescent="0.25">
      <c r="A63467" s="118"/>
      <c r="B63467" s="136"/>
    </row>
    <row r="63468" spans="1:2" x14ac:dyDescent="0.25">
      <c r="A63468" s="118"/>
      <c r="B63468" s="136"/>
    </row>
    <row r="63469" spans="1:2" x14ac:dyDescent="0.25">
      <c r="A63469" s="118"/>
      <c r="B63469" s="136"/>
    </row>
    <row r="63470" spans="1:2" x14ac:dyDescent="0.25">
      <c r="A63470" s="118"/>
      <c r="B63470" s="136"/>
    </row>
    <row r="63471" spans="1:2" x14ac:dyDescent="0.25">
      <c r="A63471" s="118"/>
      <c r="B63471" s="136"/>
    </row>
    <row r="63472" spans="1:2" x14ac:dyDescent="0.25">
      <c r="A63472" s="118"/>
      <c r="B63472" s="136"/>
    </row>
    <row r="63473" spans="1:2" x14ac:dyDescent="0.25">
      <c r="A63473" s="118"/>
      <c r="B63473" s="136"/>
    </row>
    <row r="63474" spans="1:2" x14ac:dyDescent="0.25">
      <c r="A63474" s="118"/>
      <c r="B63474" s="136"/>
    </row>
    <row r="63475" spans="1:2" x14ac:dyDescent="0.25">
      <c r="A63475" s="118"/>
      <c r="B63475" s="136"/>
    </row>
    <row r="63476" spans="1:2" x14ac:dyDescent="0.25">
      <c r="A63476" s="118"/>
      <c r="B63476" s="136"/>
    </row>
    <row r="63477" spans="1:2" x14ac:dyDescent="0.25">
      <c r="A63477" s="118"/>
      <c r="B63477" s="136"/>
    </row>
    <row r="63478" spans="1:2" x14ac:dyDescent="0.25">
      <c r="A63478" s="118"/>
      <c r="B63478" s="136"/>
    </row>
    <row r="63479" spans="1:2" x14ac:dyDescent="0.25">
      <c r="A63479" s="118"/>
      <c r="B63479" s="136"/>
    </row>
    <row r="63480" spans="1:2" x14ac:dyDescent="0.25">
      <c r="A63480" s="118"/>
      <c r="B63480" s="136"/>
    </row>
    <row r="63481" spans="1:2" x14ac:dyDescent="0.25">
      <c r="A63481" s="118"/>
      <c r="B63481" s="136"/>
    </row>
    <row r="63482" spans="1:2" x14ac:dyDescent="0.25">
      <c r="A63482" s="118"/>
      <c r="B63482" s="136"/>
    </row>
    <row r="63483" spans="1:2" x14ac:dyDescent="0.25">
      <c r="A63483" s="118"/>
      <c r="B63483" s="136"/>
    </row>
    <row r="63484" spans="1:2" x14ac:dyDescent="0.25">
      <c r="A63484" s="118"/>
      <c r="B63484" s="136"/>
    </row>
    <row r="63485" spans="1:2" x14ac:dyDescent="0.25">
      <c r="A63485" s="118"/>
      <c r="B63485" s="136"/>
    </row>
    <row r="63486" spans="1:2" x14ac:dyDescent="0.25">
      <c r="A63486" s="118"/>
      <c r="B63486" s="136"/>
    </row>
    <row r="63487" spans="1:2" x14ac:dyDescent="0.25">
      <c r="A63487" s="118"/>
      <c r="B63487" s="136"/>
    </row>
    <row r="63488" spans="1:2" x14ac:dyDescent="0.25">
      <c r="A63488" s="118"/>
      <c r="B63488" s="136"/>
    </row>
    <row r="63489" spans="1:2" x14ac:dyDescent="0.25">
      <c r="A63489" s="118"/>
      <c r="B63489" s="136"/>
    </row>
    <row r="63490" spans="1:2" x14ac:dyDescent="0.25">
      <c r="A63490" s="118"/>
      <c r="B63490" s="136"/>
    </row>
    <row r="63491" spans="1:2" x14ac:dyDescent="0.25">
      <c r="A63491" s="118"/>
      <c r="B63491" s="136"/>
    </row>
    <row r="63492" spans="1:2" x14ac:dyDescent="0.25">
      <c r="A63492" s="118"/>
      <c r="B63492" s="136"/>
    </row>
    <row r="63493" spans="1:2" x14ac:dyDescent="0.25">
      <c r="A63493" s="118"/>
      <c r="B63493" s="136"/>
    </row>
    <row r="63494" spans="1:2" x14ac:dyDescent="0.25">
      <c r="A63494" s="118"/>
      <c r="B63494" s="136"/>
    </row>
    <row r="63495" spans="1:2" x14ac:dyDescent="0.25">
      <c r="A63495" s="118"/>
      <c r="B63495" s="136"/>
    </row>
    <row r="63496" spans="1:2" x14ac:dyDescent="0.25">
      <c r="A63496" s="118"/>
      <c r="B63496" s="136"/>
    </row>
    <row r="63497" spans="1:2" x14ac:dyDescent="0.25">
      <c r="A63497" s="118"/>
      <c r="B63497" s="136"/>
    </row>
    <row r="63498" spans="1:2" x14ac:dyDescent="0.25">
      <c r="A63498" s="118"/>
      <c r="B63498" s="136"/>
    </row>
    <row r="63499" spans="1:2" x14ac:dyDescent="0.25">
      <c r="A63499" s="118"/>
      <c r="B63499" s="136"/>
    </row>
    <row r="63500" spans="1:2" x14ac:dyDescent="0.25">
      <c r="A63500" s="118"/>
      <c r="B63500" s="136"/>
    </row>
    <row r="63501" spans="1:2" x14ac:dyDescent="0.25">
      <c r="A63501" s="118"/>
      <c r="B63501" s="136"/>
    </row>
    <row r="63502" spans="1:2" x14ac:dyDescent="0.25">
      <c r="A63502" s="118"/>
      <c r="B63502" s="136"/>
    </row>
    <row r="63503" spans="1:2" x14ac:dyDescent="0.25">
      <c r="A63503" s="118"/>
      <c r="B63503" s="136"/>
    </row>
    <row r="63504" spans="1:2" x14ac:dyDescent="0.25">
      <c r="A63504" s="118"/>
      <c r="B63504" s="136"/>
    </row>
    <row r="63505" spans="1:2" x14ac:dyDescent="0.25">
      <c r="A63505" s="118"/>
      <c r="B63505" s="136"/>
    </row>
    <row r="63506" spans="1:2" x14ac:dyDescent="0.25">
      <c r="A63506" s="118"/>
      <c r="B63506" s="136"/>
    </row>
    <row r="63507" spans="1:2" x14ac:dyDescent="0.25">
      <c r="A63507" s="118"/>
      <c r="B63507" s="136"/>
    </row>
    <row r="63508" spans="1:2" x14ac:dyDescent="0.25">
      <c r="A63508" s="118"/>
      <c r="B63508" s="136"/>
    </row>
    <row r="63509" spans="1:2" x14ac:dyDescent="0.25">
      <c r="A63509" s="118"/>
      <c r="B63509" s="136"/>
    </row>
    <row r="63510" spans="1:2" x14ac:dyDescent="0.25">
      <c r="A63510" s="118"/>
      <c r="B63510" s="136"/>
    </row>
    <row r="63511" spans="1:2" x14ac:dyDescent="0.25">
      <c r="A63511" s="118"/>
      <c r="B63511" s="136"/>
    </row>
    <row r="63512" spans="1:2" x14ac:dyDescent="0.25">
      <c r="A63512" s="118"/>
      <c r="B63512" s="136"/>
    </row>
    <row r="63513" spans="1:2" x14ac:dyDescent="0.25">
      <c r="A63513" s="118"/>
      <c r="B63513" s="136"/>
    </row>
    <row r="63514" spans="1:2" x14ac:dyDescent="0.25">
      <c r="A63514" s="118"/>
      <c r="B63514" s="136"/>
    </row>
    <row r="63515" spans="1:2" x14ac:dyDescent="0.25">
      <c r="A63515" s="118"/>
      <c r="B63515" s="136"/>
    </row>
    <row r="63516" spans="1:2" x14ac:dyDescent="0.25">
      <c r="A63516" s="118"/>
      <c r="B63516" s="136"/>
    </row>
    <row r="63517" spans="1:2" x14ac:dyDescent="0.25">
      <c r="A63517" s="118"/>
      <c r="B63517" s="136"/>
    </row>
    <row r="63518" spans="1:2" x14ac:dyDescent="0.25">
      <c r="A63518" s="118"/>
      <c r="B63518" s="136"/>
    </row>
    <row r="63519" spans="1:2" x14ac:dyDescent="0.25">
      <c r="A63519" s="118"/>
      <c r="B63519" s="136"/>
    </row>
    <row r="63520" spans="1:2" x14ac:dyDescent="0.25">
      <c r="A63520" s="118"/>
      <c r="B63520" s="136"/>
    </row>
    <row r="63521" spans="1:2" x14ac:dyDescent="0.25">
      <c r="A63521" s="118"/>
      <c r="B63521" s="136"/>
    </row>
    <row r="63522" spans="1:2" x14ac:dyDescent="0.25">
      <c r="A63522" s="118"/>
      <c r="B63522" s="136"/>
    </row>
    <row r="63523" spans="1:2" x14ac:dyDescent="0.25">
      <c r="A63523" s="118"/>
      <c r="B63523" s="136"/>
    </row>
    <row r="63524" spans="1:2" x14ac:dyDescent="0.25">
      <c r="A63524" s="118"/>
      <c r="B63524" s="136"/>
    </row>
    <row r="63525" spans="1:2" x14ac:dyDescent="0.25">
      <c r="A63525" s="118"/>
      <c r="B63525" s="136"/>
    </row>
    <row r="63526" spans="1:2" x14ac:dyDescent="0.25">
      <c r="A63526" s="118"/>
      <c r="B63526" s="136"/>
    </row>
    <row r="63527" spans="1:2" x14ac:dyDescent="0.25">
      <c r="A63527" s="118"/>
      <c r="B63527" s="136"/>
    </row>
    <row r="63528" spans="1:2" x14ac:dyDescent="0.25">
      <c r="A63528" s="118"/>
      <c r="B63528" s="136"/>
    </row>
    <row r="63529" spans="1:2" x14ac:dyDescent="0.25">
      <c r="A63529" s="118"/>
      <c r="B63529" s="136"/>
    </row>
    <row r="63530" spans="1:2" x14ac:dyDescent="0.25">
      <c r="A63530" s="118"/>
      <c r="B63530" s="136"/>
    </row>
    <row r="63531" spans="1:2" x14ac:dyDescent="0.25">
      <c r="A63531" s="118"/>
      <c r="B63531" s="136"/>
    </row>
    <row r="63532" spans="1:2" x14ac:dyDescent="0.25">
      <c r="A63532" s="118"/>
      <c r="B63532" s="136"/>
    </row>
    <row r="63533" spans="1:2" x14ac:dyDescent="0.25">
      <c r="A63533" s="118"/>
      <c r="B63533" s="136"/>
    </row>
    <row r="63534" spans="1:2" x14ac:dyDescent="0.25">
      <c r="A63534" s="118"/>
      <c r="B63534" s="136"/>
    </row>
    <row r="63535" spans="1:2" x14ac:dyDescent="0.25">
      <c r="A63535" s="118"/>
      <c r="B63535" s="136"/>
    </row>
    <row r="63536" spans="1:2" x14ac:dyDescent="0.25">
      <c r="A63536" s="118"/>
      <c r="B63536" s="136"/>
    </row>
    <row r="63537" spans="1:2" x14ac:dyDescent="0.25">
      <c r="A63537" s="118"/>
      <c r="B63537" s="136"/>
    </row>
    <row r="63538" spans="1:2" x14ac:dyDescent="0.25">
      <c r="A63538" s="118"/>
      <c r="B63538" s="136"/>
    </row>
    <row r="63539" spans="1:2" x14ac:dyDescent="0.25">
      <c r="A63539" s="118"/>
      <c r="B63539" s="136"/>
    </row>
    <row r="63540" spans="1:2" x14ac:dyDescent="0.25">
      <c r="A63540" s="118"/>
      <c r="B63540" s="136"/>
    </row>
    <row r="63541" spans="1:2" x14ac:dyDescent="0.25">
      <c r="A63541" s="118"/>
      <c r="B63541" s="136"/>
    </row>
    <row r="63542" spans="1:2" x14ac:dyDescent="0.25">
      <c r="A63542" s="118"/>
      <c r="B63542" s="136"/>
    </row>
    <row r="63543" spans="1:2" x14ac:dyDescent="0.25">
      <c r="A63543" s="118"/>
      <c r="B63543" s="136"/>
    </row>
    <row r="63544" spans="1:2" x14ac:dyDescent="0.25">
      <c r="A63544" s="118"/>
      <c r="B63544" s="136"/>
    </row>
    <row r="63545" spans="1:2" x14ac:dyDescent="0.25">
      <c r="A63545" s="118"/>
      <c r="B63545" s="136"/>
    </row>
    <row r="63546" spans="1:2" x14ac:dyDescent="0.25">
      <c r="A63546" s="118"/>
      <c r="B63546" s="136"/>
    </row>
    <row r="63547" spans="1:2" x14ac:dyDescent="0.25">
      <c r="A63547" s="118"/>
      <c r="B63547" s="136"/>
    </row>
    <row r="63548" spans="1:2" x14ac:dyDescent="0.25">
      <c r="A63548" s="118"/>
      <c r="B63548" s="136"/>
    </row>
    <row r="63549" spans="1:2" x14ac:dyDescent="0.25">
      <c r="A63549" s="118"/>
      <c r="B63549" s="136"/>
    </row>
    <row r="63550" spans="1:2" x14ac:dyDescent="0.25">
      <c r="A63550" s="118"/>
      <c r="B63550" s="136"/>
    </row>
    <row r="63551" spans="1:2" x14ac:dyDescent="0.25">
      <c r="A63551" s="118"/>
      <c r="B63551" s="136"/>
    </row>
    <row r="63552" spans="1:2" x14ac:dyDescent="0.25">
      <c r="A63552" s="118"/>
      <c r="B63552" s="136"/>
    </row>
    <row r="63553" spans="1:2" x14ac:dyDescent="0.25">
      <c r="A63553" s="118"/>
      <c r="B63553" s="136"/>
    </row>
    <row r="63554" spans="1:2" x14ac:dyDescent="0.25">
      <c r="A63554" s="118"/>
      <c r="B63554" s="136"/>
    </row>
    <row r="63555" spans="1:2" x14ac:dyDescent="0.25">
      <c r="A63555" s="118"/>
      <c r="B63555" s="136"/>
    </row>
    <row r="63556" spans="1:2" x14ac:dyDescent="0.25">
      <c r="A63556" s="118"/>
      <c r="B63556" s="136"/>
    </row>
    <row r="63557" spans="1:2" x14ac:dyDescent="0.25">
      <c r="A63557" s="118"/>
      <c r="B63557" s="136"/>
    </row>
    <row r="63558" spans="1:2" x14ac:dyDescent="0.25">
      <c r="A63558" s="118"/>
      <c r="B63558" s="136"/>
    </row>
    <row r="63559" spans="1:2" x14ac:dyDescent="0.25">
      <c r="A63559" s="118"/>
      <c r="B63559" s="136"/>
    </row>
    <row r="63560" spans="1:2" x14ac:dyDescent="0.25">
      <c r="A63560" s="118"/>
      <c r="B63560" s="136"/>
    </row>
    <row r="63561" spans="1:2" x14ac:dyDescent="0.25">
      <c r="A63561" s="118"/>
      <c r="B63561" s="136"/>
    </row>
    <row r="63562" spans="1:2" x14ac:dyDescent="0.25">
      <c r="A63562" s="118"/>
      <c r="B63562" s="136"/>
    </row>
    <row r="63563" spans="1:2" x14ac:dyDescent="0.25">
      <c r="A63563" s="118"/>
      <c r="B63563" s="136"/>
    </row>
    <row r="63564" spans="1:2" x14ac:dyDescent="0.25">
      <c r="A63564" s="118"/>
      <c r="B63564" s="136"/>
    </row>
    <row r="63565" spans="1:2" x14ac:dyDescent="0.25">
      <c r="A63565" s="118"/>
      <c r="B63565" s="136"/>
    </row>
    <row r="63566" spans="1:2" x14ac:dyDescent="0.25">
      <c r="A63566" s="118"/>
      <c r="B63566" s="136"/>
    </row>
    <row r="63567" spans="1:2" x14ac:dyDescent="0.25">
      <c r="A63567" s="118"/>
      <c r="B63567" s="136"/>
    </row>
    <row r="63568" spans="1:2" x14ac:dyDescent="0.25">
      <c r="A63568" s="118"/>
      <c r="B63568" s="136"/>
    </row>
    <row r="63569" spans="1:2" x14ac:dyDescent="0.25">
      <c r="A63569" s="118"/>
      <c r="B63569" s="136"/>
    </row>
    <row r="63570" spans="1:2" x14ac:dyDescent="0.25">
      <c r="A63570" s="118"/>
      <c r="B63570" s="136"/>
    </row>
    <row r="63571" spans="1:2" x14ac:dyDescent="0.25">
      <c r="A63571" s="118"/>
      <c r="B63571" s="136"/>
    </row>
    <row r="63572" spans="1:2" x14ac:dyDescent="0.25">
      <c r="A63572" s="118"/>
      <c r="B63572" s="136"/>
    </row>
    <row r="63573" spans="1:2" x14ac:dyDescent="0.25">
      <c r="A63573" s="118"/>
      <c r="B63573" s="136"/>
    </row>
    <row r="63574" spans="1:2" x14ac:dyDescent="0.25">
      <c r="A63574" s="118"/>
      <c r="B63574" s="136"/>
    </row>
    <row r="63575" spans="1:2" x14ac:dyDescent="0.25">
      <c r="A63575" s="118"/>
      <c r="B63575" s="136"/>
    </row>
    <row r="63576" spans="1:2" x14ac:dyDescent="0.25">
      <c r="A63576" s="118"/>
      <c r="B63576" s="136"/>
    </row>
    <row r="63577" spans="1:2" x14ac:dyDescent="0.25">
      <c r="A63577" s="118"/>
      <c r="B63577" s="136"/>
    </row>
    <row r="63578" spans="1:2" x14ac:dyDescent="0.25">
      <c r="A63578" s="118"/>
      <c r="B63578" s="136"/>
    </row>
    <row r="63579" spans="1:2" x14ac:dyDescent="0.25">
      <c r="A63579" s="118"/>
      <c r="B63579" s="136"/>
    </row>
    <row r="63580" spans="1:2" x14ac:dyDescent="0.25">
      <c r="A63580" s="118"/>
      <c r="B63580" s="136"/>
    </row>
    <row r="63581" spans="1:2" x14ac:dyDescent="0.25">
      <c r="A63581" s="118"/>
      <c r="B63581" s="136"/>
    </row>
    <row r="63582" spans="1:2" x14ac:dyDescent="0.25">
      <c r="A63582" s="118"/>
      <c r="B63582" s="136"/>
    </row>
    <row r="63583" spans="1:2" x14ac:dyDescent="0.25">
      <c r="A63583" s="118"/>
      <c r="B63583" s="136"/>
    </row>
    <row r="63584" spans="1:2" x14ac:dyDescent="0.25">
      <c r="A63584" s="118"/>
      <c r="B63584" s="136"/>
    </row>
    <row r="63585" spans="1:2" x14ac:dyDescent="0.25">
      <c r="A63585" s="118"/>
      <c r="B63585" s="136"/>
    </row>
    <row r="63586" spans="1:2" x14ac:dyDescent="0.25">
      <c r="A63586" s="118"/>
      <c r="B63586" s="136"/>
    </row>
    <row r="63587" spans="1:2" x14ac:dyDescent="0.25">
      <c r="A63587" s="118"/>
      <c r="B63587" s="136"/>
    </row>
    <row r="63588" spans="1:2" x14ac:dyDescent="0.25">
      <c r="A63588" s="118"/>
      <c r="B63588" s="136"/>
    </row>
    <row r="63589" spans="1:2" x14ac:dyDescent="0.25">
      <c r="A63589" s="118"/>
      <c r="B63589" s="136"/>
    </row>
    <row r="63590" spans="1:2" x14ac:dyDescent="0.25">
      <c r="A63590" s="118"/>
      <c r="B63590" s="136"/>
    </row>
    <row r="63591" spans="1:2" x14ac:dyDescent="0.25">
      <c r="A63591" s="118"/>
      <c r="B63591" s="136"/>
    </row>
    <row r="63592" spans="1:2" x14ac:dyDescent="0.25">
      <c r="A63592" s="118"/>
      <c r="B63592" s="136"/>
    </row>
    <row r="63593" spans="1:2" x14ac:dyDescent="0.25">
      <c r="A63593" s="118"/>
      <c r="B63593" s="136"/>
    </row>
    <row r="63594" spans="1:2" x14ac:dyDescent="0.25">
      <c r="A63594" s="118"/>
      <c r="B63594" s="136"/>
    </row>
    <row r="63595" spans="1:2" x14ac:dyDescent="0.25">
      <c r="A63595" s="118"/>
      <c r="B63595" s="136"/>
    </row>
    <row r="63596" spans="1:2" x14ac:dyDescent="0.25">
      <c r="A63596" s="118"/>
      <c r="B63596" s="136"/>
    </row>
    <row r="63597" spans="1:2" x14ac:dyDescent="0.25">
      <c r="A63597" s="118"/>
      <c r="B63597" s="136"/>
    </row>
    <row r="63598" spans="1:2" x14ac:dyDescent="0.25">
      <c r="A63598" s="118"/>
      <c r="B63598" s="136"/>
    </row>
    <row r="63599" spans="1:2" x14ac:dyDescent="0.25">
      <c r="A63599" s="118"/>
      <c r="B63599" s="136"/>
    </row>
    <row r="63600" spans="1:2" x14ac:dyDescent="0.25">
      <c r="A63600" s="118"/>
      <c r="B63600" s="136"/>
    </row>
    <row r="63601" spans="1:2" x14ac:dyDescent="0.25">
      <c r="A63601" s="118"/>
      <c r="B63601" s="136"/>
    </row>
    <row r="63602" spans="1:2" x14ac:dyDescent="0.25">
      <c r="A63602" s="118"/>
      <c r="B63602" s="136"/>
    </row>
    <row r="63603" spans="1:2" x14ac:dyDescent="0.25">
      <c r="A63603" s="118"/>
      <c r="B63603" s="136"/>
    </row>
    <row r="63604" spans="1:2" x14ac:dyDescent="0.25">
      <c r="A63604" s="118"/>
      <c r="B63604" s="136"/>
    </row>
    <row r="63605" spans="1:2" x14ac:dyDescent="0.25">
      <c r="A63605" s="118"/>
      <c r="B63605" s="136"/>
    </row>
    <row r="63606" spans="1:2" x14ac:dyDescent="0.25">
      <c r="A63606" s="118"/>
      <c r="B63606" s="136"/>
    </row>
    <row r="63607" spans="1:2" x14ac:dyDescent="0.25">
      <c r="A63607" s="118"/>
      <c r="B63607" s="136"/>
    </row>
    <row r="63608" spans="1:2" x14ac:dyDescent="0.25">
      <c r="A63608" s="118"/>
      <c r="B63608" s="136"/>
    </row>
    <row r="63609" spans="1:2" x14ac:dyDescent="0.25">
      <c r="A63609" s="118"/>
      <c r="B63609" s="136"/>
    </row>
    <row r="63610" spans="1:2" x14ac:dyDescent="0.25">
      <c r="A63610" s="118"/>
      <c r="B63610" s="136"/>
    </row>
    <row r="63611" spans="1:2" x14ac:dyDescent="0.25">
      <c r="A63611" s="118"/>
      <c r="B63611" s="136"/>
    </row>
    <row r="63612" spans="1:2" x14ac:dyDescent="0.25">
      <c r="A63612" s="118"/>
      <c r="B63612" s="136"/>
    </row>
    <row r="63613" spans="1:2" x14ac:dyDescent="0.25">
      <c r="A63613" s="118"/>
      <c r="B63613" s="136"/>
    </row>
    <row r="63614" spans="1:2" x14ac:dyDescent="0.25">
      <c r="A63614" s="118"/>
      <c r="B63614" s="136"/>
    </row>
    <row r="63615" spans="1:2" x14ac:dyDescent="0.25">
      <c r="A63615" s="118"/>
      <c r="B63615" s="136"/>
    </row>
    <row r="63616" spans="1:2" x14ac:dyDescent="0.25">
      <c r="A63616" s="118"/>
      <c r="B63616" s="136"/>
    </row>
    <row r="63617" spans="1:2" x14ac:dyDescent="0.25">
      <c r="A63617" s="118"/>
      <c r="B63617" s="136"/>
    </row>
    <row r="63618" spans="1:2" x14ac:dyDescent="0.25">
      <c r="A63618" s="118"/>
      <c r="B63618" s="136"/>
    </row>
    <row r="63619" spans="1:2" x14ac:dyDescent="0.25">
      <c r="A63619" s="118"/>
      <c r="B63619" s="136"/>
    </row>
    <row r="63620" spans="1:2" x14ac:dyDescent="0.25">
      <c r="A63620" s="118"/>
      <c r="B63620" s="136"/>
    </row>
    <row r="63621" spans="1:2" x14ac:dyDescent="0.25">
      <c r="A63621" s="118"/>
      <c r="B63621" s="136"/>
    </row>
    <row r="63622" spans="1:2" x14ac:dyDescent="0.25">
      <c r="A63622" s="118"/>
      <c r="B63622" s="136"/>
    </row>
    <row r="63623" spans="1:2" x14ac:dyDescent="0.25">
      <c r="A63623" s="118"/>
      <c r="B63623" s="136"/>
    </row>
    <row r="63624" spans="1:2" x14ac:dyDescent="0.25">
      <c r="A63624" s="118"/>
      <c r="B63624" s="136"/>
    </row>
    <row r="63625" spans="1:2" x14ac:dyDescent="0.25">
      <c r="A63625" s="118"/>
      <c r="B63625" s="136"/>
    </row>
    <row r="63626" spans="1:2" x14ac:dyDescent="0.25">
      <c r="A63626" s="118"/>
      <c r="B63626" s="136"/>
    </row>
    <row r="63627" spans="1:2" x14ac:dyDescent="0.25">
      <c r="A63627" s="118"/>
      <c r="B63627" s="136"/>
    </row>
    <row r="63628" spans="1:2" x14ac:dyDescent="0.25">
      <c r="A63628" s="118"/>
      <c r="B63628" s="136"/>
    </row>
    <row r="63629" spans="1:2" x14ac:dyDescent="0.25">
      <c r="A63629" s="118"/>
      <c r="B63629" s="136"/>
    </row>
    <row r="63630" spans="1:2" x14ac:dyDescent="0.25">
      <c r="A63630" s="118"/>
      <c r="B63630" s="136"/>
    </row>
    <row r="63631" spans="1:2" x14ac:dyDescent="0.25">
      <c r="A63631" s="118"/>
      <c r="B63631" s="136"/>
    </row>
    <row r="63632" spans="1:2" x14ac:dyDescent="0.25">
      <c r="A63632" s="118"/>
      <c r="B63632" s="136"/>
    </row>
    <row r="63633" spans="1:2" x14ac:dyDescent="0.25">
      <c r="A63633" s="118"/>
      <c r="B63633" s="136"/>
    </row>
    <row r="63634" spans="1:2" x14ac:dyDescent="0.25">
      <c r="A63634" s="118"/>
      <c r="B63634" s="136"/>
    </row>
    <row r="63635" spans="1:2" x14ac:dyDescent="0.25">
      <c r="A63635" s="118"/>
      <c r="B63635" s="136"/>
    </row>
    <row r="63636" spans="1:2" x14ac:dyDescent="0.25">
      <c r="A63636" s="118"/>
      <c r="B63636" s="136"/>
    </row>
    <row r="63637" spans="1:2" x14ac:dyDescent="0.25">
      <c r="A63637" s="118"/>
      <c r="B63637" s="136"/>
    </row>
    <row r="63638" spans="1:2" x14ac:dyDescent="0.25">
      <c r="A63638" s="118"/>
      <c r="B63638" s="136"/>
    </row>
    <row r="63639" spans="1:2" x14ac:dyDescent="0.25">
      <c r="A63639" s="118"/>
      <c r="B63639" s="136"/>
    </row>
    <row r="63640" spans="1:2" x14ac:dyDescent="0.25">
      <c r="A63640" s="118"/>
      <c r="B63640" s="136"/>
    </row>
    <row r="63641" spans="1:2" x14ac:dyDescent="0.25">
      <c r="A63641" s="118"/>
      <c r="B63641" s="136"/>
    </row>
    <row r="63642" spans="1:2" x14ac:dyDescent="0.25">
      <c r="A63642" s="118"/>
      <c r="B63642" s="136"/>
    </row>
    <row r="63643" spans="1:2" x14ac:dyDescent="0.25">
      <c r="A63643" s="118"/>
      <c r="B63643" s="136"/>
    </row>
    <row r="63644" spans="1:2" x14ac:dyDescent="0.25">
      <c r="A63644" s="118"/>
      <c r="B63644" s="136"/>
    </row>
    <row r="63645" spans="1:2" x14ac:dyDescent="0.25">
      <c r="A63645" s="118"/>
      <c r="B63645" s="136"/>
    </row>
    <row r="63646" spans="1:2" x14ac:dyDescent="0.25">
      <c r="A63646" s="118"/>
      <c r="B63646" s="136"/>
    </row>
    <row r="63647" spans="1:2" x14ac:dyDescent="0.25">
      <c r="A63647" s="118"/>
      <c r="B63647" s="136"/>
    </row>
    <row r="63648" spans="1:2" x14ac:dyDescent="0.25">
      <c r="A63648" s="118"/>
      <c r="B63648" s="136"/>
    </row>
    <row r="63649" spans="1:2" x14ac:dyDescent="0.25">
      <c r="A63649" s="118"/>
      <c r="B63649" s="136"/>
    </row>
    <row r="63650" spans="1:2" x14ac:dyDescent="0.25">
      <c r="A63650" s="118"/>
      <c r="B63650" s="136"/>
    </row>
    <row r="63651" spans="1:2" x14ac:dyDescent="0.25">
      <c r="A63651" s="118"/>
      <c r="B63651" s="136"/>
    </row>
    <row r="63652" spans="1:2" x14ac:dyDescent="0.25">
      <c r="A63652" s="118"/>
      <c r="B63652" s="136"/>
    </row>
    <row r="63653" spans="1:2" x14ac:dyDescent="0.25">
      <c r="A63653" s="118"/>
      <c r="B63653" s="136"/>
    </row>
    <row r="63654" spans="1:2" x14ac:dyDescent="0.25">
      <c r="A63654" s="118"/>
      <c r="B63654" s="136"/>
    </row>
    <row r="63655" spans="1:2" x14ac:dyDescent="0.25">
      <c r="A63655" s="118"/>
      <c r="B63655" s="136"/>
    </row>
    <row r="63656" spans="1:2" x14ac:dyDescent="0.25">
      <c r="A63656" s="118"/>
      <c r="B63656" s="136"/>
    </row>
    <row r="63657" spans="1:2" x14ac:dyDescent="0.25">
      <c r="A63657" s="118"/>
      <c r="B63657" s="136"/>
    </row>
    <row r="63658" spans="1:2" x14ac:dyDescent="0.25">
      <c r="A63658" s="118"/>
      <c r="B63658" s="136"/>
    </row>
    <row r="63659" spans="1:2" x14ac:dyDescent="0.25">
      <c r="A63659" s="118"/>
      <c r="B63659" s="136"/>
    </row>
    <row r="63660" spans="1:2" x14ac:dyDescent="0.25">
      <c r="A63660" s="118"/>
      <c r="B63660" s="136"/>
    </row>
    <row r="63661" spans="1:2" x14ac:dyDescent="0.25">
      <c r="A63661" s="118"/>
      <c r="B63661" s="136"/>
    </row>
    <row r="63662" spans="1:2" x14ac:dyDescent="0.25">
      <c r="A63662" s="118"/>
      <c r="B63662" s="136"/>
    </row>
    <row r="63663" spans="1:2" x14ac:dyDescent="0.25">
      <c r="A63663" s="118"/>
      <c r="B63663" s="136"/>
    </row>
    <row r="63664" spans="1:2" x14ac:dyDescent="0.25">
      <c r="A63664" s="118"/>
      <c r="B63664" s="136"/>
    </row>
    <row r="63665" spans="1:2" x14ac:dyDescent="0.25">
      <c r="A63665" s="118"/>
      <c r="B63665" s="136"/>
    </row>
    <row r="63666" spans="1:2" x14ac:dyDescent="0.25">
      <c r="A63666" s="118"/>
      <c r="B63666" s="136"/>
    </row>
    <row r="63667" spans="1:2" x14ac:dyDescent="0.25">
      <c r="A63667" s="118"/>
      <c r="B63667" s="136"/>
    </row>
    <row r="63668" spans="1:2" x14ac:dyDescent="0.25">
      <c r="A63668" s="118"/>
      <c r="B63668" s="136"/>
    </row>
    <row r="63669" spans="1:2" x14ac:dyDescent="0.25">
      <c r="A63669" s="118"/>
      <c r="B63669" s="136"/>
    </row>
    <row r="63670" spans="1:2" x14ac:dyDescent="0.25">
      <c r="A63670" s="118"/>
      <c r="B63670" s="136"/>
    </row>
    <row r="63671" spans="1:2" x14ac:dyDescent="0.25">
      <c r="A63671" s="118"/>
      <c r="B63671" s="136"/>
    </row>
    <row r="63672" spans="1:2" x14ac:dyDescent="0.25">
      <c r="A63672" s="118"/>
      <c r="B63672" s="136"/>
    </row>
    <row r="63673" spans="1:2" x14ac:dyDescent="0.25">
      <c r="A63673" s="118"/>
      <c r="B63673" s="136"/>
    </row>
    <row r="63674" spans="1:2" x14ac:dyDescent="0.25">
      <c r="A63674" s="118"/>
      <c r="B63674" s="136"/>
    </row>
    <row r="63675" spans="1:2" x14ac:dyDescent="0.25">
      <c r="A63675" s="118"/>
      <c r="B63675" s="136"/>
    </row>
    <row r="63676" spans="1:2" x14ac:dyDescent="0.25">
      <c r="A63676" s="118"/>
      <c r="B63676" s="136"/>
    </row>
    <row r="63677" spans="1:2" x14ac:dyDescent="0.25">
      <c r="A63677" s="118"/>
      <c r="B63677" s="136"/>
    </row>
    <row r="63678" spans="1:2" x14ac:dyDescent="0.25">
      <c r="A63678" s="118"/>
      <c r="B63678" s="136"/>
    </row>
    <row r="63679" spans="1:2" x14ac:dyDescent="0.25">
      <c r="A63679" s="118"/>
      <c r="B63679" s="136"/>
    </row>
    <row r="63680" spans="1:2" x14ac:dyDescent="0.25">
      <c r="A63680" s="118"/>
      <c r="B63680" s="136"/>
    </row>
    <row r="63681" spans="1:2" x14ac:dyDescent="0.25">
      <c r="A63681" s="118"/>
      <c r="B63681" s="136"/>
    </row>
    <row r="63682" spans="1:2" x14ac:dyDescent="0.25">
      <c r="A63682" s="118"/>
      <c r="B63682" s="136"/>
    </row>
    <row r="63683" spans="1:2" x14ac:dyDescent="0.25">
      <c r="A63683" s="118"/>
      <c r="B63683" s="136"/>
    </row>
    <row r="63684" spans="1:2" x14ac:dyDescent="0.25">
      <c r="A63684" s="118"/>
      <c r="B63684" s="136"/>
    </row>
    <row r="63685" spans="1:2" x14ac:dyDescent="0.25">
      <c r="A63685" s="118"/>
      <c r="B63685" s="136"/>
    </row>
    <row r="63686" spans="1:2" x14ac:dyDescent="0.25">
      <c r="A63686" s="118"/>
      <c r="B63686" s="136"/>
    </row>
    <row r="63687" spans="1:2" x14ac:dyDescent="0.25">
      <c r="A63687" s="118"/>
      <c r="B63687" s="136"/>
    </row>
    <row r="63688" spans="1:2" x14ac:dyDescent="0.25">
      <c r="A63688" s="118"/>
      <c r="B63688" s="136"/>
    </row>
    <row r="63689" spans="1:2" x14ac:dyDescent="0.25">
      <c r="A63689" s="118"/>
      <c r="B63689" s="136"/>
    </row>
    <row r="63690" spans="1:2" x14ac:dyDescent="0.25">
      <c r="A63690" s="118"/>
      <c r="B63690" s="136"/>
    </row>
    <row r="63691" spans="1:2" x14ac:dyDescent="0.25">
      <c r="A63691" s="118"/>
      <c r="B63691" s="136"/>
    </row>
    <row r="63692" spans="1:2" x14ac:dyDescent="0.25">
      <c r="A63692" s="118"/>
      <c r="B63692" s="136"/>
    </row>
    <row r="63693" spans="1:2" x14ac:dyDescent="0.25">
      <c r="A63693" s="118"/>
      <c r="B63693" s="136"/>
    </row>
    <row r="63694" spans="1:2" x14ac:dyDescent="0.25">
      <c r="A63694" s="118"/>
      <c r="B63694" s="136"/>
    </row>
    <row r="63695" spans="1:2" x14ac:dyDescent="0.25">
      <c r="A63695" s="118"/>
      <c r="B63695" s="136"/>
    </row>
    <row r="63696" spans="1:2" x14ac:dyDescent="0.25">
      <c r="A63696" s="118"/>
      <c r="B63696" s="136"/>
    </row>
    <row r="63697" spans="1:2" x14ac:dyDescent="0.25">
      <c r="A63697" s="118"/>
      <c r="B63697" s="136"/>
    </row>
    <row r="63698" spans="1:2" x14ac:dyDescent="0.25">
      <c r="A63698" s="118"/>
      <c r="B63698" s="136"/>
    </row>
    <row r="63699" spans="1:2" x14ac:dyDescent="0.25">
      <c r="A63699" s="118"/>
      <c r="B63699" s="136"/>
    </row>
    <row r="63700" spans="1:2" x14ac:dyDescent="0.25">
      <c r="A63700" s="118"/>
      <c r="B63700" s="136"/>
    </row>
    <row r="63701" spans="1:2" x14ac:dyDescent="0.25">
      <c r="A63701" s="118"/>
      <c r="B63701" s="136"/>
    </row>
    <row r="63702" spans="1:2" x14ac:dyDescent="0.25">
      <c r="A63702" s="118"/>
      <c r="B63702" s="136"/>
    </row>
    <row r="63703" spans="1:2" x14ac:dyDescent="0.25">
      <c r="A63703" s="118"/>
      <c r="B63703" s="136"/>
    </row>
    <row r="63704" spans="1:2" x14ac:dyDescent="0.25">
      <c r="A63704" s="118"/>
      <c r="B63704" s="136"/>
    </row>
    <row r="63705" spans="1:2" x14ac:dyDescent="0.25">
      <c r="A63705" s="118"/>
      <c r="B63705" s="136"/>
    </row>
    <row r="63706" spans="1:2" x14ac:dyDescent="0.25">
      <c r="A63706" s="118"/>
      <c r="B63706" s="136"/>
    </row>
    <row r="63707" spans="1:2" x14ac:dyDescent="0.25">
      <c r="A63707" s="118"/>
      <c r="B63707" s="136"/>
    </row>
    <row r="63708" spans="1:2" x14ac:dyDescent="0.25">
      <c r="A63708" s="118"/>
      <c r="B63708" s="136"/>
    </row>
    <row r="63709" spans="1:2" x14ac:dyDescent="0.25">
      <c r="A63709" s="118"/>
      <c r="B63709" s="136"/>
    </row>
    <row r="63710" spans="1:2" x14ac:dyDescent="0.25">
      <c r="A63710" s="118"/>
      <c r="B63710" s="136"/>
    </row>
    <row r="63711" spans="1:2" x14ac:dyDescent="0.25">
      <c r="A63711" s="118"/>
      <c r="B63711" s="136"/>
    </row>
    <row r="63712" spans="1:2" x14ac:dyDescent="0.25">
      <c r="A63712" s="118"/>
      <c r="B63712" s="136"/>
    </row>
    <row r="63713" spans="1:2" x14ac:dyDescent="0.25">
      <c r="A63713" s="118"/>
      <c r="B63713" s="136"/>
    </row>
    <row r="63714" spans="1:2" x14ac:dyDescent="0.25">
      <c r="A63714" s="118"/>
      <c r="B63714" s="136"/>
    </row>
    <row r="63715" spans="1:2" x14ac:dyDescent="0.25">
      <c r="A63715" s="118"/>
      <c r="B63715" s="136"/>
    </row>
    <row r="63716" spans="1:2" x14ac:dyDescent="0.25">
      <c r="A63716" s="118"/>
      <c r="B63716" s="136"/>
    </row>
    <row r="63717" spans="1:2" x14ac:dyDescent="0.25">
      <c r="A63717" s="118"/>
      <c r="B63717" s="136"/>
    </row>
    <row r="63718" spans="1:2" x14ac:dyDescent="0.25">
      <c r="A63718" s="118"/>
      <c r="B63718" s="136"/>
    </row>
    <row r="63719" spans="1:2" x14ac:dyDescent="0.25">
      <c r="A63719" s="118"/>
      <c r="B63719" s="136"/>
    </row>
    <row r="63720" spans="1:2" x14ac:dyDescent="0.25">
      <c r="A63720" s="118"/>
      <c r="B63720" s="136"/>
    </row>
    <row r="63721" spans="1:2" x14ac:dyDescent="0.25">
      <c r="A63721" s="118"/>
      <c r="B63721" s="136"/>
    </row>
    <row r="63722" spans="1:2" x14ac:dyDescent="0.25">
      <c r="A63722" s="118"/>
      <c r="B63722" s="136"/>
    </row>
    <row r="63723" spans="1:2" x14ac:dyDescent="0.25">
      <c r="A63723" s="118"/>
      <c r="B63723" s="136"/>
    </row>
    <row r="63724" spans="1:2" x14ac:dyDescent="0.25">
      <c r="A63724" s="118"/>
      <c r="B63724" s="136"/>
    </row>
    <row r="63725" spans="1:2" x14ac:dyDescent="0.25">
      <c r="A63725" s="118"/>
      <c r="B63725" s="136"/>
    </row>
    <row r="63726" spans="1:2" x14ac:dyDescent="0.25">
      <c r="A63726" s="118"/>
      <c r="B63726" s="136"/>
    </row>
    <row r="63727" spans="1:2" x14ac:dyDescent="0.25">
      <c r="A63727" s="118"/>
      <c r="B63727" s="136"/>
    </row>
    <row r="63728" spans="1:2" x14ac:dyDescent="0.25">
      <c r="A63728" s="118"/>
      <c r="B63728" s="136"/>
    </row>
    <row r="63729" spans="1:2" x14ac:dyDescent="0.25">
      <c r="A63729" s="118"/>
      <c r="B63729" s="136"/>
    </row>
    <row r="63730" spans="1:2" x14ac:dyDescent="0.25">
      <c r="A63730" s="118"/>
      <c r="B63730" s="136"/>
    </row>
    <row r="63731" spans="1:2" x14ac:dyDescent="0.25">
      <c r="A63731" s="118"/>
      <c r="B63731" s="136"/>
    </row>
    <row r="63732" spans="1:2" x14ac:dyDescent="0.25">
      <c r="A63732" s="118"/>
      <c r="B63732" s="136"/>
    </row>
    <row r="63733" spans="1:2" x14ac:dyDescent="0.25">
      <c r="A63733" s="118"/>
      <c r="B63733" s="136"/>
    </row>
    <row r="63734" spans="1:2" x14ac:dyDescent="0.25">
      <c r="A63734" s="118"/>
      <c r="B63734" s="136"/>
    </row>
    <row r="63735" spans="1:2" x14ac:dyDescent="0.25">
      <c r="A63735" s="118"/>
      <c r="B63735" s="136"/>
    </row>
    <row r="63736" spans="1:2" x14ac:dyDescent="0.25">
      <c r="A63736" s="118"/>
      <c r="B63736" s="136"/>
    </row>
    <row r="63737" spans="1:2" x14ac:dyDescent="0.25">
      <c r="A63737" s="118"/>
      <c r="B63737" s="136"/>
    </row>
    <row r="63738" spans="1:2" x14ac:dyDescent="0.25">
      <c r="A63738" s="118"/>
      <c r="B63738" s="136"/>
    </row>
    <row r="63739" spans="1:2" x14ac:dyDescent="0.25">
      <c r="A63739" s="118"/>
      <c r="B63739" s="136"/>
    </row>
    <row r="63740" spans="1:2" x14ac:dyDescent="0.25">
      <c r="A63740" s="118"/>
      <c r="B63740" s="136"/>
    </row>
    <row r="63741" spans="1:2" x14ac:dyDescent="0.25">
      <c r="A63741" s="118"/>
      <c r="B63741" s="136"/>
    </row>
    <row r="63742" spans="1:2" x14ac:dyDescent="0.25">
      <c r="A63742" s="118"/>
      <c r="B63742" s="136"/>
    </row>
    <row r="63743" spans="1:2" x14ac:dyDescent="0.25">
      <c r="A63743" s="118"/>
      <c r="B63743" s="136"/>
    </row>
    <row r="63744" spans="1:2" x14ac:dyDescent="0.25">
      <c r="A63744" s="118"/>
      <c r="B63744" s="136"/>
    </row>
    <row r="63745" spans="1:2" x14ac:dyDescent="0.25">
      <c r="A63745" s="118"/>
      <c r="B63745" s="136"/>
    </row>
    <row r="63746" spans="1:2" x14ac:dyDescent="0.25">
      <c r="A63746" s="118"/>
      <c r="B63746" s="136"/>
    </row>
    <row r="63747" spans="1:2" x14ac:dyDescent="0.25">
      <c r="A63747" s="118"/>
      <c r="B63747" s="136"/>
    </row>
    <row r="63748" spans="1:2" x14ac:dyDescent="0.25">
      <c r="A63748" s="118"/>
      <c r="B63748" s="136"/>
    </row>
    <row r="63749" spans="1:2" x14ac:dyDescent="0.25">
      <c r="A63749" s="118"/>
      <c r="B63749" s="136"/>
    </row>
    <row r="63750" spans="1:2" x14ac:dyDescent="0.25">
      <c r="A63750" s="118"/>
      <c r="B63750" s="136"/>
    </row>
    <row r="63751" spans="1:2" x14ac:dyDescent="0.25">
      <c r="A63751" s="118"/>
      <c r="B63751" s="136"/>
    </row>
    <row r="63752" spans="1:2" x14ac:dyDescent="0.25">
      <c r="A63752" s="118"/>
      <c r="B63752" s="136"/>
    </row>
    <row r="63753" spans="1:2" x14ac:dyDescent="0.25">
      <c r="A63753" s="118"/>
      <c r="B63753" s="136"/>
    </row>
    <row r="63754" spans="1:2" x14ac:dyDescent="0.25">
      <c r="A63754" s="118"/>
      <c r="B63754" s="136"/>
    </row>
    <row r="63755" spans="1:2" x14ac:dyDescent="0.25">
      <c r="A63755" s="118"/>
      <c r="B63755" s="136"/>
    </row>
    <row r="63756" spans="1:2" x14ac:dyDescent="0.25">
      <c r="A63756" s="118"/>
      <c r="B63756" s="136"/>
    </row>
    <row r="63757" spans="1:2" x14ac:dyDescent="0.25">
      <c r="A63757" s="118"/>
      <c r="B63757" s="136"/>
    </row>
    <row r="63758" spans="1:2" x14ac:dyDescent="0.25">
      <c r="A63758" s="118"/>
      <c r="B63758" s="136"/>
    </row>
    <row r="63759" spans="1:2" x14ac:dyDescent="0.25">
      <c r="A63759" s="118"/>
      <c r="B63759" s="136"/>
    </row>
    <row r="63760" spans="1:2" x14ac:dyDescent="0.25">
      <c r="A63760" s="118"/>
      <c r="B63760" s="136"/>
    </row>
    <row r="63761" spans="1:2" x14ac:dyDescent="0.25">
      <c r="A63761" s="118"/>
      <c r="B63761" s="136"/>
    </row>
    <row r="63762" spans="1:2" x14ac:dyDescent="0.25">
      <c r="A63762" s="118"/>
      <c r="B63762" s="136"/>
    </row>
    <row r="63763" spans="1:2" x14ac:dyDescent="0.25">
      <c r="A63763" s="118"/>
      <c r="B63763" s="136"/>
    </row>
    <row r="63764" spans="1:2" x14ac:dyDescent="0.25">
      <c r="A63764" s="118"/>
      <c r="B63764" s="136"/>
    </row>
    <row r="63765" spans="1:2" x14ac:dyDescent="0.25">
      <c r="A63765" s="118"/>
      <c r="B63765" s="136"/>
    </row>
    <row r="63766" spans="1:2" x14ac:dyDescent="0.25">
      <c r="A63766" s="118"/>
      <c r="B63766" s="136"/>
    </row>
    <row r="63767" spans="1:2" x14ac:dyDescent="0.25">
      <c r="A63767" s="118"/>
      <c r="B63767" s="136"/>
    </row>
    <row r="63768" spans="1:2" x14ac:dyDescent="0.25">
      <c r="A63768" s="118"/>
      <c r="B63768" s="136"/>
    </row>
    <row r="63769" spans="1:2" x14ac:dyDescent="0.25">
      <c r="A63769" s="118"/>
      <c r="B63769" s="136"/>
    </row>
    <row r="63770" spans="1:2" x14ac:dyDescent="0.25">
      <c r="A63770" s="118"/>
      <c r="B63770" s="136"/>
    </row>
    <row r="63771" spans="1:2" x14ac:dyDescent="0.25">
      <c r="A63771" s="118"/>
      <c r="B63771" s="136"/>
    </row>
    <row r="63772" spans="1:2" x14ac:dyDescent="0.25">
      <c r="A63772" s="118"/>
      <c r="B63772" s="136"/>
    </row>
    <row r="63773" spans="1:2" x14ac:dyDescent="0.25">
      <c r="A63773" s="118"/>
      <c r="B63773" s="136"/>
    </row>
    <row r="63774" spans="1:2" x14ac:dyDescent="0.25">
      <c r="A63774" s="118"/>
      <c r="B63774" s="136"/>
    </row>
    <row r="63775" spans="1:2" x14ac:dyDescent="0.25">
      <c r="A63775" s="118"/>
      <c r="B63775" s="136"/>
    </row>
    <row r="63776" spans="1:2" x14ac:dyDescent="0.25">
      <c r="A63776" s="118"/>
      <c r="B63776" s="136"/>
    </row>
    <row r="63777" spans="1:2" x14ac:dyDescent="0.25">
      <c r="A63777" s="118"/>
      <c r="B63777" s="136"/>
    </row>
    <row r="63778" spans="1:2" x14ac:dyDescent="0.25">
      <c r="A63778" s="118"/>
      <c r="B63778" s="136"/>
    </row>
    <row r="63779" spans="1:2" x14ac:dyDescent="0.25">
      <c r="A63779" s="118"/>
      <c r="B63779" s="136"/>
    </row>
    <row r="63780" spans="1:2" x14ac:dyDescent="0.25">
      <c r="A63780" s="118"/>
      <c r="B63780" s="136"/>
    </row>
    <row r="63781" spans="1:2" x14ac:dyDescent="0.25">
      <c r="A63781" s="118"/>
      <c r="B63781" s="136"/>
    </row>
    <row r="63782" spans="1:2" x14ac:dyDescent="0.25">
      <c r="A63782" s="118"/>
      <c r="B63782" s="136"/>
    </row>
    <row r="63783" spans="1:2" x14ac:dyDescent="0.25">
      <c r="A63783" s="118"/>
      <c r="B63783" s="136"/>
    </row>
    <row r="63784" spans="1:2" x14ac:dyDescent="0.25">
      <c r="A63784" s="118"/>
      <c r="B63784" s="136"/>
    </row>
    <row r="63785" spans="1:2" x14ac:dyDescent="0.25">
      <c r="A63785" s="118"/>
      <c r="B63785" s="136"/>
    </row>
    <row r="63786" spans="1:2" x14ac:dyDescent="0.25">
      <c r="A63786" s="118"/>
      <c r="B63786" s="136"/>
    </row>
    <row r="63787" spans="1:2" x14ac:dyDescent="0.25">
      <c r="A63787" s="118"/>
      <c r="B63787" s="136"/>
    </row>
    <row r="63788" spans="1:2" x14ac:dyDescent="0.25">
      <c r="A63788" s="118"/>
      <c r="B63788" s="136"/>
    </row>
    <row r="63789" spans="1:2" x14ac:dyDescent="0.25">
      <c r="A63789" s="118"/>
      <c r="B63789" s="136"/>
    </row>
    <row r="63790" spans="1:2" x14ac:dyDescent="0.25">
      <c r="A63790" s="118"/>
      <c r="B63790" s="136"/>
    </row>
    <row r="63791" spans="1:2" x14ac:dyDescent="0.25">
      <c r="A63791" s="118"/>
      <c r="B63791" s="136"/>
    </row>
    <row r="63792" spans="1:2" x14ac:dyDescent="0.25">
      <c r="A63792" s="118"/>
      <c r="B63792" s="136"/>
    </row>
    <row r="63793" spans="1:2" x14ac:dyDescent="0.25">
      <c r="A63793" s="118"/>
      <c r="B63793" s="136"/>
    </row>
    <row r="63794" spans="1:2" x14ac:dyDescent="0.25">
      <c r="A63794" s="118"/>
      <c r="B63794" s="136"/>
    </row>
    <row r="63795" spans="1:2" x14ac:dyDescent="0.25">
      <c r="A63795" s="118"/>
      <c r="B63795" s="136"/>
    </row>
    <row r="63796" spans="1:2" x14ac:dyDescent="0.25">
      <c r="A63796" s="118"/>
      <c r="B63796" s="136"/>
    </row>
    <row r="63797" spans="1:2" x14ac:dyDescent="0.25">
      <c r="A63797" s="118"/>
      <c r="B63797" s="136"/>
    </row>
    <row r="63798" spans="1:2" x14ac:dyDescent="0.25">
      <c r="A63798" s="118"/>
      <c r="B63798" s="136"/>
    </row>
    <row r="63799" spans="1:2" x14ac:dyDescent="0.25">
      <c r="A63799" s="118"/>
      <c r="B63799" s="136"/>
    </row>
    <row r="63800" spans="1:2" x14ac:dyDescent="0.25">
      <c r="A63800" s="118"/>
      <c r="B63800" s="136"/>
    </row>
    <row r="63801" spans="1:2" x14ac:dyDescent="0.25">
      <c r="A63801" s="118"/>
      <c r="B63801" s="136"/>
    </row>
    <row r="63802" spans="1:2" x14ac:dyDescent="0.25">
      <c r="A63802" s="118"/>
      <c r="B63802" s="136"/>
    </row>
    <row r="63803" spans="1:2" x14ac:dyDescent="0.25">
      <c r="A63803" s="118"/>
      <c r="B63803" s="136"/>
    </row>
    <row r="63804" spans="1:2" x14ac:dyDescent="0.25">
      <c r="A63804" s="118"/>
      <c r="B63804" s="136"/>
    </row>
    <row r="63805" spans="1:2" x14ac:dyDescent="0.25">
      <c r="A63805" s="118"/>
      <c r="B63805" s="136"/>
    </row>
    <row r="63806" spans="1:2" x14ac:dyDescent="0.25">
      <c r="A63806" s="118"/>
      <c r="B63806" s="136"/>
    </row>
    <row r="63807" spans="1:2" x14ac:dyDescent="0.25">
      <c r="A63807" s="118"/>
      <c r="B63807" s="136"/>
    </row>
    <row r="63808" spans="1:2" x14ac:dyDescent="0.25">
      <c r="A63808" s="118"/>
      <c r="B63808" s="136"/>
    </row>
    <row r="63809" spans="1:2" x14ac:dyDescent="0.25">
      <c r="A63809" s="118"/>
      <c r="B63809" s="136"/>
    </row>
    <row r="63810" spans="1:2" x14ac:dyDescent="0.25">
      <c r="A63810" s="118"/>
      <c r="B63810" s="136"/>
    </row>
    <row r="63811" spans="1:2" x14ac:dyDescent="0.25">
      <c r="A63811" s="118"/>
      <c r="B63811" s="136"/>
    </row>
    <row r="63812" spans="1:2" x14ac:dyDescent="0.25">
      <c r="A63812" s="118"/>
      <c r="B63812" s="136"/>
    </row>
    <row r="63813" spans="1:2" x14ac:dyDescent="0.25">
      <c r="A63813" s="118"/>
      <c r="B63813" s="136"/>
    </row>
    <row r="63814" spans="1:2" x14ac:dyDescent="0.25">
      <c r="A63814" s="118"/>
      <c r="B63814" s="136"/>
    </row>
    <row r="63815" spans="1:2" x14ac:dyDescent="0.25">
      <c r="A63815" s="118"/>
      <c r="B63815" s="136"/>
    </row>
    <row r="63816" spans="1:2" x14ac:dyDescent="0.25">
      <c r="A63816" s="118"/>
      <c r="B63816" s="136"/>
    </row>
    <row r="63817" spans="1:2" x14ac:dyDescent="0.25">
      <c r="A63817" s="118"/>
      <c r="B63817" s="136"/>
    </row>
    <row r="63818" spans="1:2" x14ac:dyDescent="0.25">
      <c r="A63818" s="118"/>
      <c r="B63818" s="136"/>
    </row>
    <row r="63819" spans="1:2" x14ac:dyDescent="0.25">
      <c r="A63819" s="118"/>
      <c r="B63819" s="136"/>
    </row>
    <row r="63820" spans="1:2" x14ac:dyDescent="0.25">
      <c r="A63820" s="118"/>
      <c r="B63820" s="136"/>
    </row>
    <row r="63821" spans="1:2" x14ac:dyDescent="0.25">
      <c r="A63821" s="118"/>
      <c r="B63821" s="136"/>
    </row>
    <row r="63822" spans="1:2" x14ac:dyDescent="0.25">
      <c r="A63822" s="118"/>
      <c r="B63822" s="136"/>
    </row>
    <row r="63823" spans="1:2" x14ac:dyDescent="0.25">
      <c r="A63823" s="118"/>
      <c r="B63823" s="136"/>
    </row>
    <row r="63824" spans="1:2" x14ac:dyDescent="0.25">
      <c r="A63824" s="118"/>
      <c r="B63824" s="136"/>
    </row>
    <row r="63825" spans="1:2" x14ac:dyDescent="0.25">
      <c r="A63825" s="118"/>
      <c r="B63825" s="136"/>
    </row>
    <row r="63826" spans="1:2" x14ac:dyDescent="0.25">
      <c r="A63826" s="118"/>
      <c r="B63826" s="136"/>
    </row>
    <row r="63827" spans="1:2" x14ac:dyDescent="0.25">
      <c r="A63827" s="118"/>
      <c r="B63827" s="136"/>
    </row>
    <row r="63828" spans="1:2" x14ac:dyDescent="0.25">
      <c r="A63828" s="118"/>
      <c r="B63828" s="136"/>
    </row>
    <row r="63829" spans="1:2" x14ac:dyDescent="0.25">
      <c r="A63829" s="118"/>
      <c r="B63829" s="136"/>
    </row>
    <row r="63830" spans="1:2" x14ac:dyDescent="0.25">
      <c r="A63830" s="118"/>
      <c r="B63830" s="136"/>
    </row>
    <row r="63831" spans="1:2" x14ac:dyDescent="0.25">
      <c r="A63831" s="118"/>
      <c r="B63831" s="136"/>
    </row>
    <row r="63832" spans="1:2" x14ac:dyDescent="0.25">
      <c r="A63832" s="118"/>
      <c r="B63832" s="136"/>
    </row>
    <row r="63833" spans="1:2" x14ac:dyDescent="0.25">
      <c r="A63833" s="118"/>
      <c r="B63833" s="136"/>
    </row>
    <row r="63834" spans="1:2" x14ac:dyDescent="0.25">
      <c r="A63834" s="118"/>
      <c r="B63834" s="136"/>
    </row>
    <row r="63835" spans="1:2" x14ac:dyDescent="0.25">
      <c r="A63835" s="118"/>
      <c r="B63835" s="136"/>
    </row>
    <row r="63836" spans="1:2" x14ac:dyDescent="0.25">
      <c r="A63836" s="118"/>
      <c r="B63836" s="136"/>
    </row>
    <row r="63837" spans="1:2" x14ac:dyDescent="0.25">
      <c r="A63837" s="118"/>
      <c r="B63837" s="136"/>
    </row>
    <row r="63838" spans="1:2" x14ac:dyDescent="0.25">
      <c r="A63838" s="118"/>
      <c r="B63838" s="136"/>
    </row>
    <row r="63839" spans="1:2" x14ac:dyDescent="0.25">
      <c r="A63839" s="118"/>
      <c r="B63839" s="136"/>
    </row>
    <row r="63840" spans="1:2" x14ac:dyDescent="0.25">
      <c r="A63840" s="118"/>
      <c r="B63840" s="136"/>
    </row>
    <row r="63841" spans="1:2" x14ac:dyDescent="0.25">
      <c r="A63841" s="118"/>
      <c r="B63841" s="136"/>
    </row>
    <row r="63842" spans="1:2" x14ac:dyDescent="0.25">
      <c r="A63842" s="118"/>
      <c r="B63842" s="136"/>
    </row>
    <row r="63843" spans="1:2" x14ac:dyDescent="0.25">
      <c r="A63843" s="118"/>
      <c r="B63843" s="136"/>
    </row>
    <row r="63844" spans="1:2" x14ac:dyDescent="0.25">
      <c r="A63844" s="118"/>
      <c r="B63844" s="136"/>
    </row>
    <row r="63845" spans="1:2" x14ac:dyDescent="0.25">
      <c r="A63845" s="118"/>
      <c r="B63845" s="136"/>
    </row>
    <row r="63846" spans="1:2" x14ac:dyDescent="0.25">
      <c r="A63846" s="118"/>
      <c r="B63846" s="136"/>
    </row>
    <row r="63847" spans="1:2" x14ac:dyDescent="0.25">
      <c r="A63847" s="118"/>
      <c r="B63847" s="136"/>
    </row>
    <row r="63848" spans="1:2" x14ac:dyDescent="0.25">
      <c r="A63848" s="118"/>
      <c r="B63848" s="136"/>
    </row>
    <row r="63849" spans="1:2" x14ac:dyDescent="0.25">
      <c r="A63849" s="118"/>
      <c r="B63849" s="136"/>
    </row>
    <row r="63850" spans="1:2" x14ac:dyDescent="0.25">
      <c r="A63850" s="118"/>
      <c r="B63850" s="136"/>
    </row>
    <row r="63851" spans="1:2" x14ac:dyDescent="0.25">
      <c r="A63851" s="118"/>
      <c r="B63851" s="136"/>
    </row>
    <row r="63852" spans="1:2" x14ac:dyDescent="0.25">
      <c r="A63852" s="118"/>
      <c r="B63852" s="136"/>
    </row>
    <row r="63853" spans="1:2" x14ac:dyDescent="0.25">
      <c r="A63853" s="118"/>
      <c r="B63853" s="136"/>
    </row>
    <row r="63854" spans="1:2" x14ac:dyDescent="0.25">
      <c r="A63854" s="118"/>
      <c r="B63854" s="136"/>
    </row>
    <row r="63855" spans="1:2" x14ac:dyDescent="0.25">
      <c r="A63855" s="118"/>
      <c r="B63855" s="136"/>
    </row>
    <row r="63856" spans="1:2" x14ac:dyDescent="0.25">
      <c r="A63856" s="118"/>
      <c r="B63856" s="136"/>
    </row>
    <row r="63857" spans="1:2" x14ac:dyDescent="0.25">
      <c r="A63857" s="118"/>
      <c r="B63857" s="136"/>
    </row>
    <row r="63858" spans="1:2" x14ac:dyDescent="0.25">
      <c r="A63858" s="118"/>
      <c r="B63858" s="136"/>
    </row>
    <row r="63859" spans="1:2" x14ac:dyDescent="0.25">
      <c r="A63859" s="118"/>
      <c r="B63859" s="136"/>
    </row>
    <row r="63860" spans="1:2" x14ac:dyDescent="0.25">
      <c r="A63860" s="118"/>
      <c r="B63860" s="136"/>
    </row>
    <row r="63861" spans="1:2" x14ac:dyDescent="0.25">
      <c r="A63861" s="118"/>
      <c r="B63861" s="136"/>
    </row>
    <row r="63862" spans="1:2" x14ac:dyDescent="0.25">
      <c r="A63862" s="118"/>
      <c r="B63862" s="136"/>
    </row>
    <row r="63863" spans="1:2" x14ac:dyDescent="0.25">
      <c r="A63863" s="118"/>
      <c r="B63863" s="136"/>
    </row>
    <row r="63864" spans="1:2" x14ac:dyDescent="0.25">
      <c r="A63864" s="118"/>
      <c r="B63864" s="136"/>
    </row>
    <row r="63865" spans="1:2" x14ac:dyDescent="0.25">
      <c r="A63865" s="118"/>
      <c r="B63865" s="136"/>
    </row>
    <row r="63866" spans="1:2" x14ac:dyDescent="0.25">
      <c r="A63866" s="118"/>
      <c r="B63866" s="136"/>
    </row>
    <row r="63867" spans="1:2" x14ac:dyDescent="0.25">
      <c r="A63867" s="118"/>
      <c r="B63867" s="136"/>
    </row>
    <row r="63868" spans="1:2" x14ac:dyDescent="0.25">
      <c r="A63868" s="118"/>
      <c r="B63868" s="136"/>
    </row>
    <row r="63869" spans="1:2" x14ac:dyDescent="0.25">
      <c r="A63869" s="118"/>
      <c r="B63869" s="136"/>
    </row>
    <row r="63870" spans="1:2" x14ac:dyDescent="0.25">
      <c r="A63870" s="118"/>
      <c r="B63870" s="136"/>
    </row>
    <row r="63871" spans="1:2" x14ac:dyDescent="0.25">
      <c r="A63871" s="118"/>
      <c r="B63871" s="136"/>
    </row>
    <row r="63872" spans="1:2" x14ac:dyDescent="0.25">
      <c r="A63872" s="118"/>
      <c r="B63872" s="136"/>
    </row>
    <row r="63873" spans="1:2" x14ac:dyDescent="0.25">
      <c r="A63873" s="118"/>
      <c r="B63873" s="136"/>
    </row>
    <row r="63874" spans="1:2" x14ac:dyDescent="0.25">
      <c r="A63874" s="118"/>
      <c r="B63874" s="136"/>
    </row>
    <row r="63875" spans="1:2" x14ac:dyDescent="0.25">
      <c r="A63875" s="118"/>
      <c r="B63875" s="136"/>
    </row>
    <row r="63876" spans="1:2" x14ac:dyDescent="0.25">
      <c r="A63876" s="118"/>
      <c r="B63876" s="136"/>
    </row>
    <row r="63877" spans="1:2" x14ac:dyDescent="0.25">
      <c r="A63877" s="118"/>
      <c r="B63877" s="136"/>
    </row>
    <row r="63878" spans="1:2" x14ac:dyDescent="0.25">
      <c r="A63878" s="118"/>
      <c r="B63878" s="136"/>
    </row>
    <row r="63879" spans="1:2" x14ac:dyDescent="0.25">
      <c r="A63879" s="118"/>
      <c r="B63879" s="136"/>
    </row>
    <row r="63880" spans="1:2" x14ac:dyDescent="0.25">
      <c r="A63880" s="118"/>
      <c r="B63880" s="136"/>
    </row>
    <row r="63881" spans="1:2" x14ac:dyDescent="0.25">
      <c r="A63881" s="118"/>
      <c r="B63881" s="136"/>
    </row>
    <row r="63882" spans="1:2" x14ac:dyDescent="0.25">
      <c r="A63882" s="118"/>
      <c r="B63882" s="136"/>
    </row>
    <row r="63883" spans="1:2" x14ac:dyDescent="0.25">
      <c r="A63883" s="118"/>
      <c r="B63883" s="136"/>
    </row>
    <row r="63884" spans="1:2" x14ac:dyDescent="0.25">
      <c r="A63884" s="118"/>
      <c r="B63884" s="136"/>
    </row>
    <row r="63885" spans="1:2" x14ac:dyDescent="0.25">
      <c r="A63885" s="118"/>
      <c r="B63885" s="136"/>
    </row>
    <row r="63886" spans="1:2" x14ac:dyDescent="0.25">
      <c r="A63886" s="118"/>
      <c r="B63886" s="136"/>
    </row>
    <row r="63887" spans="1:2" x14ac:dyDescent="0.25">
      <c r="A63887" s="118"/>
      <c r="B63887" s="136"/>
    </row>
    <row r="63888" spans="1:2" x14ac:dyDescent="0.25">
      <c r="A63888" s="118"/>
      <c r="B63888" s="136"/>
    </row>
    <row r="63889" spans="1:2" x14ac:dyDescent="0.25">
      <c r="A63889" s="118"/>
      <c r="B63889" s="136"/>
    </row>
    <row r="63890" spans="1:2" x14ac:dyDescent="0.25">
      <c r="A63890" s="118"/>
      <c r="B63890" s="136"/>
    </row>
    <row r="63891" spans="1:2" x14ac:dyDescent="0.25">
      <c r="A63891" s="118"/>
      <c r="B63891" s="136"/>
    </row>
    <row r="63892" spans="1:2" x14ac:dyDescent="0.25">
      <c r="A63892" s="118"/>
      <c r="B63892" s="136"/>
    </row>
    <row r="63893" spans="1:2" x14ac:dyDescent="0.25">
      <c r="A63893" s="118"/>
      <c r="B63893" s="136"/>
    </row>
    <row r="63894" spans="1:2" x14ac:dyDescent="0.25">
      <c r="A63894" s="118"/>
      <c r="B63894" s="136"/>
    </row>
    <row r="63895" spans="1:2" x14ac:dyDescent="0.25">
      <c r="A63895" s="118"/>
      <c r="B63895" s="136"/>
    </row>
    <row r="63896" spans="1:2" x14ac:dyDescent="0.25">
      <c r="A63896" s="118"/>
      <c r="B63896" s="136"/>
    </row>
    <row r="63897" spans="1:2" x14ac:dyDescent="0.25">
      <c r="A63897" s="118"/>
      <c r="B63897" s="136"/>
    </row>
    <row r="63898" spans="1:2" x14ac:dyDescent="0.25">
      <c r="A63898" s="118"/>
      <c r="B63898" s="136"/>
    </row>
    <row r="63899" spans="1:2" x14ac:dyDescent="0.25">
      <c r="A63899" s="118"/>
      <c r="B63899" s="136"/>
    </row>
    <row r="63900" spans="1:2" x14ac:dyDescent="0.25">
      <c r="A63900" s="118"/>
      <c r="B63900" s="136"/>
    </row>
    <row r="63901" spans="1:2" x14ac:dyDescent="0.25">
      <c r="A63901" s="118"/>
      <c r="B63901" s="136"/>
    </row>
    <row r="63902" spans="1:2" x14ac:dyDescent="0.25">
      <c r="A63902" s="118"/>
      <c r="B63902" s="136"/>
    </row>
    <row r="63903" spans="1:2" x14ac:dyDescent="0.25">
      <c r="A63903" s="118"/>
      <c r="B63903" s="136"/>
    </row>
    <row r="63904" spans="1:2" x14ac:dyDescent="0.25">
      <c r="A63904" s="118"/>
      <c r="B63904" s="136"/>
    </row>
    <row r="63905" spans="1:2" x14ac:dyDescent="0.25">
      <c r="A63905" s="118"/>
      <c r="B63905" s="136"/>
    </row>
    <row r="63906" spans="1:2" x14ac:dyDescent="0.25">
      <c r="A63906" s="118"/>
      <c r="B63906" s="136"/>
    </row>
    <row r="63907" spans="1:2" x14ac:dyDescent="0.25">
      <c r="A63907" s="118"/>
      <c r="B63907" s="136"/>
    </row>
    <row r="63908" spans="1:2" x14ac:dyDescent="0.25">
      <c r="A63908" s="118"/>
      <c r="B63908" s="136"/>
    </row>
    <row r="63909" spans="1:2" x14ac:dyDescent="0.25">
      <c r="A63909" s="118"/>
      <c r="B63909" s="136"/>
    </row>
    <row r="63910" spans="1:2" x14ac:dyDescent="0.25">
      <c r="A63910" s="118"/>
      <c r="B63910" s="136"/>
    </row>
    <row r="63911" spans="1:2" x14ac:dyDescent="0.25">
      <c r="A63911" s="118"/>
      <c r="B63911" s="136"/>
    </row>
    <row r="63912" spans="1:2" x14ac:dyDescent="0.25">
      <c r="A63912" s="118"/>
      <c r="B63912" s="136"/>
    </row>
    <row r="63913" spans="1:2" x14ac:dyDescent="0.25">
      <c r="A63913" s="118"/>
      <c r="B63913" s="136"/>
    </row>
    <row r="63914" spans="1:2" x14ac:dyDescent="0.25">
      <c r="A63914" s="118"/>
      <c r="B63914" s="136"/>
    </row>
    <row r="63915" spans="1:2" x14ac:dyDescent="0.25">
      <c r="A63915" s="118"/>
      <c r="B63915" s="136"/>
    </row>
    <row r="63916" spans="1:2" x14ac:dyDescent="0.25">
      <c r="A63916" s="118"/>
      <c r="B63916" s="136"/>
    </row>
    <row r="63917" spans="1:2" x14ac:dyDescent="0.25">
      <c r="A63917" s="118"/>
      <c r="B63917" s="136"/>
    </row>
    <row r="63918" spans="1:2" x14ac:dyDescent="0.25">
      <c r="A63918" s="118"/>
      <c r="B63918" s="136"/>
    </row>
    <row r="63919" spans="1:2" x14ac:dyDescent="0.25">
      <c r="A63919" s="118"/>
      <c r="B63919" s="136"/>
    </row>
    <row r="63920" spans="1:2" x14ac:dyDescent="0.25">
      <c r="A63920" s="118"/>
      <c r="B63920" s="136"/>
    </row>
    <row r="63921" spans="1:2" x14ac:dyDescent="0.25">
      <c r="A63921" s="118"/>
      <c r="B63921" s="136"/>
    </row>
    <row r="63922" spans="1:2" x14ac:dyDescent="0.25">
      <c r="A63922" s="118"/>
      <c r="B63922" s="136"/>
    </row>
    <row r="63923" spans="1:2" x14ac:dyDescent="0.25">
      <c r="A63923" s="118"/>
      <c r="B63923" s="136"/>
    </row>
    <row r="63924" spans="1:2" x14ac:dyDescent="0.25">
      <c r="A63924" s="118"/>
      <c r="B63924" s="136"/>
    </row>
    <row r="63925" spans="1:2" x14ac:dyDescent="0.25">
      <c r="A63925" s="118"/>
      <c r="B63925" s="136"/>
    </row>
    <row r="63926" spans="1:2" x14ac:dyDescent="0.25">
      <c r="A63926" s="118"/>
      <c r="B63926" s="136"/>
    </row>
    <row r="63927" spans="1:2" x14ac:dyDescent="0.25">
      <c r="A63927" s="118"/>
      <c r="B63927" s="136"/>
    </row>
    <row r="63928" spans="1:2" x14ac:dyDescent="0.25">
      <c r="A63928" s="118"/>
      <c r="B63928" s="136"/>
    </row>
    <row r="63929" spans="1:2" x14ac:dyDescent="0.25">
      <c r="A63929" s="118"/>
      <c r="B63929" s="136"/>
    </row>
    <row r="63930" spans="1:2" x14ac:dyDescent="0.25">
      <c r="A63930" s="118"/>
      <c r="B63930" s="136"/>
    </row>
    <row r="63931" spans="1:2" x14ac:dyDescent="0.25">
      <c r="A63931" s="118"/>
      <c r="B63931" s="136"/>
    </row>
    <row r="63932" spans="1:2" x14ac:dyDescent="0.25">
      <c r="A63932" s="118"/>
      <c r="B63932" s="136"/>
    </row>
    <row r="63933" spans="1:2" x14ac:dyDescent="0.25">
      <c r="A63933" s="118"/>
      <c r="B63933" s="136"/>
    </row>
    <row r="63934" spans="1:2" x14ac:dyDescent="0.25">
      <c r="A63934" s="118"/>
      <c r="B63934" s="136"/>
    </row>
    <row r="63935" spans="1:2" x14ac:dyDescent="0.25">
      <c r="A63935" s="118"/>
      <c r="B63935" s="136"/>
    </row>
    <row r="63936" spans="1:2" x14ac:dyDescent="0.25">
      <c r="A63936" s="118"/>
      <c r="B63936" s="136"/>
    </row>
    <row r="63937" spans="1:2" x14ac:dyDescent="0.25">
      <c r="A63937" s="118"/>
      <c r="B63937" s="136"/>
    </row>
    <row r="63938" spans="1:2" x14ac:dyDescent="0.25">
      <c r="A63938" s="118"/>
      <c r="B63938" s="136"/>
    </row>
    <row r="63939" spans="1:2" x14ac:dyDescent="0.25">
      <c r="A63939" s="118"/>
      <c r="B63939" s="136"/>
    </row>
    <row r="63940" spans="1:2" x14ac:dyDescent="0.25">
      <c r="A63940" s="118"/>
      <c r="B63940" s="136"/>
    </row>
    <row r="63941" spans="1:2" x14ac:dyDescent="0.25">
      <c r="A63941" s="118"/>
      <c r="B63941" s="136"/>
    </row>
    <row r="63942" spans="1:2" x14ac:dyDescent="0.25">
      <c r="A63942" s="118"/>
      <c r="B63942" s="136"/>
    </row>
    <row r="63943" spans="1:2" x14ac:dyDescent="0.25">
      <c r="A63943" s="118"/>
      <c r="B63943" s="136"/>
    </row>
    <row r="63944" spans="1:2" x14ac:dyDescent="0.25">
      <c r="A63944" s="118"/>
      <c r="B63944" s="136"/>
    </row>
    <row r="63945" spans="1:2" x14ac:dyDescent="0.25">
      <c r="A63945" s="118"/>
      <c r="B63945" s="136"/>
    </row>
    <row r="63946" spans="1:2" x14ac:dyDescent="0.25">
      <c r="A63946" s="118"/>
      <c r="B63946" s="136"/>
    </row>
    <row r="63947" spans="1:2" x14ac:dyDescent="0.25">
      <c r="A63947" s="118"/>
      <c r="B63947" s="136"/>
    </row>
    <row r="63948" spans="1:2" x14ac:dyDescent="0.25">
      <c r="A63948" s="118"/>
      <c r="B63948" s="136"/>
    </row>
    <row r="63949" spans="1:2" x14ac:dyDescent="0.25">
      <c r="A63949" s="118"/>
      <c r="B63949" s="136"/>
    </row>
    <row r="63950" spans="1:2" x14ac:dyDescent="0.25">
      <c r="A63950" s="118"/>
      <c r="B63950" s="136"/>
    </row>
    <row r="63951" spans="1:2" x14ac:dyDescent="0.25">
      <c r="A63951" s="118"/>
      <c r="B63951" s="136"/>
    </row>
    <row r="63952" spans="1:2" x14ac:dyDescent="0.25">
      <c r="A63952" s="118"/>
      <c r="B63952" s="136"/>
    </row>
    <row r="63953" spans="1:2" x14ac:dyDescent="0.25">
      <c r="A63953" s="118"/>
      <c r="B63953" s="136"/>
    </row>
    <row r="63954" spans="1:2" x14ac:dyDescent="0.25">
      <c r="A63954" s="118"/>
      <c r="B63954" s="136"/>
    </row>
    <row r="63955" spans="1:2" x14ac:dyDescent="0.25">
      <c r="A63955" s="118"/>
      <c r="B63955" s="136"/>
    </row>
    <row r="63956" spans="1:2" x14ac:dyDescent="0.25">
      <c r="A63956" s="118"/>
      <c r="B63956" s="136"/>
    </row>
    <row r="63957" spans="1:2" x14ac:dyDescent="0.25">
      <c r="A63957" s="118"/>
      <c r="B63957" s="136"/>
    </row>
    <row r="63958" spans="1:2" x14ac:dyDescent="0.25">
      <c r="A63958" s="118"/>
      <c r="B63958" s="136"/>
    </row>
    <row r="63959" spans="1:2" x14ac:dyDescent="0.25">
      <c r="A63959" s="118"/>
      <c r="B63959" s="136"/>
    </row>
    <row r="63960" spans="1:2" x14ac:dyDescent="0.25">
      <c r="A63960" s="118"/>
      <c r="B63960" s="136"/>
    </row>
    <row r="63961" spans="1:2" x14ac:dyDescent="0.25">
      <c r="A63961" s="118"/>
      <c r="B63961" s="136"/>
    </row>
    <row r="63962" spans="1:2" x14ac:dyDescent="0.25">
      <c r="A63962" s="118"/>
      <c r="B63962" s="136"/>
    </row>
    <row r="63963" spans="1:2" x14ac:dyDescent="0.25">
      <c r="A63963" s="118"/>
      <c r="B63963" s="136"/>
    </row>
    <row r="63964" spans="1:2" x14ac:dyDescent="0.25">
      <c r="A63964" s="118"/>
      <c r="B63964" s="136"/>
    </row>
    <row r="63965" spans="1:2" x14ac:dyDescent="0.25">
      <c r="A63965" s="118"/>
      <c r="B63965" s="136"/>
    </row>
    <row r="63966" spans="1:2" x14ac:dyDescent="0.25">
      <c r="A63966" s="118"/>
      <c r="B63966" s="136"/>
    </row>
    <row r="63967" spans="1:2" x14ac:dyDescent="0.25">
      <c r="A63967" s="118"/>
      <c r="B63967" s="136"/>
    </row>
    <row r="63968" spans="1:2" x14ac:dyDescent="0.25">
      <c r="A63968" s="118"/>
      <c r="B63968" s="136"/>
    </row>
    <row r="63969" spans="1:2" x14ac:dyDescent="0.25">
      <c r="A63969" s="118"/>
      <c r="B63969" s="136"/>
    </row>
    <row r="63970" spans="1:2" x14ac:dyDescent="0.25">
      <c r="A63970" s="118"/>
      <c r="B63970" s="136"/>
    </row>
    <row r="63971" spans="1:2" x14ac:dyDescent="0.25">
      <c r="A63971" s="118"/>
      <c r="B63971" s="136"/>
    </row>
    <row r="63972" spans="1:2" x14ac:dyDescent="0.25">
      <c r="A63972" s="118"/>
      <c r="B63972" s="136"/>
    </row>
    <row r="63973" spans="1:2" x14ac:dyDescent="0.25">
      <c r="A63973" s="118"/>
      <c r="B63973" s="136"/>
    </row>
    <row r="63974" spans="1:2" x14ac:dyDescent="0.25">
      <c r="A63974" s="118"/>
      <c r="B63974" s="136"/>
    </row>
    <row r="63975" spans="1:2" x14ac:dyDescent="0.25">
      <c r="A63975" s="118"/>
      <c r="B63975" s="136"/>
    </row>
    <row r="63976" spans="1:2" x14ac:dyDescent="0.25">
      <c r="A63976" s="118"/>
      <c r="B63976" s="136"/>
    </row>
    <row r="63977" spans="1:2" x14ac:dyDescent="0.25">
      <c r="A63977" s="118"/>
      <c r="B63977" s="136"/>
    </row>
    <row r="63978" spans="1:2" x14ac:dyDescent="0.25">
      <c r="A63978" s="118"/>
      <c r="B63978" s="136"/>
    </row>
    <row r="63979" spans="1:2" x14ac:dyDescent="0.25">
      <c r="A63979" s="118"/>
      <c r="B63979" s="136"/>
    </row>
    <row r="63980" spans="1:2" x14ac:dyDescent="0.25">
      <c r="A63980" s="118"/>
      <c r="B63980" s="136"/>
    </row>
    <row r="63981" spans="1:2" x14ac:dyDescent="0.25">
      <c r="A63981" s="118"/>
      <c r="B63981" s="136"/>
    </row>
    <row r="63982" spans="1:2" x14ac:dyDescent="0.25">
      <c r="A63982" s="118"/>
      <c r="B63982" s="136"/>
    </row>
    <row r="63983" spans="1:2" x14ac:dyDescent="0.25">
      <c r="A63983" s="118"/>
      <c r="B63983" s="136"/>
    </row>
    <row r="63984" spans="1:2" x14ac:dyDescent="0.25">
      <c r="A63984" s="118"/>
      <c r="B63984" s="136"/>
    </row>
    <row r="63985" spans="1:2" x14ac:dyDescent="0.25">
      <c r="A63985" s="118"/>
      <c r="B63985" s="136"/>
    </row>
    <row r="63986" spans="1:2" x14ac:dyDescent="0.25">
      <c r="A63986" s="118"/>
      <c r="B63986" s="136"/>
    </row>
    <row r="63987" spans="1:2" x14ac:dyDescent="0.25">
      <c r="A63987" s="118"/>
      <c r="B63987" s="136"/>
    </row>
    <row r="63988" spans="1:2" x14ac:dyDescent="0.25">
      <c r="A63988" s="118"/>
      <c r="B63988" s="136"/>
    </row>
    <row r="63989" spans="1:2" x14ac:dyDescent="0.25">
      <c r="A63989" s="118"/>
      <c r="B63989" s="136"/>
    </row>
    <row r="63990" spans="1:2" x14ac:dyDescent="0.25">
      <c r="A63990" s="118"/>
      <c r="B63990" s="136"/>
    </row>
    <row r="63991" spans="1:2" x14ac:dyDescent="0.25">
      <c r="A63991" s="118"/>
      <c r="B63991" s="136"/>
    </row>
    <row r="63992" spans="1:2" x14ac:dyDescent="0.25">
      <c r="A63992" s="118"/>
      <c r="B63992" s="136"/>
    </row>
    <row r="63993" spans="1:2" x14ac:dyDescent="0.25">
      <c r="A63993" s="118"/>
      <c r="B63993" s="136"/>
    </row>
    <row r="63994" spans="1:2" x14ac:dyDescent="0.25">
      <c r="A63994" s="118"/>
      <c r="B63994" s="136"/>
    </row>
    <row r="63995" spans="1:2" x14ac:dyDescent="0.25">
      <c r="A63995" s="118"/>
      <c r="B63995" s="136"/>
    </row>
    <row r="63996" spans="1:2" x14ac:dyDescent="0.25">
      <c r="A63996" s="118"/>
      <c r="B63996" s="136"/>
    </row>
    <row r="63997" spans="1:2" x14ac:dyDescent="0.25">
      <c r="A63997" s="118"/>
      <c r="B63997" s="136"/>
    </row>
    <row r="63998" spans="1:2" x14ac:dyDescent="0.25">
      <c r="A63998" s="118"/>
      <c r="B63998" s="136"/>
    </row>
    <row r="63999" spans="1:2" x14ac:dyDescent="0.25">
      <c r="A63999" s="118"/>
      <c r="B63999" s="136"/>
    </row>
    <row r="64000" spans="1:2" x14ac:dyDescent="0.25">
      <c r="A64000" s="118"/>
      <c r="B64000" s="136"/>
    </row>
    <row r="64001" spans="1:2" x14ac:dyDescent="0.25">
      <c r="A64001" s="118"/>
      <c r="B64001" s="136"/>
    </row>
    <row r="64002" spans="1:2" x14ac:dyDescent="0.25">
      <c r="A64002" s="118"/>
      <c r="B64002" s="136"/>
    </row>
    <row r="64003" spans="1:2" x14ac:dyDescent="0.25">
      <c r="A64003" s="118"/>
      <c r="B64003" s="136"/>
    </row>
    <row r="64004" spans="1:2" x14ac:dyDescent="0.25">
      <c r="A64004" s="118"/>
      <c r="B64004" s="136"/>
    </row>
    <row r="64005" spans="1:2" x14ac:dyDescent="0.25">
      <c r="A64005" s="118"/>
      <c r="B64005" s="136"/>
    </row>
    <row r="64006" spans="1:2" x14ac:dyDescent="0.25">
      <c r="A64006" s="118"/>
      <c r="B64006" s="136"/>
    </row>
    <row r="64007" spans="1:2" x14ac:dyDescent="0.25">
      <c r="A64007" s="118"/>
      <c r="B64007" s="136"/>
    </row>
    <row r="64008" spans="1:2" x14ac:dyDescent="0.25">
      <c r="A64008" s="118"/>
      <c r="B64008" s="136"/>
    </row>
    <row r="64009" spans="1:2" x14ac:dyDescent="0.25">
      <c r="A64009" s="118"/>
      <c r="B64009" s="136"/>
    </row>
    <row r="64010" spans="1:2" x14ac:dyDescent="0.25">
      <c r="A64010" s="118"/>
      <c r="B64010" s="136"/>
    </row>
    <row r="64011" spans="1:2" x14ac:dyDescent="0.25">
      <c r="A64011" s="118"/>
      <c r="B64011" s="136"/>
    </row>
    <row r="64012" spans="1:2" x14ac:dyDescent="0.25">
      <c r="A64012" s="118"/>
      <c r="B64012" s="136"/>
    </row>
    <row r="64013" spans="1:2" x14ac:dyDescent="0.25">
      <c r="A64013" s="118"/>
      <c r="B64013" s="136"/>
    </row>
    <row r="64014" spans="1:2" x14ac:dyDescent="0.25">
      <c r="A64014" s="118"/>
      <c r="B64014" s="136"/>
    </row>
    <row r="64015" spans="1:2" x14ac:dyDescent="0.25">
      <c r="A64015" s="118"/>
      <c r="B64015" s="136"/>
    </row>
    <row r="64016" spans="1:2" x14ac:dyDescent="0.25">
      <c r="A64016" s="118"/>
      <c r="B64016" s="136"/>
    </row>
    <row r="64017" spans="1:2" x14ac:dyDescent="0.25">
      <c r="A64017" s="118"/>
      <c r="B64017" s="136"/>
    </row>
    <row r="64018" spans="1:2" x14ac:dyDescent="0.25">
      <c r="A64018" s="118"/>
      <c r="B64018" s="136"/>
    </row>
    <row r="64019" spans="1:2" x14ac:dyDescent="0.25">
      <c r="A64019" s="118"/>
      <c r="B64019" s="136"/>
    </row>
    <row r="64020" spans="1:2" x14ac:dyDescent="0.25">
      <c r="A64020" s="118"/>
      <c r="B64020" s="136"/>
    </row>
    <row r="64021" spans="1:2" x14ac:dyDescent="0.25">
      <c r="A64021" s="118"/>
      <c r="B64021" s="136"/>
    </row>
    <row r="64022" spans="1:2" x14ac:dyDescent="0.25">
      <c r="A64022" s="118"/>
      <c r="B64022" s="136"/>
    </row>
    <row r="64023" spans="1:2" x14ac:dyDescent="0.25">
      <c r="A64023" s="118"/>
      <c r="B64023" s="136"/>
    </row>
    <row r="64024" spans="1:2" x14ac:dyDescent="0.25">
      <c r="A64024" s="118"/>
      <c r="B64024" s="136"/>
    </row>
    <row r="64025" spans="1:2" x14ac:dyDescent="0.25">
      <c r="A64025" s="118"/>
      <c r="B64025" s="136"/>
    </row>
    <row r="64026" spans="1:2" x14ac:dyDescent="0.25">
      <c r="A64026" s="118"/>
      <c r="B64026" s="136"/>
    </row>
    <row r="64027" spans="1:2" x14ac:dyDescent="0.25">
      <c r="A64027" s="118"/>
      <c r="B64027" s="136"/>
    </row>
    <row r="64028" spans="1:2" x14ac:dyDescent="0.25">
      <c r="A64028" s="118"/>
      <c r="B64028" s="136"/>
    </row>
    <row r="64029" spans="1:2" x14ac:dyDescent="0.25">
      <c r="A64029" s="118"/>
      <c r="B64029" s="136"/>
    </row>
    <row r="64030" spans="1:2" x14ac:dyDescent="0.25">
      <c r="A64030" s="118"/>
      <c r="B64030" s="136"/>
    </row>
    <row r="64031" spans="1:2" x14ac:dyDescent="0.25">
      <c r="A64031" s="118"/>
      <c r="B64031" s="136"/>
    </row>
    <row r="64032" spans="1:2" x14ac:dyDescent="0.25">
      <c r="A64032" s="118"/>
      <c r="B64032" s="136"/>
    </row>
    <row r="64033" spans="1:2" x14ac:dyDescent="0.25">
      <c r="A64033" s="118"/>
      <c r="B64033" s="136"/>
    </row>
    <row r="64034" spans="1:2" x14ac:dyDescent="0.25">
      <c r="A64034" s="118"/>
      <c r="B64034" s="136"/>
    </row>
    <row r="64035" spans="1:2" x14ac:dyDescent="0.25">
      <c r="A64035" s="118"/>
      <c r="B64035" s="136"/>
    </row>
    <row r="64036" spans="1:2" x14ac:dyDescent="0.25">
      <c r="A64036" s="118"/>
      <c r="B64036" s="136"/>
    </row>
    <row r="64037" spans="1:2" x14ac:dyDescent="0.25">
      <c r="A64037" s="118"/>
      <c r="B64037" s="136"/>
    </row>
    <row r="64038" spans="1:2" x14ac:dyDescent="0.25">
      <c r="A64038" s="118"/>
      <c r="B64038" s="136"/>
    </row>
    <row r="64039" spans="1:2" x14ac:dyDescent="0.25">
      <c r="A64039" s="118"/>
      <c r="B64039" s="136"/>
    </row>
    <row r="64040" spans="1:2" x14ac:dyDescent="0.25">
      <c r="A64040" s="118"/>
      <c r="B64040" s="136"/>
    </row>
    <row r="64041" spans="1:2" x14ac:dyDescent="0.25">
      <c r="A64041" s="118"/>
      <c r="B64041" s="136"/>
    </row>
    <row r="64042" spans="1:2" x14ac:dyDescent="0.25">
      <c r="A64042" s="118"/>
      <c r="B64042" s="136"/>
    </row>
    <row r="64043" spans="1:2" x14ac:dyDescent="0.25">
      <c r="A64043" s="118"/>
      <c r="B64043" s="136"/>
    </row>
    <row r="64044" spans="1:2" x14ac:dyDescent="0.25">
      <c r="A64044" s="118"/>
      <c r="B64044" s="136"/>
    </row>
    <row r="64045" spans="1:2" x14ac:dyDescent="0.25">
      <c r="A64045" s="118"/>
      <c r="B64045" s="136"/>
    </row>
    <row r="64046" spans="1:2" x14ac:dyDescent="0.25">
      <c r="A64046" s="118"/>
      <c r="B64046" s="136"/>
    </row>
    <row r="64047" spans="1:2" x14ac:dyDescent="0.25">
      <c r="A64047" s="118"/>
      <c r="B64047" s="136"/>
    </row>
    <row r="64048" spans="1:2" x14ac:dyDescent="0.25">
      <c r="A64048" s="118"/>
      <c r="B64048" s="136"/>
    </row>
    <row r="64049" spans="1:2" x14ac:dyDescent="0.25">
      <c r="A64049" s="118"/>
      <c r="B64049" s="136"/>
    </row>
    <row r="64050" spans="1:2" x14ac:dyDescent="0.25">
      <c r="A64050" s="118"/>
      <c r="B64050" s="136"/>
    </row>
    <row r="64051" spans="1:2" x14ac:dyDescent="0.25">
      <c r="A64051" s="118"/>
      <c r="B64051" s="136"/>
    </row>
    <row r="64052" spans="1:2" x14ac:dyDescent="0.25">
      <c r="A64052" s="118"/>
      <c r="B64052" s="136"/>
    </row>
    <row r="64053" spans="1:2" x14ac:dyDescent="0.25">
      <c r="A64053" s="118"/>
      <c r="B64053" s="136"/>
    </row>
    <row r="64054" spans="1:2" x14ac:dyDescent="0.25">
      <c r="A64054" s="118"/>
      <c r="B64054" s="136"/>
    </row>
    <row r="64055" spans="1:2" x14ac:dyDescent="0.25">
      <c r="A64055" s="118"/>
      <c r="B64055" s="136"/>
    </row>
    <row r="64056" spans="1:2" x14ac:dyDescent="0.25">
      <c r="A64056" s="118"/>
      <c r="B64056" s="136"/>
    </row>
    <row r="64057" spans="1:2" x14ac:dyDescent="0.25">
      <c r="A64057" s="118"/>
      <c r="B64057" s="136"/>
    </row>
    <row r="64058" spans="1:2" x14ac:dyDescent="0.25">
      <c r="A64058" s="118"/>
      <c r="B64058" s="136"/>
    </row>
    <row r="64059" spans="1:2" x14ac:dyDescent="0.25">
      <c r="A64059" s="118"/>
      <c r="B64059" s="136"/>
    </row>
    <row r="64060" spans="1:2" x14ac:dyDescent="0.25">
      <c r="A64060" s="118"/>
      <c r="B64060" s="136"/>
    </row>
    <row r="64061" spans="1:2" x14ac:dyDescent="0.25">
      <c r="A64061" s="118"/>
      <c r="B64061" s="136"/>
    </row>
    <row r="64062" spans="1:2" x14ac:dyDescent="0.25">
      <c r="A64062" s="118"/>
      <c r="B64062" s="136"/>
    </row>
    <row r="64063" spans="1:2" x14ac:dyDescent="0.25">
      <c r="A64063" s="118"/>
      <c r="B64063" s="136"/>
    </row>
    <row r="64064" spans="1:2" x14ac:dyDescent="0.25">
      <c r="A64064" s="118"/>
      <c r="B64064" s="136"/>
    </row>
    <row r="64065" spans="1:2" x14ac:dyDescent="0.25">
      <c r="A64065" s="118"/>
      <c r="B64065" s="136"/>
    </row>
    <row r="64066" spans="1:2" x14ac:dyDescent="0.25">
      <c r="A64066" s="118"/>
      <c r="B64066" s="136"/>
    </row>
    <row r="64067" spans="1:2" x14ac:dyDescent="0.25">
      <c r="A64067" s="118"/>
      <c r="B64067" s="136"/>
    </row>
    <row r="64068" spans="1:2" x14ac:dyDescent="0.25">
      <c r="A64068" s="118"/>
      <c r="B64068" s="136"/>
    </row>
    <row r="64069" spans="1:2" x14ac:dyDescent="0.25">
      <c r="A64069" s="118"/>
      <c r="B64069" s="136"/>
    </row>
    <row r="64070" spans="1:2" x14ac:dyDescent="0.25">
      <c r="A64070" s="118"/>
      <c r="B64070" s="136"/>
    </row>
    <row r="64071" spans="1:2" x14ac:dyDescent="0.25">
      <c r="A64071" s="118"/>
      <c r="B64071" s="136"/>
    </row>
    <row r="64072" spans="1:2" x14ac:dyDescent="0.25">
      <c r="A64072" s="118"/>
      <c r="B64072" s="136"/>
    </row>
    <row r="64073" spans="1:2" x14ac:dyDescent="0.25">
      <c r="A64073" s="118"/>
      <c r="B64073" s="136"/>
    </row>
    <row r="64074" spans="1:2" x14ac:dyDescent="0.25">
      <c r="A64074" s="118"/>
      <c r="B64074" s="136"/>
    </row>
    <row r="64075" spans="1:2" x14ac:dyDescent="0.25">
      <c r="A64075" s="118"/>
      <c r="B64075" s="136"/>
    </row>
    <row r="64076" spans="1:2" x14ac:dyDescent="0.25">
      <c r="A64076" s="118"/>
      <c r="B64076" s="136"/>
    </row>
    <row r="64077" spans="1:2" x14ac:dyDescent="0.25">
      <c r="A64077" s="118"/>
      <c r="B64077" s="136"/>
    </row>
    <row r="64078" spans="1:2" x14ac:dyDescent="0.25">
      <c r="A64078" s="118"/>
      <c r="B64078" s="136"/>
    </row>
    <row r="64079" spans="1:2" x14ac:dyDescent="0.25">
      <c r="A64079" s="118"/>
      <c r="B64079" s="136"/>
    </row>
    <row r="64080" spans="1:2" x14ac:dyDescent="0.25">
      <c r="A64080" s="118"/>
      <c r="B64080" s="136"/>
    </row>
    <row r="64081" spans="1:2" x14ac:dyDescent="0.25">
      <c r="A64081" s="118"/>
      <c r="B64081" s="136"/>
    </row>
    <row r="64082" spans="1:2" x14ac:dyDescent="0.25">
      <c r="A64082" s="118"/>
      <c r="B64082" s="136"/>
    </row>
    <row r="64083" spans="1:2" x14ac:dyDescent="0.25">
      <c r="A64083" s="118"/>
      <c r="B64083" s="136"/>
    </row>
    <row r="64084" spans="1:2" x14ac:dyDescent="0.25">
      <c r="A64084" s="118"/>
      <c r="B64084" s="136"/>
    </row>
    <row r="64085" spans="1:2" x14ac:dyDescent="0.25">
      <c r="A64085" s="118"/>
      <c r="B64085" s="136"/>
    </row>
    <row r="64086" spans="1:2" x14ac:dyDescent="0.25">
      <c r="A64086" s="118"/>
      <c r="B64086" s="136"/>
    </row>
    <row r="64087" spans="1:2" x14ac:dyDescent="0.25">
      <c r="A64087" s="118"/>
      <c r="B64087" s="136"/>
    </row>
    <row r="64088" spans="1:2" x14ac:dyDescent="0.25">
      <c r="A64088" s="118"/>
      <c r="B64088" s="136"/>
    </row>
    <row r="64089" spans="1:2" x14ac:dyDescent="0.25">
      <c r="A64089" s="118"/>
      <c r="B64089" s="136"/>
    </row>
    <row r="64090" spans="1:2" x14ac:dyDescent="0.25">
      <c r="A64090" s="118"/>
      <c r="B64090" s="136"/>
    </row>
    <row r="64091" spans="1:2" x14ac:dyDescent="0.25">
      <c r="A64091" s="118"/>
      <c r="B64091" s="136"/>
    </row>
    <row r="64092" spans="1:2" x14ac:dyDescent="0.25">
      <c r="A64092" s="118"/>
      <c r="B64092" s="136"/>
    </row>
    <row r="64093" spans="1:2" x14ac:dyDescent="0.25">
      <c r="A64093" s="118"/>
      <c r="B64093" s="136"/>
    </row>
    <row r="64094" spans="1:2" x14ac:dyDescent="0.25">
      <c r="A64094" s="118"/>
      <c r="B64094" s="136"/>
    </row>
    <row r="64095" spans="1:2" x14ac:dyDescent="0.25">
      <c r="A64095" s="118"/>
      <c r="B64095" s="136"/>
    </row>
    <row r="64096" spans="1:2" x14ac:dyDescent="0.25">
      <c r="A64096" s="118"/>
      <c r="B64096" s="136"/>
    </row>
    <row r="64097" spans="1:2" x14ac:dyDescent="0.25">
      <c r="A64097" s="118"/>
      <c r="B64097" s="136"/>
    </row>
    <row r="64098" spans="1:2" x14ac:dyDescent="0.25">
      <c r="A64098" s="118"/>
      <c r="B64098" s="136"/>
    </row>
    <row r="64099" spans="1:2" x14ac:dyDescent="0.25">
      <c r="A64099" s="118"/>
      <c r="B64099" s="136"/>
    </row>
    <row r="64100" spans="1:2" x14ac:dyDescent="0.25">
      <c r="A64100" s="118"/>
      <c r="B64100" s="136"/>
    </row>
    <row r="64101" spans="1:2" x14ac:dyDescent="0.25">
      <c r="A64101" s="118"/>
      <c r="B64101" s="136"/>
    </row>
    <row r="64102" spans="1:2" x14ac:dyDescent="0.25">
      <c r="A64102" s="118"/>
      <c r="B64102" s="136"/>
    </row>
    <row r="64103" spans="1:2" x14ac:dyDescent="0.25">
      <c r="A64103" s="118"/>
      <c r="B64103" s="136"/>
    </row>
    <row r="64104" spans="1:2" x14ac:dyDescent="0.25">
      <c r="A64104" s="118"/>
      <c r="B64104" s="136"/>
    </row>
    <row r="64105" spans="1:2" x14ac:dyDescent="0.25">
      <c r="A64105" s="118"/>
      <c r="B64105" s="136"/>
    </row>
    <row r="64106" spans="1:2" x14ac:dyDescent="0.25">
      <c r="A64106" s="118"/>
      <c r="B64106" s="136"/>
    </row>
    <row r="64107" spans="1:2" x14ac:dyDescent="0.25">
      <c r="A64107" s="118"/>
      <c r="B64107" s="136"/>
    </row>
    <row r="64108" spans="1:2" x14ac:dyDescent="0.25">
      <c r="A64108" s="118"/>
      <c r="B64108" s="136"/>
    </row>
    <row r="64109" spans="1:2" x14ac:dyDescent="0.25">
      <c r="A64109" s="118"/>
      <c r="B64109" s="136"/>
    </row>
    <row r="64110" spans="1:2" x14ac:dyDescent="0.25">
      <c r="A64110" s="118"/>
      <c r="B64110" s="136"/>
    </row>
    <row r="64111" spans="1:2" x14ac:dyDescent="0.25">
      <c r="A64111" s="118"/>
      <c r="B64111" s="136"/>
    </row>
    <row r="64112" spans="1:2" x14ac:dyDescent="0.25">
      <c r="A64112" s="118"/>
      <c r="B64112" s="136"/>
    </row>
    <row r="64113" spans="1:2" x14ac:dyDescent="0.25">
      <c r="A64113" s="118"/>
      <c r="B64113" s="136"/>
    </row>
    <row r="64114" spans="1:2" x14ac:dyDescent="0.25">
      <c r="A64114" s="118"/>
      <c r="B64114" s="136"/>
    </row>
    <row r="64115" spans="1:2" x14ac:dyDescent="0.25">
      <c r="A64115" s="118"/>
      <c r="B64115" s="136"/>
    </row>
    <row r="64116" spans="1:2" x14ac:dyDescent="0.25">
      <c r="A64116" s="118"/>
      <c r="B64116" s="136"/>
    </row>
    <row r="64117" spans="1:2" x14ac:dyDescent="0.25">
      <c r="A64117" s="118"/>
      <c r="B64117" s="136"/>
    </row>
    <row r="64118" spans="1:2" x14ac:dyDescent="0.25">
      <c r="A64118" s="118"/>
      <c r="B64118" s="136"/>
    </row>
    <row r="64119" spans="1:2" x14ac:dyDescent="0.25">
      <c r="A64119" s="118"/>
      <c r="B64119" s="136"/>
    </row>
    <row r="64120" spans="1:2" x14ac:dyDescent="0.25">
      <c r="A64120" s="118"/>
      <c r="B64120" s="136"/>
    </row>
    <row r="64121" spans="1:2" x14ac:dyDescent="0.25">
      <c r="A64121" s="118"/>
      <c r="B64121" s="136"/>
    </row>
    <row r="64122" spans="1:2" x14ac:dyDescent="0.25">
      <c r="A64122" s="118"/>
      <c r="B64122" s="136"/>
    </row>
    <row r="64123" spans="1:2" x14ac:dyDescent="0.25">
      <c r="A64123" s="118"/>
      <c r="B64123" s="136"/>
    </row>
    <row r="64124" spans="1:2" x14ac:dyDescent="0.25">
      <c r="A64124" s="118"/>
      <c r="B64124" s="136"/>
    </row>
    <row r="64125" spans="1:2" x14ac:dyDescent="0.25">
      <c r="A64125" s="118"/>
      <c r="B64125" s="136"/>
    </row>
    <row r="64126" spans="1:2" x14ac:dyDescent="0.25">
      <c r="A64126" s="118"/>
      <c r="B64126" s="136"/>
    </row>
    <row r="64127" spans="1:2" x14ac:dyDescent="0.25">
      <c r="A64127" s="118"/>
      <c r="B64127" s="136"/>
    </row>
    <row r="64128" spans="1:2" x14ac:dyDescent="0.25">
      <c r="A64128" s="118"/>
      <c r="B64128" s="136"/>
    </row>
    <row r="64129" spans="1:2" x14ac:dyDescent="0.25">
      <c r="A64129" s="118"/>
      <c r="B64129" s="136"/>
    </row>
    <row r="64130" spans="1:2" x14ac:dyDescent="0.25">
      <c r="A64130" s="118"/>
      <c r="B64130" s="136"/>
    </row>
    <row r="64131" spans="1:2" x14ac:dyDescent="0.25">
      <c r="A64131" s="118"/>
      <c r="B64131" s="136"/>
    </row>
    <row r="64132" spans="1:2" x14ac:dyDescent="0.25">
      <c r="A64132" s="118"/>
      <c r="B64132" s="136"/>
    </row>
    <row r="64133" spans="1:2" x14ac:dyDescent="0.25">
      <c r="A64133" s="118"/>
      <c r="B64133" s="136"/>
    </row>
    <row r="64134" spans="1:2" x14ac:dyDescent="0.25">
      <c r="A64134" s="118"/>
      <c r="B64134" s="136"/>
    </row>
    <row r="64135" spans="1:2" x14ac:dyDescent="0.25">
      <c r="A64135" s="118"/>
      <c r="B64135" s="136"/>
    </row>
    <row r="64136" spans="1:2" x14ac:dyDescent="0.25">
      <c r="A64136" s="118"/>
      <c r="B64136" s="136"/>
    </row>
    <row r="64137" spans="1:2" x14ac:dyDescent="0.25">
      <c r="A64137" s="118"/>
      <c r="B64137" s="136"/>
    </row>
    <row r="64138" spans="1:2" x14ac:dyDescent="0.25">
      <c r="A64138" s="118"/>
      <c r="B64138" s="136"/>
    </row>
    <row r="64139" spans="1:2" x14ac:dyDescent="0.25">
      <c r="A64139" s="118"/>
      <c r="B64139" s="136"/>
    </row>
    <row r="64140" spans="1:2" x14ac:dyDescent="0.25">
      <c r="A64140" s="118"/>
      <c r="B64140" s="136"/>
    </row>
    <row r="64141" spans="1:2" x14ac:dyDescent="0.25">
      <c r="A64141" s="118"/>
      <c r="B64141" s="136"/>
    </row>
    <row r="64142" spans="1:2" x14ac:dyDescent="0.25">
      <c r="A64142" s="118"/>
      <c r="B64142" s="136"/>
    </row>
    <row r="64143" spans="1:2" x14ac:dyDescent="0.25">
      <c r="A64143" s="118"/>
      <c r="B64143" s="136"/>
    </row>
    <row r="64144" spans="1:2" x14ac:dyDescent="0.25">
      <c r="A64144" s="118"/>
      <c r="B64144" s="136"/>
    </row>
    <row r="64145" spans="1:2" x14ac:dyDescent="0.25">
      <c r="A64145" s="118"/>
      <c r="B64145" s="136"/>
    </row>
    <row r="64146" spans="1:2" x14ac:dyDescent="0.25">
      <c r="A64146" s="118"/>
      <c r="B64146" s="136"/>
    </row>
    <row r="64147" spans="1:2" x14ac:dyDescent="0.25">
      <c r="A64147" s="118"/>
      <c r="B64147" s="136"/>
    </row>
    <row r="64148" spans="1:2" x14ac:dyDescent="0.25">
      <c r="A64148" s="118"/>
      <c r="B64148" s="136"/>
    </row>
    <row r="64149" spans="1:2" x14ac:dyDescent="0.25">
      <c r="A64149" s="118"/>
      <c r="B64149" s="136"/>
    </row>
    <row r="64150" spans="1:2" x14ac:dyDescent="0.25">
      <c r="A64150" s="118"/>
      <c r="B64150" s="136"/>
    </row>
    <row r="64151" spans="1:2" x14ac:dyDescent="0.25">
      <c r="A64151" s="118"/>
      <c r="B64151" s="136"/>
    </row>
    <row r="64152" spans="1:2" x14ac:dyDescent="0.25">
      <c r="A64152" s="118"/>
      <c r="B64152" s="136"/>
    </row>
    <row r="64153" spans="1:2" x14ac:dyDescent="0.25">
      <c r="A64153" s="118"/>
      <c r="B64153" s="136"/>
    </row>
    <row r="64154" spans="1:2" x14ac:dyDescent="0.25">
      <c r="A64154" s="118"/>
      <c r="B64154" s="136"/>
    </row>
    <row r="64155" spans="1:2" x14ac:dyDescent="0.25">
      <c r="A64155" s="118"/>
      <c r="B64155" s="136"/>
    </row>
    <row r="64156" spans="1:2" x14ac:dyDescent="0.25">
      <c r="A64156" s="118"/>
      <c r="B64156" s="136"/>
    </row>
    <row r="64157" spans="1:2" x14ac:dyDescent="0.25">
      <c r="A64157" s="118"/>
      <c r="B64157" s="136"/>
    </row>
    <row r="64158" spans="1:2" x14ac:dyDescent="0.25">
      <c r="A64158" s="118"/>
      <c r="B64158" s="136"/>
    </row>
    <row r="64159" spans="1:2" x14ac:dyDescent="0.25">
      <c r="A64159" s="118"/>
      <c r="B64159" s="136"/>
    </row>
    <row r="64160" spans="1:2" x14ac:dyDescent="0.25">
      <c r="A64160" s="118"/>
      <c r="B64160" s="136"/>
    </row>
    <row r="64161" spans="1:2" x14ac:dyDescent="0.25">
      <c r="A64161" s="118"/>
      <c r="B64161" s="136"/>
    </row>
    <row r="64162" spans="1:2" x14ac:dyDescent="0.25">
      <c r="A64162" s="118"/>
      <c r="B64162" s="136"/>
    </row>
    <row r="64163" spans="1:2" x14ac:dyDescent="0.25">
      <c r="A64163" s="118"/>
      <c r="B64163" s="136"/>
    </row>
    <row r="64164" spans="1:2" x14ac:dyDescent="0.25">
      <c r="A64164" s="118"/>
      <c r="B64164" s="136"/>
    </row>
    <row r="64165" spans="1:2" x14ac:dyDescent="0.25">
      <c r="A64165" s="118"/>
      <c r="B64165" s="136"/>
    </row>
    <row r="64166" spans="1:2" x14ac:dyDescent="0.25">
      <c r="A64166" s="118"/>
      <c r="B64166" s="136"/>
    </row>
    <row r="64167" spans="1:2" x14ac:dyDescent="0.25">
      <c r="A64167" s="118"/>
      <c r="B64167" s="136"/>
    </row>
    <row r="64168" spans="1:2" x14ac:dyDescent="0.25">
      <c r="A64168" s="118"/>
      <c r="B64168" s="136"/>
    </row>
    <row r="64169" spans="1:2" x14ac:dyDescent="0.25">
      <c r="A64169" s="118"/>
      <c r="B64169" s="136"/>
    </row>
    <row r="64170" spans="1:2" x14ac:dyDescent="0.25">
      <c r="A64170" s="118"/>
      <c r="B64170" s="136"/>
    </row>
    <row r="64171" spans="1:2" x14ac:dyDescent="0.25">
      <c r="A64171" s="118"/>
      <c r="B64171" s="136"/>
    </row>
    <row r="64172" spans="1:2" x14ac:dyDescent="0.25">
      <c r="A64172" s="118"/>
      <c r="B64172" s="136"/>
    </row>
    <row r="64173" spans="1:2" x14ac:dyDescent="0.25">
      <c r="A64173" s="118"/>
      <c r="B64173" s="136"/>
    </row>
    <row r="64174" spans="1:2" x14ac:dyDescent="0.25">
      <c r="A64174" s="118"/>
      <c r="B64174" s="136"/>
    </row>
    <row r="64175" spans="1:2" x14ac:dyDescent="0.25">
      <c r="A64175" s="118"/>
      <c r="B64175" s="136"/>
    </row>
    <row r="64176" spans="1:2" x14ac:dyDescent="0.25">
      <c r="A64176" s="118"/>
      <c r="B64176" s="136"/>
    </row>
    <row r="64177" spans="1:2" x14ac:dyDescent="0.25">
      <c r="A64177" s="118"/>
      <c r="B64177" s="136"/>
    </row>
    <row r="64178" spans="1:2" x14ac:dyDescent="0.25">
      <c r="A64178" s="118"/>
      <c r="B64178" s="136"/>
    </row>
    <row r="64179" spans="1:2" x14ac:dyDescent="0.25">
      <c r="A64179" s="118"/>
      <c r="B64179" s="136"/>
    </row>
    <row r="64180" spans="1:2" x14ac:dyDescent="0.25">
      <c r="A64180" s="118"/>
      <c r="B64180" s="136"/>
    </row>
    <row r="64181" spans="1:2" x14ac:dyDescent="0.25">
      <c r="A64181" s="118"/>
      <c r="B64181" s="136"/>
    </row>
    <row r="64182" spans="1:2" x14ac:dyDescent="0.25">
      <c r="A64182" s="118"/>
      <c r="B64182" s="136"/>
    </row>
    <row r="64183" spans="1:2" x14ac:dyDescent="0.25">
      <c r="A64183" s="118"/>
      <c r="B64183" s="136"/>
    </row>
    <row r="64184" spans="1:2" x14ac:dyDescent="0.25">
      <c r="A64184" s="118"/>
      <c r="B64184" s="136"/>
    </row>
    <row r="64185" spans="1:2" x14ac:dyDescent="0.25">
      <c r="A64185" s="118"/>
      <c r="B64185" s="136"/>
    </row>
    <row r="64186" spans="1:2" x14ac:dyDescent="0.25">
      <c r="A64186" s="118"/>
      <c r="B64186" s="136"/>
    </row>
    <row r="64187" spans="1:2" x14ac:dyDescent="0.25">
      <c r="A64187" s="118"/>
      <c r="B64187" s="136"/>
    </row>
    <row r="64188" spans="1:2" x14ac:dyDescent="0.25">
      <c r="A64188" s="118"/>
      <c r="B64188" s="136"/>
    </row>
    <row r="64189" spans="1:2" x14ac:dyDescent="0.25">
      <c r="A64189" s="118"/>
      <c r="B64189" s="136"/>
    </row>
    <row r="64190" spans="1:2" x14ac:dyDescent="0.25">
      <c r="A64190" s="118"/>
      <c r="B64190" s="136"/>
    </row>
    <row r="64191" spans="1:2" x14ac:dyDescent="0.25">
      <c r="A64191" s="118"/>
      <c r="B64191" s="136"/>
    </row>
    <row r="64192" spans="1:2" x14ac:dyDescent="0.25">
      <c r="A64192" s="118"/>
      <c r="B64192" s="136"/>
    </row>
    <row r="64193" spans="1:2" x14ac:dyDescent="0.25">
      <c r="A64193" s="118"/>
      <c r="B64193" s="136"/>
    </row>
    <row r="64194" spans="1:2" x14ac:dyDescent="0.25">
      <c r="A64194" s="118"/>
      <c r="B64194" s="136"/>
    </row>
    <row r="64195" spans="1:2" x14ac:dyDescent="0.25">
      <c r="A64195" s="118"/>
      <c r="B64195" s="136"/>
    </row>
    <row r="64196" spans="1:2" x14ac:dyDescent="0.25">
      <c r="A64196" s="118"/>
      <c r="B64196" s="136"/>
    </row>
    <row r="64197" spans="1:2" x14ac:dyDescent="0.25">
      <c r="A64197" s="118"/>
      <c r="B64197" s="136"/>
    </row>
    <row r="64198" spans="1:2" x14ac:dyDescent="0.25">
      <c r="A64198" s="118"/>
      <c r="B64198" s="136"/>
    </row>
    <row r="64199" spans="1:2" x14ac:dyDescent="0.25">
      <c r="A64199" s="118"/>
      <c r="B64199" s="136"/>
    </row>
    <row r="64200" spans="1:2" x14ac:dyDescent="0.25">
      <c r="A64200" s="118"/>
      <c r="B64200" s="136"/>
    </row>
    <row r="64201" spans="1:2" x14ac:dyDescent="0.25">
      <c r="A64201" s="118"/>
      <c r="B64201" s="136"/>
    </row>
    <row r="64202" spans="1:2" x14ac:dyDescent="0.25">
      <c r="A64202" s="118"/>
      <c r="B64202" s="136"/>
    </row>
    <row r="64203" spans="1:2" x14ac:dyDescent="0.25">
      <c r="A64203" s="118"/>
      <c r="B64203" s="136"/>
    </row>
    <row r="64204" spans="1:2" x14ac:dyDescent="0.25">
      <c r="A64204" s="118"/>
      <c r="B64204" s="136"/>
    </row>
    <row r="64205" spans="1:2" x14ac:dyDescent="0.25">
      <c r="A64205" s="118"/>
      <c r="B64205" s="136"/>
    </row>
    <row r="64206" spans="1:2" x14ac:dyDescent="0.25">
      <c r="A64206" s="118"/>
      <c r="B64206" s="136"/>
    </row>
    <row r="64207" spans="1:2" x14ac:dyDescent="0.25">
      <c r="A64207" s="118"/>
      <c r="B64207" s="136"/>
    </row>
    <row r="64208" spans="1:2" x14ac:dyDescent="0.25">
      <c r="A64208" s="118"/>
      <c r="B64208" s="136"/>
    </row>
    <row r="64209" spans="1:2" x14ac:dyDescent="0.25">
      <c r="A64209" s="118"/>
      <c r="B64209" s="136"/>
    </row>
    <row r="64210" spans="1:2" x14ac:dyDescent="0.25">
      <c r="A64210" s="118"/>
      <c r="B64210" s="136"/>
    </row>
    <row r="64211" spans="1:2" x14ac:dyDescent="0.25">
      <c r="A64211" s="118"/>
      <c r="B64211" s="136"/>
    </row>
    <row r="64212" spans="1:2" x14ac:dyDescent="0.25">
      <c r="A64212" s="118"/>
      <c r="B64212" s="136"/>
    </row>
    <row r="64213" spans="1:2" x14ac:dyDescent="0.25">
      <c r="A64213" s="118"/>
      <c r="B64213" s="136"/>
    </row>
    <row r="64214" spans="1:2" x14ac:dyDescent="0.25">
      <c r="A64214" s="118"/>
      <c r="B64214" s="136"/>
    </row>
    <row r="64215" spans="1:2" x14ac:dyDescent="0.25">
      <c r="A64215" s="118"/>
      <c r="B64215" s="136"/>
    </row>
    <row r="64216" spans="1:2" x14ac:dyDescent="0.25">
      <c r="A64216" s="118"/>
      <c r="B64216" s="136"/>
    </row>
    <row r="64217" spans="1:2" x14ac:dyDescent="0.25">
      <c r="A64217" s="118"/>
      <c r="B64217" s="136"/>
    </row>
    <row r="64218" spans="1:2" x14ac:dyDescent="0.25">
      <c r="A64218" s="118"/>
      <c r="B64218" s="136"/>
    </row>
    <row r="64219" spans="1:2" x14ac:dyDescent="0.25">
      <c r="A64219" s="118"/>
      <c r="B64219" s="136"/>
    </row>
    <row r="64220" spans="1:2" x14ac:dyDescent="0.25">
      <c r="A64220" s="118"/>
      <c r="B64220" s="136"/>
    </row>
    <row r="64221" spans="1:2" x14ac:dyDescent="0.25">
      <c r="A64221" s="118"/>
      <c r="B64221" s="136"/>
    </row>
    <row r="64222" spans="1:2" x14ac:dyDescent="0.25">
      <c r="A64222" s="118"/>
      <c r="B64222" s="136"/>
    </row>
    <row r="64223" spans="1:2" x14ac:dyDescent="0.25">
      <c r="A64223" s="118"/>
      <c r="B64223" s="136"/>
    </row>
    <row r="64224" spans="1:2" x14ac:dyDescent="0.25">
      <c r="A64224" s="118"/>
      <c r="B64224" s="136"/>
    </row>
    <row r="64225" spans="1:2" x14ac:dyDescent="0.25">
      <c r="A64225" s="118"/>
      <c r="B64225" s="136"/>
    </row>
    <row r="64226" spans="1:2" x14ac:dyDescent="0.25">
      <c r="A64226" s="118"/>
      <c r="B64226" s="136"/>
    </row>
    <row r="64227" spans="1:2" x14ac:dyDescent="0.25">
      <c r="A64227" s="118"/>
      <c r="B64227" s="136"/>
    </row>
    <row r="64228" spans="1:2" x14ac:dyDescent="0.25">
      <c r="A64228" s="118"/>
      <c r="B64228" s="136"/>
    </row>
    <row r="64229" spans="1:2" x14ac:dyDescent="0.25">
      <c r="A64229" s="118"/>
      <c r="B64229" s="136"/>
    </row>
    <row r="64230" spans="1:2" x14ac:dyDescent="0.25">
      <c r="A64230" s="118"/>
      <c r="B64230" s="136"/>
    </row>
    <row r="64231" spans="1:2" x14ac:dyDescent="0.25">
      <c r="A64231" s="118"/>
      <c r="B64231" s="136"/>
    </row>
    <row r="64232" spans="1:2" x14ac:dyDescent="0.25">
      <c r="A64232" s="118"/>
      <c r="B64232" s="136"/>
    </row>
    <row r="64233" spans="1:2" x14ac:dyDescent="0.25">
      <c r="A64233" s="118"/>
      <c r="B64233" s="136"/>
    </row>
    <row r="64234" spans="1:2" x14ac:dyDescent="0.25">
      <c r="A64234" s="118"/>
      <c r="B64234" s="136"/>
    </row>
    <row r="64235" spans="1:2" x14ac:dyDescent="0.25">
      <c r="A64235" s="118"/>
      <c r="B64235" s="136"/>
    </row>
    <row r="64236" spans="1:2" x14ac:dyDescent="0.25">
      <c r="A64236" s="118"/>
      <c r="B64236" s="136"/>
    </row>
    <row r="64237" spans="1:2" x14ac:dyDescent="0.25">
      <c r="A64237" s="118"/>
      <c r="B64237" s="136"/>
    </row>
    <row r="64238" spans="1:2" x14ac:dyDescent="0.25">
      <c r="A64238" s="118"/>
      <c r="B64238" s="136"/>
    </row>
    <row r="64239" spans="1:2" x14ac:dyDescent="0.25">
      <c r="A64239" s="118"/>
      <c r="B64239" s="136"/>
    </row>
    <row r="64240" spans="1:2" x14ac:dyDescent="0.25">
      <c r="A64240" s="118"/>
      <c r="B64240" s="136"/>
    </row>
    <row r="64241" spans="1:2" x14ac:dyDescent="0.25">
      <c r="A64241" s="118"/>
      <c r="B64241" s="136"/>
    </row>
    <row r="64242" spans="1:2" x14ac:dyDescent="0.25">
      <c r="A64242" s="118"/>
      <c r="B64242" s="136"/>
    </row>
    <row r="64243" spans="1:2" x14ac:dyDescent="0.25">
      <c r="A64243" s="118"/>
      <c r="B64243" s="136"/>
    </row>
    <row r="64244" spans="1:2" x14ac:dyDescent="0.25">
      <c r="A64244" s="118"/>
      <c r="B64244" s="136"/>
    </row>
    <row r="64245" spans="1:2" x14ac:dyDescent="0.25">
      <c r="A64245" s="118"/>
      <c r="B64245" s="136"/>
    </row>
    <row r="64246" spans="1:2" x14ac:dyDescent="0.25">
      <c r="A64246" s="118"/>
      <c r="B64246" s="136"/>
    </row>
    <row r="64247" spans="1:2" x14ac:dyDescent="0.25">
      <c r="A64247" s="118"/>
      <c r="B64247" s="136"/>
    </row>
    <row r="64248" spans="1:2" x14ac:dyDescent="0.25">
      <c r="A64248" s="118"/>
      <c r="B64248" s="136"/>
    </row>
    <row r="64249" spans="1:2" x14ac:dyDescent="0.25">
      <c r="A64249" s="118"/>
      <c r="B64249" s="136"/>
    </row>
    <row r="64250" spans="1:2" x14ac:dyDescent="0.25">
      <c r="A64250" s="118"/>
      <c r="B64250" s="136"/>
    </row>
    <row r="64251" spans="1:2" x14ac:dyDescent="0.25">
      <c r="A64251" s="118"/>
      <c r="B64251" s="136"/>
    </row>
    <row r="64252" spans="1:2" x14ac:dyDescent="0.25">
      <c r="A64252" s="118"/>
      <c r="B64252" s="136"/>
    </row>
    <row r="64253" spans="1:2" x14ac:dyDescent="0.25">
      <c r="A64253" s="118"/>
      <c r="B64253" s="136"/>
    </row>
    <row r="64254" spans="1:2" x14ac:dyDescent="0.25">
      <c r="A64254" s="118"/>
      <c r="B64254" s="136"/>
    </row>
    <row r="64255" spans="1:2" x14ac:dyDescent="0.25">
      <c r="A64255" s="118"/>
      <c r="B64255" s="136"/>
    </row>
    <row r="64256" spans="1:2" x14ac:dyDescent="0.25">
      <c r="A64256" s="118"/>
      <c r="B64256" s="136"/>
    </row>
    <row r="64257" spans="1:2" x14ac:dyDescent="0.25">
      <c r="A64257" s="118"/>
      <c r="B64257" s="136"/>
    </row>
    <row r="64258" spans="1:2" x14ac:dyDescent="0.25">
      <c r="A64258" s="118"/>
      <c r="B64258" s="136"/>
    </row>
    <row r="64259" spans="1:2" x14ac:dyDescent="0.25">
      <c r="A64259" s="118"/>
      <c r="B64259" s="136"/>
    </row>
    <row r="64260" spans="1:2" x14ac:dyDescent="0.25">
      <c r="A64260" s="118"/>
      <c r="B64260" s="136"/>
    </row>
    <row r="64261" spans="1:2" x14ac:dyDescent="0.25">
      <c r="A64261" s="118"/>
      <c r="B64261" s="136"/>
    </row>
    <row r="64262" spans="1:2" x14ac:dyDescent="0.25">
      <c r="A64262" s="118"/>
      <c r="B64262" s="136"/>
    </row>
    <row r="64263" spans="1:2" x14ac:dyDescent="0.25">
      <c r="A64263" s="118"/>
      <c r="B64263" s="136"/>
    </row>
    <row r="64264" spans="1:2" x14ac:dyDescent="0.25">
      <c r="A64264" s="118"/>
      <c r="B64264" s="136"/>
    </row>
    <row r="64265" spans="1:2" x14ac:dyDescent="0.25">
      <c r="A64265" s="118"/>
      <c r="B64265" s="136"/>
    </row>
    <row r="64266" spans="1:2" x14ac:dyDescent="0.25">
      <c r="A64266" s="118"/>
      <c r="B64266" s="136"/>
    </row>
    <row r="64267" spans="1:2" x14ac:dyDescent="0.25">
      <c r="A64267" s="118"/>
      <c r="B64267" s="136"/>
    </row>
    <row r="64268" spans="1:2" x14ac:dyDescent="0.25">
      <c r="A64268" s="118"/>
      <c r="B64268" s="136"/>
    </row>
    <row r="64269" spans="1:2" x14ac:dyDescent="0.25">
      <c r="A64269" s="118"/>
      <c r="B64269" s="136"/>
    </row>
    <row r="64270" spans="1:2" x14ac:dyDescent="0.25">
      <c r="A64270" s="118"/>
      <c r="B64270" s="136"/>
    </row>
    <row r="64271" spans="1:2" x14ac:dyDescent="0.25">
      <c r="A64271" s="118"/>
      <c r="B64271" s="136"/>
    </row>
    <row r="64272" spans="1:2" x14ac:dyDescent="0.25">
      <c r="A64272" s="118"/>
      <c r="B64272" s="136"/>
    </row>
    <row r="64273" spans="1:2" x14ac:dyDescent="0.25">
      <c r="A64273" s="118"/>
      <c r="B64273" s="136"/>
    </row>
    <row r="64274" spans="1:2" x14ac:dyDescent="0.25">
      <c r="A64274" s="118"/>
      <c r="B64274" s="136"/>
    </row>
    <row r="64275" spans="1:2" x14ac:dyDescent="0.25">
      <c r="A64275" s="118"/>
      <c r="B64275" s="136"/>
    </row>
    <row r="64276" spans="1:2" x14ac:dyDescent="0.25">
      <c r="A64276" s="118"/>
      <c r="B64276" s="136"/>
    </row>
    <row r="64277" spans="1:2" x14ac:dyDescent="0.25">
      <c r="A64277" s="118"/>
      <c r="B64277" s="136"/>
    </row>
    <row r="64278" spans="1:2" x14ac:dyDescent="0.25">
      <c r="A64278" s="118"/>
      <c r="B64278" s="136"/>
    </row>
    <row r="64279" spans="1:2" x14ac:dyDescent="0.25">
      <c r="A64279" s="118"/>
      <c r="B64279" s="136"/>
    </row>
    <row r="64280" spans="1:2" x14ac:dyDescent="0.25">
      <c r="A64280" s="118"/>
      <c r="B64280" s="136"/>
    </row>
    <row r="64281" spans="1:2" x14ac:dyDescent="0.25">
      <c r="A64281" s="118"/>
      <c r="B64281" s="136"/>
    </row>
    <row r="64282" spans="1:2" x14ac:dyDescent="0.25">
      <c r="A64282" s="118"/>
      <c r="B64282" s="136"/>
    </row>
    <row r="64283" spans="1:2" x14ac:dyDescent="0.25">
      <c r="A64283" s="118"/>
      <c r="B64283" s="136"/>
    </row>
    <row r="64284" spans="1:2" x14ac:dyDescent="0.25">
      <c r="A64284" s="118"/>
      <c r="B64284" s="136"/>
    </row>
    <row r="64285" spans="1:2" x14ac:dyDescent="0.25">
      <c r="A64285" s="118"/>
      <c r="B64285" s="136"/>
    </row>
    <row r="64286" spans="1:2" x14ac:dyDescent="0.25">
      <c r="A64286" s="118"/>
      <c r="B64286" s="136"/>
    </row>
    <row r="64287" spans="1:2" x14ac:dyDescent="0.25">
      <c r="A64287" s="118"/>
      <c r="B64287" s="136"/>
    </row>
    <row r="64288" spans="1:2" x14ac:dyDescent="0.25">
      <c r="A64288" s="118"/>
      <c r="B64288" s="136"/>
    </row>
    <row r="64289" spans="1:2" x14ac:dyDescent="0.25">
      <c r="A64289" s="118"/>
      <c r="B64289" s="136"/>
    </row>
    <row r="64290" spans="1:2" x14ac:dyDescent="0.25">
      <c r="A64290" s="118"/>
      <c r="B64290" s="136"/>
    </row>
    <row r="64291" spans="1:2" x14ac:dyDescent="0.25">
      <c r="A64291" s="118"/>
      <c r="B64291" s="136"/>
    </row>
    <row r="64292" spans="1:2" x14ac:dyDescent="0.25">
      <c r="A64292" s="118"/>
      <c r="B64292" s="136"/>
    </row>
    <row r="64293" spans="1:2" x14ac:dyDescent="0.25">
      <c r="A64293" s="118"/>
      <c r="B64293" s="136"/>
    </row>
    <row r="64294" spans="1:2" x14ac:dyDescent="0.25">
      <c r="A64294" s="118"/>
      <c r="B64294" s="136"/>
    </row>
    <row r="64295" spans="1:2" x14ac:dyDescent="0.25">
      <c r="A64295" s="118"/>
      <c r="B64295" s="136"/>
    </row>
    <row r="64296" spans="1:2" x14ac:dyDescent="0.25">
      <c r="A64296" s="118"/>
      <c r="B64296" s="136"/>
    </row>
    <row r="64297" spans="1:2" x14ac:dyDescent="0.25">
      <c r="A64297" s="118"/>
      <c r="B64297" s="136"/>
    </row>
    <row r="64298" spans="1:2" x14ac:dyDescent="0.25">
      <c r="A64298" s="118"/>
      <c r="B64298" s="136"/>
    </row>
    <row r="64299" spans="1:2" x14ac:dyDescent="0.25">
      <c r="A64299" s="118"/>
      <c r="B64299" s="136"/>
    </row>
    <row r="64300" spans="1:2" x14ac:dyDescent="0.25">
      <c r="A64300" s="118"/>
      <c r="B64300" s="136"/>
    </row>
    <row r="64301" spans="1:2" x14ac:dyDescent="0.25">
      <c r="A64301" s="118"/>
      <c r="B64301" s="136"/>
    </row>
    <row r="64302" spans="1:2" x14ac:dyDescent="0.25">
      <c r="A64302" s="118"/>
      <c r="B64302" s="136"/>
    </row>
    <row r="64303" spans="1:2" x14ac:dyDescent="0.25">
      <c r="A64303" s="118"/>
      <c r="B64303" s="136"/>
    </row>
    <row r="64304" spans="1:2" x14ac:dyDescent="0.25">
      <c r="A64304" s="118"/>
      <c r="B64304" s="136"/>
    </row>
    <row r="64305" spans="1:2" x14ac:dyDescent="0.25">
      <c r="A64305" s="118"/>
      <c r="B64305" s="136"/>
    </row>
    <row r="64306" spans="1:2" x14ac:dyDescent="0.25">
      <c r="A64306" s="118"/>
      <c r="B64306" s="136"/>
    </row>
    <row r="64307" spans="1:2" x14ac:dyDescent="0.25">
      <c r="A64307" s="118"/>
      <c r="B64307" s="136"/>
    </row>
    <row r="64308" spans="1:2" x14ac:dyDescent="0.25">
      <c r="A64308" s="118"/>
      <c r="B64308" s="136"/>
    </row>
    <row r="64309" spans="1:2" x14ac:dyDescent="0.25">
      <c r="A64309" s="118"/>
      <c r="B64309" s="136"/>
    </row>
    <row r="64310" spans="1:2" x14ac:dyDescent="0.25">
      <c r="A64310" s="118"/>
      <c r="B64310" s="136"/>
    </row>
    <row r="64311" spans="1:2" x14ac:dyDescent="0.25">
      <c r="A64311" s="118"/>
      <c r="B64311" s="136"/>
    </row>
    <row r="64312" spans="1:2" x14ac:dyDescent="0.25">
      <c r="A64312" s="118"/>
      <c r="B64312" s="136"/>
    </row>
    <row r="64313" spans="1:2" x14ac:dyDescent="0.25">
      <c r="A64313" s="118"/>
      <c r="B64313" s="136"/>
    </row>
    <row r="64314" spans="1:2" x14ac:dyDescent="0.25">
      <c r="A64314" s="118"/>
      <c r="B64314" s="136"/>
    </row>
    <row r="64315" spans="1:2" x14ac:dyDescent="0.25">
      <c r="A64315" s="118"/>
      <c r="B64315" s="136"/>
    </row>
    <row r="64316" spans="1:2" x14ac:dyDescent="0.25">
      <c r="A64316" s="118"/>
      <c r="B64316" s="136"/>
    </row>
    <row r="64317" spans="1:2" x14ac:dyDescent="0.25">
      <c r="A64317" s="118"/>
      <c r="B64317" s="136"/>
    </row>
    <row r="64318" spans="1:2" x14ac:dyDescent="0.25">
      <c r="A64318" s="118"/>
      <c r="B64318" s="136"/>
    </row>
    <row r="64319" spans="1:2" x14ac:dyDescent="0.25">
      <c r="A64319" s="118"/>
      <c r="B64319" s="136"/>
    </row>
    <row r="64320" spans="1:2" x14ac:dyDescent="0.25">
      <c r="A64320" s="118"/>
      <c r="B64320" s="136"/>
    </row>
    <row r="64321" spans="1:2" x14ac:dyDescent="0.25">
      <c r="A64321" s="118"/>
      <c r="B64321" s="136"/>
    </row>
    <row r="64322" spans="1:2" x14ac:dyDescent="0.25">
      <c r="A64322" s="118"/>
      <c r="B64322" s="136"/>
    </row>
    <row r="64323" spans="1:2" x14ac:dyDescent="0.25">
      <c r="A64323" s="118"/>
      <c r="B64323" s="136"/>
    </row>
    <row r="64324" spans="1:2" x14ac:dyDescent="0.25">
      <c r="A64324" s="118"/>
      <c r="B64324" s="136"/>
    </row>
    <row r="64325" spans="1:2" x14ac:dyDescent="0.25">
      <c r="A64325" s="118"/>
      <c r="B64325" s="136"/>
    </row>
    <row r="64326" spans="1:2" x14ac:dyDescent="0.25">
      <c r="A64326" s="118"/>
      <c r="B64326" s="136"/>
    </row>
    <row r="64327" spans="1:2" x14ac:dyDescent="0.25">
      <c r="A64327" s="118"/>
      <c r="B64327" s="136"/>
    </row>
    <row r="64328" spans="1:2" x14ac:dyDescent="0.25">
      <c r="A64328" s="118"/>
      <c r="B64328" s="136"/>
    </row>
    <row r="64329" spans="1:2" x14ac:dyDescent="0.25">
      <c r="A64329" s="118"/>
      <c r="B64329" s="136"/>
    </row>
    <row r="64330" spans="1:2" x14ac:dyDescent="0.25">
      <c r="A64330" s="118"/>
      <c r="B64330" s="136"/>
    </row>
    <row r="64331" spans="1:2" x14ac:dyDescent="0.25">
      <c r="A64331" s="118"/>
      <c r="B64331" s="136"/>
    </row>
    <row r="64332" spans="1:2" x14ac:dyDescent="0.25">
      <c r="A64332" s="118"/>
      <c r="B64332" s="136"/>
    </row>
    <row r="64333" spans="1:2" x14ac:dyDescent="0.25">
      <c r="A64333" s="118"/>
      <c r="B64333" s="136"/>
    </row>
    <row r="64334" spans="1:2" x14ac:dyDescent="0.25">
      <c r="A64334" s="118"/>
      <c r="B64334" s="136"/>
    </row>
    <row r="64335" spans="1:2" x14ac:dyDescent="0.25">
      <c r="A64335" s="118"/>
      <c r="B64335" s="136"/>
    </row>
    <row r="64336" spans="1:2" x14ac:dyDescent="0.25">
      <c r="A64336" s="118"/>
      <c r="B64336" s="136"/>
    </row>
    <row r="64337" spans="1:2" x14ac:dyDescent="0.25">
      <c r="A64337" s="118"/>
      <c r="B64337" s="136"/>
    </row>
    <row r="64338" spans="1:2" x14ac:dyDescent="0.25">
      <c r="A64338" s="118"/>
      <c r="B64338" s="136"/>
    </row>
    <row r="64339" spans="1:2" x14ac:dyDescent="0.25">
      <c r="A64339" s="118"/>
      <c r="B64339" s="136"/>
    </row>
    <row r="64340" spans="1:2" x14ac:dyDescent="0.25">
      <c r="A64340" s="118"/>
      <c r="B64340" s="136"/>
    </row>
    <row r="64341" spans="1:2" x14ac:dyDescent="0.25">
      <c r="A64341" s="118"/>
      <c r="B64341" s="136"/>
    </row>
    <row r="64342" spans="1:2" x14ac:dyDescent="0.25">
      <c r="A64342" s="118"/>
      <c r="B64342" s="136"/>
    </row>
    <row r="64343" spans="1:2" x14ac:dyDescent="0.25">
      <c r="A64343" s="118"/>
      <c r="B64343" s="136"/>
    </row>
    <row r="64344" spans="1:2" x14ac:dyDescent="0.25">
      <c r="A64344" s="118"/>
      <c r="B64344" s="136"/>
    </row>
    <row r="64345" spans="1:2" x14ac:dyDescent="0.25">
      <c r="A64345" s="118"/>
      <c r="B64345" s="136"/>
    </row>
    <row r="64346" spans="1:2" x14ac:dyDescent="0.25">
      <c r="A64346" s="118"/>
      <c r="B64346" s="136"/>
    </row>
    <row r="64347" spans="1:2" x14ac:dyDescent="0.25">
      <c r="A64347" s="118"/>
      <c r="B64347" s="136"/>
    </row>
    <row r="64348" spans="1:2" x14ac:dyDescent="0.25">
      <c r="A64348" s="118"/>
      <c r="B64348" s="136"/>
    </row>
    <row r="64349" spans="1:2" x14ac:dyDescent="0.25">
      <c r="A64349" s="118"/>
      <c r="B64349" s="136"/>
    </row>
    <row r="64350" spans="1:2" x14ac:dyDescent="0.25">
      <c r="A64350" s="118"/>
      <c r="B64350" s="136"/>
    </row>
    <row r="64351" spans="1:2" x14ac:dyDescent="0.25">
      <c r="A64351" s="118"/>
      <c r="B64351" s="136"/>
    </row>
    <row r="64352" spans="1:2" x14ac:dyDescent="0.25">
      <c r="A64352" s="118"/>
      <c r="B64352" s="136"/>
    </row>
    <row r="64353" spans="1:2" x14ac:dyDescent="0.25">
      <c r="A64353" s="118"/>
      <c r="B64353" s="136"/>
    </row>
    <row r="64354" spans="1:2" x14ac:dyDescent="0.25">
      <c r="A64354" s="118"/>
      <c r="B64354" s="136"/>
    </row>
    <row r="64355" spans="1:2" x14ac:dyDescent="0.25">
      <c r="A64355" s="118"/>
      <c r="B64355" s="136"/>
    </row>
    <row r="64356" spans="1:2" x14ac:dyDescent="0.25">
      <c r="A64356" s="118"/>
      <c r="B64356" s="136"/>
    </row>
    <row r="64357" spans="1:2" x14ac:dyDescent="0.25">
      <c r="A64357" s="118"/>
      <c r="B64357" s="136"/>
    </row>
    <row r="64358" spans="1:2" x14ac:dyDescent="0.25">
      <c r="A64358" s="118"/>
      <c r="B64358" s="136"/>
    </row>
    <row r="64359" spans="1:2" x14ac:dyDescent="0.25">
      <c r="A64359" s="118"/>
      <c r="B64359" s="136"/>
    </row>
    <row r="64360" spans="1:2" x14ac:dyDescent="0.25">
      <c r="A64360" s="118"/>
      <c r="B64360" s="136"/>
    </row>
    <row r="64361" spans="1:2" x14ac:dyDescent="0.25">
      <c r="A64361" s="118"/>
      <c r="B64361" s="136"/>
    </row>
    <row r="64362" spans="1:2" x14ac:dyDescent="0.25">
      <c r="A64362" s="118"/>
      <c r="B64362" s="136"/>
    </row>
    <row r="64363" spans="1:2" x14ac:dyDescent="0.25">
      <c r="A64363" s="118"/>
      <c r="B64363" s="136"/>
    </row>
    <row r="64364" spans="1:2" x14ac:dyDescent="0.25">
      <c r="A64364" s="118"/>
      <c r="B64364" s="136"/>
    </row>
    <row r="64365" spans="1:2" x14ac:dyDescent="0.25">
      <c r="A64365" s="118"/>
      <c r="B64365" s="136"/>
    </row>
    <row r="64366" spans="1:2" x14ac:dyDescent="0.25">
      <c r="A64366" s="118"/>
      <c r="B64366" s="136"/>
    </row>
    <row r="64367" spans="1:2" x14ac:dyDescent="0.25">
      <c r="A64367" s="118"/>
      <c r="B64367" s="136"/>
    </row>
    <row r="64368" spans="1:2" x14ac:dyDescent="0.25">
      <c r="A64368" s="118"/>
      <c r="B64368" s="136"/>
    </row>
    <row r="64369" spans="1:2" x14ac:dyDescent="0.25">
      <c r="A64369" s="118"/>
      <c r="B64369" s="136"/>
    </row>
    <row r="64370" spans="1:2" x14ac:dyDescent="0.25">
      <c r="A64370" s="118"/>
      <c r="B64370" s="136"/>
    </row>
    <row r="64371" spans="1:2" x14ac:dyDescent="0.25">
      <c r="A64371" s="118"/>
      <c r="B64371" s="136"/>
    </row>
    <row r="64372" spans="1:2" x14ac:dyDescent="0.25">
      <c r="A64372" s="118"/>
      <c r="B64372" s="136"/>
    </row>
    <row r="64373" spans="1:2" x14ac:dyDescent="0.25">
      <c r="A64373" s="118"/>
      <c r="B64373" s="136"/>
    </row>
    <row r="64374" spans="1:2" x14ac:dyDescent="0.25">
      <c r="A64374" s="118"/>
      <c r="B64374" s="136"/>
    </row>
    <row r="64375" spans="1:2" x14ac:dyDescent="0.25">
      <c r="A64375" s="118"/>
      <c r="B64375" s="136"/>
    </row>
    <row r="64376" spans="1:2" x14ac:dyDescent="0.25">
      <c r="A64376" s="118"/>
      <c r="B64376" s="136"/>
    </row>
    <row r="64377" spans="1:2" x14ac:dyDescent="0.25">
      <c r="A64377" s="118"/>
      <c r="B64377" s="136"/>
    </row>
    <row r="64378" spans="1:2" x14ac:dyDescent="0.25">
      <c r="A64378" s="118"/>
      <c r="B64378" s="136"/>
    </row>
    <row r="64379" spans="1:2" x14ac:dyDescent="0.25">
      <c r="A64379" s="118"/>
      <c r="B64379" s="136"/>
    </row>
    <row r="64380" spans="1:2" x14ac:dyDescent="0.25">
      <c r="A64380" s="118"/>
      <c r="B64380" s="136"/>
    </row>
    <row r="64381" spans="1:2" x14ac:dyDescent="0.25">
      <c r="A64381" s="118"/>
      <c r="B64381" s="136"/>
    </row>
    <row r="64382" spans="1:2" x14ac:dyDescent="0.25">
      <c r="A64382" s="118"/>
      <c r="B64382" s="136"/>
    </row>
    <row r="64383" spans="1:2" x14ac:dyDescent="0.25">
      <c r="A64383" s="118"/>
      <c r="B64383" s="136"/>
    </row>
    <row r="64384" spans="1:2" x14ac:dyDescent="0.25">
      <c r="A64384" s="118"/>
      <c r="B64384" s="136"/>
    </row>
    <row r="64385" spans="1:2" x14ac:dyDescent="0.25">
      <c r="A64385" s="118"/>
      <c r="B64385" s="136"/>
    </row>
    <row r="64386" spans="1:2" x14ac:dyDescent="0.25">
      <c r="A64386" s="118"/>
      <c r="B64386" s="136"/>
    </row>
    <row r="64387" spans="1:2" x14ac:dyDescent="0.25">
      <c r="A64387" s="118"/>
      <c r="B64387" s="136"/>
    </row>
    <row r="64388" spans="1:2" x14ac:dyDescent="0.25">
      <c r="A64388" s="118"/>
      <c r="B64388" s="136"/>
    </row>
    <row r="64389" spans="1:2" x14ac:dyDescent="0.25">
      <c r="A64389" s="118"/>
      <c r="B64389" s="136"/>
    </row>
    <row r="64390" spans="1:2" x14ac:dyDescent="0.25">
      <c r="A64390" s="118"/>
      <c r="B64390" s="136"/>
    </row>
    <row r="64391" spans="1:2" x14ac:dyDescent="0.25">
      <c r="A64391" s="118"/>
      <c r="B64391" s="136"/>
    </row>
    <row r="64392" spans="1:2" x14ac:dyDescent="0.25">
      <c r="A64392" s="118"/>
      <c r="B64392" s="136"/>
    </row>
    <row r="64393" spans="1:2" x14ac:dyDescent="0.25">
      <c r="A64393" s="118"/>
      <c r="B64393" s="136"/>
    </row>
    <row r="64394" spans="1:2" x14ac:dyDescent="0.25">
      <c r="A64394" s="118"/>
      <c r="B64394" s="136"/>
    </row>
    <row r="64395" spans="1:2" x14ac:dyDescent="0.25">
      <c r="A64395" s="118"/>
      <c r="B64395" s="136"/>
    </row>
    <row r="64396" spans="1:2" x14ac:dyDescent="0.25">
      <c r="A64396" s="118"/>
      <c r="B64396" s="136"/>
    </row>
    <row r="64397" spans="1:2" x14ac:dyDescent="0.25">
      <c r="A64397" s="118"/>
      <c r="B64397" s="136"/>
    </row>
    <row r="64398" spans="1:2" x14ac:dyDescent="0.25">
      <c r="A64398" s="118"/>
      <c r="B64398" s="136"/>
    </row>
    <row r="64399" spans="1:2" x14ac:dyDescent="0.25">
      <c r="A64399" s="118"/>
      <c r="B64399" s="136"/>
    </row>
    <row r="64400" spans="1:2" x14ac:dyDescent="0.25">
      <c r="A64400" s="118"/>
      <c r="B64400" s="136"/>
    </row>
    <row r="64401" spans="1:2" x14ac:dyDescent="0.25">
      <c r="A64401" s="118"/>
      <c r="B64401" s="136"/>
    </row>
    <row r="64402" spans="1:2" x14ac:dyDescent="0.25">
      <c r="A64402" s="118"/>
      <c r="B64402" s="136"/>
    </row>
    <row r="64403" spans="1:2" x14ac:dyDescent="0.25">
      <c r="A64403" s="118"/>
      <c r="B64403" s="136"/>
    </row>
    <row r="64404" spans="1:2" x14ac:dyDescent="0.25">
      <c r="A64404" s="118"/>
      <c r="B64404" s="136"/>
    </row>
    <row r="64405" spans="1:2" x14ac:dyDescent="0.25">
      <c r="A64405" s="118"/>
      <c r="B64405" s="136"/>
    </row>
    <row r="64406" spans="1:2" x14ac:dyDescent="0.25">
      <c r="A64406" s="118"/>
      <c r="B64406" s="136"/>
    </row>
    <row r="64407" spans="1:2" x14ac:dyDescent="0.25">
      <c r="A64407" s="118"/>
      <c r="B64407" s="136"/>
    </row>
    <row r="64408" spans="1:2" x14ac:dyDescent="0.25">
      <c r="A64408" s="118"/>
      <c r="B64408" s="136"/>
    </row>
    <row r="64409" spans="1:2" x14ac:dyDescent="0.25">
      <c r="A64409" s="118"/>
      <c r="B64409" s="136"/>
    </row>
    <row r="64410" spans="1:2" x14ac:dyDescent="0.25">
      <c r="A64410" s="118"/>
      <c r="B64410" s="136"/>
    </row>
    <row r="64411" spans="1:2" x14ac:dyDescent="0.25">
      <c r="A64411" s="118"/>
      <c r="B64411" s="136"/>
    </row>
    <row r="64412" spans="1:2" x14ac:dyDescent="0.25">
      <c r="A64412" s="118"/>
      <c r="B64412" s="136"/>
    </row>
    <row r="64413" spans="1:2" x14ac:dyDescent="0.25">
      <c r="A64413" s="118"/>
      <c r="B64413" s="136"/>
    </row>
    <row r="64414" spans="1:2" x14ac:dyDescent="0.25">
      <c r="A64414" s="118"/>
      <c r="B64414" s="136"/>
    </row>
    <row r="64415" spans="1:2" x14ac:dyDescent="0.25">
      <c r="A64415" s="118"/>
      <c r="B64415" s="136"/>
    </row>
    <row r="64416" spans="1:2" x14ac:dyDescent="0.25">
      <c r="A64416" s="118"/>
      <c r="B64416" s="136"/>
    </row>
    <row r="64417" spans="1:2" x14ac:dyDescent="0.25">
      <c r="A64417" s="118"/>
      <c r="B64417" s="136"/>
    </row>
    <row r="64418" spans="1:2" x14ac:dyDescent="0.25">
      <c r="A64418" s="118"/>
      <c r="B64418" s="136"/>
    </row>
    <row r="64419" spans="1:2" x14ac:dyDescent="0.25">
      <c r="A64419" s="118"/>
      <c r="B64419" s="136"/>
    </row>
    <row r="64420" spans="1:2" x14ac:dyDescent="0.25">
      <c r="A64420" s="118"/>
      <c r="B64420" s="136"/>
    </row>
    <row r="64421" spans="1:2" x14ac:dyDescent="0.25">
      <c r="A64421" s="118"/>
      <c r="B64421" s="136"/>
    </row>
    <row r="64422" spans="1:2" x14ac:dyDescent="0.25">
      <c r="A64422" s="118"/>
      <c r="B64422" s="136"/>
    </row>
    <row r="64423" spans="1:2" x14ac:dyDescent="0.25">
      <c r="A64423" s="118"/>
      <c r="B64423" s="136"/>
    </row>
    <row r="64424" spans="1:2" x14ac:dyDescent="0.25">
      <c r="A64424" s="118"/>
      <c r="B64424" s="136"/>
    </row>
    <row r="64425" spans="1:2" x14ac:dyDescent="0.25">
      <c r="A64425" s="118"/>
      <c r="B64425" s="136"/>
    </row>
    <row r="64426" spans="1:2" x14ac:dyDescent="0.25">
      <c r="A64426" s="118"/>
      <c r="B64426" s="136"/>
    </row>
    <row r="64427" spans="1:2" x14ac:dyDescent="0.25">
      <c r="A64427" s="118"/>
      <c r="B64427" s="136"/>
    </row>
    <row r="64428" spans="1:2" x14ac:dyDescent="0.25">
      <c r="A64428" s="118"/>
      <c r="B64428" s="136"/>
    </row>
    <row r="64429" spans="1:2" x14ac:dyDescent="0.25">
      <c r="A64429" s="118"/>
      <c r="B64429" s="136"/>
    </row>
    <row r="64430" spans="1:2" x14ac:dyDescent="0.25">
      <c r="A64430" s="118"/>
      <c r="B64430" s="136"/>
    </row>
    <row r="64431" spans="1:2" x14ac:dyDescent="0.25">
      <c r="A64431" s="118"/>
      <c r="B64431" s="136"/>
    </row>
    <row r="64432" spans="1:2" x14ac:dyDescent="0.25">
      <c r="A64432" s="118"/>
      <c r="B64432" s="136"/>
    </row>
    <row r="64433" spans="1:2" x14ac:dyDescent="0.25">
      <c r="A64433" s="118"/>
      <c r="B64433" s="136"/>
    </row>
    <row r="64434" spans="1:2" x14ac:dyDescent="0.25">
      <c r="A64434" s="118"/>
      <c r="B64434" s="136"/>
    </row>
    <row r="64435" spans="1:2" x14ac:dyDescent="0.25">
      <c r="A64435" s="118"/>
      <c r="B64435" s="136"/>
    </row>
    <row r="64436" spans="1:2" x14ac:dyDescent="0.25">
      <c r="A64436" s="118"/>
      <c r="B64436" s="136"/>
    </row>
    <row r="64437" spans="1:2" x14ac:dyDescent="0.25">
      <c r="A64437" s="118"/>
      <c r="B64437" s="136"/>
    </row>
    <row r="64438" spans="1:2" x14ac:dyDescent="0.25">
      <c r="A64438" s="118"/>
      <c r="B64438" s="136"/>
    </row>
    <row r="64439" spans="1:2" x14ac:dyDescent="0.25">
      <c r="A64439" s="118"/>
      <c r="B64439" s="136"/>
    </row>
    <row r="64440" spans="1:2" x14ac:dyDescent="0.25">
      <c r="A64440" s="118"/>
      <c r="B64440" s="136"/>
    </row>
    <row r="64441" spans="1:2" x14ac:dyDescent="0.25">
      <c r="A64441" s="118"/>
      <c r="B64441" s="136"/>
    </row>
    <row r="64442" spans="1:2" x14ac:dyDescent="0.25">
      <c r="A64442" s="118"/>
      <c r="B64442" s="136"/>
    </row>
    <row r="64443" spans="1:2" x14ac:dyDescent="0.25">
      <c r="A64443" s="118"/>
      <c r="B64443" s="136"/>
    </row>
    <row r="64444" spans="1:2" x14ac:dyDescent="0.25">
      <c r="A64444" s="118"/>
      <c r="B64444" s="136"/>
    </row>
    <row r="64445" spans="1:2" x14ac:dyDescent="0.25">
      <c r="A64445" s="118"/>
      <c r="B64445" s="136"/>
    </row>
    <row r="64446" spans="1:2" x14ac:dyDescent="0.25">
      <c r="A64446" s="118"/>
      <c r="B64446" s="136"/>
    </row>
    <row r="64447" spans="1:2" x14ac:dyDescent="0.25">
      <c r="A64447" s="118"/>
      <c r="B64447" s="136"/>
    </row>
    <row r="64448" spans="1:2" x14ac:dyDescent="0.25">
      <c r="A64448" s="118"/>
      <c r="B64448" s="136"/>
    </row>
    <row r="64449" spans="1:2" x14ac:dyDescent="0.25">
      <c r="A64449" s="118"/>
      <c r="B64449" s="136"/>
    </row>
    <row r="64450" spans="1:2" x14ac:dyDescent="0.25">
      <c r="A64450" s="118"/>
      <c r="B64450" s="136"/>
    </row>
    <row r="64451" spans="1:2" x14ac:dyDescent="0.25">
      <c r="A64451" s="118"/>
      <c r="B64451" s="136"/>
    </row>
    <row r="64452" spans="1:2" x14ac:dyDescent="0.25">
      <c r="A64452" s="118"/>
      <c r="B64452" s="136"/>
    </row>
    <row r="64453" spans="1:2" x14ac:dyDescent="0.25">
      <c r="A64453" s="118"/>
      <c r="B64453" s="136"/>
    </row>
    <row r="64454" spans="1:2" x14ac:dyDescent="0.25">
      <c r="A64454" s="118"/>
      <c r="B64454" s="136"/>
    </row>
    <row r="64455" spans="1:2" x14ac:dyDescent="0.25">
      <c r="A64455" s="118"/>
      <c r="B64455" s="136"/>
    </row>
    <row r="64456" spans="1:2" x14ac:dyDescent="0.25">
      <c r="A64456" s="118"/>
      <c r="B64456" s="136"/>
    </row>
    <row r="64457" spans="1:2" x14ac:dyDescent="0.25">
      <c r="A64457" s="118"/>
      <c r="B64457" s="136"/>
    </row>
    <row r="64458" spans="1:2" x14ac:dyDescent="0.25">
      <c r="A64458" s="118"/>
      <c r="B64458" s="136"/>
    </row>
    <row r="64459" spans="1:2" x14ac:dyDescent="0.25">
      <c r="A64459" s="118"/>
      <c r="B64459" s="136"/>
    </row>
    <row r="64460" spans="1:2" x14ac:dyDescent="0.25">
      <c r="A64460" s="118"/>
      <c r="B64460" s="136"/>
    </row>
    <row r="64461" spans="1:2" x14ac:dyDescent="0.25">
      <c r="A64461" s="118"/>
      <c r="B64461" s="136"/>
    </row>
    <row r="64462" spans="1:2" x14ac:dyDescent="0.25">
      <c r="A64462" s="118"/>
      <c r="B64462" s="136"/>
    </row>
    <row r="64463" spans="1:2" x14ac:dyDescent="0.25">
      <c r="A64463" s="118"/>
      <c r="B64463" s="136"/>
    </row>
    <row r="64464" spans="1:2" x14ac:dyDescent="0.25">
      <c r="A64464" s="118"/>
      <c r="B64464" s="136"/>
    </row>
    <row r="64465" spans="1:2" x14ac:dyDescent="0.25">
      <c r="A64465" s="118"/>
      <c r="B64465" s="136"/>
    </row>
    <row r="64466" spans="1:2" x14ac:dyDescent="0.25">
      <c r="A64466" s="118"/>
      <c r="B64466" s="136"/>
    </row>
    <row r="64467" spans="1:2" x14ac:dyDescent="0.25">
      <c r="A64467" s="118"/>
      <c r="B64467" s="136"/>
    </row>
    <row r="64468" spans="1:2" x14ac:dyDescent="0.25">
      <c r="A64468" s="118"/>
      <c r="B64468" s="136"/>
    </row>
    <row r="64469" spans="1:2" x14ac:dyDescent="0.25">
      <c r="A64469" s="118"/>
      <c r="B64469" s="136"/>
    </row>
    <row r="64470" spans="1:2" x14ac:dyDescent="0.25">
      <c r="A64470" s="118"/>
      <c r="B64470" s="136"/>
    </row>
    <row r="64471" spans="1:2" x14ac:dyDescent="0.25">
      <c r="A64471" s="118"/>
      <c r="B64471" s="136"/>
    </row>
    <row r="64472" spans="1:2" x14ac:dyDescent="0.25">
      <c r="A64472" s="118"/>
      <c r="B64472" s="136"/>
    </row>
    <row r="64473" spans="1:2" x14ac:dyDescent="0.25">
      <c r="A64473" s="118"/>
      <c r="B64473" s="136"/>
    </row>
    <row r="64474" spans="1:2" x14ac:dyDescent="0.25">
      <c r="A64474" s="118"/>
      <c r="B64474" s="136"/>
    </row>
    <row r="64475" spans="1:2" x14ac:dyDescent="0.25">
      <c r="A64475" s="118"/>
      <c r="B64475" s="136"/>
    </row>
    <row r="64476" spans="1:2" x14ac:dyDescent="0.25">
      <c r="A64476" s="118"/>
      <c r="B64476" s="136"/>
    </row>
    <row r="64477" spans="1:2" x14ac:dyDescent="0.25">
      <c r="A64477" s="118"/>
      <c r="B64477" s="136"/>
    </row>
    <row r="64478" spans="1:2" x14ac:dyDescent="0.25">
      <c r="A64478" s="118"/>
      <c r="B64478" s="136"/>
    </row>
    <row r="64479" spans="1:2" x14ac:dyDescent="0.25">
      <c r="A64479" s="118"/>
      <c r="B64479" s="136"/>
    </row>
    <row r="64480" spans="1:2" x14ac:dyDescent="0.25">
      <c r="A64480" s="118"/>
      <c r="B64480" s="136"/>
    </row>
    <row r="64481" spans="1:2" x14ac:dyDescent="0.25">
      <c r="A64481" s="118"/>
      <c r="B64481" s="136"/>
    </row>
    <row r="64482" spans="1:2" x14ac:dyDescent="0.25">
      <c r="A64482" s="118"/>
      <c r="B64482" s="136"/>
    </row>
    <row r="64483" spans="1:2" x14ac:dyDescent="0.25">
      <c r="A64483" s="118"/>
      <c r="B64483" s="136"/>
    </row>
    <row r="64484" spans="1:2" x14ac:dyDescent="0.25">
      <c r="A64484" s="118"/>
      <c r="B64484" s="136"/>
    </row>
    <row r="64485" spans="1:2" x14ac:dyDescent="0.25">
      <c r="A64485" s="118"/>
      <c r="B64485" s="136"/>
    </row>
    <row r="64486" spans="1:2" x14ac:dyDescent="0.25">
      <c r="A64486" s="118"/>
      <c r="B64486" s="136"/>
    </row>
    <row r="64487" spans="1:2" x14ac:dyDescent="0.25">
      <c r="A64487" s="118"/>
      <c r="B64487" s="136"/>
    </row>
    <row r="64488" spans="1:2" x14ac:dyDescent="0.25">
      <c r="A64488" s="118"/>
      <c r="B64488" s="136"/>
    </row>
    <row r="64489" spans="1:2" x14ac:dyDescent="0.25">
      <c r="A64489" s="118"/>
      <c r="B64489" s="136"/>
    </row>
    <row r="64490" spans="1:2" x14ac:dyDescent="0.25">
      <c r="A64490" s="118"/>
      <c r="B64490" s="136"/>
    </row>
    <row r="64491" spans="1:2" x14ac:dyDescent="0.25">
      <c r="A64491" s="118"/>
      <c r="B64491" s="136"/>
    </row>
    <row r="64492" spans="1:2" x14ac:dyDescent="0.25">
      <c r="A64492" s="118"/>
      <c r="B64492" s="136"/>
    </row>
    <row r="64493" spans="1:2" x14ac:dyDescent="0.25">
      <c r="A64493" s="118"/>
      <c r="B64493" s="136"/>
    </row>
    <row r="64494" spans="1:2" x14ac:dyDescent="0.25">
      <c r="A64494" s="118"/>
      <c r="B64494" s="136"/>
    </row>
    <row r="64495" spans="1:2" x14ac:dyDescent="0.25">
      <c r="A64495" s="118"/>
      <c r="B64495" s="136"/>
    </row>
    <row r="64496" spans="1:2" x14ac:dyDescent="0.25">
      <c r="A64496" s="118"/>
      <c r="B64496" s="136"/>
    </row>
    <row r="64497" spans="1:2" x14ac:dyDescent="0.25">
      <c r="A64497" s="118"/>
      <c r="B64497" s="136"/>
    </row>
    <row r="64498" spans="1:2" x14ac:dyDescent="0.25">
      <c r="A64498" s="118"/>
      <c r="B64498" s="136"/>
    </row>
    <row r="64499" spans="1:2" x14ac:dyDescent="0.25">
      <c r="A64499" s="118"/>
      <c r="B64499" s="136"/>
    </row>
    <row r="64500" spans="1:2" x14ac:dyDescent="0.25">
      <c r="A64500" s="118"/>
      <c r="B64500" s="136"/>
    </row>
    <row r="64501" spans="1:2" x14ac:dyDescent="0.25">
      <c r="A64501" s="118"/>
      <c r="B64501" s="136"/>
    </row>
    <row r="64502" spans="1:2" x14ac:dyDescent="0.25">
      <c r="A64502" s="118"/>
      <c r="B64502" s="136"/>
    </row>
    <row r="64503" spans="1:2" x14ac:dyDescent="0.25">
      <c r="A64503" s="118"/>
      <c r="B64503" s="136"/>
    </row>
    <row r="64504" spans="1:2" x14ac:dyDescent="0.25">
      <c r="A64504" s="118"/>
      <c r="B64504" s="136"/>
    </row>
    <row r="64505" spans="1:2" x14ac:dyDescent="0.25">
      <c r="A64505" s="118"/>
      <c r="B64505" s="136"/>
    </row>
    <row r="64506" spans="1:2" x14ac:dyDescent="0.25">
      <c r="A64506" s="118"/>
      <c r="B64506" s="136"/>
    </row>
    <row r="64507" spans="1:2" x14ac:dyDescent="0.25">
      <c r="A64507" s="118"/>
      <c r="B64507" s="136"/>
    </row>
    <row r="64508" spans="1:2" x14ac:dyDescent="0.25">
      <c r="A64508" s="118"/>
      <c r="B64508" s="136"/>
    </row>
    <row r="64509" spans="1:2" x14ac:dyDescent="0.25">
      <c r="A64509" s="118"/>
      <c r="B64509" s="136"/>
    </row>
    <row r="64510" spans="1:2" x14ac:dyDescent="0.25">
      <c r="A64510" s="118"/>
      <c r="B64510" s="136"/>
    </row>
    <row r="64511" spans="1:2" x14ac:dyDescent="0.25">
      <c r="A64511" s="118"/>
      <c r="B64511" s="136"/>
    </row>
    <row r="64512" spans="1:2" x14ac:dyDescent="0.25">
      <c r="A64512" s="118"/>
      <c r="B64512" s="136"/>
    </row>
    <row r="64513" spans="1:2" x14ac:dyDescent="0.25">
      <c r="A64513" s="118"/>
      <c r="B64513" s="136"/>
    </row>
    <row r="64514" spans="1:2" x14ac:dyDescent="0.25">
      <c r="A64514" s="118"/>
      <c r="B64514" s="136"/>
    </row>
    <row r="64515" spans="1:2" x14ac:dyDescent="0.25">
      <c r="A64515" s="118"/>
      <c r="B64515" s="136"/>
    </row>
    <row r="64516" spans="1:2" x14ac:dyDescent="0.25">
      <c r="A64516" s="118"/>
      <c r="B64516" s="136"/>
    </row>
    <row r="64517" spans="1:2" x14ac:dyDescent="0.25">
      <c r="A64517" s="118"/>
      <c r="B64517" s="136"/>
    </row>
    <row r="64518" spans="1:2" x14ac:dyDescent="0.25">
      <c r="A64518" s="118"/>
      <c r="B64518" s="136"/>
    </row>
    <row r="64519" spans="1:2" x14ac:dyDescent="0.25">
      <c r="A64519" s="118"/>
      <c r="B64519" s="136"/>
    </row>
    <row r="64520" spans="1:2" x14ac:dyDescent="0.25">
      <c r="A64520" s="118"/>
      <c r="B64520" s="136"/>
    </row>
    <row r="64521" spans="1:2" x14ac:dyDescent="0.25">
      <c r="A64521" s="118"/>
      <c r="B64521" s="136"/>
    </row>
    <row r="64522" spans="1:2" x14ac:dyDescent="0.25">
      <c r="A64522" s="118"/>
      <c r="B64522" s="136"/>
    </row>
    <row r="64523" spans="1:2" x14ac:dyDescent="0.25">
      <c r="A64523" s="118"/>
      <c r="B64523" s="136"/>
    </row>
    <row r="64524" spans="1:2" x14ac:dyDescent="0.25">
      <c r="A64524" s="118"/>
      <c r="B64524" s="136"/>
    </row>
    <row r="64525" spans="1:2" x14ac:dyDescent="0.25">
      <c r="A64525" s="118"/>
      <c r="B64525" s="136"/>
    </row>
    <row r="64526" spans="1:2" x14ac:dyDescent="0.25">
      <c r="A64526" s="118"/>
      <c r="B64526" s="136"/>
    </row>
    <row r="64527" spans="1:2" x14ac:dyDescent="0.25">
      <c r="A64527" s="118"/>
      <c r="B64527" s="136"/>
    </row>
    <row r="64528" spans="1:2" x14ac:dyDescent="0.25">
      <c r="A64528" s="118"/>
      <c r="B64528" s="136"/>
    </row>
    <row r="64529" spans="1:2" x14ac:dyDescent="0.25">
      <c r="A64529" s="118"/>
      <c r="B64529" s="136"/>
    </row>
    <row r="64530" spans="1:2" x14ac:dyDescent="0.25">
      <c r="A64530" s="118"/>
      <c r="B64530" s="136"/>
    </row>
    <row r="64531" spans="1:2" x14ac:dyDescent="0.25">
      <c r="A64531" s="118"/>
      <c r="B64531" s="136"/>
    </row>
    <row r="64532" spans="1:2" x14ac:dyDescent="0.25">
      <c r="A64532" s="118"/>
      <c r="B64532" s="136"/>
    </row>
    <row r="64533" spans="1:2" x14ac:dyDescent="0.25">
      <c r="A64533" s="118"/>
      <c r="B64533" s="136"/>
    </row>
    <row r="64534" spans="1:2" x14ac:dyDescent="0.25">
      <c r="A64534" s="118"/>
      <c r="B64534" s="136"/>
    </row>
    <row r="64535" spans="1:2" x14ac:dyDescent="0.25">
      <c r="A64535" s="118"/>
      <c r="B64535" s="136"/>
    </row>
    <row r="64536" spans="1:2" x14ac:dyDescent="0.25">
      <c r="A64536" s="118"/>
      <c r="B64536" s="136"/>
    </row>
    <row r="64537" spans="1:2" x14ac:dyDescent="0.25">
      <c r="A64537" s="118"/>
      <c r="B64537" s="136"/>
    </row>
    <row r="64538" spans="1:2" x14ac:dyDescent="0.25">
      <c r="A64538" s="118"/>
      <c r="B64538" s="136"/>
    </row>
    <row r="64539" spans="1:2" x14ac:dyDescent="0.25">
      <c r="A64539" s="118"/>
      <c r="B64539" s="136"/>
    </row>
    <row r="64540" spans="1:2" x14ac:dyDescent="0.25">
      <c r="A64540" s="118"/>
      <c r="B64540" s="136"/>
    </row>
    <row r="64541" spans="1:2" x14ac:dyDescent="0.25">
      <c r="A64541" s="118"/>
      <c r="B64541" s="136"/>
    </row>
    <row r="64542" spans="1:2" x14ac:dyDescent="0.25">
      <c r="A64542" s="118"/>
      <c r="B64542" s="136"/>
    </row>
    <row r="64543" spans="1:2" x14ac:dyDescent="0.25">
      <c r="A64543" s="118"/>
      <c r="B64543" s="136"/>
    </row>
    <row r="64544" spans="1:2" x14ac:dyDescent="0.25">
      <c r="A64544" s="118"/>
      <c r="B64544" s="136"/>
    </row>
    <row r="64545" spans="1:2" x14ac:dyDescent="0.25">
      <c r="A64545" s="118"/>
      <c r="B64545" s="136"/>
    </row>
    <row r="64546" spans="1:2" x14ac:dyDescent="0.25">
      <c r="A64546" s="118"/>
      <c r="B64546" s="136"/>
    </row>
    <row r="64547" spans="1:2" x14ac:dyDescent="0.25">
      <c r="A64547" s="118"/>
      <c r="B64547" s="136"/>
    </row>
    <row r="64548" spans="1:2" x14ac:dyDescent="0.25">
      <c r="A64548" s="118"/>
      <c r="B64548" s="136"/>
    </row>
    <row r="64549" spans="1:2" x14ac:dyDescent="0.25">
      <c r="A64549" s="118"/>
      <c r="B64549" s="136"/>
    </row>
    <row r="64550" spans="1:2" x14ac:dyDescent="0.25">
      <c r="A64550" s="118"/>
      <c r="B64550" s="136"/>
    </row>
    <row r="64551" spans="1:2" x14ac:dyDescent="0.25">
      <c r="A64551" s="118"/>
      <c r="B64551" s="136"/>
    </row>
    <row r="64552" spans="1:2" x14ac:dyDescent="0.25">
      <c r="A64552" s="118"/>
      <c r="B64552" s="136"/>
    </row>
    <row r="64553" spans="1:2" x14ac:dyDescent="0.25">
      <c r="A64553" s="118"/>
      <c r="B64553" s="136"/>
    </row>
    <row r="64554" spans="1:2" x14ac:dyDescent="0.25">
      <c r="A64554" s="118"/>
      <c r="B64554" s="136"/>
    </row>
    <row r="64555" spans="1:2" x14ac:dyDescent="0.25">
      <c r="A64555" s="118"/>
      <c r="B64555" s="136"/>
    </row>
    <row r="64556" spans="1:2" x14ac:dyDescent="0.25">
      <c r="A64556" s="118"/>
      <c r="B64556" s="136"/>
    </row>
    <row r="64557" spans="1:2" x14ac:dyDescent="0.25">
      <c r="A64557" s="118"/>
      <c r="B64557" s="136"/>
    </row>
    <row r="64558" spans="1:2" x14ac:dyDescent="0.25">
      <c r="A64558" s="118"/>
      <c r="B64558" s="136"/>
    </row>
    <row r="64559" spans="1:2" x14ac:dyDescent="0.25">
      <c r="A64559" s="118"/>
      <c r="B64559" s="136"/>
    </row>
    <row r="64560" spans="1:2" x14ac:dyDescent="0.25">
      <c r="A64560" s="118"/>
      <c r="B64560" s="136"/>
    </row>
    <row r="64561" spans="1:2" x14ac:dyDescent="0.25">
      <c r="A64561" s="118"/>
      <c r="B64561" s="136"/>
    </row>
    <row r="64562" spans="1:2" x14ac:dyDescent="0.25">
      <c r="A64562" s="118"/>
      <c r="B64562" s="136"/>
    </row>
    <row r="64563" spans="1:2" x14ac:dyDescent="0.25">
      <c r="A64563" s="118"/>
      <c r="B64563" s="136"/>
    </row>
    <row r="64564" spans="1:2" x14ac:dyDescent="0.25">
      <c r="A64564" s="118"/>
      <c r="B64564" s="136"/>
    </row>
    <row r="64565" spans="1:2" x14ac:dyDescent="0.25">
      <c r="A64565" s="118"/>
      <c r="B64565" s="136"/>
    </row>
    <row r="64566" spans="1:2" x14ac:dyDescent="0.25">
      <c r="A64566" s="118"/>
      <c r="B64566" s="136"/>
    </row>
    <row r="64567" spans="1:2" x14ac:dyDescent="0.25">
      <c r="A64567" s="118"/>
      <c r="B64567" s="136"/>
    </row>
    <row r="64568" spans="1:2" x14ac:dyDescent="0.25">
      <c r="A64568" s="118"/>
      <c r="B64568" s="136"/>
    </row>
    <row r="64569" spans="1:2" x14ac:dyDescent="0.25">
      <c r="A64569" s="118"/>
      <c r="B64569" s="136"/>
    </row>
    <row r="64570" spans="1:2" x14ac:dyDescent="0.25">
      <c r="A64570" s="118"/>
      <c r="B64570" s="136"/>
    </row>
    <row r="64571" spans="1:2" x14ac:dyDescent="0.25">
      <c r="A64571" s="118"/>
      <c r="B64571" s="136"/>
    </row>
    <row r="64572" spans="1:2" x14ac:dyDescent="0.25">
      <c r="A64572" s="118"/>
      <c r="B64572" s="136"/>
    </row>
    <row r="64573" spans="1:2" x14ac:dyDescent="0.25">
      <c r="A64573" s="118"/>
      <c r="B64573" s="136"/>
    </row>
    <row r="64574" spans="1:2" x14ac:dyDescent="0.25">
      <c r="A64574" s="118"/>
      <c r="B64574" s="136"/>
    </row>
    <row r="64575" spans="1:2" x14ac:dyDescent="0.25">
      <c r="A64575" s="118"/>
      <c r="B64575" s="136"/>
    </row>
    <row r="64576" spans="1:2" x14ac:dyDescent="0.25">
      <c r="A64576" s="118"/>
      <c r="B64576" s="136"/>
    </row>
    <row r="64577" spans="1:2" x14ac:dyDescent="0.25">
      <c r="A64577" s="118"/>
      <c r="B64577" s="136"/>
    </row>
    <row r="64578" spans="1:2" x14ac:dyDescent="0.25">
      <c r="A64578" s="118"/>
      <c r="B64578" s="136"/>
    </row>
    <row r="64579" spans="1:2" x14ac:dyDescent="0.25">
      <c r="A64579" s="118"/>
      <c r="B64579" s="136"/>
    </row>
    <row r="64580" spans="1:2" x14ac:dyDescent="0.25">
      <c r="A64580" s="118"/>
      <c r="B64580" s="136"/>
    </row>
    <row r="64581" spans="1:2" x14ac:dyDescent="0.25">
      <c r="A64581" s="118"/>
      <c r="B64581" s="136"/>
    </row>
    <row r="64582" spans="1:2" x14ac:dyDescent="0.25">
      <c r="A64582" s="118"/>
      <c r="B64582" s="136"/>
    </row>
    <row r="64583" spans="1:2" x14ac:dyDescent="0.25">
      <c r="A64583" s="118"/>
      <c r="B64583" s="136"/>
    </row>
    <row r="64584" spans="1:2" x14ac:dyDescent="0.25">
      <c r="A64584" s="118"/>
      <c r="B64584" s="136"/>
    </row>
    <row r="64585" spans="1:2" x14ac:dyDescent="0.25">
      <c r="A64585" s="118"/>
      <c r="B64585" s="136"/>
    </row>
    <row r="64586" spans="1:2" x14ac:dyDescent="0.25">
      <c r="A64586" s="118"/>
      <c r="B64586" s="136"/>
    </row>
    <row r="64587" spans="1:2" x14ac:dyDescent="0.25">
      <c r="A64587" s="118"/>
      <c r="B64587" s="136"/>
    </row>
    <row r="64588" spans="1:2" x14ac:dyDescent="0.25">
      <c r="A64588" s="118"/>
      <c r="B64588" s="136"/>
    </row>
    <row r="64589" spans="1:2" x14ac:dyDescent="0.25">
      <c r="A64589" s="118"/>
      <c r="B64589" s="136"/>
    </row>
    <row r="64590" spans="1:2" x14ac:dyDescent="0.25">
      <c r="A64590" s="118"/>
      <c r="B64590" s="136"/>
    </row>
    <row r="64591" spans="1:2" x14ac:dyDescent="0.25">
      <c r="A64591" s="118"/>
      <c r="B64591" s="136"/>
    </row>
    <row r="64592" spans="1:2" x14ac:dyDescent="0.25">
      <c r="A64592" s="118"/>
      <c r="B64592" s="136"/>
    </row>
    <row r="64593" spans="1:2" x14ac:dyDescent="0.25">
      <c r="A64593" s="118"/>
      <c r="B64593" s="136"/>
    </row>
    <row r="64594" spans="1:2" x14ac:dyDescent="0.25">
      <c r="A64594" s="118"/>
      <c r="B64594" s="136"/>
    </row>
    <row r="64595" spans="1:2" x14ac:dyDescent="0.25">
      <c r="A64595" s="118"/>
      <c r="B64595" s="136"/>
    </row>
    <row r="64596" spans="1:2" x14ac:dyDescent="0.25">
      <c r="A64596" s="118"/>
      <c r="B64596" s="136"/>
    </row>
    <row r="64597" spans="1:2" x14ac:dyDescent="0.25">
      <c r="A64597" s="118"/>
      <c r="B64597" s="136"/>
    </row>
    <row r="64598" spans="1:2" x14ac:dyDescent="0.25">
      <c r="A64598" s="118"/>
      <c r="B64598" s="136"/>
    </row>
    <row r="64599" spans="1:2" x14ac:dyDescent="0.25">
      <c r="A64599" s="118"/>
      <c r="B64599" s="136"/>
    </row>
    <row r="64600" spans="1:2" x14ac:dyDescent="0.25">
      <c r="A64600" s="118"/>
      <c r="B64600" s="136"/>
    </row>
    <row r="64601" spans="1:2" x14ac:dyDescent="0.25">
      <c r="A64601" s="118"/>
      <c r="B64601" s="136"/>
    </row>
    <row r="64602" spans="1:2" x14ac:dyDescent="0.25">
      <c r="A64602" s="118"/>
      <c r="B64602" s="136"/>
    </row>
    <row r="64603" spans="1:2" x14ac:dyDescent="0.25">
      <c r="A64603" s="118"/>
      <c r="B64603" s="136"/>
    </row>
    <row r="64604" spans="1:2" x14ac:dyDescent="0.25">
      <c r="A64604" s="118"/>
      <c r="B64604" s="136"/>
    </row>
    <row r="64605" spans="1:2" x14ac:dyDescent="0.25">
      <c r="A64605" s="118"/>
      <c r="B64605" s="136"/>
    </row>
    <row r="64606" spans="1:2" x14ac:dyDescent="0.25">
      <c r="A64606" s="118"/>
      <c r="B64606" s="136"/>
    </row>
    <row r="64607" spans="1:2" x14ac:dyDescent="0.25">
      <c r="A64607" s="118"/>
      <c r="B64607" s="136"/>
    </row>
    <row r="64608" spans="1:2" x14ac:dyDescent="0.25">
      <c r="A64608" s="118"/>
      <c r="B64608" s="136"/>
    </row>
    <row r="64609" spans="1:2" x14ac:dyDescent="0.25">
      <c r="A64609" s="118"/>
      <c r="B64609" s="136"/>
    </row>
    <row r="64610" spans="1:2" x14ac:dyDescent="0.25">
      <c r="A64610" s="118"/>
      <c r="B64610" s="136"/>
    </row>
    <row r="64611" spans="1:2" x14ac:dyDescent="0.25">
      <c r="A64611" s="118"/>
      <c r="B64611" s="136"/>
    </row>
    <row r="64612" spans="1:2" x14ac:dyDescent="0.25">
      <c r="A64612" s="118"/>
      <c r="B64612" s="136"/>
    </row>
    <row r="64613" spans="1:2" x14ac:dyDescent="0.25">
      <c r="A64613" s="118"/>
      <c r="B64613" s="136"/>
    </row>
    <row r="64614" spans="1:2" x14ac:dyDescent="0.25">
      <c r="A64614" s="118"/>
      <c r="B64614" s="136"/>
    </row>
    <row r="64615" spans="1:2" x14ac:dyDescent="0.25">
      <c r="A64615" s="118"/>
      <c r="B64615" s="136"/>
    </row>
    <row r="64616" spans="1:2" x14ac:dyDescent="0.25">
      <c r="A64616" s="118"/>
      <c r="B64616" s="136"/>
    </row>
    <row r="64617" spans="1:2" x14ac:dyDescent="0.25">
      <c r="A64617" s="118"/>
      <c r="B64617" s="136"/>
    </row>
    <row r="64618" spans="1:2" x14ac:dyDescent="0.25">
      <c r="A64618" s="118"/>
      <c r="B64618" s="136"/>
    </row>
    <row r="64619" spans="1:2" x14ac:dyDescent="0.25">
      <c r="A64619" s="118"/>
      <c r="B64619" s="136"/>
    </row>
    <row r="64620" spans="1:2" x14ac:dyDescent="0.25">
      <c r="A64620" s="118"/>
      <c r="B64620" s="136"/>
    </row>
    <row r="64621" spans="1:2" x14ac:dyDescent="0.25">
      <c r="A64621" s="118"/>
      <c r="B64621" s="136"/>
    </row>
    <row r="64622" spans="1:2" x14ac:dyDescent="0.25">
      <c r="A64622" s="118"/>
      <c r="B64622" s="136"/>
    </row>
    <row r="64623" spans="1:2" x14ac:dyDescent="0.25">
      <c r="A64623" s="118"/>
      <c r="B64623" s="136"/>
    </row>
    <row r="64624" spans="1:2" x14ac:dyDescent="0.25">
      <c r="A64624" s="118"/>
      <c r="B64624" s="136"/>
    </row>
    <row r="64625" spans="1:2" x14ac:dyDescent="0.25">
      <c r="A64625" s="118"/>
      <c r="B64625" s="136"/>
    </row>
    <row r="64626" spans="1:2" x14ac:dyDescent="0.25">
      <c r="A64626" s="118"/>
      <c r="B64626" s="136"/>
    </row>
    <row r="64627" spans="1:2" x14ac:dyDescent="0.25">
      <c r="A64627" s="118"/>
      <c r="B64627" s="136"/>
    </row>
    <row r="64628" spans="1:2" x14ac:dyDescent="0.25">
      <c r="A64628" s="118"/>
      <c r="B64628" s="136"/>
    </row>
    <row r="64629" spans="1:2" x14ac:dyDescent="0.25">
      <c r="A64629" s="118"/>
      <c r="B64629" s="136"/>
    </row>
    <row r="64630" spans="1:2" x14ac:dyDescent="0.25">
      <c r="A64630" s="118"/>
      <c r="B64630" s="136"/>
    </row>
    <row r="64631" spans="1:2" x14ac:dyDescent="0.25">
      <c r="A64631" s="118"/>
      <c r="B64631" s="136"/>
    </row>
    <row r="64632" spans="1:2" x14ac:dyDescent="0.25">
      <c r="A64632" s="118"/>
      <c r="B64632" s="136"/>
    </row>
    <row r="64633" spans="1:2" x14ac:dyDescent="0.25">
      <c r="A64633" s="118"/>
      <c r="B64633" s="136"/>
    </row>
    <row r="64634" spans="1:2" x14ac:dyDescent="0.25">
      <c r="A64634" s="118"/>
      <c r="B64634" s="136"/>
    </row>
    <row r="64635" spans="1:2" x14ac:dyDescent="0.25">
      <c r="A64635" s="118"/>
      <c r="B64635" s="136"/>
    </row>
    <row r="64636" spans="1:2" x14ac:dyDescent="0.25">
      <c r="A64636" s="118"/>
      <c r="B64636" s="136"/>
    </row>
    <row r="64637" spans="1:2" x14ac:dyDescent="0.25">
      <c r="A64637" s="118"/>
      <c r="B64637" s="136"/>
    </row>
    <row r="64638" spans="1:2" x14ac:dyDescent="0.25">
      <c r="A64638" s="118"/>
      <c r="B64638" s="136"/>
    </row>
    <row r="64639" spans="1:2" x14ac:dyDescent="0.25">
      <c r="A64639" s="118"/>
      <c r="B64639" s="136"/>
    </row>
    <row r="64640" spans="1:2" x14ac:dyDescent="0.25">
      <c r="A64640" s="118"/>
      <c r="B64640" s="136"/>
    </row>
    <row r="64641" spans="1:2" x14ac:dyDescent="0.25">
      <c r="A64641" s="118"/>
      <c r="B64641" s="136"/>
    </row>
    <row r="64642" spans="1:2" x14ac:dyDescent="0.25">
      <c r="A64642" s="118"/>
      <c r="B64642" s="136"/>
    </row>
    <row r="64643" spans="1:2" x14ac:dyDescent="0.25">
      <c r="A64643" s="118"/>
      <c r="B64643" s="136"/>
    </row>
    <row r="64644" spans="1:2" x14ac:dyDescent="0.25">
      <c r="A64644" s="118"/>
      <c r="B64644" s="136"/>
    </row>
    <row r="64645" spans="1:2" x14ac:dyDescent="0.25">
      <c r="A64645" s="118"/>
      <c r="B64645" s="136"/>
    </row>
    <row r="64646" spans="1:2" x14ac:dyDescent="0.25">
      <c r="A64646" s="118"/>
      <c r="B64646" s="136"/>
    </row>
    <row r="64647" spans="1:2" x14ac:dyDescent="0.25">
      <c r="A64647" s="118"/>
      <c r="B64647" s="136"/>
    </row>
    <row r="64648" spans="1:2" x14ac:dyDescent="0.25">
      <c r="A64648" s="118"/>
      <c r="B64648" s="136"/>
    </row>
    <row r="64649" spans="1:2" x14ac:dyDescent="0.25">
      <c r="A64649" s="118"/>
      <c r="B64649" s="136"/>
    </row>
    <row r="64650" spans="1:2" x14ac:dyDescent="0.25">
      <c r="A64650" s="118"/>
      <c r="B64650" s="136"/>
    </row>
    <row r="64651" spans="1:2" x14ac:dyDescent="0.25">
      <c r="A64651" s="118"/>
      <c r="B64651" s="136"/>
    </row>
    <row r="64652" spans="1:2" x14ac:dyDescent="0.25">
      <c r="A64652" s="118"/>
      <c r="B64652" s="136"/>
    </row>
    <row r="64653" spans="1:2" x14ac:dyDescent="0.25">
      <c r="A64653" s="118"/>
      <c r="B64653" s="136"/>
    </row>
    <row r="64654" spans="1:2" x14ac:dyDescent="0.25">
      <c r="A64654" s="118"/>
      <c r="B64654" s="136"/>
    </row>
    <row r="64655" spans="1:2" x14ac:dyDescent="0.25">
      <c r="A64655" s="118"/>
      <c r="B64655" s="136"/>
    </row>
    <row r="64656" spans="1:2" x14ac:dyDescent="0.25">
      <c r="A64656" s="118"/>
      <c r="B64656" s="136"/>
    </row>
    <row r="64657" spans="1:2" x14ac:dyDescent="0.25">
      <c r="A64657" s="118"/>
      <c r="B64657" s="136"/>
    </row>
    <row r="64658" spans="1:2" x14ac:dyDescent="0.25">
      <c r="A64658" s="118"/>
      <c r="B64658" s="136"/>
    </row>
    <row r="64659" spans="1:2" x14ac:dyDescent="0.25">
      <c r="A64659" s="118"/>
      <c r="B64659" s="136"/>
    </row>
    <row r="64660" spans="1:2" x14ac:dyDescent="0.25">
      <c r="A64660" s="118"/>
      <c r="B64660" s="136"/>
    </row>
    <row r="64661" spans="1:2" x14ac:dyDescent="0.25">
      <c r="A64661" s="118"/>
      <c r="B64661" s="136"/>
    </row>
    <row r="64662" spans="1:2" x14ac:dyDescent="0.25">
      <c r="A64662" s="118"/>
      <c r="B64662" s="136"/>
    </row>
    <row r="64663" spans="1:2" x14ac:dyDescent="0.25">
      <c r="A64663" s="118"/>
      <c r="B64663" s="136"/>
    </row>
    <row r="64664" spans="1:2" x14ac:dyDescent="0.25">
      <c r="A64664" s="118"/>
      <c r="B64664" s="136"/>
    </row>
    <row r="64665" spans="1:2" x14ac:dyDescent="0.25">
      <c r="A64665" s="118"/>
      <c r="B64665" s="136"/>
    </row>
    <row r="64666" spans="1:2" x14ac:dyDescent="0.25">
      <c r="A64666" s="118"/>
      <c r="B64666" s="136"/>
    </row>
    <row r="64667" spans="1:2" x14ac:dyDescent="0.25">
      <c r="A64667" s="118"/>
      <c r="B64667" s="136"/>
    </row>
    <row r="64668" spans="1:2" x14ac:dyDescent="0.25">
      <c r="A64668" s="118"/>
      <c r="B64668" s="136"/>
    </row>
    <row r="64669" spans="1:2" x14ac:dyDescent="0.25">
      <c r="A64669" s="118"/>
      <c r="B64669" s="136"/>
    </row>
    <row r="64670" spans="1:2" x14ac:dyDescent="0.25">
      <c r="A64670" s="118"/>
      <c r="B64670" s="136"/>
    </row>
    <row r="64671" spans="1:2" x14ac:dyDescent="0.25">
      <c r="A64671" s="118"/>
      <c r="B64671" s="136"/>
    </row>
    <row r="64672" spans="1:2" x14ac:dyDescent="0.25">
      <c r="A64672" s="118"/>
      <c r="B64672" s="136"/>
    </row>
    <row r="64673" spans="1:2" x14ac:dyDescent="0.25">
      <c r="A64673" s="118"/>
      <c r="B64673" s="136"/>
    </row>
    <row r="64674" spans="1:2" x14ac:dyDescent="0.25">
      <c r="A64674" s="118"/>
      <c r="B64674" s="136"/>
    </row>
    <row r="64675" spans="1:2" x14ac:dyDescent="0.25">
      <c r="A64675" s="118"/>
      <c r="B64675" s="136"/>
    </row>
    <row r="64676" spans="1:2" x14ac:dyDescent="0.25">
      <c r="A64676" s="118"/>
      <c r="B64676" s="136"/>
    </row>
    <row r="64677" spans="1:2" x14ac:dyDescent="0.25">
      <c r="A64677" s="118"/>
      <c r="B64677" s="136"/>
    </row>
    <row r="64678" spans="1:2" x14ac:dyDescent="0.25">
      <c r="A64678" s="118"/>
      <c r="B64678" s="136"/>
    </row>
    <row r="64679" spans="1:2" x14ac:dyDescent="0.25">
      <c r="A64679" s="118"/>
      <c r="B64679" s="136"/>
    </row>
    <row r="64680" spans="1:2" x14ac:dyDescent="0.25">
      <c r="A64680" s="118"/>
      <c r="B64680" s="136"/>
    </row>
    <row r="64681" spans="1:2" x14ac:dyDescent="0.25">
      <c r="A64681" s="118"/>
      <c r="B64681" s="136"/>
    </row>
    <row r="64682" spans="1:2" x14ac:dyDescent="0.25">
      <c r="A64682" s="118"/>
      <c r="B64682" s="136"/>
    </row>
    <row r="64683" spans="1:2" x14ac:dyDescent="0.25">
      <c r="A64683" s="118"/>
      <c r="B64683" s="136"/>
    </row>
    <row r="64684" spans="1:2" x14ac:dyDescent="0.25">
      <c r="A64684" s="118"/>
      <c r="B64684" s="136"/>
    </row>
    <row r="64685" spans="1:2" x14ac:dyDescent="0.25">
      <c r="A64685" s="118"/>
      <c r="B64685" s="136"/>
    </row>
    <row r="64686" spans="1:2" x14ac:dyDescent="0.25">
      <c r="A64686" s="118"/>
      <c r="B64686" s="136"/>
    </row>
    <row r="64687" spans="1:2" x14ac:dyDescent="0.25">
      <c r="A64687" s="118"/>
      <c r="B64687" s="136"/>
    </row>
    <row r="64688" spans="1:2" x14ac:dyDescent="0.25">
      <c r="A64688" s="118"/>
      <c r="B64688" s="136"/>
    </row>
    <row r="64689" spans="1:2" x14ac:dyDescent="0.25">
      <c r="A64689" s="118"/>
      <c r="B64689" s="136"/>
    </row>
    <row r="64690" spans="1:2" x14ac:dyDescent="0.25">
      <c r="A64690" s="118"/>
      <c r="B64690" s="136"/>
    </row>
    <row r="64691" spans="1:2" x14ac:dyDescent="0.25">
      <c r="A64691" s="118"/>
      <c r="B64691" s="136"/>
    </row>
    <row r="64692" spans="1:2" x14ac:dyDescent="0.25">
      <c r="A64692" s="118"/>
      <c r="B64692" s="136"/>
    </row>
    <row r="64693" spans="1:2" x14ac:dyDescent="0.25">
      <c r="A64693" s="118"/>
      <c r="B64693" s="136"/>
    </row>
    <row r="64694" spans="1:2" x14ac:dyDescent="0.25">
      <c r="A64694" s="118"/>
      <c r="B64694" s="136"/>
    </row>
    <row r="64695" spans="1:2" x14ac:dyDescent="0.25">
      <c r="A64695" s="118"/>
      <c r="B64695" s="136"/>
    </row>
    <row r="64696" spans="1:2" x14ac:dyDescent="0.25">
      <c r="A64696" s="118"/>
      <c r="B64696" s="136"/>
    </row>
    <row r="64697" spans="1:2" x14ac:dyDescent="0.25">
      <c r="A64697" s="118"/>
      <c r="B64697" s="136"/>
    </row>
    <row r="64698" spans="1:2" x14ac:dyDescent="0.25">
      <c r="A64698" s="118"/>
      <c r="B64698" s="136"/>
    </row>
    <row r="64699" spans="1:2" x14ac:dyDescent="0.25">
      <c r="A64699" s="118"/>
      <c r="B64699" s="136"/>
    </row>
    <row r="64700" spans="1:2" x14ac:dyDescent="0.25">
      <c r="A64700" s="118"/>
      <c r="B64700" s="136"/>
    </row>
    <row r="64701" spans="1:2" x14ac:dyDescent="0.25">
      <c r="A64701" s="118"/>
      <c r="B64701" s="136"/>
    </row>
    <row r="64702" spans="1:2" x14ac:dyDescent="0.25">
      <c r="A64702" s="118"/>
      <c r="B64702" s="136"/>
    </row>
    <row r="64703" spans="1:2" x14ac:dyDescent="0.25">
      <c r="A64703" s="118"/>
      <c r="B64703" s="136"/>
    </row>
    <row r="64704" spans="1:2" x14ac:dyDescent="0.25">
      <c r="A64704" s="118"/>
      <c r="B64704" s="136"/>
    </row>
    <row r="64705" spans="1:2" x14ac:dyDescent="0.25">
      <c r="A64705" s="118"/>
      <c r="B64705" s="136"/>
    </row>
    <row r="64706" spans="1:2" x14ac:dyDescent="0.25">
      <c r="A64706" s="118"/>
      <c r="B64706" s="136"/>
    </row>
    <row r="64707" spans="1:2" x14ac:dyDescent="0.25">
      <c r="A64707" s="118"/>
      <c r="B64707" s="136"/>
    </row>
    <row r="64708" spans="1:2" x14ac:dyDescent="0.25">
      <c r="A64708" s="118"/>
      <c r="B64708" s="136"/>
    </row>
    <row r="64709" spans="1:2" x14ac:dyDescent="0.25">
      <c r="A64709" s="118"/>
      <c r="B64709" s="136"/>
    </row>
    <row r="64710" spans="1:2" x14ac:dyDescent="0.25">
      <c r="A64710" s="118"/>
      <c r="B64710" s="136"/>
    </row>
    <row r="64711" spans="1:2" x14ac:dyDescent="0.25">
      <c r="A64711" s="118"/>
      <c r="B64711" s="136"/>
    </row>
    <row r="64712" spans="1:2" x14ac:dyDescent="0.25">
      <c r="A64712" s="118"/>
      <c r="B64712" s="136"/>
    </row>
    <row r="64713" spans="1:2" x14ac:dyDescent="0.25">
      <c r="A64713" s="118"/>
      <c r="B64713" s="136"/>
    </row>
    <row r="64714" spans="1:2" x14ac:dyDescent="0.25">
      <c r="A64714" s="118"/>
      <c r="B64714" s="136"/>
    </row>
    <row r="64715" spans="1:2" x14ac:dyDescent="0.25">
      <c r="A64715" s="118"/>
      <c r="B64715" s="136"/>
    </row>
    <row r="64716" spans="1:2" x14ac:dyDescent="0.25">
      <c r="A64716" s="118"/>
      <c r="B64716" s="136"/>
    </row>
    <row r="64717" spans="1:2" x14ac:dyDescent="0.25">
      <c r="A64717" s="118"/>
      <c r="B64717" s="136"/>
    </row>
    <row r="64718" spans="1:2" x14ac:dyDescent="0.25">
      <c r="A64718" s="118"/>
      <c r="B64718" s="136"/>
    </row>
    <row r="64719" spans="1:2" x14ac:dyDescent="0.25">
      <c r="A64719" s="118"/>
      <c r="B64719" s="136"/>
    </row>
    <row r="64720" spans="1:2" x14ac:dyDescent="0.25">
      <c r="A64720" s="118"/>
      <c r="B64720" s="136"/>
    </row>
    <row r="64721" spans="1:2" x14ac:dyDescent="0.25">
      <c r="A64721" s="118"/>
      <c r="B64721" s="136"/>
    </row>
    <row r="64722" spans="1:2" x14ac:dyDescent="0.25">
      <c r="A64722" s="118"/>
      <c r="B64722" s="136"/>
    </row>
    <row r="64723" spans="1:2" x14ac:dyDescent="0.25">
      <c r="A64723" s="118"/>
      <c r="B64723" s="136"/>
    </row>
    <row r="64724" spans="1:2" x14ac:dyDescent="0.25">
      <c r="A64724" s="118"/>
      <c r="B64724" s="136"/>
    </row>
    <row r="64725" spans="1:2" x14ac:dyDescent="0.25">
      <c r="A64725" s="118"/>
      <c r="B64725" s="136"/>
    </row>
    <row r="64726" spans="1:2" x14ac:dyDescent="0.25">
      <c r="A64726" s="118"/>
      <c r="B64726" s="136"/>
    </row>
    <row r="64727" spans="1:2" x14ac:dyDescent="0.25">
      <c r="A64727" s="118"/>
      <c r="B64727" s="136"/>
    </row>
    <row r="64728" spans="1:2" x14ac:dyDescent="0.25">
      <c r="A64728" s="118"/>
      <c r="B64728" s="136"/>
    </row>
    <row r="64729" spans="1:2" x14ac:dyDescent="0.25">
      <c r="A64729" s="118"/>
      <c r="B64729" s="136"/>
    </row>
    <row r="64730" spans="1:2" x14ac:dyDescent="0.25">
      <c r="A64730" s="118"/>
      <c r="B64730" s="136"/>
    </row>
    <row r="64731" spans="1:2" x14ac:dyDescent="0.25">
      <c r="A64731" s="118"/>
      <c r="B64731" s="136"/>
    </row>
    <row r="64732" spans="1:2" x14ac:dyDescent="0.25">
      <c r="A64732" s="118"/>
      <c r="B64732" s="136"/>
    </row>
    <row r="64733" spans="1:2" x14ac:dyDescent="0.25">
      <c r="A64733" s="118"/>
      <c r="B64733" s="136"/>
    </row>
    <row r="64734" spans="1:2" x14ac:dyDescent="0.25">
      <c r="A64734" s="118"/>
      <c r="B64734" s="136"/>
    </row>
    <row r="64735" spans="1:2" x14ac:dyDescent="0.25">
      <c r="A64735" s="118"/>
      <c r="B64735" s="136"/>
    </row>
    <row r="64736" spans="1:2" x14ac:dyDescent="0.25">
      <c r="A64736" s="118"/>
      <c r="B64736" s="136"/>
    </row>
    <row r="64737" spans="1:2" x14ac:dyDescent="0.25">
      <c r="A64737" s="118"/>
      <c r="B64737" s="136"/>
    </row>
    <row r="64738" spans="1:2" x14ac:dyDescent="0.25">
      <c r="A64738" s="118"/>
      <c r="B64738" s="136"/>
    </row>
    <row r="64739" spans="1:2" x14ac:dyDescent="0.25">
      <c r="A64739" s="118"/>
      <c r="B64739" s="136"/>
    </row>
    <row r="64740" spans="1:2" x14ac:dyDescent="0.25">
      <c r="A64740" s="118"/>
      <c r="B64740" s="136"/>
    </row>
    <row r="64741" spans="1:2" x14ac:dyDescent="0.25">
      <c r="A64741" s="118"/>
      <c r="B64741" s="136"/>
    </row>
    <row r="64742" spans="1:2" x14ac:dyDescent="0.25">
      <c r="A64742" s="118"/>
      <c r="B64742" s="136"/>
    </row>
    <row r="64743" spans="1:2" x14ac:dyDescent="0.25">
      <c r="A64743" s="118"/>
      <c r="B64743" s="136"/>
    </row>
    <row r="64744" spans="1:2" x14ac:dyDescent="0.25">
      <c r="A64744" s="118"/>
      <c r="B64744" s="136"/>
    </row>
    <row r="64745" spans="1:2" x14ac:dyDescent="0.25">
      <c r="A64745" s="118"/>
      <c r="B64745" s="136"/>
    </row>
    <row r="64746" spans="1:2" x14ac:dyDescent="0.25">
      <c r="A64746" s="118"/>
      <c r="B64746" s="136"/>
    </row>
    <row r="64747" spans="1:2" x14ac:dyDescent="0.25">
      <c r="A64747" s="118"/>
      <c r="B64747" s="136"/>
    </row>
    <row r="64748" spans="1:2" x14ac:dyDescent="0.25">
      <c r="A64748" s="118"/>
      <c r="B64748" s="136"/>
    </row>
    <row r="64749" spans="1:2" x14ac:dyDescent="0.25">
      <c r="A64749" s="118"/>
      <c r="B64749" s="136"/>
    </row>
    <row r="64750" spans="1:2" x14ac:dyDescent="0.25">
      <c r="A64750" s="118"/>
      <c r="B64750" s="136"/>
    </row>
    <row r="64751" spans="1:2" x14ac:dyDescent="0.25">
      <c r="A64751" s="118"/>
      <c r="B64751" s="136"/>
    </row>
    <row r="64752" spans="1:2" x14ac:dyDescent="0.25">
      <c r="A64752" s="118"/>
      <c r="B64752" s="136"/>
    </row>
    <row r="64753" spans="1:2" x14ac:dyDescent="0.25">
      <c r="A64753" s="118"/>
      <c r="B64753" s="136"/>
    </row>
    <row r="64754" spans="1:2" x14ac:dyDescent="0.25">
      <c r="A64754" s="118"/>
      <c r="B64754" s="136"/>
    </row>
    <row r="64755" spans="1:2" x14ac:dyDescent="0.25">
      <c r="A64755" s="118"/>
      <c r="B64755" s="136"/>
    </row>
    <row r="64756" spans="1:2" x14ac:dyDescent="0.25">
      <c r="A64756" s="118"/>
      <c r="B64756" s="136"/>
    </row>
    <row r="64757" spans="1:2" x14ac:dyDescent="0.25">
      <c r="A64757" s="118"/>
      <c r="B64757" s="136"/>
    </row>
    <row r="64758" spans="1:2" x14ac:dyDescent="0.25">
      <c r="A64758" s="118"/>
      <c r="B64758" s="136"/>
    </row>
    <row r="64759" spans="1:2" x14ac:dyDescent="0.25">
      <c r="A64759" s="118"/>
      <c r="B64759" s="136"/>
    </row>
    <row r="64760" spans="1:2" x14ac:dyDescent="0.25">
      <c r="A64760" s="118"/>
      <c r="B64760" s="136"/>
    </row>
    <row r="64761" spans="1:2" x14ac:dyDescent="0.25">
      <c r="A64761" s="118"/>
      <c r="B64761" s="136"/>
    </row>
    <row r="64762" spans="1:2" x14ac:dyDescent="0.25">
      <c r="A64762" s="118"/>
      <c r="B64762" s="136"/>
    </row>
    <row r="64763" spans="1:2" x14ac:dyDescent="0.25">
      <c r="A64763" s="118"/>
      <c r="B64763" s="136"/>
    </row>
    <row r="64764" spans="1:2" x14ac:dyDescent="0.25">
      <c r="A64764" s="118"/>
      <c r="B64764" s="136"/>
    </row>
    <row r="64765" spans="1:2" x14ac:dyDescent="0.25">
      <c r="A64765" s="118"/>
      <c r="B64765" s="136"/>
    </row>
    <row r="64766" spans="1:2" x14ac:dyDescent="0.25">
      <c r="A64766" s="118"/>
      <c r="B64766" s="136"/>
    </row>
    <row r="64767" spans="1:2" x14ac:dyDescent="0.25">
      <c r="A64767" s="118"/>
      <c r="B64767" s="136"/>
    </row>
    <row r="64768" spans="1:2" x14ac:dyDescent="0.25">
      <c r="A64768" s="118"/>
      <c r="B64768" s="136"/>
    </row>
    <row r="64769" spans="1:2" x14ac:dyDescent="0.25">
      <c r="A64769" s="118"/>
      <c r="B64769" s="136"/>
    </row>
    <row r="64770" spans="1:2" x14ac:dyDescent="0.25">
      <c r="A64770" s="118"/>
      <c r="B64770" s="136"/>
    </row>
    <row r="64771" spans="1:2" x14ac:dyDescent="0.25">
      <c r="A64771" s="118"/>
      <c r="B64771" s="136"/>
    </row>
    <row r="64772" spans="1:2" x14ac:dyDescent="0.25">
      <c r="A64772" s="118"/>
      <c r="B64772" s="136"/>
    </row>
    <row r="64773" spans="1:2" x14ac:dyDescent="0.25">
      <c r="A64773" s="118"/>
      <c r="B64773" s="136"/>
    </row>
    <row r="64774" spans="1:2" x14ac:dyDescent="0.25">
      <c r="A64774" s="118"/>
      <c r="B64774" s="136"/>
    </row>
    <row r="64775" spans="1:2" x14ac:dyDescent="0.25">
      <c r="A64775" s="118"/>
      <c r="B64775" s="136"/>
    </row>
    <row r="64776" spans="1:2" x14ac:dyDescent="0.25">
      <c r="A64776" s="118"/>
      <c r="B64776" s="136"/>
    </row>
    <row r="64777" spans="1:2" x14ac:dyDescent="0.25">
      <c r="A64777" s="118"/>
      <c r="B64777" s="136"/>
    </row>
    <row r="64778" spans="1:2" x14ac:dyDescent="0.25">
      <c r="A64778" s="118"/>
      <c r="B64778" s="136"/>
    </row>
    <row r="64779" spans="1:2" x14ac:dyDescent="0.25">
      <c r="A64779" s="118"/>
      <c r="B64779" s="136"/>
    </row>
    <row r="64780" spans="1:2" x14ac:dyDescent="0.25">
      <c r="A64780" s="118"/>
      <c r="B64780" s="136"/>
    </row>
    <row r="64781" spans="1:2" x14ac:dyDescent="0.25">
      <c r="A64781" s="118"/>
      <c r="B64781" s="136"/>
    </row>
    <row r="64782" spans="1:2" x14ac:dyDescent="0.25">
      <c r="A64782" s="118"/>
      <c r="B64782" s="136"/>
    </row>
    <row r="64783" spans="1:2" x14ac:dyDescent="0.25">
      <c r="A64783" s="118"/>
      <c r="B64783" s="136"/>
    </row>
    <row r="64784" spans="1:2" x14ac:dyDescent="0.25">
      <c r="A64784" s="118"/>
      <c r="B64784" s="136"/>
    </row>
    <row r="64785" spans="1:2" x14ac:dyDescent="0.25">
      <c r="A64785" s="118"/>
      <c r="B64785" s="136"/>
    </row>
    <row r="64786" spans="1:2" x14ac:dyDescent="0.25">
      <c r="A64786" s="118"/>
      <c r="B64786" s="136"/>
    </row>
    <row r="64787" spans="1:2" x14ac:dyDescent="0.25">
      <c r="A64787" s="118"/>
      <c r="B64787" s="136"/>
    </row>
    <row r="64788" spans="1:2" x14ac:dyDescent="0.25">
      <c r="A64788" s="118"/>
      <c r="B64788" s="136"/>
    </row>
    <row r="64789" spans="1:2" x14ac:dyDescent="0.25">
      <c r="A64789" s="118"/>
      <c r="B64789" s="136"/>
    </row>
    <row r="64790" spans="1:2" x14ac:dyDescent="0.25">
      <c r="A64790" s="118"/>
      <c r="B64790" s="136"/>
    </row>
    <row r="64791" spans="1:2" x14ac:dyDescent="0.25">
      <c r="A64791" s="118"/>
      <c r="B64791" s="136"/>
    </row>
    <row r="64792" spans="1:2" x14ac:dyDescent="0.25">
      <c r="A64792" s="118"/>
      <c r="B64792" s="136"/>
    </row>
    <row r="64793" spans="1:2" x14ac:dyDescent="0.25">
      <c r="A64793" s="118"/>
      <c r="B64793" s="136"/>
    </row>
    <row r="64794" spans="1:2" x14ac:dyDescent="0.25">
      <c r="A64794" s="118"/>
      <c r="B64794" s="136"/>
    </row>
    <row r="64795" spans="1:2" x14ac:dyDescent="0.25">
      <c r="A64795" s="118"/>
      <c r="B64795" s="136"/>
    </row>
    <row r="64796" spans="1:2" x14ac:dyDescent="0.25">
      <c r="A64796" s="118"/>
      <c r="B64796" s="136"/>
    </row>
    <row r="64797" spans="1:2" x14ac:dyDescent="0.25">
      <c r="A64797" s="118"/>
      <c r="B64797" s="136"/>
    </row>
    <row r="64798" spans="1:2" x14ac:dyDescent="0.25">
      <c r="A64798" s="118"/>
      <c r="B64798" s="136"/>
    </row>
    <row r="64799" spans="1:2" x14ac:dyDescent="0.25">
      <c r="A64799" s="118"/>
      <c r="B64799" s="136"/>
    </row>
    <row r="64800" spans="1:2" x14ac:dyDescent="0.25">
      <c r="A64800" s="118"/>
      <c r="B64800" s="136"/>
    </row>
    <row r="64801" spans="1:2" x14ac:dyDescent="0.25">
      <c r="A64801" s="118"/>
      <c r="B64801" s="136"/>
    </row>
    <row r="64802" spans="1:2" x14ac:dyDescent="0.25">
      <c r="A64802" s="118"/>
      <c r="B64802" s="136"/>
    </row>
    <row r="64803" spans="1:2" x14ac:dyDescent="0.25">
      <c r="A64803" s="118"/>
      <c r="B64803" s="136"/>
    </row>
    <row r="64804" spans="1:2" x14ac:dyDescent="0.25">
      <c r="A64804" s="118"/>
      <c r="B64804" s="136"/>
    </row>
    <row r="64805" spans="1:2" x14ac:dyDescent="0.25">
      <c r="A64805" s="118"/>
      <c r="B64805" s="136"/>
    </row>
    <row r="64806" spans="1:2" x14ac:dyDescent="0.25">
      <c r="A64806" s="118"/>
      <c r="B64806" s="136"/>
    </row>
    <row r="64807" spans="1:2" x14ac:dyDescent="0.25">
      <c r="A64807" s="118"/>
      <c r="B64807" s="136"/>
    </row>
    <row r="64808" spans="1:2" x14ac:dyDescent="0.25">
      <c r="A64808" s="118"/>
      <c r="B64808" s="136"/>
    </row>
    <row r="64809" spans="1:2" x14ac:dyDescent="0.25">
      <c r="A64809" s="118"/>
      <c r="B64809" s="136"/>
    </row>
    <row r="64810" spans="1:2" x14ac:dyDescent="0.25">
      <c r="A64810" s="118"/>
      <c r="B64810" s="136"/>
    </row>
    <row r="64811" spans="1:2" x14ac:dyDescent="0.25">
      <c r="A64811" s="118"/>
      <c r="B64811" s="136"/>
    </row>
    <row r="64812" spans="1:2" x14ac:dyDescent="0.25">
      <c r="A64812" s="118"/>
      <c r="B64812" s="136"/>
    </row>
    <row r="64813" spans="1:2" x14ac:dyDescent="0.25">
      <c r="A64813" s="118"/>
      <c r="B64813" s="136"/>
    </row>
    <row r="64814" spans="1:2" x14ac:dyDescent="0.25">
      <c r="A64814" s="118"/>
      <c r="B64814" s="136"/>
    </row>
    <row r="64815" spans="1:2" x14ac:dyDescent="0.25">
      <c r="A64815" s="118"/>
      <c r="B64815" s="136"/>
    </row>
    <row r="64816" spans="1:2" x14ac:dyDescent="0.25">
      <c r="A64816" s="118"/>
      <c r="B64816" s="136"/>
    </row>
    <row r="64817" spans="1:2" x14ac:dyDescent="0.25">
      <c r="A64817" s="118"/>
      <c r="B64817" s="136"/>
    </row>
    <row r="64818" spans="1:2" x14ac:dyDescent="0.25">
      <c r="A64818" s="118"/>
      <c r="B64818" s="136"/>
    </row>
    <row r="64819" spans="1:2" x14ac:dyDescent="0.25">
      <c r="A64819" s="118"/>
      <c r="B64819" s="136"/>
    </row>
    <row r="64820" spans="1:2" x14ac:dyDescent="0.25">
      <c r="A64820" s="118"/>
      <c r="B64820" s="136"/>
    </row>
    <row r="64821" spans="1:2" x14ac:dyDescent="0.25">
      <c r="A64821" s="118"/>
      <c r="B64821" s="136"/>
    </row>
    <row r="64822" spans="1:2" x14ac:dyDescent="0.25">
      <c r="A64822" s="118"/>
      <c r="B64822" s="136"/>
    </row>
    <row r="64823" spans="1:2" x14ac:dyDescent="0.25">
      <c r="A64823" s="118"/>
      <c r="B64823" s="136"/>
    </row>
    <row r="64824" spans="1:2" x14ac:dyDescent="0.25">
      <c r="A64824" s="118"/>
      <c r="B64824" s="136"/>
    </row>
    <row r="64825" spans="1:2" x14ac:dyDescent="0.25">
      <c r="A64825" s="118"/>
      <c r="B64825" s="136"/>
    </row>
    <row r="64826" spans="1:2" x14ac:dyDescent="0.25">
      <c r="A64826" s="118"/>
      <c r="B64826" s="136"/>
    </row>
    <row r="64827" spans="1:2" x14ac:dyDescent="0.25">
      <c r="A64827" s="118"/>
      <c r="B64827" s="136"/>
    </row>
    <row r="64828" spans="1:2" x14ac:dyDescent="0.25">
      <c r="A64828" s="118"/>
      <c r="B64828" s="136"/>
    </row>
    <row r="64829" spans="1:2" x14ac:dyDescent="0.25">
      <c r="A64829" s="118"/>
      <c r="B64829" s="136"/>
    </row>
    <row r="64830" spans="1:2" x14ac:dyDescent="0.25">
      <c r="A64830" s="118"/>
      <c r="B64830" s="136"/>
    </row>
    <row r="64831" spans="1:2" x14ac:dyDescent="0.25">
      <c r="A64831" s="118"/>
      <c r="B64831" s="136"/>
    </row>
    <row r="64832" spans="1:2" x14ac:dyDescent="0.25">
      <c r="A64832" s="118"/>
      <c r="B64832" s="136"/>
    </row>
    <row r="64833" spans="1:2" x14ac:dyDescent="0.25">
      <c r="A64833" s="118"/>
      <c r="B64833" s="136"/>
    </row>
    <row r="64834" spans="1:2" x14ac:dyDescent="0.25">
      <c r="A64834" s="118"/>
      <c r="B64834" s="136"/>
    </row>
    <row r="64835" spans="1:2" x14ac:dyDescent="0.25">
      <c r="A64835" s="118"/>
      <c r="B64835" s="136"/>
    </row>
    <row r="64836" spans="1:2" x14ac:dyDescent="0.25">
      <c r="A64836" s="118"/>
      <c r="B64836" s="136"/>
    </row>
    <row r="64837" spans="1:2" x14ac:dyDescent="0.25">
      <c r="A64837" s="118"/>
      <c r="B64837" s="136"/>
    </row>
    <row r="64838" spans="1:2" x14ac:dyDescent="0.25">
      <c r="A64838" s="118"/>
      <c r="B64838" s="136"/>
    </row>
    <row r="64839" spans="1:2" x14ac:dyDescent="0.25">
      <c r="A64839" s="118"/>
      <c r="B64839" s="136"/>
    </row>
    <row r="64840" spans="1:2" x14ac:dyDescent="0.25">
      <c r="A64840" s="118"/>
      <c r="B64840" s="136"/>
    </row>
    <row r="64841" spans="1:2" x14ac:dyDescent="0.25">
      <c r="A64841" s="118"/>
      <c r="B64841" s="136"/>
    </row>
    <row r="64842" spans="1:2" x14ac:dyDescent="0.25">
      <c r="A64842" s="118"/>
      <c r="B64842" s="136"/>
    </row>
    <row r="64843" spans="1:2" x14ac:dyDescent="0.25">
      <c r="A64843" s="118"/>
      <c r="B64843" s="136"/>
    </row>
    <row r="64844" spans="1:2" x14ac:dyDescent="0.25">
      <c r="A64844" s="118"/>
      <c r="B64844" s="136"/>
    </row>
    <row r="64845" spans="1:2" x14ac:dyDescent="0.25">
      <c r="A64845" s="118"/>
      <c r="B64845" s="136"/>
    </row>
    <row r="64846" spans="1:2" x14ac:dyDescent="0.25">
      <c r="A64846" s="118"/>
      <c r="B64846" s="136"/>
    </row>
    <row r="64847" spans="1:2" x14ac:dyDescent="0.25">
      <c r="A64847" s="118"/>
      <c r="B64847" s="136"/>
    </row>
    <row r="64848" spans="1:2" x14ac:dyDescent="0.25">
      <c r="A64848" s="118"/>
      <c r="B64848" s="136"/>
    </row>
    <row r="64849" spans="1:2" x14ac:dyDescent="0.25">
      <c r="A64849" s="118"/>
      <c r="B64849" s="136"/>
    </row>
    <row r="64850" spans="1:2" x14ac:dyDescent="0.25">
      <c r="A64850" s="118"/>
      <c r="B64850" s="136"/>
    </row>
    <row r="64851" spans="1:2" x14ac:dyDescent="0.25">
      <c r="A64851" s="118"/>
      <c r="B64851" s="136"/>
    </row>
    <row r="64852" spans="1:2" x14ac:dyDescent="0.25">
      <c r="A64852" s="118"/>
      <c r="B64852" s="136"/>
    </row>
    <row r="64853" spans="1:2" x14ac:dyDescent="0.25">
      <c r="A64853" s="118"/>
      <c r="B64853" s="136"/>
    </row>
    <row r="64854" spans="1:2" x14ac:dyDescent="0.25">
      <c r="A64854" s="118"/>
      <c r="B64854" s="136"/>
    </row>
    <row r="64855" spans="1:2" x14ac:dyDescent="0.25">
      <c r="A64855" s="118"/>
      <c r="B64855" s="136"/>
    </row>
    <row r="64856" spans="1:2" x14ac:dyDescent="0.25">
      <c r="A64856" s="118"/>
      <c r="B64856" s="136"/>
    </row>
    <row r="64857" spans="1:2" x14ac:dyDescent="0.25">
      <c r="A64857" s="118"/>
      <c r="B64857" s="136"/>
    </row>
    <row r="64858" spans="1:2" x14ac:dyDescent="0.25">
      <c r="A64858" s="118"/>
      <c r="B64858" s="136"/>
    </row>
    <row r="64859" spans="1:2" x14ac:dyDescent="0.25">
      <c r="A64859" s="118"/>
      <c r="B64859" s="136"/>
    </row>
    <row r="64860" spans="1:2" x14ac:dyDescent="0.25">
      <c r="A64860" s="118"/>
      <c r="B64860" s="136"/>
    </row>
    <row r="64861" spans="1:2" x14ac:dyDescent="0.25">
      <c r="A64861" s="118"/>
      <c r="B64861" s="136"/>
    </row>
    <row r="64862" spans="1:2" x14ac:dyDescent="0.25">
      <c r="A64862" s="118"/>
      <c r="B64862" s="136"/>
    </row>
    <row r="64863" spans="1:2" x14ac:dyDescent="0.25">
      <c r="A64863" s="118"/>
      <c r="B64863" s="136"/>
    </row>
    <row r="64864" spans="1:2" x14ac:dyDescent="0.25">
      <c r="A64864" s="118"/>
      <c r="B64864" s="136"/>
    </row>
    <row r="64865" spans="1:2" x14ac:dyDescent="0.25">
      <c r="A64865" s="118"/>
      <c r="B64865" s="136"/>
    </row>
    <row r="64866" spans="1:2" x14ac:dyDescent="0.25">
      <c r="A64866" s="118"/>
      <c r="B64866" s="136"/>
    </row>
    <row r="64867" spans="1:2" x14ac:dyDescent="0.25">
      <c r="A64867" s="118"/>
      <c r="B64867" s="136"/>
    </row>
    <row r="64868" spans="1:2" x14ac:dyDescent="0.25">
      <c r="A64868" s="118"/>
      <c r="B64868" s="136"/>
    </row>
    <row r="64869" spans="1:2" x14ac:dyDescent="0.25">
      <c r="A64869" s="118"/>
      <c r="B64869" s="136"/>
    </row>
    <row r="64870" spans="1:2" x14ac:dyDescent="0.25">
      <c r="A64870" s="118"/>
      <c r="B64870" s="136"/>
    </row>
    <row r="64871" spans="1:2" x14ac:dyDescent="0.25">
      <c r="A64871" s="118"/>
      <c r="B64871" s="136"/>
    </row>
    <row r="64872" spans="1:2" x14ac:dyDescent="0.25">
      <c r="A64872" s="118"/>
      <c r="B64872" s="136"/>
    </row>
    <row r="64873" spans="1:2" x14ac:dyDescent="0.25">
      <c r="A64873" s="118"/>
      <c r="B64873" s="136"/>
    </row>
    <row r="64874" spans="1:2" x14ac:dyDescent="0.25">
      <c r="A64874" s="118"/>
      <c r="B64874" s="136"/>
    </row>
    <row r="64875" spans="1:2" x14ac:dyDescent="0.25">
      <c r="A64875" s="118"/>
      <c r="B64875" s="136"/>
    </row>
    <row r="64876" spans="1:2" x14ac:dyDescent="0.25">
      <c r="A64876" s="118"/>
      <c r="B64876" s="136"/>
    </row>
    <row r="64877" spans="1:2" x14ac:dyDescent="0.25">
      <c r="A64877" s="118"/>
      <c r="B64877" s="136"/>
    </row>
    <row r="64878" spans="1:2" x14ac:dyDescent="0.25">
      <c r="A64878" s="118"/>
      <c r="B64878" s="136"/>
    </row>
    <row r="64879" spans="1:2" x14ac:dyDescent="0.25">
      <c r="A64879" s="118"/>
      <c r="B64879" s="136"/>
    </row>
    <row r="64880" spans="1:2" x14ac:dyDescent="0.25">
      <c r="A64880" s="118"/>
      <c r="B64880" s="136"/>
    </row>
    <row r="64881" spans="1:2" x14ac:dyDescent="0.25">
      <c r="A64881" s="118"/>
      <c r="B64881" s="136"/>
    </row>
    <row r="64882" spans="1:2" x14ac:dyDescent="0.25">
      <c r="A64882" s="118"/>
      <c r="B64882" s="136"/>
    </row>
    <row r="64883" spans="1:2" x14ac:dyDescent="0.25">
      <c r="A64883" s="118"/>
      <c r="B64883" s="136"/>
    </row>
    <row r="64884" spans="1:2" x14ac:dyDescent="0.25">
      <c r="A64884" s="118"/>
      <c r="B64884" s="136"/>
    </row>
    <row r="64885" spans="1:2" x14ac:dyDescent="0.25">
      <c r="A64885" s="118"/>
      <c r="B64885" s="136"/>
    </row>
    <row r="64886" spans="1:2" x14ac:dyDescent="0.25">
      <c r="A64886" s="118"/>
      <c r="B64886" s="136"/>
    </row>
    <row r="64887" spans="1:2" x14ac:dyDescent="0.25">
      <c r="A64887" s="118"/>
      <c r="B64887" s="136"/>
    </row>
    <row r="64888" spans="1:2" x14ac:dyDescent="0.25">
      <c r="A64888" s="118"/>
      <c r="B64888" s="136"/>
    </row>
    <row r="64889" spans="1:2" x14ac:dyDescent="0.25">
      <c r="A64889" s="118"/>
      <c r="B64889" s="136"/>
    </row>
    <row r="64890" spans="1:2" x14ac:dyDescent="0.25">
      <c r="A64890" s="118"/>
      <c r="B64890" s="136"/>
    </row>
    <row r="64891" spans="1:2" x14ac:dyDescent="0.25">
      <c r="A64891" s="118"/>
      <c r="B64891" s="136"/>
    </row>
    <row r="64892" spans="1:2" x14ac:dyDescent="0.25">
      <c r="A64892" s="118"/>
      <c r="B64892" s="136"/>
    </row>
    <row r="64893" spans="1:2" x14ac:dyDescent="0.25">
      <c r="A64893" s="118"/>
      <c r="B64893" s="136"/>
    </row>
    <row r="64894" spans="1:2" x14ac:dyDescent="0.25">
      <c r="A64894" s="118"/>
      <c r="B64894" s="136"/>
    </row>
    <row r="64895" spans="1:2" x14ac:dyDescent="0.25">
      <c r="A64895" s="118"/>
      <c r="B64895" s="136"/>
    </row>
    <row r="64896" spans="1:2" x14ac:dyDescent="0.25">
      <c r="A64896" s="118"/>
      <c r="B64896" s="136"/>
    </row>
    <row r="64897" spans="1:2" x14ac:dyDescent="0.25">
      <c r="A64897" s="118"/>
      <c r="B64897" s="136"/>
    </row>
    <row r="64898" spans="1:2" x14ac:dyDescent="0.25">
      <c r="A64898" s="118"/>
      <c r="B64898" s="136"/>
    </row>
    <row r="64899" spans="1:2" x14ac:dyDescent="0.25">
      <c r="A64899" s="118"/>
      <c r="B64899" s="136"/>
    </row>
    <row r="64900" spans="1:2" x14ac:dyDescent="0.25">
      <c r="A64900" s="118"/>
      <c r="B64900" s="136"/>
    </row>
    <row r="64901" spans="1:2" x14ac:dyDescent="0.25">
      <c r="A64901" s="118"/>
      <c r="B64901" s="136"/>
    </row>
    <row r="64902" spans="1:2" x14ac:dyDescent="0.25">
      <c r="A64902" s="118"/>
      <c r="B64902" s="136"/>
    </row>
    <row r="64903" spans="1:2" x14ac:dyDescent="0.25">
      <c r="A64903" s="118"/>
      <c r="B64903" s="136"/>
    </row>
    <row r="64904" spans="1:2" x14ac:dyDescent="0.25">
      <c r="A64904" s="118"/>
      <c r="B64904" s="136"/>
    </row>
    <row r="64905" spans="1:2" x14ac:dyDescent="0.25">
      <c r="A64905" s="118"/>
      <c r="B64905" s="136"/>
    </row>
    <row r="64906" spans="1:2" x14ac:dyDescent="0.25">
      <c r="A64906" s="118"/>
      <c r="B64906" s="136"/>
    </row>
    <row r="64907" spans="1:2" x14ac:dyDescent="0.25">
      <c r="A64907" s="118"/>
      <c r="B64907" s="136"/>
    </row>
    <row r="64908" spans="1:2" x14ac:dyDescent="0.25">
      <c r="A64908" s="118"/>
      <c r="B64908" s="136"/>
    </row>
    <row r="64909" spans="1:2" x14ac:dyDescent="0.25">
      <c r="A64909" s="118"/>
      <c r="B64909" s="136"/>
    </row>
    <row r="64910" spans="1:2" x14ac:dyDescent="0.25">
      <c r="A64910" s="118"/>
      <c r="B64910" s="136"/>
    </row>
    <row r="64911" spans="1:2" x14ac:dyDescent="0.25">
      <c r="A64911" s="118"/>
      <c r="B64911" s="136"/>
    </row>
    <row r="64912" spans="1:2" x14ac:dyDescent="0.25">
      <c r="A64912" s="118"/>
      <c r="B64912" s="136"/>
    </row>
    <row r="64913" spans="1:2" x14ac:dyDescent="0.25">
      <c r="A64913" s="118"/>
      <c r="B64913" s="136"/>
    </row>
    <row r="64914" spans="1:2" x14ac:dyDescent="0.25">
      <c r="A64914" s="118"/>
      <c r="B64914" s="136"/>
    </row>
    <row r="64915" spans="1:2" x14ac:dyDescent="0.25">
      <c r="A64915" s="118"/>
      <c r="B64915" s="136"/>
    </row>
    <row r="64916" spans="1:2" x14ac:dyDescent="0.25">
      <c r="A64916" s="118"/>
      <c r="B64916" s="136"/>
    </row>
    <row r="64917" spans="1:2" x14ac:dyDescent="0.25">
      <c r="A64917" s="118"/>
      <c r="B64917" s="136"/>
    </row>
    <row r="64918" spans="1:2" x14ac:dyDescent="0.25">
      <c r="A64918" s="118"/>
      <c r="B64918" s="136"/>
    </row>
    <row r="64919" spans="1:2" x14ac:dyDescent="0.25">
      <c r="A64919" s="118"/>
      <c r="B64919" s="136"/>
    </row>
    <row r="64920" spans="1:2" x14ac:dyDescent="0.25">
      <c r="A64920" s="118"/>
      <c r="B64920" s="136"/>
    </row>
    <row r="64921" spans="1:2" x14ac:dyDescent="0.25">
      <c r="A64921" s="118"/>
      <c r="B64921" s="136"/>
    </row>
    <row r="64922" spans="1:2" x14ac:dyDescent="0.25">
      <c r="A64922" s="118"/>
      <c r="B64922" s="136"/>
    </row>
    <row r="64923" spans="1:2" x14ac:dyDescent="0.25">
      <c r="A64923" s="118"/>
      <c r="B64923" s="136"/>
    </row>
    <row r="64924" spans="1:2" x14ac:dyDescent="0.25">
      <c r="A64924" s="118"/>
      <c r="B64924" s="136"/>
    </row>
    <row r="64925" spans="1:2" x14ac:dyDescent="0.25">
      <c r="A64925" s="118"/>
      <c r="B64925" s="136"/>
    </row>
    <row r="64926" spans="1:2" x14ac:dyDescent="0.25">
      <c r="A64926" s="118"/>
      <c r="B64926" s="136"/>
    </row>
    <row r="64927" spans="1:2" x14ac:dyDescent="0.25">
      <c r="A64927" s="118"/>
      <c r="B64927" s="136"/>
    </row>
    <row r="64928" spans="1:2" x14ac:dyDescent="0.25">
      <c r="A64928" s="118"/>
      <c r="B64928" s="136"/>
    </row>
    <row r="64929" spans="1:2" x14ac:dyDescent="0.25">
      <c r="A64929" s="118"/>
      <c r="B64929" s="136"/>
    </row>
    <row r="64930" spans="1:2" x14ac:dyDescent="0.25">
      <c r="A64930" s="118"/>
      <c r="B64930" s="136"/>
    </row>
    <row r="64931" spans="1:2" x14ac:dyDescent="0.25">
      <c r="A64931" s="118"/>
      <c r="B64931" s="136"/>
    </row>
    <row r="64932" spans="1:2" x14ac:dyDescent="0.25">
      <c r="A64932" s="118"/>
      <c r="B64932" s="136"/>
    </row>
    <row r="64933" spans="1:2" x14ac:dyDescent="0.25">
      <c r="A64933" s="118"/>
      <c r="B64933" s="136"/>
    </row>
    <row r="64934" spans="1:2" x14ac:dyDescent="0.25">
      <c r="A64934" s="118"/>
      <c r="B64934" s="136"/>
    </row>
    <row r="64935" spans="1:2" x14ac:dyDescent="0.25">
      <c r="A64935" s="118"/>
      <c r="B64935" s="136"/>
    </row>
    <row r="64936" spans="1:2" x14ac:dyDescent="0.25">
      <c r="A64936" s="118"/>
      <c r="B64936" s="136"/>
    </row>
    <row r="64937" spans="1:2" x14ac:dyDescent="0.25">
      <c r="A64937" s="118"/>
      <c r="B64937" s="136"/>
    </row>
    <row r="64938" spans="1:2" x14ac:dyDescent="0.25">
      <c r="A64938" s="118"/>
      <c r="B64938" s="136"/>
    </row>
    <row r="64939" spans="1:2" x14ac:dyDescent="0.25">
      <c r="A64939" s="118"/>
      <c r="B64939" s="136"/>
    </row>
    <row r="64940" spans="1:2" x14ac:dyDescent="0.25">
      <c r="A64940" s="118"/>
      <c r="B64940" s="136"/>
    </row>
    <row r="64941" spans="1:2" x14ac:dyDescent="0.25">
      <c r="A64941" s="118"/>
      <c r="B64941" s="136"/>
    </row>
    <row r="64942" spans="1:2" x14ac:dyDescent="0.25">
      <c r="A64942" s="118"/>
      <c r="B64942" s="136"/>
    </row>
    <row r="64943" spans="1:2" x14ac:dyDescent="0.25">
      <c r="A64943" s="118"/>
      <c r="B64943" s="136"/>
    </row>
    <row r="64944" spans="1:2" x14ac:dyDescent="0.25">
      <c r="A64944" s="118"/>
      <c r="B64944" s="136"/>
    </row>
    <row r="64945" spans="1:2" x14ac:dyDescent="0.25">
      <c r="A64945" s="118"/>
      <c r="B64945" s="136"/>
    </row>
    <row r="64946" spans="1:2" x14ac:dyDescent="0.25">
      <c r="A64946" s="118"/>
      <c r="B64946" s="136"/>
    </row>
    <row r="64947" spans="1:2" x14ac:dyDescent="0.25">
      <c r="A64947" s="118"/>
      <c r="B64947" s="136"/>
    </row>
    <row r="64948" spans="1:2" x14ac:dyDescent="0.25">
      <c r="A64948" s="118"/>
      <c r="B64948" s="136"/>
    </row>
    <row r="64949" spans="1:2" x14ac:dyDescent="0.25">
      <c r="A64949" s="118"/>
      <c r="B64949" s="136"/>
    </row>
    <row r="64950" spans="1:2" x14ac:dyDescent="0.25">
      <c r="A64950" s="118"/>
      <c r="B64950" s="136"/>
    </row>
    <row r="64951" spans="1:2" x14ac:dyDescent="0.25">
      <c r="A64951" s="118"/>
      <c r="B64951" s="136"/>
    </row>
    <row r="64952" spans="1:2" x14ac:dyDescent="0.25">
      <c r="A64952" s="118"/>
      <c r="B64952" s="136"/>
    </row>
    <row r="64953" spans="1:2" x14ac:dyDescent="0.25">
      <c r="A64953" s="118"/>
      <c r="B64953" s="136"/>
    </row>
    <row r="64954" spans="1:2" x14ac:dyDescent="0.25">
      <c r="A64954" s="118"/>
      <c r="B64954" s="136"/>
    </row>
    <row r="64955" spans="1:2" x14ac:dyDescent="0.25">
      <c r="A64955" s="118"/>
      <c r="B64955" s="136"/>
    </row>
    <row r="64956" spans="1:2" x14ac:dyDescent="0.25">
      <c r="A64956" s="118"/>
      <c r="B64956" s="136"/>
    </row>
    <row r="64957" spans="1:2" x14ac:dyDescent="0.25">
      <c r="A64957" s="118"/>
      <c r="B64957" s="136"/>
    </row>
    <row r="64958" spans="1:2" x14ac:dyDescent="0.25">
      <c r="A64958" s="118"/>
      <c r="B64958" s="136"/>
    </row>
    <row r="64959" spans="1:2" x14ac:dyDescent="0.25">
      <c r="A64959" s="118"/>
      <c r="B64959" s="136"/>
    </row>
    <row r="64960" spans="1:2" x14ac:dyDescent="0.25">
      <c r="A64960" s="118"/>
      <c r="B64960" s="136"/>
    </row>
    <row r="64961" spans="1:2" x14ac:dyDescent="0.25">
      <c r="A64961" s="118"/>
      <c r="B64961" s="136"/>
    </row>
    <row r="64962" spans="1:2" x14ac:dyDescent="0.25">
      <c r="A64962" s="118"/>
      <c r="B64962" s="136"/>
    </row>
    <row r="64963" spans="1:2" x14ac:dyDescent="0.25">
      <c r="A64963" s="118"/>
      <c r="B64963" s="136"/>
    </row>
    <row r="64964" spans="1:2" x14ac:dyDescent="0.25">
      <c r="A64964" s="118"/>
      <c r="B64964" s="136"/>
    </row>
    <row r="64965" spans="1:2" x14ac:dyDescent="0.25">
      <c r="A64965" s="118"/>
      <c r="B64965" s="136"/>
    </row>
    <row r="64966" spans="1:2" x14ac:dyDescent="0.25">
      <c r="A64966" s="118"/>
      <c r="B64966" s="136"/>
    </row>
    <row r="64967" spans="1:2" x14ac:dyDescent="0.25">
      <c r="A64967" s="118"/>
      <c r="B64967" s="136"/>
    </row>
    <row r="64968" spans="1:2" x14ac:dyDescent="0.25">
      <c r="A64968" s="118"/>
      <c r="B64968" s="136"/>
    </row>
    <row r="64969" spans="1:2" x14ac:dyDescent="0.25">
      <c r="A64969" s="118"/>
      <c r="B64969" s="136"/>
    </row>
    <row r="64970" spans="1:2" x14ac:dyDescent="0.25">
      <c r="A64970" s="118"/>
      <c r="B64970" s="136"/>
    </row>
    <row r="64971" spans="1:2" x14ac:dyDescent="0.25">
      <c r="A64971" s="118"/>
      <c r="B64971" s="136"/>
    </row>
    <row r="64972" spans="1:2" x14ac:dyDescent="0.25">
      <c r="A64972" s="118"/>
      <c r="B64972" s="136"/>
    </row>
    <row r="64973" spans="1:2" x14ac:dyDescent="0.25">
      <c r="A64973" s="118"/>
      <c r="B64973" s="136"/>
    </row>
    <row r="64974" spans="1:2" x14ac:dyDescent="0.25">
      <c r="A64974" s="118"/>
      <c r="B64974" s="136"/>
    </row>
    <row r="64975" spans="1:2" x14ac:dyDescent="0.25">
      <c r="A64975" s="118"/>
      <c r="B64975" s="136"/>
    </row>
    <row r="64976" spans="1:2" x14ac:dyDescent="0.25">
      <c r="A64976" s="118"/>
      <c r="B64976" s="136"/>
    </row>
    <row r="64977" spans="1:2" x14ac:dyDescent="0.25">
      <c r="A64977" s="118"/>
      <c r="B64977" s="136"/>
    </row>
    <row r="64978" spans="1:2" x14ac:dyDescent="0.25">
      <c r="A64978" s="118"/>
      <c r="B64978" s="136"/>
    </row>
    <row r="64979" spans="1:2" x14ac:dyDescent="0.25">
      <c r="A64979" s="118"/>
      <c r="B64979" s="136"/>
    </row>
    <row r="64980" spans="1:2" x14ac:dyDescent="0.25">
      <c r="A64980" s="118"/>
      <c r="B64980" s="136"/>
    </row>
    <row r="64981" spans="1:2" x14ac:dyDescent="0.25">
      <c r="A64981" s="118"/>
      <c r="B64981" s="136"/>
    </row>
    <row r="64982" spans="1:2" x14ac:dyDescent="0.25">
      <c r="A64982" s="118"/>
      <c r="B64982" s="136"/>
    </row>
    <row r="64983" spans="1:2" x14ac:dyDescent="0.25">
      <c r="A64983" s="118"/>
      <c r="B64983" s="136"/>
    </row>
    <row r="64984" spans="1:2" x14ac:dyDescent="0.25">
      <c r="A64984" s="118"/>
      <c r="B64984" s="136"/>
    </row>
    <row r="64985" spans="1:2" x14ac:dyDescent="0.25">
      <c r="A64985" s="118"/>
      <c r="B64985" s="136"/>
    </row>
    <row r="64986" spans="1:2" x14ac:dyDescent="0.25">
      <c r="A64986" s="118"/>
      <c r="B64986" s="136"/>
    </row>
    <row r="64987" spans="1:2" x14ac:dyDescent="0.25">
      <c r="A64987" s="118"/>
      <c r="B64987" s="136"/>
    </row>
    <row r="64988" spans="1:2" x14ac:dyDescent="0.25">
      <c r="A64988" s="118"/>
      <c r="B64988" s="136"/>
    </row>
    <row r="64989" spans="1:2" x14ac:dyDescent="0.25">
      <c r="A64989" s="118"/>
      <c r="B64989" s="136"/>
    </row>
    <row r="64990" spans="1:2" x14ac:dyDescent="0.25">
      <c r="A64990" s="118"/>
      <c r="B64990" s="136"/>
    </row>
    <row r="64991" spans="1:2" x14ac:dyDescent="0.25">
      <c r="A64991" s="118"/>
      <c r="B64991" s="136"/>
    </row>
    <row r="64992" spans="1:2" x14ac:dyDescent="0.25">
      <c r="A64992" s="118"/>
      <c r="B64992" s="136"/>
    </row>
    <row r="64993" spans="1:2" x14ac:dyDescent="0.25">
      <c r="A64993" s="118"/>
      <c r="B64993" s="136"/>
    </row>
    <row r="64994" spans="1:2" x14ac:dyDescent="0.25">
      <c r="A64994" s="118"/>
      <c r="B64994" s="136"/>
    </row>
    <row r="64995" spans="1:2" x14ac:dyDescent="0.25">
      <c r="A64995" s="118"/>
      <c r="B64995" s="136"/>
    </row>
    <row r="64996" spans="1:2" x14ac:dyDescent="0.25">
      <c r="A64996" s="118"/>
      <c r="B64996" s="136"/>
    </row>
    <row r="64997" spans="1:2" x14ac:dyDescent="0.25">
      <c r="A64997" s="118"/>
      <c r="B64997" s="136"/>
    </row>
    <row r="64998" spans="1:2" x14ac:dyDescent="0.25">
      <c r="A64998" s="118"/>
      <c r="B64998" s="136"/>
    </row>
    <row r="64999" spans="1:2" x14ac:dyDescent="0.25">
      <c r="A64999" s="118"/>
      <c r="B64999" s="136"/>
    </row>
    <row r="65000" spans="1:2" x14ac:dyDescent="0.25">
      <c r="A65000" s="118"/>
      <c r="B65000" s="136"/>
    </row>
    <row r="65001" spans="1:2" x14ac:dyDescent="0.25">
      <c r="A65001" s="118"/>
      <c r="B65001" s="136"/>
    </row>
    <row r="65002" spans="1:2" x14ac:dyDescent="0.25">
      <c r="A65002" s="118"/>
      <c r="B65002" s="136"/>
    </row>
    <row r="65003" spans="1:2" x14ac:dyDescent="0.25">
      <c r="A65003" s="118"/>
      <c r="B65003" s="136"/>
    </row>
    <row r="65004" spans="1:2" x14ac:dyDescent="0.25">
      <c r="A65004" s="118"/>
      <c r="B65004" s="136"/>
    </row>
    <row r="65005" spans="1:2" x14ac:dyDescent="0.25">
      <c r="A65005" s="118"/>
      <c r="B65005" s="136"/>
    </row>
    <row r="65006" spans="1:2" x14ac:dyDescent="0.25">
      <c r="A65006" s="118"/>
      <c r="B65006" s="136"/>
    </row>
    <row r="65007" spans="1:2" x14ac:dyDescent="0.25">
      <c r="A65007" s="118"/>
      <c r="B65007" s="136"/>
    </row>
    <row r="65008" spans="1:2" x14ac:dyDescent="0.25">
      <c r="A65008" s="118"/>
      <c r="B65008" s="136"/>
    </row>
    <row r="65009" spans="1:2" x14ac:dyDescent="0.25">
      <c r="A65009" s="118"/>
      <c r="B65009" s="136"/>
    </row>
    <row r="65010" spans="1:2" x14ac:dyDescent="0.25">
      <c r="A65010" s="118"/>
      <c r="B65010" s="136"/>
    </row>
    <row r="65011" spans="1:2" x14ac:dyDescent="0.25">
      <c r="A65011" s="118"/>
      <c r="B65011" s="136"/>
    </row>
    <row r="65012" spans="1:2" x14ac:dyDescent="0.25">
      <c r="A65012" s="118"/>
      <c r="B65012" s="136"/>
    </row>
    <row r="65013" spans="1:2" x14ac:dyDescent="0.25">
      <c r="A65013" s="118"/>
      <c r="B65013" s="136"/>
    </row>
    <row r="65014" spans="1:2" x14ac:dyDescent="0.25">
      <c r="A65014" s="118"/>
      <c r="B65014" s="136"/>
    </row>
    <row r="65015" spans="1:2" x14ac:dyDescent="0.25">
      <c r="A65015" s="118"/>
      <c r="B65015" s="136"/>
    </row>
    <row r="65016" spans="1:2" x14ac:dyDescent="0.25">
      <c r="A65016" s="118"/>
      <c r="B65016" s="136"/>
    </row>
    <row r="65017" spans="1:2" x14ac:dyDescent="0.25">
      <c r="A65017" s="118"/>
      <c r="B65017" s="136"/>
    </row>
    <row r="65018" spans="1:2" x14ac:dyDescent="0.25">
      <c r="A65018" s="118"/>
      <c r="B65018" s="136"/>
    </row>
    <row r="65019" spans="1:2" x14ac:dyDescent="0.25">
      <c r="A65019" s="118"/>
      <c r="B65019" s="136"/>
    </row>
    <row r="65020" spans="1:2" x14ac:dyDescent="0.25">
      <c r="A65020" s="118"/>
      <c r="B65020" s="136"/>
    </row>
    <row r="65021" spans="1:2" x14ac:dyDescent="0.25">
      <c r="A65021" s="118"/>
      <c r="B65021" s="136"/>
    </row>
    <row r="65022" spans="1:2" x14ac:dyDescent="0.25">
      <c r="A65022" s="118"/>
      <c r="B65022" s="136"/>
    </row>
    <row r="65023" spans="1:2" x14ac:dyDescent="0.25">
      <c r="A65023" s="118"/>
      <c r="B65023" s="136"/>
    </row>
    <row r="65024" spans="1:2" x14ac:dyDescent="0.25">
      <c r="A65024" s="118"/>
      <c r="B65024" s="136"/>
    </row>
    <row r="65025" spans="1:2" x14ac:dyDescent="0.25">
      <c r="A65025" s="118"/>
      <c r="B65025" s="136"/>
    </row>
    <row r="65026" spans="1:2" x14ac:dyDescent="0.25">
      <c r="A65026" s="118"/>
      <c r="B65026" s="136"/>
    </row>
    <row r="65027" spans="1:2" x14ac:dyDescent="0.25">
      <c r="A65027" s="118"/>
      <c r="B65027" s="136"/>
    </row>
    <row r="65028" spans="1:2" x14ac:dyDescent="0.25">
      <c r="A65028" s="118"/>
      <c r="B65028" s="136"/>
    </row>
    <row r="65029" spans="1:2" x14ac:dyDescent="0.25">
      <c r="A65029" s="118"/>
      <c r="B65029" s="136"/>
    </row>
    <row r="65030" spans="1:2" x14ac:dyDescent="0.25">
      <c r="A65030" s="118"/>
      <c r="B65030" s="136"/>
    </row>
    <row r="65031" spans="1:2" x14ac:dyDescent="0.25">
      <c r="A65031" s="118"/>
      <c r="B65031" s="136"/>
    </row>
    <row r="65032" spans="1:2" x14ac:dyDescent="0.25">
      <c r="A65032" s="118"/>
      <c r="B65032" s="136"/>
    </row>
    <row r="65033" spans="1:2" x14ac:dyDescent="0.25">
      <c r="A65033" s="118"/>
      <c r="B65033" s="136"/>
    </row>
    <row r="65034" spans="1:2" x14ac:dyDescent="0.25">
      <c r="A65034" s="118"/>
      <c r="B65034" s="136"/>
    </row>
    <row r="65035" spans="1:2" x14ac:dyDescent="0.25">
      <c r="A65035" s="118"/>
      <c r="B65035" s="136"/>
    </row>
    <row r="65036" spans="1:2" x14ac:dyDescent="0.25">
      <c r="A65036" s="118"/>
      <c r="B65036" s="136"/>
    </row>
    <row r="65037" spans="1:2" x14ac:dyDescent="0.25">
      <c r="A65037" s="118"/>
      <c r="B65037" s="136"/>
    </row>
    <row r="65038" spans="1:2" x14ac:dyDescent="0.25">
      <c r="A65038" s="118"/>
      <c r="B65038" s="136"/>
    </row>
    <row r="65039" spans="1:2" x14ac:dyDescent="0.25">
      <c r="A65039" s="118"/>
      <c r="B65039" s="136"/>
    </row>
    <row r="65040" spans="1:2" x14ac:dyDescent="0.25">
      <c r="A65040" s="118"/>
      <c r="B65040" s="136"/>
    </row>
    <row r="65041" spans="1:2" x14ac:dyDescent="0.25">
      <c r="A65041" s="118"/>
      <c r="B65041" s="136"/>
    </row>
    <row r="65042" spans="1:2" x14ac:dyDescent="0.25">
      <c r="A65042" s="118"/>
      <c r="B65042" s="136"/>
    </row>
    <row r="65043" spans="1:2" x14ac:dyDescent="0.25">
      <c r="A65043" s="118"/>
      <c r="B65043" s="136"/>
    </row>
    <row r="65044" spans="1:2" x14ac:dyDescent="0.25">
      <c r="A65044" s="118"/>
      <c r="B65044" s="136"/>
    </row>
    <row r="65045" spans="1:2" x14ac:dyDescent="0.25">
      <c r="A65045" s="118"/>
      <c r="B65045" s="136"/>
    </row>
    <row r="65046" spans="1:2" x14ac:dyDescent="0.25">
      <c r="A65046" s="118"/>
      <c r="B65046" s="136"/>
    </row>
    <row r="65047" spans="1:2" x14ac:dyDescent="0.25">
      <c r="A65047" s="118"/>
      <c r="B65047" s="136"/>
    </row>
    <row r="65048" spans="1:2" x14ac:dyDescent="0.25">
      <c r="A65048" s="118"/>
      <c r="B65048" s="136"/>
    </row>
    <row r="65049" spans="1:2" x14ac:dyDescent="0.25">
      <c r="A65049" s="118"/>
      <c r="B65049" s="136"/>
    </row>
    <row r="65050" spans="1:2" x14ac:dyDescent="0.25">
      <c r="A65050" s="118"/>
      <c r="B65050" s="136"/>
    </row>
    <row r="65051" spans="1:2" x14ac:dyDescent="0.25">
      <c r="A65051" s="118"/>
      <c r="B65051" s="136"/>
    </row>
    <row r="65052" spans="1:2" x14ac:dyDescent="0.25">
      <c r="A65052" s="118"/>
      <c r="B65052" s="136"/>
    </row>
    <row r="65053" spans="1:2" x14ac:dyDescent="0.25">
      <c r="A65053" s="118"/>
      <c r="B65053" s="136"/>
    </row>
    <row r="65054" spans="1:2" x14ac:dyDescent="0.25">
      <c r="A65054" s="118"/>
      <c r="B65054" s="136"/>
    </row>
    <row r="65055" spans="1:2" x14ac:dyDescent="0.25">
      <c r="A65055" s="118"/>
      <c r="B65055" s="136"/>
    </row>
    <row r="65056" spans="1:2" x14ac:dyDescent="0.25">
      <c r="A65056" s="118"/>
      <c r="B65056" s="136"/>
    </row>
    <row r="65057" spans="1:2" x14ac:dyDescent="0.25">
      <c r="A65057" s="118"/>
      <c r="B65057" s="136"/>
    </row>
    <row r="65058" spans="1:2" x14ac:dyDescent="0.25">
      <c r="A65058" s="118"/>
      <c r="B65058" s="136"/>
    </row>
    <row r="65059" spans="1:2" x14ac:dyDescent="0.25">
      <c r="A65059" s="118"/>
      <c r="B65059" s="136"/>
    </row>
    <row r="65060" spans="1:2" x14ac:dyDescent="0.25">
      <c r="A65060" s="118"/>
      <c r="B65060" s="136"/>
    </row>
    <row r="65061" spans="1:2" x14ac:dyDescent="0.25">
      <c r="A65061" s="118"/>
      <c r="B65061" s="136"/>
    </row>
    <row r="65062" spans="1:2" x14ac:dyDescent="0.25">
      <c r="A65062" s="118"/>
      <c r="B65062" s="136"/>
    </row>
    <row r="65063" spans="1:2" x14ac:dyDescent="0.25">
      <c r="A65063" s="118"/>
      <c r="B65063" s="136"/>
    </row>
    <row r="65064" spans="1:2" x14ac:dyDescent="0.25">
      <c r="A65064" s="118"/>
      <c r="B65064" s="136"/>
    </row>
    <row r="65065" spans="1:2" x14ac:dyDescent="0.25">
      <c r="A65065" s="118"/>
      <c r="B65065" s="136"/>
    </row>
    <row r="65066" spans="1:2" x14ac:dyDescent="0.25">
      <c r="A65066" s="118"/>
      <c r="B65066" s="136"/>
    </row>
    <row r="65067" spans="1:2" x14ac:dyDescent="0.25">
      <c r="A65067" s="118"/>
      <c r="B65067" s="136"/>
    </row>
    <row r="65068" spans="1:2" x14ac:dyDescent="0.25">
      <c r="A65068" s="118"/>
      <c r="B65068" s="136"/>
    </row>
    <row r="65069" spans="1:2" x14ac:dyDescent="0.25">
      <c r="A65069" s="118"/>
      <c r="B65069" s="136"/>
    </row>
    <row r="65070" spans="1:2" x14ac:dyDescent="0.25">
      <c r="A65070" s="118"/>
      <c r="B65070" s="136"/>
    </row>
    <row r="65071" spans="1:2" x14ac:dyDescent="0.25">
      <c r="A65071" s="118"/>
      <c r="B65071" s="136"/>
    </row>
    <row r="65072" spans="1:2" x14ac:dyDescent="0.25">
      <c r="A65072" s="118"/>
      <c r="B65072" s="136"/>
    </row>
    <row r="65073" spans="1:2" x14ac:dyDescent="0.25">
      <c r="A65073" s="118"/>
      <c r="B65073" s="136"/>
    </row>
    <row r="65074" spans="1:2" x14ac:dyDescent="0.25">
      <c r="A65074" s="118"/>
      <c r="B65074" s="136"/>
    </row>
    <row r="65075" spans="1:2" x14ac:dyDescent="0.25">
      <c r="A65075" s="118"/>
      <c r="B65075" s="136"/>
    </row>
    <row r="65076" spans="1:2" x14ac:dyDescent="0.25">
      <c r="A65076" s="118"/>
      <c r="B65076" s="136"/>
    </row>
    <row r="65077" spans="1:2" x14ac:dyDescent="0.25">
      <c r="A65077" s="118"/>
      <c r="B65077" s="136"/>
    </row>
    <row r="65078" spans="1:2" x14ac:dyDescent="0.25">
      <c r="A65078" s="118"/>
      <c r="B65078" s="136"/>
    </row>
    <row r="65079" spans="1:2" x14ac:dyDescent="0.25">
      <c r="A65079" s="118"/>
      <c r="B65079" s="136"/>
    </row>
    <row r="65080" spans="1:2" x14ac:dyDescent="0.25">
      <c r="A65080" s="118"/>
      <c r="B65080" s="136"/>
    </row>
    <row r="65081" spans="1:2" x14ac:dyDescent="0.25">
      <c r="A65081" s="118"/>
      <c r="B65081" s="136"/>
    </row>
    <row r="65082" spans="1:2" x14ac:dyDescent="0.25">
      <c r="A65082" s="118"/>
      <c r="B65082" s="136"/>
    </row>
    <row r="65083" spans="1:2" x14ac:dyDescent="0.25">
      <c r="A65083" s="118"/>
      <c r="B65083" s="136"/>
    </row>
    <row r="65084" spans="1:2" x14ac:dyDescent="0.25">
      <c r="A65084" s="118"/>
      <c r="B65084" s="136"/>
    </row>
    <row r="65085" spans="1:2" x14ac:dyDescent="0.25">
      <c r="A65085" s="118"/>
      <c r="B65085" s="136"/>
    </row>
    <row r="65086" spans="1:2" x14ac:dyDescent="0.25">
      <c r="A65086" s="118"/>
      <c r="B65086" s="136"/>
    </row>
    <row r="65087" spans="1:2" x14ac:dyDescent="0.25">
      <c r="A65087" s="118"/>
      <c r="B65087" s="136"/>
    </row>
    <row r="65088" spans="1:2" x14ac:dyDescent="0.25">
      <c r="A65088" s="118"/>
      <c r="B65088" s="136"/>
    </row>
    <row r="65089" spans="1:2" x14ac:dyDescent="0.25">
      <c r="A65089" s="118"/>
      <c r="B65089" s="136"/>
    </row>
    <row r="65090" spans="1:2" x14ac:dyDescent="0.25">
      <c r="A65090" s="118"/>
      <c r="B65090" s="136"/>
    </row>
    <row r="65091" spans="1:2" x14ac:dyDescent="0.25">
      <c r="A65091" s="118"/>
      <c r="B65091" s="136"/>
    </row>
    <row r="65092" spans="1:2" x14ac:dyDescent="0.25">
      <c r="A65092" s="118"/>
      <c r="B65092" s="136"/>
    </row>
    <row r="65093" spans="1:2" x14ac:dyDescent="0.25">
      <c r="A65093" s="118"/>
      <c r="B65093" s="136"/>
    </row>
    <row r="65094" spans="1:2" x14ac:dyDescent="0.25">
      <c r="A65094" s="118"/>
      <c r="B65094" s="136"/>
    </row>
    <row r="65095" spans="1:2" x14ac:dyDescent="0.25">
      <c r="A65095" s="118"/>
      <c r="B65095" s="136"/>
    </row>
    <row r="65096" spans="1:2" x14ac:dyDescent="0.25">
      <c r="A65096" s="118"/>
      <c r="B65096" s="136"/>
    </row>
    <row r="65097" spans="1:2" x14ac:dyDescent="0.25">
      <c r="A65097" s="118"/>
      <c r="B65097" s="136"/>
    </row>
    <row r="65098" spans="1:2" x14ac:dyDescent="0.25">
      <c r="A65098" s="118"/>
      <c r="B65098" s="136"/>
    </row>
    <row r="65099" spans="1:2" x14ac:dyDescent="0.25">
      <c r="A65099" s="118"/>
      <c r="B65099" s="136"/>
    </row>
    <row r="65100" spans="1:2" x14ac:dyDescent="0.25">
      <c r="A65100" s="118"/>
      <c r="B65100" s="136"/>
    </row>
    <row r="65101" spans="1:2" x14ac:dyDescent="0.25">
      <c r="A65101" s="118"/>
      <c r="B65101" s="136"/>
    </row>
    <row r="65102" spans="1:2" x14ac:dyDescent="0.25">
      <c r="A65102" s="118"/>
      <c r="B65102" s="136"/>
    </row>
    <row r="65103" spans="1:2" x14ac:dyDescent="0.25">
      <c r="A65103" s="118"/>
      <c r="B65103" s="136"/>
    </row>
    <row r="65104" spans="1:2" x14ac:dyDescent="0.25">
      <c r="A65104" s="118"/>
      <c r="B65104" s="136"/>
    </row>
    <row r="65105" spans="1:2" x14ac:dyDescent="0.25">
      <c r="A65105" s="118"/>
      <c r="B65105" s="136"/>
    </row>
    <row r="65106" spans="1:2" x14ac:dyDescent="0.25">
      <c r="A65106" s="118"/>
      <c r="B65106" s="136"/>
    </row>
    <row r="65107" spans="1:2" x14ac:dyDescent="0.25">
      <c r="A65107" s="118"/>
      <c r="B65107" s="136"/>
    </row>
    <row r="65108" spans="1:2" x14ac:dyDescent="0.25">
      <c r="A65108" s="118"/>
      <c r="B65108" s="136"/>
    </row>
    <row r="65109" spans="1:2" x14ac:dyDescent="0.25">
      <c r="A65109" s="118"/>
      <c r="B65109" s="136"/>
    </row>
    <row r="65110" spans="1:2" x14ac:dyDescent="0.25">
      <c r="A65110" s="118"/>
      <c r="B65110" s="136"/>
    </row>
    <row r="65111" spans="1:2" x14ac:dyDescent="0.25">
      <c r="A65111" s="118"/>
      <c r="B65111" s="136"/>
    </row>
    <row r="65112" spans="1:2" x14ac:dyDescent="0.25">
      <c r="A65112" s="118"/>
      <c r="B65112" s="136"/>
    </row>
    <row r="65113" spans="1:2" x14ac:dyDescent="0.25">
      <c r="A65113" s="118"/>
      <c r="B65113" s="136"/>
    </row>
    <row r="65114" spans="1:2" x14ac:dyDescent="0.25">
      <c r="A65114" s="118"/>
      <c r="B65114" s="136"/>
    </row>
    <row r="65115" spans="1:2" x14ac:dyDescent="0.25">
      <c r="A65115" s="118"/>
      <c r="B65115" s="136"/>
    </row>
    <row r="65116" spans="1:2" x14ac:dyDescent="0.25">
      <c r="A65116" s="118"/>
      <c r="B65116" s="136"/>
    </row>
    <row r="65117" spans="1:2" x14ac:dyDescent="0.25">
      <c r="A65117" s="118"/>
      <c r="B65117" s="136"/>
    </row>
    <row r="65118" spans="1:2" x14ac:dyDescent="0.25">
      <c r="A65118" s="118"/>
      <c r="B65118" s="136"/>
    </row>
    <row r="65119" spans="1:2" x14ac:dyDescent="0.25">
      <c r="A65119" s="118"/>
      <c r="B65119" s="136"/>
    </row>
    <row r="65120" spans="1:2" x14ac:dyDescent="0.25">
      <c r="A65120" s="118"/>
      <c r="B65120" s="136"/>
    </row>
    <row r="65121" spans="1:2" x14ac:dyDescent="0.25">
      <c r="A65121" s="118"/>
      <c r="B65121" s="136"/>
    </row>
    <row r="65122" spans="1:2" x14ac:dyDescent="0.25">
      <c r="A65122" s="118"/>
      <c r="B65122" s="136"/>
    </row>
    <row r="65123" spans="1:2" x14ac:dyDescent="0.25">
      <c r="A65123" s="118"/>
      <c r="B65123" s="136"/>
    </row>
    <row r="65124" spans="1:2" x14ac:dyDescent="0.25">
      <c r="A65124" s="118"/>
      <c r="B65124" s="136"/>
    </row>
    <row r="65125" spans="1:2" x14ac:dyDescent="0.25">
      <c r="A65125" s="118"/>
      <c r="B65125" s="136"/>
    </row>
    <row r="65126" spans="1:2" x14ac:dyDescent="0.25">
      <c r="A65126" s="118"/>
      <c r="B65126" s="136"/>
    </row>
    <row r="65127" spans="1:2" x14ac:dyDescent="0.25">
      <c r="A65127" s="118"/>
      <c r="B65127" s="136"/>
    </row>
    <row r="65128" spans="1:2" x14ac:dyDescent="0.25">
      <c r="A65128" s="118"/>
      <c r="B65128" s="136"/>
    </row>
    <row r="65129" spans="1:2" x14ac:dyDescent="0.25">
      <c r="A65129" s="118"/>
      <c r="B65129" s="136"/>
    </row>
    <row r="65130" spans="1:2" x14ac:dyDescent="0.25">
      <c r="A65130" s="118"/>
      <c r="B65130" s="136"/>
    </row>
    <row r="65131" spans="1:2" x14ac:dyDescent="0.25">
      <c r="A65131" s="118"/>
      <c r="B65131" s="136"/>
    </row>
    <row r="65132" spans="1:2" x14ac:dyDescent="0.25">
      <c r="A65132" s="118"/>
      <c r="B65132" s="136"/>
    </row>
    <row r="65133" spans="1:2" x14ac:dyDescent="0.25">
      <c r="A65133" s="118"/>
      <c r="B65133" s="136"/>
    </row>
    <row r="65134" spans="1:2" x14ac:dyDescent="0.25">
      <c r="A65134" s="118"/>
      <c r="B65134" s="136"/>
    </row>
    <row r="65135" spans="1:2" x14ac:dyDescent="0.25">
      <c r="A65135" s="118"/>
      <c r="B65135" s="136"/>
    </row>
    <row r="65136" spans="1:2" x14ac:dyDescent="0.25">
      <c r="A65136" s="118"/>
      <c r="B65136" s="136"/>
    </row>
    <row r="65137" spans="1:2" x14ac:dyDescent="0.25">
      <c r="A65137" s="118"/>
      <c r="B65137" s="136"/>
    </row>
    <row r="65138" spans="1:2" x14ac:dyDescent="0.25">
      <c r="A65138" s="118"/>
      <c r="B65138" s="136"/>
    </row>
    <row r="65139" spans="1:2" x14ac:dyDescent="0.25">
      <c r="A65139" s="118"/>
      <c r="B65139" s="136"/>
    </row>
    <row r="65140" spans="1:2" x14ac:dyDescent="0.25">
      <c r="A65140" s="118"/>
      <c r="B65140" s="136"/>
    </row>
    <row r="65141" spans="1:2" x14ac:dyDescent="0.25">
      <c r="A65141" s="118"/>
      <c r="B65141" s="136"/>
    </row>
    <row r="65142" spans="1:2" x14ac:dyDescent="0.25">
      <c r="A65142" s="118"/>
      <c r="B65142" s="136"/>
    </row>
    <row r="65143" spans="1:2" x14ac:dyDescent="0.25">
      <c r="A65143" s="118"/>
      <c r="B65143" s="136"/>
    </row>
    <row r="65144" spans="1:2" x14ac:dyDescent="0.25">
      <c r="A65144" s="118"/>
      <c r="B65144" s="136"/>
    </row>
    <row r="65145" spans="1:2" x14ac:dyDescent="0.25">
      <c r="A65145" s="118"/>
      <c r="B65145" s="136"/>
    </row>
    <row r="65146" spans="1:2" x14ac:dyDescent="0.25">
      <c r="A65146" s="118"/>
      <c r="B65146" s="136"/>
    </row>
    <row r="65147" spans="1:2" x14ac:dyDescent="0.25">
      <c r="A65147" s="118"/>
      <c r="B65147" s="136"/>
    </row>
    <row r="65148" spans="1:2" x14ac:dyDescent="0.25">
      <c r="A65148" s="118"/>
      <c r="B65148" s="136"/>
    </row>
    <row r="65149" spans="1:2" x14ac:dyDescent="0.25">
      <c r="A65149" s="118"/>
      <c r="B65149" s="136"/>
    </row>
    <row r="65150" spans="1:2" x14ac:dyDescent="0.25">
      <c r="A65150" s="118"/>
      <c r="B65150" s="136"/>
    </row>
    <row r="65151" spans="1:2" x14ac:dyDescent="0.25">
      <c r="A65151" s="118"/>
      <c r="B65151" s="136"/>
    </row>
    <row r="65152" spans="1:2" x14ac:dyDescent="0.25">
      <c r="A65152" s="118"/>
      <c r="B65152" s="136"/>
    </row>
    <row r="65153" spans="1:2" x14ac:dyDescent="0.25">
      <c r="A65153" s="118"/>
      <c r="B65153" s="136"/>
    </row>
    <row r="65154" spans="1:2" x14ac:dyDescent="0.25">
      <c r="A65154" s="118"/>
      <c r="B65154" s="136"/>
    </row>
    <row r="65155" spans="1:2" x14ac:dyDescent="0.25">
      <c r="A65155" s="118"/>
      <c r="B65155" s="136"/>
    </row>
    <row r="65156" spans="1:2" x14ac:dyDescent="0.25">
      <c r="A65156" s="118"/>
      <c r="B65156" s="136"/>
    </row>
    <row r="65157" spans="1:2" x14ac:dyDescent="0.25">
      <c r="A65157" s="118"/>
      <c r="B65157" s="136"/>
    </row>
    <row r="65158" spans="1:2" x14ac:dyDescent="0.25">
      <c r="A65158" s="118"/>
      <c r="B65158" s="136"/>
    </row>
    <row r="65159" spans="1:2" x14ac:dyDescent="0.25">
      <c r="A65159" s="118"/>
      <c r="B65159" s="136"/>
    </row>
    <row r="65160" spans="1:2" x14ac:dyDescent="0.25">
      <c r="A65160" s="118"/>
      <c r="B65160" s="136"/>
    </row>
    <row r="65161" spans="1:2" x14ac:dyDescent="0.25">
      <c r="A65161" s="118"/>
      <c r="B65161" s="136"/>
    </row>
    <row r="65162" spans="1:2" x14ac:dyDescent="0.25">
      <c r="A65162" s="118"/>
      <c r="B65162" s="136"/>
    </row>
    <row r="65163" spans="1:2" x14ac:dyDescent="0.25">
      <c r="A65163" s="118"/>
      <c r="B65163" s="136"/>
    </row>
    <row r="65164" spans="1:2" x14ac:dyDescent="0.25">
      <c r="A65164" s="118"/>
      <c r="B65164" s="136"/>
    </row>
    <row r="65165" spans="1:2" x14ac:dyDescent="0.25">
      <c r="A65165" s="118"/>
      <c r="B65165" s="136"/>
    </row>
    <row r="65166" spans="1:2" x14ac:dyDescent="0.25">
      <c r="A65166" s="118"/>
      <c r="B65166" s="136"/>
    </row>
    <row r="65167" spans="1:2" x14ac:dyDescent="0.25">
      <c r="A65167" s="118"/>
      <c r="B65167" s="136"/>
    </row>
    <row r="65168" spans="1:2" x14ac:dyDescent="0.25">
      <c r="A65168" s="118"/>
      <c r="B65168" s="136"/>
    </row>
    <row r="65169" spans="1:2" x14ac:dyDescent="0.25">
      <c r="A65169" s="118"/>
      <c r="B65169" s="136"/>
    </row>
    <row r="65170" spans="1:2" x14ac:dyDescent="0.25">
      <c r="A65170" s="118"/>
      <c r="B65170" s="136"/>
    </row>
    <row r="65171" spans="1:2" x14ac:dyDescent="0.25">
      <c r="A65171" s="118"/>
      <c r="B65171" s="136"/>
    </row>
    <row r="65172" spans="1:2" x14ac:dyDescent="0.25">
      <c r="A65172" s="118"/>
      <c r="B65172" s="136"/>
    </row>
    <row r="65173" spans="1:2" x14ac:dyDescent="0.25">
      <c r="A65173" s="118"/>
      <c r="B65173" s="136"/>
    </row>
    <row r="65174" spans="1:2" x14ac:dyDescent="0.25">
      <c r="A65174" s="118"/>
      <c r="B65174" s="136"/>
    </row>
    <row r="65175" spans="1:2" x14ac:dyDescent="0.25">
      <c r="A65175" s="118"/>
      <c r="B65175" s="136"/>
    </row>
    <row r="65176" spans="1:2" x14ac:dyDescent="0.25">
      <c r="A65176" s="118"/>
      <c r="B65176" s="136"/>
    </row>
    <row r="65177" spans="1:2" x14ac:dyDescent="0.25">
      <c r="A65177" s="118"/>
      <c r="B65177" s="136"/>
    </row>
    <row r="65178" spans="1:2" x14ac:dyDescent="0.25">
      <c r="A65178" s="118"/>
      <c r="B65178" s="136"/>
    </row>
    <row r="65179" spans="1:2" x14ac:dyDescent="0.25">
      <c r="A65179" s="118"/>
      <c r="B65179" s="136"/>
    </row>
    <row r="65180" spans="1:2" x14ac:dyDescent="0.25">
      <c r="A65180" s="118"/>
      <c r="B65180" s="136"/>
    </row>
    <row r="65181" spans="1:2" x14ac:dyDescent="0.25">
      <c r="A65181" s="118"/>
      <c r="B65181" s="136"/>
    </row>
    <row r="65182" spans="1:2" x14ac:dyDescent="0.25">
      <c r="A65182" s="118"/>
      <c r="B65182" s="136"/>
    </row>
    <row r="65183" spans="1:2" x14ac:dyDescent="0.25">
      <c r="A65183" s="118"/>
      <c r="B65183" s="136"/>
    </row>
    <row r="65184" spans="1:2" x14ac:dyDescent="0.25">
      <c r="A65184" s="118"/>
      <c r="B65184" s="136"/>
    </row>
    <row r="65185" spans="1:2" x14ac:dyDescent="0.25">
      <c r="A65185" s="118"/>
      <c r="B65185" s="136"/>
    </row>
    <row r="65186" spans="1:2" x14ac:dyDescent="0.25">
      <c r="A65186" s="118"/>
      <c r="B65186" s="136"/>
    </row>
    <row r="65187" spans="1:2" x14ac:dyDescent="0.25">
      <c r="A65187" s="118"/>
      <c r="B65187" s="136"/>
    </row>
    <row r="65188" spans="1:2" x14ac:dyDescent="0.25">
      <c r="A65188" s="118"/>
      <c r="B65188" s="136"/>
    </row>
    <row r="65189" spans="1:2" x14ac:dyDescent="0.25">
      <c r="A65189" s="118"/>
      <c r="B65189" s="136"/>
    </row>
    <row r="65190" spans="1:2" x14ac:dyDescent="0.25">
      <c r="A65190" s="118"/>
      <c r="B65190" s="136"/>
    </row>
    <row r="65191" spans="1:2" x14ac:dyDescent="0.25">
      <c r="A65191" s="118"/>
      <c r="B65191" s="136"/>
    </row>
    <row r="65192" spans="1:2" x14ac:dyDescent="0.25">
      <c r="A65192" s="118"/>
      <c r="B65192" s="136"/>
    </row>
    <row r="65193" spans="1:2" x14ac:dyDescent="0.25">
      <c r="A65193" s="118"/>
      <c r="B65193" s="136"/>
    </row>
    <row r="65194" spans="1:2" x14ac:dyDescent="0.25">
      <c r="A65194" s="118"/>
      <c r="B65194" s="136"/>
    </row>
    <row r="65195" spans="1:2" x14ac:dyDescent="0.25">
      <c r="A65195" s="118"/>
      <c r="B65195" s="136"/>
    </row>
    <row r="65196" spans="1:2" x14ac:dyDescent="0.25">
      <c r="A65196" s="118"/>
      <c r="B65196" s="136"/>
    </row>
    <row r="65197" spans="1:2" x14ac:dyDescent="0.25">
      <c r="A65197" s="118"/>
      <c r="B65197" s="136"/>
    </row>
    <row r="65198" spans="1:2" x14ac:dyDescent="0.25">
      <c r="A65198" s="118"/>
      <c r="B65198" s="136"/>
    </row>
    <row r="65199" spans="1:2" x14ac:dyDescent="0.25">
      <c r="A65199" s="118"/>
      <c r="B65199" s="136"/>
    </row>
    <row r="65200" spans="1:2" x14ac:dyDescent="0.25">
      <c r="A65200" s="118"/>
      <c r="B65200" s="136"/>
    </row>
    <row r="65201" spans="1:2" x14ac:dyDescent="0.25">
      <c r="A65201" s="118"/>
      <c r="B65201" s="136"/>
    </row>
    <row r="65202" spans="1:2" x14ac:dyDescent="0.25">
      <c r="A65202" s="118"/>
      <c r="B65202" s="136"/>
    </row>
    <row r="65203" spans="1:2" x14ac:dyDescent="0.25">
      <c r="A65203" s="118"/>
      <c r="B65203" s="136"/>
    </row>
    <row r="65204" spans="1:2" x14ac:dyDescent="0.25">
      <c r="A65204" s="118"/>
      <c r="B65204" s="136"/>
    </row>
    <row r="65205" spans="1:2" x14ac:dyDescent="0.25">
      <c r="A65205" s="118"/>
      <c r="B65205" s="136"/>
    </row>
    <row r="65206" spans="1:2" x14ac:dyDescent="0.25">
      <c r="A65206" s="118"/>
      <c r="B65206" s="136"/>
    </row>
    <row r="65207" spans="1:2" x14ac:dyDescent="0.25">
      <c r="A65207" s="118"/>
      <c r="B65207" s="136"/>
    </row>
    <row r="65208" spans="1:2" x14ac:dyDescent="0.25">
      <c r="A65208" s="118"/>
      <c r="B65208" s="136"/>
    </row>
    <row r="65209" spans="1:2" x14ac:dyDescent="0.25">
      <c r="A65209" s="118"/>
      <c r="B65209" s="136"/>
    </row>
    <row r="65210" spans="1:2" x14ac:dyDescent="0.25">
      <c r="A65210" s="118"/>
      <c r="B65210" s="136"/>
    </row>
    <row r="65211" spans="1:2" x14ac:dyDescent="0.25">
      <c r="A65211" s="118"/>
      <c r="B65211" s="136"/>
    </row>
    <row r="65212" spans="1:2" x14ac:dyDescent="0.25">
      <c r="A65212" s="118"/>
      <c r="B65212" s="136"/>
    </row>
    <row r="65213" spans="1:2" x14ac:dyDescent="0.25">
      <c r="A65213" s="118"/>
      <c r="B65213" s="136"/>
    </row>
    <row r="65214" spans="1:2" x14ac:dyDescent="0.25">
      <c r="A65214" s="118"/>
      <c r="B65214" s="136"/>
    </row>
    <row r="65215" spans="1:2" x14ac:dyDescent="0.25">
      <c r="A65215" s="118"/>
      <c r="B65215" s="136"/>
    </row>
    <row r="65216" spans="1:2" x14ac:dyDescent="0.25">
      <c r="A65216" s="118"/>
      <c r="B65216" s="136"/>
    </row>
    <row r="65217" spans="1:2" x14ac:dyDescent="0.25">
      <c r="A65217" s="118"/>
      <c r="B65217" s="136"/>
    </row>
    <row r="65218" spans="1:2" x14ac:dyDescent="0.25">
      <c r="A65218" s="118"/>
      <c r="B65218" s="136"/>
    </row>
    <row r="65219" spans="1:2" x14ac:dyDescent="0.25">
      <c r="A65219" s="118"/>
      <c r="B65219" s="136"/>
    </row>
    <row r="65220" spans="1:2" x14ac:dyDescent="0.25">
      <c r="A65220" s="118"/>
      <c r="B65220" s="136"/>
    </row>
    <row r="65221" spans="1:2" x14ac:dyDescent="0.25">
      <c r="A65221" s="118"/>
      <c r="B65221" s="136"/>
    </row>
    <row r="65222" spans="1:2" x14ac:dyDescent="0.25">
      <c r="A65222" s="118"/>
      <c r="B65222" s="136"/>
    </row>
    <row r="65223" spans="1:2" x14ac:dyDescent="0.25">
      <c r="A65223" s="118"/>
      <c r="B65223" s="136"/>
    </row>
    <row r="65224" spans="1:2" x14ac:dyDescent="0.25">
      <c r="A65224" s="118"/>
      <c r="B65224" s="136"/>
    </row>
    <row r="65225" spans="1:2" x14ac:dyDescent="0.25">
      <c r="A65225" s="118"/>
      <c r="B65225" s="136"/>
    </row>
    <row r="65226" spans="1:2" x14ac:dyDescent="0.25">
      <c r="A65226" s="118"/>
      <c r="B65226" s="136"/>
    </row>
    <row r="65227" spans="1:2" x14ac:dyDescent="0.25">
      <c r="A65227" s="118"/>
      <c r="B65227" s="136"/>
    </row>
    <row r="65228" spans="1:2" x14ac:dyDescent="0.25">
      <c r="A65228" s="118"/>
      <c r="B65228" s="136"/>
    </row>
    <row r="65229" spans="1:2" x14ac:dyDescent="0.25">
      <c r="A65229" s="118"/>
      <c r="B65229" s="136"/>
    </row>
    <row r="65230" spans="1:2" x14ac:dyDescent="0.25">
      <c r="A65230" s="118"/>
      <c r="B65230" s="136"/>
    </row>
    <row r="65231" spans="1:2" x14ac:dyDescent="0.25">
      <c r="A65231" s="118"/>
      <c r="B65231" s="136"/>
    </row>
    <row r="65232" spans="1:2" x14ac:dyDescent="0.25">
      <c r="A65232" s="118"/>
      <c r="B65232" s="136"/>
    </row>
    <row r="65233" spans="1:2" x14ac:dyDescent="0.25">
      <c r="A65233" s="118"/>
      <c r="B65233" s="136"/>
    </row>
    <row r="65234" spans="1:2" x14ac:dyDescent="0.25">
      <c r="A65234" s="118"/>
      <c r="B65234" s="136"/>
    </row>
    <row r="65235" spans="1:2" x14ac:dyDescent="0.25">
      <c r="A65235" s="118"/>
      <c r="B65235" s="136"/>
    </row>
    <row r="65236" spans="1:2" x14ac:dyDescent="0.25">
      <c r="A65236" s="118"/>
      <c r="B65236" s="136"/>
    </row>
    <row r="65237" spans="1:2" x14ac:dyDescent="0.25">
      <c r="A65237" s="118"/>
      <c r="B65237" s="136"/>
    </row>
    <row r="65238" spans="1:2" x14ac:dyDescent="0.25">
      <c r="A65238" s="118"/>
      <c r="B65238" s="136"/>
    </row>
    <row r="65239" spans="1:2" x14ac:dyDescent="0.25">
      <c r="A65239" s="118"/>
      <c r="B65239" s="136"/>
    </row>
    <row r="65240" spans="1:2" x14ac:dyDescent="0.25">
      <c r="A65240" s="118"/>
      <c r="B65240" s="136"/>
    </row>
    <row r="65241" spans="1:2" x14ac:dyDescent="0.25">
      <c r="A65241" s="118"/>
      <c r="B65241" s="136"/>
    </row>
    <row r="65242" spans="1:2" x14ac:dyDescent="0.25">
      <c r="A65242" s="118"/>
      <c r="B65242" s="136"/>
    </row>
    <row r="65243" spans="1:2" x14ac:dyDescent="0.25">
      <c r="A65243" s="118"/>
      <c r="B65243" s="136"/>
    </row>
    <row r="65244" spans="1:2" x14ac:dyDescent="0.25">
      <c r="A65244" s="118"/>
      <c r="B65244" s="136"/>
    </row>
    <row r="65245" spans="1:2" x14ac:dyDescent="0.25">
      <c r="A65245" s="118"/>
      <c r="B65245" s="136"/>
    </row>
    <row r="65246" spans="1:2" x14ac:dyDescent="0.25">
      <c r="A65246" s="118"/>
      <c r="B65246" s="136"/>
    </row>
    <row r="65247" spans="1:2" x14ac:dyDescent="0.25">
      <c r="A65247" s="118"/>
      <c r="B65247" s="136"/>
    </row>
    <row r="65248" spans="1:2" x14ac:dyDescent="0.25">
      <c r="A65248" s="118"/>
      <c r="B65248" s="136"/>
    </row>
    <row r="65249" spans="1:2" x14ac:dyDescent="0.25">
      <c r="A65249" s="118"/>
      <c r="B65249" s="136"/>
    </row>
    <row r="65250" spans="1:2" x14ac:dyDescent="0.25">
      <c r="A65250" s="118"/>
      <c r="B65250" s="136"/>
    </row>
    <row r="65251" spans="1:2" x14ac:dyDescent="0.25">
      <c r="A65251" s="118"/>
      <c r="B65251" s="136"/>
    </row>
    <row r="65252" spans="1:2" x14ac:dyDescent="0.25">
      <c r="A65252" s="118"/>
      <c r="B65252" s="136"/>
    </row>
    <row r="65253" spans="1:2" x14ac:dyDescent="0.25">
      <c r="A65253" s="118"/>
      <c r="B65253" s="136"/>
    </row>
    <row r="65254" spans="1:2" x14ac:dyDescent="0.25">
      <c r="A65254" s="118"/>
      <c r="B65254" s="136"/>
    </row>
    <row r="65255" spans="1:2" x14ac:dyDescent="0.25">
      <c r="A65255" s="118"/>
      <c r="B65255" s="136"/>
    </row>
    <row r="65256" spans="1:2" x14ac:dyDescent="0.25">
      <c r="A65256" s="118"/>
      <c r="B65256" s="136"/>
    </row>
    <row r="65257" spans="1:2" x14ac:dyDescent="0.25">
      <c r="A65257" s="118"/>
      <c r="B65257" s="136"/>
    </row>
    <row r="65258" spans="1:2" x14ac:dyDescent="0.25">
      <c r="A65258" s="118"/>
      <c r="B65258" s="136"/>
    </row>
    <row r="65259" spans="1:2" x14ac:dyDescent="0.25">
      <c r="A65259" s="118"/>
      <c r="B65259" s="136"/>
    </row>
    <row r="65260" spans="1:2" x14ac:dyDescent="0.25">
      <c r="A65260" s="118"/>
      <c r="B65260" s="136"/>
    </row>
    <row r="65261" spans="1:2" x14ac:dyDescent="0.25">
      <c r="A65261" s="118"/>
      <c r="B65261" s="136"/>
    </row>
    <row r="65262" spans="1:2" x14ac:dyDescent="0.25">
      <c r="A65262" s="118"/>
      <c r="B65262" s="136"/>
    </row>
    <row r="65263" spans="1:2" x14ac:dyDescent="0.25">
      <c r="A65263" s="118"/>
      <c r="B65263" s="136"/>
    </row>
    <row r="65264" spans="1:2" x14ac:dyDescent="0.25">
      <c r="A65264" s="118"/>
      <c r="B65264" s="136"/>
    </row>
    <row r="65265" spans="1:2" x14ac:dyDescent="0.25">
      <c r="A65265" s="118"/>
      <c r="B65265" s="136"/>
    </row>
    <row r="65266" spans="1:2" x14ac:dyDescent="0.25">
      <c r="A65266" s="118"/>
      <c r="B65266" s="136"/>
    </row>
    <row r="65267" spans="1:2" x14ac:dyDescent="0.25">
      <c r="A65267" s="118"/>
      <c r="B65267" s="136"/>
    </row>
    <row r="65268" spans="1:2" x14ac:dyDescent="0.25">
      <c r="A65268" s="118"/>
      <c r="B65268" s="136"/>
    </row>
    <row r="65269" spans="1:2" x14ac:dyDescent="0.25">
      <c r="A65269" s="118"/>
      <c r="B65269" s="136"/>
    </row>
    <row r="65270" spans="1:2" x14ac:dyDescent="0.25">
      <c r="A65270" s="118"/>
      <c r="B65270" s="136"/>
    </row>
    <row r="65271" spans="1:2" x14ac:dyDescent="0.25">
      <c r="A65271" s="118"/>
      <c r="B65271" s="136"/>
    </row>
    <row r="65272" spans="1:2" x14ac:dyDescent="0.25">
      <c r="A65272" s="118"/>
      <c r="B65272" s="136"/>
    </row>
    <row r="65273" spans="1:2" x14ac:dyDescent="0.25">
      <c r="A65273" s="118"/>
      <c r="B65273" s="136"/>
    </row>
    <row r="65274" spans="1:2" x14ac:dyDescent="0.25">
      <c r="A65274" s="118"/>
      <c r="B65274" s="136"/>
    </row>
    <row r="65275" spans="1:2" x14ac:dyDescent="0.25">
      <c r="A65275" s="118"/>
      <c r="B65275" s="136"/>
    </row>
    <row r="65276" spans="1:2" x14ac:dyDescent="0.25">
      <c r="A65276" s="118"/>
      <c r="B65276" s="136"/>
    </row>
    <row r="65277" spans="1:2" x14ac:dyDescent="0.25">
      <c r="A65277" s="118"/>
      <c r="B65277" s="136"/>
    </row>
    <row r="65278" spans="1:2" x14ac:dyDescent="0.25">
      <c r="A65278" s="118"/>
      <c r="B65278" s="136"/>
    </row>
    <row r="65279" spans="1:2" x14ac:dyDescent="0.25">
      <c r="A65279" s="118"/>
      <c r="B65279" s="136"/>
    </row>
    <row r="65280" spans="1:2" x14ac:dyDescent="0.25">
      <c r="A65280" s="118"/>
      <c r="B65280" s="136"/>
    </row>
    <row r="65281" spans="1:2" x14ac:dyDescent="0.25">
      <c r="A65281" s="118"/>
      <c r="B65281" s="136"/>
    </row>
    <row r="65282" spans="1:2" x14ac:dyDescent="0.25">
      <c r="A65282" s="118"/>
      <c r="B65282" s="136"/>
    </row>
    <row r="65283" spans="1:2" x14ac:dyDescent="0.25">
      <c r="A65283" s="118"/>
      <c r="B65283" s="136"/>
    </row>
    <row r="65284" spans="1:2" x14ac:dyDescent="0.25">
      <c r="A65284" s="118"/>
      <c r="B65284" s="136"/>
    </row>
    <row r="65285" spans="1:2" x14ac:dyDescent="0.25">
      <c r="A65285" s="118"/>
      <c r="B65285" s="136"/>
    </row>
    <row r="65286" spans="1:2" x14ac:dyDescent="0.25">
      <c r="A65286" s="118"/>
      <c r="B65286" s="136"/>
    </row>
    <row r="65287" spans="1:2" x14ac:dyDescent="0.25">
      <c r="A65287" s="118"/>
      <c r="B65287" s="136"/>
    </row>
    <row r="65288" spans="1:2" x14ac:dyDescent="0.25">
      <c r="A65288" s="118"/>
      <c r="B65288" s="136"/>
    </row>
    <row r="65289" spans="1:2" x14ac:dyDescent="0.25">
      <c r="A65289" s="118"/>
      <c r="B65289" s="136"/>
    </row>
    <row r="65290" spans="1:2" x14ac:dyDescent="0.25">
      <c r="A65290" s="118"/>
      <c r="B65290" s="136"/>
    </row>
    <row r="65291" spans="1:2" x14ac:dyDescent="0.25">
      <c r="A65291" s="118"/>
      <c r="B65291" s="136"/>
    </row>
    <row r="65292" spans="1:2" x14ac:dyDescent="0.25">
      <c r="A65292" s="118"/>
      <c r="B65292" s="136"/>
    </row>
    <row r="65293" spans="1:2" x14ac:dyDescent="0.25">
      <c r="A65293" s="118"/>
      <c r="B65293" s="136"/>
    </row>
    <row r="65294" spans="1:2" x14ac:dyDescent="0.25">
      <c r="A65294" s="118"/>
      <c r="B65294" s="136"/>
    </row>
    <row r="65295" spans="1:2" x14ac:dyDescent="0.25">
      <c r="A65295" s="118"/>
      <c r="B65295" s="136"/>
    </row>
    <row r="65296" spans="1:2" x14ac:dyDescent="0.25">
      <c r="A65296" s="118"/>
      <c r="B65296" s="136"/>
    </row>
    <row r="65297" spans="1:2" x14ac:dyDescent="0.25">
      <c r="A65297" s="118"/>
      <c r="B65297" s="136"/>
    </row>
    <row r="65298" spans="1:2" x14ac:dyDescent="0.25">
      <c r="A65298" s="118"/>
      <c r="B65298" s="136"/>
    </row>
    <row r="65299" spans="1:2" x14ac:dyDescent="0.25">
      <c r="A65299" s="118"/>
      <c r="B65299" s="136"/>
    </row>
    <row r="65300" spans="1:2" x14ac:dyDescent="0.25">
      <c r="A65300" s="118"/>
      <c r="B65300" s="136"/>
    </row>
    <row r="65301" spans="1:2" x14ac:dyDescent="0.25">
      <c r="A65301" s="118"/>
      <c r="B65301" s="136"/>
    </row>
    <row r="65302" spans="1:2" x14ac:dyDescent="0.25">
      <c r="A65302" s="118"/>
      <c r="B65302" s="136"/>
    </row>
    <row r="65303" spans="1:2" x14ac:dyDescent="0.25">
      <c r="A65303" s="118"/>
      <c r="B65303" s="136"/>
    </row>
    <row r="65304" spans="1:2" x14ac:dyDescent="0.25">
      <c r="A65304" s="118"/>
      <c r="B65304" s="136"/>
    </row>
    <row r="65305" spans="1:2" x14ac:dyDescent="0.25">
      <c r="A65305" s="118"/>
      <c r="B65305" s="136"/>
    </row>
    <row r="65306" spans="1:2" x14ac:dyDescent="0.25">
      <c r="A65306" s="118"/>
      <c r="B65306" s="136"/>
    </row>
    <row r="65307" spans="1:2" x14ac:dyDescent="0.25">
      <c r="A65307" s="118"/>
      <c r="B65307" s="136"/>
    </row>
    <row r="65308" spans="1:2" x14ac:dyDescent="0.25">
      <c r="A65308" s="118"/>
      <c r="B65308" s="136"/>
    </row>
    <row r="65309" spans="1:2" x14ac:dyDescent="0.25">
      <c r="A65309" s="118"/>
      <c r="B65309" s="136"/>
    </row>
    <row r="65310" spans="1:2" x14ac:dyDescent="0.25">
      <c r="A65310" s="118"/>
      <c r="B65310" s="136"/>
    </row>
    <row r="65311" spans="1:2" x14ac:dyDescent="0.25">
      <c r="A65311" s="118"/>
      <c r="B65311" s="136"/>
    </row>
    <row r="65312" spans="1:2" x14ac:dyDescent="0.25">
      <c r="A65312" s="118"/>
      <c r="B65312" s="136"/>
    </row>
    <row r="65313" spans="1:2" x14ac:dyDescent="0.25">
      <c r="A65313" s="118"/>
      <c r="B65313" s="136"/>
    </row>
    <row r="65314" spans="1:2" x14ac:dyDescent="0.25">
      <c r="A65314" s="118"/>
      <c r="B65314" s="136"/>
    </row>
    <row r="65315" spans="1:2" x14ac:dyDescent="0.25">
      <c r="A65315" s="118"/>
      <c r="B65315" s="136"/>
    </row>
    <row r="65316" spans="1:2" x14ac:dyDescent="0.25">
      <c r="A65316" s="118"/>
      <c r="B65316" s="136"/>
    </row>
    <row r="65317" spans="1:2" x14ac:dyDescent="0.25">
      <c r="A65317" s="118"/>
      <c r="B65317" s="136"/>
    </row>
    <row r="65318" spans="1:2" x14ac:dyDescent="0.25">
      <c r="A65318" s="118"/>
      <c r="B65318" s="136"/>
    </row>
    <row r="65319" spans="1:2" x14ac:dyDescent="0.25">
      <c r="A65319" s="118"/>
      <c r="B65319" s="136"/>
    </row>
    <row r="65320" spans="1:2" x14ac:dyDescent="0.25">
      <c r="A65320" s="118"/>
      <c r="B65320" s="136"/>
    </row>
    <row r="65321" spans="1:2" x14ac:dyDescent="0.25">
      <c r="A65321" s="118"/>
      <c r="B65321" s="136"/>
    </row>
    <row r="65322" spans="1:2" x14ac:dyDescent="0.25">
      <c r="A65322" s="118"/>
      <c r="B65322" s="136"/>
    </row>
    <row r="65323" spans="1:2" x14ac:dyDescent="0.25">
      <c r="A65323" s="118"/>
      <c r="B65323" s="136"/>
    </row>
    <row r="65324" spans="1:2" x14ac:dyDescent="0.25">
      <c r="A65324" s="118"/>
      <c r="B65324" s="136"/>
    </row>
    <row r="65325" spans="1:2" x14ac:dyDescent="0.25">
      <c r="A65325" s="118"/>
      <c r="B65325" s="136"/>
    </row>
    <row r="65326" spans="1:2" x14ac:dyDescent="0.25">
      <c r="A65326" s="118"/>
      <c r="B65326" s="136"/>
    </row>
    <row r="65327" spans="1:2" x14ac:dyDescent="0.25">
      <c r="A65327" s="118"/>
      <c r="B65327" s="136"/>
    </row>
    <row r="65328" spans="1:2" x14ac:dyDescent="0.25">
      <c r="A65328" s="118"/>
      <c r="B65328" s="136"/>
    </row>
    <row r="65329" spans="1:2" x14ac:dyDescent="0.25">
      <c r="A65329" s="118"/>
      <c r="B65329" s="136"/>
    </row>
    <row r="65330" spans="1:2" x14ac:dyDescent="0.25">
      <c r="A65330" s="118"/>
      <c r="B65330" s="136"/>
    </row>
    <row r="65331" spans="1:2" x14ac:dyDescent="0.25">
      <c r="A65331" s="118"/>
      <c r="B65331" s="136"/>
    </row>
    <row r="65332" spans="1:2" x14ac:dyDescent="0.25">
      <c r="A65332" s="118"/>
      <c r="B65332" s="136"/>
    </row>
    <row r="65333" spans="1:2" x14ac:dyDescent="0.25">
      <c r="A65333" s="118"/>
      <c r="B65333" s="136"/>
    </row>
    <row r="65334" spans="1:2" x14ac:dyDescent="0.25">
      <c r="A65334" s="118"/>
      <c r="B65334" s="136"/>
    </row>
    <row r="65335" spans="1:2" x14ac:dyDescent="0.25">
      <c r="A65335" s="118"/>
      <c r="B65335" s="136"/>
    </row>
    <row r="65336" spans="1:2" x14ac:dyDescent="0.25">
      <c r="A65336" s="118"/>
      <c r="B65336" s="136"/>
    </row>
    <row r="65337" spans="1:2" x14ac:dyDescent="0.25">
      <c r="A65337" s="118"/>
      <c r="B65337" s="136"/>
    </row>
    <row r="65338" spans="1:2" x14ac:dyDescent="0.25">
      <c r="A65338" s="118"/>
      <c r="B65338" s="136"/>
    </row>
    <row r="65339" spans="1:2" x14ac:dyDescent="0.25">
      <c r="A65339" s="118"/>
      <c r="B65339" s="136"/>
    </row>
    <row r="65340" spans="1:2" x14ac:dyDescent="0.25">
      <c r="A65340" s="118"/>
      <c r="B65340" s="136"/>
    </row>
    <row r="65341" spans="1:2" x14ac:dyDescent="0.25">
      <c r="A65341" s="118"/>
      <c r="B65341" s="136"/>
    </row>
    <row r="65342" spans="1:2" x14ac:dyDescent="0.25">
      <c r="A65342" s="118"/>
      <c r="B65342" s="136"/>
    </row>
    <row r="65343" spans="1:2" x14ac:dyDescent="0.25">
      <c r="A65343" s="118"/>
      <c r="B65343" s="136"/>
    </row>
    <row r="65344" spans="1:2" x14ac:dyDescent="0.25">
      <c r="A65344" s="118"/>
      <c r="B65344" s="136"/>
    </row>
    <row r="65345" spans="1:2" x14ac:dyDescent="0.25">
      <c r="A65345" s="118"/>
      <c r="B65345" s="136"/>
    </row>
    <row r="65346" spans="1:2" x14ac:dyDescent="0.25">
      <c r="A65346" s="118"/>
      <c r="B65346" s="136"/>
    </row>
    <row r="65347" spans="1:2" x14ac:dyDescent="0.25">
      <c r="A65347" s="118"/>
      <c r="B65347" s="136"/>
    </row>
    <row r="65348" spans="1:2" x14ac:dyDescent="0.25">
      <c r="A65348" s="118"/>
      <c r="B65348" s="136"/>
    </row>
    <row r="65349" spans="1:2" x14ac:dyDescent="0.25">
      <c r="A65349" s="118"/>
      <c r="B65349" s="136"/>
    </row>
    <row r="65350" spans="1:2" x14ac:dyDescent="0.25">
      <c r="A65350" s="118"/>
      <c r="B65350" s="136"/>
    </row>
    <row r="65351" spans="1:2" x14ac:dyDescent="0.25">
      <c r="A65351" s="118"/>
      <c r="B65351" s="136"/>
    </row>
    <row r="65352" spans="1:2" x14ac:dyDescent="0.25">
      <c r="A65352" s="118"/>
      <c r="B65352" s="136"/>
    </row>
    <row r="65353" spans="1:2" x14ac:dyDescent="0.25">
      <c r="A65353" s="118"/>
      <c r="B65353" s="136"/>
    </row>
    <row r="65354" spans="1:2" x14ac:dyDescent="0.25">
      <c r="A65354" s="118"/>
      <c r="B65354" s="136"/>
    </row>
    <row r="65355" spans="1:2" x14ac:dyDescent="0.25">
      <c r="A65355" s="118"/>
      <c r="B65355" s="136"/>
    </row>
    <row r="65356" spans="1:2" x14ac:dyDescent="0.25">
      <c r="A65356" s="118"/>
      <c r="B65356" s="136"/>
    </row>
    <row r="65357" spans="1:2" x14ac:dyDescent="0.25">
      <c r="A65357" s="118"/>
      <c r="B65357" s="136"/>
    </row>
    <row r="65358" spans="1:2" x14ac:dyDescent="0.25">
      <c r="A65358" s="118"/>
      <c r="B65358" s="136"/>
    </row>
    <row r="65359" spans="1:2" x14ac:dyDescent="0.25">
      <c r="A65359" s="118"/>
      <c r="B65359" s="136"/>
    </row>
    <row r="65360" spans="1:2" x14ac:dyDescent="0.25">
      <c r="A65360" s="118"/>
      <c r="B65360" s="136"/>
    </row>
    <row r="65361" spans="1:2" x14ac:dyDescent="0.25">
      <c r="A65361" s="118"/>
      <c r="B65361" s="136"/>
    </row>
    <row r="65362" spans="1:2" x14ac:dyDescent="0.25">
      <c r="A65362" s="118"/>
      <c r="B65362" s="136"/>
    </row>
    <row r="65363" spans="1:2" x14ac:dyDescent="0.25">
      <c r="A65363" s="118"/>
      <c r="B65363" s="136"/>
    </row>
    <row r="65364" spans="1:2" x14ac:dyDescent="0.25">
      <c r="A65364" s="118"/>
      <c r="B65364" s="136"/>
    </row>
    <row r="65365" spans="1:2" x14ac:dyDescent="0.25">
      <c r="A65365" s="118"/>
      <c r="B65365" s="136"/>
    </row>
    <row r="65366" spans="1:2" x14ac:dyDescent="0.25">
      <c r="A65366" s="118"/>
      <c r="B65366" s="136"/>
    </row>
    <row r="65367" spans="1:2" x14ac:dyDescent="0.25">
      <c r="A65367" s="118"/>
      <c r="B65367" s="136"/>
    </row>
    <row r="65368" spans="1:2" x14ac:dyDescent="0.25">
      <c r="A65368" s="118"/>
      <c r="B65368" s="136"/>
    </row>
    <row r="65369" spans="1:2" x14ac:dyDescent="0.25">
      <c r="A65369" s="118"/>
      <c r="B65369" s="136"/>
    </row>
    <row r="65370" spans="1:2" x14ac:dyDescent="0.25">
      <c r="A65370" s="118"/>
      <c r="B65370" s="136"/>
    </row>
    <row r="65371" spans="1:2" x14ac:dyDescent="0.25">
      <c r="A65371" s="118"/>
      <c r="B65371" s="136"/>
    </row>
    <row r="65372" spans="1:2" x14ac:dyDescent="0.25">
      <c r="A65372" s="118"/>
      <c r="B65372" s="136"/>
    </row>
    <row r="65373" spans="1:2" x14ac:dyDescent="0.25">
      <c r="A65373" s="118"/>
      <c r="B65373" s="136"/>
    </row>
    <row r="65374" spans="1:2" x14ac:dyDescent="0.25">
      <c r="A65374" s="118"/>
      <c r="B65374" s="136"/>
    </row>
    <row r="65375" spans="1:2" x14ac:dyDescent="0.25">
      <c r="A65375" s="118"/>
      <c r="B65375" s="136"/>
    </row>
    <row r="65376" spans="1:2" x14ac:dyDescent="0.25">
      <c r="A65376" s="118"/>
      <c r="B65376" s="136"/>
    </row>
    <row r="65377" spans="1:2" x14ac:dyDescent="0.25">
      <c r="A65377" s="118"/>
      <c r="B65377" s="136"/>
    </row>
    <row r="65378" spans="1:2" x14ac:dyDescent="0.25">
      <c r="A65378" s="118"/>
      <c r="B65378" s="136"/>
    </row>
    <row r="65379" spans="1:2" x14ac:dyDescent="0.25">
      <c r="A65379" s="118"/>
      <c r="B65379" s="136"/>
    </row>
    <row r="65380" spans="1:2" x14ac:dyDescent="0.25">
      <c r="A65380" s="118"/>
      <c r="B65380" s="136"/>
    </row>
    <row r="65381" spans="1:2" x14ac:dyDescent="0.25">
      <c r="A65381" s="118"/>
      <c r="B65381" s="136"/>
    </row>
    <row r="65382" spans="1:2" x14ac:dyDescent="0.25">
      <c r="A65382" s="118"/>
      <c r="B65382" s="136"/>
    </row>
    <row r="65383" spans="1:2" x14ac:dyDescent="0.25">
      <c r="A65383" s="118"/>
      <c r="B65383" s="136"/>
    </row>
    <row r="65384" spans="1:2" x14ac:dyDescent="0.25">
      <c r="A65384" s="118"/>
      <c r="B65384" s="136"/>
    </row>
    <row r="65385" spans="1:2" x14ac:dyDescent="0.25">
      <c r="A65385" s="118"/>
      <c r="B65385" s="136"/>
    </row>
    <row r="65386" spans="1:2" x14ac:dyDescent="0.25">
      <c r="A65386" s="118"/>
      <c r="B65386" s="136"/>
    </row>
    <row r="65387" spans="1:2" x14ac:dyDescent="0.25">
      <c r="A65387" s="118"/>
      <c r="B65387" s="136"/>
    </row>
    <row r="65388" spans="1:2" x14ac:dyDescent="0.25">
      <c r="A65388" s="118"/>
      <c r="B65388" s="136"/>
    </row>
    <row r="65389" spans="1:2" x14ac:dyDescent="0.25">
      <c r="A65389" s="118"/>
      <c r="B65389" s="136"/>
    </row>
    <row r="65390" spans="1:2" x14ac:dyDescent="0.25">
      <c r="A65390" s="118"/>
      <c r="B65390" s="136"/>
    </row>
    <row r="65391" spans="1:2" x14ac:dyDescent="0.25">
      <c r="A65391" s="118"/>
      <c r="B65391" s="136"/>
    </row>
    <row r="65392" spans="1:2" x14ac:dyDescent="0.25">
      <c r="A65392" s="118"/>
      <c r="B65392" s="136"/>
    </row>
    <row r="65393" spans="1:2" x14ac:dyDescent="0.25">
      <c r="A65393" s="118"/>
      <c r="B65393" s="136"/>
    </row>
    <row r="65394" spans="1:2" x14ac:dyDescent="0.25">
      <c r="A65394" s="118"/>
      <c r="B65394" s="136"/>
    </row>
    <row r="65395" spans="1:2" x14ac:dyDescent="0.25">
      <c r="A65395" s="118"/>
      <c r="B65395" s="136"/>
    </row>
    <row r="65396" spans="1:2" x14ac:dyDescent="0.25">
      <c r="A65396" s="118"/>
      <c r="B65396" s="136"/>
    </row>
    <row r="65397" spans="1:2" x14ac:dyDescent="0.25">
      <c r="A65397" s="118"/>
      <c r="B65397" s="136"/>
    </row>
    <row r="65398" spans="1:2" x14ac:dyDescent="0.25">
      <c r="A65398" s="118"/>
      <c r="B65398" s="136"/>
    </row>
    <row r="65399" spans="1:2" x14ac:dyDescent="0.25">
      <c r="A65399" s="118"/>
      <c r="B65399" s="136"/>
    </row>
    <row r="65400" spans="1:2" x14ac:dyDescent="0.25">
      <c r="A65400" s="118"/>
      <c r="B65400" s="136"/>
    </row>
    <row r="65401" spans="1:2" x14ac:dyDescent="0.25">
      <c r="A65401" s="118"/>
      <c r="B65401" s="136"/>
    </row>
    <row r="65402" spans="1:2" x14ac:dyDescent="0.25">
      <c r="A65402" s="118"/>
      <c r="B65402" s="136"/>
    </row>
    <row r="65403" spans="1:2" x14ac:dyDescent="0.25">
      <c r="A65403" s="118"/>
      <c r="B65403" s="136"/>
    </row>
    <row r="65404" spans="1:2" x14ac:dyDescent="0.25">
      <c r="A65404" s="118"/>
      <c r="B65404" s="136"/>
    </row>
    <row r="65405" spans="1:2" x14ac:dyDescent="0.25">
      <c r="A65405" s="118"/>
      <c r="B65405" s="136"/>
    </row>
    <row r="65406" spans="1:2" x14ac:dyDescent="0.25">
      <c r="A65406" s="118"/>
      <c r="B65406" s="136"/>
    </row>
    <row r="65407" spans="1:2" x14ac:dyDescent="0.25">
      <c r="A65407" s="118"/>
      <c r="B65407" s="136"/>
    </row>
    <row r="65408" spans="1:2" x14ac:dyDescent="0.25">
      <c r="A65408" s="118"/>
      <c r="B65408" s="136"/>
    </row>
    <row r="65409" spans="1:2" x14ac:dyDescent="0.25">
      <c r="A65409" s="118"/>
      <c r="B65409" s="136"/>
    </row>
    <row r="65410" spans="1:2" x14ac:dyDescent="0.25">
      <c r="A65410" s="118"/>
      <c r="B65410" s="136"/>
    </row>
    <row r="65411" spans="1:2" x14ac:dyDescent="0.25">
      <c r="A65411" s="118"/>
      <c r="B65411" s="136"/>
    </row>
    <row r="65412" spans="1:2" x14ac:dyDescent="0.25">
      <c r="A65412" s="118"/>
      <c r="B65412" s="136"/>
    </row>
    <row r="65413" spans="1:2" x14ac:dyDescent="0.25">
      <c r="A65413" s="118"/>
      <c r="B65413" s="136"/>
    </row>
    <row r="65414" spans="1:2" x14ac:dyDescent="0.25">
      <c r="A65414" s="118"/>
      <c r="B65414" s="136"/>
    </row>
    <row r="65415" spans="1:2" x14ac:dyDescent="0.25">
      <c r="A65415" s="118"/>
      <c r="B65415" s="136"/>
    </row>
    <row r="65416" spans="1:2" x14ac:dyDescent="0.25">
      <c r="A65416" s="118"/>
      <c r="B65416" s="136"/>
    </row>
    <row r="65417" spans="1:2" x14ac:dyDescent="0.25">
      <c r="A65417" s="118"/>
      <c r="B65417" s="136"/>
    </row>
    <row r="65418" spans="1:2" x14ac:dyDescent="0.25">
      <c r="A65418" s="118"/>
      <c r="B65418" s="136"/>
    </row>
    <row r="65419" spans="1:2" x14ac:dyDescent="0.25">
      <c r="A65419" s="118"/>
      <c r="B65419" s="136"/>
    </row>
    <row r="65420" spans="1:2" x14ac:dyDescent="0.25">
      <c r="A65420" s="118"/>
      <c r="B65420" s="136"/>
    </row>
    <row r="65421" spans="1:2" x14ac:dyDescent="0.25">
      <c r="A65421" s="118"/>
      <c r="B65421" s="136"/>
    </row>
    <row r="65422" spans="1:2" x14ac:dyDescent="0.25">
      <c r="A65422" s="118"/>
      <c r="B65422" s="136"/>
    </row>
    <row r="65423" spans="1:2" x14ac:dyDescent="0.25">
      <c r="A65423" s="118"/>
      <c r="B65423" s="136"/>
    </row>
    <row r="65424" spans="1:2" x14ac:dyDescent="0.25">
      <c r="A65424" s="118"/>
      <c r="B65424" s="136"/>
    </row>
    <row r="65425" spans="1:2" x14ac:dyDescent="0.25">
      <c r="A65425" s="118"/>
      <c r="B65425" s="136"/>
    </row>
    <row r="65426" spans="1:2" x14ac:dyDescent="0.25">
      <c r="A65426" s="118"/>
      <c r="B65426" s="136"/>
    </row>
    <row r="65427" spans="1:2" x14ac:dyDescent="0.25">
      <c r="A65427" s="118"/>
      <c r="B65427" s="136"/>
    </row>
    <row r="65428" spans="1:2" x14ac:dyDescent="0.25">
      <c r="A65428" s="118"/>
      <c r="B65428" s="136"/>
    </row>
    <row r="65429" spans="1:2" x14ac:dyDescent="0.25">
      <c r="A65429" s="118"/>
      <c r="B65429" s="136"/>
    </row>
    <row r="65430" spans="1:2" x14ac:dyDescent="0.25">
      <c r="A65430" s="118"/>
      <c r="B65430" s="136"/>
    </row>
    <row r="65431" spans="1:2" x14ac:dyDescent="0.25">
      <c r="A65431" s="118"/>
      <c r="B65431" s="136"/>
    </row>
    <row r="65432" spans="1:2" x14ac:dyDescent="0.25">
      <c r="A65432" s="118"/>
      <c r="B65432" s="136"/>
    </row>
    <row r="65433" spans="1:2" x14ac:dyDescent="0.25">
      <c r="A65433" s="118"/>
      <c r="B65433" s="136"/>
    </row>
    <row r="65434" spans="1:2" x14ac:dyDescent="0.25">
      <c r="A65434" s="118"/>
      <c r="B65434" s="136"/>
    </row>
    <row r="65435" spans="1:2" x14ac:dyDescent="0.25">
      <c r="A65435" s="118"/>
      <c r="B65435" s="136"/>
    </row>
    <row r="65436" spans="1:2" x14ac:dyDescent="0.25">
      <c r="A65436" s="118"/>
      <c r="B65436" s="136"/>
    </row>
    <row r="65437" spans="1:2" x14ac:dyDescent="0.25">
      <c r="A65437" s="118"/>
      <c r="B65437" s="136"/>
    </row>
    <row r="65438" spans="1:2" x14ac:dyDescent="0.25">
      <c r="A65438" s="118"/>
      <c r="B65438" s="136"/>
    </row>
    <row r="65439" spans="1:2" x14ac:dyDescent="0.25">
      <c r="A65439" s="118"/>
      <c r="B65439" s="136"/>
    </row>
    <row r="65440" spans="1:2" x14ac:dyDescent="0.25">
      <c r="A65440" s="118"/>
      <c r="B65440" s="136"/>
    </row>
    <row r="65441" spans="1:2" x14ac:dyDescent="0.25">
      <c r="A65441" s="118"/>
      <c r="B65441" s="136"/>
    </row>
    <row r="65442" spans="1:2" x14ac:dyDescent="0.25">
      <c r="A65442" s="118"/>
      <c r="B65442" s="136"/>
    </row>
    <row r="65443" spans="1:2" x14ac:dyDescent="0.25">
      <c r="A65443" s="118"/>
      <c r="B65443" s="136"/>
    </row>
    <row r="65444" spans="1:2" x14ac:dyDescent="0.25">
      <c r="A65444" s="118"/>
      <c r="B65444" s="136"/>
    </row>
    <row r="65445" spans="1:2" x14ac:dyDescent="0.25">
      <c r="A65445" s="118"/>
      <c r="B65445" s="136"/>
    </row>
    <row r="65446" spans="1:2" x14ac:dyDescent="0.25">
      <c r="A65446" s="118"/>
      <c r="B65446" s="136"/>
    </row>
    <row r="65447" spans="1:2" x14ac:dyDescent="0.25">
      <c r="A65447" s="118"/>
      <c r="B65447" s="136"/>
    </row>
    <row r="65448" spans="1:2" x14ac:dyDescent="0.25">
      <c r="A65448" s="118"/>
      <c r="B65448" s="136"/>
    </row>
    <row r="65449" spans="1:2" x14ac:dyDescent="0.25">
      <c r="A65449" s="118"/>
      <c r="B65449" s="136"/>
    </row>
    <row r="65450" spans="1:2" x14ac:dyDescent="0.25">
      <c r="A65450" s="118"/>
      <c r="B65450" s="136"/>
    </row>
    <row r="65451" spans="1:2" x14ac:dyDescent="0.25">
      <c r="A65451" s="118"/>
      <c r="B65451" s="136"/>
    </row>
    <row r="65452" spans="1:2" x14ac:dyDescent="0.25">
      <c r="A65452" s="118"/>
      <c r="B65452" s="136"/>
    </row>
    <row r="65453" spans="1:2" x14ac:dyDescent="0.25">
      <c r="A65453" s="118"/>
      <c r="B65453" s="136"/>
    </row>
    <row r="65454" spans="1:2" x14ac:dyDescent="0.25">
      <c r="A65454" s="118"/>
      <c r="B65454" s="136"/>
    </row>
    <row r="65455" spans="1:2" x14ac:dyDescent="0.25">
      <c r="A65455" s="118"/>
      <c r="B65455" s="136"/>
    </row>
    <row r="65456" spans="1:2" x14ac:dyDescent="0.25">
      <c r="A65456" s="118"/>
      <c r="B65456" s="136"/>
    </row>
    <row r="65457" spans="1:2" x14ac:dyDescent="0.25">
      <c r="A65457" s="118"/>
      <c r="B65457" s="136"/>
    </row>
    <row r="65458" spans="1:2" x14ac:dyDescent="0.25">
      <c r="A65458" s="118"/>
      <c r="B65458" s="136"/>
    </row>
    <row r="65459" spans="1:2" x14ac:dyDescent="0.25">
      <c r="A65459" s="118"/>
      <c r="B65459" s="136"/>
    </row>
    <row r="65460" spans="1:2" x14ac:dyDescent="0.25">
      <c r="A65460" s="118"/>
      <c r="B65460" s="136"/>
    </row>
    <row r="65461" spans="1:2" x14ac:dyDescent="0.25">
      <c r="A65461" s="118"/>
      <c r="B65461" s="136"/>
    </row>
    <row r="65462" spans="1:2" x14ac:dyDescent="0.25">
      <c r="A65462" s="118"/>
      <c r="B65462" s="136"/>
    </row>
    <row r="65463" spans="1:2" x14ac:dyDescent="0.25">
      <c r="A65463" s="118"/>
      <c r="B65463" s="136"/>
    </row>
    <row r="65464" spans="1:2" x14ac:dyDescent="0.25">
      <c r="A65464" s="118"/>
      <c r="B65464" s="136"/>
    </row>
    <row r="65465" spans="1:2" x14ac:dyDescent="0.25">
      <c r="A65465" s="118"/>
      <c r="B65465" s="136"/>
    </row>
    <row r="65466" spans="1:2" x14ac:dyDescent="0.25">
      <c r="A65466" s="118"/>
      <c r="B65466" s="136"/>
    </row>
    <row r="65467" spans="1:2" x14ac:dyDescent="0.25">
      <c r="A65467" s="118"/>
      <c r="B65467" s="136"/>
    </row>
    <row r="65468" spans="1:2" x14ac:dyDescent="0.25">
      <c r="A65468" s="118"/>
      <c r="B65468" s="136"/>
    </row>
    <row r="65469" spans="1:2" x14ac:dyDescent="0.25">
      <c r="A65469" s="118"/>
      <c r="B65469" s="136"/>
    </row>
    <row r="65470" spans="1:2" x14ac:dyDescent="0.25">
      <c r="A65470" s="118"/>
      <c r="B65470" s="136"/>
    </row>
    <row r="65471" spans="1:2" x14ac:dyDescent="0.25">
      <c r="A65471" s="118"/>
      <c r="B65471" s="136"/>
    </row>
    <row r="65472" spans="1:2" x14ac:dyDescent="0.25">
      <c r="A65472" s="118"/>
      <c r="B65472" s="136"/>
    </row>
    <row r="65473" spans="1:2" x14ac:dyDescent="0.25">
      <c r="A65473" s="118"/>
      <c r="B65473" s="136"/>
    </row>
    <row r="65474" spans="1:2" x14ac:dyDescent="0.25">
      <c r="A65474" s="118"/>
      <c r="B65474" s="136"/>
    </row>
    <row r="65475" spans="1:2" x14ac:dyDescent="0.25">
      <c r="A65475" s="118"/>
      <c r="B65475" s="136"/>
    </row>
    <row r="65476" spans="1:2" x14ac:dyDescent="0.25">
      <c r="A65476" s="118"/>
      <c r="B65476" s="136"/>
    </row>
    <row r="65477" spans="1:2" x14ac:dyDescent="0.25">
      <c r="A65477" s="118"/>
      <c r="B65477" s="136"/>
    </row>
    <row r="65478" spans="1:2" x14ac:dyDescent="0.25">
      <c r="A65478" s="118"/>
      <c r="B65478" s="136"/>
    </row>
    <row r="65479" spans="1:2" x14ac:dyDescent="0.25">
      <c r="A65479" s="118"/>
      <c r="B65479" s="136"/>
    </row>
    <row r="65480" spans="1:2" x14ac:dyDescent="0.25">
      <c r="A65480" s="118"/>
      <c r="B65480" s="136"/>
    </row>
    <row r="65481" spans="1:2" x14ac:dyDescent="0.25">
      <c r="A65481" s="118"/>
      <c r="B65481" s="136"/>
    </row>
    <row r="65482" spans="1:2" x14ac:dyDescent="0.25">
      <c r="A65482" s="118"/>
      <c r="B65482" s="136"/>
    </row>
    <row r="65483" spans="1:2" x14ac:dyDescent="0.25">
      <c r="A65483" s="118"/>
      <c r="B65483" s="136"/>
    </row>
    <row r="65484" spans="1:2" x14ac:dyDescent="0.25">
      <c r="A65484" s="118"/>
      <c r="B65484" s="136"/>
    </row>
    <row r="65485" spans="1:2" x14ac:dyDescent="0.25">
      <c r="A65485" s="118"/>
      <c r="B65485" s="136"/>
    </row>
    <row r="65486" spans="1:2" x14ac:dyDescent="0.25">
      <c r="A65486" s="118"/>
      <c r="B65486" s="136"/>
    </row>
    <row r="65487" spans="1:2" x14ac:dyDescent="0.25">
      <c r="A65487" s="118"/>
      <c r="B65487" s="136"/>
    </row>
    <row r="65488" spans="1:2" x14ac:dyDescent="0.25">
      <c r="A65488" s="118"/>
      <c r="B65488" s="136"/>
    </row>
    <row r="65489" spans="1:2" x14ac:dyDescent="0.25">
      <c r="A65489" s="118"/>
      <c r="B65489" s="136"/>
    </row>
    <row r="65490" spans="1:2" x14ac:dyDescent="0.25">
      <c r="A65490" s="118"/>
      <c r="B65490" s="136"/>
    </row>
    <row r="65491" spans="1:2" x14ac:dyDescent="0.25">
      <c r="A65491" s="118"/>
      <c r="B65491" s="136"/>
    </row>
    <row r="65492" spans="1:2" x14ac:dyDescent="0.25">
      <c r="A65492" s="118"/>
      <c r="B65492" s="136"/>
    </row>
    <row r="65493" spans="1:2" x14ac:dyDescent="0.25">
      <c r="A65493" s="118"/>
      <c r="B65493" s="136"/>
    </row>
    <row r="65494" spans="1:2" x14ac:dyDescent="0.25">
      <c r="A65494" s="118"/>
      <c r="B65494" s="136"/>
    </row>
    <row r="65495" spans="1:2" x14ac:dyDescent="0.25">
      <c r="A65495" s="118"/>
      <c r="B65495" s="136"/>
    </row>
    <row r="65496" spans="1:2" x14ac:dyDescent="0.25">
      <c r="A65496" s="118"/>
      <c r="B65496" s="136"/>
    </row>
    <row r="65497" spans="1:2" x14ac:dyDescent="0.25">
      <c r="A65497" s="118"/>
      <c r="B65497" s="136"/>
    </row>
    <row r="65498" spans="1:2" x14ac:dyDescent="0.25">
      <c r="A65498" s="118"/>
      <c r="B65498" s="136"/>
    </row>
    <row r="65499" spans="1:2" x14ac:dyDescent="0.25">
      <c r="A65499" s="118"/>
      <c r="B65499" s="136"/>
    </row>
    <row r="65500" spans="1:2" x14ac:dyDescent="0.25">
      <c r="A65500" s="118"/>
      <c r="B65500" s="136"/>
    </row>
    <row r="65501" spans="1:2" x14ac:dyDescent="0.25">
      <c r="A65501" s="118"/>
      <c r="B65501" s="136"/>
    </row>
    <row r="65502" spans="1:2" x14ac:dyDescent="0.25">
      <c r="A65502" s="118"/>
      <c r="B65502" s="136"/>
    </row>
    <row r="65503" spans="1:2" x14ac:dyDescent="0.25">
      <c r="A65503" s="118"/>
      <c r="B65503" s="136"/>
    </row>
    <row r="65504" spans="1:2" x14ac:dyDescent="0.25">
      <c r="A65504" s="118"/>
      <c r="B65504" s="136"/>
    </row>
    <row r="65505" spans="1:2" x14ac:dyDescent="0.25">
      <c r="A65505" s="118"/>
      <c r="B65505" s="136"/>
    </row>
    <row r="65506" spans="1:2" x14ac:dyDescent="0.25">
      <c r="A65506" s="118"/>
      <c r="B65506" s="136"/>
    </row>
    <row r="65507" spans="1:2" x14ac:dyDescent="0.25">
      <c r="A65507" s="118"/>
      <c r="B65507" s="136"/>
    </row>
    <row r="65508" spans="1:2" x14ac:dyDescent="0.25">
      <c r="A65508" s="118"/>
      <c r="B65508" s="136"/>
    </row>
    <row r="65509" spans="1:2" x14ac:dyDescent="0.25">
      <c r="A65509" s="118"/>
      <c r="B65509" s="136"/>
    </row>
    <row r="65510" spans="1:2" x14ac:dyDescent="0.25">
      <c r="A65510" s="118"/>
      <c r="B65510" s="136"/>
    </row>
    <row r="65511" spans="1:2" x14ac:dyDescent="0.25">
      <c r="A65511" s="118"/>
      <c r="B65511" s="136"/>
    </row>
    <row r="65512" spans="1:2" x14ac:dyDescent="0.25">
      <c r="A65512" s="118"/>
      <c r="B65512" s="136"/>
    </row>
    <row r="65513" spans="1:2" x14ac:dyDescent="0.25">
      <c r="A65513" s="118"/>
      <c r="B65513" s="136"/>
    </row>
    <row r="65514" spans="1:2" x14ac:dyDescent="0.25">
      <c r="A65514" s="118"/>
      <c r="B65514" s="136"/>
    </row>
    <row r="65515" spans="1:2" x14ac:dyDescent="0.25">
      <c r="A65515" s="118"/>
      <c r="B65515" s="136"/>
    </row>
    <row r="65516" spans="1:2" x14ac:dyDescent="0.25">
      <c r="A65516" s="118"/>
      <c r="B65516" s="136"/>
    </row>
    <row r="65517" spans="1:2" x14ac:dyDescent="0.25">
      <c r="A65517" s="118"/>
      <c r="B65517" s="136"/>
    </row>
    <row r="65518" spans="1:2" x14ac:dyDescent="0.25">
      <c r="A65518" s="118"/>
      <c r="B65518" s="136"/>
    </row>
    <row r="65519" spans="1:2" x14ac:dyDescent="0.25">
      <c r="A65519" s="118"/>
      <c r="B65519" s="136"/>
    </row>
    <row r="65520" spans="1:2" x14ac:dyDescent="0.25">
      <c r="A65520" s="118"/>
      <c r="B65520" s="136"/>
    </row>
    <row r="65521" spans="1:2" x14ac:dyDescent="0.25">
      <c r="A65521" s="118"/>
      <c r="B65521" s="136"/>
    </row>
    <row r="65522" spans="1:2" x14ac:dyDescent="0.25">
      <c r="A65522" s="118"/>
      <c r="B65522" s="136"/>
    </row>
    <row r="65523" spans="1:2" x14ac:dyDescent="0.25">
      <c r="A65523" s="118"/>
      <c r="B65523" s="136"/>
    </row>
    <row r="65524" spans="1:2" x14ac:dyDescent="0.25">
      <c r="A65524" s="118"/>
      <c r="B65524" s="136"/>
    </row>
    <row r="65525" spans="1:2" x14ac:dyDescent="0.25">
      <c r="A65525" s="118"/>
      <c r="B65525" s="136"/>
    </row>
    <row r="65526" spans="1:2" x14ac:dyDescent="0.25">
      <c r="A65526" s="118"/>
      <c r="B65526" s="136"/>
    </row>
    <row r="65527" spans="1:2" x14ac:dyDescent="0.25">
      <c r="A65527" s="118"/>
      <c r="B65527" s="136"/>
    </row>
    <row r="65528" spans="1:2" x14ac:dyDescent="0.25">
      <c r="A65528" s="118"/>
      <c r="B65528" s="136"/>
    </row>
    <row r="65529" spans="1:2" x14ac:dyDescent="0.25">
      <c r="A65529" s="118"/>
      <c r="B65529" s="136"/>
    </row>
    <row r="65530" spans="1:2" x14ac:dyDescent="0.25">
      <c r="A65530" s="118"/>
      <c r="B65530" s="136"/>
    </row>
    <row r="65531" spans="1:2" x14ac:dyDescent="0.25">
      <c r="A65531" s="118"/>
      <c r="B65531" s="136"/>
    </row>
    <row r="65532" spans="1:2" x14ac:dyDescent="0.25">
      <c r="A65532" s="118"/>
      <c r="B65532" s="136"/>
    </row>
    <row r="65533" spans="1:2" x14ac:dyDescent="0.25">
      <c r="A65533" s="118"/>
      <c r="B65533" s="136"/>
    </row>
    <row r="65534" spans="1:2" x14ac:dyDescent="0.25">
      <c r="A65534" s="118"/>
      <c r="B65534" s="136"/>
    </row>
    <row r="65535" spans="1:2" x14ac:dyDescent="0.25">
      <c r="A65535" s="118"/>
      <c r="B65535" s="136"/>
    </row>
    <row r="65536" spans="1:2" x14ac:dyDescent="0.25">
      <c r="A65536" s="118"/>
      <c r="B65536" s="136"/>
    </row>
    <row r="65537" spans="1:2" x14ac:dyDescent="0.25">
      <c r="A65537" s="118"/>
      <c r="B65537" s="136"/>
    </row>
    <row r="65538" spans="1:2" x14ac:dyDescent="0.25">
      <c r="A65538" s="118"/>
      <c r="B65538" s="136"/>
    </row>
    <row r="65539" spans="1:2" x14ac:dyDescent="0.25">
      <c r="A65539" s="118"/>
      <c r="B65539" s="136"/>
    </row>
    <row r="65540" spans="1:2" x14ac:dyDescent="0.25">
      <c r="A65540" s="118"/>
      <c r="B65540" s="136"/>
    </row>
    <row r="65541" spans="1:2" x14ac:dyDescent="0.25">
      <c r="A65541" s="118"/>
      <c r="B65541" s="136"/>
    </row>
    <row r="65542" spans="1:2" x14ac:dyDescent="0.25">
      <c r="A65542" s="118"/>
      <c r="B65542" s="136"/>
    </row>
    <row r="65543" spans="1:2" x14ac:dyDescent="0.25">
      <c r="A65543" s="118"/>
      <c r="B65543" s="136"/>
    </row>
    <row r="65544" spans="1:2" x14ac:dyDescent="0.25">
      <c r="A65544" s="118"/>
      <c r="B65544" s="136"/>
    </row>
    <row r="65545" spans="1:2" x14ac:dyDescent="0.25">
      <c r="A65545" s="118"/>
      <c r="B65545" s="136"/>
    </row>
    <row r="65546" spans="1:2" x14ac:dyDescent="0.25">
      <c r="A65546" s="118"/>
      <c r="B65546" s="136"/>
    </row>
    <row r="65547" spans="1:2" x14ac:dyDescent="0.25">
      <c r="A65547" s="118"/>
      <c r="B65547" s="136"/>
    </row>
    <row r="65548" spans="1:2" x14ac:dyDescent="0.25">
      <c r="A65548" s="118"/>
      <c r="B65548" s="136"/>
    </row>
    <row r="65549" spans="1:2" x14ac:dyDescent="0.25">
      <c r="A65549" s="118"/>
      <c r="B65549" s="136"/>
    </row>
    <row r="65550" spans="1:2" x14ac:dyDescent="0.25">
      <c r="A65550" s="118"/>
      <c r="B65550" s="136"/>
    </row>
    <row r="65551" spans="1:2" x14ac:dyDescent="0.25">
      <c r="A65551" s="118"/>
      <c r="B65551" s="136"/>
    </row>
    <row r="65552" spans="1:2" x14ac:dyDescent="0.25">
      <c r="A65552" s="118"/>
      <c r="B65552" s="136"/>
    </row>
    <row r="65553" spans="1:2" x14ac:dyDescent="0.25">
      <c r="A65553" s="118"/>
      <c r="B65553" s="136"/>
    </row>
    <row r="65554" spans="1:2" x14ac:dyDescent="0.25">
      <c r="A65554" s="118"/>
      <c r="B65554" s="136"/>
    </row>
    <row r="65555" spans="1:2" x14ac:dyDescent="0.25">
      <c r="A65555" s="118"/>
      <c r="B65555" s="136"/>
    </row>
    <row r="65556" spans="1:2" x14ac:dyDescent="0.25">
      <c r="A65556" s="118"/>
      <c r="B65556" s="136"/>
    </row>
    <row r="65557" spans="1:2" x14ac:dyDescent="0.25">
      <c r="A65557" s="118"/>
      <c r="B65557" s="136"/>
    </row>
    <row r="65558" spans="1:2" x14ac:dyDescent="0.25">
      <c r="A65558" s="118"/>
      <c r="B65558" s="136"/>
    </row>
    <row r="65559" spans="1:2" x14ac:dyDescent="0.25">
      <c r="A65559" s="118"/>
      <c r="B65559" s="136"/>
    </row>
    <row r="65560" spans="1:2" x14ac:dyDescent="0.25">
      <c r="A65560" s="118"/>
      <c r="B65560" s="136"/>
    </row>
    <row r="65561" spans="1:2" x14ac:dyDescent="0.25">
      <c r="A65561" s="118"/>
      <c r="B65561" s="136"/>
    </row>
    <row r="65562" spans="1:2" x14ac:dyDescent="0.25">
      <c r="A65562" s="118"/>
      <c r="B65562" s="136"/>
    </row>
    <row r="65563" spans="1:2" x14ac:dyDescent="0.25">
      <c r="A65563" s="118"/>
      <c r="B65563" s="136"/>
    </row>
    <row r="65564" spans="1:2" x14ac:dyDescent="0.25">
      <c r="A65564" s="118"/>
      <c r="B65564" s="136"/>
    </row>
    <row r="65565" spans="1:2" x14ac:dyDescent="0.25">
      <c r="A65565" s="118"/>
      <c r="B65565" s="136"/>
    </row>
    <row r="65566" spans="1:2" x14ac:dyDescent="0.25">
      <c r="A65566" s="118"/>
      <c r="B65566" s="136"/>
    </row>
    <row r="65567" spans="1:2" x14ac:dyDescent="0.25">
      <c r="A65567" s="118"/>
      <c r="B65567" s="136"/>
    </row>
    <row r="65568" spans="1:2" x14ac:dyDescent="0.25">
      <c r="A65568" s="118"/>
      <c r="B65568" s="136"/>
    </row>
    <row r="65569" spans="1:2" x14ac:dyDescent="0.25">
      <c r="A65569" s="118"/>
      <c r="B65569" s="136"/>
    </row>
    <row r="65570" spans="1:2" x14ac:dyDescent="0.25">
      <c r="A65570" s="118"/>
      <c r="B65570" s="136"/>
    </row>
    <row r="65571" spans="1:2" x14ac:dyDescent="0.25">
      <c r="A65571" s="118"/>
      <c r="B65571" s="136"/>
    </row>
    <row r="65572" spans="1:2" x14ac:dyDescent="0.25">
      <c r="A65572" s="118"/>
      <c r="B65572" s="136"/>
    </row>
    <row r="65573" spans="1:2" x14ac:dyDescent="0.25">
      <c r="A65573" s="118"/>
      <c r="B65573" s="136"/>
    </row>
    <row r="65574" spans="1:2" x14ac:dyDescent="0.25">
      <c r="A65574" s="118"/>
      <c r="B65574" s="136"/>
    </row>
    <row r="65575" spans="1:2" x14ac:dyDescent="0.25">
      <c r="A65575" s="118"/>
      <c r="B65575" s="136"/>
    </row>
    <row r="65576" spans="1:2" x14ac:dyDescent="0.25">
      <c r="A65576" s="118"/>
      <c r="B65576" s="136"/>
    </row>
    <row r="65577" spans="1:2" x14ac:dyDescent="0.25">
      <c r="A65577" s="118"/>
      <c r="B65577" s="136"/>
    </row>
    <row r="65578" spans="1:2" x14ac:dyDescent="0.25">
      <c r="A65578" s="118"/>
      <c r="B65578" s="136"/>
    </row>
    <row r="65579" spans="1:2" x14ac:dyDescent="0.25">
      <c r="A65579" s="118"/>
      <c r="B65579" s="136"/>
    </row>
    <row r="65580" spans="1:2" x14ac:dyDescent="0.25">
      <c r="A65580" s="118"/>
      <c r="B65580" s="136"/>
    </row>
    <row r="65581" spans="1:2" x14ac:dyDescent="0.25">
      <c r="A65581" s="118"/>
      <c r="B65581" s="136"/>
    </row>
    <row r="65582" spans="1:2" x14ac:dyDescent="0.25">
      <c r="A65582" s="118"/>
      <c r="B65582" s="136"/>
    </row>
    <row r="65583" spans="1:2" x14ac:dyDescent="0.25">
      <c r="A65583" s="118"/>
      <c r="B65583" s="136"/>
    </row>
    <row r="65584" spans="1:2" x14ac:dyDescent="0.25">
      <c r="A65584" s="118"/>
      <c r="B65584" s="136"/>
    </row>
    <row r="65585" spans="1:2" x14ac:dyDescent="0.25">
      <c r="A65585" s="118"/>
      <c r="B65585" s="136"/>
    </row>
    <row r="65586" spans="1:2" x14ac:dyDescent="0.25">
      <c r="A65586" s="118"/>
      <c r="B65586" s="136"/>
    </row>
    <row r="65587" spans="1:2" x14ac:dyDescent="0.25">
      <c r="A65587" s="118"/>
      <c r="B65587" s="136"/>
    </row>
    <row r="65588" spans="1:2" x14ac:dyDescent="0.25">
      <c r="A65588" s="118"/>
      <c r="B65588" s="136"/>
    </row>
    <row r="65589" spans="1:2" x14ac:dyDescent="0.25">
      <c r="A65589" s="118"/>
      <c r="B65589" s="136"/>
    </row>
    <row r="65590" spans="1:2" x14ac:dyDescent="0.25">
      <c r="A65590" s="118"/>
      <c r="B65590" s="136"/>
    </row>
    <row r="65591" spans="1:2" x14ac:dyDescent="0.25">
      <c r="A65591" s="118"/>
      <c r="B65591" s="136"/>
    </row>
    <row r="65592" spans="1:2" x14ac:dyDescent="0.25">
      <c r="A65592" s="118"/>
      <c r="B65592" s="136"/>
    </row>
    <row r="65593" spans="1:2" x14ac:dyDescent="0.25">
      <c r="A65593" s="118"/>
      <c r="B65593" s="136"/>
    </row>
    <row r="65594" spans="1:2" x14ac:dyDescent="0.25">
      <c r="A65594" s="118"/>
      <c r="B65594" s="136"/>
    </row>
    <row r="65595" spans="1:2" x14ac:dyDescent="0.25">
      <c r="A65595" s="118"/>
      <c r="B65595" s="136"/>
    </row>
    <row r="65596" spans="1:2" x14ac:dyDescent="0.25">
      <c r="A65596" s="118"/>
      <c r="B65596" s="136"/>
    </row>
    <row r="65597" spans="1:2" x14ac:dyDescent="0.25">
      <c r="A65597" s="118"/>
      <c r="B65597" s="136"/>
    </row>
    <row r="65598" spans="1:2" x14ac:dyDescent="0.25">
      <c r="A65598" s="118"/>
      <c r="B65598" s="136"/>
    </row>
    <row r="65599" spans="1:2" x14ac:dyDescent="0.25">
      <c r="A65599" s="118"/>
      <c r="B65599" s="136"/>
    </row>
    <row r="65600" spans="1:2" x14ac:dyDescent="0.25">
      <c r="A65600" s="118"/>
      <c r="B65600" s="136"/>
    </row>
    <row r="65601" spans="1:2" x14ac:dyDescent="0.25">
      <c r="A65601" s="118"/>
      <c r="B65601" s="136"/>
    </row>
    <row r="65602" spans="1:2" x14ac:dyDescent="0.25">
      <c r="A65602" s="118"/>
      <c r="B65602" s="136"/>
    </row>
    <row r="65603" spans="1:2" x14ac:dyDescent="0.25">
      <c r="A65603" s="118"/>
      <c r="B65603" s="136"/>
    </row>
    <row r="65604" spans="1:2" x14ac:dyDescent="0.25">
      <c r="A65604" s="118"/>
      <c r="B65604" s="136"/>
    </row>
    <row r="65605" spans="1:2" x14ac:dyDescent="0.25">
      <c r="A65605" s="118"/>
      <c r="B65605" s="136"/>
    </row>
    <row r="65606" spans="1:2" x14ac:dyDescent="0.25">
      <c r="A65606" s="118"/>
      <c r="B65606" s="136"/>
    </row>
    <row r="65607" spans="1:2" x14ac:dyDescent="0.25">
      <c r="A65607" s="118"/>
      <c r="B65607" s="136"/>
    </row>
    <row r="65608" spans="1:2" x14ac:dyDescent="0.25">
      <c r="A65608" s="118"/>
      <c r="B65608" s="136"/>
    </row>
    <row r="65609" spans="1:2" x14ac:dyDescent="0.25">
      <c r="A65609" s="118"/>
      <c r="B65609" s="136"/>
    </row>
    <row r="65610" spans="1:2" x14ac:dyDescent="0.25">
      <c r="A65610" s="118"/>
      <c r="B65610" s="136"/>
    </row>
    <row r="65611" spans="1:2" x14ac:dyDescent="0.25">
      <c r="A65611" s="118"/>
      <c r="B65611" s="136"/>
    </row>
    <row r="65612" spans="1:2" x14ac:dyDescent="0.25">
      <c r="A65612" s="118"/>
      <c r="B65612" s="136"/>
    </row>
    <row r="65613" spans="1:2" x14ac:dyDescent="0.25">
      <c r="A65613" s="118"/>
      <c r="B65613" s="136"/>
    </row>
    <row r="65614" spans="1:2" x14ac:dyDescent="0.25">
      <c r="A65614" s="118"/>
      <c r="B65614" s="136"/>
    </row>
    <row r="65615" spans="1:2" x14ac:dyDescent="0.25">
      <c r="A65615" s="118"/>
      <c r="B65615" s="136"/>
    </row>
    <row r="65616" spans="1:2" x14ac:dyDescent="0.25">
      <c r="A65616" s="118"/>
      <c r="B65616" s="136"/>
    </row>
    <row r="65617" spans="1:2" x14ac:dyDescent="0.25">
      <c r="A65617" s="118"/>
      <c r="B65617" s="136"/>
    </row>
    <row r="65618" spans="1:2" x14ac:dyDescent="0.25">
      <c r="A65618" s="118"/>
      <c r="B65618" s="136"/>
    </row>
    <row r="65619" spans="1:2" x14ac:dyDescent="0.25">
      <c r="A65619" s="118"/>
      <c r="B65619" s="136"/>
    </row>
    <row r="65620" spans="1:2" x14ac:dyDescent="0.25">
      <c r="A65620" s="118"/>
      <c r="B65620" s="136"/>
    </row>
    <row r="65621" spans="1:2" x14ac:dyDescent="0.25">
      <c r="A65621" s="118"/>
      <c r="B65621" s="136"/>
    </row>
    <row r="65622" spans="1:2" x14ac:dyDescent="0.25">
      <c r="A65622" s="118"/>
      <c r="B65622" s="136"/>
    </row>
    <row r="65623" spans="1:2" x14ac:dyDescent="0.25">
      <c r="A65623" s="118"/>
      <c r="B65623" s="136"/>
    </row>
    <row r="65624" spans="1:2" x14ac:dyDescent="0.25">
      <c r="A65624" s="118"/>
      <c r="B65624" s="136"/>
    </row>
    <row r="65625" spans="1:2" x14ac:dyDescent="0.25">
      <c r="A65625" s="118"/>
      <c r="B65625" s="136"/>
    </row>
    <row r="65626" spans="1:2" x14ac:dyDescent="0.25">
      <c r="A65626" s="118"/>
      <c r="B65626" s="136"/>
    </row>
    <row r="65627" spans="1:2" x14ac:dyDescent="0.25">
      <c r="A65627" s="118"/>
      <c r="B65627" s="136"/>
    </row>
    <row r="65628" spans="1:2" x14ac:dyDescent="0.25">
      <c r="A65628" s="118"/>
      <c r="B65628" s="136"/>
    </row>
    <row r="65629" spans="1:2" x14ac:dyDescent="0.25">
      <c r="A65629" s="118"/>
      <c r="B65629" s="136"/>
    </row>
    <row r="65630" spans="1:2" x14ac:dyDescent="0.25">
      <c r="A65630" s="118"/>
      <c r="B65630" s="136"/>
    </row>
    <row r="65631" spans="1:2" x14ac:dyDescent="0.25">
      <c r="A65631" s="118"/>
      <c r="B65631" s="136"/>
    </row>
    <row r="65632" spans="1:2" x14ac:dyDescent="0.25">
      <c r="A65632" s="118"/>
      <c r="B65632" s="136"/>
    </row>
    <row r="65633" spans="1:2" x14ac:dyDescent="0.25">
      <c r="A65633" s="118"/>
      <c r="B65633" s="136"/>
    </row>
    <row r="65634" spans="1:2" x14ac:dyDescent="0.25">
      <c r="A65634" s="118"/>
      <c r="B65634" s="136"/>
    </row>
    <row r="65635" spans="1:2" x14ac:dyDescent="0.25">
      <c r="A65635" s="118"/>
      <c r="B65635" s="136"/>
    </row>
    <row r="65636" spans="1:2" x14ac:dyDescent="0.25">
      <c r="A65636" s="118"/>
      <c r="B65636" s="136"/>
    </row>
    <row r="65637" spans="1:2" x14ac:dyDescent="0.25">
      <c r="A65637" s="118"/>
      <c r="B65637" s="136"/>
    </row>
    <row r="65638" spans="1:2" x14ac:dyDescent="0.25">
      <c r="A65638" s="118"/>
      <c r="B65638" s="136"/>
    </row>
    <row r="65639" spans="1:2" x14ac:dyDescent="0.25">
      <c r="A65639" s="118"/>
      <c r="B65639" s="136"/>
    </row>
    <row r="65640" spans="1:2" x14ac:dyDescent="0.25">
      <c r="A65640" s="118"/>
      <c r="B65640" s="136"/>
    </row>
    <row r="65641" spans="1:2" x14ac:dyDescent="0.25">
      <c r="A65641" s="118"/>
      <c r="B65641" s="136"/>
    </row>
    <row r="65642" spans="1:2" x14ac:dyDescent="0.25">
      <c r="A65642" s="118"/>
      <c r="B65642" s="136"/>
    </row>
    <row r="65643" spans="1:2" x14ac:dyDescent="0.25">
      <c r="A65643" s="118"/>
      <c r="B65643" s="136"/>
    </row>
    <row r="65644" spans="1:2" x14ac:dyDescent="0.25">
      <c r="A65644" s="118"/>
      <c r="B65644" s="136"/>
    </row>
    <row r="65645" spans="1:2" x14ac:dyDescent="0.25">
      <c r="A65645" s="118"/>
      <c r="B65645" s="136"/>
    </row>
    <row r="65646" spans="1:2" x14ac:dyDescent="0.25">
      <c r="A65646" s="118"/>
      <c r="B65646" s="136"/>
    </row>
    <row r="65647" spans="1:2" x14ac:dyDescent="0.25">
      <c r="A65647" s="118"/>
      <c r="B65647" s="136"/>
    </row>
    <row r="65648" spans="1:2" x14ac:dyDescent="0.25">
      <c r="A65648" s="118"/>
      <c r="B65648" s="136"/>
    </row>
    <row r="65649" spans="1:2" x14ac:dyDescent="0.25">
      <c r="A65649" s="118"/>
      <c r="B65649" s="136"/>
    </row>
    <row r="65650" spans="1:2" x14ac:dyDescent="0.25">
      <c r="A65650" s="118"/>
      <c r="B65650" s="136"/>
    </row>
    <row r="65651" spans="1:2" x14ac:dyDescent="0.25">
      <c r="A65651" s="118"/>
      <c r="B65651" s="136"/>
    </row>
    <row r="65652" spans="1:2" x14ac:dyDescent="0.25">
      <c r="A65652" s="118"/>
      <c r="B65652" s="136"/>
    </row>
    <row r="65653" spans="1:2" x14ac:dyDescent="0.25">
      <c r="A65653" s="118"/>
      <c r="B65653" s="136"/>
    </row>
    <row r="65654" spans="1:2" x14ac:dyDescent="0.25">
      <c r="A65654" s="118"/>
      <c r="B65654" s="136"/>
    </row>
    <row r="65655" spans="1:2" x14ac:dyDescent="0.25">
      <c r="A65655" s="118"/>
      <c r="B65655" s="136"/>
    </row>
    <row r="65656" spans="1:2" x14ac:dyDescent="0.25">
      <c r="A65656" s="118"/>
      <c r="B65656" s="136"/>
    </row>
    <row r="65657" spans="1:2" x14ac:dyDescent="0.25">
      <c r="A65657" s="118"/>
      <c r="B65657" s="136"/>
    </row>
    <row r="65658" spans="1:2" x14ac:dyDescent="0.25">
      <c r="A65658" s="118"/>
      <c r="B65658" s="136"/>
    </row>
    <row r="65659" spans="1:2" x14ac:dyDescent="0.25">
      <c r="A65659" s="118"/>
      <c r="B65659" s="136"/>
    </row>
    <row r="65660" spans="1:2" x14ac:dyDescent="0.25">
      <c r="A65660" s="118"/>
      <c r="B65660" s="136"/>
    </row>
    <row r="65661" spans="1:2" x14ac:dyDescent="0.25">
      <c r="A65661" s="118"/>
      <c r="B65661" s="136"/>
    </row>
    <row r="65662" spans="1:2" x14ac:dyDescent="0.25">
      <c r="A65662" s="118"/>
      <c r="B65662" s="136"/>
    </row>
    <row r="65663" spans="1:2" x14ac:dyDescent="0.25">
      <c r="A65663" s="118"/>
      <c r="B65663" s="136"/>
    </row>
    <row r="65664" spans="1:2" x14ac:dyDescent="0.25">
      <c r="A65664" s="118"/>
      <c r="B65664" s="136"/>
    </row>
    <row r="65665" spans="1:2" x14ac:dyDescent="0.25">
      <c r="A65665" s="118"/>
      <c r="B65665" s="136"/>
    </row>
    <row r="65666" spans="1:2" x14ac:dyDescent="0.25">
      <c r="A65666" s="118"/>
      <c r="B65666" s="136"/>
    </row>
    <row r="65667" spans="1:2" x14ac:dyDescent="0.25">
      <c r="A65667" s="118"/>
      <c r="B65667" s="136"/>
    </row>
    <row r="65668" spans="1:2" x14ac:dyDescent="0.25">
      <c r="A65668" s="118"/>
      <c r="B65668" s="136"/>
    </row>
    <row r="65669" spans="1:2" x14ac:dyDescent="0.25">
      <c r="A65669" s="118"/>
      <c r="B65669" s="136"/>
    </row>
    <row r="65670" spans="1:2" x14ac:dyDescent="0.25">
      <c r="A65670" s="118"/>
      <c r="B65670" s="136"/>
    </row>
    <row r="65671" spans="1:2" x14ac:dyDescent="0.25">
      <c r="A65671" s="118"/>
      <c r="B65671" s="136"/>
    </row>
    <row r="65672" spans="1:2" x14ac:dyDescent="0.25">
      <c r="A65672" s="118"/>
      <c r="B65672" s="136"/>
    </row>
    <row r="65673" spans="1:2" x14ac:dyDescent="0.25">
      <c r="A65673" s="118"/>
      <c r="B65673" s="136"/>
    </row>
    <row r="65674" spans="1:2" x14ac:dyDescent="0.25">
      <c r="A65674" s="118"/>
      <c r="B65674" s="136"/>
    </row>
    <row r="65675" spans="1:2" x14ac:dyDescent="0.25">
      <c r="A65675" s="118"/>
      <c r="B65675" s="136"/>
    </row>
    <row r="65676" spans="1:2" x14ac:dyDescent="0.25">
      <c r="A65676" s="118"/>
      <c r="B65676" s="136"/>
    </row>
    <row r="65677" spans="1:2" x14ac:dyDescent="0.25">
      <c r="A65677" s="118"/>
      <c r="B65677" s="136"/>
    </row>
    <row r="65678" spans="1:2" x14ac:dyDescent="0.25">
      <c r="A65678" s="118"/>
      <c r="B65678" s="136"/>
    </row>
    <row r="65679" spans="1:2" x14ac:dyDescent="0.25">
      <c r="A65679" s="118"/>
      <c r="B65679" s="136"/>
    </row>
    <row r="65680" spans="1:2" x14ac:dyDescent="0.25">
      <c r="A65680" s="118"/>
      <c r="B65680" s="136"/>
    </row>
    <row r="65681" spans="1:2" x14ac:dyDescent="0.25">
      <c r="A65681" s="118"/>
      <c r="B65681" s="136"/>
    </row>
    <row r="65682" spans="1:2" x14ac:dyDescent="0.25">
      <c r="A65682" s="118"/>
      <c r="B65682" s="136"/>
    </row>
    <row r="65683" spans="1:2" x14ac:dyDescent="0.25">
      <c r="A65683" s="118"/>
      <c r="B65683" s="136"/>
    </row>
    <row r="65684" spans="1:2" x14ac:dyDescent="0.25">
      <c r="A65684" s="118"/>
      <c r="B65684" s="136"/>
    </row>
    <row r="65685" spans="1:2" x14ac:dyDescent="0.25">
      <c r="A65685" s="118"/>
      <c r="B65685" s="136"/>
    </row>
    <row r="65686" spans="1:2" x14ac:dyDescent="0.25">
      <c r="A65686" s="118"/>
      <c r="B65686" s="136"/>
    </row>
    <row r="65687" spans="1:2" x14ac:dyDescent="0.25">
      <c r="A65687" s="118"/>
      <c r="B65687" s="136"/>
    </row>
    <row r="65688" spans="1:2" x14ac:dyDescent="0.25">
      <c r="A65688" s="118"/>
      <c r="B65688" s="136"/>
    </row>
    <row r="65689" spans="1:2" x14ac:dyDescent="0.25">
      <c r="A65689" s="118"/>
      <c r="B65689" s="136"/>
    </row>
    <row r="65690" spans="1:2" x14ac:dyDescent="0.25">
      <c r="A65690" s="118"/>
      <c r="B65690" s="136"/>
    </row>
    <row r="65691" spans="1:2" x14ac:dyDescent="0.25">
      <c r="A65691" s="118"/>
      <c r="B65691" s="136"/>
    </row>
    <row r="65692" spans="1:2" x14ac:dyDescent="0.25">
      <c r="A65692" s="118"/>
      <c r="B65692" s="136"/>
    </row>
    <row r="65693" spans="1:2" x14ac:dyDescent="0.25">
      <c r="A65693" s="118"/>
      <c r="B65693" s="136"/>
    </row>
    <row r="65694" spans="1:2" x14ac:dyDescent="0.25">
      <c r="A65694" s="118"/>
      <c r="B65694" s="136"/>
    </row>
    <row r="65695" spans="1:2" x14ac:dyDescent="0.25">
      <c r="A65695" s="118"/>
      <c r="B65695" s="136"/>
    </row>
    <row r="65696" spans="1:2" x14ac:dyDescent="0.25">
      <c r="A65696" s="118"/>
      <c r="B65696" s="136"/>
    </row>
    <row r="65697" spans="1:2" x14ac:dyDescent="0.25">
      <c r="A65697" s="118"/>
      <c r="B65697" s="136"/>
    </row>
    <row r="65698" spans="1:2" x14ac:dyDescent="0.25">
      <c r="A65698" s="118"/>
      <c r="B65698" s="136"/>
    </row>
    <row r="65699" spans="1:2" x14ac:dyDescent="0.25">
      <c r="A65699" s="118"/>
      <c r="B65699" s="136"/>
    </row>
    <row r="65700" spans="1:2" x14ac:dyDescent="0.25">
      <c r="A65700" s="118"/>
      <c r="B65700" s="136"/>
    </row>
    <row r="65701" spans="1:2" x14ac:dyDescent="0.25">
      <c r="A65701" s="118"/>
      <c r="B65701" s="136"/>
    </row>
    <row r="65702" spans="1:2" x14ac:dyDescent="0.25">
      <c r="A65702" s="118"/>
      <c r="B65702" s="136"/>
    </row>
    <row r="65703" spans="1:2" x14ac:dyDescent="0.25">
      <c r="A65703" s="118"/>
      <c r="B65703" s="136"/>
    </row>
    <row r="65704" spans="1:2" x14ac:dyDescent="0.25">
      <c r="A65704" s="118"/>
      <c r="B65704" s="136"/>
    </row>
    <row r="65705" spans="1:2" x14ac:dyDescent="0.25">
      <c r="A65705" s="118"/>
      <c r="B65705" s="136"/>
    </row>
    <row r="65706" spans="1:2" x14ac:dyDescent="0.25">
      <c r="A65706" s="118"/>
      <c r="B65706" s="136"/>
    </row>
    <row r="65707" spans="1:2" x14ac:dyDescent="0.25">
      <c r="A65707" s="118"/>
      <c r="B65707" s="136"/>
    </row>
    <row r="65708" spans="1:2" x14ac:dyDescent="0.25">
      <c r="A65708" s="118"/>
      <c r="B65708" s="136"/>
    </row>
    <row r="65709" spans="1:2" x14ac:dyDescent="0.25">
      <c r="A65709" s="118"/>
      <c r="B65709" s="136"/>
    </row>
    <row r="65710" spans="1:2" x14ac:dyDescent="0.25">
      <c r="A65710" s="118"/>
      <c r="B65710" s="136"/>
    </row>
    <row r="65711" spans="1:2" x14ac:dyDescent="0.25">
      <c r="A65711" s="118"/>
      <c r="B65711" s="136"/>
    </row>
    <row r="65712" spans="1:2" x14ac:dyDescent="0.25">
      <c r="A65712" s="118"/>
      <c r="B65712" s="136"/>
    </row>
    <row r="65713" spans="1:2" x14ac:dyDescent="0.25">
      <c r="A65713" s="118"/>
      <c r="B65713" s="136"/>
    </row>
    <row r="65714" spans="1:2" x14ac:dyDescent="0.25">
      <c r="A65714" s="118"/>
      <c r="B65714" s="136"/>
    </row>
    <row r="65715" spans="1:2" x14ac:dyDescent="0.25">
      <c r="A65715" s="118"/>
      <c r="B65715" s="136"/>
    </row>
    <row r="65716" spans="1:2" x14ac:dyDescent="0.25">
      <c r="A65716" s="118"/>
      <c r="B65716" s="136"/>
    </row>
    <row r="65717" spans="1:2" x14ac:dyDescent="0.25">
      <c r="A65717" s="118"/>
      <c r="B65717" s="136"/>
    </row>
    <row r="65718" spans="1:2" x14ac:dyDescent="0.25">
      <c r="A65718" s="118"/>
      <c r="B65718" s="136"/>
    </row>
    <row r="65719" spans="1:2" x14ac:dyDescent="0.25">
      <c r="A65719" s="118"/>
      <c r="B65719" s="136"/>
    </row>
    <row r="65720" spans="1:2" x14ac:dyDescent="0.25">
      <c r="A65720" s="118"/>
      <c r="B65720" s="136"/>
    </row>
    <row r="65721" spans="1:2" x14ac:dyDescent="0.25">
      <c r="A65721" s="118"/>
      <c r="B65721" s="136"/>
    </row>
    <row r="65722" spans="1:2" x14ac:dyDescent="0.25">
      <c r="A65722" s="118"/>
      <c r="B65722" s="136"/>
    </row>
    <row r="65723" spans="1:2" x14ac:dyDescent="0.25">
      <c r="A65723" s="118"/>
      <c r="B65723" s="136"/>
    </row>
    <row r="65724" spans="1:2" x14ac:dyDescent="0.25">
      <c r="A65724" s="118"/>
      <c r="B65724" s="136"/>
    </row>
    <row r="65725" spans="1:2" x14ac:dyDescent="0.25">
      <c r="A65725" s="118"/>
      <c r="B65725" s="136"/>
    </row>
    <row r="65726" spans="1:2" x14ac:dyDescent="0.25">
      <c r="A65726" s="118"/>
      <c r="B65726" s="136"/>
    </row>
    <row r="65727" spans="1:2" x14ac:dyDescent="0.25">
      <c r="A65727" s="118"/>
      <c r="B65727" s="136"/>
    </row>
    <row r="65728" spans="1:2" x14ac:dyDescent="0.25">
      <c r="A65728" s="118"/>
      <c r="B65728" s="136"/>
    </row>
    <row r="65729" spans="1:2" x14ac:dyDescent="0.25">
      <c r="A65729" s="118"/>
      <c r="B65729" s="136"/>
    </row>
    <row r="65730" spans="1:2" x14ac:dyDescent="0.25">
      <c r="A65730" s="118"/>
      <c r="B65730" s="136"/>
    </row>
    <row r="65731" spans="1:2" x14ac:dyDescent="0.25">
      <c r="A65731" s="118"/>
      <c r="B65731" s="136"/>
    </row>
    <row r="65732" spans="1:2" x14ac:dyDescent="0.25">
      <c r="A65732" s="118"/>
      <c r="B65732" s="136"/>
    </row>
    <row r="65733" spans="1:2" x14ac:dyDescent="0.25">
      <c r="A65733" s="118"/>
      <c r="B65733" s="136"/>
    </row>
    <row r="65734" spans="1:2" x14ac:dyDescent="0.25">
      <c r="A65734" s="118"/>
      <c r="B65734" s="136"/>
    </row>
    <row r="65735" spans="1:2" x14ac:dyDescent="0.25">
      <c r="A65735" s="118"/>
      <c r="B65735" s="136"/>
    </row>
    <row r="65736" spans="1:2" x14ac:dyDescent="0.25">
      <c r="A65736" s="118"/>
      <c r="B65736" s="136"/>
    </row>
    <row r="65737" spans="1:2" x14ac:dyDescent="0.25">
      <c r="A65737" s="118"/>
      <c r="B65737" s="136"/>
    </row>
    <row r="65738" spans="1:2" x14ac:dyDescent="0.25">
      <c r="A65738" s="118"/>
      <c r="B65738" s="136"/>
    </row>
    <row r="65739" spans="1:2" x14ac:dyDescent="0.25">
      <c r="A65739" s="118"/>
      <c r="B65739" s="136"/>
    </row>
    <row r="65740" spans="1:2" x14ac:dyDescent="0.25">
      <c r="A65740" s="118"/>
      <c r="B65740" s="136"/>
    </row>
    <row r="65741" spans="1:2" x14ac:dyDescent="0.25">
      <c r="A65741" s="118"/>
      <c r="B65741" s="136"/>
    </row>
    <row r="65742" spans="1:2" x14ac:dyDescent="0.25">
      <c r="A65742" s="118"/>
      <c r="B65742" s="136"/>
    </row>
    <row r="65743" spans="1:2" x14ac:dyDescent="0.25">
      <c r="A65743" s="118"/>
      <c r="B65743" s="136"/>
    </row>
    <row r="65744" spans="1:2" x14ac:dyDescent="0.25">
      <c r="A65744" s="118"/>
      <c r="B65744" s="136"/>
    </row>
    <row r="65745" spans="1:2" x14ac:dyDescent="0.25">
      <c r="A65745" s="118"/>
      <c r="B65745" s="136"/>
    </row>
    <row r="65746" spans="1:2" x14ac:dyDescent="0.25">
      <c r="A65746" s="118"/>
      <c r="B65746" s="136"/>
    </row>
    <row r="65747" spans="1:2" x14ac:dyDescent="0.25">
      <c r="A65747" s="118"/>
      <c r="B65747" s="136"/>
    </row>
    <row r="65748" spans="1:2" x14ac:dyDescent="0.25">
      <c r="A65748" s="118"/>
      <c r="B65748" s="136"/>
    </row>
    <row r="65749" spans="1:2" x14ac:dyDescent="0.25">
      <c r="A65749" s="118"/>
      <c r="B65749" s="136"/>
    </row>
    <row r="65750" spans="1:2" x14ac:dyDescent="0.25">
      <c r="A65750" s="118"/>
      <c r="B65750" s="136"/>
    </row>
    <row r="65751" spans="1:2" x14ac:dyDescent="0.25">
      <c r="A65751" s="118"/>
      <c r="B65751" s="136"/>
    </row>
    <row r="65752" spans="1:2" x14ac:dyDescent="0.25">
      <c r="A65752" s="118"/>
      <c r="B65752" s="136"/>
    </row>
    <row r="65753" spans="1:2" x14ac:dyDescent="0.25">
      <c r="A65753" s="118"/>
      <c r="B65753" s="136"/>
    </row>
    <row r="65754" spans="1:2" x14ac:dyDescent="0.25">
      <c r="A65754" s="118"/>
      <c r="B65754" s="136"/>
    </row>
    <row r="65755" spans="1:2" x14ac:dyDescent="0.25">
      <c r="A65755" s="118"/>
      <c r="B65755" s="136"/>
    </row>
    <row r="65756" spans="1:2" x14ac:dyDescent="0.25">
      <c r="A65756" s="118"/>
      <c r="B65756" s="136"/>
    </row>
    <row r="65757" spans="1:2" x14ac:dyDescent="0.25">
      <c r="A65757" s="118"/>
      <c r="B65757" s="136"/>
    </row>
    <row r="65758" spans="1:2" x14ac:dyDescent="0.25">
      <c r="A65758" s="118"/>
      <c r="B65758" s="136"/>
    </row>
    <row r="65759" spans="1:2" x14ac:dyDescent="0.25">
      <c r="A65759" s="118"/>
      <c r="B65759" s="136"/>
    </row>
    <row r="65760" spans="1:2" x14ac:dyDescent="0.25">
      <c r="A65760" s="118"/>
      <c r="B65760" s="136"/>
    </row>
    <row r="65761" spans="1:2" x14ac:dyDescent="0.25">
      <c r="A65761" s="118"/>
      <c r="B65761" s="136"/>
    </row>
    <row r="65762" spans="1:2" x14ac:dyDescent="0.25">
      <c r="A65762" s="118"/>
      <c r="B65762" s="136"/>
    </row>
    <row r="65763" spans="1:2" x14ac:dyDescent="0.25">
      <c r="A65763" s="118"/>
      <c r="B65763" s="136"/>
    </row>
    <row r="65764" spans="1:2" x14ac:dyDescent="0.25">
      <c r="A65764" s="118"/>
      <c r="B65764" s="136"/>
    </row>
    <row r="65765" spans="1:2" x14ac:dyDescent="0.25">
      <c r="A65765" s="118"/>
      <c r="B65765" s="136"/>
    </row>
    <row r="65766" spans="1:2" x14ac:dyDescent="0.25">
      <c r="A65766" s="118"/>
      <c r="B65766" s="136"/>
    </row>
    <row r="65767" spans="1:2" x14ac:dyDescent="0.25">
      <c r="A65767" s="118"/>
      <c r="B65767" s="136"/>
    </row>
    <row r="65768" spans="1:2" x14ac:dyDescent="0.25">
      <c r="A65768" s="118"/>
      <c r="B65768" s="136"/>
    </row>
    <row r="65769" spans="1:2" x14ac:dyDescent="0.25">
      <c r="A65769" s="118"/>
      <c r="B65769" s="136"/>
    </row>
    <row r="65770" spans="1:2" x14ac:dyDescent="0.25">
      <c r="A65770" s="118"/>
      <c r="B65770" s="136"/>
    </row>
    <row r="65771" spans="1:2" x14ac:dyDescent="0.25">
      <c r="A65771" s="118"/>
      <c r="B65771" s="136"/>
    </row>
    <row r="65772" spans="1:2" x14ac:dyDescent="0.25">
      <c r="A65772" s="118"/>
      <c r="B65772" s="136"/>
    </row>
    <row r="65773" spans="1:2" x14ac:dyDescent="0.25">
      <c r="A65773" s="118"/>
      <c r="B65773" s="136"/>
    </row>
    <row r="65774" spans="1:2" x14ac:dyDescent="0.25">
      <c r="A65774" s="118"/>
      <c r="B65774" s="136"/>
    </row>
    <row r="65775" spans="1:2" x14ac:dyDescent="0.25">
      <c r="A65775" s="118"/>
      <c r="B65775" s="136"/>
    </row>
    <row r="65776" spans="1:2" x14ac:dyDescent="0.25">
      <c r="A65776" s="118"/>
      <c r="B65776" s="136"/>
    </row>
    <row r="65777" spans="1:2" x14ac:dyDescent="0.25">
      <c r="A65777" s="118"/>
      <c r="B65777" s="136"/>
    </row>
    <row r="65778" spans="1:2" x14ac:dyDescent="0.25">
      <c r="A65778" s="118"/>
      <c r="B65778" s="136"/>
    </row>
    <row r="65779" spans="1:2" x14ac:dyDescent="0.25">
      <c r="A65779" s="118"/>
      <c r="B65779" s="136"/>
    </row>
    <row r="65780" spans="1:2" x14ac:dyDescent="0.25">
      <c r="A65780" s="118"/>
      <c r="B65780" s="136"/>
    </row>
    <row r="65781" spans="1:2" x14ac:dyDescent="0.25">
      <c r="A65781" s="118"/>
      <c r="B65781" s="136"/>
    </row>
    <row r="65782" spans="1:2" x14ac:dyDescent="0.25">
      <c r="A65782" s="118"/>
      <c r="B65782" s="136"/>
    </row>
    <row r="65783" spans="1:2" x14ac:dyDescent="0.25">
      <c r="A65783" s="118"/>
      <c r="B65783" s="136"/>
    </row>
    <row r="65784" spans="1:2" x14ac:dyDescent="0.25">
      <c r="A65784" s="118"/>
      <c r="B65784" s="136"/>
    </row>
    <row r="65785" spans="1:2" x14ac:dyDescent="0.25">
      <c r="A65785" s="118"/>
      <c r="B65785" s="136"/>
    </row>
    <row r="65786" spans="1:2" x14ac:dyDescent="0.25">
      <c r="A65786" s="118"/>
      <c r="B65786" s="136"/>
    </row>
    <row r="65787" spans="1:2" x14ac:dyDescent="0.25">
      <c r="A65787" s="118"/>
      <c r="B65787" s="136"/>
    </row>
    <row r="65788" spans="1:2" x14ac:dyDescent="0.25">
      <c r="A65788" s="118"/>
      <c r="B65788" s="136"/>
    </row>
    <row r="65789" spans="1:2" x14ac:dyDescent="0.25">
      <c r="A65789" s="118"/>
      <c r="B65789" s="136"/>
    </row>
    <row r="65790" spans="1:2" x14ac:dyDescent="0.25">
      <c r="A65790" s="118"/>
      <c r="B65790" s="136"/>
    </row>
    <row r="65791" spans="1:2" x14ac:dyDescent="0.25">
      <c r="A65791" s="118"/>
      <c r="B65791" s="136"/>
    </row>
    <row r="65792" spans="1:2" x14ac:dyDescent="0.25">
      <c r="A65792" s="118"/>
      <c r="B65792" s="136"/>
    </row>
    <row r="65793" spans="1:2" x14ac:dyDescent="0.25">
      <c r="A65793" s="118"/>
      <c r="B65793" s="136"/>
    </row>
    <row r="65794" spans="1:2" x14ac:dyDescent="0.25">
      <c r="A65794" s="118"/>
      <c r="B65794" s="136"/>
    </row>
    <row r="65795" spans="1:2" x14ac:dyDescent="0.25">
      <c r="A65795" s="118"/>
      <c r="B65795" s="136"/>
    </row>
    <row r="65796" spans="1:2" x14ac:dyDescent="0.25">
      <c r="A65796" s="118"/>
      <c r="B65796" s="136"/>
    </row>
    <row r="65797" spans="1:2" x14ac:dyDescent="0.25">
      <c r="A65797" s="118"/>
      <c r="B65797" s="136"/>
    </row>
    <row r="65798" spans="1:2" x14ac:dyDescent="0.25">
      <c r="A65798" s="118"/>
      <c r="B65798" s="136"/>
    </row>
    <row r="65799" spans="1:2" x14ac:dyDescent="0.25">
      <c r="A65799" s="118"/>
      <c r="B65799" s="136"/>
    </row>
    <row r="65800" spans="1:2" x14ac:dyDescent="0.25">
      <c r="A65800" s="118"/>
      <c r="B65800" s="136"/>
    </row>
    <row r="65801" spans="1:2" x14ac:dyDescent="0.25">
      <c r="A65801" s="118"/>
      <c r="B65801" s="136"/>
    </row>
    <row r="65802" spans="1:2" x14ac:dyDescent="0.25">
      <c r="A65802" s="118"/>
      <c r="B65802" s="136"/>
    </row>
    <row r="65803" spans="1:2" x14ac:dyDescent="0.25">
      <c r="A65803" s="118"/>
      <c r="B65803" s="136"/>
    </row>
    <row r="65804" spans="1:2" x14ac:dyDescent="0.25">
      <c r="A65804" s="118"/>
      <c r="B65804" s="136"/>
    </row>
    <row r="65805" spans="1:2" x14ac:dyDescent="0.25">
      <c r="A65805" s="118"/>
      <c r="B65805" s="136"/>
    </row>
    <row r="65806" spans="1:2" x14ac:dyDescent="0.25">
      <c r="A65806" s="118"/>
      <c r="B65806" s="136"/>
    </row>
    <row r="65807" spans="1:2" x14ac:dyDescent="0.25">
      <c r="A65807" s="118"/>
      <c r="B65807" s="136"/>
    </row>
    <row r="65808" spans="1:2" x14ac:dyDescent="0.25">
      <c r="A65808" s="118"/>
      <c r="B65808" s="136"/>
    </row>
    <row r="65809" spans="1:2" x14ac:dyDescent="0.25">
      <c r="A65809" s="118"/>
      <c r="B65809" s="136"/>
    </row>
    <row r="65810" spans="1:2" x14ac:dyDescent="0.25">
      <c r="A65810" s="118"/>
      <c r="B65810" s="136"/>
    </row>
    <row r="65811" spans="1:2" x14ac:dyDescent="0.25">
      <c r="A65811" s="118"/>
      <c r="B65811" s="136"/>
    </row>
    <row r="65812" spans="1:2" x14ac:dyDescent="0.25">
      <c r="A65812" s="118"/>
      <c r="B65812" s="136"/>
    </row>
    <row r="65813" spans="1:2" x14ac:dyDescent="0.25">
      <c r="A65813" s="118"/>
      <c r="B65813" s="136"/>
    </row>
    <row r="65814" spans="1:2" x14ac:dyDescent="0.25">
      <c r="A65814" s="118"/>
      <c r="B65814" s="136"/>
    </row>
    <row r="65815" spans="1:2" x14ac:dyDescent="0.25">
      <c r="A65815" s="118"/>
      <c r="B65815" s="136"/>
    </row>
    <row r="65816" spans="1:2" x14ac:dyDescent="0.25">
      <c r="A65816" s="118"/>
      <c r="B65816" s="136"/>
    </row>
    <row r="65817" spans="1:2" x14ac:dyDescent="0.25">
      <c r="A65817" s="118"/>
      <c r="B65817" s="136"/>
    </row>
    <row r="65818" spans="1:2" x14ac:dyDescent="0.25">
      <c r="A65818" s="118"/>
      <c r="B65818" s="136"/>
    </row>
    <row r="65819" spans="1:2" x14ac:dyDescent="0.25">
      <c r="A65819" s="118"/>
      <c r="B65819" s="136"/>
    </row>
    <row r="65820" spans="1:2" x14ac:dyDescent="0.25">
      <c r="A65820" s="118"/>
      <c r="B65820" s="136"/>
    </row>
    <row r="65821" spans="1:2" x14ac:dyDescent="0.25">
      <c r="A65821" s="118"/>
      <c r="B65821" s="136"/>
    </row>
    <row r="65822" spans="1:2" x14ac:dyDescent="0.25">
      <c r="A65822" s="118"/>
      <c r="B65822" s="136"/>
    </row>
    <row r="65823" spans="1:2" x14ac:dyDescent="0.25">
      <c r="A65823" s="118"/>
      <c r="B65823" s="136"/>
    </row>
    <row r="65824" spans="1:2" x14ac:dyDescent="0.25">
      <c r="A65824" s="118"/>
      <c r="B65824" s="136"/>
    </row>
    <row r="65825" spans="1:2" x14ac:dyDescent="0.25">
      <c r="A65825" s="118"/>
      <c r="B65825" s="136"/>
    </row>
    <row r="65826" spans="1:2" x14ac:dyDescent="0.25">
      <c r="A65826" s="118"/>
      <c r="B65826" s="136"/>
    </row>
    <row r="65827" spans="1:2" x14ac:dyDescent="0.25">
      <c r="A65827" s="118"/>
      <c r="B65827" s="136"/>
    </row>
    <row r="65828" spans="1:2" x14ac:dyDescent="0.25">
      <c r="A65828" s="118"/>
      <c r="B65828" s="136"/>
    </row>
    <row r="65829" spans="1:2" x14ac:dyDescent="0.25">
      <c r="A65829" s="118"/>
      <c r="B65829" s="136"/>
    </row>
    <row r="65830" spans="1:2" x14ac:dyDescent="0.25">
      <c r="A65830" s="118"/>
      <c r="B65830" s="136"/>
    </row>
    <row r="65831" spans="1:2" x14ac:dyDescent="0.25">
      <c r="A65831" s="118"/>
      <c r="B65831" s="136"/>
    </row>
    <row r="65832" spans="1:2" x14ac:dyDescent="0.25">
      <c r="A65832" s="118"/>
      <c r="B65832" s="136"/>
    </row>
    <row r="65833" spans="1:2" x14ac:dyDescent="0.25">
      <c r="A65833" s="118"/>
      <c r="B65833" s="136"/>
    </row>
    <row r="65834" spans="1:2" x14ac:dyDescent="0.25">
      <c r="A65834" s="118"/>
      <c r="B65834" s="136"/>
    </row>
    <row r="65835" spans="1:2" x14ac:dyDescent="0.25">
      <c r="A65835" s="118"/>
      <c r="B65835" s="136"/>
    </row>
    <row r="65836" spans="1:2" x14ac:dyDescent="0.25">
      <c r="A65836" s="118"/>
      <c r="B65836" s="136"/>
    </row>
    <row r="65837" spans="1:2" x14ac:dyDescent="0.25">
      <c r="A65837" s="118"/>
      <c r="B65837" s="136"/>
    </row>
    <row r="65838" spans="1:2" x14ac:dyDescent="0.25">
      <c r="A65838" s="118"/>
      <c r="B65838" s="136"/>
    </row>
    <row r="65839" spans="1:2" x14ac:dyDescent="0.25">
      <c r="A65839" s="118"/>
      <c r="B65839" s="136"/>
    </row>
    <row r="65840" spans="1:2" x14ac:dyDescent="0.25">
      <c r="A65840" s="118"/>
      <c r="B65840" s="136"/>
    </row>
    <row r="65841" spans="1:2" x14ac:dyDescent="0.25">
      <c r="A65841" s="118"/>
      <c r="B65841" s="136"/>
    </row>
    <row r="65842" spans="1:2" x14ac:dyDescent="0.25">
      <c r="A65842" s="118"/>
      <c r="B65842" s="136"/>
    </row>
    <row r="65843" spans="1:2" x14ac:dyDescent="0.25">
      <c r="A65843" s="118"/>
      <c r="B65843" s="136"/>
    </row>
    <row r="65844" spans="1:2" x14ac:dyDescent="0.25">
      <c r="A65844" s="118"/>
      <c r="B65844" s="136"/>
    </row>
    <row r="65845" spans="1:2" x14ac:dyDescent="0.25">
      <c r="A65845" s="118"/>
      <c r="B65845" s="136"/>
    </row>
    <row r="65846" spans="1:2" x14ac:dyDescent="0.25">
      <c r="A65846" s="118"/>
      <c r="B65846" s="136"/>
    </row>
    <row r="65847" spans="1:2" x14ac:dyDescent="0.25">
      <c r="A65847" s="118"/>
      <c r="B65847" s="136"/>
    </row>
    <row r="65848" spans="1:2" x14ac:dyDescent="0.25">
      <c r="A65848" s="118"/>
      <c r="B65848" s="136"/>
    </row>
    <row r="65849" spans="1:2" x14ac:dyDescent="0.25">
      <c r="A65849" s="118"/>
      <c r="B65849" s="136"/>
    </row>
    <row r="65850" spans="1:2" x14ac:dyDescent="0.25">
      <c r="A65850" s="118"/>
      <c r="B65850" s="136"/>
    </row>
    <row r="65851" spans="1:2" x14ac:dyDescent="0.25">
      <c r="A65851" s="118"/>
      <c r="B65851" s="136"/>
    </row>
    <row r="65852" spans="1:2" x14ac:dyDescent="0.25">
      <c r="A65852" s="118"/>
      <c r="B65852" s="136"/>
    </row>
    <row r="65853" spans="1:2" x14ac:dyDescent="0.25">
      <c r="A65853" s="118"/>
      <c r="B65853" s="136"/>
    </row>
    <row r="65854" spans="1:2" x14ac:dyDescent="0.25">
      <c r="A65854" s="118"/>
      <c r="B65854" s="136"/>
    </row>
    <row r="65855" spans="1:2" x14ac:dyDescent="0.25">
      <c r="A65855" s="118"/>
      <c r="B65855" s="136"/>
    </row>
    <row r="65856" spans="1:2" x14ac:dyDescent="0.25">
      <c r="A65856" s="118"/>
      <c r="B65856" s="136"/>
    </row>
    <row r="65857" spans="1:2" x14ac:dyDescent="0.25">
      <c r="A65857" s="118"/>
      <c r="B65857" s="136"/>
    </row>
    <row r="65858" spans="1:2" x14ac:dyDescent="0.25">
      <c r="A65858" s="118"/>
      <c r="B65858" s="136"/>
    </row>
    <row r="65859" spans="1:2" x14ac:dyDescent="0.25">
      <c r="A65859" s="118"/>
      <c r="B65859" s="136"/>
    </row>
    <row r="65860" spans="1:2" x14ac:dyDescent="0.25">
      <c r="A65860" s="118"/>
      <c r="B65860" s="136"/>
    </row>
    <row r="65861" spans="1:2" x14ac:dyDescent="0.25">
      <c r="A65861" s="118"/>
      <c r="B65861" s="136"/>
    </row>
    <row r="65862" spans="1:2" x14ac:dyDescent="0.25">
      <c r="A65862" s="118"/>
      <c r="B65862" s="136"/>
    </row>
    <row r="65863" spans="1:2" x14ac:dyDescent="0.25">
      <c r="A65863" s="118"/>
      <c r="B65863" s="136"/>
    </row>
    <row r="65864" spans="1:2" x14ac:dyDescent="0.25">
      <c r="A65864" s="118"/>
      <c r="B65864" s="136"/>
    </row>
    <row r="65865" spans="1:2" x14ac:dyDescent="0.25">
      <c r="A65865" s="118"/>
      <c r="B65865" s="136"/>
    </row>
    <row r="65866" spans="1:2" x14ac:dyDescent="0.25">
      <c r="A65866" s="118"/>
      <c r="B65866" s="136"/>
    </row>
    <row r="65867" spans="1:2" x14ac:dyDescent="0.25">
      <c r="A65867" s="118"/>
      <c r="B65867" s="136"/>
    </row>
    <row r="65868" spans="1:2" x14ac:dyDescent="0.25">
      <c r="A65868" s="118"/>
      <c r="B65868" s="136"/>
    </row>
    <row r="65869" spans="1:2" x14ac:dyDescent="0.25">
      <c r="A65869" s="118"/>
      <c r="B65869" s="136"/>
    </row>
    <row r="65870" spans="1:2" x14ac:dyDescent="0.25">
      <c r="A65870" s="118"/>
      <c r="B65870" s="136"/>
    </row>
    <row r="65871" spans="1:2" x14ac:dyDescent="0.25">
      <c r="A65871" s="118"/>
      <c r="B65871" s="136"/>
    </row>
    <row r="65872" spans="1:2" x14ac:dyDescent="0.25">
      <c r="A65872" s="118"/>
      <c r="B65872" s="136"/>
    </row>
    <row r="65873" spans="1:2" x14ac:dyDescent="0.25">
      <c r="A65873" s="118"/>
      <c r="B65873" s="136"/>
    </row>
    <row r="65874" spans="1:2" x14ac:dyDescent="0.25">
      <c r="A65874" s="118"/>
      <c r="B65874" s="136"/>
    </row>
    <row r="65875" spans="1:2" x14ac:dyDescent="0.25">
      <c r="A65875" s="118"/>
      <c r="B65875" s="136"/>
    </row>
    <row r="65876" spans="1:2" x14ac:dyDescent="0.25">
      <c r="A65876" s="118"/>
      <c r="B65876" s="136"/>
    </row>
    <row r="65877" spans="1:2" x14ac:dyDescent="0.25">
      <c r="A65877" s="118"/>
      <c r="B65877" s="136"/>
    </row>
    <row r="65878" spans="1:2" x14ac:dyDescent="0.25">
      <c r="A65878" s="118"/>
      <c r="B65878" s="136"/>
    </row>
    <row r="65879" spans="1:2" x14ac:dyDescent="0.25">
      <c r="A65879" s="118"/>
      <c r="B65879" s="136"/>
    </row>
    <row r="65880" spans="1:2" x14ac:dyDescent="0.25">
      <c r="A65880" s="118"/>
      <c r="B65880" s="136"/>
    </row>
    <row r="65881" spans="1:2" x14ac:dyDescent="0.25">
      <c r="A65881" s="118"/>
      <c r="B65881" s="136"/>
    </row>
    <row r="65882" spans="1:2" x14ac:dyDescent="0.25">
      <c r="A65882" s="118"/>
      <c r="B65882" s="136"/>
    </row>
    <row r="65883" spans="1:2" x14ac:dyDescent="0.25">
      <c r="A65883" s="118"/>
      <c r="B65883" s="136"/>
    </row>
    <row r="65884" spans="1:2" x14ac:dyDescent="0.25">
      <c r="A65884" s="118"/>
      <c r="B65884" s="136"/>
    </row>
    <row r="65885" spans="1:2" x14ac:dyDescent="0.25">
      <c r="A65885" s="118"/>
      <c r="B65885" s="136"/>
    </row>
    <row r="65886" spans="1:2" x14ac:dyDescent="0.25">
      <c r="A65886" s="118"/>
      <c r="B65886" s="136"/>
    </row>
    <row r="65887" spans="1:2" x14ac:dyDescent="0.25">
      <c r="A65887" s="118"/>
      <c r="B65887" s="136"/>
    </row>
    <row r="65888" spans="1:2" x14ac:dyDescent="0.25">
      <c r="A65888" s="118"/>
      <c r="B65888" s="136"/>
    </row>
    <row r="65889" spans="1:2" x14ac:dyDescent="0.25">
      <c r="A65889" s="118"/>
      <c r="B65889" s="136"/>
    </row>
    <row r="65890" spans="1:2" x14ac:dyDescent="0.25">
      <c r="A65890" s="118"/>
      <c r="B65890" s="136"/>
    </row>
    <row r="65891" spans="1:2" x14ac:dyDescent="0.25">
      <c r="A65891" s="118"/>
      <c r="B65891" s="136"/>
    </row>
    <row r="65892" spans="1:2" x14ac:dyDescent="0.25">
      <c r="A65892" s="118"/>
      <c r="B65892" s="136"/>
    </row>
    <row r="65893" spans="1:2" x14ac:dyDescent="0.25">
      <c r="A65893" s="118"/>
      <c r="B65893" s="136"/>
    </row>
    <row r="65894" spans="1:2" x14ac:dyDescent="0.25">
      <c r="A65894" s="118"/>
      <c r="B65894" s="136"/>
    </row>
    <row r="65895" spans="1:2" x14ac:dyDescent="0.25">
      <c r="A65895" s="118"/>
      <c r="B65895" s="136"/>
    </row>
    <row r="65896" spans="1:2" x14ac:dyDescent="0.25">
      <c r="A65896" s="118"/>
      <c r="B65896" s="136"/>
    </row>
    <row r="65897" spans="1:2" x14ac:dyDescent="0.25">
      <c r="A65897" s="118"/>
      <c r="B65897" s="136"/>
    </row>
    <row r="65898" spans="1:2" x14ac:dyDescent="0.25">
      <c r="A65898" s="118"/>
      <c r="B65898" s="136"/>
    </row>
    <row r="65899" spans="1:2" x14ac:dyDescent="0.25">
      <c r="A65899" s="118"/>
      <c r="B65899" s="136"/>
    </row>
    <row r="65900" spans="1:2" x14ac:dyDescent="0.25">
      <c r="A65900" s="118"/>
      <c r="B65900" s="136"/>
    </row>
    <row r="65901" spans="1:2" x14ac:dyDescent="0.25">
      <c r="A65901" s="118"/>
      <c r="B65901" s="136"/>
    </row>
    <row r="65902" spans="1:2" x14ac:dyDescent="0.25">
      <c r="A65902" s="118"/>
      <c r="B65902" s="136"/>
    </row>
    <row r="65903" spans="1:2" x14ac:dyDescent="0.25">
      <c r="A65903" s="118"/>
      <c r="B65903" s="136"/>
    </row>
    <row r="65904" spans="1:2" x14ac:dyDescent="0.25">
      <c r="A65904" s="118"/>
      <c r="B65904" s="136"/>
    </row>
    <row r="65905" spans="1:2" x14ac:dyDescent="0.25">
      <c r="A65905" s="118"/>
      <c r="B65905" s="136"/>
    </row>
    <row r="65906" spans="1:2" x14ac:dyDescent="0.25">
      <c r="A65906" s="118"/>
      <c r="B65906" s="136"/>
    </row>
    <row r="65907" spans="1:2" x14ac:dyDescent="0.25">
      <c r="A65907" s="118"/>
      <c r="B65907" s="136"/>
    </row>
    <row r="65908" spans="1:2" x14ac:dyDescent="0.25">
      <c r="A65908" s="118"/>
      <c r="B65908" s="136"/>
    </row>
    <row r="65909" spans="1:2" x14ac:dyDescent="0.25">
      <c r="A65909" s="118"/>
      <c r="B65909" s="136"/>
    </row>
    <row r="65910" spans="1:2" x14ac:dyDescent="0.25">
      <c r="A65910" s="118"/>
      <c r="B65910" s="136"/>
    </row>
    <row r="65911" spans="1:2" x14ac:dyDescent="0.25">
      <c r="A65911" s="118"/>
      <c r="B65911" s="136"/>
    </row>
    <row r="65912" spans="1:2" x14ac:dyDescent="0.25">
      <c r="A65912" s="118"/>
      <c r="B65912" s="136"/>
    </row>
    <row r="65913" spans="1:2" x14ac:dyDescent="0.25">
      <c r="A65913" s="118"/>
      <c r="B65913" s="136"/>
    </row>
    <row r="65914" spans="1:2" x14ac:dyDescent="0.25">
      <c r="A65914" s="118"/>
      <c r="B65914" s="136"/>
    </row>
    <row r="65915" spans="1:2" x14ac:dyDescent="0.25">
      <c r="A65915" s="118"/>
      <c r="B65915" s="136"/>
    </row>
    <row r="65916" spans="1:2" x14ac:dyDescent="0.25">
      <c r="A65916" s="118"/>
      <c r="B65916" s="136"/>
    </row>
    <row r="65917" spans="1:2" x14ac:dyDescent="0.25">
      <c r="A65917" s="118"/>
      <c r="B65917" s="136"/>
    </row>
    <row r="65918" spans="1:2" x14ac:dyDescent="0.25">
      <c r="A65918" s="118"/>
      <c r="B65918" s="136"/>
    </row>
    <row r="65919" spans="1:2" x14ac:dyDescent="0.25">
      <c r="A65919" s="118"/>
      <c r="B65919" s="136"/>
    </row>
    <row r="65920" spans="1:2" x14ac:dyDescent="0.25">
      <c r="A65920" s="118"/>
      <c r="B65920" s="136"/>
    </row>
    <row r="65921" spans="1:2" x14ac:dyDescent="0.25">
      <c r="A65921" s="118"/>
      <c r="B65921" s="136"/>
    </row>
    <row r="65922" spans="1:2" x14ac:dyDescent="0.25">
      <c r="A65922" s="118"/>
      <c r="B65922" s="136"/>
    </row>
    <row r="65923" spans="1:2" x14ac:dyDescent="0.25">
      <c r="A65923" s="118"/>
      <c r="B65923" s="136"/>
    </row>
    <row r="65924" spans="1:2" x14ac:dyDescent="0.25">
      <c r="A65924" s="118"/>
      <c r="B65924" s="136"/>
    </row>
    <row r="65925" spans="1:2" x14ac:dyDescent="0.25">
      <c r="A65925" s="118"/>
      <c r="B65925" s="136"/>
    </row>
    <row r="65926" spans="1:2" x14ac:dyDescent="0.25">
      <c r="A65926" s="118"/>
      <c r="B65926" s="136"/>
    </row>
    <row r="65927" spans="1:2" x14ac:dyDescent="0.25">
      <c r="A65927" s="118"/>
      <c r="B65927" s="136"/>
    </row>
    <row r="65928" spans="1:2" x14ac:dyDescent="0.25">
      <c r="A65928" s="118"/>
      <c r="B65928" s="136"/>
    </row>
    <row r="65929" spans="1:2" x14ac:dyDescent="0.25">
      <c r="A65929" s="118"/>
      <c r="B65929" s="136"/>
    </row>
    <row r="65930" spans="1:2" x14ac:dyDescent="0.25">
      <c r="A65930" s="118"/>
      <c r="B65930" s="136"/>
    </row>
    <row r="65931" spans="1:2" x14ac:dyDescent="0.25">
      <c r="A65931" s="118"/>
      <c r="B65931" s="136"/>
    </row>
    <row r="65932" spans="1:2" x14ac:dyDescent="0.25">
      <c r="A65932" s="118"/>
      <c r="B65932" s="136"/>
    </row>
    <row r="65933" spans="1:2" x14ac:dyDescent="0.25">
      <c r="A65933" s="118"/>
      <c r="B65933" s="136"/>
    </row>
    <row r="65934" spans="1:2" x14ac:dyDescent="0.25">
      <c r="A65934" s="118"/>
      <c r="B65934" s="136"/>
    </row>
    <row r="65935" spans="1:2" x14ac:dyDescent="0.25">
      <c r="A65935" s="118"/>
      <c r="B65935" s="136"/>
    </row>
    <row r="65936" spans="1:2" x14ac:dyDescent="0.25">
      <c r="A65936" s="118"/>
      <c r="B65936" s="136"/>
    </row>
    <row r="65937" spans="1:2" x14ac:dyDescent="0.25">
      <c r="A65937" s="118"/>
      <c r="B65937" s="136"/>
    </row>
    <row r="65938" spans="1:2" x14ac:dyDescent="0.25">
      <c r="A65938" s="118"/>
      <c r="B65938" s="136"/>
    </row>
    <row r="65939" spans="1:2" x14ac:dyDescent="0.25">
      <c r="A65939" s="118"/>
      <c r="B65939" s="136"/>
    </row>
    <row r="65940" spans="1:2" x14ac:dyDescent="0.25">
      <c r="A65940" s="118"/>
      <c r="B65940" s="136"/>
    </row>
    <row r="65941" spans="1:2" x14ac:dyDescent="0.25">
      <c r="A65941" s="118"/>
      <c r="B65941" s="136"/>
    </row>
    <row r="65942" spans="1:2" x14ac:dyDescent="0.25">
      <c r="A65942" s="118"/>
      <c r="B65942" s="136"/>
    </row>
    <row r="65943" spans="1:2" x14ac:dyDescent="0.25">
      <c r="A65943" s="118"/>
      <c r="B65943" s="136"/>
    </row>
    <row r="65944" spans="1:2" x14ac:dyDescent="0.25">
      <c r="A65944" s="118"/>
      <c r="B65944" s="136"/>
    </row>
    <row r="65945" spans="1:2" x14ac:dyDescent="0.25">
      <c r="A65945" s="118"/>
      <c r="B65945" s="136"/>
    </row>
    <row r="65946" spans="1:2" x14ac:dyDescent="0.25">
      <c r="A65946" s="118"/>
      <c r="B65946" s="136"/>
    </row>
    <row r="65947" spans="1:2" x14ac:dyDescent="0.25">
      <c r="A65947" s="118"/>
      <c r="B65947" s="136"/>
    </row>
    <row r="65948" spans="1:2" x14ac:dyDescent="0.25">
      <c r="A65948" s="118"/>
      <c r="B65948" s="136"/>
    </row>
    <row r="65949" spans="1:2" x14ac:dyDescent="0.25">
      <c r="A65949" s="118"/>
      <c r="B65949" s="136"/>
    </row>
    <row r="65950" spans="1:2" x14ac:dyDescent="0.25">
      <c r="A65950" s="118"/>
      <c r="B65950" s="136"/>
    </row>
    <row r="65951" spans="1:2" x14ac:dyDescent="0.25">
      <c r="A65951" s="118"/>
      <c r="B65951" s="136"/>
    </row>
    <row r="65952" spans="1:2" x14ac:dyDescent="0.25">
      <c r="A65952" s="118"/>
      <c r="B65952" s="136"/>
    </row>
    <row r="65953" spans="1:2" x14ac:dyDescent="0.25">
      <c r="A65953" s="118"/>
      <c r="B65953" s="136"/>
    </row>
    <row r="65954" spans="1:2" x14ac:dyDescent="0.25">
      <c r="A65954" s="118"/>
      <c r="B65954" s="136"/>
    </row>
    <row r="65955" spans="1:2" x14ac:dyDescent="0.25">
      <c r="A65955" s="118"/>
      <c r="B65955" s="136"/>
    </row>
    <row r="65956" spans="1:2" x14ac:dyDescent="0.25">
      <c r="A65956" s="118"/>
      <c r="B65956" s="136"/>
    </row>
    <row r="65957" spans="1:2" x14ac:dyDescent="0.25">
      <c r="A65957" s="118"/>
      <c r="B65957" s="136"/>
    </row>
    <row r="65958" spans="1:2" x14ac:dyDescent="0.25">
      <c r="A65958" s="118"/>
      <c r="B65958" s="136"/>
    </row>
    <row r="65959" spans="1:2" x14ac:dyDescent="0.25">
      <c r="A65959" s="118"/>
      <c r="B65959" s="136"/>
    </row>
    <row r="65960" spans="1:2" x14ac:dyDescent="0.25">
      <c r="A65960" s="118"/>
      <c r="B65960" s="136"/>
    </row>
    <row r="65961" spans="1:2" x14ac:dyDescent="0.25">
      <c r="A65961" s="118"/>
      <c r="B65961" s="136"/>
    </row>
    <row r="65962" spans="1:2" x14ac:dyDescent="0.25">
      <c r="A65962" s="118"/>
      <c r="B65962" s="136"/>
    </row>
    <row r="65963" spans="1:2" x14ac:dyDescent="0.25">
      <c r="A65963" s="118"/>
      <c r="B65963" s="136"/>
    </row>
    <row r="65964" spans="1:2" x14ac:dyDescent="0.25">
      <c r="A65964" s="118"/>
      <c r="B65964" s="136"/>
    </row>
    <row r="65965" spans="1:2" x14ac:dyDescent="0.25">
      <c r="A65965" s="118"/>
      <c r="B65965" s="136"/>
    </row>
    <row r="65966" spans="1:2" x14ac:dyDescent="0.25">
      <c r="A65966" s="118"/>
      <c r="B65966" s="136"/>
    </row>
    <row r="65967" spans="1:2" x14ac:dyDescent="0.25">
      <c r="A65967" s="118"/>
      <c r="B65967" s="136"/>
    </row>
    <row r="65968" spans="1:2" x14ac:dyDescent="0.25">
      <c r="A65968" s="118"/>
      <c r="B65968" s="136"/>
    </row>
    <row r="65969" spans="1:2" x14ac:dyDescent="0.25">
      <c r="A65969" s="118"/>
      <c r="B65969" s="136"/>
    </row>
    <row r="65970" spans="1:2" x14ac:dyDescent="0.25">
      <c r="A65970" s="118"/>
      <c r="B65970" s="136"/>
    </row>
    <row r="65971" spans="1:2" x14ac:dyDescent="0.25">
      <c r="A65971" s="118"/>
      <c r="B65971" s="136"/>
    </row>
    <row r="65972" spans="1:2" x14ac:dyDescent="0.25">
      <c r="A65972" s="118"/>
      <c r="B65972" s="136"/>
    </row>
    <row r="65973" spans="1:2" x14ac:dyDescent="0.25">
      <c r="A65973" s="118"/>
      <c r="B65973" s="136"/>
    </row>
    <row r="65974" spans="1:2" x14ac:dyDescent="0.25">
      <c r="A65974" s="118"/>
      <c r="B65974" s="136"/>
    </row>
    <row r="65975" spans="1:2" x14ac:dyDescent="0.25">
      <c r="A65975" s="118"/>
      <c r="B65975" s="136"/>
    </row>
    <row r="65976" spans="1:2" x14ac:dyDescent="0.25">
      <c r="A65976" s="118"/>
      <c r="B65976" s="136"/>
    </row>
    <row r="65977" spans="1:2" x14ac:dyDescent="0.25">
      <c r="A65977" s="118"/>
      <c r="B65977" s="136"/>
    </row>
    <row r="65978" spans="1:2" x14ac:dyDescent="0.25">
      <c r="A65978" s="118"/>
      <c r="B65978" s="136"/>
    </row>
    <row r="65979" spans="1:2" x14ac:dyDescent="0.25">
      <c r="A65979" s="118"/>
      <c r="B65979" s="136"/>
    </row>
    <row r="65980" spans="1:2" x14ac:dyDescent="0.25">
      <c r="A65980" s="118"/>
      <c r="B65980" s="136"/>
    </row>
    <row r="65981" spans="1:2" x14ac:dyDescent="0.25">
      <c r="A65981" s="118"/>
      <c r="B65981" s="136"/>
    </row>
    <row r="65982" spans="1:2" x14ac:dyDescent="0.25">
      <c r="A65982" s="118"/>
      <c r="B65982" s="136"/>
    </row>
    <row r="65983" spans="1:2" x14ac:dyDescent="0.25">
      <c r="A65983" s="118"/>
      <c r="B65983" s="136"/>
    </row>
    <row r="65984" spans="1:2" x14ac:dyDescent="0.25">
      <c r="A65984" s="118"/>
      <c r="B65984" s="136"/>
    </row>
    <row r="65985" spans="1:2" x14ac:dyDescent="0.25">
      <c r="A65985" s="118"/>
      <c r="B65985" s="136"/>
    </row>
    <row r="65986" spans="1:2" x14ac:dyDescent="0.25">
      <c r="A65986" s="118"/>
      <c r="B65986" s="136"/>
    </row>
    <row r="65987" spans="1:2" x14ac:dyDescent="0.25">
      <c r="A65987" s="118"/>
      <c r="B65987" s="136"/>
    </row>
    <row r="65988" spans="1:2" x14ac:dyDescent="0.25">
      <c r="A65988" s="118"/>
      <c r="B65988" s="136"/>
    </row>
    <row r="65989" spans="1:2" x14ac:dyDescent="0.25">
      <c r="A65989" s="118"/>
      <c r="B65989" s="136"/>
    </row>
    <row r="65990" spans="1:2" x14ac:dyDescent="0.25">
      <c r="A65990" s="118"/>
      <c r="B65990" s="136"/>
    </row>
    <row r="65991" spans="1:2" x14ac:dyDescent="0.25">
      <c r="A65991" s="118"/>
      <c r="B65991" s="136"/>
    </row>
    <row r="65992" spans="1:2" x14ac:dyDescent="0.25">
      <c r="A65992" s="118"/>
      <c r="B65992" s="136"/>
    </row>
    <row r="65993" spans="1:2" x14ac:dyDescent="0.25">
      <c r="A65993" s="118"/>
      <c r="B65993" s="136"/>
    </row>
    <row r="65994" spans="1:2" x14ac:dyDescent="0.25">
      <c r="A65994" s="118"/>
      <c r="B65994" s="136"/>
    </row>
    <row r="65995" spans="1:2" x14ac:dyDescent="0.25">
      <c r="A65995" s="118"/>
      <c r="B65995" s="136"/>
    </row>
    <row r="65996" spans="1:2" x14ac:dyDescent="0.25">
      <c r="A65996" s="118"/>
      <c r="B65996" s="136"/>
    </row>
    <row r="65997" spans="1:2" x14ac:dyDescent="0.25">
      <c r="A65997" s="118"/>
      <c r="B65997" s="136"/>
    </row>
    <row r="65998" spans="1:2" x14ac:dyDescent="0.25">
      <c r="A65998" s="118"/>
      <c r="B65998" s="136"/>
    </row>
    <row r="65999" spans="1:2" x14ac:dyDescent="0.25">
      <c r="A65999" s="118"/>
      <c r="B65999" s="136"/>
    </row>
    <row r="66000" spans="1:2" x14ac:dyDescent="0.25">
      <c r="A66000" s="118"/>
      <c r="B66000" s="136"/>
    </row>
    <row r="66001" spans="1:2" x14ac:dyDescent="0.25">
      <c r="A66001" s="118"/>
      <c r="B66001" s="136"/>
    </row>
    <row r="66002" spans="1:2" x14ac:dyDescent="0.25">
      <c r="A66002" s="118"/>
      <c r="B66002" s="136"/>
    </row>
    <row r="66003" spans="1:2" x14ac:dyDescent="0.25">
      <c r="A66003" s="118"/>
      <c r="B66003" s="136"/>
    </row>
    <row r="66004" spans="1:2" x14ac:dyDescent="0.25">
      <c r="A66004" s="118"/>
      <c r="B66004" s="136"/>
    </row>
    <row r="66005" spans="1:2" x14ac:dyDescent="0.25">
      <c r="A66005" s="118"/>
      <c r="B66005" s="136"/>
    </row>
    <row r="66006" spans="1:2" x14ac:dyDescent="0.25">
      <c r="A66006" s="118"/>
      <c r="B66006" s="136"/>
    </row>
    <row r="66007" spans="1:2" x14ac:dyDescent="0.25">
      <c r="A66007" s="118"/>
      <c r="B66007" s="136"/>
    </row>
    <row r="66008" spans="1:2" x14ac:dyDescent="0.25">
      <c r="A66008" s="118"/>
      <c r="B66008" s="136"/>
    </row>
    <row r="66009" spans="1:2" x14ac:dyDescent="0.25">
      <c r="A66009" s="118"/>
      <c r="B66009" s="136"/>
    </row>
    <row r="66010" spans="1:2" x14ac:dyDescent="0.25">
      <c r="A66010" s="118"/>
      <c r="B66010" s="136"/>
    </row>
    <row r="66011" spans="1:2" x14ac:dyDescent="0.25">
      <c r="A66011" s="118"/>
      <c r="B66011" s="136"/>
    </row>
    <row r="66012" spans="1:2" x14ac:dyDescent="0.25">
      <c r="A66012" s="118"/>
      <c r="B66012" s="136"/>
    </row>
    <row r="66013" spans="1:2" x14ac:dyDescent="0.25">
      <c r="A66013" s="118"/>
      <c r="B66013" s="136"/>
    </row>
    <row r="66014" spans="1:2" x14ac:dyDescent="0.25">
      <c r="A66014" s="118"/>
      <c r="B66014" s="136"/>
    </row>
    <row r="66015" spans="1:2" x14ac:dyDescent="0.25">
      <c r="A66015" s="118"/>
      <c r="B66015" s="136"/>
    </row>
    <row r="66016" spans="1:2" x14ac:dyDescent="0.25">
      <c r="A66016" s="118"/>
      <c r="B66016" s="136"/>
    </row>
    <row r="66017" spans="1:2" x14ac:dyDescent="0.25">
      <c r="A66017" s="118"/>
      <c r="B66017" s="136"/>
    </row>
    <row r="66018" spans="1:2" x14ac:dyDescent="0.25">
      <c r="A66018" s="118"/>
      <c r="B66018" s="136"/>
    </row>
    <row r="66019" spans="1:2" x14ac:dyDescent="0.25">
      <c r="A66019" s="118"/>
      <c r="B66019" s="136"/>
    </row>
    <row r="66020" spans="1:2" x14ac:dyDescent="0.25">
      <c r="A66020" s="118"/>
      <c r="B66020" s="136"/>
    </row>
    <row r="66021" spans="1:2" x14ac:dyDescent="0.25">
      <c r="A66021" s="118"/>
      <c r="B66021" s="136"/>
    </row>
    <row r="66022" spans="1:2" x14ac:dyDescent="0.25">
      <c r="A66022" s="118"/>
      <c r="B66022" s="136"/>
    </row>
    <row r="66023" spans="1:2" x14ac:dyDescent="0.25">
      <c r="A66023" s="118"/>
      <c r="B66023" s="136"/>
    </row>
    <row r="66024" spans="1:2" x14ac:dyDescent="0.25">
      <c r="A66024" s="118"/>
      <c r="B66024" s="136"/>
    </row>
    <row r="66025" spans="1:2" x14ac:dyDescent="0.25">
      <c r="A66025" s="118"/>
      <c r="B66025" s="136"/>
    </row>
    <row r="66026" spans="1:2" x14ac:dyDescent="0.25">
      <c r="A66026" s="118"/>
      <c r="B66026" s="136"/>
    </row>
    <row r="66027" spans="1:2" x14ac:dyDescent="0.25">
      <c r="A66027" s="118"/>
      <c r="B66027" s="136"/>
    </row>
    <row r="66028" spans="1:2" x14ac:dyDescent="0.25">
      <c r="A66028" s="118"/>
      <c r="B66028" s="136"/>
    </row>
    <row r="66029" spans="1:2" x14ac:dyDescent="0.25">
      <c r="A66029" s="118"/>
      <c r="B66029" s="136"/>
    </row>
    <row r="66030" spans="1:2" x14ac:dyDescent="0.25">
      <c r="A66030" s="118"/>
      <c r="B66030" s="136"/>
    </row>
    <row r="66031" spans="1:2" x14ac:dyDescent="0.25">
      <c r="A66031" s="118"/>
      <c r="B66031" s="136"/>
    </row>
    <row r="66032" spans="1:2" x14ac:dyDescent="0.25">
      <c r="A66032" s="118"/>
      <c r="B66032" s="136"/>
    </row>
    <row r="66033" spans="1:2" x14ac:dyDescent="0.25">
      <c r="A66033" s="118"/>
      <c r="B66033" s="136"/>
    </row>
    <row r="66034" spans="1:2" x14ac:dyDescent="0.25">
      <c r="A66034" s="118"/>
      <c r="B66034" s="136"/>
    </row>
    <row r="66035" spans="1:2" x14ac:dyDescent="0.25">
      <c r="A66035" s="118"/>
      <c r="B66035" s="136"/>
    </row>
    <row r="66036" spans="1:2" x14ac:dyDescent="0.25">
      <c r="A66036" s="118"/>
      <c r="B66036" s="136"/>
    </row>
    <row r="66037" spans="1:2" x14ac:dyDescent="0.25">
      <c r="A66037" s="118"/>
      <c r="B66037" s="136"/>
    </row>
    <row r="66038" spans="1:2" x14ac:dyDescent="0.25">
      <c r="A66038" s="118"/>
      <c r="B66038" s="136"/>
    </row>
    <row r="66039" spans="1:2" x14ac:dyDescent="0.25">
      <c r="A66039" s="118"/>
      <c r="B66039" s="136"/>
    </row>
    <row r="66040" spans="1:2" x14ac:dyDescent="0.25">
      <c r="A66040" s="118"/>
      <c r="B66040" s="136"/>
    </row>
    <row r="66041" spans="1:2" x14ac:dyDescent="0.25">
      <c r="A66041" s="118"/>
      <c r="B66041" s="136"/>
    </row>
    <row r="66042" spans="1:2" x14ac:dyDescent="0.25">
      <c r="A66042" s="118"/>
      <c r="B66042" s="136"/>
    </row>
    <row r="66043" spans="1:2" x14ac:dyDescent="0.25">
      <c r="A66043" s="118"/>
      <c r="B66043" s="136"/>
    </row>
    <row r="66044" spans="1:2" x14ac:dyDescent="0.25">
      <c r="A66044" s="118"/>
      <c r="B66044" s="136"/>
    </row>
    <row r="66045" spans="1:2" x14ac:dyDescent="0.25">
      <c r="A66045" s="118"/>
      <c r="B66045" s="136"/>
    </row>
    <row r="66046" spans="1:2" x14ac:dyDescent="0.25">
      <c r="A66046" s="118"/>
      <c r="B66046" s="136"/>
    </row>
    <row r="66047" spans="1:2" x14ac:dyDescent="0.25">
      <c r="A66047" s="118"/>
      <c r="B66047" s="136"/>
    </row>
    <row r="66048" spans="1:2" x14ac:dyDescent="0.25">
      <c r="A66048" s="118"/>
      <c r="B66048" s="136"/>
    </row>
    <row r="66049" spans="1:2" x14ac:dyDescent="0.25">
      <c r="A66049" s="118"/>
      <c r="B66049" s="136"/>
    </row>
    <row r="66050" spans="1:2" x14ac:dyDescent="0.25">
      <c r="A66050" s="118"/>
      <c r="B66050" s="136"/>
    </row>
    <row r="66051" spans="1:2" x14ac:dyDescent="0.25">
      <c r="A66051" s="118"/>
      <c r="B66051" s="136"/>
    </row>
    <row r="66052" spans="1:2" x14ac:dyDescent="0.25">
      <c r="A66052" s="118"/>
      <c r="B66052" s="136"/>
    </row>
    <row r="66053" spans="1:2" x14ac:dyDescent="0.25">
      <c r="A66053" s="118"/>
      <c r="B66053" s="136"/>
    </row>
    <row r="66054" spans="1:2" x14ac:dyDescent="0.25">
      <c r="A66054" s="118"/>
      <c r="B66054" s="136"/>
    </row>
    <row r="66055" spans="1:2" x14ac:dyDescent="0.25">
      <c r="A66055" s="118"/>
      <c r="B66055" s="136"/>
    </row>
    <row r="66056" spans="1:2" x14ac:dyDescent="0.25">
      <c r="A66056" s="118"/>
      <c r="B66056" s="136"/>
    </row>
    <row r="66057" spans="1:2" x14ac:dyDescent="0.25">
      <c r="A66057" s="118"/>
      <c r="B66057" s="136"/>
    </row>
    <row r="66058" spans="1:2" x14ac:dyDescent="0.25">
      <c r="A66058" s="118"/>
      <c r="B66058" s="136"/>
    </row>
    <row r="66059" spans="1:2" x14ac:dyDescent="0.25">
      <c r="A66059" s="118"/>
      <c r="B66059" s="136"/>
    </row>
    <row r="66060" spans="1:2" x14ac:dyDescent="0.25">
      <c r="A66060" s="118"/>
      <c r="B66060" s="136"/>
    </row>
    <row r="66061" spans="1:2" x14ac:dyDescent="0.25">
      <c r="A66061" s="118"/>
      <c r="B66061" s="136"/>
    </row>
    <row r="66062" spans="1:2" x14ac:dyDescent="0.25">
      <c r="A66062" s="118"/>
      <c r="B66062" s="136"/>
    </row>
    <row r="66063" spans="1:2" x14ac:dyDescent="0.25">
      <c r="A66063" s="118"/>
      <c r="B66063" s="136"/>
    </row>
    <row r="66064" spans="1:2" x14ac:dyDescent="0.25">
      <c r="A66064" s="118"/>
      <c r="B66064" s="136"/>
    </row>
    <row r="66065" spans="1:2" x14ac:dyDescent="0.25">
      <c r="A66065" s="118"/>
      <c r="B66065" s="136"/>
    </row>
    <row r="66066" spans="1:2" x14ac:dyDescent="0.25">
      <c r="A66066" s="118"/>
      <c r="B66066" s="136"/>
    </row>
    <row r="66067" spans="1:2" x14ac:dyDescent="0.25">
      <c r="A66067" s="118"/>
      <c r="B66067" s="136"/>
    </row>
    <row r="66068" spans="1:2" x14ac:dyDescent="0.25">
      <c r="A66068" s="118"/>
      <c r="B66068" s="136"/>
    </row>
    <row r="66069" spans="1:2" x14ac:dyDescent="0.25">
      <c r="A66069" s="118"/>
      <c r="B66069" s="136"/>
    </row>
    <row r="66070" spans="1:2" x14ac:dyDescent="0.25">
      <c r="A66070" s="118"/>
      <c r="B66070" s="136"/>
    </row>
    <row r="66071" spans="1:2" x14ac:dyDescent="0.25">
      <c r="A66071" s="118"/>
      <c r="B66071" s="136"/>
    </row>
    <row r="66072" spans="1:2" x14ac:dyDescent="0.25">
      <c r="A66072" s="118"/>
      <c r="B66072" s="136"/>
    </row>
    <row r="66073" spans="1:2" x14ac:dyDescent="0.25">
      <c r="A66073" s="118"/>
      <c r="B66073" s="136"/>
    </row>
    <row r="66074" spans="1:2" x14ac:dyDescent="0.25">
      <c r="A66074" s="118"/>
      <c r="B66074" s="136"/>
    </row>
    <row r="66075" spans="1:2" x14ac:dyDescent="0.25">
      <c r="A66075" s="118"/>
      <c r="B66075" s="136"/>
    </row>
    <row r="66076" spans="1:2" x14ac:dyDescent="0.25">
      <c r="A66076" s="118"/>
      <c r="B66076" s="136"/>
    </row>
    <row r="66077" spans="1:2" x14ac:dyDescent="0.25">
      <c r="A66077" s="118"/>
      <c r="B66077" s="136"/>
    </row>
    <row r="66078" spans="1:2" x14ac:dyDescent="0.25">
      <c r="A66078" s="118"/>
      <c r="B66078" s="136"/>
    </row>
    <row r="66079" spans="1:2" x14ac:dyDescent="0.25">
      <c r="A66079" s="118"/>
      <c r="B66079" s="136"/>
    </row>
    <row r="66080" spans="1:2" x14ac:dyDescent="0.25">
      <c r="A66080" s="118"/>
      <c r="B66080" s="136"/>
    </row>
    <row r="66081" spans="1:2" x14ac:dyDescent="0.25">
      <c r="A66081" s="118"/>
      <c r="B66081" s="136"/>
    </row>
    <row r="66082" spans="1:2" x14ac:dyDescent="0.25">
      <c r="A66082" s="118"/>
      <c r="B66082" s="136"/>
    </row>
    <row r="66083" spans="1:2" x14ac:dyDescent="0.25">
      <c r="A66083" s="118"/>
      <c r="B66083" s="136"/>
    </row>
    <row r="66084" spans="1:2" x14ac:dyDescent="0.25">
      <c r="A66084" s="118"/>
      <c r="B66084" s="136"/>
    </row>
    <row r="66085" spans="1:2" x14ac:dyDescent="0.25">
      <c r="A66085" s="118"/>
      <c r="B66085" s="136"/>
    </row>
    <row r="66086" spans="1:2" x14ac:dyDescent="0.25">
      <c r="A66086" s="118"/>
      <c r="B66086" s="136"/>
    </row>
    <row r="66087" spans="1:2" x14ac:dyDescent="0.25">
      <c r="A66087" s="118"/>
      <c r="B66087" s="136"/>
    </row>
    <row r="66088" spans="1:2" x14ac:dyDescent="0.25">
      <c r="A66088" s="118"/>
      <c r="B66088" s="136"/>
    </row>
    <row r="66089" spans="1:2" x14ac:dyDescent="0.25">
      <c r="A66089" s="118"/>
      <c r="B66089" s="136"/>
    </row>
    <row r="66090" spans="1:2" x14ac:dyDescent="0.25">
      <c r="A66090" s="118"/>
      <c r="B66090" s="136"/>
    </row>
    <row r="66091" spans="1:2" x14ac:dyDescent="0.25">
      <c r="A66091" s="118"/>
      <c r="B66091" s="136"/>
    </row>
    <row r="66092" spans="1:2" x14ac:dyDescent="0.25">
      <c r="A66092" s="118"/>
      <c r="B66092" s="136"/>
    </row>
    <row r="66093" spans="1:2" x14ac:dyDescent="0.25">
      <c r="A66093" s="118"/>
      <c r="B66093" s="136"/>
    </row>
    <row r="66094" spans="1:2" x14ac:dyDescent="0.25">
      <c r="A66094" s="118"/>
      <c r="B66094" s="136"/>
    </row>
    <row r="66095" spans="1:2" x14ac:dyDescent="0.25">
      <c r="A66095" s="118"/>
      <c r="B66095" s="136"/>
    </row>
    <row r="66096" spans="1:2" x14ac:dyDescent="0.25">
      <c r="A66096" s="118"/>
      <c r="B66096" s="136"/>
    </row>
    <row r="66097" spans="1:2" x14ac:dyDescent="0.25">
      <c r="A66097" s="118"/>
      <c r="B66097" s="136"/>
    </row>
    <row r="66098" spans="1:2" x14ac:dyDescent="0.25">
      <c r="A66098" s="118"/>
      <c r="B66098" s="136"/>
    </row>
    <row r="66099" spans="1:2" x14ac:dyDescent="0.25">
      <c r="A66099" s="118"/>
      <c r="B66099" s="136"/>
    </row>
    <row r="66100" spans="1:2" x14ac:dyDescent="0.25">
      <c r="A66100" s="118"/>
      <c r="B66100" s="136"/>
    </row>
    <row r="66101" spans="1:2" x14ac:dyDescent="0.25">
      <c r="A66101" s="118"/>
      <c r="B66101" s="136"/>
    </row>
    <row r="66102" spans="1:2" x14ac:dyDescent="0.25">
      <c r="A66102" s="118"/>
      <c r="B66102" s="136"/>
    </row>
    <row r="66103" spans="1:2" x14ac:dyDescent="0.25">
      <c r="A66103" s="118"/>
      <c r="B66103" s="136"/>
    </row>
    <row r="66104" spans="1:2" x14ac:dyDescent="0.25">
      <c r="A66104" s="118"/>
      <c r="B66104" s="136"/>
    </row>
    <row r="66105" spans="1:2" x14ac:dyDescent="0.25">
      <c r="A66105" s="118"/>
      <c r="B66105" s="136"/>
    </row>
    <row r="66106" spans="1:2" x14ac:dyDescent="0.25">
      <c r="A66106" s="118"/>
      <c r="B66106" s="136"/>
    </row>
    <row r="66107" spans="1:2" x14ac:dyDescent="0.25">
      <c r="A66107" s="118"/>
      <c r="B66107" s="136"/>
    </row>
    <row r="66108" spans="1:2" x14ac:dyDescent="0.25">
      <c r="A66108" s="118"/>
      <c r="B66108" s="136"/>
    </row>
    <row r="66109" spans="1:2" x14ac:dyDescent="0.25">
      <c r="A66109" s="118"/>
      <c r="B66109" s="136"/>
    </row>
    <row r="66110" spans="1:2" x14ac:dyDescent="0.25">
      <c r="A66110" s="118"/>
      <c r="B66110" s="136"/>
    </row>
    <row r="66111" spans="1:2" x14ac:dyDescent="0.25">
      <c r="A66111" s="118"/>
      <c r="B66111" s="136"/>
    </row>
    <row r="66112" spans="1:2" x14ac:dyDescent="0.25">
      <c r="A66112" s="118"/>
      <c r="B66112" s="136"/>
    </row>
    <row r="66113" spans="1:2" x14ac:dyDescent="0.25">
      <c r="A66113" s="118"/>
      <c r="B66113" s="136"/>
    </row>
    <row r="66114" spans="1:2" x14ac:dyDescent="0.25">
      <c r="A66114" s="118"/>
      <c r="B66114" s="136"/>
    </row>
    <row r="66115" spans="1:2" x14ac:dyDescent="0.25">
      <c r="A66115" s="118"/>
      <c r="B66115" s="136"/>
    </row>
    <row r="66116" spans="1:2" x14ac:dyDescent="0.25">
      <c r="A66116" s="118"/>
      <c r="B66116" s="136"/>
    </row>
    <row r="66117" spans="1:2" x14ac:dyDescent="0.25">
      <c r="A66117" s="118"/>
      <c r="B66117" s="136"/>
    </row>
    <row r="66118" spans="1:2" x14ac:dyDescent="0.25">
      <c r="A66118" s="118"/>
      <c r="B66118" s="136"/>
    </row>
    <row r="66119" spans="1:2" x14ac:dyDescent="0.25">
      <c r="A66119" s="118"/>
      <c r="B66119" s="136"/>
    </row>
    <row r="66120" spans="1:2" x14ac:dyDescent="0.25">
      <c r="A66120" s="118"/>
      <c r="B66120" s="136"/>
    </row>
    <row r="66121" spans="1:2" x14ac:dyDescent="0.25">
      <c r="A66121" s="118"/>
      <c r="B66121" s="136"/>
    </row>
    <row r="66122" spans="1:2" x14ac:dyDescent="0.25">
      <c r="A66122" s="118"/>
      <c r="B66122" s="136"/>
    </row>
    <row r="66123" spans="1:2" x14ac:dyDescent="0.25">
      <c r="A66123" s="118"/>
      <c r="B66123" s="136"/>
    </row>
    <row r="66124" spans="1:2" x14ac:dyDescent="0.25">
      <c r="A66124" s="118"/>
      <c r="B66124" s="136"/>
    </row>
    <row r="66125" spans="1:2" x14ac:dyDescent="0.25">
      <c r="A66125" s="118"/>
      <c r="B66125" s="136"/>
    </row>
    <row r="66126" spans="1:2" x14ac:dyDescent="0.25">
      <c r="A66126" s="118"/>
      <c r="B66126" s="136"/>
    </row>
    <row r="66127" spans="1:2" x14ac:dyDescent="0.25">
      <c r="A66127" s="118"/>
      <c r="B66127" s="136"/>
    </row>
    <row r="66128" spans="1:2" x14ac:dyDescent="0.25">
      <c r="A66128" s="118"/>
      <c r="B66128" s="136"/>
    </row>
    <row r="66129" spans="1:2" x14ac:dyDescent="0.25">
      <c r="A66129" s="118"/>
      <c r="B66129" s="136"/>
    </row>
    <row r="66130" spans="1:2" x14ac:dyDescent="0.25">
      <c r="A66130" s="118"/>
      <c r="B66130" s="136"/>
    </row>
    <row r="66131" spans="1:2" x14ac:dyDescent="0.25">
      <c r="A66131" s="118"/>
      <c r="B66131" s="136"/>
    </row>
    <row r="66132" spans="1:2" x14ac:dyDescent="0.25">
      <c r="A66132" s="118"/>
      <c r="B66132" s="136"/>
    </row>
    <row r="66133" spans="1:2" x14ac:dyDescent="0.25">
      <c r="A66133" s="118"/>
      <c r="B66133" s="136"/>
    </row>
    <row r="66134" spans="1:2" x14ac:dyDescent="0.25">
      <c r="A66134" s="118"/>
      <c r="B66134" s="136"/>
    </row>
    <row r="66135" spans="1:2" x14ac:dyDescent="0.25">
      <c r="A66135" s="118"/>
      <c r="B66135" s="136"/>
    </row>
    <row r="66136" spans="1:2" x14ac:dyDescent="0.25">
      <c r="A66136" s="118"/>
      <c r="B66136" s="136"/>
    </row>
    <row r="66137" spans="1:2" x14ac:dyDescent="0.25">
      <c r="A66137" s="118"/>
      <c r="B66137" s="136"/>
    </row>
    <row r="66138" spans="1:2" x14ac:dyDescent="0.25">
      <c r="A66138" s="118"/>
      <c r="B66138" s="136"/>
    </row>
    <row r="66139" spans="1:2" x14ac:dyDescent="0.25">
      <c r="A66139" s="118"/>
      <c r="B66139" s="136"/>
    </row>
    <row r="66140" spans="1:2" x14ac:dyDescent="0.25">
      <c r="A66140" s="118"/>
      <c r="B66140" s="136"/>
    </row>
    <row r="66141" spans="1:2" x14ac:dyDescent="0.25">
      <c r="A66141" s="118"/>
      <c r="B66141" s="136"/>
    </row>
    <row r="66142" spans="1:2" x14ac:dyDescent="0.25">
      <c r="A66142" s="118"/>
      <c r="B66142" s="136"/>
    </row>
    <row r="66143" spans="1:2" x14ac:dyDescent="0.25">
      <c r="A66143" s="118"/>
      <c r="B66143" s="136"/>
    </row>
    <row r="66144" spans="1:2" x14ac:dyDescent="0.25">
      <c r="A66144" s="118"/>
      <c r="B66144" s="136"/>
    </row>
    <row r="66145" spans="1:2" x14ac:dyDescent="0.25">
      <c r="A66145" s="118"/>
      <c r="B66145" s="136"/>
    </row>
    <row r="66146" spans="1:2" x14ac:dyDescent="0.25">
      <c r="A66146" s="118"/>
      <c r="B66146" s="136"/>
    </row>
    <row r="66147" spans="1:2" x14ac:dyDescent="0.25">
      <c r="A66147" s="118"/>
      <c r="B66147" s="136"/>
    </row>
    <row r="66148" spans="1:2" x14ac:dyDescent="0.25">
      <c r="A66148" s="118"/>
      <c r="B66148" s="136"/>
    </row>
    <row r="66149" spans="1:2" x14ac:dyDescent="0.25">
      <c r="A66149" s="118"/>
      <c r="B66149" s="136"/>
    </row>
    <row r="66150" spans="1:2" x14ac:dyDescent="0.25">
      <c r="A66150" s="118"/>
      <c r="B66150" s="136"/>
    </row>
    <row r="66151" spans="1:2" x14ac:dyDescent="0.25">
      <c r="A66151" s="118"/>
      <c r="B66151" s="136"/>
    </row>
    <row r="66152" spans="1:2" x14ac:dyDescent="0.25">
      <c r="A66152" s="118"/>
      <c r="B66152" s="136"/>
    </row>
    <row r="66153" spans="1:2" x14ac:dyDescent="0.25">
      <c r="A66153" s="118"/>
      <c r="B66153" s="136"/>
    </row>
    <row r="66154" spans="1:2" x14ac:dyDescent="0.25">
      <c r="A66154" s="118"/>
      <c r="B66154" s="136"/>
    </row>
    <row r="66155" spans="1:2" x14ac:dyDescent="0.25">
      <c r="A66155" s="118"/>
      <c r="B66155" s="136"/>
    </row>
    <row r="66156" spans="1:2" x14ac:dyDescent="0.25">
      <c r="A66156" s="118"/>
      <c r="B66156" s="136"/>
    </row>
    <row r="66157" spans="1:2" x14ac:dyDescent="0.25">
      <c r="A66157" s="118"/>
      <c r="B66157" s="136"/>
    </row>
    <row r="66158" spans="1:2" x14ac:dyDescent="0.25">
      <c r="A66158" s="118"/>
      <c r="B66158" s="136"/>
    </row>
    <row r="66159" spans="1:2" x14ac:dyDescent="0.25">
      <c r="A66159" s="118"/>
      <c r="B66159" s="136"/>
    </row>
    <row r="66160" spans="1:2" x14ac:dyDescent="0.25">
      <c r="A66160" s="118"/>
      <c r="B66160" s="136"/>
    </row>
    <row r="66161" spans="1:2" x14ac:dyDescent="0.25">
      <c r="A66161" s="118"/>
      <c r="B66161" s="136"/>
    </row>
    <row r="66162" spans="1:2" x14ac:dyDescent="0.25">
      <c r="A66162" s="118"/>
      <c r="B66162" s="136"/>
    </row>
    <row r="66163" spans="1:2" x14ac:dyDescent="0.25">
      <c r="A66163" s="118"/>
      <c r="B66163" s="136"/>
    </row>
    <row r="66164" spans="1:2" x14ac:dyDescent="0.25">
      <c r="A66164" s="118"/>
      <c r="B66164" s="136"/>
    </row>
    <row r="66165" spans="1:2" x14ac:dyDescent="0.25">
      <c r="A66165" s="118"/>
      <c r="B66165" s="136"/>
    </row>
    <row r="66166" spans="1:2" x14ac:dyDescent="0.25">
      <c r="A66166" s="118"/>
      <c r="B66166" s="136"/>
    </row>
    <row r="66167" spans="1:2" x14ac:dyDescent="0.25">
      <c r="A66167" s="118"/>
      <c r="B66167" s="136"/>
    </row>
    <row r="66168" spans="1:2" x14ac:dyDescent="0.25">
      <c r="A66168" s="118"/>
      <c r="B66168" s="136"/>
    </row>
    <row r="66169" spans="1:2" x14ac:dyDescent="0.25">
      <c r="A66169" s="118"/>
      <c r="B66169" s="136"/>
    </row>
    <row r="66170" spans="1:2" x14ac:dyDescent="0.25">
      <c r="A66170" s="118"/>
      <c r="B66170" s="136"/>
    </row>
    <row r="66171" spans="1:2" x14ac:dyDescent="0.25">
      <c r="A66171" s="118"/>
      <c r="B66171" s="136"/>
    </row>
    <row r="66172" spans="1:2" x14ac:dyDescent="0.25">
      <c r="A66172" s="118"/>
      <c r="B66172" s="136"/>
    </row>
    <row r="66173" spans="1:2" x14ac:dyDescent="0.25">
      <c r="A66173" s="118"/>
      <c r="B66173" s="136"/>
    </row>
    <row r="66174" spans="1:2" x14ac:dyDescent="0.25">
      <c r="A66174" s="118"/>
      <c r="B66174" s="136"/>
    </row>
    <row r="66175" spans="1:2" x14ac:dyDescent="0.25">
      <c r="A66175" s="118"/>
      <c r="B66175" s="136"/>
    </row>
    <row r="66176" spans="1:2" x14ac:dyDescent="0.25">
      <c r="A66176" s="118"/>
      <c r="B66176" s="136"/>
    </row>
    <row r="66177" spans="1:2" x14ac:dyDescent="0.25">
      <c r="A66177" s="118"/>
      <c r="B66177" s="136"/>
    </row>
    <row r="66178" spans="1:2" x14ac:dyDescent="0.25">
      <c r="A66178" s="118"/>
      <c r="B66178" s="136"/>
    </row>
    <row r="66179" spans="1:2" x14ac:dyDescent="0.25">
      <c r="A66179" s="118"/>
      <c r="B66179" s="136"/>
    </row>
    <row r="66180" spans="1:2" x14ac:dyDescent="0.25">
      <c r="A66180" s="118"/>
      <c r="B66180" s="136"/>
    </row>
    <row r="66181" spans="1:2" x14ac:dyDescent="0.25">
      <c r="A66181" s="118"/>
      <c r="B66181" s="136"/>
    </row>
    <row r="66182" spans="1:2" x14ac:dyDescent="0.25">
      <c r="A66182" s="118"/>
      <c r="B66182" s="136"/>
    </row>
    <row r="66183" spans="1:2" x14ac:dyDescent="0.25">
      <c r="A66183" s="118"/>
      <c r="B66183" s="136"/>
    </row>
    <row r="66184" spans="1:2" x14ac:dyDescent="0.25">
      <c r="A66184" s="118"/>
      <c r="B66184" s="136"/>
    </row>
    <row r="66185" spans="1:2" x14ac:dyDescent="0.25">
      <c r="A66185" s="118"/>
      <c r="B66185" s="136"/>
    </row>
    <row r="66186" spans="1:2" x14ac:dyDescent="0.25">
      <c r="A66186" s="118"/>
      <c r="B66186" s="136"/>
    </row>
    <row r="66187" spans="1:2" x14ac:dyDescent="0.25">
      <c r="A66187" s="118"/>
      <c r="B66187" s="136"/>
    </row>
    <row r="66188" spans="1:2" x14ac:dyDescent="0.25">
      <c r="A66188" s="118"/>
      <c r="B66188" s="136"/>
    </row>
    <row r="66189" spans="1:2" x14ac:dyDescent="0.25">
      <c r="A66189" s="118"/>
      <c r="B66189" s="136"/>
    </row>
    <row r="66190" spans="1:2" x14ac:dyDescent="0.25">
      <c r="A66190" s="118"/>
      <c r="B66190" s="136"/>
    </row>
    <row r="66191" spans="1:2" x14ac:dyDescent="0.25">
      <c r="A66191" s="118"/>
      <c r="B66191" s="136"/>
    </row>
    <row r="66192" spans="1:2" x14ac:dyDescent="0.25">
      <c r="A66192" s="118"/>
      <c r="B66192" s="136"/>
    </row>
    <row r="66193" spans="1:2" x14ac:dyDescent="0.25">
      <c r="A66193" s="118"/>
      <c r="B66193" s="136"/>
    </row>
    <row r="66194" spans="1:2" x14ac:dyDescent="0.25">
      <c r="A66194" s="118"/>
      <c r="B66194" s="136"/>
    </row>
    <row r="66195" spans="1:2" x14ac:dyDescent="0.25">
      <c r="A66195" s="118"/>
      <c r="B66195" s="136"/>
    </row>
    <row r="66196" spans="1:2" x14ac:dyDescent="0.25">
      <c r="A66196" s="118"/>
      <c r="B66196" s="136"/>
    </row>
    <row r="66197" spans="1:2" x14ac:dyDescent="0.25">
      <c r="A66197" s="118"/>
      <c r="B66197" s="136"/>
    </row>
    <row r="66198" spans="1:2" x14ac:dyDescent="0.25">
      <c r="A66198" s="118"/>
      <c r="B66198" s="136"/>
    </row>
    <row r="66199" spans="1:2" x14ac:dyDescent="0.25">
      <c r="A66199" s="118"/>
      <c r="B66199" s="136"/>
    </row>
    <row r="66200" spans="1:2" x14ac:dyDescent="0.25">
      <c r="A66200" s="118"/>
      <c r="B66200" s="136"/>
    </row>
    <row r="66201" spans="1:2" x14ac:dyDescent="0.25">
      <c r="A66201" s="118"/>
      <c r="B66201" s="136"/>
    </row>
    <row r="66202" spans="1:2" x14ac:dyDescent="0.25">
      <c r="A66202" s="118"/>
      <c r="B66202" s="136"/>
    </row>
    <row r="66203" spans="1:2" x14ac:dyDescent="0.25">
      <c r="A66203" s="118"/>
      <c r="B66203" s="136"/>
    </row>
    <row r="66204" spans="1:2" x14ac:dyDescent="0.25">
      <c r="A66204" s="118"/>
      <c r="B66204" s="136"/>
    </row>
    <row r="66205" spans="1:2" x14ac:dyDescent="0.25">
      <c r="A66205" s="118"/>
      <c r="B66205" s="136"/>
    </row>
    <row r="66206" spans="1:2" x14ac:dyDescent="0.25">
      <c r="A66206" s="118"/>
      <c r="B66206" s="136"/>
    </row>
    <row r="66207" spans="1:2" x14ac:dyDescent="0.25">
      <c r="A66207" s="118"/>
      <c r="B66207" s="136"/>
    </row>
    <row r="66208" spans="1:2" x14ac:dyDescent="0.25">
      <c r="A66208" s="118"/>
      <c r="B66208" s="136"/>
    </row>
    <row r="66209" spans="1:2" x14ac:dyDescent="0.25">
      <c r="A66209" s="118"/>
      <c r="B66209" s="136"/>
    </row>
    <row r="66210" spans="1:2" x14ac:dyDescent="0.25">
      <c r="A66210" s="118"/>
      <c r="B66210" s="136"/>
    </row>
    <row r="66211" spans="1:2" x14ac:dyDescent="0.25">
      <c r="A66211" s="118"/>
      <c r="B66211" s="136"/>
    </row>
    <row r="66212" spans="1:2" x14ac:dyDescent="0.25">
      <c r="A66212" s="118"/>
      <c r="B66212" s="136"/>
    </row>
    <row r="66213" spans="1:2" x14ac:dyDescent="0.25">
      <c r="A66213" s="118"/>
      <c r="B66213" s="136"/>
    </row>
    <row r="66214" spans="1:2" x14ac:dyDescent="0.25">
      <c r="A66214" s="118"/>
      <c r="B66214" s="136"/>
    </row>
    <row r="66215" spans="1:2" x14ac:dyDescent="0.25">
      <c r="A66215" s="118"/>
      <c r="B66215" s="136"/>
    </row>
    <row r="66216" spans="1:2" x14ac:dyDescent="0.25">
      <c r="A66216" s="118"/>
      <c r="B66216" s="136"/>
    </row>
    <row r="66217" spans="1:2" x14ac:dyDescent="0.25">
      <c r="A66217" s="118"/>
      <c r="B66217" s="136"/>
    </row>
    <row r="66218" spans="1:2" x14ac:dyDescent="0.25">
      <c r="A66218" s="118"/>
      <c r="B66218" s="136"/>
    </row>
    <row r="66219" spans="1:2" x14ac:dyDescent="0.25">
      <c r="A66219" s="118"/>
      <c r="B66219" s="136"/>
    </row>
    <row r="66220" spans="1:2" x14ac:dyDescent="0.25">
      <c r="A66220" s="118"/>
      <c r="B66220" s="136"/>
    </row>
    <row r="66221" spans="1:2" x14ac:dyDescent="0.25">
      <c r="A66221" s="118"/>
      <c r="B66221" s="136"/>
    </row>
    <row r="66222" spans="1:2" x14ac:dyDescent="0.25">
      <c r="A66222" s="118"/>
      <c r="B66222" s="136"/>
    </row>
    <row r="66223" spans="1:2" x14ac:dyDescent="0.25">
      <c r="A66223" s="118"/>
      <c r="B66223" s="136"/>
    </row>
    <row r="66224" spans="1:2" x14ac:dyDescent="0.25">
      <c r="A66224" s="118"/>
      <c r="B66224" s="136"/>
    </row>
    <row r="66225" spans="1:2" x14ac:dyDescent="0.25">
      <c r="A66225" s="118"/>
      <c r="B66225" s="136"/>
    </row>
    <row r="66226" spans="1:2" x14ac:dyDescent="0.25">
      <c r="A66226" s="118"/>
      <c r="B66226" s="136"/>
    </row>
    <row r="66227" spans="1:2" x14ac:dyDescent="0.25">
      <c r="A66227" s="118"/>
      <c r="B66227" s="136"/>
    </row>
    <row r="66228" spans="1:2" x14ac:dyDescent="0.25">
      <c r="A66228" s="118"/>
      <c r="B66228" s="136"/>
    </row>
    <row r="66229" spans="1:2" x14ac:dyDescent="0.25">
      <c r="A66229" s="118"/>
      <c r="B66229" s="136"/>
    </row>
    <row r="66230" spans="1:2" x14ac:dyDescent="0.25">
      <c r="A66230" s="118"/>
      <c r="B66230" s="136"/>
    </row>
    <row r="66231" spans="1:2" x14ac:dyDescent="0.25">
      <c r="A66231" s="118"/>
      <c r="B66231" s="136"/>
    </row>
    <row r="66232" spans="1:2" x14ac:dyDescent="0.25">
      <c r="A66232" s="118"/>
      <c r="B66232" s="136"/>
    </row>
    <row r="66233" spans="1:2" x14ac:dyDescent="0.25">
      <c r="A66233" s="118"/>
      <c r="B66233" s="136"/>
    </row>
    <row r="66234" spans="1:2" x14ac:dyDescent="0.25">
      <c r="A66234" s="118"/>
      <c r="B66234" s="136"/>
    </row>
    <row r="66235" spans="1:2" x14ac:dyDescent="0.25">
      <c r="A66235" s="118"/>
      <c r="B66235" s="136"/>
    </row>
    <row r="66236" spans="1:2" x14ac:dyDescent="0.25">
      <c r="A66236" s="118"/>
      <c r="B66236" s="136"/>
    </row>
    <row r="66237" spans="1:2" x14ac:dyDescent="0.25">
      <c r="A66237" s="118"/>
      <c r="B66237" s="136"/>
    </row>
    <row r="66238" spans="1:2" x14ac:dyDescent="0.25">
      <c r="A66238" s="118"/>
      <c r="B66238" s="136"/>
    </row>
    <row r="66239" spans="1:2" x14ac:dyDescent="0.25">
      <c r="A66239" s="118"/>
      <c r="B66239" s="136"/>
    </row>
    <row r="66240" spans="1:2" x14ac:dyDescent="0.25">
      <c r="A66240" s="118"/>
      <c r="B66240" s="136"/>
    </row>
    <row r="66241" spans="1:2" x14ac:dyDescent="0.25">
      <c r="A66241" s="118"/>
      <c r="B66241" s="136"/>
    </row>
    <row r="66242" spans="1:2" x14ac:dyDescent="0.25">
      <c r="A66242" s="118"/>
      <c r="B66242" s="136"/>
    </row>
    <row r="66243" spans="1:2" x14ac:dyDescent="0.25">
      <c r="A66243" s="118"/>
      <c r="B66243" s="136"/>
    </row>
    <row r="66244" spans="1:2" x14ac:dyDescent="0.25">
      <c r="A66244" s="118"/>
      <c r="B66244" s="136"/>
    </row>
    <row r="66245" spans="1:2" x14ac:dyDescent="0.25">
      <c r="A66245" s="118"/>
      <c r="B66245" s="136"/>
    </row>
    <row r="66246" spans="1:2" x14ac:dyDescent="0.25">
      <c r="A66246" s="118"/>
      <c r="B66246" s="136"/>
    </row>
    <row r="66247" spans="1:2" x14ac:dyDescent="0.25">
      <c r="A66247" s="118"/>
      <c r="B66247" s="136"/>
    </row>
    <row r="66248" spans="1:2" x14ac:dyDescent="0.25">
      <c r="A66248" s="118"/>
      <c r="B66248" s="136"/>
    </row>
    <row r="66249" spans="1:2" x14ac:dyDescent="0.25">
      <c r="A66249" s="118"/>
      <c r="B66249" s="136"/>
    </row>
    <row r="66250" spans="1:2" x14ac:dyDescent="0.25">
      <c r="A66250" s="118"/>
      <c r="B66250" s="136"/>
    </row>
    <row r="66251" spans="1:2" x14ac:dyDescent="0.25">
      <c r="A66251" s="118"/>
      <c r="B66251" s="136"/>
    </row>
    <row r="66252" spans="1:2" x14ac:dyDescent="0.25">
      <c r="A66252" s="118"/>
      <c r="B66252" s="136"/>
    </row>
    <row r="66253" spans="1:2" x14ac:dyDescent="0.25">
      <c r="A66253" s="118"/>
      <c r="B66253" s="136"/>
    </row>
    <row r="66254" spans="1:2" x14ac:dyDescent="0.25">
      <c r="A66254" s="118"/>
      <c r="B66254" s="136"/>
    </row>
    <row r="66255" spans="1:2" x14ac:dyDescent="0.25">
      <c r="A66255" s="118"/>
      <c r="B66255" s="136"/>
    </row>
    <row r="66256" spans="1:2" x14ac:dyDescent="0.25">
      <c r="A66256" s="118"/>
      <c r="B66256" s="136"/>
    </row>
    <row r="66257" spans="1:2" x14ac:dyDescent="0.25">
      <c r="A66257" s="118"/>
      <c r="B66257" s="136"/>
    </row>
    <row r="66258" spans="1:2" x14ac:dyDescent="0.25">
      <c r="A66258" s="118"/>
      <c r="B66258" s="136"/>
    </row>
    <row r="66259" spans="1:2" x14ac:dyDescent="0.25">
      <c r="A66259" s="118"/>
      <c r="B66259" s="136"/>
    </row>
    <row r="66260" spans="1:2" x14ac:dyDescent="0.25">
      <c r="A66260" s="118"/>
      <c r="B66260" s="136"/>
    </row>
    <row r="66261" spans="1:2" x14ac:dyDescent="0.25">
      <c r="A66261" s="118"/>
      <c r="B66261" s="136"/>
    </row>
    <row r="66262" spans="1:2" x14ac:dyDescent="0.25">
      <c r="A66262" s="118"/>
      <c r="B66262" s="136"/>
    </row>
    <row r="66263" spans="1:2" x14ac:dyDescent="0.25">
      <c r="A66263" s="118"/>
      <c r="B66263" s="136"/>
    </row>
    <row r="66264" spans="1:2" x14ac:dyDescent="0.25">
      <c r="A66264" s="118"/>
      <c r="B66264" s="136"/>
    </row>
    <row r="66265" spans="1:2" x14ac:dyDescent="0.25">
      <c r="A66265" s="118"/>
      <c r="B66265" s="136"/>
    </row>
    <row r="66266" spans="1:2" x14ac:dyDescent="0.25">
      <c r="A66266" s="118"/>
      <c r="B66266" s="136"/>
    </row>
    <row r="66267" spans="1:2" x14ac:dyDescent="0.25">
      <c r="A66267" s="118"/>
      <c r="B66267" s="136"/>
    </row>
    <row r="66268" spans="1:2" x14ac:dyDescent="0.25">
      <c r="A66268" s="118"/>
      <c r="B66268" s="136"/>
    </row>
    <row r="66269" spans="1:2" x14ac:dyDescent="0.25">
      <c r="A66269" s="118"/>
      <c r="B66269" s="136"/>
    </row>
    <row r="66270" spans="1:2" x14ac:dyDescent="0.25">
      <c r="A66270" s="118"/>
      <c r="B66270" s="136"/>
    </row>
    <row r="66271" spans="1:2" x14ac:dyDescent="0.25">
      <c r="A66271" s="118"/>
      <c r="B66271" s="136"/>
    </row>
    <row r="66272" spans="1:2" x14ac:dyDescent="0.25">
      <c r="A66272" s="118"/>
      <c r="B66272" s="136"/>
    </row>
    <row r="66273" spans="1:2" x14ac:dyDescent="0.25">
      <c r="A66273" s="118"/>
      <c r="B66273" s="136"/>
    </row>
    <row r="66274" spans="1:2" x14ac:dyDescent="0.25">
      <c r="A66274" s="118"/>
      <c r="B66274" s="136"/>
    </row>
    <row r="66275" spans="1:2" x14ac:dyDescent="0.25">
      <c r="A66275" s="118"/>
      <c r="B66275" s="136"/>
    </row>
    <row r="66276" spans="1:2" x14ac:dyDescent="0.25">
      <c r="A66276" s="118"/>
      <c r="B66276" s="136"/>
    </row>
    <row r="66277" spans="1:2" x14ac:dyDescent="0.25">
      <c r="A66277" s="118"/>
      <c r="B66277" s="136"/>
    </row>
    <row r="66278" spans="1:2" x14ac:dyDescent="0.25">
      <c r="A66278" s="118"/>
      <c r="B66278" s="136"/>
    </row>
    <row r="66279" spans="1:2" x14ac:dyDescent="0.25">
      <c r="A66279" s="118"/>
      <c r="B66279" s="136"/>
    </row>
    <row r="66280" spans="1:2" x14ac:dyDescent="0.25">
      <c r="A66280" s="118"/>
      <c r="B66280" s="136"/>
    </row>
    <row r="66281" spans="1:2" x14ac:dyDescent="0.25">
      <c r="A66281" s="118"/>
      <c r="B66281" s="136"/>
    </row>
    <row r="66282" spans="1:2" x14ac:dyDescent="0.25">
      <c r="A66282" s="118"/>
      <c r="B66282" s="136"/>
    </row>
    <row r="66283" spans="1:2" x14ac:dyDescent="0.25">
      <c r="A66283" s="118"/>
      <c r="B66283" s="136"/>
    </row>
    <row r="66284" spans="1:2" x14ac:dyDescent="0.25">
      <c r="A66284" s="118"/>
      <c r="B66284" s="136"/>
    </row>
    <row r="66285" spans="1:2" x14ac:dyDescent="0.25">
      <c r="A66285" s="118"/>
      <c r="B66285" s="136"/>
    </row>
    <row r="66286" spans="1:2" x14ac:dyDescent="0.25">
      <c r="A66286" s="118"/>
      <c r="B66286" s="136"/>
    </row>
    <row r="66287" spans="1:2" x14ac:dyDescent="0.25">
      <c r="A66287" s="118"/>
      <c r="B66287" s="136"/>
    </row>
    <row r="66288" spans="1:2" x14ac:dyDescent="0.25">
      <c r="A66288" s="118"/>
      <c r="B66288" s="136"/>
    </row>
    <row r="66289" spans="1:2" x14ac:dyDescent="0.25">
      <c r="A66289" s="118"/>
      <c r="B66289" s="136"/>
    </row>
    <row r="66290" spans="1:2" x14ac:dyDescent="0.25">
      <c r="A66290" s="118"/>
      <c r="B66290" s="136"/>
    </row>
    <row r="66291" spans="1:2" x14ac:dyDescent="0.25">
      <c r="A66291" s="118"/>
      <c r="B66291" s="136"/>
    </row>
    <row r="66292" spans="1:2" x14ac:dyDescent="0.25">
      <c r="A66292" s="118"/>
      <c r="B66292" s="136"/>
    </row>
    <row r="66293" spans="1:2" x14ac:dyDescent="0.25">
      <c r="A66293" s="118"/>
      <c r="B66293" s="136"/>
    </row>
    <row r="66294" spans="1:2" x14ac:dyDescent="0.25">
      <c r="A66294" s="118"/>
      <c r="B66294" s="136"/>
    </row>
    <row r="66295" spans="1:2" x14ac:dyDescent="0.25">
      <c r="A66295" s="118"/>
      <c r="B66295" s="136"/>
    </row>
    <row r="66296" spans="1:2" x14ac:dyDescent="0.25">
      <c r="A66296" s="118"/>
      <c r="B66296" s="136"/>
    </row>
    <row r="66297" spans="1:2" x14ac:dyDescent="0.25">
      <c r="A66297" s="118"/>
      <c r="B66297" s="136"/>
    </row>
    <row r="66298" spans="1:2" x14ac:dyDescent="0.25">
      <c r="A66298" s="118"/>
      <c r="B66298" s="136"/>
    </row>
    <row r="66299" spans="1:2" x14ac:dyDescent="0.25">
      <c r="A66299" s="118"/>
      <c r="B66299" s="136"/>
    </row>
    <row r="66300" spans="1:2" x14ac:dyDescent="0.25">
      <c r="A66300" s="118"/>
      <c r="B66300" s="136"/>
    </row>
    <row r="66301" spans="1:2" x14ac:dyDescent="0.25">
      <c r="A66301" s="118"/>
      <c r="B66301" s="136"/>
    </row>
    <row r="66302" spans="1:2" x14ac:dyDescent="0.25">
      <c r="A66302" s="118"/>
      <c r="B66302" s="136"/>
    </row>
    <row r="66303" spans="1:2" x14ac:dyDescent="0.25">
      <c r="A66303" s="118"/>
      <c r="B66303" s="136"/>
    </row>
    <row r="66304" spans="1:2" x14ac:dyDescent="0.25">
      <c r="A66304" s="118"/>
      <c r="B66304" s="136"/>
    </row>
    <row r="66305" spans="1:2" x14ac:dyDescent="0.25">
      <c r="A66305" s="118"/>
      <c r="B66305" s="136"/>
    </row>
    <row r="66306" spans="1:2" x14ac:dyDescent="0.25">
      <c r="A66306" s="118"/>
      <c r="B66306" s="136"/>
    </row>
    <row r="66307" spans="1:2" x14ac:dyDescent="0.25">
      <c r="A66307" s="118"/>
      <c r="B66307" s="136"/>
    </row>
    <row r="66308" spans="1:2" x14ac:dyDescent="0.25">
      <c r="A66308" s="118"/>
      <c r="B66308" s="136"/>
    </row>
    <row r="66309" spans="1:2" x14ac:dyDescent="0.25">
      <c r="A66309" s="118"/>
      <c r="B66309" s="136"/>
    </row>
    <row r="66310" spans="1:2" x14ac:dyDescent="0.25">
      <c r="A66310" s="118"/>
      <c r="B66310" s="136"/>
    </row>
    <row r="66311" spans="1:2" x14ac:dyDescent="0.25">
      <c r="A66311" s="118"/>
      <c r="B66311" s="136"/>
    </row>
    <row r="66312" spans="1:2" x14ac:dyDescent="0.25">
      <c r="A66312" s="118"/>
      <c r="B66312" s="136"/>
    </row>
    <row r="66313" spans="1:2" x14ac:dyDescent="0.25">
      <c r="A66313" s="118"/>
      <c r="B66313" s="136"/>
    </row>
    <row r="66314" spans="1:2" x14ac:dyDescent="0.25">
      <c r="A66314" s="118"/>
      <c r="B66314" s="136"/>
    </row>
    <row r="66315" spans="1:2" x14ac:dyDescent="0.25">
      <c r="A66315" s="118"/>
      <c r="B66315" s="136"/>
    </row>
    <row r="66316" spans="1:2" x14ac:dyDescent="0.25">
      <c r="A66316" s="118"/>
      <c r="B66316" s="136"/>
    </row>
    <row r="66317" spans="1:2" x14ac:dyDescent="0.25">
      <c r="A66317" s="118"/>
      <c r="B66317" s="136"/>
    </row>
    <row r="66318" spans="1:2" x14ac:dyDescent="0.25">
      <c r="A66318" s="118"/>
      <c r="B66318" s="136"/>
    </row>
    <row r="66319" spans="1:2" x14ac:dyDescent="0.25">
      <c r="A66319" s="118"/>
      <c r="B66319" s="136"/>
    </row>
    <row r="66320" spans="1:2" x14ac:dyDescent="0.25">
      <c r="A66320" s="118"/>
      <c r="B66320" s="136"/>
    </row>
    <row r="66321" spans="1:2" x14ac:dyDescent="0.25">
      <c r="A66321" s="118"/>
      <c r="B66321" s="136"/>
    </row>
    <row r="66322" spans="1:2" x14ac:dyDescent="0.25">
      <c r="A66322" s="118"/>
      <c r="B66322" s="136"/>
    </row>
    <row r="66323" spans="1:2" x14ac:dyDescent="0.25">
      <c r="A66323" s="118"/>
      <c r="B66323" s="136"/>
    </row>
    <row r="66324" spans="1:2" x14ac:dyDescent="0.25">
      <c r="A66324" s="118"/>
      <c r="B66324" s="136"/>
    </row>
    <row r="66325" spans="1:2" x14ac:dyDescent="0.25">
      <c r="A66325" s="118"/>
      <c r="B66325" s="136"/>
    </row>
    <row r="66326" spans="1:2" x14ac:dyDescent="0.25">
      <c r="A66326" s="118"/>
      <c r="B66326" s="136"/>
    </row>
    <row r="66327" spans="1:2" x14ac:dyDescent="0.25">
      <c r="A66327" s="118"/>
      <c r="B66327" s="136"/>
    </row>
    <row r="66328" spans="1:2" x14ac:dyDescent="0.25">
      <c r="A66328" s="118"/>
      <c r="B66328" s="136"/>
    </row>
    <row r="66329" spans="1:2" x14ac:dyDescent="0.25">
      <c r="A66329" s="118"/>
      <c r="B66329" s="136"/>
    </row>
    <row r="66330" spans="1:2" x14ac:dyDescent="0.25">
      <c r="A66330" s="118"/>
      <c r="B66330" s="136"/>
    </row>
    <row r="66331" spans="1:2" x14ac:dyDescent="0.25">
      <c r="A66331" s="118"/>
      <c r="B66331" s="136"/>
    </row>
    <row r="66332" spans="1:2" x14ac:dyDescent="0.25">
      <c r="A66332" s="118"/>
      <c r="B66332" s="136"/>
    </row>
    <row r="66333" spans="1:2" x14ac:dyDescent="0.25">
      <c r="A66333" s="118"/>
      <c r="B66333" s="136"/>
    </row>
    <row r="66334" spans="1:2" x14ac:dyDescent="0.25">
      <c r="A66334" s="118"/>
      <c r="B66334" s="136"/>
    </row>
    <row r="66335" spans="1:2" x14ac:dyDescent="0.25">
      <c r="A66335" s="118"/>
      <c r="B66335" s="136"/>
    </row>
    <row r="66336" spans="1:2" x14ac:dyDescent="0.25">
      <c r="A66336" s="118"/>
      <c r="B66336" s="136"/>
    </row>
    <row r="66337" spans="1:2" x14ac:dyDescent="0.25">
      <c r="A66337" s="118"/>
      <c r="B66337" s="136"/>
    </row>
    <row r="66338" spans="1:2" x14ac:dyDescent="0.25">
      <c r="A66338" s="118"/>
      <c r="B66338" s="136"/>
    </row>
    <row r="66339" spans="1:2" x14ac:dyDescent="0.25">
      <c r="A66339" s="118"/>
      <c r="B66339" s="136"/>
    </row>
    <row r="66340" spans="1:2" x14ac:dyDescent="0.25">
      <c r="A66340" s="118"/>
      <c r="B66340" s="136"/>
    </row>
    <row r="66341" spans="1:2" x14ac:dyDescent="0.25">
      <c r="A66341" s="118"/>
      <c r="B66341" s="136"/>
    </row>
    <row r="66342" spans="1:2" x14ac:dyDescent="0.25">
      <c r="A66342" s="118"/>
      <c r="B66342" s="136"/>
    </row>
    <row r="66343" spans="1:2" x14ac:dyDescent="0.25">
      <c r="A66343" s="118"/>
      <c r="B66343" s="136"/>
    </row>
    <row r="66344" spans="1:2" x14ac:dyDescent="0.25">
      <c r="A66344" s="118"/>
      <c r="B66344" s="136"/>
    </row>
    <row r="66345" spans="1:2" x14ac:dyDescent="0.25">
      <c r="A66345" s="118"/>
      <c r="B66345" s="136"/>
    </row>
    <row r="66346" spans="1:2" x14ac:dyDescent="0.25">
      <c r="A66346" s="118"/>
      <c r="B66346" s="136"/>
    </row>
    <row r="66347" spans="1:2" x14ac:dyDescent="0.25">
      <c r="A66347" s="118"/>
      <c r="B66347" s="136"/>
    </row>
    <row r="66348" spans="1:2" x14ac:dyDescent="0.25">
      <c r="A66348" s="118"/>
      <c r="B66348" s="136"/>
    </row>
    <row r="66349" spans="1:2" x14ac:dyDescent="0.25">
      <c r="A66349" s="118"/>
      <c r="B66349" s="136"/>
    </row>
    <row r="66350" spans="1:2" x14ac:dyDescent="0.25">
      <c r="A66350" s="118"/>
      <c r="B66350" s="136"/>
    </row>
    <row r="66351" spans="1:2" x14ac:dyDescent="0.25">
      <c r="A66351" s="118"/>
      <c r="B66351" s="136"/>
    </row>
    <row r="66352" spans="1:2" x14ac:dyDescent="0.25">
      <c r="A66352" s="118"/>
      <c r="B66352" s="136"/>
    </row>
    <row r="66353" spans="1:2" x14ac:dyDescent="0.25">
      <c r="A66353" s="118"/>
      <c r="B66353" s="136"/>
    </row>
    <row r="66354" spans="1:2" x14ac:dyDescent="0.25">
      <c r="A66354" s="118"/>
      <c r="B66354" s="136"/>
    </row>
    <row r="66355" spans="1:2" x14ac:dyDescent="0.25">
      <c r="A66355" s="118"/>
      <c r="B66355" s="136"/>
    </row>
    <row r="66356" spans="1:2" x14ac:dyDescent="0.25">
      <c r="A66356" s="118"/>
      <c r="B66356" s="136"/>
    </row>
    <row r="66357" spans="1:2" x14ac:dyDescent="0.25">
      <c r="A66357" s="118"/>
      <c r="B66357" s="136"/>
    </row>
    <row r="66358" spans="1:2" x14ac:dyDescent="0.25">
      <c r="A66358" s="118"/>
      <c r="B66358" s="136"/>
    </row>
    <row r="66359" spans="1:2" x14ac:dyDescent="0.25">
      <c r="A66359" s="118"/>
      <c r="B66359" s="136"/>
    </row>
    <row r="66360" spans="1:2" x14ac:dyDescent="0.25">
      <c r="A66360" s="118"/>
      <c r="B66360" s="136"/>
    </row>
    <row r="66361" spans="1:2" x14ac:dyDescent="0.25">
      <c r="A66361" s="118"/>
      <c r="B66361" s="136"/>
    </row>
    <row r="66362" spans="1:2" x14ac:dyDescent="0.25">
      <c r="A66362" s="118"/>
      <c r="B66362" s="136"/>
    </row>
    <row r="66363" spans="1:2" x14ac:dyDescent="0.25">
      <c r="A66363" s="118"/>
      <c r="B66363" s="136"/>
    </row>
    <row r="66364" spans="1:2" x14ac:dyDescent="0.25">
      <c r="A66364" s="118"/>
      <c r="B66364" s="136"/>
    </row>
    <row r="66365" spans="1:2" x14ac:dyDescent="0.25">
      <c r="A66365" s="118"/>
      <c r="B66365" s="136"/>
    </row>
    <row r="66366" spans="1:2" x14ac:dyDescent="0.25">
      <c r="A66366" s="118"/>
      <c r="B66366" s="136"/>
    </row>
    <row r="66367" spans="1:2" x14ac:dyDescent="0.25">
      <c r="A66367" s="118"/>
      <c r="B66367" s="136"/>
    </row>
    <row r="66368" spans="1:2" x14ac:dyDescent="0.25">
      <c r="A66368" s="118"/>
      <c r="B66368" s="136"/>
    </row>
    <row r="66369" spans="1:2" x14ac:dyDescent="0.25">
      <c r="A66369" s="118"/>
      <c r="B66369" s="136"/>
    </row>
    <row r="66370" spans="1:2" x14ac:dyDescent="0.25">
      <c r="A66370" s="118"/>
      <c r="B66370" s="136"/>
    </row>
    <row r="66371" spans="1:2" x14ac:dyDescent="0.25">
      <c r="A66371" s="118"/>
      <c r="B66371" s="136"/>
    </row>
    <row r="66372" spans="1:2" x14ac:dyDescent="0.25">
      <c r="A66372" s="118"/>
      <c r="B66372" s="136"/>
    </row>
    <row r="66373" spans="1:2" x14ac:dyDescent="0.25">
      <c r="A66373" s="118"/>
      <c r="B66373" s="136"/>
    </row>
    <row r="66374" spans="1:2" x14ac:dyDescent="0.25">
      <c r="A66374" s="118"/>
      <c r="B66374" s="136"/>
    </row>
    <row r="66375" spans="1:2" x14ac:dyDescent="0.25">
      <c r="A66375" s="118"/>
      <c r="B66375" s="136"/>
    </row>
    <row r="66376" spans="1:2" x14ac:dyDescent="0.25">
      <c r="A66376" s="118"/>
      <c r="B66376" s="136"/>
    </row>
    <row r="66377" spans="1:2" x14ac:dyDescent="0.25">
      <c r="A66377" s="118"/>
      <c r="B66377" s="136"/>
    </row>
    <row r="66378" spans="1:2" x14ac:dyDescent="0.25">
      <c r="A66378" s="118"/>
      <c r="B66378" s="136"/>
    </row>
    <row r="66379" spans="1:2" x14ac:dyDescent="0.25">
      <c r="A66379" s="118"/>
      <c r="B66379" s="136"/>
    </row>
    <row r="66380" spans="1:2" x14ac:dyDescent="0.25">
      <c r="A66380" s="118"/>
      <c r="B66380" s="136"/>
    </row>
    <row r="66381" spans="1:2" x14ac:dyDescent="0.25">
      <c r="A66381" s="118"/>
      <c r="B66381" s="136"/>
    </row>
    <row r="66382" spans="1:2" x14ac:dyDescent="0.25">
      <c r="A66382" s="118"/>
      <c r="B66382" s="136"/>
    </row>
    <row r="66383" spans="1:2" x14ac:dyDescent="0.25">
      <c r="A66383" s="118"/>
      <c r="B66383" s="136"/>
    </row>
    <row r="66384" spans="1:2" x14ac:dyDescent="0.25">
      <c r="A66384" s="118"/>
      <c r="B66384" s="136"/>
    </row>
    <row r="66385" spans="1:2" x14ac:dyDescent="0.25">
      <c r="A66385" s="118"/>
      <c r="B66385" s="136"/>
    </row>
    <row r="66386" spans="1:2" x14ac:dyDescent="0.25">
      <c r="A66386" s="118"/>
      <c r="B66386" s="136"/>
    </row>
    <row r="66387" spans="1:2" x14ac:dyDescent="0.25">
      <c r="A66387" s="118"/>
      <c r="B66387" s="136"/>
    </row>
    <row r="66388" spans="1:2" x14ac:dyDescent="0.25">
      <c r="A66388" s="118"/>
      <c r="B66388" s="136"/>
    </row>
    <row r="66389" spans="1:2" x14ac:dyDescent="0.25">
      <c r="A66389" s="118"/>
      <c r="B66389" s="136"/>
    </row>
    <row r="66390" spans="1:2" x14ac:dyDescent="0.25">
      <c r="A66390" s="118"/>
      <c r="B66390" s="136"/>
    </row>
    <row r="66391" spans="1:2" x14ac:dyDescent="0.25">
      <c r="A66391" s="118"/>
      <c r="B66391" s="136"/>
    </row>
    <row r="66392" spans="1:2" x14ac:dyDescent="0.25">
      <c r="A66392" s="118"/>
      <c r="B66392" s="136"/>
    </row>
    <row r="66393" spans="1:2" x14ac:dyDescent="0.25">
      <c r="A66393" s="118"/>
      <c r="B66393" s="136"/>
    </row>
    <row r="66394" spans="1:2" x14ac:dyDescent="0.25">
      <c r="A66394" s="118"/>
      <c r="B66394" s="136"/>
    </row>
    <row r="66395" spans="1:2" x14ac:dyDescent="0.25">
      <c r="A66395" s="118"/>
      <c r="B66395" s="136"/>
    </row>
    <row r="66396" spans="1:2" x14ac:dyDescent="0.25">
      <c r="A66396" s="118"/>
      <c r="B66396" s="136"/>
    </row>
    <row r="66397" spans="1:2" x14ac:dyDescent="0.25">
      <c r="A66397" s="118"/>
      <c r="B66397" s="136"/>
    </row>
    <row r="66398" spans="1:2" x14ac:dyDescent="0.25">
      <c r="A66398" s="118"/>
      <c r="B66398" s="136"/>
    </row>
    <row r="66399" spans="1:2" x14ac:dyDescent="0.25">
      <c r="A66399" s="118"/>
      <c r="B66399" s="136"/>
    </row>
    <row r="66400" spans="1:2" x14ac:dyDescent="0.25">
      <c r="A66400" s="118"/>
      <c r="B66400" s="136"/>
    </row>
    <row r="66401" spans="1:2" x14ac:dyDescent="0.25">
      <c r="A66401" s="118"/>
      <c r="B66401" s="136"/>
    </row>
    <row r="66402" spans="1:2" x14ac:dyDescent="0.25">
      <c r="A66402" s="118"/>
      <c r="B66402" s="136"/>
    </row>
    <row r="66403" spans="1:2" x14ac:dyDescent="0.25">
      <c r="A66403" s="118"/>
      <c r="B66403" s="136"/>
    </row>
    <row r="66404" spans="1:2" x14ac:dyDescent="0.25">
      <c r="A66404" s="118"/>
      <c r="B66404" s="136"/>
    </row>
    <row r="66405" spans="1:2" x14ac:dyDescent="0.25">
      <c r="A66405" s="118"/>
      <c r="B66405" s="136"/>
    </row>
    <row r="66406" spans="1:2" x14ac:dyDescent="0.25">
      <c r="A66406" s="118"/>
      <c r="B66406" s="136"/>
    </row>
    <row r="66407" spans="1:2" x14ac:dyDescent="0.25">
      <c r="A66407" s="118"/>
      <c r="B66407" s="136"/>
    </row>
    <row r="66408" spans="1:2" x14ac:dyDescent="0.25">
      <c r="A66408" s="118"/>
      <c r="B66408" s="136"/>
    </row>
    <row r="66409" spans="1:2" x14ac:dyDescent="0.25">
      <c r="A66409" s="118"/>
      <c r="B66409" s="136"/>
    </row>
    <row r="66410" spans="1:2" x14ac:dyDescent="0.25">
      <c r="A66410" s="118"/>
      <c r="B66410" s="136"/>
    </row>
    <row r="66411" spans="1:2" x14ac:dyDescent="0.25">
      <c r="A66411" s="118"/>
      <c r="B66411" s="136"/>
    </row>
    <row r="66412" spans="1:2" x14ac:dyDescent="0.25">
      <c r="A66412" s="118"/>
      <c r="B66412" s="136"/>
    </row>
    <row r="66413" spans="1:2" x14ac:dyDescent="0.25">
      <c r="A66413" s="118"/>
      <c r="B66413" s="136"/>
    </row>
    <row r="66414" spans="1:2" x14ac:dyDescent="0.25">
      <c r="A66414" s="118"/>
      <c r="B66414" s="136"/>
    </row>
    <row r="66415" spans="1:2" x14ac:dyDescent="0.25">
      <c r="A66415" s="118"/>
      <c r="B66415" s="136"/>
    </row>
    <row r="66416" spans="1:2" x14ac:dyDescent="0.25">
      <c r="A66416" s="118"/>
      <c r="B66416" s="136"/>
    </row>
    <row r="66417" spans="1:2" x14ac:dyDescent="0.25">
      <c r="A66417" s="118"/>
      <c r="B66417" s="136"/>
    </row>
    <row r="66418" spans="1:2" x14ac:dyDescent="0.25">
      <c r="A66418" s="118"/>
      <c r="B66418" s="136"/>
    </row>
    <row r="66419" spans="1:2" x14ac:dyDescent="0.25">
      <c r="A66419" s="118"/>
      <c r="B66419" s="136"/>
    </row>
    <row r="66420" spans="1:2" x14ac:dyDescent="0.25">
      <c r="A66420" s="118"/>
      <c r="B66420" s="136"/>
    </row>
    <row r="66421" spans="1:2" x14ac:dyDescent="0.25">
      <c r="A66421" s="118"/>
      <c r="B66421" s="136"/>
    </row>
    <row r="66422" spans="1:2" x14ac:dyDescent="0.25">
      <c r="A66422" s="118"/>
      <c r="B66422" s="136"/>
    </row>
    <row r="66423" spans="1:2" x14ac:dyDescent="0.25">
      <c r="A66423" s="118"/>
      <c r="B66423" s="136"/>
    </row>
    <row r="66424" spans="1:2" x14ac:dyDescent="0.25">
      <c r="A66424" s="118"/>
      <c r="B66424" s="136"/>
    </row>
    <row r="66425" spans="1:2" x14ac:dyDescent="0.25">
      <c r="A66425" s="118"/>
      <c r="B66425" s="136"/>
    </row>
    <row r="66426" spans="1:2" x14ac:dyDescent="0.25">
      <c r="A66426" s="118"/>
      <c r="B66426" s="136"/>
    </row>
    <row r="66427" spans="1:2" x14ac:dyDescent="0.25">
      <c r="A66427" s="118"/>
      <c r="B66427" s="136"/>
    </row>
    <row r="66428" spans="1:2" x14ac:dyDescent="0.25">
      <c r="A66428" s="118"/>
      <c r="B66428" s="136"/>
    </row>
    <row r="66429" spans="1:2" x14ac:dyDescent="0.25">
      <c r="A66429" s="118"/>
      <c r="B66429" s="136"/>
    </row>
    <row r="66430" spans="1:2" x14ac:dyDescent="0.25">
      <c r="A66430" s="118"/>
      <c r="B66430" s="136"/>
    </row>
    <row r="66431" spans="1:2" x14ac:dyDescent="0.25">
      <c r="A66431" s="118"/>
      <c r="B66431" s="136"/>
    </row>
    <row r="66432" spans="1:2" x14ac:dyDescent="0.25">
      <c r="A66432" s="118"/>
      <c r="B66432" s="136"/>
    </row>
    <row r="66433" spans="1:2" x14ac:dyDescent="0.25">
      <c r="A66433" s="118"/>
      <c r="B66433" s="136"/>
    </row>
    <row r="66434" spans="1:2" x14ac:dyDescent="0.25">
      <c r="A66434" s="118"/>
      <c r="B66434" s="136"/>
    </row>
    <row r="66435" spans="1:2" x14ac:dyDescent="0.25">
      <c r="A66435" s="118"/>
      <c r="B66435" s="136"/>
    </row>
    <row r="66436" spans="1:2" x14ac:dyDescent="0.25">
      <c r="A66436" s="118"/>
      <c r="B66436" s="136"/>
    </row>
    <row r="66437" spans="1:2" x14ac:dyDescent="0.25">
      <c r="A66437" s="118"/>
      <c r="B66437" s="136"/>
    </row>
    <row r="66438" spans="1:2" x14ac:dyDescent="0.25">
      <c r="A66438" s="118"/>
      <c r="B66438" s="136"/>
    </row>
    <row r="66439" spans="1:2" x14ac:dyDescent="0.25">
      <c r="A66439" s="118"/>
      <c r="B66439" s="136"/>
    </row>
    <row r="66440" spans="1:2" x14ac:dyDescent="0.25">
      <c r="A66440" s="118"/>
      <c r="B66440" s="136"/>
    </row>
    <row r="66441" spans="1:2" x14ac:dyDescent="0.25">
      <c r="A66441" s="118"/>
      <c r="B66441" s="136"/>
    </row>
    <row r="66442" spans="1:2" x14ac:dyDescent="0.25">
      <c r="A66442" s="118"/>
      <c r="B66442" s="136"/>
    </row>
    <row r="66443" spans="1:2" x14ac:dyDescent="0.25">
      <c r="A66443" s="118"/>
      <c r="B66443" s="136"/>
    </row>
    <row r="66444" spans="1:2" x14ac:dyDescent="0.25">
      <c r="A66444" s="118"/>
      <c r="B66444" s="136"/>
    </row>
    <row r="66445" spans="1:2" x14ac:dyDescent="0.25">
      <c r="A66445" s="118"/>
      <c r="B66445" s="136"/>
    </row>
    <row r="66446" spans="1:2" x14ac:dyDescent="0.25">
      <c r="A66446" s="118"/>
      <c r="B66446" s="136"/>
    </row>
    <row r="66447" spans="1:2" x14ac:dyDescent="0.25">
      <c r="A66447" s="118"/>
      <c r="B66447" s="136"/>
    </row>
    <row r="66448" spans="1:2" x14ac:dyDescent="0.25">
      <c r="A66448" s="118"/>
      <c r="B66448" s="136"/>
    </row>
    <row r="66449" spans="1:2" x14ac:dyDescent="0.25">
      <c r="A66449" s="118"/>
      <c r="B66449" s="136"/>
    </row>
    <row r="66450" spans="1:2" x14ac:dyDescent="0.25">
      <c r="A66450" s="118"/>
      <c r="B66450" s="136"/>
    </row>
    <row r="66451" spans="1:2" x14ac:dyDescent="0.25">
      <c r="A66451" s="118"/>
      <c r="B66451" s="136"/>
    </row>
    <row r="66452" spans="1:2" x14ac:dyDescent="0.25">
      <c r="A66452" s="118"/>
      <c r="B66452" s="136"/>
    </row>
    <row r="66453" spans="1:2" x14ac:dyDescent="0.25">
      <c r="A66453" s="118"/>
      <c r="B66453" s="136"/>
    </row>
    <row r="66454" spans="1:2" x14ac:dyDescent="0.25">
      <c r="A66454" s="118"/>
      <c r="B66454" s="136"/>
    </row>
    <row r="66455" spans="1:2" x14ac:dyDescent="0.25">
      <c r="A66455" s="118"/>
      <c r="B66455" s="136"/>
    </row>
    <row r="66456" spans="1:2" x14ac:dyDescent="0.25">
      <c r="A66456" s="118"/>
      <c r="B66456" s="136"/>
    </row>
    <row r="66457" spans="1:2" x14ac:dyDescent="0.25">
      <c r="A66457" s="118"/>
      <c r="B66457" s="136"/>
    </row>
    <row r="66458" spans="1:2" x14ac:dyDescent="0.25">
      <c r="A66458" s="118"/>
      <c r="B66458" s="136"/>
    </row>
    <row r="66459" spans="1:2" x14ac:dyDescent="0.25">
      <c r="A66459" s="118"/>
      <c r="B66459" s="136"/>
    </row>
    <row r="66460" spans="1:2" x14ac:dyDescent="0.25">
      <c r="A66460" s="118"/>
      <c r="B66460" s="136"/>
    </row>
    <row r="66461" spans="1:2" x14ac:dyDescent="0.25">
      <c r="A66461" s="118"/>
      <c r="B66461" s="136"/>
    </row>
    <row r="66462" spans="1:2" x14ac:dyDescent="0.25">
      <c r="A66462" s="118"/>
      <c r="B66462" s="136"/>
    </row>
    <row r="66463" spans="1:2" x14ac:dyDescent="0.25">
      <c r="A66463" s="118"/>
      <c r="B66463" s="136"/>
    </row>
    <row r="66464" spans="1:2" x14ac:dyDescent="0.25">
      <c r="A66464" s="118"/>
      <c r="B66464" s="136"/>
    </row>
    <row r="66465" spans="1:2" x14ac:dyDescent="0.25">
      <c r="A66465" s="118"/>
      <c r="B66465" s="136"/>
    </row>
    <row r="66466" spans="1:2" x14ac:dyDescent="0.25">
      <c r="A66466" s="118"/>
      <c r="B66466" s="136"/>
    </row>
    <row r="66467" spans="1:2" x14ac:dyDescent="0.25">
      <c r="A66467" s="118"/>
      <c r="B66467" s="136"/>
    </row>
    <row r="66468" spans="1:2" x14ac:dyDescent="0.25">
      <c r="A66468" s="118"/>
      <c r="B66468" s="136"/>
    </row>
    <row r="66469" spans="1:2" x14ac:dyDescent="0.25">
      <c r="A66469" s="118"/>
      <c r="B66469" s="136"/>
    </row>
    <row r="66470" spans="1:2" x14ac:dyDescent="0.25">
      <c r="A66470" s="118"/>
      <c r="B66470" s="136"/>
    </row>
    <row r="66471" spans="1:2" x14ac:dyDescent="0.25">
      <c r="A66471" s="118"/>
      <c r="B66471" s="136"/>
    </row>
    <row r="66472" spans="1:2" x14ac:dyDescent="0.25">
      <c r="A66472" s="118"/>
      <c r="B66472" s="136"/>
    </row>
    <row r="66473" spans="1:2" x14ac:dyDescent="0.25">
      <c r="A66473" s="118"/>
      <c r="B66473" s="136"/>
    </row>
    <row r="66474" spans="1:2" x14ac:dyDescent="0.25">
      <c r="A66474" s="118"/>
      <c r="B66474" s="136"/>
    </row>
    <row r="66475" spans="1:2" x14ac:dyDescent="0.25">
      <c r="A66475" s="118"/>
      <c r="B66475" s="136"/>
    </row>
    <row r="66476" spans="1:2" x14ac:dyDescent="0.25">
      <c r="A66476" s="118"/>
      <c r="B66476" s="136"/>
    </row>
    <row r="66477" spans="1:2" x14ac:dyDescent="0.25">
      <c r="A66477" s="118"/>
      <c r="B66477" s="136"/>
    </row>
    <row r="66478" spans="1:2" x14ac:dyDescent="0.25">
      <c r="A66478" s="118"/>
      <c r="B66478" s="136"/>
    </row>
    <row r="66479" spans="1:2" x14ac:dyDescent="0.25">
      <c r="A66479" s="118"/>
      <c r="B66479" s="136"/>
    </row>
    <row r="66480" spans="1:2" x14ac:dyDescent="0.25">
      <c r="A66480" s="118"/>
      <c r="B66480" s="136"/>
    </row>
    <row r="66481" spans="1:2" x14ac:dyDescent="0.25">
      <c r="A66481" s="118"/>
      <c r="B66481" s="136"/>
    </row>
    <row r="66482" spans="1:2" x14ac:dyDescent="0.25">
      <c r="A66482" s="118"/>
      <c r="B66482" s="136"/>
    </row>
    <row r="66483" spans="1:2" x14ac:dyDescent="0.25">
      <c r="A66483" s="118"/>
      <c r="B66483" s="136"/>
    </row>
    <row r="66484" spans="1:2" x14ac:dyDescent="0.25">
      <c r="A66484" s="118"/>
      <c r="B66484" s="136"/>
    </row>
    <row r="66485" spans="1:2" x14ac:dyDescent="0.25">
      <c r="A66485" s="118"/>
      <c r="B66485" s="136"/>
    </row>
    <row r="66486" spans="1:2" x14ac:dyDescent="0.25">
      <c r="A66486" s="118"/>
      <c r="B66486" s="136"/>
    </row>
    <row r="66487" spans="1:2" x14ac:dyDescent="0.25">
      <c r="A66487" s="118"/>
      <c r="B66487" s="136"/>
    </row>
    <row r="66488" spans="1:2" x14ac:dyDescent="0.25">
      <c r="A66488" s="118"/>
      <c r="B66488" s="136"/>
    </row>
    <row r="66489" spans="1:2" x14ac:dyDescent="0.25">
      <c r="A66489" s="118"/>
      <c r="B66489" s="136"/>
    </row>
    <row r="66490" spans="1:2" x14ac:dyDescent="0.25">
      <c r="A66490" s="118"/>
      <c r="B66490" s="136"/>
    </row>
    <row r="66491" spans="1:2" x14ac:dyDescent="0.25">
      <c r="A66491" s="118"/>
      <c r="B66491" s="136"/>
    </row>
    <row r="66492" spans="1:2" x14ac:dyDescent="0.25">
      <c r="A66492" s="118"/>
      <c r="B66492" s="136"/>
    </row>
    <row r="66493" spans="1:2" x14ac:dyDescent="0.25">
      <c r="A66493" s="118"/>
      <c r="B66493" s="136"/>
    </row>
    <row r="66494" spans="1:2" x14ac:dyDescent="0.25">
      <c r="A66494" s="118"/>
      <c r="B66494" s="136"/>
    </row>
    <row r="66495" spans="1:2" x14ac:dyDescent="0.25">
      <c r="A66495" s="118"/>
      <c r="B66495" s="136"/>
    </row>
    <row r="66496" spans="1:2" x14ac:dyDescent="0.25">
      <c r="A66496" s="118"/>
      <c r="B66496" s="136"/>
    </row>
    <row r="66497" spans="1:2" x14ac:dyDescent="0.25">
      <c r="A66497" s="118"/>
      <c r="B66497" s="136"/>
    </row>
    <row r="66498" spans="1:2" x14ac:dyDescent="0.25">
      <c r="A66498" s="118"/>
      <c r="B66498" s="136"/>
    </row>
    <row r="66499" spans="1:2" x14ac:dyDescent="0.25">
      <c r="A66499" s="118"/>
      <c r="B66499" s="136"/>
    </row>
    <row r="66500" spans="1:2" x14ac:dyDescent="0.25">
      <c r="A66500" s="118"/>
      <c r="B66500" s="136"/>
    </row>
    <row r="66501" spans="1:2" x14ac:dyDescent="0.25">
      <c r="A66501" s="118"/>
      <c r="B66501" s="136"/>
    </row>
    <row r="66502" spans="1:2" x14ac:dyDescent="0.25">
      <c r="A66502" s="118"/>
      <c r="B66502" s="136"/>
    </row>
    <row r="66503" spans="1:2" x14ac:dyDescent="0.25">
      <c r="A66503" s="118"/>
      <c r="B66503" s="136"/>
    </row>
    <row r="66504" spans="1:2" x14ac:dyDescent="0.25">
      <c r="A66504" s="118"/>
      <c r="B66504" s="136"/>
    </row>
    <row r="66505" spans="1:2" x14ac:dyDescent="0.25">
      <c r="A66505" s="118"/>
      <c r="B66505" s="136"/>
    </row>
    <row r="66506" spans="1:2" x14ac:dyDescent="0.25">
      <c r="A66506" s="118"/>
      <c r="B66506" s="136"/>
    </row>
    <row r="66507" spans="1:2" x14ac:dyDescent="0.25">
      <c r="A66507" s="118"/>
      <c r="B66507" s="136"/>
    </row>
    <row r="66508" spans="1:2" x14ac:dyDescent="0.25">
      <c r="A66508" s="118"/>
      <c r="B66508" s="136"/>
    </row>
    <row r="66509" spans="1:2" x14ac:dyDescent="0.25">
      <c r="A66509" s="118"/>
      <c r="B66509" s="136"/>
    </row>
    <row r="66510" spans="1:2" x14ac:dyDescent="0.25">
      <c r="A66510" s="118"/>
      <c r="B66510" s="136"/>
    </row>
    <row r="66511" spans="1:2" x14ac:dyDescent="0.25">
      <c r="A66511" s="118"/>
      <c r="B66511" s="136"/>
    </row>
    <row r="66512" spans="1:2" x14ac:dyDescent="0.25">
      <c r="A66512" s="118"/>
      <c r="B66512" s="136"/>
    </row>
    <row r="66513" spans="1:2" x14ac:dyDescent="0.25">
      <c r="A66513" s="118"/>
      <c r="B66513" s="136"/>
    </row>
    <row r="66514" spans="1:2" x14ac:dyDescent="0.25">
      <c r="A66514" s="118"/>
      <c r="B66514" s="136"/>
    </row>
    <row r="66515" spans="1:2" x14ac:dyDescent="0.25">
      <c r="A66515" s="118"/>
      <c r="B66515" s="136"/>
    </row>
    <row r="66516" spans="1:2" x14ac:dyDescent="0.25">
      <c r="A66516" s="118"/>
      <c r="B66516" s="136"/>
    </row>
    <row r="66517" spans="1:2" x14ac:dyDescent="0.25">
      <c r="A66517" s="118"/>
      <c r="B66517" s="136"/>
    </row>
    <row r="66518" spans="1:2" x14ac:dyDescent="0.25">
      <c r="A66518" s="118"/>
      <c r="B66518" s="136"/>
    </row>
    <row r="66519" spans="1:2" x14ac:dyDescent="0.25">
      <c r="A66519" s="118"/>
      <c r="B66519" s="136"/>
    </row>
    <row r="66520" spans="1:2" x14ac:dyDescent="0.25">
      <c r="A66520" s="118"/>
      <c r="B66520" s="136"/>
    </row>
    <row r="66521" spans="1:2" x14ac:dyDescent="0.25">
      <c r="A66521" s="118"/>
      <c r="B66521" s="136"/>
    </row>
    <row r="66522" spans="1:2" x14ac:dyDescent="0.25">
      <c r="A66522" s="118"/>
      <c r="B66522" s="136"/>
    </row>
    <row r="66523" spans="1:2" x14ac:dyDescent="0.25">
      <c r="A66523" s="118"/>
      <c r="B66523" s="136"/>
    </row>
    <row r="66524" spans="1:2" x14ac:dyDescent="0.25">
      <c r="A66524" s="118"/>
      <c r="B66524" s="136"/>
    </row>
    <row r="66525" spans="1:2" x14ac:dyDescent="0.25">
      <c r="A66525" s="118"/>
      <c r="B66525" s="136"/>
    </row>
    <row r="66526" spans="1:2" x14ac:dyDescent="0.25">
      <c r="A66526" s="118"/>
      <c r="B66526" s="136"/>
    </row>
    <row r="66527" spans="1:2" x14ac:dyDescent="0.25">
      <c r="A66527" s="118"/>
      <c r="B66527" s="136"/>
    </row>
    <row r="66528" spans="1:2" x14ac:dyDescent="0.25">
      <c r="A66528" s="118"/>
      <c r="B66528" s="136"/>
    </row>
    <row r="66529" spans="1:2" x14ac:dyDescent="0.25">
      <c r="A66529" s="118"/>
      <c r="B66529" s="136"/>
    </row>
    <row r="66530" spans="1:2" x14ac:dyDescent="0.25">
      <c r="A66530" s="118"/>
      <c r="B66530" s="136"/>
    </row>
    <row r="66531" spans="1:2" x14ac:dyDescent="0.25">
      <c r="A66531" s="118"/>
      <c r="B66531" s="136"/>
    </row>
    <row r="66532" spans="1:2" x14ac:dyDescent="0.25">
      <c r="A66532" s="118"/>
      <c r="B66532" s="136"/>
    </row>
    <row r="66533" spans="1:2" x14ac:dyDescent="0.25">
      <c r="A66533" s="118"/>
      <c r="B66533" s="136"/>
    </row>
    <row r="66534" spans="1:2" x14ac:dyDescent="0.25">
      <c r="A66534" s="118"/>
      <c r="B66534" s="136"/>
    </row>
    <row r="66535" spans="1:2" x14ac:dyDescent="0.25">
      <c r="A66535" s="118"/>
      <c r="B66535" s="136"/>
    </row>
    <row r="66536" spans="1:2" x14ac:dyDescent="0.25">
      <c r="A66536" s="118"/>
      <c r="B66536" s="136"/>
    </row>
    <row r="66537" spans="1:2" x14ac:dyDescent="0.25">
      <c r="A66537" s="118"/>
      <c r="B66537" s="136"/>
    </row>
    <row r="66538" spans="1:2" x14ac:dyDescent="0.25">
      <c r="A66538" s="118"/>
      <c r="B66538" s="136"/>
    </row>
    <row r="66539" spans="1:2" x14ac:dyDescent="0.25">
      <c r="A66539" s="118"/>
      <c r="B66539" s="136"/>
    </row>
    <row r="66540" spans="1:2" x14ac:dyDescent="0.25">
      <c r="A66540" s="118"/>
      <c r="B66540" s="136"/>
    </row>
    <row r="66541" spans="1:2" x14ac:dyDescent="0.25">
      <c r="A66541" s="118"/>
      <c r="B66541" s="136"/>
    </row>
    <row r="66542" spans="1:2" x14ac:dyDescent="0.25">
      <c r="A66542" s="118"/>
      <c r="B66542" s="136"/>
    </row>
    <row r="66543" spans="1:2" x14ac:dyDescent="0.25">
      <c r="A66543" s="118"/>
      <c r="B66543" s="136"/>
    </row>
    <row r="66544" spans="1:2" x14ac:dyDescent="0.25">
      <c r="A66544" s="118"/>
      <c r="B66544" s="136"/>
    </row>
    <row r="66545" spans="1:2" x14ac:dyDescent="0.25">
      <c r="A66545" s="118"/>
      <c r="B66545" s="136"/>
    </row>
    <row r="66546" spans="1:2" x14ac:dyDescent="0.25">
      <c r="A66546" s="118"/>
      <c r="B66546" s="136"/>
    </row>
    <row r="66547" spans="1:2" x14ac:dyDescent="0.25">
      <c r="A66547" s="118"/>
      <c r="B66547" s="136"/>
    </row>
    <row r="66548" spans="1:2" x14ac:dyDescent="0.25">
      <c r="A66548" s="118"/>
      <c r="B66548" s="136"/>
    </row>
    <row r="66549" spans="1:2" x14ac:dyDescent="0.25">
      <c r="A66549" s="118"/>
      <c r="B66549" s="136"/>
    </row>
    <row r="66550" spans="1:2" x14ac:dyDescent="0.25">
      <c r="A66550" s="118"/>
      <c r="B66550" s="136"/>
    </row>
    <row r="66551" spans="1:2" x14ac:dyDescent="0.25">
      <c r="A66551" s="118"/>
      <c r="B66551" s="136"/>
    </row>
    <row r="66552" spans="1:2" x14ac:dyDescent="0.25">
      <c r="A66552" s="118"/>
      <c r="B66552" s="136"/>
    </row>
    <row r="66553" spans="1:2" x14ac:dyDescent="0.25">
      <c r="A66553" s="118"/>
      <c r="B66553" s="136"/>
    </row>
    <row r="66554" spans="1:2" x14ac:dyDescent="0.25">
      <c r="A66554" s="118"/>
      <c r="B66554" s="136"/>
    </row>
    <row r="66555" spans="1:2" x14ac:dyDescent="0.25">
      <c r="A66555" s="118"/>
      <c r="B66555" s="136"/>
    </row>
    <row r="66556" spans="1:2" x14ac:dyDescent="0.25">
      <c r="A66556" s="118"/>
      <c r="B66556" s="136"/>
    </row>
    <row r="66557" spans="1:2" x14ac:dyDescent="0.25">
      <c r="A66557" s="118"/>
      <c r="B66557" s="136"/>
    </row>
    <row r="66558" spans="1:2" x14ac:dyDescent="0.25">
      <c r="A66558" s="118"/>
      <c r="B66558" s="136"/>
    </row>
    <row r="66559" spans="1:2" x14ac:dyDescent="0.25">
      <c r="A66559" s="118"/>
      <c r="B66559" s="136"/>
    </row>
    <row r="66560" spans="1:2" x14ac:dyDescent="0.25">
      <c r="A66560" s="118"/>
      <c r="B66560" s="136"/>
    </row>
    <row r="66561" spans="1:2" x14ac:dyDescent="0.25">
      <c r="A66561" s="118"/>
      <c r="B66561" s="136"/>
    </row>
    <row r="66562" spans="1:2" x14ac:dyDescent="0.25">
      <c r="A66562" s="118"/>
      <c r="B66562" s="136"/>
    </row>
    <row r="66563" spans="1:2" x14ac:dyDescent="0.25">
      <c r="A66563" s="118"/>
      <c r="B66563" s="136"/>
    </row>
    <row r="66564" spans="1:2" x14ac:dyDescent="0.25">
      <c r="A66564" s="118"/>
      <c r="B66564" s="136"/>
    </row>
    <row r="66565" spans="1:2" x14ac:dyDescent="0.25">
      <c r="A66565" s="118"/>
      <c r="B66565" s="136"/>
    </row>
    <row r="66566" spans="1:2" x14ac:dyDescent="0.25">
      <c r="A66566" s="118"/>
      <c r="B66566" s="136"/>
    </row>
    <row r="66567" spans="1:2" x14ac:dyDescent="0.25">
      <c r="A66567" s="118"/>
      <c r="B66567" s="136"/>
    </row>
    <row r="66568" spans="1:2" x14ac:dyDescent="0.25">
      <c r="A66568" s="118"/>
      <c r="B66568" s="136"/>
    </row>
    <row r="66569" spans="1:2" x14ac:dyDescent="0.25">
      <c r="A66569" s="118"/>
      <c r="B66569" s="136"/>
    </row>
    <row r="66570" spans="1:2" x14ac:dyDescent="0.25">
      <c r="A66570" s="118"/>
      <c r="B66570" s="136"/>
    </row>
    <row r="66571" spans="1:2" x14ac:dyDescent="0.25">
      <c r="A66571" s="118"/>
      <c r="B66571" s="136"/>
    </row>
    <row r="66572" spans="1:2" x14ac:dyDescent="0.25">
      <c r="A66572" s="118"/>
      <c r="B66572" s="136"/>
    </row>
    <row r="66573" spans="1:2" x14ac:dyDescent="0.25">
      <c r="A66573" s="118"/>
      <c r="B66573" s="136"/>
    </row>
    <row r="66574" spans="1:2" x14ac:dyDescent="0.25">
      <c r="A66574" s="118"/>
      <c r="B66574" s="136"/>
    </row>
    <row r="66575" spans="1:2" x14ac:dyDescent="0.25">
      <c r="A66575" s="118"/>
      <c r="B66575" s="136"/>
    </row>
    <row r="66576" spans="1:2" x14ac:dyDescent="0.25">
      <c r="A66576" s="118"/>
      <c r="B66576" s="136"/>
    </row>
    <row r="66577" spans="1:2" x14ac:dyDescent="0.25">
      <c r="A66577" s="118"/>
      <c r="B66577" s="136"/>
    </row>
    <row r="66578" spans="1:2" x14ac:dyDescent="0.25">
      <c r="A66578" s="118"/>
      <c r="B66578" s="136"/>
    </row>
    <row r="66579" spans="1:2" x14ac:dyDescent="0.25">
      <c r="A66579" s="118"/>
      <c r="B66579" s="136"/>
    </row>
    <row r="66580" spans="1:2" x14ac:dyDescent="0.25">
      <c r="A66580" s="118"/>
      <c r="B66580" s="136"/>
    </row>
    <row r="66581" spans="1:2" x14ac:dyDescent="0.25">
      <c r="A66581" s="118"/>
      <c r="B66581" s="136"/>
    </row>
    <row r="66582" spans="1:2" x14ac:dyDescent="0.25">
      <c r="A66582" s="118"/>
      <c r="B66582" s="136"/>
    </row>
    <row r="66583" spans="1:2" x14ac:dyDescent="0.25">
      <c r="A66583" s="118"/>
      <c r="B66583" s="136"/>
    </row>
    <row r="66584" spans="1:2" x14ac:dyDescent="0.25">
      <c r="A66584" s="118"/>
      <c r="B66584" s="136"/>
    </row>
    <row r="66585" spans="1:2" x14ac:dyDescent="0.25">
      <c r="A66585" s="118"/>
      <c r="B66585" s="136"/>
    </row>
    <row r="66586" spans="1:2" x14ac:dyDescent="0.25">
      <c r="A66586" s="118"/>
      <c r="B66586" s="136"/>
    </row>
    <row r="66587" spans="1:2" x14ac:dyDescent="0.25">
      <c r="A66587" s="118"/>
      <c r="B66587" s="136"/>
    </row>
    <row r="66588" spans="1:2" x14ac:dyDescent="0.25">
      <c r="A66588" s="118"/>
      <c r="B66588" s="136"/>
    </row>
    <row r="66589" spans="1:2" x14ac:dyDescent="0.25">
      <c r="A66589" s="118"/>
      <c r="B66589" s="136"/>
    </row>
    <row r="66590" spans="1:2" x14ac:dyDescent="0.25">
      <c r="A66590" s="118"/>
      <c r="B66590" s="136"/>
    </row>
    <row r="66591" spans="1:2" x14ac:dyDescent="0.25">
      <c r="A66591" s="118"/>
      <c r="B66591" s="136"/>
    </row>
    <row r="66592" spans="1:2" x14ac:dyDescent="0.25">
      <c r="A66592" s="118"/>
      <c r="B66592" s="136"/>
    </row>
    <row r="66593" spans="1:2" x14ac:dyDescent="0.25">
      <c r="A66593" s="118"/>
      <c r="B66593" s="136"/>
    </row>
    <row r="66594" spans="1:2" x14ac:dyDescent="0.25">
      <c r="A66594" s="118"/>
      <c r="B66594" s="136"/>
    </row>
    <row r="66595" spans="1:2" x14ac:dyDescent="0.25">
      <c r="A66595" s="118"/>
      <c r="B66595" s="136"/>
    </row>
    <row r="66596" spans="1:2" x14ac:dyDescent="0.25">
      <c r="A66596" s="118"/>
      <c r="B66596" s="136"/>
    </row>
    <row r="66597" spans="1:2" x14ac:dyDescent="0.25">
      <c r="A66597" s="118"/>
      <c r="B66597" s="136"/>
    </row>
    <row r="66598" spans="1:2" x14ac:dyDescent="0.25">
      <c r="A66598" s="118"/>
      <c r="B66598" s="136"/>
    </row>
    <row r="66599" spans="1:2" x14ac:dyDescent="0.25">
      <c r="A66599" s="118"/>
      <c r="B66599" s="136"/>
    </row>
    <row r="66600" spans="1:2" x14ac:dyDescent="0.25">
      <c r="A66600" s="118"/>
      <c r="B66600" s="136"/>
    </row>
    <row r="66601" spans="1:2" x14ac:dyDescent="0.25">
      <c r="A66601" s="118"/>
      <c r="B66601" s="136"/>
    </row>
    <row r="66602" spans="1:2" x14ac:dyDescent="0.25">
      <c r="A66602" s="118"/>
      <c r="B66602" s="136"/>
    </row>
    <row r="66603" spans="1:2" x14ac:dyDescent="0.25">
      <c r="A66603" s="118"/>
      <c r="B66603" s="136"/>
    </row>
    <row r="66604" spans="1:2" x14ac:dyDescent="0.25">
      <c r="A66604" s="118"/>
      <c r="B66604" s="136"/>
    </row>
    <row r="66605" spans="1:2" x14ac:dyDescent="0.25">
      <c r="A66605" s="118"/>
      <c r="B66605" s="136"/>
    </row>
    <row r="66606" spans="1:2" x14ac:dyDescent="0.25">
      <c r="A66606" s="118"/>
      <c r="B66606" s="136"/>
    </row>
    <row r="66607" spans="1:2" x14ac:dyDescent="0.25">
      <c r="A66607" s="118"/>
      <c r="B66607" s="136"/>
    </row>
    <row r="66608" spans="1:2" x14ac:dyDescent="0.25">
      <c r="A66608" s="118"/>
      <c r="B66608" s="136"/>
    </row>
    <row r="66609" spans="1:2" x14ac:dyDescent="0.25">
      <c r="A66609" s="118"/>
      <c r="B66609" s="136"/>
    </row>
    <row r="66610" spans="1:2" x14ac:dyDescent="0.25">
      <c r="A66610" s="118"/>
      <c r="B66610" s="136"/>
    </row>
    <row r="66611" spans="1:2" x14ac:dyDescent="0.25">
      <c r="A66611" s="118"/>
      <c r="B66611" s="136"/>
    </row>
    <row r="66612" spans="1:2" x14ac:dyDescent="0.25">
      <c r="A66612" s="118"/>
      <c r="B66612" s="136"/>
    </row>
    <row r="66613" spans="1:2" x14ac:dyDescent="0.25">
      <c r="A66613" s="118"/>
      <c r="B66613" s="136"/>
    </row>
    <row r="66614" spans="1:2" x14ac:dyDescent="0.25">
      <c r="A66614" s="118"/>
      <c r="B66614" s="136"/>
    </row>
    <row r="66615" spans="1:2" x14ac:dyDescent="0.25">
      <c r="A66615" s="118"/>
      <c r="B66615" s="136"/>
    </row>
    <row r="66616" spans="1:2" x14ac:dyDescent="0.25">
      <c r="A66616" s="118"/>
      <c r="B66616" s="136"/>
    </row>
    <row r="66617" spans="1:2" x14ac:dyDescent="0.25">
      <c r="A66617" s="118"/>
      <c r="B66617" s="136"/>
    </row>
    <row r="66618" spans="1:2" x14ac:dyDescent="0.25">
      <c r="A66618" s="118"/>
      <c r="B66618" s="136"/>
    </row>
    <row r="66619" spans="1:2" x14ac:dyDescent="0.25">
      <c r="A66619" s="118"/>
      <c r="B66619" s="136"/>
    </row>
    <row r="66620" spans="1:2" x14ac:dyDescent="0.25">
      <c r="A66620" s="118"/>
      <c r="B66620" s="136"/>
    </row>
    <row r="66621" spans="1:2" x14ac:dyDescent="0.25">
      <c r="A66621" s="118"/>
      <c r="B66621" s="136"/>
    </row>
    <row r="66622" spans="1:2" x14ac:dyDescent="0.25">
      <c r="A66622" s="118"/>
      <c r="B66622" s="136"/>
    </row>
    <row r="66623" spans="1:2" x14ac:dyDescent="0.25">
      <c r="A66623" s="118"/>
      <c r="B66623" s="136"/>
    </row>
    <row r="66624" spans="1:2" x14ac:dyDescent="0.25">
      <c r="A66624" s="118"/>
      <c r="B66624" s="136"/>
    </row>
    <row r="66625" spans="1:2" x14ac:dyDescent="0.25">
      <c r="A66625" s="118"/>
      <c r="B66625" s="136"/>
    </row>
    <row r="66626" spans="1:2" x14ac:dyDescent="0.25">
      <c r="A66626" s="118"/>
      <c r="B66626" s="136"/>
    </row>
    <row r="66627" spans="1:2" x14ac:dyDescent="0.25">
      <c r="A66627" s="118"/>
      <c r="B66627" s="136"/>
    </row>
    <row r="66628" spans="1:2" x14ac:dyDescent="0.25">
      <c r="A66628" s="118"/>
      <c r="B66628" s="136"/>
    </row>
    <row r="66629" spans="1:2" x14ac:dyDescent="0.25">
      <c r="A66629" s="118"/>
      <c r="B66629" s="136"/>
    </row>
    <row r="66630" spans="1:2" x14ac:dyDescent="0.25">
      <c r="A66630" s="118"/>
      <c r="B66630" s="136"/>
    </row>
    <row r="66631" spans="1:2" x14ac:dyDescent="0.25">
      <c r="A66631" s="118"/>
      <c r="B66631" s="136"/>
    </row>
    <row r="66632" spans="1:2" x14ac:dyDescent="0.25">
      <c r="A66632" s="118"/>
      <c r="B66632" s="136"/>
    </row>
    <row r="66633" spans="1:2" x14ac:dyDescent="0.25">
      <c r="A66633" s="118"/>
      <c r="B66633" s="136"/>
    </row>
    <row r="66634" spans="1:2" x14ac:dyDescent="0.25">
      <c r="A66634" s="118"/>
      <c r="B66634" s="136"/>
    </row>
    <row r="66635" spans="1:2" x14ac:dyDescent="0.25">
      <c r="A66635" s="118"/>
      <c r="B66635" s="136"/>
    </row>
    <row r="66636" spans="1:2" x14ac:dyDescent="0.25">
      <c r="A66636" s="118"/>
      <c r="B66636" s="136"/>
    </row>
    <row r="66637" spans="1:2" x14ac:dyDescent="0.25">
      <c r="A66637" s="118"/>
      <c r="B66637" s="136"/>
    </row>
    <row r="66638" spans="1:2" x14ac:dyDescent="0.25">
      <c r="A66638" s="118"/>
      <c r="B66638" s="136"/>
    </row>
    <row r="66639" spans="1:2" x14ac:dyDescent="0.25">
      <c r="A66639" s="118"/>
      <c r="B66639" s="136"/>
    </row>
    <row r="66640" spans="1:2" x14ac:dyDescent="0.25">
      <c r="A66640" s="118"/>
      <c r="B66640" s="136"/>
    </row>
    <row r="66641" spans="1:2" x14ac:dyDescent="0.25">
      <c r="A66641" s="118"/>
      <c r="B66641" s="136"/>
    </row>
    <row r="66642" spans="1:2" x14ac:dyDescent="0.25">
      <c r="A66642" s="118"/>
      <c r="B66642" s="136"/>
    </row>
    <row r="66643" spans="1:2" x14ac:dyDescent="0.25">
      <c r="A66643" s="118"/>
      <c r="B66643" s="136"/>
    </row>
    <row r="66644" spans="1:2" x14ac:dyDescent="0.25">
      <c r="A66644" s="118"/>
      <c r="B66644" s="136"/>
    </row>
    <row r="66645" spans="1:2" x14ac:dyDescent="0.25">
      <c r="A66645" s="118"/>
      <c r="B66645" s="136"/>
    </row>
    <row r="66646" spans="1:2" x14ac:dyDescent="0.25">
      <c r="A66646" s="118"/>
      <c r="B66646" s="136"/>
    </row>
    <row r="66647" spans="1:2" x14ac:dyDescent="0.25">
      <c r="A66647" s="118"/>
      <c r="B66647" s="136"/>
    </row>
    <row r="66648" spans="1:2" x14ac:dyDescent="0.25">
      <c r="A66648" s="118"/>
      <c r="B66648" s="136"/>
    </row>
    <row r="66649" spans="1:2" x14ac:dyDescent="0.25">
      <c r="A66649" s="118"/>
      <c r="B66649" s="136"/>
    </row>
    <row r="66650" spans="1:2" x14ac:dyDescent="0.25">
      <c r="A66650" s="118"/>
      <c r="B66650" s="136"/>
    </row>
    <row r="66651" spans="1:2" x14ac:dyDescent="0.25">
      <c r="A66651" s="118"/>
      <c r="B66651" s="136"/>
    </row>
    <row r="66652" spans="1:2" x14ac:dyDescent="0.25">
      <c r="A66652" s="118"/>
      <c r="B66652" s="136"/>
    </row>
    <row r="66653" spans="1:2" x14ac:dyDescent="0.25">
      <c r="A66653" s="118"/>
      <c r="B66653" s="136"/>
    </row>
    <row r="66654" spans="1:2" x14ac:dyDescent="0.25">
      <c r="A66654" s="118"/>
      <c r="B66654" s="136"/>
    </row>
    <row r="66655" spans="1:2" x14ac:dyDescent="0.25">
      <c r="A66655" s="118"/>
      <c r="B66655" s="136"/>
    </row>
    <row r="66656" spans="1:2" x14ac:dyDescent="0.25">
      <c r="A66656" s="118"/>
      <c r="B66656" s="136"/>
    </row>
    <row r="66657" spans="1:2" x14ac:dyDescent="0.25">
      <c r="A66657" s="118"/>
      <c r="B66657" s="136"/>
    </row>
    <row r="66658" spans="1:2" x14ac:dyDescent="0.25">
      <c r="A66658" s="118"/>
      <c r="B66658" s="136"/>
    </row>
    <row r="66659" spans="1:2" x14ac:dyDescent="0.25">
      <c r="A66659" s="118"/>
      <c r="B66659" s="136"/>
    </row>
    <row r="66660" spans="1:2" x14ac:dyDescent="0.25">
      <c r="A66660" s="118"/>
      <c r="B66660" s="136"/>
    </row>
    <row r="66661" spans="1:2" x14ac:dyDescent="0.25">
      <c r="A66661" s="118"/>
      <c r="B66661" s="136"/>
    </row>
    <row r="66662" spans="1:2" x14ac:dyDescent="0.25">
      <c r="A66662" s="118"/>
      <c r="B66662" s="136"/>
    </row>
    <row r="66663" spans="1:2" x14ac:dyDescent="0.25">
      <c r="A66663" s="118"/>
      <c r="B66663" s="136"/>
    </row>
    <row r="66664" spans="1:2" x14ac:dyDescent="0.25">
      <c r="A66664" s="118"/>
      <c r="B66664" s="136"/>
    </row>
    <row r="66665" spans="1:2" x14ac:dyDescent="0.25">
      <c r="A66665" s="118"/>
      <c r="B66665" s="136"/>
    </row>
    <row r="66666" spans="1:2" x14ac:dyDescent="0.25">
      <c r="A66666" s="118"/>
      <c r="B66666" s="136"/>
    </row>
    <row r="66667" spans="1:2" x14ac:dyDescent="0.25">
      <c r="A66667" s="118"/>
      <c r="B66667" s="136"/>
    </row>
    <row r="66668" spans="1:2" x14ac:dyDescent="0.25">
      <c r="A66668" s="118"/>
      <c r="B66668" s="136"/>
    </row>
    <row r="66669" spans="1:2" x14ac:dyDescent="0.25">
      <c r="A66669" s="118"/>
      <c r="B66669" s="136"/>
    </row>
    <row r="66670" spans="1:2" x14ac:dyDescent="0.25">
      <c r="A66670" s="118"/>
      <c r="B66670" s="136"/>
    </row>
    <row r="66671" spans="1:2" x14ac:dyDescent="0.25">
      <c r="A66671" s="118"/>
      <c r="B66671" s="136"/>
    </row>
    <row r="66672" spans="1:2" x14ac:dyDescent="0.25">
      <c r="A66672" s="118"/>
      <c r="B66672" s="136"/>
    </row>
    <row r="66673" spans="1:2" x14ac:dyDescent="0.25">
      <c r="A66673" s="118"/>
      <c r="B66673" s="136"/>
    </row>
    <row r="66674" spans="1:2" x14ac:dyDescent="0.25">
      <c r="A66674" s="118"/>
      <c r="B66674" s="136"/>
    </row>
    <row r="66675" spans="1:2" x14ac:dyDescent="0.25">
      <c r="A66675" s="118"/>
      <c r="B66675" s="136"/>
    </row>
    <row r="66676" spans="1:2" x14ac:dyDescent="0.25">
      <c r="A66676" s="118"/>
      <c r="B66676" s="136"/>
    </row>
    <row r="66677" spans="1:2" x14ac:dyDescent="0.25">
      <c r="A66677" s="118"/>
      <c r="B66677" s="136"/>
    </row>
    <row r="66678" spans="1:2" x14ac:dyDescent="0.25">
      <c r="A66678" s="118"/>
      <c r="B66678" s="136"/>
    </row>
    <row r="66679" spans="1:2" x14ac:dyDescent="0.25">
      <c r="A66679" s="118"/>
      <c r="B66679" s="136"/>
    </row>
    <row r="66680" spans="1:2" x14ac:dyDescent="0.25">
      <c r="A66680" s="118"/>
      <c r="B66680" s="136"/>
    </row>
    <row r="66681" spans="1:2" x14ac:dyDescent="0.25">
      <c r="A66681" s="118"/>
      <c r="B66681" s="136"/>
    </row>
    <row r="66682" spans="1:2" x14ac:dyDescent="0.25">
      <c r="A66682" s="118"/>
      <c r="B66682" s="136"/>
    </row>
    <row r="66683" spans="1:2" x14ac:dyDescent="0.25">
      <c r="A66683" s="118"/>
      <c r="B66683" s="136"/>
    </row>
    <row r="66684" spans="1:2" x14ac:dyDescent="0.25">
      <c r="A66684" s="118"/>
      <c r="B66684" s="136"/>
    </row>
    <row r="66685" spans="1:2" x14ac:dyDescent="0.25">
      <c r="A66685" s="118"/>
      <c r="B66685" s="136"/>
    </row>
    <row r="66686" spans="1:2" x14ac:dyDescent="0.25">
      <c r="A66686" s="118"/>
      <c r="B66686" s="136"/>
    </row>
    <row r="66687" spans="1:2" x14ac:dyDescent="0.25">
      <c r="A66687" s="118"/>
      <c r="B66687" s="136"/>
    </row>
    <row r="66688" spans="1:2" x14ac:dyDescent="0.25">
      <c r="A66688" s="118"/>
      <c r="B66688" s="136"/>
    </row>
    <row r="66689" spans="1:2" x14ac:dyDescent="0.25">
      <c r="A66689" s="118"/>
      <c r="B66689" s="136"/>
    </row>
    <row r="66690" spans="1:2" x14ac:dyDescent="0.25">
      <c r="A66690" s="118"/>
      <c r="B66690" s="136"/>
    </row>
    <row r="66691" spans="1:2" x14ac:dyDescent="0.25">
      <c r="A66691" s="118"/>
      <c r="B66691" s="136"/>
    </row>
    <row r="66692" spans="1:2" x14ac:dyDescent="0.25">
      <c r="A66692" s="118"/>
      <c r="B66692" s="136"/>
    </row>
    <row r="66693" spans="1:2" x14ac:dyDescent="0.25">
      <c r="A66693" s="118"/>
      <c r="B66693" s="136"/>
    </row>
    <row r="66694" spans="1:2" x14ac:dyDescent="0.25">
      <c r="A66694" s="118"/>
      <c r="B66694" s="136"/>
    </row>
    <row r="66695" spans="1:2" x14ac:dyDescent="0.25">
      <c r="A66695" s="118"/>
      <c r="B66695" s="136"/>
    </row>
    <row r="66696" spans="1:2" x14ac:dyDescent="0.25">
      <c r="A66696" s="118"/>
      <c r="B66696" s="136"/>
    </row>
    <row r="66697" spans="1:2" x14ac:dyDescent="0.25">
      <c r="A66697" s="118"/>
      <c r="B66697" s="136"/>
    </row>
    <row r="66698" spans="1:2" x14ac:dyDescent="0.25">
      <c r="A66698" s="118"/>
      <c r="B66698" s="136"/>
    </row>
    <row r="66699" spans="1:2" x14ac:dyDescent="0.25">
      <c r="A66699" s="118"/>
      <c r="B66699" s="136"/>
    </row>
    <row r="66700" spans="1:2" x14ac:dyDescent="0.25">
      <c r="A66700" s="118"/>
      <c r="B66700" s="136"/>
    </row>
    <row r="66701" spans="1:2" x14ac:dyDescent="0.25">
      <c r="A66701" s="118"/>
      <c r="B66701" s="136"/>
    </row>
    <row r="66702" spans="1:2" x14ac:dyDescent="0.25">
      <c r="A66702" s="118"/>
      <c r="B66702" s="136"/>
    </row>
    <row r="66703" spans="1:2" x14ac:dyDescent="0.25">
      <c r="A66703" s="118"/>
      <c r="B66703" s="136"/>
    </row>
    <row r="66704" spans="1:2" x14ac:dyDescent="0.25">
      <c r="A66704" s="118"/>
      <c r="B66704" s="136"/>
    </row>
    <row r="66705" spans="1:2" x14ac:dyDescent="0.25">
      <c r="A66705" s="118"/>
      <c r="B66705" s="136"/>
    </row>
    <row r="66706" spans="1:2" x14ac:dyDescent="0.25">
      <c r="A66706" s="118"/>
      <c r="B66706" s="136"/>
    </row>
    <row r="66707" spans="1:2" x14ac:dyDescent="0.25">
      <c r="A66707" s="118"/>
      <c r="B66707" s="136"/>
    </row>
    <row r="66708" spans="1:2" x14ac:dyDescent="0.25">
      <c r="A66708" s="118"/>
      <c r="B66708" s="136"/>
    </row>
    <row r="66709" spans="1:2" x14ac:dyDescent="0.25">
      <c r="A66709" s="118"/>
      <c r="B66709" s="136"/>
    </row>
    <row r="66710" spans="1:2" x14ac:dyDescent="0.25">
      <c r="A66710" s="118"/>
      <c r="B66710" s="136"/>
    </row>
    <row r="66711" spans="1:2" x14ac:dyDescent="0.25">
      <c r="A66711" s="118"/>
      <c r="B66711" s="136"/>
    </row>
    <row r="66712" spans="1:2" x14ac:dyDescent="0.25">
      <c r="A66712" s="118"/>
      <c r="B66712" s="136"/>
    </row>
    <row r="66713" spans="1:2" x14ac:dyDescent="0.25">
      <c r="A66713" s="118"/>
      <c r="B66713" s="136"/>
    </row>
    <row r="66714" spans="1:2" x14ac:dyDescent="0.25">
      <c r="A66714" s="118"/>
      <c r="B66714" s="136"/>
    </row>
    <row r="66715" spans="1:2" x14ac:dyDescent="0.25">
      <c r="A66715" s="118"/>
      <c r="B66715" s="136"/>
    </row>
    <row r="66716" spans="1:2" x14ac:dyDescent="0.25">
      <c r="A66716" s="118"/>
      <c r="B66716" s="136"/>
    </row>
    <row r="66717" spans="1:2" x14ac:dyDescent="0.25">
      <c r="A66717" s="118"/>
      <c r="B66717" s="136"/>
    </row>
    <row r="66718" spans="1:2" x14ac:dyDescent="0.25">
      <c r="A66718" s="118"/>
      <c r="B66718" s="136"/>
    </row>
    <row r="66719" spans="1:2" x14ac:dyDescent="0.25">
      <c r="A66719" s="118"/>
      <c r="B66719" s="136"/>
    </row>
    <row r="66720" spans="1:2" x14ac:dyDescent="0.25">
      <c r="A66720" s="118"/>
      <c r="B66720" s="136"/>
    </row>
    <row r="66721" spans="1:2" x14ac:dyDescent="0.25">
      <c r="A66721" s="118"/>
      <c r="B66721" s="136"/>
    </row>
    <row r="66722" spans="1:2" x14ac:dyDescent="0.25">
      <c r="A66722" s="118"/>
      <c r="B66722" s="136"/>
    </row>
    <row r="66723" spans="1:2" x14ac:dyDescent="0.25">
      <c r="A66723" s="118"/>
      <c r="B66723" s="136"/>
    </row>
    <row r="66724" spans="1:2" x14ac:dyDescent="0.25">
      <c r="A66724" s="118"/>
      <c r="B66724" s="136"/>
    </row>
    <row r="66725" spans="1:2" x14ac:dyDescent="0.25">
      <c r="A66725" s="118"/>
      <c r="B66725" s="136"/>
    </row>
    <row r="66726" spans="1:2" x14ac:dyDescent="0.25">
      <c r="A66726" s="118"/>
      <c r="B66726" s="136"/>
    </row>
    <row r="66727" spans="1:2" x14ac:dyDescent="0.25">
      <c r="A66727" s="118"/>
      <c r="B66727" s="136"/>
    </row>
    <row r="66728" spans="1:2" x14ac:dyDescent="0.25">
      <c r="A66728" s="118"/>
      <c r="B66728" s="136"/>
    </row>
    <row r="66729" spans="1:2" x14ac:dyDescent="0.25">
      <c r="A66729" s="118"/>
      <c r="B66729" s="136"/>
    </row>
    <row r="66730" spans="1:2" x14ac:dyDescent="0.25">
      <c r="A66730" s="118"/>
      <c r="B66730" s="136"/>
    </row>
    <row r="66731" spans="1:2" x14ac:dyDescent="0.25">
      <c r="A66731" s="118"/>
      <c r="B66731" s="136"/>
    </row>
    <row r="66732" spans="1:2" x14ac:dyDescent="0.25">
      <c r="A66732" s="118"/>
      <c r="B66732" s="136"/>
    </row>
    <row r="66733" spans="1:2" x14ac:dyDescent="0.25">
      <c r="A66733" s="118"/>
      <c r="B66733" s="136"/>
    </row>
    <row r="66734" spans="1:2" x14ac:dyDescent="0.25">
      <c r="A66734" s="118"/>
      <c r="B66734" s="136"/>
    </row>
    <row r="66735" spans="1:2" x14ac:dyDescent="0.25">
      <c r="A66735" s="118"/>
      <c r="B66735" s="136"/>
    </row>
    <row r="66736" spans="1:2" x14ac:dyDescent="0.25">
      <c r="A66736" s="118"/>
      <c r="B66736" s="136"/>
    </row>
    <row r="66737" spans="1:2" x14ac:dyDescent="0.25">
      <c r="A66737" s="118"/>
      <c r="B66737" s="136"/>
    </row>
    <row r="66738" spans="1:2" x14ac:dyDescent="0.25">
      <c r="A66738" s="118"/>
      <c r="B66738" s="136"/>
    </row>
    <row r="66739" spans="1:2" x14ac:dyDescent="0.25">
      <c r="A66739" s="118"/>
      <c r="B66739" s="136"/>
    </row>
    <row r="66740" spans="1:2" x14ac:dyDescent="0.25">
      <c r="A66740" s="118"/>
      <c r="B66740" s="136"/>
    </row>
    <row r="66741" spans="1:2" x14ac:dyDescent="0.25">
      <c r="A66741" s="118"/>
      <c r="B66741" s="136"/>
    </row>
    <row r="66742" spans="1:2" x14ac:dyDescent="0.25">
      <c r="A66742" s="118"/>
      <c r="B66742" s="136"/>
    </row>
    <row r="66743" spans="1:2" x14ac:dyDescent="0.25">
      <c r="A66743" s="118"/>
      <c r="B66743" s="136"/>
    </row>
    <row r="66744" spans="1:2" x14ac:dyDescent="0.25">
      <c r="A66744" s="118"/>
      <c r="B66744" s="136"/>
    </row>
    <row r="66745" spans="1:2" x14ac:dyDescent="0.25">
      <c r="A66745" s="118"/>
      <c r="B66745" s="136"/>
    </row>
    <row r="66746" spans="1:2" x14ac:dyDescent="0.25">
      <c r="A66746" s="118"/>
      <c r="B66746" s="136"/>
    </row>
    <row r="66747" spans="1:2" x14ac:dyDescent="0.25">
      <c r="A66747" s="118"/>
      <c r="B66747" s="136"/>
    </row>
    <row r="66748" spans="1:2" x14ac:dyDescent="0.25">
      <c r="A66748" s="118"/>
      <c r="B66748" s="136"/>
    </row>
    <row r="66749" spans="1:2" x14ac:dyDescent="0.25">
      <c r="A66749" s="118"/>
      <c r="B66749" s="136"/>
    </row>
    <row r="66750" spans="1:2" x14ac:dyDescent="0.25">
      <c r="A66750" s="118"/>
      <c r="B66750" s="136"/>
    </row>
    <row r="66751" spans="1:2" x14ac:dyDescent="0.25">
      <c r="A66751" s="118"/>
      <c r="B66751" s="136"/>
    </row>
    <row r="66752" spans="1:2" x14ac:dyDescent="0.25">
      <c r="A66752" s="118"/>
      <c r="B66752" s="136"/>
    </row>
    <row r="66753" spans="1:2" x14ac:dyDescent="0.25">
      <c r="A66753" s="118"/>
      <c r="B66753" s="136"/>
    </row>
    <row r="66754" spans="1:2" x14ac:dyDescent="0.25">
      <c r="A66754" s="118"/>
      <c r="B66754" s="136"/>
    </row>
    <row r="66755" spans="1:2" x14ac:dyDescent="0.25">
      <c r="A66755" s="118"/>
      <c r="B66755" s="136"/>
    </row>
    <row r="66756" spans="1:2" x14ac:dyDescent="0.25">
      <c r="A66756" s="118"/>
      <c r="B66756" s="136"/>
    </row>
    <row r="66757" spans="1:2" x14ac:dyDescent="0.25">
      <c r="A66757" s="118"/>
      <c r="B66757" s="136"/>
    </row>
    <row r="66758" spans="1:2" x14ac:dyDescent="0.25">
      <c r="A66758" s="118"/>
      <c r="B66758" s="136"/>
    </row>
    <row r="66759" spans="1:2" x14ac:dyDescent="0.25">
      <c r="A66759" s="118"/>
      <c r="B66759" s="136"/>
    </row>
    <row r="66760" spans="1:2" x14ac:dyDescent="0.25">
      <c r="A66760" s="118"/>
      <c r="B66760" s="136"/>
    </row>
    <row r="66761" spans="1:2" x14ac:dyDescent="0.25">
      <c r="A66761" s="118"/>
      <c r="B66761" s="136"/>
    </row>
    <row r="66762" spans="1:2" x14ac:dyDescent="0.25">
      <c r="A66762" s="118"/>
      <c r="B66762" s="136"/>
    </row>
    <row r="66763" spans="1:2" x14ac:dyDescent="0.25">
      <c r="A66763" s="118"/>
      <c r="B66763" s="136"/>
    </row>
    <row r="66764" spans="1:2" x14ac:dyDescent="0.25">
      <c r="A66764" s="118"/>
      <c r="B66764" s="136"/>
    </row>
    <row r="66765" spans="1:2" x14ac:dyDescent="0.25">
      <c r="A66765" s="118"/>
      <c r="B66765" s="136"/>
    </row>
    <row r="66766" spans="1:2" x14ac:dyDescent="0.25">
      <c r="A66766" s="118"/>
      <c r="B66766" s="136"/>
    </row>
    <row r="66767" spans="1:2" x14ac:dyDescent="0.25">
      <c r="A66767" s="118"/>
      <c r="B66767" s="136"/>
    </row>
    <row r="66768" spans="1:2" x14ac:dyDescent="0.25">
      <c r="A66768" s="118"/>
      <c r="B66768" s="136"/>
    </row>
    <row r="66769" spans="1:2" x14ac:dyDescent="0.25">
      <c r="A66769" s="118"/>
      <c r="B66769" s="136"/>
    </row>
    <row r="66770" spans="1:2" x14ac:dyDescent="0.25">
      <c r="A66770" s="118"/>
      <c r="B66770" s="136"/>
    </row>
    <row r="66771" spans="1:2" x14ac:dyDescent="0.25">
      <c r="A66771" s="118"/>
      <c r="B66771" s="136"/>
    </row>
    <row r="66772" spans="1:2" x14ac:dyDescent="0.25">
      <c r="A66772" s="118"/>
      <c r="B66772" s="136"/>
    </row>
    <row r="66773" spans="1:2" x14ac:dyDescent="0.25">
      <c r="A66773" s="118"/>
      <c r="B66773" s="136"/>
    </row>
    <row r="66774" spans="1:2" x14ac:dyDescent="0.25">
      <c r="A66774" s="118"/>
      <c r="B66774" s="136"/>
    </row>
    <row r="66775" spans="1:2" x14ac:dyDescent="0.25">
      <c r="A66775" s="118"/>
      <c r="B66775" s="136"/>
    </row>
    <row r="66776" spans="1:2" x14ac:dyDescent="0.25">
      <c r="A66776" s="118"/>
      <c r="B66776" s="136"/>
    </row>
    <row r="66777" spans="1:2" x14ac:dyDescent="0.25">
      <c r="A66777" s="118"/>
      <c r="B66777" s="136"/>
    </row>
    <row r="66778" spans="1:2" x14ac:dyDescent="0.25">
      <c r="A66778" s="118"/>
      <c r="B66778" s="136"/>
    </row>
    <row r="66779" spans="1:2" x14ac:dyDescent="0.25">
      <c r="A66779" s="118"/>
      <c r="B66779" s="136"/>
    </row>
    <row r="66780" spans="1:2" x14ac:dyDescent="0.25">
      <c r="A66780" s="118"/>
      <c r="B66780" s="136"/>
    </row>
    <row r="66781" spans="1:2" x14ac:dyDescent="0.25">
      <c r="A66781" s="118"/>
      <c r="B66781" s="136"/>
    </row>
    <row r="66782" spans="1:2" x14ac:dyDescent="0.25">
      <c r="A66782" s="118"/>
      <c r="B66782" s="136"/>
    </row>
    <row r="66783" spans="1:2" x14ac:dyDescent="0.25">
      <c r="A66783" s="118"/>
      <c r="B66783" s="136"/>
    </row>
    <row r="66784" spans="1:2" x14ac:dyDescent="0.25">
      <c r="A66784" s="118"/>
      <c r="B66784" s="136"/>
    </row>
    <row r="66785" spans="1:2" x14ac:dyDescent="0.25">
      <c r="A66785" s="118"/>
      <c r="B66785" s="136"/>
    </row>
    <row r="66786" spans="1:2" x14ac:dyDescent="0.25">
      <c r="A66786" s="118"/>
      <c r="B66786" s="136"/>
    </row>
    <row r="66787" spans="1:2" x14ac:dyDescent="0.25">
      <c r="A66787" s="118"/>
      <c r="B66787" s="136"/>
    </row>
    <row r="66788" spans="1:2" x14ac:dyDescent="0.25">
      <c r="A66788" s="118"/>
      <c r="B66788" s="136"/>
    </row>
    <row r="66789" spans="1:2" x14ac:dyDescent="0.25">
      <c r="A66789" s="118"/>
      <c r="B66789" s="136"/>
    </row>
    <row r="66790" spans="1:2" x14ac:dyDescent="0.25">
      <c r="A66790" s="118"/>
      <c r="B66790" s="136"/>
    </row>
    <row r="66791" spans="1:2" x14ac:dyDescent="0.25">
      <c r="A66791" s="118"/>
      <c r="B66791" s="136"/>
    </row>
    <row r="66792" spans="1:2" x14ac:dyDescent="0.25">
      <c r="A66792" s="118"/>
      <c r="B66792" s="136"/>
    </row>
    <row r="66793" spans="1:2" x14ac:dyDescent="0.25">
      <c r="A66793" s="118"/>
      <c r="B66793" s="136"/>
    </row>
    <row r="66794" spans="1:2" x14ac:dyDescent="0.25">
      <c r="A66794" s="118"/>
      <c r="B66794" s="136"/>
    </row>
    <row r="66795" spans="1:2" x14ac:dyDescent="0.25">
      <c r="A66795" s="118"/>
      <c r="B66795" s="136"/>
    </row>
    <row r="66796" spans="1:2" x14ac:dyDescent="0.25">
      <c r="A66796" s="118"/>
      <c r="B66796" s="136"/>
    </row>
    <row r="66797" spans="1:2" x14ac:dyDescent="0.25">
      <c r="A66797" s="118"/>
      <c r="B66797" s="136"/>
    </row>
    <row r="66798" spans="1:2" x14ac:dyDescent="0.25">
      <c r="A66798" s="118"/>
      <c r="B66798" s="136"/>
    </row>
    <row r="66799" spans="1:2" x14ac:dyDescent="0.25">
      <c r="A66799" s="118"/>
      <c r="B66799" s="136"/>
    </row>
    <row r="66800" spans="1:2" x14ac:dyDescent="0.25">
      <c r="A66800" s="118"/>
      <c r="B66800" s="136"/>
    </row>
    <row r="66801" spans="1:2" x14ac:dyDescent="0.25">
      <c r="A66801" s="118"/>
      <c r="B66801" s="136"/>
    </row>
    <row r="66802" spans="1:2" x14ac:dyDescent="0.25">
      <c r="A66802" s="118"/>
      <c r="B66802" s="136"/>
    </row>
    <row r="66803" spans="1:2" x14ac:dyDescent="0.25">
      <c r="A66803" s="118"/>
      <c r="B66803" s="136"/>
    </row>
    <row r="66804" spans="1:2" x14ac:dyDescent="0.25">
      <c r="A66804" s="118"/>
      <c r="B66804" s="136"/>
    </row>
    <row r="66805" spans="1:2" x14ac:dyDescent="0.25">
      <c r="A66805" s="118"/>
      <c r="B66805" s="136"/>
    </row>
    <row r="66806" spans="1:2" x14ac:dyDescent="0.25">
      <c r="A66806" s="118"/>
      <c r="B66806" s="136"/>
    </row>
    <row r="66807" spans="1:2" x14ac:dyDescent="0.25">
      <c r="A66807" s="118"/>
      <c r="B66807" s="136"/>
    </row>
    <row r="66808" spans="1:2" x14ac:dyDescent="0.25">
      <c r="A66808" s="118"/>
      <c r="B66808" s="136"/>
    </row>
    <row r="66809" spans="1:2" x14ac:dyDescent="0.25">
      <c r="A66809" s="118"/>
      <c r="B66809" s="136"/>
    </row>
    <row r="66810" spans="1:2" x14ac:dyDescent="0.25">
      <c r="A66810" s="118"/>
      <c r="B66810" s="136"/>
    </row>
    <row r="66811" spans="1:2" x14ac:dyDescent="0.25">
      <c r="A66811" s="118"/>
      <c r="B66811" s="136"/>
    </row>
    <row r="66812" spans="1:2" x14ac:dyDescent="0.25">
      <c r="A66812" s="118"/>
      <c r="B66812" s="136"/>
    </row>
    <row r="66813" spans="1:2" x14ac:dyDescent="0.25">
      <c r="A66813" s="118"/>
      <c r="B66813" s="136"/>
    </row>
    <row r="66814" spans="1:2" x14ac:dyDescent="0.25">
      <c r="A66814" s="118"/>
      <c r="B66814" s="136"/>
    </row>
    <row r="66815" spans="1:2" x14ac:dyDescent="0.25">
      <c r="A66815" s="118"/>
      <c r="B66815" s="136"/>
    </row>
    <row r="66816" spans="1:2" x14ac:dyDescent="0.25">
      <c r="A66816" s="118"/>
      <c r="B66816" s="136"/>
    </row>
    <row r="66817" spans="1:2" x14ac:dyDescent="0.25">
      <c r="A66817" s="118"/>
      <c r="B66817" s="136"/>
    </row>
    <row r="66818" spans="1:2" x14ac:dyDescent="0.25">
      <c r="A66818" s="118"/>
      <c r="B66818" s="136"/>
    </row>
    <row r="66819" spans="1:2" x14ac:dyDescent="0.25">
      <c r="A66819" s="118"/>
      <c r="B66819" s="136"/>
    </row>
    <row r="66820" spans="1:2" x14ac:dyDescent="0.25">
      <c r="A66820" s="118"/>
      <c r="B66820" s="136"/>
    </row>
    <row r="66821" spans="1:2" x14ac:dyDescent="0.25">
      <c r="A66821" s="118"/>
      <c r="B66821" s="136"/>
    </row>
    <row r="66822" spans="1:2" x14ac:dyDescent="0.25">
      <c r="A66822" s="118"/>
      <c r="B66822" s="136"/>
    </row>
    <row r="66823" spans="1:2" x14ac:dyDescent="0.25">
      <c r="A66823" s="118"/>
      <c r="B66823" s="136"/>
    </row>
    <row r="66824" spans="1:2" x14ac:dyDescent="0.25">
      <c r="A66824" s="118"/>
      <c r="B66824" s="136"/>
    </row>
    <row r="66825" spans="1:2" x14ac:dyDescent="0.25">
      <c r="A66825" s="118"/>
      <c r="B66825" s="136"/>
    </row>
    <row r="66826" spans="1:2" x14ac:dyDescent="0.25">
      <c r="A66826" s="118"/>
      <c r="B66826" s="136"/>
    </row>
    <row r="66827" spans="1:2" x14ac:dyDescent="0.25">
      <c r="A66827" s="118"/>
      <c r="B66827" s="136"/>
    </row>
    <row r="66828" spans="1:2" x14ac:dyDescent="0.25">
      <c r="A66828" s="118"/>
      <c r="B66828" s="136"/>
    </row>
    <row r="66829" spans="1:2" x14ac:dyDescent="0.25">
      <c r="A66829" s="118"/>
      <c r="B66829" s="136"/>
    </row>
    <row r="66830" spans="1:2" x14ac:dyDescent="0.25">
      <c r="A66830" s="118"/>
      <c r="B66830" s="136"/>
    </row>
    <row r="66831" spans="1:2" x14ac:dyDescent="0.25">
      <c r="A66831" s="118"/>
      <c r="B66831" s="136"/>
    </row>
    <row r="66832" spans="1:2" x14ac:dyDescent="0.25">
      <c r="A66832" s="118"/>
      <c r="B66832" s="136"/>
    </row>
    <row r="66833" spans="1:2" x14ac:dyDescent="0.25">
      <c r="A66833" s="118"/>
      <c r="B66833" s="136"/>
    </row>
    <row r="66834" spans="1:2" x14ac:dyDescent="0.25">
      <c r="A66834" s="118"/>
      <c r="B66834" s="136"/>
    </row>
    <row r="66835" spans="1:2" x14ac:dyDescent="0.25">
      <c r="A66835" s="118"/>
      <c r="B66835" s="136"/>
    </row>
    <row r="66836" spans="1:2" x14ac:dyDescent="0.25">
      <c r="A66836" s="118"/>
      <c r="B66836" s="136"/>
    </row>
    <row r="66837" spans="1:2" x14ac:dyDescent="0.25">
      <c r="A66837" s="118"/>
      <c r="B66837" s="136"/>
    </row>
    <row r="66838" spans="1:2" x14ac:dyDescent="0.25">
      <c r="A66838" s="118"/>
      <c r="B66838" s="136"/>
    </row>
    <row r="66839" spans="1:2" x14ac:dyDescent="0.25">
      <c r="A66839" s="118"/>
      <c r="B66839" s="136"/>
    </row>
    <row r="66840" spans="1:2" x14ac:dyDescent="0.25">
      <c r="A66840" s="118"/>
      <c r="B66840" s="136"/>
    </row>
    <row r="66841" spans="1:2" x14ac:dyDescent="0.25">
      <c r="A66841" s="118"/>
      <c r="B66841" s="136"/>
    </row>
    <row r="66842" spans="1:2" x14ac:dyDescent="0.25">
      <c r="A66842" s="118"/>
      <c r="B66842" s="136"/>
    </row>
    <row r="66843" spans="1:2" x14ac:dyDescent="0.25">
      <c r="A66843" s="118"/>
      <c r="B66843" s="136"/>
    </row>
    <row r="66844" spans="1:2" x14ac:dyDescent="0.25">
      <c r="A66844" s="118"/>
      <c r="B66844" s="136"/>
    </row>
    <row r="66845" spans="1:2" x14ac:dyDescent="0.25">
      <c r="A66845" s="118"/>
      <c r="B66845" s="136"/>
    </row>
    <row r="66846" spans="1:2" x14ac:dyDescent="0.25">
      <c r="A66846" s="118"/>
      <c r="B66846" s="136"/>
    </row>
    <row r="66847" spans="1:2" x14ac:dyDescent="0.25">
      <c r="A66847" s="118"/>
      <c r="B66847" s="136"/>
    </row>
    <row r="66848" spans="1:2" x14ac:dyDescent="0.25">
      <c r="A66848" s="118"/>
      <c r="B66848" s="136"/>
    </row>
    <row r="66849" spans="1:2" x14ac:dyDescent="0.25">
      <c r="A66849" s="118"/>
      <c r="B66849" s="136"/>
    </row>
    <row r="66850" spans="1:2" x14ac:dyDescent="0.25">
      <c r="A66850" s="118"/>
      <c r="B66850" s="136"/>
    </row>
    <row r="66851" spans="1:2" x14ac:dyDescent="0.25">
      <c r="A66851" s="118"/>
      <c r="B66851" s="136"/>
    </row>
    <row r="66852" spans="1:2" x14ac:dyDescent="0.25">
      <c r="A66852" s="118"/>
      <c r="B66852" s="136"/>
    </row>
    <row r="66853" spans="1:2" x14ac:dyDescent="0.25">
      <c r="A66853" s="118"/>
      <c r="B66853" s="136"/>
    </row>
    <row r="66854" spans="1:2" x14ac:dyDescent="0.25">
      <c r="A66854" s="118"/>
      <c r="B66854" s="136"/>
    </row>
    <row r="66855" spans="1:2" x14ac:dyDescent="0.25">
      <c r="A66855" s="118"/>
      <c r="B66855" s="136"/>
    </row>
    <row r="66856" spans="1:2" x14ac:dyDescent="0.25">
      <c r="A66856" s="118"/>
      <c r="B66856" s="136"/>
    </row>
    <row r="66857" spans="1:2" x14ac:dyDescent="0.25">
      <c r="A66857" s="118"/>
      <c r="B66857" s="136"/>
    </row>
    <row r="66858" spans="1:2" x14ac:dyDescent="0.25">
      <c r="A66858" s="118"/>
      <c r="B66858" s="136"/>
    </row>
    <row r="66859" spans="1:2" x14ac:dyDescent="0.25">
      <c r="A66859" s="118"/>
      <c r="B66859" s="136"/>
    </row>
    <row r="66860" spans="1:2" x14ac:dyDescent="0.25">
      <c r="A66860" s="118"/>
      <c r="B66860" s="136"/>
    </row>
    <row r="66861" spans="1:2" x14ac:dyDescent="0.25">
      <c r="A66861" s="118"/>
      <c r="B66861" s="136"/>
    </row>
    <row r="66862" spans="1:2" x14ac:dyDescent="0.25">
      <c r="A66862" s="118"/>
      <c r="B66862" s="136"/>
    </row>
    <row r="66863" spans="1:2" x14ac:dyDescent="0.25">
      <c r="A66863" s="118"/>
      <c r="B66863" s="136"/>
    </row>
    <row r="66864" spans="1:2" x14ac:dyDescent="0.25">
      <c r="A66864" s="118"/>
      <c r="B66864" s="136"/>
    </row>
    <row r="66865" spans="1:2" x14ac:dyDescent="0.25">
      <c r="A66865" s="118"/>
      <c r="B66865" s="136"/>
    </row>
    <row r="66866" spans="1:2" x14ac:dyDescent="0.25">
      <c r="A66866" s="118"/>
      <c r="B66866" s="136"/>
    </row>
    <row r="66867" spans="1:2" x14ac:dyDescent="0.25">
      <c r="A66867" s="118"/>
      <c r="B66867" s="136"/>
    </row>
    <row r="66868" spans="1:2" x14ac:dyDescent="0.25">
      <c r="A66868" s="118"/>
      <c r="B66868" s="136"/>
    </row>
    <row r="66869" spans="1:2" x14ac:dyDescent="0.25">
      <c r="A66869" s="118"/>
      <c r="B66869" s="136"/>
    </row>
    <row r="66870" spans="1:2" x14ac:dyDescent="0.25">
      <c r="A66870" s="118"/>
      <c r="B66870" s="136"/>
    </row>
    <row r="66871" spans="1:2" x14ac:dyDescent="0.25">
      <c r="A66871" s="118"/>
      <c r="B66871" s="136"/>
    </row>
    <row r="66872" spans="1:2" x14ac:dyDescent="0.25">
      <c r="A66872" s="118"/>
      <c r="B66872" s="136"/>
    </row>
    <row r="66873" spans="1:2" x14ac:dyDescent="0.25">
      <c r="A66873" s="118"/>
      <c r="B66873" s="136"/>
    </row>
    <row r="66874" spans="1:2" x14ac:dyDescent="0.25">
      <c r="A66874" s="118"/>
      <c r="B66874" s="136"/>
    </row>
    <row r="66875" spans="1:2" x14ac:dyDescent="0.25">
      <c r="A66875" s="118"/>
      <c r="B66875" s="136"/>
    </row>
    <row r="66876" spans="1:2" x14ac:dyDescent="0.25">
      <c r="A66876" s="118"/>
      <c r="B66876" s="136"/>
    </row>
    <row r="66877" spans="1:2" x14ac:dyDescent="0.25">
      <c r="A66877" s="118"/>
      <c r="B66877" s="136"/>
    </row>
    <row r="66878" spans="1:2" x14ac:dyDescent="0.25">
      <c r="A66878" s="118"/>
      <c r="B66878" s="136"/>
    </row>
    <row r="66879" spans="1:2" x14ac:dyDescent="0.25">
      <c r="A66879" s="118"/>
      <c r="B66879" s="136"/>
    </row>
    <row r="66880" spans="1:2" x14ac:dyDescent="0.25">
      <c r="A66880" s="118"/>
      <c r="B66880" s="136"/>
    </row>
    <row r="66881" spans="1:2" x14ac:dyDescent="0.25">
      <c r="A66881" s="118"/>
      <c r="B66881" s="136"/>
    </row>
    <row r="66882" spans="1:2" x14ac:dyDescent="0.25">
      <c r="A66882" s="118"/>
      <c r="B66882" s="136"/>
    </row>
    <row r="66883" spans="1:2" x14ac:dyDescent="0.25">
      <c r="A66883" s="118"/>
      <c r="B66883" s="136"/>
    </row>
    <row r="66884" spans="1:2" x14ac:dyDescent="0.25">
      <c r="A66884" s="118"/>
      <c r="B66884" s="136"/>
    </row>
    <row r="66885" spans="1:2" x14ac:dyDescent="0.25">
      <c r="A66885" s="118"/>
      <c r="B66885" s="136"/>
    </row>
    <row r="66886" spans="1:2" x14ac:dyDescent="0.25">
      <c r="A66886" s="118"/>
      <c r="B66886" s="136"/>
    </row>
    <row r="66887" spans="1:2" x14ac:dyDescent="0.25">
      <c r="A66887" s="118"/>
      <c r="B66887" s="136"/>
    </row>
    <row r="66888" spans="1:2" x14ac:dyDescent="0.25">
      <c r="A66888" s="118"/>
      <c r="B66888" s="136"/>
    </row>
    <row r="66889" spans="1:2" x14ac:dyDescent="0.25">
      <c r="A66889" s="118"/>
      <c r="B66889" s="136"/>
    </row>
    <row r="66890" spans="1:2" x14ac:dyDescent="0.25">
      <c r="A66890" s="118"/>
      <c r="B66890" s="136"/>
    </row>
    <row r="66891" spans="1:2" x14ac:dyDescent="0.25">
      <c r="A66891" s="118"/>
      <c r="B66891" s="136"/>
    </row>
    <row r="66892" spans="1:2" x14ac:dyDescent="0.25">
      <c r="A66892" s="118"/>
      <c r="B66892" s="136"/>
    </row>
    <row r="66893" spans="1:2" x14ac:dyDescent="0.25">
      <c r="A66893" s="118"/>
      <c r="B66893" s="136"/>
    </row>
    <row r="66894" spans="1:2" x14ac:dyDescent="0.25">
      <c r="A66894" s="118"/>
      <c r="B66894" s="136"/>
    </row>
    <row r="66895" spans="1:2" x14ac:dyDescent="0.25">
      <c r="A66895" s="118"/>
      <c r="B66895" s="136"/>
    </row>
    <row r="66896" spans="1:2" x14ac:dyDescent="0.25">
      <c r="A66896" s="118"/>
      <c r="B66896" s="136"/>
    </row>
    <row r="66897" spans="1:2" x14ac:dyDescent="0.25">
      <c r="A66897" s="118"/>
      <c r="B66897" s="136"/>
    </row>
    <row r="66898" spans="1:2" x14ac:dyDescent="0.25">
      <c r="A66898" s="118"/>
      <c r="B66898" s="136"/>
    </row>
    <row r="66899" spans="1:2" x14ac:dyDescent="0.25">
      <c r="A66899" s="118"/>
      <c r="B66899" s="136"/>
    </row>
    <row r="66900" spans="1:2" x14ac:dyDescent="0.25">
      <c r="A66900" s="118"/>
      <c r="B66900" s="136"/>
    </row>
    <row r="66901" spans="1:2" x14ac:dyDescent="0.25">
      <c r="A66901" s="118"/>
      <c r="B66901" s="136"/>
    </row>
    <row r="66902" spans="1:2" x14ac:dyDescent="0.25">
      <c r="A66902" s="118"/>
      <c r="B66902" s="136"/>
    </row>
    <row r="66903" spans="1:2" x14ac:dyDescent="0.25">
      <c r="A66903" s="118"/>
      <c r="B66903" s="136"/>
    </row>
    <row r="66904" spans="1:2" x14ac:dyDescent="0.25">
      <c r="A66904" s="118"/>
      <c r="B66904" s="136"/>
    </row>
    <row r="66905" spans="1:2" x14ac:dyDescent="0.25">
      <c r="A66905" s="118"/>
      <c r="B66905" s="136"/>
    </row>
    <row r="66906" spans="1:2" x14ac:dyDescent="0.25">
      <c r="A66906" s="118"/>
      <c r="B66906" s="136"/>
    </row>
    <row r="66907" spans="1:2" x14ac:dyDescent="0.25">
      <c r="A66907" s="118"/>
      <c r="B66907" s="136"/>
    </row>
    <row r="66908" spans="1:2" x14ac:dyDescent="0.25">
      <c r="A66908" s="118"/>
      <c r="B66908" s="136"/>
    </row>
    <row r="66909" spans="1:2" x14ac:dyDescent="0.25">
      <c r="A66909" s="118"/>
      <c r="B66909" s="136"/>
    </row>
    <row r="66910" spans="1:2" x14ac:dyDescent="0.25">
      <c r="A66910" s="118"/>
      <c r="B66910" s="136"/>
    </row>
    <row r="66911" spans="1:2" x14ac:dyDescent="0.25">
      <c r="A66911" s="118"/>
      <c r="B66911" s="136"/>
    </row>
    <row r="66912" spans="1:2" x14ac:dyDescent="0.25">
      <c r="A66912" s="118"/>
      <c r="B66912" s="136"/>
    </row>
    <row r="66913" spans="1:2" x14ac:dyDescent="0.25">
      <c r="A66913" s="118"/>
      <c r="B66913" s="136"/>
    </row>
    <row r="66914" spans="1:2" x14ac:dyDescent="0.25">
      <c r="A66914" s="118"/>
      <c r="B66914" s="136"/>
    </row>
    <row r="66915" spans="1:2" x14ac:dyDescent="0.25">
      <c r="A66915" s="118"/>
      <c r="B66915" s="136"/>
    </row>
    <row r="66916" spans="1:2" x14ac:dyDescent="0.25">
      <c r="A66916" s="118"/>
      <c r="B66916" s="136"/>
    </row>
    <row r="66917" spans="1:2" x14ac:dyDescent="0.25">
      <c r="A66917" s="118"/>
      <c r="B66917" s="136"/>
    </row>
    <row r="66918" spans="1:2" x14ac:dyDescent="0.25">
      <c r="A66918" s="118"/>
      <c r="B66918" s="136"/>
    </row>
    <row r="66919" spans="1:2" x14ac:dyDescent="0.25">
      <c r="A66919" s="118"/>
      <c r="B66919" s="136"/>
    </row>
    <row r="66920" spans="1:2" x14ac:dyDescent="0.25">
      <c r="A66920" s="118"/>
      <c r="B66920" s="136"/>
    </row>
    <row r="66921" spans="1:2" x14ac:dyDescent="0.25">
      <c r="A66921" s="118"/>
      <c r="B66921" s="136"/>
    </row>
    <row r="66922" spans="1:2" x14ac:dyDescent="0.25">
      <c r="A66922" s="118"/>
      <c r="B66922" s="136"/>
    </row>
    <row r="66923" spans="1:2" x14ac:dyDescent="0.25">
      <c r="A66923" s="118"/>
      <c r="B66923" s="136"/>
    </row>
    <row r="66924" spans="1:2" x14ac:dyDescent="0.25">
      <c r="A66924" s="118"/>
      <c r="B66924" s="136"/>
    </row>
    <row r="66925" spans="1:2" x14ac:dyDescent="0.25">
      <c r="A66925" s="118"/>
      <c r="B66925" s="136"/>
    </row>
    <row r="66926" spans="1:2" x14ac:dyDescent="0.25">
      <c r="A66926" s="118"/>
      <c r="B66926" s="136"/>
    </row>
    <row r="66927" spans="1:2" x14ac:dyDescent="0.25">
      <c r="A66927" s="118"/>
      <c r="B66927" s="136"/>
    </row>
    <row r="66928" spans="1:2" x14ac:dyDescent="0.25">
      <c r="A66928" s="118"/>
      <c r="B66928" s="136"/>
    </row>
    <row r="66929" spans="1:2" x14ac:dyDescent="0.25">
      <c r="A66929" s="118"/>
      <c r="B66929" s="136"/>
    </row>
    <row r="66930" spans="1:2" x14ac:dyDescent="0.25">
      <c r="A66930" s="118"/>
      <c r="B66930" s="136"/>
    </row>
    <row r="66931" spans="1:2" x14ac:dyDescent="0.25">
      <c r="A66931" s="118"/>
      <c r="B66931" s="136"/>
    </row>
    <row r="66932" spans="1:2" x14ac:dyDescent="0.25">
      <c r="A66932" s="118"/>
      <c r="B66932" s="136"/>
    </row>
    <row r="66933" spans="1:2" x14ac:dyDescent="0.25">
      <c r="A66933" s="118"/>
      <c r="B66933" s="136"/>
    </row>
    <row r="66934" spans="1:2" x14ac:dyDescent="0.25">
      <c r="A66934" s="118"/>
      <c r="B66934" s="136"/>
    </row>
    <row r="66935" spans="1:2" x14ac:dyDescent="0.25">
      <c r="A66935" s="118"/>
      <c r="B66935" s="136"/>
    </row>
    <row r="66936" spans="1:2" x14ac:dyDescent="0.25">
      <c r="A66936" s="118"/>
      <c r="B66936" s="136"/>
    </row>
    <row r="66937" spans="1:2" x14ac:dyDescent="0.25">
      <c r="A66937" s="118"/>
      <c r="B66937" s="136"/>
    </row>
    <row r="66938" spans="1:2" x14ac:dyDescent="0.25">
      <c r="A66938" s="118"/>
      <c r="B66938" s="136"/>
    </row>
    <row r="66939" spans="1:2" x14ac:dyDescent="0.25">
      <c r="A66939" s="118"/>
      <c r="B66939" s="136"/>
    </row>
    <row r="66940" spans="1:2" x14ac:dyDescent="0.25">
      <c r="A66940" s="118"/>
      <c r="B66940" s="136"/>
    </row>
    <row r="66941" spans="1:2" x14ac:dyDescent="0.25">
      <c r="A66941" s="118"/>
      <c r="B66941" s="136"/>
    </row>
    <row r="66942" spans="1:2" x14ac:dyDescent="0.25">
      <c r="A66942" s="118"/>
      <c r="B66942" s="136"/>
    </row>
    <row r="66943" spans="1:2" x14ac:dyDescent="0.25">
      <c r="A66943" s="118"/>
      <c r="B66943" s="136"/>
    </row>
    <row r="66944" spans="1:2" x14ac:dyDescent="0.25">
      <c r="A66944" s="118"/>
      <c r="B66944" s="136"/>
    </row>
    <row r="66945" spans="1:2" x14ac:dyDescent="0.25">
      <c r="A66945" s="118"/>
      <c r="B66945" s="136"/>
    </row>
    <row r="66946" spans="1:2" x14ac:dyDescent="0.25">
      <c r="A66946" s="118"/>
      <c r="B66946" s="136"/>
    </row>
    <row r="66947" spans="1:2" x14ac:dyDescent="0.25">
      <c r="A66947" s="118"/>
      <c r="B66947" s="136"/>
    </row>
    <row r="66948" spans="1:2" x14ac:dyDescent="0.25">
      <c r="A66948" s="118"/>
      <c r="B66948" s="136"/>
    </row>
    <row r="66949" spans="1:2" x14ac:dyDescent="0.25">
      <c r="A66949" s="118"/>
      <c r="B66949" s="136"/>
    </row>
    <row r="66950" spans="1:2" x14ac:dyDescent="0.25">
      <c r="A66950" s="118"/>
      <c r="B66950" s="136"/>
    </row>
    <row r="66951" spans="1:2" x14ac:dyDescent="0.25">
      <c r="A66951" s="118"/>
      <c r="B66951" s="136"/>
    </row>
    <row r="66952" spans="1:2" x14ac:dyDescent="0.25">
      <c r="A66952" s="118"/>
      <c r="B66952" s="136"/>
    </row>
    <row r="66953" spans="1:2" x14ac:dyDescent="0.25">
      <c r="A66953" s="118"/>
      <c r="B66953" s="136"/>
    </row>
    <row r="66954" spans="1:2" x14ac:dyDescent="0.25">
      <c r="A66954" s="118"/>
      <c r="B66954" s="136"/>
    </row>
    <row r="66955" spans="1:2" x14ac:dyDescent="0.25">
      <c r="A66955" s="118"/>
      <c r="B66955" s="136"/>
    </row>
    <row r="66956" spans="1:2" x14ac:dyDescent="0.25">
      <c r="A66956" s="118"/>
      <c r="B66956" s="136"/>
    </row>
    <row r="66957" spans="1:2" x14ac:dyDescent="0.25">
      <c r="A66957" s="118"/>
      <c r="B66957" s="136"/>
    </row>
    <row r="66958" spans="1:2" x14ac:dyDescent="0.25">
      <c r="A66958" s="118"/>
      <c r="B66958" s="136"/>
    </row>
    <row r="66959" spans="1:2" x14ac:dyDescent="0.25">
      <c r="A66959" s="118"/>
      <c r="B66959" s="136"/>
    </row>
    <row r="66960" spans="1:2" x14ac:dyDescent="0.25">
      <c r="A66960" s="118"/>
      <c r="B66960" s="136"/>
    </row>
    <row r="66961" spans="1:2" x14ac:dyDescent="0.25">
      <c r="A66961" s="118"/>
      <c r="B66961" s="136"/>
    </row>
    <row r="66962" spans="1:2" x14ac:dyDescent="0.25">
      <c r="A66962" s="118"/>
      <c r="B66962" s="136"/>
    </row>
    <row r="66963" spans="1:2" x14ac:dyDescent="0.25">
      <c r="A66963" s="118"/>
      <c r="B66963" s="136"/>
    </row>
    <row r="66964" spans="1:2" x14ac:dyDescent="0.25">
      <c r="A66964" s="118"/>
      <c r="B66964" s="136"/>
    </row>
    <row r="66965" spans="1:2" x14ac:dyDescent="0.25">
      <c r="A66965" s="118"/>
      <c r="B66965" s="136"/>
    </row>
    <row r="66966" spans="1:2" x14ac:dyDescent="0.25">
      <c r="A66966" s="118"/>
      <c r="B66966" s="136"/>
    </row>
    <row r="66967" spans="1:2" x14ac:dyDescent="0.25">
      <c r="A66967" s="118"/>
      <c r="B66967" s="136"/>
    </row>
    <row r="66968" spans="1:2" x14ac:dyDescent="0.25">
      <c r="A66968" s="118"/>
      <c r="B66968" s="136"/>
    </row>
    <row r="66969" spans="1:2" x14ac:dyDescent="0.25">
      <c r="A66969" s="118"/>
      <c r="B66969" s="136"/>
    </row>
    <row r="66970" spans="1:2" x14ac:dyDescent="0.25">
      <c r="A66970" s="118"/>
      <c r="B66970" s="136"/>
    </row>
    <row r="66971" spans="1:2" x14ac:dyDescent="0.25">
      <c r="A66971" s="118"/>
      <c r="B66971" s="136"/>
    </row>
    <row r="66972" spans="1:2" x14ac:dyDescent="0.25">
      <c r="A66972" s="118"/>
      <c r="B66972" s="136"/>
    </row>
    <row r="66973" spans="1:2" x14ac:dyDescent="0.25">
      <c r="A66973" s="118"/>
      <c r="B66973" s="136"/>
    </row>
    <row r="66974" spans="1:2" x14ac:dyDescent="0.25">
      <c r="A66974" s="118"/>
      <c r="B66974" s="136"/>
    </row>
    <row r="66975" spans="1:2" x14ac:dyDescent="0.25">
      <c r="A66975" s="118"/>
      <c r="B66975" s="136"/>
    </row>
    <row r="66976" spans="1:2" x14ac:dyDescent="0.25">
      <c r="A66976" s="118"/>
      <c r="B66976" s="136"/>
    </row>
    <row r="66977" spans="1:2" x14ac:dyDescent="0.25">
      <c r="A66977" s="118"/>
      <c r="B66977" s="136"/>
    </row>
    <row r="66978" spans="1:2" x14ac:dyDescent="0.25">
      <c r="A66978" s="118"/>
      <c r="B66978" s="136"/>
    </row>
    <row r="66979" spans="1:2" x14ac:dyDescent="0.25">
      <c r="A66979" s="118"/>
      <c r="B66979" s="136"/>
    </row>
    <row r="66980" spans="1:2" x14ac:dyDescent="0.25">
      <c r="A66980" s="118"/>
      <c r="B66980" s="136"/>
    </row>
    <row r="66981" spans="1:2" x14ac:dyDescent="0.25">
      <c r="A66981" s="118"/>
      <c r="B66981" s="136"/>
    </row>
    <row r="66982" spans="1:2" x14ac:dyDescent="0.25">
      <c r="A66982" s="118"/>
      <c r="B66982" s="136"/>
    </row>
    <row r="66983" spans="1:2" x14ac:dyDescent="0.25">
      <c r="A66983" s="118"/>
      <c r="B66983" s="136"/>
    </row>
    <row r="66984" spans="1:2" x14ac:dyDescent="0.25">
      <c r="A66984" s="118"/>
      <c r="B66984" s="136"/>
    </row>
    <row r="66985" spans="1:2" x14ac:dyDescent="0.25">
      <c r="A66985" s="118"/>
      <c r="B66985" s="136"/>
    </row>
    <row r="66986" spans="1:2" x14ac:dyDescent="0.25">
      <c r="A66986" s="118"/>
      <c r="B66986" s="136"/>
    </row>
    <row r="66987" spans="1:2" x14ac:dyDescent="0.25">
      <c r="A66987" s="118"/>
      <c r="B66987" s="136"/>
    </row>
    <row r="66988" spans="1:2" x14ac:dyDescent="0.25">
      <c r="A66988" s="118"/>
      <c r="B66988" s="136"/>
    </row>
    <row r="66989" spans="1:2" x14ac:dyDescent="0.25">
      <c r="A66989" s="118"/>
      <c r="B66989" s="136"/>
    </row>
    <row r="66990" spans="1:2" x14ac:dyDescent="0.25">
      <c r="A66990" s="118"/>
      <c r="B66990" s="136"/>
    </row>
    <row r="66991" spans="1:2" x14ac:dyDescent="0.25">
      <c r="A66991" s="118"/>
      <c r="B66991" s="136"/>
    </row>
    <row r="66992" spans="1:2" x14ac:dyDescent="0.25">
      <c r="A66992" s="118"/>
      <c r="B66992" s="136"/>
    </row>
    <row r="66993" spans="1:2" x14ac:dyDescent="0.25">
      <c r="A66993" s="118"/>
      <c r="B66993" s="136"/>
    </row>
    <row r="66994" spans="1:2" x14ac:dyDescent="0.25">
      <c r="A66994" s="118"/>
      <c r="B66994" s="136"/>
    </row>
    <row r="66995" spans="1:2" x14ac:dyDescent="0.25">
      <c r="A66995" s="118"/>
      <c r="B66995" s="136"/>
    </row>
    <row r="66996" spans="1:2" x14ac:dyDescent="0.25">
      <c r="A66996" s="118"/>
      <c r="B66996" s="136"/>
    </row>
    <row r="66997" spans="1:2" x14ac:dyDescent="0.25">
      <c r="A66997" s="118"/>
      <c r="B66997" s="136"/>
    </row>
    <row r="66998" spans="1:2" x14ac:dyDescent="0.25">
      <c r="A66998" s="118"/>
      <c r="B66998" s="136"/>
    </row>
    <row r="66999" spans="1:2" x14ac:dyDescent="0.25">
      <c r="A66999" s="118"/>
      <c r="B66999" s="136"/>
    </row>
    <row r="67000" spans="1:2" x14ac:dyDescent="0.25">
      <c r="A67000" s="118"/>
      <c r="B67000" s="136"/>
    </row>
    <row r="67001" spans="1:2" x14ac:dyDescent="0.25">
      <c r="A67001" s="118"/>
      <c r="B67001" s="136"/>
    </row>
    <row r="67002" spans="1:2" x14ac:dyDescent="0.25">
      <c r="A67002" s="118"/>
      <c r="B67002" s="136"/>
    </row>
    <row r="67003" spans="1:2" x14ac:dyDescent="0.25">
      <c r="A67003" s="118"/>
      <c r="B67003" s="136"/>
    </row>
    <row r="67004" spans="1:2" x14ac:dyDescent="0.25">
      <c r="A67004" s="118"/>
      <c r="B67004" s="136"/>
    </row>
    <row r="67005" spans="1:2" x14ac:dyDescent="0.25">
      <c r="A67005" s="118"/>
      <c r="B67005" s="136"/>
    </row>
    <row r="67006" spans="1:2" x14ac:dyDescent="0.25">
      <c r="A67006" s="118"/>
      <c r="B67006" s="136"/>
    </row>
    <row r="67007" spans="1:2" x14ac:dyDescent="0.25">
      <c r="A67007" s="118"/>
      <c r="B67007" s="136"/>
    </row>
    <row r="67008" spans="1:2" x14ac:dyDescent="0.25">
      <c r="A67008" s="118"/>
      <c r="B67008" s="136"/>
    </row>
    <row r="67009" spans="1:2" x14ac:dyDescent="0.25">
      <c r="A67009" s="118"/>
      <c r="B67009" s="136"/>
    </row>
    <row r="67010" spans="1:2" x14ac:dyDescent="0.25">
      <c r="A67010" s="118"/>
      <c r="B67010" s="136"/>
    </row>
    <row r="67011" spans="1:2" x14ac:dyDescent="0.25">
      <c r="A67011" s="118"/>
      <c r="B67011" s="136"/>
    </row>
    <row r="67012" spans="1:2" x14ac:dyDescent="0.25">
      <c r="A67012" s="118"/>
      <c r="B67012" s="136"/>
    </row>
    <row r="67013" spans="1:2" x14ac:dyDescent="0.25">
      <c r="A67013" s="118"/>
      <c r="B67013" s="136"/>
    </row>
    <row r="67014" spans="1:2" x14ac:dyDescent="0.25">
      <c r="A67014" s="118"/>
      <c r="B67014" s="136"/>
    </row>
    <row r="67015" spans="1:2" x14ac:dyDescent="0.25">
      <c r="A67015" s="118"/>
      <c r="B67015" s="136"/>
    </row>
    <row r="67016" spans="1:2" x14ac:dyDescent="0.25">
      <c r="A67016" s="118"/>
      <c r="B67016" s="136"/>
    </row>
    <row r="67017" spans="1:2" x14ac:dyDescent="0.25">
      <c r="A67017" s="118"/>
      <c r="B67017" s="136"/>
    </row>
    <row r="67018" spans="1:2" x14ac:dyDescent="0.25">
      <c r="A67018" s="118"/>
      <c r="B67018" s="136"/>
    </row>
    <row r="67019" spans="1:2" x14ac:dyDescent="0.25">
      <c r="A67019" s="118"/>
      <c r="B67019" s="136"/>
    </row>
    <row r="67020" spans="1:2" x14ac:dyDescent="0.25">
      <c r="A67020" s="118"/>
      <c r="B67020" s="136"/>
    </row>
    <row r="67021" spans="1:2" x14ac:dyDescent="0.25">
      <c r="A67021" s="118"/>
      <c r="B67021" s="136"/>
    </row>
    <row r="67022" spans="1:2" x14ac:dyDescent="0.25">
      <c r="A67022" s="118"/>
      <c r="B67022" s="136"/>
    </row>
    <row r="67023" spans="1:2" x14ac:dyDescent="0.25">
      <c r="A67023" s="118"/>
      <c r="B67023" s="136"/>
    </row>
    <row r="67024" spans="1:2" x14ac:dyDescent="0.25">
      <c r="A67024" s="118"/>
      <c r="B67024" s="136"/>
    </row>
    <row r="67025" spans="1:2" x14ac:dyDescent="0.25">
      <c r="A67025" s="118"/>
      <c r="B67025" s="136"/>
    </row>
    <row r="67026" spans="1:2" x14ac:dyDescent="0.25">
      <c r="A67026" s="118"/>
      <c r="B67026" s="136"/>
    </row>
    <row r="67027" spans="1:2" x14ac:dyDescent="0.25">
      <c r="A67027" s="118"/>
      <c r="B67027" s="136"/>
    </row>
    <row r="67028" spans="1:2" x14ac:dyDescent="0.25">
      <c r="A67028" s="118"/>
      <c r="B67028" s="136"/>
    </row>
    <row r="67029" spans="1:2" x14ac:dyDescent="0.25">
      <c r="A67029" s="118"/>
      <c r="B67029" s="136"/>
    </row>
    <row r="67030" spans="1:2" x14ac:dyDescent="0.25">
      <c r="A67030" s="118"/>
      <c r="B67030" s="136"/>
    </row>
    <row r="67031" spans="1:2" x14ac:dyDescent="0.25">
      <c r="A67031" s="118"/>
      <c r="B67031" s="136"/>
    </row>
    <row r="67032" spans="1:2" x14ac:dyDescent="0.25">
      <c r="A67032" s="118"/>
      <c r="B67032" s="136"/>
    </row>
    <row r="67033" spans="1:2" x14ac:dyDescent="0.25">
      <c r="A67033" s="118"/>
      <c r="B67033" s="136"/>
    </row>
    <row r="67034" spans="1:2" x14ac:dyDescent="0.25">
      <c r="A67034" s="118"/>
      <c r="B67034" s="136"/>
    </row>
    <row r="67035" spans="1:2" x14ac:dyDescent="0.25">
      <c r="A67035" s="118"/>
      <c r="B67035" s="136"/>
    </row>
    <row r="67036" spans="1:2" x14ac:dyDescent="0.25">
      <c r="A67036" s="118"/>
      <c r="B67036" s="136"/>
    </row>
    <row r="67037" spans="1:2" x14ac:dyDescent="0.25">
      <c r="A67037" s="118"/>
      <c r="B67037" s="136"/>
    </row>
    <row r="67038" spans="1:2" x14ac:dyDescent="0.25">
      <c r="A67038" s="118"/>
      <c r="B67038" s="136"/>
    </row>
    <row r="67039" spans="1:2" x14ac:dyDescent="0.25">
      <c r="A67039" s="118"/>
      <c r="B67039" s="136"/>
    </row>
    <row r="67040" spans="1:2" x14ac:dyDescent="0.25">
      <c r="A67040" s="118"/>
      <c r="B67040" s="136"/>
    </row>
    <row r="67041" spans="1:2" x14ac:dyDescent="0.25">
      <c r="A67041" s="118"/>
      <c r="B67041" s="136"/>
    </row>
    <row r="67042" spans="1:2" x14ac:dyDescent="0.25">
      <c r="A67042" s="118"/>
      <c r="B67042" s="136"/>
    </row>
    <row r="67043" spans="1:2" x14ac:dyDescent="0.25">
      <c r="A67043" s="118"/>
      <c r="B67043" s="136"/>
    </row>
    <row r="67044" spans="1:2" x14ac:dyDescent="0.25">
      <c r="A67044" s="118"/>
      <c r="B67044" s="136"/>
    </row>
    <row r="67045" spans="1:2" x14ac:dyDescent="0.25">
      <c r="A67045" s="118"/>
      <c r="B67045" s="136"/>
    </row>
    <row r="67046" spans="1:2" x14ac:dyDescent="0.25">
      <c r="A67046" s="118"/>
      <c r="B67046" s="136"/>
    </row>
    <row r="67047" spans="1:2" x14ac:dyDescent="0.25">
      <c r="A67047" s="118"/>
      <c r="B67047" s="136"/>
    </row>
    <row r="67048" spans="1:2" x14ac:dyDescent="0.25">
      <c r="A67048" s="118"/>
      <c r="B67048" s="136"/>
    </row>
    <row r="67049" spans="1:2" x14ac:dyDescent="0.25">
      <c r="A67049" s="118"/>
      <c r="B67049" s="136"/>
    </row>
    <row r="67050" spans="1:2" x14ac:dyDescent="0.25">
      <c r="A67050" s="118"/>
      <c r="B67050" s="136"/>
    </row>
    <row r="67051" spans="1:2" x14ac:dyDescent="0.25">
      <c r="A67051" s="118"/>
      <c r="B67051" s="136"/>
    </row>
    <row r="67052" spans="1:2" x14ac:dyDescent="0.25">
      <c r="A67052" s="118"/>
      <c r="B67052" s="136"/>
    </row>
    <row r="67053" spans="1:2" x14ac:dyDescent="0.25">
      <c r="A67053" s="118"/>
      <c r="B67053" s="136"/>
    </row>
    <row r="67054" spans="1:2" x14ac:dyDescent="0.25">
      <c r="A67054" s="118"/>
      <c r="B67054" s="136"/>
    </row>
    <row r="67055" spans="1:2" x14ac:dyDescent="0.25">
      <c r="A67055" s="118"/>
      <c r="B67055" s="136"/>
    </row>
    <row r="67056" spans="1:2" x14ac:dyDescent="0.25">
      <c r="A67056" s="118"/>
      <c r="B67056" s="136"/>
    </row>
    <row r="67057" spans="1:2" x14ac:dyDescent="0.25">
      <c r="A67057" s="118"/>
      <c r="B67057" s="136"/>
    </row>
    <row r="67058" spans="1:2" x14ac:dyDescent="0.25">
      <c r="A67058" s="118"/>
      <c r="B67058" s="136"/>
    </row>
    <row r="67059" spans="1:2" x14ac:dyDescent="0.25">
      <c r="A67059" s="118"/>
      <c r="B67059" s="136"/>
    </row>
    <row r="67060" spans="1:2" x14ac:dyDescent="0.25">
      <c r="A67060" s="118"/>
      <c r="B67060" s="136"/>
    </row>
    <row r="67061" spans="1:2" x14ac:dyDescent="0.25">
      <c r="A67061" s="118"/>
      <c r="B67061" s="136"/>
    </row>
    <row r="67062" spans="1:2" x14ac:dyDescent="0.25">
      <c r="A67062" s="118"/>
      <c r="B67062" s="136"/>
    </row>
    <row r="67063" spans="1:2" x14ac:dyDescent="0.25">
      <c r="A67063" s="118"/>
      <c r="B67063" s="136"/>
    </row>
    <row r="67064" spans="1:2" x14ac:dyDescent="0.25">
      <c r="A67064" s="118"/>
      <c r="B67064" s="136"/>
    </row>
    <row r="67065" spans="1:2" x14ac:dyDescent="0.25">
      <c r="A67065" s="118"/>
      <c r="B67065" s="136"/>
    </row>
    <row r="67066" spans="1:2" x14ac:dyDescent="0.25">
      <c r="A67066" s="118"/>
      <c r="B67066" s="136"/>
    </row>
    <row r="67067" spans="1:2" x14ac:dyDescent="0.25">
      <c r="A67067" s="118"/>
      <c r="B67067" s="136"/>
    </row>
    <row r="67068" spans="1:2" x14ac:dyDescent="0.25">
      <c r="A67068" s="118"/>
      <c r="B67068" s="136"/>
    </row>
    <row r="67069" spans="1:2" x14ac:dyDescent="0.25">
      <c r="A67069" s="118"/>
      <c r="B67069" s="136"/>
    </row>
    <row r="67070" spans="1:2" x14ac:dyDescent="0.25">
      <c r="A67070" s="118"/>
      <c r="B67070" s="136"/>
    </row>
    <row r="67071" spans="1:2" x14ac:dyDescent="0.25">
      <c r="A67071" s="118"/>
      <c r="B67071" s="136"/>
    </row>
    <row r="67072" spans="1:2" x14ac:dyDescent="0.25">
      <c r="A67072" s="118"/>
      <c r="B67072" s="136"/>
    </row>
    <row r="67073" spans="1:2" x14ac:dyDescent="0.25">
      <c r="A67073" s="118"/>
      <c r="B67073" s="136"/>
    </row>
    <row r="67074" spans="1:2" x14ac:dyDescent="0.25">
      <c r="A67074" s="118"/>
      <c r="B67074" s="136"/>
    </row>
    <row r="67075" spans="1:2" x14ac:dyDescent="0.25">
      <c r="A67075" s="118"/>
      <c r="B67075" s="136"/>
    </row>
    <row r="67076" spans="1:2" x14ac:dyDescent="0.25">
      <c r="A67076" s="118"/>
      <c r="B67076" s="136"/>
    </row>
    <row r="67077" spans="1:2" x14ac:dyDescent="0.25">
      <c r="A67077" s="118"/>
      <c r="B67077" s="136"/>
    </row>
    <row r="67078" spans="1:2" x14ac:dyDescent="0.25">
      <c r="A67078" s="118"/>
      <c r="B67078" s="136"/>
    </row>
    <row r="67079" spans="1:2" x14ac:dyDescent="0.25">
      <c r="A67079" s="118"/>
      <c r="B67079" s="136"/>
    </row>
    <row r="67080" spans="1:2" x14ac:dyDescent="0.25">
      <c r="A67080" s="118"/>
      <c r="B67080" s="136"/>
    </row>
    <row r="67081" spans="1:2" x14ac:dyDescent="0.25">
      <c r="A67081" s="118"/>
      <c r="B67081" s="136"/>
    </row>
    <row r="67082" spans="1:2" x14ac:dyDescent="0.25">
      <c r="A67082" s="118"/>
      <c r="B67082" s="136"/>
    </row>
    <row r="67083" spans="1:2" x14ac:dyDescent="0.25">
      <c r="A67083" s="118"/>
      <c r="B67083" s="136"/>
    </row>
    <row r="67084" spans="1:2" x14ac:dyDescent="0.25">
      <c r="A67084" s="118"/>
      <c r="B67084" s="136"/>
    </row>
    <row r="67085" spans="1:2" x14ac:dyDescent="0.25">
      <c r="A67085" s="118"/>
      <c r="B67085" s="136"/>
    </row>
    <row r="67086" spans="1:2" x14ac:dyDescent="0.25">
      <c r="A67086" s="118"/>
      <c r="B67086" s="136"/>
    </row>
    <row r="67087" spans="1:2" x14ac:dyDescent="0.25">
      <c r="A67087" s="118"/>
      <c r="B67087" s="136"/>
    </row>
    <row r="67088" spans="1:2" x14ac:dyDescent="0.25">
      <c r="A67088" s="118"/>
      <c r="B67088" s="136"/>
    </row>
    <row r="67089" spans="1:2" x14ac:dyDescent="0.25">
      <c r="A67089" s="118"/>
      <c r="B67089" s="136"/>
    </row>
    <row r="67090" spans="1:2" x14ac:dyDescent="0.25">
      <c r="A67090" s="118"/>
      <c r="B67090" s="136"/>
    </row>
    <row r="67091" spans="1:2" x14ac:dyDescent="0.25">
      <c r="A67091" s="118"/>
      <c r="B67091" s="136"/>
    </row>
    <row r="67092" spans="1:2" x14ac:dyDescent="0.25">
      <c r="A67092" s="118"/>
      <c r="B67092" s="136"/>
    </row>
    <row r="67093" spans="1:2" x14ac:dyDescent="0.25">
      <c r="A67093" s="118"/>
      <c r="B67093" s="136"/>
    </row>
    <row r="67094" spans="1:2" x14ac:dyDescent="0.25">
      <c r="A67094" s="118"/>
      <c r="B67094" s="136"/>
    </row>
    <row r="67095" spans="1:2" x14ac:dyDescent="0.25">
      <c r="A67095" s="118"/>
      <c r="B67095" s="136"/>
    </row>
    <row r="67096" spans="1:2" x14ac:dyDescent="0.25">
      <c r="A67096" s="118"/>
      <c r="B67096" s="136"/>
    </row>
    <row r="67097" spans="1:2" x14ac:dyDescent="0.25">
      <c r="A67097" s="118"/>
      <c r="B67097" s="136"/>
    </row>
    <row r="67098" spans="1:2" x14ac:dyDescent="0.25">
      <c r="A67098" s="118"/>
      <c r="B67098" s="136"/>
    </row>
    <row r="67099" spans="1:2" x14ac:dyDescent="0.25">
      <c r="A67099" s="118"/>
      <c r="B67099" s="136"/>
    </row>
    <row r="67100" spans="1:2" x14ac:dyDescent="0.25">
      <c r="A67100" s="118"/>
      <c r="B67100" s="136"/>
    </row>
    <row r="67101" spans="1:2" x14ac:dyDescent="0.25">
      <c r="A67101" s="118"/>
      <c r="B67101" s="136"/>
    </row>
    <row r="67102" spans="1:2" x14ac:dyDescent="0.25">
      <c r="A67102" s="118"/>
      <c r="B67102" s="136"/>
    </row>
    <row r="67103" spans="1:2" x14ac:dyDescent="0.25">
      <c r="A67103" s="118"/>
      <c r="B67103" s="136"/>
    </row>
    <row r="67104" spans="1:2" x14ac:dyDescent="0.25">
      <c r="A67104" s="118"/>
      <c r="B67104" s="136"/>
    </row>
    <row r="67105" spans="1:2" x14ac:dyDescent="0.25">
      <c r="A67105" s="118"/>
      <c r="B67105" s="136"/>
    </row>
    <row r="67106" spans="1:2" x14ac:dyDescent="0.25">
      <c r="A67106" s="118"/>
      <c r="B67106" s="136"/>
    </row>
    <row r="67107" spans="1:2" x14ac:dyDescent="0.25">
      <c r="A67107" s="118"/>
      <c r="B67107" s="136"/>
    </row>
    <row r="67108" spans="1:2" x14ac:dyDescent="0.25">
      <c r="A67108" s="118"/>
      <c r="B67108" s="136"/>
    </row>
    <row r="67109" spans="1:2" x14ac:dyDescent="0.25">
      <c r="A67109" s="118"/>
      <c r="B67109" s="136"/>
    </row>
    <row r="67110" spans="1:2" x14ac:dyDescent="0.25">
      <c r="A67110" s="118"/>
      <c r="B67110" s="136"/>
    </row>
    <row r="67111" spans="1:2" x14ac:dyDescent="0.25">
      <c r="A67111" s="118"/>
      <c r="B67111" s="136"/>
    </row>
    <row r="67112" spans="1:2" x14ac:dyDescent="0.25">
      <c r="A67112" s="118"/>
      <c r="B67112" s="136"/>
    </row>
    <row r="67113" spans="1:2" x14ac:dyDescent="0.25">
      <c r="A67113" s="118"/>
      <c r="B67113" s="136"/>
    </row>
    <row r="67114" spans="1:2" x14ac:dyDescent="0.25">
      <c r="A67114" s="118"/>
      <c r="B67114" s="136"/>
    </row>
    <row r="67115" spans="1:2" x14ac:dyDescent="0.25">
      <c r="A67115" s="118"/>
      <c r="B67115" s="136"/>
    </row>
    <row r="67116" spans="1:2" x14ac:dyDescent="0.25">
      <c r="A67116" s="118"/>
      <c r="B67116" s="136"/>
    </row>
    <row r="67117" spans="1:2" x14ac:dyDescent="0.25">
      <c r="A67117" s="118"/>
      <c r="B67117" s="136"/>
    </row>
    <row r="67118" spans="1:2" x14ac:dyDescent="0.25">
      <c r="A67118" s="118"/>
      <c r="B67118" s="136"/>
    </row>
    <row r="67119" spans="1:2" x14ac:dyDescent="0.25">
      <c r="A67119" s="118"/>
      <c r="B67119" s="136"/>
    </row>
    <row r="67120" spans="1:2" x14ac:dyDescent="0.25">
      <c r="A67120" s="118"/>
      <c r="B67120" s="136"/>
    </row>
    <row r="67121" spans="1:2" x14ac:dyDescent="0.25">
      <c r="A67121" s="118"/>
      <c r="B67121" s="136"/>
    </row>
    <row r="67122" spans="1:2" x14ac:dyDescent="0.25">
      <c r="A67122" s="118"/>
      <c r="B67122" s="136"/>
    </row>
    <row r="67123" spans="1:2" x14ac:dyDescent="0.25">
      <c r="A67123" s="118"/>
      <c r="B67123" s="136"/>
    </row>
    <row r="67124" spans="1:2" x14ac:dyDescent="0.25">
      <c r="A67124" s="118"/>
      <c r="B67124" s="136"/>
    </row>
    <row r="67125" spans="1:2" x14ac:dyDescent="0.25">
      <c r="A67125" s="118"/>
      <c r="B67125" s="136"/>
    </row>
    <row r="67126" spans="1:2" x14ac:dyDescent="0.25">
      <c r="A67126" s="118"/>
      <c r="B67126" s="136"/>
    </row>
    <row r="67127" spans="1:2" x14ac:dyDescent="0.25">
      <c r="A67127" s="118"/>
      <c r="B67127" s="136"/>
    </row>
    <row r="67128" spans="1:2" x14ac:dyDescent="0.25">
      <c r="A67128" s="118"/>
      <c r="B67128" s="136"/>
    </row>
    <row r="67129" spans="1:2" x14ac:dyDescent="0.25">
      <c r="A67129" s="118"/>
      <c r="B67129" s="136"/>
    </row>
    <row r="67130" spans="1:2" x14ac:dyDescent="0.25">
      <c r="A67130" s="118"/>
      <c r="B67130" s="136"/>
    </row>
    <row r="67131" spans="1:2" x14ac:dyDescent="0.25">
      <c r="A67131" s="118"/>
      <c r="B67131" s="136"/>
    </row>
    <row r="67132" spans="1:2" x14ac:dyDescent="0.25">
      <c r="A67132" s="118"/>
      <c r="B67132" s="136"/>
    </row>
    <row r="67133" spans="1:2" x14ac:dyDescent="0.25">
      <c r="A67133" s="118"/>
      <c r="B67133" s="136"/>
    </row>
    <row r="67134" spans="1:2" x14ac:dyDescent="0.25">
      <c r="A67134" s="118"/>
      <c r="B67134" s="136"/>
    </row>
    <row r="67135" spans="1:2" x14ac:dyDescent="0.25">
      <c r="A67135" s="118"/>
      <c r="B67135" s="136"/>
    </row>
    <row r="67136" spans="1:2" x14ac:dyDescent="0.25">
      <c r="A67136" s="118"/>
      <c r="B67136" s="136"/>
    </row>
    <row r="67137" spans="1:2" x14ac:dyDescent="0.25">
      <c r="A67137" s="118"/>
      <c r="B67137" s="136"/>
    </row>
    <row r="67138" spans="1:2" x14ac:dyDescent="0.25">
      <c r="A67138" s="118"/>
      <c r="B67138" s="136"/>
    </row>
    <row r="67139" spans="1:2" x14ac:dyDescent="0.25">
      <c r="A67139" s="118"/>
      <c r="B67139" s="136"/>
    </row>
    <row r="67140" spans="1:2" x14ac:dyDescent="0.25">
      <c r="A67140" s="118"/>
      <c r="B67140" s="136"/>
    </row>
    <row r="67141" spans="1:2" x14ac:dyDescent="0.25">
      <c r="A67141" s="118"/>
      <c r="B67141" s="136"/>
    </row>
    <row r="67142" spans="1:2" x14ac:dyDescent="0.25">
      <c r="A67142" s="118"/>
      <c r="B67142" s="136"/>
    </row>
    <row r="67143" spans="1:2" x14ac:dyDescent="0.25">
      <c r="A67143" s="118"/>
      <c r="B67143" s="136"/>
    </row>
    <row r="67144" spans="1:2" x14ac:dyDescent="0.25">
      <c r="A67144" s="118"/>
      <c r="B67144" s="136"/>
    </row>
    <row r="67145" spans="1:2" x14ac:dyDescent="0.25">
      <c r="A67145" s="118"/>
      <c r="B67145" s="136"/>
    </row>
    <row r="67146" spans="1:2" x14ac:dyDescent="0.25">
      <c r="A67146" s="118"/>
      <c r="B67146" s="136"/>
    </row>
    <row r="67147" spans="1:2" x14ac:dyDescent="0.25">
      <c r="A67147" s="118"/>
      <c r="B67147" s="136"/>
    </row>
    <row r="67148" spans="1:2" x14ac:dyDescent="0.25">
      <c r="A67148" s="118"/>
      <c r="B67148" s="136"/>
    </row>
    <row r="67149" spans="1:2" x14ac:dyDescent="0.25">
      <c r="A67149" s="118"/>
      <c r="B67149" s="136"/>
    </row>
    <row r="67150" spans="1:2" x14ac:dyDescent="0.25">
      <c r="A67150" s="118"/>
      <c r="B67150" s="136"/>
    </row>
    <row r="67151" spans="1:2" x14ac:dyDescent="0.25">
      <c r="A67151" s="118"/>
      <c r="B67151" s="136"/>
    </row>
    <row r="67152" spans="1:2" x14ac:dyDescent="0.25">
      <c r="A67152" s="118"/>
      <c r="B67152" s="136"/>
    </row>
    <row r="67153" spans="1:2" x14ac:dyDescent="0.25">
      <c r="A67153" s="118"/>
      <c r="B67153" s="136"/>
    </row>
    <row r="67154" spans="1:2" x14ac:dyDescent="0.25">
      <c r="A67154" s="118"/>
      <c r="B67154" s="136"/>
    </row>
    <row r="67155" spans="1:2" x14ac:dyDescent="0.25">
      <c r="A67155" s="118"/>
      <c r="B67155" s="136"/>
    </row>
    <row r="67156" spans="1:2" x14ac:dyDescent="0.25">
      <c r="A67156" s="118"/>
      <c r="B67156" s="136"/>
    </row>
    <row r="67157" spans="1:2" x14ac:dyDescent="0.25">
      <c r="A67157" s="118"/>
      <c r="B67157" s="136"/>
    </row>
    <row r="67158" spans="1:2" x14ac:dyDescent="0.25">
      <c r="A67158" s="118"/>
      <c r="B67158" s="136"/>
    </row>
    <row r="67159" spans="1:2" x14ac:dyDescent="0.25">
      <c r="A67159" s="118"/>
      <c r="B67159" s="136"/>
    </row>
    <row r="67160" spans="1:2" x14ac:dyDescent="0.25">
      <c r="A67160" s="118"/>
      <c r="B67160" s="136"/>
    </row>
    <row r="67161" spans="1:2" x14ac:dyDescent="0.25">
      <c r="A67161" s="118"/>
      <c r="B67161" s="136"/>
    </row>
    <row r="67162" spans="1:2" x14ac:dyDescent="0.25">
      <c r="A67162" s="118"/>
      <c r="B67162" s="136"/>
    </row>
    <row r="67163" spans="1:2" x14ac:dyDescent="0.25">
      <c r="A67163" s="118"/>
      <c r="B67163" s="136"/>
    </row>
    <row r="67164" spans="1:2" x14ac:dyDescent="0.25">
      <c r="A67164" s="118"/>
      <c r="B67164" s="136"/>
    </row>
    <row r="67165" spans="1:2" x14ac:dyDescent="0.25">
      <c r="A67165" s="118"/>
      <c r="B67165" s="136"/>
    </row>
    <row r="67166" spans="1:2" x14ac:dyDescent="0.25">
      <c r="A67166" s="118"/>
      <c r="B67166" s="136"/>
    </row>
    <row r="67167" spans="1:2" x14ac:dyDescent="0.25">
      <c r="A67167" s="118"/>
      <c r="B67167" s="136"/>
    </row>
    <row r="67168" spans="1:2" x14ac:dyDescent="0.25">
      <c r="A67168" s="118"/>
      <c r="B67168" s="136"/>
    </row>
    <row r="67169" spans="1:2" x14ac:dyDescent="0.25">
      <c r="A67169" s="118"/>
      <c r="B67169" s="136"/>
    </row>
    <row r="67170" spans="1:2" x14ac:dyDescent="0.25">
      <c r="A67170" s="118"/>
      <c r="B67170" s="136"/>
    </row>
    <row r="67171" spans="1:2" x14ac:dyDescent="0.25">
      <c r="A67171" s="118"/>
      <c r="B67171" s="136"/>
    </row>
    <row r="67172" spans="1:2" x14ac:dyDescent="0.25">
      <c r="A67172" s="118"/>
      <c r="B67172" s="136"/>
    </row>
    <row r="67173" spans="1:2" x14ac:dyDescent="0.25">
      <c r="A67173" s="118"/>
      <c r="B67173" s="136"/>
    </row>
    <row r="67174" spans="1:2" x14ac:dyDescent="0.25">
      <c r="A67174" s="118"/>
      <c r="B67174" s="136"/>
    </row>
    <row r="67175" spans="1:2" x14ac:dyDescent="0.25">
      <c r="A67175" s="118"/>
      <c r="B67175" s="136"/>
    </row>
    <row r="67176" spans="1:2" x14ac:dyDescent="0.25">
      <c r="A67176" s="118"/>
      <c r="B67176" s="136"/>
    </row>
    <row r="67177" spans="1:2" x14ac:dyDescent="0.25">
      <c r="A67177" s="118"/>
      <c r="B67177" s="136"/>
    </row>
    <row r="67178" spans="1:2" x14ac:dyDescent="0.25">
      <c r="A67178" s="118"/>
      <c r="B67178" s="136"/>
    </row>
    <row r="67179" spans="1:2" x14ac:dyDescent="0.25">
      <c r="A67179" s="118"/>
      <c r="B67179" s="136"/>
    </row>
    <row r="67180" spans="1:2" x14ac:dyDescent="0.25">
      <c r="A67180" s="118"/>
      <c r="B67180" s="136"/>
    </row>
    <row r="67181" spans="1:2" x14ac:dyDescent="0.25">
      <c r="A67181" s="118"/>
      <c r="B67181" s="136"/>
    </row>
    <row r="67182" spans="1:2" x14ac:dyDescent="0.25">
      <c r="A67182" s="118"/>
      <c r="B67182" s="136"/>
    </row>
    <row r="67183" spans="1:2" x14ac:dyDescent="0.25">
      <c r="A67183" s="118"/>
      <c r="B67183" s="136"/>
    </row>
    <row r="67184" spans="1:2" x14ac:dyDescent="0.25">
      <c r="A67184" s="118"/>
      <c r="B67184" s="136"/>
    </row>
    <row r="67185" spans="1:2" x14ac:dyDescent="0.25">
      <c r="A67185" s="118"/>
      <c r="B67185" s="136"/>
    </row>
    <row r="67186" spans="1:2" x14ac:dyDescent="0.25">
      <c r="A67186" s="118"/>
      <c r="B67186" s="136"/>
    </row>
    <row r="67187" spans="1:2" x14ac:dyDescent="0.25">
      <c r="A67187" s="118"/>
      <c r="B67187" s="136"/>
    </row>
    <row r="67188" spans="1:2" x14ac:dyDescent="0.25">
      <c r="A67188" s="118"/>
      <c r="B67188" s="136"/>
    </row>
    <row r="67189" spans="1:2" x14ac:dyDescent="0.25">
      <c r="A67189" s="118"/>
      <c r="B67189" s="136"/>
    </row>
    <row r="67190" spans="1:2" x14ac:dyDescent="0.25">
      <c r="A67190" s="118"/>
      <c r="B67190" s="136"/>
    </row>
    <row r="67191" spans="1:2" x14ac:dyDescent="0.25">
      <c r="A67191" s="118"/>
      <c r="B67191" s="136"/>
    </row>
    <row r="67192" spans="1:2" x14ac:dyDescent="0.25">
      <c r="A67192" s="118"/>
      <c r="B67192" s="136"/>
    </row>
    <row r="67193" spans="1:2" x14ac:dyDescent="0.25">
      <c r="A67193" s="118"/>
      <c r="B67193" s="136"/>
    </row>
    <row r="67194" spans="1:2" x14ac:dyDescent="0.25">
      <c r="A67194" s="118"/>
      <c r="B67194" s="136"/>
    </row>
    <row r="67195" spans="1:2" x14ac:dyDescent="0.25">
      <c r="A67195" s="118"/>
      <c r="B67195" s="136"/>
    </row>
    <row r="67196" spans="1:2" x14ac:dyDescent="0.25">
      <c r="A67196" s="118"/>
      <c r="B67196" s="136"/>
    </row>
    <row r="67197" spans="1:2" x14ac:dyDescent="0.25">
      <c r="A67197" s="118"/>
      <c r="B67197" s="136"/>
    </row>
    <row r="67198" spans="1:2" x14ac:dyDescent="0.25">
      <c r="A67198" s="118"/>
      <c r="B67198" s="136"/>
    </row>
    <row r="67199" spans="1:2" x14ac:dyDescent="0.25">
      <c r="A67199" s="118"/>
      <c r="B67199" s="136"/>
    </row>
    <row r="67200" spans="1:2" x14ac:dyDescent="0.25">
      <c r="A67200" s="118"/>
      <c r="B67200" s="136"/>
    </row>
    <row r="67201" spans="1:2" x14ac:dyDescent="0.25">
      <c r="A67201" s="118"/>
      <c r="B67201" s="136"/>
    </row>
    <row r="67202" spans="1:2" x14ac:dyDescent="0.25">
      <c r="A67202" s="118"/>
      <c r="B67202" s="136"/>
    </row>
    <row r="67203" spans="1:2" x14ac:dyDescent="0.25">
      <c r="A67203" s="118"/>
      <c r="B67203" s="136"/>
    </row>
    <row r="67204" spans="1:2" x14ac:dyDescent="0.25">
      <c r="A67204" s="118"/>
      <c r="B67204" s="136"/>
    </row>
    <row r="67205" spans="1:2" x14ac:dyDescent="0.25">
      <c r="A67205" s="118"/>
      <c r="B67205" s="136"/>
    </row>
    <row r="67206" spans="1:2" x14ac:dyDescent="0.25">
      <c r="A67206" s="118"/>
      <c r="B67206" s="136"/>
    </row>
    <row r="67207" spans="1:2" x14ac:dyDescent="0.25">
      <c r="A67207" s="118"/>
      <c r="B67207" s="136"/>
    </row>
    <row r="67208" spans="1:2" x14ac:dyDescent="0.25">
      <c r="A67208" s="118"/>
      <c r="B67208" s="136"/>
    </row>
    <row r="67209" spans="1:2" x14ac:dyDescent="0.25">
      <c r="A67209" s="118"/>
      <c r="B67209" s="136"/>
    </row>
    <row r="67210" spans="1:2" x14ac:dyDescent="0.25">
      <c r="A67210" s="118"/>
      <c r="B67210" s="136"/>
    </row>
    <row r="67211" spans="1:2" x14ac:dyDescent="0.25">
      <c r="A67211" s="118"/>
      <c r="B67211" s="136"/>
    </row>
    <row r="67212" spans="1:2" x14ac:dyDescent="0.25">
      <c r="A67212" s="118"/>
      <c r="B67212" s="136"/>
    </row>
    <row r="67213" spans="1:2" x14ac:dyDescent="0.25">
      <c r="A67213" s="118"/>
      <c r="B67213" s="136"/>
    </row>
    <row r="67214" spans="1:2" x14ac:dyDescent="0.25">
      <c r="A67214" s="118"/>
      <c r="B67214" s="136"/>
    </row>
    <row r="67215" spans="1:2" x14ac:dyDescent="0.25">
      <c r="A67215" s="118"/>
      <c r="B67215" s="136"/>
    </row>
    <row r="67216" spans="1:2" x14ac:dyDescent="0.25">
      <c r="A67216" s="118"/>
      <c r="B67216" s="136"/>
    </row>
    <row r="67217" spans="1:2" x14ac:dyDescent="0.25">
      <c r="A67217" s="118"/>
      <c r="B67217" s="136"/>
    </row>
    <row r="67218" spans="1:2" x14ac:dyDescent="0.25">
      <c r="A67218" s="118"/>
      <c r="B67218" s="136"/>
    </row>
    <row r="67219" spans="1:2" x14ac:dyDescent="0.25">
      <c r="A67219" s="118"/>
      <c r="B67219" s="136"/>
    </row>
    <row r="67220" spans="1:2" x14ac:dyDescent="0.25">
      <c r="A67220" s="118"/>
      <c r="B67220" s="136"/>
    </row>
    <row r="67221" spans="1:2" x14ac:dyDescent="0.25">
      <c r="A67221" s="118"/>
      <c r="B67221" s="136"/>
    </row>
    <row r="67222" spans="1:2" x14ac:dyDescent="0.25">
      <c r="A67222" s="118"/>
      <c r="B67222" s="136"/>
    </row>
    <row r="67223" spans="1:2" x14ac:dyDescent="0.25">
      <c r="A67223" s="118"/>
      <c r="B67223" s="136"/>
    </row>
    <row r="67224" spans="1:2" x14ac:dyDescent="0.25">
      <c r="A67224" s="118"/>
      <c r="B67224" s="136"/>
    </row>
    <row r="67225" spans="1:2" x14ac:dyDescent="0.25">
      <c r="A67225" s="118"/>
      <c r="B67225" s="136"/>
    </row>
    <row r="67226" spans="1:2" x14ac:dyDescent="0.25">
      <c r="A67226" s="118"/>
      <c r="B67226" s="136"/>
    </row>
    <row r="67227" spans="1:2" x14ac:dyDescent="0.25">
      <c r="A67227" s="118"/>
      <c r="B67227" s="136"/>
    </row>
    <row r="67228" spans="1:2" x14ac:dyDescent="0.25">
      <c r="A67228" s="118"/>
      <c r="B67228" s="136"/>
    </row>
    <row r="67229" spans="1:2" x14ac:dyDescent="0.25">
      <c r="A67229" s="118"/>
      <c r="B67229" s="136"/>
    </row>
    <row r="67230" spans="1:2" x14ac:dyDescent="0.25">
      <c r="A67230" s="118"/>
      <c r="B67230" s="136"/>
    </row>
    <row r="67231" spans="1:2" x14ac:dyDescent="0.25">
      <c r="A67231" s="118"/>
      <c r="B67231" s="136"/>
    </row>
    <row r="67232" spans="1:2" x14ac:dyDescent="0.25">
      <c r="A67232" s="118"/>
      <c r="B67232" s="136"/>
    </row>
    <row r="67233" spans="1:2" x14ac:dyDescent="0.25">
      <c r="A67233" s="118"/>
      <c r="B67233" s="136"/>
    </row>
    <row r="67234" spans="1:2" x14ac:dyDescent="0.25">
      <c r="A67234" s="118"/>
      <c r="B67234" s="136"/>
    </row>
    <row r="67235" spans="1:2" x14ac:dyDescent="0.25">
      <c r="A67235" s="118"/>
      <c r="B67235" s="136"/>
    </row>
    <row r="67236" spans="1:2" x14ac:dyDescent="0.25">
      <c r="A67236" s="118"/>
      <c r="B67236" s="136"/>
    </row>
    <row r="67237" spans="1:2" x14ac:dyDescent="0.25">
      <c r="A67237" s="118"/>
      <c r="B67237" s="136"/>
    </row>
    <row r="67238" spans="1:2" x14ac:dyDescent="0.25">
      <c r="A67238" s="118"/>
      <c r="B67238" s="136"/>
    </row>
    <row r="67239" spans="1:2" x14ac:dyDescent="0.25">
      <c r="A67239" s="118"/>
      <c r="B67239" s="136"/>
    </row>
    <row r="67240" spans="1:2" x14ac:dyDescent="0.25">
      <c r="A67240" s="118"/>
      <c r="B67240" s="136"/>
    </row>
    <row r="67241" spans="1:2" x14ac:dyDescent="0.25">
      <c r="A67241" s="118"/>
      <c r="B67241" s="136"/>
    </row>
    <row r="67242" spans="1:2" x14ac:dyDescent="0.25">
      <c r="A67242" s="118"/>
      <c r="B67242" s="136"/>
    </row>
    <row r="67243" spans="1:2" x14ac:dyDescent="0.25">
      <c r="A67243" s="118"/>
      <c r="B67243" s="136"/>
    </row>
    <row r="67244" spans="1:2" x14ac:dyDescent="0.25">
      <c r="A67244" s="118"/>
      <c r="B67244" s="136"/>
    </row>
    <row r="67245" spans="1:2" x14ac:dyDescent="0.25">
      <c r="A67245" s="118"/>
      <c r="B67245" s="136"/>
    </row>
    <row r="67246" spans="1:2" x14ac:dyDescent="0.25">
      <c r="A67246" s="118"/>
      <c r="B67246" s="136"/>
    </row>
    <row r="67247" spans="1:2" x14ac:dyDescent="0.25">
      <c r="A67247" s="118"/>
      <c r="B67247" s="136"/>
    </row>
    <row r="67248" spans="1:2" x14ac:dyDescent="0.25">
      <c r="A67248" s="118"/>
      <c r="B67248" s="136"/>
    </row>
    <row r="67249" spans="1:2" x14ac:dyDescent="0.25">
      <c r="A67249" s="118"/>
      <c r="B67249" s="136"/>
    </row>
    <row r="67250" spans="1:2" x14ac:dyDescent="0.25">
      <c r="A67250" s="118"/>
      <c r="B67250" s="136"/>
    </row>
    <row r="67251" spans="1:2" x14ac:dyDescent="0.25">
      <c r="A67251" s="118"/>
      <c r="B67251" s="136"/>
    </row>
    <row r="67252" spans="1:2" x14ac:dyDescent="0.25">
      <c r="A67252" s="118"/>
      <c r="B67252" s="136"/>
    </row>
    <row r="67253" spans="1:2" x14ac:dyDescent="0.25">
      <c r="A67253" s="118"/>
      <c r="B67253" s="136"/>
    </row>
    <row r="67254" spans="1:2" x14ac:dyDescent="0.25">
      <c r="A67254" s="118"/>
      <c r="B67254" s="136"/>
    </row>
    <row r="67255" spans="1:2" x14ac:dyDescent="0.25">
      <c r="A67255" s="118"/>
      <c r="B67255" s="136"/>
    </row>
    <row r="67256" spans="1:2" x14ac:dyDescent="0.25">
      <c r="A67256" s="118"/>
      <c r="B67256" s="136"/>
    </row>
    <row r="67257" spans="1:2" x14ac:dyDescent="0.25">
      <c r="A67257" s="118"/>
      <c r="B67257" s="136"/>
    </row>
    <row r="67258" spans="1:2" x14ac:dyDescent="0.25">
      <c r="A67258" s="118"/>
      <c r="B67258" s="136"/>
    </row>
    <row r="67259" spans="1:2" x14ac:dyDescent="0.25">
      <c r="A67259" s="118"/>
      <c r="B67259" s="136"/>
    </row>
    <row r="67260" spans="1:2" x14ac:dyDescent="0.25">
      <c r="A67260" s="118"/>
      <c r="B67260" s="136"/>
    </row>
    <row r="67261" spans="1:2" x14ac:dyDescent="0.25">
      <c r="A67261" s="118"/>
      <c r="B67261" s="136"/>
    </row>
    <row r="67262" spans="1:2" x14ac:dyDescent="0.25">
      <c r="A67262" s="118"/>
      <c r="B67262" s="136"/>
    </row>
    <row r="67263" spans="1:2" x14ac:dyDescent="0.25">
      <c r="A67263" s="118"/>
      <c r="B67263" s="136"/>
    </row>
    <row r="67264" spans="1:2" x14ac:dyDescent="0.25">
      <c r="A67264" s="118"/>
      <c r="B67264" s="136"/>
    </row>
    <row r="67265" spans="1:2" x14ac:dyDescent="0.25">
      <c r="A67265" s="118"/>
      <c r="B67265" s="136"/>
    </row>
    <row r="67266" spans="1:2" x14ac:dyDescent="0.25">
      <c r="A67266" s="118"/>
      <c r="B67266" s="136"/>
    </row>
    <row r="67267" spans="1:2" x14ac:dyDescent="0.25">
      <c r="A67267" s="118"/>
      <c r="B67267" s="136"/>
    </row>
    <row r="67268" spans="1:2" x14ac:dyDescent="0.25">
      <c r="A67268" s="118"/>
      <c r="B67268" s="136"/>
    </row>
    <row r="67269" spans="1:2" x14ac:dyDescent="0.25">
      <c r="A67269" s="118"/>
      <c r="B67269" s="136"/>
    </row>
    <row r="67270" spans="1:2" x14ac:dyDescent="0.25">
      <c r="A67270" s="118"/>
      <c r="B67270" s="136"/>
    </row>
    <row r="67271" spans="1:2" x14ac:dyDescent="0.25">
      <c r="A67271" s="118"/>
      <c r="B67271" s="136"/>
    </row>
    <row r="67272" spans="1:2" x14ac:dyDescent="0.25">
      <c r="A67272" s="118"/>
      <c r="B67272" s="136"/>
    </row>
    <row r="67273" spans="1:2" x14ac:dyDescent="0.25">
      <c r="A67273" s="118"/>
      <c r="B67273" s="136"/>
    </row>
    <row r="67274" spans="1:2" x14ac:dyDescent="0.25">
      <c r="A67274" s="118"/>
      <c r="B67274" s="136"/>
    </row>
    <row r="67275" spans="1:2" x14ac:dyDescent="0.25">
      <c r="A67275" s="118"/>
      <c r="B67275" s="136"/>
    </row>
    <row r="67276" spans="1:2" x14ac:dyDescent="0.25">
      <c r="A67276" s="118"/>
      <c r="B67276" s="136"/>
    </row>
    <row r="67277" spans="1:2" x14ac:dyDescent="0.25">
      <c r="A67277" s="118"/>
      <c r="B67277" s="136"/>
    </row>
    <row r="67278" spans="1:2" x14ac:dyDescent="0.25">
      <c r="A67278" s="118"/>
      <c r="B67278" s="136"/>
    </row>
    <row r="67279" spans="1:2" x14ac:dyDescent="0.25">
      <c r="A67279" s="118"/>
      <c r="B67279" s="136"/>
    </row>
    <row r="67280" spans="1:2" x14ac:dyDescent="0.25">
      <c r="A67280" s="118"/>
      <c r="B67280" s="136"/>
    </row>
    <row r="67281" spans="1:2" x14ac:dyDescent="0.25">
      <c r="A67281" s="118"/>
      <c r="B67281" s="136"/>
    </row>
    <row r="67282" spans="1:2" x14ac:dyDescent="0.25">
      <c r="A67282" s="118"/>
      <c r="B67282" s="136"/>
    </row>
    <row r="67283" spans="1:2" x14ac:dyDescent="0.25">
      <c r="A67283" s="118"/>
      <c r="B67283" s="136"/>
    </row>
    <row r="67284" spans="1:2" x14ac:dyDescent="0.25">
      <c r="A67284" s="118"/>
      <c r="B67284" s="136"/>
    </row>
    <row r="67285" spans="1:2" x14ac:dyDescent="0.25">
      <c r="A67285" s="118"/>
      <c r="B67285" s="136"/>
    </row>
    <row r="67286" spans="1:2" x14ac:dyDescent="0.25">
      <c r="A67286" s="118"/>
      <c r="B67286" s="136"/>
    </row>
    <row r="67287" spans="1:2" x14ac:dyDescent="0.25">
      <c r="A67287" s="118"/>
      <c r="B67287" s="136"/>
    </row>
    <row r="67288" spans="1:2" x14ac:dyDescent="0.25">
      <c r="A67288" s="118"/>
      <c r="B67288" s="136"/>
    </row>
    <row r="67289" spans="1:2" x14ac:dyDescent="0.25">
      <c r="A67289" s="118"/>
      <c r="B67289" s="136"/>
    </row>
    <row r="67290" spans="1:2" x14ac:dyDescent="0.25">
      <c r="A67290" s="118"/>
      <c r="B67290" s="136"/>
    </row>
    <row r="67291" spans="1:2" x14ac:dyDescent="0.25">
      <c r="A67291" s="118"/>
      <c r="B67291" s="136"/>
    </row>
    <row r="67292" spans="1:2" x14ac:dyDescent="0.25">
      <c r="A67292" s="118"/>
      <c r="B67292" s="136"/>
    </row>
    <row r="67293" spans="1:2" x14ac:dyDescent="0.25">
      <c r="A67293" s="118"/>
      <c r="B67293" s="136"/>
    </row>
    <row r="67294" spans="1:2" x14ac:dyDescent="0.25">
      <c r="A67294" s="118"/>
      <c r="B67294" s="136"/>
    </row>
    <row r="67295" spans="1:2" x14ac:dyDescent="0.25">
      <c r="A67295" s="118"/>
      <c r="B67295" s="136"/>
    </row>
    <row r="67296" spans="1:2" x14ac:dyDescent="0.25">
      <c r="A67296" s="118"/>
      <c r="B67296" s="136"/>
    </row>
    <row r="67297" spans="1:2" x14ac:dyDescent="0.25">
      <c r="A67297" s="118"/>
      <c r="B67297" s="136"/>
    </row>
    <row r="67298" spans="1:2" x14ac:dyDescent="0.25">
      <c r="A67298" s="118"/>
      <c r="B67298" s="136"/>
    </row>
    <row r="67299" spans="1:2" x14ac:dyDescent="0.25">
      <c r="A67299" s="118"/>
      <c r="B67299" s="136"/>
    </row>
    <row r="67300" spans="1:2" x14ac:dyDescent="0.25">
      <c r="A67300" s="118"/>
      <c r="B67300" s="136"/>
    </row>
    <row r="67301" spans="1:2" x14ac:dyDescent="0.25">
      <c r="A67301" s="118"/>
      <c r="B67301" s="136"/>
    </row>
    <row r="67302" spans="1:2" x14ac:dyDescent="0.25">
      <c r="A67302" s="118"/>
      <c r="B67302" s="136"/>
    </row>
    <row r="67303" spans="1:2" x14ac:dyDescent="0.25">
      <c r="A67303" s="118"/>
      <c r="B67303" s="136"/>
    </row>
    <row r="67304" spans="1:2" x14ac:dyDescent="0.25">
      <c r="A67304" s="118"/>
      <c r="B67304" s="136"/>
    </row>
    <row r="67305" spans="1:2" x14ac:dyDescent="0.25">
      <c r="A67305" s="118"/>
      <c r="B67305" s="136"/>
    </row>
    <row r="67306" spans="1:2" x14ac:dyDescent="0.25">
      <c r="A67306" s="118"/>
      <c r="B67306" s="136"/>
    </row>
    <row r="67307" spans="1:2" x14ac:dyDescent="0.25">
      <c r="A67307" s="118"/>
      <c r="B67307" s="136"/>
    </row>
    <row r="67308" spans="1:2" x14ac:dyDescent="0.25">
      <c r="A67308" s="118"/>
      <c r="B67308" s="136"/>
    </row>
    <row r="67309" spans="1:2" x14ac:dyDescent="0.25">
      <c r="A67309" s="118"/>
      <c r="B67309" s="136"/>
    </row>
    <row r="67310" spans="1:2" x14ac:dyDescent="0.25">
      <c r="A67310" s="118"/>
      <c r="B67310" s="136"/>
    </row>
    <row r="67311" spans="1:2" x14ac:dyDescent="0.25">
      <c r="A67311" s="118"/>
      <c r="B67311" s="136"/>
    </row>
    <row r="67312" spans="1:2" x14ac:dyDescent="0.25">
      <c r="A67312" s="118"/>
      <c r="B67312" s="136"/>
    </row>
    <row r="67313" spans="1:2" x14ac:dyDescent="0.25">
      <c r="A67313" s="118"/>
      <c r="B67313" s="136"/>
    </row>
    <row r="67314" spans="1:2" x14ac:dyDescent="0.25">
      <c r="A67314" s="118"/>
      <c r="B67314" s="136"/>
    </row>
    <row r="67315" spans="1:2" x14ac:dyDescent="0.25">
      <c r="A67315" s="118"/>
      <c r="B67315" s="136"/>
    </row>
    <row r="67316" spans="1:2" x14ac:dyDescent="0.25">
      <c r="A67316" s="118"/>
      <c r="B67316" s="136"/>
    </row>
    <row r="67317" spans="1:2" x14ac:dyDescent="0.25">
      <c r="A67317" s="118"/>
      <c r="B67317" s="136"/>
    </row>
    <row r="67318" spans="1:2" x14ac:dyDescent="0.25">
      <c r="A67318" s="118"/>
      <c r="B67318" s="136"/>
    </row>
    <row r="67319" spans="1:2" x14ac:dyDescent="0.25">
      <c r="A67319" s="118"/>
      <c r="B67319" s="136"/>
    </row>
    <row r="67320" spans="1:2" x14ac:dyDescent="0.25">
      <c r="A67320" s="118"/>
      <c r="B67320" s="136"/>
    </row>
    <row r="67321" spans="1:2" x14ac:dyDescent="0.25">
      <c r="A67321" s="118"/>
      <c r="B67321" s="136"/>
    </row>
    <row r="67322" spans="1:2" x14ac:dyDescent="0.25">
      <c r="A67322" s="118"/>
      <c r="B67322" s="136"/>
    </row>
    <row r="67323" spans="1:2" x14ac:dyDescent="0.25">
      <c r="A67323" s="118"/>
      <c r="B67323" s="136"/>
    </row>
    <row r="67324" spans="1:2" x14ac:dyDescent="0.25">
      <c r="A67324" s="118"/>
      <c r="B67324" s="136"/>
    </row>
    <row r="67325" spans="1:2" x14ac:dyDescent="0.25">
      <c r="A67325" s="118"/>
      <c r="B67325" s="136"/>
    </row>
    <row r="67326" spans="1:2" x14ac:dyDescent="0.25">
      <c r="A67326" s="118"/>
      <c r="B67326" s="136"/>
    </row>
    <row r="67327" spans="1:2" x14ac:dyDescent="0.25">
      <c r="A67327" s="118"/>
      <c r="B67327" s="136"/>
    </row>
    <row r="67328" spans="1:2" x14ac:dyDescent="0.25">
      <c r="A67328" s="118"/>
      <c r="B67328" s="136"/>
    </row>
    <row r="67329" spans="1:2" x14ac:dyDescent="0.25">
      <c r="A67329" s="118"/>
      <c r="B67329" s="136"/>
    </row>
    <row r="67330" spans="1:2" x14ac:dyDescent="0.25">
      <c r="A67330" s="118"/>
      <c r="B67330" s="136"/>
    </row>
    <row r="67331" spans="1:2" x14ac:dyDescent="0.25">
      <c r="A67331" s="118"/>
      <c r="B67331" s="136"/>
    </row>
    <row r="67332" spans="1:2" x14ac:dyDescent="0.25">
      <c r="A67332" s="118"/>
      <c r="B67332" s="136"/>
    </row>
    <row r="67333" spans="1:2" x14ac:dyDescent="0.25">
      <c r="A67333" s="118"/>
      <c r="B67333" s="136"/>
    </row>
    <row r="67334" spans="1:2" x14ac:dyDescent="0.25">
      <c r="A67334" s="118"/>
      <c r="B67334" s="136"/>
    </row>
    <row r="67335" spans="1:2" x14ac:dyDescent="0.25">
      <c r="A67335" s="118"/>
      <c r="B67335" s="136"/>
    </row>
    <row r="67336" spans="1:2" x14ac:dyDescent="0.25">
      <c r="A67336" s="118"/>
      <c r="B67336" s="136"/>
    </row>
    <row r="67337" spans="1:2" x14ac:dyDescent="0.25">
      <c r="A67337" s="118"/>
      <c r="B67337" s="136"/>
    </row>
    <row r="67338" spans="1:2" x14ac:dyDescent="0.25">
      <c r="A67338" s="118"/>
      <c r="B67338" s="136"/>
    </row>
    <row r="67339" spans="1:2" x14ac:dyDescent="0.25">
      <c r="A67339" s="118"/>
      <c r="B67339" s="136"/>
    </row>
    <row r="67340" spans="1:2" x14ac:dyDescent="0.25">
      <c r="A67340" s="118"/>
      <c r="B67340" s="136"/>
    </row>
    <row r="67341" spans="1:2" x14ac:dyDescent="0.25">
      <c r="A67341" s="118"/>
      <c r="B67341" s="136"/>
    </row>
    <row r="67342" spans="1:2" x14ac:dyDescent="0.25">
      <c r="A67342" s="118"/>
      <c r="B67342" s="136"/>
    </row>
    <row r="67343" spans="1:2" x14ac:dyDescent="0.25">
      <c r="A67343" s="118"/>
      <c r="B67343" s="136"/>
    </row>
    <row r="67344" spans="1:2" x14ac:dyDescent="0.25">
      <c r="A67344" s="118"/>
      <c r="B67344" s="136"/>
    </row>
    <row r="67345" spans="1:2" x14ac:dyDescent="0.25">
      <c r="A67345" s="118"/>
      <c r="B67345" s="136"/>
    </row>
    <row r="67346" spans="1:2" x14ac:dyDescent="0.25">
      <c r="A67346" s="118"/>
      <c r="B67346" s="136"/>
    </row>
    <row r="67347" spans="1:2" x14ac:dyDescent="0.25">
      <c r="A67347" s="118"/>
      <c r="B67347" s="136"/>
    </row>
    <row r="67348" spans="1:2" x14ac:dyDescent="0.25">
      <c r="A67348" s="118"/>
      <c r="B67348" s="136"/>
    </row>
    <row r="67349" spans="1:2" x14ac:dyDescent="0.25">
      <c r="A67349" s="118"/>
      <c r="B67349" s="136"/>
    </row>
    <row r="67350" spans="1:2" x14ac:dyDescent="0.25">
      <c r="A67350" s="118"/>
      <c r="B67350" s="136"/>
    </row>
    <row r="67351" spans="1:2" x14ac:dyDescent="0.25">
      <c r="A67351" s="118"/>
      <c r="B67351" s="136"/>
    </row>
    <row r="67352" spans="1:2" x14ac:dyDescent="0.25">
      <c r="A67352" s="118"/>
      <c r="B67352" s="136"/>
    </row>
    <row r="67353" spans="1:2" x14ac:dyDescent="0.25">
      <c r="A67353" s="118"/>
      <c r="B67353" s="136"/>
    </row>
    <row r="67354" spans="1:2" x14ac:dyDescent="0.25">
      <c r="A67354" s="118"/>
      <c r="B67354" s="136"/>
    </row>
    <row r="67355" spans="1:2" x14ac:dyDescent="0.25">
      <c r="A67355" s="118"/>
      <c r="B67355" s="136"/>
    </row>
    <row r="67356" spans="1:2" x14ac:dyDescent="0.25">
      <c r="A67356" s="118"/>
      <c r="B67356" s="136"/>
    </row>
    <row r="67357" spans="1:2" x14ac:dyDescent="0.25">
      <c r="A67357" s="118"/>
      <c r="B67357" s="136"/>
    </row>
    <row r="67358" spans="1:2" x14ac:dyDescent="0.25">
      <c r="A67358" s="118"/>
      <c r="B67358" s="136"/>
    </row>
    <row r="67359" spans="1:2" x14ac:dyDescent="0.25">
      <c r="A67359" s="118"/>
      <c r="B67359" s="136"/>
    </row>
    <row r="67360" spans="1:2" x14ac:dyDescent="0.25">
      <c r="A67360" s="118"/>
      <c r="B67360" s="136"/>
    </row>
    <row r="67361" spans="1:2" x14ac:dyDescent="0.25">
      <c r="A67361" s="118"/>
      <c r="B67361" s="136"/>
    </row>
    <row r="67362" spans="1:2" x14ac:dyDescent="0.25">
      <c r="A67362" s="118"/>
      <c r="B67362" s="136"/>
    </row>
    <row r="67363" spans="1:2" x14ac:dyDescent="0.25">
      <c r="A67363" s="118"/>
      <c r="B67363" s="136"/>
    </row>
    <row r="67364" spans="1:2" x14ac:dyDescent="0.25">
      <c r="A67364" s="118"/>
      <c r="B67364" s="136"/>
    </row>
    <row r="67365" spans="1:2" x14ac:dyDescent="0.25">
      <c r="A67365" s="118"/>
      <c r="B67365" s="136"/>
    </row>
    <row r="67366" spans="1:2" x14ac:dyDescent="0.25">
      <c r="A67366" s="118"/>
      <c r="B67366" s="136"/>
    </row>
    <row r="67367" spans="1:2" x14ac:dyDescent="0.25">
      <c r="A67367" s="118"/>
      <c r="B67367" s="136"/>
    </row>
    <row r="67368" spans="1:2" x14ac:dyDescent="0.25">
      <c r="A67368" s="118"/>
      <c r="B67368" s="136"/>
    </row>
    <row r="67369" spans="1:2" x14ac:dyDescent="0.25">
      <c r="A67369" s="118"/>
      <c r="B67369" s="136"/>
    </row>
    <row r="67370" spans="1:2" x14ac:dyDescent="0.25">
      <c r="A67370" s="118"/>
      <c r="B67370" s="136"/>
    </row>
    <row r="67371" spans="1:2" x14ac:dyDescent="0.25">
      <c r="A67371" s="118"/>
      <c r="B67371" s="136"/>
    </row>
    <row r="67372" spans="1:2" x14ac:dyDescent="0.25">
      <c r="A67372" s="118"/>
      <c r="B67372" s="136"/>
    </row>
    <row r="67373" spans="1:2" x14ac:dyDescent="0.25">
      <c r="A67373" s="118"/>
      <c r="B67373" s="136"/>
    </row>
    <row r="67374" spans="1:2" x14ac:dyDescent="0.25">
      <c r="A67374" s="118"/>
      <c r="B67374" s="136"/>
    </row>
    <row r="67375" spans="1:2" x14ac:dyDescent="0.25">
      <c r="A67375" s="118"/>
      <c r="B67375" s="136"/>
    </row>
    <row r="67376" spans="1:2" x14ac:dyDescent="0.25">
      <c r="A67376" s="118"/>
      <c r="B67376" s="136"/>
    </row>
    <row r="67377" spans="1:2" x14ac:dyDescent="0.25">
      <c r="A67377" s="118"/>
      <c r="B67377" s="136"/>
    </row>
    <row r="67378" spans="1:2" x14ac:dyDescent="0.25">
      <c r="A67378" s="118"/>
      <c r="B67378" s="136"/>
    </row>
    <row r="67379" spans="1:2" x14ac:dyDescent="0.25">
      <c r="A67379" s="118"/>
      <c r="B67379" s="136"/>
    </row>
    <row r="67380" spans="1:2" x14ac:dyDescent="0.25">
      <c r="A67380" s="118"/>
      <c r="B67380" s="136"/>
    </row>
    <row r="67381" spans="1:2" x14ac:dyDescent="0.25">
      <c r="A67381" s="118"/>
      <c r="B67381" s="136"/>
    </row>
    <row r="67382" spans="1:2" x14ac:dyDescent="0.25">
      <c r="A67382" s="118"/>
      <c r="B67382" s="136"/>
    </row>
    <row r="67383" spans="1:2" x14ac:dyDescent="0.25">
      <c r="A67383" s="118"/>
      <c r="B67383" s="136"/>
    </row>
    <row r="67384" spans="1:2" x14ac:dyDescent="0.25">
      <c r="A67384" s="118"/>
      <c r="B67384" s="136"/>
    </row>
    <row r="67385" spans="1:2" x14ac:dyDescent="0.25">
      <c r="A67385" s="118"/>
      <c r="B67385" s="136"/>
    </row>
    <row r="67386" spans="1:2" x14ac:dyDescent="0.25">
      <c r="A67386" s="118"/>
      <c r="B67386" s="136"/>
    </row>
    <row r="67387" spans="1:2" x14ac:dyDescent="0.25">
      <c r="A67387" s="118"/>
      <c r="B67387" s="136"/>
    </row>
    <row r="67388" spans="1:2" x14ac:dyDescent="0.25">
      <c r="A67388" s="118"/>
      <c r="B67388" s="136"/>
    </row>
    <row r="67389" spans="1:2" x14ac:dyDescent="0.25">
      <c r="A67389" s="118"/>
      <c r="B67389" s="136"/>
    </row>
    <row r="67390" spans="1:2" x14ac:dyDescent="0.25">
      <c r="A67390" s="118"/>
      <c r="B67390" s="136"/>
    </row>
    <row r="67391" spans="1:2" x14ac:dyDescent="0.25">
      <c r="A67391" s="118"/>
      <c r="B67391" s="136"/>
    </row>
    <row r="67392" spans="1:2" x14ac:dyDescent="0.25">
      <c r="A67392" s="118"/>
      <c r="B67392" s="136"/>
    </row>
    <row r="67393" spans="1:2" x14ac:dyDescent="0.25">
      <c r="A67393" s="118"/>
      <c r="B67393" s="136"/>
    </row>
    <row r="67394" spans="1:2" x14ac:dyDescent="0.25">
      <c r="A67394" s="118"/>
      <c r="B67394" s="136"/>
    </row>
    <row r="67395" spans="1:2" x14ac:dyDescent="0.25">
      <c r="A67395" s="118"/>
      <c r="B67395" s="136"/>
    </row>
    <row r="67396" spans="1:2" x14ac:dyDescent="0.25">
      <c r="A67396" s="118"/>
      <c r="B67396" s="136"/>
    </row>
    <row r="67397" spans="1:2" x14ac:dyDescent="0.25">
      <c r="A67397" s="118"/>
      <c r="B67397" s="136"/>
    </row>
    <row r="67398" spans="1:2" x14ac:dyDescent="0.25">
      <c r="A67398" s="118"/>
      <c r="B67398" s="136"/>
    </row>
    <row r="67399" spans="1:2" x14ac:dyDescent="0.25">
      <c r="A67399" s="118"/>
      <c r="B67399" s="136"/>
    </row>
    <row r="67400" spans="1:2" x14ac:dyDescent="0.25">
      <c r="A67400" s="118"/>
      <c r="B67400" s="136"/>
    </row>
    <row r="67401" spans="1:2" x14ac:dyDescent="0.25">
      <c r="A67401" s="118"/>
      <c r="B67401" s="136"/>
    </row>
    <row r="67402" spans="1:2" x14ac:dyDescent="0.25">
      <c r="A67402" s="118"/>
      <c r="B67402" s="136"/>
    </row>
    <row r="67403" spans="1:2" x14ac:dyDescent="0.25">
      <c r="A67403" s="118"/>
      <c r="B67403" s="136"/>
    </row>
    <row r="67404" spans="1:2" x14ac:dyDescent="0.25">
      <c r="A67404" s="118"/>
      <c r="B67404" s="136"/>
    </row>
    <row r="67405" spans="1:2" x14ac:dyDescent="0.25">
      <c r="A67405" s="118"/>
      <c r="B67405" s="136"/>
    </row>
    <row r="67406" spans="1:2" x14ac:dyDescent="0.25">
      <c r="A67406" s="118"/>
      <c r="B67406" s="136"/>
    </row>
    <row r="67407" spans="1:2" x14ac:dyDescent="0.25">
      <c r="A67407" s="118"/>
      <c r="B67407" s="136"/>
    </row>
    <row r="67408" spans="1:2" x14ac:dyDescent="0.25">
      <c r="A67408" s="118"/>
      <c r="B67408" s="136"/>
    </row>
    <row r="67409" spans="1:2" x14ac:dyDescent="0.25">
      <c r="A67409" s="118"/>
      <c r="B67409" s="136"/>
    </row>
    <row r="67410" spans="1:2" x14ac:dyDescent="0.25">
      <c r="A67410" s="118"/>
      <c r="B67410" s="136"/>
    </row>
    <row r="67411" spans="1:2" x14ac:dyDescent="0.25">
      <c r="A67411" s="118"/>
      <c r="B67411" s="136"/>
    </row>
    <row r="67412" spans="1:2" x14ac:dyDescent="0.25">
      <c r="A67412" s="118"/>
      <c r="B67412" s="136"/>
    </row>
    <row r="67413" spans="1:2" x14ac:dyDescent="0.25">
      <c r="A67413" s="118"/>
      <c r="B67413" s="136"/>
    </row>
    <row r="67414" spans="1:2" x14ac:dyDescent="0.25">
      <c r="A67414" s="118"/>
      <c r="B67414" s="136"/>
    </row>
    <row r="67415" spans="1:2" x14ac:dyDescent="0.25">
      <c r="A67415" s="118"/>
      <c r="B67415" s="136"/>
    </row>
    <row r="67416" spans="1:2" x14ac:dyDescent="0.25">
      <c r="A67416" s="118"/>
      <c r="B67416" s="136"/>
    </row>
    <row r="67417" spans="1:2" x14ac:dyDescent="0.25">
      <c r="A67417" s="118"/>
      <c r="B67417" s="136"/>
    </row>
    <row r="67418" spans="1:2" x14ac:dyDescent="0.25">
      <c r="A67418" s="118"/>
      <c r="B67418" s="136"/>
    </row>
    <row r="67419" spans="1:2" x14ac:dyDescent="0.25">
      <c r="A67419" s="118"/>
      <c r="B67419" s="136"/>
    </row>
    <row r="67420" spans="1:2" x14ac:dyDescent="0.25">
      <c r="A67420" s="118"/>
      <c r="B67420" s="136"/>
    </row>
    <row r="67421" spans="1:2" x14ac:dyDescent="0.25">
      <c r="A67421" s="118"/>
      <c r="B67421" s="136"/>
    </row>
    <row r="67422" spans="1:2" x14ac:dyDescent="0.25">
      <c r="A67422" s="118"/>
      <c r="B67422" s="136"/>
    </row>
    <row r="67423" spans="1:2" x14ac:dyDescent="0.25">
      <c r="A67423" s="118"/>
      <c r="B67423" s="136"/>
    </row>
    <row r="67424" spans="1:2" x14ac:dyDescent="0.25">
      <c r="A67424" s="118"/>
      <c r="B67424" s="136"/>
    </row>
    <row r="67425" spans="1:2" x14ac:dyDescent="0.25">
      <c r="A67425" s="118"/>
      <c r="B67425" s="136"/>
    </row>
    <row r="67426" spans="1:2" x14ac:dyDescent="0.25">
      <c r="A67426" s="118"/>
      <c r="B67426" s="136"/>
    </row>
    <row r="67427" spans="1:2" x14ac:dyDescent="0.25">
      <c r="A67427" s="118"/>
      <c r="B67427" s="136"/>
    </row>
    <row r="67428" spans="1:2" x14ac:dyDescent="0.25">
      <c r="A67428" s="118"/>
      <c r="B67428" s="136"/>
    </row>
    <row r="67429" spans="1:2" x14ac:dyDescent="0.25">
      <c r="A67429" s="118"/>
      <c r="B67429" s="136"/>
    </row>
    <row r="67430" spans="1:2" x14ac:dyDescent="0.25">
      <c r="A67430" s="118"/>
      <c r="B67430" s="136"/>
    </row>
    <row r="67431" spans="1:2" x14ac:dyDescent="0.25">
      <c r="A67431" s="118"/>
      <c r="B67431" s="136"/>
    </row>
    <row r="67432" spans="1:2" x14ac:dyDescent="0.25">
      <c r="A67432" s="118"/>
      <c r="B67432" s="136"/>
    </row>
    <row r="67433" spans="1:2" x14ac:dyDescent="0.25">
      <c r="A67433" s="118"/>
      <c r="B67433" s="136"/>
    </row>
    <row r="67434" spans="1:2" x14ac:dyDescent="0.25">
      <c r="A67434" s="118"/>
      <c r="B67434" s="136"/>
    </row>
    <row r="67435" spans="1:2" x14ac:dyDescent="0.25">
      <c r="A67435" s="118"/>
      <c r="B67435" s="136"/>
    </row>
    <row r="67436" spans="1:2" x14ac:dyDescent="0.25">
      <c r="A67436" s="118"/>
      <c r="B67436" s="136"/>
    </row>
    <row r="67437" spans="1:2" x14ac:dyDescent="0.25">
      <c r="A67437" s="118"/>
      <c r="B67437" s="136"/>
    </row>
    <row r="67438" spans="1:2" x14ac:dyDescent="0.25">
      <c r="A67438" s="118"/>
      <c r="B67438" s="136"/>
    </row>
    <row r="67439" spans="1:2" x14ac:dyDescent="0.25">
      <c r="A67439" s="118"/>
      <c r="B67439" s="136"/>
    </row>
    <row r="67440" spans="1:2" x14ac:dyDescent="0.25">
      <c r="A67440" s="118"/>
      <c r="B67440" s="136"/>
    </row>
    <row r="67441" spans="1:2" x14ac:dyDescent="0.25">
      <c r="A67441" s="118"/>
      <c r="B67441" s="136"/>
    </row>
    <row r="67442" spans="1:2" x14ac:dyDescent="0.25">
      <c r="A67442" s="118"/>
      <c r="B67442" s="136"/>
    </row>
    <row r="67443" spans="1:2" x14ac:dyDescent="0.25">
      <c r="A67443" s="118"/>
      <c r="B67443" s="136"/>
    </row>
    <row r="67444" spans="1:2" x14ac:dyDescent="0.25">
      <c r="A67444" s="118"/>
      <c r="B67444" s="136"/>
    </row>
    <row r="67445" spans="1:2" x14ac:dyDescent="0.25">
      <c r="A67445" s="118"/>
      <c r="B67445" s="136"/>
    </row>
    <row r="67446" spans="1:2" x14ac:dyDescent="0.25">
      <c r="A67446" s="118"/>
      <c r="B67446" s="136"/>
    </row>
    <row r="67447" spans="1:2" x14ac:dyDescent="0.25">
      <c r="A67447" s="118"/>
      <c r="B67447" s="136"/>
    </row>
    <row r="67448" spans="1:2" x14ac:dyDescent="0.25">
      <c r="A67448" s="118"/>
      <c r="B67448" s="136"/>
    </row>
    <row r="67449" spans="1:2" x14ac:dyDescent="0.25">
      <c r="A67449" s="118"/>
      <c r="B67449" s="136"/>
    </row>
    <row r="67450" spans="1:2" x14ac:dyDescent="0.25">
      <c r="A67450" s="118"/>
      <c r="B67450" s="136"/>
    </row>
    <row r="67451" spans="1:2" x14ac:dyDescent="0.25">
      <c r="A67451" s="118"/>
      <c r="B67451" s="136"/>
    </row>
    <row r="67452" spans="1:2" x14ac:dyDescent="0.25">
      <c r="A67452" s="118"/>
      <c r="B67452" s="136"/>
    </row>
    <row r="67453" spans="1:2" x14ac:dyDescent="0.25">
      <c r="A67453" s="118"/>
      <c r="B67453" s="136"/>
    </row>
    <row r="67454" spans="1:2" x14ac:dyDescent="0.25">
      <c r="A67454" s="118"/>
      <c r="B67454" s="136"/>
    </row>
    <row r="67455" spans="1:2" x14ac:dyDescent="0.25">
      <c r="A67455" s="118"/>
      <c r="B67455" s="136"/>
    </row>
    <row r="67456" spans="1:2" x14ac:dyDescent="0.25">
      <c r="A67456" s="118"/>
      <c r="B67456" s="136"/>
    </row>
    <row r="67457" spans="1:2" x14ac:dyDescent="0.25">
      <c r="A67457" s="118"/>
      <c r="B67457" s="136"/>
    </row>
    <row r="67458" spans="1:2" x14ac:dyDescent="0.25">
      <c r="A67458" s="118"/>
      <c r="B67458" s="136"/>
    </row>
    <row r="67459" spans="1:2" x14ac:dyDescent="0.25">
      <c r="A67459" s="118"/>
      <c r="B67459" s="136"/>
    </row>
    <row r="67460" spans="1:2" x14ac:dyDescent="0.25">
      <c r="A67460" s="118"/>
      <c r="B67460" s="136"/>
    </row>
    <row r="67461" spans="1:2" x14ac:dyDescent="0.25">
      <c r="A67461" s="118"/>
      <c r="B67461" s="136"/>
    </row>
    <row r="67462" spans="1:2" x14ac:dyDescent="0.25">
      <c r="A67462" s="118"/>
      <c r="B67462" s="136"/>
    </row>
    <row r="67463" spans="1:2" x14ac:dyDescent="0.25">
      <c r="A67463" s="118"/>
      <c r="B67463" s="136"/>
    </row>
    <row r="67464" spans="1:2" x14ac:dyDescent="0.25">
      <c r="A67464" s="118"/>
      <c r="B67464" s="136"/>
    </row>
    <row r="67465" spans="1:2" x14ac:dyDescent="0.25">
      <c r="A67465" s="118"/>
      <c r="B67465" s="136"/>
    </row>
    <row r="67466" spans="1:2" x14ac:dyDescent="0.25">
      <c r="A67466" s="118"/>
      <c r="B67466" s="136"/>
    </row>
    <row r="67467" spans="1:2" x14ac:dyDescent="0.25">
      <c r="A67467" s="118"/>
      <c r="B67467" s="136"/>
    </row>
    <row r="67468" spans="1:2" x14ac:dyDescent="0.25">
      <c r="A67468" s="118"/>
      <c r="B67468" s="136"/>
    </row>
    <row r="67469" spans="1:2" x14ac:dyDescent="0.25">
      <c r="A67469" s="118"/>
      <c r="B67469" s="136"/>
    </row>
    <row r="67470" spans="1:2" x14ac:dyDescent="0.25">
      <c r="A67470" s="118"/>
      <c r="B67470" s="136"/>
    </row>
    <row r="67471" spans="1:2" x14ac:dyDescent="0.25">
      <c r="A67471" s="118"/>
      <c r="B67471" s="136"/>
    </row>
    <row r="67472" spans="1:2" x14ac:dyDescent="0.25">
      <c r="A67472" s="118"/>
      <c r="B67472" s="136"/>
    </row>
    <row r="67473" spans="1:2" x14ac:dyDescent="0.25">
      <c r="A67473" s="118"/>
      <c r="B67473" s="136"/>
    </row>
    <row r="67474" spans="1:2" x14ac:dyDescent="0.25">
      <c r="A67474" s="118"/>
      <c r="B67474" s="136"/>
    </row>
    <row r="67475" spans="1:2" x14ac:dyDescent="0.25">
      <c r="A67475" s="118"/>
      <c r="B67475" s="136"/>
    </row>
    <row r="67476" spans="1:2" x14ac:dyDescent="0.25">
      <c r="A67476" s="118"/>
      <c r="B67476" s="136"/>
    </row>
    <row r="67477" spans="1:2" x14ac:dyDescent="0.25">
      <c r="A67477" s="118"/>
      <c r="B67477" s="136"/>
    </row>
    <row r="67478" spans="1:2" x14ac:dyDescent="0.25">
      <c r="A67478" s="118"/>
      <c r="B67478" s="136"/>
    </row>
    <row r="67479" spans="1:2" x14ac:dyDescent="0.25">
      <c r="A67479" s="118"/>
      <c r="B67479" s="136"/>
    </row>
    <row r="67480" spans="1:2" x14ac:dyDescent="0.25">
      <c r="A67480" s="118"/>
      <c r="B67480" s="136"/>
    </row>
    <row r="67481" spans="1:2" x14ac:dyDescent="0.25">
      <c r="A67481" s="118"/>
      <c r="B67481" s="136"/>
    </row>
    <row r="67482" spans="1:2" x14ac:dyDescent="0.25">
      <c r="A67482" s="118"/>
      <c r="B67482" s="136"/>
    </row>
    <row r="67483" spans="1:2" x14ac:dyDescent="0.25">
      <c r="A67483" s="118"/>
      <c r="B67483" s="136"/>
    </row>
    <row r="67484" spans="1:2" x14ac:dyDescent="0.25">
      <c r="A67484" s="118"/>
      <c r="B67484" s="136"/>
    </row>
    <row r="67485" spans="1:2" x14ac:dyDescent="0.25">
      <c r="A67485" s="118"/>
      <c r="B67485" s="136"/>
    </row>
    <row r="67486" spans="1:2" x14ac:dyDescent="0.25">
      <c r="A67486" s="118"/>
      <c r="B67486" s="136"/>
    </row>
    <row r="67487" spans="1:2" x14ac:dyDescent="0.25">
      <c r="A67487" s="118"/>
      <c r="B67487" s="136"/>
    </row>
    <row r="67488" spans="1:2" x14ac:dyDescent="0.25">
      <c r="A67488" s="118"/>
      <c r="B67488" s="136"/>
    </row>
    <row r="67489" spans="1:2" x14ac:dyDescent="0.25">
      <c r="A67489" s="118"/>
      <c r="B67489" s="136"/>
    </row>
    <row r="67490" spans="1:2" x14ac:dyDescent="0.25">
      <c r="A67490" s="118"/>
      <c r="B67490" s="136"/>
    </row>
    <row r="67491" spans="1:2" x14ac:dyDescent="0.25">
      <c r="A67491" s="118"/>
      <c r="B67491" s="136"/>
    </row>
    <row r="67492" spans="1:2" x14ac:dyDescent="0.25">
      <c r="A67492" s="118"/>
      <c r="B67492" s="136"/>
    </row>
    <row r="67493" spans="1:2" x14ac:dyDescent="0.25">
      <c r="A67493" s="118"/>
      <c r="B67493" s="136"/>
    </row>
    <row r="67494" spans="1:2" x14ac:dyDescent="0.25">
      <c r="A67494" s="118"/>
      <c r="B67494" s="136"/>
    </row>
    <row r="67495" spans="1:2" x14ac:dyDescent="0.25">
      <c r="A67495" s="118"/>
      <c r="B67495" s="136"/>
    </row>
    <row r="67496" spans="1:2" x14ac:dyDescent="0.25">
      <c r="A67496" s="118"/>
      <c r="B67496" s="136"/>
    </row>
    <row r="67497" spans="1:2" x14ac:dyDescent="0.25">
      <c r="A67497" s="118"/>
      <c r="B67497" s="136"/>
    </row>
    <row r="67498" spans="1:2" x14ac:dyDescent="0.25">
      <c r="A67498" s="118"/>
      <c r="B67498" s="136"/>
    </row>
    <row r="67499" spans="1:2" x14ac:dyDescent="0.25">
      <c r="A67499" s="118"/>
      <c r="B67499" s="136"/>
    </row>
    <row r="67500" spans="1:2" x14ac:dyDescent="0.25">
      <c r="A67500" s="118"/>
      <c r="B67500" s="136"/>
    </row>
    <row r="67501" spans="1:2" x14ac:dyDescent="0.25">
      <c r="A67501" s="118"/>
      <c r="B67501" s="136"/>
    </row>
    <row r="67502" spans="1:2" x14ac:dyDescent="0.25">
      <c r="A67502" s="118"/>
      <c r="B67502" s="136"/>
    </row>
    <row r="67503" spans="1:2" x14ac:dyDescent="0.25">
      <c r="A67503" s="118"/>
      <c r="B67503" s="136"/>
    </row>
    <row r="67504" spans="1:2" x14ac:dyDescent="0.25">
      <c r="A67504" s="118"/>
      <c r="B67504" s="136"/>
    </row>
    <row r="67505" spans="1:2" x14ac:dyDescent="0.25">
      <c r="A67505" s="118"/>
      <c r="B67505" s="136"/>
    </row>
    <row r="67506" spans="1:2" x14ac:dyDescent="0.25">
      <c r="A67506" s="118"/>
      <c r="B67506" s="136"/>
    </row>
    <row r="67507" spans="1:2" x14ac:dyDescent="0.25">
      <c r="A67507" s="118"/>
      <c r="B67507" s="136"/>
    </row>
    <row r="67508" spans="1:2" x14ac:dyDescent="0.25">
      <c r="A67508" s="118"/>
      <c r="B67508" s="136"/>
    </row>
    <row r="67509" spans="1:2" x14ac:dyDescent="0.25">
      <c r="A67509" s="118"/>
      <c r="B67509" s="136"/>
    </row>
    <row r="67510" spans="1:2" x14ac:dyDescent="0.25">
      <c r="A67510" s="118"/>
      <c r="B67510" s="136"/>
    </row>
    <row r="67511" spans="1:2" x14ac:dyDescent="0.25">
      <c r="A67511" s="118"/>
      <c r="B67511" s="136"/>
    </row>
    <row r="67512" spans="1:2" x14ac:dyDescent="0.25">
      <c r="A67512" s="118"/>
      <c r="B67512" s="136"/>
    </row>
    <row r="67513" spans="1:2" x14ac:dyDescent="0.25">
      <c r="A67513" s="118"/>
      <c r="B67513" s="136"/>
    </row>
    <row r="67514" spans="1:2" x14ac:dyDescent="0.25">
      <c r="A67514" s="118"/>
      <c r="B67514" s="136"/>
    </row>
    <row r="67515" spans="1:2" x14ac:dyDescent="0.25">
      <c r="A67515" s="118"/>
      <c r="B67515" s="136"/>
    </row>
    <row r="67516" spans="1:2" x14ac:dyDescent="0.25">
      <c r="A67516" s="118"/>
      <c r="B67516" s="136"/>
    </row>
    <row r="67517" spans="1:2" x14ac:dyDescent="0.25">
      <c r="A67517" s="118"/>
      <c r="B67517" s="136"/>
    </row>
    <row r="67518" spans="1:2" x14ac:dyDescent="0.25">
      <c r="A67518" s="118"/>
      <c r="B67518" s="136"/>
    </row>
    <row r="67519" spans="1:2" x14ac:dyDescent="0.25">
      <c r="A67519" s="118"/>
      <c r="B67519" s="136"/>
    </row>
    <row r="67520" spans="1:2" x14ac:dyDescent="0.25">
      <c r="A67520" s="118"/>
      <c r="B67520" s="136"/>
    </row>
    <row r="67521" spans="1:2" x14ac:dyDescent="0.25">
      <c r="A67521" s="118"/>
      <c r="B67521" s="136"/>
    </row>
    <row r="67522" spans="1:2" x14ac:dyDescent="0.25">
      <c r="A67522" s="118"/>
      <c r="B67522" s="136"/>
    </row>
    <row r="67523" spans="1:2" x14ac:dyDescent="0.25">
      <c r="A67523" s="118"/>
      <c r="B67523" s="136"/>
    </row>
    <row r="67524" spans="1:2" x14ac:dyDescent="0.25">
      <c r="A67524" s="118"/>
      <c r="B67524" s="136"/>
    </row>
    <row r="67525" spans="1:2" x14ac:dyDescent="0.25">
      <c r="A67525" s="118"/>
      <c r="B67525" s="136"/>
    </row>
    <row r="67526" spans="1:2" x14ac:dyDescent="0.25">
      <c r="A67526" s="118"/>
      <c r="B67526" s="136"/>
    </row>
    <row r="67527" spans="1:2" x14ac:dyDescent="0.25">
      <c r="A67527" s="118"/>
      <c r="B67527" s="136"/>
    </row>
    <row r="67528" spans="1:2" x14ac:dyDescent="0.25">
      <c r="A67528" s="118"/>
      <c r="B67528" s="136"/>
    </row>
    <row r="67529" spans="1:2" x14ac:dyDescent="0.25">
      <c r="A67529" s="118"/>
      <c r="B67529" s="136"/>
    </row>
    <row r="67530" spans="1:2" x14ac:dyDescent="0.25">
      <c r="A67530" s="118"/>
      <c r="B67530" s="136"/>
    </row>
    <row r="67531" spans="1:2" x14ac:dyDescent="0.25">
      <c r="A67531" s="118"/>
      <c r="B67531" s="136"/>
    </row>
    <row r="67532" spans="1:2" x14ac:dyDescent="0.25">
      <c r="A67532" s="118"/>
      <c r="B67532" s="136"/>
    </row>
    <row r="67533" spans="1:2" x14ac:dyDescent="0.25">
      <c r="A67533" s="118"/>
      <c r="B67533" s="136"/>
    </row>
    <row r="67534" spans="1:2" x14ac:dyDescent="0.25">
      <c r="A67534" s="118"/>
      <c r="B67534" s="136"/>
    </row>
    <row r="67535" spans="1:2" x14ac:dyDescent="0.25">
      <c r="A67535" s="118"/>
      <c r="B67535" s="136"/>
    </row>
    <row r="67536" spans="1:2" x14ac:dyDescent="0.25">
      <c r="A67536" s="118"/>
      <c r="B67536" s="136"/>
    </row>
    <row r="67537" spans="1:2" x14ac:dyDescent="0.25">
      <c r="A67537" s="118"/>
      <c r="B67537" s="136"/>
    </row>
    <row r="67538" spans="1:2" x14ac:dyDescent="0.25">
      <c r="A67538" s="118"/>
      <c r="B67538" s="136"/>
    </row>
    <row r="67539" spans="1:2" x14ac:dyDescent="0.25">
      <c r="A67539" s="118"/>
      <c r="B67539" s="136"/>
    </row>
    <row r="67540" spans="1:2" x14ac:dyDescent="0.25">
      <c r="A67540" s="118"/>
      <c r="B67540" s="136"/>
    </row>
    <row r="67541" spans="1:2" x14ac:dyDescent="0.25">
      <c r="A67541" s="118"/>
      <c r="B67541" s="136"/>
    </row>
    <row r="67542" spans="1:2" x14ac:dyDescent="0.25">
      <c r="A67542" s="118"/>
      <c r="B67542" s="136"/>
    </row>
    <row r="67543" spans="1:2" x14ac:dyDescent="0.25">
      <c r="A67543" s="118"/>
      <c r="B67543" s="136"/>
    </row>
    <row r="67544" spans="1:2" x14ac:dyDescent="0.25">
      <c r="A67544" s="118"/>
      <c r="B67544" s="136"/>
    </row>
    <row r="67545" spans="1:2" x14ac:dyDescent="0.25">
      <c r="A67545" s="118"/>
      <c r="B67545" s="136"/>
    </row>
    <row r="67546" spans="1:2" x14ac:dyDescent="0.25">
      <c r="A67546" s="118"/>
      <c r="B67546" s="136"/>
    </row>
    <row r="67547" spans="1:2" x14ac:dyDescent="0.25">
      <c r="A67547" s="118"/>
      <c r="B67547" s="136"/>
    </row>
    <row r="67548" spans="1:2" x14ac:dyDescent="0.25">
      <c r="A67548" s="118"/>
      <c r="B67548" s="136"/>
    </row>
    <row r="67549" spans="1:2" x14ac:dyDescent="0.25">
      <c r="A67549" s="118"/>
      <c r="B67549" s="136"/>
    </row>
    <row r="67550" spans="1:2" x14ac:dyDescent="0.25">
      <c r="A67550" s="118"/>
      <c r="B67550" s="136"/>
    </row>
    <row r="67551" spans="1:2" x14ac:dyDescent="0.25">
      <c r="A67551" s="118"/>
      <c r="B67551" s="136"/>
    </row>
    <row r="67552" spans="1:2" x14ac:dyDescent="0.25">
      <c r="A67552" s="118"/>
      <c r="B67552" s="136"/>
    </row>
    <row r="67553" spans="1:2" x14ac:dyDescent="0.25">
      <c r="A67553" s="118"/>
      <c r="B67553" s="136"/>
    </row>
    <row r="67554" spans="1:2" x14ac:dyDescent="0.25">
      <c r="A67554" s="118"/>
      <c r="B67554" s="136"/>
    </row>
    <row r="67555" spans="1:2" x14ac:dyDescent="0.25">
      <c r="A67555" s="118"/>
      <c r="B67555" s="136"/>
    </row>
    <row r="67556" spans="1:2" x14ac:dyDescent="0.25">
      <c r="A67556" s="118"/>
      <c r="B67556" s="136"/>
    </row>
    <row r="67557" spans="1:2" x14ac:dyDescent="0.25">
      <c r="A67557" s="118"/>
      <c r="B67557" s="136"/>
    </row>
    <row r="67558" spans="1:2" x14ac:dyDescent="0.25">
      <c r="A67558" s="118"/>
      <c r="B67558" s="136"/>
    </row>
    <row r="67559" spans="1:2" x14ac:dyDescent="0.25">
      <c r="A67559" s="118"/>
      <c r="B67559" s="136"/>
    </row>
    <row r="67560" spans="1:2" x14ac:dyDescent="0.25">
      <c r="A67560" s="118"/>
      <c r="B67560" s="136"/>
    </row>
    <row r="67561" spans="1:2" x14ac:dyDescent="0.25">
      <c r="A67561" s="118"/>
      <c r="B67561" s="136"/>
    </row>
    <row r="67562" spans="1:2" x14ac:dyDescent="0.25">
      <c r="A67562" s="118"/>
      <c r="B67562" s="136"/>
    </row>
    <row r="67563" spans="1:2" x14ac:dyDescent="0.25">
      <c r="A67563" s="118"/>
      <c r="B67563" s="136"/>
    </row>
    <row r="67564" spans="1:2" x14ac:dyDescent="0.25">
      <c r="A67564" s="118"/>
      <c r="B67564" s="136"/>
    </row>
    <row r="67565" spans="1:2" x14ac:dyDescent="0.25">
      <c r="A67565" s="118"/>
      <c r="B67565" s="136"/>
    </row>
    <row r="67566" spans="1:2" x14ac:dyDescent="0.25">
      <c r="A67566" s="118"/>
      <c r="B67566" s="136"/>
    </row>
    <row r="67567" spans="1:2" x14ac:dyDescent="0.25">
      <c r="A67567" s="118"/>
      <c r="B67567" s="136"/>
    </row>
    <row r="67568" spans="1:2" x14ac:dyDescent="0.25">
      <c r="A67568" s="118"/>
      <c r="B67568" s="136"/>
    </row>
    <row r="67569" spans="1:2" x14ac:dyDescent="0.25">
      <c r="A67569" s="118"/>
      <c r="B67569" s="136"/>
    </row>
    <row r="67570" spans="1:2" x14ac:dyDescent="0.25">
      <c r="A67570" s="118"/>
      <c r="B67570" s="136"/>
    </row>
    <row r="67571" spans="1:2" x14ac:dyDescent="0.25">
      <c r="A67571" s="118"/>
      <c r="B67571" s="136"/>
    </row>
    <row r="67572" spans="1:2" x14ac:dyDescent="0.25">
      <c r="A67572" s="118"/>
      <c r="B67572" s="136"/>
    </row>
    <row r="67573" spans="1:2" x14ac:dyDescent="0.25">
      <c r="A67573" s="118"/>
      <c r="B67573" s="136"/>
    </row>
    <row r="67574" spans="1:2" x14ac:dyDescent="0.25">
      <c r="A67574" s="118"/>
      <c r="B67574" s="136"/>
    </row>
    <row r="67575" spans="1:2" x14ac:dyDescent="0.25">
      <c r="A67575" s="118"/>
      <c r="B67575" s="136"/>
    </row>
    <row r="67576" spans="1:2" x14ac:dyDescent="0.25">
      <c r="A67576" s="118"/>
      <c r="B67576" s="136"/>
    </row>
    <row r="67577" spans="1:2" x14ac:dyDescent="0.25">
      <c r="A67577" s="118"/>
      <c r="B67577" s="136"/>
    </row>
    <row r="67578" spans="1:2" x14ac:dyDescent="0.25">
      <c r="A67578" s="118"/>
      <c r="B67578" s="136"/>
    </row>
    <row r="67579" spans="1:2" x14ac:dyDescent="0.25">
      <c r="A67579" s="118"/>
      <c r="B67579" s="136"/>
    </row>
    <row r="67580" spans="1:2" x14ac:dyDescent="0.25">
      <c r="A67580" s="118"/>
      <c r="B67580" s="136"/>
    </row>
    <row r="67581" spans="1:2" x14ac:dyDescent="0.25">
      <c r="A67581" s="118"/>
      <c r="B67581" s="136"/>
    </row>
    <row r="67582" spans="1:2" x14ac:dyDescent="0.25">
      <c r="A67582" s="118"/>
      <c r="B67582" s="136"/>
    </row>
    <row r="67583" spans="1:2" x14ac:dyDescent="0.25">
      <c r="A67583" s="118"/>
      <c r="B67583" s="136"/>
    </row>
    <row r="67584" spans="1:2" x14ac:dyDescent="0.25">
      <c r="A67584" s="118"/>
      <c r="B67584" s="136"/>
    </row>
    <row r="67585" spans="1:2" x14ac:dyDescent="0.25">
      <c r="A67585" s="118"/>
      <c r="B67585" s="136"/>
    </row>
    <row r="67586" spans="1:2" x14ac:dyDescent="0.25">
      <c r="A67586" s="118"/>
      <c r="B67586" s="136"/>
    </row>
    <row r="67587" spans="1:2" x14ac:dyDescent="0.25">
      <c r="A67587" s="118"/>
      <c r="B67587" s="136"/>
    </row>
    <row r="67588" spans="1:2" x14ac:dyDescent="0.25">
      <c r="A67588" s="118"/>
      <c r="B67588" s="136"/>
    </row>
    <row r="67589" spans="1:2" x14ac:dyDescent="0.25">
      <c r="A67589" s="118"/>
      <c r="B67589" s="136"/>
    </row>
    <row r="67590" spans="1:2" x14ac:dyDescent="0.25">
      <c r="A67590" s="118"/>
      <c r="B67590" s="136"/>
    </row>
    <row r="67591" spans="1:2" x14ac:dyDescent="0.25">
      <c r="A67591" s="118"/>
      <c r="B67591" s="136"/>
    </row>
    <row r="67592" spans="1:2" x14ac:dyDescent="0.25">
      <c r="A67592" s="118"/>
      <c r="B67592" s="136"/>
    </row>
    <row r="67593" spans="1:2" x14ac:dyDescent="0.25">
      <c r="A67593" s="118"/>
      <c r="B67593" s="136"/>
    </row>
    <row r="67594" spans="1:2" x14ac:dyDescent="0.25">
      <c r="A67594" s="118"/>
      <c r="B67594" s="136"/>
    </row>
    <row r="67595" spans="1:2" x14ac:dyDescent="0.25">
      <c r="A67595" s="118"/>
      <c r="B67595" s="136"/>
    </row>
    <row r="67596" spans="1:2" x14ac:dyDescent="0.25">
      <c r="A67596" s="118"/>
      <c r="B67596" s="136"/>
    </row>
    <row r="67597" spans="1:2" x14ac:dyDescent="0.25">
      <c r="A67597" s="118"/>
      <c r="B67597" s="136"/>
    </row>
    <row r="67598" spans="1:2" x14ac:dyDescent="0.25">
      <c r="A67598" s="118"/>
      <c r="B67598" s="136"/>
    </row>
    <row r="67599" spans="1:2" x14ac:dyDescent="0.25">
      <c r="A67599" s="118"/>
      <c r="B67599" s="136"/>
    </row>
    <row r="67600" spans="1:2" x14ac:dyDescent="0.25">
      <c r="A67600" s="118"/>
      <c r="B67600" s="136"/>
    </row>
    <row r="67601" spans="1:2" x14ac:dyDescent="0.25">
      <c r="A67601" s="118"/>
      <c r="B67601" s="136"/>
    </row>
    <row r="67602" spans="1:2" x14ac:dyDescent="0.25">
      <c r="A67602" s="118"/>
      <c r="B67602" s="136"/>
    </row>
    <row r="67603" spans="1:2" x14ac:dyDescent="0.25">
      <c r="A67603" s="118"/>
      <c r="B67603" s="136"/>
    </row>
    <row r="67604" spans="1:2" x14ac:dyDescent="0.25">
      <c r="A67604" s="118"/>
      <c r="B67604" s="136"/>
    </row>
    <row r="67605" spans="1:2" x14ac:dyDescent="0.25">
      <c r="A67605" s="118"/>
      <c r="B67605" s="136"/>
    </row>
    <row r="67606" spans="1:2" x14ac:dyDescent="0.25">
      <c r="A67606" s="118"/>
      <c r="B67606" s="136"/>
    </row>
    <row r="67607" spans="1:2" x14ac:dyDescent="0.25">
      <c r="A67607" s="118"/>
      <c r="B67607" s="136"/>
    </row>
    <row r="67608" spans="1:2" x14ac:dyDescent="0.25">
      <c r="A67608" s="118"/>
      <c r="B67608" s="136"/>
    </row>
    <row r="67609" spans="1:2" x14ac:dyDescent="0.25">
      <c r="A67609" s="118"/>
      <c r="B67609" s="136"/>
    </row>
    <row r="67610" spans="1:2" x14ac:dyDescent="0.25">
      <c r="A67610" s="118"/>
      <c r="B67610" s="136"/>
    </row>
    <row r="67611" spans="1:2" x14ac:dyDescent="0.25">
      <c r="A67611" s="118"/>
      <c r="B67611" s="136"/>
    </row>
    <row r="67612" spans="1:2" x14ac:dyDescent="0.25">
      <c r="A67612" s="118"/>
      <c r="B67612" s="136"/>
    </row>
    <row r="67613" spans="1:2" x14ac:dyDescent="0.25">
      <c r="A67613" s="118"/>
      <c r="B67613" s="136"/>
    </row>
    <row r="67614" spans="1:2" x14ac:dyDescent="0.25">
      <c r="A67614" s="118"/>
      <c r="B67614" s="136"/>
    </row>
    <row r="67615" spans="1:2" x14ac:dyDescent="0.25">
      <c r="A67615" s="118"/>
      <c r="B67615" s="136"/>
    </row>
    <row r="67616" spans="1:2" x14ac:dyDescent="0.25">
      <c r="A67616" s="118"/>
      <c r="B67616" s="136"/>
    </row>
    <row r="67617" spans="1:2" x14ac:dyDescent="0.25">
      <c r="A67617" s="118"/>
      <c r="B67617" s="136"/>
    </row>
    <row r="67618" spans="1:2" x14ac:dyDescent="0.25">
      <c r="A67618" s="118"/>
      <c r="B67618" s="136"/>
    </row>
    <row r="67619" spans="1:2" x14ac:dyDescent="0.25">
      <c r="A67619" s="118"/>
      <c r="B67619" s="136"/>
    </row>
    <row r="67620" spans="1:2" x14ac:dyDescent="0.25">
      <c r="A67620" s="118"/>
      <c r="B67620" s="136"/>
    </row>
    <row r="67621" spans="1:2" x14ac:dyDescent="0.25">
      <c r="A67621" s="118"/>
      <c r="B67621" s="136"/>
    </row>
    <row r="67622" spans="1:2" x14ac:dyDescent="0.25">
      <c r="A67622" s="118"/>
      <c r="B67622" s="136"/>
    </row>
    <row r="67623" spans="1:2" x14ac:dyDescent="0.25">
      <c r="A67623" s="118"/>
      <c r="B67623" s="136"/>
    </row>
    <row r="67624" spans="1:2" x14ac:dyDescent="0.25">
      <c r="A67624" s="118"/>
      <c r="B67624" s="136"/>
    </row>
    <row r="67625" spans="1:2" x14ac:dyDescent="0.25">
      <c r="A67625" s="118"/>
      <c r="B67625" s="136"/>
    </row>
    <row r="67626" spans="1:2" x14ac:dyDescent="0.25">
      <c r="A67626" s="118"/>
      <c r="B67626" s="136"/>
    </row>
    <row r="67627" spans="1:2" x14ac:dyDescent="0.25">
      <c r="A67627" s="118"/>
      <c r="B67627" s="136"/>
    </row>
    <row r="67628" spans="1:2" x14ac:dyDescent="0.25">
      <c r="A67628" s="118"/>
      <c r="B67628" s="136"/>
    </row>
    <row r="67629" spans="1:2" x14ac:dyDescent="0.25">
      <c r="A67629" s="118"/>
      <c r="B67629" s="136"/>
    </row>
    <row r="67630" spans="1:2" x14ac:dyDescent="0.25">
      <c r="A67630" s="118"/>
      <c r="B67630" s="136"/>
    </row>
    <row r="67631" spans="1:2" x14ac:dyDescent="0.25">
      <c r="A67631" s="118"/>
      <c r="B67631" s="136"/>
    </row>
    <row r="67632" spans="1:2" x14ac:dyDescent="0.25">
      <c r="A67632" s="118"/>
      <c r="B67632" s="136"/>
    </row>
    <row r="67633" spans="1:2" x14ac:dyDescent="0.25">
      <c r="A67633" s="118"/>
      <c r="B67633" s="136"/>
    </row>
    <row r="67634" spans="1:2" x14ac:dyDescent="0.25">
      <c r="A67634" s="118"/>
      <c r="B67634" s="136"/>
    </row>
    <row r="67635" spans="1:2" x14ac:dyDescent="0.25">
      <c r="A67635" s="118"/>
      <c r="B67635" s="136"/>
    </row>
    <row r="67636" spans="1:2" x14ac:dyDescent="0.25">
      <c r="A67636" s="118"/>
      <c r="B67636" s="136"/>
    </row>
    <row r="67637" spans="1:2" x14ac:dyDescent="0.25">
      <c r="A67637" s="118"/>
      <c r="B67637" s="136"/>
    </row>
    <row r="67638" spans="1:2" x14ac:dyDescent="0.25">
      <c r="A67638" s="118"/>
      <c r="B67638" s="136"/>
    </row>
    <row r="67639" spans="1:2" x14ac:dyDescent="0.25">
      <c r="A67639" s="118"/>
      <c r="B67639" s="136"/>
    </row>
    <row r="67640" spans="1:2" x14ac:dyDescent="0.25">
      <c r="A67640" s="118"/>
      <c r="B67640" s="136"/>
    </row>
    <row r="67641" spans="1:2" x14ac:dyDescent="0.25">
      <c r="A67641" s="118"/>
      <c r="B67641" s="136"/>
    </row>
    <row r="67642" spans="1:2" x14ac:dyDescent="0.25">
      <c r="A67642" s="118"/>
      <c r="B67642" s="136"/>
    </row>
    <row r="67643" spans="1:2" x14ac:dyDescent="0.25">
      <c r="A67643" s="118"/>
      <c r="B67643" s="136"/>
    </row>
    <row r="67644" spans="1:2" x14ac:dyDescent="0.25">
      <c r="A67644" s="118"/>
      <c r="B67644" s="136"/>
    </row>
    <row r="67645" spans="1:2" x14ac:dyDescent="0.25">
      <c r="A67645" s="118"/>
      <c r="B67645" s="136"/>
    </row>
    <row r="67646" spans="1:2" x14ac:dyDescent="0.25">
      <c r="A67646" s="118"/>
      <c r="B67646" s="136"/>
    </row>
    <row r="67647" spans="1:2" x14ac:dyDescent="0.25">
      <c r="A67647" s="118"/>
      <c r="B67647" s="136"/>
    </row>
    <row r="67648" spans="1:2" x14ac:dyDescent="0.25">
      <c r="A67648" s="118"/>
      <c r="B67648" s="136"/>
    </row>
    <row r="67649" spans="1:2" x14ac:dyDescent="0.25">
      <c r="A67649" s="118"/>
      <c r="B67649" s="136"/>
    </row>
    <row r="67650" spans="1:2" x14ac:dyDescent="0.25">
      <c r="A67650" s="118"/>
      <c r="B67650" s="136"/>
    </row>
    <row r="67651" spans="1:2" x14ac:dyDescent="0.25">
      <c r="A67651" s="118"/>
      <c r="B67651" s="136"/>
    </row>
    <row r="67652" spans="1:2" x14ac:dyDescent="0.25">
      <c r="A67652" s="118"/>
      <c r="B67652" s="136"/>
    </row>
    <row r="67653" spans="1:2" x14ac:dyDescent="0.25">
      <c r="A67653" s="118"/>
      <c r="B67653" s="136"/>
    </row>
    <row r="67654" spans="1:2" x14ac:dyDescent="0.25">
      <c r="A67654" s="118"/>
      <c r="B67654" s="136"/>
    </row>
    <row r="67655" spans="1:2" x14ac:dyDescent="0.25">
      <c r="A67655" s="118"/>
      <c r="B67655" s="136"/>
    </row>
    <row r="67656" spans="1:2" x14ac:dyDescent="0.25">
      <c r="A67656" s="118"/>
      <c r="B67656" s="136"/>
    </row>
    <row r="67657" spans="1:2" x14ac:dyDescent="0.25">
      <c r="A67657" s="118"/>
      <c r="B67657" s="136"/>
    </row>
    <row r="67658" spans="1:2" x14ac:dyDescent="0.25">
      <c r="A67658" s="118"/>
      <c r="B67658" s="136"/>
    </row>
    <row r="67659" spans="1:2" x14ac:dyDescent="0.25">
      <c r="A67659" s="118"/>
      <c r="B67659" s="136"/>
    </row>
    <row r="67660" spans="1:2" x14ac:dyDescent="0.25">
      <c r="A67660" s="118"/>
      <c r="B67660" s="136"/>
    </row>
    <row r="67661" spans="1:2" x14ac:dyDescent="0.25">
      <c r="A67661" s="118"/>
      <c r="B67661" s="136"/>
    </row>
    <row r="67662" spans="1:2" x14ac:dyDescent="0.25">
      <c r="A67662" s="118"/>
      <c r="B67662" s="136"/>
    </row>
    <row r="67663" spans="1:2" x14ac:dyDescent="0.25">
      <c r="A67663" s="118"/>
      <c r="B67663" s="136"/>
    </row>
    <row r="67664" spans="1:2" x14ac:dyDescent="0.25">
      <c r="A67664" s="118"/>
      <c r="B67664" s="136"/>
    </row>
    <row r="67665" spans="1:2" x14ac:dyDescent="0.25">
      <c r="A67665" s="118"/>
      <c r="B67665" s="136"/>
    </row>
    <row r="67666" spans="1:2" x14ac:dyDescent="0.25">
      <c r="A67666" s="118"/>
      <c r="B67666" s="136"/>
    </row>
    <row r="67667" spans="1:2" x14ac:dyDescent="0.25">
      <c r="A67667" s="118"/>
      <c r="B67667" s="136"/>
    </row>
    <row r="67668" spans="1:2" x14ac:dyDescent="0.25">
      <c r="A67668" s="118"/>
      <c r="B67668" s="136"/>
    </row>
    <row r="67669" spans="1:2" x14ac:dyDescent="0.25">
      <c r="A67669" s="118"/>
      <c r="B67669" s="136"/>
    </row>
    <row r="67670" spans="1:2" x14ac:dyDescent="0.25">
      <c r="A67670" s="118"/>
      <c r="B67670" s="136"/>
    </row>
    <row r="67671" spans="1:2" x14ac:dyDescent="0.25">
      <c r="A67671" s="118"/>
      <c r="B67671" s="136"/>
    </row>
    <row r="67672" spans="1:2" x14ac:dyDescent="0.25">
      <c r="A67672" s="118"/>
      <c r="B67672" s="136"/>
    </row>
    <row r="67673" spans="1:2" x14ac:dyDescent="0.25">
      <c r="A67673" s="118"/>
      <c r="B67673" s="136"/>
    </row>
    <row r="67674" spans="1:2" x14ac:dyDescent="0.25">
      <c r="A67674" s="118"/>
      <c r="B67674" s="136"/>
    </row>
    <row r="67675" spans="1:2" x14ac:dyDescent="0.25">
      <c r="A67675" s="118"/>
      <c r="B67675" s="136"/>
    </row>
    <row r="67676" spans="1:2" x14ac:dyDescent="0.25">
      <c r="A67676" s="118"/>
      <c r="B67676" s="136"/>
    </row>
    <row r="67677" spans="1:2" x14ac:dyDescent="0.25">
      <c r="A67677" s="118"/>
      <c r="B67677" s="136"/>
    </row>
    <row r="67678" spans="1:2" x14ac:dyDescent="0.25">
      <c r="A67678" s="118"/>
      <c r="B67678" s="136"/>
    </row>
    <row r="67679" spans="1:2" x14ac:dyDescent="0.25">
      <c r="A67679" s="118"/>
      <c r="B67679" s="136"/>
    </row>
    <row r="67680" spans="1:2" x14ac:dyDescent="0.25">
      <c r="A67680" s="118"/>
      <c r="B67680" s="136"/>
    </row>
    <row r="67681" spans="1:2" x14ac:dyDescent="0.25">
      <c r="A67681" s="118"/>
      <c r="B67681" s="136"/>
    </row>
    <row r="67682" spans="1:2" x14ac:dyDescent="0.25">
      <c r="A67682" s="118"/>
      <c r="B67682" s="136"/>
    </row>
    <row r="67683" spans="1:2" x14ac:dyDescent="0.25">
      <c r="A67683" s="118"/>
      <c r="B67683" s="136"/>
    </row>
    <row r="67684" spans="1:2" x14ac:dyDescent="0.25">
      <c r="A67684" s="118"/>
      <c r="B67684" s="136"/>
    </row>
    <row r="67685" spans="1:2" x14ac:dyDescent="0.25">
      <c r="A67685" s="118"/>
      <c r="B67685" s="136"/>
    </row>
    <row r="67686" spans="1:2" x14ac:dyDescent="0.25">
      <c r="A67686" s="118"/>
      <c r="B67686" s="136"/>
    </row>
    <row r="67687" spans="1:2" x14ac:dyDescent="0.25">
      <c r="A67687" s="118"/>
      <c r="B67687" s="136"/>
    </row>
    <row r="67688" spans="1:2" x14ac:dyDescent="0.25">
      <c r="A67688" s="118"/>
      <c r="B67688" s="136"/>
    </row>
    <row r="67689" spans="1:2" x14ac:dyDescent="0.25">
      <c r="A67689" s="118"/>
      <c r="B67689" s="136"/>
    </row>
    <row r="67690" spans="1:2" x14ac:dyDescent="0.25">
      <c r="A67690" s="118"/>
      <c r="B67690" s="136"/>
    </row>
    <row r="67691" spans="1:2" x14ac:dyDescent="0.25">
      <c r="A67691" s="118"/>
      <c r="B67691" s="136"/>
    </row>
    <row r="67692" spans="1:2" x14ac:dyDescent="0.25">
      <c r="A67692" s="118"/>
      <c r="B67692" s="136"/>
    </row>
    <row r="67693" spans="1:2" x14ac:dyDescent="0.25">
      <c r="A67693" s="118"/>
      <c r="B67693" s="136"/>
    </row>
    <row r="67694" spans="1:2" x14ac:dyDescent="0.25">
      <c r="A67694" s="118"/>
      <c r="B67694" s="136"/>
    </row>
    <row r="67695" spans="1:2" x14ac:dyDescent="0.25">
      <c r="A67695" s="118"/>
      <c r="B67695" s="136"/>
    </row>
    <row r="67696" spans="1:2" x14ac:dyDescent="0.25">
      <c r="A67696" s="118"/>
      <c r="B67696" s="136"/>
    </row>
    <row r="67697" spans="1:2" x14ac:dyDescent="0.25">
      <c r="A67697" s="118"/>
      <c r="B67697" s="136"/>
    </row>
    <row r="67698" spans="1:2" x14ac:dyDescent="0.25">
      <c r="A67698" s="118"/>
      <c r="B67698" s="136"/>
    </row>
    <row r="67699" spans="1:2" x14ac:dyDescent="0.25">
      <c r="A67699" s="118"/>
      <c r="B67699" s="136"/>
    </row>
    <row r="67700" spans="1:2" x14ac:dyDescent="0.25">
      <c r="A67700" s="118"/>
      <c r="B67700" s="136"/>
    </row>
    <row r="67701" spans="1:2" x14ac:dyDescent="0.25">
      <c r="A67701" s="118"/>
      <c r="B67701" s="136"/>
    </row>
    <row r="67702" spans="1:2" x14ac:dyDescent="0.25">
      <c r="A67702" s="118"/>
      <c r="B67702" s="136"/>
    </row>
    <row r="67703" spans="1:2" x14ac:dyDescent="0.25">
      <c r="A67703" s="118"/>
      <c r="B67703" s="136"/>
    </row>
    <row r="67704" spans="1:2" x14ac:dyDescent="0.25">
      <c r="A67704" s="118"/>
      <c r="B67704" s="136"/>
    </row>
    <row r="67705" spans="1:2" x14ac:dyDescent="0.25">
      <c r="A67705" s="118"/>
      <c r="B67705" s="136"/>
    </row>
    <row r="67706" spans="1:2" x14ac:dyDescent="0.25">
      <c r="A67706" s="118"/>
      <c r="B67706" s="136"/>
    </row>
    <row r="67707" spans="1:2" x14ac:dyDescent="0.25">
      <c r="A67707" s="118"/>
      <c r="B67707" s="136"/>
    </row>
    <row r="67708" spans="1:2" x14ac:dyDescent="0.25">
      <c r="A67708" s="118"/>
      <c r="B67708" s="136"/>
    </row>
    <row r="67709" spans="1:2" x14ac:dyDescent="0.25">
      <c r="A67709" s="118"/>
      <c r="B67709" s="136"/>
    </row>
    <row r="67710" spans="1:2" x14ac:dyDescent="0.25">
      <c r="A67710" s="118"/>
      <c r="B67710" s="136"/>
    </row>
    <row r="67711" spans="1:2" x14ac:dyDescent="0.25">
      <c r="A67711" s="118"/>
      <c r="B67711" s="136"/>
    </row>
    <row r="67712" spans="1:2" x14ac:dyDescent="0.25">
      <c r="A67712" s="118"/>
      <c r="B67712" s="136"/>
    </row>
    <row r="67713" spans="1:2" x14ac:dyDescent="0.25">
      <c r="A67713" s="118"/>
      <c r="B67713" s="136"/>
    </row>
    <row r="67714" spans="1:2" x14ac:dyDescent="0.25">
      <c r="A67714" s="118"/>
      <c r="B67714" s="136"/>
    </row>
    <row r="67715" spans="1:2" x14ac:dyDescent="0.25">
      <c r="A67715" s="118"/>
      <c r="B67715" s="136"/>
    </row>
    <row r="67716" spans="1:2" x14ac:dyDescent="0.25">
      <c r="A67716" s="118"/>
      <c r="B67716" s="136"/>
    </row>
    <row r="67717" spans="1:2" x14ac:dyDescent="0.25">
      <c r="A67717" s="118"/>
      <c r="B67717" s="136"/>
    </row>
    <row r="67718" spans="1:2" x14ac:dyDescent="0.25">
      <c r="A67718" s="118"/>
      <c r="B67718" s="136"/>
    </row>
    <row r="67719" spans="1:2" x14ac:dyDescent="0.25">
      <c r="A67719" s="118"/>
      <c r="B67719" s="136"/>
    </row>
    <row r="67720" spans="1:2" x14ac:dyDescent="0.25">
      <c r="A67720" s="118"/>
      <c r="B67720" s="136"/>
    </row>
    <row r="67721" spans="1:2" x14ac:dyDescent="0.25">
      <c r="A67721" s="118"/>
      <c r="B67721" s="136"/>
    </row>
    <row r="67722" spans="1:2" x14ac:dyDescent="0.25">
      <c r="A67722" s="118"/>
      <c r="B67722" s="136"/>
    </row>
    <row r="67723" spans="1:2" x14ac:dyDescent="0.25">
      <c r="A67723" s="118"/>
      <c r="B67723" s="136"/>
    </row>
    <row r="67724" spans="1:2" x14ac:dyDescent="0.25">
      <c r="A67724" s="118"/>
      <c r="B67724" s="136"/>
    </row>
    <row r="67725" spans="1:2" x14ac:dyDescent="0.25">
      <c r="A67725" s="118"/>
      <c r="B67725" s="136"/>
    </row>
    <row r="67726" spans="1:2" x14ac:dyDescent="0.25">
      <c r="A67726" s="118"/>
      <c r="B67726" s="136"/>
    </row>
    <row r="67727" spans="1:2" x14ac:dyDescent="0.25">
      <c r="A67727" s="118"/>
      <c r="B67727" s="136"/>
    </row>
    <row r="67728" spans="1:2" x14ac:dyDescent="0.25">
      <c r="A67728" s="118"/>
      <c r="B67728" s="136"/>
    </row>
    <row r="67729" spans="1:2" x14ac:dyDescent="0.25">
      <c r="A67729" s="118"/>
      <c r="B67729" s="136"/>
    </row>
    <row r="67730" spans="1:2" x14ac:dyDescent="0.25">
      <c r="A67730" s="118"/>
      <c r="B67730" s="136"/>
    </row>
    <row r="67731" spans="1:2" x14ac:dyDescent="0.25">
      <c r="A67731" s="118"/>
      <c r="B67731" s="136"/>
    </row>
    <row r="67732" spans="1:2" x14ac:dyDescent="0.25">
      <c r="A67732" s="118"/>
      <c r="B67732" s="136"/>
    </row>
    <row r="67733" spans="1:2" x14ac:dyDescent="0.25">
      <c r="A67733" s="118"/>
      <c r="B67733" s="136"/>
    </row>
    <row r="67734" spans="1:2" x14ac:dyDescent="0.25">
      <c r="A67734" s="118"/>
      <c r="B67734" s="136"/>
    </row>
    <row r="67735" spans="1:2" x14ac:dyDescent="0.25">
      <c r="A67735" s="118"/>
      <c r="B67735" s="136"/>
    </row>
    <row r="67736" spans="1:2" x14ac:dyDescent="0.25">
      <c r="A67736" s="118"/>
      <c r="B67736" s="136"/>
    </row>
    <row r="67737" spans="1:2" x14ac:dyDescent="0.25">
      <c r="A67737" s="118"/>
      <c r="B67737" s="136"/>
    </row>
    <row r="67738" spans="1:2" x14ac:dyDescent="0.25">
      <c r="A67738" s="118"/>
      <c r="B67738" s="136"/>
    </row>
    <row r="67739" spans="1:2" x14ac:dyDescent="0.25">
      <c r="A67739" s="118"/>
      <c r="B67739" s="136"/>
    </row>
    <row r="67740" spans="1:2" x14ac:dyDescent="0.25">
      <c r="A67740" s="118"/>
      <c r="B67740" s="136"/>
    </row>
    <row r="67741" spans="1:2" x14ac:dyDescent="0.25">
      <c r="A67741" s="118"/>
      <c r="B67741" s="136"/>
    </row>
    <row r="67742" spans="1:2" x14ac:dyDescent="0.25">
      <c r="A67742" s="118"/>
      <c r="B67742" s="136"/>
    </row>
    <row r="67743" spans="1:2" x14ac:dyDescent="0.25">
      <c r="A67743" s="118"/>
      <c r="B67743" s="136"/>
    </row>
    <row r="67744" spans="1:2" x14ac:dyDescent="0.25">
      <c r="A67744" s="118"/>
      <c r="B67744" s="136"/>
    </row>
    <row r="67745" spans="1:2" x14ac:dyDescent="0.25">
      <c r="A67745" s="118"/>
      <c r="B67745" s="136"/>
    </row>
    <row r="67746" spans="1:2" x14ac:dyDescent="0.25">
      <c r="A67746" s="118"/>
      <c r="B67746" s="136"/>
    </row>
    <row r="67747" spans="1:2" x14ac:dyDescent="0.25">
      <c r="A67747" s="118"/>
      <c r="B67747" s="136"/>
    </row>
    <row r="67748" spans="1:2" x14ac:dyDescent="0.25">
      <c r="A67748" s="118"/>
      <c r="B67748" s="136"/>
    </row>
    <row r="67749" spans="1:2" x14ac:dyDescent="0.25">
      <c r="A67749" s="118"/>
      <c r="B67749" s="136"/>
    </row>
    <row r="67750" spans="1:2" x14ac:dyDescent="0.25">
      <c r="A67750" s="118"/>
      <c r="B67750" s="136"/>
    </row>
    <row r="67751" spans="1:2" x14ac:dyDescent="0.25">
      <c r="A67751" s="118"/>
      <c r="B67751" s="136"/>
    </row>
    <row r="67752" spans="1:2" x14ac:dyDescent="0.25">
      <c r="A67752" s="118"/>
      <c r="B67752" s="136"/>
    </row>
    <row r="67753" spans="1:2" x14ac:dyDescent="0.25">
      <c r="A67753" s="118"/>
      <c r="B67753" s="136"/>
    </row>
    <row r="67754" spans="1:2" x14ac:dyDescent="0.25">
      <c r="A67754" s="118"/>
      <c r="B67754" s="136"/>
    </row>
    <row r="67755" spans="1:2" x14ac:dyDescent="0.25">
      <c r="A67755" s="118"/>
      <c r="B67755" s="136"/>
    </row>
    <row r="67756" spans="1:2" x14ac:dyDescent="0.25">
      <c r="A67756" s="118"/>
      <c r="B67756" s="136"/>
    </row>
    <row r="67757" spans="1:2" x14ac:dyDescent="0.25">
      <c r="A67757" s="118"/>
      <c r="B67757" s="136"/>
    </row>
    <row r="67758" spans="1:2" x14ac:dyDescent="0.25">
      <c r="A67758" s="118"/>
      <c r="B67758" s="136"/>
    </row>
    <row r="67759" spans="1:2" x14ac:dyDescent="0.25">
      <c r="A67759" s="118"/>
      <c r="B67759" s="136"/>
    </row>
    <row r="67760" spans="1:2" x14ac:dyDescent="0.25">
      <c r="A67760" s="118"/>
      <c r="B67760" s="136"/>
    </row>
    <row r="67761" spans="1:2" x14ac:dyDescent="0.25">
      <c r="A67761" s="118"/>
      <c r="B67761" s="136"/>
    </row>
    <row r="67762" spans="1:2" x14ac:dyDescent="0.25">
      <c r="A67762" s="118"/>
      <c r="B67762" s="136"/>
    </row>
    <row r="67763" spans="1:2" x14ac:dyDescent="0.25">
      <c r="A67763" s="118"/>
      <c r="B67763" s="136"/>
    </row>
    <row r="67764" spans="1:2" x14ac:dyDescent="0.25">
      <c r="A67764" s="118"/>
      <c r="B67764" s="136"/>
    </row>
    <row r="67765" spans="1:2" x14ac:dyDescent="0.25">
      <c r="A67765" s="118"/>
      <c r="B67765" s="136"/>
    </row>
    <row r="67766" spans="1:2" x14ac:dyDescent="0.25">
      <c r="A67766" s="118"/>
      <c r="B67766" s="136"/>
    </row>
    <row r="67767" spans="1:2" x14ac:dyDescent="0.25">
      <c r="A67767" s="118"/>
      <c r="B67767" s="136"/>
    </row>
    <row r="67768" spans="1:2" x14ac:dyDescent="0.25">
      <c r="A67768" s="118"/>
      <c r="B67768" s="136"/>
    </row>
    <row r="67769" spans="1:2" x14ac:dyDescent="0.25">
      <c r="A67769" s="118"/>
      <c r="B67769" s="136"/>
    </row>
    <row r="67770" spans="1:2" x14ac:dyDescent="0.25">
      <c r="A67770" s="118"/>
      <c r="B67770" s="136"/>
    </row>
    <row r="67771" spans="1:2" x14ac:dyDescent="0.25">
      <c r="A67771" s="118"/>
      <c r="B67771" s="136"/>
    </row>
    <row r="67772" spans="1:2" x14ac:dyDescent="0.25">
      <c r="A67772" s="118"/>
      <c r="B67772" s="136"/>
    </row>
    <row r="67773" spans="1:2" x14ac:dyDescent="0.25">
      <c r="A67773" s="118"/>
      <c r="B67773" s="136"/>
    </row>
    <row r="67774" spans="1:2" x14ac:dyDescent="0.25">
      <c r="A67774" s="118"/>
      <c r="B67774" s="136"/>
    </row>
    <row r="67775" spans="1:2" x14ac:dyDescent="0.25">
      <c r="A67775" s="118"/>
      <c r="B67775" s="136"/>
    </row>
    <row r="67776" spans="1:2" x14ac:dyDescent="0.25">
      <c r="A67776" s="118"/>
      <c r="B67776" s="136"/>
    </row>
    <row r="67777" spans="1:2" x14ac:dyDescent="0.25">
      <c r="A67777" s="118"/>
      <c r="B67777" s="136"/>
    </row>
    <row r="67778" spans="1:2" x14ac:dyDescent="0.25">
      <c r="A67778" s="118"/>
      <c r="B67778" s="136"/>
    </row>
    <row r="67779" spans="1:2" x14ac:dyDescent="0.25">
      <c r="A67779" s="118"/>
      <c r="B67779" s="136"/>
    </row>
    <row r="67780" spans="1:2" x14ac:dyDescent="0.25">
      <c r="A67780" s="118"/>
      <c r="B67780" s="136"/>
    </row>
    <row r="67781" spans="1:2" x14ac:dyDescent="0.25">
      <c r="A67781" s="118"/>
      <c r="B67781" s="136"/>
    </row>
    <row r="67782" spans="1:2" x14ac:dyDescent="0.25">
      <c r="A67782" s="118"/>
      <c r="B67782" s="136"/>
    </row>
    <row r="67783" spans="1:2" x14ac:dyDescent="0.25">
      <c r="A67783" s="118"/>
      <c r="B67783" s="136"/>
    </row>
    <row r="67784" spans="1:2" x14ac:dyDescent="0.25">
      <c r="A67784" s="118"/>
      <c r="B67784" s="136"/>
    </row>
    <row r="67785" spans="1:2" x14ac:dyDescent="0.25">
      <c r="A67785" s="118"/>
      <c r="B67785" s="136"/>
    </row>
    <row r="67786" spans="1:2" x14ac:dyDescent="0.25">
      <c r="A67786" s="118"/>
      <c r="B67786" s="136"/>
    </row>
    <row r="67787" spans="1:2" x14ac:dyDescent="0.25">
      <c r="A67787" s="118"/>
      <c r="B67787" s="136"/>
    </row>
    <row r="67788" spans="1:2" x14ac:dyDescent="0.25">
      <c r="A67788" s="118"/>
      <c r="B67788" s="136"/>
    </row>
    <row r="67789" spans="1:2" x14ac:dyDescent="0.25">
      <c r="A67789" s="118"/>
      <c r="B67789" s="136"/>
    </row>
    <row r="67790" spans="1:2" x14ac:dyDescent="0.25">
      <c r="A67790" s="118"/>
      <c r="B67790" s="136"/>
    </row>
    <row r="67791" spans="1:2" x14ac:dyDescent="0.25">
      <c r="A67791" s="118"/>
      <c r="B67791" s="136"/>
    </row>
    <row r="67792" spans="1:2" x14ac:dyDescent="0.25">
      <c r="A67792" s="118"/>
      <c r="B67792" s="136"/>
    </row>
    <row r="67793" spans="1:2" x14ac:dyDescent="0.25">
      <c r="A67793" s="118"/>
      <c r="B67793" s="136"/>
    </row>
    <row r="67794" spans="1:2" x14ac:dyDescent="0.25">
      <c r="A67794" s="118"/>
      <c r="B67794" s="136"/>
    </row>
    <row r="67795" spans="1:2" x14ac:dyDescent="0.25">
      <c r="A67795" s="118"/>
      <c r="B67795" s="136"/>
    </row>
    <row r="67796" spans="1:2" x14ac:dyDescent="0.25">
      <c r="A67796" s="118"/>
      <c r="B67796" s="136"/>
    </row>
    <row r="67797" spans="1:2" x14ac:dyDescent="0.25">
      <c r="A67797" s="118"/>
      <c r="B67797" s="136"/>
    </row>
    <row r="67798" spans="1:2" x14ac:dyDescent="0.25">
      <c r="A67798" s="118"/>
      <c r="B67798" s="136"/>
    </row>
    <row r="67799" spans="1:2" x14ac:dyDescent="0.25">
      <c r="A67799" s="118"/>
      <c r="B67799" s="136"/>
    </row>
    <row r="67800" spans="1:2" x14ac:dyDescent="0.25">
      <c r="A67800" s="118"/>
      <c r="B67800" s="136"/>
    </row>
    <row r="67801" spans="1:2" x14ac:dyDescent="0.25">
      <c r="A67801" s="118"/>
      <c r="B67801" s="136"/>
    </row>
    <row r="67802" spans="1:2" x14ac:dyDescent="0.25">
      <c r="A67802" s="118"/>
      <c r="B67802" s="136"/>
    </row>
    <row r="67803" spans="1:2" x14ac:dyDescent="0.25">
      <c r="A67803" s="118"/>
      <c r="B67803" s="136"/>
    </row>
    <row r="67804" spans="1:2" x14ac:dyDescent="0.25">
      <c r="A67804" s="118"/>
      <c r="B67804" s="136"/>
    </row>
    <row r="67805" spans="1:2" x14ac:dyDescent="0.25">
      <c r="A67805" s="118"/>
      <c r="B67805" s="136"/>
    </row>
    <row r="67806" spans="1:2" x14ac:dyDescent="0.25">
      <c r="A67806" s="118"/>
      <c r="B67806" s="136"/>
    </row>
    <row r="67807" spans="1:2" x14ac:dyDescent="0.25">
      <c r="A67807" s="118"/>
      <c r="B67807" s="136"/>
    </row>
    <row r="67808" spans="1:2" x14ac:dyDescent="0.25">
      <c r="A67808" s="118"/>
      <c r="B67808" s="136"/>
    </row>
    <row r="67809" spans="1:2" x14ac:dyDescent="0.25">
      <c r="A67809" s="118"/>
      <c r="B67809" s="136"/>
    </row>
    <row r="67810" spans="1:2" x14ac:dyDescent="0.25">
      <c r="A67810" s="118"/>
      <c r="B67810" s="136"/>
    </row>
    <row r="67811" spans="1:2" x14ac:dyDescent="0.25">
      <c r="A67811" s="118"/>
      <c r="B67811" s="136"/>
    </row>
    <row r="67812" spans="1:2" x14ac:dyDescent="0.25">
      <c r="A67812" s="118"/>
      <c r="B67812" s="136"/>
    </row>
    <row r="67813" spans="1:2" x14ac:dyDescent="0.25">
      <c r="A67813" s="118"/>
      <c r="B67813" s="136"/>
    </row>
    <row r="67814" spans="1:2" x14ac:dyDescent="0.25">
      <c r="A67814" s="118"/>
      <c r="B67814" s="136"/>
    </row>
    <row r="67815" spans="1:2" x14ac:dyDescent="0.25">
      <c r="A67815" s="118"/>
      <c r="B67815" s="136"/>
    </row>
    <row r="67816" spans="1:2" x14ac:dyDescent="0.25">
      <c r="A67816" s="118"/>
      <c r="B67816" s="136"/>
    </row>
    <row r="67817" spans="1:2" x14ac:dyDescent="0.25">
      <c r="A67817" s="118"/>
      <c r="B67817" s="136"/>
    </row>
    <row r="67818" spans="1:2" x14ac:dyDescent="0.25">
      <c r="A67818" s="118"/>
      <c r="B67818" s="136"/>
    </row>
    <row r="67819" spans="1:2" x14ac:dyDescent="0.25">
      <c r="A67819" s="118"/>
      <c r="B67819" s="136"/>
    </row>
    <row r="67820" spans="1:2" x14ac:dyDescent="0.25">
      <c r="A67820" s="118"/>
      <c r="B67820" s="136"/>
    </row>
    <row r="67821" spans="1:2" x14ac:dyDescent="0.25">
      <c r="A67821" s="118"/>
      <c r="B67821" s="136"/>
    </row>
    <row r="67822" spans="1:2" x14ac:dyDescent="0.25">
      <c r="A67822" s="118"/>
      <c r="B67822" s="136"/>
    </row>
    <row r="67823" spans="1:2" x14ac:dyDescent="0.25">
      <c r="A67823" s="118"/>
      <c r="B67823" s="136"/>
    </row>
    <row r="67824" spans="1:2" x14ac:dyDescent="0.25">
      <c r="A67824" s="118"/>
      <c r="B67824" s="136"/>
    </row>
    <row r="67825" spans="1:2" x14ac:dyDescent="0.25">
      <c r="A67825" s="118"/>
      <c r="B67825" s="136"/>
    </row>
    <row r="67826" spans="1:2" x14ac:dyDescent="0.25">
      <c r="A67826" s="118"/>
      <c r="B67826" s="136"/>
    </row>
    <row r="67827" spans="1:2" x14ac:dyDescent="0.25">
      <c r="A67827" s="118"/>
      <c r="B67827" s="136"/>
    </row>
    <row r="67828" spans="1:2" x14ac:dyDescent="0.25">
      <c r="A67828" s="118"/>
      <c r="B67828" s="136"/>
    </row>
    <row r="67829" spans="1:2" x14ac:dyDescent="0.25">
      <c r="A67829" s="118"/>
      <c r="B67829" s="136"/>
    </row>
    <row r="67830" spans="1:2" x14ac:dyDescent="0.25">
      <c r="A67830" s="118"/>
      <c r="B67830" s="136"/>
    </row>
    <row r="67831" spans="1:2" x14ac:dyDescent="0.25">
      <c r="A67831" s="118"/>
      <c r="B67831" s="136"/>
    </row>
    <row r="67832" spans="1:2" x14ac:dyDescent="0.25">
      <c r="A67832" s="118"/>
      <c r="B67832" s="136"/>
    </row>
    <row r="67833" spans="1:2" x14ac:dyDescent="0.25">
      <c r="A67833" s="118"/>
      <c r="B67833" s="136"/>
    </row>
    <row r="67834" spans="1:2" x14ac:dyDescent="0.25">
      <c r="A67834" s="118"/>
      <c r="B67834" s="136"/>
    </row>
    <row r="67835" spans="1:2" x14ac:dyDescent="0.25">
      <c r="A67835" s="118"/>
      <c r="B67835" s="136"/>
    </row>
    <row r="67836" spans="1:2" x14ac:dyDescent="0.25">
      <c r="A67836" s="118"/>
      <c r="B67836" s="136"/>
    </row>
    <row r="67837" spans="1:2" x14ac:dyDescent="0.25">
      <c r="A67837" s="118"/>
      <c r="B67837" s="136"/>
    </row>
    <row r="67838" spans="1:2" x14ac:dyDescent="0.25">
      <c r="A67838" s="118"/>
      <c r="B67838" s="136"/>
    </row>
    <row r="67839" spans="1:2" x14ac:dyDescent="0.25">
      <c r="A67839" s="118"/>
      <c r="B67839" s="136"/>
    </row>
    <row r="67840" spans="1:2" x14ac:dyDescent="0.25">
      <c r="A67840" s="118"/>
      <c r="B67840" s="136"/>
    </row>
    <row r="67841" spans="1:2" x14ac:dyDescent="0.25">
      <c r="A67841" s="118"/>
      <c r="B67841" s="136"/>
    </row>
    <row r="67842" spans="1:2" x14ac:dyDescent="0.25">
      <c r="A67842" s="118"/>
      <c r="B67842" s="136"/>
    </row>
    <row r="67843" spans="1:2" x14ac:dyDescent="0.25">
      <c r="A67843" s="118"/>
      <c r="B67843" s="136"/>
    </row>
    <row r="67844" spans="1:2" x14ac:dyDescent="0.25">
      <c r="A67844" s="118"/>
      <c r="B67844" s="136"/>
    </row>
    <row r="67845" spans="1:2" x14ac:dyDescent="0.25">
      <c r="A67845" s="118"/>
      <c r="B67845" s="136"/>
    </row>
    <row r="67846" spans="1:2" x14ac:dyDescent="0.25">
      <c r="A67846" s="118"/>
      <c r="B67846" s="136"/>
    </row>
    <row r="67847" spans="1:2" x14ac:dyDescent="0.25">
      <c r="A67847" s="118"/>
      <c r="B67847" s="136"/>
    </row>
    <row r="67848" spans="1:2" x14ac:dyDescent="0.25">
      <c r="A67848" s="118"/>
      <c r="B67848" s="136"/>
    </row>
    <row r="67849" spans="1:2" x14ac:dyDescent="0.25">
      <c r="A67849" s="118"/>
      <c r="B67849" s="136"/>
    </row>
    <row r="67850" spans="1:2" x14ac:dyDescent="0.25">
      <c r="A67850" s="118"/>
      <c r="B67850" s="136"/>
    </row>
    <row r="67851" spans="1:2" x14ac:dyDescent="0.25">
      <c r="A67851" s="118"/>
      <c r="B67851" s="136"/>
    </row>
    <row r="67852" spans="1:2" x14ac:dyDescent="0.25">
      <c r="A67852" s="118"/>
      <c r="B67852" s="136"/>
    </row>
    <row r="67853" spans="1:2" x14ac:dyDescent="0.25">
      <c r="A67853" s="118"/>
      <c r="B67853" s="136"/>
    </row>
    <row r="67854" spans="1:2" x14ac:dyDescent="0.25">
      <c r="A67854" s="118"/>
      <c r="B67854" s="136"/>
    </row>
    <row r="67855" spans="1:2" x14ac:dyDescent="0.25">
      <c r="A67855" s="118"/>
      <c r="B67855" s="136"/>
    </row>
    <row r="67856" spans="1:2" x14ac:dyDescent="0.25">
      <c r="A67856" s="118"/>
      <c r="B67856" s="136"/>
    </row>
    <row r="67857" spans="1:2" x14ac:dyDescent="0.25">
      <c r="A67857" s="118"/>
      <c r="B67857" s="136"/>
    </row>
    <row r="67858" spans="1:2" x14ac:dyDescent="0.25">
      <c r="A67858" s="118"/>
      <c r="B67858" s="136"/>
    </row>
    <row r="67859" spans="1:2" x14ac:dyDescent="0.25">
      <c r="A67859" s="118"/>
      <c r="B67859" s="136"/>
    </row>
    <row r="67860" spans="1:2" x14ac:dyDescent="0.25">
      <c r="A67860" s="118"/>
      <c r="B67860" s="136"/>
    </row>
    <row r="67861" spans="1:2" x14ac:dyDescent="0.25">
      <c r="A67861" s="118"/>
      <c r="B67861" s="136"/>
    </row>
    <row r="67862" spans="1:2" x14ac:dyDescent="0.25">
      <c r="A67862" s="118"/>
      <c r="B67862" s="136"/>
    </row>
    <row r="67863" spans="1:2" x14ac:dyDescent="0.25">
      <c r="A67863" s="118"/>
      <c r="B67863" s="136"/>
    </row>
    <row r="67864" spans="1:2" x14ac:dyDescent="0.25">
      <c r="A67864" s="118"/>
      <c r="B67864" s="136"/>
    </row>
    <row r="67865" spans="1:2" x14ac:dyDescent="0.25">
      <c r="A67865" s="118"/>
      <c r="B67865" s="136"/>
    </row>
    <row r="67866" spans="1:2" x14ac:dyDescent="0.25">
      <c r="A67866" s="118"/>
      <c r="B67866" s="136"/>
    </row>
    <row r="67867" spans="1:2" x14ac:dyDescent="0.25">
      <c r="A67867" s="118"/>
      <c r="B67867" s="136"/>
    </row>
    <row r="67868" spans="1:2" x14ac:dyDescent="0.25">
      <c r="A67868" s="118"/>
      <c r="B67868" s="136"/>
    </row>
    <row r="67869" spans="1:2" x14ac:dyDescent="0.25">
      <c r="A67869" s="118"/>
      <c r="B67869" s="136"/>
    </row>
    <row r="67870" spans="1:2" x14ac:dyDescent="0.25">
      <c r="A67870" s="118"/>
      <c r="B67870" s="136"/>
    </row>
    <row r="67871" spans="1:2" x14ac:dyDescent="0.25">
      <c r="A67871" s="118"/>
      <c r="B67871" s="136"/>
    </row>
    <row r="67872" spans="1:2" x14ac:dyDescent="0.25">
      <c r="A67872" s="118"/>
      <c r="B67872" s="136"/>
    </row>
    <row r="67873" spans="1:2" x14ac:dyDescent="0.25">
      <c r="A67873" s="118"/>
      <c r="B67873" s="136"/>
    </row>
    <row r="67874" spans="1:2" x14ac:dyDescent="0.25">
      <c r="A67874" s="118"/>
      <c r="B67874" s="136"/>
    </row>
    <row r="67875" spans="1:2" x14ac:dyDescent="0.25">
      <c r="A67875" s="118"/>
      <c r="B67875" s="136"/>
    </row>
    <row r="67876" spans="1:2" x14ac:dyDescent="0.25">
      <c r="A67876" s="118"/>
      <c r="B67876" s="136"/>
    </row>
    <row r="67877" spans="1:2" x14ac:dyDescent="0.25">
      <c r="A67877" s="118"/>
      <c r="B67877" s="136"/>
    </row>
    <row r="67878" spans="1:2" x14ac:dyDescent="0.25">
      <c r="A67878" s="118"/>
      <c r="B67878" s="136"/>
    </row>
    <row r="67879" spans="1:2" x14ac:dyDescent="0.25">
      <c r="A67879" s="118"/>
      <c r="B67879" s="136"/>
    </row>
    <row r="67880" spans="1:2" x14ac:dyDescent="0.25">
      <c r="A67880" s="118"/>
      <c r="B67880" s="136"/>
    </row>
    <row r="67881" spans="1:2" x14ac:dyDescent="0.25">
      <c r="A67881" s="118"/>
      <c r="B67881" s="136"/>
    </row>
    <row r="67882" spans="1:2" x14ac:dyDescent="0.25">
      <c r="A67882" s="118"/>
      <c r="B67882" s="136"/>
    </row>
    <row r="67883" spans="1:2" x14ac:dyDescent="0.25">
      <c r="A67883" s="118"/>
      <c r="B67883" s="136"/>
    </row>
    <row r="67884" spans="1:2" x14ac:dyDescent="0.25">
      <c r="A67884" s="118"/>
      <c r="B67884" s="136"/>
    </row>
    <row r="67885" spans="1:2" x14ac:dyDescent="0.25">
      <c r="A67885" s="118"/>
      <c r="B67885" s="136"/>
    </row>
    <row r="67886" spans="1:2" x14ac:dyDescent="0.25">
      <c r="A67886" s="118"/>
      <c r="B67886" s="136"/>
    </row>
    <row r="67887" spans="1:2" x14ac:dyDescent="0.25">
      <c r="A67887" s="118"/>
      <c r="B67887" s="136"/>
    </row>
    <row r="67888" spans="1:2" x14ac:dyDescent="0.25">
      <c r="A67888" s="118"/>
      <c r="B67888" s="136"/>
    </row>
    <row r="67889" spans="1:2" x14ac:dyDescent="0.25">
      <c r="A67889" s="118"/>
      <c r="B67889" s="136"/>
    </row>
    <row r="67890" spans="1:2" x14ac:dyDescent="0.25">
      <c r="A67890" s="118"/>
      <c r="B67890" s="136"/>
    </row>
    <row r="67891" spans="1:2" x14ac:dyDescent="0.25">
      <c r="A67891" s="118"/>
      <c r="B67891" s="136"/>
    </row>
    <row r="67892" spans="1:2" x14ac:dyDescent="0.25">
      <c r="A67892" s="118"/>
      <c r="B67892" s="136"/>
    </row>
    <row r="67893" spans="1:2" x14ac:dyDescent="0.25">
      <c r="A67893" s="118"/>
      <c r="B67893" s="136"/>
    </row>
    <row r="67894" spans="1:2" x14ac:dyDescent="0.25">
      <c r="A67894" s="118"/>
      <c r="B67894" s="136"/>
    </row>
    <row r="67895" spans="1:2" x14ac:dyDescent="0.25">
      <c r="A67895" s="118"/>
      <c r="B67895" s="136"/>
    </row>
    <row r="67896" spans="1:2" x14ac:dyDescent="0.25">
      <c r="A67896" s="118"/>
      <c r="B67896" s="136"/>
    </row>
    <row r="67897" spans="1:2" x14ac:dyDescent="0.25">
      <c r="A67897" s="118"/>
      <c r="B67897" s="136"/>
    </row>
    <row r="67898" spans="1:2" x14ac:dyDescent="0.25">
      <c r="A67898" s="118"/>
      <c r="B67898" s="136"/>
    </row>
    <row r="67899" spans="1:2" x14ac:dyDescent="0.25">
      <c r="A67899" s="118"/>
      <c r="B67899" s="136"/>
    </row>
    <row r="67900" spans="1:2" x14ac:dyDescent="0.25">
      <c r="A67900" s="118"/>
      <c r="B67900" s="136"/>
    </row>
    <row r="67901" spans="1:2" x14ac:dyDescent="0.25">
      <c r="A67901" s="118"/>
      <c r="B67901" s="136"/>
    </row>
    <row r="67902" spans="1:2" x14ac:dyDescent="0.25">
      <c r="A67902" s="118"/>
      <c r="B67902" s="136"/>
    </row>
    <row r="67903" spans="1:2" x14ac:dyDescent="0.25">
      <c r="A67903" s="118"/>
      <c r="B67903" s="136"/>
    </row>
    <row r="67904" spans="1:2" x14ac:dyDescent="0.25">
      <c r="A67904" s="118"/>
      <c r="B67904" s="136"/>
    </row>
    <row r="67905" spans="1:2" x14ac:dyDescent="0.25">
      <c r="A67905" s="118"/>
      <c r="B67905" s="136"/>
    </row>
    <row r="67906" spans="1:2" x14ac:dyDescent="0.25">
      <c r="A67906" s="118"/>
      <c r="B67906" s="136"/>
    </row>
    <row r="67907" spans="1:2" x14ac:dyDescent="0.25">
      <c r="A67907" s="118"/>
      <c r="B67907" s="136"/>
    </row>
    <row r="67908" spans="1:2" x14ac:dyDescent="0.25">
      <c r="A67908" s="118"/>
      <c r="B67908" s="136"/>
    </row>
    <row r="67909" spans="1:2" x14ac:dyDescent="0.25">
      <c r="A67909" s="118"/>
      <c r="B67909" s="136"/>
    </row>
    <row r="67910" spans="1:2" x14ac:dyDescent="0.25">
      <c r="A67910" s="118"/>
      <c r="B67910" s="136"/>
    </row>
    <row r="67911" spans="1:2" x14ac:dyDescent="0.25">
      <c r="A67911" s="118"/>
      <c r="B67911" s="136"/>
    </row>
    <row r="67912" spans="1:2" x14ac:dyDescent="0.25">
      <c r="A67912" s="118"/>
      <c r="B67912" s="136"/>
    </row>
    <row r="67913" spans="1:2" x14ac:dyDescent="0.25">
      <c r="A67913" s="118"/>
      <c r="B67913" s="136"/>
    </row>
    <row r="67914" spans="1:2" x14ac:dyDescent="0.25">
      <c r="A67914" s="118"/>
      <c r="B67914" s="136"/>
    </row>
    <row r="67915" spans="1:2" x14ac:dyDescent="0.25">
      <c r="A67915" s="118"/>
      <c r="B67915" s="136"/>
    </row>
    <row r="67916" spans="1:2" x14ac:dyDescent="0.25">
      <c r="A67916" s="118"/>
      <c r="B67916" s="136"/>
    </row>
    <row r="67917" spans="1:2" x14ac:dyDescent="0.25">
      <c r="A67917" s="118"/>
      <c r="B67917" s="136"/>
    </row>
    <row r="67918" spans="1:2" x14ac:dyDescent="0.25">
      <c r="A67918" s="118"/>
      <c r="B67918" s="136"/>
    </row>
    <row r="67919" spans="1:2" x14ac:dyDescent="0.25">
      <c r="A67919" s="118"/>
      <c r="B67919" s="136"/>
    </row>
    <row r="67920" spans="1:2" x14ac:dyDescent="0.25">
      <c r="A67920" s="118"/>
      <c r="B67920" s="136"/>
    </row>
    <row r="67921" spans="1:2" x14ac:dyDescent="0.25">
      <c r="A67921" s="118"/>
      <c r="B67921" s="136"/>
    </row>
    <row r="67922" spans="1:2" x14ac:dyDescent="0.25">
      <c r="A67922" s="118"/>
      <c r="B67922" s="136"/>
    </row>
    <row r="67923" spans="1:2" x14ac:dyDescent="0.25">
      <c r="A67923" s="118"/>
      <c r="B67923" s="136"/>
    </row>
    <row r="67924" spans="1:2" x14ac:dyDescent="0.25">
      <c r="A67924" s="118"/>
      <c r="B67924" s="136"/>
    </row>
    <row r="67925" spans="1:2" x14ac:dyDescent="0.25">
      <c r="A67925" s="118"/>
      <c r="B67925" s="136"/>
    </row>
    <row r="67926" spans="1:2" x14ac:dyDescent="0.25">
      <c r="A67926" s="118"/>
      <c r="B67926" s="136"/>
    </row>
    <row r="67927" spans="1:2" x14ac:dyDescent="0.25">
      <c r="A67927" s="118"/>
      <c r="B67927" s="136"/>
    </row>
    <row r="67928" spans="1:2" x14ac:dyDescent="0.25">
      <c r="A67928" s="118"/>
      <c r="B67928" s="136"/>
    </row>
    <row r="67929" spans="1:2" x14ac:dyDescent="0.25">
      <c r="A67929" s="118"/>
      <c r="B67929" s="136"/>
    </row>
    <row r="67930" spans="1:2" x14ac:dyDescent="0.25">
      <c r="A67930" s="118"/>
      <c r="B67930" s="136"/>
    </row>
    <row r="67931" spans="1:2" x14ac:dyDescent="0.25">
      <c r="A67931" s="118"/>
      <c r="B67931" s="136"/>
    </row>
    <row r="67932" spans="1:2" x14ac:dyDescent="0.25">
      <c r="A67932" s="118"/>
      <c r="B67932" s="136"/>
    </row>
    <row r="67933" spans="1:2" x14ac:dyDescent="0.25">
      <c r="A67933" s="118"/>
      <c r="B67933" s="136"/>
    </row>
    <row r="67934" spans="1:2" x14ac:dyDescent="0.25">
      <c r="A67934" s="118"/>
      <c r="B67934" s="136"/>
    </row>
    <row r="67935" spans="1:2" x14ac:dyDescent="0.25">
      <c r="A67935" s="118"/>
      <c r="B67935" s="136"/>
    </row>
    <row r="67936" spans="1:2" x14ac:dyDescent="0.25">
      <c r="A67936" s="118"/>
      <c r="B67936" s="136"/>
    </row>
    <row r="67937" spans="1:2" x14ac:dyDescent="0.25">
      <c r="A67937" s="118"/>
      <c r="B67937" s="136"/>
    </row>
    <row r="67938" spans="1:2" x14ac:dyDescent="0.25">
      <c r="A67938" s="118"/>
      <c r="B67938" s="136"/>
    </row>
    <row r="67939" spans="1:2" x14ac:dyDescent="0.25">
      <c r="A67939" s="118"/>
      <c r="B67939" s="136"/>
    </row>
    <row r="67940" spans="1:2" x14ac:dyDescent="0.25">
      <c r="A67940" s="118"/>
      <c r="B67940" s="136"/>
    </row>
    <row r="67941" spans="1:2" x14ac:dyDescent="0.25">
      <c r="A67941" s="118"/>
      <c r="B67941" s="136"/>
    </row>
    <row r="67942" spans="1:2" x14ac:dyDescent="0.25">
      <c r="A67942" s="118"/>
      <c r="B67942" s="136"/>
    </row>
    <row r="67943" spans="1:2" x14ac:dyDescent="0.25">
      <c r="A67943" s="118"/>
      <c r="B67943" s="136"/>
    </row>
    <row r="67944" spans="1:2" x14ac:dyDescent="0.25">
      <c r="A67944" s="118"/>
      <c r="B67944" s="136"/>
    </row>
    <row r="67945" spans="1:2" x14ac:dyDescent="0.25">
      <c r="A67945" s="118"/>
      <c r="B67945" s="136"/>
    </row>
    <row r="67946" spans="1:2" x14ac:dyDescent="0.25">
      <c r="A67946" s="118"/>
      <c r="B67946" s="136"/>
    </row>
    <row r="67947" spans="1:2" x14ac:dyDescent="0.25">
      <c r="A67947" s="118"/>
      <c r="B67947" s="136"/>
    </row>
    <row r="67948" spans="1:2" x14ac:dyDescent="0.25">
      <c r="A67948" s="118"/>
      <c r="B67948" s="136"/>
    </row>
    <row r="67949" spans="1:2" x14ac:dyDescent="0.25">
      <c r="A67949" s="118"/>
      <c r="B67949" s="136"/>
    </row>
    <row r="67950" spans="1:2" x14ac:dyDescent="0.25">
      <c r="A67950" s="118"/>
      <c r="B67950" s="136"/>
    </row>
    <row r="67951" spans="1:2" x14ac:dyDescent="0.25">
      <c r="A67951" s="118"/>
      <c r="B67951" s="136"/>
    </row>
    <row r="67952" spans="1:2" x14ac:dyDescent="0.25">
      <c r="A67952" s="118"/>
      <c r="B67952" s="136"/>
    </row>
    <row r="67953" spans="1:2" x14ac:dyDescent="0.25">
      <c r="A67953" s="118"/>
      <c r="B67953" s="136"/>
    </row>
    <row r="67954" spans="1:2" x14ac:dyDescent="0.25">
      <c r="A67954" s="118"/>
      <c r="B67954" s="136"/>
    </row>
    <row r="67955" spans="1:2" x14ac:dyDescent="0.25">
      <c r="A67955" s="118"/>
      <c r="B67955" s="136"/>
    </row>
    <row r="67956" spans="1:2" x14ac:dyDescent="0.25">
      <c r="A67956" s="118"/>
      <c r="B67956" s="136"/>
    </row>
    <row r="67957" spans="1:2" x14ac:dyDescent="0.25">
      <c r="A67957" s="118"/>
      <c r="B67957" s="136"/>
    </row>
    <row r="67958" spans="1:2" x14ac:dyDescent="0.25">
      <c r="A67958" s="118"/>
      <c r="B67958" s="136"/>
    </row>
    <row r="67959" spans="1:2" x14ac:dyDescent="0.25">
      <c r="A67959" s="118"/>
      <c r="B67959" s="136"/>
    </row>
    <row r="67960" spans="1:2" x14ac:dyDescent="0.25">
      <c r="A67960" s="118"/>
      <c r="B67960" s="136"/>
    </row>
    <row r="67961" spans="1:2" x14ac:dyDescent="0.25">
      <c r="A67961" s="118"/>
      <c r="B67961" s="136"/>
    </row>
    <row r="67962" spans="1:2" x14ac:dyDescent="0.25">
      <c r="A67962" s="118"/>
      <c r="B67962" s="136"/>
    </row>
    <row r="67963" spans="1:2" x14ac:dyDescent="0.25">
      <c r="A67963" s="118"/>
      <c r="B67963" s="136"/>
    </row>
    <row r="67964" spans="1:2" x14ac:dyDescent="0.25">
      <c r="A67964" s="118"/>
      <c r="B67964" s="136"/>
    </row>
    <row r="67965" spans="1:2" x14ac:dyDescent="0.25">
      <c r="A67965" s="118"/>
      <c r="B67965" s="136"/>
    </row>
    <row r="67966" spans="1:2" x14ac:dyDescent="0.25">
      <c r="A67966" s="118"/>
      <c r="B67966" s="136"/>
    </row>
    <row r="67967" spans="1:2" x14ac:dyDescent="0.25">
      <c r="A67967" s="118"/>
      <c r="B67967" s="136"/>
    </row>
    <row r="67968" spans="1:2" x14ac:dyDescent="0.25">
      <c r="A67968" s="118"/>
      <c r="B67968" s="136"/>
    </row>
    <row r="67969" spans="1:2" x14ac:dyDescent="0.25">
      <c r="A67969" s="118"/>
      <c r="B67969" s="136"/>
    </row>
    <row r="67970" spans="1:2" x14ac:dyDescent="0.25">
      <c r="A67970" s="118"/>
      <c r="B67970" s="136"/>
    </row>
    <row r="67971" spans="1:2" x14ac:dyDescent="0.25">
      <c r="A67971" s="118"/>
      <c r="B67971" s="136"/>
    </row>
    <row r="67972" spans="1:2" x14ac:dyDescent="0.25">
      <c r="A67972" s="118"/>
      <c r="B67972" s="136"/>
    </row>
    <row r="67973" spans="1:2" x14ac:dyDescent="0.25">
      <c r="A67973" s="118"/>
      <c r="B67973" s="136"/>
    </row>
    <row r="67974" spans="1:2" x14ac:dyDescent="0.25">
      <c r="A67974" s="118"/>
      <c r="B67974" s="136"/>
    </row>
    <row r="67975" spans="1:2" x14ac:dyDescent="0.25">
      <c r="A67975" s="118"/>
      <c r="B67975" s="136"/>
    </row>
    <row r="67976" spans="1:2" x14ac:dyDescent="0.25">
      <c r="A67976" s="118"/>
      <c r="B67976" s="136"/>
    </row>
    <row r="67977" spans="1:2" x14ac:dyDescent="0.25">
      <c r="A67977" s="118"/>
      <c r="B67977" s="136"/>
    </row>
    <row r="67978" spans="1:2" x14ac:dyDescent="0.25">
      <c r="A67978" s="118"/>
      <c r="B67978" s="136"/>
    </row>
    <row r="67979" spans="1:2" x14ac:dyDescent="0.25">
      <c r="A67979" s="118"/>
      <c r="B67979" s="136"/>
    </row>
    <row r="67980" spans="1:2" x14ac:dyDescent="0.25">
      <c r="A67980" s="118"/>
      <c r="B67980" s="136"/>
    </row>
    <row r="67981" spans="1:2" x14ac:dyDescent="0.25">
      <c r="A67981" s="118"/>
      <c r="B67981" s="136"/>
    </row>
    <row r="67982" spans="1:2" x14ac:dyDescent="0.25">
      <c r="A67982" s="118"/>
      <c r="B67982" s="136"/>
    </row>
    <row r="67983" spans="1:2" x14ac:dyDescent="0.25">
      <c r="A67983" s="118"/>
      <c r="B67983" s="136"/>
    </row>
    <row r="67984" spans="1:2" x14ac:dyDescent="0.25">
      <c r="A67984" s="118"/>
      <c r="B67984" s="136"/>
    </row>
    <row r="67985" spans="1:2" x14ac:dyDescent="0.25">
      <c r="A67985" s="118"/>
      <c r="B67985" s="136"/>
    </row>
    <row r="67986" spans="1:2" x14ac:dyDescent="0.25">
      <c r="A67986" s="118"/>
      <c r="B67986" s="136"/>
    </row>
    <row r="67987" spans="1:2" x14ac:dyDescent="0.25">
      <c r="A67987" s="118"/>
      <c r="B67987" s="136"/>
    </row>
    <row r="67988" spans="1:2" x14ac:dyDescent="0.25">
      <c r="A67988" s="118"/>
      <c r="B67988" s="136"/>
    </row>
    <row r="67989" spans="1:2" x14ac:dyDescent="0.25">
      <c r="A67989" s="118"/>
      <c r="B67989" s="136"/>
    </row>
    <row r="67990" spans="1:2" x14ac:dyDescent="0.25">
      <c r="A67990" s="118"/>
      <c r="B67990" s="136"/>
    </row>
    <row r="67991" spans="1:2" x14ac:dyDescent="0.25">
      <c r="A67991" s="118"/>
      <c r="B67991" s="136"/>
    </row>
    <row r="67992" spans="1:2" x14ac:dyDescent="0.25">
      <c r="A67992" s="118"/>
      <c r="B67992" s="136"/>
    </row>
    <row r="67993" spans="1:2" x14ac:dyDescent="0.25">
      <c r="A67993" s="118"/>
      <c r="B67993" s="136"/>
    </row>
    <row r="67994" spans="1:2" x14ac:dyDescent="0.25">
      <c r="A67994" s="118"/>
      <c r="B67994" s="136"/>
    </row>
    <row r="67995" spans="1:2" x14ac:dyDescent="0.25">
      <c r="A67995" s="118"/>
      <c r="B67995" s="136"/>
    </row>
    <row r="67996" spans="1:2" x14ac:dyDescent="0.25">
      <c r="A67996" s="118"/>
      <c r="B67996" s="136"/>
    </row>
    <row r="67997" spans="1:2" x14ac:dyDescent="0.25">
      <c r="A67997" s="118"/>
      <c r="B67997" s="136"/>
    </row>
    <row r="67998" spans="1:2" x14ac:dyDescent="0.25">
      <c r="A67998" s="118"/>
      <c r="B67998" s="136"/>
    </row>
    <row r="67999" spans="1:2" x14ac:dyDescent="0.25">
      <c r="A67999" s="118"/>
      <c r="B67999" s="136"/>
    </row>
    <row r="68000" spans="1:2" x14ac:dyDescent="0.25">
      <c r="A68000" s="118"/>
      <c r="B68000" s="136"/>
    </row>
    <row r="68001" spans="1:2" x14ac:dyDescent="0.25">
      <c r="A68001" s="118"/>
      <c r="B68001" s="136"/>
    </row>
    <row r="68002" spans="1:2" x14ac:dyDescent="0.25">
      <c r="A68002" s="118"/>
      <c r="B68002" s="136"/>
    </row>
    <row r="68003" spans="1:2" x14ac:dyDescent="0.25">
      <c r="A68003" s="118"/>
      <c r="B68003" s="136"/>
    </row>
    <row r="68004" spans="1:2" x14ac:dyDescent="0.25">
      <c r="A68004" s="118"/>
      <c r="B68004" s="136"/>
    </row>
    <row r="68005" spans="1:2" x14ac:dyDescent="0.25">
      <c r="A68005" s="118"/>
      <c r="B68005" s="136"/>
    </row>
    <row r="68006" spans="1:2" x14ac:dyDescent="0.25">
      <c r="A68006" s="118"/>
      <c r="B68006" s="136"/>
    </row>
    <row r="68007" spans="1:2" x14ac:dyDescent="0.25">
      <c r="A68007" s="118"/>
      <c r="B68007" s="136"/>
    </row>
    <row r="68008" spans="1:2" x14ac:dyDescent="0.25">
      <c r="A68008" s="118"/>
      <c r="B68008" s="136"/>
    </row>
    <row r="68009" spans="1:2" x14ac:dyDescent="0.25">
      <c r="A68009" s="118"/>
      <c r="B68009" s="136"/>
    </row>
    <row r="68010" spans="1:2" x14ac:dyDescent="0.25">
      <c r="A68010" s="118"/>
      <c r="B68010" s="136"/>
    </row>
    <row r="68011" spans="1:2" x14ac:dyDescent="0.25">
      <c r="A68011" s="118"/>
      <c r="B68011" s="136"/>
    </row>
    <row r="68012" spans="1:2" x14ac:dyDescent="0.25">
      <c r="A68012" s="118"/>
      <c r="B68012" s="136"/>
    </row>
    <row r="68013" spans="1:2" x14ac:dyDescent="0.25">
      <c r="A68013" s="118"/>
      <c r="B68013" s="136"/>
    </row>
    <row r="68014" spans="1:2" x14ac:dyDescent="0.25">
      <c r="A68014" s="118"/>
      <c r="B68014" s="136"/>
    </row>
    <row r="68015" spans="1:2" x14ac:dyDescent="0.25">
      <c r="A68015" s="118"/>
      <c r="B68015" s="136"/>
    </row>
    <row r="68016" spans="1:2" x14ac:dyDescent="0.25">
      <c r="A68016" s="118"/>
      <c r="B68016" s="136"/>
    </row>
    <row r="68017" spans="1:2" x14ac:dyDescent="0.25">
      <c r="A68017" s="118"/>
      <c r="B68017" s="136"/>
    </row>
    <row r="68018" spans="1:2" x14ac:dyDescent="0.25">
      <c r="A68018" s="118"/>
      <c r="B68018" s="136"/>
    </row>
    <row r="68019" spans="1:2" x14ac:dyDescent="0.25">
      <c r="A68019" s="118"/>
      <c r="B68019" s="136"/>
    </row>
    <row r="68020" spans="1:2" x14ac:dyDescent="0.25">
      <c r="A68020" s="118"/>
      <c r="B68020" s="136"/>
    </row>
    <row r="68021" spans="1:2" x14ac:dyDescent="0.25">
      <c r="A68021" s="118"/>
      <c r="B68021" s="136"/>
    </row>
    <row r="68022" spans="1:2" x14ac:dyDescent="0.25">
      <c r="A68022" s="118"/>
      <c r="B68022" s="136"/>
    </row>
    <row r="68023" spans="1:2" x14ac:dyDescent="0.25">
      <c r="A68023" s="118"/>
      <c r="B68023" s="136"/>
    </row>
    <row r="68024" spans="1:2" x14ac:dyDescent="0.25">
      <c r="A68024" s="118"/>
      <c r="B68024" s="136"/>
    </row>
    <row r="68025" spans="1:2" x14ac:dyDescent="0.25">
      <c r="A68025" s="118"/>
      <c r="B68025" s="136"/>
    </row>
    <row r="68026" spans="1:2" x14ac:dyDescent="0.25">
      <c r="A68026" s="118"/>
      <c r="B68026" s="136"/>
    </row>
    <row r="68027" spans="1:2" x14ac:dyDescent="0.25">
      <c r="A68027" s="118"/>
      <c r="B68027" s="136"/>
    </row>
    <row r="68028" spans="1:2" x14ac:dyDescent="0.25">
      <c r="A68028" s="118"/>
      <c r="B68028" s="136"/>
    </row>
    <row r="68029" spans="1:2" x14ac:dyDescent="0.25">
      <c r="A68029" s="118"/>
      <c r="B68029" s="136"/>
    </row>
    <row r="68030" spans="1:2" x14ac:dyDescent="0.25">
      <c r="A68030" s="118"/>
      <c r="B68030" s="136"/>
    </row>
    <row r="68031" spans="1:2" x14ac:dyDescent="0.25">
      <c r="A68031" s="118"/>
      <c r="B68031" s="136"/>
    </row>
    <row r="68032" spans="1:2" x14ac:dyDescent="0.25">
      <c r="A68032" s="118"/>
      <c r="B68032" s="136"/>
    </row>
    <row r="68033" spans="1:2" x14ac:dyDescent="0.25">
      <c r="A68033" s="118"/>
      <c r="B68033" s="136"/>
    </row>
    <row r="68034" spans="1:2" x14ac:dyDescent="0.25">
      <c r="A68034" s="118"/>
      <c r="B68034" s="136"/>
    </row>
    <row r="68035" spans="1:2" x14ac:dyDescent="0.25">
      <c r="A68035" s="118"/>
      <c r="B68035" s="136"/>
    </row>
    <row r="68036" spans="1:2" x14ac:dyDescent="0.25">
      <c r="A68036" s="118"/>
      <c r="B68036" s="136"/>
    </row>
    <row r="68037" spans="1:2" x14ac:dyDescent="0.25">
      <c r="A68037" s="118"/>
      <c r="B68037" s="136"/>
    </row>
    <row r="68038" spans="1:2" x14ac:dyDescent="0.25">
      <c r="A68038" s="118"/>
      <c r="B68038" s="136"/>
    </row>
    <row r="68039" spans="1:2" x14ac:dyDescent="0.25">
      <c r="A68039" s="118"/>
      <c r="B68039" s="136"/>
    </row>
    <row r="68040" spans="1:2" x14ac:dyDescent="0.25">
      <c r="A68040" s="118"/>
      <c r="B68040" s="136"/>
    </row>
    <row r="68041" spans="1:2" x14ac:dyDescent="0.25">
      <c r="A68041" s="118"/>
      <c r="B68041" s="136"/>
    </row>
    <row r="68042" spans="1:2" x14ac:dyDescent="0.25">
      <c r="A68042" s="118"/>
      <c r="B68042" s="136"/>
    </row>
    <row r="68043" spans="1:2" x14ac:dyDescent="0.25">
      <c r="A68043" s="118"/>
      <c r="B68043" s="136"/>
    </row>
    <row r="68044" spans="1:2" x14ac:dyDescent="0.25">
      <c r="A68044" s="118"/>
      <c r="B68044" s="136"/>
    </row>
    <row r="68045" spans="1:2" x14ac:dyDescent="0.25">
      <c r="A68045" s="118"/>
      <c r="B68045" s="136"/>
    </row>
    <row r="68046" spans="1:2" x14ac:dyDescent="0.25">
      <c r="A68046" s="118"/>
      <c r="B68046" s="136"/>
    </row>
    <row r="68047" spans="1:2" x14ac:dyDescent="0.25">
      <c r="A68047" s="118"/>
      <c r="B68047" s="136"/>
    </row>
    <row r="68048" spans="1:2" x14ac:dyDescent="0.25">
      <c r="A68048" s="118"/>
      <c r="B68048" s="136"/>
    </row>
    <row r="68049" spans="1:2" x14ac:dyDescent="0.25">
      <c r="A68049" s="118"/>
      <c r="B68049" s="136"/>
    </row>
    <row r="68050" spans="1:2" x14ac:dyDescent="0.25">
      <c r="A68050" s="118"/>
      <c r="B68050" s="136"/>
    </row>
    <row r="68051" spans="1:2" x14ac:dyDescent="0.25">
      <c r="A68051" s="118"/>
      <c r="B68051" s="136"/>
    </row>
    <row r="68052" spans="1:2" x14ac:dyDescent="0.25">
      <c r="A68052" s="118"/>
      <c r="B68052" s="136"/>
    </row>
    <row r="68053" spans="1:2" x14ac:dyDescent="0.25">
      <c r="A68053" s="118"/>
      <c r="B68053" s="136"/>
    </row>
    <row r="68054" spans="1:2" x14ac:dyDescent="0.25">
      <c r="A68054" s="118"/>
      <c r="B68054" s="136"/>
    </row>
    <row r="68055" spans="1:2" x14ac:dyDescent="0.25">
      <c r="A68055" s="118"/>
      <c r="B68055" s="136"/>
    </row>
    <row r="68056" spans="1:2" x14ac:dyDescent="0.25">
      <c r="A68056" s="118"/>
      <c r="B68056" s="136"/>
    </row>
    <row r="68057" spans="1:2" x14ac:dyDescent="0.25">
      <c r="A68057" s="118"/>
      <c r="B68057" s="136"/>
    </row>
    <row r="68058" spans="1:2" x14ac:dyDescent="0.25">
      <c r="A68058" s="118"/>
      <c r="B68058" s="136"/>
    </row>
    <row r="68059" spans="1:2" x14ac:dyDescent="0.25">
      <c r="A68059" s="118"/>
      <c r="B68059" s="136"/>
    </row>
    <row r="68060" spans="1:2" x14ac:dyDescent="0.25">
      <c r="A68060" s="118"/>
      <c r="B68060" s="136"/>
    </row>
    <row r="68061" spans="1:2" x14ac:dyDescent="0.25">
      <c r="A68061" s="118"/>
      <c r="B68061" s="136"/>
    </row>
    <row r="68062" spans="1:2" x14ac:dyDescent="0.25">
      <c r="A68062" s="118"/>
      <c r="B68062" s="136"/>
    </row>
    <row r="68063" spans="1:2" x14ac:dyDescent="0.25">
      <c r="A68063" s="118"/>
      <c r="B68063" s="136"/>
    </row>
    <row r="68064" spans="1:2" x14ac:dyDescent="0.25">
      <c r="A68064" s="118"/>
      <c r="B68064" s="136"/>
    </row>
    <row r="68065" spans="1:2" x14ac:dyDescent="0.25">
      <c r="A68065" s="118"/>
      <c r="B68065" s="136"/>
    </row>
    <row r="68066" spans="1:2" x14ac:dyDescent="0.25">
      <c r="A68066" s="118"/>
      <c r="B68066" s="136"/>
    </row>
    <row r="68067" spans="1:2" x14ac:dyDescent="0.25">
      <c r="A68067" s="118"/>
      <c r="B68067" s="136"/>
    </row>
    <row r="68068" spans="1:2" x14ac:dyDescent="0.25">
      <c r="A68068" s="118"/>
      <c r="B68068" s="136"/>
    </row>
    <row r="68069" spans="1:2" x14ac:dyDescent="0.25">
      <c r="A68069" s="118"/>
      <c r="B68069" s="136"/>
    </row>
    <row r="68070" spans="1:2" x14ac:dyDescent="0.25">
      <c r="A68070" s="118"/>
      <c r="B68070" s="136"/>
    </row>
    <row r="68071" spans="1:2" x14ac:dyDescent="0.25">
      <c r="A68071" s="118"/>
      <c r="B68071" s="136"/>
    </row>
    <row r="68072" spans="1:2" x14ac:dyDescent="0.25">
      <c r="A68072" s="118"/>
      <c r="B68072" s="136"/>
    </row>
    <row r="68073" spans="1:2" x14ac:dyDescent="0.25">
      <c r="A68073" s="118"/>
      <c r="B68073" s="136"/>
    </row>
    <row r="68074" spans="1:2" x14ac:dyDescent="0.25">
      <c r="A68074" s="118"/>
      <c r="B68074" s="136"/>
    </row>
    <row r="68075" spans="1:2" x14ac:dyDescent="0.25">
      <c r="A68075" s="118"/>
      <c r="B68075" s="136"/>
    </row>
    <row r="68076" spans="1:2" x14ac:dyDescent="0.25">
      <c r="A68076" s="118"/>
      <c r="B68076" s="136"/>
    </row>
    <row r="68077" spans="1:2" x14ac:dyDescent="0.25">
      <c r="A68077" s="118"/>
      <c r="B68077" s="136"/>
    </row>
    <row r="68078" spans="1:2" x14ac:dyDescent="0.25">
      <c r="A68078" s="118"/>
      <c r="B68078" s="136"/>
    </row>
    <row r="68079" spans="1:2" x14ac:dyDescent="0.25">
      <c r="A68079" s="118"/>
      <c r="B68079" s="136"/>
    </row>
    <row r="68080" spans="1:2" x14ac:dyDescent="0.25">
      <c r="A68080" s="118"/>
      <c r="B68080" s="136"/>
    </row>
    <row r="68081" spans="1:2" x14ac:dyDescent="0.25">
      <c r="A68081" s="118"/>
      <c r="B68081" s="136"/>
    </row>
    <row r="68082" spans="1:2" x14ac:dyDescent="0.25">
      <c r="A68082" s="118"/>
      <c r="B68082" s="136"/>
    </row>
    <row r="68083" spans="1:2" x14ac:dyDescent="0.25">
      <c r="A68083" s="118"/>
      <c r="B68083" s="136"/>
    </row>
    <row r="68084" spans="1:2" x14ac:dyDescent="0.25">
      <c r="A68084" s="118"/>
      <c r="B68084" s="136"/>
    </row>
    <row r="68085" spans="1:2" x14ac:dyDescent="0.25">
      <c r="A68085" s="118"/>
      <c r="B68085" s="136"/>
    </row>
    <row r="68086" spans="1:2" x14ac:dyDescent="0.25">
      <c r="A68086" s="118"/>
      <c r="B68086" s="136"/>
    </row>
    <row r="68087" spans="1:2" x14ac:dyDescent="0.25">
      <c r="A68087" s="118"/>
      <c r="B68087" s="136"/>
    </row>
    <row r="68088" spans="1:2" x14ac:dyDescent="0.25">
      <c r="A68088" s="118"/>
      <c r="B68088" s="136"/>
    </row>
    <row r="68089" spans="1:2" x14ac:dyDescent="0.25">
      <c r="A68089" s="118"/>
      <c r="B68089" s="136"/>
    </row>
    <row r="68090" spans="1:2" x14ac:dyDescent="0.25">
      <c r="A68090" s="118"/>
      <c r="B68090" s="136"/>
    </row>
    <row r="68091" spans="1:2" x14ac:dyDescent="0.25">
      <c r="A68091" s="118"/>
      <c r="B68091" s="136"/>
    </row>
    <row r="68092" spans="1:2" x14ac:dyDescent="0.25">
      <c r="A68092" s="118"/>
      <c r="B68092" s="136"/>
    </row>
    <row r="68093" spans="1:2" x14ac:dyDescent="0.25">
      <c r="A68093" s="118"/>
      <c r="B68093" s="136"/>
    </row>
    <row r="68094" spans="1:2" x14ac:dyDescent="0.25">
      <c r="A68094" s="118"/>
      <c r="B68094" s="136"/>
    </row>
    <row r="68095" spans="1:2" x14ac:dyDescent="0.25">
      <c r="A68095" s="118"/>
      <c r="B68095" s="136"/>
    </row>
    <row r="68096" spans="1:2" x14ac:dyDescent="0.25">
      <c r="A68096" s="118"/>
      <c r="B68096" s="136"/>
    </row>
    <row r="68097" spans="1:2" x14ac:dyDescent="0.25">
      <c r="A68097" s="118"/>
      <c r="B68097" s="136"/>
    </row>
    <row r="68098" spans="1:2" x14ac:dyDescent="0.25">
      <c r="A68098" s="118"/>
      <c r="B68098" s="136"/>
    </row>
    <row r="68099" spans="1:2" x14ac:dyDescent="0.25">
      <c r="A68099" s="118"/>
      <c r="B68099" s="136"/>
    </row>
    <row r="68100" spans="1:2" x14ac:dyDescent="0.25">
      <c r="A68100" s="118"/>
      <c r="B68100" s="136"/>
    </row>
    <row r="68101" spans="1:2" x14ac:dyDescent="0.25">
      <c r="A68101" s="118"/>
      <c r="B68101" s="136"/>
    </row>
    <row r="68102" spans="1:2" x14ac:dyDescent="0.25">
      <c r="A68102" s="118"/>
      <c r="B68102" s="136"/>
    </row>
    <row r="68103" spans="1:2" x14ac:dyDescent="0.25">
      <c r="A68103" s="118"/>
      <c r="B68103" s="136"/>
    </row>
    <row r="68104" spans="1:2" x14ac:dyDescent="0.25">
      <c r="A68104" s="118"/>
      <c r="B68104" s="136"/>
    </row>
    <row r="68105" spans="1:2" x14ac:dyDescent="0.25">
      <c r="A68105" s="118"/>
      <c r="B68105" s="136"/>
    </row>
    <row r="68106" spans="1:2" x14ac:dyDescent="0.25">
      <c r="A68106" s="118"/>
      <c r="B68106" s="136"/>
    </row>
    <row r="68107" spans="1:2" x14ac:dyDescent="0.25">
      <c r="A68107" s="118"/>
      <c r="B68107" s="136"/>
    </row>
    <row r="68108" spans="1:2" x14ac:dyDescent="0.25">
      <c r="A68108" s="118"/>
      <c r="B68108" s="136"/>
    </row>
    <row r="68109" spans="1:2" x14ac:dyDescent="0.25">
      <c r="A68109" s="118"/>
      <c r="B68109" s="136"/>
    </row>
    <row r="68110" spans="1:2" x14ac:dyDescent="0.25">
      <c r="A68110" s="118"/>
      <c r="B68110" s="136"/>
    </row>
    <row r="68111" spans="1:2" x14ac:dyDescent="0.25">
      <c r="A68111" s="118"/>
      <c r="B68111" s="136"/>
    </row>
    <row r="68112" spans="1:2" x14ac:dyDescent="0.25">
      <c r="A68112" s="118"/>
      <c r="B68112" s="136"/>
    </row>
    <row r="68113" spans="1:2" x14ac:dyDescent="0.25">
      <c r="A68113" s="118"/>
      <c r="B68113" s="136"/>
    </row>
    <row r="68114" spans="1:2" x14ac:dyDescent="0.25">
      <c r="A68114" s="118"/>
      <c r="B68114" s="136"/>
    </row>
    <row r="68115" spans="1:2" x14ac:dyDescent="0.25">
      <c r="A68115" s="118"/>
      <c r="B68115" s="136"/>
    </row>
    <row r="68116" spans="1:2" x14ac:dyDescent="0.25">
      <c r="A68116" s="118"/>
      <c r="B68116" s="136"/>
    </row>
    <row r="68117" spans="1:2" x14ac:dyDescent="0.25">
      <c r="A68117" s="118"/>
      <c r="B68117" s="136"/>
    </row>
    <row r="68118" spans="1:2" x14ac:dyDescent="0.25">
      <c r="A68118" s="118"/>
      <c r="B68118" s="136"/>
    </row>
    <row r="68119" spans="1:2" x14ac:dyDescent="0.25">
      <c r="A68119" s="118"/>
      <c r="B68119" s="136"/>
    </row>
    <row r="68120" spans="1:2" x14ac:dyDescent="0.25">
      <c r="A68120" s="118"/>
      <c r="B68120" s="136"/>
    </row>
    <row r="68121" spans="1:2" x14ac:dyDescent="0.25">
      <c r="A68121" s="118"/>
      <c r="B68121" s="136"/>
    </row>
    <row r="68122" spans="1:2" x14ac:dyDescent="0.25">
      <c r="A68122" s="118"/>
      <c r="B68122" s="136"/>
    </row>
    <row r="68123" spans="1:2" x14ac:dyDescent="0.25">
      <c r="A68123" s="118"/>
      <c r="B68123" s="136"/>
    </row>
    <row r="68124" spans="1:2" x14ac:dyDescent="0.25">
      <c r="A68124" s="118"/>
      <c r="B68124" s="136"/>
    </row>
    <row r="68125" spans="1:2" x14ac:dyDescent="0.25">
      <c r="A68125" s="118"/>
      <c r="B68125" s="136"/>
    </row>
    <row r="68126" spans="1:2" x14ac:dyDescent="0.25">
      <c r="A68126" s="118"/>
      <c r="B68126" s="136"/>
    </row>
    <row r="68127" spans="1:2" x14ac:dyDescent="0.25">
      <c r="A68127" s="118"/>
      <c r="B68127" s="136"/>
    </row>
    <row r="68128" spans="1:2" x14ac:dyDescent="0.25">
      <c r="A68128" s="118"/>
      <c r="B68128" s="136"/>
    </row>
    <row r="68129" spans="1:2" x14ac:dyDescent="0.25">
      <c r="A68129" s="118"/>
      <c r="B68129" s="136"/>
    </row>
    <row r="68130" spans="1:2" x14ac:dyDescent="0.25">
      <c r="A68130" s="118"/>
      <c r="B68130" s="136"/>
    </row>
    <row r="68131" spans="1:2" x14ac:dyDescent="0.25">
      <c r="A68131" s="118"/>
      <c r="B68131" s="136"/>
    </row>
    <row r="68132" spans="1:2" x14ac:dyDescent="0.25">
      <c r="A68132" s="118"/>
      <c r="B68132" s="136"/>
    </row>
    <row r="68133" spans="1:2" x14ac:dyDescent="0.25">
      <c r="A68133" s="118"/>
      <c r="B68133" s="136"/>
    </row>
    <row r="68134" spans="1:2" x14ac:dyDescent="0.25">
      <c r="A68134" s="118"/>
      <c r="B68134" s="136"/>
    </row>
    <row r="68135" spans="1:2" x14ac:dyDescent="0.25">
      <c r="A68135" s="118"/>
      <c r="B68135" s="136"/>
    </row>
    <row r="68136" spans="1:2" x14ac:dyDescent="0.25">
      <c r="A68136" s="118"/>
      <c r="B68136" s="136"/>
    </row>
    <row r="68137" spans="1:2" x14ac:dyDescent="0.25">
      <c r="A68137" s="118"/>
      <c r="B68137" s="136"/>
    </row>
    <row r="68138" spans="1:2" x14ac:dyDescent="0.25">
      <c r="A68138" s="118"/>
      <c r="B68138" s="136"/>
    </row>
    <row r="68139" spans="1:2" x14ac:dyDescent="0.25">
      <c r="A68139" s="118"/>
      <c r="B68139" s="136"/>
    </row>
    <row r="68140" spans="1:2" x14ac:dyDescent="0.25">
      <c r="A68140" s="118"/>
      <c r="B68140" s="136"/>
    </row>
    <row r="68141" spans="1:2" x14ac:dyDescent="0.25">
      <c r="A68141" s="118"/>
      <c r="B68141" s="136"/>
    </row>
    <row r="68142" spans="1:2" x14ac:dyDescent="0.25">
      <c r="A68142" s="118"/>
      <c r="B68142" s="136"/>
    </row>
    <row r="68143" spans="1:2" x14ac:dyDescent="0.25">
      <c r="A68143" s="118"/>
      <c r="B68143" s="136"/>
    </row>
    <row r="68144" spans="1:2" x14ac:dyDescent="0.25">
      <c r="A68144" s="118"/>
      <c r="B68144" s="136"/>
    </row>
    <row r="68145" spans="1:2" x14ac:dyDescent="0.25">
      <c r="A68145" s="118"/>
      <c r="B68145" s="136"/>
    </row>
    <row r="68146" spans="1:2" x14ac:dyDescent="0.25">
      <c r="A68146" s="118"/>
      <c r="B68146" s="136"/>
    </row>
    <row r="68147" spans="1:2" x14ac:dyDescent="0.25">
      <c r="A68147" s="118"/>
      <c r="B68147" s="136"/>
    </row>
    <row r="68148" spans="1:2" x14ac:dyDescent="0.25">
      <c r="A68148" s="118"/>
      <c r="B68148" s="136"/>
    </row>
    <row r="68149" spans="1:2" x14ac:dyDescent="0.25">
      <c r="A68149" s="118"/>
      <c r="B68149" s="136"/>
    </row>
    <row r="68150" spans="1:2" x14ac:dyDescent="0.25">
      <c r="A68150" s="118"/>
      <c r="B68150" s="136"/>
    </row>
    <row r="68151" spans="1:2" x14ac:dyDescent="0.25">
      <c r="A68151" s="118"/>
      <c r="B68151" s="136"/>
    </row>
    <row r="68152" spans="1:2" x14ac:dyDescent="0.25">
      <c r="A68152" s="118"/>
      <c r="B68152" s="136"/>
    </row>
    <row r="68153" spans="1:2" x14ac:dyDescent="0.25">
      <c r="A68153" s="118"/>
      <c r="B68153" s="136"/>
    </row>
    <row r="68154" spans="1:2" x14ac:dyDescent="0.25">
      <c r="A68154" s="118"/>
      <c r="B68154" s="136"/>
    </row>
    <row r="68155" spans="1:2" x14ac:dyDescent="0.25">
      <c r="A68155" s="118"/>
      <c r="B68155" s="136"/>
    </row>
    <row r="68156" spans="1:2" x14ac:dyDescent="0.25">
      <c r="A68156" s="118"/>
      <c r="B68156" s="136"/>
    </row>
    <row r="68157" spans="1:2" x14ac:dyDescent="0.25">
      <c r="A68157" s="118"/>
      <c r="B68157" s="136"/>
    </row>
    <row r="68158" spans="1:2" x14ac:dyDescent="0.25">
      <c r="A68158" s="118"/>
      <c r="B68158" s="136"/>
    </row>
    <row r="68159" spans="1:2" x14ac:dyDescent="0.25">
      <c r="A68159" s="118"/>
      <c r="B68159" s="136"/>
    </row>
    <row r="68160" spans="1:2" x14ac:dyDescent="0.25">
      <c r="A68160" s="118"/>
      <c r="B68160" s="136"/>
    </row>
    <row r="68161" spans="1:2" x14ac:dyDescent="0.25">
      <c r="A68161" s="118"/>
      <c r="B68161" s="136"/>
    </row>
    <row r="68162" spans="1:2" x14ac:dyDescent="0.25">
      <c r="A68162" s="118"/>
      <c r="B68162" s="136"/>
    </row>
    <row r="68163" spans="1:2" x14ac:dyDescent="0.25">
      <c r="A68163" s="118"/>
      <c r="B68163" s="136"/>
    </row>
    <row r="68164" spans="1:2" x14ac:dyDescent="0.25">
      <c r="A68164" s="118"/>
      <c r="B68164" s="136"/>
    </row>
    <row r="68165" spans="1:2" x14ac:dyDescent="0.25">
      <c r="A68165" s="118"/>
      <c r="B68165" s="136"/>
    </row>
    <row r="68166" spans="1:2" x14ac:dyDescent="0.25">
      <c r="A68166" s="118"/>
      <c r="B68166" s="136"/>
    </row>
    <row r="68167" spans="1:2" x14ac:dyDescent="0.25">
      <c r="A68167" s="118"/>
      <c r="B68167" s="136"/>
    </row>
    <row r="68168" spans="1:2" x14ac:dyDescent="0.25">
      <c r="A68168" s="118"/>
      <c r="B68168" s="136"/>
    </row>
    <row r="68169" spans="1:2" x14ac:dyDescent="0.25">
      <c r="A68169" s="118"/>
      <c r="B68169" s="136"/>
    </row>
    <row r="68170" spans="1:2" x14ac:dyDescent="0.25">
      <c r="A68170" s="118"/>
      <c r="B68170" s="136"/>
    </row>
    <row r="68171" spans="1:2" x14ac:dyDescent="0.25">
      <c r="A68171" s="118"/>
      <c r="B68171" s="136"/>
    </row>
    <row r="68172" spans="1:2" x14ac:dyDescent="0.25">
      <c r="A68172" s="118"/>
      <c r="B68172" s="136"/>
    </row>
    <row r="68173" spans="1:2" x14ac:dyDescent="0.25">
      <c r="A68173" s="118"/>
      <c r="B68173" s="136"/>
    </row>
    <row r="68174" spans="1:2" x14ac:dyDescent="0.25">
      <c r="A68174" s="118"/>
      <c r="B68174" s="136"/>
    </row>
    <row r="68175" spans="1:2" x14ac:dyDescent="0.25">
      <c r="A68175" s="118"/>
      <c r="B68175" s="136"/>
    </row>
    <row r="68176" spans="1:2" x14ac:dyDescent="0.25">
      <c r="A68176" s="118"/>
      <c r="B68176" s="136"/>
    </row>
    <row r="68177" spans="1:2" x14ac:dyDescent="0.25">
      <c r="A68177" s="118"/>
      <c r="B68177" s="136"/>
    </row>
    <row r="68178" spans="1:2" x14ac:dyDescent="0.25">
      <c r="A68178" s="118"/>
      <c r="B68178" s="136"/>
    </row>
    <row r="68179" spans="1:2" x14ac:dyDescent="0.25">
      <c r="A68179" s="118"/>
      <c r="B68179" s="136"/>
    </row>
    <row r="68180" spans="1:2" x14ac:dyDescent="0.25">
      <c r="A68180" s="118"/>
      <c r="B68180" s="136"/>
    </row>
    <row r="68181" spans="1:2" x14ac:dyDescent="0.25">
      <c r="A68181" s="118"/>
      <c r="B68181" s="136"/>
    </row>
    <row r="68182" spans="1:2" x14ac:dyDescent="0.25">
      <c r="A68182" s="118"/>
      <c r="B68182" s="136"/>
    </row>
    <row r="68183" spans="1:2" x14ac:dyDescent="0.25">
      <c r="A68183" s="118"/>
      <c r="B68183" s="136"/>
    </row>
    <row r="68184" spans="1:2" x14ac:dyDescent="0.25">
      <c r="A68184" s="118"/>
      <c r="B68184" s="136"/>
    </row>
    <row r="68185" spans="1:2" x14ac:dyDescent="0.25">
      <c r="A68185" s="118"/>
      <c r="B68185" s="136"/>
    </row>
    <row r="68186" spans="1:2" x14ac:dyDescent="0.25">
      <c r="A68186" s="118"/>
      <c r="B68186" s="136"/>
    </row>
    <row r="68187" spans="1:2" x14ac:dyDescent="0.25">
      <c r="A68187" s="118"/>
      <c r="B68187" s="136"/>
    </row>
    <row r="68188" spans="1:2" x14ac:dyDescent="0.25">
      <c r="A68188" s="118"/>
      <c r="B68188" s="136"/>
    </row>
    <row r="68189" spans="1:2" x14ac:dyDescent="0.25">
      <c r="A68189" s="118"/>
      <c r="B68189" s="136"/>
    </row>
    <row r="68190" spans="1:2" x14ac:dyDescent="0.25">
      <c r="A68190" s="118"/>
      <c r="B68190" s="136"/>
    </row>
    <row r="68191" spans="1:2" x14ac:dyDescent="0.25">
      <c r="A68191" s="118"/>
      <c r="B68191" s="136"/>
    </row>
    <row r="68192" spans="1:2" x14ac:dyDescent="0.25">
      <c r="A68192" s="118"/>
      <c r="B68192" s="136"/>
    </row>
    <row r="68193" spans="1:2" x14ac:dyDescent="0.25">
      <c r="A68193" s="118"/>
      <c r="B68193" s="136"/>
    </row>
    <row r="68194" spans="1:2" x14ac:dyDescent="0.25">
      <c r="A68194" s="118"/>
      <c r="B68194" s="136"/>
    </row>
    <row r="68195" spans="1:2" x14ac:dyDescent="0.25">
      <c r="A68195" s="118"/>
      <c r="B68195" s="136"/>
    </row>
    <row r="68196" spans="1:2" x14ac:dyDescent="0.25">
      <c r="A68196" s="118"/>
      <c r="B68196" s="136"/>
    </row>
    <row r="68197" spans="1:2" x14ac:dyDescent="0.25">
      <c r="A68197" s="118"/>
      <c r="B68197" s="136"/>
    </row>
    <row r="68198" spans="1:2" x14ac:dyDescent="0.25">
      <c r="A68198" s="118"/>
      <c r="B68198" s="136"/>
    </row>
    <row r="68199" spans="1:2" x14ac:dyDescent="0.25">
      <c r="A68199" s="118"/>
      <c r="B68199" s="136"/>
    </row>
    <row r="68200" spans="1:2" x14ac:dyDescent="0.25">
      <c r="A68200" s="118"/>
      <c r="B68200" s="136"/>
    </row>
    <row r="68201" spans="1:2" x14ac:dyDescent="0.25">
      <c r="A68201" s="118"/>
      <c r="B68201" s="136"/>
    </row>
    <row r="68202" spans="1:2" x14ac:dyDescent="0.25">
      <c r="A68202" s="118"/>
      <c r="B68202" s="136"/>
    </row>
    <row r="68203" spans="1:2" x14ac:dyDescent="0.25">
      <c r="A68203" s="118"/>
      <c r="B68203" s="136"/>
    </row>
    <row r="68204" spans="1:2" x14ac:dyDescent="0.25">
      <c r="A68204" s="118"/>
      <c r="B68204" s="136"/>
    </row>
    <row r="68205" spans="1:2" x14ac:dyDescent="0.25">
      <c r="A68205" s="118"/>
      <c r="B68205" s="136"/>
    </row>
    <row r="68206" spans="1:2" x14ac:dyDescent="0.25">
      <c r="A68206" s="118"/>
      <c r="B68206" s="136"/>
    </row>
    <row r="68207" spans="1:2" x14ac:dyDescent="0.25">
      <c r="A68207" s="118"/>
      <c r="B68207" s="136"/>
    </row>
    <row r="68208" spans="1:2" x14ac:dyDescent="0.25">
      <c r="A68208" s="118"/>
      <c r="B68208" s="136"/>
    </row>
    <row r="68209" spans="1:2" x14ac:dyDescent="0.25">
      <c r="A68209" s="118"/>
      <c r="B68209" s="136"/>
    </row>
    <row r="68210" spans="1:2" x14ac:dyDescent="0.25">
      <c r="A68210" s="118"/>
      <c r="B68210" s="136"/>
    </row>
    <row r="68211" spans="1:2" x14ac:dyDescent="0.25">
      <c r="A68211" s="118"/>
      <c r="B68211" s="136"/>
    </row>
    <row r="68212" spans="1:2" x14ac:dyDescent="0.25">
      <c r="A68212" s="118"/>
      <c r="B68212" s="136"/>
    </row>
    <row r="68213" spans="1:2" x14ac:dyDescent="0.25">
      <c r="A68213" s="118"/>
      <c r="B68213" s="136"/>
    </row>
    <row r="68214" spans="1:2" x14ac:dyDescent="0.25">
      <c r="A68214" s="118"/>
      <c r="B68214" s="136"/>
    </row>
    <row r="68215" spans="1:2" x14ac:dyDescent="0.25">
      <c r="A68215" s="118"/>
      <c r="B68215" s="136"/>
    </row>
    <row r="68216" spans="1:2" x14ac:dyDescent="0.25">
      <c r="A68216" s="118"/>
      <c r="B68216" s="136"/>
    </row>
    <row r="68217" spans="1:2" x14ac:dyDescent="0.25">
      <c r="A68217" s="118"/>
      <c r="B68217" s="136"/>
    </row>
    <row r="68218" spans="1:2" x14ac:dyDescent="0.25">
      <c r="A68218" s="118"/>
      <c r="B68218" s="136"/>
    </row>
    <row r="68219" spans="1:2" x14ac:dyDescent="0.25">
      <c r="A68219" s="118"/>
      <c r="B68219" s="136"/>
    </row>
    <row r="68220" spans="1:2" x14ac:dyDescent="0.25">
      <c r="A68220" s="118"/>
      <c r="B68220" s="136"/>
    </row>
    <row r="68221" spans="1:2" x14ac:dyDescent="0.25">
      <c r="A68221" s="118"/>
      <c r="B68221" s="136"/>
    </row>
    <row r="68222" spans="1:2" x14ac:dyDescent="0.25">
      <c r="A68222" s="118"/>
      <c r="B68222" s="136"/>
    </row>
    <row r="68223" spans="1:2" x14ac:dyDescent="0.25">
      <c r="A68223" s="118"/>
      <c r="B68223" s="136"/>
    </row>
    <row r="68224" spans="1:2" x14ac:dyDescent="0.25">
      <c r="A68224" s="118"/>
      <c r="B68224" s="136"/>
    </row>
    <row r="68225" spans="1:2" x14ac:dyDescent="0.25">
      <c r="A68225" s="118"/>
      <c r="B68225" s="136"/>
    </row>
    <row r="68226" spans="1:2" x14ac:dyDescent="0.25">
      <c r="A68226" s="118"/>
      <c r="B68226" s="136"/>
    </row>
    <row r="68227" spans="1:2" x14ac:dyDescent="0.25">
      <c r="A68227" s="118"/>
      <c r="B68227" s="136"/>
    </row>
    <row r="68228" spans="1:2" x14ac:dyDescent="0.25">
      <c r="A68228" s="118"/>
      <c r="B68228" s="136"/>
    </row>
    <row r="68229" spans="1:2" x14ac:dyDescent="0.25">
      <c r="A68229" s="118"/>
      <c r="B68229" s="136"/>
    </row>
    <row r="68230" spans="1:2" x14ac:dyDescent="0.25">
      <c r="A68230" s="118"/>
      <c r="B68230" s="136"/>
    </row>
    <row r="68231" spans="1:2" x14ac:dyDescent="0.25">
      <c r="A68231" s="118"/>
      <c r="B68231" s="136"/>
    </row>
    <row r="68232" spans="1:2" x14ac:dyDescent="0.25">
      <c r="A68232" s="118"/>
      <c r="B68232" s="136"/>
    </row>
    <row r="68233" spans="1:2" x14ac:dyDescent="0.25">
      <c r="A68233" s="118"/>
      <c r="B68233" s="136"/>
    </row>
    <row r="68234" spans="1:2" x14ac:dyDescent="0.25">
      <c r="A68234" s="118"/>
      <c r="B68234" s="136"/>
    </row>
    <row r="68235" spans="1:2" x14ac:dyDescent="0.25">
      <c r="A68235" s="118"/>
      <c r="B68235" s="136"/>
    </row>
    <row r="68236" spans="1:2" x14ac:dyDescent="0.25">
      <c r="A68236" s="118"/>
      <c r="B68236" s="136"/>
    </row>
    <row r="68237" spans="1:2" x14ac:dyDescent="0.25">
      <c r="A68237" s="118"/>
      <c r="B68237" s="136"/>
    </row>
    <row r="68238" spans="1:2" x14ac:dyDescent="0.25">
      <c r="A68238" s="118"/>
      <c r="B68238" s="136"/>
    </row>
    <row r="68239" spans="1:2" x14ac:dyDescent="0.25">
      <c r="A68239" s="118"/>
      <c r="B68239" s="136"/>
    </row>
    <row r="68240" spans="1:2" x14ac:dyDescent="0.25">
      <c r="A68240" s="118"/>
      <c r="B68240" s="136"/>
    </row>
    <row r="68241" spans="1:2" x14ac:dyDescent="0.25">
      <c r="A68241" s="118"/>
      <c r="B68241" s="136"/>
    </row>
    <row r="68242" spans="1:2" x14ac:dyDescent="0.25">
      <c r="A68242" s="118"/>
      <c r="B68242" s="136"/>
    </row>
    <row r="68243" spans="1:2" x14ac:dyDescent="0.25">
      <c r="A68243" s="118"/>
      <c r="B68243" s="136"/>
    </row>
    <row r="68244" spans="1:2" x14ac:dyDescent="0.25">
      <c r="A68244" s="118"/>
      <c r="B68244" s="136"/>
    </row>
    <row r="68245" spans="1:2" x14ac:dyDescent="0.25">
      <c r="A68245" s="118"/>
      <c r="B68245" s="136"/>
    </row>
    <row r="68246" spans="1:2" x14ac:dyDescent="0.25">
      <c r="A68246" s="118"/>
      <c r="B68246" s="136"/>
    </row>
    <row r="68247" spans="1:2" x14ac:dyDescent="0.25">
      <c r="A68247" s="118"/>
      <c r="B68247" s="136"/>
    </row>
    <row r="68248" spans="1:2" x14ac:dyDescent="0.25">
      <c r="A68248" s="118"/>
      <c r="B68248" s="136"/>
    </row>
    <row r="68249" spans="1:2" x14ac:dyDescent="0.25">
      <c r="A68249" s="118"/>
      <c r="B68249" s="136"/>
    </row>
    <row r="68250" spans="1:2" x14ac:dyDescent="0.25">
      <c r="A68250" s="118"/>
      <c r="B68250" s="136"/>
    </row>
    <row r="68251" spans="1:2" x14ac:dyDescent="0.25">
      <c r="A68251" s="118"/>
      <c r="B68251" s="136"/>
    </row>
    <row r="68252" spans="1:2" x14ac:dyDescent="0.25">
      <c r="A68252" s="118"/>
      <c r="B68252" s="136"/>
    </row>
    <row r="68253" spans="1:2" x14ac:dyDescent="0.25">
      <c r="A68253" s="118"/>
      <c r="B68253" s="136"/>
    </row>
    <row r="68254" spans="1:2" x14ac:dyDescent="0.25">
      <c r="A68254" s="118"/>
      <c r="B68254" s="136"/>
    </row>
    <row r="68255" spans="1:2" x14ac:dyDescent="0.25">
      <c r="A68255" s="118"/>
      <c r="B68255" s="136"/>
    </row>
    <row r="68256" spans="1:2" x14ac:dyDescent="0.25">
      <c r="A68256" s="118"/>
      <c r="B68256" s="136"/>
    </row>
    <row r="68257" spans="1:2" x14ac:dyDescent="0.25">
      <c r="A68257" s="118"/>
      <c r="B68257" s="136"/>
    </row>
    <row r="68258" spans="1:2" x14ac:dyDescent="0.25">
      <c r="A68258" s="118"/>
      <c r="B68258" s="136"/>
    </row>
    <row r="68259" spans="1:2" x14ac:dyDescent="0.25">
      <c r="A68259" s="118"/>
      <c r="B68259" s="136"/>
    </row>
    <row r="68260" spans="1:2" x14ac:dyDescent="0.25">
      <c r="A68260" s="118"/>
      <c r="B68260" s="136"/>
    </row>
    <row r="68261" spans="1:2" x14ac:dyDescent="0.25">
      <c r="A68261" s="118"/>
      <c r="B68261" s="136"/>
    </row>
    <row r="68262" spans="1:2" x14ac:dyDescent="0.25">
      <c r="A68262" s="118"/>
      <c r="B68262" s="136"/>
    </row>
    <row r="68263" spans="1:2" x14ac:dyDescent="0.25">
      <c r="A68263" s="118"/>
      <c r="B68263" s="136"/>
    </row>
    <row r="68264" spans="1:2" x14ac:dyDescent="0.25">
      <c r="A68264" s="118"/>
      <c r="B68264" s="136"/>
    </row>
    <row r="68265" spans="1:2" x14ac:dyDescent="0.25">
      <c r="A68265" s="118"/>
      <c r="B68265" s="136"/>
    </row>
    <row r="68266" spans="1:2" x14ac:dyDescent="0.25">
      <c r="A68266" s="118"/>
      <c r="B68266" s="136"/>
    </row>
    <row r="68267" spans="1:2" x14ac:dyDescent="0.25">
      <c r="A68267" s="118"/>
      <c r="B68267" s="136"/>
    </row>
    <row r="68268" spans="1:2" x14ac:dyDescent="0.25">
      <c r="A68268" s="118"/>
      <c r="B68268" s="136"/>
    </row>
    <row r="68269" spans="1:2" x14ac:dyDescent="0.25">
      <c r="A68269" s="118"/>
      <c r="B68269" s="136"/>
    </row>
    <row r="68270" spans="1:2" x14ac:dyDescent="0.25">
      <c r="A68270" s="118"/>
      <c r="B68270" s="136"/>
    </row>
    <row r="68271" spans="1:2" x14ac:dyDescent="0.25">
      <c r="A68271" s="118"/>
      <c r="B68271" s="136"/>
    </row>
    <row r="68272" spans="1:2" x14ac:dyDescent="0.25">
      <c r="A68272" s="118"/>
      <c r="B68272" s="136"/>
    </row>
    <row r="68273" spans="1:2" x14ac:dyDescent="0.25">
      <c r="A68273" s="118"/>
      <c r="B68273" s="136"/>
    </row>
    <row r="68274" spans="1:2" x14ac:dyDescent="0.25">
      <c r="A68274" s="118"/>
      <c r="B68274" s="136"/>
    </row>
    <row r="68275" spans="1:2" x14ac:dyDescent="0.25">
      <c r="A68275" s="118"/>
      <c r="B68275" s="136"/>
    </row>
    <row r="68276" spans="1:2" x14ac:dyDescent="0.25">
      <c r="A68276" s="118"/>
      <c r="B68276" s="136"/>
    </row>
    <row r="68277" spans="1:2" x14ac:dyDescent="0.25">
      <c r="A68277" s="118"/>
      <c r="B68277" s="136"/>
    </row>
    <row r="68278" spans="1:2" x14ac:dyDescent="0.25">
      <c r="A68278" s="118"/>
      <c r="B68278" s="136"/>
    </row>
    <row r="68279" spans="1:2" x14ac:dyDescent="0.25">
      <c r="A68279" s="118"/>
      <c r="B68279" s="136"/>
    </row>
    <row r="68280" spans="1:2" x14ac:dyDescent="0.25">
      <c r="A68280" s="118"/>
      <c r="B68280" s="136"/>
    </row>
    <row r="68281" spans="1:2" x14ac:dyDescent="0.25">
      <c r="A68281" s="118"/>
      <c r="B68281" s="136"/>
    </row>
    <row r="68282" spans="1:2" x14ac:dyDescent="0.25">
      <c r="A68282" s="118"/>
      <c r="B68282" s="136"/>
    </row>
    <row r="68283" spans="1:2" x14ac:dyDescent="0.25">
      <c r="A68283" s="118"/>
      <c r="B68283" s="136"/>
    </row>
    <row r="68284" spans="1:2" x14ac:dyDescent="0.25">
      <c r="A68284" s="118"/>
      <c r="B68284" s="136"/>
    </row>
    <row r="68285" spans="1:2" x14ac:dyDescent="0.25">
      <c r="A68285" s="118"/>
      <c r="B68285" s="136"/>
    </row>
    <row r="68286" spans="1:2" x14ac:dyDescent="0.25">
      <c r="A68286" s="118"/>
      <c r="B68286" s="136"/>
    </row>
    <row r="68287" spans="1:2" x14ac:dyDescent="0.25">
      <c r="A68287" s="118"/>
      <c r="B68287" s="136"/>
    </row>
    <row r="68288" spans="1:2" x14ac:dyDescent="0.25">
      <c r="A68288" s="118"/>
      <c r="B68288" s="136"/>
    </row>
    <row r="68289" spans="1:2" x14ac:dyDescent="0.25">
      <c r="A68289" s="118"/>
      <c r="B68289" s="136"/>
    </row>
    <row r="68290" spans="1:2" x14ac:dyDescent="0.25">
      <c r="A68290" s="118"/>
      <c r="B68290" s="136"/>
    </row>
    <row r="68291" spans="1:2" x14ac:dyDescent="0.25">
      <c r="A68291" s="118"/>
      <c r="B68291" s="136"/>
    </row>
    <row r="68292" spans="1:2" x14ac:dyDescent="0.25">
      <c r="A68292" s="118"/>
      <c r="B68292" s="136"/>
    </row>
    <row r="68293" spans="1:2" x14ac:dyDescent="0.25">
      <c r="A68293" s="118"/>
      <c r="B68293" s="136"/>
    </row>
    <row r="68294" spans="1:2" x14ac:dyDescent="0.25">
      <c r="A68294" s="118"/>
      <c r="B68294" s="136"/>
    </row>
    <row r="68295" spans="1:2" x14ac:dyDescent="0.25">
      <c r="A68295" s="118"/>
      <c r="B68295" s="136"/>
    </row>
    <row r="68296" spans="1:2" x14ac:dyDescent="0.25">
      <c r="A68296" s="118"/>
      <c r="B68296" s="136"/>
    </row>
    <row r="68297" spans="1:2" x14ac:dyDescent="0.25">
      <c r="A68297" s="118"/>
      <c r="B68297" s="136"/>
    </row>
    <row r="68298" spans="1:2" x14ac:dyDescent="0.25">
      <c r="A68298" s="118"/>
      <c r="B68298" s="136"/>
    </row>
    <row r="68299" spans="1:2" x14ac:dyDescent="0.25">
      <c r="A68299" s="118"/>
      <c r="B68299" s="136"/>
    </row>
    <row r="68300" spans="1:2" x14ac:dyDescent="0.25">
      <c r="A68300" s="118"/>
      <c r="B68300" s="136"/>
    </row>
    <row r="68301" spans="1:2" x14ac:dyDescent="0.25">
      <c r="A68301" s="118"/>
      <c r="B68301" s="136"/>
    </row>
    <row r="68302" spans="1:2" x14ac:dyDescent="0.25">
      <c r="A68302" s="118"/>
      <c r="B68302" s="136"/>
    </row>
    <row r="68303" spans="1:2" x14ac:dyDescent="0.25">
      <c r="A68303" s="118"/>
      <c r="B68303" s="136"/>
    </row>
    <row r="68304" spans="1:2" x14ac:dyDescent="0.25">
      <c r="A68304" s="118"/>
      <c r="B68304" s="136"/>
    </row>
    <row r="68305" spans="1:2" x14ac:dyDescent="0.25">
      <c r="A68305" s="118"/>
      <c r="B68305" s="136"/>
    </row>
    <row r="68306" spans="1:2" x14ac:dyDescent="0.25">
      <c r="A68306" s="118"/>
      <c r="B68306" s="136"/>
    </row>
    <row r="68307" spans="1:2" x14ac:dyDescent="0.25">
      <c r="A68307" s="118"/>
      <c r="B68307" s="136"/>
    </row>
    <row r="68308" spans="1:2" x14ac:dyDescent="0.25">
      <c r="A68308" s="118"/>
      <c r="B68308" s="136"/>
    </row>
    <row r="68309" spans="1:2" x14ac:dyDescent="0.25">
      <c r="A68309" s="118"/>
      <c r="B68309" s="136"/>
    </row>
    <row r="68310" spans="1:2" x14ac:dyDescent="0.25">
      <c r="A68310" s="118"/>
      <c r="B68310" s="136"/>
    </row>
    <row r="68311" spans="1:2" x14ac:dyDescent="0.25">
      <c r="A68311" s="118"/>
      <c r="B68311" s="136"/>
    </row>
    <row r="68312" spans="1:2" x14ac:dyDescent="0.25">
      <c r="A68312" s="118"/>
      <c r="B68312" s="136"/>
    </row>
    <row r="68313" spans="1:2" x14ac:dyDescent="0.25">
      <c r="A68313" s="118"/>
      <c r="B68313" s="136"/>
    </row>
    <row r="68314" spans="1:2" x14ac:dyDescent="0.25">
      <c r="A68314" s="118"/>
      <c r="B68314" s="136"/>
    </row>
    <row r="68315" spans="1:2" x14ac:dyDescent="0.25">
      <c r="A68315" s="118"/>
      <c r="B68315" s="136"/>
    </row>
    <row r="68316" spans="1:2" x14ac:dyDescent="0.25">
      <c r="A68316" s="118"/>
      <c r="B68316" s="136"/>
    </row>
    <row r="68317" spans="1:2" x14ac:dyDescent="0.25">
      <c r="A68317" s="118"/>
      <c r="B68317" s="136"/>
    </row>
    <row r="68318" spans="1:2" x14ac:dyDescent="0.25">
      <c r="A68318" s="118"/>
      <c r="B68318" s="136"/>
    </row>
    <row r="68319" spans="1:2" x14ac:dyDescent="0.25">
      <c r="A68319" s="118"/>
      <c r="B68319" s="136"/>
    </row>
    <row r="68320" spans="1:2" x14ac:dyDescent="0.25">
      <c r="A68320" s="118"/>
      <c r="B68320" s="136"/>
    </row>
    <row r="68321" spans="1:2" x14ac:dyDescent="0.25">
      <c r="A68321" s="118"/>
      <c r="B68321" s="136"/>
    </row>
    <row r="68322" spans="1:2" x14ac:dyDescent="0.25">
      <c r="A68322" s="118"/>
      <c r="B68322" s="136"/>
    </row>
    <row r="68323" spans="1:2" x14ac:dyDescent="0.25">
      <c r="A68323" s="118"/>
      <c r="B68323" s="136"/>
    </row>
    <row r="68324" spans="1:2" x14ac:dyDescent="0.25">
      <c r="A68324" s="118"/>
      <c r="B68324" s="136"/>
    </row>
    <row r="68325" spans="1:2" x14ac:dyDescent="0.25">
      <c r="A68325" s="118"/>
      <c r="B68325" s="136"/>
    </row>
    <row r="68326" spans="1:2" x14ac:dyDescent="0.25">
      <c r="A68326" s="118"/>
      <c r="B68326" s="136"/>
    </row>
    <row r="68327" spans="1:2" x14ac:dyDescent="0.25">
      <c r="A68327" s="118"/>
      <c r="B68327" s="136"/>
    </row>
    <row r="68328" spans="1:2" x14ac:dyDescent="0.25">
      <c r="A68328" s="118"/>
      <c r="B68328" s="136"/>
    </row>
    <row r="68329" spans="1:2" x14ac:dyDescent="0.25">
      <c r="A68329" s="118"/>
      <c r="B68329" s="136"/>
    </row>
    <row r="68330" spans="1:2" x14ac:dyDescent="0.25">
      <c r="A68330" s="118"/>
      <c r="B68330" s="136"/>
    </row>
    <row r="68331" spans="1:2" x14ac:dyDescent="0.25">
      <c r="A68331" s="118"/>
      <c r="B68331" s="136"/>
    </row>
    <row r="68332" spans="1:2" x14ac:dyDescent="0.25">
      <c r="A68332" s="118"/>
      <c r="B68332" s="136"/>
    </row>
    <row r="68333" spans="1:2" x14ac:dyDescent="0.25">
      <c r="A68333" s="118"/>
      <c r="B68333" s="136"/>
    </row>
    <row r="68334" spans="1:2" x14ac:dyDescent="0.25">
      <c r="A68334" s="118"/>
      <c r="B68334" s="136"/>
    </row>
    <row r="68335" spans="1:2" x14ac:dyDescent="0.25">
      <c r="A68335" s="118"/>
      <c r="B68335" s="136"/>
    </row>
    <row r="68336" spans="1:2" x14ac:dyDescent="0.25">
      <c r="A68336" s="118"/>
      <c r="B68336" s="136"/>
    </row>
    <row r="68337" spans="1:2" x14ac:dyDescent="0.25">
      <c r="A68337" s="118"/>
      <c r="B68337" s="136"/>
    </row>
    <row r="68338" spans="1:2" x14ac:dyDescent="0.25">
      <c r="A68338" s="118"/>
      <c r="B68338" s="136"/>
    </row>
    <row r="68339" spans="1:2" x14ac:dyDescent="0.25">
      <c r="A68339" s="118"/>
      <c r="B68339" s="136"/>
    </row>
    <row r="68340" spans="1:2" x14ac:dyDescent="0.25">
      <c r="A68340" s="118"/>
      <c r="B68340" s="136"/>
    </row>
    <row r="68341" spans="1:2" x14ac:dyDescent="0.25">
      <c r="A68341" s="118"/>
      <c r="B68341" s="136"/>
    </row>
    <row r="68342" spans="1:2" x14ac:dyDescent="0.25">
      <c r="A68342" s="118"/>
      <c r="B68342" s="136"/>
    </row>
    <row r="68343" spans="1:2" x14ac:dyDescent="0.25">
      <c r="A68343" s="118"/>
      <c r="B68343" s="136"/>
    </row>
    <row r="68344" spans="1:2" x14ac:dyDescent="0.25">
      <c r="A68344" s="118"/>
      <c r="B68344" s="136"/>
    </row>
    <row r="68345" spans="1:2" x14ac:dyDescent="0.25">
      <c r="A68345" s="118"/>
      <c r="B68345" s="136"/>
    </row>
    <row r="68346" spans="1:2" x14ac:dyDescent="0.25">
      <c r="A68346" s="118"/>
      <c r="B68346" s="136"/>
    </row>
    <row r="68347" spans="1:2" x14ac:dyDescent="0.25">
      <c r="A68347" s="118"/>
      <c r="B68347" s="136"/>
    </row>
    <row r="68348" spans="1:2" x14ac:dyDescent="0.25">
      <c r="A68348" s="118"/>
      <c r="B68348" s="136"/>
    </row>
    <row r="68349" spans="1:2" x14ac:dyDescent="0.25">
      <c r="A68349" s="118"/>
      <c r="B68349" s="136"/>
    </row>
    <row r="68350" spans="1:2" x14ac:dyDescent="0.25">
      <c r="A68350" s="118"/>
      <c r="B68350" s="136"/>
    </row>
    <row r="68351" spans="1:2" x14ac:dyDescent="0.25">
      <c r="A68351" s="118"/>
      <c r="B68351" s="136"/>
    </row>
    <row r="68352" spans="1:2" x14ac:dyDescent="0.25">
      <c r="A68352" s="118"/>
      <c r="B68352" s="136"/>
    </row>
    <row r="68353" spans="1:2" x14ac:dyDescent="0.25">
      <c r="A68353" s="118"/>
      <c r="B68353" s="136"/>
    </row>
    <row r="68354" spans="1:2" x14ac:dyDescent="0.25">
      <c r="A68354" s="118"/>
      <c r="B68354" s="136"/>
    </row>
    <row r="68355" spans="1:2" x14ac:dyDescent="0.25">
      <c r="A68355" s="118"/>
      <c r="B68355" s="136"/>
    </row>
    <row r="68356" spans="1:2" x14ac:dyDescent="0.25">
      <c r="A68356" s="118"/>
      <c r="B68356" s="136"/>
    </row>
    <row r="68357" spans="1:2" x14ac:dyDescent="0.25">
      <c r="A68357" s="118"/>
      <c r="B68357" s="136"/>
    </row>
    <row r="68358" spans="1:2" x14ac:dyDescent="0.25">
      <c r="A68358" s="118"/>
      <c r="B68358" s="136"/>
    </row>
    <row r="68359" spans="1:2" x14ac:dyDescent="0.25">
      <c r="A68359" s="118"/>
      <c r="B68359" s="136"/>
    </row>
    <row r="68360" spans="1:2" x14ac:dyDescent="0.25">
      <c r="A68360" s="118"/>
      <c r="B68360" s="136"/>
    </row>
    <row r="68361" spans="1:2" x14ac:dyDescent="0.25">
      <c r="A68361" s="118"/>
      <c r="B68361" s="136"/>
    </row>
    <row r="68362" spans="1:2" x14ac:dyDescent="0.25">
      <c r="A68362" s="118"/>
      <c r="B68362" s="136"/>
    </row>
    <row r="68363" spans="1:2" x14ac:dyDescent="0.25">
      <c r="A68363" s="118"/>
      <c r="B68363" s="136"/>
    </row>
    <row r="68364" spans="1:2" x14ac:dyDescent="0.25">
      <c r="A68364" s="118"/>
      <c r="B68364" s="136"/>
    </row>
    <row r="68365" spans="1:2" x14ac:dyDescent="0.25">
      <c r="A68365" s="118"/>
      <c r="B68365" s="136"/>
    </row>
    <row r="68366" spans="1:2" x14ac:dyDescent="0.25">
      <c r="A68366" s="118"/>
      <c r="B68366" s="136"/>
    </row>
    <row r="68367" spans="1:2" x14ac:dyDescent="0.25">
      <c r="A68367" s="118"/>
      <c r="B68367" s="136"/>
    </row>
    <row r="68368" spans="1:2" x14ac:dyDescent="0.25">
      <c r="A68368" s="118"/>
      <c r="B68368" s="136"/>
    </row>
    <row r="68369" spans="1:2" x14ac:dyDescent="0.25">
      <c r="A68369" s="118"/>
      <c r="B68369" s="136"/>
    </row>
    <row r="68370" spans="1:2" x14ac:dyDescent="0.25">
      <c r="A68370" s="118"/>
      <c r="B68370" s="136"/>
    </row>
    <row r="68371" spans="1:2" x14ac:dyDescent="0.25">
      <c r="A68371" s="118"/>
      <c r="B68371" s="136"/>
    </row>
    <row r="68372" spans="1:2" x14ac:dyDescent="0.25">
      <c r="A68372" s="118"/>
      <c r="B68372" s="136"/>
    </row>
    <row r="68373" spans="1:2" x14ac:dyDescent="0.25">
      <c r="A68373" s="118"/>
      <c r="B68373" s="136"/>
    </row>
    <row r="68374" spans="1:2" x14ac:dyDescent="0.25">
      <c r="A68374" s="118"/>
      <c r="B68374" s="136"/>
    </row>
    <row r="68375" spans="1:2" x14ac:dyDescent="0.25">
      <c r="A68375" s="118"/>
      <c r="B68375" s="136"/>
    </row>
    <row r="68376" spans="1:2" x14ac:dyDescent="0.25">
      <c r="A68376" s="118"/>
      <c r="B68376" s="136"/>
    </row>
    <row r="68377" spans="1:2" x14ac:dyDescent="0.25">
      <c r="A68377" s="118"/>
      <c r="B68377" s="136"/>
    </row>
    <row r="68378" spans="1:2" x14ac:dyDescent="0.25">
      <c r="A68378" s="118"/>
      <c r="B68378" s="136"/>
    </row>
    <row r="68379" spans="1:2" x14ac:dyDescent="0.25">
      <c r="A68379" s="118"/>
      <c r="B68379" s="136"/>
    </row>
    <row r="68380" spans="1:2" x14ac:dyDescent="0.25">
      <c r="A68380" s="118"/>
      <c r="B68380" s="136"/>
    </row>
    <row r="68381" spans="1:2" x14ac:dyDescent="0.25">
      <c r="A68381" s="118"/>
      <c r="B68381" s="136"/>
    </row>
    <row r="68382" spans="1:2" x14ac:dyDescent="0.25">
      <c r="A68382" s="118"/>
      <c r="B68382" s="136"/>
    </row>
    <row r="68383" spans="1:2" x14ac:dyDescent="0.25">
      <c r="A68383" s="118"/>
      <c r="B68383" s="136"/>
    </row>
    <row r="68384" spans="1:2" x14ac:dyDescent="0.25">
      <c r="A68384" s="118"/>
      <c r="B68384" s="136"/>
    </row>
    <row r="68385" spans="1:2" x14ac:dyDescent="0.25">
      <c r="A68385" s="118"/>
      <c r="B68385" s="136"/>
    </row>
    <row r="68386" spans="1:2" x14ac:dyDescent="0.25">
      <c r="A68386" s="118"/>
      <c r="B68386" s="136"/>
    </row>
    <row r="68387" spans="1:2" x14ac:dyDescent="0.25">
      <c r="A68387" s="118"/>
      <c r="B68387" s="136"/>
    </row>
    <row r="68388" spans="1:2" x14ac:dyDescent="0.25">
      <c r="A68388" s="118"/>
      <c r="B68388" s="136"/>
    </row>
    <row r="68389" spans="1:2" x14ac:dyDescent="0.25">
      <c r="A68389" s="118"/>
      <c r="B68389" s="136"/>
    </row>
    <row r="68390" spans="1:2" x14ac:dyDescent="0.25">
      <c r="A68390" s="118"/>
      <c r="B68390" s="136"/>
    </row>
    <row r="68391" spans="1:2" x14ac:dyDescent="0.25">
      <c r="A68391" s="118"/>
      <c r="B68391" s="136"/>
    </row>
    <row r="68392" spans="1:2" x14ac:dyDescent="0.25">
      <c r="A68392" s="118"/>
      <c r="B68392" s="136"/>
    </row>
    <row r="68393" spans="1:2" x14ac:dyDescent="0.25">
      <c r="A68393" s="118"/>
      <c r="B68393" s="136"/>
    </row>
    <row r="68394" spans="1:2" x14ac:dyDescent="0.25">
      <c r="A68394" s="118"/>
      <c r="B68394" s="136"/>
    </row>
    <row r="68395" spans="1:2" x14ac:dyDescent="0.25">
      <c r="A68395" s="118"/>
      <c r="B68395" s="136"/>
    </row>
    <row r="68396" spans="1:2" x14ac:dyDescent="0.25">
      <c r="A68396" s="118"/>
      <c r="B68396" s="136"/>
    </row>
    <row r="68397" spans="1:2" x14ac:dyDescent="0.25">
      <c r="A68397" s="118"/>
      <c r="B68397" s="136"/>
    </row>
    <row r="68398" spans="1:2" x14ac:dyDescent="0.25">
      <c r="A68398" s="118"/>
      <c r="B68398" s="136"/>
    </row>
    <row r="68399" spans="1:2" x14ac:dyDescent="0.25">
      <c r="A68399" s="118"/>
      <c r="B68399" s="136"/>
    </row>
    <row r="68400" spans="1:2" x14ac:dyDescent="0.25">
      <c r="A68400" s="118"/>
      <c r="B68400" s="136"/>
    </row>
    <row r="68401" spans="1:2" x14ac:dyDescent="0.25">
      <c r="A68401" s="118"/>
      <c r="B68401" s="136"/>
    </row>
    <row r="68402" spans="1:2" x14ac:dyDescent="0.25">
      <c r="A68402" s="118"/>
      <c r="B68402" s="136"/>
    </row>
    <row r="68403" spans="1:2" x14ac:dyDescent="0.25">
      <c r="A68403" s="118"/>
      <c r="B68403" s="136"/>
    </row>
    <row r="68404" spans="1:2" x14ac:dyDescent="0.25">
      <c r="A68404" s="118"/>
      <c r="B68404" s="136"/>
    </row>
    <row r="68405" spans="1:2" x14ac:dyDescent="0.25">
      <c r="A68405" s="118"/>
      <c r="B68405" s="136"/>
    </row>
    <row r="68406" spans="1:2" x14ac:dyDescent="0.25">
      <c r="A68406" s="118"/>
      <c r="B68406" s="136"/>
    </row>
    <row r="68407" spans="1:2" x14ac:dyDescent="0.25">
      <c r="A68407" s="118"/>
      <c r="B68407" s="136"/>
    </row>
    <row r="68408" spans="1:2" x14ac:dyDescent="0.25">
      <c r="A68408" s="118"/>
      <c r="B68408" s="136"/>
    </row>
    <row r="68409" spans="1:2" x14ac:dyDescent="0.25">
      <c r="A68409" s="118"/>
      <c r="B68409" s="136"/>
    </row>
    <row r="68410" spans="1:2" x14ac:dyDescent="0.25">
      <c r="A68410" s="118"/>
      <c r="B68410" s="136"/>
    </row>
    <row r="68411" spans="1:2" x14ac:dyDescent="0.25">
      <c r="A68411" s="118"/>
      <c r="B68411" s="136"/>
    </row>
    <row r="68412" spans="1:2" x14ac:dyDescent="0.25">
      <c r="A68412" s="118"/>
      <c r="B68412" s="136"/>
    </row>
    <row r="68413" spans="1:2" x14ac:dyDescent="0.25">
      <c r="A68413" s="118"/>
      <c r="B68413" s="136"/>
    </row>
    <row r="68414" spans="1:2" x14ac:dyDescent="0.25">
      <c r="A68414" s="118"/>
      <c r="B68414" s="136"/>
    </row>
    <row r="68415" spans="1:2" x14ac:dyDescent="0.25">
      <c r="A68415" s="118"/>
      <c r="B68415" s="136"/>
    </row>
    <row r="68416" spans="1:2" x14ac:dyDescent="0.25">
      <c r="A68416" s="118"/>
      <c r="B68416" s="136"/>
    </row>
    <row r="68417" spans="1:2" x14ac:dyDescent="0.25">
      <c r="A68417" s="118"/>
      <c r="B68417" s="136"/>
    </row>
    <row r="68418" spans="1:2" x14ac:dyDescent="0.25">
      <c r="A68418" s="118"/>
      <c r="B68418" s="136"/>
    </row>
    <row r="68419" spans="1:2" x14ac:dyDescent="0.25">
      <c r="A68419" s="118"/>
      <c r="B68419" s="136"/>
    </row>
    <row r="68420" spans="1:2" x14ac:dyDescent="0.25">
      <c r="A68420" s="118"/>
      <c r="B68420" s="136"/>
    </row>
    <row r="68421" spans="1:2" x14ac:dyDescent="0.25">
      <c r="A68421" s="118"/>
      <c r="B68421" s="136"/>
    </row>
    <row r="68422" spans="1:2" x14ac:dyDescent="0.25">
      <c r="A68422" s="118"/>
      <c r="B68422" s="136"/>
    </row>
    <row r="68423" spans="1:2" x14ac:dyDescent="0.25">
      <c r="A68423" s="118"/>
      <c r="B68423" s="136"/>
    </row>
    <row r="68424" spans="1:2" x14ac:dyDescent="0.25">
      <c r="A68424" s="118"/>
      <c r="B68424" s="136"/>
    </row>
    <row r="68425" spans="1:2" x14ac:dyDescent="0.25">
      <c r="A68425" s="118"/>
      <c r="B68425" s="136"/>
    </row>
    <row r="68426" spans="1:2" x14ac:dyDescent="0.25">
      <c r="A68426" s="118"/>
      <c r="B68426" s="136"/>
    </row>
    <row r="68427" spans="1:2" x14ac:dyDescent="0.25">
      <c r="A68427" s="118"/>
      <c r="B68427" s="136"/>
    </row>
    <row r="68428" spans="1:2" x14ac:dyDescent="0.25">
      <c r="A68428" s="118"/>
      <c r="B68428" s="136"/>
    </row>
    <row r="68429" spans="1:2" x14ac:dyDescent="0.25">
      <c r="A68429" s="118"/>
      <c r="B68429" s="136"/>
    </row>
    <row r="68430" spans="1:2" x14ac:dyDescent="0.25">
      <c r="A68430" s="118"/>
      <c r="B68430" s="136"/>
    </row>
    <row r="68431" spans="1:2" x14ac:dyDescent="0.25">
      <c r="A68431" s="118"/>
      <c r="B68431" s="136"/>
    </row>
    <row r="68432" spans="1:2" x14ac:dyDescent="0.25">
      <c r="A68432" s="118"/>
      <c r="B68432" s="136"/>
    </row>
    <row r="68433" spans="1:2" x14ac:dyDescent="0.25">
      <c r="A68433" s="118"/>
      <c r="B68433" s="136"/>
    </row>
    <row r="68434" spans="1:2" x14ac:dyDescent="0.25">
      <c r="A68434" s="118"/>
      <c r="B68434" s="136"/>
    </row>
    <row r="68435" spans="1:2" x14ac:dyDescent="0.25">
      <c r="A68435" s="118"/>
      <c r="B68435" s="136"/>
    </row>
    <row r="68436" spans="1:2" x14ac:dyDescent="0.25">
      <c r="A68436" s="118"/>
      <c r="B68436" s="136"/>
    </row>
    <row r="68437" spans="1:2" x14ac:dyDescent="0.25">
      <c r="A68437" s="118"/>
      <c r="B68437" s="136"/>
    </row>
    <row r="68438" spans="1:2" x14ac:dyDescent="0.25">
      <c r="A68438" s="118"/>
      <c r="B68438" s="136"/>
    </row>
    <row r="68439" spans="1:2" x14ac:dyDescent="0.25">
      <c r="A68439" s="118"/>
      <c r="B68439" s="136"/>
    </row>
    <row r="68440" spans="1:2" x14ac:dyDescent="0.25">
      <c r="A68440" s="118"/>
      <c r="B68440" s="136"/>
    </row>
    <row r="68441" spans="1:2" x14ac:dyDescent="0.25">
      <c r="A68441" s="118"/>
      <c r="B68441" s="136"/>
    </row>
    <row r="68442" spans="1:2" x14ac:dyDescent="0.25">
      <c r="A68442" s="118"/>
      <c r="B68442" s="136"/>
    </row>
    <row r="68443" spans="1:2" x14ac:dyDescent="0.25">
      <c r="A68443" s="118"/>
      <c r="B68443" s="136"/>
    </row>
    <row r="68444" spans="1:2" x14ac:dyDescent="0.25">
      <c r="A68444" s="118"/>
      <c r="B68444" s="136"/>
    </row>
    <row r="68445" spans="1:2" x14ac:dyDescent="0.25">
      <c r="A68445" s="118"/>
      <c r="B68445" s="136"/>
    </row>
    <row r="68446" spans="1:2" x14ac:dyDescent="0.25">
      <c r="A68446" s="118"/>
      <c r="B68446" s="136"/>
    </row>
    <row r="68447" spans="1:2" x14ac:dyDescent="0.25">
      <c r="A68447" s="118"/>
      <c r="B68447" s="136"/>
    </row>
    <row r="68448" spans="1:2" x14ac:dyDescent="0.25">
      <c r="A68448" s="118"/>
      <c r="B68448" s="136"/>
    </row>
    <row r="68449" spans="1:2" x14ac:dyDescent="0.25">
      <c r="A68449" s="118"/>
      <c r="B68449" s="136"/>
    </row>
    <row r="68450" spans="1:2" x14ac:dyDescent="0.25">
      <c r="A68450" s="118"/>
      <c r="B68450" s="136"/>
    </row>
    <row r="68451" spans="1:2" x14ac:dyDescent="0.25">
      <c r="A68451" s="118"/>
      <c r="B68451" s="136"/>
    </row>
    <row r="68452" spans="1:2" x14ac:dyDescent="0.25">
      <c r="A68452" s="118"/>
      <c r="B68452" s="136"/>
    </row>
    <row r="68453" spans="1:2" x14ac:dyDescent="0.25">
      <c r="A68453" s="118"/>
      <c r="B68453" s="136"/>
    </row>
    <row r="68454" spans="1:2" x14ac:dyDescent="0.25">
      <c r="A68454" s="118"/>
      <c r="B68454" s="136"/>
    </row>
    <row r="68455" spans="1:2" x14ac:dyDescent="0.25">
      <c r="A68455" s="118"/>
      <c r="B68455" s="136"/>
    </row>
    <row r="68456" spans="1:2" x14ac:dyDescent="0.25">
      <c r="A68456" s="118"/>
      <c r="B68456" s="136"/>
    </row>
    <row r="68457" spans="1:2" x14ac:dyDescent="0.25">
      <c r="A68457" s="118"/>
      <c r="B68457" s="136"/>
    </row>
    <row r="68458" spans="1:2" x14ac:dyDescent="0.25">
      <c r="A68458" s="118"/>
      <c r="B68458" s="136"/>
    </row>
    <row r="68459" spans="1:2" x14ac:dyDescent="0.25">
      <c r="A68459" s="118"/>
      <c r="B68459" s="136"/>
    </row>
    <row r="68460" spans="1:2" x14ac:dyDescent="0.25">
      <c r="A68460" s="118"/>
      <c r="B68460" s="136"/>
    </row>
    <row r="68461" spans="1:2" x14ac:dyDescent="0.25">
      <c r="A68461" s="118"/>
      <c r="B68461" s="136"/>
    </row>
    <row r="68462" spans="1:2" x14ac:dyDescent="0.25">
      <c r="A68462" s="118"/>
      <c r="B68462" s="136"/>
    </row>
    <row r="68463" spans="1:2" x14ac:dyDescent="0.25">
      <c r="A68463" s="118"/>
      <c r="B68463" s="136"/>
    </row>
    <row r="68464" spans="1:2" x14ac:dyDescent="0.25">
      <c r="A68464" s="118"/>
      <c r="B68464" s="136"/>
    </row>
    <row r="68465" spans="1:2" x14ac:dyDescent="0.25">
      <c r="A68465" s="118"/>
      <c r="B68465" s="136"/>
    </row>
    <row r="68466" spans="1:2" x14ac:dyDescent="0.25">
      <c r="A68466" s="118"/>
      <c r="B68466" s="136"/>
    </row>
    <row r="68467" spans="1:2" x14ac:dyDescent="0.25">
      <c r="A68467" s="118"/>
      <c r="B68467" s="136"/>
    </row>
    <row r="68468" spans="1:2" x14ac:dyDescent="0.25">
      <c r="A68468" s="118"/>
      <c r="B68468" s="136"/>
    </row>
    <row r="68469" spans="1:2" x14ac:dyDescent="0.25">
      <c r="A68469" s="118"/>
      <c r="B68469" s="136"/>
    </row>
    <row r="68470" spans="1:2" x14ac:dyDescent="0.25">
      <c r="A68470" s="118"/>
      <c r="B68470" s="136"/>
    </row>
    <row r="68471" spans="1:2" x14ac:dyDescent="0.25">
      <c r="A68471" s="118"/>
      <c r="B68471" s="136"/>
    </row>
    <row r="68472" spans="1:2" x14ac:dyDescent="0.25">
      <c r="A68472" s="118"/>
      <c r="B68472" s="136"/>
    </row>
    <row r="68473" spans="1:2" x14ac:dyDescent="0.25">
      <c r="A68473" s="118"/>
      <c r="B68473" s="136"/>
    </row>
    <row r="68474" spans="1:2" x14ac:dyDescent="0.25">
      <c r="A68474" s="118"/>
      <c r="B68474" s="136"/>
    </row>
    <row r="68475" spans="1:2" x14ac:dyDescent="0.25">
      <c r="A68475" s="118"/>
      <c r="B68475" s="136"/>
    </row>
    <row r="68476" spans="1:2" x14ac:dyDescent="0.25">
      <c r="A68476" s="118"/>
      <c r="B68476" s="136"/>
    </row>
    <row r="68477" spans="1:2" x14ac:dyDescent="0.25">
      <c r="A68477" s="118"/>
      <c r="B68477" s="136"/>
    </row>
    <row r="68478" spans="1:2" x14ac:dyDescent="0.25">
      <c r="A68478" s="118"/>
      <c r="B68478" s="136"/>
    </row>
    <row r="68479" spans="1:2" x14ac:dyDescent="0.25">
      <c r="A68479" s="118"/>
      <c r="B68479" s="136"/>
    </row>
    <row r="68480" spans="1:2" x14ac:dyDescent="0.25">
      <c r="A68480" s="118"/>
      <c r="B68480" s="136"/>
    </row>
    <row r="68481" spans="1:2" x14ac:dyDescent="0.25">
      <c r="A68481" s="118"/>
      <c r="B68481" s="136"/>
    </row>
    <row r="68482" spans="1:2" x14ac:dyDescent="0.25">
      <c r="A68482" s="118"/>
      <c r="B68482" s="136"/>
    </row>
    <row r="68483" spans="1:2" x14ac:dyDescent="0.25">
      <c r="A68483" s="118"/>
      <c r="B68483" s="136"/>
    </row>
    <row r="68484" spans="1:2" x14ac:dyDescent="0.25">
      <c r="A68484" s="118"/>
      <c r="B68484" s="136"/>
    </row>
    <row r="68485" spans="1:2" x14ac:dyDescent="0.25">
      <c r="A68485" s="118"/>
      <c r="B68485" s="136"/>
    </row>
    <row r="68486" spans="1:2" x14ac:dyDescent="0.25">
      <c r="A68486" s="118"/>
      <c r="B68486" s="136"/>
    </row>
    <row r="68487" spans="1:2" x14ac:dyDescent="0.25">
      <c r="A68487" s="118"/>
      <c r="B68487" s="136"/>
    </row>
    <row r="68488" spans="1:2" x14ac:dyDescent="0.25">
      <c r="A68488" s="118"/>
      <c r="B68488" s="136"/>
    </row>
    <row r="68489" spans="1:2" x14ac:dyDescent="0.25">
      <c r="A68489" s="118"/>
      <c r="B68489" s="136"/>
    </row>
    <row r="68490" spans="1:2" x14ac:dyDescent="0.25">
      <c r="A68490" s="118"/>
      <c r="B68490" s="136"/>
    </row>
    <row r="68491" spans="1:2" x14ac:dyDescent="0.25">
      <c r="A68491" s="118"/>
      <c r="B68491" s="136"/>
    </row>
    <row r="68492" spans="1:2" x14ac:dyDescent="0.25">
      <c r="A68492" s="118"/>
      <c r="B68492" s="136"/>
    </row>
    <row r="68493" spans="1:2" x14ac:dyDescent="0.25">
      <c r="A68493" s="118"/>
      <c r="B68493" s="136"/>
    </row>
    <row r="68494" spans="1:2" x14ac:dyDescent="0.25">
      <c r="A68494" s="118"/>
      <c r="B68494" s="136"/>
    </row>
    <row r="68495" spans="1:2" x14ac:dyDescent="0.25">
      <c r="A68495" s="118"/>
      <c r="B68495" s="136"/>
    </row>
    <row r="68496" spans="1:2" x14ac:dyDescent="0.25">
      <c r="A68496" s="118"/>
      <c r="B68496" s="136"/>
    </row>
    <row r="68497" spans="1:2" x14ac:dyDescent="0.25">
      <c r="A68497" s="118"/>
      <c r="B68497" s="136"/>
    </row>
    <row r="68498" spans="1:2" x14ac:dyDescent="0.25">
      <c r="A68498" s="118"/>
      <c r="B68498" s="136"/>
    </row>
    <row r="68499" spans="1:2" x14ac:dyDescent="0.25">
      <c r="A68499" s="118"/>
      <c r="B68499" s="136"/>
    </row>
    <row r="68500" spans="1:2" x14ac:dyDescent="0.25">
      <c r="A68500" s="118"/>
      <c r="B68500" s="136"/>
    </row>
    <row r="68501" spans="1:2" x14ac:dyDescent="0.25">
      <c r="A68501" s="118"/>
      <c r="B68501" s="136"/>
    </row>
    <row r="68502" spans="1:2" x14ac:dyDescent="0.25">
      <c r="A68502" s="118"/>
      <c r="B68502" s="136"/>
    </row>
    <row r="68503" spans="1:2" x14ac:dyDescent="0.25">
      <c r="A68503" s="118"/>
      <c r="B68503" s="136"/>
    </row>
    <row r="68504" spans="1:2" x14ac:dyDescent="0.25">
      <c r="A68504" s="118"/>
      <c r="B68504" s="136"/>
    </row>
    <row r="68505" spans="1:2" x14ac:dyDescent="0.25">
      <c r="A68505" s="118"/>
      <c r="B68505" s="136"/>
    </row>
    <row r="68506" spans="1:2" x14ac:dyDescent="0.25">
      <c r="A68506" s="118"/>
      <c r="B68506" s="136"/>
    </row>
    <row r="68507" spans="1:2" x14ac:dyDescent="0.25">
      <c r="A68507" s="118"/>
      <c r="B68507" s="136"/>
    </row>
    <row r="68508" spans="1:2" x14ac:dyDescent="0.25">
      <c r="A68508" s="118"/>
      <c r="B68508" s="136"/>
    </row>
    <row r="68509" spans="1:2" x14ac:dyDescent="0.25">
      <c r="A68509" s="118"/>
      <c r="B68509" s="136"/>
    </row>
    <row r="68510" spans="1:2" x14ac:dyDescent="0.25">
      <c r="A68510" s="118"/>
      <c r="B68510" s="136"/>
    </row>
    <row r="68511" spans="1:2" x14ac:dyDescent="0.25">
      <c r="A68511" s="118"/>
      <c r="B68511" s="136"/>
    </row>
    <row r="68512" spans="1:2" x14ac:dyDescent="0.25">
      <c r="A68512" s="118"/>
      <c r="B68512" s="136"/>
    </row>
    <row r="68513" spans="1:2" x14ac:dyDescent="0.25">
      <c r="A68513" s="118"/>
      <c r="B68513" s="136"/>
    </row>
    <row r="68514" spans="1:2" x14ac:dyDescent="0.25">
      <c r="A68514" s="118"/>
      <c r="B68514" s="136"/>
    </row>
    <row r="68515" spans="1:2" x14ac:dyDescent="0.25">
      <c r="A68515" s="118"/>
      <c r="B68515" s="136"/>
    </row>
    <row r="68516" spans="1:2" x14ac:dyDescent="0.25">
      <c r="A68516" s="118"/>
      <c r="B68516" s="136"/>
    </row>
    <row r="68517" spans="1:2" x14ac:dyDescent="0.25">
      <c r="A68517" s="118"/>
      <c r="B68517" s="136"/>
    </row>
    <row r="68518" spans="1:2" x14ac:dyDescent="0.25">
      <c r="A68518" s="118"/>
      <c r="B68518" s="136"/>
    </row>
    <row r="68519" spans="1:2" x14ac:dyDescent="0.25">
      <c r="A68519" s="118"/>
      <c r="B68519" s="136"/>
    </row>
    <row r="68520" spans="1:2" x14ac:dyDescent="0.25">
      <c r="A68520" s="118"/>
      <c r="B68520" s="136"/>
    </row>
    <row r="68521" spans="1:2" x14ac:dyDescent="0.25">
      <c r="A68521" s="118"/>
      <c r="B68521" s="136"/>
    </row>
    <row r="68522" spans="1:2" x14ac:dyDescent="0.25">
      <c r="A68522" s="118"/>
      <c r="B68522" s="136"/>
    </row>
    <row r="68523" spans="1:2" x14ac:dyDescent="0.25">
      <c r="A68523" s="118"/>
      <c r="B68523" s="136"/>
    </row>
    <row r="68524" spans="1:2" x14ac:dyDescent="0.25">
      <c r="A68524" s="118"/>
      <c r="B68524" s="136"/>
    </row>
    <row r="68525" spans="1:2" x14ac:dyDescent="0.25">
      <c r="A68525" s="118"/>
      <c r="B68525" s="136"/>
    </row>
    <row r="68526" spans="1:2" x14ac:dyDescent="0.25">
      <c r="A68526" s="118"/>
      <c r="B68526" s="136"/>
    </row>
    <row r="68527" spans="1:2" x14ac:dyDescent="0.25">
      <c r="A68527" s="118"/>
      <c r="B68527" s="136"/>
    </row>
    <row r="68528" spans="1:2" x14ac:dyDescent="0.25">
      <c r="A68528" s="118"/>
      <c r="B68528" s="136"/>
    </row>
    <row r="68529" spans="1:2" x14ac:dyDescent="0.25">
      <c r="A68529" s="118"/>
      <c r="B68529" s="136"/>
    </row>
    <row r="68530" spans="1:2" x14ac:dyDescent="0.25">
      <c r="A68530" s="118"/>
      <c r="B68530" s="136"/>
    </row>
    <row r="68531" spans="1:2" x14ac:dyDescent="0.25">
      <c r="A68531" s="118"/>
      <c r="B68531" s="136"/>
    </row>
    <row r="68532" spans="1:2" x14ac:dyDescent="0.25">
      <c r="A68532" s="118"/>
      <c r="B68532" s="136"/>
    </row>
    <row r="68533" spans="1:2" x14ac:dyDescent="0.25">
      <c r="A68533" s="118"/>
      <c r="B68533" s="136"/>
    </row>
    <row r="68534" spans="1:2" x14ac:dyDescent="0.25">
      <c r="A68534" s="118"/>
      <c r="B68534" s="136"/>
    </row>
    <row r="68535" spans="1:2" x14ac:dyDescent="0.25">
      <c r="A68535" s="118"/>
      <c r="B68535" s="136"/>
    </row>
    <row r="68536" spans="1:2" x14ac:dyDescent="0.25">
      <c r="A68536" s="118"/>
      <c r="B68536" s="136"/>
    </row>
    <row r="68537" spans="1:2" x14ac:dyDescent="0.25">
      <c r="A68537" s="118"/>
      <c r="B68537" s="136"/>
    </row>
    <row r="68538" spans="1:2" x14ac:dyDescent="0.25">
      <c r="A68538" s="118"/>
      <c r="B68538" s="136"/>
    </row>
    <row r="68539" spans="1:2" x14ac:dyDescent="0.25">
      <c r="A68539" s="118"/>
      <c r="B68539" s="136"/>
    </row>
    <row r="68540" spans="1:2" x14ac:dyDescent="0.25">
      <c r="A68540" s="118"/>
      <c r="B68540" s="136"/>
    </row>
    <row r="68541" spans="1:2" x14ac:dyDescent="0.25">
      <c r="A68541" s="118"/>
      <c r="B68541" s="136"/>
    </row>
    <row r="68542" spans="1:2" x14ac:dyDescent="0.25">
      <c r="A68542" s="118"/>
      <c r="B68542" s="136"/>
    </row>
    <row r="68543" spans="1:2" x14ac:dyDescent="0.25">
      <c r="A68543" s="118"/>
      <c r="B68543" s="136"/>
    </row>
    <row r="68544" spans="1:2" x14ac:dyDescent="0.25">
      <c r="A68544" s="118"/>
      <c r="B68544" s="136"/>
    </row>
    <row r="68545" spans="1:2" x14ac:dyDescent="0.25">
      <c r="A68545" s="118"/>
      <c r="B68545" s="136"/>
    </row>
    <row r="68546" spans="1:2" x14ac:dyDescent="0.25">
      <c r="A68546" s="118"/>
      <c r="B68546" s="136"/>
    </row>
    <row r="68547" spans="1:2" x14ac:dyDescent="0.25">
      <c r="A68547" s="118"/>
      <c r="B68547" s="136"/>
    </row>
    <row r="68548" spans="1:2" x14ac:dyDescent="0.25">
      <c r="A68548" s="118"/>
      <c r="B68548" s="136"/>
    </row>
    <row r="68549" spans="1:2" x14ac:dyDescent="0.25">
      <c r="A68549" s="118"/>
      <c r="B68549" s="136"/>
    </row>
    <row r="68550" spans="1:2" x14ac:dyDescent="0.25">
      <c r="A68550" s="118"/>
      <c r="B68550" s="136"/>
    </row>
    <row r="68551" spans="1:2" x14ac:dyDescent="0.25">
      <c r="A68551" s="118"/>
      <c r="B68551" s="136"/>
    </row>
    <row r="68552" spans="1:2" x14ac:dyDescent="0.25">
      <c r="A68552" s="118"/>
      <c r="B68552" s="136"/>
    </row>
    <row r="68553" spans="1:2" x14ac:dyDescent="0.25">
      <c r="A68553" s="118"/>
      <c r="B68553" s="136"/>
    </row>
    <row r="68554" spans="1:2" x14ac:dyDescent="0.25">
      <c r="A68554" s="118"/>
      <c r="B68554" s="136"/>
    </row>
    <row r="68555" spans="1:2" x14ac:dyDescent="0.25">
      <c r="A68555" s="118"/>
      <c r="B68555" s="136"/>
    </row>
    <row r="68556" spans="1:2" x14ac:dyDescent="0.25">
      <c r="A68556" s="118"/>
      <c r="B68556" s="136"/>
    </row>
    <row r="68557" spans="1:2" x14ac:dyDescent="0.25">
      <c r="A68557" s="118"/>
      <c r="B68557" s="136"/>
    </row>
    <row r="68558" spans="1:2" x14ac:dyDescent="0.25">
      <c r="A68558" s="118"/>
      <c r="B68558" s="136"/>
    </row>
    <row r="68559" spans="1:2" x14ac:dyDescent="0.25">
      <c r="A68559" s="118"/>
      <c r="B68559" s="136"/>
    </row>
    <row r="68560" spans="1:2" x14ac:dyDescent="0.25">
      <c r="A68560" s="118"/>
      <c r="B68560" s="136"/>
    </row>
    <row r="68561" spans="1:2" x14ac:dyDescent="0.25">
      <c r="A68561" s="118"/>
      <c r="B68561" s="136"/>
    </row>
    <row r="68562" spans="1:2" x14ac:dyDescent="0.25">
      <c r="A68562" s="118"/>
      <c r="B68562" s="136"/>
    </row>
    <row r="68563" spans="1:2" x14ac:dyDescent="0.25">
      <c r="A68563" s="118"/>
      <c r="B68563" s="136"/>
    </row>
    <row r="68564" spans="1:2" x14ac:dyDescent="0.25">
      <c r="A68564" s="118"/>
      <c r="B68564" s="136"/>
    </row>
    <row r="68565" spans="1:2" x14ac:dyDescent="0.25">
      <c r="A68565" s="118"/>
      <c r="B68565" s="136"/>
    </row>
    <row r="68566" spans="1:2" x14ac:dyDescent="0.25">
      <c r="A68566" s="118"/>
      <c r="B68566" s="136"/>
    </row>
    <row r="68567" spans="1:2" x14ac:dyDescent="0.25">
      <c r="A68567" s="118"/>
      <c r="B68567" s="136"/>
    </row>
    <row r="68568" spans="1:2" x14ac:dyDescent="0.25">
      <c r="A68568" s="118"/>
      <c r="B68568" s="136"/>
    </row>
    <row r="68569" spans="1:2" x14ac:dyDescent="0.25">
      <c r="A68569" s="118"/>
      <c r="B68569" s="136"/>
    </row>
    <row r="68570" spans="1:2" x14ac:dyDescent="0.25">
      <c r="A68570" s="118"/>
      <c r="B68570" s="136"/>
    </row>
    <row r="68571" spans="1:2" x14ac:dyDescent="0.25">
      <c r="A68571" s="118"/>
      <c r="B68571" s="136"/>
    </row>
    <row r="68572" spans="1:2" x14ac:dyDescent="0.25">
      <c r="A68572" s="118"/>
      <c r="B68572" s="136"/>
    </row>
    <row r="68573" spans="1:2" x14ac:dyDescent="0.25">
      <c r="A68573" s="118"/>
      <c r="B68573" s="136"/>
    </row>
    <row r="68574" spans="1:2" x14ac:dyDescent="0.25">
      <c r="A68574" s="118"/>
      <c r="B68574" s="136"/>
    </row>
    <row r="68575" spans="1:2" x14ac:dyDescent="0.25">
      <c r="A68575" s="118"/>
      <c r="B68575" s="136"/>
    </row>
    <row r="68576" spans="1:2" x14ac:dyDescent="0.25">
      <c r="A68576" s="118"/>
      <c r="B68576" s="136"/>
    </row>
    <row r="68577" spans="1:2" x14ac:dyDescent="0.25">
      <c r="A68577" s="118"/>
      <c r="B68577" s="136"/>
    </row>
    <row r="68578" spans="1:2" x14ac:dyDescent="0.25">
      <c r="A68578" s="118"/>
      <c r="B68578" s="136"/>
    </row>
    <row r="68579" spans="1:2" x14ac:dyDescent="0.25">
      <c r="A68579" s="118"/>
      <c r="B68579" s="136"/>
    </row>
    <row r="68580" spans="1:2" x14ac:dyDescent="0.25">
      <c r="A68580" s="118"/>
      <c r="B68580" s="136"/>
    </row>
    <row r="68581" spans="1:2" x14ac:dyDescent="0.25">
      <c r="A68581" s="118"/>
      <c r="B68581" s="136"/>
    </row>
    <row r="68582" spans="1:2" x14ac:dyDescent="0.25">
      <c r="A68582" s="118"/>
      <c r="B68582" s="136"/>
    </row>
    <row r="68583" spans="1:2" x14ac:dyDescent="0.25">
      <c r="A68583" s="118"/>
      <c r="B68583" s="136"/>
    </row>
    <row r="68584" spans="1:2" x14ac:dyDescent="0.25">
      <c r="A68584" s="118"/>
      <c r="B68584" s="136"/>
    </row>
    <row r="68585" spans="1:2" x14ac:dyDescent="0.25">
      <c r="A68585" s="118"/>
      <c r="B68585" s="136"/>
    </row>
    <row r="68586" spans="1:2" x14ac:dyDescent="0.25">
      <c r="A68586" s="118"/>
      <c r="B68586" s="136"/>
    </row>
    <row r="68587" spans="1:2" x14ac:dyDescent="0.25">
      <c r="A68587" s="118"/>
      <c r="B68587" s="136"/>
    </row>
    <row r="68588" spans="1:2" x14ac:dyDescent="0.25">
      <c r="A68588" s="118"/>
      <c r="B68588" s="136"/>
    </row>
    <row r="68589" spans="1:2" x14ac:dyDescent="0.25">
      <c r="A68589" s="118"/>
      <c r="B68589" s="136"/>
    </row>
    <row r="68590" spans="1:2" x14ac:dyDescent="0.25">
      <c r="A68590" s="118"/>
      <c r="B68590" s="136"/>
    </row>
    <row r="68591" spans="1:2" x14ac:dyDescent="0.25">
      <c r="A68591" s="118"/>
      <c r="B68591" s="136"/>
    </row>
    <row r="68592" spans="1:2" x14ac:dyDescent="0.25">
      <c r="A68592" s="118"/>
      <c r="B68592" s="136"/>
    </row>
    <row r="68593" spans="1:2" x14ac:dyDescent="0.25">
      <c r="A68593" s="118"/>
      <c r="B68593" s="136"/>
    </row>
    <row r="68594" spans="1:2" x14ac:dyDescent="0.25">
      <c r="A68594" s="118"/>
      <c r="B68594" s="136"/>
    </row>
    <row r="68595" spans="1:2" x14ac:dyDescent="0.25">
      <c r="A68595" s="118"/>
      <c r="B68595" s="136"/>
    </row>
    <row r="68596" spans="1:2" x14ac:dyDescent="0.25">
      <c r="A68596" s="118"/>
      <c r="B68596" s="136"/>
    </row>
    <row r="68597" spans="1:2" x14ac:dyDescent="0.25">
      <c r="A68597" s="118"/>
      <c r="B68597" s="136"/>
    </row>
    <row r="68598" spans="1:2" x14ac:dyDescent="0.25">
      <c r="A68598" s="118"/>
      <c r="B68598" s="136"/>
    </row>
    <row r="68599" spans="1:2" x14ac:dyDescent="0.25">
      <c r="A68599" s="118"/>
      <c r="B68599" s="136"/>
    </row>
    <row r="68600" spans="1:2" x14ac:dyDescent="0.25">
      <c r="A68600" s="118"/>
      <c r="B68600" s="136"/>
    </row>
    <row r="68601" spans="1:2" x14ac:dyDescent="0.25">
      <c r="A68601" s="118"/>
      <c r="B68601" s="136"/>
    </row>
    <row r="68602" spans="1:2" x14ac:dyDescent="0.25">
      <c r="A68602" s="118"/>
      <c r="B68602" s="136"/>
    </row>
    <row r="68603" spans="1:2" x14ac:dyDescent="0.25">
      <c r="A68603" s="118"/>
      <c r="B68603" s="136"/>
    </row>
    <row r="68604" spans="1:2" x14ac:dyDescent="0.25">
      <c r="A68604" s="118"/>
      <c r="B68604" s="136"/>
    </row>
    <row r="68605" spans="1:2" x14ac:dyDescent="0.25">
      <c r="A68605" s="118"/>
      <c r="B68605" s="136"/>
    </row>
    <row r="68606" spans="1:2" x14ac:dyDescent="0.25">
      <c r="A68606" s="118"/>
      <c r="B68606" s="136"/>
    </row>
    <row r="68607" spans="1:2" x14ac:dyDescent="0.25">
      <c r="A68607" s="118"/>
      <c r="B68607" s="136"/>
    </row>
    <row r="68608" spans="1:2" x14ac:dyDescent="0.25">
      <c r="A68608" s="118"/>
      <c r="B68608" s="136"/>
    </row>
    <row r="68609" spans="1:2" x14ac:dyDescent="0.25">
      <c r="A68609" s="118"/>
      <c r="B68609" s="136"/>
    </row>
    <row r="68610" spans="1:2" x14ac:dyDescent="0.25">
      <c r="A68610" s="118"/>
      <c r="B68610" s="136"/>
    </row>
    <row r="68611" spans="1:2" x14ac:dyDescent="0.25">
      <c r="A68611" s="118"/>
      <c r="B68611" s="136"/>
    </row>
    <row r="68612" spans="1:2" x14ac:dyDescent="0.25">
      <c r="A68612" s="118"/>
      <c r="B68612" s="136"/>
    </row>
    <row r="68613" spans="1:2" x14ac:dyDescent="0.25">
      <c r="A68613" s="118"/>
      <c r="B68613" s="136"/>
    </row>
    <row r="68614" spans="1:2" x14ac:dyDescent="0.25">
      <c r="A68614" s="118"/>
      <c r="B68614" s="136"/>
    </row>
    <row r="68615" spans="1:2" x14ac:dyDescent="0.25">
      <c r="A68615" s="118"/>
      <c r="B68615" s="136"/>
    </row>
    <row r="68616" spans="1:2" x14ac:dyDescent="0.25">
      <c r="A68616" s="118"/>
      <c r="B68616" s="136"/>
    </row>
    <row r="68617" spans="1:2" x14ac:dyDescent="0.25">
      <c r="A68617" s="118"/>
      <c r="B68617" s="136"/>
    </row>
    <row r="68618" spans="1:2" x14ac:dyDescent="0.25">
      <c r="A68618" s="118"/>
      <c r="B68618" s="136"/>
    </row>
    <row r="68619" spans="1:2" x14ac:dyDescent="0.25">
      <c r="A68619" s="118"/>
      <c r="B68619" s="136"/>
    </row>
    <row r="68620" spans="1:2" x14ac:dyDescent="0.25">
      <c r="A68620" s="118"/>
      <c r="B68620" s="136"/>
    </row>
    <row r="68621" spans="1:2" x14ac:dyDescent="0.25">
      <c r="A68621" s="118"/>
      <c r="B68621" s="136"/>
    </row>
    <row r="68622" spans="1:2" x14ac:dyDescent="0.25">
      <c r="A68622" s="118"/>
      <c r="B68622" s="136"/>
    </row>
    <row r="68623" spans="1:2" x14ac:dyDescent="0.25">
      <c r="A68623" s="118"/>
      <c r="B68623" s="136"/>
    </row>
    <row r="68624" spans="1:2" x14ac:dyDescent="0.25">
      <c r="A68624" s="118"/>
      <c r="B68624" s="136"/>
    </row>
    <row r="68625" spans="1:2" x14ac:dyDescent="0.25">
      <c r="A68625" s="118"/>
      <c r="B68625" s="136"/>
    </row>
    <row r="68626" spans="1:2" x14ac:dyDescent="0.25">
      <c r="A68626" s="118"/>
      <c r="B68626" s="136"/>
    </row>
    <row r="68627" spans="1:2" x14ac:dyDescent="0.25">
      <c r="A68627" s="118"/>
      <c r="B68627" s="136"/>
    </row>
    <row r="68628" spans="1:2" x14ac:dyDescent="0.25">
      <c r="A68628" s="118"/>
      <c r="B68628" s="136"/>
    </row>
    <row r="68629" spans="1:2" x14ac:dyDescent="0.25">
      <c r="A68629" s="118"/>
      <c r="B68629" s="136"/>
    </row>
    <row r="68630" spans="1:2" x14ac:dyDescent="0.25">
      <c r="A68630" s="118"/>
      <c r="B68630" s="136"/>
    </row>
    <row r="68631" spans="1:2" x14ac:dyDescent="0.25">
      <c r="A68631" s="118"/>
      <c r="B68631" s="136"/>
    </row>
    <row r="68632" spans="1:2" x14ac:dyDescent="0.25">
      <c r="A68632" s="118"/>
      <c r="B68632" s="136"/>
    </row>
    <row r="68633" spans="1:2" x14ac:dyDescent="0.25">
      <c r="A68633" s="118"/>
      <c r="B68633" s="136"/>
    </row>
    <row r="68634" spans="1:2" x14ac:dyDescent="0.25">
      <c r="A68634" s="118"/>
      <c r="B68634" s="136"/>
    </row>
    <row r="68635" spans="1:2" x14ac:dyDescent="0.25">
      <c r="A68635" s="118"/>
      <c r="B68635" s="136"/>
    </row>
    <row r="68636" spans="1:2" x14ac:dyDescent="0.25">
      <c r="A68636" s="118"/>
      <c r="B68636" s="136"/>
    </row>
    <row r="68637" spans="1:2" x14ac:dyDescent="0.25">
      <c r="A68637" s="118"/>
      <c r="B68637" s="136"/>
    </row>
    <row r="68638" spans="1:2" x14ac:dyDescent="0.25">
      <c r="A68638" s="118"/>
      <c r="B68638" s="136"/>
    </row>
    <row r="68639" spans="1:2" x14ac:dyDescent="0.25">
      <c r="A68639" s="118"/>
      <c r="B68639" s="136"/>
    </row>
    <row r="68640" spans="1:2" x14ac:dyDescent="0.25">
      <c r="A68640" s="118"/>
      <c r="B68640" s="136"/>
    </row>
    <row r="68641" spans="1:2" x14ac:dyDescent="0.25">
      <c r="A68641" s="118"/>
      <c r="B68641" s="136"/>
    </row>
    <row r="68642" spans="1:2" x14ac:dyDescent="0.25">
      <c r="A68642" s="118"/>
      <c r="B68642" s="136"/>
    </row>
    <row r="68643" spans="1:2" x14ac:dyDescent="0.25">
      <c r="A68643" s="118"/>
      <c r="B68643" s="136"/>
    </row>
    <row r="68644" spans="1:2" x14ac:dyDescent="0.25">
      <c r="A68644" s="118"/>
      <c r="B68644" s="136"/>
    </row>
    <row r="68645" spans="1:2" x14ac:dyDescent="0.25">
      <c r="A68645" s="118"/>
      <c r="B68645" s="136"/>
    </row>
    <row r="68646" spans="1:2" x14ac:dyDescent="0.25">
      <c r="A68646" s="118"/>
      <c r="B68646" s="136"/>
    </row>
    <row r="68647" spans="1:2" x14ac:dyDescent="0.25">
      <c r="A68647" s="118"/>
      <c r="B68647" s="136"/>
    </row>
    <row r="68648" spans="1:2" x14ac:dyDescent="0.25">
      <c r="A68648" s="118"/>
      <c r="B68648" s="136"/>
    </row>
    <row r="68649" spans="1:2" x14ac:dyDescent="0.25">
      <c r="A68649" s="118"/>
      <c r="B68649" s="136"/>
    </row>
    <row r="68650" spans="1:2" x14ac:dyDescent="0.25">
      <c r="A68650" s="118"/>
      <c r="B68650" s="136"/>
    </row>
    <row r="68651" spans="1:2" x14ac:dyDescent="0.25">
      <c r="A68651" s="118"/>
      <c r="B68651" s="136"/>
    </row>
    <row r="68652" spans="1:2" x14ac:dyDescent="0.25">
      <c r="A68652" s="118"/>
      <c r="B68652" s="136"/>
    </row>
    <row r="68653" spans="1:2" x14ac:dyDescent="0.25">
      <c r="A68653" s="118"/>
      <c r="B68653" s="136"/>
    </row>
    <row r="68654" spans="1:2" x14ac:dyDescent="0.25">
      <c r="A68654" s="118"/>
      <c r="B68654" s="136"/>
    </row>
    <row r="68655" spans="1:2" x14ac:dyDescent="0.25">
      <c r="A68655" s="118"/>
      <c r="B68655" s="136"/>
    </row>
    <row r="68656" spans="1:2" x14ac:dyDescent="0.25">
      <c r="A68656" s="118"/>
      <c r="B68656" s="136"/>
    </row>
    <row r="68657" spans="1:2" x14ac:dyDescent="0.25">
      <c r="A68657" s="118"/>
      <c r="B68657" s="136"/>
    </row>
    <row r="68658" spans="1:2" x14ac:dyDescent="0.25">
      <c r="A68658" s="118"/>
      <c r="B68658" s="136"/>
    </row>
    <row r="68659" spans="1:2" x14ac:dyDescent="0.25">
      <c r="A68659" s="118"/>
      <c r="B68659" s="136"/>
    </row>
    <row r="68660" spans="1:2" x14ac:dyDescent="0.25">
      <c r="A68660" s="118"/>
      <c r="B68660" s="136"/>
    </row>
    <row r="68661" spans="1:2" x14ac:dyDescent="0.25">
      <c r="A68661" s="118"/>
      <c r="B68661" s="136"/>
    </row>
    <row r="68662" spans="1:2" x14ac:dyDescent="0.25">
      <c r="A68662" s="118"/>
      <c r="B68662" s="136"/>
    </row>
    <row r="68663" spans="1:2" x14ac:dyDescent="0.25">
      <c r="A68663" s="118"/>
      <c r="B68663" s="136"/>
    </row>
    <row r="68664" spans="1:2" x14ac:dyDescent="0.25">
      <c r="A68664" s="118"/>
      <c r="B68664" s="136"/>
    </row>
    <row r="68665" spans="1:2" x14ac:dyDescent="0.25">
      <c r="A68665" s="118"/>
      <c r="B68665" s="136"/>
    </row>
    <row r="68666" spans="1:2" x14ac:dyDescent="0.25">
      <c r="A68666" s="118"/>
      <c r="B68666" s="136"/>
    </row>
    <row r="68667" spans="1:2" x14ac:dyDescent="0.25">
      <c r="A68667" s="118"/>
      <c r="B68667" s="136"/>
    </row>
    <row r="68668" spans="1:2" x14ac:dyDescent="0.25">
      <c r="A68668" s="118"/>
      <c r="B68668" s="136"/>
    </row>
    <row r="68669" spans="1:2" x14ac:dyDescent="0.25">
      <c r="A68669" s="118"/>
      <c r="B68669" s="136"/>
    </row>
    <row r="68670" spans="1:2" x14ac:dyDescent="0.25">
      <c r="A68670" s="118"/>
      <c r="B68670" s="136"/>
    </row>
    <row r="68671" spans="1:2" x14ac:dyDescent="0.25">
      <c r="A68671" s="118"/>
      <c r="B68671" s="136"/>
    </row>
    <row r="68672" spans="1:2" x14ac:dyDescent="0.25">
      <c r="A68672" s="118"/>
      <c r="B68672" s="136"/>
    </row>
    <row r="68673" spans="1:2" x14ac:dyDescent="0.25">
      <c r="A68673" s="118"/>
      <c r="B68673" s="136"/>
    </row>
    <row r="68674" spans="1:2" x14ac:dyDescent="0.25">
      <c r="A68674" s="118"/>
      <c r="B68674" s="136"/>
    </row>
    <row r="68675" spans="1:2" x14ac:dyDescent="0.25">
      <c r="A68675" s="118"/>
      <c r="B68675" s="136"/>
    </row>
    <row r="68676" spans="1:2" x14ac:dyDescent="0.25">
      <c r="A68676" s="118"/>
      <c r="B68676" s="136"/>
    </row>
    <row r="68677" spans="1:2" x14ac:dyDescent="0.25">
      <c r="A68677" s="118"/>
      <c r="B68677" s="136"/>
    </row>
    <row r="68678" spans="1:2" x14ac:dyDescent="0.25">
      <c r="A68678" s="118"/>
      <c r="B68678" s="136"/>
    </row>
    <row r="68679" spans="1:2" x14ac:dyDescent="0.25">
      <c r="A68679" s="118"/>
      <c r="B68679" s="136"/>
    </row>
    <row r="68680" spans="1:2" x14ac:dyDescent="0.25">
      <c r="A68680" s="118"/>
      <c r="B68680" s="136"/>
    </row>
    <row r="68681" spans="1:2" x14ac:dyDescent="0.25">
      <c r="A68681" s="118"/>
      <c r="B68681" s="136"/>
    </row>
    <row r="68682" spans="1:2" x14ac:dyDescent="0.25">
      <c r="A68682" s="118"/>
      <c r="B68682" s="136"/>
    </row>
    <row r="68683" spans="1:2" x14ac:dyDescent="0.25">
      <c r="A68683" s="118"/>
      <c r="B68683" s="136"/>
    </row>
    <row r="68684" spans="1:2" x14ac:dyDescent="0.25">
      <c r="A68684" s="118"/>
      <c r="B68684" s="136"/>
    </row>
    <row r="68685" spans="1:2" x14ac:dyDescent="0.25">
      <c r="A68685" s="118"/>
      <c r="B68685" s="136"/>
    </row>
    <row r="68686" spans="1:2" x14ac:dyDescent="0.25">
      <c r="A68686" s="118"/>
      <c r="B68686" s="136"/>
    </row>
    <row r="68687" spans="1:2" x14ac:dyDescent="0.25">
      <c r="A68687" s="118"/>
      <c r="B68687" s="136"/>
    </row>
    <row r="68688" spans="1:2" x14ac:dyDescent="0.25">
      <c r="A68688" s="118"/>
      <c r="B68688" s="136"/>
    </row>
    <row r="68689" spans="1:2" x14ac:dyDescent="0.25">
      <c r="A68689" s="118"/>
      <c r="B68689" s="136"/>
    </row>
    <row r="68690" spans="1:2" x14ac:dyDescent="0.25">
      <c r="A68690" s="118"/>
      <c r="B68690" s="136"/>
    </row>
    <row r="68691" spans="1:2" x14ac:dyDescent="0.25">
      <c r="A68691" s="118"/>
      <c r="B68691" s="136"/>
    </row>
    <row r="68692" spans="1:2" x14ac:dyDescent="0.25">
      <c r="A68692" s="118"/>
      <c r="B68692" s="136"/>
    </row>
    <row r="68693" spans="1:2" x14ac:dyDescent="0.25">
      <c r="A68693" s="118"/>
      <c r="B68693" s="136"/>
    </row>
    <row r="68694" spans="1:2" x14ac:dyDescent="0.25">
      <c r="A68694" s="118"/>
      <c r="B68694" s="136"/>
    </row>
    <row r="68695" spans="1:2" x14ac:dyDescent="0.25">
      <c r="A68695" s="118"/>
      <c r="B68695" s="136"/>
    </row>
    <row r="68696" spans="1:2" x14ac:dyDescent="0.25">
      <c r="A68696" s="118"/>
      <c r="B68696" s="136"/>
    </row>
    <row r="68697" spans="1:2" x14ac:dyDescent="0.25">
      <c r="A68697" s="118"/>
      <c r="B68697" s="136"/>
    </row>
    <row r="68698" spans="1:2" x14ac:dyDescent="0.25">
      <c r="A68698" s="118"/>
      <c r="B68698" s="136"/>
    </row>
    <row r="68699" spans="1:2" x14ac:dyDescent="0.25">
      <c r="A68699" s="118"/>
      <c r="B68699" s="136"/>
    </row>
    <row r="68700" spans="1:2" x14ac:dyDescent="0.25">
      <c r="A68700" s="118"/>
      <c r="B68700" s="136"/>
    </row>
    <row r="68701" spans="1:2" x14ac:dyDescent="0.25">
      <c r="A68701" s="118"/>
      <c r="B68701" s="136"/>
    </row>
    <row r="68702" spans="1:2" x14ac:dyDescent="0.25">
      <c r="A68702" s="118"/>
      <c r="B68702" s="136"/>
    </row>
    <row r="68703" spans="1:2" x14ac:dyDescent="0.25">
      <c r="A68703" s="118"/>
      <c r="B68703" s="136"/>
    </row>
    <row r="68704" spans="1:2" x14ac:dyDescent="0.25">
      <c r="A68704" s="118"/>
      <c r="B68704" s="136"/>
    </row>
    <row r="68705" spans="1:2" x14ac:dyDescent="0.25">
      <c r="A68705" s="118"/>
      <c r="B68705" s="136"/>
    </row>
    <row r="68706" spans="1:2" x14ac:dyDescent="0.25">
      <c r="A68706" s="118"/>
      <c r="B68706" s="136"/>
    </row>
    <row r="68707" spans="1:2" x14ac:dyDescent="0.25">
      <c r="A68707" s="118"/>
      <c r="B68707" s="136"/>
    </row>
    <row r="68708" spans="1:2" x14ac:dyDescent="0.25">
      <c r="A68708" s="118"/>
      <c r="B68708" s="136"/>
    </row>
    <row r="68709" spans="1:2" x14ac:dyDescent="0.25">
      <c r="A68709" s="118"/>
      <c r="B68709" s="136"/>
    </row>
    <row r="68710" spans="1:2" x14ac:dyDescent="0.25">
      <c r="A68710" s="118"/>
      <c r="B68710" s="136"/>
    </row>
    <row r="68711" spans="1:2" x14ac:dyDescent="0.25">
      <c r="A68711" s="118"/>
      <c r="B68711" s="136"/>
    </row>
    <row r="68712" spans="1:2" x14ac:dyDescent="0.25">
      <c r="A68712" s="118"/>
      <c r="B68712" s="136"/>
    </row>
    <row r="68713" spans="1:2" x14ac:dyDescent="0.25">
      <c r="A68713" s="118"/>
      <c r="B68713" s="136"/>
    </row>
    <row r="68714" spans="1:2" x14ac:dyDescent="0.25">
      <c r="A68714" s="118"/>
      <c r="B68714" s="136"/>
    </row>
    <row r="68715" spans="1:2" x14ac:dyDescent="0.25">
      <c r="A68715" s="118"/>
      <c r="B68715" s="136"/>
    </row>
    <row r="68716" spans="1:2" x14ac:dyDescent="0.25">
      <c r="A68716" s="118"/>
      <c r="B68716" s="136"/>
    </row>
    <row r="68717" spans="1:2" x14ac:dyDescent="0.25">
      <c r="A68717" s="118"/>
      <c r="B68717" s="136"/>
    </row>
    <row r="68718" spans="1:2" x14ac:dyDescent="0.25">
      <c r="A68718" s="118"/>
      <c r="B68718" s="136"/>
    </row>
    <row r="68719" spans="1:2" x14ac:dyDescent="0.25">
      <c r="A68719" s="118"/>
      <c r="B68719" s="136"/>
    </row>
    <row r="68720" spans="1:2" x14ac:dyDescent="0.25">
      <c r="A68720" s="118"/>
      <c r="B68720" s="136"/>
    </row>
    <row r="68721" spans="1:2" x14ac:dyDescent="0.25">
      <c r="A68721" s="118"/>
      <c r="B68721" s="136"/>
    </row>
    <row r="68722" spans="1:2" x14ac:dyDescent="0.25">
      <c r="A68722" s="118"/>
      <c r="B68722" s="136"/>
    </row>
    <row r="68723" spans="1:2" x14ac:dyDescent="0.25">
      <c r="A68723" s="118"/>
      <c r="B68723" s="136"/>
    </row>
    <row r="68724" spans="1:2" x14ac:dyDescent="0.25">
      <c r="A68724" s="118"/>
      <c r="B68724" s="136"/>
    </row>
    <row r="68725" spans="1:2" x14ac:dyDescent="0.25">
      <c r="A68725" s="118"/>
      <c r="B68725" s="136"/>
    </row>
    <row r="68726" spans="1:2" x14ac:dyDescent="0.25">
      <c r="A68726" s="118"/>
      <c r="B68726" s="136"/>
    </row>
    <row r="68727" spans="1:2" x14ac:dyDescent="0.25">
      <c r="A68727" s="118"/>
      <c r="B68727" s="136"/>
    </row>
    <row r="68728" spans="1:2" x14ac:dyDescent="0.25">
      <c r="A68728" s="118"/>
      <c r="B68728" s="136"/>
    </row>
    <row r="68729" spans="1:2" x14ac:dyDescent="0.25">
      <c r="A68729" s="118"/>
      <c r="B68729" s="136"/>
    </row>
    <row r="68730" spans="1:2" x14ac:dyDescent="0.25">
      <c r="A68730" s="118"/>
      <c r="B68730" s="136"/>
    </row>
    <row r="68731" spans="1:2" x14ac:dyDescent="0.25">
      <c r="A68731" s="118"/>
      <c r="B68731" s="136"/>
    </row>
    <row r="68732" spans="1:2" x14ac:dyDescent="0.25">
      <c r="A68732" s="118"/>
      <c r="B68732" s="136"/>
    </row>
    <row r="68733" spans="1:2" x14ac:dyDescent="0.25">
      <c r="A68733" s="118"/>
      <c r="B68733" s="136"/>
    </row>
    <row r="68734" spans="1:2" x14ac:dyDescent="0.25">
      <c r="A68734" s="118"/>
      <c r="B68734" s="136"/>
    </row>
    <row r="68735" spans="1:2" x14ac:dyDescent="0.25">
      <c r="A68735" s="118"/>
      <c r="B68735" s="136"/>
    </row>
    <row r="68736" spans="1:2" x14ac:dyDescent="0.25">
      <c r="A68736" s="118"/>
      <c r="B68736" s="136"/>
    </row>
    <row r="68737" spans="1:2" x14ac:dyDescent="0.25">
      <c r="A68737" s="118"/>
      <c r="B68737" s="136"/>
    </row>
    <row r="68738" spans="1:2" x14ac:dyDescent="0.25">
      <c r="A68738" s="118"/>
      <c r="B68738" s="136"/>
    </row>
    <row r="68739" spans="1:2" x14ac:dyDescent="0.25">
      <c r="A68739" s="118"/>
      <c r="B68739" s="136"/>
    </row>
    <row r="68740" spans="1:2" x14ac:dyDescent="0.25">
      <c r="A68740" s="118"/>
      <c r="B68740" s="136"/>
    </row>
    <row r="68741" spans="1:2" x14ac:dyDescent="0.25">
      <c r="A68741" s="118"/>
      <c r="B68741" s="136"/>
    </row>
    <row r="68742" spans="1:2" x14ac:dyDescent="0.25">
      <c r="A68742" s="118"/>
      <c r="B68742" s="136"/>
    </row>
    <row r="68743" spans="1:2" x14ac:dyDescent="0.25">
      <c r="A68743" s="118"/>
      <c r="B68743" s="136"/>
    </row>
    <row r="68744" spans="1:2" x14ac:dyDescent="0.25">
      <c r="A68744" s="118"/>
      <c r="B68744" s="136"/>
    </row>
    <row r="68745" spans="1:2" x14ac:dyDescent="0.25">
      <c r="A68745" s="118"/>
      <c r="B68745" s="136"/>
    </row>
    <row r="68746" spans="1:2" x14ac:dyDescent="0.25">
      <c r="A68746" s="118"/>
      <c r="B68746" s="136"/>
    </row>
    <row r="68747" spans="1:2" x14ac:dyDescent="0.25">
      <c r="A68747" s="118"/>
      <c r="B68747" s="136"/>
    </row>
    <row r="68748" spans="1:2" x14ac:dyDescent="0.25">
      <c r="A68748" s="118"/>
      <c r="B68748" s="136"/>
    </row>
    <row r="68749" spans="1:2" x14ac:dyDescent="0.25">
      <c r="A68749" s="118"/>
      <c r="B68749" s="136"/>
    </row>
    <row r="68750" spans="1:2" x14ac:dyDescent="0.25">
      <c r="A68750" s="118"/>
      <c r="B68750" s="136"/>
    </row>
    <row r="68751" spans="1:2" x14ac:dyDescent="0.25">
      <c r="A68751" s="118"/>
      <c r="B68751" s="136"/>
    </row>
    <row r="68752" spans="1:2" x14ac:dyDescent="0.25">
      <c r="A68752" s="118"/>
      <c r="B68752" s="136"/>
    </row>
    <row r="68753" spans="1:2" x14ac:dyDescent="0.25">
      <c r="A68753" s="118"/>
      <c r="B68753" s="136"/>
    </row>
    <row r="68754" spans="1:2" x14ac:dyDescent="0.25">
      <c r="A68754" s="118"/>
      <c r="B68754" s="136"/>
    </row>
    <row r="68755" spans="1:2" x14ac:dyDescent="0.25">
      <c r="A68755" s="118"/>
      <c r="B68755" s="136"/>
    </row>
    <row r="68756" spans="1:2" x14ac:dyDescent="0.25">
      <c r="A68756" s="118"/>
      <c r="B68756" s="136"/>
    </row>
    <row r="68757" spans="1:2" x14ac:dyDescent="0.25">
      <c r="A68757" s="118"/>
      <c r="B68757" s="136"/>
    </row>
    <row r="68758" spans="1:2" x14ac:dyDescent="0.25">
      <c r="A68758" s="118"/>
      <c r="B68758" s="136"/>
    </row>
    <row r="68759" spans="1:2" x14ac:dyDescent="0.25">
      <c r="A68759" s="118"/>
      <c r="B68759" s="136"/>
    </row>
    <row r="68760" spans="1:2" x14ac:dyDescent="0.25">
      <c r="A68760" s="118"/>
      <c r="B68760" s="136"/>
    </row>
    <row r="68761" spans="1:2" x14ac:dyDescent="0.25">
      <c r="A68761" s="118"/>
      <c r="B68761" s="136"/>
    </row>
    <row r="68762" spans="1:2" x14ac:dyDescent="0.25">
      <c r="A68762" s="118"/>
      <c r="B68762" s="136"/>
    </row>
    <row r="68763" spans="1:2" x14ac:dyDescent="0.25">
      <c r="A68763" s="118"/>
      <c r="B68763" s="136"/>
    </row>
    <row r="68764" spans="1:2" x14ac:dyDescent="0.25">
      <c r="A68764" s="118"/>
      <c r="B68764" s="136"/>
    </row>
    <row r="68765" spans="1:2" x14ac:dyDescent="0.25">
      <c r="A68765" s="118"/>
      <c r="B68765" s="136"/>
    </row>
    <row r="68766" spans="1:2" x14ac:dyDescent="0.25">
      <c r="A68766" s="118"/>
      <c r="B68766" s="136"/>
    </row>
    <row r="68767" spans="1:2" x14ac:dyDescent="0.25">
      <c r="A68767" s="118"/>
      <c r="B68767" s="136"/>
    </row>
    <row r="68768" spans="1:2" x14ac:dyDescent="0.25">
      <c r="A68768" s="118"/>
      <c r="B68768" s="136"/>
    </row>
    <row r="68769" spans="1:2" x14ac:dyDescent="0.25">
      <c r="A68769" s="118"/>
      <c r="B68769" s="136"/>
    </row>
    <row r="68770" spans="1:2" x14ac:dyDescent="0.25">
      <c r="A68770" s="118"/>
      <c r="B68770" s="136"/>
    </row>
    <row r="68771" spans="1:2" x14ac:dyDescent="0.25">
      <c r="A68771" s="118"/>
      <c r="B68771" s="136"/>
    </row>
    <row r="68772" spans="1:2" x14ac:dyDescent="0.25">
      <c r="A68772" s="118"/>
      <c r="B68772" s="136"/>
    </row>
    <row r="68773" spans="1:2" x14ac:dyDescent="0.25">
      <c r="A68773" s="118"/>
      <c r="B68773" s="136"/>
    </row>
    <row r="68774" spans="1:2" x14ac:dyDescent="0.25">
      <c r="A68774" s="118"/>
      <c r="B68774" s="136"/>
    </row>
    <row r="68775" spans="1:2" x14ac:dyDescent="0.25">
      <c r="A68775" s="118"/>
      <c r="B68775" s="136"/>
    </row>
    <row r="68776" spans="1:2" x14ac:dyDescent="0.25">
      <c r="A68776" s="118"/>
      <c r="B68776" s="136"/>
    </row>
    <row r="68777" spans="1:2" x14ac:dyDescent="0.25">
      <c r="A68777" s="118"/>
      <c r="B68777" s="136"/>
    </row>
    <row r="68778" spans="1:2" x14ac:dyDescent="0.25">
      <c r="A68778" s="118"/>
      <c r="B68778" s="136"/>
    </row>
    <row r="68779" spans="1:2" x14ac:dyDescent="0.25">
      <c r="A68779" s="118"/>
      <c r="B68779" s="136"/>
    </row>
    <row r="68780" spans="1:2" x14ac:dyDescent="0.25">
      <c r="A68780" s="118"/>
      <c r="B68780" s="136"/>
    </row>
    <row r="68781" spans="1:2" x14ac:dyDescent="0.25">
      <c r="A68781" s="118"/>
      <c r="B68781" s="136"/>
    </row>
    <row r="68782" spans="1:2" x14ac:dyDescent="0.25">
      <c r="A68782" s="118"/>
      <c r="B68782" s="136"/>
    </row>
    <row r="68783" spans="1:2" x14ac:dyDescent="0.25">
      <c r="A68783" s="118"/>
      <c r="B68783" s="136"/>
    </row>
    <row r="68784" spans="1:2" x14ac:dyDescent="0.25">
      <c r="A68784" s="118"/>
      <c r="B68784" s="136"/>
    </row>
    <row r="68785" spans="1:2" x14ac:dyDescent="0.25">
      <c r="A68785" s="118"/>
      <c r="B68785" s="136"/>
    </row>
    <row r="68786" spans="1:2" x14ac:dyDescent="0.25">
      <c r="A68786" s="118"/>
      <c r="B68786" s="136"/>
    </row>
    <row r="68787" spans="1:2" x14ac:dyDescent="0.25">
      <c r="A68787" s="118"/>
      <c r="B68787" s="136"/>
    </row>
    <row r="68788" spans="1:2" x14ac:dyDescent="0.25">
      <c r="A68788" s="118"/>
      <c r="B68788" s="136"/>
    </row>
    <row r="68789" spans="1:2" x14ac:dyDescent="0.25">
      <c r="A68789" s="118"/>
      <c r="B68789" s="136"/>
    </row>
    <row r="68790" spans="1:2" x14ac:dyDescent="0.25">
      <c r="A68790" s="118"/>
      <c r="B68790" s="136"/>
    </row>
    <row r="68791" spans="1:2" x14ac:dyDescent="0.25">
      <c r="A68791" s="118"/>
      <c r="B68791" s="136"/>
    </row>
    <row r="68792" spans="1:2" x14ac:dyDescent="0.25">
      <c r="A68792" s="118"/>
      <c r="B68792" s="136"/>
    </row>
    <row r="68793" spans="1:2" x14ac:dyDescent="0.25">
      <c r="A68793" s="118"/>
      <c r="B68793" s="136"/>
    </row>
    <row r="68794" spans="1:2" x14ac:dyDescent="0.25">
      <c r="A68794" s="118"/>
      <c r="B68794" s="136"/>
    </row>
    <row r="68795" spans="1:2" x14ac:dyDescent="0.25">
      <c r="A68795" s="118"/>
      <c r="B68795" s="136"/>
    </row>
    <row r="68796" spans="1:2" x14ac:dyDescent="0.25">
      <c r="A68796" s="118"/>
      <c r="B68796" s="136"/>
    </row>
    <row r="68797" spans="1:2" x14ac:dyDescent="0.25">
      <c r="A68797" s="118"/>
      <c r="B68797" s="136"/>
    </row>
    <row r="68798" spans="1:2" x14ac:dyDescent="0.25">
      <c r="A68798" s="118"/>
      <c r="B68798" s="136"/>
    </row>
    <row r="68799" spans="1:2" x14ac:dyDescent="0.25">
      <c r="A68799" s="118"/>
      <c r="B68799" s="136"/>
    </row>
    <row r="68800" spans="1:2" x14ac:dyDescent="0.25">
      <c r="A68800" s="118"/>
      <c r="B68800" s="136"/>
    </row>
    <row r="68801" spans="1:2" x14ac:dyDescent="0.25">
      <c r="A68801" s="118"/>
      <c r="B68801" s="136"/>
    </row>
    <row r="68802" spans="1:2" x14ac:dyDescent="0.25">
      <c r="A68802" s="118"/>
      <c r="B68802" s="136"/>
    </row>
    <row r="68803" spans="1:2" x14ac:dyDescent="0.25">
      <c r="A68803" s="118"/>
      <c r="B68803" s="136"/>
    </row>
    <row r="68804" spans="1:2" x14ac:dyDescent="0.25">
      <c r="A68804" s="118"/>
      <c r="B68804" s="136"/>
    </row>
    <row r="68805" spans="1:2" x14ac:dyDescent="0.25">
      <c r="A68805" s="118"/>
      <c r="B68805" s="136"/>
    </row>
    <row r="68806" spans="1:2" x14ac:dyDescent="0.25">
      <c r="A68806" s="118"/>
      <c r="B68806" s="136"/>
    </row>
    <row r="68807" spans="1:2" x14ac:dyDescent="0.25">
      <c r="A68807" s="118"/>
      <c r="B68807" s="136"/>
    </row>
    <row r="68808" spans="1:2" x14ac:dyDescent="0.25">
      <c r="A68808" s="118"/>
      <c r="B68808" s="136"/>
    </row>
    <row r="68809" spans="1:2" x14ac:dyDescent="0.25">
      <c r="A68809" s="118"/>
      <c r="B68809" s="136"/>
    </row>
    <row r="68810" spans="1:2" x14ac:dyDescent="0.25">
      <c r="A68810" s="118"/>
      <c r="B68810" s="136"/>
    </row>
    <row r="68811" spans="1:2" x14ac:dyDescent="0.25">
      <c r="A68811" s="118"/>
      <c r="B68811" s="136"/>
    </row>
    <row r="68812" spans="1:2" x14ac:dyDescent="0.25">
      <c r="A68812" s="118"/>
      <c r="B68812" s="136"/>
    </row>
    <row r="68813" spans="1:2" x14ac:dyDescent="0.25">
      <c r="A68813" s="118"/>
      <c r="B68813" s="136"/>
    </row>
    <row r="68814" spans="1:2" x14ac:dyDescent="0.25">
      <c r="A68814" s="118"/>
      <c r="B68814" s="136"/>
    </row>
    <row r="68815" spans="1:2" x14ac:dyDescent="0.25">
      <c r="A68815" s="118"/>
      <c r="B68815" s="136"/>
    </row>
    <row r="68816" spans="1:2" x14ac:dyDescent="0.25">
      <c r="A68816" s="118"/>
      <c r="B68816" s="136"/>
    </row>
    <row r="68817" spans="1:2" x14ac:dyDescent="0.25">
      <c r="A68817" s="118"/>
      <c r="B68817" s="136"/>
    </row>
    <row r="68818" spans="1:2" x14ac:dyDescent="0.25">
      <c r="A68818" s="118"/>
      <c r="B68818" s="136"/>
    </row>
    <row r="68819" spans="1:2" x14ac:dyDescent="0.25">
      <c r="A68819" s="118"/>
      <c r="B68819" s="136"/>
    </row>
    <row r="68820" spans="1:2" x14ac:dyDescent="0.25">
      <c r="A68820" s="118"/>
      <c r="B68820" s="136"/>
    </row>
    <row r="68821" spans="1:2" x14ac:dyDescent="0.25">
      <c r="A68821" s="118"/>
      <c r="B68821" s="136"/>
    </row>
    <row r="68822" spans="1:2" x14ac:dyDescent="0.25">
      <c r="A68822" s="118"/>
      <c r="B68822" s="136"/>
    </row>
    <row r="68823" spans="1:2" x14ac:dyDescent="0.25">
      <c r="A68823" s="118"/>
      <c r="B68823" s="136"/>
    </row>
    <row r="68824" spans="1:2" x14ac:dyDescent="0.25">
      <c r="A68824" s="118"/>
      <c r="B68824" s="136"/>
    </row>
    <row r="68825" spans="1:2" x14ac:dyDescent="0.25">
      <c r="A68825" s="118"/>
      <c r="B68825" s="136"/>
    </row>
    <row r="68826" spans="1:2" x14ac:dyDescent="0.25">
      <c r="A68826" s="118"/>
      <c r="B68826" s="136"/>
    </row>
    <row r="68827" spans="1:2" x14ac:dyDescent="0.25">
      <c r="A68827" s="118"/>
      <c r="B68827" s="136"/>
    </row>
    <row r="68828" spans="1:2" x14ac:dyDescent="0.25">
      <c r="A68828" s="118"/>
      <c r="B68828" s="136"/>
    </row>
    <row r="68829" spans="1:2" x14ac:dyDescent="0.25">
      <c r="A68829" s="118"/>
      <c r="B68829" s="136"/>
    </row>
    <row r="68830" spans="1:2" x14ac:dyDescent="0.25">
      <c r="A68830" s="118"/>
      <c r="B68830" s="136"/>
    </row>
    <row r="68831" spans="1:2" x14ac:dyDescent="0.25">
      <c r="A68831" s="118"/>
      <c r="B68831" s="136"/>
    </row>
    <row r="68832" spans="1:2" x14ac:dyDescent="0.25">
      <c r="A68832" s="118"/>
      <c r="B68832" s="136"/>
    </row>
    <row r="68833" spans="1:2" x14ac:dyDescent="0.25">
      <c r="A68833" s="118"/>
      <c r="B68833" s="136"/>
    </row>
    <row r="68834" spans="1:2" x14ac:dyDescent="0.25">
      <c r="A68834" s="118"/>
      <c r="B68834" s="136"/>
    </row>
    <row r="68835" spans="1:2" x14ac:dyDescent="0.25">
      <c r="A68835" s="118"/>
      <c r="B68835" s="136"/>
    </row>
    <row r="68836" spans="1:2" x14ac:dyDescent="0.25">
      <c r="A68836" s="118"/>
      <c r="B68836" s="136"/>
    </row>
    <row r="68837" spans="1:2" x14ac:dyDescent="0.25">
      <c r="A68837" s="118"/>
      <c r="B68837" s="136"/>
    </row>
    <row r="68838" spans="1:2" x14ac:dyDescent="0.25">
      <c r="A68838" s="118"/>
      <c r="B68838" s="136"/>
    </row>
    <row r="68839" spans="1:2" x14ac:dyDescent="0.25">
      <c r="A68839" s="118"/>
      <c r="B68839" s="136"/>
    </row>
    <row r="68840" spans="1:2" x14ac:dyDescent="0.25">
      <c r="A68840" s="118"/>
      <c r="B68840" s="136"/>
    </row>
    <row r="68841" spans="1:2" x14ac:dyDescent="0.25">
      <c r="A68841" s="118"/>
      <c r="B68841" s="136"/>
    </row>
    <row r="68842" spans="1:2" x14ac:dyDescent="0.25">
      <c r="A68842" s="118"/>
      <c r="B68842" s="136"/>
    </row>
    <row r="68843" spans="1:2" x14ac:dyDescent="0.25">
      <c r="A68843" s="118"/>
      <c r="B68843" s="136"/>
    </row>
    <row r="68844" spans="1:2" x14ac:dyDescent="0.25">
      <c r="A68844" s="118"/>
      <c r="B68844" s="136"/>
    </row>
    <row r="68845" spans="1:2" x14ac:dyDescent="0.25">
      <c r="A68845" s="118"/>
      <c r="B68845" s="136"/>
    </row>
    <row r="68846" spans="1:2" x14ac:dyDescent="0.25">
      <c r="A68846" s="118"/>
      <c r="B68846" s="136"/>
    </row>
    <row r="68847" spans="1:2" x14ac:dyDescent="0.25">
      <c r="A68847" s="118"/>
      <c r="B68847" s="136"/>
    </row>
    <row r="68848" spans="1:2" x14ac:dyDescent="0.25">
      <c r="A68848" s="118"/>
      <c r="B68848" s="136"/>
    </row>
    <row r="68849" spans="1:2" x14ac:dyDescent="0.25">
      <c r="A68849" s="118"/>
      <c r="B68849" s="136"/>
    </row>
    <row r="68850" spans="1:2" x14ac:dyDescent="0.25">
      <c r="A68850" s="118"/>
      <c r="B68850" s="136"/>
    </row>
    <row r="68851" spans="1:2" x14ac:dyDescent="0.25">
      <c r="A68851" s="118"/>
      <c r="B68851" s="136"/>
    </row>
    <row r="68852" spans="1:2" x14ac:dyDescent="0.25">
      <c r="A68852" s="118"/>
      <c r="B68852" s="136"/>
    </row>
    <row r="68853" spans="1:2" x14ac:dyDescent="0.25">
      <c r="A68853" s="118"/>
      <c r="B68853" s="136"/>
    </row>
    <row r="68854" spans="1:2" x14ac:dyDescent="0.25">
      <c r="A68854" s="118"/>
      <c r="B68854" s="136"/>
    </row>
    <row r="68855" spans="1:2" x14ac:dyDescent="0.25">
      <c r="A68855" s="118"/>
      <c r="B68855" s="136"/>
    </row>
    <row r="68856" spans="1:2" x14ac:dyDescent="0.25">
      <c r="A68856" s="118"/>
      <c r="B68856" s="136"/>
    </row>
    <row r="68857" spans="1:2" x14ac:dyDescent="0.25">
      <c r="A68857" s="118"/>
      <c r="B68857" s="136"/>
    </row>
    <row r="68858" spans="1:2" x14ac:dyDescent="0.25">
      <c r="A68858" s="118"/>
      <c r="B68858" s="136"/>
    </row>
    <row r="68859" spans="1:2" x14ac:dyDescent="0.25">
      <c r="A68859" s="118"/>
      <c r="B68859" s="136"/>
    </row>
    <row r="68860" spans="1:2" x14ac:dyDescent="0.25">
      <c r="A68860" s="118"/>
      <c r="B68860" s="136"/>
    </row>
    <row r="68861" spans="1:2" x14ac:dyDescent="0.25">
      <c r="A68861" s="118"/>
      <c r="B68861" s="136"/>
    </row>
    <row r="68862" spans="1:2" x14ac:dyDescent="0.25">
      <c r="A68862" s="118"/>
      <c r="B68862" s="136"/>
    </row>
    <row r="68863" spans="1:2" x14ac:dyDescent="0.25">
      <c r="A68863" s="118"/>
      <c r="B68863" s="136"/>
    </row>
    <row r="68864" spans="1:2" x14ac:dyDescent="0.25">
      <c r="A68864" s="118"/>
      <c r="B68864" s="136"/>
    </row>
    <row r="68865" spans="1:2" x14ac:dyDescent="0.25">
      <c r="A68865" s="118"/>
      <c r="B68865" s="136"/>
    </row>
    <row r="68866" spans="1:2" x14ac:dyDescent="0.25">
      <c r="A68866" s="118"/>
      <c r="B68866" s="136"/>
    </row>
    <row r="68867" spans="1:2" x14ac:dyDescent="0.25">
      <c r="A68867" s="118"/>
      <c r="B68867" s="136"/>
    </row>
    <row r="68868" spans="1:2" x14ac:dyDescent="0.25">
      <c r="A68868" s="118"/>
      <c r="B68868" s="136"/>
    </row>
    <row r="68869" spans="1:2" x14ac:dyDescent="0.25">
      <c r="A68869" s="118"/>
      <c r="B68869" s="136"/>
    </row>
    <row r="68870" spans="1:2" x14ac:dyDescent="0.25">
      <c r="A68870" s="118"/>
      <c r="B68870" s="136"/>
    </row>
    <row r="68871" spans="1:2" x14ac:dyDescent="0.25">
      <c r="A68871" s="118"/>
      <c r="B68871" s="136"/>
    </row>
    <row r="68872" spans="1:2" x14ac:dyDescent="0.25">
      <c r="A68872" s="118"/>
      <c r="B68872" s="136"/>
    </row>
    <row r="68873" spans="1:2" x14ac:dyDescent="0.25">
      <c r="A68873" s="118"/>
      <c r="B68873" s="136"/>
    </row>
    <row r="68874" spans="1:2" x14ac:dyDescent="0.25">
      <c r="A68874" s="118"/>
      <c r="B68874" s="136"/>
    </row>
    <row r="68875" spans="1:2" x14ac:dyDescent="0.25">
      <c r="A68875" s="118"/>
      <c r="B68875" s="136"/>
    </row>
    <row r="68876" spans="1:2" x14ac:dyDescent="0.25">
      <c r="A68876" s="118"/>
      <c r="B68876" s="136"/>
    </row>
    <row r="68877" spans="1:2" x14ac:dyDescent="0.25">
      <c r="A68877" s="118"/>
      <c r="B68877" s="136"/>
    </row>
    <row r="68878" spans="1:2" x14ac:dyDescent="0.25">
      <c r="A68878" s="118"/>
      <c r="B68878" s="136"/>
    </row>
    <row r="68879" spans="1:2" x14ac:dyDescent="0.25">
      <c r="A68879" s="118"/>
      <c r="B68879" s="136"/>
    </row>
    <row r="68880" spans="1:2" x14ac:dyDescent="0.25">
      <c r="A68880" s="118"/>
      <c r="B68880" s="136"/>
    </row>
    <row r="68881" spans="1:2" x14ac:dyDescent="0.25">
      <c r="A68881" s="118"/>
      <c r="B68881" s="136"/>
    </row>
    <row r="68882" spans="1:2" x14ac:dyDescent="0.25">
      <c r="A68882" s="118"/>
      <c r="B68882" s="136"/>
    </row>
    <row r="68883" spans="1:2" x14ac:dyDescent="0.25">
      <c r="A68883" s="118"/>
      <c r="B68883" s="136"/>
    </row>
    <row r="68884" spans="1:2" x14ac:dyDescent="0.25">
      <c r="A68884" s="118"/>
      <c r="B68884" s="136"/>
    </row>
    <row r="68885" spans="1:2" x14ac:dyDescent="0.25">
      <c r="A68885" s="118"/>
      <c r="B68885" s="136"/>
    </row>
    <row r="68886" spans="1:2" x14ac:dyDescent="0.25">
      <c r="A68886" s="118"/>
      <c r="B68886" s="136"/>
    </row>
    <row r="68887" spans="1:2" x14ac:dyDescent="0.25">
      <c r="A68887" s="118"/>
      <c r="B68887" s="136"/>
    </row>
    <row r="68888" spans="1:2" x14ac:dyDescent="0.25">
      <c r="A68888" s="118"/>
      <c r="B68888" s="136"/>
    </row>
    <row r="68889" spans="1:2" x14ac:dyDescent="0.25">
      <c r="A68889" s="118"/>
      <c r="B68889" s="136"/>
    </row>
    <row r="68890" spans="1:2" x14ac:dyDescent="0.25">
      <c r="A68890" s="118"/>
      <c r="B68890" s="136"/>
    </row>
    <row r="68891" spans="1:2" x14ac:dyDescent="0.25">
      <c r="A68891" s="118"/>
      <c r="B68891" s="136"/>
    </row>
    <row r="68892" spans="1:2" x14ac:dyDescent="0.25">
      <c r="A68892" s="118"/>
      <c r="B68892" s="136"/>
    </row>
    <row r="68893" spans="1:2" x14ac:dyDescent="0.25">
      <c r="A68893" s="118"/>
      <c r="B68893" s="136"/>
    </row>
    <row r="68894" spans="1:2" x14ac:dyDescent="0.25">
      <c r="A68894" s="118"/>
      <c r="B68894" s="136"/>
    </row>
    <row r="68895" spans="1:2" x14ac:dyDescent="0.25">
      <c r="A68895" s="118"/>
      <c r="B68895" s="136"/>
    </row>
    <row r="68896" spans="1:2" x14ac:dyDescent="0.25">
      <c r="A68896" s="118"/>
      <c r="B68896" s="136"/>
    </row>
    <row r="68897" spans="1:2" x14ac:dyDescent="0.25">
      <c r="A68897" s="118"/>
      <c r="B68897" s="136"/>
    </row>
    <row r="68898" spans="1:2" x14ac:dyDescent="0.25">
      <c r="A68898" s="118"/>
      <c r="B68898" s="136"/>
    </row>
    <row r="68899" spans="1:2" x14ac:dyDescent="0.25">
      <c r="A68899" s="118"/>
      <c r="B68899" s="136"/>
    </row>
    <row r="68900" spans="1:2" x14ac:dyDescent="0.25">
      <c r="A68900" s="118"/>
      <c r="B68900" s="136"/>
    </row>
    <row r="68901" spans="1:2" x14ac:dyDescent="0.25">
      <c r="A68901" s="118"/>
      <c r="B68901" s="136"/>
    </row>
    <row r="68902" spans="1:2" x14ac:dyDescent="0.25">
      <c r="A68902" s="118"/>
      <c r="B68902" s="136"/>
    </row>
    <row r="68903" spans="1:2" x14ac:dyDescent="0.25">
      <c r="A68903" s="118"/>
      <c r="B68903" s="136"/>
    </row>
    <row r="68904" spans="1:2" x14ac:dyDescent="0.25">
      <c r="A68904" s="118"/>
      <c r="B68904" s="136"/>
    </row>
    <row r="68905" spans="1:2" x14ac:dyDescent="0.25">
      <c r="A68905" s="118"/>
      <c r="B68905" s="136"/>
    </row>
    <row r="68906" spans="1:2" x14ac:dyDescent="0.25">
      <c r="A68906" s="118"/>
      <c r="B68906" s="136"/>
    </row>
    <row r="68907" spans="1:2" x14ac:dyDescent="0.25">
      <c r="A68907" s="118"/>
      <c r="B68907" s="136"/>
    </row>
    <row r="68908" spans="1:2" x14ac:dyDescent="0.25">
      <c r="A68908" s="118"/>
      <c r="B68908" s="136"/>
    </row>
    <row r="68909" spans="1:2" x14ac:dyDescent="0.25">
      <c r="A68909" s="118"/>
      <c r="B68909" s="136"/>
    </row>
    <row r="68910" spans="1:2" x14ac:dyDescent="0.25">
      <c r="A68910" s="118"/>
      <c r="B68910" s="136"/>
    </row>
    <row r="68911" spans="1:2" x14ac:dyDescent="0.25">
      <c r="A68911" s="118"/>
      <c r="B68911" s="136"/>
    </row>
    <row r="68912" spans="1:2" x14ac:dyDescent="0.25">
      <c r="A68912" s="118"/>
      <c r="B68912" s="136"/>
    </row>
    <row r="68913" spans="1:2" x14ac:dyDescent="0.25">
      <c r="A68913" s="118"/>
      <c r="B68913" s="136"/>
    </row>
    <row r="68914" spans="1:2" x14ac:dyDescent="0.25">
      <c r="A68914" s="118"/>
      <c r="B68914" s="136"/>
    </row>
    <row r="68915" spans="1:2" x14ac:dyDescent="0.25">
      <c r="A68915" s="118"/>
      <c r="B68915" s="136"/>
    </row>
    <row r="68916" spans="1:2" x14ac:dyDescent="0.25">
      <c r="A68916" s="118"/>
      <c r="B68916" s="136"/>
    </row>
    <row r="68917" spans="1:2" x14ac:dyDescent="0.25">
      <c r="A68917" s="118"/>
      <c r="B68917" s="136"/>
    </row>
    <row r="68918" spans="1:2" x14ac:dyDescent="0.25">
      <c r="A68918" s="118"/>
      <c r="B68918" s="136"/>
    </row>
    <row r="68919" spans="1:2" x14ac:dyDescent="0.25">
      <c r="A68919" s="118"/>
      <c r="B68919" s="136"/>
    </row>
    <row r="68920" spans="1:2" x14ac:dyDescent="0.25">
      <c r="A68920" s="118"/>
      <c r="B68920" s="136"/>
    </row>
    <row r="68921" spans="1:2" x14ac:dyDescent="0.25">
      <c r="A68921" s="118"/>
      <c r="B68921" s="136"/>
    </row>
    <row r="68922" spans="1:2" x14ac:dyDescent="0.25">
      <c r="A68922" s="118"/>
      <c r="B68922" s="136"/>
    </row>
    <row r="68923" spans="1:2" x14ac:dyDescent="0.25">
      <c r="A68923" s="118"/>
      <c r="B68923" s="136"/>
    </row>
    <row r="68924" spans="1:2" x14ac:dyDescent="0.25">
      <c r="A68924" s="118"/>
      <c r="B68924" s="136"/>
    </row>
    <row r="68925" spans="1:2" x14ac:dyDescent="0.25">
      <c r="A68925" s="118"/>
      <c r="B68925" s="136"/>
    </row>
    <row r="68926" spans="1:2" x14ac:dyDescent="0.25">
      <c r="A68926" s="118"/>
      <c r="B68926" s="136"/>
    </row>
    <row r="68927" spans="1:2" x14ac:dyDescent="0.25">
      <c r="A68927" s="118"/>
      <c r="B68927" s="136"/>
    </row>
    <row r="68928" spans="1:2" x14ac:dyDescent="0.25">
      <c r="A68928" s="118"/>
      <c r="B68928" s="136"/>
    </row>
    <row r="68929" spans="1:2" x14ac:dyDescent="0.25">
      <c r="A68929" s="118"/>
      <c r="B68929" s="136"/>
    </row>
    <row r="68930" spans="1:2" x14ac:dyDescent="0.25">
      <c r="A68930" s="118"/>
      <c r="B68930" s="136"/>
    </row>
    <row r="68931" spans="1:2" x14ac:dyDescent="0.25">
      <c r="A68931" s="118"/>
      <c r="B68931" s="136"/>
    </row>
    <row r="68932" spans="1:2" x14ac:dyDescent="0.25">
      <c r="A68932" s="118"/>
      <c r="B68932" s="136"/>
    </row>
    <row r="68933" spans="1:2" x14ac:dyDescent="0.25">
      <c r="A68933" s="118"/>
      <c r="B68933" s="136"/>
    </row>
    <row r="68934" spans="1:2" x14ac:dyDescent="0.25">
      <c r="A68934" s="118"/>
      <c r="B68934" s="136"/>
    </row>
    <row r="68935" spans="1:2" x14ac:dyDescent="0.25">
      <c r="A68935" s="118"/>
      <c r="B68935" s="136"/>
    </row>
    <row r="68936" spans="1:2" x14ac:dyDescent="0.25">
      <c r="A68936" s="118"/>
      <c r="B68936" s="136"/>
    </row>
    <row r="68937" spans="1:2" x14ac:dyDescent="0.25">
      <c r="A68937" s="118"/>
      <c r="B68937" s="136"/>
    </row>
    <row r="68938" spans="1:2" x14ac:dyDescent="0.25">
      <c r="A68938" s="118"/>
      <c r="B68938" s="136"/>
    </row>
    <row r="68939" spans="1:2" x14ac:dyDescent="0.25">
      <c r="A68939" s="118"/>
      <c r="B68939" s="136"/>
    </row>
    <row r="68940" spans="1:2" x14ac:dyDescent="0.25">
      <c r="A68940" s="118"/>
      <c r="B68940" s="136"/>
    </row>
    <row r="68941" spans="1:2" x14ac:dyDescent="0.25">
      <c r="A68941" s="118"/>
      <c r="B68941" s="136"/>
    </row>
    <row r="68942" spans="1:2" x14ac:dyDescent="0.25">
      <c r="A68942" s="118"/>
      <c r="B68942" s="136"/>
    </row>
    <row r="68943" spans="1:2" x14ac:dyDescent="0.25">
      <c r="A68943" s="118"/>
      <c r="B68943" s="136"/>
    </row>
    <row r="68944" spans="1:2" x14ac:dyDescent="0.25">
      <c r="A68944" s="118"/>
      <c r="B68944" s="136"/>
    </row>
    <row r="68945" spans="1:2" x14ac:dyDescent="0.25">
      <c r="A68945" s="118"/>
      <c r="B68945" s="136"/>
    </row>
    <row r="68946" spans="1:2" x14ac:dyDescent="0.25">
      <c r="A68946" s="118"/>
      <c r="B68946" s="136"/>
    </row>
    <row r="68947" spans="1:2" x14ac:dyDescent="0.25">
      <c r="A68947" s="118"/>
      <c r="B68947" s="136"/>
    </row>
    <row r="68948" spans="1:2" x14ac:dyDescent="0.25">
      <c r="A68948" s="118"/>
      <c r="B68948" s="136"/>
    </row>
    <row r="68949" spans="1:2" x14ac:dyDescent="0.25">
      <c r="A68949" s="118"/>
      <c r="B68949" s="136"/>
    </row>
    <row r="68950" spans="1:2" x14ac:dyDescent="0.25">
      <c r="A68950" s="118"/>
      <c r="B68950" s="136"/>
    </row>
    <row r="68951" spans="1:2" x14ac:dyDescent="0.25">
      <c r="A68951" s="118"/>
      <c r="B68951" s="136"/>
    </row>
    <row r="68952" spans="1:2" x14ac:dyDescent="0.25">
      <c r="A68952" s="118"/>
      <c r="B68952" s="136"/>
    </row>
    <row r="68953" spans="1:2" x14ac:dyDescent="0.25">
      <c r="A68953" s="118"/>
      <c r="B68953" s="136"/>
    </row>
    <row r="68954" spans="1:2" x14ac:dyDescent="0.25">
      <c r="A68954" s="118"/>
      <c r="B68954" s="136"/>
    </row>
    <row r="68955" spans="1:2" x14ac:dyDescent="0.25">
      <c r="A68955" s="118"/>
      <c r="B68955" s="136"/>
    </row>
    <row r="68956" spans="1:2" x14ac:dyDescent="0.25">
      <c r="A68956" s="118"/>
      <c r="B68956" s="136"/>
    </row>
    <row r="68957" spans="1:2" x14ac:dyDescent="0.25">
      <c r="A68957" s="118"/>
      <c r="B68957" s="136"/>
    </row>
    <row r="68958" spans="1:2" x14ac:dyDescent="0.25">
      <c r="A68958" s="118"/>
      <c r="B68958" s="136"/>
    </row>
    <row r="68959" spans="1:2" x14ac:dyDescent="0.25">
      <c r="A68959" s="118"/>
      <c r="B68959" s="136"/>
    </row>
    <row r="68960" spans="1:2" x14ac:dyDescent="0.25">
      <c r="A68960" s="118"/>
      <c r="B68960" s="136"/>
    </row>
    <row r="68961" spans="1:2" x14ac:dyDescent="0.25">
      <c r="A68961" s="118"/>
      <c r="B68961" s="136"/>
    </row>
    <row r="68962" spans="1:2" x14ac:dyDescent="0.25">
      <c r="A68962" s="118"/>
      <c r="B68962" s="136"/>
    </row>
    <row r="68963" spans="1:2" x14ac:dyDescent="0.25">
      <c r="A68963" s="118"/>
      <c r="B68963" s="136"/>
    </row>
    <row r="68964" spans="1:2" x14ac:dyDescent="0.25">
      <c r="A68964" s="118"/>
      <c r="B68964" s="136"/>
    </row>
    <row r="68965" spans="1:2" x14ac:dyDescent="0.25">
      <c r="A68965" s="118"/>
      <c r="B68965" s="136"/>
    </row>
    <row r="68966" spans="1:2" x14ac:dyDescent="0.25">
      <c r="A68966" s="118"/>
      <c r="B68966" s="136"/>
    </row>
    <row r="68967" spans="1:2" x14ac:dyDescent="0.25">
      <c r="A68967" s="118"/>
      <c r="B68967" s="136"/>
    </row>
    <row r="68968" spans="1:2" x14ac:dyDescent="0.25">
      <c r="A68968" s="118"/>
      <c r="B68968" s="136"/>
    </row>
    <row r="68969" spans="1:2" x14ac:dyDescent="0.25">
      <c r="A68969" s="118"/>
      <c r="B68969" s="136"/>
    </row>
    <row r="68970" spans="1:2" x14ac:dyDescent="0.25">
      <c r="A68970" s="118"/>
      <c r="B68970" s="136"/>
    </row>
    <row r="68971" spans="1:2" x14ac:dyDescent="0.25">
      <c r="A68971" s="118"/>
      <c r="B68971" s="136"/>
    </row>
    <row r="68972" spans="1:2" x14ac:dyDescent="0.25">
      <c r="A68972" s="118"/>
      <c r="B68972" s="136"/>
    </row>
    <row r="68973" spans="1:2" x14ac:dyDescent="0.25">
      <c r="A68973" s="118"/>
      <c r="B68973" s="136"/>
    </row>
    <row r="68974" spans="1:2" x14ac:dyDescent="0.25">
      <c r="A68974" s="118"/>
      <c r="B68974" s="136"/>
    </row>
    <row r="68975" spans="1:2" x14ac:dyDescent="0.25">
      <c r="A68975" s="118"/>
      <c r="B68975" s="136"/>
    </row>
    <row r="68976" spans="1:2" x14ac:dyDescent="0.25">
      <c r="A68976" s="118"/>
      <c r="B68976" s="136"/>
    </row>
    <row r="68977" spans="1:2" x14ac:dyDescent="0.25">
      <c r="A68977" s="118"/>
      <c r="B68977" s="136"/>
    </row>
    <row r="68978" spans="1:2" x14ac:dyDescent="0.25">
      <c r="A68978" s="118"/>
      <c r="B68978" s="136"/>
    </row>
    <row r="68979" spans="1:2" x14ac:dyDescent="0.25">
      <c r="A68979" s="118"/>
      <c r="B68979" s="136"/>
    </row>
    <row r="68980" spans="1:2" x14ac:dyDescent="0.25">
      <c r="A68980" s="118"/>
      <c r="B68980" s="136"/>
    </row>
    <row r="68981" spans="1:2" x14ac:dyDescent="0.25">
      <c r="A68981" s="118"/>
      <c r="B68981" s="136"/>
    </row>
    <row r="68982" spans="1:2" x14ac:dyDescent="0.25">
      <c r="A68982" s="118"/>
      <c r="B68982" s="136"/>
    </row>
    <row r="68983" spans="1:2" x14ac:dyDescent="0.25">
      <c r="A68983" s="118"/>
      <c r="B68983" s="136"/>
    </row>
    <row r="68984" spans="1:2" x14ac:dyDescent="0.25">
      <c r="A68984" s="118"/>
      <c r="B68984" s="136"/>
    </row>
    <row r="68985" spans="1:2" x14ac:dyDescent="0.25">
      <c r="A68985" s="118"/>
      <c r="B68985" s="136"/>
    </row>
    <row r="68986" spans="1:2" x14ac:dyDescent="0.25">
      <c r="A68986" s="118"/>
      <c r="B68986" s="136"/>
    </row>
    <row r="68987" spans="1:2" x14ac:dyDescent="0.25">
      <c r="A68987" s="118"/>
      <c r="B68987" s="136"/>
    </row>
    <row r="68988" spans="1:2" x14ac:dyDescent="0.25">
      <c r="A68988" s="118"/>
      <c r="B68988" s="136"/>
    </row>
    <row r="68989" spans="1:2" x14ac:dyDescent="0.25">
      <c r="A68989" s="118"/>
      <c r="B68989" s="136"/>
    </row>
    <row r="68990" spans="1:2" x14ac:dyDescent="0.25">
      <c r="A68990" s="118"/>
      <c r="B68990" s="136"/>
    </row>
    <row r="68991" spans="1:2" x14ac:dyDescent="0.25">
      <c r="A68991" s="118"/>
      <c r="B68991" s="136"/>
    </row>
    <row r="68992" spans="1:2" x14ac:dyDescent="0.25">
      <c r="A68992" s="118"/>
      <c r="B68992" s="136"/>
    </row>
    <row r="68993" spans="1:2" x14ac:dyDescent="0.25">
      <c r="A68993" s="118"/>
      <c r="B68993" s="136"/>
    </row>
    <row r="68994" spans="1:2" x14ac:dyDescent="0.25">
      <c r="A68994" s="118"/>
      <c r="B68994" s="136"/>
    </row>
    <row r="68995" spans="1:2" x14ac:dyDescent="0.25">
      <c r="A68995" s="118"/>
      <c r="B68995" s="136"/>
    </row>
    <row r="68996" spans="1:2" x14ac:dyDescent="0.25">
      <c r="A68996" s="118"/>
      <c r="B68996" s="136"/>
    </row>
    <row r="68997" spans="1:2" x14ac:dyDescent="0.25">
      <c r="A68997" s="118"/>
      <c r="B68997" s="136"/>
    </row>
    <row r="68998" spans="1:2" x14ac:dyDescent="0.25">
      <c r="A68998" s="118"/>
      <c r="B68998" s="136"/>
    </row>
    <row r="68999" spans="1:2" x14ac:dyDescent="0.25">
      <c r="A68999" s="118"/>
      <c r="B68999" s="136"/>
    </row>
    <row r="69000" spans="1:2" x14ac:dyDescent="0.25">
      <c r="A69000" s="118"/>
      <c r="B69000" s="136"/>
    </row>
    <row r="69001" spans="1:2" x14ac:dyDescent="0.25">
      <c r="A69001" s="118"/>
      <c r="B69001" s="136"/>
    </row>
    <row r="69002" spans="1:2" x14ac:dyDescent="0.25">
      <c r="A69002" s="118"/>
      <c r="B69002" s="136"/>
    </row>
    <row r="69003" spans="1:2" x14ac:dyDescent="0.25">
      <c r="A69003" s="118"/>
      <c r="B69003" s="136"/>
    </row>
    <row r="69004" spans="1:2" x14ac:dyDescent="0.25">
      <c r="A69004" s="118"/>
      <c r="B69004" s="136"/>
    </row>
    <row r="69005" spans="1:2" x14ac:dyDescent="0.25">
      <c r="A69005" s="118"/>
      <c r="B69005" s="136"/>
    </row>
    <row r="69006" spans="1:2" x14ac:dyDescent="0.25">
      <c r="A69006" s="118"/>
      <c r="B69006" s="136"/>
    </row>
    <row r="69007" spans="1:2" x14ac:dyDescent="0.25">
      <c r="A69007" s="118"/>
      <c r="B69007" s="136"/>
    </row>
    <row r="69008" spans="1:2" x14ac:dyDescent="0.25">
      <c r="A69008" s="118"/>
      <c r="B69008" s="136"/>
    </row>
    <row r="69009" spans="1:2" x14ac:dyDescent="0.25">
      <c r="A69009" s="118"/>
      <c r="B69009" s="136"/>
    </row>
    <row r="69010" spans="1:2" x14ac:dyDescent="0.25">
      <c r="A69010" s="118"/>
      <c r="B69010" s="136"/>
    </row>
    <row r="69011" spans="1:2" x14ac:dyDescent="0.25">
      <c r="A69011" s="118"/>
      <c r="B69011" s="136"/>
    </row>
    <row r="69012" spans="1:2" x14ac:dyDescent="0.25">
      <c r="A69012" s="118"/>
      <c r="B69012" s="136"/>
    </row>
    <row r="69013" spans="1:2" x14ac:dyDescent="0.25">
      <c r="A69013" s="118"/>
      <c r="B69013" s="136"/>
    </row>
    <row r="69014" spans="1:2" x14ac:dyDescent="0.25">
      <c r="A69014" s="118"/>
      <c r="B69014" s="136"/>
    </row>
    <row r="69015" spans="1:2" x14ac:dyDescent="0.25">
      <c r="A69015" s="118"/>
      <c r="B69015" s="136"/>
    </row>
    <row r="69016" spans="1:2" x14ac:dyDescent="0.25">
      <c r="A69016" s="118"/>
      <c r="B69016" s="136"/>
    </row>
    <row r="69017" spans="1:2" x14ac:dyDescent="0.25">
      <c r="A69017" s="118"/>
      <c r="B69017" s="136"/>
    </row>
    <row r="69018" spans="1:2" x14ac:dyDescent="0.25">
      <c r="A69018" s="118"/>
      <c r="B69018" s="136"/>
    </row>
    <row r="69019" spans="1:2" x14ac:dyDescent="0.25">
      <c r="A69019" s="118"/>
      <c r="B69019" s="136"/>
    </row>
    <row r="69020" spans="1:2" x14ac:dyDescent="0.25">
      <c r="A69020" s="118"/>
      <c r="B69020" s="136"/>
    </row>
    <row r="69021" spans="1:2" x14ac:dyDescent="0.25">
      <c r="A69021" s="118"/>
      <c r="B69021" s="136"/>
    </row>
    <row r="69022" spans="1:2" x14ac:dyDescent="0.25">
      <c r="A69022" s="118"/>
      <c r="B69022" s="136"/>
    </row>
    <row r="69023" spans="1:2" x14ac:dyDescent="0.25">
      <c r="A69023" s="118"/>
      <c r="B69023" s="136"/>
    </row>
    <row r="69024" spans="1:2" x14ac:dyDescent="0.25">
      <c r="A69024" s="118"/>
      <c r="B69024" s="136"/>
    </row>
    <row r="69025" spans="1:2" x14ac:dyDescent="0.25">
      <c r="A69025" s="118"/>
      <c r="B69025" s="136"/>
    </row>
    <row r="69026" spans="1:2" x14ac:dyDescent="0.25">
      <c r="A69026" s="118"/>
      <c r="B69026" s="136"/>
    </row>
    <row r="69027" spans="1:2" x14ac:dyDescent="0.25">
      <c r="A69027" s="118"/>
      <c r="B69027" s="136"/>
    </row>
    <row r="69028" spans="1:2" x14ac:dyDescent="0.25">
      <c r="A69028" s="118"/>
      <c r="B69028" s="136"/>
    </row>
    <row r="69029" spans="1:2" x14ac:dyDescent="0.25">
      <c r="A69029" s="118"/>
      <c r="B69029" s="136"/>
    </row>
    <row r="69030" spans="1:2" x14ac:dyDescent="0.25">
      <c r="A69030" s="118"/>
      <c r="B69030" s="136"/>
    </row>
    <row r="69031" spans="1:2" x14ac:dyDescent="0.25">
      <c r="A69031" s="118"/>
      <c r="B69031" s="136"/>
    </row>
    <row r="69032" spans="1:2" x14ac:dyDescent="0.25">
      <c r="A69032" s="118"/>
      <c r="B69032" s="136"/>
    </row>
    <row r="69033" spans="1:2" x14ac:dyDescent="0.25">
      <c r="A69033" s="118"/>
      <c r="B69033" s="136"/>
    </row>
    <row r="69034" spans="1:2" x14ac:dyDescent="0.25">
      <c r="A69034" s="118"/>
      <c r="B69034" s="136"/>
    </row>
    <row r="69035" spans="1:2" x14ac:dyDescent="0.25">
      <c r="A69035" s="118"/>
      <c r="B69035" s="136"/>
    </row>
    <row r="69036" spans="1:2" x14ac:dyDescent="0.25">
      <c r="A69036" s="118"/>
      <c r="B69036" s="136"/>
    </row>
    <row r="69037" spans="1:2" x14ac:dyDescent="0.25">
      <c r="A69037" s="118"/>
      <c r="B69037" s="136"/>
    </row>
    <row r="69038" spans="1:2" x14ac:dyDescent="0.25">
      <c r="A69038" s="118"/>
      <c r="B69038" s="136"/>
    </row>
    <row r="69039" spans="1:2" x14ac:dyDescent="0.25">
      <c r="A69039" s="118"/>
      <c r="B69039" s="136"/>
    </row>
    <row r="69040" spans="1:2" x14ac:dyDescent="0.25">
      <c r="A69040" s="118"/>
      <c r="B69040" s="136"/>
    </row>
    <row r="69041" spans="1:2" x14ac:dyDescent="0.25">
      <c r="A69041" s="118"/>
      <c r="B69041" s="136"/>
    </row>
    <row r="69042" spans="1:2" x14ac:dyDescent="0.25">
      <c r="A69042" s="118"/>
      <c r="B69042" s="136"/>
    </row>
    <row r="69043" spans="1:2" x14ac:dyDescent="0.25">
      <c r="A69043" s="118"/>
      <c r="B69043" s="136"/>
    </row>
    <row r="69044" spans="1:2" x14ac:dyDescent="0.25">
      <c r="A69044" s="118"/>
      <c r="B69044" s="136"/>
    </row>
    <row r="69045" spans="1:2" x14ac:dyDescent="0.25">
      <c r="A69045" s="118"/>
      <c r="B69045" s="136"/>
    </row>
    <row r="69046" spans="1:2" x14ac:dyDescent="0.25">
      <c r="A69046" s="118"/>
      <c r="B69046" s="136"/>
    </row>
    <row r="69047" spans="1:2" x14ac:dyDescent="0.25">
      <c r="A69047" s="118"/>
      <c r="B69047" s="136"/>
    </row>
    <row r="69048" spans="1:2" x14ac:dyDescent="0.25">
      <c r="A69048" s="118"/>
      <c r="B69048" s="136"/>
    </row>
    <row r="69049" spans="1:2" x14ac:dyDescent="0.25">
      <c r="A69049" s="118"/>
      <c r="B69049" s="136"/>
    </row>
    <row r="69050" spans="1:2" x14ac:dyDescent="0.25">
      <c r="A69050" s="118"/>
      <c r="B69050" s="136"/>
    </row>
    <row r="69051" spans="1:2" x14ac:dyDescent="0.25">
      <c r="A69051" s="118"/>
      <c r="B69051" s="136"/>
    </row>
    <row r="69052" spans="1:2" x14ac:dyDescent="0.25">
      <c r="A69052" s="118"/>
      <c r="B69052" s="136"/>
    </row>
    <row r="69053" spans="1:2" x14ac:dyDescent="0.25">
      <c r="A69053" s="118"/>
      <c r="B69053" s="136"/>
    </row>
    <row r="69054" spans="1:2" x14ac:dyDescent="0.25">
      <c r="A69054" s="118"/>
      <c r="B69054" s="136"/>
    </row>
    <row r="69055" spans="1:2" x14ac:dyDescent="0.25">
      <c r="A69055" s="118"/>
      <c r="B69055" s="136"/>
    </row>
    <row r="69056" spans="1:2" x14ac:dyDescent="0.25">
      <c r="A69056" s="118"/>
      <c r="B69056" s="136"/>
    </row>
    <row r="69057" spans="1:2" x14ac:dyDescent="0.25">
      <c r="A69057" s="118"/>
      <c r="B69057" s="136"/>
    </row>
    <row r="69058" spans="1:2" x14ac:dyDescent="0.25">
      <c r="A69058" s="118"/>
      <c r="B69058" s="136"/>
    </row>
    <row r="69059" spans="1:2" x14ac:dyDescent="0.25">
      <c r="A69059" s="118"/>
      <c r="B69059" s="136"/>
    </row>
    <row r="69060" spans="1:2" x14ac:dyDescent="0.25">
      <c r="A69060" s="118"/>
      <c r="B69060" s="136"/>
    </row>
    <row r="69061" spans="1:2" x14ac:dyDescent="0.25">
      <c r="A69061" s="118"/>
      <c r="B69061" s="136"/>
    </row>
    <row r="69062" spans="1:2" x14ac:dyDescent="0.25">
      <c r="A69062" s="118"/>
      <c r="B69062" s="136"/>
    </row>
    <row r="69063" spans="1:2" x14ac:dyDescent="0.25">
      <c r="A69063" s="118"/>
      <c r="B69063" s="136"/>
    </row>
    <row r="69064" spans="1:2" x14ac:dyDescent="0.25">
      <c r="A69064" s="118"/>
      <c r="B69064" s="136"/>
    </row>
    <row r="69065" spans="1:2" x14ac:dyDescent="0.25">
      <c r="A69065" s="118"/>
      <c r="B69065" s="136"/>
    </row>
    <row r="69066" spans="1:2" x14ac:dyDescent="0.25">
      <c r="A69066" s="118"/>
      <c r="B69066" s="136"/>
    </row>
    <row r="69067" spans="1:2" x14ac:dyDescent="0.25">
      <c r="A69067" s="118"/>
      <c r="B69067" s="136"/>
    </row>
    <row r="69068" spans="1:2" x14ac:dyDescent="0.25">
      <c r="A69068" s="118"/>
      <c r="B69068" s="136"/>
    </row>
    <row r="69069" spans="1:2" x14ac:dyDescent="0.25">
      <c r="A69069" s="118"/>
      <c r="B69069" s="136"/>
    </row>
    <row r="69070" spans="1:2" x14ac:dyDescent="0.25">
      <c r="A69070" s="118"/>
      <c r="B69070" s="136"/>
    </row>
    <row r="69071" spans="1:2" x14ac:dyDescent="0.25">
      <c r="A69071" s="118"/>
      <c r="B69071" s="136"/>
    </row>
    <row r="69072" spans="1:2" x14ac:dyDescent="0.25">
      <c r="A69072" s="118"/>
      <c r="B69072" s="136"/>
    </row>
    <row r="69073" spans="1:2" x14ac:dyDescent="0.25">
      <c r="A69073" s="118"/>
      <c r="B69073" s="136"/>
    </row>
    <row r="69074" spans="1:2" x14ac:dyDescent="0.25">
      <c r="A69074" s="118"/>
      <c r="B69074" s="136"/>
    </row>
    <row r="69075" spans="1:2" x14ac:dyDescent="0.25">
      <c r="A69075" s="118"/>
      <c r="B69075" s="136"/>
    </row>
    <row r="69076" spans="1:2" x14ac:dyDescent="0.25">
      <c r="A69076" s="118"/>
      <c r="B69076" s="136"/>
    </row>
    <row r="69077" spans="1:2" x14ac:dyDescent="0.25">
      <c r="A69077" s="118"/>
      <c r="B69077" s="136"/>
    </row>
    <row r="69078" spans="1:2" x14ac:dyDescent="0.25">
      <c r="A69078" s="118"/>
      <c r="B69078" s="136"/>
    </row>
    <row r="69079" spans="1:2" x14ac:dyDescent="0.25">
      <c r="A69079" s="118"/>
      <c r="B69079" s="136"/>
    </row>
    <row r="69080" spans="1:2" x14ac:dyDescent="0.25">
      <c r="A69080" s="118"/>
      <c r="B69080" s="136"/>
    </row>
    <row r="69081" spans="1:2" x14ac:dyDescent="0.25">
      <c r="A69081" s="118"/>
      <c r="B69081" s="136"/>
    </row>
    <row r="69082" spans="1:2" x14ac:dyDescent="0.25">
      <c r="A69082" s="118"/>
      <c r="B69082" s="136"/>
    </row>
    <row r="69083" spans="1:2" x14ac:dyDescent="0.25">
      <c r="A69083" s="118"/>
      <c r="B69083" s="136"/>
    </row>
    <row r="69084" spans="1:2" x14ac:dyDescent="0.25">
      <c r="A69084" s="118"/>
      <c r="B69084" s="136"/>
    </row>
    <row r="69085" spans="1:2" x14ac:dyDescent="0.25">
      <c r="A69085" s="118"/>
      <c r="B69085" s="136"/>
    </row>
    <row r="69086" spans="1:2" x14ac:dyDescent="0.25">
      <c r="A69086" s="118"/>
      <c r="B69086" s="136"/>
    </row>
    <row r="69087" spans="1:2" x14ac:dyDescent="0.25">
      <c r="A69087" s="118"/>
      <c r="B69087" s="136"/>
    </row>
    <row r="69088" spans="1:2" x14ac:dyDescent="0.25">
      <c r="A69088" s="118"/>
      <c r="B69088" s="136"/>
    </row>
    <row r="69089" spans="1:2" x14ac:dyDescent="0.25">
      <c r="A69089" s="118"/>
      <c r="B69089" s="136"/>
    </row>
    <row r="69090" spans="1:2" x14ac:dyDescent="0.25">
      <c r="A69090" s="118"/>
      <c r="B69090" s="136"/>
    </row>
    <row r="69091" spans="1:2" x14ac:dyDescent="0.25">
      <c r="A69091" s="118"/>
      <c r="B69091" s="136"/>
    </row>
    <row r="69092" spans="1:2" x14ac:dyDescent="0.25">
      <c r="A69092" s="118"/>
      <c r="B69092" s="136"/>
    </row>
    <row r="69093" spans="1:2" x14ac:dyDescent="0.25">
      <c r="A69093" s="118"/>
      <c r="B69093" s="136"/>
    </row>
    <row r="69094" spans="1:2" x14ac:dyDescent="0.25">
      <c r="A69094" s="118"/>
      <c r="B69094" s="136"/>
    </row>
    <row r="69095" spans="1:2" x14ac:dyDescent="0.25">
      <c r="A69095" s="118"/>
      <c r="B69095" s="136"/>
    </row>
    <row r="69096" spans="1:2" x14ac:dyDescent="0.25">
      <c r="A69096" s="118"/>
      <c r="B69096" s="136"/>
    </row>
    <row r="69097" spans="1:2" x14ac:dyDescent="0.25">
      <c r="A69097" s="118"/>
      <c r="B69097" s="136"/>
    </row>
    <row r="69098" spans="1:2" x14ac:dyDescent="0.25">
      <c r="A69098" s="118"/>
      <c r="B69098" s="136"/>
    </row>
    <row r="69099" spans="1:2" x14ac:dyDescent="0.25">
      <c r="A69099" s="118"/>
      <c r="B69099" s="136"/>
    </row>
    <row r="69100" spans="1:2" x14ac:dyDescent="0.25">
      <c r="A69100" s="118"/>
      <c r="B69100" s="136"/>
    </row>
    <row r="69101" spans="1:2" x14ac:dyDescent="0.25">
      <c r="A69101" s="118"/>
      <c r="B69101" s="136"/>
    </row>
    <row r="69102" spans="1:2" x14ac:dyDescent="0.25">
      <c r="A69102" s="118"/>
      <c r="B69102" s="136"/>
    </row>
    <row r="69103" spans="1:2" x14ac:dyDescent="0.25">
      <c r="A69103" s="118"/>
      <c r="B69103" s="136"/>
    </row>
    <row r="69104" spans="1:2" x14ac:dyDescent="0.25">
      <c r="A69104" s="118"/>
      <c r="B69104" s="136"/>
    </row>
    <row r="69105" spans="1:2" x14ac:dyDescent="0.25">
      <c r="A69105" s="118"/>
      <c r="B69105" s="136"/>
    </row>
    <row r="69106" spans="1:2" x14ac:dyDescent="0.25">
      <c r="A69106" s="118"/>
      <c r="B69106" s="136"/>
    </row>
    <row r="69107" spans="1:2" x14ac:dyDescent="0.25">
      <c r="A69107" s="118"/>
      <c r="B69107" s="136"/>
    </row>
    <row r="69108" spans="1:2" x14ac:dyDescent="0.25">
      <c r="A69108" s="118"/>
      <c r="B69108" s="136"/>
    </row>
    <row r="69109" spans="1:2" x14ac:dyDescent="0.25">
      <c r="A69109" s="118"/>
      <c r="B69109" s="136"/>
    </row>
    <row r="69110" spans="1:2" x14ac:dyDescent="0.25">
      <c r="A69110" s="118"/>
      <c r="B69110" s="136"/>
    </row>
    <row r="69111" spans="1:2" x14ac:dyDescent="0.25">
      <c r="A69111" s="118"/>
      <c r="B69111" s="136"/>
    </row>
    <row r="69112" spans="1:2" x14ac:dyDescent="0.25">
      <c r="A69112" s="118"/>
      <c r="B69112" s="136"/>
    </row>
    <row r="69113" spans="1:2" x14ac:dyDescent="0.25">
      <c r="A69113" s="118"/>
      <c r="B69113" s="136"/>
    </row>
    <row r="69114" spans="1:2" x14ac:dyDescent="0.25">
      <c r="A69114" s="118"/>
      <c r="B69114" s="136"/>
    </row>
    <row r="69115" spans="1:2" x14ac:dyDescent="0.25">
      <c r="A69115" s="118"/>
      <c r="B69115" s="136"/>
    </row>
    <row r="69116" spans="1:2" x14ac:dyDescent="0.25">
      <c r="A69116" s="118"/>
      <c r="B69116" s="136"/>
    </row>
    <row r="69117" spans="1:2" x14ac:dyDescent="0.25">
      <c r="A69117" s="118"/>
      <c r="B69117" s="136"/>
    </row>
    <row r="69118" spans="1:2" x14ac:dyDescent="0.25">
      <c r="A69118" s="118"/>
      <c r="B69118" s="136"/>
    </row>
    <row r="69119" spans="1:2" x14ac:dyDescent="0.25">
      <c r="A69119" s="118"/>
      <c r="B69119" s="136"/>
    </row>
    <row r="69120" spans="1:2" x14ac:dyDescent="0.25">
      <c r="A69120" s="118"/>
      <c r="B69120" s="136"/>
    </row>
    <row r="69121" spans="1:2" x14ac:dyDescent="0.25">
      <c r="A69121" s="118"/>
      <c r="B69121" s="136"/>
    </row>
    <row r="69122" spans="1:2" x14ac:dyDescent="0.25">
      <c r="A69122" s="118"/>
      <c r="B69122" s="136"/>
    </row>
    <row r="69123" spans="1:2" x14ac:dyDescent="0.25">
      <c r="A69123" s="118"/>
      <c r="B69123" s="136"/>
    </row>
    <row r="69124" spans="1:2" x14ac:dyDescent="0.25">
      <c r="A69124" s="118"/>
      <c r="B69124" s="136"/>
    </row>
    <row r="69125" spans="1:2" x14ac:dyDescent="0.25">
      <c r="A69125" s="118"/>
      <c r="B69125" s="136"/>
    </row>
    <row r="69126" spans="1:2" x14ac:dyDescent="0.25">
      <c r="A69126" s="118"/>
      <c r="B69126" s="136"/>
    </row>
    <row r="69127" spans="1:2" x14ac:dyDescent="0.25">
      <c r="A69127" s="118"/>
      <c r="B69127" s="136"/>
    </row>
    <row r="69128" spans="1:2" x14ac:dyDescent="0.25">
      <c r="A69128" s="118"/>
      <c r="B69128" s="136"/>
    </row>
    <row r="69129" spans="1:2" x14ac:dyDescent="0.25">
      <c r="A69129" s="118"/>
      <c r="B69129" s="136"/>
    </row>
    <row r="69130" spans="1:2" x14ac:dyDescent="0.25">
      <c r="A69130" s="118"/>
      <c r="B69130" s="136"/>
    </row>
    <row r="69131" spans="1:2" x14ac:dyDescent="0.25">
      <c r="A69131" s="118"/>
      <c r="B69131" s="136"/>
    </row>
    <row r="69132" spans="1:2" x14ac:dyDescent="0.25">
      <c r="A69132" s="118"/>
      <c r="B69132" s="136"/>
    </row>
    <row r="69133" spans="1:2" x14ac:dyDescent="0.25">
      <c r="A69133" s="118"/>
      <c r="B69133" s="136"/>
    </row>
    <row r="69134" spans="1:2" x14ac:dyDescent="0.25">
      <c r="A69134" s="118"/>
      <c r="B69134" s="136"/>
    </row>
    <row r="69135" spans="1:2" x14ac:dyDescent="0.25">
      <c r="A69135" s="118"/>
      <c r="B69135" s="136"/>
    </row>
    <row r="69136" spans="1:2" x14ac:dyDescent="0.25">
      <c r="A69136" s="118"/>
      <c r="B69136" s="136"/>
    </row>
    <row r="69137" spans="1:2" x14ac:dyDescent="0.25">
      <c r="A69137" s="118"/>
      <c r="B69137" s="136"/>
    </row>
    <row r="69138" spans="1:2" x14ac:dyDescent="0.25">
      <c r="A69138" s="118"/>
      <c r="B69138" s="136"/>
    </row>
    <row r="69139" spans="1:2" x14ac:dyDescent="0.25">
      <c r="A69139" s="118"/>
      <c r="B69139" s="136"/>
    </row>
    <row r="69140" spans="1:2" x14ac:dyDescent="0.25">
      <c r="A69140" s="118"/>
      <c r="B69140" s="136"/>
    </row>
    <row r="69141" spans="1:2" x14ac:dyDescent="0.25">
      <c r="A69141" s="118"/>
      <c r="B69141" s="136"/>
    </row>
    <row r="69142" spans="1:2" x14ac:dyDescent="0.25">
      <c r="A69142" s="118"/>
      <c r="B69142" s="136"/>
    </row>
    <row r="69143" spans="1:2" x14ac:dyDescent="0.25">
      <c r="A69143" s="118"/>
      <c r="B69143" s="136"/>
    </row>
    <row r="69144" spans="1:2" x14ac:dyDescent="0.25">
      <c r="A69144" s="118"/>
      <c r="B69144" s="136"/>
    </row>
    <row r="69145" spans="1:2" x14ac:dyDescent="0.25">
      <c r="A69145" s="118"/>
      <c r="B69145" s="136"/>
    </row>
    <row r="69146" spans="1:2" x14ac:dyDescent="0.25">
      <c r="A69146" s="118"/>
      <c r="B69146" s="136"/>
    </row>
    <row r="69147" spans="1:2" x14ac:dyDescent="0.25">
      <c r="A69147" s="118"/>
      <c r="B69147" s="136"/>
    </row>
    <row r="69148" spans="1:2" x14ac:dyDescent="0.25">
      <c r="A69148" s="118"/>
      <c r="B69148" s="136"/>
    </row>
    <row r="69149" spans="1:2" x14ac:dyDescent="0.25">
      <c r="A69149" s="118"/>
      <c r="B69149" s="136"/>
    </row>
    <row r="69150" spans="1:2" x14ac:dyDescent="0.25">
      <c r="A69150" s="118"/>
      <c r="B69150" s="136"/>
    </row>
    <row r="69151" spans="1:2" x14ac:dyDescent="0.25">
      <c r="A69151" s="118"/>
      <c r="B69151" s="136"/>
    </row>
    <row r="69152" spans="1:2" x14ac:dyDescent="0.25">
      <c r="A69152" s="118"/>
      <c r="B69152" s="136"/>
    </row>
    <row r="69153" spans="1:2" x14ac:dyDescent="0.25">
      <c r="A69153" s="118"/>
      <c r="B69153" s="136"/>
    </row>
    <row r="69154" spans="1:2" x14ac:dyDescent="0.25">
      <c r="A69154" s="118"/>
      <c r="B69154" s="136"/>
    </row>
    <row r="69155" spans="1:2" x14ac:dyDescent="0.25">
      <c r="A69155" s="118"/>
      <c r="B69155" s="136"/>
    </row>
    <row r="69156" spans="1:2" x14ac:dyDescent="0.25">
      <c r="A69156" s="118"/>
      <c r="B69156" s="136"/>
    </row>
    <row r="69157" spans="1:2" x14ac:dyDescent="0.25">
      <c r="A69157" s="118"/>
      <c r="B69157" s="136"/>
    </row>
    <row r="69158" spans="1:2" x14ac:dyDescent="0.25">
      <c r="A69158" s="118"/>
      <c r="B69158" s="136"/>
    </row>
    <row r="69159" spans="1:2" x14ac:dyDescent="0.25">
      <c r="A69159" s="118"/>
      <c r="B69159" s="136"/>
    </row>
    <row r="69160" spans="1:2" x14ac:dyDescent="0.25">
      <c r="A69160" s="118"/>
      <c r="B69160" s="136"/>
    </row>
    <row r="69161" spans="1:2" x14ac:dyDescent="0.25">
      <c r="A69161" s="118"/>
      <c r="B69161" s="136"/>
    </row>
    <row r="69162" spans="1:2" x14ac:dyDescent="0.25">
      <c r="A69162" s="118"/>
      <c r="B69162" s="136"/>
    </row>
    <row r="69163" spans="1:2" x14ac:dyDescent="0.25">
      <c r="A69163" s="118"/>
      <c r="B69163" s="136"/>
    </row>
    <row r="69164" spans="1:2" x14ac:dyDescent="0.25">
      <c r="A69164" s="118"/>
      <c r="B69164" s="136"/>
    </row>
    <row r="69165" spans="1:2" x14ac:dyDescent="0.25">
      <c r="A69165" s="118"/>
      <c r="B69165" s="136"/>
    </row>
    <row r="69166" spans="1:2" x14ac:dyDescent="0.25">
      <c r="A69166" s="118"/>
      <c r="B69166" s="136"/>
    </row>
    <row r="69167" spans="1:2" x14ac:dyDescent="0.25">
      <c r="A69167" s="118"/>
      <c r="B69167" s="136"/>
    </row>
    <row r="69168" spans="1:2" x14ac:dyDescent="0.25">
      <c r="A69168" s="118"/>
      <c r="B69168" s="136"/>
    </row>
    <row r="69169" spans="1:2" x14ac:dyDescent="0.25">
      <c r="A69169" s="118"/>
      <c r="B69169" s="136"/>
    </row>
    <row r="69170" spans="1:2" x14ac:dyDescent="0.25">
      <c r="A69170" s="118"/>
      <c r="B69170" s="136"/>
    </row>
    <row r="69171" spans="1:2" x14ac:dyDescent="0.25">
      <c r="A69171" s="118"/>
      <c r="B69171" s="136"/>
    </row>
    <row r="69172" spans="1:2" x14ac:dyDescent="0.25">
      <c r="A69172" s="118"/>
      <c r="B69172" s="136"/>
    </row>
    <row r="69173" spans="1:2" x14ac:dyDescent="0.25">
      <c r="A69173" s="118"/>
      <c r="B69173" s="136"/>
    </row>
    <row r="69174" spans="1:2" x14ac:dyDescent="0.25">
      <c r="A69174" s="118"/>
      <c r="B69174" s="136"/>
    </row>
    <row r="69175" spans="1:2" x14ac:dyDescent="0.25">
      <c r="A69175" s="118"/>
      <c r="B69175" s="136"/>
    </row>
    <row r="69176" spans="1:2" x14ac:dyDescent="0.25">
      <c r="A69176" s="118"/>
      <c r="B69176" s="136"/>
    </row>
    <row r="69177" spans="1:2" x14ac:dyDescent="0.25">
      <c r="A69177" s="118"/>
      <c r="B69177" s="136"/>
    </row>
    <row r="69178" spans="1:2" x14ac:dyDescent="0.25">
      <c r="A69178" s="118"/>
      <c r="B69178" s="136"/>
    </row>
    <row r="69179" spans="1:2" x14ac:dyDescent="0.25">
      <c r="A69179" s="118"/>
      <c r="B69179" s="136"/>
    </row>
    <row r="69180" spans="1:2" x14ac:dyDescent="0.25">
      <c r="A69180" s="118"/>
      <c r="B69180" s="136"/>
    </row>
    <row r="69181" spans="1:2" x14ac:dyDescent="0.25">
      <c r="A69181" s="118"/>
      <c r="B69181" s="136"/>
    </row>
    <row r="69182" spans="1:2" x14ac:dyDescent="0.25">
      <c r="A69182" s="118"/>
      <c r="B69182" s="136"/>
    </row>
    <row r="69183" spans="1:2" x14ac:dyDescent="0.25">
      <c r="A69183" s="118"/>
      <c r="B69183" s="136"/>
    </row>
    <row r="69184" spans="1:2" x14ac:dyDescent="0.25">
      <c r="A69184" s="118"/>
      <c r="B69184" s="136"/>
    </row>
    <row r="69185" spans="1:2" x14ac:dyDescent="0.25">
      <c r="A69185" s="118"/>
      <c r="B69185" s="136"/>
    </row>
    <row r="69186" spans="1:2" x14ac:dyDescent="0.25">
      <c r="A69186" s="118"/>
      <c r="B69186" s="136"/>
    </row>
    <row r="69187" spans="1:2" x14ac:dyDescent="0.25">
      <c r="A69187" s="118"/>
      <c r="B69187" s="136"/>
    </row>
    <row r="69188" spans="1:2" x14ac:dyDescent="0.25">
      <c r="A69188" s="118"/>
      <c r="B69188" s="136"/>
    </row>
    <row r="69189" spans="1:2" x14ac:dyDescent="0.25">
      <c r="A69189" s="118"/>
      <c r="B69189" s="136"/>
    </row>
    <row r="69190" spans="1:2" x14ac:dyDescent="0.25">
      <c r="A69190" s="118"/>
      <c r="B69190" s="136"/>
    </row>
    <row r="69191" spans="1:2" x14ac:dyDescent="0.25">
      <c r="A69191" s="118"/>
      <c r="B69191" s="136"/>
    </row>
    <row r="69192" spans="1:2" x14ac:dyDescent="0.25">
      <c r="A69192" s="118"/>
      <c r="B69192" s="136"/>
    </row>
    <row r="69193" spans="1:2" x14ac:dyDescent="0.25">
      <c r="A69193" s="118"/>
      <c r="B69193" s="136"/>
    </row>
    <row r="69194" spans="1:2" x14ac:dyDescent="0.25">
      <c r="A69194" s="118"/>
      <c r="B69194" s="136"/>
    </row>
    <row r="69195" spans="1:2" x14ac:dyDescent="0.25">
      <c r="A69195" s="118"/>
      <c r="B69195" s="136"/>
    </row>
    <row r="69196" spans="1:2" x14ac:dyDescent="0.25">
      <c r="A69196" s="118"/>
      <c r="B69196" s="136"/>
    </row>
    <row r="69197" spans="1:2" x14ac:dyDescent="0.25">
      <c r="A69197" s="118"/>
      <c r="B69197" s="136"/>
    </row>
    <row r="69198" spans="1:2" x14ac:dyDescent="0.25">
      <c r="A69198" s="118"/>
      <c r="B69198" s="136"/>
    </row>
    <row r="69199" spans="1:2" x14ac:dyDescent="0.25">
      <c r="A69199" s="118"/>
      <c r="B69199" s="136"/>
    </row>
    <row r="69200" spans="1:2" x14ac:dyDescent="0.25">
      <c r="A69200" s="118"/>
      <c r="B69200" s="136"/>
    </row>
    <row r="69201" spans="1:2" x14ac:dyDescent="0.25">
      <c r="A69201" s="118"/>
      <c r="B69201" s="136"/>
    </row>
    <row r="69202" spans="1:2" x14ac:dyDescent="0.25">
      <c r="A69202" s="118"/>
      <c r="B69202" s="136"/>
    </row>
    <row r="69203" spans="1:2" x14ac:dyDescent="0.25">
      <c r="A69203" s="118"/>
      <c r="B69203" s="136"/>
    </row>
    <row r="69204" spans="1:2" x14ac:dyDescent="0.25">
      <c r="A69204" s="118"/>
      <c r="B69204" s="136"/>
    </row>
    <row r="69205" spans="1:2" x14ac:dyDescent="0.25">
      <c r="A69205" s="118"/>
      <c r="B69205" s="136"/>
    </row>
    <row r="69206" spans="1:2" x14ac:dyDescent="0.25">
      <c r="A69206" s="118"/>
      <c r="B69206" s="136"/>
    </row>
    <row r="69207" spans="1:2" x14ac:dyDescent="0.25">
      <c r="A69207" s="118"/>
      <c r="B69207" s="136"/>
    </row>
    <row r="69208" spans="1:2" x14ac:dyDescent="0.25">
      <c r="A69208" s="118"/>
      <c r="B69208" s="136"/>
    </row>
    <row r="69209" spans="1:2" x14ac:dyDescent="0.25">
      <c r="A69209" s="118"/>
      <c r="B69209" s="136"/>
    </row>
    <row r="69210" spans="1:2" x14ac:dyDescent="0.25">
      <c r="A69210" s="118"/>
      <c r="B69210" s="136"/>
    </row>
    <row r="69211" spans="1:2" x14ac:dyDescent="0.25">
      <c r="A69211" s="118"/>
      <c r="B69211" s="136"/>
    </row>
    <row r="69212" spans="1:2" x14ac:dyDescent="0.25">
      <c r="A69212" s="118"/>
      <c r="B69212" s="136"/>
    </row>
    <row r="69213" spans="1:2" x14ac:dyDescent="0.25">
      <c r="A69213" s="118"/>
      <c r="B69213" s="136"/>
    </row>
    <row r="69214" spans="1:2" x14ac:dyDescent="0.25">
      <c r="A69214" s="118"/>
      <c r="B69214" s="136"/>
    </row>
    <row r="69215" spans="1:2" x14ac:dyDescent="0.25">
      <c r="A69215" s="118"/>
      <c r="B69215" s="136"/>
    </row>
    <row r="69216" spans="1:2" x14ac:dyDescent="0.25">
      <c r="A69216" s="118"/>
      <c r="B69216" s="136"/>
    </row>
    <row r="69217" spans="1:2" x14ac:dyDescent="0.25">
      <c r="A69217" s="118"/>
      <c r="B69217" s="136"/>
    </row>
    <row r="69218" spans="1:2" x14ac:dyDescent="0.25">
      <c r="A69218" s="118"/>
      <c r="B69218" s="136"/>
    </row>
    <row r="69219" spans="1:2" x14ac:dyDescent="0.25">
      <c r="A69219" s="118"/>
      <c r="B69219" s="136"/>
    </row>
    <row r="69220" spans="1:2" x14ac:dyDescent="0.25">
      <c r="A69220" s="118"/>
      <c r="B69220" s="136"/>
    </row>
    <row r="69221" spans="1:2" x14ac:dyDescent="0.25">
      <c r="A69221" s="118"/>
      <c r="B69221" s="136"/>
    </row>
    <row r="69222" spans="1:2" x14ac:dyDescent="0.25">
      <c r="A69222" s="118"/>
      <c r="B69222" s="136"/>
    </row>
    <row r="69223" spans="1:2" x14ac:dyDescent="0.25">
      <c r="A69223" s="118"/>
      <c r="B69223" s="136"/>
    </row>
    <row r="69224" spans="1:2" x14ac:dyDescent="0.25">
      <c r="A69224" s="118"/>
      <c r="B69224" s="136"/>
    </row>
    <row r="69225" spans="1:2" x14ac:dyDescent="0.25">
      <c r="A69225" s="118"/>
      <c r="B69225" s="136"/>
    </row>
    <row r="69226" spans="1:2" x14ac:dyDescent="0.25">
      <c r="A69226" s="118"/>
      <c r="B69226" s="136"/>
    </row>
    <row r="69227" spans="1:2" x14ac:dyDescent="0.25">
      <c r="A69227" s="118"/>
      <c r="B69227" s="136"/>
    </row>
    <row r="69228" spans="1:2" x14ac:dyDescent="0.25">
      <c r="A69228" s="118"/>
      <c r="B69228" s="136"/>
    </row>
    <row r="69229" spans="1:2" x14ac:dyDescent="0.25">
      <c r="A69229" s="118"/>
      <c r="B69229" s="136"/>
    </row>
    <row r="69230" spans="1:2" x14ac:dyDescent="0.25">
      <c r="A69230" s="118"/>
      <c r="B69230" s="136"/>
    </row>
    <row r="69231" spans="1:2" x14ac:dyDescent="0.25">
      <c r="A69231" s="118"/>
      <c r="B69231" s="136"/>
    </row>
    <row r="69232" spans="1:2" x14ac:dyDescent="0.25">
      <c r="A69232" s="118"/>
      <c r="B69232" s="136"/>
    </row>
    <row r="69233" spans="1:2" x14ac:dyDescent="0.25">
      <c r="A69233" s="118"/>
      <c r="B69233" s="136"/>
    </row>
    <row r="69234" spans="1:2" x14ac:dyDescent="0.25">
      <c r="A69234" s="118"/>
      <c r="B69234" s="136"/>
    </row>
    <row r="69235" spans="1:2" x14ac:dyDescent="0.25">
      <c r="A69235" s="118"/>
      <c r="B69235" s="136"/>
    </row>
    <row r="69236" spans="1:2" x14ac:dyDescent="0.25">
      <c r="A69236" s="118"/>
      <c r="B69236" s="136"/>
    </row>
    <row r="69237" spans="1:2" x14ac:dyDescent="0.25">
      <c r="A69237" s="118"/>
      <c r="B69237" s="136"/>
    </row>
    <row r="69238" spans="1:2" x14ac:dyDescent="0.25">
      <c r="A69238" s="118"/>
      <c r="B69238" s="136"/>
    </row>
    <row r="69239" spans="1:2" x14ac:dyDescent="0.25">
      <c r="A69239" s="118"/>
      <c r="B69239" s="136"/>
    </row>
    <row r="69240" spans="1:2" x14ac:dyDescent="0.25">
      <c r="A69240" s="118"/>
      <c r="B69240" s="136"/>
    </row>
    <row r="69241" spans="1:2" x14ac:dyDescent="0.25">
      <c r="A69241" s="118"/>
      <c r="B69241" s="136"/>
    </row>
    <row r="69242" spans="1:2" x14ac:dyDescent="0.25">
      <c r="A69242" s="118"/>
      <c r="B69242" s="136"/>
    </row>
    <row r="69243" spans="1:2" x14ac:dyDescent="0.25">
      <c r="A69243" s="118"/>
      <c r="B69243" s="136"/>
    </row>
    <row r="69244" spans="1:2" x14ac:dyDescent="0.25">
      <c r="A69244" s="118"/>
      <c r="B69244" s="136"/>
    </row>
    <row r="69245" spans="1:2" x14ac:dyDescent="0.25">
      <c r="A69245" s="118"/>
      <c r="B69245" s="136"/>
    </row>
    <row r="69246" spans="1:2" x14ac:dyDescent="0.25">
      <c r="A69246" s="118"/>
      <c r="B69246" s="136"/>
    </row>
    <row r="69247" spans="1:2" x14ac:dyDescent="0.25">
      <c r="A69247" s="118"/>
      <c r="B69247" s="136"/>
    </row>
    <row r="69248" spans="1:2" x14ac:dyDescent="0.25">
      <c r="A69248" s="118"/>
      <c r="B69248" s="136"/>
    </row>
    <row r="69249" spans="1:2" x14ac:dyDescent="0.25">
      <c r="A69249" s="118"/>
      <c r="B69249" s="136"/>
    </row>
    <row r="69250" spans="1:2" x14ac:dyDescent="0.25">
      <c r="A69250" s="118"/>
      <c r="B69250" s="136"/>
    </row>
    <row r="69251" spans="1:2" x14ac:dyDescent="0.25">
      <c r="A69251" s="118"/>
      <c r="B69251" s="136"/>
    </row>
    <row r="69252" spans="1:2" x14ac:dyDescent="0.25">
      <c r="A69252" s="118"/>
      <c r="B69252" s="136"/>
    </row>
    <row r="69253" spans="1:2" x14ac:dyDescent="0.25">
      <c r="A69253" s="118"/>
      <c r="B69253" s="136"/>
    </row>
    <row r="69254" spans="1:2" x14ac:dyDescent="0.25">
      <c r="A69254" s="118"/>
      <c r="B69254" s="136"/>
    </row>
    <row r="69255" spans="1:2" x14ac:dyDescent="0.25">
      <c r="A69255" s="118"/>
      <c r="B69255" s="136"/>
    </row>
    <row r="69256" spans="1:2" x14ac:dyDescent="0.25">
      <c r="A69256" s="118"/>
      <c r="B69256" s="136"/>
    </row>
    <row r="69257" spans="1:2" x14ac:dyDescent="0.25">
      <c r="A69257" s="118"/>
      <c r="B69257" s="136"/>
    </row>
    <row r="69258" spans="1:2" x14ac:dyDescent="0.25">
      <c r="A69258" s="118"/>
      <c r="B69258" s="136"/>
    </row>
    <row r="69259" spans="1:2" x14ac:dyDescent="0.25">
      <c r="A69259" s="118"/>
      <c r="B69259" s="136"/>
    </row>
    <row r="69260" spans="1:2" x14ac:dyDescent="0.25">
      <c r="A69260" s="118"/>
      <c r="B69260" s="136"/>
    </row>
    <row r="69261" spans="1:2" x14ac:dyDescent="0.25">
      <c r="A69261" s="118"/>
      <c r="B69261" s="136"/>
    </row>
    <row r="69262" spans="1:2" x14ac:dyDescent="0.25">
      <c r="A69262" s="118"/>
      <c r="B69262" s="136"/>
    </row>
    <row r="69263" spans="1:2" x14ac:dyDescent="0.25">
      <c r="A69263" s="118"/>
      <c r="B69263" s="136"/>
    </row>
    <row r="69264" spans="1:2" x14ac:dyDescent="0.25">
      <c r="A69264" s="118"/>
      <c r="B69264" s="136"/>
    </row>
    <row r="69265" spans="1:2" x14ac:dyDescent="0.25">
      <c r="A69265" s="118"/>
      <c r="B69265" s="136"/>
    </row>
    <row r="69266" spans="1:2" x14ac:dyDescent="0.25">
      <c r="A69266" s="118"/>
      <c r="B69266" s="136"/>
    </row>
    <row r="69267" spans="1:2" x14ac:dyDescent="0.25">
      <c r="A69267" s="118"/>
      <c r="B69267" s="136"/>
    </row>
    <row r="69268" spans="1:2" x14ac:dyDescent="0.25">
      <c r="A69268" s="118"/>
      <c r="B69268" s="136"/>
    </row>
    <row r="69269" spans="1:2" x14ac:dyDescent="0.25">
      <c r="A69269" s="118"/>
      <c r="B69269" s="136"/>
    </row>
    <row r="69270" spans="1:2" x14ac:dyDescent="0.25">
      <c r="A69270" s="118"/>
      <c r="B69270" s="136"/>
    </row>
    <row r="69271" spans="1:2" x14ac:dyDescent="0.25">
      <c r="A69271" s="118"/>
      <c r="B69271" s="136"/>
    </row>
    <row r="69272" spans="1:2" x14ac:dyDescent="0.25">
      <c r="A69272" s="118"/>
      <c r="B69272" s="136"/>
    </row>
    <row r="69273" spans="1:2" x14ac:dyDescent="0.25">
      <c r="A69273" s="118"/>
      <c r="B69273" s="136"/>
    </row>
    <row r="69274" spans="1:2" x14ac:dyDescent="0.25">
      <c r="A69274" s="118"/>
      <c r="B69274" s="136"/>
    </row>
    <row r="69275" spans="1:2" x14ac:dyDescent="0.25">
      <c r="A69275" s="118"/>
      <c r="B69275" s="136"/>
    </row>
    <row r="69276" spans="1:2" x14ac:dyDescent="0.25">
      <c r="A69276" s="118"/>
      <c r="B69276" s="136"/>
    </row>
    <row r="69277" spans="1:2" x14ac:dyDescent="0.25">
      <c r="A69277" s="118"/>
      <c r="B69277" s="136"/>
    </row>
    <row r="69278" spans="1:2" x14ac:dyDescent="0.25">
      <c r="A69278" s="118"/>
      <c r="B69278" s="136"/>
    </row>
    <row r="69279" spans="1:2" x14ac:dyDescent="0.25">
      <c r="A69279" s="118"/>
      <c r="B69279" s="136"/>
    </row>
    <row r="69280" spans="1:2" x14ac:dyDescent="0.25">
      <c r="A69280" s="118"/>
      <c r="B69280" s="136"/>
    </row>
    <row r="69281" spans="1:2" x14ac:dyDescent="0.25">
      <c r="A69281" s="118"/>
      <c r="B69281" s="136"/>
    </row>
    <row r="69282" spans="1:2" x14ac:dyDescent="0.25">
      <c r="A69282" s="118"/>
      <c r="B69282" s="136"/>
    </row>
    <row r="69283" spans="1:2" x14ac:dyDescent="0.25">
      <c r="A69283" s="118"/>
      <c r="B69283" s="136"/>
    </row>
    <row r="69284" spans="1:2" x14ac:dyDescent="0.25">
      <c r="A69284" s="118"/>
      <c r="B69284" s="136"/>
    </row>
    <row r="69285" spans="1:2" x14ac:dyDescent="0.25">
      <c r="A69285" s="118"/>
      <c r="B69285" s="136"/>
    </row>
    <row r="69286" spans="1:2" x14ac:dyDescent="0.25">
      <c r="A69286" s="118"/>
      <c r="B69286" s="136"/>
    </row>
    <row r="69287" spans="1:2" x14ac:dyDescent="0.25">
      <c r="A69287" s="118"/>
      <c r="B69287" s="136"/>
    </row>
    <row r="69288" spans="1:2" x14ac:dyDescent="0.25">
      <c r="A69288" s="118"/>
      <c r="B69288" s="136"/>
    </row>
    <row r="69289" spans="1:2" x14ac:dyDescent="0.25">
      <c r="A69289" s="118"/>
      <c r="B69289" s="136"/>
    </row>
    <row r="69290" spans="1:2" x14ac:dyDescent="0.25">
      <c r="A69290" s="118"/>
      <c r="B69290" s="136"/>
    </row>
    <row r="69291" spans="1:2" x14ac:dyDescent="0.25">
      <c r="A69291" s="118"/>
      <c r="B69291" s="136"/>
    </row>
    <row r="69292" spans="1:2" x14ac:dyDescent="0.25">
      <c r="A69292" s="118"/>
      <c r="B69292" s="136"/>
    </row>
    <row r="69293" spans="1:2" x14ac:dyDescent="0.25">
      <c r="A69293" s="118"/>
      <c r="B69293" s="136"/>
    </row>
    <row r="69294" spans="1:2" x14ac:dyDescent="0.25">
      <c r="A69294" s="118"/>
      <c r="B69294" s="136"/>
    </row>
    <row r="69295" spans="1:2" x14ac:dyDescent="0.25">
      <c r="A69295" s="118"/>
      <c r="B69295" s="136"/>
    </row>
    <row r="69296" spans="1:2" x14ac:dyDescent="0.25">
      <c r="A69296" s="118"/>
      <c r="B69296" s="136"/>
    </row>
    <row r="69297" spans="1:2" x14ac:dyDescent="0.25">
      <c r="A69297" s="118"/>
      <c r="B69297" s="136"/>
    </row>
    <row r="69298" spans="1:2" x14ac:dyDescent="0.25">
      <c r="A69298" s="118"/>
      <c r="B69298" s="136"/>
    </row>
    <row r="69299" spans="1:2" x14ac:dyDescent="0.25">
      <c r="A69299" s="118"/>
      <c r="B69299" s="136"/>
    </row>
    <row r="69300" spans="1:2" x14ac:dyDescent="0.25">
      <c r="A69300" s="118"/>
      <c r="B69300" s="136"/>
    </row>
    <row r="69301" spans="1:2" x14ac:dyDescent="0.25">
      <c r="A69301" s="118"/>
      <c r="B69301" s="136"/>
    </row>
    <row r="69302" spans="1:2" x14ac:dyDescent="0.25">
      <c r="A69302" s="118"/>
      <c r="B69302" s="136"/>
    </row>
    <row r="69303" spans="1:2" x14ac:dyDescent="0.25">
      <c r="A69303" s="118"/>
      <c r="B69303" s="136"/>
    </row>
    <row r="69304" spans="1:2" x14ac:dyDescent="0.25">
      <c r="A69304" s="118"/>
      <c r="B69304" s="136"/>
    </row>
    <row r="69305" spans="1:2" x14ac:dyDescent="0.25">
      <c r="A69305" s="118"/>
      <c r="B69305" s="136"/>
    </row>
    <row r="69306" spans="1:2" x14ac:dyDescent="0.25">
      <c r="A69306" s="118"/>
      <c r="B69306" s="136"/>
    </row>
    <row r="69307" spans="1:2" x14ac:dyDescent="0.25">
      <c r="A69307" s="118"/>
      <c r="B69307" s="136"/>
    </row>
    <row r="69308" spans="1:2" x14ac:dyDescent="0.25">
      <c r="A69308" s="118"/>
      <c r="B69308" s="136"/>
    </row>
    <row r="69309" spans="1:2" x14ac:dyDescent="0.25">
      <c r="A69309" s="118"/>
      <c r="B69309" s="136"/>
    </row>
    <row r="69310" spans="1:2" x14ac:dyDescent="0.25">
      <c r="A69310" s="118"/>
      <c r="B69310" s="136"/>
    </row>
    <row r="69311" spans="1:2" x14ac:dyDescent="0.25">
      <c r="A69311" s="118"/>
      <c r="B69311" s="136"/>
    </row>
    <row r="69312" spans="1:2" x14ac:dyDescent="0.25">
      <c r="A69312" s="118"/>
      <c r="B69312" s="136"/>
    </row>
    <row r="69313" spans="1:2" x14ac:dyDescent="0.25">
      <c r="A69313" s="118"/>
      <c r="B69313" s="136"/>
    </row>
    <row r="69314" spans="1:2" x14ac:dyDescent="0.25">
      <c r="A69314" s="118"/>
      <c r="B69314" s="136"/>
    </row>
    <row r="69315" spans="1:2" x14ac:dyDescent="0.25">
      <c r="A69315" s="118"/>
      <c r="B69315" s="136"/>
    </row>
    <row r="69316" spans="1:2" x14ac:dyDescent="0.25">
      <c r="A69316" s="118"/>
      <c r="B69316" s="136"/>
    </row>
    <row r="69317" spans="1:2" x14ac:dyDescent="0.25">
      <c r="A69317" s="118"/>
      <c r="B69317" s="136"/>
    </row>
    <row r="69318" spans="1:2" x14ac:dyDescent="0.25">
      <c r="A69318" s="118"/>
      <c r="B69318" s="136"/>
    </row>
    <row r="69319" spans="1:2" x14ac:dyDescent="0.25">
      <c r="A69319" s="118"/>
      <c r="B69319" s="136"/>
    </row>
    <row r="69320" spans="1:2" x14ac:dyDescent="0.25">
      <c r="A69320" s="118"/>
      <c r="B69320" s="136"/>
    </row>
    <row r="69321" spans="1:2" x14ac:dyDescent="0.25">
      <c r="A69321" s="118"/>
      <c r="B69321" s="136"/>
    </row>
    <row r="69322" spans="1:2" x14ac:dyDescent="0.25">
      <c r="A69322" s="118"/>
      <c r="B69322" s="136"/>
    </row>
    <row r="69323" spans="1:2" x14ac:dyDescent="0.25">
      <c r="A69323" s="118"/>
      <c r="B69323" s="136"/>
    </row>
    <row r="69324" spans="1:2" x14ac:dyDescent="0.25">
      <c r="A69324" s="118"/>
      <c r="B69324" s="136"/>
    </row>
    <row r="69325" spans="1:2" x14ac:dyDescent="0.25">
      <c r="A69325" s="118"/>
      <c r="B69325" s="136"/>
    </row>
    <row r="69326" spans="1:2" x14ac:dyDescent="0.25">
      <c r="A69326" s="118"/>
      <c r="B69326" s="136"/>
    </row>
    <row r="69327" spans="1:2" x14ac:dyDescent="0.25">
      <c r="A69327" s="118"/>
      <c r="B69327" s="136"/>
    </row>
    <row r="69328" spans="1:2" x14ac:dyDescent="0.25">
      <c r="A69328" s="118"/>
      <c r="B69328" s="136"/>
    </row>
    <row r="69329" spans="1:2" x14ac:dyDescent="0.25">
      <c r="A69329" s="118"/>
      <c r="B69329" s="136"/>
    </row>
    <row r="69330" spans="1:2" x14ac:dyDescent="0.25">
      <c r="A69330" s="118"/>
      <c r="B69330" s="136"/>
    </row>
    <row r="69331" spans="1:2" x14ac:dyDescent="0.25">
      <c r="A69331" s="118"/>
      <c r="B69331" s="136"/>
    </row>
    <row r="69332" spans="1:2" x14ac:dyDescent="0.25">
      <c r="A69332" s="118"/>
      <c r="B69332" s="136"/>
    </row>
    <row r="69333" spans="1:2" x14ac:dyDescent="0.25">
      <c r="A69333" s="118"/>
      <c r="B69333" s="136"/>
    </row>
    <row r="69334" spans="1:2" x14ac:dyDescent="0.25">
      <c r="A69334" s="118"/>
      <c r="B69334" s="136"/>
    </row>
    <row r="69335" spans="1:2" x14ac:dyDescent="0.25">
      <c r="A69335" s="118"/>
      <c r="B69335" s="136"/>
    </row>
    <row r="69336" spans="1:2" x14ac:dyDescent="0.25">
      <c r="A69336" s="118"/>
      <c r="B69336" s="136"/>
    </row>
    <row r="69337" spans="1:2" x14ac:dyDescent="0.25">
      <c r="A69337" s="118"/>
      <c r="B69337" s="136"/>
    </row>
    <row r="69338" spans="1:2" x14ac:dyDescent="0.25">
      <c r="A69338" s="118"/>
      <c r="B69338" s="136"/>
    </row>
    <row r="69339" spans="1:2" x14ac:dyDescent="0.25">
      <c r="A69339" s="118"/>
      <c r="B69339" s="136"/>
    </row>
    <row r="69340" spans="1:2" x14ac:dyDescent="0.25">
      <c r="A69340" s="118"/>
      <c r="B69340" s="136"/>
    </row>
    <row r="69341" spans="1:2" x14ac:dyDescent="0.25">
      <c r="A69341" s="118"/>
      <c r="B69341" s="136"/>
    </row>
    <row r="69342" spans="1:2" x14ac:dyDescent="0.25">
      <c r="A69342" s="118"/>
      <c r="B69342" s="136"/>
    </row>
    <row r="69343" spans="1:2" x14ac:dyDescent="0.25">
      <c r="A69343" s="118"/>
      <c r="B69343" s="136"/>
    </row>
    <row r="69344" spans="1:2" x14ac:dyDescent="0.25">
      <c r="A69344" s="118"/>
      <c r="B69344" s="136"/>
    </row>
    <row r="69345" spans="1:2" x14ac:dyDescent="0.25">
      <c r="A69345" s="118"/>
      <c r="B69345" s="136"/>
    </row>
    <row r="69346" spans="1:2" x14ac:dyDescent="0.25">
      <c r="A69346" s="118"/>
      <c r="B69346" s="136"/>
    </row>
    <row r="69347" spans="1:2" x14ac:dyDescent="0.25">
      <c r="A69347" s="118"/>
      <c r="B69347" s="136"/>
    </row>
    <row r="69348" spans="1:2" x14ac:dyDescent="0.25">
      <c r="A69348" s="118"/>
      <c r="B69348" s="136"/>
    </row>
    <row r="69349" spans="1:2" x14ac:dyDescent="0.25">
      <c r="A69349" s="118"/>
      <c r="B69349" s="136"/>
    </row>
    <row r="69350" spans="1:2" x14ac:dyDescent="0.25">
      <c r="A69350" s="118"/>
      <c r="B69350" s="136"/>
    </row>
    <row r="69351" spans="1:2" x14ac:dyDescent="0.25">
      <c r="A69351" s="118"/>
      <c r="B69351" s="136"/>
    </row>
    <row r="69352" spans="1:2" x14ac:dyDescent="0.25">
      <c r="A69352" s="118"/>
      <c r="B69352" s="136"/>
    </row>
    <row r="69353" spans="1:2" x14ac:dyDescent="0.25">
      <c r="A69353" s="118"/>
      <c r="B69353" s="136"/>
    </row>
    <row r="69354" spans="1:2" x14ac:dyDescent="0.25">
      <c r="A69354" s="118"/>
      <c r="B69354" s="136"/>
    </row>
    <row r="69355" spans="1:2" x14ac:dyDescent="0.25">
      <c r="A69355" s="118"/>
      <c r="B69355" s="136"/>
    </row>
    <row r="69356" spans="1:2" x14ac:dyDescent="0.25">
      <c r="A69356" s="118"/>
      <c r="B69356" s="136"/>
    </row>
    <row r="69357" spans="1:2" x14ac:dyDescent="0.25">
      <c r="A69357" s="118"/>
      <c r="B69357" s="136"/>
    </row>
    <row r="69358" spans="1:2" x14ac:dyDescent="0.25">
      <c r="A69358" s="118"/>
      <c r="B69358" s="136"/>
    </row>
    <row r="69359" spans="1:2" x14ac:dyDescent="0.25">
      <c r="A69359" s="118"/>
      <c r="B69359" s="136"/>
    </row>
    <row r="69360" spans="1:2" x14ac:dyDescent="0.25">
      <c r="A69360" s="118"/>
      <c r="B69360" s="136"/>
    </row>
    <row r="69361" spans="1:2" x14ac:dyDescent="0.25">
      <c r="A69361" s="118"/>
      <c r="B69361" s="136"/>
    </row>
    <row r="69362" spans="1:2" x14ac:dyDescent="0.25">
      <c r="A69362" s="118"/>
      <c r="B69362" s="136"/>
    </row>
    <row r="69363" spans="1:2" x14ac:dyDescent="0.25">
      <c r="A69363" s="118"/>
      <c r="B69363" s="136"/>
    </row>
    <row r="69364" spans="1:2" x14ac:dyDescent="0.25">
      <c r="A69364" s="118"/>
      <c r="B69364" s="136"/>
    </row>
    <row r="69365" spans="1:2" x14ac:dyDescent="0.25">
      <c r="A69365" s="118"/>
      <c r="B69365" s="136"/>
    </row>
    <row r="69366" spans="1:2" x14ac:dyDescent="0.25">
      <c r="A69366" s="118"/>
      <c r="B69366" s="136"/>
    </row>
    <row r="69367" spans="1:2" x14ac:dyDescent="0.25">
      <c r="A69367" s="118"/>
      <c r="B69367" s="136"/>
    </row>
    <row r="69368" spans="1:2" x14ac:dyDescent="0.25">
      <c r="A69368" s="118"/>
      <c r="B69368" s="136"/>
    </row>
    <row r="69369" spans="1:2" x14ac:dyDescent="0.25">
      <c r="A69369" s="118"/>
      <c r="B69369" s="136"/>
    </row>
    <row r="69370" spans="1:2" x14ac:dyDescent="0.25">
      <c r="A69370" s="118"/>
      <c r="B69370" s="136"/>
    </row>
    <row r="69371" spans="1:2" x14ac:dyDescent="0.25">
      <c r="A69371" s="118"/>
      <c r="B69371" s="136"/>
    </row>
    <row r="69372" spans="1:2" x14ac:dyDescent="0.25">
      <c r="A69372" s="118"/>
      <c r="B69372" s="136"/>
    </row>
    <row r="69373" spans="1:2" x14ac:dyDescent="0.25">
      <c r="A69373" s="118"/>
      <c r="B69373" s="136"/>
    </row>
    <row r="69374" spans="1:2" x14ac:dyDescent="0.25">
      <c r="A69374" s="118"/>
      <c r="B69374" s="136"/>
    </row>
    <row r="69375" spans="1:2" x14ac:dyDescent="0.25">
      <c r="A69375" s="118"/>
      <c r="B69375" s="136"/>
    </row>
    <row r="69376" spans="1:2" x14ac:dyDescent="0.25">
      <c r="A69376" s="118"/>
      <c r="B69376" s="136"/>
    </row>
    <row r="69377" spans="1:2" x14ac:dyDescent="0.25">
      <c r="A69377" s="118"/>
      <c r="B69377" s="136"/>
    </row>
    <row r="69378" spans="1:2" x14ac:dyDescent="0.25">
      <c r="A69378" s="118"/>
      <c r="B69378" s="136"/>
    </row>
    <row r="69379" spans="1:2" x14ac:dyDescent="0.25">
      <c r="A69379" s="118"/>
      <c r="B69379" s="136"/>
    </row>
    <row r="69380" spans="1:2" x14ac:dyDescent="0.25">
      <c r="A69380" s="118"/>
      <c r="B69380" s="136"/>
    </row>
    <row r="69381" spans="1:2" x14ac:dyDescent="0.25">
      <c r="A69381" s="118"/>
      <c r="B69381" s="136"/>
    </row>
    <row r="69382" spans="1:2" x14ac:dyDescent="0.25">
      <c r="A69382" s="118"/>
      <c r="B69382" s="136"/>
    </row>
    <row r="69383" spans="1:2" x14ac:dyDescent="0.25">
      <c r="A69383" s="118"/>
      <c r="B69383" s="136"/>
    </row>
    <row r="69384" spans="1:2" x14ac:dyDescent="0.25">
      <c r="A69384" s="118"/>
      <c r="B69384" s="136"/>
    </row>
    <row r="69385" spans="1:2" x14ac:dyDescent="0.25">
      <c r="A69385" s="118"/>
      <c r="B69385" s="136"/>
    </row>
    <row r="69386" spans="1:2" x14ac:dyDescent="0.25">
      <c r="A69386" s="118"/>
      <c r="B69386" s="136"/>
    </row>
    <row r="69387" spans="1:2" x14ac:dyDescent="0.25">
      <c r="A69387" s="118"/>
      <c r="B69387" s="136"/>
    </row>
    <row r="69388" spans="1:2" x14ac:dyDescent="0.25">
      <c r="A69388" s="118"/>
      <c r="B69388" s="136"/>
    </row>
    <row r="69389" spans="1:2" x14ac:dyDescent="0.25">
      <c r="A69389" s="118"/>
      <c r="B69389" s="136"/>
    </row>
    <row r="69390" spans="1:2" x14ac:dyDescent="0.25">
      <c r="A69390" s="118"/>
      <c r="B69390" s="136"/>
    </row>
    <row r="69391" spans="1:2" x14ac:dyDescent="0.25">
      <c r="A69391" s="118"/>
      <c r="B69391" s="136"/>
    </row>
    <row r="69392" spans="1:2" x14ac:dyDescent="0.25">
      <c r="A69392" s="118"/>
      <c r="B69392" s="136"/>
    </row>
    <row r="69393" spans="1:2" x14ac:dyDescent="0.25">
      <c r="A69393" s="118"/>
      <c r="B69393" s="136"/>
    </row>
    <row r="69394" spans="1:2" x14ac:dyDescent="0.25">
      <c r="A69394" s="118"/>
      <c r="B69394" s="136"/>
    </row>
    <row r="69395" spans="1:2" x14ac:dyDescent="0.25">
      <c r="A69395" s="118"/>
      <c r="B69395" s="136"/>
    </row>
    <row r="69396" spans="1:2" x14ac:dyDescent="0.25">
      <c r="A69396" s="118"/>
      <c r="B69396" s="136"/>
    </row>
    <row r="69397" spans="1:2" x14ac:dyDescent="0.25">
      <c r="A69397" s="118"/>
      <c r="B69397" s="136"/>
    </row>
    <row r="69398" spans="1:2" x14ac:dyDescent="0.25">
      <c r="A69398" s="118"/>
      <c r="B69398" s="136"/>
    </row>
    <row r="69399" spans="1:2" x14ac:dyDescent="0.25">
      <c r="A69399" s="118"/>
      <c r="B69399" s="136"/>
    </row>
    <row r="69400" spans="1:2" x14ac:dyDescent="0.25">
      <c r="A69400" s="118"/>
      <c r="B69400" s="136"/>
    </row>
    <row r="69401" spans="1:2" x14ac:dyDescent="0.25">
      <c r="A69401" s="118"/>
      <c r="B69401" s="136"/>
    </row>
    <row r="69402" spans="1:2" x14ac:dyDescent="0.25">
      <c r="A69402" s="118"/>
      <c r="B69402" s="136"/>
    </row>
    <row r="69403" spans="1:2" x14ac:dyDescent="0.25">
      <c r="A69403" s="118"/>
      <c r="B69403" s="136"/>
    </row>
    <row r="69404" spans="1:2" x14ac:dyDescent="0.25">
      <c r="A69404" s="118"/>
      <c r="B69404" s="136"/>
    </row>
    <row r="69405" spans="1:2" x14ac:dyDescent="0.25">
      <c r="A69405" s="118"/>
      <c r="B69405" s="136"/>
    </row>
    <row r="69406" spans="1:2" x14ac:dyDescent="0.25">
      <c r="A69406" s="118"/>
      <c r="B69406" s="136"/>
    </row>
    <row r="69407" spans="1:2" x14ac:dyDescent="0.25">
      <c r="A69407" s="118"/>
      <c r="B69407" s="136"/>
    </row>
    <row r="69408" spans="1:2" x14ac:dyDescent="0.25">
      <c r="A69408" s="118"/>
      <c r="B69408" s="136"/>
    </row>
    <row r="69409" spans="1:2" x14ac:dyDescent="0.25">
      <c r="A69409" s="118"/>
      <c r="B69409" s="136"/>
    </row>
    <row r="69410" spans="1:2" x14ac:dyDescent="0.25">
      <c r="A69410" s="118"/>
      <c r="B69410" s="136"/>
    </row>
    <row r="69411" spans="1:2" x14ac:dyDescent="0.25">
      <c r="A69411" s="118"/>
      <c r="B69411" s="136"/>
    </row>
    <row r="69412" spans="1:2" x14ac:dyDescent="0.25">
      <c r="A69412" s="118"/>
      <c r="B69412" s="136"/>
    </row>
    <row r="69413" spans="1:2" x14ac:dyDescent="0.25">
      <c r="A69413" s="118"/>
      <c r="B69413" s="136"/>
    </row>
    <row r="69414" spans="1:2" x14ac:dyDescent="0.25">
      <c r="A69414" s="118"/>
      <c r="B69414" s="136"/>
    </row>
    <row r="69415" spans="1:2" x14ac:dyDescent="0.25">
      <c r="A69415" s="118"/>
      <c r="B69415" s="136"/>
    </row>
    <row r="69416" spans="1:2" x14ac:dyDescent="0.25">
      <c r="A69416" s="118"/>
      <c r="B69416" s="136"/>
    </row>
    <row r="69417" spans="1:2" x14ac:dyDescent="0.25">
      <c r="A69417" s="118"/>
      <c r="B69417" s="136"/>
    </row>
    <row r="69418" spans="1:2" x14ac:dyDescent="0.25">
      <c r="A69418" s="118"/>
      <c r="B69418" s="136"/>
    </row>
    <row r="69419" spans="1:2" x14ac:dyDescent="0.25">
      <c r="A69419" s="118"/>
      <c r="B69419" s="136"/>
    </row>
    <row r="69420" spans="1:2" x14ac:dyDescent="0.25">
      <c r="A69420" s="118"/>
      <c r="B69420" s="136"/>
    </row>
    <row r="69421" spans="1:2" x14ac:dyDescent="0.25">
      <c r="A69421" s="118"/>
      <c r="B69421" s="136"/>
    </row>
    <row r="69422" spans="1:2" x14ac:dyDescent="0.25">
      <c r="A69422" s="118"/>
      <c r="B69422" s="136"/>
    </row>
    <row r="69423" spans="1:2" x14ac:dyDescent="0.25">
      <c r="A69423" s="118"/>
      <c r="B69423" s="136"/>
    </row>
    <row r="69424" spans="1:2" x14ac:dyDescent="0.25">
      <c r="A69424" s="118"/>
      <c r="B69424" s="136"/>
    </row>
    <row r="69425" spans="1:2" x14ac:dyDescent="0.25">
      <c r="A69425" s="118"/>
      <c r="B69425" s="136"/>
    </row>
    <row r="69426" spans="1:2" x14ac:dyDescent="0.25">
      <c r="A69426" s="118"/>
      <c r="B69426" s="136"/>
    </row>
    <row r="69427" spans="1:2" x14ac:dyDescent="0.25">
      <c r="A69427" s="118"/>
      <c r="B69427" s="136"/>
    </row>
    <row r="69428" spans="1:2" x14ac:dyDescent="0.25">
      <c r="A69428" s="118"/>
      <c r="B69428" s="136"/>
    </row>
    <row r="69429" spans="1:2" x14ac:dyDescent="0.25">
      <c r="A69429" s="118"/>
      <c r="B69429" s="136"/>
    </row>
    <row r="69430" spans="1:2" x14ac:dyDescent="0.25">
      <c r="A69430" s="118"/>
      <c r="B69430" s="136"/>
    </row>
    <row r="69431" spans="1:2" x14ac:dyDescent="0.25">
      <c r="A69431" s="118"/>
      <c r="B69431" s="136"/>
    </row>
    <row r="69432" spans="1:2" x14ac:dyDescent="0.25">
      <c r="A69432" s="118"/>
      <c r="B69432" s="136"/>
    </row>
    <row r="69433" spans="1:2" x14ac:dyDescent="0.25">
      <c r="A69433" s="118"/>
      <c r="B69433" s="136"/>
    </row>
    <row r="69434" spans="1:2" x14ac:dyDescent="0.25">
      <c r="A69434" s="118"/>
      <c r="B69434" s="136"/>
    </row>
    <row r="69435" spans="1:2" x14ac:dyDescent="0.25">
      <c r="A69435" s="118"/>
      <c r="B69435" s="136"/>
    </row>
    <row r="69436" spans="1:2" x14ac:dyDescent="0.25">
      <c r="A69436" s="118"/>
      <c r="B69436" s="136"/>
    </row>
    <row r="69437" spans="1:2" x14ac:dyDescent="0.25">
      <c r="A69437" s="118"/>
      <c r="B69437" s="136"/>
    </row>
    <row r="69438" spans="1:2" x14ac:dyDescent="0.25">
      <c r="A69438" s="118"/>
      <c r="B69438" s="136"/>
    </row>
    <row r="69439" spans="1:2" x14ac:dyDescent="0.25">
      <c r="A69439" s="118"/>
      <c r="B69439" s="136"/>
    </row>
    <row r="69440" spans="1:2" x14ac:dyDescent="0.25">
      <c r="A69440" s="118"/>
      <c r="B69440" s="136"/>
    </row>
    <row r="69441" spans="1:2" x14ac:dyDescent="0.25">
      <c r="A69441" s="118"/>
      <c r="B69441" s="136"/>
    </row>
    <row r="69442" spans="1:2" x14ac:dyDescent="0.25">
      <c r="A69442" s="118"/>
      <c r="B69442" s="136"/>
    </row>
    <row r="69443" spans="1:2" x14ac:dyDescent="0.25">
      <c r="A69443" s="118"/>
      <c r="B69443" s="136"/>
    </row>
    <row r="69444" spans="1:2" x14ac:dyDescent="0.25">
      <c r="A69444" s="118"/>
      <c r="B69444" s="136"/>
    </row>
    <row r="69445" spans="1:2" x14ac:dyDescent="0.25">
      <c r="A69445" s="118"/>
      <c r="B69445" s="136"/>
    </row>
    <row r="69446" spans="1:2" x14ac:dyDescent="0.25">
      <c r="A69446" s="118"/>
      <c r="B69446" s="136"/>
    </row>
    <row r="69447" spans="1:2" x14ac:dyDescent="0.25">
      <c r="A69447" s="118"/>
      <c r="B69447" s="136"/>
    </row>
    <row r="69448" spans="1:2" x14ac:dyDescent="0.25">
      <c r="A69448" s="118"/>
      <c r="B69448" s="136"/>
    </row>
    <row r="69449" spans="1:2" x14ac:dyDescent="0.25">
      <c r="A69449" s="118"/>
      <c r="B69449" s="136"/>
    </row>
    <row r="69450" spans="1:2" x14ac:dyDescent="0.25">
      <c r="A69450" s="118"/>
      <c r="B69450" s="136"/>
    </row>
    <row r="69451" spans="1:2" x14ac:dyDescent="0.25">
      <c r="A69451" s="118"/>
      <c r="B69451" s="136"/>
    </row>
    <row r="69452" spans="1:2" x14ac:dyDescent="0.25">
      <c r="A69452" s="118"/>
      <c r="B69452" s="136"/>
    </row>
    <row r="69453" spans="1:2" x14ac:dyDescent="0.25">
      <c r="A69453" s="118"/>
      <c r="B69453" s="136"/>
    </row>
    <row r="69454" spans="1:2" x14ac:dyDescent="0.25">
      <c r="A69454" s="118"/>
      <c r="B69454" s="136"/>
    </row>
    <row r="69455" spans="1:2" x14ac:dyDescent="0.25">
      <c r="A69455" s="118"/>
      <c r="B69455" s="136"/>
    </row>
    <row r="69456" spans="1:2" x14ac:dyDescent="0.25">
      <c r="A69456" s="118"/>
      <c r="B69456" s="136"/>
    </row>
    <row r="69457" spans="1:2" x14ac:dyDescent="0.25">
      <c r="A69457" s="118"/>
      <c r="B69457" s="136"/>
    </row>
    <row r="69458" spans="1:2" x14ac:dyDescent="0.25">
      <c r="A69458" s="118"/>
      <c r="B69458" s="136"/>
    </row>
    <row r="69459" spans="1:2" x14ac:dyDescent="0.25">
      <c r="A69459" s="118"/>
      <c r="B69459" s="136"/>
    </row>
    <row r="69460" spans="1:2" x14ac:dyDescent="0.25">
      <c r="A69460" s="118"/>
      <c r="B69460" s="136"/>
    </row>
    <row r="69461" spans="1:2" x14ac:dyDescent="0.25">
      <c r="A69461" s="118"/>
      <c r="B69461" s="136"/>
    </row>
    <row r="69462" spans="1:2" x14ac:dyDescent="0.25">
      <c r="A69462" s="118"/>
      <c r="B69462" s="136"/>
    </row>
    <row r="69463" spans="1:2" x14ac:dyDescent="0.25">
      <c r="A69463" s="118"/>
      <c r="B69463" s="136"/>
    </row>
    <row r="69464" spans="1:2" x14ac:dyDescent="0.25">
      <c r="A69464" s="118"/>
      <c r="B69464" s="136"/>
    </row>
    <row r="69465" spans="1:2" x14ac:dyDescent="0.25">
      <c r="A69465" s="118"/>
      <c r="B69465" s="136"/>
    </row>
    <row r="69466" spans="1:2" x14ac:dyDescent="0.25">
      <c r="A69466" s="118"/>
      <c r="B69466" s="136"/>
    </row>
    <row r="69467" spans="1:2" x14ac:dyDescent="0.25">
      <c r="A69467" s="118"/>
      <c r="B69467" s="136"/>
    </row>
    <row r="69468" spans="1:2" x14ac:dyDescent="0.25">
      <c r="A69468" s="118"/>
      <c r="B69468" s="136"/>
    </row>
    <row r="69469" spans="1:2" x14ac:dyDescent="0.25">
      <c r="A69469" s="118"/>
      <c r="B69469" s="136"/>
    </row>
    <row r="69470" spans="1:2" x14ac:dyDescent="0.25">
      <c r="A69470" s="118"/>
      <c r="B69470" s="136"/>
    </row>
    <row r="69471" spans="1:2" x14ac:dyDescent="0.25">
      <c r="A69471" s="118"/>
      <c r="B69471" s="136"/>
    </row>
    <row r="69472" spans="1:2" x14ac:dyDescent="0.25">
      <c r="A69472" s="118"/>
      <c r="B69472" s="136"/>
    </row>
    <row r="69473" spans="1:2" x14ac:dyDescent="0.25">
      <c r="A69473" s="118"/>
      <c r="B69473" s="136"/>
    </row>
    <row r="69474" spans="1:2" x14ac:dyDescent="0.25">
      <c r="A69474" s="118"/>
      <c r="B69474" s="136"/>
    </row>
    <row r="69475" spans="1:2" x14ac:dyDescent="0.25">
      <c r="A69475" s="118"/>
      <c r="B69475" s="136"/>
    </row>
    <row r="69476" spans="1:2" x14ac:dyDescent="0.25">
      <c r="A69476" s="118"/>
      <c r="B69476" s="136"/>
    </row>
    <row r="69477" spans="1:2" x14ac:dyDescent="0.25">
      <c r="A69477" s="118"/>
      <c r="B69477" s="136"/>
    </row>
    <row r="69478" spans="1:2" x14ac:dyDescent="0.25">
      <c r="A69478" s="118"/>
      <c r="B69478" s="136"/>
    </row>
    <row r="69479" spans="1:2" x14ac:dyDescent="0.25">
      <c r="A69479" s="118"/>
      <c r="B69479" s="136"/>
    </row>
    <row r="69480" spans="1:2" x14ac:dyDescent="0.25">
      <c r="A69480" s="118"/>
      <c r="B69480" s="136"/>
    </row>
    <row r="69481" spans="1:2" x14ac:dyDescent="0.25">
      <c r="A69481" s="118"/>
      <c r="B69481" s="136"/>
    </row>
    <row r="69482" spans="1:2" x14ac:dyDescent="0.25">
      <c r="A69482" s="118"/>
      <c r="B69482" s="136"/>
    </row>
    <row r="69483" spans="1:2" x14ac:dyDescent="0.25">
      <c r="A69483" s="118"/>
      <c r="B69483" s="136"/>
    </row>
    <row r="69484" spans="1:2" x14ac:dyDescent="0.25">
      <c r="A69484" s="118"/>
      <c r="B69484" s="136"/>
    </row>
    <row r="69485" spans="1:2" x14ac:dyDescent="0.25">
      <c r="A69485" s="118"/>
      <c r="B69485" s="136"/>
    </row>
    <row r="69486" spans="1:2" x14ac:dyDescent="0.25">
      <c r="A69486" s="118"/>
      <c r="B69486" s="136"/>
    </row>
    <row r="69487" spans="1:2" x14ac:dyDescent="0.25">
      <c r="A69487" s="118"/>
      <c r="B69487" s="136"/>
    </row>
    <row r="69488" spans="1:2" x14ac:dyDescent="0.25">
      <c r="A69488" s="118"/>
      <c r="B69488" s="136"/>
    </row>
    <row r="69489" spans="1:2" x14ac:dyDescent="0.25">
      <c r="A69489" s="118"/>
      <c r="B69489" s="136"/>
    </row>
    <row r="69490" spans="1:2" x14ac:dyDescent="0.25">
      <c r="A69490" s="118"/>
      <c r="B69490" s="136"/>
    </row>
    <row r="69491" spans="1:2" x14ac:dyDescent="0.25">
      <c r="A69491" s="118"/>
      <c r="B69491" s="136"/>
    </row>
    <row r="69492" spans="1:2" x14ac:dyDescent="0.25">
      <c r="A69492" s="118"/>
      <c r="B69492" s="136"/>
    </row>
    <row r="69493" spans="1:2" x14ac:dyDescent="0.25">
      <c r="A69493" s="118"/>
      <c r="B69493" s="136"/>
    </row>
    <row r="69494" spans="1:2" x14ac:dyDescent="0.25">
      <c r="A69494" s="118"/>
      <c r="B69494" s="136"/>
    </row>
    <row r="69495" spans="1:2" x14ac:dyDescent="0.25">
      <c r="A69495" s="118"/>
      <c r="B69495" s="136"/>
    </row>
    <row r="69496" spans="1:2" x14ac:dyDescent="0.25">
      <c r="A69496" s="118"/>
      <c r="B69496" s="136"/>
    </row>
    <row r="69497" spans="1:2" x14ac:dyDescent="0.25">
      <c r="A69497" s="118"/>
      <c r="B69497" s="136"/>
    </row>
    <row r="69498" spans="1:2" x14ac:dyDescent="0.25">
      <c r="A69498" s="118"/>
      <c r="B69498" s="136"/>
    </row>
    <row r="69499" spans="1:2" x14ac:dyDescent="0.25">
      <c r="A69499" s="118"/>
      <c r="B69499" s="136"/>
    </row>
    <row r="69500" spans="1:2" x14ac:dyDescent="0.25">
      <c r="A69500" s="118"/>
      <c r="B69500" s="136"/>
    </row>
    <row r="69501" spans="1:2" x14ac:dyDescent="0.25">
      <c r="A69501" s="118"/>
      <c r="B69501" s="136"/>
    </row>
    <row r="69502" spans="1:2" x14ac:dyDescent="0.25">
      <c r="A69502" s="118"/>
      <c r="B69502" s="136"/>
    </row>
    <row r="69503" spans="1:2" x14ac:dyDescent="0.25">
      <c r="A69503" s="118"/>
      <c r="B69503" s="136"/>
    </row>
    <row r="69504" spans="1:2" x14ac:dyDescent="0.25">
      <c r="A69504" s="118"/>
      <c r="B69504" s="136"/>
    </row>
    <row r="69505" spans="1:2" x14ac:dyDescent="0.25">
      <c r="A69505" s="118"/>
      <c r="B69505" s="136"/>
    </row>
    <row r="69506" spans="1:2" x14ac:dyDescent="0.25">
      <c r="A69506" s="118"/>
      <c r="B69506" s="136"/>
    </row>
    <row r="69507" spans="1:2" x14ac:dyDescent="0.25">
      <c r="A69507" s="118"/>
      <c r="B69507" s="136"/>
    </row>
    <row r="69508" spans="1:2" x14ac:dyDescent="0.25">
      <c r="A69508" s="118"/>
      <c r="B69508" s="136"/>
    </row>
    <row r="69509" spans="1:2" x14ac:dyDescent="0.25">
      <c r="A69509" s="118"/>
      <c r="B69509" s="136"/>
    </row>
    <row r="69510" spans="1:2" x14ac:dyDescent="0.25">
      <c r="A69510" s="118"/>
      <c r="B69510" s="136"/>
    </row>
    <row r="69511" spans="1:2" x14ac:dyDescent="0.25">
      <c r="A69511" s="118"/>
      <c r="B69511" s="136"/>
    </row>
    <row r="69512" spans="1:2" x14ac:dyDescent="0.25">
      <c r="A69512" s="118"/>
      <c r="B69512" s="136"/>
    </row>
    <row r="69513" spans="1:2" x14ac:dyDescent="0.25">
      <c r="A69513" s="118"/>
      <c r="B69513" s="136"/>
    </row>
    <row r="69514" spans="1:2" x14ac:dyDescent="0.25">
      <c r="A69514" s="118"/>
      <c r="B69514" s="136"/>
    </row>
    <row r="69515" spans="1:2" x14ac:dyDescent="0.25">
      <c r="A69515" s="118"/>
      <c r="B69515" s="136"/>
    </row>
    <row r="69516" spans="1:2" x14ac:dyDescent="0.25">
      <c r="A69516" s="118"/>
      <c r="B69516" s="136"/>
    </row>
    <row r="69517" spans="1:2" x14ac:dyDescent="0.25">
      <c r="A69517" s="118"/>
      <c r="B69517" s="136"/>
    </row>
    <row r="69518" spans="1:2" x14ac:dyDescent="0.25">
      <c r="A69518" s="118"/>
      <c r="B69518" s="136"/>
    </row>
    <row r="69519" spans="1:2" x14ac:dyDescent="0.25">
      <c r="A69519" s="118"/>
      <c r="B69519" s="136"/>
    </row>
    <row r="69520" spans="1:2" x14ac:dyDescent="0.25">
      <c r="A69520" s="118"/>
      <c r="B69520" s="136"/>
    </row>
    <row r="69521" spans="1:2" x14ac:dyDescent="0.25">
      <c r="A69521" s="118"/>
      <c r="B69521" s="136"/>
    </row>
    <row r="69522" spans="1:2" x14ac:dyDescent="0.25">
      <c r="A69522" s="118"/>
      <c r="B69522" s="136"/>
    </row>
    <row r="69523" spans="1:2" x14ac:dyDescent="0.25">
      <c r="A69523" s="118"/>
      <c r="B69523" s="136"/>
    </row>
    <row r="69524" spans="1:2" x14ac:dyDescent="0.25">
      <c r="A69524" s="118"/>
      <c r="B69524" s="136"/>
    </row>
    <row r="69525" spans="1:2" x14ac:dyDescent="0.25">
      <c r="A69525" s="118"/>
      <c r="B69525" s="136"/>
    </row>
    <row r="69526" spans="1:2" x14ac:dyDescent="0.25">
      <c r="A69526" s="118"/>
      <c r="B69526" s="136"/>
    </row>
    <row r="69527" spans="1:2" x14ac:dyDescent="0.25">
      <c r="A69527" s="118"/>
      <c r="B69527" s="136"/>
    </row>
    <row r="69528" spans="1:2" x14ac:dyDescent="0.25">
      <c r="A69528" s="118"/>
      <c r="B69528" s="136"/>
    </row>
    <row r="69529" spans="1:2" x14ac:dyDescent="0.25">
      <c r="A69529" s="118"/>
      <c r="B69529" s="136"/>
    </row>
    <row r="69530" spans="1:2" x14ac:dyDescent="0.25">
      <c r="A69530" s="118"/>
      <c r="B69530" s="136"/>
    </row>
    <row r="69531" spans="1:2" x14ac:dyDescent="0.25">
      <c r="A69531" s="118"/>
      <c r="B69531" s="136"/>
    </row>
    <row r="69532" spans="1:2" x14ac:dyDescent="0.25">
      <c r="A69532" s="118"/>
      <c r="B69532" s="136"/>
    </row>
    <row r="69533" spans="1:2" x14ac:dyDescent="0.25">
      <c r="A69533" s="118"/>
      <c r="B69533" s="136"/>
    </row>
    <row r="69534" spans="1:2" x14ac:dyDescent="0.25">
      <c r="A69534" s="118"/>
      <c r="B69534" s="136"/>
    </row>
    <row r="69535" spans="1:2" x14ac:dyDescent="0.25">
      <c r="A69535" s="118"/>
      <c r="B69535" s="136"/>
    </row>
    <row r="69536" spans="1:2" x14ac:dyDescent="0.25">
      <c r="A69536" s="118"/>
      <c r="B69536" s="136"/>
    </row>
    <row r="69537" spans="1:2" x14ac:dyDescent="0.25">
      <c r="A69537" s="118"/>
      <c r="B69537" s="136"/>
    </row>
    <row r="69538" spans="1:2" x14ac:dyDescent="0.25">
      <c r="A69538" s="118"/>
      <c r="B69538" s="136"/>
    </row>
    <row r="69539" spans="1:2" x14ac:dyDescent="0.25">
      <c r="A69539" s="118"/>
      <c r="B69539" s="136"/>
    </row>
    <row r="69540" spans="1:2" x14ac:dyDescent="0.25">
      <c r="A69540" s="118"/>
      <c r="B69540" s="136"/>
    </row>
    <row r="69541" spans="1:2" x14ac:dyDescent="0.25">
      <c r="A69541" s="118"/>
      <c r="B69541" s="136"/>
    </row>
    <row r="69542" spans="1:2" x14ac:dyDescent="0.25">
      <c r="A69542" s="118"/>
      <c r="B69542" s="136"/>
    </row>
    <row r="69543" spans="1:2" x14ac:dyDescent="0.25">
      <c r="A69543" s="118"/>
      <c r="B69543" s="136"/>
    </row>
    <row r="69544" spans="1:2" x14ac:dyDescent="0.25">
      <c r="A69544" s="118"/>
      <c r="B69544" s="136"/>
    </row>
    <row r="69545" spans="1:2" x14ac:dyDescent="0.25">
      <c r="A69545" s="118"/>
      <c r="B69545" s="136"/>
    </row>
    <row r="69546" spans="1:2" x14ac:dyDescent="0.25">
      <c r="A69546" s="118"/>
      <c r="B69546" s="136"/>
    </row>
    <row r="69547" spans="1:2" x14ac:dyDescent="0.25">
      <c r="A69547" s="118"/>
      <c r="B69547" s="136"/>
    </row>
    <row r="69548" spans="1:2" x14ac:dyDescent="0.25">
      <c r="A69548" s="118"/>
      <c r="B69548" s="136"/>
    </row>
    <row r="69549" spans="1:2" x14ac:dyDescent="0.25">
      <c r="A69549" s="118"/>
      <c r="B69549" s="136"/>
    </row>
    <row r="69550" spans="1:2" x14ac:dyDescent="0.25">
      <c r="A69550" s="118"/>
      <c r="B69550" s="136"/>
    </row>
    <row r="69551" spans="1:2" x14ac:dyDescent="0.25">
      <c r="A69551" s="118"/>
      <c r="B69551" s="136"/>
    </row>
    <row r="69552" spans="1:2" x14ac:dyDescent="0.25">
      <c r="A69552" s="118"/>
      <c r="B69552" s="136"/>
    </row>
    <row r="69553" spans="1:2" x14ac:dyDescent="0.25">
      <c r="A69553" s="118"/>
      <c r="B69553" s="136"/>
    </row>
    <row r="69554" spans="1:2" x14ac:dyDescent="0.25">
      <c r="A69554" s="118"/>
      <c r="B69554" s="136"/>
    </row>
    <row r="69555" spans="1:2" x14ac:dyDescent="0.25">
      <c r="A69555" s="118"/>
      <c r="B69555" s="136"/>
    </row>
    <row r="69556" spans="1:2" x14ac:dyDescent="0.25">
      <c r="A69556" s="118"/>
      <c r="B69556" s="136"/>
    </row>
    <row r="69557" spans="1:2" x14ac:dyDescent="0.25">
      <c r="A69557" s="118"/>
      <c r="B69557" s="136"/>
    </row>
    <row r="69558" spans="1:2" x14ac:dyDescent="0.25">
      <c r="A69558" s="118"/>
      <c r="B69558" s="136"/>
    </row>
    <row r="69559" spans="1:2" x14ac:dyDescent="0.25">
      <c r="A69559" s="118"/>
      <c r="B69559" s="136"/>
    </row>
    <row r="69560" spans="1:2" x14ac:dyDescent="0.25">
      <c r="A69560" s="118"/>
      <c r="B69560" s="136"/>
    </row>
    <row r="69561" spans="1:2" x14ac:dyDescent="0.25">
      <c r="A69561" s="118"/>
      <c r="B69561" s="136"/>
    </row>
    <row r="69562" spans="1:2" x14ac:dyDescent="0.25">
      <c r="A69562" s="118"/>
      <c r="B69562" s="136"/>
    </row>
    <row r="69563" spans="1:2" x14ac:dyDescent="0.25">
      <c r="A69563" s="118"/>
      <c r="B69563" s="136"/>
    </row>
    <row r="69564" spans="1:2" x14ac:dyDescent="0.25">
      <c r="A69564" s="118"/>
      <c r="B69564" s="136"/>
    </row>
    <row r="69565" spans="1:2" x14ac:dyDescent="0.25">
      <c r="A69565" s="118"/>
      <c r="B69565" s="136"/>
    </row>
    <row r="69566" spans="1:2" x14ac:dyDescent="0.25">
      <c r="A69566" s="118"/>
      <c r="B69566" s="136"/>
    </row>
    <row r="69567" spans="1:2" x14ac:dyDescent="0.25">
      <c r="A69567" s="118"/>
      <c r="B69567" s="136"/>
    </row>
    <row r="69568" spans="1:2" x14ac:dyDescent="0.25">
      <c r="A69568" s="118"/>
      <c r="B69568" s="136"/>
    </row>
    <row r="69569" spans="1:2" x14ac:dyDescent="0.25">
      <c r="A69569" s="118"/>
      <c r="B69569" s="136"/>
    </row>
    <row r="69570" spans="1:2" x14ac:dyDescent="0.25">
      <c r="A69570" s="118"/>
      <c r="B69570" s="136"/>
    </row>
    <row r="69571" spans="1:2" x14ac:dyDescent="0.25">
      <c r="A69571" s="118"/>
      <c r="B69571" s="136"/>
    </row>
    <row r="69572" spans="1:2" x14ac:dyDescent="0.25">
      <c r="A69572" s="118"/>
      <c r="B69572" s="136"/>
    </row>
    <row r="69573" spans="1:2" x14ac:dyDescent="0.25">
      <c r="A69573" s="118"/>
      <c r="B69573" s="136"/>
    </row>
    <row r="69574" spans="1:2" x14ac:dyDescent="0.25">
      <c r="A69574" s="118"/>
      <c r="B69574" s="136"/>
    </row>
    <row r="69575" spans="1:2" x14ac:dyDescent="0.25">
      <c r="A69575" s="118"/>
      <c r="B69575" s="136"/>
    </row>
    <row r="69576" spans="1:2" x14ac:dyDescent="0.25">
      <c r="A69576" s="118"/>
      <c r="B69576" s="136"/>
    </row>
    <row r="69577" spans="1:2" x14ac:dyDescent="0.25">
      <c r="A69577" s="118"/>
      <c r="B69577" s="136"/>
    </row>
    <row r="69578" spans="1:2" x14ac:dyDescent="0.25">
      <c r="A69578" s="118"/>
      <c r="B69578" s="136"/>
    </row>
    <row r="69579" spans="1:2" x14ac:dyDescent="0.25">
      <c r="A69579" s="118"/>
      <c r="B69579" s="136"/>
    </row>
    <row r="69580" spans="1:2" x14ac:dyDescent="0.25">
      <c r="A69580" s="118"/>
      <c r="B69580" s="136"/>
    </row>
    <row r="69581" spans="1:2" x14ac:dyDescent="0.25">
      <c r="A69581" s="118"/>
      <c r="B69581" s="136"/>
    </row>
    <row r="69582" spans="1:2" x14ac:dyDescent="0.25">
      <c r="A69582" s="118"/>
      <c r="B69582" s="136"/>
    </row>
    <row r="69583" spans="1:2" x14ac:dyDescent="0.25">
      <c r="A69583" s="118"/>
      <c r="B69583" s="136"/>
    </row>
    <row r="69584" spans="1:2" x14ac:dyDescent="0.25">
      <c r="A69584" s="118"/>
      <c r="B69584" s="136"/>
    </row>
    <row r="69585" spans="1:2" x14ac:dyDescent="0.25">
      <c r="A69585" s="118"/>
      <c r="B69585" s="136"/>
    </row>
    <row r="69586" spans="1:2" x14ac:dyDescent="0.25">
      <c r="A69586" s="118"/>
      <c r="B69586" s="136"/>
    </row>
    <row r="69587" spans="1:2" x14ac:dyDescent="0.25">
      <c r="A69587" s="118"/>
      <c r="B69587" s="136"/>
    </row>
    <row r="69588" spans="1:2" x14ac:dyDescent="0.25">
      <c r="A69588" s="118"/>
      <c r="B69588" s="136"/>
    </row>
    <row r="69589" spans="1:2" x14ac:dyDescent="0.25">
      <c r="A69589" s="118"/>
      <c r="B69589" s="136"/>
    </row>
    <row r="69590" spans="1:2" x14ac:dyDescent="0.25">
      <c r="A69590" s="118"/>
      <c r="B69590" s="136"/>
    </row>
    <row r="69591" spans="1:2" x14ac:dyDescent="0.25">
      <c r="A69591" s="118"/>
      <c r="B69591" s="136"/>
    </row>
    <row r="69592" spans="1:2" x14ac:dyDescent="0.25">
      <c r="A69592" s="118"/>
      <c r="B69592" s="136"/>
    </row>
    <row r="69593" spans="1:2" x14ac:dyDescent="0.25">
      <c r="A69593" s="118"/>
      <c r="B69593" s="136"/>
    </row>
    <row r="69594" spans="1:2" x14ac:dyDescent="0.25">
      <c r="A69594" s="118"/>
      <c r="B69594" s="136"/>
    </row>
    <row r="69595" spans="1:2" x14ac:dyDescent="0.25">
      <c r="A69595" s="118"/>
      <c r="B69595" s="136"/>
    </row>
    <row r="69596" spans="1:2" x14ac:dyDescent="0.25">
      <c r="A69596" s="118"/>
      <c r="B69596" s="136"/>
    </row>
    <row r="69597" spans="1:2" x14ac:dyDescent="0.25">
      <c r="A69597" s="118"/>
      <c r="B69597" s="136"/>
    </row>
    <row r="69598" spans="1:2" x14ac:dyDescent="0.25">
      <c r="A69598" s="118"/>
      <c r="B69598" s="136"/>
    </row>
    <row r="69599" spans="1:2" x14ac:dyDescent="0.25">
      <c r="A69599" s="118"/>
      <c r="B69599" s="136"/>
    </row>
    <row r="69600" spans="1:2" x14ac:dyDescent="0.25">
      <c r="A69600" s="118"/>
      <c r="B69600" s="136"/>
    </row>
    <row r="69601" spans="1:2" x14ac:dyDescent="0.25">
      <c r="A69601" s="118"/>
      <c r="B69601" s="136"/>
    </row>
    <row r="69602" spans="1:2" x14ac:dyDescent="0.25">
      <c r="A69602" s="118"/>
      <c r="B69602" s="136"/>
    </row>
    <row r="69603" spans="1:2" x14ac:dyDescent="0.25">
      <c r="A69603" s="118"/>
      <c r="B69603" s="136"/>
    </row>
    <row r="69604" spans="1:2" x14ac:dyDescent="0.25">
      <c r="A69604" s="118"/>
      <c r="B69604" s="136"/>
    </row>
    <row r="69605" spans="1:2" x14ac:dyDescent="0.25">
      <c r="A69605" s="118"/>
      <c r="B69605" s="136"/>
    </row>
    <row r="69606" spans="1:2" x14ac:dyDescent="0.25">
      <c r="A69606" s="118"/>
      <c r="B69606" s="136"/>
    </row>
    <row r="69607" spans="1:2" x14ac:dyDescent="0.25">
      <c r="A69607" s="118"/>
      <c r="B69607" s="136"/>
    </row>
    <row r="69608" spans="1:2" x14ac:dyDescent="0.25">
      <c r="A69608" s="118"/>
      <c r="B69608" s="136"/>
    </row>
    <row r="69609" spans="1:2" x14ac:dyDescent="0.25">
      <c r="A69609" s="118"/>
      <c r="B69609" s="136"/>
    </row>
    <row r="69610" spans="1:2" x14ac:dyDescent="0.25">
      <c r="A69610" s="118"/>
      <c r="B69610" s="136"/>
    </row>
    <row r="69611" spans="1:2" x14ac:dyDescent="0.25">
      <c r="A69611" s="118"/>
      <c r="B69611" s="136"/>
    </row>
    <row r="69612" spans="1:2" x14ac:dyDescent="0.25">
      <c r="A69612" s="118"/>
      <c r="B69612" s="136"/>
    </row>
    <row r="69613" spans="1:2" x14ac:dyDescent="0.25">
      <c r="A69613" s="118"/>
      <c r="B69613" s="136"/>
    </row>
    <row r="69614" spans="1:2" x14ac:dyDescent="0.25">
      <c r="A69614" s="118"/>
      <c r="B69614" s="136"/>
    </row>
    <row r="69615" spans="1:2" x14ac:dyDescent="0.25">
      <c r="A69615" s="118"/>
      <c r="B69615" s="136"/>
    </row>
    <row r="69616" spans="1:2" x14ac:dyDescent="0.25">
      <c r="A69616" s="118"/>
      <c r="B69616" s="136"/>
    </row>
    <row r="69617" spans="1:2" x14ac:dyDescent="0.25">
      <c r="A69617" s="118"/>
      <c r="B69617" s="136"/>
    </row>
    <row r="69618" spans="1:2" x14ac:dyDescent="0.25">
      <c r="A69618" s="118"/>
      <c r="B69618" s="136"/>
    </row>
    <row r="69619" spans="1:2" x14ac:dyDescent="0.25">
      <c r="A69619" s="118"/>
      <c r="B69619" s="136"/>
    </row>
    <row r="69620" spans="1:2" x14ac:dyDescent="0.25">
      <c r="A69620" s="118"/>
      <c r="B69620" s="136"/>
    </row>
    <row r="69621" spans="1:2" x14ac:dyDescent="0.25">
      <c r="A69621" s="118"/>
      <c r="B69621" s="136"/>
    </row>
    <row r="69622" spans="1:2" x14ac:dyDescent="0.25">
      <c r="A69622" s="118"/>
      <c r="B69622" s="136"/>
    </row>
    <row r="69623" spans="1:2" x14ac:dyDescent="0.25">
      <c r="A69623" s="118"/>
      <c r="B69623" s="136"/>
    </row>
    <row r="69624" spans="1:2" x14ac:dyDescent="0.25">
      <c r="A69624" s="118"/>
      <c r="B69624" s="136"/>
    </row>
    <row r="69625" spans="1:2" x14ac:dyDescent="0.25">
      <c r="A69625" s="118"/>
      <c r="B69625" s="136"/>
    </row>
    <row r="69626" spans="1:2" x14ac:dyDescent="0.25">
      <c r="A69626" s="118"/>
      <c r="B69626" s="136"/>
    </row>
    <row r="69627" spans="1:2" x14ac:dyDescent="0.25">
      <c r="A69627" s="118"/>
      <c r="B69627" s="136"/>
    </row>
    <row r="69628" spans="1:2" x14ac:dyDescent="0.25">
      <c r="A69628" s="118"/>
      <c r="B69628" s="136"/>
    </row>
    <row r="69629" spans="1:2" x14ac:dyDescent="0.25">
      <c r="A69629" s="118"/>
      <c r="B69629" s="136"/>
    </row>
    <row r="69630" spans="1:2" x14ac:dyDescent="0.25">
      <c r="A69630" s="118"/>
      <c r="B69630" s="136"/>
    </row>
    <row r="69631" spans="1:2" x14ac:dyDescent="0.25">
      <c r="A69631" s="118"/>
      <c r="B69631" s="136"/>
    </row>
    <row r="69632" spans="1:2" x14ac:dyDescent="0.25">
      <c r="A69632" s="118"/>
      <c r="B69632" s="136"/>
    </row>
    <row r="69633" spans="1:2" x14ac:dyDescent="0.25">
      <c r="A69633" s="118"/>
      <c r="B69633" s="136"/>
    </row>
    <row r="69634" spans="1:2" x14ac:dyDescent="0.25">
      <c r="A69634" s="118"/>
      <c r="B69634" s="136"/>
    </row>
    <row r="69635" spans="1:2" x14ac:dyDescent="0.25">
      <c r="A69635" s="118"/>
      <c r="B69635" s="136"/>
    </row>
    <row r="69636" spans="1:2" x14ac:dyDescent="0.25">
      <c r="A69636" s="118"/>
      <c r="B69636" s="136"/>
    </row>
    <row r="69637" spans="1:2" x14ac:dyDescent="0.25">
      <c r="A69637" s="118"/>
      <c r="B69637" s="136"/>
    </row>
    <row r="69638" spans="1:2" x14ac:dyDescent="0.25">
      <c r="A69638" s="118"/>
      <c r="B69638" s="136"/>
    </row>
    <row r="69639" spans="1:2" x14ac:dyDescent="0.25">
      <c r="A69639" s="118"/>
      <c r="B69639" s="136"/>
    </row>
    <row r="69640" spans="1:2" x14ac:dyDescent="0.25">
      <c r="A69640" s="118"/>
      <c r="B69640" s="136"/>
    </row>
    <row r="69641" spans="1:2" x14ac:dyDescent="0.25">
      <c r="A69641" s="118"/>
      <c r="B69641" s="136"/>
    </row>
    <row r="69642" spans="1:2" x14ac:dyDescent="0.25">
      <c r="A69642" s="118"/>
      <c r="B69642" s="136"/>
    </row>
    <row r="69643" spans="1:2" x14ac:dyDescent="0.25">
      <c r="A69643" s="118"/>
      <c r="B69643" s="136"/>
    </row>
    <row r="69644" spans="1:2" x14ac:dyDescent="0.25">
      <c r="A69644" s="118"/>
      <c r="B69644" s="136"/>
    </row>
    <row r="69645" spans="1:2" x14ac:dyDescent="0.25">
      <c r="A69645" s="118"/>
      <c r="B69645" s="136"/>
    </row>
    <row r="69646" spans="1:2" x14ac:dyDescent="0.25">
      <c r="A69646" s="118"/>
      <c r="B69646" s="136"/>
    </row>
    <row r="69647" spans="1:2" x14ac:dyDescent="0.25">
      <c r="A69647" s="118"/>
      <c r="B69647" s="136"/>
    </row>
    <row r="69648" spans="1:2" x14ac:dyDescent="0.25">
      <c r="A69648" s="118"/>
      <c r="B69648" s="136"/>
    </row>
    <row r="69649" spans="1:2" x14ac:dyDescent="0.25">
      <c r="A69649" s="118"/>
      <c r="B69649" s="136"/>
    </row>
    <row r="69650" spans="1:2" x14ac:dyDescent="0.25">
      <c r="A69650" s="118"/>
      <c r="B69650" s="136"/>
    </row>
    <row r="69651" spans="1:2" x14ac:dyDescent="0.25">
      <c r="A69651" s="118"/>
      <c r="B69651" s="136"/>
    </row>
    <row r="69652" spans="1:2" x14ac:dyDescent="0.25">
      <c r="A69652" s="118"/>
      <c r="B69652" s="136"/>
    </row>
    <row r="69653" spans="1:2" x14ac:dyDescent="0.25">
      <c r="A69653" s="118"/>
      <c r="B69653" s="136"/>
    </row>
    <row r="69654" spans="1:2" x14ac:dyDescent="0.25">
      <c r="A69654" s="118"/>
      <c r="B69654" s="136"/>
    </row>
    <row r="69655" spans="1:2" x14ac:dyDescent="0.25">
      <c r="A69655" s="118"/>
      <c r="B69655" s="136"/>
    </row>
    <row r="69656" spans="1:2" x14ac:dyDescent="0.25">
      <c r="A69656" s="118"/>
      <c r="B69656" s="136"/>
    </row>
    <row r="69657" spans="1:2" x14ac:dyDescent="0.25">
      <c r="A69657" s="118"/>
      <c r="B69657" s="136"/>
    </row>
    <row r="69658" spans="1:2" x14ac:dyDescent="0.25">
      <c r="A69658" s="118"/>
      <c r="B69658" s="136"/>
    </row>
    <row r="69659" spans="1:2" x14ac:dyDescent="0.25">
      <c r="A69659" s="118"/>
      <c r="B69659" s="136"/>
    </row>
    <row r="69660" spans="1:2" x14ac:dyDescent="0.25">
      <c r="A69660" s="118"/>
      <c r="B69660" s="136"/>
    </row>
    <row r="69661" spans="1:2" x14ac:dyDescent="0.25">
      <c r="A69661" s="118"/>
      <c r="B69661" s="136"/>
    </row>
    <row r="69662" spans="1:2" x14ac:dyDescent="0.25">
      <c r="A69662" s="118"/>
      <c r="B69662" s="136"/>
    </row>
    <row r="69663" spans="1:2" x14ac:dyDescent="0.25">
      <c r="A69663" s="118"/>
      <c r="B69663" s="136"/>
    </row>
    <row r="69664" spans="1:2" x14ac:dyDescent="0.25">
      <c r="A69664" s="118"/>
      <c r="B69664" s="136"/>
    </row>
    <row r="69665" spans="1:2" x14ac:dyDescent="0.25">
      <c r="A69665" s="118"/>
      <c r="B69665" s="136"/>
    </row>
    <row r="69666" spans="1:2" x14ac:dyDescent="0.25">
      <c r="A69666" s="118"/>
      <c r="B69666" s="136"/>
    </row>
    <row r="69667" spans="1:2" x14ac:dyDescent="0.25">
      <c r="A69667" s="118"/>
      <c r="B69667" s="136"/>
    </row>
    <row r="69668" spans="1:2" x14ac:dyDescent="0.25">
      <c r="A69668" s="118"/>
      <c r="B69668" s="136"/>
    </row>
    <row r="69669" spans="1:2" x14ac:dyDescent="0.25">
      <c r="A69669" s="118"/>
      <c r="B69669" s="136"/>
    </row>
    <row r="69670" spans="1:2" x14ac:dyDescent="0.25">
      <c r="A69670" s="118"/>
      <c r="B69670" s="136"/>
    </row>
    <row r="69671" spans="1:2" x14ac:dyDescent="0.25">
      <c r="A69671" s="118"/>
      <c r="B69671" s="136"/>
    </row>
    <row r="69672" spans="1:2" x14ac:dyDescent="0.25">
      <c r="A69672" s="118"/>
      <c r="B69672" s="136"/>
    </row>
    <row r="69673" spans="1:2" x14ac:dyDescent="0.25">
      <c r="A69673" s="118"/>
      <c r="B69673" s="136"/>
    </row>
    <row r="69674" spans="1:2" x14ac:dyDescent="0.25">
      <c r="A69674" s="118"/>
      <c r="B69674" s="136"/>
    </row>
    <row r="69675" spans="1:2" x14ac:dyDescent="0.25">
      <c r="A69675" s="118"/>
      <c r="B69675" s="136"/>
    </row>
    <row r="69676" spans="1:2" x14ac:dyDescent="0.25">
      <c r="A69676" s="118"/>
      <c r="B69676" s="136"/>
    </row>
    <row r="69677" spans="1:2" x14ac:dyDescent="0.25">
      <c r="A69677" s="118"/>
      <c r="B69677" s="136"/>
    </row>
    <row r="69678" spans="1:2" x14ac:dyDescent="0.25">
      <c r="A69678" s="118"/>
      <c r="B69678" s="136"/>
    </row>
    <row r="69679" spans="1:2" x14ac:dyDescent="0.25">
      <c r="A69679" s="118"/>
      <c r="B69679" s="136"/>
    </row>
    <row r="69680" spans="1:2" x14ac:dyDescent="0.25">
      <c r="A69680" s="118"/>
      <c r="B69680" s="136"/>
    </row>
    <row r="69681" spans="1:2" x14ac:dyDescent="0.25">
      <c r="A69681" s="118"/>
      <c r="B69681" s="136"/>
    </row>
    <row r="69682" spans="1:2" x14ac:dyDescent="0.25">
      <c r="A69682" s="118"/>
      <c r="B69682" s="136"/>
    </row>
    <row r="69683" spans="1:2" x14ac:dyDescent="0.25">
      <c r="A69683" s="118"/>
      <c r="B69683" s="136"/>
    </row>
    <row r="69684" spans="1:2" x14ac:dyDescent="0.25">
      <c r="A69684" s="118"/>
      <c r="B69684" s="136"/>
    </row>
    <row r="69685" spans="1:2" x14ac:dyDescent="0.25">
      <c r="A69685" s="118"/>
      <c r="B69685" s="136"/>
    </row>
    <row r="69686" spans="1:2" x14ac:dyDescent="0.25">
      <c r="A69686" s="118"/>
      <c r="B69686" s="136"/>
    </row>
    <row r="69687" spans="1:2" x14ac:dyDescent="0.25">
      <c r="A69687" s="118"/>
      <c r="B69687" s="136"/>
    </row>
    <row r="69688" spans="1:2" x14ac:dyDescent="0.25">
      <c r="A69688" s="118"/>
      <c r="B69688" s="136"/>
    </row>
    <row r="69689" spans="1:2" x14ac:dyDescent="0.25">
      <c r="A69689" s="118"/>
      <c r="B69689" s="136"/>
    </row>
    <row r="69690" spans="1:2" x14ac:dyDescent="0.25">
      <c r="A69690" s="118"/>
      <c r="B69690" s="136"/>
    </row>
    <row r="69691" spans="1:2" x14ac:dyDescent="0.25">
      <c r="A69691" s="118"/>
      <c r="B69691" s="136"/>
    </row>
    <row r="69692" spans="1:2" x14ac:dyDescent="0.25">
      <c r="A69692" s="118"/>
      <c r="B69692" s="136"/>
    </row>
    <row r="69693" spans="1:2" x14ac:dyDescent="0.25">
      <c r="A69693" s="118"/>
      <c r="B69693" s="136"/>
    </row>
    <row r="69694" spans="1:2" x14ac:dyDescent="0.25">
      <c r="A69694" s="118"/>
      <c r="B69694" s="136"/>
    </row>
    <row r="69695" spans="1:2" x14ac:dyDescent="0.25">
      <c r="A69695" s="118"/>
      <c r="B69695" s="136"/>
    </row>
    <row r="69696" spans="1:2" x14ac:dyDescent="0.25">
      <c r="A69696" s="118"/>
      <c r="B69696" s="136"/>
    </row>
    <row r="69697" spans="1:2" x14ac:dyDescent="0.25">
      <c r="A69697" s="118"/>
      <c r="B69697" s="136"/>
    </row>
    <row r="69698" spans="1:2" x14ac:dyDescent="0.25">
      <c r="A69698" s="118"/>
      <c r="B69698" s="136"/>
    </row>
    <row r="69699" spans="1:2" x14ac:dyDescent="0.25">
      <c r="A69699" s="118"/>
      <c r="B69699" s="136"/>
    </row>
    <row r="69700" spans="1:2" x14ac:dyDescent="0.25">
      <c r="A69700" s="118"/>
      <c r="B69700" s="136"/>
    </row>
    <row r="69701" spans="1:2" x14ac:dyDescent="0.25">
      <c r="A69701" s="118"/>
      <c r="B69701" s="136"/>
    </row>
    <row r="69702" spans="1:2" x14ac:dyDescent="0.25">
      <c r="A69702" s="118"/>
      <c r="B69702" s="136"/>
    </row>
    <row r="69703" spans="1:2" x14ac:dyDescent="0.25">
      <c r="A69703" s="118"/>
      <c r="B69703" s="136"/>
    </row>
    <row r="69704" spans="1:2" x14ac:dyDescent="0.25">
      <c r="A69704" s="118"/>
      <c r="B69704" s="136"/>
    </row>
    <row r="69705" spans="1:2" x14ac:dyDescent="0.25">
      <c r="A69705" s="118"/>
      <c r="B69705" s="136"/>
    </row>
    <row r="69706" spans="1:2" x14ac:dyDescent="0.25">
      <c r="A69706" s="118"/>
      <c r="B69706" s="136"/>
    </row>
    <row r="69707" spans="1:2" x14ac:dyDescent="0.25">
      <c r="A69707" s="118"/>
      <c r="B69707" s="136"/>
    </row>
    <row r="69708" spans="1:2" x14ac:dyDescent="0.25">
      <c r="A69708" s="118"/>
      <c r="B69708" s="136"/>
    </row>
    <row r="69709" spans="1:2" x14ac:dyDescent="0.25">
      <c r="A69709" s="118"/>
      <c r="B69709" s="136"/>
    </row>
    <row r="69710" spans="1:2" x14ac:dyDescent="0.25">
      <c r="A69710" s="118"/>
      <c r="B69710" s="136"/>
    </row>
    <row r="69711" spans="1:2" x14ac:dyDescent="0.25">
      <c r="A69711" s="118"/>
      <c r="B69711" s="136"/>
    </row>
    <row r="69712" spans="1:2" x14ac:dyDescent="0.25">
      <c r="A69712" s="118"/>
      <c r="B69712" s="136"/>
    </row>
    <row r="69713" spans="1:2" x14ac:dyDescent="0.25">
      <c r="A69713" s="118"/>
      <c r="B69713" s="136"/>
    </row>
    <row r="69714" spans="1:2" x14ac:dyDescent="0.25">
      <c r="A69714" s="118"/>
      <c r="B69714" s="136"/>
    </row>
    <row r="69715" spans="1:2" x14ac:dyDescent="0.25">
      <c r="A69715" s="118"/>
      <c r="B69715" s="136"/>
    </row>
    <row r="69716" spans="1:2" x14ac:dyDescent="0.25">
      <c r="A69716" s="118"/>
      <c r="B69716" s="136"/>
    </row>
    <row r="69717" spans="1:2" x14ac:dyDescent="0.25">
      <c r="A69717" s="118"/>
      <c r="B69717" s="136"/>
    </row>
    <row r="69718" spans="1:2" x14ac:dyDescent="0.25">
      <c r="A69718" s="118"/>
      <c r="B69718" s="136"/>
    </row>
    <row r="69719" spans="1:2" x14ac:dyDescent="0.25">
      <c r="A69719" s="118"/>
      <c r="B69719" s="136"/>
    </row>
    <row r="69720" spans="1:2" x14ac:dyDescent="0.25">
      <c r="A69720" s="118"/>
      <c r="B69720" s="136"/>
    </row>
    <row r="69721" spans="1:2" x14ac:dyDescent="0.25">
      <c r="A69721" s="118"/>
      <c r="B69721" s="136"/>
    </row>
    <row r="69722" spans="1:2" x14ac:dyDescent="0.25">
      <c r="A69722" s="118"/>
      <c r="B69722" s="136"/>
    </row>
    <row r="69723" spans="1:2" x14ac:dyDescent="0.25">
      <c r="A69723" s="118"/>
      <c r="B69723" s="136"/>
    </row>
    <row r="69724" spans="1:2" x14ac:dyDescent="0.25">
      <c r="A69724" s="118"/>
      <c r="B69724" s="136"/>
    </row>
    <row r="69725" spans="1:2" x14ac:dyDescent="0.25">
      <c r="A69725" s="118"/>
      <c r="B69725" s="136"/>
    </row>
    <row r="69726" spans="1:2" x14ac:dyDescent="0.25">
      <c r="A69726" s="118"/>
      <c r="B69726" s="136"/>
    </row>
    <row r="69727" spans="1:2" x14ac:dyDescent="0.25">
      <c r="A69727" s="118"/>
      <c r="B69727" s="136"/>
    </row>
    <row r="69728" spans="1:2" x14ac:dyDescent="0.25">
      <c r="A69728" s="118"/>
      <c r="B69728" s="136"/>
    </row>
    <row r="69729" spans="1:2" x14ac:dyDescent="0.25">
      <c r="A69729" s="118"/>
      <c r="B69729" s="136"/>
    </row>
    <row r="69730" spans="1:2" x14ac:dyDescent="0.25">
      <c r="A69730" s="118"/>
      <c r="B69730" s="136"/>
    </row>
    <row r="69731" spans="1:2" x14ac:dyDescent="0.25">
      <c r="A69731" s="118"/>
      <c r="B69731" s="136"/>
    </row>
    <row r="69732" spans="1:2" x14ac:dyDescent="0.25">
      <c r="A69732" s="118"/>
      <c r="B69732" s="136"/>
    </row>
    <row r="69733" spans="1:2" x14ac:dyDescent="0.25">
      <c r="A69733" s="118"/>
      <c r="B69733" s="136"/>
    </row>
    <row r="69734" spans="1:2" x14ac:dyDescent="0.25">
      <c r="A69734" s="118"/>
      <c r="B69734" s="136"/>
    </row>
    <row r="69735" spans="1:2" x14ac:dyDescent="0.25">
      <c r="A69735" s="118"/>
      <c r="B69735" s="136"/>
    </row>
    <row r="69736" spans="1:2" x14ac:dyDescent="0.25">
      <c r="A69736" s="118"/>
      <c r="B69736" s="136"/>
    </row>
    <row r="69737" spans="1:2" x14ac:dyDescent="0.25">
      <c r="A69737" s="118"/>
      <c r="B69737" s="136"/>
    </row>
    <row r="69738" spans="1:2" x14ac:dyDescent="0.25">
      <c r="A69738" s="118"/>
      <c r="B69738" s="136"/>
    </row>
    <row r="69739" spans="1:2" x14ac:dyDescent="0.25">
      <c r="A69739" s="118"/>
      <c r="B69739" s="136"/>
    </row>
    <row r="69740" spans="1:2" x14ac:dyDescent="0.25">
      <c r="A69740" s="118"/>
      <c r="B69740" s="136"/>
    </row>
    <row r="69741" spans="1:2" x14ac:dyDescent="0.25">
      <c r="A69741" s="118"/>
      <c r="B69741" s="136"/>
    </row>
    <row r="69742" spans="1:2" x14ac:dyDescent="0.25">
      <c r="A69742" s="118"/>
      <c r="B69742" s="136"/>
    </row>
    <row r="69743" spans="1:2" x14ac:dyDescent="0.25">
      <c r="A69743" s="118"/>
      <c r="B69743" s="136"/>
    </row>
    <row r="69744" spans="1:2" x14ac:dyDescent="0.25">
      <c r="A69744" s="118"/>
      <c r="B69744" s="136"/>
    </row>
    <row r="69745" spans="1:2" x14ac:dyDescent="0.25">
      <c r="A69745" s="118"/>
      <c r="B69745" s="136"/>
    </row>
    <row r="69746" spans="1:2" x14ac:dyDescent="0.25">
      <c r="A69746" s="118"/>
      <c r="B69746" s="136"/>
    </row>
    <row r="69747" spans="1:2" x14ac:dyDescent="0.25">
      <c r="A69747" s="118"/>
      <c r="B69747" s="136"/>
    </row>
    <row r="69748" spans="1:2" x14ac:dyDescent="0.25">
      <c r="A69748" s="118"/>
      <c r="B69748" s="136"/>
    </row>
    <row r="69749" spans="1:2" x14ac:dyDescent="0.25">
      <c r="A69749" s="118"/>
      <c r="B69749" s="136"/>
    </row>
    <row r="69750" spans="1:2" x14ac:dyDescent="0.25">
      <c r="A69750" s="118"/>
      <c r="B69750" s="136"/>
    </row>
    <row r="69751" spans="1:2" x14ac:dyDescent="0.25">
      <c r="A69751" s="118"/>
      <c r="B69751" s="136"/>
    </row>
    <row r="69752" spans="1:2" x14ac:dyDescent="0.25">
      <c r="A69752" s="118"/>
      <c r="B69752" s="136"/>
    </row>
    <row r="69753" spans="1:2" x14ac:dyDescent="0.25">
      <c r="A69753" s="118"/>
      <c r="B69753" s="136"/>
    </row>
    <row r="69754" spans="1:2" x14ac:dyDescent="0.25">
      <c r="A69754" s="118"/>
      <c r="B69754" s="136"/>
    </row>
    <row r="69755" spans="1:2" x14ac:dyDescent="0.25">
      <c r="A69755" s="118"/>
      <c r="B69755" s="136"/>
    </row>
    <row r="69756" spans="1:2" x14ac:dyDescent="0.25">
      <c r="A69756" s="118"/>
      <c r="B69756" s="136"/>
    </row>
    <row r="69757" spans="1:2" x14ac:dyDescent="0.25">
      <c r="A69757" s="118"/>
      <c r="B69757" s="136"/>
    </row>
    <row r="69758" spans="1:2" x14ac:dyDescent="0.25">
      <c r="A69758" s="118"/>
      <c r="B69758" s="136"/>
    </row>
    <row r="69759" spans="1:2" x14ac:dyDescent="0.25">
      <c r="A69759" s="118"/>
      <c r="B69759" s="136"/>
    </row>
    <row r="69760" spans="1:2" x14ac:dyDescent="0.25">
      <c r="A69760" s="118"/>
      <c r="B69760" s="136"/>
    </row>
    <row r="69761" spans="1:2" x14ac:dyDescent="0.25">
      <c r="A69761" s="118"/>
      <c r="B69761" s="136"/>
    </row>
    <row r="69762" spans="1:2" x14ac:dyDescent="0.25">
      <c r="A69762" s="118"/>
      <c r="B69762" s="136"/>
    </row>
    <row r="69763" spans="1:2" x14ac:dyDescent="0.25">
      <c r="A69763" s="118"/>
      <c r="B69763" s="136"/>
    </row>
    <row r="69764" spans="1:2" x14ac:dyDescent="0.25">
      <c r="A69764" s="118"/>
      <c r="B69764" s="136"/>
    </row>
    <row r="69765" spans="1:2" x14ac:dyDescent="0.25">
      <c r="A69765" s="118"/>
      <c r="B69765" s="136"/>
    </row>
    <row r="69766" spans="1:2" x14ac:dyDescent="0.25">
      <c r="A69766" s="118"/>
      <c r="B69766" s="136"/>
    </row>
    <row r="69767" spans="1:2" x14ac:dyDescent="0.25">
      <c r="A69767" s="118"/>
      <c r="B69767" s="136"/>
    </row>
    <row r="69768" spans="1:2" x14ac:dyDescent="0.25">
      <c r="A69768" s="118"/>
      <c r="B69768" s="136"/>
    </row>
    <row r="69769" spans="1:2" x14ac:dyDescent="0.25">
      <c r="A69769" s="118"/>
      <c r="B69769" s="136"/>
    </row>
    <row r="69770" spans="1:2" x14ac:dyDescent="0.25">
      <c r="A69770" s="118"/>
      <c r="B69770" s="136"/>
    </row>
    <row r="69771" spans="1:2" x14ac:dyDescent="0.25">
      <c r="A69771" s="118"/>
      <c r="B69771" s="136"/>
    </row>
    <row r="69772" spans="1:2" x14ac:dyDescent="0.25">
      <c r="A69772" s="118"/>
      <c r="B69772" s="136"/>
    </row>
    <row r="69773" spans="1:2" x14ac:dyDescent="0.25">
      <c r="A69773" s="118"/>
      <c r="B69773" s="136"/>
    </row>
    <row r="69774" spans="1:2" x14ac:dyDescent="0.25">
      <c r="A69774" s="118"/>
      <c r="B69774" s="136"/>
    </row>
    <row r="69775" spans="1:2" x14ac:dyDescent="0.25">
      <c r="A69775" s="118"/>
      <c r="B69775" s="136"/>
    </row>
    <row r="69776" spans="1:2" x14ac:dyDescent="0.25">
      <c r="A69776" s="118"/>
      <c r="B69776" s="136"/>
    </row>
    <row r="69777" spans="1:2" x14ac:dyDescent="0.25">
      <c r="A69777" s="118"/>
      <c r="B69777" s="136"/>
    </row>
    <row r="69778" spans="1:2" x14ac:dyDescent="0.25">
      <c r="A69778" s="118"/>
      <c r="B69778" s="136"/>
    </row>
    <row r="69779" spans="1:2" x14ac:dyDescent="0.25">
      <c r="A69779" s="118"/>
      <c r="B69779" s="136"/>
    </row>
    <row r="69780" spans="1:2" x14ac:dyDescent="0.25">
      <c r="A69780" s="118"/>
      <c r="B69780" s="136"/>
    </row>
    <row r="69781" spans="1:2" x14ac:dyDescent="0.25">
      <c r="A69781" s="118"/>
      <c r="B69781" s="136"/>
    </row>
    <row r="69782" spans="1:2" x14ac:dyDescent="0.25">
      <c r="A69782" s="118"/>
      <c r="B69782" s="136"/>
    </row>
    <row r="69783" spans="1:2" x14ac:dyDescent="0.25">
      <c r="A69783" s="118"/>
      <c r="B69783" s="136"/>
    </row>
    <row r="69784" spans="1:2" x14ac:dyDescent="0.25">
      <c r="A69784" s="118"/>
      <c r="B69784" s="136"/>
    </row>
    <row r="69785" spans="1:2" x14ac:dyDescent="0.25">
      <c r="A69785" s="118"/>
      <c r="B69785" s="136"/>
    </row>
    <row r="69786" spans="1:2" x14ac:dyDescent="0.25">
      <c r="A69786" s="118"/>
      <c r="B69786" s="136"/>
    </row>
    <row r="69787" spans="1:2" x14ac:dyDescent="0.25">
      <c r="A69787" s="118"/>
      <c r="B69787" s="136"/>
    </row>
    <row r="69788" spans="1:2" x14ac:dyDescent="0.25">
      <c r="A69788" s="118"/>
      <c r="B69788" s="136"/>
    </row>
    <row r="69789" spans="1:2" x14ac:dyDescent="0.25">
      <c r="A69789" s="118"/>
      <c r="B69789" s="136"/>
    </row>
    <row r="69790" spans="1:2" x14ac:dyDescent="0.25">
      <c r="A69790" s="118"/>
      <c r="B69790" s="136"/>
    </row>
    <row r="69791" spans="1:2" x14ac:dyDescent="0.25">
      <c r="A69791" s="118"/>
      <c r="B69791" s="136"/>
    </row>
    <row r="69792" spans="1:2" x14ac:dyDescent="0.25">
      <c r="A69792" s="118"/>
      <c r="B69792" s="136"/>
    </row>
    <row r="69793" spans="1:2" x14ac:dyDescent="0.25">
      <c r="A69793" s="118"/>
      <c r="B69793" s="136"/>
    </row>
    <row r="69794" spans="1:2" x14ac:dyDescent="0.25">
      <c r="A69794" s="118"/>
      <c r="B69794" s="136"/>
    </row>
    <row r="69795" spans="1:2" x14ac:dyDescent="0.25">
      <c r="A69795" s="118"/>
      <c r="B69795" s="136"/>
    </row>
    <row r="69796" spans="1:2" x14ac:dyDescent="0.25">
      <c r="A69796" s="118"/>
      <c r="B69796" s="136"/>
    </row>
    <row r="69797" spans="1:2" x14ac:dyDescent="0.25">
      <c r="A69797" s="118"/>
      <c r="B69797" s="136"/>
    </row>
    <row r="69798" spans="1:2" x14ac:dyDescent="0.25">
      <c r="A69798" s="118"/>
      <c r="B69798" s="136"/>
    </row>
    <row r="69799" spans="1:2" x14ac:dyDescent="0.25">
      <c r="A69799" s="118"/>
      <c r="B69799" s="136"/>
    </row>
    <row r="69800" spans="1:2" x14ac:dyDescent="0.25">
      <c r="A69800" s="118"/>
      <c r="B69800" s="136"/>
    </row>
    <row r="69801" spans="1:2" x14ac:dyDescent="0.25">
      <c r="A69801" s="118"/>
      <c r="B69801" s="136"/>
    </row>
    <row r="69802" spans="1:2" x14ac:dyDescent="0.25">
      <c r="A69802" s="118"/>
      <c r="B69802" s="136"/>
    </row>
    <row r="69803" spans="1:2" x14ac:dyDescent="0.25">
      <c r="A69803" s="118"/>
      <c r="B69803" s="136"/>
    </row>
    <row r="69804" spans="1:2" x14ac:dyDescent="0.25">
      <c r="A69804" s="118"/>
      <c r="B69804" s="136"/>
    </row>
    <row r="69805" spans="1:2" x14ac:dyDescent="0.25">
      <c r="A69805" s="118"/>
      <c r="B69805" s="136"/>
    </row>
    <row r="69806" spans="1:2" x14ac:dyDescent="0.25">
      <c r="A69806" s="118"/>
      <c r="B69806" s="136"/>
    </row>
    <row r="69807" spans="1:2" x14ac:dyDescent="0.25">
      <c r="A69807" s="118"/>
      <c r="B69807" s="136"/>
    </row>
    <row r="69808" spans="1:2" x14ac:dyDescent="0.25">
      <c r="A69808" s="118"/>
      <c r="B69808" s="136"/>
    </row>
    <row r="69809" spans="1:2" x14ac:dyDescent="0.25">
      <c r="A69809" s="118"/>
      <c r="B69809" s="136"/>
    </row>
    <row r="69810" spans="1:2" x14ac:dyDescent="0.25">
      <c r="A69810" s="118"/>
      <c r="B69810" s="136"/>
    </row>
    <row r="69811" spans="1:2" x14ac:dyDescent="0.25">
      <c r="A69811" s="118"/>
      <c r="B69811" s="136"/>
    </row>
    <row r="69812" spans="1:2" x14ac:dyDescent="0.25">
      <c r="A69812" s="118"/>
      <c r="B69812" s="136"/>
    </row>
    <row r="69813" spans="1:2" x14ac:dyDescent="0.25">
      <c r="A69813" s="118"/>
      <c r="B69813" s="136"/>
    </row>
    <row r="69814" spans="1:2" x14ac:dyDescent="0.25">
      <c r="A69814" s="118"/>
      <c r="B69814" s="136"/>
    </row>
    <row r="69815" spans="1:2" x14ac:dyDescent="0.25">
      <c r="A69815" s="118"/>
      <c r="B69815" s="136"/>
    </row>
    <row r="69816" spans="1:2" x14ac:dyDescent="0.25">
      <c r="A69816" s="118"/>
      <c r="B69816" s="136"/>
    </row>
    <row r="69817" spans="1:2" x14ac:dyDescent="0.25">
      <c r="A69817" s="118"/>
      <c r="B69817" s="136"/>
    </row>
    <row r="69818" spans="1:2" x14ac:dyDescent="0.25">
      <c r="A69818" s="118"/>
      <c r="B69818" s="136"/>
    </row>
    <row r="69819" spans="1:2" x14ac:dyDescent="0.25">
      <c r="A69819" s="118"/>
      <c r="B69819" s="136"/>
    </row>
    <row r="69820" spans="1:2" x14ac:dyDescent="0.25">
      <c r="A69820" s="118"/>
      <c r="B69820" s="136"/>
    </row>
    <row r="69821" spans="1:2" x14ac:dyDescent="0.25">
      <c r="A69821" s="118"/>
      <c r="B69821" s="136"/>
    </row>
    <row r="69822" spans="1:2" x14ac:dyDescent="0.25">
      <c r="A69822" s="118"/>
      <c r="B69822" s="136"/>
    </row>
    <row r="69823" spans="1:2" x14ac:dyDescent="0.25">
      <c r="A69823" s="118"/>
      <c r="B69823" s="136"/>
    </row>
    <row r="69824" spans="1:2" x14ac:dyDescent="0.25">
      <c r="A69824" s="118"/>
      <c r="B69824" s="136"/>
    </row>
    <row r="69825" spans="1:2" x14ac:dyDescent="0.25">
      <c r="A69825" s="118"/>
      <c r="B69825" s="136"/>
    </row>
    <row r="69826" spans="1:2" x14ac:dyDescent="0.25">
      <c r="A69826" s="118"/>
      <c r="B69826" s="136"/>
    </row>
    <row r="69827" spans="1:2" x14ac:dyDescent="0.25">
      <c r="A69827" s="118"/>
      <c r="B69827" s="136"/>
    </row>
    <row r="69828" spans="1:2" x14ac:dyDescent="0.25">
      <c r="A69828" s="118"/>
      <c r="B69828" s="136"/>
    </row>
    <row r="69829" spans="1:2" x14ac:dyDescent="0.25">
      <c r="A69829" s="118"/>
      <c r="B69829" s="136"/>
    </row>
    <row r="69830" spans="1:2" x14ac:dyDescent="0.25">
      <c r="A69830" s="118"/>
      <c r="B69830" s="136"/>
    </row>
    <row r="69831" spans="1:2" x14ac:dyDescent="0.25">
      <c r="A69831" s="118"/>
      <c r="B69831" s="136"/>
    </row>
    <row r="69832" spans="1:2" x14ac:dyDescent="0.25">
      <c r="A69832" s="118"/>
      <c r="B69832" s="136"/>
    </row>
    <row r="69833" spans="1:2" x14ac:dyDescent="0.25">
      <c r="A69833" s="118"/>
      <c r="B69833" s="136"/>
    </row>
    <row r="69834" spans="1:2" x14ac:dyDescent="0.25">
      <c r="A69834" s="118"/>
      <c r="B69834" s="136"/>
    </row>
    <row r="69835" spans="1:2" x14ac:dyDescent="0.25">
      <c r="A69835" s="118"/>
      <c r="B69835" s="136"/>
    </row>
    <row r="69836" spans="1:2" x14ac:dyDescent="0.25">
      <c r="A69836" s="118"/>
      <c r="B69836" s="136"/>
    </row>
    <row r="69837" spans="1:2" x14ac:dyDescent="0.25">
      <c r="A69837" s="118"/>
      <c r="B69837" s="136"/>
    </row>
    <row r="69838" spans="1:2" x14ac:dyDescent="0.25">
      <c r="A69838" s="118"/>
      <c r="B69838" s="136"/>
    </row>
    <row r="69839" spans="1:2" x14ac:dyDescent="0.25">
      <c r="A69839" s="118"/>
      <c r="B69839" s="136"/>
    </row>
    <row r="69840" spans="1:2" x14ac:dyDescent="0.25">
      <c r="A69840" s="118"/>
      <c r="B69840" s="136"/>
    </row>
    <row r="69841" spans="1:2" x14ac:dyDescent="0.25">
      <c r="A69841" s="118"/>
      <c r="B69841" s="136"/>
    </row>
    <row r="69842" spans="1:2" x14ac:dyDescent="0.25">
      <c r="A69842" s="118"/>
      <c r="B69842" s="136"/>
    </row>
    <row r="69843" spans="1:2" x14ac:dyDescent="0.25">
      <c r="A69843" s="118"/>
      <c r="B69843" s="136"/>
    </row>
    <row r="69844" spans="1:2" x14ac:dyDescent="0.25">
      <c r="A69844" s="118"/>
      <c r="B69844" s="136"/>
    </row>
    <row r="69845" spans="1:2" x14ac:dyDescent="0.25">
      <c r="A69845" s="118"/>
      <c r="B69845" s="136"/>
    </row>
    <row r="69846" spans="1:2" x14ac:dyDescent="0.25">
      <c r="A69846" s="118"/>
      <c r="B69846" s="136"/>
    </row>
    <row r="69847" spans="1:2" x14ac:dyDescent="0.25">
      <c r="A69847" s="118"/>
      <c r="B69847" s="136"/>
    </row>
    <row r="69848" spans="1:2" x14ac:dyDescent="0.25">
      <c r="A69848" s="118"/>
      <c r="B69848" s="136"/>
    </row>
    <row r="69849" spans="1:2" x14ac:dyDescent="0.25">
      <c r="A69849" s="118"/>
      <c r="B69849" s="136"/>
    </row>
    <row r="69850" spans="1:2" x14ac:dyDescent="0.25">
      <c r="A69850" s="118"/>
      <c r="B69850" s="136"/>
    </row>
    <row r="69851" spans="1:2" x14ac:dyDescent="0.25">
      <c r="A69851" s="118"/>
      <c r="B69851" s="136"/>
    </row>
    <row r="69852" spans="1:2" x14ac:dyDescent="0.25">
      <c r="A69852" s="118"/>
      <c r="B69852" s="136"/>
    </row>
    <row r="69853" spans="1:2" x14ac:dyDescent="0.25">
      <c r="A69853" s="118"/>
      <c r="B69853" s="136"/>
    </row>
    <row r="69854" spans="1:2" x14ac:dyDescent="0.25">
      <c r="A69854" s="118"/>
      <c r="B69854" s="136"/>
    </row>
    <row r="69855" spans="1:2" x14ac:dyDescent="0.25">
      <c r="A69855" s="118"/>
      <c r="B69855" s="136"/>
    </row>
    <row r="69856" spans="1:2" x14ac:dyDescent="0.25">
      <c r="A69856" s="118"/>
      <c r="B69856" s="136"/>
    </row>
    <row r="69857" spans="1:2" x14ac:dyDescent="0.25">
      <c r="A69857" s="118"/>
      <c r="B69857" s="136"/>
    </row>
    <row r="69858" spans="1:2" x14ac:dyDescent="0.25">
      <c r="A69858" s="118"/>
      <c r="B69858" s="136"/>
    </row>
    <row r="69859" spans="1:2" x14ac:dyDescent="0.25">
      <c r="A69859" s="118"/>
      <c r="B69859" s="136"/>
    </row>
    <row r="69860" spans="1:2" x14ac:dyDescent="0.25">
      <c r="A69860" s="118"/>
      <c r="B69860" s="136"/>
    </row>
    <row r="69861" spans="1:2" x14ac:dyDescent="0.25">
      <c r="A69861" s="118"/>
      <c r="B69861" s="136"/>
    </row>
    <row r="69862" spans="1:2" x14ac:dyDescent="0.25">
      <c r="A69862" s="118"/>
      <c r="B69862" s="136"/>
    </row>
    <row r="69863" spans="1:2" x14ac:dyDescent="0.25">
      <c r="A69863" s="118"/>
      <c r="B69863" s="136"/>
    </row>
    <row r="69864" spans="1:2" x14ac:dyDescent="0.25">
      <c r="A69864" s="118"/>
      <c r="B69864" s="136"/>
    </row>
    <row r="69865" spans="1:2" x14ac:dyDescent="0.25">
      <c r="A69865" s="118"/>
      <c r="B69865" s="136"/>
    </row>
    <row r="69866" spans="1:2" x14ac:dyDescent="0.25">
      <c r="A69866" s="118"/>
      <c r="B69866" s="136"/>
    </row>
    <row r="69867" spans="1:2" x14ac:dyDescent="0.25">
      <c r="A69867" s="118"/>
      <c r="B69867" s="136"/>
    </row>
    <row r="69868" spans="1:2" x14ac:dyDescent="0.25">
      <c r="A69868" s="118"/>
      <c r="B69868" s="136"/>
    </row>
    <row r="69869" spans="1:2" x14ac:dyDescent="0.25">
      <c r="A69869" s="118"/>
      <c r="B69869" s="136"/>
    </row>
    <row r="69870" spans="1:2" x14ac:dyDescent="0.25">
      <c r="A69870" s="118"/>
      <c r="B69870" s="136"/>
    </row>
    <row r="69871" spans="1:2" x14ac:dyDescent="0.25">
      <c r="A69871" s="118"/>
      <c r="B69871" s="136"/>
    </row>
    <row r="69872" spans="1:2" x14ac:dyDescent="0.25">
      <c r="A69872" s="118"/>
      <c r="B69872" s="136"/>
    </row>
    <row r="69873" spans="1:2" x14ac:dyDescent="0.25">
      <c r="A69873" s="118"/>
      <c r="B69873" s="136"/>
    </row>
    <row r="69874" spans="1:2" x14ac:dyDescent="0.25">
      <c r="A69874" s="118"/>
      <c r="B69874" s="136"/>
    </row>
    <row r="69875" spans="1:2" x14ac:dyDescent="0.25">
      <c r="A69875" s="118"/>
      <c r="B69875" s="136"/>
    </row>
    <row r="69876" spans="1:2" x14ac:dyDescent="0.25">
      <c r="A69876" s="118"/>
      <c r="B69876" s="136"/>
    </row>
    <row r="69877" spans="1:2" x14ac:dyDescent="0.25">
      <c r="A69877" s="118"/>
      <c r="B69877" s="136"/>
    </row>
    <row r="69878" spans="1:2" x14ac:dyDescent="0.25">
      <c r="A69878" s="118"/>
      <c r="B69878" s="136"/>
    </row>
    <row r="69879" spans="1:2" x14ac:dyDescent="0.25">
      <c r="A69879" s="118"/>
      <c r="B69879" s="136"/>
    </row>
    <row r="69880" spans="1:2" x14ac:dyDescent="0.25">
      <c r="A69880" s="118"/>
      <c r="B69880" s="136"/>
    </row>
    <row r="69881" spans="1:2" x14ac:dyDescent="0.25">
      <c r="A69881" s="118"/>
      <c r="B69881" s="136"/>
    </row>
    <row r="69882" spans="1:2" x14ac:dyDescent="0.25">
      <c r="A69882" s="118"/>
      <c r="B69882" s="136"/>
    </row>
    <row r="69883" spans="1:2" x14ac:dyDescent="0.25">
      <c r="A69883" s="118"/>
      <c r="B69883" s="136"/>
    </row>
    <row r="69884" spans="1:2" x14ac:dyDescent="0.25">
      <c r="A69884" s="118"/>
      <c r="B69884" s="136"/>
    </row>
    <row r="69885" spans="1:2" x14ac:dyDescent="0.25">
      <c r="A69885" s="118"/>
      <c r="B69885" s="136"/>
    </row>
    <row r="69886" spans="1:2" x14ac:dyDescent="0.25">
      <c r="A69886" s="118"/>
      <c r="B69886" s="136"/>
    </row>
    <row r="69887" spans="1:2" x14ac:dyDescent="0.25">
      <c r="A69887" s="118"/>
      <c r="B69887" s="136"/>
    </row>
    <row r="69888" spans="1:2" x14ac:dyDescent="0.25">
      <c r="A69888" s="118"/>
      <c r="B69888" s="136"/>
    </row>
    <row r="69889" spans="1:2" x14ac:dyDescent="0.25">
      <c r="A69889" s="118"/>
      <c r="B69889" s="136"/>
    </row>
    <row r="69890" spans="1:2" x14ac:dyDescent="0.25">
      <c r="A69890" s="118"/>
      <c r="B69890" s="136"/>
    </row>
    <row r="69891" spans="1:2" x14ac:dyDescent="0.25">
      <c r="A69891" s="118"/>
      <c r="B69891" s="136"/>
    </row>
    <row r="69892" spans="1:2" x14ac:dyDescent="0.25">
      <c r="A69892" s="118"/>
      <c r="B69892" s="136"/>
    </row>
    <row r="69893" spans="1:2" x14ac:dyDescent="0.25">
      <c r="A69893" s="118"/>
      <c r="B69893" s="136"/>
    </row>
    <row r="69894" spans="1:2" x14ac:dyDescent="0.25">
      <c r="A69894" s="118"/>
      <c r="B69894" s="136"/>
    </row>
    <row r="69895" spans="1:2" x14ac:dyDescent="0.25">
      <c r="A69895" s="118"/>
      <c r="B69895" s="136"/>
    </row>
    <row r="69896" spans="1:2" x14ac:dyDescent="0.25">
      <c r="A69896" s="118"/>
      <c r="B69896" s="136"/>
    </row>
    <row r="69897" spans="1:2" x14ac:dyDescent="0.25">
      <c r="A69897" s="118"/>
      <c r="B69897" s="136"/>
    </row>
    <row r="69898" spans="1:2" x14ac:dyDescent="0.25">
      <c r="A69898" s="118"/>
      <c r="B69898" s="136"/>
    </row>
    <row r="69899" spans="1:2" x14ac:dyDescent="0.25">
      <c r="A69899" s="118"/>
      <c r="B69899" s="136"/>
    </row>
    <row r="69900" spans="1:2" x14ac:dyDescent="0.25">
      <c r="A69900" s="118"/>
      <c r="B69900" s="136"/>
    </row>
    <row r="69901" spans="1:2" x14ac:dyDescent="0.25">
      <c r="A69901" s="118"/>
      <c r="B69901" s="136"/>
    </row>
    <row r="69902" spans="1:2" x14ac:dyDescent="0.25">
      <c r="A69902" s="118"/>
      <c r="B69902" s="136"/>
    </row>
    <row r="69903" spans="1:2" x14ac:dyDescent="0.25">
      <c r="A69903" s="118"/>
      <c r="B69903" s="136"/>
    </row>
    <row r="69904" spans="1:2" x14ac:dyDescent="0.25">
      <c r="A69904" s="118"/>
      <c r="B69904" s="136"/>
    </row>
    <row r="69905" spans="1:2" x14ac:dyDescent="0.25">
      <c r="A69905" s="118"/>
      <c r="B69905" s="136"/>
    </row>
    <row r="69906" spans="1:2" x14ac:dyDescent="0.25">
      <c r="A69906" s="118"/>
      <c r="B69906" s="136"/>
    </row>
    <row r="69907" spans="1:2" x14ac:dyDescent="0.25">
      <c r="A69907" s="118"/>
      <c r="B69907" s="136"/>
    </row>
    <row r="69908" spans="1:2" x14ac:dyDescent="0.25">
      <c r="A69908" s="118"/>
      <c r="B69908" s="136"/>
    </row>
    <row r="69909" spans="1:2" x14ac:dyDescent="0.25">
      <c r="A69909" s="118"/>
      <c r="B69909" s="136"/>
    </row>
    <row r="69910" spans="1:2" x14ac:dyDescent="0.25">
      <c r="A69910" s="118"/>
      <c r="B69910" s="136"/>
    </row>
    <row r="69911" spans="1:2" x14ac:dyDescent="0.25">
      <c r="A69911" s="118"/>
      <c r="B69911" s="136"/>
    </row>
    <row r="69912" spans="1:2" x14ac:dyDescent="0.25">
      <c r="A69912" s="118"/>
      <c r="B69912" s="136"/>
    </row>
    <row r="69913" spans="1:2" x14ac:dyDescent="0.25">
      <c r="A69913" s="118"/>
      <c r="B69913" s="136"/>
    </row>
    <row r="69914" spans="1:2" x14ac:dyDescent="0.25">
      <c r="A69914" s="118"/>
      <c r="B69914" s="136"/>
    </row>
    <row r="69915" spans="1:2" x14ac:dyDescent="0.25">
      <c r="A69915" s="118"/>
      <c r="B69915" s="136"/>
    </row>
    <row r="69916" spans="1:2" x14ac:dyDescent="0.25">
      <c r="A69916" s="118"/>
      <c r="B69916" s="136"/>
    </row>
    <row r="69917" spans="1:2" x14ac:dyDescent="0.25">
      <c r="A69917" s="118"/>
      <c r="B69917" s="136"/>
    </row>
    <row r="69918" spans="1:2" x14ac:dyDescent="0.25">
      <c r="A69918" s="118"/>
      <c r="B69918" s="136"/>
    </row>
    <row r="69919" spans="1:2" x14ac:dyDescent="0.25">
      <c r="A69919" s="118"/>
      <c r="B69919" s="136"/>
    </row>
    <row r="69920" spans="1:2" x14ac:dyDescent="0.25">
      <c r="A69920" s="118"/>
      <c r="B69920" s="136"/>
    </row>
    <row r="69921" spans="1:2" x14ac:dyDescent="0.25">
      <c r="A69921" s="118"/>
      <c r="B69921" s="136"/>
    </row>
    <row r="69922" spans="1:2" x14ac:dyDescent="0.25">
      <c r="A69922" s="118"/>
      <c r="B69922" s="136"/>
    </row>
    <row r="69923" spans="1:2" x14ac:dyDescent="0.25">
      <c r="A69923" s="118"/>
      <c r="B69923" s="136"/>
    </row>
    <row r="69924" spans="1:2" x14ac:dyDescent="0.25">
      <c r="A69924" s="118"/>
      <c r="B69924" s="136"/>
    </row>
    <row r="69925" spans="1:2" x14ac:dyDescent="0.25">
      <c r="A69925" s="118"/>
      <c r="B69925" s="136"/>
    </row>
    <row r="69926" spans="1:2" x14ac:dyDescent="0.25">
      <c r="A69926" s="118"/>
      <c r="B69926" s="136"/>
    </row>
    <row r="69927" spans="1:2" x14ac:dyDescent="0.25">
      <c r="A69927" s="118"/>
      <c r="B69927" s="136"/>
    </row>
    <row r="69928" spans="1:2" x14ac:dyDescent="0.25">
      <c r="A69928" s="118"/>
      <c r="B69928" s="136"/>
    </row>
    <row r="69929" spans="1:2" x14ac:dyDescent="0.25">
      <c r="A69929" s="118"/>
      <c r="B69929" s="136"/>
    </row>
    <row r="69930" spans="1:2" x14ac:dyDescent="0.25">
      <c r="A69930" s="118"/>
      <c r="B69930" s="136"/>
    </row>
    <row r="69931" spans="1:2" x14ac:dyDescent="0.25">
      <c r="A69931" s="118"/>
      <c r="B69931" s="136"/>
    </row>
    <row r="69932" spans="1:2" x14ac:dyDescent="0.25">
      <c r="A69932" s="118"/>
      <c r="B69932" s="136"/>
    </row>
    <row r="69933" spans="1:2" x14ac:dyDescent="0.25">
      <c r="A69933" s="118"/>
      <c r="B69933" s="136"/>
    </row>
    <row r="69934" spans="1:2" x14ac:dyDescent="0.25">
      <c r="A69934" s="118"/>
      <c r="B69934" s="136"/>
    </row>
    <row r="69935" spans="1:2" x14ac:dyDescent="0.25">
      <c r="A69935" s="118"/>
      <c r="B69935" s="136"/>
    </row>
    <row r="69936" spans="1:2" x14ac:dyDescent="0.25">
      <c r="A69936" s="118"/>
      <c r="B69936" s="136"/>
    </row>
    <row r="69937" spans="1:2" x14ac:dyDescent="0.25">
      <c r="A69937" s="118"/>
      <c r="B69937" s="136"/>
    </row>
    <row r="69938" spans="1:2" x14ac:dyDescent="0.25">
      <c r="A69938" s="118"/>
      <c r="B69938" s="136"/>
    </row>
    <row r="69939" spans="1:2" x14ac:dyDescent="0.25">
      <c r="A69939" s="118"/>
      <c r="B69939" s="136"/>
    </row>
    <row r="69940" spans="1:2" x14ac:dyDescent="0.25">
      <c r="A69940" s="118"/>
      <c r="B69940" s="136"/>
    </row>
    <row r="69941" spans="1:2" x14ac:dyDescent="0.25">
      <c r="A69941" s="118"/>
      <c r="B69941" s="136"/>
    </row>
    <row r="69942" spans="1:2" x14ac:dyDescent="0.25">
      <c r="A69942" s="118"/>
      <c r="B69942" s="136"/>
    </row>
    <row r="69943" spans="1:2" x14ac:dyDescent="0.25">
      <c r="A69943" s="118"/>
      <c r="B69943" s="136"/>
    </row>
    <row r="69944" spans="1:2" x14ac:dyDescent="0.25">
      <c r="A69944" s="118"/>
      <c r="B69944" s="136"/>
    </row>
    <row r="69945" spans="1:2" x14ac:dyDescent="0.25">
      <c r="A69945" s="118"/>
      <c r="B69945" s="136"/>
    </row>
    <row r="69946" spans="1:2" x14ac:dyDescent="0.25">
      <c r="A69946" s="118"/>
      <c r="B69946" s="136"/>
    </row>
    <row r="69947" spans="1:2" x14ac:dyDescent="0.25">
      <c r="A69947" s="118"/>
      <c r="B69947" s="136"/>
    </row>
    <row r="69948" spans="1:2" x14ac:dyDescent="0.25">
      <c r="A69948" s="118"/>
      <c r="B69948" s="136"/>
    </row>
    <row r="69949" spans="1:2" x14ac:dyDescent="0.25">
      <c r="A69949" s="118"/>
      <c r="B69949" s="136"/>
    </row>
    <row r="69950" spans="1:2" x14ac:dyDescent="0.25">
      <c r="A69950" s="118"/>
      <c r="B69950" s="136"/>
    </row>
    <row r="69951" spans="1:2" x14ac:dyDescent="0.25">
      <c r="A69951" s="118"/>
      <c r="B69951" s="136"/>
    </row>
    <row r="69952" spans="1:2" x14ac:dyDescent="0.25">
      <c r="A69952" s="118"/>
      <c r="B69952" s="136"/>
    </row>
    <row r="69953" spans="1:2" x14ac:dyDescent="0.25">
      <c r="A69953" s="118"/>
      <c r="B69953" s="136"/>
    </row>
    <row r="69954" spans="1:2" x14ac:dyDescent="0.25">
      <c r="A69954" s="118"/>
      <c r="B69954" s="136"/>
    </row>
    <row r="69955" spans="1:2" x14ac:dyDescent="0.25">
      <c r="A69955" s="118"/>
      <c r="B69955" s="136"/>
    </row>
    <row r="69956" spans="1:2" x14ac:dyDescent="0.25">
      <c r="A69956" s="118"/>
      <c r="B69956" s="136"/>
    </row>
    <row r="69957" spans="1:2" x14ac:dyDescent="0.25">
      <c r="A69957" s="118"/>
      <c r="B69957" s="136"/>
    </row>
    <row r="69958" spans="1:2" x14ac:dyDescent="0.25">
      <c r="A69958" s="118"/>
      <c r="B69958" s="136"/>
    </row>
    <row r="69959" spans="1:2" x14ac:dyDescent="0.25">
      <c r="A69959" s="118"/>
      <c r="B69959" s="136"/>
    </row>
    <row r="69960" spans="1:2" x14ac:dyDescent="0.25">
      <c r="A69960" s="118"/>
      <c r="B69960" s="136"/>
    </row>
    <row r="69961" spans="1:2" x14ac:dyDescent="0.25">
      <c r="A69961" s="118"/>
      <c r="B69961" s="136"/>
    </row>
    <row r="69962" spans="1:2" x14ac:dyDescent="0.25">
      <c r="A69962" s="118"/>
      <c r="B69962" s="136"/>
    </row>
    <row r="69963" spans="1:2" x14ac:dyDescent="0.25">
      <c r="A69963" s="118"/>
      <c r="B69963" s="136"/>
    </row>
    <row r="69964" spans="1:2" x14ac:dyDescent="0.25">
      <c r="A69964" s="118"/>
      <c r="B69964" s="136"/>
    </row>
    <row r="69965" spans="1:2" x14ac:dyDescent="0.25">
      <c r="A69965" s="118"/>
      <c r="B69965" s="136"/>
    </row>
    <row r="69966" spans="1:2" x14ac:dyDescent="0.25">
      <c r="A69966" s="118"/>
      <c r="B69966" s="136"/>
    </row>
    <row r="69967" spans="1:2" x14ac:dyDescent="0.25">
      <c r="A69967" s="118"/>
      <c r="B69967" s="136"/>
    </row>
    <row r="69968" spans="1:2" x14ac:dyDescent="0.25">
      <c r="A69968" s="118"/>
      <c r="B69968" s="136"/>
    </row>
    <row r="69969" spans="1:2" x14ac:dyDescent="0.25">
      <c r="A69969" s="118"/>
      <c r="B69969" s="136"/>
    </row>
    <row r="69970" spans="1:2" x14ac:dyDescent="0.25">
      <c r="A69970" s="118"/>
      <c r="B69970" s="136"/>
    </row>
    <row r="69971" spans="1:2" x14ac:dyDescent="0.25">
      <c r="A69971" s="118"/>
      <c r="B69971" s="136"/>
    </row>
    <row r="69972" spans="1:2" x14ac:dyDescent="0.25">
      <c r="A69972" s="118"/>
      <c r="B69972" s="136"/>
    </row>
    <row r="69973" spans="1:2" x14ac:dyDescent="0.25">
      <c r="A69973" s="118"/>
      <c r="B69973" s="136"/>
    </row>
    <row r="69974" spans="1:2" x14ac:dyDescent="0.25">
      <c r="A69974" s="118"/>
      <c r="B69974" s="136"/>
    </row>
    <row r="69975" spans="1:2" x14ac:dyDescent="0.25">
      <c r="A69975" s="118"/>
      <c r="B69975" s="136"/>
    </row>
    <row r="69976" spans="1:2" x14ac:dyDescent="0.25">
      <c r="A69976" s="118"/>
      <c r="B69976" s="136"/>
    </row>
    <row r="69977" spans="1:2" x14ac:dyDescent="0.25">
      <c r="A69977" s="118"/>
      <c r="B69977" s="136"/>
    </row>
    <row r="69978" spans="1:2" x14ac:dyDescent="0.25">
      <c r="A69978" s="118"/>
      <c r="B69978" s="136"/>
    </row>
    <row r="69979" spans="1:2" x14ac:dyDescent="0.25">
      <c r="A69979" s="118"/>
      <c r="B69979" s="136"/>
    </row>
    <row r="69980" spans="1:2" x14ac:dyDescent="0.25">
      <c r="A69980" s="118"/>
      <c r="B69980" s="136"/>
    </row>
    <row r="69981" spans="1:2" x14ac:dyDescent="0.25">
      <c r="A69981" s="118"/>
      <c r="B69981" s="136"/>
    </row>
    <row r="69982" spans="1:2" x14ac:dyDescent="0.25">
      <c r="A69982" s="118"/>
      <c r="B69982" s="136"/>
    </row>
    <row r="69983" spans="1:2" x14ac:dyDescent="0.25">
      <c r="A69983" s="118"/>
      <c r="B69983" s="136"/>
    </row>
    <row r="69984" spans="1:2" x14ac:dyDescent="0.25">
      <c r="A69984" s="118"/>
      <c r="B69984" s="136"/>
    </row>
    <row r="69985" spans="1:2" x14ac:dyDescent="0.25">
      <c r="A69985" s="118"/>
      <c r="B69985" s="136"/>
    </row>
    <row r="69986" spans="1:2" x14ac:dyDescent="0.25">
      <c r="A69986" s="118"/>
      <c r="B69986" s="136"/>
    </row>
    <row r="69987" spans="1:2" x14ac:dyDescent="0.25">
      <c r="A69987" s="118"/>
      <c r="B69987" s="136"/>
    </row>
    <row r="69988" spans="1:2" x14ac:dyDescent="0.25">
      <c r="A69988" s="118"/>
      <c r="B69988" s="136"/>
    </row>
    <row r="69989" spans="1:2" x14ac:dyDescent="0.25">
      <c r="A69989" s="118"/>
      <c r="B69989" s="136"/>
    </row>
    <row r="69990" spans="1:2" x14ac:dyDescent="0.25">
      <c r="A69990" s="118"/>
      <c r="B69990" s="136"/>
    </row>
    <row r="69991" spans="1:2" x14ac:dyDescent="0.25">
      <c r="A69991" s="118"/>
      <c r="B69991" s="136"/>
    </row>
    <row r="69992" spans="1:2" x14ac:dyDescent="0.25">
      <c r="A69992" s="118"/>
      <c r="B69992" s="136"/>
    </row>
    <row r="69993" spans="1:2" x14ac:dyDescent="0.25">
      <c r="A69993" s="118"/>
      <c r="B69993" s="136"/>
    </row>
    <row r="69994" spans="1:2" x14ac:dyDescent="0.25">
      <c r="A69994" s="118"/>
      <c r="B69994" s="136"/>
    </row>
    <row r="69995" spans="1:2" x14ac:dyDescent="0.25">
      <c r="A69995" s="118"/>
      <c r="B69995" s="136"/>
    </row>
    <row r="69996" spans="1:2" x14ac:dyDescent="0.25">
      <c r="A69996" s="118"/>
      <c r="B69996" s="136"/>
    </row>
    <row r="69997" spans="1:2" x14ac:dyDescent="0.25">
      <c r="A69997" s="118"/>
      <c r="B69997" s="136"/>
    </row>
    <row r="69998" spans="1:2" x14ac:dyDescent="0.25">
      <c r="A69998" s="118"/>
      <c r="B69998" s="136"/>
    </row>
    <row r="69999" spans="1:2" x14ac:dyDescent="0.25">
      <c r="A69999" s="118"/>
      <c r="B69999" s="136"/>
    </row>
    <row r="70000" spans="1:2" x14ac:dyDescent="0.25">
      <c r="A70000" s="118"/>
      <c r="B70000" s="136"/>
    </row>
    <row r="70001" spans="1:2" x14ac:dyDescent="0.25">
      <c r="A70001" s="118"/>
      <c r="B70001" s="136"/>
    </row>
    <row r="70002" spans="1:2" x14ac:dyDescent="0.25">
      <c r="A70002" s="118"/>
      <c r="B70002" s="136"/>
    </row>
    <row r="70003" spans="1:2" x14ac:dyDescent="0.25">
      <c r="A70003" s="118"/>
      <c r="B70003" s="136"/>
    </row>
    <row r="70004" spans="1:2" x14ac:dyDescent="0.25">
      <c r="A70004" s="118"/>
      <c r="B70004" s="136"/>
    </row>
    <row r="70005" spans="1:2" x14ac:dyDescent="0.25">
      <c r="A70005" s="118"/>
      <c r="B70005" s="136"/>
    </row>
    <row r="70006" spans="1:2" x14ac:dyDescent="0.25">
      <c r="A70006" s="118"/>
      <c r="B70006" s="136"/>
    </row>
    <row r="70007" spans="1:2" x14ac:dyDescent="0.25">
      <c r="A70007" s="118"/>
      <c r="B70007" s="136"/>
    </row>
    <row r="70008" spans="1:2" x14ac:dyDescent="0.25">
      <c r="A70008" s="118"/>
      <c r="B70008" s="136"/>
    </row>
    <row r="70009" spans="1:2" x14ac:dyDescent="0.25">
      <c r="A70009" s="118"/>
      <c r="B70009" s="136"/>
    </row>
    <row r="70010" spans="1:2" x14ac:dyDescent="0.25">
      <c r="A70010" s="118"/>
      <c r="B70010" s="136"/>
    </row>
    <row r="70011" spans="1:2" x14ac:dyDescent="0.25">
      <c r="A70011" s="118"/>
      <c r="B70011" s="136"/>
    </row>
    <row r="70012" spans="1:2" x14ac:dyDescent="0.25">
      <c r="A70012" s="118"/>
      <c r="B70012" s="136"/>
    </row>
    <row r="70013" spans="1:2" x14ac:dyDescent="0.25">
      <c r="A70013" s="118"/>
      <c r="B70013" s="136"/>
    </row>
    <row r="70014" spans="1:2" x14ac:dyDescent="0.25">
      <c r="A70014" s="118"/>
      <c r="B70014" s="136"/>
    </row>
    <row r="70015" spans="1:2" x14ac:dyDescent="0.25">
      <c r="A70015" s="118"/>
      <c r="B70015" s="136"/>
    </row>
    <row r="70016" spans="1:2" x14ac:dyDescent="0.25">
      <c r="A70016" s="118"/>
      <c r="B70016" s="136"/>
    </row>
    <row r="70017" spans="1:2" x14ac:dyDescent="0.25">
      <c r="A70017" s="118"/>
      <c r="B70017" s="136"/>
    </row>
    <row r="70018" spans="1:2" x14ac:dyDescent="0.25">
      <c r="A70018" s="118"/>
      <c r="B70018" s="136"/>
    </row>
    <row r="70019" spans="1:2" x14ac:dyDescent="0.25">
      <c r="A70019" s="118"/>
      <c r="B70019" s="136"/>
    </row>
    <row r="70020" spans="1:2" x14ac:dyDescent="0.25">
      <c r="A70020" s="118"/>
      <c r="B70020" s="136"/>
    </row>
    <row r="70021" spans="1:2" x14ac:dyDescent="0.25">
      <c r="A70021" s="118"/>
      <c r="B70021" s="136"/>
    </row>
    <row r="70022" spans="1:2" x14ac:dyDescent="0.25">
      <c r="A70022" s="118"/>
      <c r="B70022" s="136"/>
    </row>
    <row r="70023" spans="1:2" x14ac:dyDescent="0.25">
      <c r="A70023" s="118"/>
      <c r="B70023" s="136"/>
    </row>
    <row r="70024" spans="1:2" x14ac:dyDescent="0.25">
      <c r="A70024" s="118"/>
      <c r="B70024" s="136"/>
    </row>
    <row r="70025" spans="1:2" x14ac:dyDescent="0.25">
      <c r="A70025" s="118"/>
      <c r="B70025" s="136"/>
    </row>
    <row r="70026" spans="1:2" x14ac:dyDescent="0.25">
      <c r="A70026" s="118"/>
      <c r="B70026" s="136"/>
    </row>
    <row r="70027" spans="1:2" x14ac:dyDescent="0.25">
      <c r="A70027" s="118"/>
      <c r="B70027" s="136"/>
    </row>
    <row r="70028" spans="1:2" x14ac:dyDescent="0.25">
      <c r="A70028" s="118"/>
      <c r="B70028" s="136"/>
    </row>
    <row r="70029" spans="1:2" x14ac:dyDescent="0.25">
      <c r="A70029" s="118"/>
      <c r="B70029" s="136"/>
    </row>
    <row r="70030" spans="1:2" x14ac:dyDescent="0.25">
      <c r="A70030" s="118"/>
      <c r="B70030" s="136"/>
    </row>
    <row r="70031" spans="1:2" x14ac:dyDescent="0.25">
      <c r="A70031" s="118"/>
      <c r="B70031" s="136"/>
    </row>
    <row r="70032" spans="1:2" x14ac:dyDescent="0.25">
      <c r="A70032" s="118"/>
      <c r="B70032" s="136"/>
    </row>
    <row r="70033" spans="1:2" x14ac:dyDescent="0.25">
      <c r="A70033" s="118"/>
      <c r="B70033" s="136"/>
    </row>
    <row r="70034" spans="1:2" x14ac:dyDescent="0.25">
      <c r="A70034" s="118"/>
      <c r="B70034" s="136"/>
    </row>
    <row r="70035" spans="1:2" x14ac:dyDescent="0.25">
      <c r="A70035" s="118"/>
      <c r="B70035" s="136"/>
    </row>
    <row r="70036" spans="1:2" x14ac:dyDescent="0.25">
      <c r="A70036" s="118"/>
      <c r="B70036" s="136"/>
    </row>
    <row r="70037" spans="1:2" x14ac:dyDescent="0.25">
      <c r="A70037" s="118"/>
      <c r="B70037" s="136"/>
    </row>
    <row r="70038" spans="1:2" x14ac:dyDescent="0.25">
      <c r="A70038" s="118"/>
      <c r="B70038" s="136"/>
    </row>
    <row r="70039" spans="1:2" x14ac:dyDescent="0.25">
      <c r="A70039" s="118"/>
      <c r="B70039" s="136"/>
    </row>
    <row r="70040" spans="1:2" x14ac:dyDescent="0.25">
      <c r="A70040" s="118"/>
      <c r="B70040" s="136"/>
    </row>
    <row r="70041" spans="1:2" x14ac:dyDescent="0.25">
      <c r="A70041" s="118"/>
      <c r="B70041" s="136"/>
    </row>
    <row r="70042" spans="1:2" x14ac:dyDescent="0.25">
      <c r="A70042" s="118"/>
      <c r="B70042" s="136"/>
    </row>
    <row r="70043" spans="1:2" x14ac:dyDescent="0.25">
      <c r="A70043" s="118"/>
      <c r="B70043" s="136"/>
    </row>
    <row r="70044" spans="1:2" x14ac:dyDescent="0.25">
      <c r="A70044" s="118"/>
      <c r="B70044" s="136"/>
    </row>
    <row r="70045" spans="1:2" x14ac:dyDescent="0.25">
      <c r="A70045" s="118"/>
      <c r="B70045" s="136"/>
    </row>
    <row r="70046" spans="1:2" x14ac:dyDescent="0.25">
      <c r="A70046" s="118"/>
      <c r="B70046" s="136"/>
    </row>
    <row r="70047" spans="1:2" x14ac:dyDescent="0.25">
      <c r="A70047" s="118"/>
      <c r="B70047" s="136"/>
    </row>
    <row r="70048" spans="1:2" x14ac:dyDescent="0.25">
      <c r="A70048" s="118"/>
      <c r="B70048" s="136"/>
    </row>
    <row r="70049" spans="1:2" x14ac:dyDescent="0.25">
      <c r="A70049" s="118"/>
      <c r="B70049" s="136"/>
    </row>
    <row r="70050" spans="1:2" x14ac:dyDescent="0.25">
      <c r="A70050" s="118"/>
      <c r="B70050" s="136"/>
    </row>
    <row r="70051" spans="1:2" x14ac:dyDescent="0.25">
      <c r="A70051" s="118"/>
      <c r="B70051" s="136"/>
    </row>
    <row r="70052" spans="1:2" x14ac:dyDescent="0.25">
      <c r="A70052" s="118"/>
      <c r="B70052" s="136"/>
    </row>
    <row r="70053" spans="1:2" x14ac:dyDescent="0.25">
      <c r="A70053" s="118"/>
      <c r="B70053" s="136"/>
    </row>
    <row r="70054" spans="1:2" x14ac:dyDescent="0.25">
      <c r="A70054" s="118"/>
      <c r="B70054" s="136"/>
    </row>
    <row r="70055" spans="1:2" x14ac:dyDescent="0.25">
      <c r="A70055" s="118"/>
      <c r="B70055" s="136"/>
    </row>
    <row r="70056" spans="1:2" x14ac:dyDescent="0.25">
      <c r="A70056" s="118"/>
      <c r="B70056" s="136"/>
    </row>
    <row r="70057" spans="1:2" x14ac:dyDescent="0.25">
      <c r="A70057" s="118"/>
      <c r="B70057" s="136"/>
    </row>
    <row r="70058" spans="1:2" x14ac:dyDescent="0.25">
      <c r="A70058" s="118"/>
      <c r="B70058" s="136"/>
    </row>
    <row r="70059" spans="1:2" x14ac:dyDescent="0.25">
      <c r="A70059" s="118"/>
      <c r="B70059" s="136"/>
    </row>
    <row r="70060" spans="1:2" x14ac:dyDescent="0.25">
      <c r="A70060" s="118"/>
      <c r="B70060" s="136"/>
    </row>
    <row r="70061" spans="1:2" x14ac:dyDescent="0.25">
      <c r="A70061" s="118"/>
      <c r="B70061" s="136"/>
    </row>
    <row r="70062" spans="1:2" x14ac:dyDescent="0.25">
      <c r="A70062" s="118"/>
      <c r="B70062" s="136"/>
    </row>
    <row r="70063" spans="1:2" x14ac:dyDescent="0.25">
      <c r="A70063" s="118"/>
      <c r="B70063" s="136"/>
    </row>
    <row r="70064" spans="1:2" x14ac:dyDescent="0.25">
      <c r="A70064" s="118"/>
      <c r="B70064" s="136"/>
    </row>
    <row r="70065" spans="1:2" x14ac:dyDescent="0.25">
      <c r="A70065" s="118"/>
      <c r="B70065" s="136"/>
    </row>
    <row r="70066" spans="1:2" x14ac:dyDescent="0.25">
      <c r="A70066" s="118"/>
      <c r="B70066" s="136"/>
    </row>
    <row r="70067" spans="1:2" x14ac:dyDescent="0.25">
      <c r="A70067" s="118"/>
      <c r="B70067" s="136"/>
    </row>
    <row r="70068" spans="1:2" x14ac:dyDescent="0.25">
      <c r="A70068" s="118"/>
      <c r="B70068" s="136"/>
    </row>
    <row r="70069" spans="1:2" x14ac:dyDescent="0.25">
      <c r="A70069" s="118"/>
      <c r="B70069" s="136"/>
    </row>
    <row r="70070" spans="1:2" x14ac:dyDescent="0.25">
      <c r="A70070" s="118"/>
      <c r="B70070" s="136"/>
    </row>
    <row r="70071" spans="1:2" x14ac:dyDescent="0.25">
      <c r="A70071" s="118"/>
      <c r="B70071" s="136"/>
    </row>
    <row r="70072" spans="1:2" x14ac:dyDescent="0.25">
      <c r="A70072" s="118"/>
      <c r="B70072" s="136"/>
    </row>
    <row r="70073" spans="1:2" x14ac:dyDescent="0.25">
      <c r="A70073" s="118"/>
      <c r="B70073" s="136"/>
    </row>
    <row r="70074" spans="1:2" x14ac:dyDescent="0.25">
      <c r="A70074" s="118"/>
      <c r="B70074" s="136"/>
    </row>
    <row r="70075" spans="1:2" x14ac:dyDescent="0.25">
      <c r="A70075" s="118"/>
      <c r="B70075" s="136"/>
    </row>
    <row r="70076" spans="1:2" x14ac:dyDescent="0.25">
      <c r="A70076" s="118"/>
      <c r="B70076" s="136"/>
    </row>
    <row r="70077" spans="1:2" x14ac:dyDescent="0.25">
      <c r="A70077" s="118"/>
      <c r="B70077" s="136"/>
    </row>
    <row r="70078" spans="1:2" x14ac:dyDescent="0.25">
      <c r="A70078" s="118"/>
      <c r="B70078" s="136"/>
    </row>
    <row r="70079" spans="1:2" x14ac:dyDescent="0.25">
      <c r="A70079" s="118"/>
      <c r="B70079" s="136"/>
    </row>
    <row r="70080" spans="1:2" x14ac:dyDescent="0.25">
      <c r="A70080" s="118"/>
      <c r="B70080" s="136"/>
    </row>
    <row r="70081" spans="1:2" x14ac:dyDescent="0.25">
      <c r="A70081" s="118"/>
      <c r="B70081" s="136"/>
    </row>
    <row r="70082" spans="1:2" x14ac:dyDescent="0.25">
      <c r="A70082" s="118"/>
      <c r="B70082" s="136"/>
    </row>
    <row r="70083" spans="1:2" x14ac:dyDescent="0.25">
      <c r="A70083" s="118"/>
      <c r="B70083" s="136"/>
    </row>
    <row r="70084" spans="1:2" x14ac:dyDescent="0.25">
      <c r="A70084" s="118"/>
      <c r="B70084" s="136"/>
    </row>
    <row r="70085" spans="1:2" x14ac:dyDescent="0.25">
      <c r="A70085" s="118"/>
      <c r="B70085" s="136"/>
    </row>
    <row r="70086" spans="1:2" x14ac:dyDescent="0.25">
      <c r="A70086" s="118"/>
      <c r="B70086" s="136"/>
    </row>
    <row r="70087" spans="1:2" x14ac:dyDescent="0.25">
      <c r="A70087" s="118"/>
      <c r="B70087" s="136"/>
    </row>
    <row r="70088" spans="1:2" x14ac:dyDescent="0.25">
      <c r="A70088" s="118"/>
      <c r="B70088" s="136"/>
    </row>
    <row r="70089" spans="1:2" x14ac:dyDescent="0.25">
      <c r="A70089" s="118"/>
      <c r="B70089" s="136"/>
    </row>
    <row r="70090" spans="1:2" x14ac:dyDescent="0.25">
      <c r="A70090" s="118"/>
      <c r="B70090" s="136"/>
    </row>
    <row r="70091" spans="1:2" x14ac:dyDescent="0.25">
      <c r="A70091" s="118"/>
      <c r="B70091" s="136"/>
    </row>
    <row r="70092" spans="1:2" x14ac:dyDescent="0.25">
      <c r="A70092" s="118"/>
      <c r="B70092" s="136"/>
    </row>
    <row r="70093" spans="1:2" x14ac:dyDescent="0.25">
      <c r="A70093" s="118"/>
      <c r="B70093" s="136"/>
    </row>
    <row r="70094" spans="1:2" x14ac:dyDescent="0.25">
      <c r="A70094" s="118"/>
      <c r="B70094" s="136"/>
    </row>
    <row r="70095" spans="1:2" x14ac:dyDescent="0.25">
      <c r="A70095" s="118"/>
      <c r="B70095" s="136"/>
    </row>
    <row r="70096" spans="1:2" x14ac:dyDescent="0.25">
      <c r="A70096" s="118"/>
      <c r="B70096" s="136"/>
    </row>
    <row r="70097" spans="1:2" x14ac:dyDescent="0.25">
      <c r="A70097" s="118"/>
      <c r="B70097" s="136"/>
    </row>
    <row r="70098" spans="1:2" x14ac:dyDescent="0.25">
      <c r="A70098" s="118"/>
      <c r="B70098" s="136"/>
    </row>
    <row r="70099" spans="1:2" x14ac:dyDescent="0.25">
      <c r="A70099" s="118"/>
      <c r="B70099" s="136"/>
    </row>
    <row r="70100" spans="1:2" x14ac:dyDescent="0.25">
      <c r="A70100" s="118"/>
      <c r="B70100" s="136"/>
    </row>
    <row r="70101" spans="1:2" x14ac:dyDescent="0.25">
      <c r="A70101" s="118"/>
      <c r="B70101" s="136"/>
    </row>
    <row r="70102" spans="1:2" x14ac:dyDescent="0.25">
      <c r="A70102" s="118"/>
      <c r="B70102" s="136"/>
    </row>
    <row r="70103" spans="1:2" x14ac:dyDescent="0.25">
      <c r="A70103" s="118"/>
      <c r="B70103" s="136"/>
    </row>
    <row r="70104" spans="1:2" x14ac:dyDescent="0.25">
      <c r="A70104" s="118"/>
      <c r="B70104" s="136"/>
    </row>
    <row r="70105" spans="1:2" x14ac:dyDescent="0.25">
      <c r="A70105" s="118"/>
      <c r="B70105" s="136"/>
    </row>
    <row r="70106" spans="1:2" x14ac:dyDescent="0.25">
      <c r="A70106" s="118"/>
      <c r="B70106" s="136"/>
    </row>
    <row r="70107" spans="1:2" x14ac:dyDescent="0.25">
      <c r="A70107" s="118"/>
      <c r="B70107" s="136"/>
    </row>
    <row r="70108" spans="1:2" x14ac:dyDescent="0.25">
      <c r="A70108" s="118"/>
      <c r="B70108" s="136"/>
    </row>
    <row r="70109" spans="1:2" x14ac:dyDescent="0.25">
      <c r="A70109" s="118"/>
      <c r="B70109" s="136"/>
    </row>
    <row r="70110" spans="1:2" x14ac:dyDescent="0.25">
      <c r="A70110" s="118"/>
      <c r="B70110" s="136"/>
    </row>
    <row r="70111" spans="1:2" x14ac:dyDescent="0.25">
      <c r="A70111" s="118"/>
      <c r="B70111" s="136"/>
    </row>
    <row r="70112" spans="1:2" x14ac:dyDescent="0.25">
      <c r="A70112" s="118"/>
      <c r="B70112" s="136"/>
    </row>
    <row r="70113" spans="1:2" x14ac:dyDescent="0.25">
      <c r="A70113" s="118"/>
      <c r="B70113" s="136"/>
    </row>
    <row r="70114" spans="1:2" x14ac:dyDescent="0.25">
      <c r="A70114" s="118"/>
      <c r="B70114" s="136"/>
    </row>
    <row r="70115" spans="1:2" x14ac:dyDescent="0.25">
      <c r="A70115" s="118"/>
      <c r="B70115" s="136"/>
    </row>
    <row r="70116" spans="1:2" x14ac:dyDescent="0.25">
      <c r="A70116" s="118"/>
      <c r="B70116" s="136"/>
    </row>
    <row r="70117" spans="1:2" x14ac:dyDescent="0.25">
      <c r="A70117" s="118"/>
      <c r="B70117" s="136"/>
    </row>
    <row r="70118" spans="1:2" x14ac:dyDescent="0.25">
      <c r="A70118" s="118"/>
      <c r="B70118" s="136"/>
    </row>
    <row r="70119" spans="1:2" x14ac:dyDescent="0.25">
      <c r="A70119" s="118"/>
      <c r="B70119" s="136"/>
    </row>
    <row r="70120" spans="1:2" x14ac:dyDescent="0.25">
      <c r="A70120" s="118"/>
      <c r="B70120" s="136"/>
    </row>
    <row r="70121" spans="1:2" x14ac:dyDescent="0.25">
      <c r="A70121" s="118"/>
      <c r="B70121" s="136"/>
    </row>
    <row r="70122" spans="1:2" x14ac:dyDescent="0.25">
      <c r="A70122" s="118"/>
      <c r="B70122" s="136"/>
    </row>
    <row r="70123" spans="1:2" x14ac:dyDescent="0.25">
      <c r="A70123" s="118"/>
      <c r="B70123" s="136"/>
    </row>
    <row r="70124" spans="1:2" x14ac:dyDescent="0.25">
      <c r="A70124" s="118"/>
      <c r="B70124" s="136"/>
    </row>
    <row r="70125" spans="1:2" x14ac:dyDescent="0.25">
      <c r="A70125" s="118"/>
      <c r="B70125" s="136"/>
    </row>
    <row r="70126" spans="1:2" x14ac:dyDescent="0.25">
      <c r="A70126" s="118"/>
      <c r="B70126" s="136"/>
    </row>
    <row r="70127" spans="1:2" x14ac:dyDescent="0.25">
      <c r="A70127" s="118"/>
      <c r="B70127" s="136"/>
    </row>
    <row r="70128" spans="1:2" x14ac:dyDescent="0.25">
      <c r="A70128" s="118"/>
      <c r="B70128" s="136"/>
    </row>
    <row r="70129" spans="1:2" x14ac:dyDescent="0.25">
      <c r="A70129" s="118"/>
      <c r="B70129" s="136"/>
    </row>
    <row r="70130" spans="1:2" x14ac:dyDescent="0.25">
      <c r="A70130" s="118"/>
      <c r="B70130" s="136"/>
    </row>
    <row r="70131" spans="1:2" x14ac:dyDescent="0.25">
      <c r="A70131" s="118"/>
      <c r="B70131" s="136"/>
    </row>
    <row r="70132" spans="1:2" x14ac:dyDescent="0.25">
      <c r="A70132" s="118"/>
      <c r="B70132" s="136"/>
    </row>
    <row r="70133" spans="1:2" x14ac:dyDescent="0.25">
      <c r="A70133" s="118"/>
      <c r="B70133" s="136"/>
    </row>
    <row r="70134" spans="1:2" x14ac:dyDescent="0.25">
      <c r="A70134" s="118"/>
      <c r="B70134" s="136"/>
    </row>
    <row r="70135" spans="1:2" x14ac:dyDescent="0.25">
      <c r="A70135" s="118"/>
      <c r="B70135" s="136"/>
    </row>
    <row r="70136" spans="1:2" x14ac:dyDescent="0.25">
      <c r="A70136" s="118"/>
      <c r="B70136" s="136"/>
    </row>
    <row r="70137" spans="1:2" x14ac:dyDescent="0.25">
      <c r="A70137" s="118"/>
      <c r="B70137" s="136"/>
    </row>
    <row r="70138" spans="1:2" x14ac:dyDescent="0.25">
      <c r="A70138" s="118"/>
      <c r="B70138" s="136"/>
    </row>
    <row r="70139" spans="1:2" x14ac:dyDescent="0.25">
      <c r="A70139" s="118"/>
      <c r="B70139" s="136"/>
    </row>
    <row r="70140" spans="1:2" x14ac:dyDescent="0.25">
      <c r="A70140" s="118"/>
      <c r="B70140" s="136"/>
    </row>
    <row r="70141" spans="1:2" x14ac:dyDescent="0.25">
      <c r="A70141" s="118"/>
      <c r="B70141" s="136"/>
    </row>
    <row r="70142" spans="1:2" x14ac:dyDescent="0.25">
      <c r="A70142" s="118"/>
      <c r="B70142" s="136"/>
    </row>
    <row r="70143" spans="1:2" x14ac:dyDescent="0.25">
      <c r="A70143" s="118"/>
      <c r="B70143" s="136"/>
    </row>
    <row r="70144" spans="1:2" x14ac:dyDescent="0.25">
      <c r="A70144" s="118"/>
      <c r="B70144" s="136"/>
    </row>
    <row r="70145" spans="1:2" x14ac:dyDescent="0.25">
      <c r="A70145" s="118"/>
      <c r="B70145" s="136"/>
    </row>
    <row r="70146" spans="1:2" x14ac:dyDescent="0.25">
      <c r="A70146" s="118"/>
      <c r="B70146" s="136"/>
    </row>
    <row r="70147" spans="1:2" x14ac:dyDescent="0.25">
      <c r="A70147" s="118"/>
      <c r="B70147" s="136"/>
    </row>
    <row r="70148" spans="1:2" x14ac:dyDescent="0.25">
      <c r="A70148" s="118"/>
      <c r="B70148" s="136"/>
    </row>
    <row r="70149" spans="1:2" x14ac:dyDescent="0.25">
      <c r="A70149" s="118"/>
      <c r="B70149" s="136"/>
    </row>
    <row r="70150" spans="1:2" x14ac:dyDescent="0.25">
      <c r="A70150" s="118"/>
      <c r="B70150" s="136"/>
    </row>
    <row r="70151" spans="1:2" x14ac:dyDescent="0.25">
      <c r="A70151" s="118"/>
      <c r="B70151" s="136"/>
    </row>
    <row r="70152" spans="1:2" x14ac:dyDescent="0.25">
      <c r="A70152" s="118"/>
      <c r="B70152" s="136"/>
    </row>
    <row r="70153" spans="1:2" x14ac:dyDescent="0.25">
      <c r="A70153" s="118"/>
      <c r="B70153" s="136"/>
    </row>
    <row r="70154" spans="1:2" x14ac:dyDescent="0.25">
      <c r="A70154" s="118"/>
      <c r="B70154" s="136"/>
    </row>
    <row r="70155" spans="1:2" x14ac:dyDescent="0.25">
      <c r="A70155" s="118"/>
      <c r="B70155" s="136"/>
    </row>
    <row r="70156" spans="1:2" x14ac:dyDescent="0.25">
      <c r="A70156" s="118"/>
      <c r="B70156" s="136"/>
    </row>
    <row r="70157" spans="1:2" x14ac:dyDescent="0.25">
      <c r="A70157" s="118"/>
      <c r="B70157" s="136"/>
    </row>
    <row r="70158" spans="1:2" x14ac:dyDescent="0.25">
      <c r="A70158" s="118"/>
      <c r="B70158" s="136"/>
    </row>
    <row r="70159" spans="1:2" x14ac:dyDescent="0.25">
      <c r="A70159" s="118"/>
      <c r="B70159" s="136"/>
    </row>
    <row r="70160" spans="1:2" x14ac:dyDescent="0.25">
      <c r="A70160" s="118"/>
      <c r="B70160" s="136"/>
    </row>
    <row r="70161" spans="1:2" x14ac:dyDescent="0.25">
      <c r="A70161" s="118"/>
      <c r="B70161" s="136"/>
    </row>
    <row r="70162" spans="1:2" x14ac:dyDescent="0.25">
      <c r="A70162" s="118"/>
      <c r="B70162" s="136"/>
    </row>
    <row r="70163" spans="1:2" x14ac:dyDescent="0.25">
      <c r="A70163" s="118"/>
      <c r="B70163" s="136"/>
    </row>
    <row r="70164" spans="1:2" x14ac:dyDescent="0.25">
      <c r="A70164" s="118"/>
      <c r="B70164" s="136"/>
    </row>
    <row r="70165" spans="1:2" x14ac:dyDescent="0.25">
      <c r="A70165" s="118"/>
      <c r="B70165" s="136"/>
    </row>
    <row r="70166" spans="1:2" x14ac:dyDescent="0.25">
      <c r="A70166" s="118"/>
      <c r="B70166" s="136"/>
    </row>
    <row r="70167" spans="1:2" x14ac:dyDescent="0.25">
      <c r="A70167" s="118"/>
      <c r="B70167" s="136"/>
    </row>
    <row r="70168" spans="1:2" x14ac:dyDescent="0.25">
      <c r="A70168" s="118"/>
      <c r="B70168" s="136"/>
    </row>
    <row r="70169" spans="1:2" x14ac:dyDescent="0.25">
      <c r="A70169" s="118"/>
      <c r="B70169" s="136"/>
    </row>
    <row r="70170" spans="1:2" x14ac:dyDescent="0.25">
      <c r="A70170" s="118"/>
      <c r="B70170" s="136"/>
    </row>
    <row r="70171" spans="1:2" x14ac:dyDescent="0.25">
      <c r="A70171" s="118"/>
      <c r="B70171" s="136"/>
    </row>
    <row r="70172" spans="1:2" x14ac:dyDescent="0.25">
      <c r="A70172" s="118"/>
      <c r="B70172" s="136"/>
    </row>
    <row r="70173" spans="1:2" x14ac:dyDescent="0.25">
      <c r="A70173" s="118"/>
      <c r="B70173" s="136"/>
    </row>
    <row r="70174" spans="1:2" x14ac:dyDescent="0.25">
      <c r="A70174" s="118"/>
      <c r="B70174" s="136"/>
    </row>
    <row r="70175" spans="1:2" x14ac:dyDescent="0.25">
      <c r="A70175" s="118"/>
      <c r="B70175" s="136"/>
    </row>
    <row r="70176" spans="1:2" x14ac:dyDescent="0.25">
      <c r="A70176" s="118"/>
      <c r="B70176" s="136"/>
    </row>
    <row r="70177" spans="1:2" x14ac:dyDescent="0.25">
      <c r="A70177" s="118"/>
      <c r="B70177" s="136"/>
    </row>
    <row r="70178" spans="1:2" x14ac:dyDescent="0.25">
      <c r="A70178" s="118"/>
      <c r="B70178" s="136"/>
    </row>
    <row r="70179" spans="1:2" x14ac:dyDescent="0.25">
      <c r="A70179" s="118"/>
      <c r="B70179" s="136"/>
    </row>
    <row r="70180" spans="1:2" x14ac:dyDescent="0.25">
      <c r="A70180" s="118"/>
      <c r="B70180" s="136"/>
    </row>
    <row r="70181" spans="1:2" x14ac:dyDescent="0.25">
      <c r="A70181" s="118"/>
      <c r="B70181" s="136"/>
    </row>
    <row r="70182" spans="1:2" x14ac:dyDescent="0.25">
      <c r="A70182" s="118"/>
      <c r="B70182" s="136"/>
    </row>
    <row r="70183" spans="1:2" x14ac:dyDescent="0.25">
      <c r="A70183" s="118"/>
      <c r="B70183" s="136"/>
    </row>
    <row r="70184" spans="1:2" x14ac:dyDescent="0.25">
      <c r="A70184" s="118"/>
      <c r="B70184" s="136"/>
    </row>
    <row r="70185" spans="1:2" x14ac:dyDescent="0.25">
      <c r="A70185" s="118"/>
      <c r="B70185" s="136"/>
    </row>
    <row r="70186" spans="1:2" x14ac:dyDescent="0.25">
      <c r="A70186" s="118"/>
      <c r="B70186" s="136"/>
    </row>
    <row r="70187" spans="1:2" x14ac:dyDescent="0.25">
      <c r="A70187" s="118"/>
      <c r="B70187" s="136"/>
    </row>
    <row r="70188" spans="1:2" x14ac:dyDescent="0.25">
      <c r="A70188" s="118"/>
      <c r="B70188" s="136"/>
    </row>
    <row r="70189" spans="1:2" x14ac:dyDescent="0.25">
      <c r="A70189" s="118"/>
      <c r="B70189" s="136"/>
    </row>
    <row r="70190" spans="1:2" x14ac:dyDescent="0.25">
      <c r="A70190" s="118"/>
      <c r="B70190" s="136"/>
    </row>
    <row r="70191" spans="1:2" x14ac:dyDescent="0.25">
      <c r="A70191" s="118"/>
      <c r="B70191" s="136"/>
    </row>
    <row r="70192" spans="1:2" x14ac:dyDescent="0.25">
      <c r="A70192" s="118"/>
      <c r="B70192" s="136"/>
    </row>
    <row r="70193" spans="1:2" x14ac:dyDescent="0.25">
      <c r="A70193" s="118"/>
      <c r="B70193" s="136"/>
    </row>
    <row r="70194" spans="1:2" x14ac:dyDescent="0.25">
      <c r="A70194" s="118"/>
      <c r="B70194" s="136"/>
    </row>
    <row r="70195" spans="1:2" x14ac:dyDescent="0.25">
      <c r="A70195" s="118"/>
      <c r="B70195" s="136"/>
    </row>
    <row r="70196" spans="1:2" x14ac:dyDescent="0.25">
      <c r="A70196" s="118"/>
      <c r="B70196" s="136"/>
    </row>
    <row r="70197" spans="1:2" x14ac:dyDescent="0.25">
      <c r="A70197" s="118"/>
      <c r="B70197" s="136"/>
    </row>
    <row r="70198" spans="1:2" x14ac:dyDescent="0.25">
      <c r="A70198" s="118"/>
      <c r="B70198" s="136"/>
    </row>
    <row r="70199" spans="1:2" x14ac:dyDescent="0.25">
      <c r="A70199" s="118"/>
      <c r="B70199" s="136"/>
    </row>
    <row r="70200" spans="1:2" x14ac:dyDescent="0.25">
      <c r="A70200" s="118"/>
      <c r="B70200" s="136"/>
    </row>
    <row r="70201" spans="1:2" x14ac:dyDescent="0.25">
      <c r="A70201" s="118"/>
      <c r="B70201" s="136"/>
    </row>
    <row r="70202" spans="1:2" x14ac:dyDescent="0.25">
      <c r="A70202" s="118"/>
      <c r="B70202" s="136"/>
    </row>
    <row r="70203" spans="1:2" x14ac:dyDescent="0.25">
      <c r="A70203" s="118"/>
      <c r="B70203" s="136"/>
    </row>
    <row r="70204" spans="1:2" x14ac:dyDescent="0.25">
      <c r="A70204" s="118"/>
      <c r="B70204" s="136"/>
    </row>
    <row r="70205" spans="1:2" x14ac:dyDescent="0.25">
      <c r="A70205" s="118"/>
      <c r="B70205" s="136"/>
    </row>
    <row r="70206" spans="1:2" x14ac:dyDescent="0.25">
      <c r="A70206" s="118"/>
      <c r="B70206" s="136"/>
    </row>
    <row r="70207" spans="1:2" x14ac:dyDescent="0.25">
      <c r="A70207" s="118"/>
      <c r="B70207" s="136"/>
    </row>
    <row r="70208" spans="1:2" x14ac:dyDescent="0.25">
      <c r="A70208" s="118"/>
      <c r="B70208" s="136"/>
    </row>
    <row r="70209" spans="1:2" x14ac:dyDescent="0.25">
      <c r="A70209" s="118"/>
      <c r="B70209" s="136"/>
    </row>
    <row r="70210" spans="1:2" x14ac:dyDescent="0.25">
      <c r="A70210" s="118"/>
      <c r="B70210" s="136"/>
    </row>
    <row r="70211" spans="1:2" x14ac:dyDescent="0.25">
      <c r="A70211" s="118"/>
      <c r="B70211" s="136"/>
    </row>
    <row r="70212" spans="1:2" x14ac:dyDescent="0.25">
      <c r="A70212" s="118"/>
      <c r="B70212" s="136"/>
    </row>
    <row r="70213" spans="1:2" x14ac:dyDescent="0.25">
      <c r="A70213" s="118"/>
      <c r="B70213" s="136"/>
    </row>
    <row r="70214" spans="1:2" x14ac:dyDescent="0.25">
      <c r="A70214" s="118"/>
      <c r="B70214" s="136"/>
    </row>
    <row r="70215" spans="1:2" x14ac:dyDescent="0.25">
      <c r="A70215" s="118"/>
      <c r="B70215" s="136"/>
    </row>
    <row r="70216" spans="1:2" x14ac:dyDescent="0.25">
      <c r="A70216" s="118"/>
      <c r="B70216" s="136"/>
    </row>
    <row r="70217" spans="1:2" x14ac:dyDescent="0.25">
      <c r="A70217" s="118"/>
      <c r="B70217" s="136"/>
    </row>
    <row r="70218" spans="1:2" x14ac:dyDescent="0.25">
      <c r="A70218" s="118"/>
      <c r="B70218" s="136"/>
    </row>
    <row r="70219" spans="1:2" x14ac:dyDescent="0.25">
      <c r="A70219" s="118"/>
      <c r="B70219" s="136"/>
    </row>
    <row r="70220" spans="1:2" x14ac:dyDescent="0.25">
      <c r="A70220" s="118"/>
      <c r="B70220" s="136"/>
    </row>
    <row r="70221" spans="1:2" x14ac:dyDescent="0.25">
      <c r="A70221" s="118"/>
      <c r="B70221" s="136"/>
    </row>
    <row r="70222" spans="1:2" x14ac:dyDescent="0.25">
      <c r="A70222" s="118"/>
      <c r="B70222" s="136"/>
    </row>
    <row r="70223" spans="1:2" x14ac:dyDescent="0.25">
      <c r="A70223" s="118"/>
      <c r="B70223" s="136"/>
    </row>
    <row r="70224" spans="1:2" x14ac:dyDescent="0.25">
      <c r="A70224" s="118"/>
      <c r="B70224" s="136"/>
    </row>
    <row r="70225" spans="1:2" x14ac:dyDescent="0.25">
      <c r="A70225" s="118"/>
      <c r="B70225" s="136"/>
    </row>
    <row r="70226" spans="1:2" x14ac:dyDescent="0.25">
      <c r="A70226" s="118"/>
      <c r="B70226" s="136"/>
    </row>
    <row r="70227" spans="1:2" x14ac:dyDescent="0.25">
      <c r="A70227" s="118"/>
      <c r="B70227" s="136"/>
    </row>
    <row r="70228" spans="1:2" x14ac:dyDescent="0.25">
      <c r="A70228" s="118"/>
      <c r="B70228" s="136"/>
    </row>
    <row r="70229" spans="1:2" x14ac:dyDescent="0.25">
      <c r="A70229" s="118"/>
      <c r="B70229" s="136"/>
    </row>
    <row r="70230" spans="1:2" x14ac:dyDescent="0.25">
      <c r="A70230" s="118"/>
      <c r="B70230" s="136"/>
    </row>
    <row r="70231" spans="1:2" x14ac:dyDescent="0.25">
      <c r="A70231" s="118"/>
      <c r="B70231" s="136"/>
    </row>
    <row r="70232" spans="1:2" x14ac:dyDescent="0.25">
      <c r="A70232" s="118"/>
      <c r="B70232" s="136"/>
    </row>
    <row r="70233" spans="1:2" x14ac:dyDescent="0.25">
      <c r="A70233" s="118"/>
      <c r="B70233" s="136"/>
    </row>
    <row r="70234" spans="1:2" x14ac:dyDescent="0.25">
      <c r="A70234" s="118"/>
      <c r="B70234" s="136"/>
    </row>
    <row r="70235" spans="1:2" x14ac:dyDescent="0.25">
      <c r="A70235" s="118"/>
      <c r="B70235" s="136"/>
    </row>
    <row r="70236" spans="1:2" x14ac:dyDescent="0.25">
      <c r="A70236" s="118"/>
      <c r="B70236" s="136"/>
    </row>
    <row r="70237" spans="1:2" x14ac:dyDescent="0.25">
      <c r="A70237" s="118"/>
      <c r="B70237" s="136"/>
    </row>
    <row r="70238" spans="1:2" x14ac:dyDescent="0.25">
      <c r="A70238" s="118"/>
      <c r="B70238" s="136"/>
    </row>
    <row r="70239" spans="1:2" x14ac:dyDescent="0.25">
      <c r="A70239" s="118"/>
      <c r="B70239" s="136"/>
    </row>
    <row r="70240" spans="1:2" x14ac:dyDescent="0.25">
      <c r="A70240" s="118"/>
      <c r="B70240" s="136"/>
    </row>
    <row r="70241" spans="1:2" x14ac:dyDescent="0.25">
      <c r="A70241" s="118"/>
      <c r="B70241" s="136"/>
    </row>
    <row r="70242" spans="1:2" x14ac:dyDescent="0.25">
      <c r="A70242" s="118"/>
      <c r="B70242" s="136"/>
    </row>
    <row r="70243" spans="1:2" x14ac:dyDescent="0.25">
      <c r="A70243" s="118"/>
      <c r="B70243" s="136"/>
    </row>
    <row r="70244" spans="1:2" x14ac:dyDescent="0.25">
      <c r="A70244" s="118"/>
      <c r="B70244" s="136"/>
    </row>
    <row r="70245" spans="1:2" x14ac:dyDescent="0.25">
      <c r="A70245" s="118"/>
      <c r="B70245" s="136"/>
    </row>
    <row r="70246" spans="1:2" x14ac:dyDescent="0.25">
      <c r="A70246" s="118"/>
      <c r="B70246" s="136"/>
    </row>
    <row r="70247" spans="1:2" x14ac:dyDescent="0.25">
      <c r="A70247" s="118"/>
      <c r="B70247" s="136"/>
    </row>
    <row r="70248" spans="1:2" x14ac:dyDescent="0.25">
      <c r="A70248" s="118"/>
      <c r="B70248" s="136"/>
    </row>
    <row r="70249" spans="1:2" x14ac:dyDescent="0.25">
      <c r="A70249" s="118"/>
      <c r="B70249" s="136"/>
    </row>
    <row r="70250" spans="1:2" x14ac:dyDescent="0.25">
      <c r="A70250" s="118"/>
      <c r="B70250" s="136"/>
    </row>
    <row r="70251" spans="1:2" x14ac:dyDescent="0.25">
      <c r="A70251" s="118"/>
      <c r="B70251" s="136"/>
    </row>
    <row r="70252" spans="1:2" x14ac:dyDescent="0.25">
      <c r="A70252" s="118"/>
      <c r="B70252" s="136"/>
    </row>
    <row r="70253" spans="1:2" x14ac:dyDescent="0.25">
      <c r="A70253" s="118"/>
      <c r="B70253" s="136"/>
    </row>
    <row r="70254" spans="1:2" x14ac:dyDescent="0.25">
      <c r="A70254" s="118"/>
      <c r="B70254" s="136"/>
    </row>
    <row r="70255" spans="1:2" x14ac:dyDescent="0.25">
      <c r="A70255" s="118"/>
      <c r="B70255" s="136"/>
    </row>
    <row r="70256" spans="1:2" x14ac:dyDescent="0.25">
      <c r="A70256" s="118"/>
      <c r="B70256" s="136"/>
    </row>
    <row r="70257" spans="1:2" x14ac:dyDescent="0.25">
      <c r="A70257" s="118"/>
      <c r="B70257" s="136"/>
    </row>
    <row r="70258" spans="1:2" x14ac:dyDescent="0.25">
      <c r="A70258" s="118"/>
      <c r="B70258" s="136"/>
    </row>
    <row r="70259" spans="1:2" x14ac:dyDescent="0.25">
      <c r="A70259" s="118"/>
      <c r="B70259" s="136"/>
    </row>
    <row r="70260" spans="1:2" x14ac:dyDescent="0.25">
      <c r="A70260" s="118"/>
      <c r="B70260" s="136"/>
    </row>
    <row r="70261" spans="1:2" x14ac:dyDescent="0.25">
      <c r="A70261" s="118"/>
      <c r="B70261" s="136"/>
    </row>
    <row r="70262" spans="1:2" x14ac:dyDescent="0.25">
      <c r="A70262" s="118"/>
      <c r="B70262" s="136"/>
    </row>
    <row r="70263" spans="1:2" x14ac:dyDescent="0.25">
      <c r="A70263" s="118"/>
      <c r="B70263" s="136"/>
    </row>
    <row r="70264" spans="1:2" x14ac:dyDescent="0.25">
      <c r="A70264" s="118"/>
      <c r="B70264" s="136"/>
    </row>
    <row r="70265" spans="1:2" x14ac:dyDescent="0.25">
      <c r="A70265" s="118"/>
      <c r="B70265" s="136"/>
    </row>
    <row r="70266" spans="1:2" x14ac:dyDescent="0.25">
      <c r="A70266" s="118"/>
      <c r="B70266" s="136"/>
    </row>
    <row r="70267" spans="1:2" x14ac:dyDescent="0.25">
      <c r="A70267" s="118"/>
      <c r="B70267" s="136"/>
    </row>
    <row r="70268" spans="1:2" x14ac:dyDescent="0.25">
      <c r="A70268" s="118"/>
      <c r="B70268" s="136"/>
    </row>
    <row r="70269" spans="1:2" x14ac:dyDescent="0.25">
      <c r="A70269" s="118"/>
      <c r="B70269" s="136"/>
    </row>
    <row r="70270" spans="1:2" x14ac:dyDescent="0.25">
      <c r="A70270" s="118"/>
      <c r="B70270" s="136"/>
    </row>
    <row r="70271" spans="1:2" x14ac:dyDescent="0.25">
      <c r="A70271" s="118"/>
      <c r="B70271" s="136"/>
    </row>
    <row r="70272" spans="1:2" x14ac:dyDescent="0.25">
      <c r="A70272" s="118"/>
      <c r="B70272" s="136"/>
    </row>
    <row r="70273" spans="1:2" x14ac:dyDescent="0.25">
      <c r="A70273" s="118"/>
      <c r="B70273" s="136"/>
    </row>
    <row r="70274" spans="1:2" x14ac:dyDescent="0.25">
      <c r="A70274" s="118"/>
      <c r="B70274" s="136"/>
    </row>
    <row r="70275" spans="1:2" x14ac:dyDescent="0.25">
      <c r="A70275" s="118"/>
      <c r="B70275" s="136"/>
    </row>
    <row r="70276" spans="1:2" x14ac:dyDescent="0.25">
      <c r="A70276" s="118"/>
      <c r="B70276" s="136"/>
    </row>
    <row r="70277" spans="1:2" x14ac:dyDescent="0.25">
      <c r="A70277" s="118"/>
      <c r="B70277" s="136"/>
    </row>
    <row r="70278" spans="1:2" x14ac:dyDescent="0.25">
      <c r="A70278" s="118"/>
      <c r="B70278" s="136"/>
    </row>
    <row r="70279" spans="1:2" x14ac:dyDescent="0.25">
      <c r="A70279" s="118"/>
      <c r="B70279" s="136"/>
    </row>
    <row r="70280" spans="1:2" x14ac:dyDescent="0.25">
      <c r="A70280" s="118"/>
      <c r="B70280" s="136"/>
    </row>
    <row r="70281" spans="1:2" x14ac:dyDescent="0.25">
      <c r="A70281" s="118"/>
      <c r="B70281" s="136"/>
    </row>
    <row r="70282" spans="1:2" x14ac:dyDescent="0.25">
      <c r="A70282" s="118"/>
      <c r="B70282" s="136"/>
    </row>
    <row r="70283" spans="1:2" x14ac:dyDescent="0.25">
      <c r="A70283" s="118"/>
      <c r="B70283" s="136"/>
    </row>
    <row r="70284" spans="1:2" x14ac:dyDescent="0.25">
      <c r="A70284" s="118"/>
      <c r="B70284" s="136"/>
    </row>
    <row r="70285" spans="1:2" x14ac:dyDescent="0.25">
      <c r="A70285" s="118"/>
      <c r="B70285" s="136"/>
    </row>
    <row r="70286" spans="1:2" x14ac:dyDescent="0.25">
      <c r="A70286" s="118"/>
      <c r="B70286" s="136"/>
    </row>
    <row r="70287" spans="1:2" x14ac:dyDescent="0.25">
      <c r="A70287" s="118"/>
      <c r="B70287" s="136"/>
    </row>
    <row r="70288" spans="1:2" x14ac:dyDescent="0.25">
      <c r="A70288" s="118"/>
      <c r="B70288" s="136"/>
    </row>
    <row r="70289" spans="1:2" x14ac:dyDescent="0.25">
      <c r="A70289" s="118"/>
      <c r="B70289" s="136"/>
    </row>
    <row r="70290" spans="1:2" x14ac:dyDescent="0.25">
      <c r="A70290" s="118"/>
      <c r="B70290" s="136"/>
    </row>
    <row r="70291" spans="1:2" x14ac:dyDescent="0.25">
      <c r="A70291" s="118"/>
      <c r="B70291" s="136"/>
    </row>
    <row r="70292" spans="1:2" x14ac:dyDescent="0.25">
      <c r="A70292" s="118"/>
      <c r="B70292" s="136"/>
    </row>
    <row r="70293" spans="1:2" x14ac:dyDescent="0.25">
      <c r="A70293" s="118"/>
      <c r="B70293" s="136"/>
    </row>
    <row r="70294" spans="1:2" x14ac:dyDescent="0.25">
      <c r="A70294" s="118"/>
      <c r="B70294" s="136"/>
    </row>
    <row r="70295" spans="1:2" x14ac:dyDescent="0.25">
      <c r="A70295" s="118"/>
      <c r="B70295" s="136"/>
    </row>
    <row r="70296" spans="1:2" x14ac:dyDescent="0.25">
      <c r="A70296" s="118"/>
      <c r="B70296" s="136"/>
    </row>
    <row r="70297" spans="1:2" x14ac:dyDescent="0.25">
      <c r="A70297" s="118"/>
      <c r="B70297" s="136"/>
    </row>
    <row r="70298" spans="1:2" x14ac:dyDescent="0.25">
      <c r="A70298" s="118"/>
      <c r="B70298" s="136"/>
    </row>
    <row r="70299" spans="1:2" x14ac:dyDescent="0.25">
      <c r="A70299" s="118"/>
      <c r="B70299" s="136"/>
    </row>
    <row r="70300" spans="1:2" x14ac:dyDescent="0.25">
      <c r="A70300" s="118"/>
      <c r="B70300" s="136"/>
    </row>
    <row r="70301" spans="1:2" x14ac:dyDescent="0.25">
      <c r="A70301" s="118"/>
      <c r="B70301" s="136"/>
    </row>
    <row r="70302" spans="1:2" x14ac:dyDescent="0.25">
      <c r="A70302" s="118"/>
      <c r="B70302" s="136"/>
    </row>
    <row r="70303" spans="1:2" x14ac:dyDescent="0.25">
      <c r="A70303" s="118"/>
      <c r="B70303" s="136"/>
    </row>
    <row r="70304" spans="1:2" x14ac:dyDescent="0.25">
      <c r="A70304" s="118"/>
      <c r="B70304" s="136"/>
    </row>
    <row r="70305" spans="1:2" x14ac:dyDescent="0.25">
      <c r="A70305" s="118"/>
      <c r="B70305" s="136"/>
    </row>
    <row r="70306" spans="1:2" x14ac:dyDescent="0.25">
      <c r="A70306" s="118"/>
      <c r="B70306" s="136"/>
    </row>
    <row r="70307" spans="1:2" x14ac:dyDescent="0.25">
      <c r="A70307" s="118"/>
      <c r="B70307" s="136"/>
    </row>
    <row r="70308" spans="1:2" x14ac:dyDescent="0.25">
      <c r="A70308" s="118"/>
      <c r="B70308" s="136"/>
    </row>
    <row r="70309" spans="1:2" x14ac:dyDescent="0.25">
      <c r="A70309" s="118"/>
      <c r="B70309" s="136"/>
    </row>
    <row r="70310" spans="1:2" x14ac:dyDescent="0.25">
      <c r="A70310" s="118"/>
      <c r="B70310" s="136"/>
    </row>
    <row r="70311" spans="1:2" x14ac:dyDescent="0.25">
      <c r="A70311" s="118"/>
      <c r="B70311" s="136"/>
    </row>
    <row r="70312" spans="1:2" x14ac:dyDescent="0.25">
      <c r="A70312" s="118"/>
      <c r="B70312" s="136"/>
    </row>
    <row r="70313" spans="1:2" x14ac:dyDescent="0.25">
      <c r="A70313" s="118"/>
      <c r="B70313" s="136"/>
    </row>
    <row r="70314" spans="1:2" x14ac:dyDescent="0.25">
      <c r="A70314" s="118"/>
      <c r="B70314" s="136"/>
    </row>
    <row r="70315" spans="1:2" x14ac:dyDescent="0.25">
      <c r="A70315" s="118"/>
      <c r="B70315" s="136"/>
    </row>
    <row r="70316" spans="1:2" x14ac:dyDescent="0.25">
      <c r="A70316" s="118"/>
      <c r="B70316" s="136"/>
    </row>
    <row r="70317" spans="1:2" x14ac:dyDescent="0.25">
      <c r="A70317" s="118"/>
      <c r="B70317" s="136"/>
    </row>
    <row r="70318" spans="1:2" x14ac:dyDescent="0.25">
      <c r="A70318" s="118"/>
      <c r="B70318" s="136"/>
    </row>
    <row r="70319" spans="1:2" x14ac:dyDescent="0.25">
      <c r="A70319" s="118"/>
      <c r="B70319" s="136"/>
    </row>
    <row r="70320" spans="1:2" x14ac:dyDescent="0.25">
      <c r="A70320" s="118"/>
      <c r="B70320" s="136"/>
    </row>
    <row r="70321" spans="1:2" x14ac:dyDescent="0.25">
      <c r="A70321" s="118"/>
      <c r="B70321" s="136"/>
    </row>
    <row r="70322" spans="1:2" x14ac:dyDescent="0.25">
      <c r="A70322" s="118"/>
      <c r="B70322" s="136"/>
    </row>
    <row r="70323" spans="1:2" x14ac:dyDescent="0.25">
      <c r="A70323" s="118"/>
      <c r="B70323" s="136"/>
    </row>
    <row r="70324" spans="1:2" x14ac:dyDescent="0.25">
      <c r="A70324" s="118"/>
      <c r="B70324" s="136"/>
    </row>
    <row r="70325" spans="1:2" x14ac:dyDescent="0.25">
      <c r="A70325" s="118"/>
      <c r="B70325" s="136"/>
    </row>
    <row r="70326" spans="1:2" x14ac:dyDescent="0.25">
      <c r="A70326" s="118"/>
      <c r="B70326" s="136"/>
    </row>
    <row r="70327" spans="1:2" x14ac:dyDescent="0.25">
      <c r="A70327" s="118"/>
      <c r="B70327" s="136"/>
    </row>
    <row r="70328" spans="1:2" x14ac:dyDescent="0.25">
      <c r="A70328" s="118"/>
      <c r="B70328" s="136"/>
    </row>
    <row r="70329" spans="1:2" x14ac:dyDescent="0.25">
      <c r="A70329" s="118"/>
      <c r="B70329" s="136"/>
    </row>
    <row r="70330" spans="1:2" x14ac:dyDescent="0.25">
      <c r="A70330" s="118"/>
      <c r="B70330" s="136"/>
    </row>
    <row r="70331" spans="1:2" x14ac:dyDescent="0.25">
      <c r="A70331" s="118"/>
      <c r="B70331" s="136"/>
    </row>
    <row r="70332" spans="1:2" x14ac:dyDescent="0.25">
      <c r="A70332" s="118"/>
      <c r="B70332" s="136"/>
    </row>
    <row r="70333" spans="1:2" x14ac:dyDescent="0.25">
      <c r="A70333" s="118"/>
      <c r="B70333" s="136"/>
    </row>
    <row r="70334" spans="1:2" x14ac:dyDescent="0.25">
      <c r="A70334" s="118"/>
      <c r="B70334" s="136"/>
    </row>
    <row r="70335" spans="1:2" x14ac:dyDescent="0.25">
      <c r="A70335" s="118"/>
      <c r="B70335" s="136"/>
    </row>
    <row r="70336" spans="1:2" x14ac:dyDescent="0.25">
      <c r="A70336" s="118"/>
      <c r="B70336" s="136"/>
    </row>
    <row r="70337" spans="1:2" x14ac:dyDescent="0.25">
      <c r="A70337" s="118"/>
      <c r="B70337" s="136"/>
    </row>
    <row r="70338" spans="1:2" x14ac:dyDescent="0.25">
      <c r="A70338" s="118"/>
      <c r="B70338" s="136"/>
    </row>
    <row r="70339" spans="1:2" x14ac:dyDescent="0.25">
      <c r="A70339" s="118"/>
      <c r="B70339" s="136"/>
    </row>
    <row r="70340" spans="1:2" x14ac:dyDescent="0.25">
      <c r="A70340" s="118"/>
      <c r="B70340" s="136"/>
    </row>
    <row r="70341" spans="1:2" x14ac:dyDescent="0.25">
      <c r="A70341" s="118"/>
      <c r="B70341" s="136"/>
    </row>
    <row r="70342" spans="1:2" x14ac:dyDescent="0.25">
      <c r="A70342" s="118"/>
      <c r="B70342" s="136"/>
    </row>
    <row r="70343" spans="1:2" x14ac:dyDescent="0.25">
      <c r="A70343" s="118"/>
      <c r="B70343" s="136"/>
    </row>
    <row r="70344" spans="1:2" x14ac:dyDescent="0.25">
      <c r="A70344" s="118"/>
      <c r="B70344" s="136"/>
    </row>
    <row r="70345" spans="1:2" x14ac:dyDescent="0.25">
      <c r="A70345" s="118"/>
      <c r="B70345" s="136"/>
    </row>
    <row r="70346" spans="1:2" x14ac:dyDescent="0.25">
      <c r="A70346" s="118"/>
      <c r="B70346" s="136"/>
    </row>
    <row r="70347" spans="1:2" x14ac:dyDescent="0.25">
      <c r="A70347" s="118"/>
      <c r="B70347" s="136"/>
    </row>
    <row r="70348" spans="1:2" x14ac:dyDescent="0.25">
      <c r="A70348" s="118"/>
      <c r="B70348" s="136"/>
    </row>
    <row r="70349" spans="1:2" x14ac:dyDescent="0.25">
      <c r="A70349" s="118"/>
      <c r="B70349" s="136"/>
    </row>
    <row r="70350" spans="1:2" x14ac:dyDescent="0.25">
      <c r="A70350" s="118"/>
      <c r="B70350" s="136"/>
    </row>
    <row r="70351" spans="1:2" x14ac:dyDescent="0.25">
      <c r="A70351" s="118"/>
      <c r="B70351" s="136"/>
    </row>
    <row r="70352" spans="1:2" x14ac:dyDescent="0.25">
      <c r="A70352" s="118"/>
      <c r="B70352" s="136"/>
    </row>
    <row r="70353" spans="1:2" x14ac:dyDescent="0.25">
      <c r="A70353" s="118"/>
      <c r="B70353" s="136"/>
    </row>
    <row r="70354" spans="1:2" x14ac:dyDescent="0.25">
      <c r="A70354" s="118"/>
      <c r="B70354" s="136"/>
    </row>
    <row r="70355" spans="1:2" x14ac:dyDescent="0.25">
      <c r="A70355" s="118"/>
      <c r="B70355" s="136"/>
    </row>
    <row r="70356" spans="1:2" x14ac:dyDescent="0.25">
      <c r="A70356" s="118"/>
      <c r="B70356" s="136"/>
    </row>
    <row r="70357" spans="1:2" x14ac:dyDescent="0.25">
      <c r="A70357" s="118"/>
      <c r="B70357" s="136"/>
    </row>
    <row r="70358" spans="1:2" x14ac:dyDescent="0.25">
      <c r="A70358" s="118"/>
      <c r="B70358" s="136"/>
    </row>
    <row r="70359" spans="1:2" x14ac:dyDescent="0.25">
      <c r="A70359" s="118"/>
      <c r="B70359" s="136"/>
    </row>
    <row r="70360" spans="1:2" x14ac:dyDescent="0.25">
      <c r="A70360" s="118"/>
      <c r="B70360" s="136"/>
    </row>
    <row r="70361" spans="1:2" x14ac:dyDescent="0.25">
      <c r="A70361" s="118"/>
      <c r="B70361" s="136"/>
    </row>
    <row r="70362" spans="1:2" x14ac:dyDescent="0.25">
      <c r="A70362" s="118"/>
      <c r="B70362" s="136"/>
    </row>
    <row r="70363" spans="1:2" x14ac:dyDescent="0.25">
      <c r="A70363" s="118"/>
      <c r="B70363" s="136"/>
    </row>
    <row r="70364" spans="1:2" x14ac:dyDescent="0.25">
      <c r="A70364" s="118"/>
      <c r="B70364" s="136"/>
    </row>
    <row r="70365" spans="1:2" x14ac:dyDescent="0.25">
      <c r="A70365" s="118"/>
      <c r="B70365" s="136"/>
    </row>
    <row r="70366" spans="1:2" x14ac:dyDescent="0.25">
      <c r="A70366" s="118"/>
      <c r="B70366" s="136"/>
    </row>
    <row r="70367" spans="1:2" x14ac:dyDescent="0.25">
      <c r="A70367" s="118"/>
      <c r="B70367" s="136"/>
    </row>
    <row r="70368" spans="1:2" x14ac:dyDescent="0.25">
      <c r="A70368" s="118"/>
      <c r="B70368" s="136"/>
    </row>
    <row r="70369" spans="1:2" x14ac:dyDescent="0.25">
      <c r="A70369" s="118"/>
      <c r="B70369" s="136"/>
    </row>
    <row r="70370" spans="1:2" x14ac:dyDescent="0.25">
      <c r="A70370" s="118"/>
      <c r="B70370" s="136"/>
    </row>
    <row r="70371" spans="1:2" x14ac:dyDescent="0.25">
      <c r="A70371" s="118"/>
      <c r="B70371" s="136"/>
    </row>
    <row r="70372" spans="1:2" x14ac:dyDescent="0.25">
      <c r="A70372" s="118"/>
      <c r="B70372" s="136"/>
    </row>
    <row r="70373" spans="1:2" x14ac:dyDescent="0.25">
      <c r="A70373" s="118"/>
      <c r="B70373" s="136"/>
    </row>
    <row r="70374" spans="1:2" x14ac:dyDescent="0.25">
      <c r="A70374" s="118"/>
      <c r="B70374" s="136"/>
    </row>
    <row r="70375" spans="1:2" x14ac:dyDescent="0.25">
      <c r="A70375" s="118"/>
      <c r="B70375" s="136"/>
    </row>
    <row r="70376" spans="1:2" x14ac:dyDescent="0.25">
      <c r="A70376" s="118"/>
      <c r="B70376" s="136"/>
    </row>
    <row r="70377" spans="1:2" x14ac:dyDescent="0.25">
      <c r="A70377" s="118"/>
      <c r="B70377" s="136"/>
    </row>
    <row r="70378" spans="1:2" x14ac:dyDescent="0.25">
      <c r="A70378" s="118"/>
      <c r="B70378" s="136"/>
    </row>
    <row r="70379" spans="1:2" x14ac:dyDescent="0.25">
      <c r="A70379" s="118"/>
      <c r="B70379" s="136"/>
    </row>
    <row r="70380" spans="1:2" x14ac:dyDescent="0.25">
      <c r="A70380" s="118"/>
      <c r="B70380" s="136"/>
    </row>
    <row r="70381" spans="1:2" x14ac:dyDescent="0.25">
      <c r="A70381" s="118"/>
      <c r="B70381" s="136"/>
    </row>
    <row r="70382" spans="1:2" x14ac:dyDescent="0.25">
      <c r="A70382" s="118"/>
      <c r="B70382" s="136"/>
    </row>
    <row r="70383" spans="1:2" x14ac:dyDescent="0.25">
      <c r="A70383" s="118"/>
      <c r="B70383" s="136"/>
    </row>
    <row r="70384" spans="1:2" x14ac:dyDescent="0.25">
      <c r="A70384" s="118"/>
      <c r="B70384" s="136"/>
    </row>
    <row r="70385" spans="1:2" x14ac:dyDescent="0.25">
      <c r="A70385" s="118"/>
      <c r="B70385" s="136"/>
    </row>
    <row r="70386" spans="1:2" x14ac:dyDescent="0.25">
      <c r="A70386" s="118"/>
      <c r="B70386" s="136"/>
    </row>
    <row r="70387" spans="1:2" x14ac:dyDescent="0.25">
      <c r="A70387" s="118"/>
      <c r="B70387" s="136"/>
    </row>
    <row r="70388" spans="1:2" x14ac:dyDescent="0.25">
      <c r="A70388" s="118"/>
      <c r="B70388" s="136"/>
    </row>
    <row r="70389" spans="1:2" x14ac:dyDescent="0.25">
      <c r="A70389" s="118"/>
      <c r="B70389" s="136"/>
    </row>
    <row r="70390" spans="1:2" x14ac:dyDescent="0.25">
      <c r="A70390" s="118"/>
      <c r="B70390" s="136"/>
    </row>
    <row r="70391" spans="1:2" x14ac:dyDescent="0.25">
      <c r="A70391" s="118"/>
      <c r="B70391" s="136"/>
    </row>
    <row r="70392" spans="1:2" x14ac:dyDescent="0.25">
      <c r="A70392" s="118"/>
      <c r="B70392" s="136"/>
    </row>
    <row r="70393" spans="1:2" x14ac:dyDescent="0.25">
      <c r="A70393" s="118"/>
      <c r="B70393" s="136"/>
    </row>
    <row r="70394" spans="1:2" x14ac:dyDescent="0.25">
      <c r="A70394" s="118"/>
      <c r="B70394" s="136"/>
    </row>
    <row r="70395" spans="1:2" x14ac:dyDescent="0.25">
      <c r="A70395" s="118"/>
      <c r="B70395" s="136"/>
    </row>
    <row r="70396" spans="1:2" x14ac:dyDescent="0.25">
      <c r="A70396" s="118"/>
      <c r="B70396" s="136"/>
    </row>
    <row r="70397" spans="1:2" x14ac:dyDescent="0.25">
      <c r="A70397" s="118"/>
      <c r="B70397" s="136"/>
    </row>
    <row r="70398" spans="1:2" x14ac:dyDescent="0.25">
      <c r="A70398" s="118"/>
      <c r="B70398" s="136"/>
    </row>
    <row r="70399" spans="1:2" x14ac:dyDescent="0.25">
      <c r="A70399" s="118"/>
      <c r="B70399" s="136"/>
    </row>
    <row r="70400" spans="1:2" x14ac:dyDescent="0.25">
      <c r="A70400" s="118"/>
      <c r="B70400" s="136"/>
    </row>
    <row r="70401" spans="1:2" x14ac:dyDescent="0.25">
      <c r="A70401" s="118"/>
      <c r="B70401" s="136"/>
    </row>
    <row r="70402" spans="1:2" x14ac:dyDescent="0.25">
      <c r="A70402" s="118"/>
      <c r="B70402" s="136"/>
    </row>
    <row r="70403" spans="1:2" x14ac:dyDescent="0.25">
      <c r="A70403" s="118"/>
      <c r="B70403" s="136"/>
    </row>
    <row r="70404" spans="1:2" x14ac:dyDescent="0.25">
      <c r="A70404" s="118"/>
      <c r="B70404" s="136"/>
    </row>
    <row r="70405" spans="1:2" x14ac:dyDescent="0.25">
      <c r="A70405" s="118"/>
      <c r="B70405" s="136"/>
    </row>
    <row r="70406" spans="1:2" x14ac:dyDescent="0.25">
      <c r="A70406" s="118"/>
      <c r="B70406" s="136"/>
    </row>
    <row r="70407" spans="1:2" x14ac:dyDescent="0.25">
      <c r="A70407" s="118"/>
      <c r="B70407" s="136"/>
    </row>
    <row r="70408" spans="1:2" x14ac:dyDescent="0.25">
      <c r="A70408" s="118"/>
      <c r="B70408" s="136"/>
    </row>
    <row r="70409" spans="1:2" x14ac:dyDescent="0.25">
      <c r="A70409" s="118"/>
      <c r="B70409" s="136"/>
    </row>
    <row r="70410" spans="1:2" x14ac:dyDescent="0.25">
      <c r="A70410" s="118"/>
      <c r="B70410" s="136"/>
    </row>
    <row r="70411" spans="1:2" x14ac:dyDescent="0.25">
      <c r="A70411" s="118"/>
      <c r="B70411" s="136"/>
    </row>
    <row r="70412" spans="1:2" x14ac:dyDescent="0.25">
      <c r="A70412" s="118"/>
      <c r="B70412" s="136"/>
    </row>
    <row r="70413" spans="1:2" x14ac:dyDescent="0.25">
      <c r="A70413" s="118"/>
      <c r="B70413" s="136"/>
    </row>
    <row r="70414" spans="1:2" x14ac:dyDescent="0.25">
      <c r="A70414" s="118"/>
      <c r="B70414" s="136"/>
    </row>
    <row r="70415" spans="1:2" x14ac:dyDescent="0.25">
      <c r="A70415" s="118"/>
      <c r="B70415" s="136"/>
    </row>
    <row r="70416" spans="1:2" x14ac:dyDescent="0.25">
      <c r="A70416" s="118"/>
      <c r="B70416" s="136"/>
    </row>
    <row r="70417" spans="1:2" x14ac:dyDescent="0.25">
      <c r="A70417" s="118"/>
      <c r="B70417" s="136"/>
    </row>
    <row r="70418" spans="1:2" x14ac:dyDescent="0.25">
      <c r="A70418" s="118"/>
      <c r="B70418" s="136"/>
    </row>
    <row r="70419" spans="1:2" x14ac:dyDescent="0.25">
      <c r="A70419" s="118"/>
      <c r="B70419" s="136"/>
    </row>
    <row r="70420" spans="1:2" x14ac:dyDescent="0.25">
      <c r="A70420" s="118"/>
      <c r="B70420" s="136"/>
    </row>
    <row r="70421" spans="1:2" x14ac:dyDescent="0.25">
      <c r="A70421" s="118"/>
      <c r="B70421" s="136"/>
    </row>
    <row r="70422" spans="1:2" x14ac:dyDescent="0.25">
      <c r="A70422" s="118"/>
      <c r="B70422" s="136"/>
    </row>
    <row r="70423" spans="1:2" x14ac:dyDescent="0.25">
      <c r="A70423" s="118"/>
      <c r="B70423" s="136"/>
    </row>
    <row r="70424" spans="1:2" x14ac:dyDescent="0.25">
      <c r="A70424" s="118"/>
      <c r="B70424" s="136"/>
    </row>
    <row r="70425" spans="1:2" x14ac:dyDescent="0.25">
      <c r="A70425" s="118"/>
      <c r="B70425" s="136"/>
    </row>
    <row r="70426" spans="1:2" x14ac:dyDescent="0.25">
      <c r="A70426" s="118"/>
      <c r="B70426" s="136"/>
    </row>
    <row r="70427" spans="1:2" x14ac:dyDescent="0.25">
      <c r="A70427" s="118"/>
      <c r="B70427" s="136"/>
    </row>
    <row r="70428" spans="1:2" x14ac:dyDescent="0.25">
      <c r="A70428" s="118"/>
      <c r="B70428" s="136"/>
    </row>
    <row r="70429" spans="1:2" x14ac:dyDescent="0.25">
      <c r="A70429" s="118"/>
      <c r="B70429" s="136"/>
    </row>
    <row r="70430" spans="1:2" x14ac:dyDescent="0.25">
      <c r="A70430" s="118"/>
      <c r="B70430" s="136"/>
    </row>
    <row r="70431" spans="1:2" x14ac:dyDescent="0.25">
      <c r="A70431" s="118"/>
      <c r="B70431" s="136"/>
    </row>
    <row r="70432" spans="1:2" x14ac:dyDescent="0.25">
      <c r="A70432" s="118"/>
      <c r="B70432" s="136"/>
    </row>
    <row r="70433" spans="1:2" x14ac:dyDescent="0.25">
      <c r="A70433" s="118"/>
      <c r="B70433" s="136"/>
    </row>
    <row r="70434" spans="1:2" x14ac:dyDescent="0.25">
      <c r="A70434" s="118"/>
      <c r="B70434" s="136"/>
    </row>
    <row r="70435" spans="1:2" x14ac:dyDescent="0.25">
      <c r="A70435" s="118"/>
      <c r="B70435" s="136"/>
    </row>
    <row r="70436" spans="1:2" x14ac:dyDescent="0.25">
      <c r="A70436" s="118"/>
      <c r="B70436" s="136"/>
    </row>
    <row r="70437" spans="1:2" x14ac:dyDescent="0.25">
      <c r="A70437" s="118"/>
      <c r="B70437" s="136"/>
    </row>
    <row r="70438" spans="1:2" x14ac:dyDescent="0.25">
      <c r="A70438" s="118"/>
      <c r="B70438" s="136"/>
    </row>
    <row r="70439" spans="1:2" x14ac:dyDescent="0.25">
      <c r="A70439" s="118"/>
      <c r="B70439" s="136"/>
    </row>
    <row r="70440" spans="1:2" x14ac:dyDescent="0.25">
      <c r="A70440" s="118"/>
      <c r="B70440" s="136"/>
    </row>
    <row r="70441" spans="1:2" x14ac:dyDescent="0.25">
      <c r="A70441" s="118"/>
      <c r="B70441" s="136"/>
    </row>
    <row r="70442" spans="1:2" x14ac:dyDescent="0.25">
      <c r="A70442" s="118"/>
      <c r="B70442" s="136"/>
    </row>
    <row r="70443" spans="1:2" x14ac:dyDescent="0.25">
      <c r="A70443" s="118"/>
      <c r="B70443" s="136"/>
    </row>
    <row r="70444" spans="1:2" x14ac:dyDescent="0.25">
      <c r="A70444" s="118"/>
      <c r="B70444" s="136"/>
    </row>
    <row r="70445" spans="1:2" x14ac:dyDescent="0.25">
      <c r="A70445" s="118"/>
      <c r="B70445" s="136"/>
    </row>
    <row r="70446" spans="1:2" x14ac:dyDescent="0.25">
      <c r="A70446" s="118"/>
      <c r="B70446" s="136"/>
    </row>
    <row r="70447" spans="1:2" x14ac:dyDescent="0.25">
      <c r="A70447" s="118"/>
      <c r="B70447" s="136"/>
    </row>
    <row r="70448" spans="1:2" x14ac:dyDescent="0.25">
      <c r="A70448" s="118"/>
      <c r="B70448" s="136"/>
    </row>
    <row r="70449" spans="1:2" x14ac:dyDescent="0.25">
      <c r="A70449" s="118"/>
      <c r="B70449" s="136"/>
    </row>
    <row r="70450" spans="1:2" x14ac:dyDescent="0.25">
      <c r="A70450" s="118"/>
      <c r="B70450" s="136"/>
    </row>
    <row r="70451" spans="1:2" x14ac:dyDescent="0.25">
      <c r="A70451" s="118"/>
      <c r="B70451" s="136"/>
    </row>
    <row r="70452" spans="1:2" x14ac:dyDescent="0.25">
      <c r="A70452" s="118"/>
      <c r="B70452" s="136"/>
    </row>
    <row r="70453" spans="1:2" x14ac:dyDescent="0.25">
      <c r="A70453" s="118"/>
      <c r="B70453" s="136"/>
    </row>
    <row r="70454" spans="1:2" x14ac:dyDescent="0.25">
      <c r="A70454" s="118"/>
      <c r="B70454" s="136"/>
    </row>
    <row r="70455" spans="1:2" x14ac:dyDescent="0.25">
      <c r="A70455" s="118"/>
      <c r="B70455" s="136"/>
    </row>
    <row r="70456" spans="1:2" x14ac:dyDescent="0.25">
      <c r="A70456" s="118"/>
      <c r="B70456" s="136"/>
    </row>
    <row r="70457" spans="1:2" x14ac:dyDescent="0.25">
      <c r="A70457" s="118"/>
      <c r="B70457" s="136"/>
    </row>
    <row r="70458" spans="1:2" x14ac:dyDescent="0.25">
      <c r="A70458" s="118"/>
      <c r="B70458" s="136"/>
    </row>
    <row r="70459" spans="1:2" x14ac:dyDescent="0.25">
      <c r="A70459" s="118"/>
      <c r="B70459" s="136"/>
    </row>
    <row r="70460" spans="1:2" x14ac:dyDescent="0.25">
      <c r="A70460" s="118"/>
      <c r="B70460" s="136"/>
    </row>
    <row r="70461" spans="1:2" x14ac:dyDescent="0.25">
      <c r="A70461" s="118"/>
      <c r="B70461" s="136"/>
    </row>
    <row r="70462" spans="1:2" x14ac:dyDescent="0.25">
      <c r="A70462" s="118"/>
      <c r="B70462" s="136"/>
    </row>
    <row r="70463" spans="1:2" x14ac:dyDescent="0.25">
      <c r="A70463" s="118"/>
      <c r="B70463" s="136"/>
    </row>
    <row r="70464" spans="1:2" x14ac:dyDescent="0.25">
      <c r="A70464" s="118"/>
      <c r="B70464" s="136"/>
    </row>
    <row r="70465" spans="1:2" x14ac:dyDescent="0.25">
      <c r="A70465" s="118"/>
      <c r="B70465" s="136"/>
    </row>
    <row r="70466" spans="1:2" x14ac:dyDescent="0.25">
      <c r="A70466" s="118"/>
      <c r="B70466" s="136"/>
    </row>
    <row r="70467" spans="1:2" x14ac:dyDescent="0.25">
      <c r="A70467" s="118"/>
      <c r="B70467" s="136"/>
    </row>
    <row r="70468" spans="1:2" x14ac:dyDescent="0.25">
      <c r="A70468" s="118"/>
      <c r="B70468" s="136"/>
    </row>
    <row r="70469" spans="1:2" x14ac:dyDescent="0.25">
      <c r="A70469" s="118"/>
      <c r="B70469" s="136"/>
    </row>
    <row r="70470" spans="1:2" x14ac:dyDescent="0.25">
      <c r="A70470" s="118"/>
      <c r="B70470" s="136"/>
    </row>
    <row r="70471" spans="1:2" x14ac:dyDescent="0.25">
      <c r="A70471" s="118"/>
      <c r="B70471" s="136"/>
    </row>
    <row r="70472" spans="1:2" x14ac:dyDescent="0.25">
      <c r="A70472" s="118"/>
      <c r="B70472" s="136"/>
    </row>
    <row r="70473" spans="1:2" x14ac:dyDescent="0.25">
      <c r="A70473" s="118"/>
      <c r="B70473" s="136"/>
    </row>
    <row r="70474" spans="1:2" x14ac:dyDescent="0.25">
      <c r="A70474" s="118"/>
      <c r="B70474" s="136"/>
    </row>
    <row r="70475" spans="1:2" x14ac:dyDescent="0.25">
      <c r="A70475" s="118"/>
      <c r="B70475" s="136"/>
    </row>
    <row r="70476" spans="1:2" x14ac:dyDescent="0.25">
      <c r="A70476" s="118"/>
      <c r="B70476" s="136"/>
    </row>
    <row r="70477" spans="1:2" x14ac:dyDescent="0.25">
      <c r="A70477" s="118"/>
      <c r="B70477" s="136"/>
    </row>
    <row r="70478" spans="1:2" x14ac:dyDescent="0.25">
      <c r="A70478" s="118"/>
      <c r="B70478" s="136"/>
    </row>
    <row r="70479" spans="1:2" x14ac:dyDescent="0.25">
      <c r="A70479" s="118"/>
      <c r="B70479" s="136"/>
    </row>
    <row r="70480" spans="1:2" x14ac:dyDescent="0.25">
      <c r="A70480" s="118"/>
      <c r="B70480" s="136"/>
    </row>
    <row r="70481" spans="1:2" x14ac:dyDescent="0.25">
      <c r="A70481" s="118"/>
      <c r="B70481" s="136"/>
    </row>
    <row r="70482" spans="1:2" x14ac:dyDescent="0.25">
      <c r="A70482" s="118"/>
      <c r="B70482" s="136"/>
    </row>
    <row r="70483" spans="1:2" x14ac:dyDescent="0.25">
      <c r="A70483" s="118"/>
      <c r="B70483" s="136"/>
    </row>
    <row r="70484" spans="1:2" x14ac:dyDescent="0.25">
      <c r="A70484" s="118"/>
      <c r="B70484" s="136"/>
    </row>
    <row r="70485" spans="1:2" x14ac:dyDescent="0.25">
      <c r="A70485" s="118"/>
      <c r="B70485" s="136"/>
    </row>
    <row r="70486" spans="1:2" x14ac:dyDescent="0.25">
      <c r="A70486" s="118"/>
      <c r="B70486" s="136"/>
    </row>
    <row r="70487" spans="1:2" x14ac:dyDescent="0.25">
      <c r="A70487" s="118"/>
      <c r="B70487" s="136"/>
    </row>
    <row r="70488" spans="1:2" x14ac:dyDescent="0.25">
      <c r="A70488" s="118"/>
      <c r="B70488" s="136"/>
    </row>
    <row r="70489" spans="1:2" x14ac:dyDescent="0.25">
      <c r="A70489" s="118"/>
      <c r="B70489" s="136"/>
    </row>
    <row r="70490" spans="1:2" x14ac:dyDescent="0.25">
      <c r="A70490" s="118"/>
      <c r="B70490" s="136"/>
    </row>
    <row r="70491" spans="1:2" x14ac:dyDescent="0.25">
      <c r="A70491" s="118"/>
      <c r="B70491" s="136"/>
    </row>
    <row r="70492" spans="1:2" x14ac:dyDescent="0.25">
      <c r="A70492" s="118"/>
      <c r="B70492" s="136"/>
    </row>
    <row r="70493" spans="1:2" x14ac:dyDescent="0.25">
      <c r="A70493" s="118"/>
      <c r="B70493" s="136"/>
    </row>
    <row r="70494" spans="1:2" x14ac:dyDescent="0.25">
      <c r="A70494" s="118"/>
      <c r="B70494" s="136"/>
    </row>
    <row r="70495" spans="1:2" x14ac:dyDescent="0.25">
      <c r="A70495" s="118"/>
      <c r="B70495" s="136"/>
    </row>
    <row r="70496" spans="1:2" x14ac:dyDescent="0.25">
      <c r="A70496" s="118"/>
      <c r="B70496" s="136"/>
    </row>
    <row r="70497" spans="1:2" x14ac:dyDescent="0.25">
      <c r="A70497" s="118"/>
      <c r="B70497" s="136"/>
    </row>
    <row r="70498" spans="1:2" x14ac:dyDescent="0.25">
      <c r="A70498" s="118"/>
      <c r="B70498" s="136"/>
    </row>
    <row r="70499" spans="1:2" x14ac:dyDescent="0.25">
      <c r="A70499" s="118"/>
      <c r="B70499" s="136"/>
    </row>
    <row r="70500" spans="1:2" x14ac:dyDescent="0.25">
      <c r="A70500" s="118"/>
      <c r="B70500" s="136"/>
    </row>
    <row r="70501" spans="1:2" x14ac:dyDescent="0.25">
      <c r="A70501" s="118"/>
      <c r="B70501" s="136"/>
    </row>
    <row r="70502" spans="1:2" x14ac:dyDescent="0.25">
      <c r="A70502" s="118"/>
      <c r="B70502" s="136"/>
    </row>
    <row r="70503" spans="1:2" x14ac:dyDescent="0.25">
      <c r="A70503" s="118"/>
      <c r="B70503" s="136"/>
    </row>
    <row r="70504" spans="1:2" x14ac:dyDescent="0.25">
      <c r="A70504" s="118"/>
      <c r="B70504" s="136"/>
    </row>
    <row r="70505" spans="1:2" x14ac:dyDescent="0.25">
      <c r="A70505" s="118"/>
      <c r="B70505" s="136"/>
    </row>
    <row r="70506" spans="1:2" x14ac:dyDescent="0.25">
      <c r="A70506" s="118"/>
      <c r="B70506" s="136"/>
    </row>
    <row r="70507" spans="1:2" x14ac:dyDescent="0.25">
      <c r="A70507" s="118"/>
      <c r="B70507" s="136"/>
    </row>
    <row r="70508" spans="1:2" x14ac:dyDescent="0.25">
      <c r="A70508" s="118"/>
      <c r="B70508" s="136"/>
    </row>
    <row r="70509" spans="1:2" x14ac:dyDescent="0.25">
      <c r="A70509" s="118"/>
      <c r="B70509" s="136"/>
    </row>
    <row r="70510" spans="1:2" x14ac:dyDescent="0.25">
      <c r="A70510" s="118"/>
      <c r="B70510" s="136"/>
    </row>
    <row r="70511" spans="1:2" x14ac:dyDescent="0.25">
      <c r="A70511" s="118"/>
      <c r="B70511" s="136"/>
    </row>
    <row r="70512" spans="1:2" x14ac:dyDescent="0.25">
      <c r="A70512" s="118"/>
      <c r="B70512" s="136"/>
    </row>
    <row r="70513" spans="1:2" x14ac:dyDescent="0.25">
      <c r="A70513" s="118"/>
      <c r="B70513" s="136"/>
    </row>
    <row r="70514" spans="1:2" x14ac:dyDescent="0.25">
      <c r="A70514" s="118"/>
      <c r="B70514" s="136"/>
    </row>
    <row r="70515" spans="1:2" x14ac:dyDescent="0.25">
      <c r="A70515" s="118"/>
      <c r="B70515" s="136"/>
    </row>
    <row r="70516" spans="1:2" x14ac:dyDescent="0.25">
      <c r="A70516" s="118"/>
      <c r="B70516" s="136"/>
    </row>
    <row r="70517" spans="1:2" x14ac:dyDescent="0.25">
      <c r="A70517" s="118"/>
      <c r="B70517" s="136"/>
    </row>
    <row r="70518" spans="1:2" x14ac:dyDescent="0.25">
      <c r="A70518" s="118"/>
      <c r="B70518" s="136"/>
    </row>
    <row r="70519" spans="1:2" x14ac:dyDescent="0.25">
      <c r="A70519" s="118"/>
      <c r="B70519" s="136"/>
    </row>
    <row r="70520" spans="1:2" x14ac:dyDescent="0.25">
      <c r="A70520" s="118"/>
      <c r="B70520" s="136"/>
    </row>
    <row r="70521" spans="1:2" x14ac:dyDescent="0.25">
      <c r="A70521" s="118"/>
      <c r="B70521" s="136"/>
    </row>
    <row r="70522" spans="1:2" x14ac:dyDescent="0.25">
      <c r="A70522" s="118"/>
      <c r="B70522" s="136"/>
    </row>
    <row r="70523" spans="1:2" x14ac:dyDescent="0.25">
      <c r="A70523" s="118"/>
      <c r="B70523" s="136"/>
    </row>
    <row r="70524" spans="1:2" x14ac:dyDescent="0.25">
      <c r="A70524" s="118"/>
      <c r="B70524" s="136"/>
    </row>
    <row r="70525" spans="1:2" x14ac:dyDescent="0.25">
      <c r="A70525" s="118"/>
      <c r="B70525" s="136"/>
    </row>
    <row r="70526" spans="1:2" x14ac:dyDescent="0.25">
      <c r="A70526" s="118"/>
      <c r="B70526" s="136"/>
    </row>
    <row r="70527" spans="1:2" x14ac:dyDescent="0.25">
      <c r="A70527" s="118"/>
      <c r="B70527" s="136"/>
    </row>
    <row r="70528" spans="1:2" x14ac:dyDescent="0.25">
      <c r="A70528" s="118"/>
      <c r="B70528" s="136"/>
    </row>
    <row r="70529" spans="1:2" x14ac:dyDescent="0.25">
      <c r="A70529" s="118"/>
      <c r="B70529" s="136"/>
    </row>
    <row r="70530" spans="1:2" x14ac:dyDescent="0.25">
      <c r="A70530" s="118"/>
      <c r="B70530" s="136"/>
    </row>
    <row r="70531" spans="1:2" x14ac:dyDescent="0.25">
      <c r="A70531" s="118"/>
      <c r="B70531" s="136"/>
    </row>
    <row r="70532" spans="1:2" x14ac:dyDescent="0.25">
      <c r="A70532" s="118"/>
      <c r="B70532" s="136"/>
    </row>
    <row r="70533" spans="1:2" x14ac:dyDescent="0.25">
      <c r="A70533" s="118"/>
      <c r="B70533" s="136"/>
    </row>
    <row r="70534" spans="1:2" x14ac:dyDescent="0.25">
      <c r="A70534" s="118"/>
      <c r="B70534" s="136"/>
    </row>
    <row r="70535" spans="1:2" x14ac:dyDescent="0.25">
      <c r="A70535" s="118"/>
      <c r="B70535" s="136"/>
    </row>
    <row r="70536" spans="1:2" x14ac:dyDescent="0.25">
      <c r="A70536" s="118"/>
      <c r="B70536" s="136"/>
    </row>
    <row r="70537" spans="1:2" x14ac:dyDescent="0.25">
      <c r="A70537" s="118"/>
      <c r="B70537" s="136"/>
    </row>
    <row r="70538" spans="1:2" x14ac:dyDescent="0.25">
      <c r="A70538" s="118"/>
      <c r="B70538" s="136"/>
    </row>
    <row r="70539" spans="1:2" x14ac:dyDescent="0.25">
      <c r="A70539" s="118"/>
      <c r="B70539" s="136"/>
    </row>
    <row r="70540" spans="1:2" x14ac:dyDescent="0.25">
      <c r="A70540" s="118"/>
      <c r="B70540" s="136"/>
    </row>
    <row r="70541" spans="1:2" x14ac:dyDescent="0.25">
      <c r="A70541" s="118"/>
      <c r="B70541" s="136"/>
    </row>
    <row r="70542" spans="1:2" x14ac:dyDescent="0.25">
      <c r="A70542" s="118"/>
      <c r="B70542" s="136"/>
    </row>
    <row r="70543" spans="1:2" x14ac:dyDescent="0.25">
      <c r="A70543" s="118"/>
      <c r="B70543" s="136"/>
    </row>
    <row r="70544" spans="1:2" x14ac:dyDescent="0.25">
      <c r="A70544" s="118"/>
      <c r="B70544" s="136"/>
    </row>
    <row r="70545" spans="1:2" x14ac:dyDescent="0.25">
      <c r="A70545" s="118"/>
      <c r="B70545" s="136"/>
    </row>
    <row r="70546" spans="1:2" x14ac:dyDescent="0.25">
      <c r="A70546" s="118"/>
      <c r="B70546" s="136"/>
    </row>
    <row r="70547" spans="1:2" x14ac:dyDescent="0.25">
      <c r="A70547" s="118"/>
      <c r="B70547" s="136"/>
    </row>
    <row r="70548" spans="1:2" x14ac:dyDescent="0.25">
      <c r="A70548" s="118"/>
      <c r="B70548" s="136"/>
    </row>
    <row r="70549" spans="1:2" x14ac:dyDescent="0.25">
      <c r="A70549" s="118"/>
      <c r="B70549" s="136"/>
    </row>
    <row r="70550" spans="1:2" x14ac:dyDescent="0.25">
      <c r="A70550" s="118"/>
      <c r="B70550" s="136"/>
    </row>
    <row r="70551" spans="1:2" x14ac:dyDescent="0.25">
      <c r="A70551" s="118"/>
      <c r="B70551" s="136"/>
    </row>
    <row r="70552" spans="1:2" x14ac:dyDescent="0.25">
      <c r="A70552" s="118"/>
      <c r="B70552" s="136"/>
    </row>
    <row r="70553" spans="1:2" x14ac:dyDescent="0.25">
      <c r="A70553" s="118"/>
      <c r="B70553" s="136"/>
    </row>
    <row r="70554" spans="1:2" x14ac:dyDescent="0.25">
      <c r="A70554" s="118"/>
      <c r="B70554" s="136"/>
    </row>
    <row r="70555" spans="1:2" x14ac:dyDescent="0.25">
      <c r="A70555" s="118"/>
      <c r="B70555" s="136"/>
    </row>
    <row r="70556" spans="1:2" x14ac:dyDescent="0.25">
      <c r="A70556" s="118"/>
      <c r="B70556" s="136"/>
    </row>
    <row r="70557" spans="1:2" x14ac:dyDescent="0.25">
      <c r="A70557" s="118"/>
      <c r="B70557" s="136"/>
    </row>
    <row r="70558" spans="1:2" x14ac:dyDescent="0.25">
      <c r="A70558" s="118"/>
      <c r="B70558" s="136"/>
    </row>
    <row r="70559" spans="1:2" x14ac:dyDescent="0.25">
      <c r="A70559" s="118"/>
      <c r="B70559" s="136"/>
    </row>
    <row r="70560" spans="1:2" x14ac:dyDescent="0.25">
      <c r="A70560" s="118"/>
      <c r="B70560" s="136"/>
    </row>
    <row r="70561" spans="1:2" x14ac:dyDescent="0.25">
      <c r="A70561" s="118"/>
      <c r="B70561" s="136"/>
    </row>
    <row r="70562" spans="1:2" x14ac:dyDescent="0.25">
      <c r="A70562" s="118"/>
      <c r="B70562" s="136"/>
    </row>
    <row r="70563" spans="1:2" x14ac:dyDescent="0.25">
      <c r="A70563" s="118"/>
      <c r="B70563" s="136"/>
    </row>
    <row r="70564" spans="1:2" x14ac:dyDescent="0.25">
      <c r="A70564" s="118"/>
      <c r="B70564" s="136"/>
    </row>
    <row r="70565" spans="1:2" x14ac:dyDescent="0.25">
      <c r="A70565" s="118"/>
      <c r="B70565" s="136"/>
    </row>
    <row r="70566" spans="1:2" x14ac:dyDescent="0.25">
      <c r="A70566" s="118"/>
      <c r="B70566" s="136"/>
    </row>
    <row r="70567" spans="1:2" x14ac:dyDescent="0.25">
      <c r="A70567" s="118"/>
      <c r="B70567" s="136"/>
    </row>
    <row r="70568" spans="1:2" x14ac:dyDescent="0.25">
      <c r="A70568" s="118"/>
      <c r="B70568" s="136"/>
    </row>
    <row r="70569" spans="1:2" x14ac:dyDescent="0.25">
      <c r="A70569" s="118"/>
      <c r="B70569" s="136"/>
    </row>
    <row r="70570" spans="1:2" x14ac:dyDescent="0.25">
      <c r="A70570" s="118"/>
      <c r="B70570" s="136"/>
    </row>
    <row r="70571" spans="1:2" x14ac:dyDescent="0.25">
      <c r="A70571" s="118"/>
      <c r="B70571" s="136"/>
    </row>
    <row r="70572" spans="1:2" x14ac:dyDescent="0.25">
      <c r="A70572" s="118"/>
      <c r="B70572" s="136"/>
    </row>
    <row r="70573" spans="1:2" x14ac:dyDescent="0.25">
      <c r="A70573" s="118"/>
      <c r="B70573" s="136"/>
    </row>
    <row r="70574" spans="1:2" x14ac:dyDescent="0.25">
      <c r="A70574" s="118"/>
      <c r="B70574" s="136"/>
    </row>
    <row r="70575" spans="1:2" x14ac:dyDescent="0.25">
      <c r="A70575" s="118"/>
      <c r="B70575" s="136"/>
    </row>
    <row r="70576" spans="1:2" x14ac:dyDescent="0.25">
      <c r="A70576" s="118"/>
      <c r="B70576" s="136"/>
    </row>
    <row r="70577" spans="1:2" x14ac:dyDescent="0.25">
      <c r="A70577" s="118"/>
      <c r="B70577" s="136"/>
    </row>
    <row r="70578" spans="1:2" x14ac:dyDescent="0.25">
      <c r="A70578" s="118"/>
      <c r="B70578" s="136"/>
    </row>
    <row r="70579" spans="1:2" x14ac:dyDescent="0.25">
      <c r="A70579" s="118"/>
      <c r="B70579" s="136"/>
    </row>
    <row r="70580" spans="1:2" x14ac:dyDescent="0.25">
      <c r="A70580" s="118"/>
      <c r="B70580" s="136"/>
    </row>
    <row r="70581" spans="1:2" x14ac:dyDescent="0.25">
      <c r="A70581" s="118"/>
      <c r="B70581" s="136"/>
    </row>
    <row r="70582" spans="1:2" x14ac:dyDescent="0.25">
      <c r="A70582" s="118"/>
      <c r="B70582" s="136"/>
    </row>
    <row r="70583" spans="1:2" x14ac:dyDescent="0.25">
      <c r="A70583" s="118"/>
      <c r="B70583" s="136"/>
    </row>
    <row r="70584" spans="1:2" x14ac:dyDescent="0.25">
      <c r="A70584" s="118"/>
      <c r="B70584" s="136"/>
    </row>
    <row r="70585" spans="1:2" x14ac:dyDescent="0.25">
      <c r="A70585" s="118"/>
      <c r="B70585" s="136"/>
    </row>
    <row r="70586" spans="1:2" x14ac:dyDescent="0.25">
      <c r="A70586" s="118"/>
      <c r="B70586" s="136"/>
    </row>
    <row r="70587" spans="1:2" x14ac:dyDescent="0.25">
      <c r="A70587" s="118"/>
      <c r="B70587" s="136"/>
    </row>
    <row r="70588" spans="1:2" x14ac:dyDescent="0.25">
      <c r="A70588" s="118"/>
      <c r="B70588" s="136"/>
    </row>
    <row r="70589" spans="1:2" x14ac:dyDescent="0.25">
      <c r="A70589" s="118"/>
      <c r="B70589" s="136"/>
    </row>
    <row r="70590" spans="1:2" x14ac:dyDescent="0.25">
      <c r="A70590" s="118"/>
      <c r="B70590" s="136"/>
    </row>
    <row r="70591" spans="1:2" x14ac:dyDescent="0.25">
      <c r="A70591" s="118"/>
      <c r="B70591" s="136"/>
    </row>
    <row r="70592" spans="1:2" x14ac:dyDescent="0.25">
      <c r="A70592" s="118"/>
      <c r="B70592" s="136"/>
    </row>
    <row r="70593" spans="1:2" x14ac:dyDescent="0.25">
      <c r="A70593" s="118"/>
      <c r="B70593" s="136"/>
    </row>
    <row r="70594" spans="1:2" x14ac:dyDescent="0.25">
      <c r="A70594" s="118"/>
      <c r="B70594" s="136"/>
    </row>
    <row r="70595" spans="1:2" x14ac:dyDescent="0.25">
      <c r="A70595" s="118"/>
      <c r="B70595" s="136"/>
    </row>
    <row r="70596" spans="1:2" x14ac:dyDescent="0.25">
      <c r="A70596" s="118"/>
      <c r="B70596" s="136"/>
    </row>
    <row r="70597" spans="1:2" x14ac:dyDescent="0.25">
      <c r="A70597" s="118"/>
      <c r="B70597" s="136"/>
    </row>
    <row r="70598" spans="1:2" x14ac:dyDescent="0.25">
      <c r="A70598" s="118"/>
      <c r="B70598" s="136"/>
    </row>
    <row r="70599" spans="1:2" x14ac:dyDescent="0.25">
      <c r="A70599" s="118"/>
      <c r="B70599" s="136"/>
    </row>
    <row r="70600" spans="1:2" x14ac:dyDescent="0.25">
      <c r="A70600" s="118"/>
      <c r="B70600" s="136"/>
    </row>
    <row r="70601" spans="1:2" x14ac:dyDescent="0.25">
      <c r="A70601" s="118"/>
      <c r="B70601" s="136"/>
    </row>
    <row r="70602" spans="1:2" x14ac:dyDescent="0.25">
      <c r="A70602" s="118"/>
      <c r="B70602" s="136"/>
    </row>
    <row r="70603" spans="1:2" x14ac:dyDescent="0.25">
      <c r="A70603" s="118"/>
      <c r="B70603" s="136"/>
    </row>
    <row r="70604" spans="1:2" x14ac:dyDescent="0.25">
      <c r="A70604" s="118"/>
      <c r="B70604" s="136"/>
    </row>
    <row r="70605" spans="1:2" x14ac:dyDescent="0.25">
      <c r="A70605" s="118"/>
      <c r="B70605" s="136"/>
    </row>
    <row r="70606" spans="1:2" x14ac:dyDescent="0.25">
      <c r="A70606" s="118"/>
      <c r="B70606" s="136"/>
    </row>
    <row r="70607" spans="1:2" x14ac:dyDescent="0.25">
      <c r="A70607" s="118"/>
      <c r="B70607" s="136"/>
    </row>
    <row r="70608" spans="1:2" x14ac:dyDescent="0.25">
      <c r="A70608" s="118"/>
      <c r="B70608" s="136"/>
    </row>
    <row r="70609" spans="1:2" x14ac:dyDescent="0.25">
      <c r="A70609" s="118"/>
      <c r="B70609" s="136"/>
    </row>
    <row r="70610" spans="1:2" x14ac:dyDescent="0.25">
      <c r="A70610" s="118"/>
      <c r="B70610" s="136"/>
    </row>
    <row r="70611" spans="1:2" x14ac:dyDescent="0.25">
      <c r="A70611" s="118"/>
      <c r="B70611" s="136"/>
    </row>
    <row r="70612" spans="1:2" x14ac:dyDescent="0.25">
      <c r="A70612" s="118"/>
      <c r="B70612" s="136"/>
    </row>
    <row r="70613" spans="1:2" x14ac:dyDescent="0.25">
      <c r="A70613" s="118"/>
      <c r="B70613" s="136"/>
    </row>
    <row r="70614" spans="1:2" x14ac:dyDescent="0.25">
      <c r="A70614" s="118"/>
      <c r="B70614" s="136"/>
    </row>
    <row r="70615" spans="1:2" x14ac:dyDescent="0.25">
      <c r="A70615" s="118"/>
      <c r="B70615" s="136"/>
    </row>
    <row r="70616" spans="1:2" x14ac:dyDescent="0.25">
      <c r="A70616" s="118"/>
      <c r="B70616" s="136"/>
    </row>
    <row r="70617" spans="1:2" x14ac:dyDescent="0.25">
      <c r="A70617" s="118"/>
      <c r="B70617" s="136"/>
    </row>
    <row r="70618" spans="1:2" x14ac:dyDescent="0.25">
      <c r="A70618" s="118"/>
      <c r="B70618" s="136"/>
    </row>
    <row r="70619" spans="1:2" x14ac:dyDescent="0.25">
      <c r="A70619" s="118"/>
      <c r="B70619" s="136"/>
    </row>
    <row r="70620" spans="1:2" x14ac:dyDescent="0.25">
      <c r="A70620" s="118"/>
      <c r="B70620" s="136"/>
    </row>
    <row r="70621" spans="1:2" x14ac:dyDescent="0.25">
      <c r="A70621" s="118"/>
      <c r="B70621" s="136"/>
    </row>
    <row r="70622" spans="1:2" x14ac:dyDescent="0.25">
      <c r="A70622" s="118"/>
      <c r="B70622" s="136"/>
    </row>
    <row r="70623" spans="1:2" x14ac:dyDescent="0.25">
      <c r="A70623" s="118"/>
      <c r="B70623" s="136"/>
    </row>
    <row r="70624" spans="1:2" x14ac:dyDescent="0.25">
      <c r="A70624" s="118"/>
      <c r="B70624" s="136"/>
    </row>
    <row r="70625" spans="1:2" x14ac:dyDescent="0.25">
      <c r="A70625" s="118"/>
      <c r="B70625" s="136"/>
    </row>
    <row r="70626" spans="1:2" x14ac:dyDescent="0.25">
      <c r="A70626" s="118"/>
      <c r="B70626" s="136"/>
    </row>
    <row r="70627" spans="1:2" x14ac:dyDescent="0.25">
      <c r="A70627" s="118"/>
      <c r="B70627" s="136"/>
    </row>
    <row r="70628" spans="1:2" x14ac:dyDescent="0.25">
      <c r="A70628" s="118"/>
      <c r="B70628" s="136"/>
    </row>
    <row r="70629" spans="1:2" x14ac:dyDescent="0.25">
      <c r="A70629" s="118"/>
      <c r="B70629" s="136"/>
    </row>
    <row r="70630" spans="1:2" x14ac:dyDescent="0.25">
      <c r="A70630" s="118"/>
      <c r="B70630" s="136"/>
    </row>
    <row r="70631" spans="1:2" x14ac:dyDescent="0.25">
      <c r="A70631" s="118"/>
      <c r="B70631" s="136"/>
    </row>
    <row r="70632" spans="1:2" x14ac:dyDescent="0.25">
      <c r="A70632" s="118"/>
      <c r="B70632" s="136"/>
    </row>
    <row r="70633" spans="1:2" x14ac:dyDescent="0.25">
      <c r="A70633" s="118"/>
      <c r="B70633" s="136"/>
    </row>
    <row r="70634" spans="1:2" x14ac:dyDescent="0.25">
      <c r="A70634" s="118"/>
      <c r="B70634" s="136"/>
    </row>
    <row r="70635" spans="1:2" x14ac:dyDescent="0.25">
      <c r="A70635" s="118"/>
      <c r="B70635" s="136"/>
    </row>
    <row r="70636" spans="1:2" x14ac:dyDescent="0.25">
      <c r="A70636" s="118"/>
      <c r="B70636" s="136"/>
    </row>
    <row r="70637" spans="1:2" x14ac:dyDescent="0.25">
      <c r="A70637" s="118"/>
      <c r="B70637" s="136"/>
    </row>
    <row r="70638" spans="1:2" x14ac:dyDescent="0.25">
      <c r="A70638" s="118"/>
      <c r="B70638" s="136"/>
    </row>
    <row r="70639" spans="1:2" x14ac:dyDescent="0.25">
      <c r="A70639" s="118"/>
      <c r="B70639" s="136"/>
    </row>
    <row r="70640" spans="1:2" x14ac:dyDescent="0.25">
      <c r="A70640" s="118"/>
      <c r="B70640" s="136"/>
    </row>
    <row r="70641" spans="1:2" x14ac:dyDescent="0.25">
      <c r="A70641" s="118"/>
      <c r="B70641" s="136"/>
    </row>
    <row r="70642" spans="1:2" x14ac:dyDescent="0.25">
      <c r="A70642" s="118"/>
      <c r="B70642" s="136"/>
    </row>
    <row r="70643" spans="1:2" x14ac:dyDescent="0.25">
      <c r="A70643" s="118"/>
      <c r="B70643" s="136"/>
    </row>
    <row r="70644" spans="1:2" x14ac:dyDescent="0.25">
      <c r="A70644" s="118"/>
      <c r="B70644" s="136"/>
    </row>
    <row r="70645" spans="1:2" x14ac:dyDescent="0.25">
      <c r="A70645" s="118"/>
      <c r="B70645" s="136"/>
    </row>
    <row r="70646" spans="1:2" x14ac:dyDescent="0.25">
      <c r="A70646" s="118"/>
      <c r="B70646" s="136"/>
    </row>
    <row r="70647" spans="1:2" x14ac:dyDescent="0.25">
      <c r="A70647" s="118"/>
      <c r="B70647" s="136"/>
    </row>
    <row r="70648" spans="1:2" x14ac:dyDescent="0.25">
      <c r="A70648" s="118"/>
      <c r="B70648" s="136"/>
    </row>
    <row r="70649" spans="1:2" x14ac:dyDescent="0.25">
      <c r="A70649" s="118"/>
      <c r="B70649" s="136"/>
    </row>
    <row r="70650" spans="1:2" x14ac:dyDescent="0.25">
      <c r="A70650" s="118"/>
      <c r="B70650" s="136"/>
    </row>
    <row r="70651" spans="1:2" x14ac:dyDescent="0.25">
      <c r="A70651" s="118"/>
      <c r="B70651" s="136"/>
    </row>
    <row r="70652" spans="1:2" x14ac:dyDescent="0.25">
      <c r="A70652" s="118"/>
      <c r="B70652" s="136"/>
    </row>
    <row r="70653" spans="1:2" x14ac:dyDescent="0.25">
      <c r="A70653" s="118"/>
      <c r="B70653" s="136"/>
    </row>
    <row r="70654" spans="1:2" x14ac:dyDescent="0.25">
      <c r="A70654" s="118"/>
      <c r="B70654" s="136"/>
    </row>
    <row r="70655" spans="1:2" x14ac:dyDescent="0.25">
      <c r="A70655" s="118"/>
      <c r="B70655" s="136"/>
    </row>
    <row r="70656" spans="1:2" x14ac:dyDescent="0.25">
      <c r="A70656" s="118"/>
      <c r="B70656" s="136"/>
    </row>
    <row r="70657" spans="1:2" x14ac:dyDescent="0.25">
      <c r="A70657" s="118"/>
      <c r="B70657" s="136"/>
    </row>
    <row r="70658" spans="1:2" x14ac:dyDescent="0.25">
      <c r="A70658" s="118"/>
      <c r="B70658" s="136"/>
    </row>
    <row r="70659" spans="1:2" x14ac:dyDescent="0.25">
      <c r="A70659" s="118"/>
      <c r="B70659" s="136"/>
    </row>
    <row r="70660" spans="1:2" x14ac:dyDescent="0.25">
      <c r="A70660" s="118"/>
      <c r="B70660" s="136"/>
    </row>
    <row r="70661" spans="1:2" x14ac:dyDescent="0.25">
      <c r="A70661" s="118"/>
      <c r="B70661" s="136"/>
    </row>
    <row r="70662" spans="1:2" x14ac:dyDescent="0.25">
      <c r="A70662" s="118"/>
      <c r="B70662" s="136"/>
    </row>
    <row r="70663" spans="1:2" x14ac:dyDescent="0.25">
      <c r="A70663" s="118"/>
      <c r="B70663" s="136"/>
    </row>
    <row r="70664" spans="1:2" x14ac:dyDescent="0.25">
      <c r="A70664" s="118"/>
      <c r="B70664" s="136"/>
    </row>
    <row r="70665" spans="1:2" x14ac:dyDescent="0.25">
      <c r="A70665" s="118"/>
      <c r="B70665" s="136"/>
    </row>
    <row r="70666" spans="1:2" x14ac:dyDescent="0.25">
      <c r="A70666" s="118"/>
      <c r="B70666" s="136"/>
    </row>
    <row r="70667" spans="1:2" x14ac:dyDescent="0.25">
      <c r="A70667" s="118"/>
      <c r="B70667" s="136"/>
    </row>
    <row r="70668" spans="1:2" x14ac:dyDescent="0.25">
      <c r="A70668" s="118"/>
      <c r="B70668" s="136"/>
    </row>
    <row r="70669" spans="1:2" x14ac:dyDescent="0.25">
      <c r="A70669" s="118"/>
      <c r="B70669" s="136"/>
    </row>
    <row r="70670" spans="1:2" x14ac:dyDescent="0.25">
      <c r="A70670" s="118"/>
      <c r="B70670" s="136"/>
    </row>
    <row r="70671" spans="1:2" x14ac:dyDescent="0.25">
      <c r="A70671" s="118"/>
      <c r="B70671" s="136"/>
    </row>
    <row r="70672" spans="1:2" x14ac:dyDescent="0.25">
      <c r="A70672" s="118"/>
      <c r="B70672" s="136"/>
    </row>
    <row r="70673" spans="1:2" x14ac:dyDescent="0.25">
      <c r="A70673" s="118"/>
      <c r="B70673" s="136"/>
    </row>
    <row r="70674" spans="1:2" x14ac:dyDescent="0.25">
      <c r="A70674" s="118"/>
      <c r="B70674" s="136"/>
    </row>
    <row r="70675" spans="1:2" x14ac:dyDescent="0.25">
      <c r="A70675" s="118"/>
      <c r="B70675" s="136"/>
    </row>
    <row r="70676" spans="1:2" x14ac:dyDescent="0.25">
      <c r="A70676" s="118"/>
      <c r="B70676" s="136"/>
    </row>
    <row r="70677" spans="1:2" x14ac:dyDescent="0.25">
      <c r="A70677" s="118"/>
      <c r="B70677" s="136"/>
    </row>
    <row r="70678" spans="1:2" x14ac:dyDescent="0.25">
      <c r="A70678" s="118"/>
      <c r="B70678" s="136"/>
    </row>
    <row r="70679" spans="1:2" x14ac:dyDescent="0.25">
      <c r="A70679" s="118"/>
      <c r="B70679" s="136"/>
    </row>
    <row r="70680" spans="1:2" x14ac:dyDescent="0.25">
      <c r="A70680" s="118"/>
      <c r="B70680" s="136"/>
    </row>
    <row r="70681" spans="1:2" x14ac:dyDescent="0.25">
      <c r="A70681" s="118"/>
      <c r="B70681" s="136"/>
    </row>
    <row r="70682" spans="1:2" x14ac:dyDescent="0.25">
      <c r="A70682" s="118"/>
      <c r="B70682" s="136"/>
    </row>
    <row r="70683" spans="1:2" x14ac:dyDescent="0.25">
      <c r="A70683" s="118"/>
      <c r="B70683" s="136"/>
    </row>
    <row r="70684" spans="1:2" x14ac:dyDescent="0.25">
      <c r="A70684" s="118"/>
      <c r="B70684" s="136"/>
    </row>
    <row r="70685" spans="1:2" x14ac:dyDescent="0.25">
      <c r="A70685" s="118"/>
      <c r="B70685" s="136"/>
    </row>
    <row r="70686" spans="1:2" x14ac:dyDescent="0.25">
      <c r="A70686" s="118"/>
      <c r="B70686" s="136"/>
    </row>
    <row r="70687" spans="1:2" x14ac:dyDescent="0.25">
      <c r="A70687" s="118"/>
      <c r="B70687" s="136"/>
    </row>
    <row r="70688" spans="1:2" x14ac:dyDescent="0.25">
      <c r="A70688" s="118"/>
      <c r="B70688" s="136"/>
    </row>
    <row r="70689" spans="1:2" x14ac:dyDescent="0.25">
      <c r="A70689" s="118"/>
      <c r="B70689" s="136"/>
    </row>
    <row r="70690" spans="1:2" x14ac:dyDescent="0.25">
      <c r="A70690" s="118"/>
      <c r="B70690" s="136"/>
    </row>
    <row r="70691" spans="1:2" x14ac:dyDescent="0.25">
      <c r="A70691" s="118"/>
      <c r="B70691" s="136"/>
    </row>
    <row r="70692" spans="1:2" x14ac:dyDescent="0.25">
      <c r="A70692" s="118"/>
      <c r="B70692" s="136"/>
    </row>
    <row r="70693" spans="1:2" x14ac:dyDescent="0.25">
      <c r="A70693" s="118"/>
      <c r="B70693" s="136"/>
    </row>
    <row r="70694" spans="1:2" x14ac:dyDescent="0.25">
      <c r="A70694" s="118"/>
      <c r="B70694" s="136"/>
    </row>
    <row r="70695" spans="1:2" x14ac:dyDescent="0.25">
      <c r="A70695" s="118"/>
      <c r="B70695" s="136"/>
    </row>
    <row r="70696" spans="1:2" x14ac:dyDescent="0.25">
      <c r="A70696" s="118"/>
      <c r="B70696" s="136"/>
    </row>
    <row r="70697" spans="1:2" x14ac:dyDescent="0.25">
      <c r="A70697" s="118"/>
      <c r="B70697" s="136"/>
    </row>
    <row r="70698" spans="1:2" x14ac:dyDescent="0.25">
      <c r="A70698" s="118"/>
      <c r="B70698" s="136"/>
    </row>
    <row r="70699" spans="1:2" x14ac:dyDescent="0.25">
      <c r="A70699" s="118"/>
      <c r="B70699" s="136"/>
    </row>
    <row r="70700" spans="1:2" x14ac:dyDescent="0.25">
      <c r="A70700" s="118"/>
      <c r="B70700" s="136"/>
    </row>
    <row r="70701" spans="1:2" x14ac:dyDescent="0.25">
      <c r="A70701" s="118"/>
      <c r="B70701" s="136"/>
    </row>
    <row r="70702" spans="1:2" x14ac:dyDescent="0.25">
      <c r="A70702" s="118"/>
      <c r="B70702" s="136"/>
    </row>
    <row r="70703" spans="1:2" x14ac:dyDescent="0.25">
      <c r="A70703" s="118"/>
      <c r="B70703" s="136"/>
    </row>
    <row r="70704" spans="1:2" x14ac:dyDescent="0.25">
      <c r="A70704" s="118"/>
      <c r="B70704" s="136"/>
    </row>
    <row r="70705" spans="1:2" x14ac:dyDescent="0.25">
      <c r="A70705" s="118"/>
      <c r="B70705" s="136"/>
    </row>
    <row r="70706" spans="1:2" x14ac:dyDescent="0.25">
      <c r="A70706" s="118"/>
      <c r="B70706" s="136"/>
    </row>
    <row r="70707" spans="1:2" x14ac:dyDescent="0.25">
      <c r="A70707" s="118"/>
      <c r="B70707" s="136"/>
    </row>
    <row r="70708" spans="1:2" x14ac:dyDescent="0.25">
      <c r="A70708" s="118"/>
      <c r="B70708" s="136"/>
    </row>
    <row r="70709" spans="1:2" x14ac:dyDescent="0.25">
      <c r="A70709" s="118"/>
      <c r="B70709" s="136"/>
    </row>
    <row r="70710" spans="1:2" x14ac:dyDescent="0.25">
      <c r="A70710" s="118"/>
      <c r="B70710" s="136"/>
    </row>
    <row r="70711" spans="1:2" x14ac:dyDescent="0.25">
      <c r="A70711" s="118"/>
      <c r="B70711" s="136"/>
    </row>
    <row r="70712" spans="1:2" x14ac:dyDescent="0.25">
      <c r="A70712" s="118"/>
      <c r="B70712" s="136"/>
    </row>
    <row r="70713" spans="1:2" x14ac:dyDescent="0.25">
      <c r="A70713" s="118"/>
      <c r="B70713" s="136"/>
    </row>
    <row r="70714" spans="1:2" x14ac:dyDescent="0.25">
      <c r="A70714" s="118"/>
      <c r="B70714" s="136"/>
    </row>
    <row r="70715" spans="1:2" x14ac:dyDescent="0.25">
      <c r="A70715" s="118"/>
      <c r="B70715" s="136"/>
    </row>
    <row r="70716" spans="1:2" x14ac:dyDescent="0.25">
      <c r="A70716" s="118"/>
      <c r="B70716" s="136"/>
    </row>
    <row r="70717" spans="1:2" x14ac:dyDescent="0.25">
      <c r="A70717" s="118"/>
      <c r="B70717" s="136"/>
    </row>
    <row r="70718" spans="1:2" x14ac:dyDescent="0.25">
      <c r="A70718" s="118"/>
      <c r="B70718" s="136"/>
    </row>
    <row r="70719" spans="1:2" x14ac:dyDescent="0.25">
      <c r="A70719" s="118"/>
      <c r="B70719" s="136"/>
    </row>
    <row r="70720" spans="1:2" x14ac:dyDescent="0.25">
      <c r="A70720" s="118"/>
      <c r="B70720" s="136"/>
    </row>
    <row r="70721" spans="1:2" x14ac:dyDescent="0.25">
      <c r="A70721" s="118"/>
      <c r="B70721" s="136"/>
    </row>
    <row r="70722" spans="1:2" x14ac:dyDescent="0.25">
      <c r="A70722" s="118"/>
      <c r="B70722" s="136"/>
    </row>
    <row r="70723" spans="1:2" x14ac:dyDescent="0.25">
      <c r="A70723" s="118"/>
      <c r="B70723" s="136"/>
    </row>
    <row r="70724" spans="1:2" x14ac:dyDescent="0.25">
      <c r="A70724" s="118"/>
      <c r="B70724" s="136"/>
    </row>
    <row r="70725" spans="1:2" x14ac:dyDescent="0.25">
      <c r="A70725" s="118"/>
      <c r="B70725" s="136"/>
    </row>
    <row r="70726" spans="1:2" x14ac:dyDescent="0.25">
      <c r="A70726" s="118"/>
      <c r="B70726" s="136"/>
    </row>
    <row r="70727" spans="1:2" x14ac:dyDescent="0.25">
      <c r="A70727" s="118"/>
      <c r="B70727" s="136"/>
    </row>
    <row r="70728" spans="1:2" x14ac:dyDescent="0.25">
      <c r="A70728" s="118"/>
      <c r="B70728" s="136"/>
    </row>
    <row r="70729" spans="1:2" x14ac:dyDescent="0.25">
      <c r="A70729" s="118"/>
      <c r="B70729" s="136"/>
    </row>
    <row r="70730" spans="1:2" x14ac:dyDescent="0.25">
      <c r="A70730" s="118"/>
      <c r="B70730" s="136"/>
    </row>
    <row r="70731" spans="1:2" x14ac:dyDescent="0.25">
      <c r="A70731" s="118"/>
      <c r="B70731" s="136"/>
    </row>
    <row r="70732" spans="1:2" x14ac:dyDescent="0.25">
      <c r="A70732" s="118"/>
      <c r="B70732" s="136"/>
    </row>
    <row r="70733" spans="1:2" x14ac:dyDescent="0.25">
      <c r="A70733" s="118"/>
      <c r="B70733" s="136"/>
    </row>
    <row r="70734" spans="1:2" x14ac:dyDescent="0.25">
      <c r="A70734" s="118"/>
      <c r="B70734" s="136"/>
    </row>
    <row r="70735" spans="1:2" x14ac:dyDescent="0.25">
      <c r="A70735" s="118"/>
      <c r="B70735" s="136"/>
    </row>
    <row r="70736" spans="1:2" x14ac:dyDescent="0.25">
      <c r="A70736" s="118"/>
      <c r="B70736" s="136"/>
    </row>
    <row r="70737" spans="1:2" x14ac:dyDescent="0.25">
      <c r="A70737" s="118"/>
      <c r="B70737" s="136"/>
    </row>
    <row r="70738" spans="1:2" x14ac:dyDescent="0.25">
      <c r="A70738" s="118"/>
      <c r="B70738" s="136"/>
    </row>
    <row r="70739" spans="1:2" x14ac:dyDescent="0.25">
      <c r="A70739" s="118"/>
      <c r="B70739" s="136"/>
    </row>
    <row r="70740" spans="1:2" x14ac:dyDescent="0.25">
      <c r="A70740" s="118"/>
      <c r="B70740" s="136"/>
    </row>
    <row r="70741" spans="1:2" x14ac:dyDescent="0.25">
      <c r="A70741" s="118"/>
      <c r="B70741" s="136"/>
    </row>
    <row r="70742" spans="1:2" x14ac:dyDescent="0.25">
      <c r="A70742" s="118"/>
      <c r="B70742" s="136"/>
    </row>
    <row r="70743" spans="1:2" x14ac:dyDescent="0.25">
      <c r="A70743" s="118"/>
      <c r="B70743" s="136"/>
    </row>
    <row r="70744" spans="1:2" x14ac:dyDescent="0.25">
      <c r="A70744" s="118"/>
      <c r="B70744" s="136"/>
    </row>
    <row r="70745" spans="1:2" x14ac:dyDescent="0.25">
      <c r="A70745" s="118"/>
      <c r="B70745" s="136"/>
    </row>
    <row r="70746" spans="1:2" x14ac:dyDescent="0.25">
      <c r="A70746" s="118"/>
      <c r="B70746" s="136"/>
    </row>
    <row r="70747" spans="1:2" x14ac:dyDescent="0.25">
      <c r="A70747" s="118"/>
      <c r="B70747" s="136"/>
    </row>
    <row r="70748" spans="1:2" x14ac:dyDescent="0.25">
      <c r="A70748" s="118"/>
      <c r="B70748" s="136"/>
    </row>
    <row r="70749" spans="1:2" x14ac:dyDescent="0.25">
      <c r="A70749" s="118"/>
      <c r="B70749" s="136"/>
    </row>
    <row r="70750" spans="1:2" x14ac:dyDescent="0.25">
      <c r="A70750" s="118"/>
      <c r="B70750" s="136"/>
    </row>
    <row r="70751" spans="1:2" x14ac:dyDescent="0.25">
      <c r="A70751" s="118"/>
      <c r="B70751" s="136"/>
    </row>
    <row r="70752" spans="1:2" x14ac:dyDescent="0.25">
      <c r="A70752" s="118"/>
      <c r="B70752" s="136"/>
    </row>
    <row r="70753" spans="1:2" x14ac:dyDescent="0.25">
      <c r="A70753" s="118"/>
      <c r="B70753" s="136"/>
    </row>
    <row r="70754" spans="1:2" x14ac:dyDescent="0.25">
      <c r="A70754" s="118"/>
      <c r="B70754" s="136"/>
    </row>
    <row r="70755" spans="1:2" x14ac:dyDescent="0.25">
      <c r="A70755" s="118"/>
      <c r="B70755" s="136"/>
    </row>
    <row r="70756" spans="1:2" x14ac:dyDescent="0.25">
      <c r="A70756" s="118"/>
      <c r="B70756" s="136"/>
    </row>
    <row r="70757" spans="1:2" x14ac:dyDescent="0.25">
      <c r="A70757" s="118"/>
      <c r="B70757" s="136"/>
    </row>
    <row r="70758" spans="1:2" x14ac:dyDescent="0.25">
      <c r="A70758" s="118"/>
      <c r="B70758" s="136"/>
    </row>
    <row r="70759" spans="1:2" x14ac:dyDescent="0.25">
      <c r="A70759" s="118"/>
      <c r="B70759" s="136"/>
    </row>
    <row r="70760" spans="1:2" x14ac:dyDescent="0.25">
      <c r="A70760" s="118"/>
      <c r="B70760" s="136"/>
    </row>
    <row r="70761" spans="1:2" x14ac:dyDescent="0.25">
      <c r="A70761" s="118"/>
      <c r="B70761" s="136"/>
    </row>
    <row r="70762" spans="1:2" x14ac:dyDescent="0.25">
      <c r="A70762" s="118"/>
      <c r="B70762" s="136"/>
    </row>
    <row r="70763" spans="1:2" x14ac:dyDescent="0.25">
      <c r="A70763" s="118"/>
      <c r="B70763" s="136"/>
    </row>
    <row r="70764" spans="1:2" x14ac:dyDescent="0.25">
      <c r="A70764" s="118"/>
      <c r="B70764" s="136"/>
    </row>
    <row r="70765" spans="1:2" x14ac:dyDescent="0.25">
      <c r="A70765" s="118"/>
      <c r="B70765" s="136"/>
    </row>
    <row r="70766" spans="1:2" x14ac:dyDescent="0.25">
      <c r="A70766" s="118"/>
      <c r="B70766" s="136"/>
    </row>
    <row r="70767" spans="1:2" x14ac:dyDescent="0.25">
      <c r="A70767" s="118"/>
      <c r="B70767" s="136"/>
    </row>
    <row r="70768" spans="1:2" x14ac:dyDescent="0.25">
      <c r="A70768" s="118"/>
      <c r="B70768" s="136"/>
    </row>
    <row r="70769" spans="1:2" x14ac:dyDescent="0.25">
      <c r="A70769" s="118"/>
      <c r="B70769" s="136"/>
    </row>
    <row r="70770" spans="1:2" x14ac:dyDescent="0.25">
      <c r="A70770" s="118"/>
      <c r="B70770" s="136"/>
    </row>
    <row r="70771" spans="1:2" x14ac:dyDescent="0.25">
      <c r="A70771" s="118"/>
      <c r="B70771" s="136"/>
    </row>
    <row r="70772" spans="1:2" x14ac:dyDescent="0.25">
      <c r="A70772" s="118"/>
      <c r="B70772" s="136"/>
    </row>
    <row r="70773" spans="1:2" x14ac:dyDescent="0.25">
      <c r="A70773" s="118"/>
      <c r="B70773" s="136"/>
    </row>
    <row r="70774" spans="1:2" x14ac:dyDescent="0.25">
      <c r="A70774" s="118"/>
      <c r="B70774" s="136"/>
    </row>
    <row r="70775" spans="1:2" x14ac:dyDescent="0.25">
      <c r="A70775" s="118"/>
      <c r="B70775" s="136"/>
    </row>
    <row r="70776" spans="1:2" x14ac:dyDescent="0.25">
      <c r="A70776" s="118"/>
      <c r="B70776" s="136"/>
    </row>
    <row r="70777" spans="1:2" x14ac:dyDescent="0.25">
      <c r="A70777" s="118"/>
      <c r="B70777" s="136"/>
    </row>
    <row r="70778" spans="1:2" x14ac:dyDescent="0.25">
      <c r="A70778" s="118"/>
      <c r="B70778" s="136"/>
    </row>
    <row r="70779" spans="1:2" x14ac:dyDescent="0.25">
      <c r="A70779" s="118"/>
      <c r="B70779" s="136"/>
    </row>
    <row r="70780" spans="1:2" x14ac:dyDescent="0.25">
      <c r="A70780" s="118"/>
      <c r="B70780" s="136"/>
    </row>
    <row r="70781" spans="1:2" x14ac:dyDescent="0.25">
      <c r="A70781" s="118"/>
      <c r="B70781" s="136"/>
    </row>
    <row r="70782" spans="1:2" x14ac:dyDescent="0.25">
      <c r="A70782" s="118"/>
      <c r="B70782" s="136"/>
    </row>
    <row r="70783" spans="1:2" x14ac:dyDescent="0.25">
      <c r="A70783" s="118"/>
      <c r="B70783" s="136"/>
    </row>
    <row r="70784" spans="1:2" x14ac:dyDescent="0.25">
      <c r="A70784" s="118"/>
      <c r="B70784" s="136"/>
    </row>
    <row r="70785" spans="1:2" x14ac:dyDescent="0.25">
      <c r="A70785" s="118"/>
      <c r="B70785" s="136"/>
    </row>
    <row r="70786" spans="1:2" x14ac:dyDescent="0.25">
      <c r="A70786" s="118"/>
      <c r="B70786" s="136"/>
    </row>
    <row r="70787" spans="1:2" x14ac:dyDescent="0.25">
      <c r="A70787" s="118"/>
      <c r="B70787" s="136"/>
    </row>
    <row r="70788" spans="1:2" x14ac:dyDescent="0.25">
      <c r="A70788" s="118"/>
      <c r="B70788" s="136"/>
    </row>
    <row r="70789" spans="1:2" x14ac:dyDescent="0.25">
      <c r="A70789" s="118"/>
      <c r="B70789" s="136"/>
    </row>
    <row r="70790" spans="1:2" x14ac:dyDescent="0.25">
      <c r="A70790" s="118"/>
      <c r="B70790" s="136"/>
    </row>
    <row r="70791" spans="1:2" x14ac:dyDescent="0.25">
      <c r="A70791" s="118"/>
      <c r="B70791" s="136"/>
    </row>
    <row r="70792" spans="1:2" x14ac:dyDescent="0.25">
      <c r="A70792" s="118"/>
      <c r="B70792" s="136"/>
    </row>
    <row r="70793" spans="1:2" x14ac:dyDescent="0.25">
      <c r="A70793" s="118"/>
      <c r="B70793" s="136"/>
    </row>
    <row r="70794" spans="1:2" x14ac:dyDescent="0.25">
      <c r="A70794" s="118"/>
      <c r="B70794" s="136"/>
    </row>
    <row r="70795" spans="1:2" x14ac:dyDescent="0.25">
      <c r="A70795" s="118"/>
      <c r="B70795" s="136"/>
    </row>
    <row r="70796" spans="1:2" x14ac:dyDescent="0.25">
      <c r="A70796" s="118"/>
      <c r="B70796" s="136"/>
    </row>
    <row r="70797" spans="1:2" x14ac:dyDescent="0.25">
      <c r="A70797" s="118"/>
      <c r="B70797" s="136"/>
    </row>
    <row r="70798" spans="1:2" x14ac:dyDescent="0.25">
      <c r="A70798" s="118"/>
      <c r="B70798" s="136"/>
    </row>
    <row r="70799" spans="1:2" x14ac:dyDescent="0.25">
      <c r="A70799" s="118"/>
      <c r="B70799" s="136"/>
    </row>
    <row r="70800" spans="1:2" x14ac:dyDescent="0.25">
      <c r="A70800" s="118"/>
      <c r="B70800" s="136"/>
    </row>
    <row r="70801" spans="1:2" x14ac:dyDescent="0.25">
      <c r="A70801" s="118"/>
      <c r="B70801" s="136"/>
    </row>
    <row r="70802" spans="1:2" x14ac:dyDescent="0.25">
      <c r="A70802" s="118"/>
      <c r="B70802" s="136"/>
    </row>
    <row r="70803" spans="1:2" x14ac:dyDescent="0.25">
      <c r="A70803" s="118"/>
      <c r="B70803" s="136"/>
    </row>
    <row r="70804" spans="1:2" x14ac:dyDescent="0.25">
      <c r="A70804" s="118"/>
      <c r="B70804" s="136"/>
    </row>
    <row r="70805" spans="1:2" x14ac:dyDescent="0.25">
      <c r="A70805" s="118"/>
      <c r="B70805" s="136"/>
    </row>
    <row r="70806" spans="1:2" x14ac:dyDescent="0.25">
      <c r="A70806" s="118"/>
      <c r="B70806" s="136"/>
    </row>
    <row r="70807" spans="1:2" x14ac:dyDescent="0.25">
      <c r="A70807" s="118"/>
      <c r="B70807" s="136"/>
    </row>
    <row r="70808" spans="1:2" x14ac:dyDescent="0.25">
      <c r="A70808" s="118"/>
      <c r="B70808" s="136"/>
    </row>
    <row r="70809" spans="1:2" x14ac:dyDescent="0.25">
      <c r="A70809" s="118"/>
      <c r="B70809" s="136"/>
    </row>
    <row r="70810" spans="1:2" x14ac:dyDescent="0.25">
      <c r="A70810" s="118"/>
      <c r="B70810" s="136"/>
    </row>
    <row r="70811" spans="1:2" x14ac:dyDescent="0.25">
      <c r="A70811" s="118"/>
      <c r="B70811" s="136"/>
    </row>
    <row r="70812" spans="1:2" x14ac:dyDescent="0.25">
      <c r="A70812" s="118"/>
      <c r="B70812" s="136"/>
    </row>
    <row r="70813" spans="1:2" x14ac:dyDescent="0.25">
      <c r="A70813" s="118"/>
      <c r="B70813" s="136"/>
    </row>
    <row r="70814" spans="1:2" x14ac:dyDescent="0.25">
      <c r="A70814" s="118"/>
      <c r="B70814" s="136"/>
    </row>
    <row r="70815" spans="1:2" x14ac:dyDescent="0.25">
      <c r="A70815" s="118"/>
      <c r="B70815" s="136"/>
    </row>
    <row r="70816" spans="1:2" x14ac:dyDescent="0.25">
      <c r="A70816" s="118"/>
      <c r="B70816" s="136"/>
    </row>
    <row r="70817" spans="1:2" x14ac:dyDescent="0.25">
      <c r="A70817" s="118"/>
      <c r="B70817" s="136"/>
    </row>
    <row r="70818" spans="1:2" x14ac:dyDescent="0.25">
      <c r="A70818" s="118"/>
      <c r="B70818" s="136"/>
    </row>
    <row r="70819" spans="1:2" x14ac:dyDescent="0.25">
      <c r="A70819" s="118"/>
      <c r="B70819" s="136"/>
    </row>
    <row r="70820" spans="1:2" x14ac:dyDescent="0.25">
      <c r="A70820" s="118"/>
      <c r="B70820" s="136"/>
    </row>
    <row r="70821" spans="1:2" x14ac:dyDescent="0.25">
      <c r="A70821" s="118"/>
      <c r="B70821" s="136"/>
    </row>
    <row r="70822" spans="1:2" x14ac:dyDescent="0.25">
      <c r="A70822" s="118"/>
      <c r="B70822" s="136"/>
    </row>
    <row r="70823" spans="1:2" x14ac:dyDescent="0.25">
      <c r="A70823" s="118"/>
      <c r="B70823" s="136"/>
    </row>
    <row r="70824" spans="1:2" x14ac:dyDescent="0.25">
      <c r="A70824" s="118"/>
      <c r="B70824" s="136"/>
    </row>
    <row r="70825" spans="1:2" x14ac:dyDescent="0.25">
      <c r="A70825" s="118"/>
      <c r="B70825" s="136"/>
    </row>
    <row r="70826" spans="1:2" x14ac:dyDescent="0.25">
      <c r="A70826" s="118"/>
      <c r="B70826" s="136"/>
    </row>
    <row r="70827" spans="1:2" x14ac:dyDescent="0.25">
      <c r="A70827" s="118"/>
      <c r="B70827" s="136"/>
    </row>
    <row r="70828" spans="1:2" x14ac:dyDescent="0.25">
      <c r="A70828" s="118"/>
      <c r="B70828" s="136"/>
    </row>
    <row r="70829" spans="1:2" x14ac:dyDescent="0.25">
      <c r="A70829" s="118"/>
      <c r="B70829" s="136"/>
    </row>
    <row r="70830" spans="1:2" x14ac:dyDescent="0.25">
      <c r="A70830" s="118"/>
      <c r="B70830" s="136"/>
    </row>
    <row r="70831" spans="1:2" x14ac:dyDescent="0.25">
      <c r="A70831" s="118"/>
      <c r="B70831" s="136"/>
    </row>
    <row r="70832" spans="1:2" x14ac:dyDescent="0.25">
      <c r="A70832" s="118"/>
      <c r="B70832" s="136"/>
    </row>
    <row r="70833" spans="1:2" x14ac:dyDescent="0.25">
      <c r="A70833" s="118"/>
      <c r="B70833" s="136"/>
    </row>
    <row r="70834" spans="1:2" x14ac:dyDescent="0.25">
      <c r="A70834" s="118"/>
      <c r="B70834" s="136"/>
    </row>
    <row r="70835" spans="1:2" x14ac:dyDescent="0.25">
      <c r="A70835" s="118"/>
      <c r="B70835" s="136"/>
    </row>
    <row r="70836" spans="1:2" x14ac:dyDescent="0.25">
      <c r="A70836" s="118"/>
      <c r="B70836" s="136"/>
    </row>
    <row r="70837" spans="1:2" x14ac:dyDescent="0.25">
      <c r="A70837" s="118"/>
      <c r="B70837" s="136"/>
    </row>
    <row r="70838" spans="1:2" x14ac:dyDescent="0.25">
      <c r="A70838" s="118"/>
      <c r="B70838" s="136"/>
    </row>
    <row r="70839" spans="1:2" x14ac:dyDescent="0.25">
      <c r="A70839" s="118"/>
      <c r="B70839" s="136"/>
    </row>
    <row r="70840" spans="1:2" x14ac:dyDescent="0.25">
      <c r="A70840" s="118"/>
      <c r="B70840" s="136"/>
    </row>
    <row r="70841" spans="1:2" x14ac:dyDescent="0.25">
      <c r="A70841" s="118"/>
      <c r="B70841" s="136"/>
    </row>
    <row r="70842" spans="1:2" x14ac:dyDescent="0.25">
      <c r="A70842" s="118"/>
      <c r="B70842" s="136"/>
    </row>
    <row r="70843" spans="1:2" x14ac:dyDescent="0.25">
      <c r="A70843" s="118"/>
      <c r="B70843" s="136"/>
    </row>
    <row r="70844" spans="1:2" x14ac:dyDescent="0.25">
      <c r="A70844" s="118"/>
      <c r="B70844" s="136"/>
    </row>
    <row r="70845" spans="1:2" x14ac:dyDescent="0.25">
      <c r="A70845" s="118"/>
      <c r="B70845" s="136"/>
    </row>
    <row r="70846" spans="1:2" x14ac:dyDescent="0.25">
      <c r="A70846" s="118"/>
      <c r="B70846" s="136"/>
    </row>
    <row r="70847" spans="1:2" x14ac:dyDescent="0.25">
      <c r="A70847" s="118"/>
      <c r="B70847" s="136"/>
    </row>
    <row r="70848" spans="1:2" x14ac:dyDescent="0.25">
      <c r="A70848" s="118"/>
      <c r="B70848" s="136"/>
    </row>
    <row r="70849" spans="1:2" x14ac:dyDescent="0.25">
      <c r="A70849" s="118"/>
      <c r="B70849" s="136"/>
    </row>
    <row r="70850" spans="1:2" x14ac:dyDescent="0.25">
      <c r="A70850" s="118"/>
      <c r="B70850" s="136"/>
    </row>
    <row r="70851" spans="1:2" x14ac:dyDescent="0.25">
      <c r="A70851" s="118"/>
      <c r="B70851" s="136"/>
    </row>
    <row r="70852" spans="1:2" x14ac:dyDescent="0.25">
      <c r="A70852" s="118"/>
      <c r="B70852" s="136"/>
    </row>
    <row r="70853" spans="1:2" x14ac:dyDescent="0.25">
      <c r="A70853" s="118"/>
      <c r="B70853" s="136"/>
    </row>
    <row r="70854" spans="1:2" x14ac:dyDescent="0.25">
      <c r="A70854" s="118"/>
      <c r="B70854" s="136"/>
    </row>
    <row r="70855" spans="1:2" x14ac:dyDescent="0.25">
      <c r="A70855" s="118"/>
      <c r="B70855" s="136"/>
    </row>
    <row r="70856" spans="1:2" x14ac:dyDescent="0.25">
      <c r="A70856" s="118"/>
      <c r="B70856" s="136"/>
    </row>
    <row r="70857" spans="1:2" x14ac:dyDescent="0.25">
      <c r="A70857" s="118"/>
      <c r="B70857" s="136"/>
    </row>
    <row r="70858" spans="1:2" x14ac:dyDescent="0.25">
      <c r="A70858" s="118"/>
      <c r="B70858" s="136"/>
    </row>
    <row r="70859" spans="1:2" x14ac:dyDescent="0.25">
      <c r="A70859" s="118"/>
      <c r="B70859" s="136"/>
    </row>
    <row r="70860" spans="1:2" x14ac:dyDescent="0.25">
      <c r="A70860" s="118"/>
      <c r="B70860" s="136"/>
    </row>
    <row r="70861" spans="1:2" x14ac:dyDescent="0.25">
      <c r="A70861" s="118"/>
      <c r="B70861" s="136"/>
    </row>
    <row r="70862" spans="1:2" x14ac:dyDescent="0.25">
      <c r="A70862" s="118"/>
      <c r="B70862" s="136"/>
    </row>
    <row r="70863" spans="1:2" x14ac:dyDescent="0.25">
      <c r="A70863" s="118"/>
      <c r="B70863" s="136"/>
    </row>
    <row r="70864" spans="1:2" x14ac:dyDescent="0.25">
      <c r="A70864" s="118"/>
      <c r="B70864" s="136"/>
    </row>
    <row r="70865" spans="1:2" x14ac:dyDescent="0.25">
      <c r="A70865" s="118"/>
      <c r="B70865" s="136"/>
    </row>
    <row r="70866" spans="1:2" x14ac:dyDescent="0.25">
      <c r="A70866" s="118"/>
      <c r="B70866" s="136"/>
    </row>
    <row r="70867" spans="1:2" x14ac:dyDescent="0.25">
      <c r="A70867" s="118"/>
      <c r="B70867" s="136"/>
    </row>
    <row r="70868" spans="1:2" x14ac:dyDescent="0.25">
      <c r="A70868" s="118"/>
      <c r="B70868" s="136"/>
    </row>
    <row r="70869" spans="1:2" x14ac:dyDescent="0.25">
      <c r="A70869" s="118"/>
      <c r="B70869" s="136"/>
    </row>
    <row r="70870" spans="1:2" x14ac:dyDescent="0.25">
      <c r="A70870" s="118"/>
      <c r="B70870" s="136"/>
    </row>
    <row r="70871" spans="1:2" x14ac:dyDescent="0.25">
      <c r="A70871" s="118"/>
      <c r="B70871" s="136"/>
    </row>
    <row r="70872" spans="1:2" x14ac:dyDescent="0.25">
      <c r="A70872" s="118"/>
      <c r="B70872" s="136"/>
    </row>
    <row r="70873" spans="1:2" x14ac:dyDescent="0.25">
      <c r="A70873" s="118"/>
      <c r="B70873" s="136"/>
    </row>
    <row r="70874" spans="1:2" x14ac:dyDescent="0.25">
      <c r="A70874" s="118"/>
      <c r="B70874" s="136"/>
    </row>
    <row r="70875" spans="1:2" x14ac:dyDescent="0.25">
      <c r="A70875" s="118"/>
      <c r="B70875" s="136"/>
    </row>
    <row r="70876" spans="1:2" x14ac:dyDescent="0.25">
      <c r="A70876" s="118"/>
      <c r="B70876" s="136"/>
    </row>
    <row r="70877" spans="1:2" x14ac:dyDescent="0.25">
      <c r="A70877" s="118"/>
      <c r="B70877" s="136"/>
    </row>
    <row r="70878" spans="1:2" x14ac:dyDescent="0.25">
      <c r="A70878" s="118"/>
      <c r="B70878" s="136"/>
    </row>
    <row r="70879" spans="1:2" x14ac:dyDescent="0.25">
      <c r="A70879" s="118"/>
      <c r="B70879" s="136"/>
    </row>
    <row r="70880" spans="1:2" x14ac:dyDescent="0.25">
      <c r="A70880" s="118"/>
      <c r="B70880" s="136"/>
    </row>
    <row r="70881" spans="1:2" x14ac:dyDescent="0.25">
      <c r="A70881" s="118"/>
      <c r="B70881" s="136"/>
    </row>
    <row r="70882" spans="1:2" x14ac:dyDescent="0.25">
      <c r="A70882" s="118"/>
      <c r="B70882" s="136"/>
    </row>
    <row r="70883" spans="1:2" x14ac:dyDescent="0.25">
      <c r="A70883" s="118"/>
      <c r="B70883" s="136"/>
    </row>
    <row r="70884" spans="1:2" x14ac:dyDescent="0.25">
      <c r="A70884" s="118"/>
      <c r="B70884" s="136"/>
    </row>
    <row r="70885" spans="1:2" x14ac:dyDescent="0.25">
      <c r="A70885" s="118"/>
      <c r="B70885" s="136"/>
    </row>
    <row r="70886" spans="1:2" x14ac:dyDescent="0.25">
      <c r="A70886" s="118"/>
      <c r="B70886" s="136"/>
    </row>
    <row r="70887" spans="1:2" x14ac:dyDescent="0.25">
      <c r="A70887" s="118"/>
      <c r="B70887" s="136"/>
    </row>
    <row r="70888" spans="1:2" x14ac:dyDescent="0.25">
      <c r="A70888" s="118"/>
      <c r="B70888" s="136"/>
    </row>
    <row r="70889" spans="1:2" x14ac:dyDescent="0.25">
      <c r="A70889" s="118"/>
      <c r="B70889" s="136"/>
    </row>
    <row r="70890" spans="1:2" x14ac:dyDescent="0.25">
      <c r="A70890" s="118"/>
      <c r="B70890" s="136"/>
    </row>
    <row r="70891" spans="1:2" x14ac:dyDescent="0.25">
      <c r="A70891" s="118"/>
      <c r="B70891" s="136"/>
    </row>
    <row r="70892" spans="1:2" x14ac:dyDescent="0.25">
      <c r="A70892" s="118"/>
      <c r="B70892" s="136"/>
    </row>
    <row r="70893" spans="1:2" x14ac:dyDescent="0.25">
      <c r="A70893" s="118"/>
      <c r="B70893" s="136"/>
    </row>
    <row r="70894" spans="1:2" x14ac:dyDescent="0.25">
      <c r="A70894" s="118"/>
      <c r="B70894" s="136"/>
    </row>
    <row r="70895" spans="1:2" x14ac:dyDescent="0.25">
      <c r="A70895" s="118"/>
      <c r="B70895" s="136"/>
    </row>
    <row r="70896" spans="1:2" x14ac:dyDescent="0.25">
      <c r="A70896" s="118"/>
      <c r="B70896" s="136"/>
    </row>
    <row r="70897" spans="1:2" x14ac:dyDescent="0.25">
      <c r="A70897" s="118"/>
      <c r="B70897" s="136"/>
    </row>
    <row r="70898" spans="1:2" x14ac:dyDescent="0.25">
      <c r="A70898" s="118"/>
      <c r="B70898" s="136"/>
    </row>
    <row r="70899" spans="1:2" x14ac:dyDescent="0.25">
      <c r="A70899" s="118"/>
      <c r="B70899" s="136"/>
    </row>
    <row r="70900" spans="1:2" x14ac:dyDescent="0.25">
      <c r="A70900" s="118"/>
      <c r="B70900" s="136"/>
    </row>
    <row r="70901" spans="1:2" x14ac:dyDescent="0.25">
      <c r="A70901" s="118"/>
      <c r="B70901" s="136"/>
    </row>
    <row r="70902" spans="1:2" x14ac:dyDescent="0.25">
      <c r="A70902" s="118"/>
      <c r="B70902" s="136"/>
    </row>
    <row r="70903" spans="1:2" x14ac:dyDescent="0.25">
      <c r="A70903" s="118"/>
      <c r="B70903" s="136"/>
    </row>
    <row r="70904" spans="1:2" x14ac:dyDescent="0.25">
      <c r="A70904" s="118"/>
      <c r="B70904" s="136"/>
    </row>
    <row r="70905" spans="1:2" x14ac:dyDescent="0.25">
      <c r="A70905" s="118"/>
      <c r="B70905" s="136"/>
    </row>
    <row r="70906" spans="1:2" x14ac:dyDescent="0.25">
      <c r="A70906" s="118"/>
      <c r="B70906" s="136"/>
    </row>
    <row r="70907" spans="1:2" x14ac:dyDescent="0.25">
      <c r="A70907" s="118"/>
      <c r="B70907" s="136"/>
    </row>
    <row r="70908" spans="1:2" x14ac:dyDescent="0.25">
      <c r="A70908" s="118"/>
      <c r="B70908" s="136"/>
    </row>
    <row r="70909" spans="1:2" x14ac:dyDescent="0.25">
      <c r="A70909" s="118"/>
      <c r="B70909" s="136"/>
    </row>
    <row r="70910" spans="1:2" x14ac:dyDescent="0.25">
      <c r="A70910" s="118"/>
      <c r="B70910" s="136"/>
    </row>
    <row r="70911" spans="1:2" x14ac:dyDescent="0.25">
      <c r="A70911" s="118"/>
      <c r="B70911" s="136"/>
    </row>
    <row r="70912" spans="1:2" x14ac:dyDescent="0.25">
      <c r="A70912" s="118"/>
      <c r="B70912" s="136"/>
    </row>
    <row r="70913" spans="1:2" x14ac:dyDescent="0.25">
      <c r="A70913" s="118"/>
      <c r="B70913" s="136"/>
    </row>
    <row r="70914" spans="1:2" x14ac:dyDescent="0.25">
      <c r="A70914" s="118"/>
      <c r="B70914" s="136"/>
    </row>
    <row r="70915" spans="1:2" x14ac:dyDescent="0.25">
      <c r="A70915" s="118"/>
      <c r="B70915" s="136"/>
    </row>
    <row r="70916" spans="1:2" x14ac:dyDescent="0.25">
      <c r="A70916" s="118"/>
      <c r="B70916" s="136"/>
    </row>
    <row r="70917" spans="1:2" x14ac:dyDescent="0.25">
      <c r="A70917" s="118"/>
      <c r="B70917" s="136"/>
    </row>
    <row r="70918" spans="1:2" x14ac:dyDescent="0.25">
      <c r="A70918" s="118"/>
      <c r="B70918" s="136"/>
    </row>
    <row r="70919" spans="1:2" x14ac:dyDescent="0.25">
      <c r="A70919" s="118"/>
      <c r="B70919" s="136"/>
    </row>
    <row r="70920" spans="1:2" x14ac:dyDescent="0.25">
      <c r="A70920" s="118"/>
      <c r="B70920" s="136"/>
    </row>
    <row r="70921" spans="1:2" x14ac:dyDescent="0.25">
      <c r="A70921" s="118"/>
      <c r="B70921" s="136"/>
    </row>
    <row r="70922" spans="1:2" x14ac:dyDescent="0.25">
      <c r="A70922" s="118"/>
      <c r="B70922" s="136"/>
    </row>
    <row r="70923" spans="1:2" x14ac:dyDescent="0.25">
      <c r="A70923" s="118"/>
      <c r="B70923" s="136"/>
    </row>
    <row r="70924" spans="1:2" x14ac:dyDescent="0.25">
      <c r="A70924" s="118"/>
      <c r="B70924" s="136"/>
    </row>
    <row r="70925" spans="1:2" x14ac:dyDescent="0.25">
      <c r="A70925" s="118"/>
      <c r="B70925" s="136"/>
    </row>
    <row r="70926" spans="1:2" x14ac:dyDescent="0.25">
      <c r="A70926" s="118"/>
      <c r="B70926" s="136"/>
    </row>
    <row r="70927" spans="1:2" x14ac:dyDescent="0.25">
      <c r="A70927" s="118"/>
      <c r="B70927" s="136"/>
    </row>
    <row r="70928" spans="1:2" x14ac:dyDescent="0.25">
      <c r="A70928" s="118"/>
      <c r="B70928" s="136"/>
    </row>
    <row r="70929" spans="1:2" x14ac:dyDescent="0.25">
      <c r="A70929" s="118"/>
      <c r="B70929" s="136"/>
    </row>
    <row r="70930" spans="1:2" x14ac:dyDescent="0.25">
      <c r="A70930" s="118"/>
      <c r="B70930" s="136"/>
    </row>
    <row r="70931" spans="1:2" x14ac:dyDescent="0.25">
      <c r="A70931" s="118"/>
      <c r="B70931" s="136"/>
    </row>
    <row r="70932" spans="1:2" x14ac:dyDescent="0.25">
      <c r="A70932" s="118"/>
      <c r="B70932" s="136"/>
    </row>
    <row r="70933" spans="1:2" x14ac:dyDescent="0.25">
      <c r="A70933" s="118"/>
      <c r="B70933" s="136"/>
    </row>
    <row r="70934" spans="1:2" x14ac:dyDescent="0.25">
      <c r="A70934" s="118"/>
      <c r="B70934" s="136"/>
    </row>
    <row r="70935" spans="1:2" x14ac:dyDescent="0.25">
      <c r="A70935" s="118"/>
      <c r="B70935" s="136"/>
    </row>
    <row r="70936" spans="1:2" x14ac:dyDescent="0.25">
      <c r="A70936" s="118"/>
      <c r="B70936" s="136"/>
    </row>
    <row r="70937" spans="1:2" x14ac:dyDescent="0.25">
      <c r="A70937" s="118"/>
      <c r="B70937" s="136"/>
    </row>
    <row r="70938" spans="1:2" x14ac:dyDescent="0.25">
      <c r="A70938" s="118"/>
      <c r="B70938" s="136"/>
    </row>
    <row r="70939" spans="1:2" x14ac:dyDescent="0.25">
      <c r="A70939" s="118"/>
      <c r="B70939" s="136"/>
    </row>
    <row r="70940" spans="1:2" x14ac:dyDescent="0.25">
      <c r="A70940" s="118"/>
      <c r="B70940" s="136"/>
    </row>
    <row r="70941" spans="1:2" x14ac:dyDescent="0.25">
      <c r="A70941" s="118"/>
      <c r="B70941" s="136"/>
    </row>
    <row r="70942" spans="1:2" x14ac:dyDescent="0.25">
      <c r="A70942" s="118"/>
      <c r="B70942" s="136"/>
    </row>
    <row r="70943" spans="1:2" x14ac:dyDescent="0.25">
      <c r="A70943" s="118"/>
      <c r="B70943" s="136"/>
    </row>
    <row r="70944" spans="1:2" x14ac:dyDescent="0.25">
      <c r="A70944" s="118"/>
      <c r="B70944" s="136"/>
    </row>
    <row r="70945" spans="1:2" x14ac:dyDescent="0.25">
      <c r="A70945" s="118"/>
      <c r="B70945" s="136"/>
    </row>
    <row r="70946" spans="1:2" x14ac:dyDescent="0.25">
      <c r="A70946" s="118"/>
      <c r="B70946" s="136"/>
    </row>
    <row r="70947" spans="1:2" x14ac:dyDescent="0.25">
      <c r="A70947" s="118"/>
      <c r="B70947" s="136"/>
    </row>
    <row r="70948" spans="1:2" x14ac:dyDescent="0.25">
      <c r="A70948" s="118"/>
      <c r="B70948" s="136"/>
    </row>
    <row r="70949" spans="1:2" x14ac:dyDescent="0.25">
      <c r="A70949" s="118"/>
      <c r="B70949" s="136"/>
    </row>
    <row r="70950" spans="1:2" x14ac:dyDescent="0.25">
      <c r="A70950" s="118"/>
      <c r="B70950" s="136"/>
    </row>
    <row r="70951" spans="1:2" x14ac:dyDescent="0.25">
      <c r="A70951" s="118"/>
      <c r="B70951" s="136"/>
    </row>
    <row r="70952" spans="1:2" x14ac:dyDescent="0.25">
      <c r="A70952" s="118"/>
      <c r="B70952" s="136"/>
    </row>
    <row r="70953" spans="1:2" x14ac:dyDescent="0.25">
      <c r="A70953" s="118"/>
      <c r="B70953" s="136"/>
    </row>
    <row r="70954" spans="1:2" x14ac:dyDescent="0.25">
      <c r="A70954" s="118"/>
      <c r="B70954" s="136"/>
    </row>
    <row r="70955" spans="1:2" x14ac:dyDescent="0.25">
      <c r="A70955" s="118"/>
      <c r="B70955" s="136"/>
    </row>
    <row r="70956" spans="1:2" x14ac:dyDescent="0.25">
      <c r="A70956" s="118"/>
      <c r="B70956" s="136"/>
    </row>
    <row r="70957" spans="1:2" x14ac:dyDescent="0.25">
      <c r="A70957" s="118"/>
      <c r="B70957" s="136"/>
    </row>
    <row r="70958" spans="1:2" x14ac:dyDescent="0.25">
      <c r="A70958" s="118"/>
      <c r="B70958" s="136"/>
    </row>
    <row r="70959" spans="1:2" x14ac:dyDescent="0.25">
      <c r="A70959" s="118"/>
      <c r="B70959" s="136"/>
    </row>
    <row r="70960" spans="1:2" x14ac:dyDescent="0.25">
      <c r="A70960" s="118"/>
      <c r="B70960" s="136"/>
    </row>
    <row r="70961" spans="1:2" x14ac:dyDescent="0.25">
      <c r="A70961" s="118"/>
      <c r="B70961" s="136"/>
    </row>
    <row r="70962" spans="1:2" x14ac:dyDescent="0.25">
      <c r="A70962" s="118"/>
      <c r="B70962" s="136"/>
    </row>
    <row r="70963" spans="1:2" x14ac:dyDescent="0.25">
      <c r="A70963" s="118"/>
      <c r="B70963" s="136"/>
    </row>
    <row r="70964" spans="1:2" x14ac:dyDescent="0.25">
      <c r="A70964" s="118"/>
      <c r="B70964" s="136"/>
    </row>
    <row r="70965" spans="1:2" x14ac:dyDescent="0.25">
      <c r="A70965" s="118"/>
      <c r="B70965" s="136"/>
    </row>
    <row r="70966" spans="1:2" x14ac:dyDescent="0.25">
      <c r="A70966" s="118"/>
      <c r="B70966" s="136"/>
    </row>
    <row r="70967" spans="1:2" x14ac:dyDescent="0.25">
      <c r="A70967" s="118"/>
      <c r="B70967" s="136"/>
    </row>
    <row r="70968" spans="1:2" x14ac:dyDescent="0.25">
      <c r="A70968" s="118"/>
      <c r="B70968" s="136"/>
    </row>
    <row r="70969" spans="1:2" x14ac:dyDescent="0.25">
      <c r="A70969" s="118"/>
      <c r="B70969" s="136"/>
    </row>
    <row r="70970" spans="1:2" x14ac:dyDescent="0.25">
      <c r="A70970" s="118"/>
      <c r="B70970" s="136"/>
    </row>
    <row r="70971" spans="1:2" x14ac:dyDescent="0.25">
      <c r="A70971" s="118"/>
      <c r="B70971" s="136"/>
    </row>
    <row r="70972" spans="1:2" x14ac:dyDescent="0.25">
      <c r="A70972" s="118"/>
      <c r="B70972" s="136"/>
    </row>
    <row r="70973" spans="1:2" x14ac:dyDescent="0.25">
      <c r="A70973" s="118"/>
      <c r="B70973" s="136"/>
    </row>
    <row r="70974" spans="1:2" x14ac:dyDescent="0.25">
      <c r="A70974" s="118"/>
      <c r="B70974" s="136"/>
    </row>
    <row r="70975" spans="1:2" x14ac:dyDescent="0.25">
      <c r="A70975" s="118"/>
      <c r="B70975" s="136"/>
    </row>
    <row r="70976" spans="1:2" x14ac:dyDescent="0.25">
      <c r="A70976" s="118"/>
      <c r="B70976" s="136"/>
    </row>
    <row r="70977" spans="1:2" x14ac:dyDescent="0.25">
      <c r="A70977" s="118"/>
      <c r="B70977" s="136"/>
    </row>
    <row r="70978" spans="1:2" x14ac:dyDescent="0.25">
      <c r="A70978" s="118"/>
      <c r="B70978" s="136"/>
    </row>
    <row r="70979" spans="1:2" x14ac:dyDescent="0.25">
      <c r="A70979" s="118"/>
      <c r="B70979" s="136"/>
    </row>
    <row r="70980" spans="1:2" x14ac:dyDescent="0.25">
      <c r="A70980" s="118"/>
      <c r="B70980" s="136"/>
    </row>
    <row r="70981" spans="1:2" x14ac:dyDescent="0.25">
      <c r="A70981" s="118"/>
      <c r="B70981" s="136"/>
    </row>
    <row r="70982" spans="1:2" x14ac:dyDescent="0.25">
      <c r="A70982" s="118"/>
      <c r="B70982" s="136"/>
    </row>
    <row r="70983" spans="1:2" x14ac:dyDescent="0.25">
      <c r="A70983" s="118"/>
      <c r="B70983" s="136"/>
    </row>
    <row r="70984" spans="1:2" x14ac:dyDescent="0.25">
      <c r="A70984" s="118"/>
      <c r="B70984" s="136"/>
    </row>
    <row r="70985" spans="1:2" x14ac:dyDescent="0.25">
      <c r="A70985" s="118"/>
      <c r="B70985" s="136"/>
    </row>
    <row r="70986" spans="1:2" x14ac:dyDescent="0.25">
      <c r="A70986" s="118"/>
      <c r="B70986" s="136"/>
    </row>
    <row r="70987" spans="1:2" x14ac:dyDescent="0.25">
      <c r="A70987" s="118"/>
      <c r="B70987" s="136"/>
    </row>
    <row r="70988" spans="1:2" x14ac:dyDescent="0.25">
      <c r="A70988" s="118"/>
      <c r="B70988" s="136"/>
    </row>
    <row r="70989" spans="1:2" x14ac:dyDescent="0.25">
      <c r="A70989" s="118"/>
      <c r="B70989" s="136"/>
    </row>
    <row r="70990" spans="1:2" x14ac:dyDescent="0.25">
      <c r="A70990" s="118"/>
      <c r="B70990" s="136"/>
    </row>
    <row r="70991" spans="1:2" x14ac:dyDescent="0.25">
      <c r="A70991" s="118"/>
      <c r="B70991" s="136"/>
    </row>
    <row r="70992" spans="1:2" x14ac:dyDescent="0.25">
      <c r="A70992" s="118"/>
      <c r="B70992" s="136"/>
    </row>
    <row r="70993" spans="1:2" x14ac:dyDescent="0.25">
      <c r="A70993" s="118"/>
      <c r="B70993" s="136"/>
    </row>
    <row r="70994" spans="1:2" x14ac:dyDescent="0.25">
      <c r="A70994" s="118"/>
      <c r="B70994" s="136"/>
    </row>
    <row r="70995" spans="1:2" x14ac:dyDescent="0.25">
      <c r="A70995" s="118"/>
      <c r="B70995" s="136"/>
    </row>
    <row r="70996" spans="1:2" x14ac:dyDescent="0.25">
      <c r="A70996" s="118"/>
      <c r="B70996" s="136"/>
    </row>
    <row r="70997" spans="1:2" x14ac:dyDescent="0.25">
      <c r="A70997" s="118"/>
      <c r="B70997" s="136"/>
    </row>
    <row r="70998" spans="1:2" x14ac:dyDescent="0.25">
      <c r="A70998" s="118"/>
      <c r="B70998" s="136"/>
    </row>
    <row r="70999" spans="1:2" x14ac:dyDescent="0.25">
      <c r="A70999" s="118"/>
      <c r="B70999" s="136"/>
    </row>
    <row r="71000" spans="1:2" x14ac:dyDescent="0.25">
      <c r="A71000" s="118"/>
      <c r="B71000" s="136"/>
    </row>
    <row r="71001" spans="1:2" x14ac:dyDescent="0.25">
      <c r="A71001" s="118"/>
      <c r="B71001" s="136"/>
    </row>
    <row r="71002" spans="1:2" x14ac:dyDescent="0.25">
      <c r="A71002" s="118"/>
      <c r="B71002" s="136"/>
    </row>
    <row r="71003" spans="1:2" x14ac:dyDescent="0.25">
      <c r="A71003" s="118"/>
      <c r="B71003" s="136"/>
    </row>
    <row r="71004" spans="1:2" x14ac:dyDescent="0.25">
      <c r="A71004" s="118"/>
      <c r="B71004" s="136"/>
    </row>
    <row r="71005" spans="1:2" x14ac:dyDescent="0.25">
      <c r="A71005" s="118"/>
      <c r="B71005" s="136"/>
    </row>
    <row r="71006" spans="1:2" x14ac:dyDescent="0.25">
      <c r="A71006" s="118"/>
      <c r="B71006" s="136"/>
    </row>
    <row r="71007" spans="1:2" x14ac:dyDescent="0.25">
      <c r="A71007" s="118"/>
      <c r="B71007" s="136"/>
    </row>
    <row r="71008" spans="1:2" x14ac:dyDescent="0.25">
      <c r="A71008" s="118"/>
      <c r="B71008" s="136"/>
    </row>
    <row r="71009" spans="1:2" x14ac:dyDescent="0.25">
      <c r="A71009" s="118"/>
      <c r="B71009" s="136"/>
    </row>
    <row r="71010" spans="1:2" x14ac:dyDescent="0.25">
      <c r="A71010" s="118"/>
      <c r="B71010" s="136"/>
    </row>
    <row r="71011" spans="1:2" x14ac:dyDescent="0.25">
      <c r="A71011" s="118"/>
      <c r="B71011" s="136"/>
    </row>
    <row r="71012" spans="1:2" x14ac:dyDescent="0.25">
      <c r="A71012" s="118"/>
      <c r="B71012" s="136"/>
    </row>
    <row r="71013" spans="1:2" x14ac:dyDescent="0.25">
      <c r="A71013" s="118"/>
      <c r="B71013" s="136"/>
    </row>
    <row r="71014" spans="1:2" x14ac:dyDescent="0.25">
      <c r="A71014" s="118"/>
      <c r="B71014" s="136"/>
    </row>
    <row r="71015" spans="1:2" x14ac:dyDescent="0.25">
      <c r="A71015" s="118"/>
      <c r="B71015" s="136"/>
    </row>
    <row r="71016" spans="1:2" x14ac:dyDescent="0.25">
      <c r="A71016" s="118"/>
      <c r="B71016" s="136"/>
    </row>
    <row r="71017" spans="1:2" x14ac:dyDescent="0.25">
      <c r="A71017" s="118"/>
      <c r="B71017" s="136"/>
    </row>
    <row r="71018" spans="1:2" x14ac:dyDescent="0.25">
      <c r="A71018" s="118"/>
      <c r="B71018" s="136"/>
    </row>
    <row r="71019" spans="1:2" x14ac:dyDescent="0.25">
      <c r="A71019" s="118"/>
      <c r="B71019" s="136"/>
    </row>
    <row r="71020" spans="1:2" x14ac:dyDescent="0.25">
      <c r="A71020" s="118"/>
      <c r="B71020" s="136"/>
    </row>
    <row r="71021" spans="1:2" x14ac:dyDescent="0.25">
      <c r="A71021" s="118"/>
      <c r="B71021" s="136"/>
    </row>
    <row r="71022" spans="1:2" x14ac:dyDescent="0.25">
      <c r="A71022" s="118"/>
      <c r="B71022" s="136"/>
    </row>
    <row r="71023" spans="1:2" x14ac:dyDescent="0.25">
      <c r="A71023" s="118"/>
      <c r="B71023" s="136"/>
    </row>
    <row r="71024" spans="1:2" x14ac:dyDescent="0.25">
      <c r="A71024" s="118"/>
      <c r="B71024" s="136"/>
    </row>
    <row r="71025" spans="1:2" x14ac:dyDescent="0.25">
      <c r="A71025" s="118"/>
      <c r="B71025" s="136"/>
    </row>
    <row r="71026" spans="1:2" x14ac:dyDescent="0.25">
      <c r="A71026" s="118"/>
      <c r="B71026" s="136"/>
    </row>
    <row r="71027" spans="1:2" x14ac:dyDescent="0.25">
      <c r="A71027" s="118"/>
      <c r="B71027" s="136"/>
    </row>
    <row r="71028" spans="1:2" x14ac:dyDescent="0.25">
      <c r="A71028" s="118"/>
      <c r="B71028" s="136"/>
    </row>
    <row r="71029" spans="1:2" x14ac:dyDescent="0.25">
      <c r="A71029" s="118"/>
      <c r="B71029" s="136"/>
    </row>
    <row r="71030" spans="1:2" x14ac:dyDescent="0.25">
      <c r="A71030" s="118"/>
      <c r="B71030" s="136"/>
    </row>
    <row r="71031" spans="1:2" x14ac:dyDescent="0.25">
      <c r="A71031" s="118"/>
      <c r="B71031" s="136"/>
    </row>
    <row r="71032" spans="1:2" x14ac:dyDescent="0.25">
      <c r="A71032" s="118"/>
      <c r="B71032" s="136"/>
    </row>
    <row r="71033" spans="1:2" x14ac:dyDescent="0.25">
      <c r="A71033" s="118"/>
      <c r="B71033" s="136"/>
    </row>
    <row r="71034" spans="1:2" x14ac:dyDescent="0.25">
      <c r="A71034" s="118"/>
      <c r="B71034" s="136"/>
    </row>
    <row r="71035" spans="1:2" x14ac:dyDescent="0.25">
      <c r="A71035" s="118"/>
      <c r="B71035" s="136"/>
    </row>
    <row r="71036" spans="1:2" x14ac:dyDescent="0.25">
      <c r="A71036" s="118"/>
      <c r="B71036" s="136"/>
    </row>
    <row r="71037" spans="1:2" x14ac:dyDescent="0.25">
      <c r="A71037" s="118"/>
      <c r="B71037" s="136"/>
    </row>
    <row r="71038" spans="1:2" x14ac:dyDescent="0.25">
      <c r="A71038" s="118"/>
      <c r="B71038" s="136"/>
    </row>
    <row r="71039" spans="1:2" x14ac:dyDescent="0.25">
      <c r="A71039" s="118"/>
      <c r="B71039" s="136"/>
    </row>
    <row r="71040" spans="1:2" x14ac:dyDescent="0.25">
      <c r="A71040" s="118"/>
      <c r="B71040" s="136"/>
    </row>
    <row r="71041" spans="1:2" x14ac:dyDescent="0.25">
      <c r="A71041" s="118"/>
      <c r="B71041" s="136"/>
    </row>
    <row r="71042" spans="1:2" x14ac:dyDescent="0.25">
      <c r="A71042" s="118"/>
      <c r="B71042" s="136"/>
    </row>
    <row r="71043" spans="1:2" x14ac:dyDescent="0.25">
      <c r="A71043" s="118"/>
      <c r="B71043" s="136"/>
    </row>
    <row r="71044" spans="1:2" x14ac:dyDescent="0.25">
      <c r="A71044" s="118"/>
      <c r="B71044" s="136"/>
    </row>
    <row r="71045" spans="1:2" x14ac:dyDescent="0.25">
      <c r="A71045" s="118"/>
      <c r="B71045" s="136"/>
    </row>
    <row r="71046" spans="1:2" x14ac:dyDescent="0.25">
      <c r="A71046" s="118"/>
      <c r="B71046" s="136"/>
    </row>
    <row r="71047" spans="1:2" x14ac:dyDescent="0.25">
      <c r="A71047" s="118"/>
      <c r="B71047" s="136"/>
    </row>
    <row r="71048" spans="1:2" x14ac:dyDescent="0.25">
      <c r="A71048" s="118"/>
      <c r="B71048" s="136"/>
    </row>
    <row r="71049" spans="1:2" x14ac:dyDescent="0.25">
      <c r="A71049" s="118"/>
      <c r="B71049" s="136"/>
    </row>
    <row r="71050" spans="1:2" x14ac:dyDescent="0.25">
      <c r="A71050" s="118"/>
      <c r="B71050" s="136"/>
    </row>
    <row r="71051" spans="1:2" x14ac:dyDescent="0.25">
      <c r="A71051" s="118"/>
      <c r="B71051" s="136"/>
    </row>
    <row r="71052" spans="1:2" x14ac:dyDescent="0.25">
      <c r="A71052" s="118"/>
      <c r="B71052" s="136"/>
    </row>
    <row r="71053" spans="1:2" x14ac:dyDescent="0.25">
      <c r="A71053" s="118"/>
      <c r="B71053" s="136"/>
    </row>
    <row r="71054" spans="1:2" x14ac:dyDescent="0.25">
      <c r="A71054" s="118"/>
      <c r="B71054" s="136"/>
    </row>
    <row r="71055" spans="1:2" x14ac:dyDescent="0.25">
      <c r="A71055" s="118"/>
      <c r="B71055" s="136"/>
    </row>
    <row r="71056" spans="1:2" x14ac:dyDescent="0.25">
      <c r="A71056" s="118"/>
      <c r="B71056" s="136"/>
    </row>
    <row r="71057" spans="1:2" x14ac:dyDescent="0.25">
      <c r="A71057" s="118"/>
      <c r="B71057" s="136"/>
    </row>
    <row r="71058" spans="1:2" x14ac:dyDescent="0.25">
      <c r="A71058" s="118"/>
      <c r="B71058" s="136"/>
    </row>
    <row r="71059" spans="1:2" x14ac:dyDescent="0.25">
      <c r="A71059" s="118"/>
      <c r="B71059" s="136"/>
    </row>
    <row r="71060" spans="1:2" x14ac:dyDescent="0.25">
      <c r="A71060" s="118"/>
      <c r="B71060" s="136"/>
    </row>
    <row r="71061" spans="1:2" x14ac:dyDescent="0.25">
      <c r="A71061" s="118"/>
      <c r="B71061" s="136"/>
    </row>
    <row r="71062" spans="1:2" x14ac:dyDescent="0.25">
      <c r="A71062" s="118"/>
      <c r="B71062" s="136"/>
    </row>
    <row r="71063" spans="1:2" x14ac:dyDescent="0.25">
      <c r="A71063" s="118"/>
      <c r="B71063" s="136"/>
    </row>
    <row r="71064" spans="1:2" x14ac:dyDescent="0.25">
      <c r="A71064" s="118"/>
      <c r="B71064" s="136"/>
    </row>
    <row r="71065" spans="1:2" x14ac:dyDescent="0.25">
      <c r="A71065" s="118"/>
      <c r="B71065" s="136"/>
    </row>
    <row r="71066" spans="1:2" x14ac:dyDescent="0.25">
      <c r="A71066" s="118"/>
      <c r="B71066" s="136"/>
    </row>
    <row r="71067" spans="1:2" x14ac:dyDescent="0.25">
      <c r="A71067" s="118"/>
      <c r="B71067" s="136"/>
    </row>
    <row r="71068" spans="1:2" x14ac:dyDescent="0.25">
      <c r="A71068" s="118"/>
      <c r="B71068" s="136"/>
    </row>
    <row r="71069" spans="1:2" x14ac:dyDescent="0.25">
      <c r="A71069" s="118"/>
      <c r="B71069" s="136"/>
    </row>
    <row r="71070" spans="1:2" x14ac:dyDescent="0.25">
      <c r="A71070" s="118"/>
      <c r="B71070" s="136"/>
    </row>
    <row r="71071" spans="1:2" x14ac:dyDescent="0.25">
      <c r="A71071" s="118"/>
      <c r="B71071" s="136"/>
    </row>
    <row r="71072" spans="1:2" x14ac:dyDescent="0.25">
      <c r="A71072" s="118"/>
      <c r="B71072" s="136"/>
    </row>
    <row r="71073" spans="1:2" x14ac:dyDescent="0.25">
      <c r="A71073" s="118"/>
      <c r="B71073" s="136"/>
    </row>
    <row r="71074" spans="1:2" x14ac:dyDescent="0.25">
      <c r="A71074" s="118"/>
      <c r="B71074" s="136"/>
    </row>
    <row r="71075" spans="1:2" x14ac:dyDescent="0.25">
      <c r="A71075" s="118"/>
      <c r="B71075" s="136"/>
    </row>
    <row r="71076" spans="1:2" x14ac:dyDescent="0.25">
      <c r="A71076" s="118"/>
      <c r="B71076" s="136"/>
    </row>
    <row r="71077" spans="1:2" x14ac:dyDescent="0.25">
      <c r="A71077" s="118"/>
      <c r="B71077" s="136"/>
    </row>
    <row r="71078" spans="1:2" x14ac:dyDescent="0.25">
      <c r="A71078" s="118"/>
      <c r="B71078" s="136"/>
    </row>
    <row r="71079" spans="1:2" x14ac:dyDescent="0.25">
      <c r="A71079" s="118"/>
      <c r="B71079" s="136"/>
    </row>
    <row r="71080" spans="1:2" x14ac:dyDescent="0.25">
      <c r="A71080" s="118"/>
      <c r="B71080" s="136"/>
    </row>
    <row r="71081" spans="1:2" x14ac:dyDescent="0.25">
      <c r="A71081" s="118"/>
      <c r="B71081" s="136"/>
    </row>
    <row r="71082" spans="1:2" x14ac:dyDescent="0.25">
      <c r="A71082" s="118"/>
      <c r="B71082" s="136"/>
    </row>
    <row r="71083" spans="1:2" x14ac:dyDescent="0.25">
      <c r="A71083" s="118"/>
      <c r="B71083" s="136"/>
    </row>
    <row r="71084" spans="1:2" x14ac:dyDescent="0.25">
      <c r="A71084" s="118"/>
      <c r="B71084" s="136"/>
    </row>
    <row r="71085" spans="1:2" x14ac:dyDescent="0.25">
      <c r="A71085" s="118"/>
      <c r="B71085" s="136"/>
    </row>
    <row r="71086" spans="1:2" x14ac:dyDescent="0.25">
      <c r="A71086" s="118"/>
      <c r="B71086" s="136"/>
    </row>
    <row r="71087" spans="1:2" x14ac:dyDescent="0.25">
      <c r="A71087" s="118"/>
      <c r="B71087" s="136"/>
    </row>
    <row r="71088" spans="1:2" x14ac:dyDescent="0.25">
      <c r="A71088" s="118"/>
      <c r="B71088" s="136"/>
    </row>
    <row r="71089" spans="1:2" x14ac:dyDescent="0.25">
      <c r="A71089" s="118"/>
      <c r="B71089" s="136"/>
    </row>
    <row r="71090" spans="1:2" x14ac:dyDescent="0.25">
      <c r="A71090" s="118"/>
      <c r="B71090" s="136"/>
    </row>
    <row r="71091" spans="1:2" x14ac:dyDescent="0.25">
      <c r="A71091" s="118"/>
      <c r="B71091" s="136"/>
    </row>
    <row r="71092" spans="1:2" x14ac:dyDescent="0.25">
      <c r="A71092" s="118"/>
      <c r="B71092" s="136"/>
    </row>
    <row r="71093" spans="1:2" x14ac:dyDescent="0.25">
      <c r="A71093" s="118"/>
      <c r="B71093" s="136"/>
    </row>
    <row r="71094" spans="1:2" x14ac:dyDescent="0.25">
      <c r="A71094" s="118"/>
      <c r="B71094" s="136"/>
    </row>
    <row r="71095" spans="1:2" x14ac:dyDescent="0.25">
      <c r="A71095" s="118"/>
      <c r="B71095" s="136"/>
    </row>
    <row r="71096" spans="1:2" x14ac:dyDescent="0.25">
      <c r="A71096" s="118"/>
      <c r="B71096" s="136"/>
    </row>
    <row r="71097" spans="1:2" x14ac:dyDescent="0.25">
      <c r="A71097" s="118"/>
      <c r="B71097" s="136"/>
    </row>
    <row r="71098" spans="1:2" x14ac:dyDescent="0.25">
      <c r="A71098" s="118"/>
      <c r="B71098" s="136"/>
    </row>
    <row r="71099" spans="1:2" x14ac:dyDescent="0.25">
      <c r="A71099" s="118"/>
      <c r="B71099" s="136"/>
    </row>
    <row r="71100" spans="1:2" x14ac:dyDescent="0.25">
      <c r="A71100" s="118"/>
      <c r="B71100" s="136"/>
    </row>
    <row r="71101" spans="1:2" x14ac:dyDescent="0.25">
      <c r="A71101" s="118"/>
      <c r="B71101" s="136"/>
    </row>
    <row r="71102" spans="1:2" x14ac:dyDescent="0.25">
      <c r="A71102" s="118"/>
      <c r="B71102" s="136"/>
    </row>
    <row r="71103" spans="1:2" x14ac:dyDescent="0.25">
      <c r="A71103" s="118"/>
      <c r="B71103" s="136"/>
    </row>
    <row r="71104" spans="1:2" x14ac:dyDescent="0.25">
      <c r="A71104" s="118"/>
      <c r="B71104" s="136"/>
    </row>
    <row r="71105" spans="1:2" x14ac:dyDescent="0.25">
      <c r="A71105" s="118"/>
      <c r="B71105" s="136"/>
    </row>
    <row r="71106" spans="1:2" x14ac:dyDescent="0.25">
      <c r="A71106" s="118"/>
      <c r="B71106" s="136"/>
    </row>
    <row r="71107" spans="1:2" x14ac:dyDescent="0.25">
      <c r="A71107" s="118"/>
      <c r="B71107" s="136"/>
    </row>
    <row r="71108" spans="1:2" x14ac:dyDescent="0.25">
      <c r="A71108" s="118"/>
      <c r="B71108" s="136"/>
    </row>
    <row r="71109" spans="1:2" x14ac:dyDescent="0.25">
      <c r="A71109" s="118"/>
      <c r="B71109" s="136"/>
    </row>
    <row r="71110" spans="1:2" x14ac:dyDescent="0.25">
      <c r="A71110" s="118"/>
      <c r="B71110" s="136"/>
    </row>
    <row r="71111" spans="1:2" x14ac:dyDescent="0.25">
      <c r="A71111" s="118"/>
      <c r="B71111" s="136"/>
    </row>
    <row r="71112" spans="1:2" x14ac:dyDescent="0.25">
      <c r="A71112" s="118"/>
      <c r="B71112" s="136"/>
    </row>
    <row r="71113" spans="1:2" x14ac:dyDescent="0.25">
      <c r="A71113" s="118"/>
      <c r="B71113" s="136"/>
    </row>
    <row r="71114" spans="1:2" x14ac:dyDescent="0.25">
      <c r="A71114" s="118"/>
      <c r="B71114" s="136"/>
    </row>
    <row r="71115" spans="1:2" x14ac:dyDescent="0.25">
      <c r="A71115" s="118"/>
      <c r="B71115" s="136"/>
    </row>
    <row r="71116" spans="1:2" x14ac:dyDescent="0.25">
      <c r="A71116" s="118"/>
      <c r="B71116" s="136"/>
    </row>
    <row r="71117" spans="1:2" x14ac:dyDescent="0.25">
      <c r="A71117" s="118"/>
      <c r="B71117" s="136"/>
    </row>
    <row r="71118" spans="1:2" x14ac:dyDescent="0.25">
      <c r="A71118" s="118"/>
      <c r="B71118" s="136"/>
    </row>
    <row r="71119" spans="1:2" x14ac:dyDescent="0.25">
      <c r="A71119" s="118"/>
      <c r="B71119" s="136"/>
    </row>
    <row r="71120" spans="1:2" x14ac:dyDescent="0.25">
      <c r="A71120" s="118"/>
      <c r="B71120" s="136"/>
    </row>
    <row r="71121" spans="1:2" x14ac:dyDescent="0.25">
      <c r="A71121" s="118"/>
      <c r="B71121" s="136"/>
    </row>
    <row r="71122" spans="1:2" x14ac:dyDescent="0.25">
      <c r="A71122" s="118"/>
      <c r="B71122" s="136"/>
    </row>
    <row r="71123" spans="1:2" x14ac:dyDescent="0.25">
      <c r="A71123" s="118"/>
      <c r="B71123" s="136"/>
    </row>
    <row r="71124" spans="1:2" x14ac:dyDescent="0.25">
      <c r="A71124" s="118"/>
      <c r="B71124" s="136"/>
    </row>
    <row r="71125" spans="1:2" x14ac:dyDescent="0.25">
      <c r="A71125" s="118"/>
      <c r="B71125" s="136"/>
    </row>
    <row r="71126" spans="1:2" x14ac:dyDescent="0.25">
      <c r="A71126" s="118"/>
      <c r="B71126" s="136"/>
    </row>
    <row r="71127" spans="1:2" x14ac:dyDescent="0.25">
      <c r="A71127" s="118"/>
      <c r="B71127" s="136"/>
    </row>
    <row r="71128" spans="1:2" x14ac:dyDescent="0.25">
      <c r="A71128" s="118"/>
      <c r="B71128" s="136"/>
    </row>
    <row r="71129" spans="1:2" x14ac:dyDescent="0.25">
      <c r="A71129" s="118"/>
      <c r="B71129" s="136"/>
    </row>
    <row r="71130" spans="1:2" x14ac:dyDescent="0.25">
      <c r="A71130" s="118"/>
      <c r="B71130" s="136"/>
    </row>
    <row r="71131" spans="1:2" x14ac:dyDescent="0.25">
      <c r="A71131" s="118"/>
      <c r="B71131" s="136"/>
    </row>
    <row r="71132" spans="1:2" x14ac:dyDescent="0.25">
      <c r="A71132" s="118"/>
      <c r="B71132" s="136"/>
    </row>
    <row r="71133" spans="1:2" x14ac:dyDescent="0.25">
      <c r="A71133" s="118"/>
      <c r="B71133" s="136"/>
    </row>
    <row r="71134" spans="1:2" x14ac:dyDescent="0.25">
      <c r="A71134" s="118"/>
      <c r="B71134" s="136"/>
    </row>
    <row r="71135" spans="1:2" x14ac:dyDescent="0.25">
      <c r="A71135" s="118"/>
      <c r="B71135" s="136"/>
    </row>
    <row r="71136" spans="1:2" x14ac:dyDescent="0.25">
      <c r="A71136" s="118"/>
      <c r="B71136" s="136"/>
    </row>
    <row r="71137" spans="1:2" x14ac:dyDescent="0.25">
      <c r="A71137" s="118"/>
      <c r="B71137" s="136"/>
    </row>
    <row r="71138" spans="1:2" x14ac:dyDescent="0.25">
      <c r="A71138" s="118"/>
      <c r="B71138" s="136"/>
    </row>
    <row r="71139" spans="1:2" x14ac:dyDescent="0.25">
      <c r="A71139" s="118"/>
      <c r="B71139" s="136"/>
    </row>
    <row r="71140" spans="1:2" x14ac:dyDescent="0.25">
      <c r="A71140" s="118"/>
      <c r="B71140" s="136"/>
    </row>
    <row r="71141" spans="1:2" x14ac:dyDescent="0.25">
      <c r="A71141" s="118"/>
      <c r="B71141" s="136"/>
    </row>
    <row r="71142" spans="1:2" x14ac:dyDescent="0.25">
      <c r="A71142" s="118"/>
      <c r="B71142" s="136"/>
    </row>
    <row r="71143" spans="1:2" x14ac:dyDescent="0.25">
      <c r="A71143" s="118"/>
      <c r="B71143" s="136"/>
    </row>
    <row r="71144" spans="1:2" x14ac:dyDescent="0.25">
      <c r="A71144" s="118"/>
      <c r="B71144" s="136"/>
    </row>
    <row r="71145" spans="1:2" x14ac:dyDescent="0.25">
      <c r="A71145" s="118"/>
      <c r="B71145" s="136"/>
    </row>
    <row r="71146" spans="1:2" x14ac:dyDescent="0.25">
      <c r="A71146" s="118"/>
      <c r="B71146" s="136"/>
    </row>
    <row r="71147" spans="1:2" x14ac:dyDescent="0.25">
      <c r="A71147" s="118"/>
      <c r="B71147" s="136"/>
    </row>
    <row r="71148" spans="1:2" x14ac:dyDescent="0.25">
      <c r="A71148" s="118"/>
      <c r="B71148" s="136"/>
    </row>
    <row r="71149" spans="1:2" x14ac:dyDescent="0.25">
      <c r="A71149" s="118"/>
      <c r="B71149" s="136"/>
    </row>
    <row r="71150" spans="1:2" x14ac:dyDescent="0.25">
      <c r="A71150" s="118"/>
      <c r="B71150" s="136"/>
    </row>
    <row r="71151" spans="1:2" x14ac:dyDescent="0.25">
      <c r="A71151" s="118"/>
      <c r="B71151" s="136"/>
    </row>
    <row r="71152" spans="1:2" x14ac:dyDescent="0.25">
      <c r="A71152" s="118"/>
      <c r="B71152" s="136"/>
    </row>
    <row r="71153" spans="1:2" x14ac:dyDescent="0.25">
      <c r="A71153" s="118"/>
      <c r="B71153" s="136"/>
    </row>
    <row r="71154" spans="1:2" x14ac:dyDescent="0.25">
      <c r="A71154" s="118"/>
      <c r="B71154" s="136"/>
    </row>
    <row r="71155" spans="1:2" x14ac:dyDescent="0.25">
      <c r="A71155" s="118"/>
      <c r="B71155" s="136"/>
    </row>
    <row r="71156" spans="1:2" x14ac:dyDescent="0.25">
      <c r="A71156" s="118"/>
      <c r="B71156" s="136"/>
    </row>
    <row r="71157" spans="1:2" x14ac:dyDescent="0.25">
      <c r="A71157" s="118"/>
      <c r="B71157" s="136"/>
    </row>
    <row r="71158" spans="1:2" x14ac:dyDescent="0.25">
      <c r="A71158" s="118"/>
      <c r="B71158" s="136"/>
    </row>
    <row r="71159" spans="1:2" x14ac:dyDescent="0.25">
      <c r="A71159" s="118"/>
      <c r="B71159" s="136"/>
    </row>
    <row r="71160" spans="1:2" x14ac:dyDescent="0.25">
      <c r="A71160" s="118"/>
      <c r="B71160" s="136"/>
    </row>
    <row r="71161" spans="1:2" x14ac:dyDescent="0.25">
      <c r="A71161" s="118"/>
      <c r="B71161" s="136"/>
    </row>
    <row r="71162" spans="1:2" x14ac:dyDescent="0.25">
      <c r="A71162" s="118"/>
      <c r="B71162" s="136"/>
    </row>
    <row r="71163" spans="1:2" x14ac:dyDescent="0.25">
      <c r="A71163" s="118"/>
      <c r="B71163" s="136"/>
    </row>
    <row r="71164" spans="1:2" x14ac:dyDescent="0.25">
      <c r="A71164" s="118"/>
      <c r="B71164" s="136"/>
    </row>
    <row r="71165" spans="1:2" x14ac:dyDescent="0.25">
      <c r="A71165" s="118"/>
      <c r="B71165" s="136"/>
    </row>
    <row r="71166" spans="1:2" x14ac:dyDescent="0.25">
      <c r="A71166" s="118"/>
      <c r="B71166" s="136"/>
    </row>
    <row r="71167" spans="1:2" x14ac:dyDescent="0.25">
      <c r="A71167" s="118"/>
      <c r="B71167" s="136"/>
    </row>
    <row r="71168" spans="1:2" x14ac:dyDescent="0.25">
      <c r="A71168" s="118"/>
      <c r="B71168" s="136"/>
    </row>
    <row r="71169" spans="1:2" x14ac:dyDescent="0.25">
      <c r="A71169" s="118"/>
      <c r="B71169" s="136"/>
    </row>
    <row r="71170" spans="1:2" x14ac:dyDescent="0.25">
      <c r="A71170" s="118"/>
      <c r="B71170" s="136"/>
    </row>
    <row r="71171" spans="1:2" x14ac:dyDescent="0.25">
      <c r="A71171" s="118"/>
      <c r="B71171" s="136"/>
    </row>
    <row r="71172" spans="1:2" x14ac:dyDescent="0.25">
      <c r="A71172" s="118"/>
      <c r="B71172" s="136"/>
    </row>
    <row r="71173" spans="1:2" x14ac:dyDescent="0.25">
      <c r="A71173" s="118"/>
      <c r="B71173" s="136"/>
    </row>
    <row r="71174" spans="1:2" x14ac:dyDescent="0.25">
      <c r="A71174" s="118"/>
      <c r="B71174" s="136"/>
    </row>
    <row r="71175" spans="1:2" x14ac:dyDescent="0.25">
      <c r="A71175" s="118"/>
      <c r="B71175" s="136"/>
    </row>
    <row r="71176" spans="1:2" x14ac:dyDescent="0.25">
      <c r="A71176" s="118"/>
      <c r="B71176" s="136"/>
    </row>
    <row r="71177" spans="1:2" x14ac:dyDescent="0.25">
      <c r="A71177" s="118"/>
      <c r="B71177" s="136"/>
    </row>
    <row r="71178" spans="1:2" x14ac:dyDescent="0.25">
      <c r="A71178" s="118"/>
      <c r="B71178" s="136"/>
    </row>
    <row r="71179" spans="1:2" x14ac:dyDescent="0.25">
      <c r="A71179" s="118"/>
      <c r="B71179" s="136"/>
    </row>
    <row r="71180" spans="1:2" x14ac:dyDescent="0.25">
      <c r="A71180" s="118"/>
      <c r="B71180" s="136"/>
    </row>
    <row r="71181" spans="1:2" x14ac:dyDescent="0.25">
      <c r="A71181" s="118"/>
      <c r="B71181" s="136"/>
    </row>
    <row r="71182" spans="1:2" x14ac:dyDescent="0.25">
      <c r="A71182" s="118"/>
      <c r="B71182" s="136"/>
    </row>
    <row r="71183" spans="1:2" x14ac:dyDescent="0.25">
      <c r="A71183" s="118"/>
      <c r="B71183" s="136"/>
    </row>
    <row r="71184" spans="1:2" x14ac:dyDescent="0.25">
      <c r="A71184" s="118"/>
      <c r="B71184" s="136"/>
    </row>
    <row r="71185" spans="1:2" x14ac:dyDescent="0.25">
      <c r="A71185" s="118"/>
      <c r="B71185" s="136"/>
    </row>
    <row r="71186" spans="1:2" x14ac:dyDescent="0.25">
      <c r="A71186" s="118"/>
      <c r="B71186" s="136"/>
    </row>
    <row r="71187" spans="1:2" x14ac:dyDescent="0.25">
      <c r="A71187" s="118"/>
      <c r="B71187" s="136"/>
    </row>
    <row r="71188" spans="1:2" x14ac:dyDescent="0.25">
      <c r="A71188" s="118"/>
      <c r="B71188" s="136"/>
    </row>
    <row r="71189" spans="1:2" x14ac:dyDescent="0.25">
      <c r="A71189" s="118"/>
      <c r="B71189" s="136"/>
    </row>
    <row r="71190" spans="1:2" x14ac:dyDescent="0.25">
      <c r="A71190" s="118"/>
      <c r="B71190" s="136"/>
    </row>
    <row r="71191" spans="1:2" x14ac:dyDescent="0.25">
      <c r="A71191" s="118"/>
      <c r="B71191" s="136"/>
    </row>
    <row r="71192" spans="1:2" x14ac:dyDescent="0.25">
      <c r="A71192" s="118"/>
      <c r="B71192" s="136"/>
    </row>
    <row r="71193" spans="1:2" x14ac:dyDescent="0.25">
      <c r="A71193" s="118"/>
      <c r="B71193" s="136"/>
    </row>
    <row r="71194" spans="1:2" x14ac:dyDescent="0.25">
      <c r="A71194" s="118"/>
      <c r="B71194" s="136"/>
    </row>
    <row r="71195" spans="1:2" x14ac:dyDescent="0.25">
      <c r="A71195" s="118"/>
      <c r="B71195" s="136"/>
    </row>
    <row r="71196" spans="1:2" x14ac:dyDescent="0.25">
      <c r="A71196" s="118"/>
      <c r="B71196" s="136"/>
    </row>
    <row r="71197" spans="1:2" x14ac:dyDescent="0.25">
      <c r="A71197" s="118"/>
      <c r="B71197" s="136"/>
    </row>
    <row r="71198" spans="1:2" x14ac:dyDescent="0.25">
      <c r="A71198" s="118"/>
      <c r="B71198" s="136"/>
    </row>
    <row r="71199" spans="1:2" x14ac:dyDescent="0.25">
      <c r="A71199" s="118"/>
      <c r="B71199" s="136"/>
    </row>
    <row r="71200" spans="1:2" x14ac:dyDescent="0.25">
      <c r="A71200" s="118"/>
      <c r="B71200" s="136"/>
    </row>
    <row r="71201" spans="1:2" x14ac:dyDescent="0.25">
      <c r="A71201" s="118"/>
      <c r="B71201" s="136"/>
    </row>
    <row r="71202" spans="1:2" x14ac:dyDescent="0.25">
      <c r="A71202" s="118"/>
      <c r="B71202" s="136"/>
    </row>
    <row r="71203" spans="1:2" x14ac:dyDescent="0.25">
      <c r="A71203" s="118"/>
      <c r="B71203" s="136"/>
    </row>
    <row r="71204" spans="1:2" x14ac:dyDescent="0.25">
      <c r="A71204" s="118"/>
      <c r="B71204" s="136"/>
    </row>
    <row r="71205" spans="1:2" x14ac:dyDescent="0.25">
      <c r="A71205" s="118"/>
      <c r="B71205" s="136"/>
    </row>
    <row r="71206" spans="1:2" x14ac:dyDescent="0.25">
      <c r="A71206" s="118"/>
      <c r="B71206" s="136"/>
    </row>
    <row r="71207" spans="1:2" x14ac:dyDescent="0.25">
      <c r="A71207" s="118"/>
      <c r="B71207" s="136"/>
    </row>
    <row r="71208" spans="1:2" x14ac:dyDescent="0.25">
      <c r="A71208" s="118"/>
      <c r="B71208" s="136"/>
    </row>
    <row r="71209" spans="1:2" x14ac:dyDescent="0.25">
      <c r="A71209" s="118"/>
      <c r="B71209" s="136"/>
    </row>
    <row r="71210" spans="1:2" x14ac:dyDescent="0.25">
      <c r="A71210" s="118"/>
      <c r="B71210" s="136"/>
    </row>
    <row r="71211" spans="1:2" x14ac:dyDescent="0.25">
      <c r="A71211" s="118"/>
      <c r="B71211" s="136"/>
    </row>
    <row r="71212" spans="1:2" x14ac:dyDescent="0.25">
      <c r="A71212" s="118"/>
      <c r="B71212" s="136"/>
    </row>
    <row r="71213" spans="1:2" x14ac:dyDescent="0.25">
      <c r="A71213" s="118"/>
      <c r="B71213" s="136"/>
    </row>
    <row r="71214" spans="1:2" x14ac:dyDescent="0.25">
      <c r="A71214" s="118"/>
      <c r="B71214" s="136"/>
    </row>
    <row r="71215" spans="1:2" x14ac:dyDescent="0.25">
      <c r="A71215" s="118"/>
      <c r="B71215" s="136"/>
    </row>
    <row r="71216" spans="1:2" x14ac:dyDescent="0.25">
      <c r="A71216" s="118"/>
      <c r="B71216" s="136"/>
    </row>
    <row r="71217" spans="1:2" x14ac:dyDescent="0.25">
      <c r="A71217" s="118"/>
      <c r="B71217" s="136"/>
    </row>
    <row r="71218" spans="1:2" x14ac:dyDescent="0.25">
      <c r="A71218" s="118"/>
      <c r="B71218" s="136"/>
    </row>
    <row r="71219" spans="1:2" x14ac:dyDescent="0.25">
      <c r="A71219" s="118"/>
      <c r="B71219" s="136"/>
    </row>
    <row r="71220" spans="1:2" x14ac:dyDescent="0.25">
      <c r="A71220" s="118"/>
      <c r="B71220" s="136"/>
    </row>
    <row r="71221" spans="1:2" x14ac:dyDescent="0.25">
      <c r="A71221" s="118"/>
      <c r="B71221" s="136"/>
    </row>
    <row r="71222" spans="1:2" x14ac:dyDescent="0.25">
      <c r="A71222" s="118"/>
      <c r="B71222" s="136"/>
    </row>
    <row r="71223" spans="1:2" x14ac:dyDescent="0.25">
      <c r="A71223" s="118"/>
      <c r="B71223" s="136"/>
    </row>
    <row r="71224" spans="1:2" x14ac:dyDescent="0.25">
      <c r="A71224" s="118"/>
      <c r="B71224" s="136"/>
    </row>
    <row r="71225" spans="1:2" x14ac:dyDescent="0.25">
      <c r="A71225" s="118"/>
      <c r="B71225" s="136"/>
    </row>
    <row r="71226" spans="1:2" x14ac:dyDescent="0.25">
      <c r="A71226" s="118"/>
      <c r="B71226" s="136"/>
    </row>
    <row r="71227" spans="1:2" x14ac:dyDescent="0.25">
      <c r="A71227" s="118"/>
      <c r="B71227" s="136"/>
    </row>
    <row r="71228" spans="1:2" x14ac:dyDescent="0.25">
      <c r="A71228" s="118"/>
      <c r="B71228" s="136"/>
    </row>
    <row r="71229" spans="1:2" x14ac:dyDescent="0.25">
      <c r="A71229" s="118"/>
      <c r="B71229" s="136"/>
    </row>
    <row r="71230" spans="1:2" x14ac:dyDescent="0.25">
      <c r="A71230" s="118"/>
      <c r="B71230" s="136"/>
    </row>
    <row r="71231" spans="1:2" x14ac:dyDescent="0.25">
      <c r="A71231" s="118"/>
      <c r="B71231" s="136"/>
    </row>
    <row r="71232" spans="1:2" x14ac:dyDescent="0.25">
      <c r="A71232" s="118"/>
      <c r="B71232" s="136"/>
    </row>
    <row r="71233" spans="1:2" x14ac:dyDescent="0.25">
      <c r="A71233" s="118"/>
      <c r="B71233" s="136"/>
    </row>
    <row r="71234" spans="1:2" x14ac:dyDescent="0.25">
      <c r="A71234" s="118"/>
      <c r="B71234" s="136"/>
    </row>
    <row r="71235" spans="1:2" x14ac:dyDescent="0.25">
      <c r="A71235" s="118"/>
      <c r="B71235" s="136"/>
    </row>
    <row r="71236" spans="1:2" x14ac:dyDescent="0.25">
      <c r="A71236" s="118"/>
      <c r="B71236" s="136"/>
    </row>
    <row r="71237" spans="1:2" x14ac:dyDescent="0.25">
      <c r="A71237" s="118"/>
      <c r="B71237" s="136"/>
    </row>
    <row r="71238" spans="1:2" x14ac:dyDescent="0.25">
      <c r="A71238" s="118"/>
      <c r="B71238" s="136"/>
    </row>
    <row r="71239" spans="1:2" x14ac:dyDescent="0.25">
      <c r="A71239" s="118"/>
      <c r="B71239" s="136"/>
    </row>
    <row r="71240" spans="1:2" x14ac:dyDescent="0.25">
      <c r="A71240" s="118"/>
      <c r="B71240" s="136"/>
    </row>
    <row r="71241" spans="1:2" x14ac:dyDescent="0.25">
      <c r="A71241" s="118"/>
      <c r="B71241" s="136"/>
    </row>
    <row r="71242" spans="1:2" x14ac:dyDescent="0.25">
      <c r="A71242" s="118"/>
      <c r="B71242" s="136"/>
    </row>
    <row r="71243" spans="1:2" x14ac:dyDescent="0.25">
      <c r="A71243" s="118"/>
      <c r="B71243" s="136"/>
    </row>
    <row r="71244" spans="1:2" x14ac:dyDescent="0.25">
      <c r="A71244" s="118"/>
      <c r="B71244" s="136"/>
    </row>
    <row r="71245" spans="1:2" x14ac:dyDescent="0.25">
      <c r="A71245" s="118"/>
      <c r="B71245" s="136"/>
    </row>
    <row r="71246" spans="1:2" x14ac:dyDescent="0.25">
      <c r="A71246" s="118"/>
      <c r="B71246" s="136"/>
    </row>
    <row r="71247" spans="1:2" x14ac:dyDescent="0.25">
      <c r="A71247" s="118"/>
      <c r="B71247" s="136"/>
    </row>
    <row r="71248" spans="1:2" x14ac:dyDescent="0.25">
      <c r="A71248" s="118"/>
      <c r="B71248" s="136"/>
    </row>
    <row r="71249" spans="1:2" x14ac:dyDescent="0.25">
      <c r="A71249" s="118"/>
      <c r="B71249" s="136"/>
    </row>
    <row r="71250" spans="1:2" x14ac:dyDescent="0.25">
      <c r="A71250" s="118"/>
      <c r="B71250" s="136"/>
    </row>
    <row r="71251" spans="1:2" x14ac:dyDescent="0.25">
      <c r="A71251" s="118"/>
      <c r="B71251" s="136"/>
    </row>
    <row r="71252" spans="1:2" x14ac:dyDescent="0.25">
      <c r="A71252" s="118"/>
      <c r="B71252" s="136"/>
    </row>
    <row r="71253" spans="1:2" x14ac:dyDescent="0.25">
      <c r="A71253" s="118"/>
      <c r="B71253" s="136"/>
    </row>
    <row r="71254" spans="1:2" x14ac:dyDescent="0.25">
      <c r="A71254" s="118"/>
      <c r="B71254" s="136"/>
    </row>
    <row r="71255" spans="1:2" x14ac:dyDescent="0.25">
      <c r="A71255" s="118"/>
      <c r="B71255" s="136"/>
    </row>
    <row r="71256" spans="1:2" x14ac:dyDescent="0.25">
      <c r="A71256" s="118"/>
      <c r="B71256" s="136"/>
    </row>
    <row r="71257" spans="1:2" x14ac:dyDescent="0.25">
      <c r="A71257" s="118"/>
      <c r="B71257" s="136"/>
    </row>
    <row r="71258" spans="1:2" x14ac:dyDescent="0.25">
      <c r="A71258" s="118"/>
      <c r="B71258" s="136"/>
    </row>
    <row r="71259" spans="1:2" x14ac:dyDescent="0.25">
      <c r="A71259" s="118"/>
      <c r="B71259" s="136"/>
    </row>
    <row r="71260" spans="1:2" x14ac:dyDescent="0.25">
      <c r="A71260" s="118"/>
      <c r="B71260" s="136"/>
    </row>
    <row r="71261" spans="1:2" x14ac:dyDescent="0.25">
      <c r="A71261" s="118"/>
      <c r="B71261" s="136"/>
    </row>
    <row r="71262" spans="1:2" x14ac:dyDescent="0.25">
      <c r="A71262" s="118"/>
      <c r="B71262" s="136"/>
    </row>
    <row r="71263" spans="1:2" x14ac:dyDescent="0.25">
      <c r="A71263" s="118"/>
      <c r="B71263" s="136"/>
    </row>
    <row r="71264" spans="1:2" x14ac:dyDescent="0.25">
      <c r="A71264" s="118"/>
      <c r="B71264" s="136"/>
    </row>
    <row r="71265" spans="1:2" x14ac:dyDescent="0.25">
      <c r="A71265" s="118"/>
      <c r="B71265" s="136"/>
    </row>
    <row r="71266" spans="1:2" x14ac:dyDescent="0.25">
      <c r="A71266" s="118"/>
      <c r="B71266" s="136"/>
    </row>
    <row r="71267" spans="1:2" x14ac:dyDescent="0.25">
      <c r="A71267" s="118"/>
      <c r="B71267" s="136"/>
    </row>
    <row r="71268" spans="1:2" x14ac:dyDescent="0.25">
      <c r="A71268" s="118"/>
      <c r="B71268" s="136"/>
    </row>
    <row r="71269" spans="1:2" x14ac:dyDescent="0.25">
      <c r="A71269" s="118"/>
      <c r="B71269" s="136"/>
    </row>
    <row r="71270" spans="1:2" x14ac:dyDescent="0.25">
      <c r="A71270" s="118"/>
      <c r="B71270" s="136"/>
    </row>
    <row r="71271" spans="1:2" x14ac:dyDescent="0.25">
      <c r="A71271" s="118"/>
      <c r="B71271" s="136"/>
    </row>
    <row r="71272" spans="1:2" x14ac:dyDescent="0.25">
      <c r="A71272" s="118"/>
      <c r="B71272" s="136"/>
    </row>
    <row r="71273" spans="1:2" x14ac:dyDescent="0.25">
      <c r="A71273" s="118"/>
      <c r="B71273" s="136"/>
    </row>
    <row r="71274" spans="1:2" x14ac:dyDescent="0.25">
      <c r="A71274" s="118"/>
      <c r="B71274" s="136"/>
    </row>
    <row r="71275" spans="1:2" x14ac:dyDescent="0.25">
      <c r="A71275" s="118"/>
      <c r="B71275" s="136"/>
    </row>
    <row r="71276" spans="1:2" x14ac:dyDescent="0.25">
      <c r="A71276" s="118"/>
      <c r="B71276" s="136"/>
    </row>
    <row r="71277" spans="1:2" x14ac:dyDescent="0.25">
      <c r="A71277" s="118"/>
      <c r="B71277" s="136"/>
    </row>
    <row r="71278" spans="1:2" x14ac:dyDescent="0.25">
      <c r="A71278" s="118"/>
      <c r="B71278" s="136"/>
    </row>
    <row r="71279" spans="1:2" x14ac:dyDescent="0.25">
      <c r="A71279" s="118"/>
      <c r="B71279" s="136"/>
    </row>
    <row r="71280" spans="1:2" x14ac:dyDescent="0.25">
      <c r="A71280" s="118"/>
      <c r="B71280" s="136"/>
    </row>
    <row r="71281" spans="1:2" x14ac:dyDescent="0.25">
      <c r="A71281" s="118"/>
      <c r="B71281" s="136"/>
    </row>
    <row r="71282" spans="1:2" x14ac:dyDescent="0.25">
      <c r="A71282" s="118"/>
      <c r="B71282" s="136"/>
    </row>
    <row r="71283" spans="1:2" x14ac:dyDescent="0.25">
      <c r="A71283" s="118"/>
      <c r="B71283" s="136"/>
    </row>
    <row r="71284" spans="1:2" x14ac:dyDescent="0.25">
      <c r="A71284" s="118"/>
      <c r="B71284" s="136"/>
    </row>
    <row r="71285" spans="1:2" x14ac:dyDescent="0.25">
      <c r="A71285" s="118"/>
      <c r="B71285" s="136"/>
    </row>
    <row r="71286" spans="1:2" x14ac:dyDescent="0.25">
      <c r="A71286" s="118"/>
      <c r="B71286" s="136"/>
    </row>
    <row r="71287" spans="1:2" x14ac:dyDescent="0.25">
      <c r="A71287" s="118"/>
      <c r="B71287" s="136"/>
    </row>
    <row r="71288" spans="1:2" x14ac:dyDescent="0.25">
      <c r="A71288" s="118"/>
      <c r="B71288" s="136"/>
    </row>
    <row r="71289" spans="1:2" x14ac:dyDescent="0.25">
      <c r="A71289" s="118"/>
      <c r="B71289" s="136"/>
    </row>
    <row r="71290" spans="1:2" x14ac:dyDescent="0.25">
      <c r="A71290" s="118"/>
      <c r="B71290" s="136"/>
    </row>
    <row r="71291" spans="1:2" x14ac:dyDescent="0.25">
      <c r="A71291" s="118"/>
      <c r="B71291" s="136"/>
    </row>
    <row r="71292" spans="1:2" x14ac:dyDescent="0.25">
      <c r="A71292" s="118"/>
      <c r="B71292" s="136"/>
    </row>
    <row r="71293" spans="1:2" x14ac:dyDescent="0.25">
      <c r="A71293" s="118"/>
      <c r="B71293" s="136"/>
    </row>
    <row r="71294" spans="1:2" x14ac:dyDescent="0.25">
      <c r="A71294" s="118"/>
      <c r="B71294" s="136"/>
    </row>
    <row r="71295" spans="1:2" x14ac:dyDescent="0.25">
      <c r="A71295" s="118"/>
      <c r="B71295" s="136"/>
    </row>
    <row r="71296" spans="1:2" x14ac:dyDescent="0.25">
      <c r="A71296" s="118"/>
      <c r="B71296" s="136"/>
    </row>
    <row r="71297" spans="1:2" x14ac:dyDescent="0.25">
      <c r="A71297" s="118"/>
      <c r="B71297" s="136"/>
    </row>
    <row r="71298" spans="1:2" x14ac:dyDescent="0.25">
      <c r="A71298" s="118"/>
      <c r="B71298" s="136"/>
    </row>
    <row r="71299" spans="1:2" x14ac:dyDescent="0.25">
      <c r="A71299" s="118"/>
      <c r="B71299" s="136"/>
    </row>
    <row r="71300" spans="1:2" x14ac:dyDescent="0.25">
      <c r="A71300" s="118"/>
      <c r="B71300" s="136"/>
    </row>
    <row r="71301" spans="1:2" x14ac:dyDescent="0.25">
      <c r="A71301" s="118"/>
      <c r="B71301" s="136"/>
    </row>
    <row r="71302" spans="1:2" x14ac:dyDescent="0.25">
      <c r="A71302" s="118"/>
      <c r="B71302" s="136"/>
    </row>
    <row r="71303" spans="1:2" x14ac:dyDescent="0.25">
      <c r="A71303" s="118"/>
      <c r="B71303" s="136"/>
    </row>
    <row r="71304" spans="1:2" x14ac:dyDescent="0.25">
      <c r="A71304" s="118"/>
      <c r="B71304" s="136"/>
    </row>
    <row r="71305" spans="1:2" x14ac:dyDescent="0.25">
      <c r="A71305" s="118"/>
      <c r="B71305" s="136"/>
    </row>
    <row r="71306" spans="1:2" x14ac:dyDescent="0.25">
      <c r="A71306" s="118"/>
      <c r="B71306" s="136"/>
    </row>
    <row r="71307" spans="1:2" x14ac:dyDescent="0.25">
      <c r="A71307" s="118"/>
      <c r="B71307" s="136"/>
    </row>
    <row r="71308" spans="1:2" x14ac:dyDescent="0.25">
      <c r="A71308" s="118"/>
      <c r="B71308" s="136"/>
    </row>
    <row r="71309" spans="1:2" x14ac:dyDescent="0.25">
      <c r="A71309" s="118"/>
      <c r="B71309" s="136"/>
    </row>
    <row r="71310" spans="1:2" x14ac:dyDescent="0.25">
      <c r="A71310" s="118"/>
      <c r="B71310" s="136"/>
    </row>
    <row r="71311" spans="1:2" x14ac:dyDescent="0.25">
      <c r="A71311" s="118"/>
      <c r="B71311" s="136"/>
    </row>
    <row r="71312" spans="1:2" x14ac:dyDescent="0.25">
      <c r="A71312" s="118"/>
      <c r="B71312" s="136"/>
    </row>
    <row r="71313" spans="1:2" x14ac:dyDescent="0.25">
      <c r="A71313" s="118"/>
      <c r="B71313" s="136"/>
    </row>
    <row r="71314" spans="1:2" x14ac:dyDescent="0.25">
      <c r="A71314" s="118"/>
      <c r="B71314" s="136"/>
    </row>
    <row r="71315" spans="1:2" x14ac:dyDescent="0.25">
      <c r="A71315" s="118"/>
      <c r="B71315" s="136"/>
    </row>
    <row r="71316" spans="1:2" x14ac:dyDescent="0.25">
      <c r="A71316" s="118"/>
      <c r="B71316" s="136"/>
    </row>
    <row r="71317" spans="1:2" x14ac:dyDescent="0.25">
      <c r="A71317" s="118"/>
      <c r="B71317" s="136"/>
    </row>
    <row r="71318" spans="1:2" x14ac:dyDescent="0.25">
      <c r="A71318" s="118"/>
      <c r="B71318" s="136"/>
    </row>
    <row r="71319" spans="1:2" x14ac:dyDescent="0.25">
      <c r="A71319" s="118"/>
      <c r="B71319" s="136"/>
    </row>
    <row r="71320" spans="1:2" x14ac:dyDescent="0.25">
      <c r="A71320" s="118"/>
      <c r="B71320" s="136"/>
    </row>
    <row r="71321" spans="1:2" x14ac:dyDescent="0.25">
      <c r="A71321" s="118"/>
      <c r="B71321" s="136"/>
    </row>
    <row r="71322" spans="1:2" x14ac:dyDescent="0.25">
      <c r="A71322" s="118"/>
      <c r="B71322" s="136"/>
    </row>
    <row r="71323" spans="1:2" x14ac:dyDescent="0.25">
      <c r="A71323" s="118"/>
      <c r="B71323" s="136"/>
    </row>
    <row r="71324" spans="1:2" x14ac:dyDescent="0.25">
      <c r="A71324" s="118"/>
      <c r="B71324" s="136"/>
    </row>
    <row r="71325" spans="1:2" x14ac:dyDescent="0.25">
      <c r="A71325" s="118"/>
      <c r="B71325" s="136"/>
    </row>
    <row r="71326" spans="1:2" x14ac:dyDescent="0.25">
      <c r="A71326" s="118"/>
      <c r="B71326" s="136"/>
    </row>
    <row r="71327" spans="1:2" x14ac:dyDescent="0.25">
      <c r="A71327" s="118"/>
      <c r="B71327" s="136"/>
    </row>
    <row r="71328" spans="1:2" x14ac:dyDescent="0.25">
      <c r="A71328" s="118"/>
      <c r="B71328" s="136"/>
    </row>
    <row r="71329" spans="1:2" x14ac:dyDescent="0.25">
      <c r="A71329" s="118"/>
      <c r="B71329" s="136"/>
    </row>
    <row r="71330" spans="1:2" x14ac:dyDescent="0.25">
      <c r="A71330" s="118"/>
      <c r="B71330" s="136"/>
    </row>
    <row r="71331" spans="1:2" x14ac:dyDescent="0.25">
      <c r="A71331" s="118"/>
      <c r="B71331" s="136"/>
    </row>
    <row r="71332" spans="1:2" x14ac:dyDescent="0.25">
      <c r="A71332" s="118"/>
      <c r="B71332" s="136"/>
    </row>
    <row r="71333" spans="1:2" x14ac:dyDescent="0.25">
      <c r="A71333" s="118"/>
      <c r="B71333" s="136"/>
    </row>
    <row r="71334" spans="1:2" x14ac:dyDescent="0.25">
      <c r="A71334" s="118"/>
      <c r="B71334" s="136"/>
    </row>
    <row r="71335" spans="1:2" x14ac:dyDescent="0.25">
      <c r="A71335" s="118"/>
      <c r="B71335" s="136"/>
    </row>
    <row r="71336" spans="1:2" x14ac:dyDescent="0.25">
      <c r="A71336" s="118"/>
      <c r="B71336" s="136"/>
    </row>
    <row r="71337" spans="1:2" x14ac:dyDescent="0.25">
      <c r="A71337" s="118"/>
      <c r="B71337" s="136"/>
    </row>
    <row r="71338" spans="1:2" x14ac:dyDescent="0.25">
      <c r="A71338" s="118"/>
      <c r="B71338" s="136"/>
    </row>
    <row r="71339" spans="1:2" x14ac:dyDescent="0.25">
      <c r="A71339" s="118"/>
      <c r="B71339" s="136"/>
    </row>
    <row r="71340" spans="1:2" x14ac:dyDescent="0.25">
      <c r="A71340" s="118"/>
      <c r="B71340" s="136"/>
    </row>
    <row r="71341" spans="1:2" x14ac:dyDescent="0.25">
      <c r="A71341" s="118"/>
      <c r="B71341" s="136"/>
    </row>
    <row r="71342" spans="1:2" x14ac:dyDescent="0.25">
      <c r="A71342" s="118"/>
      <c r="B71342" s="136"/>
    </row>
    <row r="71343" spans="1:2" x14ac:dyDescent="0.25">
      <c r="A71343" s="118"/>
      <c r="B71343" s="136"/>
    </row>
    <row r="71344" spans="1:2" x14ac:dyDescent="0.25">
      <c r="A71344" s="118"/>
      <c r="B71344" s="136"/>
    </row>
    <row r="71345" spans="1:2" x14ac:dyDescent="0.25">
      <c r="A71345" s="118"/>
      <c r="B71345" s="136"/>
    </row>
    <row r="71346" spans="1:2" x14ac:dyDescent="0.25">
      <c r="A71346" s="118"/>
      <c r="B71346" s="136"/>
    </row>
    <row r="71347" spans="1:2" x14ac:dyDescent="0.25">
      <c r="A71347" s="118"/>
      <c r="B71347" s="136"/>
    </row>
    <row r="71348" spans="1:2" x14ac:dyDescent="0.25">
      <c r="A71348" s="118"/>
      <c r="B71348" s="136"/>
    </row>
    <row r="71349" spans="1:2" x14ac:dyDescent="0.25">
      <c r="A71349" s="118"/>
      <c r="B71349" s="136"/>
    </row>
    <row r="71350" spans="1:2" x14ac:dyDescent="0.25">
      <c r="A71350" s="118"/>
      <c r="B71350" s="136"/>
    </row>
    <row r="71351" spans="1:2" x14ac:dyDescent="0.25">
      <c r="A71351" s="118"/>
      <c r="B71351" s="136"/>
    </row>
    <row r="71352" spans="1:2" x14ac:dyDescent="0.25">
      <c r="A71352" s="118"/>
      <c r="B71352" s="136"/>
    </row>
    <row r="71353" spans="1:2" x14ac:dyDescent="0.25">
      <c r="A71353" s="118"/>
      <c r="B71353" s="136"/>
    </row>
    <row r="71354" spans="1:2" x14ac:dyDescent="0.25">
      <c r="A71354" s="118"/>
      <c r="B71354" s="136"/>
    </row>
    <row r="71355" spans="1:2" x14ac:dyDescent="0.25">
      <c r="A71355" s="118"/>
      <c r="B71355" s="136"/>
    </row>
    <row r="71356" spans="1:2" x14ac:dyDescent="0.25">
      <c r="A71356" s="118"/>
      <c r="B71356" s="136"/>
    </row>
    <row r="71357" spans="1:2" x14ac:dyDescent="0.25">
      <c r="A71357" s="118"/>
      <c r="B71357" s="136"/>
    </row>
    <row r="71358" spans="1:2" x14ac:dyDescent="0.25">
      <c r="A71358" s="118"/>
      <c r="B71358" s="136"/>
    </row>
    <row r="71359" spans="1:2" x14ac:dyDescent="0.25">
      <c r="A71359" s="118"/>
      <c r="B71359" s="136"/>
    </row>
    <row r="71360" spans="1:2" x14ac:dyDescent="0.25">
      <c r="A71360" s="118"/>
      <c r="B71360" s="136"/>
    </row>
    <row r="71361" spans="1:2" x14ac:dyDescent="0.25">
      <c r="A71361" s="118"/>
      <c r="B71361" s="136"/>
    </row>
    <row r="71362" spans="1:2" x14ac:dyDescent="0.25">
      <c r="A71362" s="118"/>
      <c r="B71362" s="136"/>
    </row>
    <row r="71363" spans="1:2" x14ac:dyDescent="0.25">
      <c r="A71363" s="118"/>
      <c r="B71363" s="136"/>
    </row>
    <row r="71364" spans="1:2" x14ac:dyDescent="0.25">
      <c r="A71364" s="118"/>
      <c r="B71364" s="136"/>
    </row>
    <row r="71365" spans="1:2" x14ac:dyDescent="0.25">
      <c r="A71365" s="118"/>
      <c r="B71365" s="136"/>
    </row>
    <row r="71366" spans="1:2" x14ac:dyDescent="0.25">
      <c r="A71366" s="118"/>
      <c r="B71366" s="136"/>
    </row>
    <row r="71367" spans="1:2" x14ac:dyDescent="0.25">
      <c r="A71367" s="118"/>
      <c r="B71367" s="136"/>
    </row>
    <row r="71368" spans="1:2" x14ac:dyDescent="0.25">
      <c r="A71368" s="118"/>
      <c r="B71368" s="136"/>
    </row>
    <row r="71369" spans="1:2" x14ac:dyDescent="0.25">
      <c r="A71369" s="118"/>
      <c r="B71369" s="136"/>
    </row>
    <row r="71370" spans="1:2" x14ac:dyDescent="0.25">
      <c r="A71370" s="118"/>
      <c r="B71370" s="136"/>
    </row>
    <row r="71371" spans="1:2" x14ac:dyDescent="0.25">
      <c r="A71371" s="118"/>
      <c r="B71371" s="136"/>
    </row>
    <row r="71372" spans="1:2" x14ac:dyDescent="0.25">
      <c r="A71372" s="118"/>
      <c r="B71372" s="136"/>
    </row>
    <row r="71373" spans="1:2" x14ac:dyDescent="0.25">
      <c r="A71373" s="118"/>
      <c r="B71373" s="136"/>
    </row>
    <row r="71374" spans="1:2" x14ac:dyDescent="0.25">
      <c r="A71374" s="118"/>
      <c r="B71374" s="136"/>
    </row>
    <row r="71375" spans="1:2" x14ac:dyDescent="0.25">
      <c r="A71375" s="118"/>
      <c r="B71375" s="136"/>
    </row>
    <row r="71376" spans="1:2" x14ac:dyDescent="0.25">
      <c r="A71376" s="118"/>
      <c r="B71376" s="136"/>
    </row>
    <row r="71377" spans="1:2" x14ac:dyDescent="0.25">
      <c r="A71377" s="118"/>
      <c r="B71377" s="136"/>
    </row>
    <row r="71378" spans="1:2" x14ac:dyDescent="0.25">
      <c r="A71378" s="118"/>
      <c r="B71378" s="136"/>
    </row>
    <row r="71379" spans="1:2" x14ac:dyDescent="0.25">
      <c r="A71379" s="118"/>
      <c r="B71379" s="136"/>
    </row>
    <row r="71380" spans="1:2" x14ac:dyDescent="0.25">
      <c r="A71380" s="118"/>
      <c r="B71380" s="136"/>
    </row>
    <row r="71381" spans="1:2" x14ac:dyDescent="0.25">
      <c r="A71381" s="118"/>
      <c r="B71381" s="136"/>
    </row>
    <row r="71382" spans="1:2" x14ac:dyDescent="0.25">
      <c r="A71382" s="118"/>
      <c r="B71382" s="136"/>
    </row>
    <row r="71383" spans="1:2" x14ac:dyDescent="0.25">
      <c r="A71383" s="118"/>
      <c r="B71383" s="136"/>
    </row>
    <row r="71384" spans="1:2" x14ac:dyDescent="0.25">
      <c r="A71384" s="118"/>
      <c r="B71384" s="136"/>
    </row>
    <row r="71385" spans="1:2" x14ac:dyDescent="0.25">
      <c r="A71385" s="118"/>
      <c r="B71385" s="136"/>
    </row>
    <row r="71386" spans="1:2" x14ac:dyDescent="0.25">
      <c r="A71386" s="118"/>
      <c r="B71386" s="136"/>
    </row>
    <row r="71387" spans="1:2" x14ac:dyDescent="0.25">
      <c r="A71387" s="118"/>
      <c r="B71387" s="136"/>
    </row>
    <row r="71388" spans="1:2" x14ac:dyDescent="0.25">
      <c r="A71388" s="118"/>
      <c r="B71388" s="136"/>
    </row>
    <row r="71389" spans="1:2" x14ac:dyDescent="0.25">
      <c r="A71389" s="118"/>
      <c r="B71389" s="136"/>
    </row>
    <row r="71390" spans="1:2" x14ac:dyDescent="0.25">
      <c r="A71390" s="118"/>
      <c r="B71390" s="136"/>
    </row>
    <row r="71391" spans="1:2" x14ac:dyDescent="0.25">
      <c r="A71391" s="118"/>
      <c r="B71391" s="136"/>
    </row>
    <row r="71392" spans="1:2" x14ac:dyDescent="0.25">
      <c r="A71392" s="118"/>
      <c r="B71392" s="136"/>
    </row>
    <row r="71393" spans="1:2" x14ac:dyDescent="0.25">
      <c r="A71393" s="118"/>
      <c r="B71393" s="136"/>
    </row>
    <row r="71394" spans="1:2" x14ac:dyDescent="0.25">
      <c r="A71394" s="118"/>
      <c r="B71394" s="136"/>
    </row>
    <row r="71395" spans="1:2" x14ac:dyDescent="0.25">
      <c r="A71395" s="118"/>
      <c r="B71395" s="136"/>
    </row>
    <row r="71396" spans="1:2" x14ac:dyDescent="0.25">
      <c r="A71396" s="118"/>
      <c r="B71396" s="136"/>
    </row>
    <row r="71397" spans="1:2" x14ac:dyDescent="0.25">
      <c r="A71397" s="118"/>
      <c r="B71397" s="136"/>
    </row>
    <row r="71398" spans="1:2" x14ac:dyDescent="0.25">
      <c r="A71398" s="118"/>
      <c r="B71398" s="136"/>
    </row>
    <row r="71399" spans="1:2" x14ac:dyDescent="0.25">
      <c r="A71399" s="118"/>
      <c r="B71399" s="136"/>
    </row>
    <row r="71400" spans="1:2" x14ac:dyDescent="0.25">
      <c r="A71400" s="118"/>
      <c r="B71400" s="136"/>
    </row>
    <row r="71401" spans="1:2" x14ac:dyDescent="0.25">
      <c r="A71401" s="118"/>
      <c r="B71401" s="136"/>
    </row>
    <row r="71402" spans="1:2" x14ac:dyDescent="0.25">
      <c r="A71402" s="118"/>
      <c r="B71402" s="136"/>
    </row>
    <row r="71403" spans="1:2" x14ac:dyDescent="0.25">
      <c r="A71403" s="118"/>
      <c r="B71403" s="136"/>
    </row>
    <row r="71404" spans="1:2" x14ac:dyDescent="0.25">
      <c r="A71404" s="118"/>
      <c r="B71404" s="136"/>
    </row>
    <row r="71405" spans="1:2" x14ac:dyDescent="0.25">
      <c r="A71405" s="118"/>
      <c r="B71405" s="136"/>
    </row>
    <row r="71406" spans="1:2" x14ac:dyDescent="0.25">
      <c r="A71406" s="118"/>
      <c r="B71406" s="136"/>
    </row>
    <row r="71407" spans="1:2" x14ac:dyDescent="0.25">
      <c r="A71407" s="118"/>
      <c r="B71407" s="136"/>
    </row>
    <row r="71408" spans="1:2" x14ac:dyDescent="0.25">
      <c r="A71408" s="118"/>
      <c r="B71408" s="136"/>
    </row>
    <row r="71409" spans="1:2" x14ac:dyDescent="0.25">
      <c r="A71409" s="118"/>
      <c r="B71409" s="136"/>
    </row>
    <row r="71410" spans="1:2" x14ac:dyDescent="0.25">
      <c r="A71410" s="118"/>
      <c r="B71410" s="136"/>
    </row>
    <row r="71411" spans="1:2" x14ac:dyDescent="0.25">
      <c r="A71411" s="118"/>
      <c r="B71411" s="136"/>
    </row>
    <row r="71412" spans="1:2" x14ac:dyDescent="0.25">
      <c r="A71412" s="118"/>
      <c r="B71412" s="136"/>
    </row>
    <row r="71413" spans="1:2" x14ac:dyDescent="0.25">
      <c r="A71413" s="118"/>
      <c r="B71413" s="136"/>
    </row>
    <row r="71414" spans="1:2" x14ac:dyDescent="0.25">
      <c r="A71414" s="118"/>
      <c r="B71414" s="136"/>
    </row>
    <row r="71415" spans="1:2" x14ac:dyDescent="0.25">
      <c r="A71415" s="118"/>
      <c r="B71415" s="136"/>
    </row>
    <row r="71416" spans="1:2" x14ac:dyDescent="0.25">
      <c r="A71416" s="118"/>
      <c r="B71416" s="136"/>
    </row>
    <row r="71417" spans="1:2" x14ac:dyDescent="0.25">
      <c r="A71417" s="118"/>
      <c r="B71417" s="136"/>
    </row>
    <row r="71418" spans="1:2" x14ac:dyDescent="0.25">
      <c r="A71418" s="118"/>
      <c r="B71418" s="136"/>
    </row>
    <row r="71419" spans="1:2" x14ac:dyDescent="0.25">
      <c r="A71419" s="118"/>
      <c r="B71419" s="136"/>
    </row>
    <row r="71420" spans="1:2" x14ac:dyDescent="0.25">
      <c r="A71420" s="118"/>
      <c r="B71420" s="136"/>
    </row>
    <row r="71421" spans="1:2" x14ac:dyDescent="0.25">
      <c r="A71421" s="118"/>
      <c r="B71421" s="136"/>
    </row>
    <row r="71422" spans="1:2" x14ac:dyDescent="0.25">
      <c r="A71422" s="118"/>
      <c r="B71422" s="136"/>
    </row>
    <row r="71423" spans="1:2" x14ac:dyDescent="0.25">
      <c r="A71423" s="118"/>
      <c r="B71423" s="136"/>
    </row>
    <row r="71424" spans="1:2" x14ac:dyDescent="0.25">
      <c r="A71424" s="118"/>
      <c r="B71424" s="136"/>
    </row>
    <row r="71425" spans="1:2" x14ac:dyDescent="0.25">
      <c r="A71425" s="118"/>
      <c r="B71425" s="136"/>
    </row>
    <row r="71426" spans="1:2" x14ac:dyDescent="0.25">
      <c r="A71426" s="118"/>
      <c r="B71426" s="136"/>
    </row>
    <row r="71427" spans="1:2" x14ac:dyDescent="0.25">
      <c r="A71427" s="118"/>
      <c r="B71427" s="136"/>
    </row>
    <row r="71428" spans="1:2" x14ac:dyDescent="0.25">
      <c r="A71428" s="118"/>
      <c r="B71428" s="136"/>
    </row>
    <row r="71429" spans="1:2" x14ac:dyDescent="0.25">
      <c r="A71429" s="118"/>
      <c r="B71429" s="136"/>
    </row>
    <row r="71430" spans="1:2" x14ac:dyDescent="0.25">
      <c r="A71430" s="118"/>
      <c r="B71430" s="136"/>
    </row>
    <row r="71431" spans="1:2" x14ac:dyDescent="0.25">
      <c r="A71431" s="118"/>
      <c r="B71431" s="136"/>
    </row>
    <row r="71432" spans="1:2" x14ac:dyDescent="0.25">
      <c r="A71432" s="118"/>
      <c r="B71432" s="136"/>
    </row>
    <row r="71433" spans="1:2" x14ac:dyDescent="0.25">
      <c r="A71433" s="118"/>
      <c r="B71433" s="136"/>
    </row>
    <row r="71434" spans="1:2" x14ac:dyDescent="0.25">
      <c r="A71434" s="118"/>
      <c r="B71434" s="136"/>
    </row>
    <row r="71435" spans="1:2" x14ac:dyDescent="0.25">
      <c r="A71435" s="118"/>
      <c r="B71435" s="136"/>
    </row>
    <row r="71436" spans="1:2" x14ac:dyDescent="0.25">
      <c r="A71436" s="118"/>
      <c r="B71436" s="136"/>
    </row>
    <row r="71437" spans="1:2" x14ac:dyDescent="0.25">
      <c r="A71437" s="118"/>
      <c r="B71437" s="136"/>
    </row>
    <row r="71438" spans="1:2" x14ac:dyDescent="0.25">
      <c r="A71438" s="118"/>
      <c r="B71438" s="136"/>
    </row>
    <row r="71439" spans="1:2" x14ac:dyDescent="0.25">
      <c r="A71439" s="118"/>
      <c r="B71439" s="136"/>
    </row>
    <row r="71440" spans="1:2" x14ac:dyDescent="0.25">
      <c r="A71440" s="118"/>
      <c r="B71440" s="136"/>
    </row>
    <row r="71441" spans="1:2" x14ac:dyDescent="0.25">
      <c r="A71441" s="118"/>
      <c r="B71441" s="136"/>
    </row>
    <row r="71442" spans="1:2" x14ac:dyDescent="0.25">
      <c r="A71442" s="118"/>
      <c r="B71442" s="136"/>
    </row>
    <row r="71443" spans="1:2" x14ac:dyDescent="0.25">
      <c r="A71443" s="118"/>
      <c r="B71443" s="136"/>
    </row>
    <row r="71444" spans="1:2" x14ac:dyDescent="0.25">
      <c r="A71444" s="118"/>
      <c r="B71444" s="136"/>
    </row>
    <row r="71445" spans="1:2" x14ac:dyDescent="0.25">
      <c r="A71445" s="118"/>
      <c r="B71445" s="136"/>
    </row>
    <row r="71446" spans="1:2" x14ac:dyDescent="0.25">
      <c r="A71446" s="118"/>
      <c r="B71446" s="136"/>
    </row>
    <row r="71447" spans="1:2" x14ac:dyDescent="0.25">
      <c r="A71447" s="118"/>
      <c r="B71447" s="136"/>
    </row>
    <row r="71448" spans="1:2" x14ac:dyDescent="0.25">
      <c r="A71448" s="118"/>
      <c r="B71448" s="136"/>
    </row>
    <row r="71449" spans="1:2" x14ac:dyDescent="0.25">
      <c r="A71449" s="118"/>
      <c r="B71449" s="136"/>
    </row>
    <row r="71450" spans="1:2" x14ac:dyDescent="0.25">
      <c r="A71450" s="118"/>
      <c r="B71450" s="136"/>
    </row>
    <row r="71451" spans="1:2" x14ac:dyDescent="0.25">
      <c r="A71451" s="118"/>
      <c r="B71451" s="136"/>
    </row>
    <row r="71452" spans="1:2" x14ac:dyDescent="0.25">
      <c r="A71452" s="118"/>
      <c r="B71452" s="136"/>
    </row>
    <row r="71453" spans="1:2" x14ac:dyDescent="0.25">
      <c r="A71453" s="118"/>
      <c r="B71453" s="136"/>
    </row>
    <row r="71454" spans="1:2" x14ac:dyDescent="0.25">
      <c r="A71454" s="118"/>
      <c r="B71454" s="136"/>
    </row>
    <row r="71455" spans="1:2" x14ac:dyDescent="0.25">
      <c r="A71455" s="118"/>
      <c r="B71455" s="136"/>
    </row>
    <row r="71456" spans="1:2" x14ac:dyDescent="0.25">
      <c r="A71456" s="118"/>
      <c r="B71456" s="136"/>
    </row>
    <row r="71457" spans="1:2" x14ac:dyDescent="0.25">
      <c r="A71457" s="118"/>
      <c r="B71457" s="136"/>
    </row>
    <row r="71458" spans="1:2" x14ac:dyDescent="0.25">
      <c r="A71458" s="118"/>
      <c r="B71458" s="136"/>
    </row>
    <row r="71459" spans="1:2" x14ac:dyDescent="0.25">
      <c r="A71459" s="118"/>
      <c r="B71459" s="136"/>
    </row>
    <row r="71460" spans="1:2" x14ac:dyDescent="0.25">
      <c r="A71460" s="118"/>
      <c r="B71460" s="136"/>
    </row>
    <row r="71461" spans="1:2" x14ac:dyDescent="0.25">
      <c r="A71461" s="118"/>
      <c r="B71461" s="136"/>
    </row>
    <row r="71462" spans="1:2" x14ac:dyDescent="0.25">
      <c r="A71462" s="118"/>
      <c r="B71462" s="136"/>
    </row>
    <row r="71463" spans="1:2" x14ac:dyDescent="0.25">
      <c r="A71463" s="118"/>
      <c r="B71463" s="136"/>
    </row>
    <row r="71464" spans="1:2" x14ac:dyDescent="0.25">
      <c r="A71464" s="118"/>
      <c r="B71464" s="136"/>
    </row>
    <row r="71465" spans="1:2" x14ac:dyDescent="0.25">
      <c r="A71465" s="118"/>
      <c r="B71465" s="136"/>
    </row>
    <row r="71466" spans="1:2" x14ac:dyDescent="0.25">
      <c r="A71466" s="118"/>
      <c r="B71466" s="136"/>
    </row>
    <row r="71467" spans="1:2" x14ac:dyDescent="0.25">
      <c r="A71467" s="118"/>
      <c r="B71467" s="136"/>
    </row>
    <row r="71468" spans="1:2" x14ac:dyDescent="0.25">
      <c r="A71468" s="118"/>
      <c r="B71468" s="136"/>
    </row>
    <row r="71469" spans="1:2" x14ac:dyDescent="0.25">
      <c r="A71469" s="118"/>
      <c r="B71469" s="136"/>
    </row>
    <row r="71470" spans="1:2" x14ac:dyDescent="0.25">
      <c r="A71470" s="118"/>
      <c r="B71470" s="136"/>
    </row>
    <row r="71471" spans="1:2" x14ac:dyDescent="0.25">
      <c r="A71471" s="118"/>
      <c r="B71471" s="136"/>
    </row>
    <row r="71472" spans="1:2" x14ac:dyDescent="0.25">
      <c r="A71472" s="118"/>
      <c r="B71472" s="136"/>
    </row>
    <row r="71473" spans="1:2" x14ac:dyDescent="0.25">
      <c r="A71473" s="118"/>
      <c r="B71473" s="136"/>
    </row>
    <row r="71474" spans="1:2" x14ac:dyDescent="0.25">
      <c r="A71474" s="118"/>
      <c r="B71474" s="136"/>
    </row>
    <row r="71475" spans="1:2" x14ac:dyDescent="0.25">
      <c r="A71475" s="118"/>
      <c r="B71475" s="136"/>
    </row>
    <row r="71476" spans="1:2" x14ac:dyDescent="0.25">
      <c r="A71476" s="118"/>
      <c r="B71476" s="136"/>
    </row>
    <row r="71477" spans="1:2" x14ac:dyDescent="0.25">
      <c r="A71477" s="118"/>
      <c r="B71477" s="136"/>
    </row>
    <row r="71478" spans="1:2" x14ac:dyDescent="0.25">
      <c r="A71478" s="118"/>
      <c r="B71478" s="136"/>
    </row>
    <row r="71479" spans="1:2" x14ac:dyDescent="0.25">
      <c r="A71479" s="118"/>
      <c r="B71479" s="136"/>
    </row>
    <row r="71480" spans="1:2" x14ac:dyDescent="0.25">
      <c r="A71480" s="118"/>
      <c r="B71480" s="136"/>
    </row>
    <row r="71481" spans="1:2" x14ac:dyDescent="0.25">
      <c r="A71481" s="118"/>
      <c r="B71481" s="136"/>
    </row>
    <row r="71482" spans="1:2" x14ac:dyDescent="0.25">
      <c r="A71482" s="118"/>
      <c r="B71482" s="136"/>
    </row>
    <row r="71483" spans="1:2" x14ac:dyDescent="0.25">
      <c r="A71483" s="118"/>
      <c r="B71483" s="136"/>
    </row>
    <row r="71484" spans="1:2" x14ac:dyDescent="0.25">
      <c r="A71484" s="118"/>
      <c r="B71484" s="136"/>
    </row>
    <row r="71485" spans="1:2" x14ac:dyDescent="0.25">
      <c r="A71485" s="118"/>
      <c r="B71485" s="136"/>
    </row>
    <row r="71486" spans="1:2" x14ac:dyDescent="0.25">
      <c r="A71486" s="118"/>
      <c r="B71486" s="136"/>
    </row>
    <row r="71487" spans="1:2" x14ac:dyDescent="0.25">
      <c r="A71487" s="118"/>
      <c r="B71487" s="136"/>
    </row>
    <row r="71488" spans="1:2" x14ac:dyDescent="0.25">
      <c r="A71488" s="118"/>
      <c r="B71488" s="136"/>
    </row>
    <row r="71489" spans="1:2" x14ac:dyDescent="0.25">
      <c r="A71489" s="118"/>
      <c r="B71489" s="136"/>
    </row>
    <row r="71490" spans="1:2" x14ac:dyDescent="0.25">
      <c r="A71490" s="118"/>
      <c r="B71490" s="136"/>
    </row>
    <row r="71491" spans="1:2" x14ac:dyDescent="0.25">
      <c r="A71491" s="118"/>
      <c r="B71491" s="136"/>
    </row>
    <row r="71492" spans="1:2" x14ac:dyDescent="0.25">
      <c r="A71492" s="118"/>
      <c r="B71492" s="136"/>
    </row>
    <row r="71493" spans="1:2" x14ac:dyDescent="0.25">
      <c r="A71493" s="118"/>
      <c r="B71493" s="136"/>
    </row>
    <row r="71494" spans="1:2" x14ac:dyDescent="0.25">
      <c r="A71494" s="118"/>
      <c r="B71494" s="136"/>
    </row>
    <row r="71495" spans="1:2" x14ac:dyDescent="0.25">
      <c r="A71495" s="118"/>
      <c r="B71495" s="136"/>
    </row>
    <row r="71496" spans="1:2" x14ac:dyDescent="0.25">
      <c r="A71496" s="118"/>
      <c r="B71496" s="136"/>
    </row>
    <row r="71497" spans="1:2" x14ac:dyDescent="0.25">
      <c r="A71497" s="118"/>
      <c r="B71497" s="136"/>
    </row>
    <row r="71498" spans="1:2" x14ac:dyDescent="0.25">
      <c r="A71498" s="118"/>
      <c r="B71498" s="136"/>
    </row>
    <row r="71499" spans="1:2" x14ac:dyDescent="0.25">
      <c r="A71499" s="118"/>
      <c r="B71499" s="136"/>
    </row>
    <row r="71500" spans="1:2" x14ac:dyDescent="0.25">
      <c r="A71500" s="118"/>
      <c r="B71500" s="136"/>
    </row>
    <row r="71501" spans="1:2" x14ac:dyDescent="0.25">
      <c r="A71501" s="118"/>
      <c r="B71501" s="136"/>
    </row>
    <row r="71502" spans="1:2" x14ac:dyDescent="0.25">
      <c r="A71502" s="118"/>
      <c r="B71502" s="136"/>
    </row>
    <row r="71503" spans="1:2" x14ac:dyDescent="0.25">
      <c r="A71503" s="118"/>
      <c r="B71503" s="136"/>
    </row>
    <row r="71504" spans="1:2" x14ac:dyDescent="0.25">
      <c r="A71504" s="118"/>
      <c r="B71504" s="136"/>
    </row>
    <row r="71505" spans="1:2" x14ac:dyDescent="0.25">
      <c r="A71505" s="118"/>
      <c r="B71505" s="136"/>
    </row>
    <row r="71506" spans="1:2" x14ac:dyDescent="0.25">
      <c r="A71506" s="118"/>
      <c r="B71506" s="136"/>
    </row>
    <row r="71507" spans="1:2" x14ac:dyDescent="0.25">
      <c r="A71507" s="118"/>
      <c r="B71507" s="136"/>
    </row>
    <row r="71508" spans="1:2" x14ac:dyDescent="0.25">
      <c r="A71508" s="118"/>
      <c r="B71508" s="136"/>
    </row>
    <row r="71509" spans="1:2" x14ac:dyDescent="0.25">
      <c r="A71509" s="118"/>
      <c r="B71509" s="136"/>
    </row>
    <row r="71510" spans="1:2" x14ac:dyDescent="0.25">
      <c r="A71510" s="118"/>
      <c r="B71510" s="136"/>
    </row>
    <row r="71511" spans="1:2" x14ac:dyDescent="0.25">
      <c r="A71511" s="118"/>
      <c r="B71511" s="136"/>
    </row>
    <row r="71512" spans="1:2" x14ac:dyDescent="0.25">
      <c r="A71512" s="118"/>
      <c r="B71512" s="136"/>
    </row>
    <row r="71513" spans="1:2" x14ac:dyDescent="0.25">
      <c r="A71513" s="118"/>
      <c r="B71513" s="136"/>
    </row>
    <row r="71514" spans="1:2" x14ac:dyDescent="0.25">
      <c r="A71514" s="118"/>
      <c r="B71514" s="136"/>
    </row>
    <row r="71515" spans="1:2" x14ac:dyDescent="0.25">
      <c r="A71515" s="118"/>
      <c r="B71515" s="136"/>
    </row>
    <row r="71516" spans="1:2" x14ac:dyDescent="0.25">
      <c r="A71516" s="118"/>
      <c r="B71516" s="136"/>
    </row>
    <row r="71517" spans="1:2" x14ac:dyDescent="0.25">
      <c r="A71517" s="118"/>
      <c r="B71517" s="136"/>
    </row>
    <row r="71518" spans="1:2" x14ac:dyDescent="0.25">
      <c r="A71518" s="118"/>
      <c r="B71518" s="136"/>
    </row>
    <row r="71519" spans="1:2" x14ac:dyDescent="0.25">
      <c r="A71519" s="118"/>
      <c r="B71519" s="136"/>
    </row>
    <row r="71520" spans="1:2" x14ac:dyDescent="0.25">
      <c r="A71520" s="118"/>
      <c r="B71520" s="136"/>
    </row>
    <row r="71521" spans="1:2" x14ac:dyDescent="0.25">
      <c r="A71521" s="118"/>
      <c r="B71521" s="136"/>
    </row>
    <row r="71522" spans="1:2" x14ac:dyDescent="0.25">
      <c r="A71522" s="118"/>
      <c r="B71522" s="136"/>
    </row>
    <row r="71523" spans="1:2" x14ac:dyDescent="0.25">
      <c r="A71523" s="118"/>
      <c r="B71523" s="136"/>
    </row>
    <row r="71524" spans="1:2" x14ac:dyDescent="0.25">
      <c r="A71524" s="118"/>
      <c r="B71524" s="136"/>
    </row>
    <row r="71525" spans="1:2" x14ac:dyDescent="0.25">
      <c r="A71525" s="118"/>
      <c r="B71525" s="136"/>
    </row>
    <row r="71526" spans="1:2" x14ac:dyDescent="0.25">
      <c r="A71526" s="118"/>
      <c r="B71526" s="136"/>
    </row>
    <row r="71527" spans="1:2" x14ac:dyDescent="0.25">
      <c r="A71527" s="118"/>
      <c r="B71527" s="136"/>
    </row>
    <row r="71528" spans="1:2" x14ac:dyDescent="0.25">
      <c r="A71528" s="118"/>
      <c r="B71528" s="136"/>
    </row>
    <row r="71529" spans="1:2" x14ac:dyDescent="0.25">
      <c r="A71529" s="118"/>
      <c r="B71529" s="136"/>
    </row>
    <row r="71530" spans="1:2" x14ac:dyDescent="0.25">
      <c r="A71530" s="118"/>
      <c r="B71530" s="136"/>
    </row>
    <row r="71531" spans="1:2" x14ac:dyDescent="0.25">
      <c r="A71531" s="118"/>
      <c r="B71531" s="136"/>
    </row>
    <row r="71532" spans="1:2" x14ac:dyDescent="0.25">
      <c r="A71532" s="118"/>
      <c r="B71532" s="136"/>
    </row>
    <row r="71533" spans="1:2" x14ac:dyDescent="0.25">
      <c r="A71533" s="118"/>
      <c r="B71533" s="136"/>
    </row>
    <row r="71534" spans="1:2" x14ac:dyDescent="0.25">
      <c r="A71534" s="118"/>
      <c r="B71534" s="136"/>
    </row>
    <row r="71535" spans="1:2" x14ac:dyDescent="0.25">
      <c r="A71535" s="118"/>
      <c r="B71535" s="136"/>
    </row>
    <row r="71536" spans="1:2" x14ac:dyDescent="0.25">
      <c r="A71536" s="118"/>
      <c r="B71536" s="136"/>
    </row>
    <row r="71537" spans="1:2" x14ac:dyDescent="0.25">
      <c r="A71537" s="118"/>
      <c r="B71537" s="136"/>
    </row>
    <row r="71538" spans="1:2" x14ac:dyDescent="0.25">
      <c r="A71538" s="118"/>
      <c r="B71538" s="136"/>
    </row>
    <row r="71539" spans="1:2" x14ac:dyDescent="0.25">
      <c r="A71539" s="118"/>
      <c r="B71539" s="136"/>
    </row>
    <row r="71540" spans="1:2" x14ac:dyDescent="0.25">
      <c r="A71540" s="118"/>
      <c r="B71540" s="136"/>
    </row>
    <row r="71541" spans="1:2" x14ac:dyDescent="0.25">
      <c r="A71541" s="118"/>
      <c r="B71541" s="136"/>
    </row>
    <row r="71542" spans="1:2" x14ac:dyDescent="0.25">
      <c r="A71542" s="118"/>
      <c r="B71542" s="136"/>
    </row>
    <row r="71543" spans="1:2" x14ac:dyDescent="0.25">
      <c r="A71543" s="118"/>
      <c r="B71543" s="136"/>
    </row>
    <row r="71544" spans="1:2" x14ac:dyDescent="0.25">
      <c r="A71544" s="118"/>
      <c r="B71544" s="136"/>
    </row>
    <row r="71545" spans="1:2" x14ac:dyDescent="0.25">
      <c r="A71545" s="118"/>
      <c r="B71545" s="136"/>
    </row>
    <row r="71546" spans="1:2" x14ac:dyDescent="0.25">
      <c r="A71546" s="118"/>
      <c r="B71546" s="136"/>
    </row>
    <row r="71547" spans="1:2" x14ac:dyDescent="0.25">
      <c r="A71547" s="118"/>
      <c r="B71547" s="136"/>
    </row>
    <row r="71548" spans="1:2" x14ac:dyDescent="0.25">
      <c r="A71548" s="118"/>
      <c r="B71548" s="136"/>
    </row>
    <row r="71549" spans="1:2" x14ac:dyDescent="0.25">
      <c r="A71549" s="118"/>
      <c r="B71549" s="136"/>
    </row>
    <row r="71550" spans="1:2" x14ac:dyDescent="0.25">
      <c r="A71550" s="118"/>
      <c r="B71550" s="136"/>
    </row>
    <row r="71551" spans="1:2" x14ac:dyDescent="0.25">
      <c r="A71551" s="118"/>
      <c r="B71551" s="136"/>
    </row>
    <row r="71552" spans="1:2" x14ac:dyDescent="0.25">
      <c r="A71552" s="118"/>
      <c r="B71552" s="136"/>
    </row>
    <row r="71553" spans="1:2" x14ac:dyDescent="0.25">
      <c r="A71553" s="118"/>
      <c r="B71553" s="136"/>
    </row>
    <row r="71554" spans="1:2" x14ac:dyDescent="0.25">
      <c r="A71554" s="118"/>
      <c r="B71554" s="136"/>
    </row>
    <row r="71555" spans="1:2" x14ac:dyDescent="0.25">
      <c r="A71555" s="118"/>
      <c r="B71555" s="136"/>
    </row>
    <row r="71556" spans="1:2" x14ac:dyDescent="0.25">
      <c r="A71556" s="118"/>
      <c r="B71556" s="136"/>
    </row>
    <row r="71557" spans="1:2" x14ac:dyDescent="0.25">
      <c r="A71557" s="118"/>
      <c r="B71557" s="136"/>
    </row>
    <row r="71558" spans="1:2" x14ac:dyDescent="0.25">
      <c r="A71558" s="118"/>
      <c r="B71558" s="136"/>
    </row>
    <row r="71559" spans="1:2" x14ac:dyDescent="0.25">
      <c r="A71559" s="118"/>
      <c r="B71559" s="136"/>
    </row>
    <row r="71560" spans="1:2" x14ac:dyDescent="0.25">
      <c r="A71560" s="118"/>
      <c r="B71560" s="136"/>
    </row>
    <row r="71561" spans="1:2" x14ac:dyDescent="0.25">
      <c r="A71561" s="118"/>
      <c r="B71561" s="136"/>
    </row>
    <row r="71562" spans="1:2" x14ac:dyDescent="0.25">
      <c r="A71562" s="118"/>
      <c r="B71562" s="136"/>
    </row>
    <row r="71563" spans="1:2" x14ac:dyDescent="0.25">
      <c r="A71563" s="118"/>
      <c r="B71563" s="136"/>
    </row>
    <row r="71564" spans="1:2" x14ac:dyDescent="0.25">
      <c r="A71564" s="118"/>
      <c r="B71564" s="136"/>
    </row>
    <row r="71565" spans="1:2" x14ac:dyDescent="0.25">
      <c r="A71565" s="118"/>
      <c r="B71565" s="136"/>
    </row>
    <row r="71566" spans="1:2" x14ac:dyDescent="0.25">
      <c r="A71566" s="118"/>
      <c r="B71566" s="136"/>
    </row>
    <row r="71567" spans="1:2" x14ac:dyDescent="0.25">
      <c r="A71567" s="118"/>
      <c r="B71567" s="136"/>
    </row>
    <row r="71568" spans="1:2" x14ac:dyDescent="0.25">
      <c r="A71568" s="118"/>
      <c r="B71568" s="136"/>
    </row>
    <row r="71569" spans="1:2" x14ac:dyDescent="0.25">
      <c r="A71569" s="118"/>
      <c r="B71569" s="136"/>
    </row>
    <row r="71570" spans="1:2" x14ac:dyDescent="0.25">
      <c r="A71570" s="118"/>
      <c r="B71570" s="136"/>
    </row>
    <row r="71571" spans="1:2" x14ac:dyDescent="0.25">
      <c r="A71571" s="118"/>
      <c r="B71571" s="136"/>
    </row>
    <row r="71572" spans="1:2" x14ac:dyDescent="0.25">
      <c r="A71572" s="118"/>
      <c r="B71572" s="136"/>
    </row>
    <row r="71573" spans="1:2" x14ac:dyDescent="0.25">
      <c r="A71573" s="118"/>
      <c r="B71573" s="136"/>
    </row>
    <row r="71574" spans="1:2" x14ac:dyDescent="0.25">
      <c r="A71574" s="118"/>
      <c r="B71574" s="136"/>
    </row>
    <row r="71575" spans="1:2" x14ac:dyDescent="0.25">
      <c r="A71575" s="118"/>
      <c r="B71575" s="136"/>
    </row>
    <row r="71576" spans="1:2" x14ac:dyDescent="0.25">
      <c r="A71576" s="118"/>
      <c r="B71576" s="136"/>
    </row>
    <row r="71577" spans="1:2" x14ac:dyDescent="0.25">
      <c r="A71577" s="118"/>
      <c r="B71577" s="136"/>
    </row>
    <row r="71578" spans="1:2" x14ac:dyDescent="0.25">
      <c r="A71578" s="118"/>
      <c r="B71578" s="136"/>
    </row>
    <row r="71579" spans="1:2" x14ac:dyDescent="0.25">
      <c r="A71579" s="118"/>
      <c r="B71579" s="136"/>
    </row>
    <row r="71580" spans="1:2" x14ac:dyDescent="0.25">
      <c r="A71580" s="118"/>
      <c r="B71580" s="136"/>
    </row>
    <row r="71581" spans="1:2" x14ac:dyDescent="0.25">
      <c r="A71581" s="118"/>
      <c r="B71581" s="136"/>
    </row>
    <row r="71582" spans="1:2" x14ac:dyDescent="0.25">
      <c r="A71582" s="118"/>
      <c r="B71582" s="136"/>
    </row>
    <row r="71583" spans="1:2" x14ac:dyDescent="0.25">
      <c r="A71583" s="118"/>
      <c r="B71583" s="136"/>
    </row>
    <row r="71584" spans="1:2" x14ac:dyDescent="0.25">
      <c r="A71584" s="118"/>
      <c r="B71584" s="136"/>
    </row>
    <row r="71585" spans="1:2" x14ac:dyDescent="0.25">
      <c r="A71585" s="118"/>
      <c r="B71585" s="136"/>
    </row>
    <row r="71586" spans="1:2" x14ac:dyDescent="0.25">
      <c r="A71586" s="118"/>
      <c r="B71586" s="136"/>
    </row>
    <row r="71587" spans="1:2" x14ac:dyDescent="0.25">
      <c r="A71587" s="118"/>
      <c r="B71587" s="136"/>
    </row>
    <row r="71588" spans="1:2" x14ac:dyDescent="0.25">
      <c r="A71588" s="118"/>
      <c r="B71588" s="136"/>
    </row>
    <row r="71589" spans="1:2" x14ac:dyDescent="0.25">
      <c r="A71589" s="118"/>
      <c r="B71589" s="136"/>
    </row>
    <row r="71590" spans="1:2" x14ac:dyDescent="0.25">
      <c r="A71590" s="118"/>
      <c r="B71590" s="136"/>
    </row>
    <row r="71591" spans="1:2" x14ac:dyDescent="0.25">
      <c r="A71591" s="118"/>
      <c r="B71591" s="136"/>
    </row>
    <row r="71592" spans="1:2" x14ac:dyDescent="0.25">
      <c r="A71592" s="118"/>
      <c r="B71592" s="136"/>
    </row>
    <row r="71593" spans="1:2" x14ac:dyDescent="0.25">
      <c r="A71593" s="118"/>
      <c r="B71593" s="136"/>
    </row>
    <row r="71594" spans="1:2" x14ac:dyDescent="0.25">
      <c r="A71594" s="118"/>
      <c r="B71594" s="136"/>
    </row>
    <row r="71595" spans="1:2" x14ac:dyDescent="0.25">
      <c r="A71595" s="118"/>
      <c r="B71595" s="136"/>
    </row>
    <row r="71596" spans="1:2" x14ac:dyDescent="0.25">
      <c r="A71596" s="118"/>
      <c r="B71596" s="136"/>
    </row>
    <row r="71597" spans="1:2" x14ac:dyDescent="0.25">
      <c r="A71597" s="118"/>
      <c r="B71597" s="136"/>
    </row>
    <row r="71598" spans="1:2" x14ac:dyDescent="0.25">
      <c r="A71598" s="118"/>
      <c r="B71598" s="136"/>
    </row>
    <row r="71599" spans="1:2" x14ac:dyDescent="0.25">
      <c r="A71599" s="118"/>
      <c r="B71599" s="136"/>
    </row>
    <row r="71600" spans="1:2" x14ac:dyDescent="0.25">
      <c r="A71600" s="118"/>
      <c r="B71600" s="136"/>
    </row>
    <row r="71601" spans="1:2" x14ac:dyDescent="0.25">
      <c r="A71601" s="118"/>
      <c r="B71601" s="136"/>
    </row>
    <row r="71602" spans="1:2" x14ac:dyDescent="0.25">
      <c r="A71602" s="118"/>
      <c r="B71602" s="136"/>
    </row>
    <row r="71603" spans="1:2" x14ac:dyDescent="0.25">
      <c r="A71603" s="118"/>
      <c r="B71603" s="136"/>
    </row>
    <row r="71604" spans="1:2" x14ac:dyDescent="0.25">
      <c r="A71604" s="118"/>
      <c r="B71604" s="136"/>
    </row>
    <row r="71605" spans="1:2" x14ac:dyDescent="0.25">
      <c r="A71605" s="118"/>
      <c r="B71605" s="136"/>
    </row>
    <row r="71606" spans="1:2" x14ac:dyDescent="0.25">
      <c r="A71606" s="118"/>
      <c r="B71606" s="136"/>
    </row>
    <row r="71607" spans="1:2" x14ac:dyDescent="0.25">
      <c r="A71607" s="118"/>
      <c r="B71607" s="136"/>
    </row>
    <row r="71608" spans="1:2" x14ac:dyDescent="0.25">
      <c r="A71608" s="118"/>
      <c r="B71608" s="136"/>
    </row>
    <row r="71609" spans="1:2" x14ac:dyDescent="0.25">
      <c r="A71609" s="118"/>
      <c r="B71609" s="136"/>
    </row>
    <row r="71610" spans="1:2" x14ac:dyDescent="0.25">
      <c r="A71610" s="118"/>
      <c r="B71610" s="136"/>
    </row>
    <row r="71611" spans="1:2" x14ac:dyDescent="0.25">
      <c r="A71611" s="118"/>
      <c r="B71611" s="136"/>
    </row>
    <row r="71612" spans="1:2" x14ac:dyDescent="0.25">
      <c r="A71612" s="118"/>
      <c r="B71612" s="136"/>
    </row>
    <row r="71613" spans="1:2" x14ac:dyDescent="0.25">
      <c r="A71613" s="118"/>
      <c r="B71613" s="136"/>
    </row>
    <row r="71614" spans="1:2" x14ac:dyDescent="0.25">
      <c r="A71614" s="118"/>
      <c r="B71614" s="136"/>
    </row>
    <row r="71615" spans="1:2" x14ac:dyDescent="0.25">
      <c r="A71615" s="118"/>
      <c r="B71615" s="136"/>
    </row>
    <row r="71616" spans="1:2" x14ac:dyDescent="0.25">
      <c r="A71616" s="118"/>
      <c r="B71616" s="136"/>
    </row>
    <row r="71617" spans="1:2" x14ac:dyDescent="0.25">
      <c r="A71617" s="118"/>
      <c r="B71617" s="136"/>
    </row>
    <row r="71618" spans="1:2" x14ac:dyDescent="0.25">
      <c r="A71618" s="118"/>
      <c r="B71618" s="136"/>
    </row>
    <row r="71619" spans="1:2" x14ac:dyDescent="0.25">
      <c r="A71619" s="118"/>
      <c r="B71619" s="136"/>
    </row>
    <row r="71620" spans="1:2" x14ac:dyDescent="0.25">
      <c r="A71620" s="118"/>
      <c r="B71620" s="136"/>
    </row>
    <row r="71621" spans="1:2" x14ac:dyDescent="0.25">
      <c r="A71621" s="118"/>
      <c r="B71621" s="136"/>
    </row>
    <row r="71622" spans="1:2" x14ac:dyDescent="0.25">
      <c r="A71622" s="118"/>
      <c r="B71622" s="136"/>
    </row>
    <row r="71623" spans="1:2" x14ac:dyDescent="0.25">
      <c r="A71623" s="118"/>
      <c r="B71623" s="136"/>
    </row>
    <row r="71624" spans="1:2" x14ac:dyDescent="0.25">
      <c r="A71624" s="118"/>
      <c r="B71624" s="136"/>
    </row>
    <row r="71625" spans="1:2" x14ac:dyDescent="0.25">
      <c r="A71625" s="118"/>
      <c r="B71625" s="136"/>
    </row>
    <row r="71626" spans="1:2" x14ac:dyDescent="0.25">
      <c r="A71626" s="118"/>
      <c r="B71626" s="136"/>
    </row>
    <row r="71627" spans="1:2" x14ac:dyDescent="0.25">
      <c r="A71627" s="118"/>
      <c r="B71627" s="136"/>
    </row>
    <row r="71628" spans="1:2" x14ac:dyDescent="0.25">
      <c r="A71628" s="118"/>
      <c r="B71628" s="136"/>
    </row>
    <row r="71629" spans="1:2" x14ac:dyDescent="0.25">
      <c r="A71629" s="118"/>
      <c r="B71629" s="136"/>
    </row>
    <row r="71630" spans="1:2" x14ac:dyDescent="0.25">
      <c r="A71630" s="118"/>
      <c r="B71630" s="136"/>
    </row>
    <row r="71631" spans="1:2" x14ac:dyDescent="0.25">
      <c r="A71631" s="118"/>
      <c r="B71631" s="136"/>
    </row>
    <row r="71632" spans="1:2" x14ac:dyDescent="0.25">
      <c r="A71632" s="118"/>
      <c r="B71632" s="136"/>
    </row>
    <row r="71633" spans="1:2" x14ac:dyDescent="0.25">
      <c r="A71633" s="118"/>
      <c r="B71633" s="136"/>
    </row>
    <row r="71634" spans="1:2" x14ac:dyDescent="0.25">
      <c r="A71634" s="118"/>
      <c r="B71634" s="136"/>
    </row>
    <row r="71635" spans="1:2" x14ac:dyDescent="0.25">
      <c r="A71635" s="118"/>
      <c r="B71635" s="136"/>
    </row>
    <row r="71636" spans="1:2" x14ac:dyDescent="0.25">
      <c r="A71636" s="118"/>
      <c r="B71636" s="136"/>
    </row>
    <row r="71637" spans="1:2" x14ac:dyDescent="0.25">
      <c r="A71637" s="118"/>
      <c r="B71637" s="136"/>
    </row>
    <row r="71638" spans="1:2" x14ac:dyDescent="0.25">
      <c r="A71638" s="118"/>
      <c r="B71638" s="136"/>
    </row>
    <row r="71639" spans="1:2" x14ac:dyDescent="0.25">
      <c r="A71639" s="118"/>
      <c r="B71639" s="136"/>
    </row>
    <row r="71640" spans="1:2" x14ac:dyDescent="0.25">
      <c r="A71640" s="118"/>
      <c r="B71640" s="136"/>
    </row>
    <row r="71641" spans="1:2" x14ac:dyDescent="0.25">
      <c r="A71641" s="118"/>
      <c r="B71641" s="136"/>
    </row>
    <row r="71642" spans="1:2" x14ac:dyDescent="0.25">
      <c r="A71642" s="118"/>
      <c r="B71642" s="136"/>
    </row>
    <row r="71643" spans="1:2" x14ac:dyDescent="0.25">
      <c r="A71643" s="118"/>
      <c r="B71643" s="136"/>
    </row>
    <row r="71644" spans="1:2" x14ac:dyDescent="0.25">
      <c r="A71644" s="118"/>
      <c r="B71644" s="136"/>
    </row>
    <row r="71645" spans="1:2" x14ac:dyDescent="0.25">
      <c r="A71645" s="118"/>
      <c r="B71645" s="136"/>
    </row>
    <row r="71646" spans="1:2" x14ac:dyDescent="0.25">
      <c r="A71646" s="118"/>
      <c r="B71646" s="136"/>
    </row>
    <row r="71647" spans="1:2" x14ac:dyDescent="0.25">
      <c r="A71647" s="118"/>
      <c r="B71647" s="136"/>
    </row>
    <row r="71648" spans="1:2" x14ac:dyDescent="0.25">
      <c r="A71648" s="118"/>
      <c r="B71648" s="136"/>
    </row>
    <row r="71649" spans="1:2" x14ac:dyDescent="0.25">
      <c r="A71649" s="118"/>
      <c r="B71649" s="136"/>
    </row>
    <row r="71650" spans="1:2" x14ac:dyDescent="0.25">
      <c r="A71650" s="118"/>
      <c r="B71650" s="136"/>
    </row>
    <row r="71651" spans="1:2" x14ac:dyDescent="0.25">
      <c r="A71651" s="118"/>
      <c r="B71651" s="136"/>
    </row>
    <row r="71652" spans="1:2" x14ac:dyDescent="0.25">
      <c r="A71652" s="118"/>
      <c r="B71652" s="136"/>
    </row>
    <row r="71653" spans="1:2" x14ac:dyDescent="0.25">
      <c r="A71653" s="118"/>
      <c r="B71653" s="136"/>
    </row>
    <row r="71654" spans="1:2" x14ac:dyDescent="0.25">
      <c r="A71654" s="118"/>
      <c r="B71654" s="136"/>
    </row>
    <row r="71655" spans="1:2" x14ac:dyDescent="0.25">
      <c r="A71655" s="118"/>
      <c r="B71655" s="136"/>
    </row>
    <row r="71656" spans="1:2" x14ac:dyDescent="0.25">
      <c r="A71656" s="118"/>
      <c r="B71656" s="136"/>
    </row>
    <row r="71657" spans="1:2" x14ac:dyDescent="0.25">
      <c r="A71657" s="118"/>
      <c r="B71657" s="136"/>
    </row>
    <row r="71658" spans="1:2" x14ac:dyDescent="0.25">
      <c r="A71658" s="118"/>
      <c r="B71658" s="136"/>
    </row>
    <row r="71659" spans="1:2" x14ac:dyDescent="0.25">
      <c r="A71659" s="118"/>
      <c r="B71659" s="136"/>
    </row>
    <row r="71660" spans="1:2" x14ac:dyDescent="0.25">
      <c r="A71660" s="118"/>
      <c r="B71660" s="136"/>
    </row>
    <row r="71661" spans="1:2" x14ac:dyDescent="0.25">
      <c r="A71661" s="118"/>
      <c r="B71661" s="136"/>
    </row>
    <row r="71662" spans="1:2" x14ac:dyDescent="0.25">
      <c r="A71662" s="118"/>
      <c r="B71662" s="136"/>
    </row>
    <row r="71663" spans="1:2" x14ac:dyDescent="0.25">
      <c r="A71663" s="118"/>
      <c r="B71663" s="136"/>
    </row>
    <row r="71664" spans="1:2" x14ac:dyDescent="0.25">
      <c r="A71664" s="118"/>
      <c r="B71664" s="136"/>
    </row>
    <row r="71665" spans="1:2" x14ac:dyDescent="0.25">
      <c r="A71665" s="118"/>
      <c r="B71665" s="136"/>
    </row>
    <row r="71666" spans="1:2" x14ac:dyDescent="0.25">
      <c r="A71666" s="118"/>
      <c r="B71666" s="136"/>
    </row>
    <row r="71667" spans="1:2" x14ac:dyDescent="0.25">
      <c r="A71667" s="118"/>
      <c r="B71667" s="136"/>
    </row>
    <row r="71668" spans="1:2" x14ac:dyDescent="0.25">
      <c r="A71668" s="118"/>
      <c r="B71668" s="136"/>
    </row>
    <row r="71669" spans="1:2" x14ac:dyDescent="0.25">
      <c r="A71669" s="118"/>
      <c r="B71669" s="136"/>
    </row>
    <row r="71670" spans="1:2" x14ac:dyDescent="0.25">
      <c r="A71670" s="118"/>
      <c r="B71670" s="136"/>
    </row>
    <row r="71671" spans="1:2" x14ac:dyDescent="0.25">
      <c r="A71671" s="118"/>
      <c r="B71671" s="136"/>
    </row>
    <row r="71672" spans="1:2" x14ac:dyDescent="0.25">
      <c r="A71672" s="118"/>
      <c r="B71672" s="136"/>
    </row>
    <row r="71673" spans="1:2" x14ac:dyDescent="0.25">
      <c r="A71673" s="118"/>
      <c r="B71673" s="136"/>
    </row>
    <row r="71674" spans="1:2" x14ac:dyDescent="0.25">
      <c r="A71674" s="118"/>
      <c r="B71674" s="136"/>
    </row>
    <row r="71675" spans="1:2" x14ac:dyDescent="0.25">
      <c r="A71675" s="118"/>
      <c r="B71675" s="136"/>
    </row>
    <row r="71676" spans="1:2" x14ac:dyDescent="0.25">
      <c r="A71676" s="118"/>
      <c r="B71676" s="136"/>
    </row>
    <row r="71677" spans="1:2" x14ac:dyDescent="0.25">
      <c r="A71677" s="118"/>
      <c r="B71677" s="136"/>
    </row>
    <row r="71678" spans="1:2" x14ac:dyDescent="0.25">
      <c r="A71678" s="118"/>
      <c r="B71678" s="136"/>
    </row>
    <row r="71679" spans="1:2" x14ac:dyDescent="0.25">
      <c r="A71679" s="118"/>
      <c r="B71679" s="136"/>
    </row>
    <row r="71680" spans="1:2" x14ac:dyDescent="0.25">
      <c r="A71680" s="118"/>
      <c r="B71680" s="136"/>
    </row>
    <row r="71681" spans="1:2" x14ac:dyDescent="0.25">
      <c r="A71681" s="118"/>
      <c r="B71681" s="136"/>
    </row>
    <row r="71682" spans="1:2" x14ac:dyDescent="0.25">
      <c r="A71682" s="118"/>
      <c r="B71682" s="136"/>
    </row>
    <row r="71683" spans="1:2" x14ac:dyDescent="0.25">
      <c r="A71683" s="118"/>
      <c r="B71683" s="136"/>
    </row>
    <row r="71684" spans="1:2" x14ac:dyDescent="0.25">
      <c r="A71684" s="118"/>
      <c r="B71684" s="136"/>
    </row>
    <row r="71685" spans="1:2" x14ac:dyDescent="0.25">
      <c r="A71685" s="118"/>
      <c r="B71685" s="136"/>
    </row>
    <row r="71686" spans="1:2" x14ac:dyDescent="0.25">
      <c r="A71686" s="118"/>
      <c r="B71686" s="136"/>
    </row>
    <row r="71687" spans="1:2" x14ac:dyDescent="0.25">
      <c r="A71687" s="118"/>
      <c r="B71687" s="136"/>
    </row>
    <row r="71688" spans="1:2" x14ac:dyDescent="0.25">
      <c r="A71688" s="118"/>
      <c r="B71688" s="136"/>
    </row>
    <row r="71689" spans="1:2" x14ac:dyDescent="0.25">
      <c r="A71689" s="118"/>
      <c r="B71689" s="136"/>
    </row>
    <row r="71690" spans="1:2" x14ac:dyDescent="0.25">
      <c r="A71690" s="118"/>
      <c r="B71690" s="136"/>
    </row>
    <row r="71691" spans="1:2" x14ac:dyDescent="0.25">
      <c r="A71691" s="118"/>
      <c r="B71691" s="136"/>
    </row>
    <row r="71692" spans="1:2" x14ac:dyDescent="0.25">
      <c r="A71692" s="118"/>
      <c r="B71692" s="136"/>
    </row>
    <row r="71693" spans="1:2" x14ac:dyDescent="0.25">
      <c r="A71693" s="118"/>
      <c r="B71693" s="136"/>
    </row>
    <row r="71694" spans="1:2" x14ac:dyDescent="0.25">
      <c r="A71694" s="118"/>
      <c r="B71694" s="136"/>
    </row>
    <row r="71695" spans="1:2" x14ac:dyDescent="0.25">
      <c r="A71695" s="118"/>
      <c r="B71695" s="136"/>
    </row>
    <row r="71696" spans="1:2" x14ac:dyDescent="0.25">
      <c r="A71696" s="118"/>
      <c r="B71696" s="136"/>
    </row>
    <row r="71697" spans="1:2" x14ac:dyDescent="0.25">
      <c r="A71697" s="118"/>
      <c r="B71697" s="136"/>
    </row>
    <row r="71698" spans="1:2" x14ac:dyDescent="0.25">
      <c r="A71698" s="118"/>
      <c r="B71698" s="136"/>
    </row>
    <row r="71699" spans="1:2" x14ac:dyDescent="0.25">
      <c r="A71699" s="118"/>
      <c r="B71699" s="136"/>
    </row>
    <row r="71700" spans="1:2" x14ac:dyDescent="0.25">
      <c r="A71700" s="118"/>
      <c r="B71700" s="136"/>
    </row>
    <row r="71701" spans="1:2" x14ac:dyDescent="0.25">
      <c r="A71701" s="118"/>
      <c r="B71701" s="136"/>
    </row>
    <row r="71702" spans="1:2" x14ac:dyDescent="0.25">
      <c r="A71702" s="118"/>
      <c r="B71702" s="136"/>
    </row>
    <row r="71703" spans="1:2" x14ac:dyDescent="0.25">
      <c r="A71703" s="118"/>
      <c r="B71703" s="136"/>
    </row>
    <row r="71704" spans="1:2" x14ac:dyDescent="0.25">
      <c r="A71704" s="118"/>
      <c r="B71704" s="136"/>
    </row>
    <row r="71705" spans="1:2" x14ac:dyDescent="0.25">
      <c r="A71705" s="118"/>
      <c r="B71705" s="136"/>
    </row>
    <row r="71706" spans="1:2" x14ac:dyDescent="0.25">
      <c r="A71706" s="118"/>
      <c r="B71706" s="136"/>
    </row>
    <row r="71707" spans="1:2" x14ac:dyDescent="0.25">
      <c r="A71707" s="118"/>
      <c r="B71707" s="136"/>
    </row>
    <row r="71708" spans="1:2" x14ac:dyDescent="0.25">
      <c r="A71708" s="118"/>
      <c r="B71708" s="136"/>
    </row>
    <row r="71709" spans="1:2" x14ac:dyDescent="0.25">
      <c r="A71709" s="118"/>
      <c r="B71709" s="136"/>
    </row>
    <row r="71710" spans="1:2" x14ac:dyDescent="0.25">
      <c r="A71710" s="118"/>
      <c r="B71710" s="136"/>
    </row>
    <row r="71711" spans="1:2" x14ac:dyDescent="0.25">
      <c r="A71711" s="118"/>
      <c r="B71711" s="136"/>
    </row>
    <row r="71712" spans="1:2" x14ac:dyDescent="0.25">
      <c r="A71712" s="118"/>
      <c r="B71712" s="136"/>
    </row>
    <row r="71713" spans="1:2" x14ac:dyDescent="0.25">
      <c r="A71713" s="118"/>
      <c r="B71713" s="136"/>
    </row>
    <row r="71714" spans="1:2" x14ac:dyDescent="0.25">
      <c r="A71714" s="118"/>
      <c r="B71714" s="136"/>
    </row>
    <row r="71715" spans="1:2" x14ac:dyDescent="0.25">
      <c r="A71715" s="118"/>
      <c r="B71715" s="136"/>
    </row>
    <row r="71716" spans="1:2" x14ac:dyDescent="0.25">
      <c r="A71716" s="118"/>
      <c r="B71716" s="136"/>
    </row>
    <row r="71717" spans="1:2" x14ac:dyDescent="0.25">
      <c r="A71717" s="118"/>
      <c r="B71717" s="136"/>
    </row>
    <row r="71718" spans="1:2" x14ac:dyDescent="0.25">
      <c r="A71718" s="118"/>
      <c r="B71718" s="136"/>
    </row>
    <row r="71719" spans="1:2" x14ac:dyDescent="0.25">
      <c r="A71719" s="118"/>
      <c r="B71719" s="136"/>
    </row>
    <row r="71720" spans="1:2" x14ac:dyDescent="0.25">
      <c r="A71720" s="118"/>
      <c r="B71720" s="136"/>
    </row>
    <row r="71721" spans="1:2" x14ac:dyDescent="0.25">
      <c r="A71721" s="118"/>
      <c r="B71721" s="136"/>
    </row>
    <row r="71722" spans="1:2" x14ac:dyDescent="0.25">
      <c r="A71722" s="118"/>
      <c r="B71722" s="136"/>
    </row>
    <row r="71723" spans="1:2" x14ac:dyDescent="0.25">
      <c r="A71723" s="118"/>
      <c r="B71723" s="136"/>
    </row>
    <row r="71724" spans="1:2" x14ac:dyDescent="0.25">
      <c r="A71724" s="118"/>
      <c r="B71724" s="136"/>
    </row>
    <row r="71725" spans="1:2" x14ac:dyDescent="0.25">
      <c r="A71725" s="118"/>
      <c r="B71725" s="136"/>
    </row>
    <row r="71726" spans="1:2" x14ac:dyDescent="0.25">
      <c r="A71726" s="118"/>
      <c r="B71726" s="136"/>
    </row>
    <row r="71727" spans="1:2" x14ac:dyDescent="0.25">
      <c r="A71727" s="118"/>
      <c r="B71727" s="136"/>
    </row>
    <row r="71728" spans="1:2" x14ac:dyDescent="0.25">
      <c r="A71728" s="118"/>
      <c r="B71728" s="136"/>
    </row>
    <row r="71729" spans="1:2" x14ac:dyDescent="0.25">
      <c r="A71729" s="118"/>
      <c r="B71729" s="136"/>
    </row>
    <row r="71730" spans="1:2" x14ac:dyDescent="0.25">
      <c r="A71730" s="118"/>
      <c r="B71730" s="136"/>
    </row>
    <row r="71731" spans="1:2" x14ac:dyDescent="0.25">
      <c r="A71731" s="118"/>
      <c r="B71731" s="136"/>
    </row>
    <row r="71732" spans="1:2" x14ac:dyDescent="0.25">
      <c r="A71732" s="118"/>
      <c r="B71732" s="136"/>
    </row>
    <row r="71733" spans="1:2" x14ac:dyDescent="0.25">
      <c r="A71733" s="118"/>
      <c r="B71733" s="136"/>
    </row>
    <row r="71734" spans="1:2" x14ac:dyDescent="0.25">
      <c r="A71734" s="118"/>
      <c r="B71734" s="136"/>
    </row>
    <row r="71735" spans="1:2" x14ac:dyDescent="0.25">
      <c r="A71735" s="118"/>
      <c r="B71735" s="136"/>
    </row>
    <row r="71736" spans="1:2" x14ac:dyDescent="0.25">
      <c r="A71736" s="118"/>
      <c r="B71736" s="136"/>
    </row>
    <row r="71737" spans="1:2" x14ac:dyDescent="0.25">
      <c r="A71737" s="118"/>
      <c r="B71737" s="136"/>
    </row>
    <row r="71738" spans="1:2" x14ac:dyDescent="0.25">
      <c r="A71738" s="118"/>
      <c r="B71738" s="136"/>
    </row>
    <row r="71739" spans="1:2" x14ac:dyDescent="0.25">
      <c r="A71739" s="118"/>
      <c r="B71739" s="136"/>
    </row>
    <row r="71740" spans="1:2" x14ac:dyDescent="0.25">
      <c r="A71740" s="118"/>
      <c r="B71740" s="136"/>
    </row>
    <row r="71741" spans="1:2" x14ac:dyDescent="0.25">
      <c r="A71741" s="118"/>
      <c r="B71741" s="136"/>
    </row>
    <row r="71742" spans="1:2" x14ac:dyDescent="0.25">
      <c r="A71742" s="118"/>
      <c r="B71742" s="136"/>
    </row>
    <row r="71743" spans="1:2" x14ac:dyDescent="0.25">
      <c r="A71743" s="118"/>
      <c r="B71743" s="136"/>
    </row>
    <row r="71744" spans="1:2" x14ac:dyDescent="0.25">
      <c r="A71744" s="118"/>
      <c r="B71744" s="136"/>
    </row>
    <row r="71745" spans="1:2" x14ac:dyDescent="0.25">
      <c r="A71745" s="118"/>
      <c r="B71745" s="136"/>
    </row>
    <row r="71746" spans="1:2" x14ac:dyDescent="0.25">
      <c r="A71746" s="118"/>
      <c r="B71746" s="136"/>
    </row>
    <row r="71747" spans="1:2" x14ac:dyDescent="0.25">
      <c r="A71747" s="118"/>
      <c r="B71747" s="136"/>
    </row>
    <row r="71748" spans="1:2" x14ac:dyDescent="0.25">
      <c r="A71748" s="118"/>
      <c r="B71748" s="136"/>
    </row>
    <row r="71749" spans="1:2" x14ac:dyDescent="0.25">
      <c r="A71749" s="118"/>
      <c r="B71749" s="136"/>
    </row>
    <row r="71750" spans="1:2" x14ac:dyDescent="0.25">
      <c r="A71750" s="118"/>
      <c r="B71750" s="136"/>
    </row>
    <row r="71751" spans="1:2" x14ac:dyDescent="0.25">
      <c r="A71751" s="118"/>
      <c r="B71751" s="136"/>
    </row>
    <row r="71752" spans="1:2" x14ac:dyDescent="0.25">
      <c r="A71752" s="118"/>
      <c r="B71752" s="136"/>
    </row>
    <row r="71753" spans="1:2" x14ac:dyDescent="0.25">
      <c r="A71753" s="118"/>
      <c r="B71753" s="136"/>
    </row>
    <row r="71754" spans="1:2" x14ac:dyDescent="0.25">
      <c r="A71754" s="118"/>
      <c r="B71754" s="136"/>
    </row>
    <row r="71755" spans="1:2" x14ac:dyDescent="0.25">
      <c r="A71755" s="118"/>
      <c r="B71755" s="136"/>
    </row>
    <row r="71756" spans="1:2" x14ac:dyDescent="0.25">
      <c r="A71756" s="118"/>
      <c r="B71756" s="136"/>
    </row>
    <row r="71757" spans="1:2" x14ac:dyDescent="0.25">
      <c r="A71757" s="118"/>
      <c r="B71757" s="136"/>
    </row>
    <row r="71758" spans="1:2" x14ac:dyDescent="0.25">
      <c r="A71758" s="118"/>
      <c r="B71758" s="136"/>
    </row>
    <row r="71759" spans="1:2" x14ac:dyDescent="0.25">
      <c r="A71759" s="118"/>
      <c r="B71759" s="136"/>
    </row>
    <row r="71760" spans="1:2" x14ac:dyDescent="0.25">
      <c r="A71760" s="118"/>
      <c r="B71760" s="136"/>
    </row>
    <row r="71761" spans="1:2" x14ac:dyDescent="0.25">
      <c r="A71761" s="118"/>
      <c r="B71761" s="136"/>
    </row>
    <row r="71762" spans="1:2" x14ac:dyDescent="0.25">
      <c r="A71762" s="118"/>
      <c r="B71762" s="136"/>
    </row>
    <row r="71763" spans="1:2" x14ac:dyDescent="0.25">
      <c r="A71763" s="118"/>
      <c r="B71763" s="136"/>
    </row>
    <row r="71764" spans="1:2" x14ac:dyDescent="0.25">
      <c r="A71764" s="118"/>
      <c r="B71764" s="136"/>
    </row>
    <row r="71765" spans="1:2" x14ac:dyDescent="0.25">
      <c r="A71765" s="118"/>
      <c r="B71765" s="136"/>
    </row>
    <row r="71766" spans="1:2" x14ac:dyDescent="0.25">
      <c r="A71766" s="118"/>
      <c r="B71766" s="136"/>
    </row>
    <row r="71767" spans="1:2" x14ac:dyDescent="0.25">
      <c r="A71767" s="118"/>
      <c r="B71767" s="136"/>
    </row>
    <row r="71768" spans="1:2" x14ac:dyDescent="0.25">
      <c r="A71768" s="118"/>
      <c r="B71768" s="136"/>
    </row>
    <row r="71769" spans="1:2" x14ac:dyDescent="0.25">
      <c r="A71769" s="118"/>
      <c r="B71769" s="136"/>
    </row>
    <row r="71770" spans="1:2" x14ac:dyDescent="0.25">
      <c r="A71770" s="118"/>
      <c r="B71770" s="136"/>
    </row>
    <row r="71771" spans="1:2" x14ac:dyDescent="0.25">
      <c r="A71771" s="118"/>
      <c r="B71771" s="136"/>
    </row>
    <row r="71772" spans="1:2" x14ac:dyDescent="0.25">
      <c r="A71772" s="118"/>
      <c r="B71772" s="136"/>
    </row>
    <row r="71773" spans="1:2" x14ac:dyDescent="0.25">
      <c r="A71773" s="118"/>
      <c r="B71773" s="136"/>
    </row>
    <row r="71774" spans="1:2" x14ac:dyDescent="0.25">
      <c r="A71774" s="118"/>
      <c r="B71774" s="136"/>
    </row>
    <row r="71775" spans="1:2" x14ac:dyDescent="0.25">
      <c r="A71775" s="118"/>
      <c r="B71775" s="136"/>
    </row>
    <row r="71776" spans="1:2" x14ac:dyDescent="0.25">
      <c r="A71776" s="118"/>
      <c r="B71776" s="136"/>
    </row>
    <row r="71777" spans="1:2" x14ac:dyDescent="0.25">
      <c r="A71777" s="118"/>
      <c r="B71777" s="136"/>
    </row>
    <row r="71778" spans="1:2" x14ac:dyDescent="0.25">
      <c r="A71778" s="118"/>
      <c r="B71778" s="136"/>
    </row>
    <row r="71779" spans="1:2" x14ac:dyDescent="0.25">
      <c r="A71779" s="118"/>
      <c r="B71779" s="136"/>
    </row>
    <row r="71780" spans="1:2" x14ac:dyDescent="0.25">
      <c r="A71780" s="118"/>
      <c r="B71780" s="136"/>
    </row>
    <row r="71781" spans="1:2" x14ac:dyDescent="0.25">
      <c r="A71781" s="118"/>
      <c r="B71781" s="136"/>
    </row>
    <row r="71782" spans="1:2" x14ac:dyDescent="0.25">
      <c r="A71782" s="118"/>
      <c r="B71782" s="136"/>
    </row>
    <row r="71783" spans="1:2" x14ac:dyDescent="0.25">
      <c r="A71783" s="118"/>
      <c r="B71783" s="136"/>
    </row>
    <row r="71784" spans="1:2" x14ac:dyDescent="0.25">
      <c r="A71784" s="118"/>
      <c r="B71784" s="136"/>
    </row>
    <row r="71785" spans="1:2" x14ac:dyDescent="0.25">
      <c r="A71785" s="118"/>
      <c r="B71785" s="136"/>
    </row>
    <row r="71786" spans="1:2" x14ac:dyDescent="0.25">
      <c r="A71786" s="118"/>
      <c r="B71786" s="136"/>
    </row>
    <row r="71787" spans="1:2" x14ac:dyDescent="0.25">
      <c r="A71787" s="118"/>
      <c r="B71787" s="136"/>
    </row>
    <row r="71788" spans="1:2" x14ac:dyDescent="0.25">
      <c r="A71788" s="118"/>
      <c r="B71788" s="136"/>
    </row>
    <row r="71789" spans="1:2" x14ac:dyDescent="0.25">
      <c r="A71789" s="118"/>
      <c r="B71789" s="136"/>
    </row>
    <row r="71790" spans="1:2" x14ac:dyDescent="0.25">
      <c r="A71790" s="118"/>
      <c r="B71790" s="136"/>
    </row>
    <row r="71791" spans="1:2" x14ac:dyDescent="0.25">
      <c r="A71791" s="118"/>
      <c r="B71791" s="136"/>
    </row>
    <row r="71792" spans="1:2" x14ac:dyDescent="0.25">
      <c r="A71792" s="118"/>
      <c r="B71792" s="136"/>
    </row>
    <row r="71793" spans="1:2" x14ac:dyDescent="0.25">
      <c r="A71793" s="118"/>
      <c r="B71793" s="136"/>
    </row>
    <row r="71794" spans="1:2" x14ac:dyDescent="0.25">
      <c r="A71794" s="118"/>
      <c r="B71794" s="136"/>
    </row>
    <row r="71795" spans="1:2" x14ac:dyDescent="0.25">
      <c r="A71795" s="118"/>
      <c r="B71795" s="136"/>
    </row>
    <row r="71796" spans="1:2" x14ac:dyDescent="0.25">
      <c r="A71796" s="118"/>
      <c r="B71796" s="136"/>
    </row>
    <row r="71797" spans="1:2" x14ac:dyDescent="0.25">
      <c r="A71797" s="118"/>
      <c r="B71797" s="136"/>
    </row>
    <row r="71798" spans="1:2" x14ac:dyDescent="0.25">
      <c r="A71798" s="118"/>
      <c r="B71798" s="136"/>
    </row>
    <row r="71799" spans="1:2" x14ac:dyDescent="0.25">
      <c r="A71799" s="118"/>
      <c r="B71799" s="136"/>
    </row>
    <row r="71800" spans="1:2" x14ac:dyDescent="0.25">
      <c r="A71800" s="118"/>
      <c r="B71800" s="136"/>
    </row>
    <row r="71801" spans="1:2" x14ac:dyDescent="0.25">
      <c r="A71801" s="118"/>
      <c r="B71801" s="136"/>
    </row>
    <row r="71802" spans="1:2" x14ac:dyDescent="0.25">
      <c r="A71802" s="118"/>
      <c r="B71802" s="136"/>
    </row>
    <row r="71803" spans="1:2" x14ac:dyDescent="0.25">
      <c r="A71803" s="118"/>
      <c r="B71803" s="136"/>
    </row>
    <row r="71804" spans="1:2" x14ac:dyDescent="0.25">
      <c r="A71804" s="118"/>
      <c r="B71804" s="136"/>
    </row>
    <row r="71805" spans="1:2" x14ac:dyDescent="0.25">
      <c r="A71805" s="118"/>
      <c r="B71805" s="136"/>
    </row>
    <row r="71806" spans="1:2" x14ac:dyDescent="0.25">
      <c r="A71806" s="118"/>
      <c r="B71806" s="136"/>
    </row>
    <row r="71807" spans="1:2" x14ac:dyDescent="0.25">
      <c r="A71807" s="118"/>
      <c r="B71807" s="136"/>
    </row>
    <row r="71808" spans="1:2" x14ac:dyDescent="0.25">
      <c r="A71808" s="118"/>
      <c r="B71808" s="136"/>
    </row>
    <row r="71809" spans="1:2" x14ac:dyDescent="0.25">
      <c r="A71809" s="118"/>
      <c r="B71809" s="136"/>
    </row>
    <row r="71810" spans="1:2" x14ac:dyDescent="0.25">
      <c r="A71810" s="118"/>
      <c r="B71810" s="136"/>
    </row>
    <row r="71811" spans="1:2" x14ac:dyDescent="0.25">
      <c r="A71811" s="118"/>
      <c r="B71811" s="136"/>
    </row>
    <row r="71812" spans="1:2" x14ac:dyDescent="0.25">
      <c r="A71812" s="118"/>
      <c r="B71812" s="136"/>
    </row>
    <row r="71813" spans="1:2" x14ac:dyDescent="0.25">
      <c r="A71813" s="118"/>
      <c r="B71813" s="136"/>
    </row>
    <row r="71814" spans="1:2" x14ac:dyDescent="0.25">
      <c r="A71814" s="118"/>
      <c r="B71814" s="136"/>
    </row>
    <row r="71815" spans="1:2" x14ac:dyDescent="0.25">
      <c r="A71815" s="118"/>
      <c r="B71815" s="136"/>
    </row>
    <row r="71816" spans="1:2" x14ac:dyDescent="0.25">
      <c r="A71816" s="118"/>
      <c r="B71816" s="136"/>
    </row>
    <row r="71817" spans="1:2" x14ac:dyDescent="0.25">
      <c r="A71817" s="118"/>
      <c r="B71817" s="136"/>
    </row>
    <row r="71818" spans="1:2" x14ac:dyDescent="0.25">
      <c r="A71818" s="118"/>
      <c r="B71818" s="136"/>
    </row>
    <row r="71819" spans="1:2" x14ac:dyDescent="0.25">
      <c r="A71819" s="118"/>
      <c r="B71819" s="136"/>
    </row>
    <row r="71820" spans="1:2" x14ac:dyDescent="0.25">
      <c r="A71820" s="118"/>
      <c r="B71820" s="136"/>
    </row>
    <row r="71821" spans="1:2" x14ac:dyDescent="0.25">
      <c r="A71821" s="118"/>
      <c r="B71821" s="136"/>
    </row>
    <row r="71822" spans="1:2" x14ac:dyDescent="0.25">
      <c r="A71822" s="118"/>
      <c r="B71822" s="136"/>
    </row>
    <row r="71823" spans="1:2" x14ac:dyDescent="0.25">
      <c r="A71823" s="118"/>
      <c r="B71823" s="136"/>
    </row>
    <row r="71824" spans="1:2" x14ac:dyDescent="0.25">
      <c r="A71824" s="118"/>
      <c r="B71824" s="136"/>
    </row>
    <row r="71825" spans="1:2" x14ac:dyDescent="0.25">
      <c r="A71825" s="118"/>
      <c r="B71825" s="136"/>
    </row>
    <row r="71826" spans="1:2" x14ac:dyDescent="0.25">
      <c r="A71826" s="118"/>
      <c r="B71826" s="136"/>
    </row>
    <row r="71827" spans="1:2" x14ac:dyDescent="0.25">
      <c r="A71827" s="118"/>
      <c r="B71827" s="136"/>
    </row>
    <row r="71828" spans="1:2" x14ac:dyDescent="0.25">
      <c r="A71828" s="118"/>
      <c r="B71828" s="136"/>
    </row>
    <row r="71829" spans="1:2" x14ac:dyDescent="0.25">
      <c r="A71829" s="118"/>
      <c r="B71829" s="136"/>
    </row>
    <row r="71830" spans="1:2" x14ac:dyDescent="0.25">
      <c r="A71830" s="118"/>
      <c r="B71830" s="136"/>
    </row>
    <row r="71831" spans="1:2" x14ac:dyDescent="0.25">
      <c r="A71831" s="118"/>
      <c r="B71831" s="136"/>
    </row>
    <row r="71832" spans="1:2" x14ac:dyDescent="0.25">
      <c r="A71832" s="118"/>
      <c r="B71832" s="136"/>
    </row>
    <row r="71833" spans="1:2" x14ac:dyDescent="0.25">
      <c r="A71833" s="118"/>
      <c r="B71833" s="136"/>
    </row>
    <row r="71834" spans="1:2" x14ac:dyDescent="0.25">
      <c r="A71834" s="118"/>
      <c r="B71834" s="136"/>
    </row>
    <row r="71835" spans="1:2" x14ac:dyDescent="0.25">
      <c r="A71835" s="118"/>
      <c r="B71835" s="136"/>
    </row>
    <row r="71836" spans="1:2" x14ac:dyDescent="0.25">
      <c r="A71836" s="118"/>
      <c r="B71836" s="136"/>
    </row>
    <row r="71837" spans="1:2" x14ac:dyDescent="0.25">
      <c r="A71837" s="118"/>
      <c r="B71837" s="136"/>
    </row>
    <row r="71838" spans="1:2" x14ac:dyDescent="0.25">
      <c r="A71838" s="118"/>
      <c r="B71838" s="136"/>
    </row>
    <row r="71839" spans="1:2" x14ac:dyDescent="0.25">
      <c r="A71839" s="118"/>
      <c r="B71839" s="136"/>
    </row>
    <row r="71840" spans="1:2" x14ac:dyDescent="0.25">
      <c r="A71840" s="118"/>
      <c r="B71840" s="136"/>
    </row>
    <row r="71841" spans="1:2" x14ac:dyDescent="0.25">
      <c r="A71841" s="118"/>
      <c r="B71841" s="136"/>
    </row>
    <row r="71842" spans="1:2" x14ac:dyDescent="0.25">
      <c r="A71842" s="118"/>
      <c r="B71842" s="136"/>
    </row>
    <row r="71843" spans="1:2" x14ac:dyDescent="0.25">
      <c r="A71843" s="118"/>
      <c r="B71843" s="136"/>
    </row>
    <row r="71844" spans="1:2" x14ac:dyDescent="0.25">
      <c r="A71844" s="118"/>
      <c r="B71844" s="136"/>
    </row>
    <row r="71845" spans="1:2" x14ac:dyDescent="0.25">
      <c r="A71845" s="118"/>
      <c r="B71845" s="136"/>
    </row>
    <row r="71846" spans="1:2" x14ac:dyDescent="0.25">
      <c r="A71846" s="118"/>
      <c r="B71846" s="136"/>
    </row>
    <row r="71847" spans="1:2" x14ac:dyDescent="0.25">
      <c r="A71847" s="118"/>
      <c r="B71847" s="136"/>
    </row>
    <row r="71848" spans="1:2" x14ac:dyDescent="0.25">
      <c r="A71848" s="118"/>
      <c r="B71848" s="136"/>
    </row>
    <row r="71849" spans="1:2" x14ac:dyDescent="0.25">
      <c r="A71849" s="118"/>
      <c r="B71849" s="136"/>
    </row>
    <row r="71850" spans="1:2" x14ac:dyDescent="0.25">
      <c r="A71850" s="118"/>
      <c r="B71850" s="136"/>
    </row>
    <row r="71851" spans="1:2" x14ac:dyDescent="0.25">
      <c r="A71851" s="118"/>
      <c r="B71851" s="136"/>
    </row>
    <row r="71852" spans="1:2" x14ac:dyDescent="0.25">
      <c r="A71852" s="118"/>
      <c r="B71852" s="136"/>
    </row>
    <row r="71853" spans="1:2" x14ac:dyDescent="0.25">
      <c r="A71853" s="118"/>
      <c r="B71853" s="136"/>
    </row>
    <row r="71854" spans="1:2" x14ac:dyDescent="0.25">
      <c r="A71854" s="118"/>
      <c r="B71854" s="136"/>
    </row>
    <row r="71855" spans="1:2" x14ac:dyDescent="0.25">
      <c r="A71855" s="118"/>
      <c r="B71855" s="136"/>
    </row>
    <row r="71856" spans="1:2" x14ac:dyDescent="0.25">
      <c r="A71856" s="118"/>
      <c r="B71856" s="136"/>
    </row>
    <row r="71857" spans="1:2" x14ac:dyDescent="0.25">
      <c r="A71857" s="118"/>
      <c r="B71857" s="136"/>
    </row>
    <row r="71858" spans="1:2" x14ac:dyDescent="0.25">
      <c r="A71858" s="118"/>
      <c r="B71858" s="136"/>
    </row>
    <row r="71859" spans="1:2" x14ac:dyDescent="0.25">
      <c r="A71859" s="118"/>
      <c r="B71859" s="136"/>
    </row>
    <row r="71860" spans="1:2" x14ac:dyDescent="0.25">
      <c r="A71860" s="118"/>
      <c r="B71860" s="136"/>
    </row>
    <row r="71861" spans="1:2" x14ac:dyDescent="0.25">
      <c r="A71861" s="118"/>
      <c r="B71861" s="136"/>
    </row>
    <row r="71862" spans="1:2" x14ac:dyDescent="0.25">
      <c r="A71862" s="118"/>
      <c r="B71862" s="136"/>
    </row>
    <row r="71863" spans="1:2" x14ac:dyDescent="0.25">
      <c r="A71863" s="118"/>
      <c r="B71863" s="136"/>
    </row>
    <row r="71864" spans="1:2" x14ac:dyDescent="0.25">
      <c r="A71864" s="118"/>
      <c r="B71864" s="136"/>
    </row>
    <row r="71865" spans="1:2" x14ac:dyDescent="0.25">
      <c r="A71865" s="118"/>
      <c r="B71865" s="136"/>
    </row>
    <row r="71866" spans="1:2" x14ac:dyDescent="0.25">
      <c r="A71866" s="118"/>
      <c r="B71866" s="136"/>
    </row>
    <row r="71867" spans="1:2" x14ac:dyDescent="0.25">
      <c r="A71867" s="118"/>
      <c r="B71867" s="136"/>
    </row>
    <row r="71868" spans="1:2" x14ac:dyDescent="0.25">
      <c r="A71868" s="118"/>
      <c r="B71868" s="136"/>
    </row>
    <row r="71869" spans="1:2" x14ac:dyDescent="0.25">
      <c r="A71869" s="118"/>
      <c r="B71869" s="136"/>
    </row>
    <row r="71870" spans="1:2" x14ac:dyDescent="0.25">
      <c r="A71870" s="118"/>
      <c r="B71870" s="136"/>
    </row>
    <row r="71871" spans="1:2" x14ac:dyDescent="0.25">
      <c r="A71871" s="118"/>
      <c r="B71871" s="136"/>
    </row>
    <row r="71872" spans="1:2" x14ac:dyDescent="0.25">
      <c r="A71872" s="118"/>
      <c r="B71872" s="136"/>
    </row>
    <row r="71873" spans="1:2" x14ac:dyDescent="0.25">
      <c r="A71873" s="118"/>
      <c r="B71873" s="136"/>
    </row>
    <row r="71874" spans="1:2" x14ac:dyDescent="0.25">
      <c r="A71874" s="118"/>
      <c r="B71874" s="136"/>
    </row>
    <row r="71875" spans="1:2" x14ac:dyDescent="0.25">
      <c r="A71875" s="118"/>
      <c r="B71875" s="136"/>
    </row>
    <row r="71876" spans="1:2" x14ac:dyDescent="0.25">
      <c r="A71876" s="118"/>
      <c r="B71876" s="136"/>
    </row>
    <row r="71877" spans="1:2" x14ac:dyDescent="0.25">
      <c r="A71877" s="118"/>
      <c r="B71877" s="136"/>
    </row>
    <row r="71878" spans="1:2" x14ac:dyDescent="0.25">
      <c r="A71878" s="118"/>
      <c r="B71878" s="136"/>
    </row>
    <row r="71879" spans="1:2" x14ac:dyDescent="0.25">
      <c r="A71879" s="118"/>
      <c r="B71879" s="136"/>
    </row>
    <row r="71880" spans="1:2" x14ac:dyDescent="0.25">
      <c r="A71880" s="118"/>
      <c r="B71880" s="136"/>
    </row>
    <row r="71881" spans="1:2" x14ac:dyDescent="0.25">
      <c r="A71881" s="118"/>
      <c r="B71881" s="136"/>
    </row>
    <row r="71882" spans="1:2" x14ac:dyDescent="0.25">
      <c r="A71882" s="118"/>
      <c r="B71882" s="136"/>
    </row>
    <row r="71883" spans="1:2" x14ac:dyDescent="0.25">
      <c r="A71883" s="118"/>
      <c r="B71883" s="136"/>
    </row>
    <row r="71884" spans="1:2" x14ac:dyDescent="0.25">
      <c r="A71884" s="118"/>
      <c r="B71884" s="136"/>
    </row>
    <row r="71885" spans="1:2" x14ac:dyDescent="0.25">
      <c r="A71885" s="118"/>
      <c r="B71885" s="136"/>
    </row>
    <row r="71886" spans="1:2" x14ac:dyDescent="0.25">
      <c r="A71886" s="118"/>
      <c r="B71886" s="136"/>
    </row>
    <row r="71887" spans="1:2" x14ac:dyDescent="0.25">
      <c r="A71887" s="118"/>
      <c r="B71887" s="136"/>
    </row>
    <row r="71888" spans="1:2" x14ac:dyDescent="0.25">
      <c r="A71888" s="118"/>
      <c r="B71888" s="136"/>
    </row>
    <row r="71889" spans="1:2" x14ac:dyDescent="0.25">
      <c r="A71889" s="118"/>
      <c r="B71889" s="136"/>
    </row>
    <row r="71890" spans="1:2" x14ac:dyDescent="0.25">
      <c r="A71890" s="118"/>
      <c r="B71890" s="136"/>
    </row>
    <row r="71891" spans="1:2" x14ac:dyDescent="0.25">
      <c r="A71891" s="118"/>
      <c r="B71891" s="136"/>
    </row>
    <row r="71892" spans="1:2" x14ac:dyDescent="0.25">
      <c r="A71892" s="118"/>
      <c r="B71892" s="136"/>
    </row>
    <row r="71893" spans="1:2" x14ac:dyDescent="0.25">
      <c r="A71893" s="118"/>
      <c r="B71893" s="136"/>
    </row>
    <row r="71894" spans="1:2" x14ac:dyDescent="0.25">
      <c r="A71894" s="118"/>
      <c r="B71894" s="136"/>
    </row>
    <row r="71895" spans="1:2" x14ac:dyDescent="0.25">
      <c r="A71895" s="118"/>
      <c r="B71895" s="136"/>
    </row>
    <row r="71896" spans="1:2" x14ac:dyDescent="0.25">
      <c r="A71896" s="118"/>
      <c r="B71896" s="136"/>
    </row>
    <row r="71897" spans="1:2" x14ac:dyDescent="0.25">
      <c r="A71897" s="118"/>
      <c r="B71897" s="136"/>
    </row>
    <row r="71898" spans="1:2" x14ac:dyDescent="0.25">
      <c r="A71898" s="118"/>
      <c r="B71898" s="136"/>
    </row>
    <row r="71899" spans="1:2" x14ac:dyDescent="0.25">
      <c r="A71899" s="118"/>
      <c r="B71899" s="136"/>
    </row>
    <row r="71900" spans="1:2" x14ac:dyDescent="0.25">
      <c r="A71900" s="118"/>
      <c r="B71900" s="136"/>
    </row>
    <row r="71901" spans="1:2" x14ac:dyDescent="0.25">
      <c r="A71901" s="118"/>
      <c r="B71901" s="136"/>
    </row>
    <row r="71902" spans="1:2" x14ac:dyDescent="0.25">
      <c r="A71902" s="118"/>
      <c r="B71902" s="136"/>
    </row>
    <row r="71903" spans="1:2" x14ac:dyDescent="0.25">
      <c r="A71903" s="118"/>
      <c r="B71903" s="136"/>
    </row>
    <row r="71904" spans="1:2" x14ac:dyDescent="0.25">
      <c r="A71904" s="118"/>
      <c r="B71904" s="136"/>
    </row>
    <row r="71905" spans="1:2" x14ac:dyDescent="0.25">
      <c r="A71905" s="118"/>
      <c r="B71905" s="136"/>
    </row>
    <row r="71906" spans="1:2" x14ac:dyDescent="0.25">
      <c r="A71906" s="118"/>
      <c r="B71906" s="136"/>
    </row>
    <row r="71907" spans="1:2" x14ac:dyDescent="0.25">
      <c r="A71907" s="118"/>
      <c r="B71907" s="136"/>
    </row>
    <row r="71908" spans="1:2" x14ac:dyDescent="0.25">
      <c r="A71908" s="118"/>
      <c r="B71908" s="136"/>
    </row>
    <row r="71909" spans="1:2" x14ac:dyDescent="0.25">
      <c r="A71909" s="118"/>
      <c r="B71909" s="136"/>
    </row>
    <row r="71910" spans="1:2" x14ac:dyDescent="0.25">
      <c r="A71910" s="118"/>
      <c r="B71910" s="136"/>
    </row>
    <row r="71911" spans="1:2" x14ac:dyDescent="0.25">
      <c r="A71911" s="118"/>
      <c r="B71911" s="136"/>
    </row>
    <row r="71912" spans="1:2" x14ac:dyDescent="0.25">
      <c r="A71912" s="118"/>
      <c r="B71912" s="136"/>
    </row>
    <row r="71913" spans="1:2" x14ac:dyDescent="0.25">
      <c r="A71913" s="118"/>
      <c r="B71913" s="136"/>
    </row>
    <row r="71914" spans="1:2" x14ac:dyDescent="0.25">
      <c r="A71914" s="118"/>
      <c r="B71914" s="136"/>
    </row>
    <row r="71915" spans="1:2" x14ac:dyDescent="0.25">
      <c r="A71915" s="118"/>
      <c r="B71915" s="136"/>
    </row>
    <row r="71916" spans="1:2" x14ac:dyDescent="0.25">
      <c r="A71916" s="118"/>
      <c r="B71916" s="136"/>
    </row>
    <row r="71917" spans="1:2" x14ac:dyDescent="0.25">
      <c r="A71917" s="118"/>
      <c r="B71917" s="136"/>
    </row>
    <row r="71918" spans="1:2" x14ac:dyDescent="0.25">
      <c r="A71918" s="118"/>
      <c r="B71918" s="136"/>
    </row>
    <row r="71919" spans="1:2" x14ac:dyDescent="0.25">
      <c r="A71919" s="118"/>
      <c r="B71919" s="136"/>
    </row>
    <row r="71920" spans="1:2" x14ac:dyDescent="0.25">
      <c r="A71920" s="118"/>
      <c r="B71920" s="136"/>
    </row>
    <row r="71921" spans="1:2" x14ac:dyDescent="0.25">
      <c r="A71921" s="118"/>
      <c r="B71921" s="136"/>
    </row>
    <row r="71922" spans="1:2" x14ac:dyDescent="0.25">
      <c r="A71922" s="118"/>
      <c r="B71922" s="136"/>
    </row>
    <row r="71923" spans="1:2" x14ac:dyDescent="0.25">
      <c r="A71923" s="118"/>
      <c r="B71923" s="136"/>
    </row>
    <row r="71924" spans="1:2" x14ac:dyDescent="0.25">
      <c r="A71924" s="118"/>
      <c r="B71924" s="136"/>
    </row>
    <row r="71925" spans="1:2" x14ac:dyDescent="0.25">
      <c r="A71925" s="118"/>
      <c r="B71925" s="136"/>
    </row>
    <row r="71926" spans="1:2" x14ac:dyDescent="0.25">
      <c r="A71926" s="118"/>
      <c r="B71926" s="136"/>
    </row>
    <row r="71927" spans="1:2" x14ac:dyDescent="0.25">
      <c r="A71927" s="118"/>
      <c r="B71927" s="136"/>
    </row>
    <row r="71928" spans="1:2" x14ac:dyDescent="0.25">
      <c r="A71928" s="118"/>
      <c r="B71928" s="136"/>
    </row>
    <row r="71929" spans="1:2" x14ac:dyDescent="0.25">
      <c r="A71929" s="118"/>
      <c r="B71929" s="136"/>
    </row>
    <row r="71930" spans="1:2" x14ac:dyDescent="0.25">
      <c r="A71930" s="118"/>
      <c r="B71930" s="136"/>
    </row>
    <row r="71931" spans="1:2" x14ac:dyDescent="0.25">
      <c r="A71931" s="118"/>
      <c r="B71931" s="136"/>
    </row>
    <row r="71932" spans="1:2" x14ac:dyDescent="0.25">
      <c r="A71932" s="118"/>
      <c r="B71932" s="136"/>
    </row>
    <row r="71933" spans="1:2" x14ac:dyDescent="0.25">
      <c r="A71933" s="118"/>
      <c r="B71933" s="136"/>
    </row>
    <row r="71934" spans="1:2" x14ac:dyDescent="0.25">
      <c r="A71934" s="118"/>
      <c r="B71934" s="136"/>
    </row>
    <row r="71935" spans="1:2" x14ac:dyDescent="0.25">
      <c r="A71935" s="118"/>
      <c r="B71935" s="136"/>
    </row>
    <row r="71936" spans="1:2" x14ac:dyDescent="0.25">
      <c r="A71936" s="118"/>
      <c r="B71936" s="136"/>
    </row>
    <row r="71937" spans="1:2" x14ac:dyDescent="0.25">
      <c r="A71937" s="118"/>
      <c r="B71937" s="136"/>
    </row>
    <row r="71938" spans="1:2" x14ac:dyDescent="0.25">
      <c r="A71938" s="118"/>
      <c r="B71938" s="136"/>
    </row>
    <row r="71939" spans="1:2" x14ac:dyDescent="0.25">
      <c r="A71939" s="118"/>
      <c r="B71939" s="136"/>
    </row>
    <row r="71940" spans="1:2" x14ac:dyDescent="0.25">
      <c r="A71940" s="118"/>
      <c r="B71940" s="136"/>
    </row>
    <row r="71941" spans="1:2" x14ac:dyDescent="0.25">
      <c r="A71941" s="118"/>
      <c r="B71941" s="136"/>
    </row>
    <row r="71942" spans="1:2" x14ac:dyDescent="0.25">
      <c r="A71942" s="118"/>
      <c r="B71942" s="136"/>
    </row>
    <row r="71943" spans="1:2" x14ac:dyDescent="0.25">
      <c r="A71943" s="118"/>
      <c r="B71943" s="136"/>
    </row>
    <row r="71944" spans="1:2" x14ac:dyDescent="0.25">
      <c r="A71944" s="118"/>
      <c r="B71944" s="136"/>
    </row>
    <row r="71945" spans="1:2" x14ac:dyDescent="0.25">
      <c r="A71945" s="118"/>
      <c r="B71945" s="136"/>
    </row>
    <row r="71946" spans="1:2" x14ac:dyDescent="0.25">
      <c r="A71946" s="118"/>
      <c r="B71946" s="136"/>
    </row>
    <row r="71947" spans="1:2" x14ac:dyDescent="0.25">
      <c r="A71947" s="118"/>
      <c r="B71947" s="136"/>
    </row>
    <row r="71948" spans="1:2" x14ac:dyDescent="0.25">
      <c r="A71948" s="118"/>
      <c r="B71948" s="136"/>
    </row>
    <row r="71949" spans="1:2" x14ac:dyDescent="0.25">
      <c r="A71949" s="118"/>
      <c r="B71949" s="136"/>
    </row>
    <row r="71950" spans="1:2" x14ac:dyDescent="0.25">
      <c r="A71950" s="118"/>
      <c r="B71950" s="136"/>
    </row>
    <row r="71951" spans="1:2" x14ac:dyDescent="0.25">
      <c r="A71951" s="118"/>
      <c r="B71951" s="136"/>
    </row>
    <row r="71952" spans="1:2" x14ac:dyDescent="0.25">
      <c r="A71952" s="118"/>
      <c r="B71952" s="136"/>
    </row>
    <row r="71953" spans="1:2" x14ac:dyDescent="0.25">
      <c r="A71953" s="118"/>
      <c r="B71953" s="136"/>
    </row>
    <row r="71954" spans="1:2" x14ac:dyDescent="0.25">
      <c r="A71954" s="118"/>
      <c r="B71954" s="136"/>
    </row>
    <row r="71955" spans="1:2" x14ac:dyDescent="0.25">
      <c r="A71955" s="118"/>
      <c r="B71955" s="136"/>
    </row>
    <row r="71956" spans="1:2" x14ac:dyDescent="0.25">
      <c r="A71956" s="118"/>
      <c r="B71956" s="136"/>
    </row>
    <row r="71957" spans="1:2" x14ac:dyDescent="0.25">
      <c r="A71957" s="118"/>
      <c r="B71957" s="136"/>
    </row>
    <row r="71958" spans="1:2" x14ac:dyDescent="0.25">
      <c r="A71958" s="118"/>
      <c r="B71958" s="136"/>
    </row>
    <row r="71959" spans="1:2" x14ac:dyDescent="0.25">
      <c r="A71959" s="118"/>
      <c r="B71959" s="136"/>
    </row>
    <row r="71960" spans="1:2" x14ac:dyDescent="0.25">
      <c r="A71960" s="118"/>
      <c r="B71960" s="136"/>
    </row>
    <row r="71961" spans="1:2" x14ac:dyDescent="0.25">
      <c r="A71961" s="118"/>
      <c r="B71961" s="136"/>
    </row>
    <row r="71962" spans="1:2" x14ac:dyDescent="0.25">
      <c r="A71962" s="118"/>
      <c r="B71962" s="136"/>
    </row>
    <row r="71963" spans="1:2" x14ac:dyDescent="0.25">
      <c r="A71963" s="118"/>
      <c r="B71963" s="136"/>
    </row>
    <row r="71964" spans="1:2" x14ac:dyDescent="0.25">
      <c r="A71964" s="118"/>
      <c r="B71964" s="136"/>
    </row>
    <row r="71965" spans="1:2" x14ac:dyDescent="0.25">
      <c r="A71965" s="118"/>
      <c r="B71965" s="136"/>
    </row>
    <row r="71966" spans="1:2" x14ac:dyDescent="0.25">
      <c r="A71966" s="118"/>
      <c r="B71966" s="136"/>
    </row>
    <row r="71967" spans="1:2" x14ac:dyDescent="0.25">
      <c r="A71967" s="118"/>
      <c r="B71967" s="136"/>
    </row>
    <row r="71968" spans="1:2" x14ac:dyDescent="0.25">
      <c r="A71968" s="118"/>
      <c r="B71968" s="136"/>
    </row>
    <row r="71969" spans="1:2" x14ac:dyDescent="0.25">
      <c r="A71969" s="118"/>
      <c r="B71969" s="136"/>
    </row>
    <row r="71970" spans="1:2" x14ac:dyDescent="0.25">
      <c r="A71970" s="118"/>
      <c r="B71970" s="136"/>
    </row>
    <row r="71971" spans="1:2" x14ac:dyDescent="0.25">
      <c r="A71971" s="118"/>
      <c r="B71971" s="136"/>
    </row>
    <row r="71972" spans="1:2" x14ac:dyDescent="0.25">
      <c r="A71972" s="118"/>
      <c r="B71972" s="136"/>
    </row>
    <row r="71973" spans="1:2" x14ac:dyDescent="0.25">
      <c r="A71973" s="118"/>
      <c r="B71973" s="136"/>
    </row>
    <row r="71974" spans="1:2" x14ac:dyDescent="0.25">
      <c r="A71974" s="118"/>
      <c r="B71974" s="136"/>
    </row>
    <row r="71975" spans="1:2" x14ac:dyDescent="0.25">
      <c r="A71975" s="118"/>
      <c r="B71975" s="136"/>
    </row>
    <row r="71976" spans="1:2" x14ac:dyDescent="0.25">
      <c r="A71976" s="118"/>
      <c r="B71976" s="136"/>
    </row>
    <row r="71977" spans="1:2" x14ac:dyDescent="0.25">
      <c r="A71977" s="118"/>
      <c r="B71977" s="136"/>
    </row>
    <row r="71978" spans="1:2" x14ac:dyDescent="0.25">
      <c r="A71978" s="118"/>
      <c r="B71978" s="136"/>
    </row>
    <row r="71979" spans="1:2" x14ac:dyDescent="0.25">
      <c r="A71979" s="118"/>
      <c r="B71979" s="136"/>
    </row>
    <row r="71980" spans="1:2" x14ac:dyDescent="0.25">
      <c r="A71980" s="118"/>
      <c r="B71980" s="136"/>
    </row>
    <row r="71981" spans="1:2" x14ac:dyDescent="0.25">
      <c r="A71981" s="118"/>
      <c r="B71981" s="136"/>
    </row>
    <row r="71982" spans="1:2" x14ac:dyDescent="0.25">
      <c r="A71982" s="118"/>
      <c r="B71982" s="136"/>
    </row>
    <row r="71983" spans="1:2" x14ac:dyDescent="0.25">
      <c r="A71983" s="118"/>
      <c r="B71983" s="136"/>
    </row>
    <row r="71984" spans="1:2" x14ac:dyDescent="0.25">
      <c r="A71984" s="118"/>
      <c r="B71984" s="136"/>
    </row>
    <row r="71985" spans="1:2" x14ac:dyDescent="0.25">
      <c r="A71985" s="118"/>
      <c r="B71985" s="136"/>
    </row>
    <row r="71986" spans="1:2" x14ac:dyDescent="0.25">
      <c r="A71986" s="118"/>
      <c r="B71986" s="136"/>
    </row>
    <row r="71987" spans="1:2" x14ac:dyDescent="0.25">
      <c r="A71987" s="118"/>
      <c r="B71987" s="136"/>
    </row>
    <row r="71988" spans="1:2" x14ac:dyDescent="0.25">
      <c r="A71988" s="118"/>
      <c r="B71988" s="136"/>
    </row>
    <row r="71989" spans="1:2" x14ac:dyDescent="0.25">
      <c r="A71989" s="118"/>
      <c r="B71989" s="136"/>
    </row>
    <row r="71990" spans="1:2" x14ac:dyDescent="0.25">
      <c r="A71990" s="118"/>
      <c r="B71990" s="136"/>
    </row>
    <row r="71991" spans="1:2" x14ac:dyDescent="0.25">
      <c r="A71991" s="118"/>
      <c r="B71991" s="136"/>
    </row>
    <row r="71992" spans="1:2" x14ac:dyDescent="0.25">
      <c r="A71992" s="118"/>
      <c r="B71992" s="136"/>
    </row>
    <row r="71993" spans="1:2" x14ac:dyDescent="0.25">
      <c r="A71993" s="118"/>
      <c r="B71993" s="136"/>
    </row>
    <row r="71994" spans="1:2" x14ac:dyDescent="0.25">
      <c r="A71994" s="118"/>
      <c r="B71994" s="136"/>
    </row>
    <row r="71995" spans="1:2" x14ac:dyDescent="0.25">
      <c r="A71995" s="118"/>
      <c r="B71995" s="136"/>
    </row>
    <row r="71996" spans="1:2" x14ac:dyDescent="0.25">
      <c r="A71996" s="118"/>
      <c r="B71996" s="136"/>
    </row>
    <row r="71997" spans="1:2" x14ac:dyDescent="0.25">
      <c r="A71997" s="118"/>
      <c r="B71997" s="136"/>
    </row>
    <row r="71998" spans="1:2" x14ac:dyDescent="0.25">
      <c r="A71998" s="118"/>
      <c r="B71998" s="136"/>
    </row>
    <row r="71999" spans="1:2" x14ac:dyDescent="0.25">
      <c r="A71999" s="118"/>
      <c r="B71999" s="136"/>
    </row>
    <row r="72000" spans="1:2" x14ac:dyDescent="0.25">
      <c r="A72000" s="118"/>
      <c r="B72000" s="136"/>
    </row>
    <row r="72001" spans="1:2" x14ac:dyDescent="0.25">
      <c r="A72001" s="118"/>
      <c r="B72001" s="136"/>
    </row>
    <row r="72002" spans="1:2" x14ac:dyDescent="0.25">
      <c r="A72002" s="118"/>
      <c r="B72002" s="136"/>
    </row>
    <row r="72003" spans="1:2" x14ac:dyDescent="0.25">
      <c r="A72003" s="118"/>
      <c r="B72003" s="136"/>
    </row>
    <row r="72004" spans="1:2" x14ac:dyDescent="0.25">
      <c r="A72004" s="118"/>
      <c r="B72004" s="136"/>
    </row>
    <row r="72005" spans="1:2" x14ac:dyDescent="0.25">
      <c r="A72005" s="118"/>
      <c r="B72005" s="136"/>
    </row>
    <row r="72006" spans="1:2" x14ac:dyDescent="0.25">
      <c r="A72006" s="118"/>
      <c r="B72006" s="136"/>
    </row>
    <row r="72007" spans="1:2" x14ac:dyDescent="0.25">
      <c r="A72007" s="118"/>
      <c r="B72007" s="136"/>
    </row>
    <row r="72008" spans="1:2" x14ac:dyDescent="0.25">
      <c r="A72008" s="118"/>
      <c r="B72008" s="136"/>
    </row>
    <row r="72009" spans="1:2" x14ac:dyDescent="0.25">
      <c r="A72009" s="118"/>
      <c r="B72009" s="136"/>
    </row>
    <row r="72010" spans="1:2" x14ac:dyDescent="0.25">
      <c r="A72010" s="118"/>
      <c r="B72010" s="136"/>
    </row>
    <row r="72011" spans="1:2" x14ac:dyDescent="0.25">
      <c r="A72011" s="118"/>
      <c r="B72011" s="136"/>
    </row>
    <row r="72012" spans="1:2" x14ac:dyDescent="0.25">
      <c r="A72012" s="118"/>
      <c r="B72012" s="136"/>
    </row>
    <row r="72013" spans="1:2" x14ac:dyDescent="0.25">
      <c r="A72013" s="118"/>
      <c r="B72013" s="136"/>
    </row>
    <row r="72014" spans="1:2" x14ac:dyDescent="0.25">
      <c r="A72014" s="118"/>
      <c r="B72014" s="136"/>
    </row>
    <row r="72015" spans="1:2" x14ac:dyDescent="0.25">
      <c r="A72015" s="118"/>
      <c r="B72015" s="136"/>
    </row>
    <row r="72016" spans="1:2" x14ac:dyDescent="0.25">
      <c r="A72016" s="118"/>
      <c r="B72016" s="136"/>
    </row>
    <row r="72017" spans="1:2" x14ac:dyDescent="0.25">
      <c r="A72017" s="118"/>
      <c r="B72017" s="136"/>
    </row>
    <row r="72018" spans="1:2" x14ac:dyDescent="0.25">
      <c r="A72018" s="118"/>
      <c r="B72018" s="136"/>
    </row>
    <row r="72019" spans="1:2" x14ac:dyDescent="0.25">
      <c r="A72019" s="118"/>
      <c r="B72019" s="136"/>
    </row>
    <row r="72020" spans="1:2" x14ac:dyDescent="0.25">
      <c r="A72020" s="118"/>
      <c r="B72020" s="136"/>
    </row>
    <row r="72021" spans="1:2" x14ac:dyDescent="0.25">
      <c r="A72021" s="118"/>
      <c r="B72021" s="136"/>
    </row>
    <row r="72022" spans="1:2" x14ac:dyDescent="0.25">
      <c r="A72022" s="118"/>
      <c r="B72022" s="136"/>
    </row>
    <row r="72023" spans="1:2" x14ac:dyDescent="0.25">
      <c r="A72023" s="118"/>
      <c r="B72023" s="136"/>
    </row>
    <row r="72024" spans="1:2" x14ac:dyDescent="0.25">
      <c r="A72024" s="118"/>
      <c r="B72024" s="136"/>
    </row>
    <row r="72025" spans="1:2" x14ac:dyDescent="0.25">
      <c r="A72025" s="118"/>
      <c r="B72025" s="136"/>
    </row>
    <row r="72026" spans="1:2" x14ac:dyDescent="0.25">
      <c r="A72026" s="118"/>
      <c r="B72026" s="136"/>
    </row>
    <row r="72027" spans="1:2" x14ac:dyDescent="0.25">
      <c r="A72027" s="118"/>
      <c r="B72027" s="136"/>
    </row>
    <row r="72028" spans="1:2" x14ac:dyDescent="0.25">
      <c r="A72028" s="118"/>
      <c r="B72028" s="136"/>
    </row>
    <row r="72029" spans="1:2" x14ac:dyDescent="0.25">
      <c r="A72029" s="118"/>
      <c r="B72029" s="136"/>
    </row>
    <row r="72030" spans="1:2" x14ac:dyDescent="0.25">
      <c r="A72030" s="118"/>
      <c r="B72030" s="136"/>
    </row>
    <row r="72031" spans="1:2" x14ac:dyDescent="0.25">
      <c r="A72031" s="118"/>
      <c r="B72031" s="136"/>
    </row>
    <row r="72032" spans="1:2" x14ac:dyDescent="0.25">
      <c r="A72032" s="118"/>
      <c r="B72032" s="136"/>
    </row>
    <row r="72033" spans="1:2" x14ac:dyDescent="0.25">
      <c r="A72033" s="118"/>
      <c r="B72033" s="136"/>
    </row>
    <row r="72034" spans="1:2" x14ac:dyDescent="0.25">
      <c r="A72034" s="118"/>
      <c r="B72034" s="136"/>
    </row>
    <row r="72035" spans="1:2" x14ac:dyDescent="0.25">
      <c r="A72035" s="118"/>
      <c r="B72035" s="136"/>
    </row>
    <row r="72036" spans="1:2" x14ac:dyDescent="0.25">
      <c r="A72036" s="118"/>
      <c r="B72036" s="136"/>
    </row>
    <row r="72037" spans="1:2" x14ac:dyDescent="0.25">
      <c r="A72037" s="118"/>
      <c r="B72037" s="136"/>
    </row>
    <row r="72038" spans="1:2" x14ac:dyDescent="0.25">
      <c r="A72038" s="118"/>
      <c r="B72038" s="136"/>
    </row>
    <row r="72039" spans="1:2" x14ac:dyDescent="0.25">
      <c r="A72039" s="118"/>
      <c r="B72039" s="136"/>
    </row>
    <row r="72040" spans="1:2" x14ac:dyDescent="0.25">
      <c r="A72040" s="118"/>
      <c r="B72040" s="136"/>
    </row>
    <row r="72041" spans="1:2" x14ac:dyDescent="0.25">
      <c r="A72041" s="118"/>
      <c r="B72041" s="136"/>
    </row>
    <row r="72042" spans="1:2" x14ac:dyDescent="0.25">
      <c r="A72042" s="118"/>
      <c r="B72042" s="136"/>
    </row>
    <row r="72043" spans="1:2" x14ac:dyDescent="0.25">
      <c r="A72043" s="118"/>
      <c r="B72043" s="136"/>
    </row>
    <row r="72044" spans="1:2" x14ac:dyDescent="0.25">
      <c r="A72044" s="118"/>
      <c r="B72044" s="136"/>
    </row>
    <row r="72045" spans="1:2" x14ac:dyDescent="0.25">
      <c r="A72045" s="118"/>
      <c r="B72045" s="136"/>
    </row>
    <row r="72046" spans="1:2" x14ac:dyDescent="0.25">
      <c r="A72046" s="118"/>
      <c r="B72046" s="136"/>
    </row>
    <row r="72047" spans="1:2" x14ac:dyDescent="0.25">
      <c r="A72047" s="118"/>
      <c r="B72047" s="136"/>
    </row>
    <row r="72048" spans="1:2" x14ac:dyDescent="0.25">
      <c r="A72048" s="118"/>
      <c r="B72048" s="136"/>
    </row>
    <row r="72049" spans="1:2" x14ac:dyDescent="0.25">
      <c r="A72049" s="118"/>
      <c r="B72049" s="136"/>
    </row>
    <row r="72050" spans="1:2" x14ac:dyDescent="0.25">
      <c r="A72050" s="118"/>
      <c r="B72050" s="136"/>
    </row>
    <row r="72051" spans="1:2" x14ac:dyDescent="0.25">
      <c r="A72051" s="118"/>
      <c r="B72051" s="136"/>
    </row>
    <row r="72052" spans="1:2" x14ac:dyDescent="0.25">
      <c r="A72052" s="118"/>
      <c r="B72052" s="136"/>
    </row>
    <row r="72053" spans="1:2" x14ac:dyDescent="0.25">
      <c r="A72053" s="118"/>
      <c r="B72053" s="136"/>
    </row>
    <row r="72054" spans="1:2" x14ac:dyDescent="0.25">
      <c r="A72054" s="118"/>
      <c r="B72054" s="136"/>
    </row>
    <row r="72055" spans="1:2" x14ac:dyDescent="0.25">
      <c r="A72055" s="118"/>
      <c r="B72055" s="136"/>
    </row>
    <row r="72056" spans="1:2" x14ac:dyDescent="0.25">
      <c r="A72056" s="118"/>
      <c r="B72056" s="136"/>
    </row>
    <row r="72057" spans="1:2" x14ac:dyDescent="0.25">
      <c r="A72057" s="118"/>
      <c r="B72057" s="136"/>
    </row>
    <row r="72058" spans="1:2" x14ac:dyDescent="0.25">
      <c r="A72058" s="118"/>
      <c r="B72058" s="136"/>
    </row>
    <row r="72059" spans="1:2" x14ac:dyDescent="0.25">
      <c r="A72059" s="118"/>
      <c r="B72059" s="136"/>
    </row>
    <row r="72060" spans="1:2" x14ac:dyDescent="0.25">
      <c r="A72060" s="118"/>
      <c r="B72060" s="136"/>
    </row>
    <row r="72061" spans="1:2" x14ac:dyDescent="0.25">
      <c r="A72061" s="118"/>
      <c r="B72061" s="136"/>
    </row>
    <row r="72062" spans="1:2" x14ac:dyDescent="0.25">
      <c r="A72062" s="118"/>
      <c r="B72062" s="136"/>
    </row>
    <row r="72063" spans="1:2" x14ac:dyDescent="0.25">
      <c r="A72063" s="118"/>
      <c r="B72063" s="136"/>
    </row>
    <row r="72064" spans="1:2" x14ac:dyDescent="0.25">
      <c r="A72064" s="118"/>
      <c r="B72064" s="136"/>
    </row>
    <row r="72065" spans="1:2" x14ac:dyDescent="0.25">
      <c r="A72065" s="118"/>
      <c r="B72065" s="136"/>
    </row>
    <row r="72066" spans="1:2" x14ac:dyDescent="0.25">
      <c r="A72066" s="118"/>
      <c r="B72066" s="136"/>
    </row>
    <row r="72067" spans="1:2" x14ac:dyDescent="0.25">
      <c r="A72067" s="118"/>
      <c r="B72067" s="136"/>
    </row>
    <row r="72068" spans="1:2" x14ac:dyDescent="0.25">
      <c r="A72068" s="118"/>
      <c r="B72068" s="136"/>
    </row>
    <row r="72069" spans="1:2" x14ac:dyDescent="0.25">
      <c r="A72069" s="118"/>
      <c r="B72069" s="136"/>
    </row>
    <row r="72070" spans="1:2" x14ac:dyDescent="0.25">
      <c r="A72070" s="118"/>
      <c r="B72070" s="136"/>
    </row>
    <row r="72071" spans="1:2" x14ac:dyDescent="0.25">
      <c r="A72071" s="118"/>
      <c r="B72071" s="136"/>
    </row>
    <row r="72072" spans="1:2" x14ac:dyDescent="0.25">
      <c r="A72072" s="118"/>
      <c r="B72072" s="136"/>
    </row>
    <row r="72073" spans="1:2" x14ac:dyDescent="0.25">
      <c r="A72073" s="118"/>
      <c r="B72073" s="136"/>
    </row>
    <row r="72074" spans="1:2" x14ac:dyDescent="0.25">
      <c r="A72074" s="118"/>
      <c r="B72074" s="136"/>
    </row>
    <row r="72075" spans="1:2" x14ac:dyDescent="0.25">
      <c r="A72075" s="118"/>
      <c r="B72075" s="136"/>
    </row>
    <row r="72076" spans="1:2" x14ac:dyDescent="0.25">
      <c r="A72076" s="118"/>
      <c r="B72076" s="136"/>
    </row>
    <row r="72077" spans="1:2" x14ac:dyDescent="0.25">
      <c r="A72077" s="118"/>
      <c r="B72077" s="136"/>
    </row>
    <row r="72078" spans="1:2" x14ac:dyDescent="0.25">
      <c r="A72078" s="118"/>
      <c r="B72078" s="136"/>
    </row>
    <row r="72079" spans="1:2" x14ac:dyDescent="0.25">
      <c r="A72079" s="118"/>
      <c r="B72079" s="136"/>
    </row>
    <row r="72080" spans="1:2" x14ac:dyDescent="0.25">
      <c r="A72080" s="118"/>
      <c r="B72080" s="136"/>
    </row>
    <row r="72081" spans="1:2" x14ac:dyDescent="0.25">
      <c r="A72081" s="118"/>
      <c r="B72081" s="136"/>
    </row>
    <row r="72082" spans="1:2" x14ac:dyDescent="0.25">
      <c r="A72082" s="118"/>
      <c r="B72082" s="136"/>
    </row>
    <row r="72083" spans="1:2" x14ac:dyDescent="0.25">
      <c r="A72083" s="118"/>
      <c r="B72083" s="136"/>
    </row>
    <row r="72084" spans="1:2" x14ac:dyDescent="0.25">
      <c r="A72084" s="118"/>
      <c r="B72084" s="136"/>
    </row>
    <row r="72085" spans="1:2" x14ac:dyDescent="0.25">
      <c r="A72085" s="118"/>
      <c r="B72085" s="136"/>
    </row>
    <row r="72086" spans="1:2" x14ac:dyDescent="0.25">
      <c r="A72086" s="118"/>
      <c r="B72086" s="136"/>
    </row>
    <row r="72087" spans="1:2" x14ac:dyDescent="0.25">
      <c r="A72087" s="118"/>
      <c r="B72087" s="136"/>
    </row>
    <row r="72088" spans="1:2" x14ac:dyDescent="0.25">
      <c r="A72088" s="118"/>
      <c r="B72088" s="136"/>
    </row>
    <row r="72089" spans="1:2" x14ac:dyDescent="0.25">
      <c r="A72089" s="118"/>
      <c r="B72089" s="136"/>
    </row>
    <row r="72090" spans="1:2" x14ac:dyDescent="0.25">
      <c r="A72090" s="118"/>
      <c r="B72090" s="136"/>
    </row>
    <row r="72091" spans="1:2" x14ac:dyDescent="0.25">
      <c r="A72091" s="118"/>
      <c r="B72091" s="136"/>
    </row>
    <row r="72092" spans="1:2" x14ac:dyDescent="0.25">
      <c r="A72092" s="118"/>
      <c r="B72092" s="136"/>
    </row>
    <row r="72093" spans="1:2" x14ac:dyDescent="0.25">
      <c r="A72093" s="118"/>
      <c r="B72093" s="136"/>
    </row>
    <row r="72094" spans="1:2" x14ac:dyDescent="0.25">
      <c r="A72094" s="118"/>
      <c r="B72094" s="136"/>
    </row>
    <row r="72095" spans="1:2" x14ac:dyDescent="0.25">
      <c r="A72095" s="118"/>
      <c r="B72095" s="136"/>
    </row>
    <row r="72096" spans="1:2" x14ac:dyDescent="0.25">
      <c r="A72096" s="118"/>
      <c r="B72096" s="136"/>
    </row>
    <row r="72097" spans="1:2" x14ac:dyDescent="0.25">
      <c r="A72097" s="118"/>
      <c r="B72097" s="136"/>
    </row>
    <row r="72098" spans="1:2" x14ac:dyDescent="0.25">
      <c r="A72098" s="118"/>
      <c r="B72098" s="136"/>
    </row>
    <row r="72099" spans="1:2" x14ac:dyDescent="0.25">
      <c r="A72099" s="118"/>
      <c r="B72099" s="136"/>
    </row>
    <row r="72100" spans="1:2" x14ac:dyDescent="0.25">
      <c r="A72100" s="118"/>
      <c r="B72100" s="136"/>
    </row>
    <row r="72101" spans="1:2" x14ac:dyDescent="0.25">
      <c r="A72101" s="118"/>
      <c r="B72101" s="136"/>
    </row>
    <row r="72102" spans="1:2" x14ac:dyDescent="0.25">
      <c r="A72102" s="118"/>
      <c r="B72102" s="136"/>
    </row>
    <row r="72103" spans="1:2" x14ac:dyDescent="0.25">
      <c r="A72103" s="118"/>
      <c r="B72103" s="136"/>
    </row>
    <row r="72104" spans="1:2" x14ac:dyDescent="0.25">
      <c r="A72104" s="118"/>
      <c r="B72104" s="136"/>
    </row>
    <row r="72105" spans="1:2" x14ac:dyDescent="0.25">
      <c r="A72105" s="118"/>
      <c r="B72105" s="136"/>
    </row>
    <row r="72106" spans="1:2" x14ac:dyDescent="0.25">
      <c r="A72106" s="118"/>
      <c r="B72106" s="136"/>
    </row>
    <row r="72107" spans="1:2" x14ac:dyDescent="0.25">
      <c r="A72107" s="118"/>
      <c r="B72107" s="136"/>
    </row>
    <row r="72108" spans="1:2" x14ac:dyDescent="0.25">
      <c r="A72108" s="118"/>
      <c r="B72108" s="136"/>
    </row>
    <row r="72109" spans="1:2" x14ac:dyDescent="0.25">
      <c r="A72109" s="118"/>
      <c r="B72109" s="136"/>
    </row>
    <row r="72110" spans="1:2" x14ac:dyDescent="0.25">
      <c r="A72110" s="118"/>
      <c r="B72110" s="136"/>
    </row>
    <row r="72111" spans="1:2" x14ac:dyDescent="0.25">
      <c r="A72111" s="118"/>
      <c r="B72111" s="136"/>
    </row>
    <row r="72112" spans="1:2" x14ac:dyDescent="0.25">
      <c r="A72112" s="118"/>
      <c r="B72112" s="136"/>
    </row>
    <row r="72113" spans="1:2" x14ac:dyDescent="0.25">
      <c r="A72113" s="118"/>
      <c r="B72113" s="136"/>
    </row>
    <row r="72114" spans="1:2" x14ac:dyDescent="0.25">
      <c r="A72114" s="118"/>
      <c r="B72114" s="136"/>
    </row>
    <row r="72115" spans="1:2" x14ac:dyDescent="0.25">
      <c r="A72115" s="118"/>
      <c r="B72115" s="136"/>
    </row>
    <row r="72116" spans="1:2" x14ac:dyDescent="0.25">
      <c r="A72116" s="118"/>
      <c r="B72116" s="136"/>
    </row>
    <row r="72117" spans="1:2" x14ac:dyDescent="0.25">
      <c r="A72117" s="118"/>
      <c r="B72117" s="136"/>
    </row>
    <row r="72118" spans="1:2" x14ac:dyDescent="0.25">
      <c r="A72118" s="118"/>
      <c r="B72118" s="136"/>
    </row>
    <row r="72119" spans="1:2" x14ac:dyDescent="0.25">
      <c r="A72119" s="118"/>
      <c r="B72119" s="136"/>
    </row>
    <row r="72120" spans="1:2" x14ac:dyDescent="0.25">
      <c r="A72120" s="118"/>
      <c r="B72120" s="136"/>
    </row>
    <row r="72121" spans="1:2" x14ac:dyDescent="0.25">
      <c r="A72121" s="118"/>
      <c r="B72121" s="136"/>
    </row>
    <row r="72122" spans="1:2" x14ac:dyDescent="0.25">
      <c r="A72122" s="118"/>
      <c r="B72122" s="136"/>
    </row>
    <row r="72123" spans="1:2" x14ac:dyDescent="0.25">
      <c r="A72123" s="118"/>
      <c r="B72123" s="136"/>
    </row>
    <row r="72124" spans="1:2" x14ac:dyDescent="0.25">
      <c r="A72124" s="118"/>
      <c r="B72124" s="136"/>
    </row>
    <row r="72125" spans="1:2" x14ac:dyDescent="0.25">
      <c r="A72125" s="118"/>
      <c r="B72125" s="136"/>
    </row>
    <row r="72126" spans="1:2" x14ac:dyDescent="0.25">
      <c r="A72126" s="118"/>
      <c r="B72126" s="136"/>
    </row>
    <row r="72127" spans="1:2" x14ac:dyDescent="0.25">
      <c r="A72127" s="118"/>
      <c r="B72127" s="136"/>
    </row>
    <row r="72128" spans="1:2" x14ac:dyDescent="0.25">
      <c r="A72128" s="118"/>
      <c r="B72128" s="136"/>
    </row>
    <row r="72129" spans="1:2" x14ac:dyDescent="0.25">
      <c r="A72129" s="118"/>
      <c r="B72129" s="136"/>
    </row>
    <row r="72130" spans="1:2" x14ac:dyDescent="0.25">
      <c r="A72130" s="118"/>
      <c r="B72130" s="136"/>
    </row>
    <row r="72131" spans="1:2" x14ac:dyDescent="0.25">
      <c r="A72131" s="118"/>
      <c r="B72131" s="136"/>
    </row>
    <row r="72132" spans="1:2" x14ac:dyDescent="0.25">
      <c r="A72132" s="118"/>
      <c r="B72132" s="136"/>
    </row>
    <row r="72133" spans="1:2" x14ac:dyDescent="0.25">
      <c r="A72133" s="118"/>
      <c r="B72133" s="136"/>
    </row>
    <row r="72134" spans="1:2" x14ac:dyDescent="0.25">
      <c r="A72134" s="118"/>
      <c r="B72134" s="136"/>
    </row>
    <row r="72135" spans="1:2" x14ac:dyDescent="0.25">
      <c r="A72135" s="118"/>
      <c r="B72135" s="136"/>
    </row>
    <row r="72136" spans="1:2" x14ac:dyDescent="0.25">
      <c r="A72136" s="118"/>
      <c r="B72136" s="136"/>
    </row>
    <row r="72137" spans="1:2" x14ac:dyDescent="0.25">
      <c r="A72137" s="118"/>
      <c r="B72137" s="136"/>
    </row>
    <row r="72138" spans="1:2" x14ac:dyDescent="0.25">
      <c r="A72138" s="118"/>
      <c r="B72138" s="136"/>
    </row>
    <row r="72139" spans="1:2" x14ac:dyDescent="0.25">
      <c r="A72139" s="118"/>
      <c r="B72139" s="136"/>
    </row>
    <row r="72140" spans="1:2" x14ac:dyDescent="0.25">
      <c r="A72140" s="118"/>
      <c r="B72140" s="136"/>
    </row>
    <row r="72141" spans="1:2" x14ac:dyDescent="0.25">
      <c r="A72141" s="118"/>
      <c r="B72141" s="136"/>
    </row>
    <row r="72142" spans="1:2" x14ac:dyDescent="0.25">
      <c r="A72142" s="118"/>
      <c r="B72142" s="136"/>
    </row>
    <row r="72143" spans="1:2" x14ac:dyDescent="0.25">
      <c r="A72143" s="118"/>
      <c r="B72143" s="136"/>
    </row>
    <row r="72144" spans="1:2" x14ac:dyDescent="0.25">
      <c r="A72144" s="118"/>
      <c r="B72144" s="136"/>
    </row>
    <row r="72145" spans="1:2" x14ac:dyDescent="0.25">
      <c r="A72145" s="118"/>
      <c r="B72145" s="136"/>
    </row>
    <row r="72146" spans="1:2" x14ac:dyDescent="0.25">
      <c r="A72146" s="118"/>
      <c r="B72146" s="136"/>
    </row>
    <row r="72147" spans="1:2" x14ac:dyDescent="0.25">
      <c r="A72147" s="118"/>
      <c r="B72147" s="136"/>
    </row>
    <row r="72148" spans="1:2" x14ac:dyDescent="0.25">
      <c r="A72148" s="118"/>
      <c r="B72148" s="136"/>
    </row>
    <row r="72149" spans="1:2" x14ac:dyDescent="0.25">
      <c r="A72149" s="118"/>
      <c r="B72149" s="136"/>
    </row>
    <row r="72150" spans="1:2" x14ac:dyDescent="0.25">
      <c r="A72150" s="118"/>
      <c r="B72150" s="136"/>
    </row>
    <row r="72151" spans="1:2" x14ac:dyDescent="0.25">
      <c r="A72151" s="118"/>
      <c r="B72151" s="136"/>
    </row>
    <row r="72152" spans="1:2" x14ac:dyDescent="0.25">
      <c r="A72152" s="118"/>
      <c r="B72152" s="136"/>
    </row>
    <row r="72153" spans="1:2" x14ac:dyDescent="0.25">
      <c r="A72153" s="118"/>
      <c r="B72153" s="136"/>
    </row>
    <row r="72154" spans="1:2" x14ac:dyDescent="0.25">
      <c r="A72154" s="118"/>
      <c r="B72154" s="136"/>
    </row>
    <row r="72155" spans="1:2" x14ac:dyDescent="0.25">
      <c r="A72155" s="118"/>
      <c r="B72155" s="136"/>
    </row>
    <row r="72156" spans="1:2" x14ac:dyDescent="0.25">
      <c r="A72156" s="118"/>
      <c r="B72156" s="136"/>
    </row>
    <row r="72157" spans="1:2" x14ac:dyDescent="0.25">
      <c r="A72157" s="118"/>
      <c r="B72157" s="136"/>
    </row>
    <row r="72158" spans="1:2" x14ac:dyDescent="0.25">
      <c r="A72158" s="118"/>
      <c r="B72158" s="136"/>
    </row>
    <row r="72159" spans="1:2" x14ac:dyDescent="0.25">
      <c r="A72159" s="118"/>
      <c r="B72159" s="136"/>
    </row>
    <row r="72160" spans="1:2" x14ac:dyDescent="0.25">
      <c r="A72160" s="118"/>
      <c r="B72160" s="136"/>
    </row>
    <row r="72161" spans="1:2" x14ac:dyDescent="0.25">
      <c r="A72161" s="118"/>
      <c r="B72161" s="136"/>
    </row>
    <row r="72162" spans="1:2" x14ac:dyDescent="0.25">
      <c r="A72162" s="118"/>
      <c r="B72162" s="136"/>
    </row>
    <row r="72163" spans="1:2" x14ac:dyDescent="0.25">
      <c r="A72163" s="118"/>
      <c r="B72163" s="136"/>
    </row>
    <row r="72164" spans="1:2" x14ac:dyDescent="0.25">
      <c r="A72164" s="118"/>
      <c r="B72164" s="136"/>
    </row>
    <row r="72165" spans="1:2" x14ac:dyDescent="0.25">
      <c r="A72165" s="118"/>
      <c r="B72165" s="136"/>
    </row>
    <row r="72166" spans="1:2" x14ac:dyDescent="0.25">
      <c r="A72166" s="118"/>
      <c r="B72166" s="136"/>
    </row>
    <row r="72167" spans="1:2" x14ac:dyDescent="0.25">
      <c r="A72167" s="118"/>
      <c r="B72167" s="136"/>
    </row>
    <row r="72168" spans="1:2" x14ac:dyDescent="0.25">
      <c r="A72168" s="118"/>
      <c r="B72168" s="136"/>
    </row>
    <row r="72169" spans="1:2" x14ac:dyDescent="0.25">
      <c r="A72169" s="118"/>
      <c r="B72169" s="136"/>
    </row>
    <row r="72170" spans="1:2" x14ac:dyDescent="0.25">
      <c r="A72170" s="118"/>
      <c r="B72170" s="136"/>
    </row>
    <row r="72171" spans="1:2" x14ac:dyDescent="0.25">
      <c r="A72171" s="118"/>
      <c r="B72171" s="136"/>
    </row>
    <row r="72172" spans="1:2" x14ac:dyDescent="0.25">
      <c r="A72172" s="118"/>
      <c r="B72172" s="136"/>
    </row>
    <row r="72173" spans="1:2" x14ac:dyDescent="0.25">
      <c r="A72173" s="118"/>
      <c r="B72173" s="136"/>
    </row>
    <row r="72174" spans="1:2" x14ac:dyDescent="0.25">
      <c r="A72174" s="118"/>
      <c r="B72174" s="136"/>
    </row>
    <row r="72175" spans="1:2" x14ac:dyDescent="0.25">
      <c r="A72175" s="118"/>
      <c r="B72175" s="136"/>
    </row>
    <row r="72176" spans="1:2" x14ac:dyDescent="0.25">
      <c r="A72176" s="118"/>
      <c r="B72176" s="136"/>
    </row>
    <row r="72177" spans="1:2" x14ac:dyDescent="0.25">
      <c r="A72177" s="118"/>
      <c r="B72177" s="136"/>
    </row>
    <row r="72178" spans="1:2" x14ac:dyDescent="0.25">
      <c r="A72178" s="118"/>
      <c r="B72178" s="136"/>
    </row>
    <row r="72179" spans="1:2" x14ac:dyDescent="0.25">
      <c r="A72179" s="118"/>
      <c r="B72179" s="136"/>
    </row>
    <row r="72180" spans="1:2" x14ac:dyDescent="0.25">
      <c r="A72180" s="118"/>
      <c r="B72180" s="136"/>
    </row>
    <row r="72181" spans="1:2" x14ac:dyDescent="0.25">
      <c r="A72181" s="118"/>
      <c r="B72181" s="136"/>
    </row>
    <row r="72182" spans="1:2" x14ac:dyDescent="0.25">
      <c r="A72182" s="118"/>
      <c r="B72182" s="136"/>
    </row>
    <row r="72183" spans="1:2" x14ac:dyDescent="0.25">
      <c r="A72183" s="118"/>
      <c r="B72183" s="136"/>
    </row>
    <row r="72184" spans="1:2" x14ac:dyDescent="0.25">
      <c r="A72184" s="118"/>
      <c r="B72184" s="136"/>
    </row>
    <row r="72185" spans="1:2" x14ac:dyDescent="0.25">
      <c r="A72185" s="118"/>
      <c r="B72185" s="136"/>
    </row>
    <row r="72186" spans="1:2" x14ac:dyDescent="0.25">
      <c r="A72186" s="118"/>
      <c r="B72186" s="136"/>
    </row>
    <row r="72187" spans="1:2" x14ac:dyDescent="0.25">
      <c r="A72187" s="118"/>
      <c r="B72187" s="136"/>
    </row>
    <row r="72188" spans="1:2" x14ac:dyDescent="0.25">
      <c r="A72188" s="118"/>
      <c r="B72188" s="136"/>
    </row>
    <row r="72189" spans="1:2" x14ac:dyDescent="0.25">
      <c r="A72189" s="118"/>
      <c r="B72189" s="136"/>
    </row>
    <row r="72190" spans="1:2" x14ac:dyDescent="0.25">
      <c r="A72190" s="118"/>
      <c r="B72190" s="136"/>
    </row>
    <row r="72191" spans="1:2" x14ac:dyDescent="0.25">
      <c r="A72191" s="118"/>
      <c r="B72191" s="136"/>
    </row>
    <row r="72192" spans="1:2" x14ac:dyDescent="0.25">
      <c r="A72192" s="118"/>
      <c r="B72192" s="136"/>
    </row>
    <row r="72193" spans="1:2" x14ac:dyDescent="0.25">
      <c r="A72193" s="118"/>
      <c r="B72193" s="136"/>
    </row>
    <row r="72194" spans="1:2" x14ac:dyDescent="0.25">
      <c r="A72194" s="118"/>
      <c r="B72194" s="136"/>
    </row>
    <row r="72195" spans="1:2" x14ac:dyDescent="0.25">
      <c r="A72195" s="118"/>
      <c r="B72195" s="136"/>
    </row>
    <row r="72196" spans="1:2" x14ac:dyDescent="0.25">
      <c r="A72196" s="118"/>
      <c r="B72196" s="136"/>
    </row>
    <row r="72197" spans="1:2" x14ac:dyDescent="0.25">
      <c r="A72197" s="118"/>
      <c r="B72197" s="136"/>
    </row>
    <row r="72198" spans="1:2" x14ac:dyDescent="0.25">
      <c r="A72198" s="118"/>
      <c r="B72198" s="136"/>
    </row>
    <row r="72199" spans="1:2" x14ac:dyDescent="0.25">
      <c r="A72199" s="118"/>
      <c r="B72199" s="136"/>
    </row>
    <row r="72200" spans="1:2" x14ac:dyDescent="0.25">
      <c r="A72200" s="118"/>
      <c r="B72200" s="136"/>
    </row>
    <row r="72201" spans="1:2" x14ac:dyDescent="0.25">
      <c r="A72201" s="118"/>
      <c r="B72201" s="136"/>
    </row>
    <row r="72202" spans="1:2" x14ac:dyDescent="0.25">
      <c r="A72202" s="118"/>
      <c r="B72202" s="136"/>
    </row>
    <row r="72203" spans="1:2" x14ac:dyDescent="0.25">
      <c r="A72203" s="118"/>
      <c r="B72203" s="136"/>
    </row>
    <row r="72204" spans="1:2" x14ac:dyDescent="0.25">
      <c r="A72204" s="118"/>
      <c r="B72204" s="136"/>
    </row>
    <row r="72205" spans="1:2" x14ac:dyDescent="0.25">
      <c r="A72205" s="118"/>
      <c r="B72205" s="136"/>
    </row>
    <row r="72206" spans="1:2" x14ac:dyDescent="0.25">
      <c r="A72206" s="118"/>
      <c r="B72206" s="136"/>
    </row>
    <row r="72207" spans="1:2" x14ac:dyDescent="0.25">
      <c r="A72207" s="118"/>
      <c r="B72207" s="136"/>
    </row>
    <row r="72208" spans="1:2" x14ac:dyDescent="0.25">
      <c r="A72208" s="118"/>
      <c r="B72208" s="136"/>
    </row>
    <row r="72209" spans="1:2" x14ac:dyDescent="0.25">
      <c r="A72209" s="118"/>
      <c r="B72209" s="136"/>
    </row>
    <row r="72210" spans="1:2" x14ac:dyDescent="0.25">
      <c r="A72210" s="118"/>
      <c r="B72210" s="136"/>
    </row>
    <row r="72211" spans="1:2" x14ac:dyDescent="0.25">
      <c r="A72211" s="118"/>
      <c r="B72211" s="136"/>
    </row>
    <row r="72212" spans="1:2" x14ac:dyDescent="0.25">
      <c r="A72212" s="118"/>
      <c r="B72212" s="136"/>
    </row>
    <row r="72213" spans="1:2" x14ac:dyDescent="0.25">
      <c r="A72213" s="118"/>
      <c r="B72213" s="136"/>
    </row>
    <row r="72214" spans="1:2" x14ac:dyDescent="0.25">
      <c r="A72214" s="118"/>
      <c r="B72214" s="136"/>
    </row>
    <row r="72215" spans="1:2" x14ac:dyDescent="0.25">
      <c r="A72215" s="118"/>
      <c r="B72215" s="136"/>
    </row>
    <row r="72216" spans="1:2" x14ac:dyDescent="0.25">
      <c r="A72216" s="118"/>
      <c r="B72216" s="136"/>
    </row>
    <row r="72217" spans="1:2" x14ac:dyDescent="0.25">
      <c r="A72217" s="118"/>
      <c r="B72217" s="136"/>
    </row>
    <row r="72218" spans="1:2" x14ac:dyDescent="0.25">
      <c r="A72218" s="118"/>
      <c r="B72218" s="136"/>
    </row>
    <row r="72219" spans="1:2" x14ac:dyDescent="0.25">
      <c r="A72219" s="118"/>
      <c r="B72219" s="136"/>
    </row>
    <row r="72220" spans="1:2" x14ac:dyDescent="0.25">
      <c r="A72220" s="118"/>
      <c r="B72220" s="136"/>
    </row>
    <row r="72221" spans="1:2" x14ac:dyDescent="0.25">
      <c r="A72221" s="118"/>
      <c r="B72221" s="136"/>
    </row>
    <row r="72222" spans="1:2" x14ac:dyDescent="0.25">
      <c r="A72222" s="118"/>
      <c r="B72222" s="136"/>
    </row>
    <row r="72223" spans="1:2" x14ac:dyDescent="0.25">
      <c r="A72223" s="118"/>
      <c r="B72223" s="136"/>
    </row>
    <row r="72224" spans="1:2" x14ac:dyDescent="0.25">
      <c r="A72224" s="118"/>
      <c r="B72224" s="136"/>
    </row>
    <row r="72225" spans="1:2" x14ac:dyDescent="0.25">
      <c r="A72225" s="118"/>
      <c r="B72225" s="136"/>
    </row>
    <row r="72226" spans="1:2" x14ac:dyDescent="0.25">
      <c r="A72226" s="118"/>
      <c r="B72226" s="136"/>
    </row>
    <row r="72227" spans="1:2" x14ac:dyDescent="0.25">
      <c r="A72227" s="118"/>
      <c r="B72227" s="136"/>
    </row>
    <row r="72228" spans="1:2" x14ac:dyDescent="0.25">
      <c r="A72228" s="118"/>
      <c r="B72228" s="136"/>
    </row>
    <row r="72229" spans="1:2" x14ac:dyDescent="0.25">
      <c r="A72229" s="118"/>
      <c r="B72229" s="136"/>
    </row>
    <row r="72230" spans="1:2" x14ac:dyDescent="0.25">
      <c r="A72230" s="118"/>
      <c r="B72230" s="136"/>
    </row>
    <row r="72231" spans="1:2" x14ac:dyDescent="0.25">
      <c r="A72231" s="118"/>
      <c r="B72231" s="136"/>
    </row>
    <row r="72232" spans="1:2" x14ac:dyDescent="0.25">
      <c r="A72232" s="118"/>
      <c r="B72232" s="136"/>
    </row>
    <row r="72233" spans="1:2" x14ac:dyDescent="0.25">
      <c r="A72233" s="118"/>
      <c r="B72233" s="136"/>
    </row>
    <row r="72234" spans="1:2" x14ac:dyDescent="0.25">
      <c r="A72234" s="118"/>
      <c r="B72234" s="136"/>
    </row>
    <row r="72235" spans="1:2" x14ac:dyDescent="0.25">
      <c r="A72235" s="118"/>
      <c r="B72235" s="136"/>
    </row>
    <row r="72236" spans="1:2" x14ac:dyDescent="0.25">
      <c r="A72236" s="118"/>
      <c r="B72236" s="136"/>
    </row>
    <row r="72237" spans="1:2" x14ac:dyDescent="0.25">
      <c r="A72237" s="118"/>
      <c r="B72237" s="136"/>
    </row>
    <row r="72238" spans="1:2" x14ac:dyDescent="0.25">
      <c r="A72238" s="118"/>
      <c r="B72238" s="136"/>
    </row>
    <row r="72239" spans="1:2" x14ac:dyDescent="0.25">
      <c r="A72239" s="118"/>
      <c r="B72239" s="136"/>
    </row>
    <row r="72240" spans="1:2" x14ac:dyDescent="0.25">
      <c r="A72240" s="118"/>
      <c r="B72240" s="136"/>
    </row>
    <row r="72241" spans="1:2" x14ac:dyDescent="0.25">
      <c r="A72241" s="118"/>
      <c r="B72241" s="136"/>
    </row>
    <row r="72242" spans="1:2" x14ac:dyDescent="0.25">
      <c r="A72242" s="118"/>
      <c r="B72242" s="136"/>
    </row>
    <row r="72243" spans="1:2" x14ac:dyDescent="0.25">
      <c r="A72243" s="118"/>
      <c r="B72243" s="136"/>
    </row>
    <row r="72244" spans="1:2" x14ac:dyDescent="0.25">
      <c r="A72244" s="118"/>
      <c r="B72244" s="136"/>
    </row>
    <row r="72245" spans="1:2" x14ac:dyDescent="0.25">
      <c r="A72245" s="118"/>
      <c r="B72245" s="136"/>
    </row>
    <row r="72246" spans="1:2" x14ac:dyDescent="0.25">
      <c r="A72246" s="118"/>
      <c r="B72246" s="136"/>
    </row>
    <row r="72247" spans="1:2" x14ac:dyDescent="0.25">
      <c r="A72247" s="118"/>
      <c r="B72247" s="136"/>
    </row>
    <row r="72248" spans="1:2" x14ac:dyDescent="0.25">
      <c r="A72248" s="118"/>
      <c r="B72248" s="136"/>
    </row>
    <row r="72249" spans="1:2" x14ac:dyDescent="0.25">
      <c r="A72249" s="118"/>
      <c r="B72249" s="136"/>
    </row>
    <row r="72250" spans="1:2" x14ac:dyDescent="0.25">
      <c r="A72250" s="118"/>
      <c r="B72250" s="136"/>
    </row>
    <row r="72251" spans="1:2" x14ac:dyDescent="0.25">
      <c r="A72251" s="118"/>
      <c r="B72251" s="136"/>
    </row>
    <row r="72252" spans="1:2" x14ac:dyDescent="0.25">
      <c r="A72252" s="118"/>
      <c r="B72252" s="136"/>
    </row>
    <row r="72253" spans="1:2" x14ac:dyDescent="0.25">
      <c r="A72253" s="118"/>
      <c r="B72253" s="136"/>
    </row>
    <row r="72254" spans="1:2" x14ac:dyDescent="0.25">
      <c r="A72254" s="118"/>
      <c r="B72254" s="136"/>
    </row>
    <row r="72255" spans="1:2" x14ac:dyDescent="0.25">
      <c r="A72255" s="118"/>
      <c r="B72255" s="136"/>
    </row>
    <row r="72256" spans="1:2" x14ac:dyDescent="0.25">
      <c r="A72256" s="118"/>
      <c r="B72256" s="136"/>
    </row>
    <row r="72257" spans="1:2" x14ac:dyDescent="0.25">
      <c r="A72257" s="118"/>
      <c r="B72257" s="136"/>
    </row>
    <row r="72258" spans="1:2" x14ac:dyDescent="0.25">
      <c r="A72258" s="118"/>
      <c r="B72258" s="136"/>
    </row>
    <row r="72259" spans="1:2" x14ac:dyDescent="0.25">
      <c r="A72259" s="118"/>
      <c r="B72259" s="136"/>
    </row>
    <row r="72260" spans="1:2" x14ac:dyDescent="0.25">
      <c r="A72260" s="118"/>
      <c r="B72260" s="136"/>
    </row>
    <row r="72261" spans="1:2" x14ac:dyDescent="0.25">
      <c r="A72261" s="118"/>
      <c r="B72261" s="136"/>
    </row>
    <row r="72262" spans="1:2" x14ac:dyDescent="0.25">
      <c r="A72262" s="118"/>
      <c r="B72262" s="136"/>
    </row>
    <row r="72263" spans="1:2" x14ac:dyDescent="0.25">
      <c r="A72263" s="118"/>
      <c r="B72263" s="136"/>
    </row>
    <row r="72264" spans="1:2" x14ac:dyDescent="0.25">
      <c r="A72264" s="118"/>
      <c r="B72264" s="136"/>
    </row>
    <row r="72265" spans="1:2" x14ac:dyDescent="0.25">
      <c r="A72265" s="118"/>
      <c r="B72265" s="136"/>
    </row>
    <row r="72266" spans="1:2" x14ac:dyDescent="0.25">
      <c r="A72266" s="118"/>
      <c r="B72266" s="136"/>
    </row>
    <row r="72267" spans="1:2" x14ac:dyDescent="0.25">
      <c r="A72267" s="118"/>
      <c r="B72267" s="136"/>
    </row>
    <row r="72268" spans="1:2" x14ac:dyDescent="0.25">
      <c r="A72268" s="118"/>
      <c r="B72268" s="136"/>
    </row>
    <row r="72269" spans="1:2" x14ac:dyDescent="0.25">
      <c r="A72269" s="118"/>
      <c r="B72269" s="136"/>
    </row>
    <row r="72270" spans="1:2" x14ac:dyDescent="0.25">
      <c r="A72270" s="118"/>
      <c r="B72270" s="136"/>
    </row>
    <row r="72271" spans="1:2" x14ac:dyDescent="0.25">
      <c r="A72271" s="118"/>
      <c r="B72271" s="136"/>
    </row>
    <row r="72272" spans="1:2" x14ac:dyDescent="0.25">
      <c r="A72272" s="118"/>
      <c r="B72272" s="136"/>
    </row>
    <row r="72273" spans="1:2" x14ac:dyDescent="0.25">
      <c r="A72273" s="118"/>
      <c r="B72273" s="136"/>
    </row>
    <row r="72274" spans="1:2" x14ac:dyDescent="0.25">
      <c r="A72274" s="118"/>
      <c r="B72274" s="136"/>
    </row>
    <row r="72275" spans="1:2" x14ac:dyDescent="0.25">
      <c r="A72275" s="118"/>
      <c r="B72275" s="136"/>
    </row>
    <row r="72276" spans="1:2" x14ac:dyDescent="0.25">
      <c r="A72276" s="118"/>
      <c r="B72276" s="136"/>
    </row>
    <row r="72277" spans="1:2" x14ac:dyDescent="0.25">
      <c r="A72277" s="118"/>
      <c r="B72277" s="136"/>
    </row>
    <row r="72278" spans="1:2" x14ac:dyDescent="0.25">
      <c r="A72278" s="118"/>
      <c r="B72278" s="136"/>
    </row>
    <row r="72279" spans="1:2" x14ac:dyDescent="0.25">
      <c r="A72279" s="118"/>
      <c r="B72279" s="136"/>
    </row>
    <row r="72280" spans="1:2" x14ac:dyDescent="0.25">
      <c r="A72280" s="118"/>
      <c r="B72280" s="136"/>
    </row>
    <row r="72281" spans="1:2" x14ac:dyDescent="0.25">
      <c r="A72281" s="118"/>
      <c r="B72281" s="136"/>
    </row>
    <row r="72282" spans="1:2" x14ac:dyDescent="0.25">
      <c r="A72282" s="118"/>
      <c r="B72282" s="136"/>
    </row>
    <row r="72283" spans="1:2" x14ac:dyDescent="0.25">
      <c r="A72283" s="118"/>
      <c r="B72283" s="136"/>
    </row>
    <row r="72284" spans="1:2" x14ac:dyDescent="0.25">
      <c r="A72284" s="118"/>
      <c r="B72284" s="136"/>
    </row>
    <row r="72285" spans="1:2" x14ac:dyDescent="0.25">
      <c r="A72285" s="118"/>
      <c r="B72285" s="136"/>
    </row>
    <row r="72286" spans="1:2" x14ac:dyDescent="0.25">
      <c r="A72286" s="118"/>
      <c r="B72286" s="136"/>
    </row>
    <row r="72287" spans="1:2" x14ac:dyDescent="0.25">
      <c r="A72287" s="118"/>
      <c r="B72287" s="136"/>
    </row>
    <row r="72288" spans="1:2" x14ac:dyDescent="0.25">
      <c r="A72288" s="118"/>
      <c r="B72288" s="136"/>
    </row>
    <row r="72289" spans="1:2" x14ac:dyDescent="0.25">
      <c r="A72289" s="118"/>
      <c r="B72289" s="136"/>
    </row>
    <row r="72290" spans="1:2" x14ac:dyDescent="0.25">
      <c r="A72290" s="118"/>
      <c r="B72290" s="136"/>
    </row>
    <row r="72291" spans="1:2" x14ac:dyDescent="0.25">
      <c r="A72291" s="118"/>
      <c r="B72291" s="136"/>
    </row>
    <row r="72292" spans="1:2" x14ac:dyDescent="0.25">
      <c r="A72292" s="118"/>
      <c r="B72292" s="136"/>
    </row>
    <row r="72293" spans="1:2" x14ac:dyDescent="0.25">
      <c r="A72293" s="118"/>
      <c r="B72293" s="136"/>
    </row>
    <row r="72294" spans="1:2" x14ac:dyDescent="0.25">
      <c r="A72294" s="118"/>
      <c r="B72294" s="136"/>
    </row>
    <row r="72295" spans="1:2" x14ac:dyDescent="0.25">
      <c r="A72295" s="118"/>
      <c r="B72295" s="136"/>
    </row>
    <row r="72296" spans="1:2" x14ac:dyDescent="0.25">
      <c r="A72296" s="118"/>
      <c r="B72296" s="136"/>
    </row>
    <row r="72297" spans="1:2" x14ac:dyDescent="0.25">
      <c r="A72297" s="118"/>
      <c r="B72297" s="136"/>
    </row>
    <row r="72298" spans="1:2" x14ac:dyDescent="0.25">
      <c r="A72298" s="118"/>
      <c r="B72298" s="136"/>
    </row>
    <row r="72299" spans="1:2" x14ac:dyDescent="0.25">
      <c r="A72299" s="118"/>
      <c r="B72299" s="136"/>
    </row>
    <row r="72300" spans="1:2" x14ac:dyDescent="0.25">
      <c r="A72300" s="118"/>
      <c r="B72300" s="136"/>
    </row>
    <row r="72301" spans="1:2" x14ac:dyDescent="0.25">
      <c r="A72301" s="118"/>
      <c r="B72301" s="136"/>
    </row>
    <row r="72302" spans="1:2" x14ac:dyDescent="0.25">
      <c r="A72302" s="118"/>
      <c r="B72302" s="136"/>
    </row>
    <row r="72303" spans="1:2" x14ac:dyDescent="0.25">
      <c r="A72303" s="118"/>
      <c r="B72303" s="136"/>
    </row>
    <row r="72304" spans="1:2" x14ac:dyDescent="0.25">
      <c r="A72304" s="118"/>
      <c r="B72304" s="136"/>
    </row>
    <row r="72305" spans="1:2" x14ac:dyDescent="0.25">
      <c r="A72305" s="118"/>
      <c r="B72305" s="136"/>
    </row>
    <row r="72306" spans="1:2" x14ac:dyDescent="0.25">
      <c r="A72306" s="118"/>
      <c r="B72306" s="136"/>
    </row>
    <row r="72307" spans="1:2" x14ac:dyDescent="0.25">
      <c r="A72307" s="118"/>
      <c r="B72307" s="136"/>
    </row>
    <row r="72308" spans="1:2" x14ac:dyDescent="0.25">
      <c r="A72308" s="118"/>
      <c r="B72308" s="136"/>
    </row>
    <row r="72309" spans="1:2" x14ac:dyDescent="0.25">
      <c r="A72309" s="118"/>
      <c r="B72309" s="136"/>
    </row>
    <row r="72310" spans="1:2" x14ac:dyDescent="0.25">
      <c r="A72310" s="118"/>
      <c r="B72310" s="136"/>
    </row>
    <row r="72311" spans="1:2" x14ac:dyDescent="0.25">
      <c r="A72311" s="118"/>
      <c r="B72311" s="136"/>
    </row>
    <row r="72312" spans="1:2" x14ac:dyDescent="0.25">
      <c r="A72312" s="118"/>
      <c r="B72312" s="136"/>
    </row>
    <row r="72313" spans="1:2" x14ac:dyDescent="0.25">
      <c r="A72313" s="118"/>
      <c r="B72313" s="136"/>
    </row>
    <row r="72314" spans="1:2" x14ac:dyDescent="0.25">
      <c r="A72314" s="118"/>
      <c r="B72314" s="136"/>
    </row>
    <row r="72315" spans="1:2" x14ac:dyDescent="0.25">
      <c r="A72315" s="118"/>
      <c r="B72315" s="136"/>
    </row>
    <row r="72316" spans="1:2" x14ac:dyDescent="0.25">
      <c r="A72316" s="118"/>
      <c r="B72316" s="136"/>
    </row>
    <row r="72317" spans="1:2" x14ac:dyDescent="0.25">
      <c r="A72317" s="118"/>
      <c r="B72317" s="136"/>
    </row>
    <row r="72318" spans="1:2" x14ac:dyDescent="0.25">
      <c r="A72318" s="118"/>
      <c r="B72318" s="136"/>
    </row>
    <row r="72319" spans="1:2" x14ac:dyDescent="0.25">
      <c r="A72319" s="118"/>
      <c r="B72319" s="136"/>
    </row>
    <row r="72320" spans="1:2" x14ac:dyDescent="0.25">
      <c r="A72320" s="118"/>
      <c r="B72320" s="136"/>
    </row>
    <row r="72321" spans="1:2" x14ac:dyDescent="0.25">
      <c r="A72321" s="118"/>
      <c r="B72321" s="136"/>
    </row>
    <row r="72322" spans="1:2" x14ac:dyDescent="0.25">
      <c r="A72322" s="118"/>
      <c r="B72322" s="136"/>
    </row>
    <row r="72323" spans="1:2" x14ac:dyDescent="0.25">
      <c r="A72323" s="118"/>
      <c r="B72323" s="136"/>
    </row>
    <row r="72324" spans="1:2" x14ac:dyDescent="0.25">
      <c r="A72324" s="118"/>
      <c r="B72324" s="136"/>
    </row>
    <row r="72325" spans="1:2" x14ac:dyDescent="0.25">
      <c r="A72325" s="118"/>
      <c r="B72325" s="136"/>
    </row>
    <row r="72326" spans="1:2" x14ac:dyDescent="0.25">
      <c r="A72326" s="118"/>
      <c r="B72326" s="136"/>
    </row>
    <row r="72327" spans="1:2" x14ac:dyDescent="0.25">
      <c r="A72327" s="118"/>
      <c r="B72327" s="136"/>
    </row>
    <row r="72328" spans="1:2" x14ac:dyDescent="0.25">
      <c r="A72328" s="118"/>
      <c r="B72328" s="136"/>
    </row>
    <row r="72329" spans="1:2" x14ac:dyDescent="0.25">
      <c r="A72329" s="118"/>
      <c r="B72329" s="136"/>
    </row>
    <row r="72330" spans="1:2" x14ac:dyDescent="0.25">
      <c r="A72330" s="118"/>
      <c r="B72330" s="136"/>
    </row>
    <row r="72331" spans="1:2" x14ac:dyDescent="0.25">
      <c r="A72331" s="118"/>
      <c r="B72331" s="136"/>
    </row>
    <row r="72332" spans="1:2" x14ac:dyDescent="0.25">
      <c r="A72332" s="118"/>
      <c r="B72332" s="136"/>
    </row>
    <row r="72333" spans="1:2" x14ac:dyDescent="0.25">
      <c r="A72333" s="118"/>
      <c r="B72333" s="136"/>
    </row>
    <row r="72334" spans="1:2" x14ac:dyDescent="0.25">
      <c r="A72334" s="118"/>
      <c r="B72334" s="136"/>
    </row>
    <row r="72335" spans="1:2" x14ac:dyDescent="0.25">
      <c r="A72335" s="118"/>
      <c r="B72335" s="136"/>
    </row>
    <row r="72336" spans="1:2" x14ac:dyDescent="0.25">
      <c r="A72336" s="118"/>
      <c r="B72336" s="136"/>
    </row>
    <row r="72337" spans="1:2" x14ac:dyDescent="0.25">
      <c r="A72337" s="118"/>
      <c r="B72337" s="136"/>
    </row>
    <row r="72338" spans="1:2" x14ac:dyDescent="0.25">
      <c r="A72338" s="118"/>
      <c r="B72338" s="136"/>
    </row>
    <row r="72339" spans="1:2" x14ac:dyDescent="0.25">
      <c r="A72339" s="118"/>
      <c r="B72339" s="136"/>
    </row>
    <row r="72340" spans="1:2" x14ac:dyDescent="0.25">
      <c r="A72340" s="118"/>
      <c r="B72340" s="136"/>
    </row>
    <row r="72341" spans="1:2" x14ac:dyDescent="0.25">
      <c r="A72341" s="118"/>
      <c r="B72341" s="136"/>
    </row>
    <row r="72342" spans="1:2" x14ac:dyDescent="0.25">
      <c r="A72342" s="118"/>
      <c r="B72342" s="136"/>
    </row>
    <row r="72343" spans="1:2" x14ac:dyDescent="0.25">
      <c r="A72343" s="118"/>
      <c r="B72343" s="136"/>
    </row>
    <row r="72344" spans="1:2" x14ac:dyDescent="0.25">
      <c r="A72344" s="118"/>
      <c r="B72344" s="136"/>
    </row>
    <row r="72345" spans="1:2" x14ac:dyDescent="0.25">
      <c r="A72345" s="118"/>
      <c r="B72345" s="136"/>
    </row>
    <row r="72346" spans="1:2" x14ac:dyDescent="0.25">
      <c r="A72346" s="118"/>
      <c r="B72346" s="136"/>
    </row>
    <row r="72347" spans="1:2" x14ac:dyDescent="0.25">
      <c r="A72347" s="118"/>
      <c r="B72347" s="136"/>
    </row>
    <row r="72348" spans="1:2" x14ac:dyDescent="0.25">
      <c r="A72348" s="118"/>
      <c r="B72348" s="136"/>
    </row>
    <row r="72349" spans="1:2" x14ac:dyDescent="0.25">
      <c r="A72349" s="118"/>
      <c r="B72349" s="136"/>
    </row>
    <row r="72350" spans="1:2" x14ac:dyDescent="0.25">
      <c r="A72350" s="118"/>
      <c r="B72350" s="136"/>
    </row>
    <row r="72351" spans="1:2" x14ac:dyDescent="0.25">
      <c r="A72351" s="118"/>
      <c r="B72351" s="136"/>
    </row>
    <row r="72352" spans="1:2" x14ac:dyDescent="0.25">
      <c r="A72352" s="118"/>
      <c r="B72352" s="136"/>
    </row>
    <row r="72353" spans="1:2" x14ac:dyDescent="0.25">
      <c r="A72353" s="118"/>
      <c r="B72353" s="136"/>
    </row>
    <row r="72354" spans="1:2" x14ac:dyDescent="0.25">
      <c r="A72354" s="118"/>
      <c r="B72354" s="136"/>
    </row>
    <row r="72355" spans="1:2" x14ac:dyDescent="0.25">
      <c r="A72355" s="118"/>
      <c r="B72355" s="136"/>
    </row>
    <row r="72356" spans="1:2" x14ac:dyDescent="0.25">
      <c r="A72356" s="118"/>
      <c r="B72356" s="136"/>
    </row>
    <row r="72357" spans="1:2" x14ac:dyDescent="0.25">
      <c r="A72357" s="118"/>
      <c r="B72357" s="136"/>
    </row>
    <row r="72358" spans="1:2" x14ac:dyDescent="0.25">
      <c r="A72358" s="118"/>
      <c r="B72358" s="136"/>
    </row>
    <row r="72359" spans="1:2" x14ac:dyDescent="0.25">
      <c r="A72359" s="118"/>
      <c r="B72359" s="136"/>
    </row>
    <row r="72360" spans="1:2" x14ac:dyDescent="0.25">
      <c r="A72360" s="118"/>
      <c r="B72360" s="136"/>
    </row>
    <row r="72361" spans="1:2" x14ac:dyDescent="0.25">
      <c r="A72361" s="118"/>
      <c r="B72361" s="136"/>
    </row>
    <row r="72362" spans="1:2" x14ac:dyDescent="0.25">
      <c r="A72362" s="118"/>
      <c r="B72362" s="136"/>
    </row>
    <row r="72363" spans="1:2" x14ac:dyDescent="0.25">
      <c r="A72363" s="118"/>
      <c r="B72363" s="136"/>
    </row>
    <row r="72364" spans="1:2" x14ac:dyDescent="0.25">
      <c r="A72364" s="118"/>
      <c r="B72364" s="136"/>
    </row>
    <row r="72365" spans="1:2" x14ac:dyDescent="0.25">
      <c r="A72365" s="118"/>
      <c r="B72365" s="136"/>
    </row>
    <row r="72366" spans="1:2" x14ac:dyDescent="0.25">
      <c r="A72366" s="118"/>
      <c r="B72366" s="136"/>
    </row>
    <row r="72367" spans="1:2" x14ac:dyDescent="0.25">
      <c r="A72367" s="118"/>
      <c r="B72367" s="136"/>
    </row>
    <row r="72368" spans="1:2" x14ac:dyDescent="0.25">
      <c r="A72368" s="118"/>
      <c r="B72368" s="136"/>
    </row>
    <row r="72369" spans="1:2" x14ac:dyDescent="0.25">
      <c r="A72369" s="118"/>
      <c r="B72369" s="136"/>
    </row>
    <row r="72370" spans="1:2" x14ac:dyDescent="0.25">
      <c r="A72370" s="118"/>
      <c r="B72370" s="136"/>
    </row>
    <row r="72371" spans="1:2" x14ac:dyDescent="0.25">
      <c r="A72371" s="118"/>
      <c r="B72371" s="136"/>
    </row>
    <row r="72372" spans="1:2" x14ac:dyDescent="0.25">
      <c r="A72372" s="118"/>
      <c r="B72372" s="136"/>
    </row>
    <row r="72373" spans="1:2" x14ac:dyDescent="0.25">
      <c r="A72373" s="118"/>
      <c r="B72373" s="136"/>
    </row>
    <row r="72374" spans="1:2" x14ac:dyDescent="0.25">
      <c r="A72374" s="118"/>
      <c r="B72374" s="136"/>
    </row>
    <row r="72375" spans="1:2" x14ac:dyDescent="0.25">
      <c r="A72375" s="118"/>
      <c r="B72375" s="136"/>
    </row>
    <row r="72376" spans="1:2" x14ac:dyDescent="0.25">
      <c r="A72376" s="118"/>
      <c r="B72376" s="136"/>
    </row>
    <row r="72377" spans="1:2" x14ac:dyDescent="0.25">
      <c r="A72377" s="118"/>
      <c r="B72377" s="136"/>
    </row>
    <row r="72378" spans="1:2" x14ac:dyDescent="0.25">
      <c r="A72378" s="118"/>
      <c r="B72378" s="136"/>
    </row>
    <row r="72379" spans="1:2" x14ac:dyDescent="0.25">
      <c r="A72379" s="118"/>
      <c r="B72379" s="136"/>
    </row>
    <row r="72380" spans="1:2" x14ac:dyDescent="0.25">
      <c r="A72380" s="118"/>
      <c r="B72380" s="136"/>
    </row>
    <row r="72381" spans="1:2" x14ac:dyDescent="0.25">
      <c r="A72381" s="118"/>
      <c r="B72381" s="136"/>
    </row>
    <row r="72382" spans="1:2" x14ac:dyDescent="0.25">
      <c r="A72382" s="118"/>
      <c r="B72382" s="136"/>
    </row>
    <row r="72383" spans="1:2" x14ac:dyDescent="0.25">
      <c r="A72383" s="118"/>
      <c r="B72383" s="136"/>
    </row>
    <row r="72384" spans="1:2" x14ac:dyDescent="0.25">
      <c r="A72384" s="118"/>
      <c r="B72384" s="136"/>
    </row>
    <row r="72385" spans="1:2" x14ac:dyDescent="0.25">
      <c r="A72385" s="118"/>
      <c r="B72385" s="136"/>
    </row>
    <row r="72386" spans="1:2" x14ac:dyDescent="0.25">
      <c r="A72386" s="118"/>
      <c r="B72386" s="136"/>
    </row>
    <row r="72387" spans="1:2" x14ac:dyDescent="0.25">
      <c r="A72387" s="118"/>
      <c r="B72387" s="136"/>
    </row>
    <row r="72388" spans="1:2" x14ac:dyDescent="0.25">
      <c r="A72388" s="118"/>
      <c r="B72388" s="136"/>
    </row>
    <row r="72389" spans="1:2" x14ac:dyDescent="0.25">
      <c r="A72389" s="118"/>
      <c r="B72389" s="136"/>
    </row>
    <row r="72390" spans="1:2" x14ac:dyDescent="0.25">
      <c r="A72390" s="118"/>
      <c r="B72390" s="136"/>
    </row>
    <row r="72391" spans="1:2" x14ac:dyDescent="0.25">
      <c r="A72391" s="118"/>
      <c r="B72391" s="136"/>
    </row>
    <row r="72392" spans="1:2" x14ac:dyDescent="0.25">
      <c r="A72392" s="118"/>
      <c r="B72392" s="136"/>
    </row>
    <row r="72393" spans="1:2" x14ac:dyDescent="0.25">
      <c r="A72393" s="118"/>
      <c r="B72393" s="136"/>
    </row>
    <row r="72394" spans="1:2" x14ac:dyDescent="0.25">
      <c r="A72394" s="118"/>
      <c r="B72394" s="136"/>
    </row>
    <row r="72395" spans="1:2" x14ac:dyDescent="0.25">
      <c r="A72395" s="118"/>
      <c r="B72395" s="136"/>
    </row>
    <row r="72396" spans="1:2" x14ac:dyDescent="0.25">
      <c r="A72396" s="118"/>
      <c r="B72396" s="136"/>
    </row>
    <row r="72397" spans="1:2" x14ac:dyDescent="0.25">
      <c r="A72397" s="118"/>
      <c r="B72397" s="136"/>
    </row>
    <row r="72398" spans="1:2" x14ac:dyDescent="0.25">
      <c r="A72398" s="118"/>
      <c r="B72398" s="136"/>
    </row>
    <row r="72399" spans="1:2" x14ac:dyDescent="0.25">
      <c r="A72399" s="118"/>
      <c r="B72399" s="136"/>
    </row>
    <row r="72400" spans="1:2" x14ac:dyDescent="0.25">
      <c r="A72400" s="118"/>
      <c r="B72400" s="136"/>
    </row>
    <row r="72401" spans="1:2" x14ac:dyDescent="0.25">
      <c r="A72401" s="118"/>
      <c r="B72401" s="136"/>
    </row>
    <row r="72402" spans="1:2" x14ac:dyDescent="0.25">
      <c r="A72402" s="118"/>
      <c r="B72402" s="136"/>
    </row>
    <row r="72403" spans="1:2" x14ac:dyDescent="0.25">
      <c r="A72403" s="118"/>
      <c r="B72403" s="136"/>
    </row>
    <row r="72404" spans="1:2" x14ac:dyDescent="0.25">
      <c r="A72404" s="118"/>
      <c r="B72404" s="136"/>
    </row>
    <row r="72405" spans="1:2" x14ac:dyDescent="0.25">
      <c r="A72405" s="118"/>
      <c r="B72405" s="136"/>
    </row>
    <row r="72406" spans="1:2" x14ac:dyDescent="0.25">
      <c r="A72406" s="118"/>
      <c r="B72406" s="136"/>
    </row>
    <row r="72407" spans="1:2" x14ac:dyDescent="0.25">
      <c r="A72407" s="118"/>
      <c r="B72407" s="136"/>
    </row>
    <row r="72408" spans="1:2" x14ac:dyDescent="0.25">
      <c r="A72408" s="118"/>
      <c r="B72408" s="136"/>
    </row>
    <row r="72409" spans="1:2" x14ac:dyDescent="0.25">
      <c r="A72409" s="118"/>
      <c r="B72409" s="136"/>
    </row>
    <row r="72410" spans="1:2" x14ac:dyDescent="0.25">
      <c r="A72410" s="118"/>
      <c r="B72410" s="136"/>
    </row>
    <row r="72411" spans="1:2" x14ac:dyDescent="0.25">
      <c r="A72411" s="118"/>
      <c r="B72411" s="136"/>
    </row>
    <row r="72412" spans="1:2" x14ac:dyDescent="0.25">
      <c r="A72412" s="118"/>
      <c r="B72412" s="136"/>
    </row>
    <row r="72413" spans="1:2" x14ac:dyDescent="0.25">
      <c r="A72413" s="118"/>
      <c r="B72413" s="136"/>
    </row>
    <row r="72414" spans="1:2" x14ac:dyDescent="0.25">
      <c r="A72414" s="118"/>
      <c r="B72414" s="136"/>
    </row>
    <row r="72415" spans="1:2" x14ac:dyDescent="0.25">
      <c r="A72415" s="118"/>
      <c r="B72415" s="136"/>
    </row>
    <row r="72416" spans="1:2" x14ac:dyDescent="0.25">
      <c r="A72416" s="118"/>
      <c r="B72416" s="136"/>
    </row>
    <row r="72417" spans="1:2" x14ac:dyDescent="0.25">
      <c r="A72417" s="118"/>
      <c r="B72417" s="136"/>
    </row>
    <row r="72418" spans="1:2" x14ac:dyDescent="0.25">
      <c r="A72418" s="118"/>
      <c r="B72418" s="136"/>
    </row>
    <row r="72419" spans="1:2" x14ac:dyDescent="0.25">
      <c r="A72419" s="118"/>
      <c r="B72419" s="136"/>
    </row>
    <row r="72420" spans="1:2" x14ac:dyDescent="0.25">
      <c r="A72420" s="118"/>
      <c r="B72420" s="136"/>
    </row>
    <row r="72421" spans="1:2" x14ac:dyDescent="0.25">
      <c r="A72421" s="118"/>
      <c r="B72421" s="136"/>
    </row>
    <row r="72422" spans="1:2" x14ac:dyDescent="0.25">
      <c r="A72422" s="118"/>
      <c r="B72422" s="136"/>
    </row>
    <row r="72423" spans="1:2" x14ac:dyDescent="0.25">
      <c r="A72423" s="118"/>
      <c r="B72423" s="136"/>
    </row>
    <row r="72424" spans="1:2" x14ac:dyDescent="0.25">
      <c r="A72424" s="118"/>
      <c r="B72424" s="136"/>
    </row>
    <row r="72425" spans="1:2" x14ac:dyDescent="0.25">
      <c r="A72425" s="118"/>
      <c r="B72425" s="136"/>
    </row>
    <row r="72426" spans="1:2" x14ac:dyDescent="0.25">
      <c r="A72426" s="118"/>
      <c r="B72426" s="136"/>
    </row>
    <row r="72427" spans="1:2" x14ac:dyDescent="0.25">
      <c r="A72427" s="118"/>
      <c r="B72427" s="136"/>
    </row>
    <row r="72428" spans="1:2" x14ac:dyDescent="0.25">
      <c r="A72428" s="118"/>
      <c r="B72428" s="136"/>
    </row>
    <row r="72429" spans="1:2" x14ac:dyDescent="0.25">
      <c r="A72429" s="118"/>
      <c r="B72429" s="136"/>
    </row>
    <row r="72430" spans="1:2" x14ac:dyDescent="0.25">
      <c r="A72430" s="118"/>
      <c r="B72430" s="136"/>
    </row>
    <row r="72431" spans="1:2" x14ac:dyDescent="0.25">
      <c r="A72431" s="118"/>
      <c r="B72431" s="136"/>
    </row>
    <row r="72432" spans="1:2" x14ac:dyDescent="0.25">
      <c r="A72432" s="118"/>
      <c r="B72432" s="136"/>
    </row>
    <row r="72433" spans="1:2" x14ac:dyDescent="0.25">
      <c r="A72433" s="118"/>
      <c r="B72433" s="136"/>
    </row>
    <row r="72434" spans="1:2" x14ac:dyDescent="0.25">
      <c r="A72434" s="118"/>
      <c r="B72434" s="136"/>
    </row>
    <row r="72435" spans="1:2" x14ac:dyDescent="0.25">
      <c r="A72435" s="118"/>
      <c r="B72435" s="136"/>
    </row>
    <row r="72436" spans="1:2" x14ac:dyDescent="0.25">
      <c r="A72436" s="118"/>
      <c r="B72436" s="136"/>
    </row>
    <row r="72437" spans="1:2" x14ac:dyDescent="0.25">
      <c r="A72437" s="118"/>
      <c r="B72437" s="136"/>
    </row>
    <row r="72438" spans="1:2" x14ac:dyDescent="0.25">
      <c r="A72438" s="118"/>
      <c r="B72438" s="136"/>
    </row>
    <row r="72439" spans="1:2" x14ac:dyDescent="0.25">
      <c r="A72439" s="118"/>
      <c r="B72439" s="136"/>
    </row>
    <row r="72440" spans="1:2" x14ac:dyDescent="0.25">
      <c r="A72440" s="118"/>
      <c r="B72440" s="136"/>
    </row>
    <row r="72441" spans="1:2" x14ac:dyDescent="0.25">
      <c r="A72441" s="118"/>
      <c r="B72441" s="136"/>
    </row>
    <row r="72442" spans="1:2" x14ac:dyDescent="0.25">
      <c r="A72442" s="118"/>
      <c r="B72442" s="136"/>
    </row>
    <row r="72443" spans="1:2" x14ac:dyDescent="0.25">
      <c r="A72443" s="118"/>
      <c r="B72443" s="136"/>
    </row>
    <row r="72444" spans="1:2" x14ac:dyDescent="0.25">
      <c r="A72444" s="118"/>
      <c r="B72444" s="136"/>
    </row>
    <row r="72445" spans="1:2" x14ac:dyDescent="0.25">
      <c r="A72445" s="118"/>
      <c r="B72445" s="136"/>
    </row>
    <row r="72446" spans="1:2" x14ac:dyDescent="0.25">
      <c r="A72446" s="118"/>
      <c r="B72446" s="136"/>
    </row>
    <row r="72447" spans="1:2" x14ac:dyDescent="0.25">
      <c r="A72447" s="118"/>
      <c r="B72447" s="136"/>
    </row>
    <row r="72448" spans="1:2" x14ac:dyDescent="0.25">
      <c r="A72448" s="118"/>
      <c r="B72448" s="136"/>
    </row>
    <row r="72449" spans="1:2" x14ac:dyDescent="0.25">
      <c r="A72449" s="118"/>
      <c r="B72449" s="136"/>
    </row>
    <row r="72450" spans="1:2" x14ac:dyDescent="0.25">
      <c r="A72450" s="118"/>
      <c r="B72450" s="136"/>
    </row>
    <row r="72451" spans="1:2" x14ac:dyDescent="0.25">
      <c r="A72451" s="118"/>
      <c r="B72451" s="136"/>
    </row>
    <row r="72452" spans="1:2" x14ac:dyDescent="0.25">
      <c r="A72452" s="118"/>
      <c r="B72452" s="136"/>
    </row>
    <row r="72453" spans="1:2" x14ac:dyDescent="0.25">
      <c r="A72453" s="118"/>
      <c r="B72453" s="136"/>
    </row>
    <row r="72454" spans="1:2" x14ac:dyDescent="0.25">
      <c r="A72454" s="118"/>
      <c r="B72454" s="136"/>
    </row>
    <row r="72455" spans="1:2" x14ac:dyDescent="0.25">
      <c r="A72455" s="118"/>
      <c r="B72455" s="136"/>
    </row>
    <row r="72456" spans="1:2" x14ac:dyDescent="0.25">
      <c r="A72456" s="118"/>
      <c r="B72456" s="136"/>
    </row>
    <row r="72457" spans="1:2" x14ac:dyDescent="0.25">
      <c r="A72457" s="118"/>
      <c r="B72457" s="136"/>
    </row>
    <row r="72458" spans="1:2" x14ac:dyDescent="0.25">
      <c r="A72458" s="118"/>
      <c r="B72458" s="136"/>
    </row>
    <row r="72459" spans="1:2" x14ac:dyDescent="0.25">
      <c r="A72459" s="118"/>
      <c r="B72459" s="136"/>
    </row>
    <row r="72460" spans="1:2" x14ac:dyDescent="0.25">
      <c r="A72460" s="118"/>
      <c r="B72460" s="136"/>
    </row>
    <row r="72461" spans="1:2" x14ac:dyDescent="0.25">
      <c r="A72461" s="118"/>
      <c r="B72461" s="136"/>
    </row>
    <row r="72462" spans="1:2" x14ac:dyDescent="0.25">
      <c r="A72462" s="118"/>
      <c r="B72462" s="136"/>
    </row>
    <row r="72463" spans="1:2" x14ac:dyDescent="0.25">
      <c r="A72463" s="118"/>
      <c r="B72463" s="136"/>
    </row>
    <row r="72464" spans="1:2" x14ac:dyDescent="0.25">
      <c r="A72464" s="118"/>
      <c r="B72464" s="136"/>
    </row>
    <row r="72465" spans="1:2" x14ac:dyDescent="0.25">
      <c r="A72465" s="118"/>
      <c r="B72465" s="136"/>
    </row>
    <row r="72466" spans="1:2" x14ac:dyDescent="0.25">
      <c r="A72466" s="118"/>
      <c r="B72466" s="136"/>
    </row>
    <row r="72467" spans="1:2" x14ac:dyDescent="0.25">
      <c r="A72467" s="118"/>
      <c r="B72467" s="136"/>
    </row>
    <row r="72468" spans="1:2" x14ac:dyDescent="0.25">
      <c r="A72468" s="118"/>
      <c r="B72468" s="136"/>
    </row>
    <row r="72469" spans="1:2" x14ac:dyDescent="0.25">
      <c r="A72469" s="118"/>
      <c r="B72469" s="136"/>
    </row>
    <row r="72470" spans="1:2" x14ac:dyDescent="0.25">
      <c r="A72470" s="118"/>
      <c r="B72470" s="136"/>
    </row>
    <row r="72471" spans="1:2" x14ac:dyDescent="0.25">
      <c r="A72471" s="118"/>
      <c r="B72471" s="136"/>
    </row>
    <row r="72472" spans="1:2" x14ac:dyDescent="0.25">
      <c r="A72472" s="118"/>
      <c r="B72472" s="136"/>
    </row>
    <row r="72473" spans="1:2" x14ac:dyDescent="0.25">
      <c r="A72473" s="118"/>
      <c r="B72473" s="136"/>
    </row>
    <row r="72474" spans="1:2" x14ac:dyDescent="0.25">
      <c r="A72474" s="118"/>
      <c r="B72474" s="136"/>
    </row>
    <row r="72475" spans="1:2" x14ac:dyDescent="0.25">
      <c r="A72475" s="118"/>
      <c r="B72475" s="136"/>
    </row>
    <row r="72476" spans="1:2" x14ac:dyDescent="0.25">
      <c r="A72476" s="118"/>
      <c r="B72476" s="136"/>
    </row>
    <row r="72477" spans="1:2" x14ac:dyDescent="0.25">
      <c r="A72477" s="118"/>
      <c r="B72477" s="136"/>
    </row>
    <row r="72478" spans="1:2" x14ac:dyDescent="0.25">
      <c r="A72478" s="118"/>
      <c r="B72478" s="136"/>
    </row>
    <row r="72479" spans="1:2" x14ac:dyDescent="0.25">
      <c r="A72479" s="118"/>
      <c r="B72479" s="136"/>
    </row>
    <row r="72480" spans="1:2" x14ac:dyDescent="0.25">
      <c r="A72480" s="118"/>
      <c r="B72480" s="136"/>
    </row>
    <row r="72481" spans="1:2" x14ac:dyDescent="0.25">
      <c r="A72481" s="118"/>
      <c r="B72481" s="136"/>
    </row>
    <row r="72482" spans="1:2" x14ac:dyDescent="0.25">
      <c r="A72482" s="118"/>
      <c r="B72482" s="136"/>
    </row>
    <row r="72483" spans="1:2" x14ac:dyDescent="0.25">
      <c r="A72483" s="118"/>
      <c r="B72483" s="136"/>
    </row>
    <row r="72484" spans="1:2" x14ac:dyDescent="0.25">
      <c r="A72484" s="118"/>
      <c r="B72484" s="136"/>
    </row>
    <row r="72485" spans="1:2" x14ac:dyDescent="0.25">
      <c r="A72485" s="118"/>
      <c r="B72485" s="136"/>
    </row>
    <row r="72486" spans="1:2" x14ac:dyDescent="0.25">
      <c r="A72486" s="118"/>
      <c r="B72486" s="136"/>
    </row>
    <row r="72487" spans="1:2" x14ac:dyDescent="0.25">
      <c r="A72487" s="118"/>
      <c r="B72487" s="136"/>
    </row>
    <row r="72488" spans="1:2" x14ac:dyDescent="0.25">
      <c r="A72488" s="118"/>
      <c r="B72488" s="136"/>
    </row>
    <row r="72489" spans="1:2" x14ac:dyDescent="0.25">
      <c r="A72489" s="118"/>
      <c r="B72489" s="136"/>
    </row>
    <row r="72490" spans="1:2" x14ac:dyDescent="0.25">
      <c r="A72490" s="118"/>
      <c r="B72490" s="136"/>
    </row>
    <row r="72491" spans="1:2" x14ac:dyDescent="0.25">
      <c r="A72491" s="118"/>
      <c r="B72491" s="136"/>
    </row>
    <row r="72492" spans="1:2" x14ac:dyDescent="0.25">
      <c r="A72492" s="118"/>
      <c r="B72492" s="136"/>
    </row>
    <row r="72493" spans="1:2" x14ac:dyDescent="0.25">
      <c r="A72493" s="118"/>
      <c r="B72493" s="136"/>
    </row>
    <row r="72494" spans="1:2" x14ac:dyDescent="0.25">
      <c r="A72494" s="118"/>
      <c r="B72494" s="136"/>
    </row>
    <row r="72495" spans="1:2" x14ac:dyDescent="0.25">
      <c r="A72495" s="118"/>
      <c r="B72495" s="136"/>
    </row>
    <row r="72496" spans="1:2" x14ac:dyDescent="0.25">
      <c r="A72496" s="118"/>
      <c r="B72496" s="136"/>
    </row>
    <row r="72497" spans="1:2" x14ac:dyDescent="0.25">
      <c r="A72497" s="118"/>
      <c r="B72497" s="136"/>
    </row>
    <row r="72498" spans="1:2" x14ac:dyDescent="0.25">
      <c r="A72498" s="118"/>
      <c r="B72498" s="136"/>
    </row>
    <row r="72499" spans="1:2" x14ac:dyDescent="0.25">
      <c r="A72499" s="118"/>
      <c r="B72499" s="136"/>
    </row>
    <row r="72500" spans="1:2" x14ac:dyDescent="0.25">
      <c r="A72500" s="118"/>
      <c r="B72500" s="136"/>
    </row>
    <row r="72501" spans="1:2" x14ac:dyDescent="0.25">
      <c r="A72501" s="118"/>
      <c r="B72501" s="136"/>
    </row>
    <row r="72502" spans="1:2" x14ac:dyDescent="0.25">
      <c r="A72502" s="118"/>
      <c r="B72502" s="136"/>
    </row>
    <row r="72503" spans="1:2" x14ac:dyDescent="0.25">
      <c r="A72503" s="118"/>
      <c r="B72503" s="136"/>
    </row>
    <row r="72504" spans="1:2" x14ac:dyDescent="0.25">
      <c r="A72504" s="118"/>
      <c r="B72504" s="136"/>
    </row>
    <row r="72505" spans="1:2" x14ac:dyDescent="0.25">
      <c r="A72505" s="118"/>
      <c r="B72505" s="136"/>
    </row>
    <row r="72506" spans="1:2" x14ac:dyDescent="0.25">
      <c r="A72506" s="118"/>
      <c r="B72506" s="136"/>
    </row>
    <row r="72507" spans="1:2" x14ac:dyDescent="0.25">
      <c r="A72507" s="118"/>
      <c r="B72507" s="136"/>
    </row>
    <row r="72508" spans="1:2" x14ac:dyDescent="0.25">
      <c r="A72508" s="118"/>
      <c r="B72508" s="136"/>
    </row>
    <row r="72509" spans="1:2" x14ac:dyDescent="0.25">
      <c r="A72509" s="118"/>
      <c r="B72509" s="136"/>
    </row>
    <row r="72510" spans="1:2" x14ac:dyDescent="0.25">
      <c r="A72510" s="118"/>
      <c r="B72510" s="136"/>
    </row>
    <row r="72511" spans="1:2" x14ac:dyDescent="0.25">
      <c r="A72511" s="118"/>
      <c r="B72511" s="136"/>
    </row>
    <row r="72512" spans="1:2" x14ac:dyDescent="0.25">
      <c r="A72512" s="118"/>
      <c r="B72512" s="136"/>
    </row>
    <row r="72513" spans="1:2" x14ac:dyDescent="0.25">
      <c r="A72513" s="118"/>
      <c r="B72513" s="136"/>
    </row>
    <row r="72514" spans="1:2" x14ac:dyDescent="0.25">
      <c r="A72514" s="118"/>
      <c r="B72514" s="136"/>
    </row>
    <row r="72515" spans="1:2" x14ac:dyDescent="0.25">
      <c r="A72515" s="118"/>
      <c r="B72515" s="136"/>
    </row>
    <row r="72516" spans="1:2" x14ac:dyDescent="0.25">
      <c r="A72516" s="118"/>
      <c r="B72516" s="136"/>
    </row>
    <row r="72517" spans="1:2" x14ac:dyDescent="0.25">
      <c r="A72517" s="118"/>
      <c r="B72517" s="136"/>
    </row>
    <row r="72518" spans="1:2" x14ac:dyDescent="0.25">
      <c r="A72518" s="118"/>
      <c r="B72518" s="136"/>
    </row>
    <row r="72519" spans="1:2" x14ac:dyDescent="0.25">
      <c r="A72519" s="118"/>
      <c r="B72519" s="136"/>
    </row>
    <row r="72520" spans="1:2" x14ac:dyDescent="0.25">
      <c r="A72520" s="118"/>
      <c r="B72520" s="136"/>
    </row>
    <row r="72521" spans="1:2" x14ac:dyDescent="0.25">
      <c r="A72521" s="118"/>
      <c r="B72521" s="136"/>
    </row>
    <row r="72522" spans="1:2" x14ac:dyDescent="0.25">
      <c r="A72522" s="118"/>
      <c r="B72522" s="136"/>
    </row>
    <row r="72523" spans="1:2" x14ac:dyDescent="0.25">
      <c r="A72523" s="118"/>
      <c r="B72523" s="136"/>
    </row>
    <row r="72524" spans="1:2" x14ac:dyDescent="0.25">
      <c r="A72524" s="118"/>
      <c r="B72524" s="136"/>
    </row>
    <row r="72525" spans="1:2" x14ac:dyDescent="0.25">
      <c r="A72525" s="118"/>
      <c r="B72525" s="136"/>
    </row>
    <row r="72526" spans="1:2" x14ac:dyDescent="0.25">
      <c r="A72526" s="118"/>
      <c r="B72526" s="136"/>
    </row>
    <row r="72527" spans="1:2" x14ac:dyDescent="0.25">
      <c r="A72527" s="118"/>
      <c r="B72527" s="136"/>
    </row>
    <row r="72528" spans="1:2" x14ac:dyDescent="0.25">
      <c r="A72528" s="118"/>
      <c r="B72528" s="136"/>
    </row>
    <row r="72529" spans="1:2" x14ac:dyDescent="0.25">
      <c r="A72529" s="118"/>
      <c r="B72529" s="136"/>
    </row>
    <row r="72530" spans="1:2" x14ac:dyDescent="0.25">
      <c r="A72530" s="118"/>
      <c r="B72530" s="136"/>
    </row>
    <row r="72531" spans="1:2" x14ac:dyDescent="0.25">
      <c r="A72531" s="118"/>
      <c r="B72531" s="136"/>
    </row>
    <row r="72532" spans="1:2" x14ac:dyDescent="0.25">
      <c r="A72532" s="118"/>
      <c r="B72532" s="136"/>
    </row>
    <row r="72533" spans="1:2" x14ac:dyDescent="0.25">
      <c r="A72533" s="118"/>
      <c r="B72533" s="136"/>
    </row>
    <row r="72534" spans="1:2" x14ac:dyDescent="0.25">
      <c r="A72534" s="118"/>
      <c r="B72534" s="136"/>
    </row>
    <row r="72535" spans="1:2" x14ac:dyDescent="0.25">
      <c r="A72535" s="118"/>
      <c r="B72535" s="136"/>
    </row>
    <row r="72536" spans="1:2" x14ac:dyDescent="0.25">
      <c r="A72536" s="118"/>
      <c r="B72536" s="136"/>
    </row>
    <row r="72537" spans="1:2" x14ac:dyDescent="0.25">
      <c r="A72537" s="118"/>
      <c r="B72537" s="136"/>
    </row>
    <row r="72538" spans="1:2" x14ac:dyDescent="0.25">
      <c r="A72538" s="118"/>
      <c r="B72538" s="136"/>
    </row>
    <row r="72539" spans="1:2" x14ac:dyDescent="0.25">
      <c r="A72539" s="118"/>
      <c r="B72539" s="136"/>
    </row>
    <row r="72540" spans="1:2" x14ac:dyDescent="0.25">
      <c r="A72540" s="118"/>
      <c r="B72540" s="136"/>
    </row>
    <row r="72541" spans="1:2" x14ac:dyDescent="0.25">
      <c r="A72541" s="118"/>
      <c r="B72541" s="136"/>
    </row>
    <row r="72542" spans="1:2" x14ac:dyDescent="0.25">
      <c r="A72542" s="118"/>
      <c r="B72542" s="136"/>
    </row>
    <row r="72543" spans="1:2" x14ac:dyDescent="0.25">
      <c r="A72543" s="118"/>
      <c r="B72543" s="136"/>
    </row>
    <row r="72544" spans="1:2" x14ac:dyDescent="0.25">
      <c r="A72544" s="118"/>
      <c r="B72544" s="136"/>
    </row>
    <row r="72545" spans="1:2" x14ac:dyDescent="0.25">
      <c r="A72545" s="118"/>
      <c r="B72545" s="136"/>
    </row>
    <row r="72546" spans="1:2" x14ac:dyDescent="0.25">
      <c r="A72546" s="118"/>
      <c r="B72546" s="136"/>
    </row>
    <row r="72547" spans="1:2" x14ac:dyDescent="0.25">
      <c r="A72547" s="118"/>
      <c r="B72547" s="136"/>
    </row>
    <row r="72548" spans="1:2" x14ac:dyDescent="0.25">
      <c r="A72548" s="118"/>
      <c r="B72548" s="136"/>
    </row>
    <row r="72549" spans="1:2" x14ac:dyDescent="0.25">
      <c r="A72549" s="118"/>
      <c r="B72549" s="136"/>
    </row>
    <row r="72550" spans="1:2" x14ac:dyDescent="0.25">
      <c r="A72550" s="118"/>
      <c r="B72550" s="136"/>
    </row>
    <row r="72551" spans="1:2" x14ac:dyDescent="0.25">
      <c r="A72551" s="118"/>
      <c r="B72551" s="136"/>
    </row>
    <row r="72552" spans="1:2" x14ac:dyDescent="0.25">
      <c r="A72552" s="118"/>
      <c r="B72552" s="136"/>
    </row>
    <row r="72553" spans="1:2" x14ac:dyDescent="0.25">
      <c r="A72553" s="118"/>
      <c r="B72553" s="136"/>
    </row>
    <row r="72554" spans="1:2" x14ac:dyDescent="0.25">
      <c r="A72554" s="118"/>
      <c r="B72554" s="136"/>
    </row>
    <row r="72555" spans="1:2" x14ac:dyDescent="0.25">
      <c r="A72555" s="118"/>
      <c r="B72555" s="136"/>
    </row>
    <row r="72556" spans="1:2" x14ac:dyDescent="0.25">
      <c r="A72556" s="118"/>
      <c r="B72556" s="136"/>
    </row>
    <row r="72557" spans="1:2" x14ac:dyDescent="0.25">
      <c r="A72557" s="118"/>
      <c r="B72557" s="136"/>
    </row>
    <row r="72558" spans="1:2" x14ac:dyDescent="0.25">
      <c r="A72558" s="118"/>
      <c r="B72558" s="136"/>
    </row>
    <row r="72559" spans="1:2" x14ac:dyDescent="0.25">
      <c r="A72559" s="118"/>
      <c r="B72559" s="136"/>
    </row>
    <row r="72560" spans="1:2" x14ac:dyDescent="0.25">
      <c r="A72560" s="118"/>
      <c r="B72560" s="136"/>
    </row>
    <row r="72561" spans="1:2" x14ac:dyDescent="0.25">
      <c r="A72561" s="118"/>
      <c r="B72561" s="136"/>
    </row>
    <row r="72562" spans="1:2" x14ac:dyDescent="0.25">
      <c r="A72562" s="118"/>
      <c r="B72562" s="136"/>
    </row>
    <row r="72563" spans="1:2" x14ac:dyDescent="0.25">
      <c r="A72563" s="118"/>
      <c r="B72563" s="136"/>
    </row>
    <row r="72564" spans="1:2" x14ac:dyDescent="0.25">
      <c r="A72564" s="118"/>
      <c r="B72564" s="136"/>
    </row>
    <row r="72565" spans="1:2" x14ac:dyDescent="0.25">
      <c r="A72565" s="118"/>
      <c r="B72565" s="136"/>
    </row>
    <row r="72566" spans="1:2" x14ac:dyDescent="0.25">
      <c r="A72566" s="118"/>
      <c r="B72566" s="136"/>
    </row>
    <row r="72567" spans="1:2" x14ac:dyDescent="0.25">
      <c r="A72567" s="118"/>
      <c r="B72567" s="136"/>
    </row>
    <row r="72568" spans="1:2" x14ac:dyDescent="0.25">
      <c r="A72568" s="118"/>
      <c r="B72568" s="136"/>
    </row>
    <row r="72569" spans="1:2" x14ac:dyDescent="0.25">
      <c r="A72569" s="118"/>
      <c r="B72569" s="136"/>
    </row>
    <row r="72570" spans="1:2" x14ac:dyDescent="0.25">
      <c r="A72570" s="118"/>
      <c r="B72570" s="136"/>
    </row>
    <row r="72571" spans="1:2" x14ac:dyDescent="0.25">
      <c r="A72571" s="118"/>
      <c r="B72571" s="136"/>
    </row>
    <row r="72572" spans="1:2" x14ac:dyDescent="0.25">
      <c r="A72572" s="118"/>
      <c r="B72572" s="136"/>
    </row>
    <row r="72573" spans="1:2" x14ac:dyDescent="0.25">
      <c r="A72573" s="118"/>
      <c r="B72573" s="136"/>
    </row>
    <row r="72574" spans="1:2" x14ac:dyDescent="0.25">
      <c r="A72574" s="118"/>
      <c r="B72574" s="136"/>
    </row>
    <row r="72575" spans="1:2" x14ac:dyDescent="0.25">
      <c r="A72575" s="118"/>
      <c r="B72575" s="136"/>
    </row>
    <row r="72576" spans="1:2" x14ac:dyDescent="0.25">
      <c r="A72576" s="118"/>
      <c r="B72576" s="136"/>
    </row>
    <row r="72577" spans="1:2" x14ac:dyDescent="0.25">
      <c r="A72577" s="118"/>
      <c r="B72577" s="136"/>
    </row>
    <row r="72578" spans="1:2" x14ac:dyDescent="0.25">
      <c r="A72578" s="118"/>
      <c r="B72578" s="136"/>
    </row>
    <row r="72579" spans="1:2" x14ac:dyDescent="0.25">
      <c r="A72579" s="118"/>
      <c r="B72579" s="136"/>
    </row>
    <row r="72580" spans="1:2" x14ac:dyDescent="0.25">
      <c r="A72580" s="118"/>
      <c r="B72580" s="136"/>
    </row>
    <row r="72581" spans="1:2" x14ac:dyDescent="0.25">
      <c r="A72581" s="118"/>
      <c r="B72581" s="136"/>
    </row>
    <row r="72582" spans="1:2" x14ac:dyDescent="0.25">
      <c r="A72582" s="118"/>
      <c r="B72582" s="136"/>
    </row>
    <row r="72583" spans="1:2" x14ac:dyDescent="0.25">
      <c r="A72583" s="118"/>
      <c r="B72583" s="136"/>
    </row>
    <row r="72584" spans="1:2" x14ac:dyDescent="0.25">
      <c r="A72584" s="118"/>
      <c r="B72584" s="136"/>
    </row>
    <row r="72585" spans="1:2" x14ac:dyDescent="0.25">
      <c r="A72585" s="118"/>
      <c r="B72585" s="136"/>
    </row>
    <row r="72586" spans="1:2" x14ac:dyDescent="0.25">
      <c r="A72586" s="118"/>
      <c r="B72586" s="136"/>
    </row>
    <row r="72587" spans="1:2" x14ac:dyDescent="0.25">
      <c r="A72587" s="118"/>
      <c r="B72587" s="136"/>
    </row>
    <row r="72588" spans="1:2" x14ac:dyDescent="0.25">
      <c r="A72588" s="118"/>
      <c r="B72588" s="136"/>
    </row>
    <row r="72589" spans="1:2" x14ac:dyDescent="0.25">
      <c r="A72589" s="118"/>
      <c r="B72589" s="136"/>
    </row>
    <row r="72590" spans="1:2" x14ac:dyDescent="0.25">
      <c r="A72590" s="118"/>
      <c r="B72590" s="136"/>
    </row>
    <row r="72591" spans="1:2" x14ac:dyDescent="0.25">
      <c r="A72591" s="118"/>
      <c r="B72591" s="136"/>
    </row>
    <row r="72592" spans="1:2" x14ac:dyDescent="0.25">
      <c r="A72592" s="118"/>
      <c r="B72592" s="136"/>
    </row>
    <row r="72593" spans="1:2" x14ac:dyDescent="0.25">
      <c r="A72593" s="118"/>
      <c r="B72593" s="136"/>
    </row>
    <row r="72594" spans="1:2" x14ac:dyDescent="0.25">
      <c r="A72594" s="118"/>
      <c r="B72594" s="136"/>
    </row>
    <row r="72595" spans="1:2" x14ac:dyDescent="0.25">
      <c r="A72595" s="118"/>
      <c r="B72595" s="136"/>
    </row>
    <row r="72596" spans="1:2" x14ac:dyDescent="0.25">
      <c r="A72596" s="118"/>
      <c r="B72596" s="136"/>
    </row>
    <row r="72597" spans="1:2" x14ac:dyDescent="0.25">
      <c r="A72597" s="118"/>
      <c r="B72597" s="136"/>
    </row>
    <row r="72598" spans="1:2" x14ac:dyDescent="0.25">
      <c r="A72598" s="118"/>
      <c r="B72598" s="136"/>
    </row>
    <row r="72599" spans="1:2" x14ac:dyDescent="0.25">
      <c r="A72599" s="118"/>
      <c r="B72599" s="136"/>
    </row>
    <row r="72600" spans="1:2" x14ac:dyDescent="0.25">
      <c r="A72600" s="118"/>
      <c r="B72600" s="136"/>
    </row>
    <row r="72601" spans="1:2" x14ac:dyDescent="0.25">
      <c r="A72601" s="118"/>
      <c r="B72601" s="136"/>
    </row>
    <row r="72602" spans="1:2" x14ac:dyDescent="0.25">
      <c r="A72602" s="118"/>
      <c r="B72602" s="136"/>
    </row>
    <row r="72603" spans="1:2" x14ac:dyDescent="0.25">
      <c r="A72603" s="118"/>
      <c r="B72603" s="136"/>
    </row>
    <row r="72604" spans="1:2" x14ac:dyDescent="0.25">
      <c r="A72604" s="118"/>
      <c r="B72604" s="136"/>
    </row>
    <row r="72605" spans="1:2" x14ac:dyDescent="0.25">
      <c r="A72605" s="118"/>
      <c r="B72605" s="136"/>
    </row>
    <row r="72606" spans="1:2" x14ac:dyDescent="0.25">
      <c r="A72606" s="118"/>
      <c r="B72606" s="136"/>
    </row>
    <row r="72607" spans="1:2" x14ac:dyDescent="0.25">
      <c r="A72607" s="118"/>
      <c r="B72607" s="136"/>
    </row>
    <row r="72608" spans="1:2" x14ac:dyDescent="0.25">
      <c r="A72608" s="118"/>
      <c r="B72608" s="136"/>
    </row>
    <row r="72609" spans="1:2" x14ac:dyDescent="0.25">
      <c r="A72609" s="118"/>
      <c r="B72609" s="136"/>
    </row>
    <row r="72610" spans="1:2" x14ac:dyDescent="0.25">
      <c r="A72610" s="118"/>
      <c r="B72610" s="136"/>
    </row>
    <row r="72611" spans="1:2" x14ac:dyDescent="0.25">
      <c r="A72611" s="118"/>
      <c r="B72611" s="136"/>
    </row>
    <row r="72612" spans="1:2" x14ac:dyDescent="0.25">
      <c r="A72612" s="118"/>
      <c r="B72612" s="136"/>
    </row>
    <row r="72613" spans="1:2" x14ac:dyDescent="0.25">
      <c r="A72613" s="118"/>
      <c r="B72613" s="136"/>
    </row>
    <row r="72614" spans="1:2" x14ac:dyDescent="0.25">
      <c r="A72614" s="118"/>
      <c r="B72614" s="136"/>
    </row>
    <row r="72615" spans="1:2" x14ac:dyDescent="0.25">
      <c r="A72615" s="118"/>
      <c r="B72615" s="136"/>
    </row>
    <row r="72616" spans="1:2" x14ac:dyDescent="0.25">
      <c r="A72616" s="118"/>
      <c r="B72616" s="136"/>
    </row>
    <row r="72617" spans="1:2" x14ac:dyDescent="0.25">
      <c r="A72617" s="118"/>
      <c r="B72617" s="136"/>
    </row>
    <row r="72618" spans="1:2" x14ac:dyDescent="0.25">
      <c r="A72618" s="118"/>
      <c r="B72618" s="136"/>
    </row>
    <row r="72619" spans="1:2" x14ac:dyDescent="0.25">
      <c r="A72619" s="118"/>
      <c r="B72619" s="136"/>
    </row>
    <row r="72620" spans="1:2" x14ac:dyDescent="0.25">
      <c r="A72620" s="118"/>
      <c r="B72620" s="136"/>
    </row>
    <row r="72621" spans="1:2" x14ac:dyDescent="0.25">
      <c r="A72621" s="118"/>
      <c r="B72621" s="136"/>
    </row>
    <row r="72622" spans="1:2" x14ac:dyDescent="0.25">
      <c r="A72622" s="118"/>
      <c r="B72622" s="136"/>
    </row>
    <row r="72623" spans="1:2" x14ac:dyDescent="0.25">
      <c r="A72623" s="118"/>
      <c r="B72623" s="136"/>
    </row>
    <row r="72624" spans="1:2" x14ac:dyDescent="0.25">
      <c r="A72624" s="118"/>
      <c r="B72624" s="136"/>
    </row>
    <row r="72625" spans="1:2" x14ac:dyDescent="0.25">
      <c r="A72625" s="118"/>
      <c r="B72625" s="136"/>
    </row>
    <row r="72626" spans="1:2" x14ac:dyDescent="0.25">
      <c r="A72626" s="118"/>
      <c r="B72626" s="136"/>
    </row>
    <row r="72627" spans="1:2" x14ac:dyDescent="0.25">
      <c r="A72627" s="118"/>
      <c r="B72627" s="136"/>
    </row>
    <row r="72628" spans="1:2" x14ac:dyDescent="0.25">
      <c r="A72628" s="118"/>
      <c r="B72628" s="136"/>
    </row>
    <row r="72629" spans="1:2" x14ac:dyDescent="0.25">
      <c r="A72629" s="118"/>
      <c r="B72629" s="136"/>
    </row>
    <row r="72630" spans="1:2" x14ac:dyDescent="0.25">
      <c r="A72630" s="118"/>
      <c r="B72630" s="136"/>
    </row>
    <row r="72631" spans="1:2" x14ac:dyDescent="0.25">
      <c r="A72631" s="118"/>
      <c r="B72631" s="136"/>
    </row>
    <row r="72632" spans="1:2" x14ac:dyDescent="0.25">
      <c r="A72632" s="118"/>
      <c r="B72632" s="136"/>
    </row>
    <row r="72633" spans="1:2" x14ac:dyDescent="0.25">
      <c r="A72633" s="118"/>
      <c r="B72633" s="136"/>
    </row>
    <row r="72634" spans="1:2" x14ac:dyDescent="0.25">
      <c r="A72634" s="118"/>
      <c r="B72634" s="136"/>
    </row>
    <row r="72635" spans="1:2" x14ac:dyDescent="0.25">
      <c r="A72635" s="118"/>
      <c r="B72635" s="136"/>
    </row>
    <row r="72636" spans="1:2" x14ac:dyDescent="0.25">
      <c r="A72636" s="118"/>
      <c r="B72636" s="136"/>
    </row>
    <row r="72637" spans="1:2" x14ac:dyDescent="0.25">
      <c r="A72637" s="118"/>
      <c r="B72637" s="136"/>
    </row>
    <row r="72638" spans="1:2" x14ac:dyDescent="0.25">
      <c r="A72638" s="118"/>
      <c r="B72638" s="136"/>
    </row>
    <row r="72639" spans="1:2" x14ac:dyDescent="0.25">
      <c r="A72639" s="118"/>
      <c r="B72639" s="136"/>
    </row>
    <row r="72640" spans="1:2" x14ac:dyDescent="0.25">
      <c r="A72640" s="118"/>
      <c r="B72640" s="136"/>
    </row>
    <row r="72641" spans="1:2" x14ac:dyDescent="0.25">
      <c r="A72641" s="118"/>
      <c r="B72641" s="136"/>
    </row>
    <row r="72642" spans="1:2" x14ac:dyDescent="0.25">
      <c r="A72642" s="118"/>
      <c r="B72642" s="136"/>
    </row>
    <row r="72643" spans="1:2" x14ac:dyDescent="0.25">
      <c r="A72643" s="118"/>
      <c r="B72643" s="136"/>
    </row>
    <row r="72644" spans="1:2" x14ac:dyDescent="0.25">
      <c r="A72644" s="118"/>
      <c r="B72644" s="136"/>
    </row>
    <row r="72645" spans="1:2" x14ac:dyDescent="0.25">
      <c r="A72645" s="118"/>
      <c r="B72645" s="136"/>
    </row>
    <row r="72646" spans="1:2" x14ac:dyDescent="0.25">
      <c r="A72646" s="118"/>
      <c r="B72646" s="136"/>
    </row>
    <row r="72647" spans="1:2" x14ac:dyDescent="0.25">
      <c r="A72647" s="118"/>
      <c r="B72647" s="136"/>
    </row>
    <row r="72648" spans="1:2" x14ac:dyDescent="0.25">
      <c r="A72648" s="118"/>
      <c r="B72648" s="136"/>
    </row>
    <row r="72649" spans="1:2" x14ac:dyDescent="0.25">
      <c r="A72649" s="118"/>
      <c r="B72649" s="136"/>
    </row>
    <row r="72650" spans="1:2" x14ac:dyDescent="0.25">
      <c r="A72650" s="118"/>
      <c r="B72650" s="136"/>
    </row>
    <row r="72651" spans="1:2" x14ac:dyDescent="0.25">
      <c r="A72651" s="118"/>
      <c r="B72651" s="136"/>
    </row>
    <row r="72652" spans="1:2" x14ac:dyDescent="0.25">
      <c r="A72652" s="118"/>
      <c r="B72652" s="136"/>
    </row>
    <row r="72653" spans="1:2" x14ac:dyDescent="0.25">
      <c r="A72653" s="118"/>
      <c r="B72653" s="136"/>
    </row>
    <row r="72654" spans="1:2" x14ac:dyDescent="0.25">
      <c r="A72654" s="118"/>
      <c r="B72654" s="136"/>
    </row>
    <row r="72655" spans="1:2" x14ac:dyDescent="0.25">
      <c r="A72655" s="118"/>
      <c r="B72655" s="136"/>
    </row>
    <row r="72656" spans="1:2" x14ac:dyDescent="0.25">
      <c r="A72656" s="118"/>
      <c r="B72656" s="136"/>
    </row>
    <row r="72657" spans="1:2" x14ac:dyDescent="0.25">
      <c r="A72657" s="118"/>
      <c r="B72657" s="136"/>
    </row>
    <row r="72658" spans="1:2" x14ac:dyDescent="0.25">
      <c r="A72658" s="118"/>
      <c r="B72658" s="136"/>
    </row>
    <row r="72659" spans="1:2" x14ac:dyDescent="0.25">
      <c r="A72659" s="118"/>
      <c r="B72659" s="136"/>
    </row>
    <row r="72660" spans="1:2" x14ac:dyDescent="0.25">
      <c r="A72660" s="118"/>
      <c r="B72660" s="136"/>
    </row>
    <row r="72661" spans="1:2" x14ac:dyDescent="0.25">
      <c r="A72661" s="118"/>
      <c r="B72661" s="136"/>
    </row>
    <row r="72662" spans="1:2" x14ac:dyDescent="0.25">
      <c r="A72662" s="118"/>
      <c r="B72662" s="136"/>
    </row>
    <row r="72663" spans="1:2" x14ac:dyDescent="0.25">
      <c r="A72663" s="118"/>
      <c r="B72663" s="136"/>
    </row>
    <row r="72664" spans="1:2" x14ac:dyDescent="0.25">
      <c r="A72664" s="118"/>
      <c r="B72664" s="136"/>
    </row>
    <row r="72665" spans="1:2" x14ac:dyDescent="0.25">
      <c r="A72665" s="118"/>
      <c r="B72665" s="136"/>
    </row>
    <row r="72666" spans="1:2" x14ac:dyDescent="0.25">
      <c r="A72666" s="118"/>
      <c r="B72666" s="136"/>
    </row>
    <row r="72667" spans="1:2" x14ac:dyDescent="0.25">
      <c r="A72667" s="118"/>
      <c r="B72667" s="136"/>
    </row>
    <row r="72668" spans="1:2" x14ac:dyDescent="0.25">
      <c r="A72668" s="118"/>
      <c r="B72668" s="136"/>
    </row>
    <row r="72669" spans="1:2" x14ac:dyDescent="0.25">
      <c r="A72669" s="118"/>
      <c r="B72669" s="136"/>
    </row>
    <row r="72670" spans="1:2" x14ac:dyDescent="0.25">
      <c r="A72670" s="118"/>
      <c r="B72670" s="136"/>
    </row>
    <row r="72671" spans="1:2" x14ac:dyDescent="0.25">
      <c r="A72671" s="118"/>
      <c r="B72671" s="136"/>
    </row>
    <row r="72672" spans="1:2" x14ac:dyDescent="0.25">
      <c r="A72672" s="118"/>
      <c r="B72672" s="136"/>
    </row>
    <row r="72673" spans="1:2" x14ac:dyDescent="0.25">
      <c r="A72673" s="118"/>
      <c r="B72673" s="136"/>
    </row>
    <row r="72674" spans="1:2" x14ac:dyDescent="0.25">
      <c r="A72674" s="118"/>
      <c r="B72674" s="136"/>
    </row>
    <row r="72675" spans="1:2" x14ac:dyDescent="0.25">
      <c r="A72675" s="118"/>
      <c r="B72675" s="136"/>
    </row>
    <row r="72676" spans="1:2" x14ac:dyDescent="0.25">
      <c r="A72676" s="118"/>
      <c r="B72676" s="136"/>
    </row>
    <row r="72677" spans="1:2" x14ac:dyDescent="0.25">
      <c r="A72677" s="118"/>
      <c r="B72677" s="136"/>
    </row>
    <row r="72678" spans="1:2" x14ac:dyDescent="0.25">
      <c r="A72678" s="118"/>
      <c r="B72678" s="136"/>
    </row>
    <row r="72679" spans="1:2" x14ac:dyDescent="0.25">
      <c r="A72679" s="118"/>
      <c r="B72679" s="136"/>
    </row>
    <row r="72680" spans="1:2" x14ac:dyDescent="0.25">
      <c r="A72680" s="118"/>
      <c r="B72680" s="136"/>
    </row>
    <row r="72681" spans="1:2" x14ac:dyDescent="0.25">
      <c r="A72681" s="118"/>
      <c r="B72681" s="136"/>
    </row>
    <row r="72682" spans="1:2" x14ac:dyDescent="0.25">
      <c r="A72682" s="118"/>
      <c r="B72682" s="136"/>
    </row>
    <row r="72683" spans="1:2" x14ac:dyDescent="0.25">
      <c r="A72683" s="118"/>
      <c r="B72683" s="136"/>
    </row>
    <row r="72684" spans="1:2" x14ac:dyDescent="0.25">
      <c r="A72684" s="118"/>
      <c r="B72684" s="136"/>
    </row>
    <row r="72685" spans="1:2" x14ac:dyDescent="0.25">
      <c r="A72685" s="118"/>
      <c r="B72685" s="136"/>
    </row>
    <row r="72686" spans="1:2" x14ac:dyDescent="0.25">
      <c r="A72686" s="118"/>
      <c r="B72686" s="136"/>
    </row>
    <row r="72687" spans="1:2" x14ac:dyDescent="0.25">
      <c r="A72687" s="118"/>
      <c r="B72687" s="136"/>
    </row>
    <row r="72688" spans="1:2" x14ac:dyDescent="0.25">
      <c r="A72688" s="118"/>
      <c r="B72688" s="136"/>
    </row>
    <row r="72689" spans="1:2" x14ac:dyDescent="0.25">
      <c r="A72689" s="118"/>
      <c r="B72689" s="136"/>
    </row>
    <row r="72690" spans="1:2" x14ac:dyDescent="0.25">
      <c r="A72690" s="118"/>
      <c r="B72690" s="136"/>
    </row>
    <row r="72691" spans="1:2" x14ac:dyDescent="0.25">
      <c r="A72691" s="118"/>
      <c r="B72691" s="136"/>
    </row>
    <row r="72692" spans="1:2" x14ac:dyDescent="0.25">
      <c r="A72692" s="118"/>
      <c r="B72692" s="136"/>
    </row>
    <row r="72693" spans="1:2" x14ac:dyDescent="0.25">
      <c r="A72693" s="118"/>
      <c r="B72693" s="136"/>
    </row>
    <row r="72694" spans="1:2" x14ac:dyDescent="0.25">
      <c r="A72694" s="118"/>
      <c r="B72694" s="136"/>
    </row>
    <row r="72695" spans="1:2" x14ac:dyDescent="0.25">
      <c r="A72695" s="118"/>
      <c r="B72695" s="136"/>
    </row>
    <row r="72696" spans="1:2" x14ac:dyDescent="0.25">
      <c r="A72696" s="118"/>
      <c r="B72696" s="136"/>
    </row>
    <row r="72697" spans="1:2" x14ac:dyDescent="0.25">
      <c r="A72697" s="118"/>
      <c r="B72697" s="136"/>
    </row>
    <row r="72698" spans="1:2" x14ac:dyDescent="0.25">
      <c r="A72698" s="118"/>
      <c r="B72698" s="136"/>
    </row>
    <row r="72699" spans="1:2" x14ac:dyDescent="0.25">
      <c r="A72699" s="118"/>
      <c r="B72699" s="136"/>
    </row>
    <row r="72700" spans="1:2" x14ac:dyDescent="0.25">
      <c r="A72700" s="118"/>
      <c r="B72700" s="136"/>
    </row>
    <row r="72701" spans="1:2" x14ac:dyDescent="0.25">
      <c r="A72701" s="118"/>
      <c r="B72701" s="136"/>
    </row>
    <row r="72702" spans="1:2" x14ac:dyDescent="0.25">
      <c r="A72702" s="118"/>
      <c r="B72702" s="136"/>
    </row>
    <row r="72703" spans="1:2" x14ac:dyDescent="0.25">
      <c r="A72703" s="118"/>
      <c r="B72703" s="136"/>
    </row>
    <row r="72704" spans="1:2" x14ac:dyDescent="0.25">
      <c r="A72704" s="118"/>
      <c r="B72704" s="136"/>
    </row>
    <row r="72705" spans="1:2" x14ac:dyDescent="0.25">
      <c r="A72705" s="118"/>
      <c r="B72705" s="136"/>
    </row>
    <row r="72706" spans="1:2" x14ac:dyDescent="0.25">
      <c r="A72706" s="118"/>
      <c r="B72706" s="136"/>
    </row>
    <row r="72707" spans="1:2" x14ac:dyDescent="0.25">
      <c r="A72707" s="118"/>
      <c r="B72707" s="136"/>
    </row>
    <row r="72708" spans="1:2" x14ac:dyDescent="0.25">
      <c r="A72708" s="118"/>
      <c r="B72708" s="136"/>
    </row>
    <row r="72709" spans="1:2" x14ac:dyDescent="0.25">
      <c r="A72709" s="118"/>
      <c r="B72709" s="136"/>
    </row>
    <row r="72710" spans="1:2" x14ac:dyDescent="0.25">
      <c r="A72710" s="118"/>
      <c r="B72710" s="136"/>
    </row>
    <row r="72711" spans="1:2" x14ac:dyDescent="0.25">
      <c r="A72711" s="118"/>
      <c r="B72711" s="136"/>
    </row>
    <row r="72712" spans="1:2" x14ac:dyDescent="0.25">
      <c r="A72712" s="118"/>
      <c r="B72712" s="136"/>
    </row>
    <row r="72713" spans="1:2" x14ac:dyDescent="0.25">
      <c r="A72713" s="118"/>
      <c r="B72713" s="136"/>
    </row>
    <row r="72714" spans="1:2" x14ac:dyDescent="0.25">
      <c r="A72714" s="118"/>
      <c r="B72714" s="136"/>
    </row>
    <row r="72715" spans="1:2" x14ac:dyDescent="0.25">
      <c r="A72715" s="118"/>
      <c r="B72715" s="136"/>
    </row>
    <row r="72716" spans="1:2" x14ac:dyDescent="0.25">
      <c r="A72716" s="118"/>
      <c r="B72716" s="136"/>
    </row>
    <row r="72717" spans="1:2" x14ac:dyDescent="0.25">
      <c r="A72717" s="118"/>
      <c r="B72717" s="136"/>
    </row>
    <row r="72718" spans="1:2" x14ac:dyDescent="0.25">
      <c r="A72718" s="118"/>
      <c r="B72718" s="136"/>
    </row>
    <row r="72719" spans="1:2" x14ac:dyDescent="0.25">
      <c r="A72719" s="118"/>
      <c r="B72719" s="136"/>
    </row>
    <row r="72720" spans="1:2" x14ac:dyDescent="0.25">
      <c r="A72720" s="118"/>
      <c r="B72720" s="136"/>
    </row>
    <row r="72721" spans="1:2" x14ac:dyDescent="0.25">
      <c r="A72721" s="118"/>
      <c r="B72721" s="136"/>
    </row>
    <row r="72722" spans="1:2" x14ac:dyDescent="0.25">
      <c r="A72722" s="118"/>
      <c r="B72722" s="136"/>
    </row>
    <row r="72723" spans="1:2" x14ac:dyDescent="0.25">
      <c r="A72723" s="118"/>
      <c r="B72723" s="136"/>
    </row>
    <row r="72724" spans="1:2" x14ac:dyDescent="0.25">
      <c r="A72724" s="118"/>
      <c r="B72724" s="136"/>
    </row>
    <row r="72725" spans="1:2" x14ac:dyDescent="0.25">
      <c r="A72725" s="118"/>
      <c r="B72725" s="136"/>
    </row>
    <row r="72726" spans="1:2" x14ac:dyDescent="0.25">
      <c r="A72726" s="118"/>
      <c r="B72726" s="136"/>
    </row>
    <row r="72727" spans="1:2" x14ac:dyDescent="0.25">
      <c r="A72727" s="118"/>
      <c r="B72727" s="136"/>
    </row>
    <row r="72728" spans="1:2" x14ac:dyDescent="0.25">
      <c r="A72728" s="118"/>
      <c r="B72728" s="136"/>
    </row>
    <row r="72729" spans="1:2" x14ac:dyDescent="0.25">
      <c r="A72729" s="118"/>
      <c r="B72729" s="136"/>
    </row>
    <row r="72730" spans="1:2" x14ac:dyDescent="0.25">
      <c r="A72730" s="118"/>
      <c r="B72730" s="136"/>
    </row>
    <row r="72731" spans="1:2" x14ac:dyDescent="0.25">
      <c r="A72731" s="118"/>
      <c r="B72731" s="136"/>
    </row>
    <row r="72732" spans="1:2" x14ac:dyDescent="0.25">
      <c r="A72732" s="118"/>
      <c r="B72732" s="136"/>
    </row>
    <row r="72733" spans="1:2" x14ac:dyDescent="0.25">
      <c r="A72733" s="118"/>
      <c r="B72733" s="136"/>
    </row>
    <row r="72734" spans="1:2" x14ac:dyDescent="0.25">
      <c r="A72734" s="118"/>
      <c r="B72734" s="136"/>
    </row>
    <row r="72735" spans="1:2" x14ac:dyDescent="0.25">
      <c r="A72735" s="118"/>
      <c r="B72735" s="136"/>
    </row>
    <row r="72736" spans="1:2" x14ac:dyDescent="0.25">
      <c r="A72736" s="118"/>
      <c r="B72736" s="136"/>
    </row>
    <row r="72737" spans="1:2" x14ac:dyDescent="0.25">
      <c r="A72737" s="118"/>
      <c r="B72737" s="136"/>
    </row>
    <row r="72738" spans="1:2" x14ac:dyDescent="0.25">
      <c r="A72738" s="118"/>
      <c r="B72738" s="136"/>
    </row>
    <row r="72739" spans="1:2" x14ac:dyDescent="0.25">
      <c r="A72739" s="118"/>
      <c r="B72739" s="136"/>
    </row>
    <row r="72740" spans="1:2" x14ac:dyDescent="0.25">
      <c r="A72740" s="118"/>
      <c r="B72740" s="136"/>
    </row>
    <row r="72741" spans="1:2" x14ac:dyDescent="0.25">
      <c r="A72741" s="118"/>
      <c r="B72741" s="136"/>
    </row>
    <row r="72742" spans="1:2" x14ac:dyDescent="0.25">
      <c r="A72742" s="118"/>
      <c r="B72742" s="136"/>
    </row>
    <row r="72743" spans="1:2" x14ac:dyDescent="0.25">
      <c r="A72743" s="118"/>
      <c r="B72743" s="136"/>
    </row>
    <row r="72744" spans="1:2" x14ac:dyDescent="0.25">
      <c r="A72744" s="118"/>
      <c r="B72744" s="136"/>
    </row>
    <row r="72745" spans="1:2" x14ac:dyDescent="0.25">
      <c r="A72745" s="118"/>
      <c r="B72745" s="136"/>
    </row>
    <row r="72746" spans="1:2" x14ac:dyDescent="0.25">
      <c r="A72746" s="118"/>
      <c r="B72746" s="136"/>
    </row>
    <row r="72747" spans="1:2" x14ac:dyDescent="0.25">
      <c r="A72747" s="118"/>
      <c r="B72747" s="136"/>
    </row>
    <row r="72748" spans="1:2" x14ac:dyDescent="0.25">
      <c r="A72748" s="118"/>
      <c r="B72748" s="136"/>
    </row>
    <row r="72749" spans="1:2" x14ac:dyDescent="0.25">
      <c r="A72749" s="118"/>
      <c r="B72749" s="136"/>
    </row>
    <row r="72750" spans="1:2" x14ac:dyDescent="0.25">
      <c r="A72750" s="118"/>
      <c r="B72750" s="136"/>
    </row>
    <row r="72751" spans="1:2" x14ac:dyDescent="0.25">
      <c r="A72751" s="118"/>
      <c r="B72751" s="136"/>
    </row>
    <row r="72752" spans="1:2" x14ac:dyDescent="0.25">
      <c r="A72752" s="118"/>
      <c r="B72752" s="136"/>
    </row>
    <row r="72753" spans="1:2" x14ac:dyDescent="0.25">
      <c r="A72753" s="118"/>
      <c r="B72753" s="136"/>
    </row>
    <row r="72754" spans="1:2" x14ac:dyDescent="0.25">
      <c r="A72754" s="118"/>
      <c r="B72754" s="136"/>
    </row>
    <row r="72755" spans="1:2" x14ac:dyDescent="0.25">
      <c r="A72755" s="118"/>
      <c r="B72755" s="136"/>
    </row>
    <row r="72756" spans="1:2" x14ac:dyDescent="0.25">
      <c r="A72756" s="118"/>
      <c r="B72756" s="136"/>
    </row>
    <row r="72757" spans="1:2" x14ac:dyDescent="0.25">
      <c r="A72757" s="118"/>
      <c r="B72757" s="136"/>
    </row>
    <row r="72758" spans="1:2" x14ac:dyDescent="0.25">
      <c r="A72758" s="118"/>
      <c r="B72758" s="136"/>
    </row>
    <row r="72759" spans="1:2" x14ac:dyDescent="0.25">
      <c r="A72759" s="118"/>
      <c r="B72759" s="136"/>
    </row>
    <row r="72760" spans="1:2" x14ac:dyDescent="0.25">
      <c r="A72760" s="118"/>
      <c r="B72760" s="136"/>
    </row>
    <row r="72761" spans="1:2" x14ac:dyDescent="0.25">
      <c r="A72761" s="118"/>
      <c r="B72761" s="136"/>
    </row>
    <row r="72762" spans="1:2" x14ac:dyDescent="0.25">
      <c r="A72762" s="118"/>
      <c r="B72762" s="136"/>
    </row>
    <row r="72763" spans="1:2" x14ac:dyDescent="0.25">
      <c r="A72763" s="118"/>
      <c r="B72763" s="136"/>
    </row>
    <row r="72764" spans="1:2" x14ac:dyDescent="0.25">
      <c r="A72764" s="118"/>
      <c r="B72764" s="136"/>
    </row>
    <row r="72765" spans="1:2" x14ac:dyDescent="0.25">
      <c r="A72765" s="118"/>
      <c r="B72765" s="136"/>
    </row>
    <row r="72766" spans="1:2" x14ac:dyDescent="0.25">
      <c r="A72766" s="118"/>
      <c r="B72766" s="136"/>
    </row>
    <row r="72767" spans="1:2" x14ac:dyDescent="0.25">
      <c r="A72767" s="118"/>
      <c r="B72767" s="136"/>
    </row>
    <row r="72768" spans="1:2" x14ac:dyDescent="0.25">
      <c r="A72768" s="118"/>
      <c r="B72768" s="136"/>
    </row>
    <row r="72769" spans="1:2" x14ac:dyDescent="0.25">
      <c r="A72769" s="118"/>
      <c r="B72769" s="136"/>
    </row>
    <row r="72770" spans="1:2" x14ac:dyDescent="0.25">
      <c r="A72770" s="118"/>
      <c r="B72770" s="136"/>
    </row>
    <row r="72771" spans="1:2" x14ac:dyDescent="0.25">
      <c r="A72771" s="118"/>
      <c r="B72771" s="136"/>
    </row>
    <row r="72772" spans="1:2" x14ac:dyDescent="0.25">
      <c r="A72772" s="118"/>
      <c r="B72772" s="136"/>
    </row>
    <row r="72773" spans="1:2" x14ac:dyDescent="0.25">
      <c r="A72773" s="118"/>
      <c r="B72773" s="136"/>
    </row>
    <row r="72774" spans="1:2" x14ac:dyDescent="0.25">
      <c r="A72774" s="118"/>
      <c r="B72774" s="136"/>
    </row>
    <row r="72775" spans="1:2" x14ac:dyDescent="0.25">
      <c r="A72775" s="118"/>
      <c r="B72775" s="136"/>
    </row>
    <row r="72776" spans="1:2" x14ac:dyDescent="0.25">
      <c r="A72776" s="118"/>
      <c r="B72776" s="136"/>
    </row>
    <row r="72777" spans="1:2" x14ac:dyDescent="0.25">
      <c r="A72777" s="118"/>
      <c r="B72777" s="136"/>
    </row>
    <row r="72778" spans="1:2" x14ac:dyDescent="0.25">
      <c r="A72778" s="118"/>
      <c r="B72778" s="136"/>
    </row>
    <row r="72779" spans="1:2" x14ac:dyDescent="0.25">
      <c r="A72779" s="118"/>
      <c r="B72779" s="136"/>
    </row>
    <row r="72780" spans="1:2" x14ac:dyDescent="0.25">
      <c r="A72780" s="118"/>
      <c r="B72780" s="136"/>
    </row>
    <row r="72781" spans="1:2" x14ac:dyDescent="0.25">
      <c r="A72781" s="118"/>
      <c r="B72781" s="136"/>
    </row>
    <row r="72782" spans="1:2" x14ac:dyDescent="0.25">
      <c r="A72782" s="118"/>
      <c r="B72782" s="136"/>
    </row>
    <row r="72783" spans="1:2" x14ac:dyDescent="0.25">
      <c r="A72783" s="118"/>
      <c r="B72783" s="136"/>
    </row>
    <row r="72784" spans="1:2" x14ac:dyDescent="0.25">
      <c r="A72784" s="118"/>
      <c r="B72784" s="136"/>
    </row>
    <row r="72785" spans="1:2" x14ac:dyDescent="0.25">
      <c r="A72785" s="118"/>
      <c r="B72785" s="136"/>
    </row>
    <row r="72786" spans="1:2" x14ac:dyDescent="0.25">
      <c r="A72786" s="118"/>
      <c r="B72786" s="136"/>
    </row>
    <row r="72787" spans="1:2" x14ac:dyDescent="0.25">
      <c r="A72787" s="118"/>
      <c r="B72787" s="136"/>
    </row>
    <row r="72788" spans="1:2" x14ac:dyDescent="0.25">
      <c r="A72788" s="118"/>
      <c r="B72788" s="136"/>
    </row>
    <row r="72789" spans="1:2" x14ac:dyDescent="0.25">
      <c r="A72789" s="118"/>
      <c r="B72789" s="136"/>
    </row>
    <row r="72790" spans="1:2" x14ac:dyDescent="0.25">
      <c r="A72790" s="118"/>
      <c r="B72790" s="136"/>
    </row>
    <row r="72791" spans="1:2" x14ac:dyDescent="0.25">
      <c r="A72791" s="118"/>
      <c r="B72791" s="136"/>
    </row>
    <row r="72792" spans="1:2" x14ac:dyDescent="0.25">
      <c r="A72792" s="118"/>
      <c r="B72792" s="136"/>
    </row>
    <row r="72793" spans="1:2" x14ac:dyDescent="0.25">
      <c r="A72793" s="118"/>
      <c r="B72793" s="136"/>
    </row>
    <row r="72794" spans="1:2" x14ac:dyDescent="0.25">
      <c r="A72794" s="118"/>
      <c r="B72794" s="136"/>
    </row>
    <row r="72795" spans="1:2" x14ac:dyDescent="0.25">
      <c r="A72795" s="118"/>
      <c r="B72795" s="136"/>
    </row>
    <row r="72796" spans="1:2" x14ac:dyDescent="0.25">
      <c r="A72796" s="118"/>
      <c r="B72796" s="136"/>
    </row>
    <row r="72797" spans="1:2" x14ac:dyDescent="0.25">
      <c r="A72797" s="118"/>
      <c r="B72797" s="136"/>
    </row>
    <row r="72798" spans="1:2" x14ac:dyDescent="0.25">
      <c r="A72798" s="118"/>
      <c r="B72798" s="136"/>
    </row>
    <row r="72799" spans="1:2" x14ac:dyDescent="0.25">
      <c r="A72799" s="118"/>
      <c r="B72799" s="136"/>
    </row>
    <row r="72800" spans="1:2" x14ac:dyDescent="0.25">
      <c r="A72800" s="118"/>
      <c r="B72800" s="136"/>
    </row>
    <row r="72801" spans="1:2" x14ac:dyDescent="0.25">
      <c r="A72801" s="118"/>
      <c r="B72801" s="136"/>
    </row>
    <row r="72802" spans="1:2" x14ac:dyDescent="0.25">
      <c r="A72802" s="118"/>
      <c r="B72802" s="136"/>
    </row>
    <row r="72803" spans="1:2" x14ac:dyDescent="0.25">
      <c r="A72803" s="118"/>
      <c r="B72803" s="136"/>
    </row>
    <row r="72804" spans="1:2" x14ac:dyDescent="0.25">
      <c r="A72804" s="118"/>
      <c r="B72804" s="136"/>
    </row>
    <row r="72805" spans="1:2" x14ac:dyDescent="0.25">
      <c r="A72805" s="118"/>
      <c r="B72805" s="136"/>
    </row>
    <row r="72806" spans="1:2" x14ac:dyDescent="0.25">
      <c r="A72806" s="118"/>
      <c r="B72806" s="136"/>
    </row>
    <row r="72807" spans="1:2" x14ac:dyDescent="0.25">
      <c r="A72807" s="118"/>
      <c r="B72807" s="136"/>
    </row>
    <row r="72808" spans="1:2" x14ac:dyDescent="0.25">
      <c r="A72808" s="118"/>
      <c r="B72808" s="136"/>
    </row>
    <row r="72809" spans="1:2" x14ac:dyDescent="0.25">
      <c r="A72809" s="118"/>
      <c r="B72809" s="136"/>
    </row>
    <row r="72810" spans="1:2" x14ac:dyDescent="0.25">
      <c r="A72810" s="118"/>
      <c r="B72810" s="136"/>
    </row>
    <row r="72811" spans="1:2" x14ac:dyDescent="0.25">
      <c r="A72811" s="118"/>
      <c r="B72811" s="136"/>
    </row>
    <row r="72812" spans="1:2" x14ac:dyDescent="0.25">
      <c r="A72812" s="118"/>
      <c r="B72812" s="136"/>
    </row>
    <row r="72813" spans="1:2" x14ac:dyDescent="0.25">
      <c r="A72813" s="118"/>
      <c r="B72813" s="136"/>
    </row>
    <row r="72814" spans="1:2" x14ac:dyDescent="0.25">
      <c r="A72814" s="118"/>
      <c r="B72814" s="136"/>
    </row>
    <row r="72815" spans="1:2" x14ac:dyDescent="0.25">
      <c r="A72815" s="118"/>
      <c r="B72815" s="136"/>
    </row>
    <row r="72816" spans="1:2" x14ac:dyDescent="0.25">
      <c r="A72816" s="118"/>
      <c r="B72816" s="136"/>
    </row>
    <row r="72817" spans="1:2" x14ac:dyDescent="0.25">
      <c r="A72817" s="118"/>
      <c r="B72817" s="136"/>
    </row>
    <row r="72818" spans="1:2" x14ac:dyDescent="0.25">
      <c r="A72818" s="118"/>
      <c r="B72818" s="136"/>
    </row>
    <row r="72819" spans="1:2" x14ac:dyDescent="0.25">
      <c r="A72819" s="118"/>
      <c r="B72819" s="136"/>
    </row>
    <row r="72820" spans="1:2" x14ac:dyDescent="0.25">
      <c r="A72820" s="118"/>
      <c r="B72820" s="136"/>
    </row>
    <row r="72821" spans="1:2" x14ac:dyDescent="0.25">
      <c r="A72821" s="118"/>
      <c r="B72821" s="136"/>
    </row>
    <row r="72822" spans="1:2" x14ac:dyDescent="0.25">
      <c r="A72822" s="118"/>
      <c r="B72822" s="136"/>
    </row>
    <row r="72823" spans="1:2" x14ac:dyDescent="0.25">
      <c r="A72823" s="118"/>
      <c r="B72823" s="136"/>
    </row>
    <row r="72824" spans="1:2" x14ac:dyDescent="0.25">
      <c r="A72824" s="118"/>
      <c r="B72824" s="136"/>
    </row>
    <row r="72825" spans="1:2" x14ac:dyDescent="0.25">
      <c r="A72825" s="118"/>
      <c r="B72825" s="136"/>
    </row>
    <row r="72826" spans="1:2" x14ac:dyDescent="0.25">
      <c r="A72826" s="118"/>
      <c r="B72826" s="136"/>
    </row>
    <row r="72827" spans="1:2" x14ac:dyDescent="0.25">
      <c r="A72827" s="118"/>
      <c r="B72827" s="136"/>
    </row>
    <row r="72828" spans="1:2" x14ac:dyDescent="0.25">
      <c r="A72828" s="118"/>
      <c r="B72828" s="136"/>
    </row>
    <row r="72829" spans="1:2" x14ac:dyDescent="0.25">
      <c r="A72829" s="118"/>
      <c r="B72829" s="136"/>
    </row>
    <row r="72830" spans="1:2" x14ac:dyDescent="0.25">
      <c r="A72830" s="118"/>
      <c r="B72830" s="136"/>
    </row>
    <row r="72831" spans="1:2" x14ac:dyDescent="0.25">
      <c r="A72831" s="118"/>
      <c r="B72831" s="136"/>
    </row>
    <row r="72832" spans="1:2" x14ac:dyDescent="0.25">
      <c r="A72832" s="118"/>
      <c r="B72832" s="136"/>
    </row>
    <row r="72833" spans="1:2" x14ac:dyDescent="0.25">
      <c r="A72833" s="118"/>
      <c r="B72833" s="136"/>
    </row>
    <row r="72834" spans="1:2" x14ac:dyDescent="0.25">
      <c r="A72834" s="118"/>
      <c r="B72834" s="136"/>
    </row>
    <row r="72835" spans="1:2" x14ac:dyDescent="0.25">
      <c r="A72835" s="118"/>
      <c r="B72835" s="136"/>
    </row>
    <row r="72836" spans="1:2" x14ac:dyDescent="0.25">
      <c r="A72836" s="118"/>
      <c r="B72836" s="136"/>
    </row>
    <row r="72837" spans="1:2" x14ac:dyDescent="0.25">
      <c r="A72837" s="118"/>
      <c r="B72837" s="136"/>
    </row>
    <row r="72838" spans="1:2" x14ac:dyDescent="0.25">
      <c r="A72838" s="118"/>
      <c r="B72838" s="136"/>
    </row>
    <row r="72839" spans="1:2" x14ac:dyDescent="0.25">
      <c r="A72839" s="118"/>
      <c r="B72839" s="136"/>
    </row>
    <row r="72840" spans="1:2" x14ac:dyDescent="0.25">
      <c r="A72840" s="118"/>
      <c r="B72840" s="136"/>
    </row>
    <row r="72841" spans="1:2" x14ac:dyDescent="0.25">
      <c r="A72841" s="118"/>
      <c r="B72841" s="136"/>
    </row>
    <row r="72842" spans="1:2" x14ac:dyDescent="0.25">
      <c r="A72842" s="118"/>
      <c r="B72842" s="136"/>
    </row>
    <row r="72843" spans="1:2" x14ac:dyDescent="0.25">
      <c r="A72843" s="118"/>
      <c r="B72843" s="136"/>
    </row>
    <row r="72844" spans="1:2" x14ac:dyDescent="0.25">
      <c r="A72844" s="118"/>
      <c r="B72844" s="136"/>
    </row>
    <row r="72845" spans="1:2" x14ac:dyDescent="0.25">
      <c r="A72845" s="118"/>
      <c r="B72845" s="136"/>
    </row>
    <row r="72846" spans="1:2" x14ac:dyDescent="0.25">
      <c r="A72846" s="118"/>
      <c r="B72846" s="136"/>
    </row>
    <row r="72847" spans="1:2" x14ac:dyDescent="0.25">
      <c r="A72847" s="118"/>
      <c r="B72847" s="136"/>
    </row>
    <row r="72848" spans="1:2" x14ac:dyDescent="0.25">
      <c r="A72848" s="118"/>
      <c r="B72848" s="136"/>
    </row>
    <row r="72849" spans="1:2" x14ac:dyDescent="0.25">
      <c r="A72849" s="118"/>
      <c r="B72849" s="136"/>
    </row>
    <row r="72850" spans="1:2" x14ac:dyDescent="0.25">
      <c r="A72850" s="118"/>
      <c r="B72850" s="136"/>
    </row>
    <row r="72851" spans="1:2" x14ac:dyDescent="0.25">
      <c r="A72851" s="118"/>
      <c r="B72851" s="136"/>
    </row>
    <row r="72852" spans="1:2" x14ac:dyDescent="0.25">
      <c r="A72852" s="118"/>
      <c r="B72852" s="136"/>
    </row>
    <row r="72853" spans="1:2" x14ac:dyDescent="0.25">
      <c r="A72853" s="118"/>
      <c r="B72853" s="136"/>
    </row>
    <row r="72854" spans="1:2" x14ac:dyDescent="0.25">
      <c r="A72854" s="118"/>
      <c r="B72854" s="136"/>
    </row>
    <row r="72855" spans="1:2" x14ac:dyDescent="0.25">
      <c r="A72855" s="118"/>
      <c r="B72855" s="136"/>
    </row>
    <row r="72856" spans="1:2" x14ac:dyDescent="0.25">
      <c r="A72856" s="118"/>
      <c r="B72856" s="136"/>
    </row>
    <row r="72857" spans="1:2" x14ac:dyDescent="0.25">
      <c r="A72857" s="118"/>
      <c r="B72857" s="136"/>
    </row>
    <row r="72858" spans="1:2" x14ac:dyDescent="0.25">
      <c r="A72858" s="118"/>
      <c r="B72858" s="136"/>
    </row>
    <row r="72859" spans="1:2" x14ac:dyDescent="0.25">
      <c r="A72859" s="118"/>
      <c r="B72859" s="136"/>
    </row>
    <row r="72860" spans="1:2" x14ac:dyDescent="0.25">
      <c r="A72860" s="118"/>
      <c r="B72860" s="136"/>
    </row>
    <row r="72861" spans="1:2" x14ac:dyDescent="0.25">
      <c r="A72861" s="118"/>
      <c r="B72861" s="136"/>
    </row>
    <row r="72862" spans="1:2" x14ac:dyDescent="0.25">
      <c r="A72862" s="118"/>
      <c r="B72862" s="136"/>
    </row>
    <row r="72863" spans="1:2" x14ac:dyDescent="0.25">
      <c r="A72863" s="118"/>
      <c r="B72863" s="136"/>
    </row>
    <row r="72864" spans="1:2" x14ac:dyDescent="0.25">
      <c r="A72864" s="118"/>
      <c r="B72864" s="136"/>
    </row>
    <row r="72865" spans="1:2" x14ac:dyDescent="0.25">
      <c r="A72865" s="118"/>
      <c r="B72865" s="136"/>
    </row>
    <row r="72866" spans="1:2" x14ac:dyDescent="0.25">
      <c r="A72866" s="118"/>
      <c r="B72866" s="136"/>
    </row>
    <row r="72867" spans="1:2" x14ac:dyDescent="0.25">
      <c r="A72867" s="118"/>
      <c r="B72867" s="136"/>
    </row>
    <row r="72868" spans="1:2" x14ac:dyDescent="0.25">
      <c r="A72868" s="118"/>
      <c r="B72868" s="136"/>
    </row>
    <row r="72869" spans="1:2" x14ac:dyDescent="0.25">
      <c r="A72869" s="118"/>
      <c r="B72869" s="136"/>
    </row>
    <row r="72870" spans="1:2" x14ac:dyDescent="0.25">
      <c r="A72870" s="118"/>
      <c r="B72870" s="136"/>
    </row>
    <row r="72871" spans="1:2" x14ac:dyDescent="0.25">
      <c r="A72871" s="118"/>
      <c r="B72871" s="136"/>
    </row>
    <row r="72872" spans="1:2" x14ac:dyDescent="0.25">
      <c r="A72872" s="118"/>
      <c r="B72872" s="136"/>
    </row>
    <row r="72873" spans="1:2" x14ac:dyDescent="0.25">
      <c r="A72873" s="118"/>
      <c r="B72873" s="136"/>
    </row>
    <row r="72874" spans="1:2" x14ac:dyDescent="0.25">
      <c r="A72874" s="118"/>
      <c r="B72874" s="136"/>
    </row>
    <row r="72875" spans="1:2" x14ac:dyDescent="0.25">
      <c r="A72875" s="118"/>
      <c r="B72875" s="136"/>
    </row>
    <row r="72876" spans="1:2" x14ac:dyDescent="0.25">
      <c r="A72876" s="118"/>
      <c r="B72876" s="136"/>
    </row>
    <row r="72877" spans="1:2" x14ac:dyDescent="0.25">
      <c r="A72877" s="118"/>
      <c r="B72877" s="136"/>
    </row>
    <row r="72878" spans="1:2" x14ac:dyDescent="0.25">
      <c r="A72878" s="118"/>
      <c r="B72878" s="136"/>
    </row>
    <row r="72879" spans="1:2" x14ac:dyDescent="0.25">
      <c r="A72879" s="118"/>
      <c r="B72879" s="136"/>
    </row>
    <row r="72880" spans="1:2" x14ac:dyDescent="0.25">
      <c r="A72880" s="118"/>
      <c r="B72880" s="136"/>
    </row>
    <row r="72881" spans="1:2" x14ac:dyDescent="0.25">
      <c r="A72881" s="118"/>
      <c r="B72881" s="136"/>
    </row>
    <row r="72882" spans="1:2" x14ac:dyDescent="0.25">
      <c r="A72882" s="118"/>
      <c r="B72882" s="136"/>
    </row>
    <row r="72883" spans="1:2" x14ac:dyDescent="0.25">
      <c r="A72883" s="118"/>
      <c r="B72883" s="136"/>
    </row>
    <row r="72884" spans="1:2" x14ac:dyDescent="0.25">
      <c r="A72884" s="118"/>
      <c r="B72884" s="136"/>
    </row>
    <row r="72885" spans="1:2" x14ac:dyDescent="0.25">
      <c r="A72885" s="118"/>
      <c r="B72885" s="136"/>
    </row>
    <row r="72886" spans="1:2" x14ac:dyDescent="0.25">
      <c r="A72886" s="118"/>
      <c r="B72886" s="136"/>
    </row>
    <row r="72887" spans="1:2" x14ac:dyDescent="0.25">
      <c r="A72887" s="118"/>
      <c r="B72887" s="136"/>
    </row>
    <row r="72888" spans="1:2" x14ac:dyDescent="0.25">
      <c r="A72888" s="118"/>
      <c r="B72888" s="136"/>
    </row>
    <row r="72889" spans="1:2" x14ac:dyDescent="0.25">
      <c r="A72889" s="118"/>
      <c r="B72889" s="136"/>
    </row>
    <row r="72890" spans="1:2" x14ac:dyDescent="0.25">
      <c r="A72890" s="118"/>
      <c r="B72890" s="136"/>
    </row>
    <row r="72891" spans="1:2" x14ac:dyDescent="0.25">
      <c r="A72891" s="118"/>
      <c r="B72891" s="136"/>
    </row>
    <row r="72892" spans="1:2" x14ac:dyDescent="0.25">
      <c r="A72892" s="118"/>
      <c r="B72892" s="136"/>
    </row>
    <row r="72893" spans="1:2" x14ac:dyDescent="0.25">
      <c r="A72893" s="118"/>
      <c r="B72893" s="136"/>
    </row>
    <row r="72894" spans="1:2" x14ac:dyDescent="0.25">
      <c r="A72894" s="118"/>
      <c r="B72894" s="136"/>
    </row>
    <row r="72895" spans="1:2" x14ac:dyDescent="0.25">
      <c r="A72895" s="118"/>
      <c r="B72895" s="136"/>
    </row>
    <row r="72896" spans="1:2" x14ac:dyDescent="0.25">
      <c r="A72896" s="118"/>
      <c r="B72896" s="136"/>
    </row>
    <row r="72897" spans="1:2" x14ac:dyDescent="0.25">
      <c r="A72897" s="118"/>
      <c r="B72897" s="136"/>
    </row>
    <row r="72898" spans="1:2" x14ac:dyDescent="0.25">
      <c r="A72898" s="118"/>
      <c r="B72898" s="136"/>
    </row>
    <row r="72899" spans="1:2" x14ac:dyDescent="0.25">
      <c r="A72899" s="118"/>
      <c r="B72899" s="136"/>
    </row>
    <row r="72900" spans="1:2" x14ac:dyDescent="0.25">
      <c r="A72900" s="118"/>
      <c r="B72900" s="136"/>
    </row>
    <row r="72901" spans="1:2" x14ac:dyDescent="0.25">
      <c r="A72901" s="118"/>
      <c r="B72901" s="136"/>
    </row>
    <row r="72902" spans="1:2" x14ac:dyDescent="0.25">
      <c r="A72902" s="118"/>
      <c r="B72902" s="136"/>
    </row>
    <row r="72903" spans="1:2" x14ac:dyDescent="0.25">
      <c r="A72903" s="118"/>
      <c r="B72903" s="136"/>
    </row>
    <row r="72904" spans="1:2" x14ac:dyDescent="0.25">
      <c r="A72904" s="118"/>
      <c r="B72904" s="136"/>
    </row>
    <row r="72905" spans="1:2" x14ac:dyDescent="0.25">
      <c r="A72905" s="118"/>
      <c r="B72905" s="136"/>
    </row>
    <row r="72906" spans="1:2" x14ac:dyDescent="0.25">
      <c r="A72906" s="118"/>
      <c r="B72906" s="136"/>
    </row>
    <row r="72907" spans="1:2" x14ac:dyDescent="0.25">
      <c r="A72907" s="118"/>
      <c r="B72907" s="136"/>
    </row>
    <row r="72908" spans="1:2" x14ac:dyDescent="0.25">
      <c r="A72908" s="118"/>
      <c r="B72908" s="136"/>
    </row>
    <row r="72909" spans="1:2" x14ac:dyDescent="0.25">
      <c r="A72909" s="118"/>
      <c r="B72909" s="136"/>
    </row>
    <row r="72910" spans="1:2" x14ac:dyDescent="0.25">
      <c r="A72910" s="118"/>
      <c r="B72910" s="136"/>
    </row>
    <row r="72911" spans="1:2" x14ac:dyDescent="0.25">
      <c r="A72911" s="118"/>
      <c r="B72911" s="136"/>
    </row>
    <row r="72912" spans="1:2" x14ac:dyDescent="0.25">
      <c r="A72912" s="118"/>
      <c r="B72912" s="136"/>
    </row>
    <row r="72913" spans="1:2" x14ac:dyDescent="0.25">
      <c r="A72913" s="118"/>
      <c r="B72913" s="136"/>
    </row>
    <row r="72914" spans="1:2" x14ac:dyDescent="0.25">
      <c r="A72914" s="118"/>
      <c r="B72914" s="136"/>
    </row>
    <row r="72915" spans="1:2" x14ac:dyDescent="0.25">
      <c r="A72915" s="118"/>
      <c r="B72915" s="136"/>
    </row>
    <row r="72916" spans="1:2" x14ac:dyDescent="0.25">
      <c r="A72916" s="118"/>
      <c r="B72916" s="136"/>
    </row>
    <row r="72917" spans="1:2" x14ac:dyDescent="0.25">
      <c r="A72917" s="118"/>
      <c r="B72917" s="136"/>
    </row>
    <row r="72918" spans="1:2" x14ac:dyDescent="0.25">
      <c r="A72918" s="118"/>
      <c r="B72918" s="136"/>
    </row>
    <row r="72919" spans="1:2" x14ac:dyDescent="0.25">
      <c r="A72919" s="118"/>
      <c r="B72919" s="136"/>
    </row>
    <row r="72920" spans="1:2" x14ac:dyDescent="0.25">
      <c r="A72920" s="118"/>
      <c r="B72920" s="136"/>
    </row>
    <row r="72921" spans="1:2" x14ac:dyDescent="0.25">
      <c r="A72921" s="118"/>
      <c r="B72921" s="136"/>
    </row>
    <row r="72922" spans="1:2" x14ac:dyDescent="0.25">
      <c r="A72922" s="118"/>
      <c r="B72922" s="136"/>
    </row>
    <row r="72923" spans="1:2" x14ac:dyDescent="0.25">
      <c r="A72923" s="118"/>
      <c r="B72923" s="136"/>
    </row>
    <row r="72924" spans="1:2" x14ac:dyDescent="0.25">
      <c r="A72924" s="118"/>
      <c r="B72924" s="136"/>
    </row>
    <row r="72925" spans="1:2" x14ac:dyDescent="0.25">
      <c r="A72925" s="118"/>
      <c r="B72925" s="136"/>
    </row>
    <row r="72926" spans="1:2" x14ac:dyDescent="0.25">
      <c r="A72926" s="118"/>
      <c r="B72926" s="136"/>
    </row>
    <row r="72927" spans="1:2" x14ac:dyDescent="0.25">
      <c r="A72927" s="118"/>
      <c r="B72927" s="136"/>
    </row>
    <row r="72928" spans="1:2" x14ac:dyDescent="0.25">
      <c r="A72928" s="118"/>
      <c r="B72928" s="136"/>
    </row>
    <row r="72929" spans="1:2" x14ac:dyDescent="0.25">
      <c r="A72929" s="118"/>
      <c r="B72929" s="136"/>
    </row>
    <row r="72930" spans="1:2" x14ac:dyDescent="0.25">
      <c r="A72930" s="118"/>
      <c r="B72930" s="136"/>
    </row>
    <row r="72931" spans="1:2" x14ac:dyDescent="0.25">
      <c r="A72931" s="118"/>
      <c r="B72931" s="136"/>
    </row>
    <row r="72932" spans="1:2" x14ac:dyDescent="0.25">
      <c r="A72932" s="118"/>
      <c r="B72932" s="136"/>
    </row>
    <row r="72933" spans="1:2" x14ac:dyDescent="0.25">
      <c r="A72933" s="118"/>
      <c r="B72933" s="136"/>
    </row>
    <row r="72934" spans="1:2" x14ac:dyDescent="0.25">
      <c r="A72934" s="118"/>
      <c r="B72934" s="136"/>
    </row>
    <row r="72935" spans="1:2" x14ac:dyDescent="0.25">
      <c r="A72935" s="118"/>
      <c r="B72935" s="136"/>
    </row>
    <row r="72936" spans="1:2" x14ac:dyDescent="0.25">
      <c r="A72936" s="118"/>
      <c r="B72936" s="136"/>
    </row>
    <row r="72937" spans="1:2" x14ac:dyDescent="0.25">
      <c r="A72937" s="118"/>
      <c r="B72937" s="136"/>
    </row>
    <row r="72938" spans="1:2" x14ac:dyDescent="0.25">
      <c r="A72938" s="118"/>
      <c r="B72938" s="136"/>
    </row>
    <row r="72939" spans="1:2" x14ac:dyDescent="0.25">
      <c r="A72939" s="118"/>
      <c r="B72939" s="136"/>
    </row>
    <row r="72940" spans="1:2" x14ac:dyDescent="0.25">
      <c r="A72940" s="118"/>
      <c r="B72940" s="136"/>
    </row>
    <row r="72941" spans="1:2" x14ac:dyDescent="0.25">
      <c r="A72941" s="118"/>
      <c r="B72941" s="136"/>
    </row>
    <row r="72942" spans="1:2" x14ac:dyDescent="0.25">
      <c r="A72942" s="118"/>
      <c r="B72942" s="136"/>
    </row>
    <row r="72943" spans="1:2" x14ac:dyDescent="0.25">
      <c r="A72943" s="118"/>
      <c r="B72943" s="136"/>
    </row>
    <row r="72944" spans="1:2" x14ac:dyDescent="0.25">
      <c r="A72944" s="118"/>
      <c r="B72944" s="136"/>
    </row>
    <row r="72945" spans="1:2" x14ac:dyDescent="0.25">
      <c r="A72945" s="118"/>
      <c r="B72945" s="136"/>
    </row>
    <row r="72946" spans="1:2" x14ac:dyDescent="0.25">
      <c r="A72946" s="118"/>
      <c r="B72946" s="136"/>
    </row>
    <row r="72947" spans="1:2" x14ac:dyDescent="0.25">
      <c r="A72947" s="118"/>
      <c r="B72947" s="136"/>
    </row>
    <row r="72948" spans="1:2" x14ac:dyDescent="0.25">
      <c r="A72948" s="118"/>
      <c r="B72948" s="136"/>
    </row>
    <row r="72949" spans="1:2" x14ac:dyDescent="0.25">
      <c r="A72949" s="118"/>
      <c r="B72949" s="136"/>
    </row>
    <row r="72950" spans="1:2" x14ac:dyDescent="0.25">
      <c r="A72950" s="118"/>
      <c r="B72950" s="136"/>
    </row>
    <row r="72951" spans="1:2" x14ac:dyDescent="0.25">
      <c r="A72951" s="118"/>
      <c r="B72951" s="136"/>
    </row>
    <row r="72952" spans="1:2" x14ac:dyDescent="0.25">
      <c r="A72952" s="118"/>
      <c r="B72952" s="136"/>
    </row>
    <row r="72953" spans="1:2" x14ac:dyDescent="0.25">
      <c r="A72953" s="118"/>
      <c r="B72953" s="136"/>
    </row>
    <row r="72954" spans="1:2" x14ac:dyDescent="0.25">
      <c r="A72954" s="118"/>
      <c r="B72954" s="136"/>
    </row>
    <row r="72955" spans="1:2" x14ac:dyDescent="0.25">
      <c r="A72955" s="118"/>
      <c r="B72955" s="136"/>
    </row>
    <row r="72956" spans="1:2" x14ac:dyDescent="0.25">
      <c r="A72956" s="118"/>
      <c r="B72956" s="136"/>
    </row>
    <row r="72957" spans="1:2" x14ac:dyDescent="0.25">
      <c r="A72957" s="118"/>
      <c r="B72957" s="136"/>
    </row>
    <row r="72958" spans="1:2" x14ac:dyDescent="0.25">
      <c r="A72958" s="118"/>
      <c r="B72958" s="136"/>
    </row>
    <row r="72959" spans="1:2" x14ac:dyDescent="0.25">
      <c r="A72959" s="118"/>
      <c r="B72959" s="136"/>
    </row>
    <row r="72960" spans="1:2" x14ac:dyDescent="0.25">
      <c r="A72960" s="118"/>
      <c r="B72960" s="136"/>
    </row>
    <row r="72961" spans="1:2" x14ac:dyDescent="0.25">
      <c r="A72961" s="118"/>
      <c r="B72961" s="136"/>
    </row>
    <row r="72962" spans="1:2" x14ac:dyDescent="0.25">
      <c r="A72962" s="118"/>
      <c r="B72962" s="136"/>
    </row>
    <row r="72963" spans="1:2" x14ac:dyDescent="0.25">
      <c r="A72963" s="118"/>
      <c r="B72963" s="136"/>
    </row>
    <row r="72964" spans="1:2" x14ac:dyDescent="0.25">
      <c r="A72964" s="118"/>
      <c r="B72964" s="136"/>
    </row>
    <row r="72965" spans="1:2" x14ac:dyDescent="0.25">
      <c r="A72965" s="118"/>
      <c r="B72965" s="136"/>
    </row>
    <row r="72966" spans="1:2" x14ac:dyDescent="0.25">
      <c r="A72966" s="118"/>
      <c r="B72966" s="136"/>
    </row>
    <row r="72967" spans="1:2" x14ac:dyDescent="0.25">
      <c r="A72967" s="118"/>
      <c r="B72967" s="136"/>
    </row>
    <row r="72968" spans="1:2" x14ac:dyDescent="0.25">
      <c r="A72968" s="118"/>
      <c r="B72968" s="136"/>
    </row>
    <row r="72969" spans="1:2" x14ac:dyDescent="0.25">
      <c r="A72969" s="118"/>
      <c r="B72969" s="136"/>
    </row>
    <row r="72970" spans="1:2" x14ac:dyDescent="0.25">
      <c r="A72970" s="118"/>
      <c r="B72970" s="136"/>
    </row>
    <row r="72971" spans="1:2" x14ac:dyDescent="0.25">
      <c r="A72971" s="118"/>
      <c r="B72971" s="136"/>
    </row>
    <row r="72972" spans="1:2" x14ac:dyDescent="0.25">
      <c r="A72972" s="118"/>
      <c r="B72972" s="136"/>
    </row>
    <row r="72973" spans="1:2" x14ac:dyDescent="0.25">
      <c r="A72973" s="118"/>
      <c r="B72973" s="136"/>
    </row>
    <row r="72974" spans="1:2" x14ac:dyDescent="0.25">
      <c r="A72974" s="118"/>
      <c r="B72974" s="136"/>
    </row>
    <row r="72975" spans="1:2" x14ac:dyDescent="0.25">
      <c r="A72975" s="118"/>
      <c r="B72975" s="136"/>
    </row>
    <row r="72976" spans="1:2" x14ac:dyDescent="0.25">
      <c r="A72976" s="118"/>
      <c r="B72976" s="136"/>
    </row>
    <row r="72977" spans="1:2" x14ac:dyDescent="0.25">
      <c r="A72977" s="118"/>
      <c r="B72977" s="136"/>
    </row>
    <row r="72978" spans="1:2" x14ac:dyDescent="0.25">
      <c r="A72978" s="118"/>
      <c r="B72978" s="136"/>
    </row>
    <row r="72979" spans="1:2" x14ac:dyDescent="0.25">
      <c r="A72979" s="118"/>
      <c r="B72979" s="136"/>
    </row>
    <row r="72980" spans="1:2" x14ac:dyDescent="0.25">
      <c r="A72980" s="118"/>
      <c r="B72980" s="136"/>
    </row>
    <row r="72981" spans="1:2" x14ac:dyDescent="0.25">
      <c r="A72981" s="118"/>
      <c r="B72981" s="136"/>
    </row>
    <row r="72982" spans="1:2" x14ac:dyDescent="0.25">
      <c r="A72982" s="118"/>
      <c r="B72982" s="136"/>
    </row>
    <row r="72983" spans="1:2" x14ac:dyDescent="0.25">
      <c r="A72983" s="118"/>
      <c r="B72983" s="136"/>
    </row>
    <row r="72984" spans="1:2" x14ac:dyDescent="0.25">
      <c r="A72984" s="118"/>
      <c r="B72984" s="136"/>
    </row>
    <row r="72985" spans="1:2" x14ac:dyDescent="0.25">
      <c r="A72985" s="118"/>
      <c r="B72985" s="136"/>
    </row>
    <row r="72986" spans="1:2" x14ac:dyDescent="0.25">
      <c r="A72986" s="118"/>
      <c r="B72986" s="136"/>
    </row>
    <row r="72987" spans="1:2" x14ac:dyDescent="0.25">
      <c r="A72987" s="118"/>
      <c r="B72987" s="136"/>
    </row>
    <row r="72988" spans="1:2" x14ac:dyDescent="0.25">
      <c r="A72988" s="118"/>
      <c r="B72988" s="136"/>
    </row>
    <row r="72989" spans="1:2" x14ac:dyDescent="0.25">
      <c r="A72989" s="118"/>
      <c r="B72989" s="136"/>
    </row>
    <row r="72990" spans="1:2" x14ac:dyDescent="0.25">
      <c r="A72990" s="118"/>
      <c r="B72990" s="136"/>
    </row>
    <row r="72991" spans="1:2" x14ac:dyDescent="0.25">
      <c r="A72991" s="118"/>
      <c r="B72991" s="136"/>
    </row>
    <row r="72992" spans="1:2" x14ac:dyDescent="0.25">
      <c r="A72992" s="118"/>
      <c r="B72992" s="136"/>
    </row>
    <row r="72993" spans="1:2" x14ac:dyDescent="0.25">
      <c r="A72993" s="118"/>
      <c r="B72993" s="136"/>
    </row>
    <row r="72994" spans="1:2" x14ac:dyDescent="0.25">
      <c r="A72994" s="118"/>
      <c r="B72994" s="136"/>
    </row>
    <row r="72995" spans="1:2" x14ac:dyDescent="0.25">
      <c r="A72995" s="118"/>
      <c r="B72995" s="136"/>
    </row>
    <row r="72996" spans="1:2" x14ac:dyDescent="0.25">
      <c r="A72996" s="118"/>
      <c r="B72996" s="136"/>
    </row>
    <row r="72997" spans="1:2" x14ac:dyDescent="0.25">
      <c r="A72997" s="118"/>
      <c r="B72997" s="136"/>
    </row>
    <row r="72998" spans="1:2" x14ac:dyDescent="0.25">
      <c r="A72998" s="118"/>
      <c r="B72998" s="136"/>
    </row>
    <row r="72999" spans="1:2" x14ac:dyDescent="0.25">
      <c r="A72999" s="118"/>
      <c r="B72999" s="136"/>
    </row>
    <row r="73000" spans="1:2" x14ac:dyDescent="0.25">
      <c r="A73000" s="118"/>
      <c r="B73000" s="136"/>
    </row>
    <row r="73001" spans="1:2" x14ac:dyDescent="0.25">
      <c r="A73001" s="118"/>
      <c r="B73001" s="136"/>
    </row>
    <row r="73002" spans="1:2" x14ac:dyDescent="0.25">
      <c r="A73002" s="118"/>
      <c r="B73002" s="136"/>
    </row>
    <row r="73003" spans="1:2" x14ac:dyDescent="0.25">
      <c r="A73003" s="118"/>
      <c r="B73003" s="136"/>
    </row>
    <row r="73004" spans="1:2" x14ac:dyDescent="0.25">
      <c r="A73004" s="118"/>
      <c r="B73004" s="136"/>
    </row>
    <row r="73005" spans="1:2" x14ac:dyDescent="0.25">
      <c r="A73005" s="118"/>
      <c r="B73005" s="136"/>
    </row>
    <row r="73006" spans="1:2" x14ac:dyDescent="0.25">
      <c r="A73006" s="118"/>
      <c r="B73006" s="136"/>
    </row>
    <row r="73007" spans="1:2" x14ac:dyDescent="0.25">
      <c r="A73007" s="118"/>
      <c r="B73007" s="136"/>
    </row>
    <row r="73008" spans="1:2" x14ac:dyDescent="0.25">
      <c r="A73008" s="118"/>
      <c r="B73008" s="136"/>
    </row>
    <row r="73009" spans="1:2" x14ac:dyDescent="0.25">
      <c r="A73009" s="118"/>
      <c r="B73009" s="136"/>
    </row>
    <row r="73010" spans="1:2" x14ac:dyDescent="0.25">
      <c r="A73010" s="118"/>
      <c r="B73010" s="136"/>
    </row>
    <row r="73011" spans="1:2" x14ac:dyDescent="0.25">
      <c r="A73011" s="118"/>
      <c r="B73011" s="136"/>
    </row>
    <row r="73012" spans="1:2" x14ac:dyDescent="0.25">
      <c r="A73012" s="118"/>
      <c r="B73012" s="136"/>
    </row>
    <row r="73013" spans="1:2" x14ac:dyDescent="0.25">
      <c r="A73013" s="118"/>
      <c r="B73013" s="136"/>
    </row>
    <row r="73014" spans="1:2" x14ac:dyDescent="0.25">
      <c r="A73014" s="118"/>
      <c r="B73014" s="136"/>
    </row>
    <row r="73015" spans="1:2" x14ac:dyDescent="0.25">
      <c r="A73015" s="118"/>
      <c r="B73015" s="136"/>
    </row>
    <row r="73016" spans="1:2" x14ac:dyDescent="0.25">
      <c r="A73016" s="118"/>
      <c r="B73016" s="136"/>
    </row>
    <row r="73017" spans="1:2" x14ac:dyDescent="0.25">
      <c r="A73017" s="118"/>
      <c r="B73017" s="136"/>
    </row>
    <row r="73018" spans="1:2" x14ac:dyDescent="0.25">
      <c r="A73018" s="118"/>
      <c r="B73018" s="136"/>
    </row>
    <row r="73019" spans="1:2" x14ac:dyDescent="0.25">
      <c r="A73019" s="118"/>
      <c r="B73019" s="136"/>
    </row>
    <row r="73020" spans="1:2" x14ac:dyDescent="0.25">
      <c r="A73020" s="118"/>
      <c r="B73020" s="136"/>
    </row>
    <row r="73021" spans="1:2" x14ac:dyDescent="0.25">
      <c r="A73021" s="118"/>
      <c r="B73021" s="136"/>
    </row>
    <row r="73022" spans="1:2" x14ac:dyDescent="0.25">
      <c r="A73022" s="118"/>
      <c r="B73022" s="136"/>
    </row>
    <row r="73023" spans="1:2" x14ac:dyDescent="0.25">
      <c r="A73023" s="118"/>
      <c r="B73023" s="136"/>
    </row>
    <row r="73024" spans="1:2" x14ac:dyDescent="0.25">
      <c r="A73024" s="118"/>
      <c r="B73024" s="136"/>
    </row>
    <row r="73025" spans="1:2" x14ac:dyDescent="0.25">
      <c r="A73025" s="118"/>
      <c r="B73025" s="136"/>
    </row>
    <row r="73026" spans="1:2" x14ac:dyDescent="0.25">
      <c r="A73026" s="118"/>
      <c r="B73026" s="136"/>
    </row>
    <row r="73027" spans="1:2" x14ac:dyDescent="0.25">
      <c r="A73027" s="118"/>
      <c r="B73027" s="136"/>
    </row>
    <row r="73028" spans="1:2" x14ac:dyDescent="0.25">
      <c r="A73028" s="118"/>
      <c r="B73028" s="136"/>
    </row>
    <row r="73029" spans="1:2" x14ac:dyDescent="0.25">
      <c r="A73029" s="118"/>
      <c r="B73029" s="136"/>
    </row>
    <row r="73030" spans="1:2" x14ac:dyDescent="0.25">
      <c r="A73030" s="118"/>
      <c r="B73030" s="136"/>
    </row>
    <row r="73031" spans="1:2" x14ac:dyDescent="0.25">
      <c r="A73031" s="118"/>
      <c r="B73031" s="136"/>
    </row>
    <row r="73032" spans="1:2" x14ac:dyDescent="0.25">
      <c r="A73032" s="118"/>
      <c r="B73032" s="136"/>
    </row>
    <row r="73033" spans="1:2" x14ac:dyDescent="0.25">
      <c r="A73033" s="118"/>
      <c r="B73033" s="136"/>
    </row>
    <row r="73034" spans="1:2" x14ac:dyDescent="0.25">
      <c r="A73034" s="118"/>
      <c r="B73034" s="136"/>
    </row>
    <row r="73035" spans="1:2" x14ac:dyDescent="0.25">
      <c r="A73035" s="118"/>
      <c r="B73035" s="136"/>
    </row>
    <row r="73036" spans="1:2" x14ac:dyDescent="0.25">
      <c r="A73036" s="118"/>
      <c r="B73036" s="136"/>
    </row>
    <row r="73037" spans="1:2" x14ac:dyDescent="0.25">
      <c r="A73037" s="118"/>
      <c r="B73037" s="136"/>
    </row>
    <row r="73038" spans="1:2" x14ac:dyDescent="0.25">
      <c r="A73038" s="118"/>
      <c r="B73038" s="136"/>
    </row>
    <row r="73039" spans="1:2" x14ac:dyDescent="0.25">
      <c r="A73039" s="118"/>
      <c r="B73039" s="136"/>
    </row>
    <row r="73040" spans="1:2" x14ac:dyDescent="0.25">
      <c r="A73040" s="118"/>
      <c r="B73040" s="136"/>
    </row>
    <row r="73041" spans="1:2" x14ac:dyDescent="0.25">
      <c r="A73041" s="118"/>
      <c r="B73041" s="136"/>
    </row>
    <row r="73042" spans="1:2" x14ac:dyDescent="0.25">
      <c r="A73042" s="118"/>
      <c r="B73042" s="136"/>
    </row>
    <row r="73043" spans="1:2" x14ac:dyDescent="0.25">
      <c r="A73043" s="118"/>
      <c r="B73043" s="136"/>
    </row>
    <row r="73044" spans="1:2" x14ac:dyDescent="0.25">
      <c r="A73044" s="118"/>
      <c r="B73044" s="136"/>
    </row>
    <row r="73045" spans="1:2" x14ac:dyDescent="0.25">
      <c r="A73045" s="118"/>
      <c r="B73045" s="136"/>
    </row>
    <row r="73046" spans="1:2" x14ac:dyDescent="0.25">
      <c r="A73046" s="118"/>
      <c r="B73046" s="136"/>
    </row>
    <row r="73047" spans="1:2" x14ac:dyDescent="0.25">
      <c r="A73047" s="118"/>
      <c r="B73047" s="136"/>
    </row>
    <row r="73048" spans="1:2" x14ac:dyDescent="0.25">
      <c r="A73048" s="118"/>
      <c r="B73048" s="136"/>
    </row>
    <row r="73049" spans="1:2" x14ac:dyDescent="0.25">
      <c r="A73049" s="118"/>
      <c r="B73049" s="136"/>
    </row>
    <row r="73050" spans="1:2" x14ac:dyDescent="0.25">
      <c r="A73050" s="118"/>
      <c r="B73050" s="136"/>
    </row>
    <row r="73051" spans="1:2" x14ac:dyDescent="0.25">
      <c r="A73051" s="118"/>
      <c r="B73051" s="136"/>
    </row>
    <row r="73052" spans="1:2" x14ac:dyDescent="0.25">
      <c r="A73052" s="118"/>
      <c r="B73052" s="136"/>
    </row>
    <row r="73053" spans="1:2" x14ac:dyDescent="0.25">
      <c r="A73053" s="118"/>
      <c r="B73053" s="136"/>
    </row>
    <row r="73054" spans="1:2" x14ac:dyDescent="0.25">
      <c r="A73054" s="118"/>
      <c r="B73054" s="136"/>
    </row>
    <row r="73055" spans="1:2" x14ac:dyDescent="0.25">
      <c r="A73055" s="118"/>
      <c r="B73055" s="136"/>
    </row>
    <row r="73056" spans="1:2" x14ac:dyDescent="0.25">
      <c r="A73056" s="118"/>
      <c r="B73056" s="136"/>
    </row>
    <row r="73057" spans="1:2" x14ac:dyDescent="0.25">
      <c r="A73057" s="118"/>
      <c r="B73057" s="136"/>
    </row>
    <row r="73058" spans="1:2" x14ac:dyDescent="0.25">
      <c r="A73058" s="118"/>
      <c r="B73058" s="136"/>
    </row>
    <row r="73059" spans="1:2" x14ac:dyDescent="0.25">
      <c r="A73059" s="118"/>
      <c r="B73059" s="136"/>
    </row>
    <row r="73060" spans="1:2" x14ac:dyDescent="0.25">
      <c r="A73060" s="118"/>
      <c r="B73060" s="136"/>
    </row>
    <row r="73061" spans="1:2" x14ac:dyDescent="0.25">
      <c r="A73061" s="118"/>
      <c r="B73061" s="136"/>
    </row>
    <row r="73062" spans="1:2" x14ac:dyDescent="0.25">
      <c r="A73062" s="118"/>
      <c r="B73062" s="136"/>
    </row>
    <row r="73063" spans="1:2" x14ac:dyDescent="0.25">
      <c r="A73063" s="118"/>
      <c r="B73063" s="136"/>
    </row>
    <row r="73064" spans="1:2" x14ac:dyDescent="0.25">
      <c r="A73064" s="118"/>
      <c r="B73064" s="136"/>
    </row>
    <row r="73065" spans="1:2" x14ac:dyDescent="0.25">
      <c r="A73065" s="118"/>
      <c r="B73065" s="136"/>
    </row>
    <row r="73066" spans="1:2" x14ac:dyDescent="0.25">
      <c r="A73066" s="118"/>
      <c r="B73066" s="136"/>
    </row>
    <row r="73067" spans="1:2" x14ac:dyDescent="0.25">
      <c r="A73067" s="118"/>
      <c r="B73067" s="136"/>
    </row>
    <row r="73068" spans="1:2" x14ac:dyDescent="0.25">
      <c r="A73068" s="118"/>
      <c r="B73068" s="136"/>
    </row>
    <row r="73069" spans="1:2" x14ac:dyDescent="0.25">
      <c r="A73069" s="118"/>
      <c r="B73069" s="136"/>
    </row>
    <row r="73070" spans="1:2" x14ac:dyDescent="0.25">
      <c r="A73070" s="118"/>
      <c r="B73070" s="136"/>
    </row>
    <row r="73071" spans="1:2" x14ac:dyDescent="0.25">
      <c r="A73071" s="118"/>
      <c r="B73071" s="136"/>
    </row>
    <row r="73072" spans="1:2" x14ac:dyDescent="0.25">
      <c r="A73072" s="118"/>
      <c r="B73072" s="136"/>
    </row>
    <row r="73073" spans="1:2" x14ac:dyDescent="0.25">
      <c r="A73073" s="118"/>
      <c r="B73073" s="136"/>
    </row>
    <row r="73074" spans="1:2" x14ac:dyDescent="0.25">
      <c r="A73074" s="118"/>
      <c r="B73074" s="136"/>
    </row>
    <row r="73075" spans="1:2" x14ac:dyDescent="0.25">
      <c r="A73075" s="118"/>
      <c r="B73075" s="136"/>
    </row>
    <row r="73076" spans="1:2" x14ac:dyDescent="0.25">
      <c r="A73076" s="118"/>
      <c r="B73076" s="136"/>
    </row>
    <row r="73077" spans="1:2" x14ac:dyDescent="0.25">
      <c r="A73077" s="118"/>
      <c r="B73077" s="136"/>
    </row>
    <row r="73078" spans="1:2" x14ac:dyDescent="0.25">
      <c r="A73078" s="118"/>
      <c r="B73078" s="136"/>
    </row>
    <row r="73079" spans="1:2" x14ac:dyDescent="0.25">
      <c r="A73079" s="118"/>
      <c r="B73079" s="136"/>
    </row>
    <row r="73080" spans="1:2" x14ac:dyDescent="0.25">
      <c r="A73080" s="118"/>
      <c r="B73080" s="136"/>
    </row>
    <row r="73081" spans="1:2" x14ac:dyDescent="0.25">
      <c r="A73081" s="118"/>
      <c r="B73081" s="136"/>
    </row>
    <row r="73082" spans="1:2" x14ac:dyDescent="0.25">
      <c r="A73082" s="118"/>
      <c r="B73082" s="136"/>
    </row>
    <row r="73083" spans="1:2" x14ac:dyDescent="0.25">
      <c r="A73083" s="118"/>
      <c r="B73083" s="136"/>
    </row>
    <row r="73084" spans="1:2" x14ac:dyDescent="0.25">
      <c r="A73084" s="118"/>
      <c r="B73084" s="136"/>
    </row>
    <row r="73085" spans="1:2" x14ac:dyDescent="0.25">
      <c r="A73085" s="118"/>
      <c r="B73085" s="136"/>
    </row>
    <row r="73086" spans="1:2" x14ac:dyDescent="0.25">
      <c r="A73086" s="118"/>
      <c r="B73086" s="136"/>
    </row>
    <row r="73087" spans="1:2" x14ac:dyDescent="0.25">
      <c r="A73087" s="118"/>
      <c r="B73087" s="136"/>
    </row>
    <row r="73088" spans="1:2" x14ac:dyDescent="0.25">
      <c r="A73088" s="118"/>
      <c r="B73088" s="136"/>
    </row>
    <row r="73089" spans="1:2" x14ac:dyDescent="0.25">
      <c r="A73089" s="118"/>
      <c r="B73089" s="136"/>
    </row>
    <row r="73090" spans="1:2" x14ac:dyDescent="0.25">
      <c r="A73090" s="118"/>
      <c r="B73090" s="136"/>
    </row>
    <row r="73091" spans="1:2" x14ac:dyDescent="0.25">
      <c r="A73091" s="118"/>
      <c r="B73091" s="136"/>
    </row>
    <row r="73092" spans="1:2" x14ac:dyDescent="0.25">
      <c r="A73092" s="118"/>
      <c r="B73092" s="136"/>
    </row>
    <row r="73093" spans="1:2" x14ac:dyDescent="0.25">
      <c r="A73093" s="118"/>
      <c r="B73093" s="136"/>
    </row>
    <row r="73094" spans="1:2" x14ac:dyDescent="0.25">
      <c r="A73094" s="118"/>
      <c r="B73094" s="136"/>
    </row>
    <row r="73095" spans="1:2" x14ac:dyDescent="0.25">
      <c r="A73095" s="118"/>
      <c r="B73095" s="136"/>
    </row>
    <row r="73096" spans="1:2" x14ac:dyDescent="0.25">
      <c r="A73096" s="118"/>
      <c r="B73096" s="136"/>
    </row>
    <row r="73097" spans="1:2" x14ac:dyDescent="0.25">
      <c r="A73097" s="118"/>
      <c r="B73097" s="136"/>
    </row>
    <row r="73098" spans="1:2" x14ac:dyDescent="0.25">
      <c r="A73098" s="118"/>
      <c r="B73098" s="136"/>
    </row>
    <row r="73099" spans="1:2" x14ac:dyDescent="0.25">
      <c r="A73099" s="118"/>
      <c r="B73099" s="136"/>
    </row>
    <row r="73100" spans="1:2" x14ac:dyDescent="0.25">
      <c r="A73100" s="118"/>
      <c r="B73100" s="136"/>
    </row>
    <row r="73101" spans="1:2" x14ac:dyDescent="0.25">
      <c r="A73101" s="118"/>
      <c r="B73101" s="136"/>
    </row>
    <row r="73102" spans="1:2" x14ac:dyDescent="0.25">
      <c r="A73102" s="118"/>
      <c r="B73102" s="136"/>
    </row>
    <row r="73103" spans="1:2" x14ac:dyDescent="0.25">
      <c r="A73103" s="118"/>
      <c r="B73103" s="136"/>
    </row>
    <row r="73104" spans="1:2" x14ac:dyDescent="0.25">
      <c r="A73104" s="118"/>
      <c r="B73104" s="136"/>
    </row>
    <row r="73105" spans="1:2" x14ac:dyDescent="0.25">
      <c r="A73105" s="118"/>
      <c r="B73105" s="136"/>
    </row>
    <row r="73106" spans="1:2" x14ac:dyDescent="0.25">
      <c r="A73106" s="118"/>
      <c r="B73106" s="136"/>
    </row>
    <row r="73107" spans="1:2" x14ac:dyDescent="0.25">
      <c r="A73107" s="118"/>
      <c r="B73107" s="136"/>
    </row>
    <row r="73108" spans="1:2" x14ac:dyDescent="0.25">
      <c r="A73108" s="118"/>
      <c r="B73108" s="136"/>
    </row>
    <row r="73109" spans="1:2" x14ac:dyDescent="0.25">
      <c r="A73109" s="118"/>
      <c r="B73109" s="136"/>
    </row>
    <row r="73110" spans="1:2" x14ac:dyDescent="0.25">
      <c r="A73110" s="118"/>
      <c r="B73110" s="136"/>
    </row>
    <row r="73111" spans="1:2" x14ac:dyDescent="0.25">
      <c r="A73111" s="118"/>
      <c r="B73111" s="136"/>
    </row>
    <row r="73112" spans="1:2" x14ac:dyDescent="0.25">
      <c r="A73112" s="118"/>
      <c r="B73112" s="136"/>
    </row>
    <row r="73113" spans="1:2" x14ac:dyDescent="0.25">
      <c r="A73113" s="118"/>
      <c r="B73113" s="136"/>
    </row>
    <row r="73114" spans="1:2" x14ac:dyDescent="0.25">
      <c r="A73114" s="118"/>
      <c r="B73114" s="136"/>
    </row>
    <row r="73115" spans="1:2" x14ac:dyDescent="0.25">
      <c r="A73115" s="118"/>
      <c r="B73115" s="136"/>
    </row>
    <row r="73116" spans="1:2" x14ac:dyDescent="0.25">
      <c r="A73116" s="118"/>
      <c r="B73116" s="136"/>
    </row>
    <row r="73117" spans="1:2" x14ac:dyDescent="0.25">
      <c r="A73117" s="118"/>
      <c r="B73117" s="136"/>
    </row>
    <row r="73118" spans="1:2" x14ac:dyDescent="0.25">
      <c r="A73118" s="118"/>
      <c r="B73118" s="136"/>
    </row>
    <row r="73119" spans="1:2" x14ac:dyDescent="0.25">
      <c r="A73119" s="118"/>
      <c r="B73119" s="136"/>
    </row>
    <row r="73120" spans="1:2" x14ac:dyDescent="0.25">
      <c r="A73120" s="118"/>
      <c r="B73120" s="136"/>
    </row>
    <row r="73121" spans="1:2" x14ac:dyDescent="0.25">
      <c r="A73121" s="118"/>
      <c r="B73121" s="136"/>
    </row>
    <row r="73122" spans="1:2" x14ac:dyDescent="0.25">
      <c r="A73122" s="118"/>
      <c r="B73122" s="136"/>
    </row>
    <row r="73123" spans="1:2" x14ac:dyDescent="0.25">
      <c r="A73123" s="118"/>
      <c r="B73123" s="136"/>
    </row>
    <row r="73124" spans="1:2" x14ac:dyDescent="0.25">
      <c r="A73124" s="118"/>
      <c r="B73124" s="136"/>
    </row>
    <row r="73125" spans="1:2" x14ac:dyDescent="0.25">
      <c r="A73125" s="118"/>
      <c r="B73125" s="136"/>
    </row>
    <row r="73126" spans="1:2" x14ac:dyDescent="0.25">
      <c r="A73126" s="118"/>
      <c r="B73126" s="136"/>
    </row>
    <row r="73127" spans="1:2" x14ac:dyDescent="0.25">
      <c r="A73127" s="118"/>
      <c r="B73127" s="136"/>
    </row>
    <row r="73128" spans="1:2" x14ac:dyDescent="0.25">
      <c r="A73128" s="118"/>
      <c r="B73128" s="136"/>
    </row>
    <row r="73129" spans="1:2" x14ac:dyDescent="0.25">
      <c r="A73129" s="118"/>
      <c r="B73129" s="136"/>
    </row>
    <row r="73130" spans="1:2" x14ac:dyDescent="0.25">
      <c r="A73130" s="118"/>
      <c r="B73130" s="136"/>
    </row>
    <row r="73131" spans="1:2" x14ac:dyDescent="0.25">
      <c r="A73131" s="118"/>
      <c r="B73131" s="136"/>
    </row>
    <row r="73132" spans="1:2" x14ac:dyDescent="0.25">
      <c r="A73132" s="118"/>
      <c r="B73132" s="136"/>
    </row>
    <row r="73133" spans="1:2" x14ac:dyDescent="0.25">
      <c r="A73133" s="118"/>
      <c r="B73133" s="136"/>
    </row>
    <row r="73134" spans="1:2" x14ac:dyDescent="0.25">
      <c r="A73134" s="118"/>
      <c r="B73134" s="136"/>
    </row>
    <row r="73135" spans="1:2" x14ac:dyDescent="0.25">
      <c r="A73135" s="118"/>
      <c r="B73135" s="136"/>
    </row>
    <row r="73136" spans="1:2" x14ac:dyDescent="0.25">
      <c r="A73136" s="118"/>
      <c r="B73136" s="136"/>
    </row>
    <row r="73137" spans="1:2" x14ac:dyDescent="0.25">
      <c r="A73137" s="118"/>
      <c r="B73137" s="136"/>
    </row>
    <row r="73138" spans="1:2" x14ac:dyDescent="0.25">
      <c r="A73138" s="118"/>
      <c r="B73138" s="136"/>
    </row>
    <row r="73139" spans="1:2" x14ac:dyDescent="0.25">
      <c r="A73139" s="118"/>
      <c r="B73139" s="136"/>
    </row>
    <row r="73140" spans="1:2" x14ac:dyDescent="0.25">
      <c r="A73140" s="118"/>
      <c r="B73140" s="136"/>
    </row>
    <row r="73141" spans="1:2" x14ac:dyDescent="0.25">
      <c r="A73141" s="118"/>
      <c r="B73141" s="136"/>
    </row>
    <row r="73142" spans="1:2" x14ac:dyDescent="0.25">
      <c r="A73142" s="118"/>
      <c r="B73142" s="136"/>
    </row>
    <row r="73143" spans="1:2" x14ac:dyDescent="0.25">
      <c r="A73143" s="118"/>
      <c r="B73143" s="136"/>
    </row>
    <row r="73144" spans="1:2" x14ac:dyDescent="0.25">
      <c r="A73144" s="118"/>
      <c r="B73144" s="136"/>
    </row>
    <row r="73145" spans="1:2" x14ac:dyDescent="0.25">
      <c r="A73145" s="118"/>
      <c r="B73145" s="136"/>
    </row>
    <row r="73146" spans="1:2" x14ac:dyDescent="0.25">
      <c r="A73146" s="118"/>
      <c r="B73146" s="136"/>
    </row>
    <row r="73147" spans="1:2" x14ac:dyDescent="0.25">
      <c r="A73147" s="118"/>
      <c r="B73147" s="136"/>
    </row>
    <row r="73148" spans="1:2" x14ac:dyDescent="0.25">
      <c r="A73148" s="118"/>
      <c r="B73148" s="136"/>
    </row>
    <row r="73149" spans="1:2" x14ac:dyDescent="0.25">
      <c r="A73149" s="118"/>
      <c r="B73149" s="136"/>
    </row>
    <row r="73150" spans="1:2" x14ac:dyDescent="0.25">
      <c r="A73150" s="118"/>
      <c r="B73150" s="136"/>
    </row>
    <row r="73151" spans="1:2" x14ac:dyDescent="0.25">
      <c r="A73151" s="118"/>
      <c r="B73151" s="136"/>
    </row>
    <row r="73152" spans="1:2" x14ac:dyDescent="0.25">
      <c r="A73152" s="118"/>
      <c r="B73152" s="136"/>
    </row>
    <row r="73153" spans="1:2" x14ac:dyDescent="0.25">
      <c r="A73153" s="118"/>
      <c r="B73153" s="136"/>
    </row>
    <row r="73154" spans="1:2" x14ac:dyDescent="0.25">
      <c r="A73154" s="118"/>
      <c r="B73154" s="136"/>
    </row>
    <row r="73155" spans="1:2" x14ac:dyDescent="0.25">
      <c r="A73155" s="118"/>
      <c r="B73155" s="136"/>
    </row>
    <row r="73156" spans="1:2" x14ac:dyDescent="0.25">
      <c r="A73156" s="118"/>
      <c r="B73156" s="136"/>
    </row>
    <row r="73157" spans="1:2" x14ac:dyDescent="0.25">
      <c r="A73157" s="118"/>
      <c r="B73157" s="136"/>
    </row>
    <row r="73158" spans="1:2" x14ac:dyDescent="0.25">
      <c r="A73158" s="118"/>
      <c r="B73158" s="136"/>
    </row>
    <row r="73159" spans="1:2" x14ac:dyDescent="0.25">
      <c r="A73159" s="118"/>
      <c r="B73159" s="136"/>
    </row>
    <row r="73160" spans="1:2" x14ac:dyDescent="0.25">
      <c r="A73160" s="118"/>
      <c r="B73160" s="136"/>
    </row>
    <row r="73161" spans="1:2" x14ac:dyDescent="0.25">
      <c r="A73161" s="118"/>
      <c r="B73161" s="136"/>
    </row>
    <row r="73162" spans="1:2" x14ac:dyDescent="0.25">
      <c r="A73162" s="118"/>
      <c r="B73162" s="136"/>
    </row>
    <row r="73163" spans="1:2" x14ac:dyDescent="0.25">
      <c r="A73163" s="118"/>
      <c r="B73163" s="136"/>
    </row>
    <row r="73164" spans="1:2" x14ac:dyDescent="0.25">
      <c r="A73164" s="118"/>
      <c r="B73164" s="136"/>
    </row>
    <row r="73165" spans="1:2" x14ac:dyDescent="0.25">
      <c r="A73165" s="118"/>
      <c r="B73165" s="136"/>
    </row>
    <row r="73166" spans="1:2" x14ac:dyDescent="0.25">
      <c r="A73166" s="118"/>
      <c r="B73166" s="136"/>
    </row>
    <row r="73167" spans="1:2" x14ac:dyDescent="0.25">
      <c r="A73167" s="118"/>
      <c r="B73167" s="136"/>
    </row>
    <row r="73168" spans="1:2" x14ac:dyDescent="0.25">
      <c r="A73168" s="118"/>
      <c r="B73168" s="136"/>
    </row>
    <row r="73169" spans="1:2" x14ac:dyDescent="0.25">
      <c r="A73169" s="118"/>
      <c r="B73169" s="136"/>
    </row>
    <row r="73170" spans="1:2" x14ac:dyDescent="0.25">
      <c r="A73170" s="118"/>
      <c r="B73170" s="136"/>
    </row>
    <row r="73171" spans="1:2" x14ac:dyDescent="0.25">
      <c r="A73171" s="118"/>
      <c r="B73171" s="136"/>
    </row>
    <row r="73172" spans="1:2" x14ac:dyDescent="0.25">
      <c r="A73172" s="118"/>
      <c r="B73172" s="136"/>
    </row>
    <row r="73173" spans="1:2" x14ac:dyDescent="0.25">
      <c r="A73173" s="118"/>
      <c r="B73173" s="136"/>
    </row>
    <row r="73174" spans="1:2" x14ac:dyDescent="0.25">
      <c r="A73174" s="118"/>
      <c r="B73174" s="136"/>
    </row>
    <row r="73175" spans="1:2" x14ac:dyDescent="0.25">
      <c r="A73175" s="118"/>
      <c r="B73175" s="136"/>
    </row>
    <row r="73176" spans="1:2" x14ac:dyDescent="0.25">
      <c r="A73176" s="118"/>
      <c r="B73176" s="136"/>
    </row>
    <row r="73177" spans="1:2" x14ac:dyDescent="0.25">
      <c r="A73177" s="118"/>
      <c r="B73177" s="136"/>
    </row>
    <row r="73178" spans="1:2" x14ac:dyDescent="0.25">
      <c r="A73178" s="118"/>
      <c r="B73178" s="136"/>
    </row>
    <row r="73179" spans="1:2" x14ac:dyDescent="0.25">
      <c r="A73179" s="118"/>
      <c r="B73179" s="136"/>
    </row>
    <row r="73180" spans="1:2" x14ac:dyDescent="0.25">
      <c r="A73180" s="118"/>
      <c r="B73180" s="136"/>
    </row>
    <row r="73181" spans="1:2" x14ac:dyDescent="0.25">
      <c r="A73181" s="118"/>
      <c r="B73181" s="136"/>
    </row>
    <row r="73182" spans="1:2" x14ac:dyDescent="0.25">
      <c r="A73182" s="118"/>
      <c r="B73182" s="136"/>
    </row>
    <row r="73183" spans="1:2" x14ac:dyDescent="0.25">
      <c r="A73183" s="118"/>
      <c r="B73183" s="136"/>
    </row>
    <row r="73184" spans="1:2" x14ac:dyDescent="0.25">
      <c r="A73184" s="118"/>
      <c r="B73184" s="136"/>
    </row>
    <row r="73185" spans="1:2" x14ac:dyDescent="0.25">
      <c r="A73185" s="118"/>
      <c r="B73185" s="136"/>
    </row>
    <row r="73186" spans="1:2" x14ac:dyDescent="0.25">
      <c r="A73186" s="118"/>
      <c r="B73186" s="136"/>
    </row>
    <row r="73187" spans="1:2" x14ac:dyDescent="0.25">
      <c r="A73187" s="118"/>
      <c r="B73187" s="136"/>
    </row>
    <row r="73188" spans="1:2" x14ac:dyDescent="0.25">
      <c r="A73188" s="118"/>
      <c r="B73188" s="136"/>
    </row>
    <row r="73189" spans="1:2" x14ac:dyDescent="0.25">
      <c r="A73189" s="118"/>
      <c r="B73189" s="136"/>
    </row>
    <row r="73190" spans="1:2" x14ac:dyDescent="0.25">
      <c r="A73190" s="118"/>
      <c r="B73190" s="136"/>
    </row>
    <row r="73191" spans="1:2" x14ac:dyDescent="0.25">
      <c r="A73191" s="118"/>
      <c r="B73191" s="136"/>
    </row>
    <row r="73192" spans="1:2" x14ac:dyDescent="0.25">
      <c r="A73192" s="118"/>
      <c r="B73192" s="136"/>
    </row>
    <row r="73193" spans="1:2" x14ac:dyDescent="0.25">
      <c r="A73193" s="118"/>
      <c r="B73193" s="136"/>
    </row>
    <row r="73194" spans="1:2" x14ac:dyDescent="0.25">
      <c r="A73194" s="118"/>
      <c r="B73194" s="136"/>
    </row>
    <row r="73195" spans="1:2" x14ac:dyDescent="0.25">
      <c r="A73195" s="118"/>
      <c r="B73195" s="136"/>
    </row>
    <row r="73196" spans="1:2" x14ac:dyDescent="0.25">
      <c r="A73196" s="118"/>
      <c r="B73196" s="136"/>
    </row>
    <row r="73197" spans="1:2" x14ac:dyDescent="0.25">
      <c r="A73197" s="118"/>
      <c r="B73197" s="136"/>
    </row>
    <row r="73198" spans="1:2" x14ac:dyDescent="0.25">
      <c r="A73198" s="118"/>
      <c r="B73198" s="136"/>
    </row>
    <row r="73199" spans="1:2" x14ac:dyDescent="0.25">
      <c r="A73199" s="118"/>
      <c r="B73199" s="136"/>
    </row>
    <row r="73200" spans="1:2" x14ac:dyDescent="0.25">
      <c r="A73200" s="118"/>
      <c r="B73200" s="136"/>
    </row>
    <row r="73201" spans="1:2" x14ac:dyDescent="0.25">
      <c r="A73201" s="118"/>
      <c r="B73201" s="136"/>
    </row>
    <row r="73202" spans="1:2" x14ac:dyDescent="0.25">
      <c r="A73202" s="118"/>
      <c r="B73202" s="136"/>
    </row>
    <row r="73203" spans="1:2" x14ac:dyDescent="0.25">
      <c r="A73203" s="118"/>
      <c r="B73203" s="136"/>
    </row>
    <row r="73204" spans="1:2" x14ac:dyDescent="0.25">
      <c r="A73204" s="118"/>
      <c r="B73204" s="136"/>
    </row>
    <row r="73205" spans="1:2" x14ac:dyDescent="0.25">
      <c r="A73205" s="118"/>
      <c r="B73205" s="136"/>
    </row>
    <row r="73206" spans="1:2" x14ac:dyDescent="0.25">
      <c r="A73206" s="118"/>
      <c r="B73206" s="136"/>
    </row>
    <row r="73207" spans="1:2" x14ac:dyDescent="0.25">
      <c r="A73207" s="118"/>
      <c r="B73207" s="136"/>
    </row>
    <row r="73208" spans="1:2" x14ac:dyDescent="0.25">
      <c r="A73208" s="118"/>
      <c r="B73208" s="136"/>
    </row>
    <row r="73209" spans="1:2" x14ac:dyDescent="0.25">
      <c r="A73209" s="118"/>
      <c r="B73209" s="136"/>
    </row>
    <row r="73210" spans="1:2" x14ac:dyDescent="0.25">
      <c r="A73210" s="118"/>
      <c r="B73210" s="136"/>
    </row>
    <row r="73211" spans="1:2" x14ac:dyDescent="0.25">
      <c r="A73211" s="118"/>
      <c r="B73211" s="136"/>
    </row>
    <row r="73212" spans="1:2" x14ac:dyDescent="0.25">
      <c r="A73212" s="118"/>
      <c r="B73212" s="136"/>
    </row>
    <row r="73213" spans="1:2" x14ac:dyDescent="0.25">
      <c r="A73213" s="118"/>
      <c r="B73213" s="136"/>
    </row>
    <row r="73214" spans="1:2" x14ac:dyDescent="0.25">
      <c r="A73214" s="118"/>
      <c r="B73214" s="136"/>
    </row>
    <row r="73215" spans="1:2" x14ac:dyDescent="0.25">
      <c r="A73215" s="118"/>
      <c r="B73215" s="136"/>
    </row>
    <row r="73216" spans="1:2" x14ac:dyDescent="0.25">
      <c r="A73216" s="118"/>
      <c r="B73216" s="136"/>
    </row>
    <row r="73217" spans="1:2" x14ac:dyDescent="0.25">
      <c r="A73217" s="118"/>
      <c r="B73217" s="136"/>
    </row>
    <row r="73218" spans="1:2" x14ac:dyDescent="0.25">
      <c r="A73218" s="118"/>
      <c r="B73218" s="136"/>
    </row>
    <row r="73219" spans="1:2" x14ac:dyDescent="0.25">
      <c r="A73219" s="118"/>
      <c r="B73219" s="136"/>
    </row>
    <row r="73220" spans="1:2" x14ac:dyDescent="0.25">
      <c r="A73220" s="118"/>
      <c r="B73220" s="136"/>
    </row>
    <row r="73221" spans="1:2" x14ac:dyDescent="0.25">
      <c r="A73221" s="118"/>
      <c r="B73221" s="136"/>
    </row>
    <row r="73222" spans="1:2" x14ac:dyDescent="0.25">
      <c r="A73222" s="118"/>
      <c r="B73222" s="136"/>
    </row>
    <row r="73223" spans="1:2" x14ac:dyDescent="0.25">
      <c r="A73223" s="118"/>
      <c r="B73223" s="136"/>
    </row>
    <row r="73224" spans="1:2" x14ac:dyDescent="0.25">
      <c r="A73224" s="118"/>
      <c r="B73224" s="136"/>
    </row>
    <row r="73225" spans="1:2" x14ac:dyDescent="0.25">
      <c r="A73225" s="118"/>
      <c r="B73225" s="136"/>
    </row>
    <row r="73226" spans="1:2" x14ac:dyDescent="0.25">
      <c r="A73226" s="118"/>
      <c r="B73226" s="136"/>
    </row>
    <row r="73227" spans="1:2" x14ac:dyDescent="0.25">
      <c r="A73227" s="118"/>
      <c r="B73227" s="136"/>
    </row>
    <row r="73228" spans="1:2" x14ac:dyDescent="0.25">
      <c r="A73228" s="118"/>
      <c r="B73228" s="136"/>
    </row>
    <row r="73229" spans="1:2" x14ac:dyDescent="0.25">
      <c r="A73229" s="118"/>
      <c r="B73229" s="136"/>
    </row>
    <row r="73230" spans="1:2" x14ac:dyDescent="0.25">
      <c r="A73230" s="118"/>
      <c r="B73230" s="136"/>
    </row>
    <row r="73231" spans="1:2" x14ac:dyDescent="0.25">
      <c r="A73231" s="118"/>
      <c r="B73231" s="136"/>
    </row>
    <row r="73232" spans="1:2" x14ac:dyDescent="0.25">
      <c r="A73232" s="118"/>
      <c r="B73232" s="136"/>
    </row>
    <row r="73233" spans="1:2" x14ac:dyDescent="0.25">
      <c r="A73233" s="118"/>
      <c r="B73233" s="136"/>
    </row>
    <row r="73234" spans="1:2" x14ac:dyDescent="0.25">
      <c r="A73234" s="118"/>
      <c r="B73234" s="136"/>
    </row>
    <row r="73235" spans="1:2" x14ac:dyDescent="0.25">
      <c r="A73235" s="118"/>
      <c r="B73235" s="136"/>
    </row>
    <row r="73236" spans="1:2" x14ac:dyDescent="0.25">
      <c r="A73236" s="118"/>
      <c r="B73236" s="136"/>
    </row>
    <row r="73237" spans="1:2" x14ac:dyDescent="0.25">
      <c r="A73237" s="118"/>
      <c r="B73237" s="136"/>
    </row>
    <row r="73238" spans="1:2" x14ac:dyDescent="0.25">
      <c r="A73238" s="118"/>
      <c r="B73238" s="136"/>
    </row>
    <row r="73239" spans="1:2" x14ac:dyDescent="0.25">
      <c r="A73239" s="118"/>
      <c r="B73239" s="136"/>
    </row>
    <row r="73240" spans="1:2" x14ac:dyDescent="0.25">
      <c r="A73240" s="118"/>
      <c r="B73240" s="136"/>
    </row>
    <row r="73241" spans="1:2" x14ac:dyDescent="0.25">
      <c r="A73241" s="118"/>
      <c r="B73241" s="136"/>
    </row>
    <row r="73242" spans="1:2" x14ac:dyDescent="0.25">
      <c r="A73242" s="118"/>
      <c r="B73242" s="136"/>
    </row>
    <row r="73243" spans="1:2" x14ac:dyDescent="0.25">
      <c r="A73243" s="118"/>
      <c r="B73243" s="136"/>
    </row>
    <row r="73244" spans="1:2" x14ac:dyDescent="0.25">
      <c r="A73244" s="118"/>
      <c r="B73244" s="136"/>
    </row>
    <row r="73245" spans="1:2" x14ac:dyDescent="0.25">
      <c r="A73245" s="118"/>
      <c r="B73245" s="136"/>
    </row>
    <row r="73246" spans="1:2" x14ac:dyDescent="0.25">
      <c r="A73246" s="118"/>
      <c r="B73246" s="136"/>
    </row>
    <row r="73247" spans="1:2" x14ac:dyDescent="0.25">
      <c r="A73247" s="118"/>
      <c r="B73247" s="136"/>
    </row>
    <row r="73248" spans="1:2" x14ac:dyDescent="0.25">
      <c r="A73248" s="118"/>
      <c r="B73248" s="136"/>
    </row>
    <row r="73249" spans="1:2" x14ac:dyDescent="0.25">
      <c r="A73249" s="118"/>
      <c r="B73249" s="136"/>
    </row>
    <row r="73250" spans="1:2" x14ac:dyDescent="0.25">
      <c r="A73250" s="118"/>
      <c r="B73250" s="136"/>
    </row>
    <row r="73251" spans="1:2" x14ac:dyDescent="0.25">
      <c r="A73251" s="118"/>
      <c r="B73251" s="136"/>
    </row>
    <row r="73252" spans="1:2" x14ac:dyDescent="0.25">
      <c r="A73252" s="118"/>
      <c r="B73252" s="136"/>
    </row>
    <row r="73253" spans="1:2" x14ac:dyDescent="0.25">
      <c r="A73253" s="118"/>
      <c r="B73253" s="136"/>
    </row>
    <row r="73254" spans="1:2" x14ac:dyDescent="0.25">
      <c r="A73254" s="118"/>
      <c r="B73254" s="136"/>
    </row>
    <row r="73255" spans="1:2" x14ac:dyDescent="0.25">
      <c r="A73255" s="118"/>
      <c r="B73255" s="136"/>
    </row>
    <row r="73256" spans="1:2" x14ac:dyDescent="0.25">
      <c r="A73256" s="118"/>
      <c r="B73256" s="136"/>
    </row>
    <row r="73257" spans="1:2" x14ac:dyDescent="0.25">
      <c r="A73257" s="118"/>
      <c r="B73257" s="136"/>
    </row>
    <row r="73258" spans="1:2" x14ac:dyDescent="0.25">
      <c r="A73258" s="118"/>
      <c r="B73258" s="136"/>
    </row>
    <row r="73259" spans="1:2" x14ac:dyDescent="0.25">
      <c r="A73259" s="118"/>
      <c r="B73259" s="136"/>
    </row>
    <row r="73260" spans="1:2" x14ac:dyDescent="0.25">
      <c r="A73260" s="118"/>
      <c r="B73260" s="136"/>
    </row>
    <row r="73261" spans="1:2" x14ac:dyDescent="0.25">
      <c r="A73261" s="118"/>
      <c r="B73261" s="136"/>
    </row>
    <row r="73262" spans="1:2" x14ac:dyDescent="0.25">
      <c r="A73262" s="118"/>
      <c r="B73262" s="136"/>
    </row>
    <row r="73263" spans="1:2" x14ac:dyDescent="0.25">
      <c r="A73263" s="118"/>
      <c r="B73263" s="136"/>
    </row>
    <row r="73264" spans="1:2" x14ac:dyDescent="0.25">
      <c r="A73264" s="118"/>
      <c r="B73264" s="136"/>
    </row>
    <row r="73265" spans="1:2" x14ac:dyDescent="0.25">
      <c r="A73265" s="118"/>
      <c r="B73265" s="136"/>
    </row>
    <row r="73266" spans="1:2" x14ac:dyDescent="0.25">
      <c r="A73266" s="118"/>
      <c r="B73266" s="136"/>
    </row>
    <row r="73267" spans="1:2" x14ac:dyDescent="0.25">
      <c r="A73267" s="118"/>
      <c r="B73267" s="136"/>
    </row>
    <row r="73268" spans="1:2" x14ac:dyDescent="0.25">
      <c r="A73268" s="118"/>
      <c r="B73268" s="136"/>
    </row>
    <row r="73269" spans="1:2" x14ac:dyDescent="0.25">
      <c r="A73269" s="118"/>
      <c r="B73269" s="136"/>
    </row>
    <row r="73270" spans="1:2" x14ac:dyDescent="0.25">
      <c r="A73270" s="118"/>
      <c r="B73270" s="136"/>
    </row>
    <row r="73271" spans="1:2" x14ac:dyDescent="0.25">
      <c r="A73271" s="118"/>
      <c r="B73271" s="136"/>
    </row>
    <row r="73272" spans="1:2" x14ac:dyDescent="0.25">
      <c r="A73272" s="118"/>
      <c r="B73272" s="136"/>
    </row>
    <row r="73273" spans="1:2" x14ac:dyDescent="0.25">
      <c r="A73273" s="118"/>
      <c r="B73273" s="136"/>
    </row>
    <row r="73274" spans="1:2" x14ac:dyDescent="0.25">
      <c r="A73274" s="118"/>
      <c r="B73274" s="136"/>
    </row>
    <row r="73275" spans="1:2" x14ac:dyDescent="0.25">
      <c r="A73275" s="118"/>
      <c r="B73275" s="136"/>
    </row>
    <row r="73276" spans="1:2" x14ac:dyDescent="0.25">
      <c r="A73276" s="118"/>
      <c r="B73276" s="136"/>
    </row>
    <row r="73277" spans="1:2" x14ac:dyDescent="0.25">
      <c r="A73277" s="118"/>
      <c r="B73277" s="136"/>
    </row>
    <row r="73278" spans="1:2" x14ac:dyDescent="0.25">
      <c r="A73278" s="118"/>
      <c r="B73278" s="136"/>
    </row>
    <row r="73279" spans="1:2" x14ac:dyDescent="0.25">
      <c r="A73279" s="118"/>
      <c r="B73279" s="136"/>
    </row>
    <row r="73280" spans="1:2" x14ac:dyDescent="0.25">
      <c r="A73280" s="118"/>
      <c r="B73280" s="136"/>
    </row>
    <row r="73281" spans="1:2" x14ac:dyDescent="0.25">
      <c r="A73281" s="118"/>
      <c r="B73281" s="136"/>
    </row>
    <row r="73282" spans="1:2" x14ac:dyDescent="0.25">
      <c r="A73282" s="118"/>
      <c r="B73282" s="136"/>
    </row>
    <row r="73283" spans="1:2" x14ac:dyDescent="0.25">
      <c r="A73283" s="118"/>
      <c r="B73283" s="136"/>
    </row>
    <row r="73284" spans="1:2" x14ac:dyDescent="0.25">
      <c r="A73284" s="118"/>
      <c r="B73284" s="136"/>
    </row>
    <row r="73285" spans="1:2" x14ac:dyDescent="0.25">
      <c r="A73285" s="118"/>
      <c r="B73285" s="136"/>
    </row>
    <row r="73286" spans="1:2" x14ac:dyDescent="0.25">
      <c r="A73286" s="118"/>
      <c r="B73286" s="136"/>
    </row>
    <row r="73287" spans="1:2" x14ac:dyDescent="0.25">
      <c r="A73287" s="118"/>
      <c r="B73287" s="136"/>
    </row>
    <row r="73288" spans="1:2" x14ac:dyDescent="0.25">
      <c r="A73288" s="118"/>
      <c r="B73288" s="136"/>
    </row>
    <row r="73289" spans="1:2" x14ac:dyDescent="0.25">
      <c r="A73289" s="118"/>
      <c r="B73289" s="136"/>
    </row>
    <row r="73290" spans="1:2" x14ac:dyDescent="0.25">
      <c r="A73290" s="118"/>
      <c r="B73290" s="136"/>
    </row>
    <row r="73291" spans="1:2" x14ac:dyDescent="0.25">
      <c r="A73291" s="118"/>
      <c r="B73291" s="136"/>
    </row>
    <row r="73292" spans="1:2" x14ac:dyDescent="0.25">
      <c r="A73292" s="118"/>
      <c r="B73292" s="136"/>
    </row>
    <row r="73293" spans="1:2" x14ac:dyDescent="0.25">
      <c r="A73293" s="118"/>
      <c r="B73293" s="136"/>
    </row>
    <row r="73294" spans="1:2" x14ac:dyDescent="0.25">
      <c r="A73294" s="118"/>
      <c r="B73294" s="136"/>
    </row>
    <row r="73295" spans="1:2" x14ac:dyDescent="0.25">
      <c r="A73295" s="118"/>
      <c r="B73295" s="136"/>
    </row>
    <row r="73296" spans="1:2" x14ac:dyDescent="0.25">
      <c r="A73296" s="118"/>
      <c r="B73296" s="136"/>
    </row>
    <row r="73297" spans="1:2" x14ac:dyDescent="0.25">
      <c r="A73297" s="118"/>
      <c r="B73297" s="136"/>
    </row>
    <row r="73298" spans="1:2" x14ac:dyDescent="0.25">
      <c r="A73298" s="118"/>
      <c r="B73298" s="136"/>
    </row>
    <row r="73299" spans="1:2" x14ac:dyDescent="0.25">
      <c r="A73299" s="118"/>
      <c r="B73299" s="136"/>
    </row>
    <row r="73300" spans="1:2" x14ac:dyDescent="0.25">
      <c r="A73300" s="118"/>
      <c r="B73300" s="136"/>
    </row>
    <row r="73301" spans="1:2" x14ac:dyDescent="0.25">
      <c r="A73301" s="118"/>
      <c r="B73301" s="136"/>
    </row>
    <row r="73302" spans="1:2" x14ac:dyDescent="0.25">
      <c r="A73302" s="118"/>
      <c r="B73302" s="136"/>
    </row>
    <row r="73303" spans="1:2" x14ac:dyDescent="0.25">
      <c r="A73303" s="118"/>
      <c r="B73303" s="136"/>
    </row>
    <row r="73304" spans="1:2" x14ac:dyDescent="0.25">
      <c r="A73304" s="118"/>
      <c r="B73304" s="136"/>
    </row>
    <row r="73305" spans="1:2" x14ac:dyDescent="0.25">
      <c r="A73305" s="118"/>
      <c r="B73305" s="136"/>
    </row>
    <row r="73306" spans="1:2" x14ac:dyDescent="0.25">
      <c r="A73306" s="118"/>
      <c r="B73306" s="136"/>
    </row>
    <row r="73307" spans="1:2" x14ac:dyDescent="0.25">
      <c r="A73307" s="118"/>
      <c r="B73307" s="136"/>
    </row>
    <row r="73308" spans="1:2" x14ac:dyDescent="0.25">
      <c r="A73308" s="118"/>
      <c r="B73308" s="136"/>
    </row>
    <row r="73309" spans="1:2" x14ac:dyDescent="0.25">
      <c r="A73309" s="118"/>
      <c r="B73309" s="136"/>
    </row>
    <row r="73310" spans="1:2" x14ac:dyDescent="0.25">
      <c r="A73310" s="118"/>
      <c r="B73310" s="136"/>
    </row>
    <row r="73311" spans="1:2" x14ac:dyDescent="0.25">
      <c r="A73311" s="118"/>
      <c r="B73311" s="136"/>
    </row>
    <row r="73312" spans="1:2" x14ac:dyDescent="0.25">
      <c r="A73312" s="118"/>
      <c r="B73312" s="136"/>
    </row>
    <row r="73313" spans="1:2" x14ac:dyDescent="0.25">
      <c r="A73313" s="118"/>
      <c r="B73313" s="136"/>
    </row>
    <row r="73314" spans="1:2" x14ac:dyDescent="0.25">
      <c r="A73314" s="118"/>
      <c r="B73314" s="136"/>
    </row>
    <row r="73315" spans="1:2" x14ac:dyDescent="0.25">
      <c r="A73315" s="118"/>
      <c r="B73315" s="136"/>
    </row>
    <row r="73316" spans="1:2" x14ac:dyDescent="0.25">
      <c r="A73316" s="118"/>
      <c r="B73316" s="136"/>
    </row>
    <row r="73317" spans="1:2" x14ac:dyDescent="0.25">
      <c r="A73317" s="118"/>
      <c r="B73317" s="136"/>
    </row>
    <row r="73318" spans="1:2" x14ac:dyDescent="0.25">
      <c r="A73318" s="118"/>
      <c r="B73318" s="136"/>
    </row>
    <row r="73319" spans="1:2" x14ac:dyDescent="0.25">
      <c r="A73319" s="118"/>
      <c r="B73319" s="136"/>
    </row>
    <row r="73320" spans="1:2" x14ac:dyDescent="0.25">
      <c r="A73320" s="118"/>
      <c r="B73320" s="136"/>
    </row>
    <row r="73321" spans="1:2" x14ac:dyDescent="0.25">
      <c r="A73321" s="118"/>
      <c r="B73321" s="136"/>
    </row>
    <row r="73322" spans="1:2" x14ac:dyDescent="0.25">
      <c r="A73322" s="118"/>
      <c r="B73322" s="136"/>
    </row>
    <row r="73323" spans="1:2" x14ac:dyDescent="0.25">
      <c r="A73323" s="118"/>
      <c r="B73323" s="136"/>
    </row>
    <row r="73324" spans="1:2" x14ac:dyDescent="0.25">
      <c r="A73324" s="118"/>
      <c r="B73324" s="136"/>
    </row>
    <row r="73325" spans="1:2" x14ac:dyDescent="0.25">
      <c r="A73325" s="118"/>
      <c r="B73325" s="136"/>
    </row>
    <row r="73326" spans="1:2" x14ac:dyDescent="0.25">
      <c r="A73326" s="118"/>
      <c r="B73326" s="136"/>
    </row>
    <row r="73327" spans="1:2" x14ac:dyDescent="0.25">
      <c r="A73327" s="118"/>
      <c r="B73327" s="136"/>
    </row>
    <row r="73328" spans="1:2" x14ac:dyDescent="0.25">
      <c r="A73328" s="118"/>
      <c r="B73328" s="136"/>
    </row>
    <row r="73329" spans="1:2" x14ac:dyDescent="0.25">
      <c r="A73329" s="118"/>
      <c r="B73329" s="136"/>
    </row>
    <row r="73330" spans="1:2" x14ac:dyDescent="0.25">
      <c r="A73330" s="118"/>
      <c r="B73330" s="136"/>
    </row>
    <row r="73331" spans="1:2" x14ac:dyDescent="0.25">
      <c r="A73331" s="118"/>
      <c r="B73331" s="136"/>
    </row>
    <row r="73332" spans="1:2" x14ac:dyDescent="0.25">
      <c r="A73332" s="118"/>
      <c r="B73332" s="136"/>
    </row>
    <row r="73333" spans="1:2" x14ac:dyDescent="0.25">
      <c r="A73333" s="118"/>
      <c r="B73333" s="136"/>
    </row>
    <row r="73334" spans="1:2" x14ac:dyDescent="0.25">
      <c r="A73334" s="118"/>
      <c r="B73334" s="136"/>
    </row>
    <row r="73335" spans="1:2" x14ac:dyDescent="0.25">
      <c r="A73335" s="118"/>
      <c r="B73335" s="136"/>
    </row>
    <row r="73336" spans="1:2" x14ac:dyDescent="0.25">
      <c r="A73336" s="118"/>
      <c r="B73336" s="136"/>
    </row>
    <row r="73337" spans="1:2" x14ac:dyDescent="0.25">
      <c r="A73337" s="118"/>
      <c r="B73337" s="136"/>
    </row>
    <row r="73338" spans="1:2" x14ac:dyDescent="0.25">
      <c r="A73338" s="118"/>
      <c r="B73338" s="136"/>
    </row>
    <row r="73339" spans="1:2" x14ac:dyDescent="0.25">
      <c r="A73339" s="118"/>
      <c r="B73339" s="136"/>
    </row>
    <row r="73340" spans="1:2" x14ac:dyDescent="0.25">
      <c r="A73340" s="118"/>
      <c r="B73340" s="136"/>
    </row>
    <row r="73341" spans="1:2" x14ac:dyDescent="0.25">
      <c r="A73341" s="118"/>
      <c r="B73341" s="136"/>
    </row>
    <row r="73342" spans="1:2" x14ac:dyDescent="0.25">
      <c r="A73342" s="118"/>
      <c r="B73342" s="136"/>
    </row>
    <row r="73343" spans="1:2" x14ac:dyDescent="0.25">
      <c r="A73343" s="118"/>
      <c r="B73343" s="136"/>
    </row>
    <row r="73344" spans="1:2" x14ac:dyDescent="0.25">
      <c r="A73344" s="118"/>
      <c r="B73344" s="136"/>
    </row>
    <row r="73345" spans="1:2" x14ac:dyDescent="0.25">
      <c r="A73345" s="118"/>
      <c r="B73345" s="136"/>
    </row>
    <row r="73346" spans="1:2" x14ac:dyDescent="0.25">
      <c r="A73346" s="118"/>
      <c r="B73346" s="136"/>
    </row>
    <row r="73347" spans="1:2" x14ac:dyDescent="0.25">
      <c r="A73347" s="118"/>
      <c r="B73347" s="136"/>
    </row>
    <row r="73348" spans="1:2" x14ac:dyDescent="0.25">
      <c r="A73348" s="118"/>
      <c r="B73348" s="136"/>
    </row>
    <row r="73349" spans="1:2" x14ac:dyDescent="0.25">
      <c r="A73349" s="118"/>
      <c r="B73349" s="136"/>
    </row>
    <row r="73350" spans="1:2" x14ac:dyDescent="0.25">
      <c r="A73350" s="118"/>
      <c r="B73350" s="136"/>
    </row>
    <row r="73351" spans="1:2" x14ac:dyDescent="0.25">
      <c r="A73351" s="118"/>
      <c r="B73351" s="136"/>
    </row>
    <row r="73352" spans="1:2" x14ac:dyDescent="0.25">
      <c r="A73352" s="118"/>
      <c r="B73352" s="136"/>
    </row>
    <row r="73353" spans="1:2" x14ac:dyDescent="0.25">
      <c r="A73353" s="118"/>
      <c r="B73353" s="136"/>
    </row>
    <row r="73354" spans="1:2" x14ac:dyDescent="0.25">
      <c r="A73354" s="118"/>
      <c r="B73354" s="136"/>
    </row>
    <row r="73355" spans="1:2" x14ac:dyDescent="0.25">
      <c r="A73355" s="118"/>
      <c r="B73355" s="136"/>
    </row>
    <row r="73356" spans="1:2" x14ac:dyDescent="0.25">
      <c r="A73356" s="118"/>
      <c r="B73356" s="136"/>
    </row>
    <row r="73357" spans="1:2" x14ac:dyDescent="0.25">
      <c r="A73357" s="118"/>
      <c r="B73357" s="136"/>
    </row>
    <row r="73358" spans="1:2" x14ac:dyDescent="0.25">
      <c r="A73358" s="118"/>
      <c r="B73358" s="136"/>
    </row>
    <row r="73359" spans="1:2" x14ac:dyDescent="0.25">
      <c r="A73359" s="118"/>
      <c r="B73359" s="136"/>
    </row>
    <row r="73360" spans="1:2" x14ac:dyDescent="0.25">
      <c r="A73360" s="118"/>
      <c r="B73360" s="136"/>
    </row>
    <row r="73361" spans="1:2" x14ac:dyDescent="0.25">
      <c r="A73361" s="118"/>
      <c r="B73361" s="136"/>
    </row>
    <row r="73362" spans="1:2" x14ac:dyDescent="0.25">
      <c r="A73362" s="118"/>
      <c r="B73362" s="136"/>
    </row>
    <row r="73363" spans="1:2" x14ac:dyDescent="0.25">
      <c r="A73363" s="118"/>
      <c r="B73363" s="136"/>
    </row>
    <row r="73364" spans="1:2" x14ac:dyDescent="0.25">
      <c r="A73364" s="118"/>
      <c r="B73364" s="136"/>
    </row>
    <row r="73365" spans="1:2" x14ac:dyDescent="0.25">
      <c r="A73365" s="118"/>
      <c r="B73365" s="136"/>
    </row>
    <row r="73366" spans="1:2" x14ac:dyDescent="0.25">
      <c r="A73366" s="118"/>
      <c r="B73366" s="136"/>
    </row>
    <row r="73367" spans="1:2" x14ac:dyDescent="0.25">
      <c r="A73367" s="118"/>
      <c r="B73367" s="136"/>
    </row>
    <row r="73368" spans="1:2" x14ac:dyDescent="0.25">
      <c r="A73368" s="118"/>
      <c r="B73368" s="136"/>
    </row>
    <row r="73369" spans="1:2" x14ac:dyDescent="0.25">
      <c r="A73369" s="118"/>
      <c r="B73369" s="136"/>
    </row>
    <row r="73370" spans="1:2" x14ac:dyDescent="0.25">
      <c r="A73370" s="118"/>
      <c r="B73370" s="136"/>
    </row>
    <row r="73371" spans="1:2" x14ac:dyDescent="0.25">
      <c r="A73371" s="118"/>
      <c r="B73371" s="136"/>
    </row>
    <row r="73372" spans="1:2" x14ac:dyDescent="0.25">
      <c r="A73372" s="118"/>
      <c r="B73372" s="136"/>
    </row>
    <row r="73373" spans="1:2" x14ac:dyDescent="0.25">
      <c r="A73373" s="118"/>
      <c r="B73373" s="136"/>
    </row>
    <row r="73374" spans="1:2" x14ac:dyDescent="0.25">
      <c r="A73374" s="118"/>
      <c r="B73374" s="136"/>
    </row>
    <row r="73375" spans="1:2" x14ac:dyDescent="0.25">
      <c r="A73375" s="118"/>
      <c r="B73375" s="136"/>
    </row>
    <row r="73376" spans="1:2" x14ac:dyDescent="0.25">
      <c r="A73376" s="118"/>
      <c r="B73376" s="136"/>
    </row>
    <row r="73377" spans="1:2" x14ac:dyDescent="0.25">
      <c r="A73377" s="118"/>
      <c r="B73377" s="136"/>
    </row>
    <row r="73378" spans="1:2" x14ac:dyDescent="0.25">
      <c r="A73378" s="118"/>
      <c r="B73378" s="136"/>
    </row>
    <row r="73379" spans="1:2" x14ac:dyDescent="0.25">
      <c r="A73379" s="118"/>
      <c r="B73379" s="136"/>
    </row>
    <row r="73380" spans="1:2" x14ac:dyDescent="0.25">
      <c r="A73380" s="118"/>
      <c r="B73380" s="136"/>
    </row>
    <row r="73381" spans="1:2" x14ac:dyDescent="0.25">
      <c r="A73381" s="118"/>
      <c r="B73381" s="136"/>
    </row>
    <row r="73382" spans="1:2" x14ac:dyDescent="0.25">
      <c r="A73382" s="118"/>
      <c r="B73382" s="136"/>
    </row>
    <row r="73383" spans="1:2" x14ac:dyDescent="0.25">
      <c r="A73383" s="118"/>
      <c r="B73383" s="136"/>
    </row>
    <row r="73384" spans="1:2" x14ac:dyDescent="0.25">
      <c r="A73384" s="118"/>
      <c r="B73384" s="136"/>
    </row>
    <row r="73385" spans="1:2" x14ac:dyDescent="0.25">
      <c r="A73385" s="118"/>
      <c r="B73385" s="136"/>
    </row>
    <row r="73386" spans="1:2" x14ac:dyDescent="0.25">
      <c r="A73386" s="118"/>
      <c r="B73386" s="136"/>
    </row>
    <row r="73387" spans="1:2" x14ac:dyDescent="0.25">
      <c r="A73387" s="118"/>
      <c r="B73387" s="136"/>
    </row>
    <row r="73388" spans="1:2" x14ac:dyDescent="0.25">
      <c r="A73388" s="118"/>
      <c r="B73388" s="136"/>
    </row>
    <row r="73389" spans="1:2" x14ac:dyDescent="0.25">
      <c r="A73389" s="118"/>
      <c r="B73389" s="136"/>
    </row>
    <row r="73390" spans="1:2" x14ac:dyDescent="0.25">
      <c r="A73390" s="118"/>
      <c r="B73390" s="136"/>
    </row>
    <row r="73391" spans="1:2" x14ac:dyDescent="0.25">
      <c r="A73391" s="118"/>
      <c r="B73391" s="136"/>
    </row>
    <row r="73392" spans="1:2" x14ac:dyDescent="0.25">
      <c r="A73392" s="118"/>
      <c r="B73392" s="136"/>
    </row>
    <row r="73393" spans="1:2" x14ac:dyDescent="0.25">
      <c r="A73393" s="118"/>
      <c r="B73393" s="136"/>
    </row>
    <row r="73394" spans="1:2" x14ac:dyDescent="0.25">
      <c r="A73394" s="118"/>
      <c r="B73394" s="136"/>
    </row>
    <row r="73395" spans="1:2" x14ac:dyDescent="0.25">
      <c r="A73395" s="118"/>
      <c r="B73395" s="136"/>
    </row>
    <row r="73396" spans="1:2" x14ac:dyDescent="0.25">
      <c r="A73396" s="118"/>
      <c r="B73396" s="136"/>
    </row>
    <row r="73397" spans="1:2" x14ac:dyDescent="0.25">
      <c r="A73397" s="118"/>
      <c r="B73397" s="136"/>
    </row>
    <row r="73398" spans="1:2" x14ac:dyDescent="0.25">
      <c r="A73398" s="118"/>
      <c r="B73398" s="136"/>
    </row>
    <row r="73399" spans="1:2" x14ac:dyDescent="0.25">
      <c r="A73399" s="118"/>
      <c r="B73399" s="136"/>
    </row>
    <row r="73400" spans="1:2" x14ac:dyDescent="0.25">
      <c r="A73400" s="118"/>
      <c r="B73400" s="136"/>
    </row>
    <row r="73401" spans="1:2" x14ac:dyDescent="0.25">
      <c r="A73401" s="118"/>
      <c r="B73401" s="136"/>
    </row>
    <row r="73402" spans="1:2" x14ac:dyDescent="0.25">
      <c r="A73402" s="118"/>
      <c r="B73402" s="136"/>
    </row>
    <row r="73403" spans="1:2" x14ac:dyDescent="0.25">
      <c r="A73403" s="118"/>
      <c r="B73403" s="136"/>
    </row>
    <row r="73404" spans="1:2" x14ac:dyDescent="0.25">
      <c r="A73404" s="118"/>
      <c r="B73404" s="136"/>
    </row>
    <row r="73405" spans="1:2" x14ac:dyDescent="0.25">
      <c r="A73405" s="118"/>
      <c r="B73405" s="136"/>
    </row>
    <row r="73406" spans="1:2" x14ac:dyDescent="0.25">
      <c r="A73406" s="118"/>
      <c r="B73406" s="136"/>
    </row>
    <row r="73407" spans="1:2" x14ac:dyDescent="0.25">
      <c r="A73407" s="118"/>
      <c r="B73407" s="136"/>
    </row>
    <row r="73408" spans="1:2" x14ac:dyDescent="0.25">
      <c r="A73408" s="118"/>
      <c r="B73408" s="136"/>
    </row>
    <row r="73409" spans="1:2" x14ac:dyDescent="0.25">
      <c r="A73409" s="118"/>
      <c r="B73409" s="136"/>
    </row>
    <row r="73410" spans="1:2" x14ac:dyDescent="0.25">
      <c r="A73410" s="118"/>
      <c r="B73410" s="136"/>
    </row>
    <row r="73411" spans="1:2" x14ac:dyDescent="0.25">
      <c r="A73411" s="118"/>
      <c r="B73411" s="136"/>
    </row>
    <row r="73412" spans="1:2" x14ac:dyDescent="0.25">
      <c r="A73412" s="118"/>
      <c r="B73412" s="136"/>
    </row>
    <row r="73413" spans="1:2" x14ac:dyDescent="0.25">
      <c r="A73413" s="118"/>
      <c r="B73413" s="136"/>
    </row>
    <row r="73414" spans="1:2" x14ac:dyDescent="0.25">
      <c r="A73414" s="118"/>
      <c r="B73414" s="136"/>
    </row>
    <row r="73415" spans="1:2" x14ac:dyDescent="0.25">
      <c r="A73415" s="118"/>
      <c r="B73415" s="136"/>
    </row>
    <row r="73416" spans="1:2" x14ac:dyDescent="0.25">
      <c r="A73416" s="118"/>
      <c r="B73416" s="136"/>
    </row>
    <row r="73417" spans="1:2" x14ac:dyDescent="0.25">
      <c r="A73417" s="118"/>
      <c r="B73417" s="136"/>
    </row>
    <row r="73418" spans="1:2" x14ac:dyDescent="0.25">
      <c r="A73418" s="118"/>
      <c r="B73418" s="136"/>
    </row>
    <row r="73419" spans="1:2" x14ac:dyDescent="0.25">
      <c r="A73419" s="118"/>
      <c r="B73419" s="136"/>
    </row>
    <row r="73420" spans="1:2" x14ac:dyDescent="0.25">
      <c r="A73420" s="118"/>
      <c r="B73420" s="136"/>
    </row>
    <row r="73421" spans="1:2" x14ac:dyDescent="0.25">
      <c r="A73421" s="118"/>
      <c r="B73421" s="136"/>
    </row>
    <row r="73422" spans="1:2" x14ac:dyDescent="0.25">
      <c r="A73422" s="118"/>
      <c r="B73422" s="136"/>
    </row>
    <row r="73423" spans="1:2" x14ac:dyDescent="0.25">
      <c r="A73423" s="118"/>
      <c r="B73423" s="136"/>
    </row>
    <row r="73424" spans="1:2" x14ac:dyDescent="0.25">
      <c r="A73424" s="118"/>
      <c r="B73424" s="136"/>
    </row>
    <row r="73425" spans="1:2" x14ac:dyDescent="0.25">
      <c r="A73425" s="118"/>
      <c r="B73425" s="136"/>
    </row>
    <row r="73426" spans="1:2" x14ac:dyDescent="0.25">
      <c r="A73426" s="118"/>
      <c r="B73426" s="136"/>
    </row>
    <row r="73427" spans="1:2" x14ac:dyDescent="0.25">
      <c r="A73427" s="118"/>
      <c r="B73427" s="136"/>
    </row>
    <row r="73428" spans="1:2" x14ac:dyDescent="0.25">
      <c r="A73428" s="118"/>
      <c r="B73428" s="136"/>
    </row>
    <row r="73429" spans="1:2" x14ac:dyDescent="0.25">
      <c r="A73429" s="118"/>
      <c r="B73429" s="136"/>
    </row>
    <row r="73430" spans="1:2" x14ac:dyDescent="0.25">
      <c r="A73430" s="118"/>
      <c r="B73430" s="136"/>
    </row>
    <row r="73431" spans="1:2" x14ac:dyDescent="0.25">
      <c r="A73431" s="118"/>
      <c r="B73431" s="136"/>
    </row>
    <row r="73432" spans="1:2" x14ac:dyDescent="0.25">
      <c r="A73432" s="118"/>
      <c r="B73432" s="136"/>
    </row>
    <row r="73433" spans="1:2" x14ac:dyDescent="0.25">
      <c r="A73433" s="118"/>
      <c r="B73433" s="136"/>
    </row>
    <row r="73434" spans="1:2" x14ac:dyDescent="0.25">
      <c r="A73434" s="118"/>
      <c r="B73434" s="136"/>
    </row>
    <row r="73435" spans="1:2" x14ac:dyDescent="0.25">
      <c r="A73435" s="118"/>
      <c r="B73435" s="136"/>
    </row>
    <row r="73436" spans="1:2" x14ac:dyDescent="0.25">
      <c r="A73436" s="118"/>
      <c r="B73436" s="136"/>
    </row>
    <row r="73437" spans="1:2" x14ac:dyDescent="0.25">
      <c r="A73437" s="118"/>
      <c r="B73437" s="136"/>
    </row>
    <row r="73438" spans="1:2" x14ac:dyDescent="0.25">
      <c r="A73438" s="118"/>
      <c r="B73438" s="136"/>
    </row>
    <row r="73439" spans="1:2" x14ac:dyDescent="0.25">
      <c r="A73439" s="118"/>
      <c r="B73439" s="136"/>
    </row>
    <row r="73440" spans="1:2" x14ac:dyDescent="0.25">
      <c r="A73440" s="118"/>
      <c r="B73440" s="136"/>
    </row>
    <row r="73441" spans="1:2" x14ac:dyDescent="0.25">
      <c r="A73441" s="118"/>
      <c r="B73441" s="136"/>
    </row>
    <row r="73442" spans="1:2" x14ac:dyDescent="0.25">
      <c r="A73442" s="118"/>
      <c r="B73442" s="136"/>
    </row>
    <row r="73443" spans="1:2" x14ac:dyDescent="0.25">
      <c r="A73443" s="118"/>
      <c r="B73443" s="136"/>
    </row>
    <row r="73444" spans="1:2" x14ac:dyDescent="0.25">
      <c r="A73444" s="118"/>
      <c r="B73444" s="136"/>
    </row>
    <row r="73445" spans="1:2" x14ac:dyDescent="0.25">
      <c r="A73445" s="118"/>
      <c r="B73445" s="136"/>
    </row>
    <row r="73446" spans="1:2" x14ac:dyDescent="0.25">
      <c r="A73446" s="118"/>
      <c r="B73446" s="136"/>
    </row>
    <row r="73447" spans="1:2" x14ac:dyDescent="0.25">
      <c r="A73447" s="118"/>
      <c r="B73447" s="136"/>
    </row>
    <row r="73448" spans="1:2" x14ac:dyDescent="0.25">
      <c r="A73448" s="118"/>
      <c r="B73448" s="136"/>
    </row>
    <row r="73449" spans="1:2" x14ac:dyDescent="0.25">
      <c r="A73449" s="118"/>
      <c r="B73449" s="136"/>
    </row>
    <row r="73450" spans="1:2" x14ac:dyDescent="0.25">
      <c r="A73450" s="118"/>
      <c r="B73450" s="136"/>
    </row>
    <row r="73451" spans="1:2" x14ac:dyDescent="0.25">
      <c r="A73451" s="118"/>
      <c r="B73451" s="136"/>
    </row>
    <row r="73452" spans="1:2" x14ac:dyDescent="0.25">
      <c r="A73452" s="118"/>
      <c r="B73452" s="136"/>
    </row>
    <row r="73453" spans="1:2" x14ac:dyDescent="0.25">
      <c r="A73453" s="118"/>
      <c r="B73453" s="136"/>
    </row>
    <row r="73454" spans="1:2" x14ac:dyDescent="0.25">
      <c r="A73454" s="118"/>
      <c r="B73454" s="136"/>
    </row>
    <row r="73455" spans="1:2" x14ac:dyDescent="0.25">
      <c r="A73455" s="118"/>
      <c r="B73455" s="136"/>
    </row>
    <row r="73456" spans="1:2" x14ac:dyDescent="0.25">
      <c r="A73456" s="118"/>
      <c r="B73456" s="136"/>
    </row>
    <row r="73457" spans="1:2" x14ac:dyDescent="0.25">
      <c r="A73457" s="118"/>
      <c r="B73457" s="136"/>
    </row>
    <row r="73458" spans="1:2" x14ac:dyDescent="0.25">
      <c r="A73458" s="118"/>
      <c r="B73458" s="136"/>
    </row>
    <row r="73459" spans="1:2" x14ac:dyDescent="0.25">
      <c r="A73459" s="118"/>
      <c r="B73459" s="136"/>
    </row>
    <row r="73460" spans="1:2" x14ac:dyDescent="0.25">
      <c r="A73460" s="118"/>
      <c r="B73460" s="136"/>
    </row>
    <row r="73461" spans="1:2" x14ac:dyDescent="0.25">
      <c r="A73461" s="118"/>
      <c r="B73461" s="136"/>
    </row>
    <row r="73462" spans="1:2" x14ac:dyDescent="0.25">
      <c r="A73462" s="118"/>
      <c r="B73462" s="136"/>
    </row>
    <row r="73463" spans="1:2" x14ac:dyDescent="0.25">
      <c r="A73463" s="118"/>
      <c r="B73463" s="136"/>
    </row>
    <row r="73464" spans="1:2" x14ac:dyDescent="0.25">
      <c r="A73464" s="118"/>
      <c r="B73464" s="136"/>
    </row>
    <row r="73465" spans="1:2" x14ac:dyDescent="0.25">
      <c r="A73465" s="118"/>
      <c r="B73465" s="136"/>
    </row>
    <row r="73466" spans="1:2" x14ac:dyDescent="0.25">
      <c r="A73466" s="118"/>
      <c r="B73466" s="136"/>
    </row>
    <row r="73467" spans="1:2" x14ac:dyDescent="0.25">
      <c r="A73467" s="118"/>
      <c r="B73467" s="136"/>
    </row>
    <row r="73468" spans="1:2" x14ac:dyDescent="0.25">
      <c r="A73468" s="118"/>
      <c r="B73468" s="136"/>
    </row>
    <row r="73469" spans="1:2" x14ac:dyDescent="0.25">
      <c r="A73469" s="118"/>
      <c r="B73469" s="136"/>
    </row>
    <row r="73470" spans="1:2" x14ac:dyDescent="0.25">
      <c r="A73470" s="118"/>
      <c r="B73470" s="136"/>
    </row>
    <row r="73471" spans="1:2" x14ac:dyDescent="0.25">
      <c r="A73471" s="118"/>
      <c r="B73471" s="136"/>
    </row>
    <row r="73472" spans="1:2" x14ac:dyDescent="0.25">
      <c r="A73472" s="118"/>
      <c r="B73472" s="136"/>
    </row>
    <row r="73473" spans="1:2" x14ac:dyDescent="0.25">
      <c r="A73473" s="118"/>
      <c r="B73473" s="136"/>
    </row>
    <row r="73474" spans="1:2" x14ac:dyDescent="0.25">
      <c r="A73474" s="118"/>
      <c r="B73474" s="136"/>
    </row>
    <row r="73475" spans="1:2" x14ac:dyDescent="0.25">
      <c r="A73475" s="118"/>
      <c r="B73475" s="136"/>
    </row>
    <row r="73476" spans="1:2" x14ac:dyDescent="0.25">
      <c r="A73476" s="118"/>
      <c r="B73476" s="136"/>
    </row>
    <row r="73477" spans="1:2" x14ac:dyDescent="0.25">
      <c r="A73477" s="118"/>
      <c r="B73477" s="136"/>
    </row>
    <row r="73478" spans="1:2" x14ac:dyDescent="0.25">
      <c r="A73478" s="118"/>
      <c r="B73478" s="136"/>
    </row>
    <row r="73479" spans="1:2" x14ac:dyDescent="0.25">
      <c r="A73479" s="118"/>
      <c r="B73479" s="136"/>
    </row>
    <row r="73480" spans="1:2" x14ac:dyDescent="0.25">
      <c r="A73480" s="118"/>
      <c r="B73480" s="136"/>
    </row>
    <row r="73481" spans="1:2" x14ac:dyDescent="0.25">
      <c r="A73481" s="118"/>
      <c r="B73481" s="136"/>
    </row>
    <row r="73482" spans="1:2" x14ac:dyDescent="0.25">
      <c r="A73482" s="118"/>
      <c r="B73482" s="136"/>
    </row>
    <row r="73483" spans="1:2" x14ac:dyDescent="0.25">
      <c r="A73483" s="118"/>
      <c r="B73483" s="136"/>
    </row>
    <row r="73484" spans="1:2" x14ac:dyDescent="0.25">
      <c r="A73484" s="118"/>
      <c r="B73484" s="136"/>
    </row>
    <row r="73485" spans="1:2" x14ac:dyDescent="0.25">
      <c r="A73485" s="118"/>
      <c r="B73485" s="136"/>
    </row>
    <row r="73486" spans="1:2" x14ac:dyDescent="0.25">
      <c r="A73486" s="118"/>
      <c r="B73486" s="136"/>
    </row>
    <row r="73487" spans="1:2" x14ac:dyDescent="0.25">
      <c r="A73487" s="118"/>
      <c r="B73487" s="136"/>
    </row>
    <row r="73488" spans="1:2" x14ac:dyDescent="0.25">
      <c r="A73488" s="118"/>
      <c r="B73488" s="136"/>
    </row>
    <row r="73489" spans="1:2" x14ac:dyDescent="0.25">
      <c r="A73489" s="118"/>
      <c r="B73489" s="136"/>
    </row>
    <row r="73490" spans="1:2" x14ac:dyDescent="0.25">
      <c r="A73490" s="118"/>
      <c r="B73490" s="136"/>
    </row>
    <row r="73491" spans="1:2" x14ac:dyDescent="0.25">
      <c r="A73491" s="118"/>
      <c r="B73491" s="136"/>
    </row>
    <row r="73492" spans="1:2" x14ac:dyDescent="0.25">
      <c r="A73492" s="118"/>
      <c r="B73492" s="136"/>
    </row>
    <row r="73493" spans="1:2" x14ac:dyDescent="0.25">
      <c r="A73493" s="118"/>
      <c r="B73493" s="136"/>
    </row>
    <row r="73494" spans="1:2" x14ac:dyDescent="0.25">
      <c r="A73494" s="118"/>
      <c r="B73494" s="136"/>
    </row>
    <row r="73495" spans="1:2" x14ac:dyDescent="0.25">
      <c r="A73495" s="118"/>
      <c r="B73495" s="136"/>
    </row>
    <row r="73496" spans="1:2" x14ac:dyDescent="0.25">
      <c r="A73496" s="118"/>
      <c r="B73496" s="136"/>
    </row>
    <row r="73497" spans="1:2" x14ac:dyDescent="0.25">
      <c r="A73497" s="118"/>
      <c r="B73497" s="136"/>
    </row>
    <row r="73498" spans="1:2" x14ac:dyDescent="0.25">
      <c r="A73498" s="118"/>
      <c r="B73498" s="136"/>
    </row>
    <row r="73499" spans="1:2" x14ac:dyDescent="0.25">
      <c r="A73499" s="118"/>
      <c r="B73499" s="136"/>
    </row>
    <row r="73500" spans="1:2" x14ac:dyDescent="0.25">
      <c r="A73500" s="118"/>
      <c r="B73500" s="136"/>
    </row>
    <row r="73501" spans="1:2" x14ac:dyDescent="0.25">
      <c r="A73501" s="118"/>
      <c r="B73501" s="136"/>
    </row>
    <row r="73502" spans="1:2" x14ac:dyDescent="0.25">
      <c r="A73502" s="118"/>
      <c r="B73502" s="136"/>
    </row>
    <row r="73503" spans="1:2" x14ac:dyDescent="0.25">
      <c r="A73503" s="118"/>
      <c r="B73503" s="136"/>
    </row>
    <row r="73504" spans="1:2" x14ac:dyDescent="0.25">
      <c r="A73504" s="118"/>
      <c r="B73504" s="136"/>
    </row>
    <row r="73505" spans="1:2" x14ac:dyDescent="0.25">
      <c r="A73505" s="118"/>
      <c r="B73505" s="136"/>
    </row>
    <row r="73506" spans="1:2" x14ac:dyDescent="0.25">
      <c r="A73506" s="118"/>
      <c r="B73506" s="136"/>
    </row>
    <row r="73507" spans="1:2" x14ac:dyDescent="0.25">
      <c r="A73507" s="118"/>
      <c r="B73507" s="136"/>
    </row>
    <row r="73508" spans="1:2" x14ac:dyDescent="0.25">
      <c r="A73508" s="118"/>
      <c r="B73508" s="136"/>
    </row>
    <row r="73509" spans="1:2" x14ac:dyDescent="0.25">
      <c r="A73509" s="118"/>
      <c r="B73509" s="136"/>
    </row>
    <row r="73510" spans="1:2" x14ac:dyDescent="0.25">
      <c r="A73510" s="118"/>
      <c r="B73510" s="136"/>
    </row>
    <row r="73511" spans="1:2" x14ac:dyDescent="0.25">
      <c r="A73511" s="118"/>
      <c r="B73511" s="136"/>
    </row>
    <row r="73512" spans="1:2" x14ac:dyDescent="0.25">
      <c r="A73512" s="118"/>
      <c r="B73512" s="136"/>
    </row>
    <row r="73513" spans="1:2" x14ac:dyDescent="0.25">
      <c r="A73513" s="118"/>
      <c r="B73513" s="136"/>
    </row>
    <row r="73514" spans="1:2" x14ac:dyDescent="0.25">
      <c r="A73514" s="118"/>
      <c r="B73514" s="136"/>
    </row>
    <row r="73515" spans="1:2" x14ac:dyDescent="0.25">
      <c r="A73515" s="118"/>
      <c r="B73515" s="136"/>
    </row>
    <row r="73516" spans="1:2" x14ac:dyDescent="0.25">
      <c r="A73516" s="118"/>
      <c r="B73516" s="136"/>
    </row>
    <row r="73517" spans="1:2" x14ac:dyDescent="0.25">
      <c r="A73517" s="118"/>
      <c r="B73517" s="136"/>
    </row>
    <row r="73518" spans="1:2" x14ac:dyDescent="0.25">
      <c r="A73518" s="118"/>
      <c r="B73518" s="136"/>
    </row>
    <row r="73519" spans="1:2" x14ac:dyDescent="0.25">
      <c r="A73519" s="118"/>
      <c r="B73519" s="136"/>
    </row>
    <row r="73520" spans="1:2" x14ac:dyDescent="0.25">
      <c r="A73520" s="118"/>
      <c r="B73520" s="136"/>
    </row>
    <row r="73521" spans="1:2" x14ac:dyDescent="0.25">
      <c r="A73521" s="118"/>
      <c r="B73521" s="136"/>
    </row>
    <row r="73522" spans="1:2" x14ac:dyDescent="0.25">
      <c r="A73522" s="118"/>
      <c r="B73522" s="136"/>
    </row>
    <row r="73523" spans="1:2" x14ac:dyDescent="0.25">
      <c r="A73523" s="118"/>
      <c r="B73523" s="136"/>
    </row>
    <row r="73524" spans="1:2" x14ac:dyDescent="0.25">
      <c r="A73524" s="118"/>
      <c r="B73524" s="136"/>
    </row>
    <row r="73525" spans="1:2" x14ac:dyDescent="0.25">
      <c r="A73525" s="118"/>
      <c r="B73525" s="136"/>
    </row>
    <row r="73526" spans="1:2" x14ac:dyDescent="0.25">
      <c r="A73526" s="118"/>
      <c r="B73526" s="136"/>
    </row>
    <row r="73527" spans="1:2" x14ac:dyDescent="0.25">
      <c r="A73527" s="118"/>
      <c r="B73527" s="136"/>
    </row>
    <row r="73528" spans="1:2" x14ac:dyDescent="0.25">
      <c r="A73528" s="118"/>
      <c r="B73528" s="136"/>
    </row>
    <row r="73529" spans="1:2" x14ac:dyDescent="0.25">
      <c r="A73529" s="118"/>
      <c r="B73529" s="136"/>
    </row>
    <row r="73530" spans="1:2" x14ac:dyDescent="0.25">
      <c r="A73530" s="118"/>
      <c r="B73530" s="136"/>
    </row>
    <row r="73531" spans="1:2" x14ac:dyDescent="0.25">
      <c r="A73531" s="118"/>
      <c r="B73531" s="136"/>
    </row>
    <row r="73532" spans="1:2" x14ac:dyDescent="0.25">
      <c r="A73532" s="118"/>
      <c r="B73532" s="136"/>
    </row>
    <row r="73533" spans="1:2" x14ac:dyDescent="0.25">
      <c r="A73533" s="118"/>
      <c r="B73533" s="136"/>
    </row>
    <row r="73534" spans="1:2" x14ac:dyDescent="0.25">
      <c r="A73534" s="118"/>
      <c r="B73534" s="136"/>
    </row>
    <row r="73535" spans="1:2" x14ac:dyDescent="0.25">
      <c r="A73535" s="118"/>
      <c r="B73535" s="136"/>
    </row>
    <row r="73536" spans="1:2" x14ac:dyDescent="0.25">
      <c r="A73536" s="118"/>
      <c r="B73536" s="136"/>
    </row>
    <row r="73537" spans="1:2" x14ac:dyDescent="0.25">
      <c r="A73537" s="118"/>
      <c r="B73537" s="136"/>
    </row>
    <row r="73538" spans="1:2" x14ac:dyDescent="0.25">
      <c r="A73538" s="118"/>
      <c r="B73538" s="136"/>
    </row>
    <row r="73539" spans="1:2" x14ac:dyDescent="0.25">
      <c r="A73539" s="118"/>
      <c r="B73539" s="136"/>
    </row>
    <row r="73540" spans="1:2" x14ac:dyDescent="0.25">
      <c r="A73540" s="118"/>
      <c r="B73540" s="136"/>
    </row>
    <row r="73541" spans="1:2" x14ac:dyDescent="0.25">
      <c r="A73541" s="118"/>
      <c r="B73541" s="136"/>
    </row>
    <row r="73542" spans="1:2" x14ac:dyDescent="0.25">
      <c r="A73542" s="118"/>
      <c r="B73542" s="136"/>
    </row>
    <row r="73543" spans="1:2" x14ac:dyDescent="0.25">
      <c r="A73543" s="118"/>
      <c r="B73543" s="136"/>
    </row>
    <row r="73544" spans="1:2" x14ac:dyDescent="0.25">
      <c r="A73544" s="118"/>
      <c r="B73544" s="136"/>
    </row>
    <row r="73545" spans="1:2" x14ac:dyDescent="0.25">
      <c r="A73545" s="118"/>
      <c r="B73545" s="136"/>
    </row>
    <row r="73546" spans="1:2" x14ac:dyDescent="0.25">
      <c r="A73546" s="118"/>
      <c r="B73546" s="136"/>
    </row>
    <row r="73547" spans="1:2" x14ac:dyDescent="0.25">
      <c r="A73547" s="118"/>
      <c r="B73547" s="136"/>
    </row>
    <row r="73548" spans="1:2" x14ac:dyDescent="0.25">
      <c r="A73548" s="118"/>
      <c r="B73548" s="136"/>
    </row>
    <row r="73549" spans="1:2" x14ac:dyDescent="0.25">
      <c r="A73549" s="118"/>
      <c r="B73549" s="136"/>
    </row>
    <row r="73550" spans="1:2" x14ac:dyDescent="0.25">
      <c r="A73550" s="118"/>
      <c r="B73550" s="136"/>
    </row>
    <row r="73551" spans="1:2" x14ac:dyDescent="0.25">
      <c r="A73551" s="118"/>
      <c r="B73551" s="136"/>
    </row>
    <row r="73552" spans="1:2" x14ac:dyDescent="0.25">
      <c r="A73552" s="118"/>
      <c r="B73552" s="136"/>
    </row>
    <row r="73553" spans="1:2" x14ac:dyDescent="0.25">
      <c r="A73553" s="118"/>
      <c r="B73553" s="136"/>
    </row>
    <row r="73554" spans="1:2" x14ac:dyDescent="0.25">
      <c r="A73554" s="118"/>
      <c r="B73554" s="136"/>
    </row>
    <row r="73555" spans="1:2" x14ac:dyDescent="0.25">
      <c r="A73555" s="118"/>
      <c r="B73555" s="136"/>
    </row>
    <row r="73556" spans="1:2" x14ac:dyDescent="0.25">
      <c r="A73556" s="118"/>
      <c r="B73556" s="136"/>
    </row>
    <row r="73557" spans="1:2" x14ac:dyDescent="0.25">
      <c r="A73557" s="118"/>
      <c r="B73557" s="136"/>
    </row>
    <row r="73558" spans="1:2" x14ac:dyDescent="0.25">
      <c r="A73558" s="118"/>
      <c r="B73558" s="136"/>
    </row>
    <row r="73559" spans="1:2" x14ac:dyDescent="0.25">
      <c r="A73559" s="118"/>
      <c r="B73559" s="136"/>
    </row>
    <row r="73560" spans="1:2" x14ac:dyDescent="0.25">
      <c r="A73560" s="118"/>
      <c r="B73560" s="136"/>
    </row>
    <row r="73561" spans="1:2" x14ac:dyDescent="0.25">
      <c r="A73561" s="118"/>
      <c r="B73561" s="136"/>
    </row>
    <row r="73562" spans="1:2" x14ac:dyDescent="0.25">
      <c r="A73562" s="118"/>
      <c r="B73562" s="136"/>
    </row>
    <row r="73563" spans="1:2" x14ac:dyDescent="0.25">
      <c r="A73563" s="118"/>
      <c r="B73563" s="136"/>
    </row>
    <row r="73564" spans="1:2" x14ac:dyDescent="0.25">
      <c r="A73564" s="118"/>
      <c r="B73564" s="136"/>
    </row>
    <row r="73565" spans="1:2" x14ac:dyDescent="0.25">
      <c r="A73565" s="118"/>
      <c r="B73565" s="136"/>
    </row>
    <row r="73566" spans="1:2" x14ac:dyDescent="0.25">
      <c r="A73566" s="118"/>
      <c r="B73566" s="136"/>
    </row>
    <row r="73567" spans="1:2" x14ac:dyDescent="0.25">
      <c r="A73567" s="118"/>
      <c r="B73567" s="136"/>
    </row>
    <row r="73568" spans="1:2" x14ac:dyDescent="0.25">
      <c r="A73568" s="118"/>
      <c r="B73568" s="136"/>
    </row>
    <row r="73569" spans="1:2" x14ac:dyDescent="0.25">
      <c r="A73569" s="118"/>
      <c r="B73569" s="136"/>
    </row>
    <row r="73570" spans="1:2" x14ac:dyDescent="0.25">
      <c r="A73570" s="118"/>
      <c r="B73570" s="136"/>
    </row>
    <row r="73571" spans="1:2" x14ac:dyDescent="0.25">
      <c r="A73571" s="118"/>
      <c r="B73571" s="136"/>
    </row>
    <row r="73572" spans="1:2" x14ac:dyDescent="0.25">
      <c r="A73572" s="118"/>
      <c r="B73572" s="136"/>
    </row>
    <row r="73573" spans="1:2" x14ac:dyDescent="0.25">
      <c r="A73573" s="118"/>
      <c r="B73573" s="136"/>
    </row>
    <row r="73574" spans="1:2" x14ac:dyDescent="0.25">
      <c r="A73574" s="118"/>
      <c r="B73574" s="136"/>
    </row>
    <row r="73575" spans="1:2" x14ac:dyDescent="0.25">
      <c r="A73575" s="118"/>
      <c r="B73575" s="136"/>
    </row>
    <row r="73576" spans="1:2" x14ac:dyDescent="0.25">
      <c r="A73576" s="118"/>
      <c r="B73576" s="136"/>
    </row>
    <row r="73577" spans="1:2" x14ac:dyDescent="0.25">
      <c r="A73577" s="118"/>
      <c r="B73577" s="136"/>
    </row>
    <row r="73578" spans="1:2" x14ac:dyDescent="0.25">
      <c r="A73578" s="118"/>
      <c r="B73578" s="136"/>
    </row>
    <row r="73579" spans="1:2" x14ac:dyDescent="0.25">
      <c r="A73579" s="118"/>
      <c r="B73579" s="136"/>
    </row>
    <row r="73580" spans="1:2" x14ac:dyDescent="0.25">
      <c r="A73580" s="118"/>
      <c r="B73580" s="136"/>
    </row>
    <row r="73581" spans="1:2" x14ac:dyDescent="0.25">
      <c r="A73581" s="118"/>
      <c r="B73581" s="136"/>
    </row>
    <row r="73582" spans="1:2" x14ac:dyDescent="0.25">
      <c r="A73582" s="118"/>
      <c r="B73582" s="136"/>
    </row>
    <row r="73583" spans="1:2" x14ac:dyDescent="0.25">
      <c r="A73583" s="118"/>
      <c r="B73583" s="136"/>
    </row>
    <row r="73584" spans="1:2" x14ac:dyDescent="0.25">
      <c r="A73584" s="118"/>
      <c r="B73584" s="136"/>
    </row>
    <row r="73585" spans="1:2" x14ac:dyDescent="0.25">
      <c r="A73585" s="118"/>
      <c r="B73585" s="136"/>
    </row>
    <row r="73586" spans="1:2" x14ac:dyDescent="0.25">
      <c r="A73586" s="118"/>
      <c r="B73586" s="136"/>
    </row>
    <row r="73587" spans="1:2" x14ac:dyDescent="0.25">
      <c r="A73587" s="118"/>
      <c r="B73587" s="136"/>
    </row>
    <row r="73588" spans="1:2" x14ac:dyDescent="0.25">
      <c r="A73588" s="118"/>
      <c r="B73588" s="136"/>
    </row>
    <row r="73589" spans="1:2" x14ac:dyDescent="0.25">
      <c r="A73589" s="118"/>
      <c r="B73589" s="136"/>
    </row>
    <row r="73590" spans="1:2" x14ac:dyDescent="0.25">
      <c r="A73590" s="118"/>
      <c r="B73590" s="136"/>
    </row>
    <row r="73591" spans="1:2" x14ac:dyDescent="0.25">
      <c r="A73591" s="118"/>
      <c r="B73591" s="136"/>
    </row>
    <row r="73592" spans="1:2" x14ac:dyDescent="0.25">
      <c r="A73592" s="118"/>
      <c r="B73592" s="136"/>
    </row>
    <row r="73593" spans="1:2" x14ac:dyDescent="0.25">
      <c r="A73593" s="118"/>
      <c r="B73593" s="136"/>
    </row>
    <row r="73594" spans="1:2" x14ac:dyDescent="0.25">
      <c r="A73594" s="118"/>
      <c r="B73594" s="136"/>
    </row>
    <row r="73595" spans="1:2" x14ac:dyDescent="0.25">
      <c r="A73595" s="118"/>
      <c r="B73595" s="136"/>
    </row>
    <row r="73596" spans="1:2" x14ac:dyDescent="0.25">
      <c r="A73596" s="118"/>
      <c r="B73596" s="136"/>
    </row>
    <row r="73597" spans="1:2" x14ac:dyDescent="0.25">
      <c r="A73597" s="118"/>
      <c r="B73597" s="136"/>
    </row>
    <row r="73598" spans="1:2" x14ac:dyDescent="0.25">
      <c r="A73598" s="118"/>
      <c r="B73598" s="136"/>
    </row>
    <row r="73599" spans="1:2" x14ac:dyDescent="0.25">
      <c r="A73599" s="118"/>
      <c r="B73599" s="136"/>
    </row>
    <row r="73600" spans="1:2" x14ac:dyDescent="0.25">
      <c r="A73600" s="118"/>
      <c r="B73600" s="136"/>
    </row>
    <row r="73601" spans="1:2" x14ac:dyDescent="0.25">
      <c r="A73601" s="118"/>
      <c r="B73601" s="136"/>
    </row>
    <row r="73602" spans="1:2" x14ac:dyDescent="0.25">
      <c r="A73602" s="118"/>
      <c r="B73602" s="136"/>
    </row>
    <row r="73603" spans="1:2" x14ac:dyDescent="0.25">
      <c r="A73603" s="118"/>
      <c r="B73603" s="136"/>
    </row>
    <row r="73604" spans="1:2" x14ac:dyDescent="0.25">
      <c r="A73604" s="118"/>
      <c r="B73604" s="136"/>
    </row>
    <row r="73605" spans="1:2" x14ac:dyDescent="0.25">
      <c r="A73605" s="118"/>
      <c r="B73605" s="136"/>
    </row>
    <row r="73606" spans="1:2" x14ac:dyDescent="0.25">
      <c r="A73606" s="118"/>
      <c r="B73606" s="136"/>
    </row>
    <row r="73607" spans="1:2" x14ac:dyDescent="0.25">
      <c r="A73607" s="118"/>
      <c r="B73607" s="136"/>
    </row>
    <row r="73608" spans="1:2" x14ac:dyDescent="0.25">
      <c r="A73608" s="118"/>
      <c r="B73608" s="136"/>
    </row>
    <row r="73609" spans="1:2" x14ac:dyDescent="0.25">
      <c r="A73609" s="118"/>
      <c r="B73609" s="136"/>
    </row>
    <row r="73610" spans="1:2" x14ac:dyDescent="0.25">
      <c r="A73610" s="118"/>
      <c r="B73610" s="136"/>
    </row>
    <row r="73611" spans="1:2" x14ac:dyDescent="0.25">
      <c r="A73611" s="118"/>
      <c r="B73611" s="136"/>
    </row>
    <row r="73612" spans="1:2" x14ac:dyDescent="0.25">
      <c r="A73612" s="118"/>
      <c r="B73612" s="136"/>
    </row>
    <row r="73613" spans="1:2" x14ac:dyDescent="0.25">
      <c r="A73613" s="118"/>
      <c r="B73613" s="136"/>
    </row>
    <row r="73614" spans="1:2" x14ac:dyDescent="0.25">
      <c r="A73614" s="118"/>
      <c r="B73614" s="136"/>
    </row>
    <row r="73615" spans="1:2" x14ac:dyDescent="0.25">
      <c r="A73615" s="118"/>
      <c r="B73615" s="136"/>
    </row>
    <row r="73616" spans="1:2" x14ac:dyDescent="0.25">
      <c r="A73616" s="118"/>
      <c r="B73616" s="136"/>
    </row>
    <row r="73617" spans="1:2" x14ac:dyDescent="0.25">
      <c r="A73617" s="118"/>
      <c r="B73617" s="136"/>
    </row>
    <row r="73618" spans="1:2" x14ac:dyDescent="0.25">
      <c r="A73618" s="118"/>
      <c r="B73618" s="136"/>
    </row>
    <row r="73619" spans="1:2" x14ac:dyDescent="0.25">
      <c r="A73619" s="118"/>
      <c r="B73619" s="136"/>
    </row>
    <row r="73620" spans="1:2" x14ac:dyDescent="0.25">
      <c r="A73620" s="118"/>
      <c r="B73620" s="136"/>
    </row>
    <row r="73621" spans="1:2" x14ac:dyDescent="0.25">
      <c r="A73621" s="118"/>
      <c r="B73621" s="136"/>
    </row>
    <row r="73622" spans="1:2" x14ac:dyDescent="0.25">
      <c r="A73622" s="118"/>
      <c r="B73622" s="136"/>
    </row>
    <row r="73623" spans="1:2" x14ac:dyDescent="0.25">
      <c r="A73623" s="118"/>
      <c r="B73623" s="136"/>
    </row>
    <row r="73624" spans="1:2" x14ac:dyDescent="0.25">
      <c r="A73624" s="118"/>
      <c r="B73624" s="136"/>
    </row>
    <row r="73625" spans="1:2" x14ac:dyDescent="0.25">
      <c r="A73625" s="118"/>
      <c r="B73625" s="136"/>
    </row>
    <row r="73626" spans="1:2" x14ac:dyDescent="0.25">
      <c r="A73626" s="118"/>
      <c r="B73626" s="136"/>
    </row>
    <row r="73627" spans="1:2" x14ac:dyDescent="0.25">
      <c r="A73627" s="118"/>
      <c r="B73627" s="136"/>
    </row>
    <row r="73628" spans="1:2" x14ac:dyDescent="0.25">
      <c r="A73628" s="118"/>
      <c r="B73628" s="136"/>
    </row>
    <row r="73629" spans="1:2" x14ac:dyDescent="0.25">
      <c r="A73629" s="118"/>
      <c r="B73629" s="136"/>
    </row>
    <row r="73630" spans="1:2" x14ac:dyDescent="0.25">
      <c r="A73630" s="118"/>
      <c r="B73630" s="136"/>
    </row>
    <row r="73631" spans="1:2" x14ac:dyDescent="0.25">
      <c r="A73631" s="118"/>
      <c r="B73631" s="136"/>
    </row>
    <row r="73632" spans="1:2" x14ac:dyDescent="0.25">
      <c r="A73632" s="118"/>
      <c r="B73632" s="136"/>
    </row>
    <row r="73633" spans="1:2" x14ac:dyDescent="0.25">
      <c r="A73633" s="118"/>
      <c r="B73633" s="136"/>
    </row>
    <row r="73634" spans="1:2" x14ac:dyDescent="0.25">
      <c r="A73634" s="118"/>
      <c r="B73634" s="136"/>
    </row>
    <row r="73635" spans="1:2" x14ac:dyDescent="0.25">
      <c r="A73635" s="118"/>
      <c r="B73635" s="136"/>
    </row>
    <row r="73636" spans="1:2" x14ac:dyDescent="0.25">
      <c r="A73636" s="118"/>
      <c r="B73636" s="136"/>
    </row>
    <row r="73637" spans="1:2" x14ac:dyDescent="0.25">
      <c r="A73637" s="118"/>
      <c r="B73637" s="136"/>
    </row>
    <row r="73638" spans="1:2" x14ac:dyDescent="0.25">
      <c r="A73638" s="118"/>
      <c r="B73638" s="136"/>
    </row>
    <row r="73639" spans="1:2" x14ac:dyDescent="0.25">
      <c r="A73639" s="118"/>
      <c r="B73639" s="136"/>
    </row>
    <row r="73640" spans="1:2" x14ac:dyDescent="0.25">
      <c r="A73640" s="118"/>
      <c r="B73640" s="136"/>
    </row>
    <row r="73641" spans="1:2" x14ac:dyDescent="0.25">
      <c r="A73641" s="118"/>
      <c r="B73641" s="136"/>
    </row>
    <row r="73642" spans="1:2" x14ac:dyDescent="0.25">
      <c r="A73642" s="118"/>
      <c r="B73642" s="136"/>
    </row>
    <row r="73643" spans="1:2" x14ac:dyDescent="0.25">
      <c r="A73643" s="118"/>
      <c r="B73643" s="136"/>
    </row>
    <row r="73644" spans="1:2" x14ac:dyDescent="0.25">
      <c r="A73644" s="118"/>
      <c r="B73644" s="136"/>
    </row>
    <row r="73645" spans="1:2" x14ac:dyDescent="0.25">
      <c r="A73645" s="118"/>
      <c r="B73645" s="136"/>
    </row>
    <row r="73646" spans="1:2" x14ac:dyDescent="0.25">
      <c r="A73646" s="118"/>
      <c r="B73646" s="136"/>
    </row>
    <row r="73647" spans="1:2" x14ac:dyDescent="0.25">
      <c r="A73647" s="118"/>
      <c r="B73647" s="136"/>
    </row>
    <row r="73648" spans="1:2" x14ac:dyDescent="0.25">
      <c r="A73648" s="118"/>
      <c r="B73648" s="136"/>
    </row>
    <row r="73649" spans="1:2" x14ac:dyDescent="0.25">
      <c r="A73649" s="118"/>
      <c r="B73649" s="136"/>
    </row>
    <row r="73650" spans="1:2" x14ac:dyDescent="0.25">
      <c r="A73650" s="118"/>
      <c r="B73650" s="136"/>
    </row>
    <row r="73651" spans="1:2" x14ac:dyDescent="0.25">
      <c r="A73651" s="118"/>
      <c r="B73651" s="136"/>
    </row>
    <row r="73652" spans="1:2" x14ac:dyDescent="0.25">
      <c r="A73652" s="118"/>
      <c r="B73652" s="136"/>
    </row>
    <row r="73653" spans="1:2" x14ac:dyDescent="0.25">
      <c r="A73653" s="118"/>
      <c r="B73653" s="136"/>
    </row>
    <row r="73654" spans="1:2" x14ac:dyDescent="0.25">
      <c r="A73654" s="118"/>
      <c r="B73654" s="136"/>
    </row>
    <row r="73655" spans="1:2" x14ac:dyDescent="0.25">
      <c r="A73655" s="118"/>
      <c r="B73655" s="136"/>
    </row>
    <row r="73656" spans="1:2" x14ac:dyDescent="0.25">
      <c r="A73656" s="118"/>
      <c r="B73656" s="136"/>
    </row>
    <row r="73657" spans="1:2" x14ac:dyDescent="0.25">
      <c r="A73657" s="118"/>
      <c r="B73657" s="136"/>
    </row>
    <row r="73658" spans="1:2" x14ac:dyDescent="0.25">
      <c r="A73658" s="118"/>
      <c r="B73658" s="136"/>
    </row>
    <row r="73659" spans="1:2" x14ac:dyDescent="0.25">
      <c r="A73659" s="118"/>
      <c r="B73659" s="136"/>
    </row>
    <row r="73660" spans="1:2" x14ac:dyDescent="0.25">
      <c r="A73660" s="118"/>
      <c r="B73660" s="136"/>
    </row>
    <row r="73661" spans="1:2" x14ac:dyDescent="0.25">
      <c r="A73661" s="118"/>
      <c r="B73661" s="136"/>
    </row>
    <row r="73662" spans="1:2" x14ac:dyDescent="0.25">
      <c r="A73662" s="118"/>
      <c r="B73662" s="136"/>
    </row>
    <row r="73663" spans="1:2" x14ac:dyDescent="0.25">
      <c r="A73663" s="118"/>
      <c r="B73663" s="136"/>
    </row>
    <row r="73664" spans="1:2" x14ac:dyDescent="0.25">
      <c r="A73664" s="118"/>
      <c r="B73664" s="136"/>
    </row>
    <row r="73665" spans="1:2" x14ac:dyDescent="0.25">
      <c r="A73665" s="118"/>
      <c r="B73665" s="136"/>
    </row>
    <row r="73666" spans="1:2" x14ac:dyDescent="0.25">
      <c r="A73666" s="118"/>
      <c r="B73666" s="136"/>
    </row>
    <row r="73667" spans="1:2" x14ac:dyDescent="0.25">
      <c r="A73667" s="118"/>
      <c r="B73667" s="136"/>
    </row>
    <row r="73668" spans="1:2" x14ac:dyDescent="0.25">
      <c r="A73668" s="118"/>
      <c r="B73668" s="136"/>
    </row>
    <row r="73669" spans="1:2" x14ac:dyDescent="0.25">
      <c r="A73669" s="118"/>
      <c r="B73669" s="136"/>
    </row>
    <row r="73670" spans="1:2" x14ac:dyDescent="0.25">
      <c r="A73670" s="118"/>
      <c r="B73670" s="136"/>
    </row>
    <row r="73671" spans="1:2" x14ac:dyDescent="0.25">
      <c r="A73671" s="118"/>
      <c r="B73671" s="136"/>
    </row>
    <row r="73672" spans="1:2" x14ac:dyDescent="0.25">
      <c r="A73672" s="118"/>
      <c r="B73672" s="136"/>
    </row>
    <row r="73673" spans="1:2" x14ac:dyDescent="0.25">
      <c r="A73673" s="118"/>
      <c r="B73673" s="136"/>
    </row>
    <row r="73674" spans="1:2" x14ac:dyDescent="0.25">
      <c r="A73674" s="118"/>
      <c r="B73674" s="136"/>
    </row>
    <row r="73675" spans="1:2" x14ac:dyDescent="0.25">
      <c r="A73675" s="118"/>
      <c r="B73675" s="136"/>
    </row>
    <row r="73676" spans="1:2" x14ac:dyDescent="0.25">
      <c r="A73676" s="118"/>
      <c r="B73676" s="136"/>
    </row>
    <row r="73677" spans="1:2" x14ac:dyDescent="0.25">
      <c r="A73677" s="118"/>
      <c r="B73677" s="136"/>
    </row>
    <row r="73678" spans="1:2" x14ac:dyDescent="0.25">
      <c r="A73678" s="118"/>
      <c r="B73678" s="136"/>
    </row>
    <row r="73679" spans="1:2" x14ac:dyDescent="0.25">
      <c r="A73679" s="118"/>
      <c r="B73679" s="136"/>
    </row>
    <row r="73680" spans="1:2" x14ac:dyDescent="0.25">
      <c r="A73680" s="118"/>
      <c r="B73680" s="136"/>
    </row>
    <row r="73681" spans="1:2" x14ac:dyDescent="0.25">
      <c r="A73681" s="118"/>
      <c r="B73681" s="136"/>
    </row>
    <row r="73682" spans="1:2" x14ac:dyDescent="0.25">
      <c r="A73682" s="118"/>
      <c r="B73682" s="136"/>
    </row>
    <row r="73683" spans="1:2" x14ac:dyDescent="0.25">
      <c r="A73683" s="118"/>
      <c r="B73683" s="136"/>
    </row>
    <row r="73684" spans="1:2" x14ac:dyDescent="0.25">
      <c r="A73684" s="118"/>
      <c r="B73684" s="136"/>
    </row>
    <row r="73685" spans="1:2" x14ac:dyDescent="0.25">
      <c r="A73685" s="118"/>
      <c r="B73685" s="136"/>
    </row>
    <row r="73686" spans="1:2" x14ac:dyDescent="0.25">
      <c r="A73686" s="118"/>
      <c r="B73686" s="136"/>
    </row>
    <row r="73687" spans="1:2" x14ac:dyDescent="0.25">
      <c r="A73687" s="118"/>
      <c r="B73687" s="136"/>
    </row>
    <row r="73688" spans="1:2" x14ac:dyDescent="0.25">
      <c r="A73688" s="118"/>
      <c r="B73688" s="136"/>
    </row>
    <row r="73689" spans="1:2" x14ac:dyDescent="0.25">
      <c r="A73689" s="118"/>
      <c r="B73689" s="136"/>
    </row>
    <row r="73690" spans="1:2" x14ac:dyDescent="0.25">
      <c r="A73690" s="118"/>
      <c r="B73690" s="136"/>
    </row>
    <row r="73691" spans="1:2" x14ac:dyDescent="0.25">
      <c r="A73691" s="118"/>
      <c r="B73691" s="136"/>
    </row>
    <row r="73692" spans="1:2" x14ac:dyDescent="0.25">
      <c r="A73692" s="118"/>
      <c r="B73692" s="136"/>
    </row>
    <row r="73693" spans="1:2" x14ac:dyDescent="0.25">
      <c r="A73693" s="118"/>
      <c r="B73693" s="136"/>
    </row>
    <row r="73694" spans="1:2" x14ac:dyDescent="0.25">
      <c r="A73694" s="118"/>
      <c r="B73694" s="136"/>
    </row>
    <row r="73695" spans="1:2" x14ac:dyDescent="0.25">
      <c r="A73695" s="118"/>
      <c r="B73695" s="136"/>
    </row>
    <row r="73696" spans="1:2" x14ac:dyDescent="0.25">
      <c r="A73696" s="118"/>
      <c r="B73696" s="136"/>
    </row>
    <row r="73697" spans="1:2" x14ac:dyDescent="0.25">
      <c r="A73697" s="118"/>
      <c r="B73697" s="136"/>
    </row>
    <row r="73698" spans="1:2" x14ac:dyDescent="0.25">
      <c r="A73698" s="118"/>
      <c r="B73698" s="136"/>
    </row>
    <row r="73699" spans="1:2" x14ac:dyDescent="0.25">
      <c r="A73699" s="118"/>
      <c r="B73699" s="136"/>
    </row>
    <row r="73700" spans="1:2" x14ac:dyDescent="0.25">
      <c r="A73700" s="118"/>
      <c r="B73700" s="136"/>
    </row>
    <row r="73701" spans="1:2" x14ac:dyDescent="0.25">
      <c r="A73701" s="118"/>
      <c r="B73701" s="136"/>
    </row>
    <row r="73702" spans="1:2" x14ac:dyDescent="0.25">
      <c r="A73702" s="118"/>
      <c r="B73702" s="136"/>
    </row>
    <row r="73703" spans="1:2" x14ac:dyDescent="0.25">
      <c r="A73703" s="118"/>
      <c r="B73703" s="136"/>
    </row>
    <row r="73704" spans="1:2" x14ac:dyDescent="0.25">
      <c r="A73704" s="118"/>
      <c r="B73704" s="136"/>
    </row>
    <row r="73705" spans="1:2" x14ac:dyDescent="0.25">
      <c r="A73705" s="118"/>
      <c r="B73705" s="136"/>
    </row>
    <row r="73706" spans="1:2" x14ac:dyDescent="0.25">
      <c r="A73706" s="118"/>
      <c r="B73706" s="136"/>
    </row>
    <row r="73707" spans="1:2" x14ac:dyDescent="0.25">
      <c r="A73707" s="118"/>
      <c r="B73707" s="136"/>
    </row>
    <row r="73708" spans="1:2" x14ac:dyDescent="0.25">
      <c r="A73708" s="118"/>
      <c r="B73708" s="136"/>
    </row>
    <row r="73709" spans="1:2" x14ac:dyDescent="0.25">
      <c r="A73709" s="118"/>
      <c r="B73709" s="136"/>
    </row>
    <row r="73710" spans="1:2" x14ac:dyDescent="0.25">
      <c r="A73710" s="118"/>
      <c r="B73710" s="136"/>
    </row>
    <row r="73711" spans="1:2" x14ac:dyDescent="0.25">
      <c r="A73711" s="118"/>
      <c r="B73711" s="136"/>
    </row>
    <row r="73712" spans="1:2" x14ac:dyDescent="0.25">
      <c r="A73712" s="118"/>
      <c r="B73712" s="136"/>
    </row>
    <row r="73713" spans="1:2" x14ac:dyDescent="0.25">
      <c r="A73713" s="118"/>
      <c r="B73713" s="136"/>
    </row>
    <row r="73714" spans="1:2" x14ac:dyDescent="0.25">
      <c r="A73714" s="118"/>
      <c r="B73714" s="136"/>
    </row>
    <row r="73715" spans="1:2" x14ac:dyDescent="0.25">
      <c r="A73715" s="118"/>
      <c r="B73715" s="136"/>
    </row>
    <row r="73716" spans="1:2" x14ac:dyDescent="0.25">
      <c r="A73716" s="118"/>
      <c r="B73716" s="136"/>
    </row>
    <row r="73717" spans="1:2" x14ac:dyDescent="0.25">
      <c r="A73717" s="118"/>
      <c r="B73717" s="136"/>
    </row>
    <row r="73718" spans="1:2" x14ac:dyDescent="0.25">
      <c r="A73718" s="118"/>
      <c r="B73718" s="136"/>
    </row>
    <row r="73719" spans="1:2" x14ac:dyDescent="0.25">
      <c r="A73719" s="118"/>
      <c r="B73719" s="136"/>
    </row>
    <row r="73720" spans="1:2" x14ac:dyDescent="0.25">
      <c r="A73720" s="118"/>
      <c r="B73720" s="136"/>
    </row>
    <row r="73721" spans="1:2" x14ac:dyDescent="0.25">
      <c r="A73721" s="118"/>
      <c r="B73721" s="136"/>
    </row>
    <row r="73722" spans="1:2" x14ac:dyDescent="0.25">
      <c r="A73722" s="118"/>
      <c r="B73722" s="136"/>
    </row>
    <row r="73723" spans="1:2" x14ac:dyDescent="0.25">
      <c r="A73723" s="118"/>
      <c r="B73723" s="136"/>
    </row>
    <row r="73724" spans="1:2" x14ac:dyDescent="0.25">
      <c r="A73724" s="118"/>
      <c r="B73724" s="136"/>
    </row>
    <row r="73725" spans="1:2" x14ac:dyDescent="0.25">
      <c r="A73725" s="118"/>
      <c r="B73725" s="136"/>
    </row>
    <row r="73726" spans="1:2" x14ac:dyDescent="0.25">
      <c r="A73726" s="118"/>
      <c r="B73726" s="136"/>
    </row>
    <row r="73727" spans="1:2" x14ac:dyDescent="0.25">
      <c r="A73727" s="118"/>
      <c r="B73727" s="136"/>
    </row>
    <row r="73728" spans="1:2" x14ac:dyDescent="0.25">
      <c r="A73728" s="118"/>
      <c r="B73728" s="136"/>
    </row>
    <row r="73729" spans="1:2" x14ac:dyDescent="0.25">
      <c r="A73729" s="118"/>
      <c r="B73729" s="136"/>
    </row>
    <row r="73730" spans="1:2" x14ac:dyDescent="0.25">
      <c r="A73730" s="118"/>
      <c r="B73730" s="136"/>
    </row>
    <row r="73731" spans="1:2" x14ac:dyDescent="0.25">
      <c r="A73731" s="118"/>
      <c r="B73731" s="136"/>
    </row>
    <row r="73732" spans="1:2" x14ac:dyDescent="0.25">
      <c r="A73732" s="118"/>
      <c r="B73732" s="136"/>
    </row>
    <row r="73733" spans="1:2" x14ac:dyDescent="0.25">
      <c r="A73733" s="118"/>
      <c r="B73733" s="136"/>
    </row>
    <row r="73734" spans="1:2" x14ac:dyDescent="0.25">
      <c r="A73734" s="118"/>
      <c r="B73734" s="136"/>
    </row>
    <row r="73735" spans="1:2" x14ac:dyDescent="0.25">
      <c r="A73735" s="118"/>
      <c r="B73735" s="136"/>
    </row>
    <row r="73736" spans="1:2" x14ac:dyDescent="0.25">
      <c r="A73736" s="118"/>
      <c r="B73736" s="136"/>
    </row>
    <row r="73737" spans="1:2" x14ac:dyDescent="0.25">
      <c r="A73737" s="118"/>
      <c r="B73737" s="136"/>
    </row>
    <row r="73738" spans="1:2" x14ac:dyDescent="0.25">
      <c r="A73738" s="118"/>
      <c r="B73738" s="136"/>
    </row>
    <row r="73739" spans="1:2" x14ac:dyDescent="0.25">
      <c r="A73739" s="118"/>
      <c r="B73739" s="136"/>
    </row>
    <row r="73740" spans="1:2" x14ac:dyDescent="0.25">
      <c r="A73740" s="118"/>
      <c r="B73740" s="136"/>
    </row>
    <row r="73741" spans="1:2" x14ac:dyDescent="0.25">
      <c r="A73741" s="118"/>
      <c r="B73741" s="136"/>
    </row>
    <row r="73742" spans="1:2" x14ac:dyDescent="0.25">
      <c r="A73742" s="118"/>
      <c r="B73742" s="136"/>
    </row>
    <row r="73743" spans="1:2" x14ac:dyDescent="0.25">
      <c r="A73743" s="118"/>
      <c r="B73743" s="136"/>
    </row>
    <row r="73744" spans="1:2" x14ac:dyDescent="0.25">
      <c r="A73744" s="118"/>
      <c r="B73744" s="136"/>
    </row>
    <row r="73745" spans="1:2" x14ac:dyDescent="0.25">
      <c r="A73745" s="118"/>
      <c r="B73745" s="136"/>
    </row>
    <row r="73746" spans="1:2" x14ac:dyDescent="0.25">
      <c r="A73746" s="118"/>
      <c r="B73746" s="136"/>
    </row>
    <row r="73747" spans="1:2" x14ac:dyDescent="0.25">
      <c r="A73747" s="118"/>
      <c r="B73747" s="136"/>
    </row>
    <row r="73748" spans="1:2" x14ac:dyDescent="0.25">
      <c r="A73748" s="118"/>
      <c r="B73748" s="136"/>
    </row>
    <row r="73749" spans="1:2" x14ac:dyDescent="0.25">
      <c r="A73749" s="118"/>
      <c r="B73749" s="136"/>
    </row>
    <row r="73750" spans="1:2" x14ac:dyDescent="0.25">
      <c r="A73750" s="118"/>
      <c r="B73750" s="136"/>
    </row>
    <row r="73751" spans="1:2" x14ac:dyDescent="0.25">
      <c r="A73751" s="118"/>
      <c r="B73751" s="136"/>
    </row>
    <row r="73752" spans="1:2" x14ac:dyDescent="0.25">
      <c r="A73752" s="118"/>
      <c r="B73752" s="136"/>
    </row>
    <row r="73753" spans="1:2" x14ac:dyDescent="0.25">
      <c r="A73753" s="118"/>
      <c r="B73753" s="136"/>
    </row>
    <row r="73754" spans="1:2" x14ac:dyDescent="0.25">
      <c r="A73754" s="118"/>
      <c r="B73754" s="136"/>
    </row>
    <row r="73755" spans="1:2" x14ac:dyDescent="0.25">
      <c r="A73755" s="118"/>
      <c r="B73755" s="136"/>
    </row>
    <row r="73756" spans="1:2" x14ac:dyDescent="0.25">
      <c r="A73756" s="118"/>
      <c r="B73756" s="136"/>
    </row>
    <row r="73757" spans="1:2" x14ac:dyDescent="0.25">
      <c r="A73757" s="118"/>
      <c r="B73757" s="136"/>
    </row>
    <row r="73758" spans="1:2" x14ac:dyDescent="0.25">
      <c r="A73758" s="118"/>
      <c r="B73758" s="136"/>
    </row>
    <row r="73759" spans="1:2" x14ac:dyDescent="0.25">
      <c r="A73759" s="118"/>
      <c r="B73759" s="136"/>
    </row>
    <row r="73760" spans="1:2" x14ac:dyDescent="0.25">
      <c r="A73760" s="118"/>
      <c r="B73760" s="136"/>
    </row>
    <row r="73761" spans="1:2" x14ac:dyDescent="0.25">
      <c r="A73761" s="118"/>
      <c r="B73761" s="136"/>
    </row>
    <row r="73762" spans="1:2" x14ac:dyDescent="0.25">
      <c r="A73762" s="118"/>
      <c r="B73762" s="136"/>
    </row>
    <row r="73763" spans="1:2" x14ac:dyDescent="0.25">
      <c r="A73763" s="118"/>
      <c r="B73763" s="136"/>
    </row>
    <row r="73764" spans="1:2" x14ac:dyDescent="0.25">
      <c r="A73764" s="118"/>
      <c r="B73764" s="136"/>
    </row>
    <row r="73765" spans="1:2" x14ac:dyDescent="0.25">
      <c r="A73765" s="118"/>
      <c r="B73765" s="136"/>
    </row>
    <row r="73766" spans="1:2" x14ac:dyDescent="0.25">
      <c r="A73766" s="118"/>
      <c r="B73766" s="136"/>
    </row>
    <row r="73767" spans="1:2" x14ac:dyDescent="0.25">
      <c r="A73767" s="118"/>
      <c r="B73767" s="136"/>
    </row>
    <row r="73768" spans="1:2" x14ac:dyDescent="0.25">
      <c r="A73768" s="118"/>
      <c r="B73768" s="136"/>
    </row>
    <row r="73769" spans="1:2" x14ac:dyDescent="0.25">
      <c r="A73769" s="118"/>
      <c r="B73769" s="136"/>
    </row>
    <row r="73770" spans="1:2" x14ac:dyDescent="0.25">
      <c r="A73770" s="118"/>
      <c r="B73770" s="136"/>
    </row>
    <row r="73771" spans="1:2" x14ac:dyDescent="0.25">
      <c r="A73771" s="118"/>
      <c r="B73771" s="136"/>
    </row>
    <row r="73772" spans="1:2" x14ac:dyDescent="0.25">
      <c r="A73772" s="118"/>
      <c r="B73772" s="136"/>
    </row>
    <row r="73773" spans="1:2" x14ac:dyDescent="0.25">
      <c r="A73773" s="118"/>
      <c r="B73773" s="136"/>
    </row>
    <row r="73774" spans="1:2" x14ac:dyDescent="0.25">
      <c r="A73774" s="118"/>
      <c r="B73774" s="136"/>
    </row>
    <row r="73775" spans="1:2" x14ac:dyDescent="0.25">
      <c r="A73775" s="118"/>
      <c r="B73775" s="136"/>
    </row>
    <row r="73776" spans="1:2" x14ac:dyDescent="0.25">
      <c r="A73776" s="118"/>
      <c r="B73776" s="136"/>
    </row>
    <row r="73777" spans="1:2" x14ac:dyDescent="0.25">
      <c r="A73777" s="118"/>
      <c r="B73777" s="136"/>
    </row>
    <row r="73778" spans="1:2" x14ac:dyDescent="0.25">
      <c r="A73778" s="118"/>
      <c r="B73778" s="136"/>
    </row>
    <row r="73779" spans="1:2" x14ac:dyDescent="0.25">
      <c r="A73779" s="118"/>
      <c r="B73779" s="136"/>
    </row>
    <row r="73780" spans="1:2" x14ac:dyDescent="0.25">
      <c r="A73780" s="118"/>
      <c r="B73780" s="136"/>
    </row>
    <row r="73781" spans="1:2" x14ac:dyDescent="0.25">
      <c r="A73781" s="118"/>
      <c r="B73781" s="136"/>
    </row>
    <row r="73782" spans="1:2" x14ac:dyDescent="0.25">
      <c r="A73782" s="118"/>
      <c r="B73782" s="136"/>
    </row>
    <row r="73783" spans="1:2" x14ac:dyDescent="0.25">
      <c r="A73783" s="118"/>
      <c r="B73783" s="136"/>
    </row>
    <row r="73784" spans="1:2" x14ac:dyDescent="0.25">
      <c r="A73784" s="118"/>
      <c r="B73784" s="136"/>
    </row>
    <row r="73785" spans="1:2" x14ac:dyDescent="0.25">
      <c r="A73785" s="118"/>
      <c r="B73785" s="136"/>
    </row>
    <row r="73786" spans="1:2" x14ac:dyDescent="0.25">
      <c r="A73786" s="118"/>
      <c r="B73786" s="136"/>
    </row>
    <row r="73787" spans="1:2" x14ac:dyDescent="0.25">
      <c r="A73787" s="118"/>
      <c r="B73787" s="136"/>
    </row>
    <row r="73788" spans="1:2" x14ac:dyDescent="0.25">
      <c r="A73788" s="118"/>
      <c r="B73788" s="136"/>
    </row>
    <row r="73789" spans="1:2" x14ac:dyDescent="0.25">
      <c r="A73789" s="118"/>
      <c r="B73789" s="136"/>
    </row>
    <row r="73790" spans="1:2" x14ac:dyDescent="0.25">
      <c r="A73790" s="118"/>
      <c r="B73790" s="136"/>
    </row>
    <row r="73791" spans="1:2" x14ac:dyDescent="0.25">
      <c r="A73791" s="118"/>
      <c r="B73791" s="136"/>
    </row>
    <row r="73792" spans="1:2" x14ac:dyDescent="0.25">
      <c r="A73792" s="118"/>
      <c r="B73792" s="136"/>
    </row>
    <row r="73793" spans="1:2" x14ac:dyDescent="0.25">
      <c r="A73793" s="118"/>
      <c r="B73793" s="136"/>
    </row>
    <row r="73794" spans="1:2" x14ac:dyDescent="0.25">
      <c r="A73794" s="118"/>
      <c r="B73794" s="136"/>
    </row>
    <row r="73795" spans="1:2" x14ac:dyDescent="0.25">
      <c r="A73795" s="118"/>
      <c r="B73795" s="136"/>
    </row>
    <row r="73796" spans="1:2" x14ac:dyDescent="0.25">
      <c r="A73796" s="118"/>
      <c r="B73796" s="136"/>
    </row>
    <row r="73797" spans="1:2" x14ac:dyDescent="0.25">
      <c r="A73797" s="118"/>
      <c r="B73797" s="136"/>
    </row>
    <row r="73798" spans="1:2" x14ac:dyDescent="0.25">
      <c r="A73798" s="118"/>
      <c r="B73798" s="136"/>
    </row>
    <row r="73799" spans="1:2" x14ac:dyDescent="0.25">
      <c r="A73799" s="118"/>
      <c r="B73799" s="136"/>
    </row>
    <row r="73800" spans="1:2" x14ac:dyDescent="0.25">
      <c r="A73800" s="118"/>
      <c r="B73800" s="136"/>
    </row>
    <row r="73801" spans="1:2" x14ac:dyDescent="0.25">
      <c r="A73801" s="118"/>
      <c r="B73801" s="136"/>
    </row>
    <row r="73802" spans="1:2" x14ac:dyDescent="0.25">
      <c r="A73802" s="118"/>
      <c r="B73802" s="136"/>
    </row>
    <row r="73803" spans="1:2" x14ac:dyDescent="0.25">
      <c r="A73803" s="118"/>
      <c r="B73803" s="136"/>
    </row>
    <row r="73804" spans="1:2" x14ac:dyDescent="0.25">
      <c r="A73804" s="118"/>
      <c r="B73804" s="136"/>
    </row>
    <row r="73805" spans="1:2" x14ac:dyDescent="0.25">
      <c r="A73805" s="118"/>
      <c r="B73805" s="136"/>
    </row>
    <row r="73806" spans="1:2" x14ac:dyDescent="0.25">
      <c r="A73806" s="118"/>
      <c r="B73806" s="136"/>
    </row>
    <row r="73807" spans="1:2" x14ac:dyDescent="0.25">
      <c r="A73807" s="118"/>
      <c r="B73807" s="136"/>
    </row>
    <row r="73808" spans="1:2" x14ac:dyDescent="0.25">
      <c r="A73808" s="118"/>
      <c r="B73808" s="136"/>
    </row>
    <row r="73809" spans="1:2" x14ac:dyDescent="0.25">
      <c r="A73809" s="118"/>
      <c r="B73809" s="136"/>
    </row>
    <row r="73810" spans="1:2" x14ac:dyDescent="0.25">
      <c r="A73810" s="118"/>
      <c r="B73810" s="136"/>
    </row>
    <row r="73811" spans="1:2" x14ac:dyDescent="0.25">
      <c r="A73811" s="118"/>
      <c r="B73811" s="136"/>
    </row>
    <row r="73812" spans="1:2" x14ac:dyDescent="0.25">
      <c r="A73812" s="118"/>
      <c r="B73812" s="136"/>
    </row>
    <row r="73813" spans="1:2" x14ac:dyDescent="0.25">
      <c r="A73813" s="118"/>
      <c r="B73813" s="136"/>
    </row>
    <row r="73814" spans="1:2" x14ac:dyDescent="0.25">
      <c r="A73814" s="118"/>
      <c r="B73814" s="136"/>
    </row>
    <row r="73815" spans="1:2" x14ac:dyDescent="0.25">
      <c r="A73815" s="118"/>
      <c r="B73815" s="136"/>
    </row>
    <row r="73816" spans="1:2" x14ac:dyDescent="0.25">
      <c r="A73816" s="118"/>
      <c r="B73816" s="136"/>
    </row>
    <row r="73817" spans="1:2" x14ac:dyDescent="0.25">
      <c r="A73817" s="118"/>
      <c r="B73817" s="136"/>
    </row>
    <row r="73818" spans="1:2" x14ac:dyDescent="0.25">
      <c r="A73818" s="118"/>
      <c r="B73818" s="136"/>
    </row>
    <row r="73819" spans="1:2" x14ac:dyDescent="0.25">
      <c r="A73819" s="118"/>
      <c r="B73819" s="136"/>
    </row>
    <row r="73820" spans="1:2" x14ac:dyDescent="0.25">
      <c r="A73820" s="118"/>
      <c r="B73820" s="136"/>
    </row>
    <row r="73821" spans="1:2" x14ac:dyDescent="0.25">
      <c r="A73821" s="118"/>
      <c r="B73821" s="136"/>
    </row>
    <row r="73822" spans="1:2" x14ac:dyDescent="0.25">
      <c r="A73822" s="118"/>
      <c r="B73822" s="136"/>
    </row>
    <row r="73823" spans="1:2" x14ac:dyDescent="0.25">
      <c r="A73823" s="118"/>
      <c r="B73823" s="136"/>
    </row>
    <row r="73824" spans="1:2" x14ac:dyDescent="0.25">
      <c r="A73824" s="118"/>
      <c r="B73824" s="136"/>
    </row>
    <row r="73825" spans="1:2" x14ac:dyDescent="0.25">
      <c r="A73825" s="118"/>
      <c r="B73825" s="136"/>
    </row>
    <row r="73826" spans="1:2" x14ac:dyDescent="0.25">
      <c r="A73826" s="118"/>
      <c r="B73826" s="136"/>
    </row>
    <row r="73827" spans="1:2" x14ac:dyDescent="0.25">
      <c r="A73827" s="118"/>
      <c r="B73827" s="136"/>
    </row>
    <row r="73828" spans="1:2" x14ac:dyDescent="0.25">
      <c r="A73828" s="118"/>
      <c r="B73828" s="136"/>
    </row>
    <row r="73829" spans="1:2" x14ac:dyDescent="0.25">
      <c r="A73829" s="118"/>
      <c r="B73829" s="136"/>
    </row>
    <row r="73830" spans="1:2" x14ac:dyDescent="0.25">
      <c r="A73830" s="118"/>
      <c r="B73830" s="136"/>
    </row>
    <row r="73831" spans="1:2" x14ac:dyDescent="0.25">
      <c r="A73831" s="118"/>
      <c r="B73831" s="136"/>
    </row>
    <row r="73832" spans="1:2" x14ac:dyDescent="0.25">
      <c r="A73832" s="118"/>
      <c r="B73832" s="136"/>
    </row>
    <row r="73833" spans="1:2" x14ac:dyDescent="0.25">
      <c r="A73833" s="118"/>
      <c r="B73833" s="136"/>
    </row>
    <row r="73834" spans="1:2" x14ac:dyDescent="0.25">
      <c r="A73834" s="118"/>
      <c r="B73834" s="136"/>
    </row>
    <row r="73835" spans="1:2" x14ac:dyDescent="0.25">
      <c r="A73835" s="118"/>
      <c r="B73835" s="136"/>
    </row>
    <row r="73836" spans="1:2" x14ac:dyDescent="0.25">
      <c r="A73836" s="118"/>
      <c r="B73836" s="136"/>
    </row>
    <row r="73837" spans="1:2" x14ac:dyDescent="0.25">
      <c r="A73837" s="118"/>
      <c r="B73837" s="136"/>
    </row>
    <row r="73838" spans="1:2" x14ac:dyDescent="0.25">
      <c r="A73838" s="118"/>
      <c r="B73838" s="136"/>
    </row>
    <row r="73839" spans="1:2" x14ac:dyDescent="0.25">
      <c r="A73839" s="118"/>
      <c r="B73839" s="136"/>
    </row>
    <row r="73840" spans="1:2" x14ac:dyDescent="0.25">
      <c r="A73840" s="118"/>
      <c r="B73840" s="136"/>
    </row>
    <row r="73841" spans="1:2" x14ac:dyDescent="0.25">
      <c r="A73841" s="118"/>
      <c r="B73841" s="136"/>
    </row>
    <row r="73842" spans="1:2" x14ac:dyDescent="0.25">
      <c r="A73842" s="118"/>
      <c r="B73842" s="136"/>
    </row>
    <row r="73843" spans="1:2" x14ac:dyDescent="0.25">
      <c r="A73843" s="118"/>
      <c r="B73843" s="136"/>
    </row>
    <row r="73844" spans="1:2" x14ac:dyDescent="0.25">
      <c r="A73844" s="118"/>
      <c r="B73844" s="136"/>
    </row>
    <row r="73845" spans="1:2" x14ac:dyDescent="0.25">
      <c r="A73845" s="118"/>
      <c r="B73845" s="136"/>
    </row>
    <row r="73846" spans="1:2" x14ac:dyDescent="0.25">
      <c r="A73846" s="118"/>
      <c r="B73846" s="136"/>
    </row>
    <row r="73847" spans="1:2" x14ac:dyDescent="0.25">
      <c r="A73847" s="118"/>
      <c r="B73847" s="136"/>
    </row>
    <row r="73848" spans="1:2" x14ac:dyDescent="0.25">
      <c r="A73848" s="118"/>
      <c r="B73848" s="136"/>
    </row>
    <row r="73849" spans="1:2" x14ac:dyDescent="0.25">
      <c r="A73849" s="118"/>
      <c r="B73849" s="136"/>
    </row>
    <row r="73850" spans="1:2" x14ac:dyDescent="0.25">
      <c r="A73850" s="118"/>
      <c r="B73850" s="136"/>
    </row>
    <row r="73851" spans="1:2" x14ac:dyDescent="0.25">
      <c r="A73851" s="118"/>
      <c r="B73851" s="136"/>
    </row>
    <row r="73852" spans="1:2" x14ac:dyDescent="0.25">
      <c r="A73852" s="118"/>
      <c r="B73852" s="136"/>
    </row>
    <row r="73853" spans="1:2" x14ac:dyDescent="0.25">
      <c r="A73853" s="118"/>
      <c r="B73853" s="136"/>
    </row>
    <row r="73854" spans="1:2" x14ac:dyDescent="0.25">
      <c r="A73854" s="118"/>
      <c r="B73854" s="136"/>
    </row>
    <row r="73855" spans="1:2" x14ac:dyDescent="0.25">
      <c r="A73855" s="118"/>
      <c r="B73855" s="136"/>
    </row>
    <row r="73856" spans="1:2" x14ac:dyDescent="0.25">
      <c r="A73856" s="118"/>
      <c r="B73856" s="136"/>
    </row>
    <row r="73857" spans="1:2" x14ac:dyDescent="0.25">
      <c r="A73857" s="118"/>
      <c r="B73857" s="136"/>
    </row>
    <row r="73858" spans="1:2" x14ac:dyDescent="0.25">
      <c r="A73858" s="118"/>
      <c r="B73858" s="136"/>
    </row>
    <row r="73859" spans="1:2" x14ac:dyDescent="0.25">
      <c r="A73859" s="118"/>
      <c r="B73859" s="136"/>
    </row>
    <row r="73860" spans="1:2" x14ac:dyDescent="0.25">
      <c r="A73860" s="118"/>
      <c r="B73860" s="136"/>
    </row>
    <row r="73861" spans="1:2" x14ac:dyDescent="0.25">
      <c r="A73861" s="118"/>
      <c r="B73861" s="136"/>
    </row>
    <row r="73862" spans="1:2" x14ac:dyDescent="0.25">
      <c r="A73862" s="118"/>
      <c r="B73862" s="136"/>
    </row>
    <row r="73863" spans="1:2" x14ac:dyDescent="0.25">
      <c r="A73863" s="118"/>
      <c r="B73863" s="136"/>
    </row>
    <row r="73864" spans="1:2" x14ac:dyDescent="0.25">
      <c r="A73864" s="118"/>
      <c r="B73864" s="136"/>
    </row>
    <row r="73865" spans="1:2" x14ac:dyDescent="0.25">
      <c r="A73865" s="118"/>
      <c r="B73865" s="136"/>
    </row>
    <row r="73866" spans="1:2" x14ac:dyDescent="0.25">
      <c r="A73866" s="118"/>
      <c r="B73866" s="136"/>
    </row>
    <row r="73867" spans="1:2" x14ac:dyDescent="0.25">
      <c r="A73867" s="118"/>
      <c r="B73867" s="136"/>
    </row>
    <row r="73868" spans="1:2" x14ac:dyDescent="0.25">
      <c r="A73868" s="118"/>
      <c r="B73868" s="136"/>
    </row>
    <row r="73869" spans="1:2" x14ac:dyDescent="0.25">
      <c r="A73869" s="118"/>
      <c r="B73869" s="136"/>
    </row>
    <row r="73870" spans="1:2" x14ac:dyDescent="0.25">
      <c r="A73870" s="118"/>
      <c r="B73870" s="136"/>
    </row>
    <row r="73871" spans="1:2" x14ac:dyDescent="0.25">
      <c r="A73871" s="118"/>
      <c r="B73871" s="136"/>
    </row>
    <row r="73872" spans="1:2" x14ac:dyDescent="0.25">
      <c r="A73872" s="118"/>
      <c r="B73872" s="136"/>
    </row>
    <row r="73873" spans="1:2" x14ac:dyDescent="0.25">
      <c r="A73873" s="118"/>
      <c r="B73873" s="136"/>
    </row>
    <row r="73874" spans="1:2" x14ac:dyDescent="0.25">
      <c r="A73874" s="118"/>
      <c r="B73874" s="136"/>
    </row>
    <row r="73875" spans="1:2" x14ac:dyDescent="0.25">
      <c r="A73875" s="118"/>
      <c r="B73875" s="136"/>
    </row>
    <row r="73876" spans="1:2" x14ac:dyDescent="0.25">
      <c r="A73876" s="118"/>
      <c r="B73876" s="136"/>
    </row>
    <row r="73877" spans="1:2" x14ac:dyDescent="0.25">
      <c r="A73877" s="118"/>
      <c r="B73877" s="136"/>
    </row>
    <row r="73878" spans="1:2" x14ac:dyDescent="0.25">
      <c r="A73878" s="118"/>
      <c r="B73878" s="136"/>
    </row>
    <row r="73879" spans="1:2" x14ac:dyDescent="0.25">
      <c r="A73879" s="118"/>
      <c r="B73879" s="136"/>
    </row>
    <row r="73880" spans="1:2" x14ac:dyDescent="0.25">
      <c r="A73880" s="118"/>
      <c r="B73880" s="136"/>
    </row>
    <row r="73881" spans="1:2" x14ac:dyDescent="0.25">
      <c r="A73881" s="118"/>
      <c r="B73881" s="136"/>
    </row>
    <row r="73882" spans="1:2" x14ac:dyDescent="0.25">
      <c r="A73882" s="118"/>
      <c r="B73882" s="136"/>
    </row>
    <row r="73883" spans="1:2" x14ac:dyDescent="0.25">
      <c r="A73883" s="118"/>
      <c r="B73883" s="136"/>
    </row>
    <row r="73884" spans="1:2" x14ac:dyDescent="0.25">
      <c r="A73884" s="118"/>
      <c r="B73884" s="136"/>
    </row>
    <row r="73885" spans="1:2" x14ac:dyDescent="0.25">
      <c r="A73885" s="118"/>
      <c r="B73885" s="136"/>
    </row>
    <row r="73886" spans="1:2" x14ac:dyDescent="0.25">
      <c r="A73886" s="118"/>
      <c r="B73886" s="136"/>
    </row>
    <row r="73887" spans="1:2" x14ac:dyDescent="0.25">
      <c r="A73887" s="118"/>
      <c r="B73887" s="136"/>
    </row>
    <row r="73888" spans="1:2" x14ac:dyDescent="0.25">
      <c r="A73888" s="118"/>
      <c r="B73888" s="136"/>
    </row>
    <row r="73889" spans="1:2" x14ac:dyDescent="0.25">
      <c r="A73889" s="118"/>
      <c r="B73889" s="136"/>
    </row>
    <row r="73890" spans="1:2" x14ac:dyDescent="0.25">
      <c r="A73890" s="118"/>
      <c r="B73890" s="136"/>
    </row>
    <row r="73891" spans="1:2" x14ac:dyDescent="0.25">
      <c r="A73891" s="118"/>
      <c r="B73891" s="136"/>
    </row>
    <row r="73892" spans="1:2" x14ac:dyDescent="0.25">
      <c r="A73892" s="118"/>
      <c r="B73892" s="136"/>
    </row>
    <row r="73893" spans="1:2" x14ac:dyDescent="0.25">
      <c r="A73893" s="118"/>
      <c r="B73893" s="136"/>
    </row>
    <row r="73894" spans="1:2" x14ac:dyDescent="0.25">
      <c r="A73894" s="118"/>
      <c r="B73894" s="136"/>
    </row>
    <row r="73895" spans="1:2" x14ac:dyDescent="0.25">
      <c r="A73895" s="118"/>
      <c r="B73895" s="136"/>
    </row>
    <row r="73896" spans="1:2" x14ac:dyDescent="0.25">
      <c r="A73896" s="118"/>
      <c r="B73896" s="136"/>
    </row>
    <row r="73897" spans="1:2" x14ac:dyDescent="0.25">
      <c r="A73897" s="118"/>
      <c r="B73897" s="136"/>
    </row>
    <row r="73898" spans="1:2" x14ac:dyDescent="0.25">
      <c r="A73898" s="118"/>
      <c r="B73898" s="136"/>
    </row>
    <row r="73899" spans="1:2" x14ac:dyDescent="0.25">
      <c r="A73899" s="118"/>
      <c r="B73899" s="136"/>
    </row>
    <row r="73900" spans="1:2" x14ac:dyDescent="0.25">
      <c r="A73900" s="118"/>
      <c r="B73900" s="136"/>
    </row>
    <row r="73901" spans="1:2" x14ac:dyDescent="0.25">
      <c r="A73901" s="118"/>
      <c r="B73901" s="136"/>
    </row>
    <row r="73902" spans="1:2" x14ac:dyDescent="0.25">
      <c r="A73902" s="118"/>
      <c r="B73902" s="136"/>
    </row>
    <row r="73903" spans="1:2" x14ac:dyDescent="0.25">
      <c r="A73903" s="118"/>
      <c r="B73903" s="136"/>
    </row>
    <row r="73904" spans="1:2" x14ac:dyDescent="0.25">
      <c r="A73904" s="118"/>
      <c r="B73904" s="136"/>
    </row>
    <row r="73905" spans="1:2" x14ac:dyDescent="0.25">
      <c r="A73905" s="118"/>
      <c r="B73905" s="136"/>
    </row>
    <row r="73906" spans="1:2" x14ac:dyDescent="0.25">
      <c r="A73906" s="118"/>
      <c r="B73906" s="136"/>
    </row>
    <row r="73907" spans="1:2" x14ac:dyDescent="0.25">
      <c r="A73907" s="118"/>
      <c r="B73907" s="136"/>
    </row>
    <row r="73908" spans="1:2" x14ac:dyDescent="0.25">
      <c r="A73908" s="118"/>
      <c r="B73908" s="136"/>
    </row>
    <row r="73909" spans="1:2" x14ac:dyDescent="0.25">
      <c r="A73909" s="118"/>
      <c r="B73909" s="136"/>
    </row>
    <row r="73910" spans="1:2" x14ac:dyDescent="0.25">
      <c r="A73910" s="118"/>
      <c r="B73910" s="136"/>
    </row>
    <row r="73911" spans="1:2" x14ac:dyDescent="0.25">
      <c r="A73911" s="118"/>
      <c r="B73911" s="136"/>
    </row>
    <row r="73912" spans="1:2" x14ac:dyDescent="0.25">
      <c r="A73912" s="118"/>
      <c r="B73912" s="136"/>
    </row>
    <row r="73913" spans="1:2" x14ac:dyDescent="0.25">
      <c r="A73913" s="118"/>
      <c r="B73913" s="136"/>
    </row>
    <row r="73914" spans="1:2" x14ac:dyDescent="0.25">
      <c r="A73914" s="118"/>
      <c r="B73914" s="136"/>
    </row>
    <row r="73915" spans="1:2" x14ac:dyDescent="0.25">
      <c r="A73915" s="118"/>
      <c r="B73915" s="136"/>
    </row>
    <row r="73916" spans="1:2" x14ac:dyDescent="0.25">
      <c r="A73916" s="118"/>
      <c r="B73916" s="136"/>
    </row>
    <row r="73917" spans="1:2" x14ac:dyDescent="0.25">
      <c r="A73917" s="118"/>
      <c r="B73917" s="136"/>
    </row>
    <row r="73918" spans="1:2" x14ac:dyDescent="0.25">
      <c r="A73918" s="118"/>
      <c r="B73918" s="136"/>
    </row>
    <row r="73919" spans="1:2" x14ac:dyDescent="0.25">
      <c r="A73919" s="118"/>
      <c r="B73919" s="136"/>
    </row>
    <row r="73920" spans="1:2" x14ac:dyDescent="0.25">
      <c r="A73920" s="118"/>
      <c r="B73920" s="136"/>
    </row>
    <row r="73921" spans="1:2" x14ac:dyDescent="0.25">
      <c r="A73921" s="118"/>
      <c r="B73921" s="136"/>
    </row>
    <row r="73922" spans="1:2" x14ac:dyDescent="0.25">
      <c r="A73922" s="118"/>
      <c r="B73922" s="136"/>
    </row>
    <row r="73923" spans="1:2" x14ac:dyDescent="0.25">
      <c r="A73923" s="118"/>
      <c r="B73923" s="136"/>
    </row>
    <row r="73924" spans="1:2" x14ac:dyDescent="0.25">
      <c r="A73924" s="118"/>
      <c r="B73924" s="136"/>
    </row>
    <row r="73925" spans="1:2" x14ac:dyDescent="0.25">
      <c r="A73925" s="118"/>
      <c r="B73925" s="136"/>
    </row>
    <row r="73926" spans="1:2" x14ac:dyDescent="0.25">
      <c r="A73926" s="118"/>
      <c r="B73926" s="136"/>
    </row>
    <row r="73927" spans="1:2" x14ac:dyDescent="0.25">
      <c r="A73927" s="118"/>
      <c r="B73927" s="136"/>
    </row>
    <row r="73928" spans="1:2" x14ac:dyDescent="0.25">
      <c r="A73928" s="118"/>
      <c r="B73928" s="136"/>
    </row>
    <row r="73929" spans="1:2" x14ac:dyDescent="0.25">
      <c r="A73929" s="118"/>
      <c r="B73929" s="136"/>
    </row>
    <row r="73930" spans="1:2" x14ac:dyDescent="0.25">
      <c r="A73930" s="118"/>
      <c r="B73930" s="136"/>
    </row>
    <row r="73931" spans="1:2" x14ac:dyDescent="0.25">
      <c r="A73931" s="118"/>
      <c r="B73931" s="136"/>
    </row>
    <row r="73932" spans="1:2" x14ac:dyDescent="0.25">
      <c r="A73932" s="118"/>
      <c r="B73932" s="136"/>
    </row>
    <row r="73933" spans="1:2" x14ac:dyDescent="0.25">
      <c r="A73933" s="118"/>
      <c r="B73933" s="136"/>
    </row>
    <row r="73934" spans="1:2" x14ac:dyDescent="0.25">
      <c r="A73934" s="118"/>
      <c r="B73934" s="136"/>
    </row>
    <row r="73935" spans="1:2" x14ac:dyDescent="0.25">
      <c r="A73935" s="118"/>
      <c r="B73935" s="136"/>
    </row>
    <row r="73936" spans="1:2" x14ac:dyDescent="0.25">
      <c r="A73936" s="118"/>
      <c r="B73936" s="136"/>
    </row>
    <row r="73937" spans="1:2" x14ac:dyDescent="0.25">
      <c r="A73937" s="118"/>
      <c r="B73937" s="136"/>
    </row>
    <row r="73938" spans="1:2" x14ac:dyDescent="0.25">
      <c r="A73938" s="118"/>
      <c r="B73938" s="136"/>
    </row>
    <row r="73939" spans="1:2" x14ac:dyDescent="0.25">
      <c r="A73939" s="118"/>
      <c r="B73939" s="136"/>
    </row>
    <row r="73940" spans="1:2" x14ac:dyDescent="0.25">
      <c r="A73940" s="118"/>
      <c r="B73940" s="136"/>
    </row>
    <row r="73941" spans="1:2" x14ac:dyDescent="0.25">
      <c r="A73941" s="118"/>
      <c r="B73941" s="136"/>
    </row>
    <row r="73942" spans="1:2" x14ac:dyDescent="0.25">
      <c r="A73942" s="118"/>
      <c r="B73942" s="136"/>
    </row>
    <row r="73943" spans="1:2" x14ac:dyDescent="0.25">
      <c r="A73943" s="118"/>
      <c r="B73943" s="136"/>
    </row>
    <row r="73944" spans="1:2" x14ac:dyDescent="0.25">
      <c r="A73944" s="118"/>
      <c r="B73944" s="136"/>
    </row>
    <row r="73945" spans="1:2" x14ac:dyDescent="0.25">
      <c r="A73945" s="118"/>
      <c r="B73945" s="136"/>
    </row>
    <row r="73946" spans="1:2" x14ac:dyDescent="0.25">
      <c r="A73946" s="118"/>
      <c r="B73946" s="136"/>
    </row>
    <row r="73947" spans="1:2" x14ac:dyDescent="0.25">
      <c r="A73947" s="118"/>
      <c r="B73947" s="136"/>
    </row>
    <row r="73948" spans="1:2" x14ac:dyDescent="0.25">
      <c r="A73948" s="118"/>
      <c r="B73948" s="136"/>
    </row>
    <row r="73949" spans="1:2" x14ac:dyDescent="0.25">
      <c r="A73949" s="118"/>
      <c r="B73949" s="136"/>
    </row>
    <row r="73950" spans="1:2" x14ac:dyDescent="0.25">
      <c r="A73950" s="118"/>
      <c r="B73950" s="136"/>
    </row>
    <row r="73951" spans="1:2" x14ac:dyDescent="0.25">
      <c r="A73951" s="118"/>
      <c r="B73951" s="136"/>
    </row>
    <row r="73952" spans="1:2" x14ac:dyDescent="0.25">
      <c r="A73952" s="118"/>
      <c r="B73952" s="136"/>
    </row>
    <row r="73953" spans="1:2" x14ac:dyDescent="0.25">
      <c r="A73953" s="118"/>
      <c r="B73953" s="136"/>
    </row>
    <row r="73954" spans="1:2" x14ac:dyDescent="0.25">
      <c r="A73954" s="118"/>
      <c r="B73954" s="136"/>
    </row>
    <row r="73955" spans="1:2" x14ac:dyDescent="0.25">
      <c r="A73955" s="118"/>
      <c r="B73955" s="136"/>
    </row>
    <row r="73956" spans="1:2" x14ac:dyDescent="0.25">
      <c r="A73956" s="118"/>
      <c r="B73956" s="136"/>
    </row>
    <row r="73957" spans="1:2" x14ac:dyDescent="0.25">
      <c r="A73957" s="118"/>
      <c r="B73957" s="136"/>
    </row>
    <row r="73958" spans="1:2" x14ac:dyDescent="0.25">
      <c r="A73958" s="118"/>
      <c r="B73958" s="136"/>
    </row>
    <row r="73959" spans="1:2" x14ac:dyDescent="0.25">
      <c r="A73959" s="118"/>
      <c r="B73959" s="136"/>
    </row>
    <row r="73960" spans="1:2" x14ac:dyDescent="0.25">
      <c r="A73960" s="118"/>
      <c r="B73960" s="136"/>
    </row>
    <row r="73961" spans="1:2" x14ac:dyDescent="0.25">
      <c r="A73961" s="118"/>
      <c r="B73961" s="136"/>
    </row>
    <row r="73962" spans="1:2" x14ac:dyDescent="0.25">
      <c r="A73962" s="118"/>
      <c r="B73962" s="136"/>
    </row>
    <row r="73963" spans="1:2" x14ac:dyDescent="0.25">
      <c r="A73963" s="118"/>
      <c r="B73963" s="136"/>
    </row>
    <row r="73964" spans="1:2" x14ac:dyDescent="0.25">
      <c r="A73964" s="118"/>
      <c r="B73964" s="136"/>
    </row>
    <row r="73965" spans="1:2" x14ac:dyDescent="0.25">
      <c r="A73965" s="118"/>
      <c r="B73965" s="136"/>
    </row>
    <row r="73966" spans="1:2" x14ac:dyDescent="0.25">
      <c r="A73966" s="118"/>
      <c r="B73966" s="136"/>
    </row>
    <row r="73967" spans="1:2" x14ac:dyDescent="0.25">
      <c r="A73967" s="118"/>
      <c r="B73967" s="136"/>
    </row>
    <row r="73968" spans="1:2" x14ac:dyDescent="0.25">
      <c r="A73968" s="118"/>
      <c r="B73968" s="136"/>
    </row>
    <row r="73969" spans="1:2" x14ac:dyDescent="0.25">
      <c r="A73969" s="118"/>
      <c r="B73969" s="136"/>
    </row>
    <row r="73970" spans="1:2" x14ac:dyDescent="0.25">
      <c r="A73970" s="118"/>
      <c r="B73970" s="136"/>
    </row>
    <row r="73971" spans="1:2" x14ac:dyDescent="0.25">
      <c r="A73971" s="118"/>
      <c r="B73971" s="136"/>
    </row>
    <row r="73972" spans="1:2" x14ac:dyDescent="0.25">
      <c r="A73972" s="118"/>
      <c r="B73972" s="136"/>
    </row>
    <row r="73973" spans="1:2" x14ac:dyDescent="0.25">
      <c r="A73973" s="118"/>
      <c r="B73973" s="136"/>
    </row>
    <row r="73974" spans="1:2" x14ac:dyDescent="0.25">
      <c r="A73974" s="118"/>
      <c r="B73974" s="136"/>
    </row>
    <row r="73975" spans="1:2" x14ac:dyDescent="0.25">
      <c r="A73975" s="118"/>
      <c r="B73975" s="136"/>
    </row>
    <row r="73976" spans="1:2" x14ac:dyDescent="0.25">
      <c r="A73976" s="118"/>
      <c r="B73976" s="136"/>
    </row>
    <row r="73977" spans="1:2" x14ac:dyDescent="0.25">
      <c r="A73977" s="118"/>
      <c r="B73977" s="136"/>
    </row>
    <row r="73978" spans="1:2" x14ac:dyDescent="0.25">
      <c r="A73978" s="118"/>
      <c r="B73978" s="136"/>
    </row>
    <row r="73979" spans="1:2" x14ac:dyDescent="0.25">
      <c r="A73979" s="118"/>
      <c r="B73979" s="136"/>
    </row>
    <row r="73980" spans="1:2" x14ac:dyDescent="0.25">
      <c r="A73980" s="118"/>
      <c r="B73980" s="136"/>
    </row>
    <row r="73981" spans="1:2" x14ac:dyDescent="0.25">
      <c r="A73981" s="118"/>
      <c r="B73981" s="136"/>
    </row>
    <row r="73982" spans="1:2" x14ac:dyDescent="0.25">
      <c r="A73982" s="118"/>
      <c r="B73982" s="136"/>
    </row>
    <row r="73983" spans="1:2" x14ac:dyDescent="0.25">
      <c r="A73983" s="118"/>
      <c r="B73983" s="136"/>
    </row>
    <row r="73984" spans="1:2" x14ac:dyDescent="0.25">
      <c r="A73984" s="118"/>
      <c r="B73984" s="136"/>
    </row>
    <row r="73985" spans="1:2" x14ac:dyDescent="0.25">
      <c r="A73985" s="118"/>
      <c r="B73985" s="136"/>
    </row>
    <row r="73986" spans="1:2" x14ac:dyDescent="0.25">
      <c r="A73986" s="118"/>
      <c r="B73986" s="136"/>
    </row>
    <row r="73987" spans="1:2" x14ac:dyDescent="0.25">
      <c r="A73987" s="118"/>
      <c r="B73987" s="136"/>
    </row>
    <row r="73988" spans="1:2" x14ac:dyDescent="0.25">
      <c r="A73988" s="118"/>
      <c r="B73988" s="136"/>
    </row>
    <row r="73989" spans="1:2" x14ac:dyDescent="0.25">
      <c r="A73989" s="118"/>
      <c r="B73989" s="136"/>
    </row>
    <row r="73990" spans="1:2" x14ac:dyDescent="0.25">
      <c r="A73990" s="118"/>
      <c r="B73990" s="136"/>
    </row>
    <row r="73991" spans="1:2" x14ac:dyDescent="0.25">
      <c r="A73991" s="118"/>
      <c r="B73991" s="136"/>
    </row>
    <row r="73992" spans="1:2" x14ac:dyDescent="0.25">
      <c r="A73992" s="118"/>
      <c r="B73992" s="136"/>
    </row>
    <row r="73993" spans="1:2" x14ac:dyDescent="0.25">
      <c r="A73993" s="118"/>
      <c r="B73993" s="136"/>
    </row>
    <row r="73994" spans="1:2" x14ac:dyDescent="0.25">
      <c r="A73994" s="118"/>
      <c r="B73994" s="136"/>
    </row>
    <row r="73995" spans="1:2" x14ac:dyDescent="0.25">
      <c r="A73995" s="118"/>
      <c r="B73995" s="136"/>
    </row>
    <row r="73996" spans="1:2" x14ac:dyDescent="0.25">
      <c r="A73996" s="118"/>
      <c r="B73996" s="136"/>
    </row>
    <row r="73997" spans="1:2" x14ac:dyDescent="0.25">
      <c r="A73997" s="118"/>
      <c r="B73997" s="136"/>
    </row>
    <row r="73998" spans="1:2" x14ac:dyDescent="0.25">
      <c r="A73998" s="118"/>
      <c r="B73998" s="136"/>
    </row>
    <row r="73999" spans="1:2" x14ac:dyDescent="0.25">
      <c r="A73999" s="118"/>
      <c r="B73999" s="136"/>
    </row>
    <row r="74000" spans="1:2" x14ac:dyDescent="0.25">
      <c r="A74000" s="118"/>
      <c r="B74000" s="136"/>
    </row>
    <row r="74001" spans="1:2" x14ac:dyDescent="0.25">
      <c r="A74001" s="118"/>
      <c r="B74001" s="136"/>
    </row>
    <row r="74002" spans="1:2" x14ac:dyDescent="0.25">
      <c r="A74002" s="118"/>
      <c r="B74002" s="136"/>
    </row>
    <row r="74003" spans="1:2" x14ac:dyDescent="0.25">
      <c r="A74003" s="118"/>
      <c r="B74003" s="136"/>
    </row>
    <row r="74004" spans="1:2" x14ac:dyDescent="0.25">
      <c r="A74004" s="118"/>
      <c r="B74004" s="136"/>
    </row>
    <row r="74005" spans="1:2" x14ac:dyDescent="0.25">
      <c r="A74005" s="118"/>
      <c r="B74005" s="136"/>
    </row>
    <row r="74006" spans="1:2" x14ac:dyDescent="0.25">
      <c r="A74006" s="118"/>
      <c r="B74006" s="136"/>
    </row>
    <row r="74007" spans="1:2" x14ac:dyDescent="0.25">
      <c r="A74007" s="118"/>
      <c r="B74007" s="136"/>
    </row>
    <row r="74008" spans="1:2" x14ac:dyDescent="0.25">
      <c r="A74008" s="118"/>
      <c r="B74008" s="136"/>
    </row>
    <row r="74009" spans="1:2" x14ac:dyDescent="0.25">
      <c r="A74009" s="118"/>
      <c r="B74009" s="136"/>
    </row>
    <row r="74010" spans="1:2" x14ac:dyDescent="0.25">
      <c r="A74010" s="118"/>
      <c r="B74010" s="136"/>
    </row>
    <row r="74011" spans="1:2" x14ac:dyDescent="0.25">
      <c r="A74011" s="118"/>
      <c r="B74011" s="136"/>
    </row>
    <row r="74012" spans="1:2" x14ac:dyDescent="0.25">
      <c r="A74012" s="118"/>
      <c r="B74012" s="136"/>
    </row>
    <row r="74013" spans="1:2" x14ac:dyDescent="0.25">
      <c r="A74013" s="118"/>
      <c r="B74013" s="136"/>
    </row>
    <row r="74014" spans="1:2" x14ac:dyDescent="0.25">
      <c r="A74014" s="118"/>
      <c r="B74014" s="136"/>
    </row>
    <row r="74015" spans="1:2" x14ac:dyDescent="0.25">
      <c r="A74015" s="118"/>
      <c r="B74015" s="136"/>
    </row>
    <row r="74016" spans="1:2" x14ac:dyDescent="0.25">
      <c r="A74016" s="118"/>
      <c r="B74016" s="136"/>
    </row>
    <row r="74017" spans="1:2" x14ac:dyDescent="0.25">
      <c r="A74017" s="118"/>
      <c r="B74017" s="136"/>
    </row>
    <row r="74018" spans="1:2" x14ac:dyDescent="0.25">
      <c r="A74018" s="118"/>
      <c r="B74018" s="136"/>
    </row>
    <row r="74019" spans="1:2" x14ac:dyDescent="0.25">
      <c r="A74019" s="118"/>
      <c r="B74019" s="136"/>
    </row>
    <row r="74020" spans="1:2" x14ac:dyDescent="0.25">
      <c r="A74020" s="118"/>
      <c r="B74020" s="136"/>
    </row>
    <row r="74021" spans="1:2" x14ac:dyDescent="0.25">
      <c r="A74021" s="118"/>
      <c r="B74021" s="136"/>
    </row>
    <row r="74022" spans="1:2" x14ac:dyDescent="0.25">
      <c r="A74022" s="118"/>
      <c r="B74022" s="136"/>
    </row>
    <row r="74023" spans="1:2" x14ac:dyDescent="0.25">
      <c r="A74023" s="118"/>
      <c r="B74023" s="136"/>
    </row>
    <row r="74024" spans="1:2" x14ac:dyDescent="0.25">
      <c r="A74024" s="118"/>
      <c r="B74024" s="136"/>
    </row>
    <row r="74025" spans="1:2" x14ac:dyDescent="0.25">
      <c r="A74025" s="118"/>
      <c r="B74025" s="136"/>
    </row>
    <row r="74026" spans="1:2" x14ac:dyDescent="0.25">
      <c r="A74026" s="118"/>
      <c r="B74026" s="136"/>
    </row>
    <row r="74027" spans="1:2" x14ac:dyDescent="0.25">
      <c r="A74027" s="118"/>
      <c r="B74027" s="136"/>
    </row>
    <row r="74028" spans="1:2" x14ac:dyDescent="0.25">
      <c r="A74028" s="118"/>
      <c r="B74028" s="136"/>
    </row>
    <row r="74029" spans="1:2" x14ac:dyDescent="0.25">
      <c r="A74029" s="118"/>
      <c r="B74029" s="136"/>
    </row>
    <row r="74030" spans="1:2" x14ac:dyDescent="0.25">
      <c r="A74030" s="118"/>
      <c r="B74030" s="136"/>
    </row>
    <row r="74031" spans="1:2" x14ac:dyDescent="0.25">
      <c r="A74031" s="118"/>
      <c r="B74031" s="136"/>
    </row>
    <row r="74032" spans="1:2" x14ac:dyDescent="0.25">
      <c r="A74032" s="118"/>
      <c r="B74032" s="136"/>
    </row>
    <row r="74033" spans="1:2" x14ac:dyDescent="0.25">
      <c r="A74033" s="118"/>
      <c r="B74033" s="136"/>
    </row>
    <row r="74034" spans="1:2" x14ac:dyDescent="0.25">
      <c r="A74034" s="118"/>
      <c r="B74034" s="136"/>
    </row>
    <row r="74035" spans="1:2" x14ac:dyDescent="0.25">
      <c r="A74035" s="118"/>
      <c r="B74035" s="136"/>
    </row>
    <row r="74036" spans="1:2" x14ac:dyDescent="0.25">
      <c r="A74036" s="118"/>
      <c r="B74036" s="136"/>
    </row>
    <row r="74037" spans="1:2" x14ac:dyDescent="0.25">
      <c r="A74037" s="118"/>
      <c r="B74037" s="136"/>
    </row>
    <row r="74038" spans="1:2" x14ac:dyDescent="0.25">
      <c r="A74038" s="118"/>
      <c r="B74038" s="136"/>
    </row>
    <row r="74039" spans="1:2" x14ac:dyDescent="0.25">
      <c r="A74039" s="118"/>
      <c r="B74039" s="136"/>
    </row>
    <row r="74040" spans="1:2" x14ac:dyDescent="0.25">
      <c r="A74040" s="118"/>
      <c r="B74040" s="136"/>
    </row>
    <row r="74041" spans="1:2" x14ac:dyDescent="0.25">
      <c r="A74041" s="118"/>
      <c r="B74041" s="136"/>
    </row>
    <row r="74042" spans="1:2" x14ac:dyDescent="0.25">
      <c r="A74042" s="118"/>
      <c r="B74042" s="136"/>
    </row>
    <row r="74043" spans="1:2" x14ac:dyDescent="0.25">
      <c r="A74043" s="118"/>
      <c r="B74043" s="136"/>
    </row>
    <row r="74044" spans="1:2" x14ac:dyDescent="0.25">
      <c r="A74044" s="118"/>
      <c r="B74044" s="136"/>
    </row>
    <row r="74045" spans="1:2" x14ac:dyDescent="0.25">
      <c r="A74045" s="118"/>
      <c r="B74045" s="136"/>
    </row>
    <row r="74046" spans="1:2" x14ac:dyDescent="0.25">
      <c r="A74046" s="118"/>
      <c r="B74046" s="136"/>
    </row>
    <row r="74047" spans="1:2" x14ac:dyDescent="0.25">
      <c r="A74047" s="118"/>
      <c r="B74047" s="136"/>
    </row>
    <row r="74048" spans="1:2" x14ac:dyDescent="0.25">
      <c r="A74048" s="118"/>
      <c r="B74048" s="136"/>
    </row>
    <row r="74049" spans="1:2" x14ac:dyDescent="0.25">
      <c r="A74049" s="118"/>
      <c r="B74049" s="136"/>
    </row>
    <row r="74050" spans="1:2" x14ac:dyDescent="0.25">
      <c r="A74050" s="118"/>
      <c r="B74050" s="136"/>
    </row>
    <row r="74051" spans="1:2" x14ac:dyDescent="0.25">
      <c r="A74051" s="118"/>
      <c r="B74051" s="136"/>
    </row>
    <row r="74052" spans="1:2" x14ac:dyDescent="0.25">
      <c r="A74052" s="118"/>
      <c r="B74052" s="136"/>
    </row>
    <row r="74053" spans="1:2" x14ac:dyDescent="0.25">
      <c r="A74053" s="118"/>
      <c r="B74053" s="136"/>
    </row>
    <row r="74054" spans="1:2" x14ac:dyDescent="0.25">
      <c r="A74054" s="118"/>
      <c r="B74054" s="136"/>
    </row>
    <row r="74055" spans="1:2" x14ac:dyDescent="0.25">
      <c r="A74055" s="118"/>
      <c r="B74055" s="136"/>
    </row>
    <row r="74056" spans="1:2" x14ac:dyDescent="0.25">
      <c r="A74056" s="118"/>
      <c r="B74056" s="136"/>
    </row>
    <row r="74057" spans="1:2" x14ac:dyDescent="0.25">
      <c r="A74057" s="118"/>
      <c r="B74057" s="136"/>
    </row>
    <row r="74058" spans="1:2" x14ac:dyDescent="0.25">
      <c r="A74058" s="118"/>
      <c r="B74058" s="136"/>
    </row>
    <row r="74059" spans="1:2" x14ac:dyDescent="0.25">
      <c r="A74059" s="118"/>
      <c r="B74059" s="136"/>
    </row>
    <row r="74060" spans="1:2" x14ac:dyDescent="0.25">
      <c r="A74060" s="118"/>
      <c r="B74060" s="136"/>
    </row>
    <row r="74061" spans="1:2" x14ac:dyDescent="0.25">
      <c r="A74061" s="118"/>
      <c r="B74061" s="136"/>
    </row>
    <row r="74062" spans="1:2" x14ac:dyDescent="0.25">
      <c r="A74062" s="118"/>
      <c r="B74062" s="136"/>
    </row>
    <row r="74063" spans="1:2" x14ac:dyDescent="0.25">
      <c r="A74063" s="118"/>
      <c r="B74063" s="136"/>
    </row>
    <row r="74064" spans="1:2" x14ac:dyDescent="0.25">
      <c r="A74064" s="118"/>
      <c r="B74064" s="136"/>
    </row>
    <row r="74065" spans="1:2" x14ac:dyDescent="0.25">
      <c r="A74065" s="118"/>
      <c r="B74065" s="136"/>
    </row>
    <row r="74066" spans="1:2" x14ac:dyDescent="0.25">
      <c r="A74066" s="118"/>
      <c r="B74066" s="136"/>
    </row>
    <row r="74067" spans="1:2" x14ac:dyDescent="0.25">
      <c r="A74067" s="118"/>
      <c r="B74067" s="136"/>
    </row>
    <row r="74068" spans="1:2" x14ac:dyDescent="0.25">
      <c r="A74068" s="118"/>
      <c r="B74068" s="136"/>
    </row>
    <row r="74069" spans="1:2" x14ac:dyDescent="0.25">
      <c r="A74069" s="118"/>
      <c r="B74069" s="136"/>
    </row>
    <row r="74070" spans="1:2" x14ac:dyDescent="0.25">
      <c r="A74070" s="118"/>
      <c r="B74070" s="136"/>
    </row>
    <row r="74071" spans="1:2" x14ac:dyDescent="0.25">
      <c r="A74071" s="118"/>
      <c r="B74071" s="136"/>
    </row>
    <row r="74072" spans="1:2" x14ac:dyDescent="0.25">
      <c r="A74072" s="118"/>
      <c r="B74072" s="136"/>
    </row>
    <row r="74073" spans="1:2" x14ac:dyDescent="0.25">
      <c r="A74073" s="118"/>
      <c r="B74073" s="136"/>
    </row>
    <row r="74074" spans="1:2" x14ac:dyDescent="0.25">
      <c r="A74074" s="118"/>
      <c r="B74074" s="136"/>
    </row>
    <row r="74075" spans="1:2" x14ac:dyDescent="0.25">
      <c r="A74075" s="118"/>
      <c r="B74075" s="136"/>
    </row>
    <row r="74076" spans="1:2" x14ac:dyDescent="0.25">
      <c r="A74076" s="118"/>
      <c r="B74076" s="136"/>
    </row>
    <row r="74077" spans="1:2" x14ac:dyDescent="0.25">
      <c r="A74077" s="118"/>
      <c r="B74077" s="136"/>
    </row>
    <row r="74078" spans="1:2" x14ac:dyDescent="0.25">
      <c r="A74078" s="118"/>
      <c r="B74078" s="136"/>
    </row>
    <row r="74079" spans="1:2" x14ac:dyDescent="0.25">
      <c r="A74079" s="118"/>
      <c r="B74079" s="136"/>
    </row>
    <row r="74080" spans="1:2" x14ac:dyDescent="0.25">
      <c r="A74080" s="118"/>
      <c r="B74080" s="136"/>
    </row>
    <row r="74081" spans="1:2" x14ac:dyDescent="0.25">
      <c r="A74081" s="118"/>
      <c r="B74081" s="136"/>
    </row>
    <row r="74082" spans="1:2" x14ac:dyDescent="0.25">
      <c r="A74082" s="118"/>
      <c r="B74082" s="136"/>
    </row>
    <row r="74083" spans="1:2" x14ac:dyDescent="0.25">
      <c r="A74083" s="118"/>
      <c r="B74083" s="136"/>
    </row>
    <row r="74084" spans="1:2" x14ac:dyDescent="0.25">
      <c r="A74084" s="118"/>
      <c r="B74084" s="136"/>
    </row>
    <row r="74085" spans="1:2" x14ac:dyDescent="0.25">
      <c r="A74085" s="118"/>
      <c r="B74085" s="136"/>
    </row>
    <row r="74086" spans="1:2" x14ac:dyDescent="0.25">
      <c r="A74086" s="118"/>
      <c r="B74086" s="136"/>
    </row>
    <row r="74087" spans="1:2" x14ac:dyDescent="0.25">
      <c r="A74087" s="118"/>
      <c r="B74087" s="136"/>
    </row>
    <row r="74088" spans="1:2" x14ac:dyDescent="0.25">
      <c r="A74088" s="118"/>
      <c r="B74088" s="136"/>
    </row>
    <row r="74089" spans="1:2" x14ac:dyDescent="0.25">
      <c r="A74089" s="118"/>
      <c r="B74089" s="136"/>
    </row>
    <row r="74090" spans="1:2" x14ac:dyDescent="0.25">
      <c r="A74090" s="118"/>
      <c r="B74090" s="136"/>
    </row>
    <row r="74091" spans="1:2" x14ac:dyDescent="0.25">
      <c r="A74091" s="118"/>
      <c r="B74091" s="136"/>
    </row>
    <row r="74092" spans="1:2" x14ac:dyDescent="0.25">
      <c r="A74092" s="118"/>
      <c r="B74092" s="136"/>
    </row>
    <row r="74093" spans="1:2" x14ac:dyDescent="0.25">
      <c r="A74093" s="118"/>
      <c r="B74093" s="136"/>
    </row>
    <row r="74094" spans="1:2" x14ac:dyDescent="0.25">
      <c r="A74094" s="118"/>
      <c r="B74094" s="136"/>
    </row>
    <row r="74095" spans="1:2" x14ac:dyDescent="0.25">
      <c r="A74095" s="118"/>
      <c r="B74095" s="136"/>
    </row>
    <row r="74096" spans="1:2" x14ac:dyDescent="0.25">
      <c r="A74096" s="118"/>
      <c r="B74096" s="136"/>
    </row>
    <row r="74097" spans="1:2" x14ac:dyDescent="0.25">
      <c r="A74097" s="118"/>
      <c r="B74097" s="136"/>
    </row>
    <row r="74098" spans="1:2" x14ac:dyDescent="0.25">
      <c r="A74098" s="118"/>
      <c r="B74098" s="136"/>
    </row>
    <row r="74099" spans="1:2" x14ac:dyDescent="0.25">
      <c r="A74099" s="118"/>
      <c r="B74099" s="136"/>
    </row>
    <row r="74100" spans="1:2" x14ac:dyDescent="0.25">
      <c r="A74100" s="118"/>
      <c r="B74100" s="136"/>
    </row>
    <row r="74101" spans="1:2" x14ac:dyDescent="0.25">
      <c r="A74101" s="118"/>
      <c r="B74101" s="136"/>
    </row>
    <row r="74102" spans="1:2" x14ac:dyDescent="0.25">
      <c r="A74102" s="118"/>
      <c r="B74102" s="136"/>
    </row>
    <row r="74103" spans="1:2" x14ac:dyDescent="0.25">
      <c r="A74103" s="118"/>
      <c r="B74103" s="136"/>
    </row>
    <row r="74104" spans="1:2" x14ac:dyDescent="0.25">
      <c r="A74104" s="118"/>
      <c r="B74104" s="136"/>
    </row>
    <row r="74105" spans="1:2" x14ac:dyDescent="0.25">
      <c r="A74105" s="118"/>
      <c r="B74105" s="136"/>
    </row>
    <row r="74106" spans="1:2" x14ac:dyDescent="0.25">
      <c r="A74106" s="118"/>
      <c r="B74106" s="136"/>
    </row>
    <row r="74107" spans="1:2" x14ac:dyDescent="0.25">
      <c r="A74107" s="118"/>
      <c r="B74107" s="136"/>
    </row>
    <row r="74108" spans="1:2" x14ac:dyDescent="0.25">
      <c r="A74108" s="118"/>
      <c r="B74108" s="136"/>
    </row>
    <row r="74109" spans="1:2" x14ac:dyDescent="0.25">
      <c r="A74109" s="118"/>
      <c r="B74109" s="136"/>
    </row>
    <row r="74110" spans="1:2" x14ac:dyDescent="0.25">
      <c r="A74110" s="118"/>
      <c r="B74110" s="136"/>
    </row>
    <row r="74111" spans="1:2" x14ac:dyDescent="0.25">
      <c r="A74111" s="118"/>
      <c r="B74111" s="136"/>
    </row>
    <row r="74112" spans="1:2" x14ac:dyDescent="0.25">
      <c r="A74112" s="118"/>
      <c r="B74112" s="136"/>
    </row>
    <row r="74113" spans="1:2" x14ac:dyDescent="0.25">
      <c r="A74113" s="118"/>
      <c r="B74113" s="136"/>
    </row>
    <row r="74114" spans="1:2" x14ac:dyDescent="0.25">
      <c r="A74114" s="118"/>
      <c r="B74114" s="136"/>
    </row>
    <row r="74115" spans="1:2" x14ac:dyDescent="0.25">
      <c r="A74115" s="118"/>
      <c r="B74115" s="136"/>
    </row>
    <row r="74116" spans="1:2" x14ac:dyDescent="0.25">
      <c r="A74116" s="118"/>
      <c r="B74116" s="136"/>
    </row>
    <row r="74117" spans="1:2" x14ac:dyDescent="0.25">
      <c r="A74117" s="118"/>
      <c r="B74117" s="136"/>
    </row>
    <row r="74118" spans="1:2" x14ac:dyDescent="0.25">
      <c r="A74118" s="118"/>
      <c r="B74118" s="136"/>
    </row>
    <row r="74119" spans="1:2" x14ac:dyDescent="0.25">
      <c r="A74119" s="118"/>
      <c r="B74119" s="136"/>
    </row>
    <row r="74120" spans="1:2" x14ac:dyDescent="0.25">
      <c r="A74120" s="118"/>
      <c r="B74120" s="136"/>
    </row>
    <row r="74121" spans="1:2" x14ac:dyDescent="0.25">
      <c r="A74121" s="118"/>
      <c r="B74121" s="136"/>
    </row>
    <row r="74122" spans="1:2" x14ac:dyDescent="0.25">
      <c r="A74122" s="118"/>
      <c r="B74122" s="136"/>
    </row>
    <row r="74123" spans="1:2" x14ac:dyDescent="0.25">
      <c r="A74123" s="118"/>
      <c r="B74123" s="136"/>
    </row>
    <row r="74124" spans="1:2" x14ac:dyDescent="0.25">
      <c r="A74124" s="118"/>
      <c r="B74124" s="136"/>
    </row>
    <row r="74125" spans="1:2" x14ac:dyDescent="0.25">
      <c r="A74125" s="118"/>
      <c r="B74125" s="136"/>
    </row>
    <row r="74126" spans="1:2" x14ac:dyDescent="0.25">
      <c r="A74126" s="118"/>
      <c r="B74126" s="136"/>
    </row>
    <row r="74127" spans="1:2" x14ac:dyDescent="0.25">
      <c r="A74127" s="118"/>
      <c r="B74127" s="136"/>
    </row>
    <row r="74128" spans="1:2" x14ac:dyDescent="0.25">
      <c r="A74128" s="118"/>
      <c r="B74128" s="136"/>
    </row>
    <row r="74129" spans="1:2" x14ac:dyDescent="0.25">
      <c r="A74129" s="118"/>
      <c r="B74129" s="136"/>
    </row>
    <row r="74130" spans="1:2" x14ac:dyDescent="0.25">
      <c r="A74130" s="118"/>
      <c r="B74130" s="136"/>
    </row>
    <row r="74131" spans="1:2" x14ac:dyDescent="0.25">
      <c r="A74131" s="118"/>
      <c r="B74131" s="136"/>
    </row>
    <row r="74132" spans="1:2" x14ac:dyDescent="0.25">
      <c r="A74132" s="118"/>
      <c r="B74132" s="136"/>
    </row>
    <row r="74133" spans="1:2" x14ac:dyDescent="0.25">
      <c r="A74133" s="118"/>
      <c r="B74133" s="136"/>
    </row>
    <row r="74134" spans="1:2" x14ac:dyDescent="0.25">
      <c r="A74134" s="118"/>
      <c r="B74134" s="136"/>
    </row>
    <row r="74135" spans="1:2" x14ac:dyDescent="0.25">
      <c r="A74135" s="118"/>
      <c r="B74135" s="136"/>
    </row>
    <row r="74136" spans="1:2" x14ac:dyDescent="0.25">
      <c r="A74136" s="118"/>
      <c r="B74136" s="136"/>
    </row>
    <row r="74137" spans="1:2" x14ac:dyDescent="0.25">
      <c r="A74137" s="118"/>
      <c r="B74137" s="136"/>
    </row>
    <row r="74138" spans="1:2" x14ac:dyDescent="0.25">
      <c r="A74138" s="118"/>
      <c r="B74138" s="136"/>
    </row>
    <row r="74139" spans="1:2" x14ac:dyDescent="0.25">
      <c r="A74139" s="118"/>
      <c r="B74139" s="136"/>
    </row>
    <row r="74140" spans="1:2" x14ac:dyDescent="0.25">
      <c r="A74140" s="118"/>
      <c r="B74140" s="136"/>
    </row>
    <row r="74141" spans="1:2" x14ac:dyDescent="0.25">
      <c r="A74141" s="118"/>
      <c r="B74141" s="136"/>
    </row>
    <row r="74142" spans="1:2" x14ac:dyDescent="0.25">
      <c r="A74142" s="118"/>
      <c r="B74142" s="136"/>
    </row>
    <row r="74143" spans="1:2" x14ac:dyDescent="0.25">
      <c r="A74143" s="118"/>
      <c r="B74143" s="136"/>
    </row>
    <row r="74144" spans="1:2" x14ac:dyDescent="0.25">
      <c r="A74144" s="118"/>
      <c r="B74144" s="136"/>
    </row>
    <row r="74145" spans="1:2" x14ac:dyDescent="0.25">
      <c r="A74145" s="118"/>
      <c r="B74145" s="136"/>
    </row>
    <row r="74146" spans="1:2" x14ac:dyDescent="0.25">
      <c r="A74146" s="118"/>
      <c r="B74146" s="136"/>
    </row>
    <row r="74147" spans="1:2" x14ac:dyDescent="0.25">
      <c r="A74147" s="118"/>
      <c r="B74147" s="136"/>
    </row>
    <row r="74148" spans="1:2" x14ac:dyDescent="0.25">
      <c r="A74148" s="118"/>
      <c r="B74148" s="136"/>
    </row>
    <row r="74149" spans="1:2" x14ac:dyDescent="0.25">
      <c r="A74149" s="118"/>
      <c r="B74149" s="136"/>
    </row>
    <row r="74150" spans="1:2" x14ac:dyDescent="0.25">
      <c r="A74150" s="118"/>
      <c r="B74150" s="136"/>
    </row>
    <row r="74151" spans="1:2" x14ac:dyDescent="0.25">
      <c r="A74151" s="118"/>
      <c r="B74151" s="136"/>
    </row>
    <row r="74152" spans="1:2" x14ac:dyDescent="0.25">
      <c r="A74152" s="118"/>
      <c r="B74152" s="136"/>
    </row>
    <row r="74153" spans="1:2" x14ac:dyDescent="0.25">
      <c r="A74153" s="118"/>
      <c r="B74153" s="136"/>
    </row>
    <row r="74154" spans="1:2" x14ac:dyDescent="0.25">
      <c r="A74154" s="118"/>
      <c r="B74154" s="136"/>
    </row>
    <row r="74155" spans="1:2" x14ac:dyDescent="0.25">
      <c r="A74155" s="118"/>
      <c r="B74155" s="136"/>
    </row>
    <row r="74156" spans="1:2" x14ac:dyDescent="0.25">
      <c r="A74156" s="118"/>
      <c r="B74156" s="136"/>
    </row>
    <row r="74157" spans="1:2" x14ac:dyDescent="0.25">
      <c r="A74157" s="118"/>
      <c r="B74157" s="136"/>
    </row>
    <row r="74158" spans="1:2" x14ac:dyDescent="0.25">
      <c r="A74158" s="118"/>
      <c r="B74158" s="136"/>
    </row>
    <row r="74159" spans="1:2" x14ac:dyDescent="0.25">
      <c r="A74159" s="118"/>
      <c r="B74159" s="136"/>
    </row>
    <row r="74160" spans="1:2" x14ac:dyDescent="0.25">
      <c r="A74160" s="118"/>
      <c r="B74160" s="136"/>
    </row>
    <row r="74161" spans="1:2" x14ac:dyDescent="0.25">
      <c r="A74161" s="118"/>
      <c r="B74161" s="136"/>
    </row>
    <row r="74162" spans="1:2" x14ac:dyDescent="0.25">
      <c r="A74162" s="118"/>
      <c r="B74162" s="136"/>
    </row>
    <row r="74163" spans="1:2" x14ac:dyDescent="0.25">
      <c r="A74163" s="118"/>
      <c r="B74163" s="136"/>
    </row>
    <row r="74164" spans="1:2" x14ac:dyDescent="0.25">
      <c r="A74164" s="118"/>
      <c r="B74164" s="136"/>
    </row>
    <row r="74165" spans="1:2" x14ac:dyDescent="0.25">
      <c r="A74165" s="118"/>
      <c r="B74165" s="136"/>
    </row>
    <row r="74166" spans="1:2" x14ac:dyDescent="0.25">
      <c r="A74166" s="118"/>
      <c r="B74166" s="136"/>
    </row>
    <row r="74167" spans="1:2" x14ac:dyDescent="0.25">
      <c r="A74167" s="118"/>
      <c r="B74167" s="136"/>
    </row>
    <row r="74168" spans="1:2" x14ac:dyDescent="0.25">
      <c r="A74168" s="118"/>
      <c r="B74168" s="136"/>
    </row>
    <row r="74169" spans="1:2" x14ac:dyDescent="0.25">
      <c r="A74169" s="118"/>
      <c r="B74169" s="136"/>
    </row>
    <row r="74170" spans="1:2" x14ac:dyDescent="0.25">
      <c r="A74170" s="118"/>
      <c r="B74170" s="136"/>
    </row>
    <row r="74171" spans="1:2" x14ac:dyDescent="0.25">
      <c r="A74171" s="118"/>
      <c r="B74171" s="136"/>
    </row>
    <row r="74172" spans="1:2" x14ac:dyDescent="0.25">
      <c r="A74172" s="118"/>
      <c r="B74172" s="136"/>
    </row>
    <row r="74173" spans="1:2" x14ac:dyDescent="0.25">
      <c r="A74173" s="118"/>
      <c r="B74173" s="136"/>
    </row>
    <row r="74174" spans="1:2" x14ac:dyDescent="0.25">
      <c r="A74174" s="118"/>
      <c r="B74174" s="136"/>
    </row>
    <row r="74175" spans="1:2" x14ac:dyDescent="0.25">
      <c r="A74175" s="118"/>
      <c r="B74175" s="136"/>
    </row>
    <row r="74176" spans="1:2" x14ac:dyDescent="0.25">
      <c r="A74176" s="118"/>
      <c r="B74176" s="136"/>
    </row>
    <row r="74177" spans="1:2" x14ac:dyDescent="0.25">
      <c r="A74177" s="118"/>
      <c r="B74177" s="136"/>
    </row>
    <row r="74178" spans="1:2" x14ac:dyDescent="0.25">
      <c r="A74178" s="118"/>
      <c r="B74178" s="136"/>
    </row>
    <row r="74179" spans="1:2" x14ac:dyDescent="0.25">
      <c r="A74179" s="118"/>
      <c r="B74179" s="136"/>
    </row>
    <row r="74180" spans="1:2" x14ac:dyDescent="0.25">
      <c r="A74180" s="118"/>
      <c r="B74180" s="136"/>
    </row>
    <row r="74181" spans="1:2" x14ac:dyDescent="0.25">
      <c r="A74181" s="118"/>
      <c r="B74181" s="136"/>
    </row>
    <row r="74182" spans="1:2" x14ac:dyDescent="0.25">
      <c r="A74182" s="118"/>
      <c r="B74182" s="136"/>
    </row>
    <row r="74183" spans="1:2" x14ac:dyDescent="0.25">
      <c r="A74183" s="118"/>
      <c r="B74183" s="136"/>
    </row>
    <row r="74184" spans="1:2" x14ac:dyDescent="0.25">
      <c r="A74184" s="118"/>
      <c r="B74184" s="136"/>
    </row>
    <row r="74185" spans="1:2" x14ac:dyDescent="0.25">
      <c r="A74185" s="118"/>
      <c r="B74185" s="136"/>
    </row>
    <row r="74186" spans="1:2" x14ac:dyDescent="0.25">
      <c r="A74186" s="118"/>
      <c r="B74186" s="136"/>
    </row>
    <row r="74187" spans="1:2" x14ac:dyDescent="0.25">
      <c r="A74187" s="118"/>
      <c r="B74187" s="136"/>
    </row>
    <row r="74188" spans="1:2" x14ac:dyDescent="0.25">
      <c r="A74188" s="118"/>
      <c r="B74188" s="136"/>
    </row>
    <row r="74189" spans="1:2" x14ac:dyDescent="0.25">
      <c r="A74189" s="118"/>
      <c r="B74189" s="136"/>
    </row>
    <row r="74190" spans="1:2" x14ac:dyDescent="0.25">
      <c r="A74190" s="118"/>
      <c r="B74190" s="136"/>
    </row>
    <row r="74191" spans="1:2" x14ac:dyDescent="0.25">
      <c r="A74191" s="118"/>
      <c r="B74191" s="136"/>
    </row>
    <row r="74192" spans="1:2" x14ac:dyDescent="0.25">
      <c r="A74192" s="118"/>
      <c r="B74192" s="136"/>
    </row>
    <row r="74193" spans="1:2" x14ac:dyDescent="0.25">
      <c r="A74193" s="118"/>
      <c r="B74193" s="136"/>
    </row>
    <row r="74194" spans="1:2" x14ac:dyDescent="0.25">
      <c r="A74194" s="118"/>
      <c r="B74194" s="136"/>
    </row>
    <row r="74195" spans="1:2" x14ac:dyDescent="0.25">
      <c r="A74195" s="118"/>
      <c r="B74195" s="136"/>
    </row>
    <row r="74196" spans="1:2" x14ac:dyDescent="0.25">
      <c r="A74196" s="118"/>
      <c r="B74196" s="136"/>
    </row>
    <row r="74197" spans="1:2" x14ac:dyDescent="0.25">
      <c r="A74197" s="118"/>
      <c r="B74197" s="136"/>
    </row>
    <row r="74198" spans="1:2" x14ac:dyDescent="0.25">
      <c r="A74198" s="118"/>
      <c r="B74198" s="136"/>
    </row>
    <row r="74199" spans="1:2" x14ac:dyDescent="0.25">
      <c r="A74199" s="118"/>
      <c r="B74199" s="136"/>
    </row>
    <row r="74200" spans="1:2" x14ac:dyDescent="0.25">
      <c r="A74200" s="118"/>
      <c r="B74200" s="136"/>
    </row>
    <row r="74201" spans="1:2" x14ac:dyDescent="0.25">
      <c r="A74201" s="118"/>
      <c r="B74201" s="136"/>
    </row>
    <row r="74202" spans="1:2" x14ac:dyDescent="0.25">
      <c r="A74202" s="118"/>
      <c r="B74202" s="136"/>
    </row>
    <row r="74203" spans="1:2" x14ac:dyDescent="0.25">
      <c r="A74203" s="118"/>
      <c r="B74203" s="136"/>
    </row>
    <row r="74204" spans="1:2" x14ac:dyDescent="0.25">
      <c r="A74204" s="118"/>
      <c r="B74204" s="136"/>
    </row>
    <row r="74205" spans="1:2" x14ac:dyDescent="0.25">
      <c r="A74205" s="118"/>
      <c r="B74205" s="136"/>
    </row>
    <row r="74206" spans="1:2" x14ac:dyDescent="0.25">
      <c r="A74206" s="118"/>
      <c r="B74206" s="136"/>
    </row>
    <row r="74207" spans="1:2" x14ac:dyDescent="0.25">
      <c r="A74207" s="118"/>
      <c r="B74207" s="136"/>
    </row>
    <row r="74208" spans="1:2" x14ac:dyDescent="0.25">
      <c r="A74208" s="118"/>
      <c r="B74208" s="136"/>
    </row>
    <row r="74209" spans="1:2" x14ac:dyDescent="0.25">
      <c r="A74209" s="118"/>
      <c r="B74209" s="136"/>
    </row>
    <row r="74210" spans="1:2" x14ac:dyDescent="0.25">
      <c r="A74210" s="118"/>
      <c r="B74210" s="136"/>
    </row>
    <row r="74211" spans="1:2" x14ac:dyDescent="0.25">
      <c r="A74211" s="118"/>
      <c r="B74211" s="136"/>
    </row>
    <row r="74212" spans="1:2" x14ac:dyDescent="0.25">
      <c r="A74212" s="118"/>
      <c r="B74212" s="136"/>
    </row>
    <row r="74213" spans="1:2" x14ac:dyDescent="0.25">
      <c r="A74213" s="118"/>
      <c r="B74213" s="136"/>
    </row>
    <row r="74214" spans="1:2" x14ac:dyDescent="0.25">
      <c r="A74214" s="118"/>
      <c r="B74214" s="136"/>
    </row>
    <row r="74215" spans="1:2" x14ac:dyDescent="0.25">
      <c r="A74215" s="118"/>
      <c r="B74215" s="136"/>
    </row>
    <row r="74216" spans="1:2" x14ac:dyDescent="0.25">
      <c r="A74216" s="118"/>
      <c r="B74216" s="136"/>
    </row>
    <row r="74217" spans="1:2" x14ac:dyDescent="0.25">
      <c r="A74217" s="118"/>
      <c r="B74217" s="136"/>
    </row>
    <row r="74218" spans="1:2" x14ac:dyDescent="0.25">
      <c r="A74218" s="118"/>
      <c r="B74218" s="136"/>
    </row>
    <row r="74219" spans="1:2" x14ac:dyDescent="0.25">
      <c r="A74219" s="118"/>
      <c r="B74219" s="136"/>
    </row>
    <row r="74220" spans="1:2" x14ac:dyDescent="0.25">
      <c r="A74220" s="118"/>
      <c r="B74220" s="136"/>
    </row>
    <row r="74221" spans="1:2" x14ac:dyDescent="0.25">
      <c r="A74221" s="118"/>
      <c r="B74221" s="136"/>
    </row>
    <row r="74222" spans="1:2" x14ac:dyDescent="0.25">
      <c r="A74222" s="118"/>
      <c r="B74222" s="136"/>
    </row>
    <row r="74223" spans="1:2" x14ac:dyDescent="0.25">
      <c r="A74223" s="118"/>
      <c r="B74223" s="136"/>
    </row>
    <row r="74224" spans="1:2" x14ac:dyDescent="0.25">
      <c r="A74224" s="118"/>
      <c r="B74224" s="136"/>
    </row>
    <row r="74225" spans="1:2" x14ac:dyDescent="0.25">
      <c r="A74225" s="118"/>
      <c r="B74225" s="136"/>
    </row>
    <row r="74226" spans="1:2" x14ac:dyDescent="0.25">
      <c r="A74226" s="118"/>
      <c r="B74226" s="136"/>
    </row>
    <row r="74227" spans="1:2" x14ac:dyDescent="0.25">
      <c r="A74227" s="118"/>
      <c r="B74227" s="136"/>
    </row>
    <row r="74228" spans="1:2" x14ac:dyDescent="0.25">
      <c r="A74228" s="118"/>
      <c r="B74228" s="136"/>
    </row>
    <row r="74229" spans="1:2" x14ac:dyDescent="0.25">
      <c r="A74229" s="118"/>
      <c r="B74229" s="136"/>
    </row>
    <row r="74230" spans="1:2" x14ac:dyDescent="0.25">
      <c r="A74230" s="118"/>
      <c r="B74230" s="136"/>
    </row>
    <row r="74231" spans="1:2" x14ac:dyDescent="0.25">
      <c r="A74231" s="118"/>
      <c r="B74231" s="136"/>
    </row>
    <row r="74232" spans="1:2" x14ac:dyDescent="0.25">
      <c r="A74232" s="118"/>
      <c r="B74232" s="136"/>
    </row>
    <row r="74233" spans="1:2" x14ac:dyDescent="0.25">
      <c r="A74233" s="118"/>
      <c r="B74233" s="136"/>
    </row>
    <row r="74234" spans="1:2" x14ac:dyDescent="0.25">
      <c r="A74234" s="118"/>
      <c r="B74234" s="136"/>
    </row>
    <row r="74235" spans="1:2" x14ac:dyDescent="0.25">
      <c r="A74235" s="118"/>
      <c r="B74235" s="136"/>
    </row>
    <row r="74236" spans="1:2" x14ac:dyDescent="0.25">
      <c r="A74236" s="118"/>
      <c r="B74236" s="136"/>
    </row>
    <row r="74237" spans="1:2" x14ac:dyDescent="0.25">
      <c r="A74237" s="118"/>
      <c r="B74237" s="136"/>
    </row>
    <row r="74238" spans="1:2" x14ac:dyDescent="0.25">
      <c r="A74238" s="118"/>
      <c r="B74238" s="136"/>
    </row>
    <row r="74239" spans="1:2" x14ac:dyDescent="0.25">
      <c r="A74239" s="118"/>
      <c r="B74239" s="136"/>
    </row>
    <row r="74240" spans="1:2" x14ac:dyDescent="0.25">
      <c r="A74240" s="118"/>
      <c r="B74240" s="136"/>
    </row>
    <row r="74241" spans="1:2" x14ac:dyDescent="0.25">
      <c r="A74241" s="118"/>
      <c r="B74241" s="136"/>
    </row>
    <row r="74242" spans="1:2" x14ac:dyDescent="0.25">
      <c r="A74242" s="118"/>
      <c r="B74242" s="136"/>
    </row>
    <row r="74243" spans="1:2" x14ac:dyDescent="0.25">
      <c r="A74243" s="118"/>
      <c r="B74243" s="136"/>
    </row>
    <row r="74244" spans="1:2" x14ac:dyDescent="0.25">
      <c r="A74244" s="118"/>
      <c r="B74244" s="136"/>
    </row>
    <row r="74245" spans="1:2" x14ac:dyDescent="0.25">
      <c r="A74245" s="118"/>
      <c r="B74245" s="136"/>
    </row>
    <row r="74246" spans="1:2" x14ac:dyDescent="0.25">
      <c r="A74246" s="118"/>
      <c r="B74246" s="136"/>
    </row>
    <row r="74247" spans="1:2" x14ac:dyDescent="0.25">
      <c r="A74247" s="118"/>
      <c r="B74247" s="136"/>
    </row>
    <row r="74248" spans="1:2" x14ac:dyDescent="0.25">
      <c r="A74248" s="118"/>
      <c r="B74248" s="136"/>
    </row>
    <row r="74249" spans="1:2" x14ac:dyDescent="0.25">
      <c r="A74249" s="118"/>
      <c r="B74249" s="136"/>
    </row>
    <row r="74250" spans="1:2" x14ac:dyDescent="0.25">
      <c r="A74250" s="118"/>
      <c r="B74250" s="136"/>
    </row>
    <row r="74251" spans="1:2" x14ac:dyDescent="0.25">
      <c r="A74251" s="118"/>
      <c r="B74251" s="136"/>
    </row>
    <row r="74252" spans="1:2" x14ac:dyDescent="0.25">
      <c r="A74252" s="118"/>
      <c r="B74252" s="136"/>
    </row>
    <row r="74253" spans="1:2" x14ac:dyDescent="0.25">
      <c r="A74253" s="118"/>
      <c r="B74253" s="136"/>
    </row>
    <row r="74254" spans="1:2" x14ac:dyDescent="0.25">
      <c r="A74254" s="118"/>
      <c r="B74254" s="136"/>
    </row>
    <row r="74255" spans="1:2" x14ac:dyDescent="0.25">
      <c r="A74255" s="118"/>
      <c r="B74255" s="136"/>
    </row>
    <row r="74256" spans="1:2" x14ac:dyDescent="0.25">
      <c r="A74256" s="118"/>
      <c r="B74256" s="136"/>
    </row>
    <row r="74257" spans="1:2" x14ac:dyDescent="0.25">
      <c r="A74257" s="118"/>
      <c r="B74257" s="136"/>
    </row>
    <row r="74258" spans="1:2" x14ac:dyDescent="0.25">
      <c r="A74258" s="118"/>
      <c r="B74258" s="136"/>
    </row>
    <row r="74259" spans="1:2" x14ac:dyDescent="0.25">
      <c r="A74259" s="118"/>
      <c r="B74259" s="136"/>
    </row>
    <row r="74260" spans="1:2" x14ac:dyDescent="0.25">
      <c r="A74260" s="118"/>
      <c r="B74260" s="136"/>
    </row>
    <row r="74261" spans="1:2" x14ac:dyDescent="0.25">
      <c r="A74261" s="118"/>
      <c r="B74261" s="136"/>
    </row>
    <row r="74262" spans="1:2" x14ac:dyDescent="0.25">
      <c r="A74262" s="118"/>
      <c r="B74262" s="136"/>
    </row>
    <row r="74263" spans="1:2" x14ac:dyDescent="0.25">
      <c r="A74263" s="118"/>
      <c r="B74263" s="136"/>
    </row>
    <row r="74264" spans="1:2" x14ac:dyDescent="0.25">
      <c r="A74264" s="118"/>
      <c r="B74264" s="136"/>
    </row>
    <row r="74265" spans="1:2" x14ac:dyDescent="0.25">
      <c r="A74265" s="118"/>
      <c r="B74265" s="136"/>
    </row>
    <row r="74266" spans="1:2" x14ac:dyDescent="0.25">
      <c r="A74266" s="118"/>
      <c r="B74266" s="136"/>
    </row>
    <row r="74267" spans="1:2" x14ac:dyDescent="0.25">
      <c r="A74267" s="118"/>
      <c r="B74267" s="136"/>
    </row>
    <row r="74268" spans="1:2" x14ac:dyDescent="0.25">
      <c r="A74268" s="118"/>
      <c r="B74268" s="136"/>
    </row>
    <row r="74269" spans="1:2" x14ac:dyDescent="0.25">
      <c r="A74269" s="118"/>
      <c r="B74269" s="136"/>
    </row>
    <row r="74270" spans="1:2" x14ac:dyDescent="0.25">
      <c r="A74270" s="118"/>
      <c r="B74270" s="136"/>
    </row>
    <row r="74271" spans="1:2" x14ac:dyDescent="0.25">
      <c r="A74271" s="118"/>
      <c r="B74271" s="136"/>
    </row>
    <row r="74272" spans="1:2" x14ac:dyDescent="0.25">
      <c r="A74272" s="118"/>
      <c r="B74272" s="136"/>
    </row>
    <row r="74273" spans="1:2" x14ac:dyDescent="0.25">
      <c r="A74273" s="118"/>
      <c r="B74273" s="136"/>
    </row>
    <row r="74274" spans="1:2" x14ac:dyDescent="0.25">
      <c r="A74274" s="118"/>
      <c r="B74274" s="136"/>
    </row>
    <row r="74275" spans="1:2" x14ac:dyDescent="0.25">
      <c r="A74275" s="118"/>
      <c r="B74275" s="136"/>
    </row>
    <row r="74276" spans="1:2" x14ac:dyDescent="0.25">
      <c r="A74276" s="118"/>
      <c r="B74276" s="136"/>
    </row>
    <row r="74277" spans="1:2" x14ac:dyDescent="0.25">
      <c r="A74277" s="118"/>
      <c r="B74277" s="136"/>
    </row>
    <row r="74278" spans="1:2" x14ac:dyDescent="0.25">
      <c r="A74278" s="118"/>
      <c r="B74278" s="136"/>
    </row>
    <row r="74279" spans="1:2" x14ac:dyDescent="0.25">
      <c r="A74279" s="118"/>
      <c r="B74279" s="136"/>
    </row>
    <row r="74280" spans="1:2" x14ac:dyDescent="0.25">
      <c r="A74280" s="118"/>
      <c r="B74280" s="136"/>
    </row>
    <row r="74281" spans="1:2" x14ac:dyDescent="0.25">
      <c r="A74281" s="118"/>
      <c r="B74281" s="136"/>
    </row>
    <row r="74282" spans="1:2" x14ac:dyDescent="0.25">
      <c r="A74282" s="118"/>
      <c r="B74282" s="136"/>
    </row>
    <row r="74283" spans="1:2" x14ac:dyDescent="0.25">
      <c r="A74283" s="118"/>
      <c r="B74283" s="136"/>
    </row>
    <row r="74284" spans="1:2" x14ac:dyDescent="0.25">
      <c r="A74284" s="118"/>
      <c r="B74284" s="136"/>
    </row>
    <row r="74285" spans="1:2" x14ac:dyDescent="0.25">
      <c r="A74285" s="118"/>
      <c r="B74285" s="136"/>
    </row>
    <row r="74286" spans="1:2" x14ac:dyDescent="0.25">
      <c r="A74286" s="118"/>
      <c r="B74286" s="136"/>
    </row>
    <row r="74287" spans="1:2" x14ac:dyDescent="0.25">
      <c r="A74287" s="118"/>
      <c r="B74287" s="136"/>
    </row>
    <row r="74288" spans="1:2" x14ac:dyDescent="0.25">
      <c r="A74288" s="118"/>
      <c r="B74288" s="136"/>
    </row>
    <row r="74289" spans="1:2" x14ac:dyDescent="0.25">
      <c r="A74289" s="118"/>
      <c r="B74289" s="136"/>
    </row>
    <row r="74290" spans="1:2" x14ac:dyDescent="0.25">
      <c r="A74290" s="118"/>
      <c r="B74290" s="136"/>
    </row>
    <row r="74291" spans="1:2" x14ac:dyDescent="0.25">
      <c r="A74291" s="118"/>
      <c r="B74291" s="136"/>
    </row>
    <row r="74292" spans="1:2" x14ac:dyDescent="0.25">
      <c r="A74292" s="118"/>
      <c r="B74292" s="136"/>
    </row>
    <row r="74293" spans="1:2" x14ac:dyDescent="0.25">
      <c r="A74293" s="118"/>
      <c r="B74293" s="136"/>
    </row>
    <row r="74294" spans="1:2" x14ac:dyDescent="0.25">
      <c r="A74294" s="118"/>
      <c r="B74294" s="136"/>
    </row>
    <row r="74295" spans="1:2" x14ac:dyDescent="0.25">
      <c r="A74295" s="118"/>
      <c r="B74295" s="136"/>
    </row>
    <row r="74296" spans="1:2" x14ac:dyDescent="0.25">
      <c r="A74296" s="118"/>
      <c r="B74296" s="136"/>
    </row>
    <row r="74297" spans="1:2" x14ac:dyDescent="0.25">
      <c r="A74297" s="118"/>
      <c r="B74297" s="136"/>
    </row>
    <row r="74298" spans="1:2" x14ac:dyDescent="0.25">
      <c r="A74298" s="118"/>
      <c r="B74298" s="136"/>
    </row>
    <row r="74299" spans="1:2" x14ac:dyDescent="0.25">
      <c r="A74299" s="118"/>
      <c r="B74299" s="136"/>
    </row>
    <row r="74300" spans="1:2" x14ac:dyDescent="0.25">
      <c r="A74300" s="118"/>
      <c r="B74300" s="136"/>
    </row>
    <row r="74301" spans="1:2" x14ac:dyDescent="0.25">
      <c r="A74301" s="118"/>
      <c r="B74301" s="136"/>
    </row>
    <row r="74302" spans="1:2" x14ac:dyDescent="0.25">
      <c r="A74302" s="118"/>
      <c r="B74302" s="136"/>
    </row>
    <row r="74303" spans="1:2" x14ac:dyDescent="0.25">
      <c r="A74303" s="118"/>
      <c r="B74303" s="136"/>
    </row>
    <row r="74304" spans="1:2" x14ac:dyDescent="0.25">
      <c r="A74304" s="118"/>
      <c r="B74304" s="136"/>
    </row>
    <row r="74305" spans="1:2" x14ac:dyDescent="0.25">
      <c r="A74305" s="118"/>
      <c r="B74305" s="136"/>
    </row>
    <row r="74306" spans="1:2" x14ac:dyDescent="0.25">
      <c r="A74306" s="118"/>
      <c r="B74306" s="136"/>
    </row>
    <row r="74307" spans="1:2" x14ac:dyDescent="0.25">
      <c r="A74307" s="118"/>
      <c r="B74307" s="136"/>
    </row>
    <row r="74308" spans="1:2" x14ac:dyDescent="0.25">
      <c r="A74308" s="118"/>
      <c r="B74308" s="136"/>
    </row>
    <row r="74309" spans="1:2" x14ac:dyDescent="0.25">
      <c r="A74309" s="118"/>
      <c r="B74309" s="136"/>
    </row>
    <row r="74310" spans="1:2" x14ac:dyDescent="0.25">
      <c r="A74310" s="118"/>
      <c r="B74310" s="136"/>
    </row>
    <row r="74311" spans="1:2" x14ac:dyDescent="0.25">
      <c r="A74311" s="118"/>
      <c r="B74311" s="136"/>
    </row>
    <row r="74312" spans="1:2" x14ac:dyDescent="0.25">
      <c r="A74312" s="118"/>
      <c r="B74312" s="136"/>
    </row>
    <row r="74313" spans="1:2" x14ac:dyDescent="0.25">
      <c r="A74313" s="118"/>
      <c r="B74313" s="136"/>
    </row>
    <row r="74314" spans="1:2" x14ac:dyDescent="0.25">
      <c r="A74314" s="118"/>
      <c r="B74314" s="136"/>
    </row>
    <row r="74315" spans="1:2" x14ac:dyDescent="0.25">
      <c r="A74315" s="118"/>
      <c r="B74315" s="136"/>
    </row>
    <row r="74316" spans="1:2" x14ac:dyDescent="0.25">
      <c r="A74316" s="118"/>
      <c r="B74316" s="136"/>
    </row>
    <row r="74317" spans="1:2" x14ac:dyDescent="0.25">
      <c r="A74317" s="118"/>
      <c r="B74317" s="136"/>
    </row>
    <row r="74318" spans="1:2" x14ac:dyDescent="0.25">
      <c r="A74318" s="118"/>
      <c r="B74318" s="136"/>
    </row>
    <row r="74319" spans="1:2" x14ac:dyDescent="0.25">
      <c r="A74319" s="118"/>
      <c r="B74319" s="136"/>
    </row>
    <row r="74320" spans="1:2" x14ac:dyDescent="0.25">
      <c r="A74320" s="118"/>
      <c r="B74320" s="136"/>
    </row>
    <row r="74321" spans="1:2" x14ac:dyDescent="0.25">
      <c r="A74321" s="118"/>
      <c r="B74321" s="136"/>
    </row>
    <row r="74322" spans="1:2" x14ac:dyDescent="0.25">
      <c r="A74322" s="118"/>
      <c r="B74322" s="136"/>
    </row>
    <row r="74323" spans="1:2" x14ac:dyDescent="0.25">
      <c r="A74323" s="118"/>
      <c r="B74323" s="136"/>
    </row>
    <row r="74324" spans="1:2" x14ac:dyDescent="0.25">
      <c r="A74324" s="118"/>
      <c r="B74324" s="136"/>
    </row>
    <row r="74325" spans="1:2" x14ac:dyDescent="0.25">
      <c r="A74325" s="118"/>
      <c r="B74325" s="136"/>
    </row>
    <row r="74326" spans="1:2" x14ac:dyDescent="0.25">
      <c r="A74326" s="118"/>
      <c r="B74326" s="136"/>
    </row>
    <row r="74327" spans="1:2" x14ac:dyDescent="0.25">
      <c r="A74327" s="118"/>
      <c r="B74327" s="136"/>
    </row>
    <row r="74328" spans="1:2" x14ac:dyDescent="0.25">
      <c r="A74328" s="118"/>
      <c r="B74328" s="136"/>
    </row>
    <row r="74329" spans="1:2" x14ac:dyDescent="0.25">
      <c r="A74329" s="118"/>
      <c r="B74329" s="136"/>
    </row>
    <row r="74330" spans="1:2" x14ac:dyDescent="0.25">
      <c r="A74330" s="118"/>
      <c r="B74330" s="136"/>
    </row>
    <row r="74331" spans="1:2" x14ac:dyDescent="0.25">
      <c r="A74331" s="118"/>
      <c r="B74331" s="136"/>
    </row>
    <row r="74332" spans="1:2" x14ac:dyDescent="0.25">
      <c r="A74332" s="118"/>
      <c r="B74332" s="136"/>
    </row>
    <row r="74333" spans="1:2" x14ac:dyDescent="0.25">
      <c r="A74333" s="118"/>
      <c r="B74333" s="136"/>
    </row>
    <row r="74334" spans="1:2" x14ac:dyDescent="0.25">
      <c r="A74334" s="118"/>
      <c r="B74334" s="136"/>
    </row>
    <row r="74335" spans="1:2" x14ac:dyDescent="0.25">
      <c r="A74335" s="118"/>
      <c r="B74335" s="136"/>
    </row>
    <row r="74336" spans="1:2" x14ac:dyDescent="0.25">
      <c r="A74336" s="118"/>
      <c r="B74336" s="136"/>
    </row>
    <row r="74337" spans="1:2" x14ac:dyDescent="0.25">
      <c r="A74337" s="118"/>
      <c r="B74337" s="136"/>
    </row>
    <row r="74338" spans="1:2" x14ac:dyDescent="0.25">
      <c r="A74338" s="118"/>
      <c r="B74338" s="136"/>
    </row>
    <row r="74339" spans="1:2" x14ac:dyDescent="0.25">
      <c r="A74339" s="118"/>
      <c r="B74339" s="136"/>
    </row>
    <row r="74340" spans="1:2" x14ac:dyDescent="0.25">
      <c r="A74340" s="118"/>
      <c r="B74340" s="136"/>
    </row>
    <row r="74341" spans="1:2" x14ac:dyDescent="0.25">
      <c r="A74341" s="118"/>
      <c r="B74341" s="136"/>
    </row>
    <row r="74342" spans="1:2" x14ac:dyDescent="0.25">
      <c r="A74342" s="118"/>
      <c r="B74342" s="136"/>
    </row>
    <row r="74343" spans="1:2" x14ac:dyDescent="0.25">
      <c r="A74343" s="118"/>
      <c r="B74343" s="136"/>
    </row>
    <row r="74344" spans="1:2" x14ac:dyDescent="0.25">
      <c r="A74344" s="118"/>
      <c r="B74344" s="136"/>
    </row>
    <row r="74345" spans="1:2" x14ac:dyDescent="0.25">
      <c r="A74345" s="118"/>
      <c r="B74345" s="136"/>
    </row>
    <row r="74346" spans="1:2" x14ac:dyDescent="0.25">
      <c r="A74346" s="118"/>
      <c r="B74346" s="136"/>
    </row>
    <row r="74347" spans="1:2" x14ac:dyDescent="0.25">
      <c r="A74347" s="118"/>
      <c r="B74347" s="136"/>
    </row>
    <row r="74348" spans="1:2" x14ac:dyDescent="0.25">
      <c r="A74348" s="118"/>
      <c r="B74348" s="136"/>
    </row>
    <row r="74349" spans="1:2" x14ac:dyDescent="0.25">
      <c r="A74349" s="118"/>
      <c r="B74349" s="136"/>
    </row>
    <row r="74350" spans="1:2" x14ac:dyDescent="0.25">
      <c r="A74350" s="118"/>
      <c r="B74350" s="136"/>
    </row>
    <row r="74351" spans="1:2" x14ac:dyDescent="0.25">
      <c r="A74351" s="118"/>
      <c r="B74351" s="136"/>
    </row>
    <row r="74352" spans="1:2" x14ac:dyDescent="0.25">
      <c r="A74352" s="118"/>
      <c r="B74352" s="136"/>
    </row>
    <row r="74353" spans="1:2" x14ac:dyDescent="0.25">
      <c r="A74353" s="118"/>
      <c r="B74353" s="136"/>
    </row>
    <row r="74354" spans="1:2" x14ac:dyDescent="0.25">
      <c r="A74354" s="118"/>
      <c r="B74354" s="136"/>
    </row>
    <row r="74355" spans="1:2" x14ac:dyDescent="0.25">
      <c r="A74355" s="118"/>
      <c r="B74355" s="136"/>
    </row>
    <row r="74356" spans="1:2" x14ac:dyDescent="0.25">
      <c r="A74356" s="118"/>
      <c r="B74356" s="136"/>
    </row>
    <row r="74357" spans="1:2" x14ac:dyDescent="0.25">
      <c r="A74357" s="118"/>
      <c r="B74357" s="136"/>
    </row>
    <row r="74358" spans="1:2" x14ac:dyDescent="0.25">
      <c r="A74358" s="118"/>
      <c r="B74358" s="136"/>
    </row>
    <row r="74359" spans="1:2" x14ac:dyDescent="0.25">
      <c r="A74359" s="118"/>
      <c r="B74359" s="136"/>
    </row>
    <row r="74360" spans="1:2" x14ac:dyDescent="0.25">
      <c r="A74360" s="118"/>
      <c r="B74360" s="136"/>
    </row>
    <row r="74361" spans="1:2" x14ac:dyDescent="0.25">
      <c r="A74361" s="118"/>
      <c r="B74361" s="136"/>
    </row>
    <row r="74362" spans="1:2" x14ac:dyDescent="0.25">
      <c r="A74362" s="118"/>
      <c r="B74362" s="136"/>
    </row>
    <row r="74363" spans="1:2" x14ac:dyDescent="0.25">
      <c r="A74363" s="118"/>
      <c r="B74363" s="136"/>
    </row>
    <row r="74364" spans="1:2" x14ac:dyDescent="0.25">
      <c r="A74364" s="118"/>
      <c r="B74364" s="136"/>
    </row>
    <row r="74365" spans="1:2" x14ac:dyDescent="0.25">
      <c r="A74365" s="118"/>
      <c r="B74365" s="136"/>
    </row>
    <row r="74366" spans="1:2" x14ac:dyDescent="0.25">
      <c r="A74366" s="118"/>
      <c r="B74366" s="136"/>
    </row>
    <row r="74367" spans="1:2" x14ac:dyDescent="0.25">
      <c r="A74367" s="118"/>
      <c r="B74367" s="136"/>
    </row>
    <row r="74368" spans="1:2" x14ac:dyDescent="0.25">
      <c r="A74368" s="118"/>
      <c r="B74368" s="136"/>
    </row>
    <row r="74369" spans="1:2" x14ac:dyDescent="0.25">
      <c r="A74369" s="118"/>
      <c r="B74369" s="136"/>
    </row>
    <row r="74370" spans="1:2" x14ac:dyDescent="0.25">
      <c r="A74370" s="118"/>
      <c r="B74370" s="136"/>
    </row>
    <row r="74371" spans="1:2" x14ac:dyDescent="0.25">
      <c r="A74371" s="118"/>
      <c r="B74371" s="136"/>
    </row>
    <row r="74372" spans="1:2" x14ac:dyDescent="0.25">
      <c r="A74372" s="118"/>
      <c r="B74372" s="136"/>
    </row>
    <row r="74373" spans="1:2" x14ac:dyDescent="0.25">
      <c r="A74373" s="118"/>
      <c r="B74373" s="136"/>
    </row>
    <row r="74374" spans="1:2" x14ac:dyDescent="0.25">
      <c r="A74374" s="118"/>
      <c r="B74374" s="136"/>
    </row>
    <row r="74375" spans="1:2" x14ac:dyDescent="0.25">
      <c r="A74375" s="118"/>
      <c r="B74375" s="136"/>
    </row>
    <row r="74376" spans="1:2" x14ac:dyDescent="0.25">
      <c r="A74376" s="118"/>
      <c r="B74376" s="136"/>
    </row>
    <row r="74377" spans="1:2" x14ac:dyDescent="0.25">
      <c r="A74377" s="118"/>
      <c r="B74377" s="136"/>
    </row>
    <row r="74378" spans="1:2" x14ac:dyDescent="0.25">
      <c r="A74378" s="118"/>
      <c r="B74378" s="136"/>
    </row>
    <row r="74379" spans="1:2" x14ac:dyDescent="0.25">
      <c r="A74379" s="118"/>
      <c r="B74379" s="136"/>
    </row>
    <row r="74380" spans="1:2" x14ac:dyDescent="0.25">
      <c r="A74380" s="118"/>
      <c r="B74380" s="136"/>
    </row>
    <row r="74381" spans="1:2" x14ac:dyDescent="0.25">
      <c r="A74381" s="118"/>
      <c r="B74381" s="136"/>
    </row>
    <row r="74382" spans="1:2" x14ac:dyDescent="0.25">
      <c r="A74382" s="118"/>
      <c r="B74382" s="136"/>
    </row>
    <row r="74383" spans="1:2" x14ac:dyDescent="0.25">
      <c r="A74383" s="118"/>
      <c r="B74383" s="136"/>
    </row>
    <row r="74384" spans="1:2" x14ac:dyDescent="0.25">
      <c r="A74384" s="118"/>
      <c r="B74384" s="136"/>
    </row>
    <row r="74385" spans="1:2" x14ac:dyDescent="0.25">
      <c r="A74385" s="118"/>
      <c r="B74385" s="136"/>
    </row>
    <row r="74386" spans="1:2" x14ac:dyDescent="0.25">
      <c r="A74386" s="118"/>
      <c r="B74386" s="136"/>
    </row>
    <row r="74387" spans="1:2" x14ac:dyDescent="0.25">
      <c r="A74387" s="118"/>
      <c r="B74387" s="136"/>
    </row>
    <row r="74388" spans="1:2" x14ac:dyDescent="0.25">
      <c r="A74388" s="118"/>
      <c r="B74388" s="136"/>
    </row>
    <row r="74389" spans="1:2" x14ac:dyDescent="0.25">
      <c r="A74389" s="118"/>
      <c r="B74389" s="136"/>
    </row>
    <row r="74390" spans="1:2" x14ac:dyDescent="0.25">
      <c r="A74390" s="118"/>
      <c r="B74390" s="136"/>
    </row>
    <row r="74391" spans="1:2" x14ac:dyDescent="0.25">
      <c r="A74391" s="118"/>
      <c r="B74391" s="136"/>
    </row>
    <row r="74392" spans="1:2" x14ac:dyDescent="0.25">
      <c r="A74392" s="118"/>
      <c r="B74392" s="136"/>
    </row>
    <row r="74393" spans="1:2" x14ac:dyDescent="0.25">
      <c r="A74393" s="118"/>
      <c r="B74393" s="136"/>
    </row>
    <row r="74394" spans="1:2" x14ac:dyDescent="0.25">
      <c r="A74394" s="118"/>
      <c r="B74394" s="136"/>
    </row>
    <row r="74395" spans="1:2" x14ac:dyDescent="0.25">
      <c r="A74395" s="118"/>
      <c r="B74395" s="136"/>
    </row>
    <row r="74396" spans="1:2" x14ac:dyDescent="0.25">
      <c r="A74396" s="118"/>
      <c r="B74396" s="136"/>
    </row>
    <row r="74397" spans="1:2" x14ac:dyDescent="0.25">
      <c r="A74397" s="118"/>
      <c r="B74397" s="136"/>
    </row>
    <row r="74398" spans="1:2" x14ac:dyDescent="0.25">
      <c r="A74398" s="118"/>
      <c r="B74398" s="136"/>
    </row>
    <row r="74399" spans="1:2" x14ac:dyDescent="0.25">
      <c r="A74399" s="118"/>
      <c r="B74399" s="136"/>
    </row>
    <row r="74400" spans="1:2" x14ac:dyDescent="0.25">
      <c r="A74400" s="118"/>
      <c r="B74400" s="136"/>
    </row>
    <row r="74401" spans="1:2" x14ac:dyDescent="0.25">
      <c r="A74401" s="118"/>
      <c r="B74401" s="136"/>
    </row>
    <row r="74402" spans="1:2" x14ac:dyDescent="0.25">
      <c r="A74402" s="118"/>
      <c r="B74402" s="136"/>
    </row>
    <row r="74403" spans="1:2" x14ac:dyDescent="0.25">
      <c r="A74403" s="118"/>
      <c r="B74403" s="136"/>
    </row>
    <row r="74404" spans="1:2" x14ac:dyDescent="0.25">
      <c r="A74404" s="118"/>
      <c r="B74404" s="136"/>
    </row>
    <row r="74405" spans="1:2" x14ac:dyDescent="0.25">
      <c r="A74405" s="118"/>
      <c r="B74405" s="136"/>
    </row>
    <row r="74406" spans="1:2" x14ac:dyDescent="0.25">
      <c r="A74406" s="118"/>
      <c r="B74406" s="136"/>
    </row>
    <row r="74407" spans="1:2" x14ac:dyDescent="0.25">
      <c r="A74407" s="118"/>
      <c r="B74407" s="136"/>
    </row>
    <row r="74408" spans="1:2" x14ac:dyDescent="0.25">
      <c r="A74408" s="118"/>
      <c r="B74408" s="136"/>
    </row>
    <row r="74409" spans="1:2" x14ac:dyDescent="0.25">
      <c r="A74409" s="118"/>
      <c r="B74409" s="136"/>
    </row>
    <row r="74410" spans="1:2" x14ac:dyDescent="0.25">
      <c r="A74410" s="118"/>
      <c r="B74410" s="136"/>
    </row>
    <row r="74411" spans="1:2" x14ac:dyDescent="0.25">
      <c r="A74411" s="118"/>
      <c r="B74411" s="136"/>
    </row>
    <row r="74412" spans="1:2" x14ac:dyDescent="0.25">
      <c r="A74412" s="118"/>
      <c r="B74412" s="136"/>
    </row>
    <row r="74413" spans="1:2" x14ac:dyDescent="0.25">
      <c r="A74413" s="118"/>
      <c r="B74413" s="136"/>
    </row>
    <row r="74414" spans="1:2" x14ac:dyDescent="0.25">
      <c r="A74414" s="118"/>
      <c r="B74414" s="136"/>
    </row>
    <row r="74415" spans="1:2" x14ac:dyDescent="0.25">
      <c r="A74415" s="118"/>
      <c r="B74415" s="136"/>
    </row>
    <row r="74416" spans="1:2" x14ac:dyDescent="0.25">
      <c r="A74416" s="118"/>
      <c r="B74416" s="136"/>
    </row>
    <row r="74417" spans="1:2" x14ac:dyDescent="0.25">
      <c r="A74417" s="118"/>
      <c r="B74417" s="136"/>
    </row>
    <row r="74418" spans="1:2" x14ac:dyDescent="0.25">
      <c r="A74418" s="118"/>
      <c r="B74418" s="136"/>
    </row>
    <row r="74419" spans="1:2" x14ac:dyDescent="0.25">
      <c r="A74419" s="118"/>
      <c r="B74419" s="136"/>
    </row>
    <row r="74420" spans="1:2" x14ac:dyDescent="0.25">
      <c r="A74420" s="118"/>
      <c r="B74420" s="136"/>
    </row>
    <row r="74421" spans="1:2" x14ac:dyDescent="0.25">
      <c r="A74421" s="118"/>
      <c r="B74421" s="136"/>
    </row>
    <row r="74422" spans="1:2" x14ac:dyDescent="0.25">
      <c r="A74422" s="118"/>
      <c r="B74422" s="136"/>
    </row>
    <row r="74423" spans="1:2" x14ac:dyDescent="0.25">
      <c r="A74423" s="118"/>
      <c r="B74423" s="136"/>
    </row>
    <row r="74424" spans="1:2" x14ac:dyDescent="0.25">
      <c r="A74424" s="118"/>
      <c r="B74424" s="136"/>
    </row>
    <row r="74425" spans="1:2" x14ac:dyDescent="0.25">
      <c r="A74425" s="118"/>
      <c r="B74425" s="136"/>
    </row>
    <row r="74426" spans="1:2" x14ac:dyDescent="0.25">
      <c r="A74426" s="118"/>
      <c r="B74426" s="136"/>
    </row>
    <row r="74427" spans="1:2" x14ac:dyDescent="0.25">
      <c r="A74427" s="118"/>
      <c r="B74427" s="136"/>
    </row>
    <row r="74428" spans="1:2" x14ac:dyDescent="0.25">
      <c r="A74428" s="118"/>
      <c r="B74428" s="136"/>
    </row>
    <row r="74429" spans="1:2" x14ac:dyDescent="0.25">
      <c r="A74429" s="118"/>
      <c r="B74429" s="136"/>
    </row>
    <row r="74430" spans="1:2" x14ac:dyDescent="0.25">
      <c r="A74430" s="118"/>
      <c r="B74430" s="136"/>
    </row>
    <row r="74431" spans="1:2" x14ac:dyDescent="0.25">
      <c r="A74431" s="118"/>
      <c r="B74431" s="136"/>
    </row>
    <row r="74432" spans="1:2" x14ac:dyDescent="0.25">
      <c r="A74432" s="118"/>
      <c r="B74432" s="136"/>
    </row>
    <row r="74433" spans="1:2" x14ac:dyDescent="0.25">
      <c r="A74433" s="118"/>
      <c r="B74433" s="136"/>
    </row>
    <row r="74434" spans="1:2" x14ac:dyDescent="0.25">
      <c r="A74434" s="118"/>
      <c r="B74434" s="136"/>
    </row>
    <row r="74435" spans="1:2" x14ac:dyDescent="0.25">
      <c r="A74435" s="118"/>
      <c r="B74435" s="136"/>
    </row>
    <row r="74436" spans="1:2" x14ac:dyDescent="0.25">
      <c r="A74436" s="118"/>
      <c r="B74436" s="136"/>
    </row>
    <row r="74437" spans="1:2" x14ac:dyDescent="0.25">
      <c r="A74437" s="118"/>
      <c r="B74437" s="136"/>
    </row>
    <row r="74438" spans="1:2" x14ac:dyDescent="0.25">
      <c r="A74438" s="118"/>
      <c r="B74438" s="136"/>
    </row>
    <row r="74439" spans="1:2" x14ac:dyDescent="0.25">
      <c r="A74439" s="118"/>
      <c r="B74439" s="136"/>
    </row>
    <row r="74440" spans="1:2" x14ac:dyDescent="0.25">
      <c r="A74440" s="118"/>
      <c r="B74440" s="136"/>
    </row>
    <row r="74441" spans="1:2" x14ac:dyDescent="0.25">
      <c r="A74441" s="118"/>
      <c r="B74441" s="136"/>
    </row>
    <row r="74442" spans="1:2" x14ac:dyDescent="0.25">
      <c r="A74442" s="118"/>
      <c r="B74442" s="136"/>
    </row>
    <row r="74443" spans="1:2" x14ac:dyDescent="0.25">
      <c r="A74443" s="118"/>
      <c r="B74443" s="136"/>
    </row>
    <row r="74444" spans="1:2" x14ac:dyDescent="0.25">
      <c r="A74444" s="118"/>
      <c r="B74444" s="136"/>
    </row>
    <row r="74445" spans="1:2" x14ac:dyDescent="0.25">
      <c r="A74445" s="118"/>
      <c r="B74445" s="136"/>
    </row>
    <row r="74446" spans="1:2" x14ac:dyDescent="0.25">
      <c r="A74446" s="118"/>
      <c r="B74446" s="136"/>
    </row>
    <row r="74447" spans="1:2" x14ac:dyDescent="0.25">
      <c r="A74447" s="118"/>
      <c r="B74447" s="136"/>
    </row>
    <row r="74448" spans="1:2" x14ac:dyDescent="0.25">
      <c r="A74448" s="118"/>
      <c r="B74448" s="136"/>
    </row>
    <row r="74449" spans="1:2" x14ac:dyDescent="0.25">
      <c r="A74449" s="118"/>
      <c r="B74449" s="136"/>
    </row>
    <row r="74450" spans="1:2" x14ac:dyDescent="0.25">
      <c r="A74450" s="118"/>
      <c r="B74450" s="136"/>
    </row>
    <row r="74451" spans="1:2" x14ac:dyDescent="0.25">
      <c r="A74451" s="118"/>
      <c r="B74451" s="136"/>
    </row>
    <row r="74452" spans="1:2" x14ac:dyDescent="0.25">
      <c r="A74452" s="118"/>
      <c r="B74452" s="136"/>
    </row>
    <row r="74453" spans="1:2" x14ac:dyDescent="0.25">
      <c r="A74453" s="118"/>
      <c r="B74453" s="136"/>
    </row>
    <row r="74454" spans="1:2" x14ac:dyDescent="0.25">
      <c r="A74454" s="118"/>
      <c r="B74454" s="136"/>
    </row>
    <row r="74455" spans="1:2" x14ac:dyDescent="0.25">
      <c r="A74455" s="118"/>
      <c r="B74455" s="136"/>
    </row>
    <row r="74456" spans="1:2" x14ac:dyDescent="0.25">
      <c r="A74456" s="118"/>
      <c r="B74456" s="136"/>
    </row>
    <row r="74457" spans="1:2" x14ac:dyDescent="0.25">
      <c r="A74457" s="118"/>
      <c r="B74457" s="136"/>
    </row>
    <row r="74458" spans="1:2" x14ac:dyDescent="0.25">
      <c r="A74458" s="118"/>
      <c r="B74458" s="136"/>
    </row>
    <row r="74459" spans="1:2" x14ac:dyDescent="0.25">
      <c r="A74459" s="118"/>
      <c r="B74459" s="136"/>
    </row>
    <row r="74460" spans="1:2" x14ac:dyDescent="0.25">
      <c r="A74460" s="118"/>
      <c r="B74460" s="136"/>
    </row>
    <row r="74461" spans="1:2" x14ac:dyDescent="0.25">
      <c r="A74461" s="118"/>
      <c r="B74461" s="136"/>
    </row>
    <row r="74462" spans="1:2" x14ac:dyDescent="0.25">
      <c r="A74462" s="118"/>
      <c r="B74462" s="136"/>
    </row>
    <row r="74463" spans="1:2" x14ac:dyDescent="0.25">
      <c r="A74463" s="118"/>
      <c r="B74463" s="136"/>
    </row>
    <row r="74464" spans="1:2" x14ac:dyDescent="0.25">
      <c r="A74464" s="118"/>
      <c r="B74464" s="136"/>
    </row>
    <row r="74465" spans="1:2" x14ac:dyDescent="0.25">
      <c r="A74465" s="118"/>
      <c r="B74465" s="136"/>
    </row>
    <row r="74466" spans="1:2" x14ac:dyDescent="0.25">
      <c r="A74466" s="118"/>
      <c r="B74466" s="136"/>
    </row>
    <row r="74467" spans="1:2" x14ac:dyDescent="0.25">
      <c r="A74467" s="118"/>
      <c r="B74467" s="136"/>
    </row>
    <row r="74468" spans="1:2" x14ac:dyDescent="0.25">
      <c r="A74468" s="118"/>
      <c r="B74468" s="136"/>
    </row>
    <row r="74469" spans="1:2" x14ac:dyDescent="0.25">
      <c r="A74469" s="118"/>
      <c r="B74469" s="136"/>
    </row>
    <row r="74470" spans="1:2" x14ac:dyDescent="0.25">
      <c r="A74470" s="118"/>
      <c r="B74470" s="136"/>
    </row>
    <row r="74471" spans="1:2" x14ac:dyDescent="0.25">
      <c r="A74471" s="118"/>
      <c r="B74471" s="136"/>
    </row>
    <row r="74472" spans="1:2" x14ac:dyDescent="0.25">
      <c r="A74472" s="118"/>
      <c r="B74472" s="136"/>
    </row>
    <row r="74473" spans="1:2" x14ac:dyDescent="0.25">
      <c r="A74473" s="118"/>
      <c r="B74473" s="136"/>
    </row>
    <row r="74474" spans="1:2" x14ac:dyDescent="0.25">
      <c r="A74474" s="118"/>
      <c r="B74474" s="136"/>
    </row>
    <row r="74475" spans="1:2" x14ac:dyDescent="0.25">
      <c r="A74475" s="118"/>
      <c r="B74475" s="136"/>
    </row>
    <row r="74476" spans="1:2" x14ac:dyDescent="0.25">
      <c r="A74476" s="118"/>
      <c r="B74476" s="136"/>
    </row>
    <row r="74477" spans="1:2" x14ac:dyDescent="0.25">
      <c r="A74477" s="118"/>
      <c r="B74477" s="136"/>
    </row>
    <row r="74478" spans="1:2" x14ac:dyDescent="0.25">
      <c r="A74478" s="118"/>
      <c r="B74478" s="136"/>
    </row>
    <row r="74479" spans="1:2" x14ac:dyDescent="0.25">
      <c r="A74479" s="118"/>
      <c r="B74479" s="136"/>
    </row>
    <row r="74480" spans="1:2" x14ac:dyDescent="0.25">
      <c r="A74480" s="118"/>
      <c r="B74480" s="136"/>
    </row>
    <row r="74481" spans="1:2" x14ac:dyDescent="0.25">
      <c r="A74481" s="118"/>
      <c r="B74481" s="136"/>
    </row>
    <row r="74482" spans="1:2" x14ac:dyDescent="0.25">
      <c r="A74482" s="118"/>
      <c r="B74482" s="136"/>
    </row>
    <row r="74483" spans="1:2" x14ac:dyDescent="0.25">
      <c r="A74483" s="118"/>
      <c r="B74483" s="136"/>
    </row>
    <row r="74484" spans="1:2" x14ac:dyDescent="0.25">
      <c r="A74484" s="118"/>
      <c r="B74484" s="136"/>
    </row>
    <row r="74485" spans="1:2" x14ac:dyDescent="0.25">
      <c r="A74485" s="118"/>
      <c r="B74485" s="136"/>
    </row>
    <row r="74486" spans="1:2" x14ac:dyDescent="0.25">
      <c r="A74486" s="118"/>
      <c r="B74486" s="136"/>
    </row>
    <row r="74487" spans="1:2" x14ac:dyDescent="0.25">
      <c r="A74487" s="118"/>
      <c r="B74487" s="136"/>
    </row>
    <row r="74488" spans="1:2" x14ac:dyDescent="0.25">
      <c r="A74488" s="118"/>
      <c r="B74488" s="136"/>
    </row>
    <row r="74489" spans="1:2" x14ac:dyDescent="0.25">
      <c r="A74489" s="118"/>
      <c r="B74489" s="136"/>
    </row>
    <row r="74490" spans="1:2" x14ac:dyDescent="0.25">
      <c r="A74490" s="118"/>
      <c r="B74490" s="136"/>
    </row>
    <row r="74491" spans="1:2" x14ac:dyDescent="0.25">
      <c r="A74491" s="118"/>
      <c r="B74491" s="136"/>
    </row>
    <row r="74492" spans="1:2" x14ac:dyDescent="0.25">
      <c r="A74492" s="118"/>
      <c r="B74492" s="136"/>
    </row>
    <row r="74493" spans="1:2" x14ac:dyDescent="0.25">
      <c r="A74493" s="118"/>
      <c r="B74493" s="136"/>
    </row>
    <row r="74494" spans="1:2" x14ac:dyDescent="0.25">
      <c r="A74494" s="118"/>
      <c r="B74494" s="136"/>
    </row>
    <row r="74495" spans="1:2" x14ac:dyDescent="0.25">
      <c r="A74495" s="118"/>
      <c r="B74495" s="136"/>
    </row>
    <row r="74496" spans="1:2" x14ac:dyDescent="0.25">
      <c r="A74496" s="118"/>
      <c r="B74496" s="136"/>
    </row>
    <row r="74497" spans="1:2" x14ac:dyDescent="0.25">
      <c r="A74497" s="118"/>
      <c r="B74497" s="136"/>
    </row>
    <row r="74498" spans="1:2" x14ac:dyDescent="0.25">
      <c r="A74498" s="118"/>
      <c r="B74498" s="136"/>
    </row>
    <row r="74499" spans="1:2" x14ac:dyDescent="0.25">
      <c r="A74499" s="118"/>
      <c r="B74499" s="136"/>
    </row>
    <row r="74500" spans="1:2" x14ac:dyDescent="0.25">
      <c r="A74500" s="118"/>
      <c r="B74500" s="136"/>
    </row>
    <row r="74501" spans="1:2" x14ac:dyDescent="0.25">
      <c r="A74501" s="118"/>
      <c r="B74501" s="136"/>
    </row>
    <row r="74502" spans="1:2" x14ac:dyDescent="0.25">
      <c r="A74502" s="118"/>
      <c r="B74502" s="136"/>
    </row>
    <row r="74503" spans="1:2" x14ac:dyDescent="0.25">
      <c r="A74503" s="118"/>
      <c r="B74503" s="136"/>
    </row>
    <row r="74504" spans="1:2" x14ac:dyDescent="0.25">
      <c r="A74504" s="118"/>
      <c r="B74504" s="136"/>
    </row>
    <row r="74505" spans="1:2" x14ac:dyDescent="0.25">
      <c r="A74505" s="118"/>
      <c r="B74505" s="136"/>
    </row>
    <row r="74506" spans="1:2" x14ac:dyDescent="0.25">
      <c r="A74506" s="118"/>
      <c r="B74506" s="136"/>
    </row>
    <row r="74507" spans="1:2" x14ac:dyDescent="0.25">
      <c r="A74507" s="118"/>
      <c r="B74507" s="136"/>
    </row>
    <row r="74508" spans="1:2" x14ac:dyDescent="0.25">
      <c r="A74508" s="118"/>
      <c r="B74508" s="136"/>
    </row>
    <row r="74509" spans="1:2" x14ac:dyDescent="0.25">
      <c r="A74509" s="118"/>
      <c r="B74509" s="136"/>
    </row>
    <row r="74510" spans="1:2" x14ac:dyDescent="0.25">
      <c r="A74510" s="118"/>
      <c r="B74510" s="136"/>
    </row>
    <row r="74511" spans="1:2" x14ac:dyDescent="0.25">
      <c r="A74511" s="118"/>
      <c r="B74511" s="136"/>
    </row>
    <row r="74512" spans="1:2" x14ac:dyDescent="0.25">
      <c r="A74512" s="118"/>
      <c r="B74512" s="136"/>
    </row>
    <row r="74513" spans="1:2" x14ac:dyDescent="0.25">
      <c r="A74513" s="118"/>
      <c r="B74513" s="136"/>
    </row>
    <row r="74514" spans="1:2" x14ac:dyDescent="0.25">
      <c r="A74514" s="118"/>
      <c r="B74514" s="136"/>
    </row>
    <row r="74515" spans="1:2" x14ac:dyDescent="0.25">
      <c r="A74515" s="118"/>
      <c r="B74515" s="136"/>
    </row>
    <row r="74516" spans="1:2" x14ac:dyDescent="0.25">
      <c r="A74516" s="118"/>
      <c r="B74516" s="136"/>
    </row>
    <row r="74517" spans="1:2" x14ac:dyDescent="0.25">
      <c r="A74517" s="118"/>
      <c r="B74517" s="136"/>
    </row>
    <row r="74518" spans="1:2" x14ac:dyDescent="0.25">
      <c r="A74518" s="118"/>
      <c r="B74518" s="136"/>
    </row>
    <row r="74519" spans="1:2" x14ac:dyDescent="0.25">
      <c r="A74519" s="118"/>
      <c r="B74519" s="136"/>
    </row>
    <row r="74520" spans="1:2" x14ac:dyDescent="0.25">
      <c r="A74520" s="118"/>
      <c r="B74520" s="136"/>
    </row>
    <row r="74521" spans="1:2" x14ac:dyDescent="0.25">
      <c r="A74521" s="118"/>
      <c r="B74521" s="136"/>
    </row>
    <row r="74522" spans="1:2" x14ac:dyDescent="0.25">
      <c r="A74522" s="118"/>
      <c r="B74522" s="136"/>
    </row>
    <row r="74523" spans="1:2" x14ac:dyDescent="0.25">
      <c r="A74523" s="118"/>
      <c r="B74523" s="136"/>
    </row>
    <row r="74524" spans="1:2" x14ac:dyDescent="0.25">
      <c r="A74524" s="118"/>
      <c r="B74524" s="136"/>
    </row>
    <row r="74525" spans="1:2" x14ac:dyDescent="0.25">
      <c r="A74525" s="118"/>
      <c r="B74525" s="136"/>
    </row>
    <row r="74526" spans="1:2" x14ac:dyDescent="0.25">
      <c r="A74526" s="118"/>
      <c r="B74526" s="136"/>
    </row>
    <row r="74527" spans="1:2" x14ac:dyDescent="0.25">
      <c r="A74527" s="118"/>
      <c r="B74527" s="136"/>
    </row>
    <row r="74528" spans="1:2" x14ac:dyDescent="0.25">
      <c r="A74528" s="118"/>
      <c r="B74528" s="136"/>
    </row>
    <row r="74529" spans="1:2" x14ac:dyDescent="0.25">
      <c r="A74529" s="118"/>
      <c r="B74529" s="136"/>
    </row>
    <row r="74530" spans="1:2" x14ac:dyDescent="0.25">
      <c r="A74530" s="118"/>
      <c r="B74530" s="136"/>
    </row>
    <row r="74531" spans="1:2" x14ac:dyDescent="0.25">
      <c r="A74531" s="118"/>
      <c r="B74531" s="136"/>
    </row>
    <row r="74532" spans="1:2" x14ac:dyDescent="0.25">
      <c r="A74532" s="118"/>
      <c r="B74532" s="136"/>
    </row>
    <row r="74533" spans="1:2" x14ac:dyDescent="0.25">
      <c r="A74533" s="118"/>
      <c r="B74533" s="136"/>
    </row>
    <row r="74534" spans="1:2" x14ac:dyDescent="0.25">
      <c r="A74534" s="118"/>
      <c r="B74534" s="136"/>
    </row>
    <row r="74535" spans="1:2" x14ac:dyDescent="0.25">
      <c r="A74535" s="118"/>
      <c r="B74535" s="136"/>
    </row>
    <row r="74536" spans="1:2" x14ac:dyDescent="0.25">
      <c r="A74536" s="118"/>
      <c r="B74536" s="136"/>
    </row>
    <row r="74537" spans="1:2" x14ac:dyDescent="0.25">
      <c r="A74537" s="118"/>
      <c r="B74537" s="136"/>
    </row>
    <row r="74538" spans="1:2" x14ac:dyDescent="0.25">
      <c r="A74538" s="118"/>
      <c r="B74538" s="136"/>
    </row>
    <row r="74539" spans="1:2" x14ac:dyDescent="0.25">
      <c r="A74539" s="118"/>
      <c r="B74539" s="136"/>
    </row>
    <row r="74540" spans="1:2" x14ac:dyDescent="0.25">
      <c r="A74540" s="118"/>
      <c r="B74540" s="136"/>
    </row>
    <row r="74541" spans="1:2" x14ac:dyDescent="0.25">
      <c r="A74541" s="118"/>
      <c r="B74541" s="136"/>
    </row>
    <row r="74542" spans="1:2" x14ac:dyDescent="0.25">
      <c r="A74542" s="118"/>
      <c r="B74542" s="136"/>
    </row>
    <row r="74543" spans="1:2" x14ac:dyDescent="0.25">
      <c r="A74543" s="118"/>
      <c r="B74543" s="136"/>
    </row>
    <row r="74544" spans="1:2" x14ac:dyDescent="0.25">
      <c r="A74544" s="118"/>
      <c r="B74544" s="136"/>
    </row>
    <row r="74545" spans="1:2" x14ac:dyDescent="0.25">
      <c r="A74545" s="118"/>
      <c r="B74545" s="136"/>
    </row>
    <row r="74546" spans="1:2" x14ac:dyDescent="0.25">
      <c r="A74546" s="118"/>
      <c r="B74546" s="136"/>
    </row>
    <row r="74547" spans="1:2" x14ac:dyDescent="0.25">
      <c r="A74547" s="118"/>
      <c r="B74547" s="136"/>
    </row>
    <row r="74548" spans="1:2" x14ac:dyDescent="0.25">
      <c r="A74548" s="118"/>
      <c r="B74548" s="136"/>
    </row>
    <row r="74549" spans="1:2" x14ac:dyDescent="0.25">
      <c r="A74549" s="118"/>
      <c r="B74549" s="136"/>
    </row>
    <row r="74550" spans="1:2" x14ac:dyDescent="0.25">
      <c r="A74550" s="118"/>
      <c r="B74550" s="136"/>
    </row>
    <row r="74551" spans="1:2" x14ac:dyDescent="0.25">
      <c r="A74551" s="118"/>
      <c r="B74551" s="136"/>
    </row>
    <row r="74552" spans="1:2" x14ac:dyDescent="0.25">
      <c r="A74552" s="118"/>
      <c r="B74552" s="136"/>
    </row>
    <row r="74553" spans="1:2" x14ac:dyDescent="0.25">
      <c r="A74553" s="118"/>
      <c r="B74553" s="136"/>
    </row>
    <row r="74554" spans="1:2" x14ac:dyDescent="0.25">
      <c r="A74554" s="118"/>
      <c r="B74554" s="136"/>
    </row>
    <row r="74555" spans="1:2" x14ac:dyDescent="0.25">
      <c r="A74555" s="118"/>
      <c r="B74555" s="136"/>
    </row>
    <row r="74556" spans="1:2" x14ac:dyDescent="0.25">
      <c r="A74556" s="118"/>
      <c r="B74556" s="136"/>
    </row>
    <row r="74557" spans="1:2" x14ac:dyDescent="0.25">
      <c r="A74557" s="118"/>
      <c r="B74557" s="136"/>
    </row>
    <row r="74558" spans="1:2" x14ac:dyDescent="0.25">
      <c r="A74558" s="118"/>
      <c r="B74558" s="136"/>
    </row>
    <row r="74559" spans="1:2" x14ac:dyDescent="0.25">
      <c r="A74559" s="118"/>
      <c r="B74559" s="136"/>
    </row>
    <row r="74560" spans="1:2" x14ac:dyDescent="0.25">
      <c r="A74560" s="118"/>
      <c r="B74560" s="136"/>
    </row>
    <row r="74561" spans="1:2" x14ac:dyDescent="0.25">
      <c r="A74561" s="118"/>
      <c r="B74561" s="136"/>
    </row>
    <row r="74562" spans="1:2" x14ac:dyDescent="0.25">
      <c r="A74562" s="118"/>
      <c r="B74562" s="136"/>
    </row>
    <row r="74563" spans="1:2" x14ac:dyDescent="0.25">
      <c r="A74563" s="118"/>
      <c r="B74563" s="136"/>
    </row>
    <row r="74564" spans="1:2" x14ac:dyDescent="0.25">
      <c r="A74564" s="118"/>
      <c r="B74564" s="136"/>
    </row>
    <row r="74565" spans="1:2" x14ac:dyDescent="0.25">
      <c r="A74565" s="118"/>
      <c r="B74565" s="136"/>
    </row>
    <row r="74566" spans="1:2" x14ac:dyDescent="0.25">
      <c r="A74566" s="118"/>
      <c r="B74566" s="136"/>
    </row>
    <row r="74567" spans="1:2" x14ac:dyDescent="0.25">
      <c r="A74567" s="118"/>
      <c r="B74567" s="136"/>
    </row>
    <row r="74568" spans="1:2" x14ac:dyDescent="0.25">
      <c r="A74568" s="118"/>
      <c r="B74568" s="136"/>
    </row>
    <row r="74569" spans="1:2" x14ac:dyDescent="0.25">
      <c r="A74569" s="118"/>
      <c r="B74569" s="136"/>
    </row>
    <row r="74570" spans="1:2" x14ac:dyDescent="0.25">
      <c r="A74570" s="118"/>
      <c r="B74570" s="136"/>
    </row>
    <row r="74571" spans="1:2" x14ac:dyDescent="0.25">
      <c r="A74571" s="118"/>
      <c r="B74571" s="136"/>
    </row>
    <row r="74572" spans="1:2" x14ac:dyDescent="0.25">
      <c r="A74572" s="118"/>
      <c r="B74572" s="136"/>
    </row>
    <row r="74573" spans="1:2" x14ac:dyDescent="0.25">
      <c r="A74573" s="118"/>
      <c r="B74573" s="136"/>
    </row>
    <row r="74574" spans="1:2" x14ac:dyDescent="0.25">
      <c r="A74574" s="118"/>
      <c r="B74574" s="136"/>
    </row>
    <row r="74575" spans="1:2" x14ac:dyDescent="0.25">
      <c r="A74575" s="118"/>
      <c r="B74575" s="136"/>
    </row>
    <row r="74576" spans="1:2" x14ac:dyDescent="0.25">
      <c r="A74576" s="118"/>
      <c r="B74576" s="136"/>
    </row>
    <row r="74577" spans="1:2" x14ac:dyDescent="0.25">
      <c r="A74577" s="118"/>
      <c r="B74577" s="136"/>
    </row>
    <row r="74578" spans="1:2" x14ac:dyDescent="0.25">
      <c r="A74578" s="118"/>
      <c r="B74578" s="136"/>
    </row>
    <row r="74579" spans="1:2" x14ac:dyDescent="0.25">
      <c r="A74579" s="118"/>
      <c r="B74579" s="136"/>
    </row>
    <row r="74580" spans="1:2" x14ac:dyDescent="0.25">
      <c r="A74580" s="118"/>
      <c r="B74580" s="136"/>
    </row>
    <row r="74581" spans="1:2" x14ac:dyDescent="0.25">
      <c r="A74581" s="118"/>
      <c r="B74581" s="136"/>
    </row>
    <row r="74582" spans="1:2" x14ac:dyDescent="0.25">
      <c r="A74582" s="118"/>
      <c r="B74582" s="136"/>
    </row>
    <row r="74583" spans="1:2" x14ac:dyDescent="0.25">
      <c r="A74583" s="118"/>
      <c r="B74583" s="136"/>
    </row>
    <row r="74584" spans="1:2" x14ac:dyDescent="0.25">
      <c r="A74584" s="118"/>
      <c r="B74584" s="136"/>
    </row>
    <row r="74585" spans="1:2" x14ac:dyDescent="0.25">
      <c r="A74585" s="118"/>
      <c r="B74585" s="136"/>
    </row>
    <row r="74586" spans="1:2" x14ac:dyDescent="0.25">
      <c r="A74586" s="118"/>
      <c r="B74586" s="136"/>
    </row>
    <row r="74587" spans="1:2" x14ac:dyDescent="0.25">
      <c r="A74587" s="118"/>
      <c r="B74587" s="136"/>
    </row>
    <row r="74588" spans="1:2" x14ac:dyDescent="0.25">
      <c r="A74588" s="118"/>
      <c r="B74588" s="136"/>
    </row>
    <row r="74589" spans="1:2" x14ac:dyDescent="0.25">
      <c r="A74589" s="118"/>
      <c r="B74589" s="136"/>
    </row>
    <row r="74590" spans="1:2" x14ac:dyDescent="0.25">
      <c r="A74590" s="118"/>
      <c r="B74590" s="136"/>
    </row>
    <row r="74591" spans="1:2" x14ac:dyDescent="0.25">
      <c r="A74591" s="118"/>
      <c r="B74591" s="136"/>
    </row>
    <row r="74592" spans="1:2" x14ac:dyDescent="0.25">
      <c r="A74592" s="118"/>
      <c r="B74592" s="136"/>
    </row>
    <row r="74593" spans="1:2" x14ac:dyDescent="0.25">
      <c r="A74593" s="118"/>
      <c r="B74593" s="136"/>
    </row>
    <row r="74594" spans="1:2" x14ac:dyDescent="0.25">
      <c r="A74594" s="118"/>
      <c r="B74594" s="136"/>
    </row>
    <row r="74595" spans="1:2" x14ac:dyDescent="0.25">
      <c r="A74595" s="118"/>
      <c r="B74595" s="136"/>
    </row>
    <row r="74596" spans="1:2" x14ac:dyDescent="0.25">
      <c r="A74596" s="118"/>
      <c r="B74596" s="136"/>
    </row>
    <row r="74597" spans="1:2" x14ac:dyDescent="0.25">
      <c r="A74597" s="118"/>
      <c r="B74597" s="136"/>
    </row>
    <row r="74598" spans="1:2" x14ac:dyDescent="0.25">
      <c r="A74598" s="118"/>
      <c r="B74598" s="136"/>
    </row>
    <row r="74599" spans="1:2" x14ac:dyDescent="0.25">
      <c r="A74599" s="118"/>
      <c r="B74599" s="136"/>
    </row>
    <row r="74600" spans="1:2" x14ac:dyDescent="0.25">
      <c r="A74600" s="118"/>
      <c r="B74600" s="136"/>
    </row>
    <row r="74601" spans="1:2" x14ac:dyDescent="0.25">
      <c r="A74601" s="118"/>
      <c r="B74601" s="136"/>
    </row>
    <row r="74602" spans="1:2" x14ac:dyDescent="0.25">
      <c r="A74602" s="118"/>
      <c r="B74602" s="136"/>
    </row>
    <row r="74603" spans="1:2" x14ac:dyDescent="0.25">
      <c r="A74603" s="118"/>
      <c r="B74603" s="136"/>
    </row>
    <row r="74604" spans="1:2" x14ac:dyDescent="0.25">
      <c r="A74604" s="118"/>
      <c r="B74604" s="136"/>
    </row>
    <row r="74605" spans="1:2" x14ac:dyDescent="0.25">
      <c r="A74605" s="118"/>
      <c r="B74605" s="136"/>
    </row>
    <row r="74606" spans="1:2" x14ac:dyDescent="0.25">
      <c r="A74606" s="118"/>
      <c r="B74606" s="136"/>
    </row>
    <row r="74607" spans="1:2" x14ac:dyDescent="0.25">
      <c r="A74607" s="118"/>
      <c r="B74607" s="136"/>
    </row>
    <row r="74608" spans="1:2" x14ac:dyDescent="0.25">
      <c r="A74608" s="118"/>
      <c r="B74608" s="136"/>
    </row>
    <row r="74609" spans="1:2" x14ac:dyDescent="0.25">
      <c r="A74609" s="118"/>
      <c r="B74609" s="136"/>
    </row>
    <row r="74610" spans="1:2" x14ac:dyDescent="0.25">
      <c r="A74610" s="118"/>
      <c r="B74610" s="136"/>
    </row>
    <row r="74611" spans="1:2" x14ac:dyDescent="0.25">
      <c r="A74611" s="118"/>
      <c r="B74611" s="136"/>
    </row>
    <row r="74612" spans="1:2" x14ac:dyDescent="0.25">
      <c r="A74612" s="118"/>
      <c r="B74612" s="136"/>
    </row>
    <row r="74613" spans="1:2" x14ac:dyDescent="0.25">
      <c r="A74613" s="118"/>
      <c r="B74613" s="136"/>
    </row>
    <row r="74614" spans="1:2" x14ac:dyDescent="0.25">
      <c r="A74614" s="118"/>
      <c r="B74614" s="136"/>
    </row>
    <row r="74615" spans="1:2" x14ac:dyDescent="0.25">
      <c r="A74615" s="118"/>
      <c r="B74615" s="136"/>
    </row>
    <row r="74616" spans="1:2" x14ac:dyDescent="0.25">
      <c r="A74616" s="118"/>
      <c r="B74616" s="136"/>
    </row>
    <row r="74617" spans="1:2" x14ac:dyDescent="0.25">
      <c r="A74617" s="118"/>
      <c r="B74617" s="136"/>
    </row>
    <row r="74618" spans="1:2" x14ac:dyDescent="0.25">
      <c r="A74618" s="118"/>
      <c r="B74618" s="136"/>
    </row>
    <row r="74619" spans="1:2" x14ac:dyDescent="0.25">
      <c r="A74619" s="118"/>
      <c r="B74619" s="136"/>
    </row>
    <row r="74620" spans="1:2" x14ac:dyDescent="0.25">
      <c r="A74620" s="118"/>
      <c r="B74620" s="136"/>
    </row>
    <row r="74621" spans="1:2" x14ac:dyDescent="0.25">
      <c r="A74621" s="118"/>
      <c r="B74621" s="136"/>
    </row>
    <row r="74622" spans="1:2" x14ac:dyDescent="0.25">
      <c r="A74622" s="118"/>
      <c r="B74622" s="136"/>
    </row>
    <row r="74623" spans="1:2" x14ac:dyDescent="0.25">
      <c r="A74623" s="118"/>
      <c r="B74623" s="136"/>
    </row>
    <row r="74624" spans="1:2" x14ac:dyDescent="0.25">
      <c r="A74624" s="118"/>
      <c r="B74624" s="136"/>
    </row>
    <row r="74625" spans="1:2" x14ac:dyDescent="0.25">
      <c r="A74625" s="118"/>
      <c r="B74625" s="136"/>
    </row>
    <row r="74626" spans="1:2" x14ac:dyDescent="0.25">
      <c r="A74626" s="118"/>
      <c r="B74626" s="136"/>
    </row>
    <row r="74627" spans="1:2" x14ac:dyDescent="0.25">
      <c r="A74627" s="118"/>
      <c r="B74627" s="136"/>
    </row>
    <row r="74628" spans="1:2" x14ac:dyDescent="0.25">
      <c r="A74628" s="118"/>
      <c r="B74628" s="136"/>
    </row>
    <row r="74629" spans="1:2" x14ac:dyDescent="0.25">
      <c r="A74629" s="118"/>
      <c r="B74629" s="136"/>
    </row>
    <row r="74630" spans="1:2" x14ac:dyDescent="0.25">
      <c r="A74630" s="118"/>
      <c r="B74630" s="136"/>
    </row>
    <row r="74631" spans="1:2" x14ac:dyDescent="0.25">
      <c r="A74631" s="118"/>
      <c r="B74631" s="136"/>
    </row>
    <row r="74632" spans="1:2" x14ac:dyDescent="0.25">
      <c r="A74632" s="118"/>
      <c r="B74632" s="136"/>
    </row>
    <row r="74633" spans="1:2" x14ac:dyDescent="0.25">
      <c r="A74633" s="118"/>
      <c r="B74633" s="136"/>
    </row>
    <row r="74634" spans="1:2" x14ac:dyDescent="0.25">
      <c r="A74634" s="118"/>
      <c r="B74634" s="136"/>
    </row>
    <row r="74635" spans="1:2" x14ac:dyDescent="0.25">
      <c r="A74635" s="118"/>
      <c r="B74635" s="136"/>
    </row>
    <row r="74636" spans="1:2" x14ac:dyDescent="0.25">
      <c r="A74636" s="118"/>
      <c r="B74636" s="136"/>
    </row>
    <row r="74637" spans="1:2" x14ac:dyDescent="0.25">
      <c r="A74637" s="118"/>
      <c r="B74637" s="136"/>
    </row>
    <row r="74638" spans="1:2" x14ac:dyDescent="0.25">
      <c r="A74638" s="118"/>
      <c r="B74638" s="136"/>
    </row>
    <row r="74639" spans="1:2" x14ac:dyDescent="0.25">
      <c r="A74639" s="118"/>
      <c r="B74639" s="136"/>
    </row>
    <row r="74640" spans="1:2" x14ac:dyDescent="0.25">
      <c r="A74640" s="118"/>
      <c r="B74640" s="136"/>
    </row>
    <row r="74641" spans="1:2" x14ac:dyDescent="0.25">
      <c r="A74641" s="118"/>
      <c r="B74641" s="136"/>
    </row>
    <row r="74642" spans="1:2" x14ac:dyDescent="0.25">
      <c r="A74642" s="118"/>
      <c r="B74642" s="136"/>
    </row>
    <row r="74643" spans="1:2" x14ac:dyDescent="0.25">
      <c r="A74643" s="118"/>
      <c r="B74643" s="136"/>
    </row>
    <row r="74644" spans="1:2" x14ac:dyDescent="0.25">
      <c r="A74644" s="118"/>
      <c r="B74644" s="136"/>
    </row>
    <row r="74645" spans="1:2" x14ac:dyDescent="0.25">
      <c r="A74645" s="118"/>
      <c r="B74645" s="136"/>
    </row>
    <row r="74646" spans="1:2" x14ac:dyDescent="0.25">
      <c r="A74646" s="118"/>
      <c r="B74646" s="136"/>
    </row>
    <row r="74647" spans="1:2" x14ac:dyDescent="0.25">
      <c r="A74647" s="118"/>
      <c r="B74647" s="136"/>
    </row>
    <row r="74648" spans="1:2" x14ac:dyDescent="0.25">
      <c r="A74648" s="118"/>
      <c r="B74648" s="136"/>
    </row>
    <row r="74649" spans="1:2" x14ac:dyDescent="0.25">
      <c r="A74649" s="118"/>
      <c r="B74649" s="136"/>
    </row>
    <row r="74650" spans="1:2" x14ac:dyDescent="0.25">
      <c r="A74650" s="118"/>
      <c r="B74650" s="136"/>
    </row>
    <row r="74651" spans="1:2" x14ac:dyDescent="0.25">
      <c r="A74651" s="118"/>
      <c r="B74651" s="136"/>
    </row>
    <row r="74652" spans="1:2" x14ac:dyDescent="0.25">
      <c r="A74652" s="118"/>
      <c r="B74652" s="136"/>
    </row>
    <row r="74653" spans="1:2" x14ac:dyDescent="0.25">
      <c r="A74653" s="118"/>
      <c r="B74653" s="136"/>
    </row>
    <row r="74654" spans="1:2" x14ac:dyDescent="0.25">
      <c r="A74654" s="118"/>
      <c r="B74654" s="136"/>
    </row>
    <row r="74655" spans="1:2" x14ac:dyDescent="0.25">
      <c r="A74655" s="118"/>
      <c r="B74655" s="136"/>
    </row>
    <row r="74656" spans="1:2" x14ac:dyDescent="0.25">
      <c r="A74656" s="118"/>
      <c r="B74656" s="136"/>
    </row>
    <row r="74657" spans="1:2" x14ac:dyDescent="0.25">
      <c r="A74657" s="118"/>
      <c r="B74657" s="136"/>
    </row>
    <row r="74658" spans="1:2" x14ac:dyDescent="0.25">
      <c r="A74658" s="118"/>
      <c r="B74658" s="136"/>
    </row>
    <row r="74659" spans="1:2" x14ac:dyDescent="0.25">
      <c r="A74659" s="118"/>
      <c r="B74659" s="136"/>
    </row>
    <row r="74660" spans="1:2" x14ac:dyDescent="0.25">
      <c r="A74660" s="118"/>
      <c r="B74660" s="136"/>
    </row>
    <row r="74661" spans="1:2" x14ac:dyDescent="0.25">
      <c r="A74661" s="118"/>
      <c r="B74661" s="136"/>
    </row>
    <row r="74662" spans="1:2" x14ac:dyDescent="0.25">
      <c r="A74662" s="118"/>
      <c r="B74662" s="136"/>
    </row>
    <row r="74663" spans="1:2" x14ac:dyDescent="0.25">
      <c r="A74663" s="118"/>
      <c r="B74663" s="136"/>
    </row>
    <row r="74664" spans="1:2" x14ac:dyDescent="0.25">
      <c r="A74664" s="118"/>
      <c r="B74664" s="136"/>
    </row>
    <row r="74665" spans="1:2" x14ac:dyDescent="0.25">
      <c r="A74665" s="118"/>
      <c r="B74665" s="136"/>
    </row>
    <row r="74666" spans="1:2" x14ac:dyDescent="0.25">
      <c r="A74666" s="118"/>
      <c r="B74666" s="136"/>
    </row>
    <row r="74667" spans="1:2" x14ac:dyDescent="0.25">
      <c r="A74667" s="118"/>
      <c r="B74667" s="136"/>
    </row>
    <row r="74668" spans="1:2" x14ac:dyDescent="0.25">
      <c r="A74668" s="118"/>
      <c r="B74668" s="136"/>
    </row>
    <row r="74669" spans="1:2" x14ac:dyDescent="0.25">
      <c r="A74669" s="118"/>
      <c r="B74669" s="136"/>
    </row>
    <row r="74670" spans="1:2" x14ac:dyDescent="0.25">
      <c r="A74670" s="118"/>
      <c r="B74670" s="136"/>
    </row>
    <row r="74671" spans="1:2" x14ac:dyDescent="0.25">
      <c r="A74671" s="118"/>
      <c r="B74671" s="136"/>
    </row>
    <row r="74672" spans="1:2" x14ac:dyDescent="0.25">
      <c r="A74672" s="118"/>
      <c r="B74672" s="136"/>
    </row>
    <row r="74673" spans="1:2" x14ac:dyDescent="0.25">
      <c r="A74673" s="118"/>
      <c r="B74673" s="136"/>
    </row>
    <row r="74674" spans="1:2" x14ac:dyDescent="0.25">
      <c r="A74674" s="118"/>
      <c r="B74674" s="136"/>
    </row>
    <row r="74675" spans="1:2" x14ac:dyDescent="0.25">
      <c r="A74675" s="118"/>
      <c r="B74675" s="136"/>
    </row>
    <row r="74676" spans="1:2" x14ac:dyDescent="0.25">
      <c r="A74676" s="118"/>
      <c r="B74676" s="136"/>
    </row>
    <row r="74677" spans="1:2" x14ac:dyDescent="0.25">
      <c r="A74677" s="118"/>
      <c r="B74677" s="136"/>
    </row>
    <row r="74678" spans="1:2" x14ac:dyDescent="0.25">
      <c r="A74678" s="118"/>
      <c r="B74678" s="136"/>
    </row>
    <row r="74679" spans="1:2" x14ac:dyDescent="0.25">
      <c r="A74679" s="118"/>
      <c r="B74679" s="136"/>
    </row>
    <row r="74680" spans="1:2" x14ac:dyDescent="0.25">
      <c r="A74680" s="118"/>
      <c r="B74680" s="136"/>
    </row>
    <row r="74681" spans="1:2" x14ac:dyDescent="0.25">
      <c r="A74681" s="118"/>
      <c r="B74681" s="136"/>
    </row>
    <row r="74682" spans="1:2" x14ac:dyDescent="0.25">
      <c r="A74682" s="118"/>
      <c r="B74682" s="136"/>
    </row>
    <row r="74683" spans="1:2" x14ac:dyDescent="0.25">
      <c r="A74683" s="118"/>
      <c r="B74683" s="136"/>
    </row>
    <row r="74684" spans="1:2" x14ac:dyDescent="0.25">
      <c r="A74684" s="118"/>
      <c r="B74684" s="136"/>
    </row>
    <row r="74685" spans="1:2" x14ac:dyDescent="0.25">
      <c r="A74685" s="118"/>
      <c r="B74685" s="136"/>
    </row>
    <row r="74686" spans="1:2" x14ac:dyDescent="0.25">
      <c r="A74686" s="118"/>
      <c r="B74686" s="136"/>
    </row>
    <row r="74687" spans="1:2" x14ac:dyDescent="0.25">
      <c r="A74687" s="118"/>
      <c r="B74687" s="136"/>
    </row>
    <row r="74688" spans="1:2" x14ac:dyDescent="0.25">
      <c r="A74688" s="118"/>
      <c r="B74688" s="136"/>
    </row>
    <row r="74689" spans="1:2" x14ac:dyDescent="0.25">
      <c r="A74689" s="118"/>
      <c r="B74689" s="136"/>
    </row>
    <row r="74690" spans="1:2" x14ac:dyDescent="0.25">
      <c r="A74690" s="118"/>
      <c r="B74690" s="136"/>
    </row>
    <row r="74691" spans="1:2" x14ac:dyDescent="0.25">
      <c r="A74691" s="118"/>
      <c r="B74691" s="136"/>
    </row>
    <row r="74692" spans="1:2" x14ac:dyDescent="0.25">
      <c r="A74692" s="118"/>
      <c r="B74692" s="136"/>
    </row>
    <row r="74693" spans="1:2" x14ac:dyDescent="0.25">
      <c r="A74693" s="118"/>
      <c r="B74693" s="136"/>
    </row>
    <row r="74694" spans="1:2" x14ac:dyDescent="0.25">
      <c r="A74694" s="118"/>
      <c r="B74694" s="136"/>
    </row>
    <row r="74695" spans="1:2" x14ac:dyDescent="0.25">
      <c r="A74695" s="118"/>
      <c r="B74695" s="136"/>
    </row>
    <row r="74696" spans="1:2" x14ac:dyDescent="0.25">
      <c r="A74696" s="118"/>
      <c r="B74696" s="136"/>
    </row>
    <row r="74697" spans="1:2" x14ac:dyDescent="0.25">
      <c r="A74697" s="118"/>
      <c r="B74697" s="136"/>
    </row>
    <row r="74698" spans="1:2" x14ac:dyDescent="0.25">
      <c r="A74698" s="118"/>
      <c r="B74698" s="136"/>
    </row>
    <row r="74699" spans="1:2" x14ac:dyDescent="0.25">
      <c r="A74699" s="118"/>
      <c r="B74699" s="136"/>
    </row>
    <row r="74700" spans="1:2" x14ac:dyDescent="0.25">
      <c r="A74700" s="118"/>
      <c r="B74700" s="136"/>
    </row>
    <row r="74701" spans="1:2" x14ac:dyDescent="0.25">
      <c r="A74701" s="118"/>
      <c r="B74701" s="136"/>
    </row>
    <row r="74702" spans="1:2" x14ac:dyDescent="0.25">
      <c r="A74702" s="118"/>
      <c r="B74702" s="136"/>
    </row>
    <row r="74703" spans="1:2" x14ac:dyDescent="0.25">
      <c r="A74703" s="118"/>
      <c r="B74703" s="136"/>
    </row>
    <row r="74704" spans="1:2" x14ac:dyDescent="0.25">
      <c r="A74704" s="118"/>
      <c r="B74704" s="136"/>
    </row>
    <row r="74705" spans="1:2" x14ac:dyDescent="0.25">
      <c r="A74705" s="118"/>
      <c r="B74705" s="136"/>
    </row>
    <row r="74706" spans="1:2" x14ac:dyDescent="0.25">
      <c r="A74706" s="118"/>
      <c r="B74706" s="136"/>
    </row>
    <row r="74707" spans="1:2" x14ac:dyDescent="0.25">
      <c r="A74707" s="118"/>
      <c r="B74707" s="136"/>
    </row>
    <row r="74708" spans="1:2" x14ac:dyDescent="0.25">
      <c r="A74708" s="118"/>
      <c r="B74708" s="136"/>
    </row>
    <row r="74709" spans="1:2" x14ac:dyDescent="0.25">
      <c r="A74709" s="118"/>
      <c r="B74709" s="136"/>
    </row>
    <row r="74710" spans="1:2" x14ac:dyDescent="0.25">
      <c r="A74710" s="118"/>
      <c r="B74710" s="136"/>
    </row>
    <row r="74711" spans="1:2" x14ac:dyDescent="0.25">
      <c r="A74711" s="118"/>
      <c r="B74711" s="136"/>
    </row>
    <row r="74712" spans="1:2" x14ac:dyDescent="0.25">
      <c r="A74712" s="118"/>
      <c r="B74712" s="136"/>
    </row>
    <row r="74713" spans="1:2" x14ac:dyDescent="0.25">
      <c r="A74713" s="118"/>
      <c r="B74713" s="136"/>
    </row>
    <row r="74714" spans="1:2" x14ac:dyDescent="0.25">
      <c r="A74714" s="118"/>
      <c r="B74714" s="136"/>
    </row>
    <row r="74715" spans="1:2" x14ac:dyDescent="0.25">
      <c r="A74715" s="118"/>
      <c r="B74715" s="136"/>
    </row>
    <row r="74716" spans="1:2" x14ac:dyDescent="0.25">
      <c r="A74716" s="118"/>
      <c r="B74716" s="136"/>
    </row>
    <row r="74717" spans="1:2" x14ac:dyDescent="0.25">
      <c r="A74717" s="118"/>
      <c r="B74717" s="136"/>
    </row>
    <row r="74718" spans="1:2" x14ac:dyDescent="0.25">
      <c r="A74718" s="118"/>
      <c r="B74718" s="136"/>
    </row>
    <row r="74719" spans="1:2" x14ac:dyDescent="0.25">
      <c r="A74719" s="118"/>
      <c r="B74719" s="136"/>
    </row>
    <row r="74720" spans="1:2" x14ac:dyDescent="0.25">
      <c r="A74720" s="118"/>
      <c r="B74720" s="136"/>
    </row>
    <row r="74721" spans="1:2" x14ac:dyDescent="0.25">
      <c r="A74721" s="118"/>
      <c r="B74721" s="136"/>
    </row>
    <row r="74722" spans="1:2" x14ac:dyDescent="0.25">
      <c r="A74722" s="118"/>
      <c r="B74722" s="136"/>
    </row>
    <row r="74723" spans="1:2" x14ac:dyDescent="0.25">
      <c r="A74723" s="118"/>
      <c r="B74723" s="136"/>
    </row>
    <row r="74724" spans="1:2" x14ac:dyDescent="0.25">
      <c r="A74724" s="118"/>
      <c r="B74724" s="136"/>
    </row>
    <row r="74725" spans="1:2" x14ac:dyDescent="0.25">
      <c r="A74725" s="118"/>
      <c r="B74725" s="136"/>
    </row>
    <row r="74726" spans="1:2" x14ac:dyDescent="0.25">
      <c r="A74726" s="118"/>
      <c r="B74726" s="136"/>
    </row>
    <row r="74727" spans="1:2" x14ac:dyDescent="0.25">
      <c r="A74727" s="118"/>
      <c r="B74727" s="136"/>
    </row>
    <row r="74728" spans="1:2" x14ac:dyDescent="0.25">
      <c r="A74728" s="118"/>
      <c r="B74728" s="136"/>
    </row>
    <row r="74729" spans="1:2" x14ac:dyDescent="0.25">
      <c r="A74729" s="118"/>
      <c r="B74729" s="136"/>
    </row>
    <row r="74730" spans="1:2" x14ac:dyDescent="0.25">
      <c r="A74730" s="118"/>
      <c r="B74730" s="136"/>
    </row>
    <row r="74731" spans="1:2" x14ac:dyDescent="0.25">
      <c r="A74731" s="118"/>
      <c r="B74731" s="136"/>
    </row>
    <row r="74732" spans="1:2" x14ac:dyDescent="0.25">
      <c r="A74732" s="118"/>
      <c r="B74732" s="136"/>
    </row>
    <row r="74733" spans="1:2" x14ac:dyDescent="0.25">
      <c r="A74733" s="118"/>
      <c r="B74733" s="136"/>
    </row>
    <row r="74734" spans="1:2" x14ac:dyDescent="0.25">
      <c r="A74734" s="118"/>
      <c r="B74734" s="136"/>
    </row>
    <row r="74735" spans="1:2" x14ac:dyDescent="0.25">
      <c r="A74735" s="118"/>
      <c r="B74735" s="136"/>
    </row>
    <row r="74736" spans="1:2" x14ac:dyDescent="0.25">
      <c r="A74736" s="118"/>
      <c r="B74736" s="136"/>
    </row>
    <row r="74737" spans="1:2" x14ac:dyDescent="0.25">
      <c r="A74737" s="118"/>
      <c r="B74737" s="136"/>
    </row>
    <row r="74738" spans="1:2" x14ac:dyDescent="0.25">
      <c r="A74738" s="118"/>
      <c r="B74738" s="136"/>
    </row>
    <row r="74739" spans="1:2" x14ac:dyDescent="0.25">
      <c r="A74739" s="118"/>
      <c r="B74739" s="136"/>
    </row>
    <row r="74740" spans="1:2" x14ac:dyDescent="0.25">
      <c r="A74740" s="118"/>
      <c r="B74740" s="136"/>
    </row>
    <row r="74741" spans="1:2" x14ac:dyDescent="0.25">
      <c r="A74741" s="118"/>
      <c r="B74741" s="136"/>
    </row>
    <row r="74742" spans="1:2" x14ac:dyDescent="0.25">
      <c r="A74742" s="118"/>
      <c r="B74742" s="136"/>
    </row>
    <row r="74743" spans="1:2" x14ac:dyDescent="0.25">
      <c r="A74743" s="118"/>
      <c r="B74743" s="136"/>
    </row>
    <row r="74744" spans="1:2" x14ac:dyDescent="0.25">
      <c r="A74744" s="118"/>
      <c r="B74744" s="136"/>
    </row>
    <row r="74745" spans="1:2" x14ac:dyDescent="0.25">
      <c r="A74745" s="118"/>
      <c r="B74745" s="136"/>
    </row>
    <row r="74746" spans="1:2" x14ac:dyDescent="0.25">
      <c r="A74746" s="118"/>
      <c r="B74746" s="136"/>
    </row>
    <row r="74747" spans="1:2" x14ac:dyDescent="0.25">
      <c r="A74747" s="118"/>
      <c r="B74747" s="136"/>
    </row>
    <row r="74748" spans="1:2" x14ac:dyDescent="0.25">
      <c r="A74748" s="118"/>
      <c r="B74748" s="136"/>
    </row>
    <row r="74749" spans="1:2" x14ac:dyDescent="0.25">
      <c r="A74749" s="118"/>
      <c r="B74749" s="136"/>
    </row>
    <row r="74750" spans="1:2" x14ac:dyDescent="0.25">
      <c r="A74750" s="118"/>
      <c r="B74750" s="136"/>
    </row>
    <row r="74751" spans="1:2" x14ac:dyDescent="0.25">
      <c r="A74751" s="118"/>
      <c r="B74751" s="136"/>
    </row>
    <row r="74752" spans="1:2" x14ac:dyDescent="0.25">
      <c r="A74752" s="118"/>
      <c r="B74752" s="136"/>
    </row>
    <row r="74753" spans="1:2" x14ac:dyDescent="0.25">
      <c r="A74753" s="118"/>
      <c r="B74753" s="136"/>
    </row>
    <row r="74754" spans="1:2" x14ac:dyDescent="0.25">
      <c r="A74754" s="118"/>
      <c r="B74754" s="136"/>
    </row>
    <row r="74755" spans="1:2" x14ac:dyDescent="0.25">
      <c r="A74755" s="118"/>
      <c r="B74755" s="136"/>
    </row>
    <row r="74756" spans="1:2" x14ac:dyDescent="0.25">
      <c r="A74756" s="118"/>
      <c r="B74756" s="136"/>
    </row>
    <row r="74757" spans="1:2" x14ac:dyDescent="0.25">
      <c r="A74757" s="118"/>
      <c r="B74757" s="136"/>
    </row>
    <row r="74758" spans="1:2" x14ac:dyDescent="0.25">
      <c r="A74758" s="118"/>
      <c r="B74758" s="136"/>
    </row>
    <row r="74759" spans="1:2" x14ac:dyDescent="0.25">
      <c r="A74759" s="118"/>
      <c r="B74759" s="136"/>
    </row>
    <row r="74760" spans="1:2" x14ac:dyDescent="0.25">
      <c r="A74760" s="118"/>
      <c r="B74760" s="136"/>
    </row>
    <row r="74761" spans="1:2" x14ac:dyDescent="0.25">
      <c r="A74761" s="118"/>
      <c r="B74761" s="136"/>
    </row>
    <row r="74762" spans="1:2" x14ac:dyDescent="0.25">
      <c r="A74762" s="118"/>
      <c r="B74762" s="136"/>
    </row>
    <row r="74763" spans="1:2" x14ac:dyDescent="0.25">
      <c r="A74763" s="118"/>
      <c r="B74763" s="136"/>
    </row>
    <row r="74764" spans="1:2" x14ac:dyDescent="0.25">
      <c r="A74764" s="118"/>
      <c r="B74764" s="136"/>
    </row>
    <row r="74765" spans="1:2" x14ac:dyDescent="0.25">
      <c r="A74765" s="118"/>
      <c r="B74765" s="136"/>
    </row>
    <row r="74766" spans="1:2" x14ac:dyDescent="0.25">
      <c r="A74766" s="118"/>
      <c r="B74766" s="136"/>
    </row>
    <row r="74767" spans="1:2" x14ac:dyDescent="0.25">
      <c r="A74767" s="118"/>
      <c r="B74767" s="136"/>
    </row>
    <row r="74768" spans="1:2" x14ac:dyDescent="0.25">
      <c r="A74768" s="118"/>
      <c r="B74768" s="136"/>
    </row>
    <row r="74769" spans="1:2" x14ac:dyDescent="0.25">
      <c r="A74769" s="118"/>
      <c r="B74769" s="136"/>
    </row>
    <row r="74770" spans="1:2" x14ac:dyDescent="0.25">
      <c r="A74770" s="118"/>
      <c r="B74770" s="136"/>
    </row>
    <row r="74771" spans="1:2" x14ac:dyDescent="0.25">
      <c r="A74771" s="118"/>
      <c r="B74771" s="136"/>
    </row>
    <row r="74772" spans="1:2" x14ac:dyDescent="0.25">
      <c r="A74772" s="118"/>
      <c r="B74772" s="136"/>
    </row>
    <row r="74773" spans="1:2" x14ac:dyDescent="0.25">
      <c r="A74773" s="118"/>
      <c r="B74773" s="136"/>
    </row>
    <row r="74774" spans="1:2" x14ac:dyDescent="0.25">
      <c r="A74774" s="118"/>
      <c r="B74774" s="136"/>
    </row>
    <row r="74775" spans="1:2" x14ac:dyDescent="0.25">
      <c r="A74775" s="118"/>
      <c r="B74775" s="136"/>
    </row>
    <row r="74776" spans="1:2" x14ac:dyDescent="0.25">
      <c r="A74776" s="118"/>
      <c r="B74776" s="136"/>
    </row>
    <row r="74777" spans="1:2" x14ac:dyDescent="0.25">
      <c r="A74777" s="118"/>
      <c r="B74777" s="136"/>
    </row>
    <row r="74778" spans="1:2" x14ac:dyDescent="0.25">
      <c r="A74778" s="118"/>
      <c r="B74778" s="136"/>
    </row>
    <row r="74779" spans="1:2" x14ac:dyDescent="0.25">
      <c r="A74779" s="118"/>
      <c r="B74779" s="136"/>
    </row>
    <row r="74780" spans="1:2" x14ac:dyDescent="0.25">
      <c r="A74780" s="118"/>
      <c r="B74780" s="136"/>
    </row>
    <row r="74781" spans="1:2" x14ac:dyDescent="0.25">
      <c r="A74781" s="118"/>
      <c r="B74781" s="136"/>
    </row>
    <row r="74782" spans="1:2" x14ac:dyDescent="0.25">
      <c r="A74782" s="118"/>
      <c r="B74782" s="136"/>
    </row>
    <row r="74783" spans="1:2" x14ac:dyDescent="0.25">
      <c r="A74783" s="118"/>
      <c r="B74783" s="136"/>
    </row>
    <row r="74784" spans="1:2" x14ac:dyDescent="0.25">
      <c r="A74784" s="118"/>
      <c r="B74784" s="136"/>
    </row>
    <row r="74785" spans="1:2" x14ac:dyDescent="0.25">
      <c r="A74785" s="118"/>
      <c r="B74785" s="136"/>
    </row>
    <row r="74786" spans="1:2" x14ac:dyDescent="0.25">
      <c r="A74786" s="118"/>
      <c r="B74786" s="136"/>
    </row>
    <row r="74787" spans="1:2" x14ac:dyDescent="0.25">
      <c r="A74787" s="118"/>
      <c r="B74787" s="136"/>
    </row>
    <row r="74788" spans="1:2" x14ac:dyDescent="0.25">
      <c r="A74788" s="118"/>
      <c r="B74788" s="136"/>
    </row>
    <row r="74789" spans="1:2" x14ac:dyDescent="0.25">
      <c r="A74789" s="118"/>
      <c r="B74789" s="136"/>
    </row>
    <row r="74790" spans="1:2" x14ac:dyDescent="0.25">
      <c r="A74790" s="118"/>
      <c r="B74790" s="136"/>
    </row>
    <row r="74791" spans="1:2" x14ac:dyDescent="0.25">
      <c r="A74791" s="118"/>
      <c r="B74791" s="136"/>
    </row>
    <row r="74792" spans="1:2" x14ac:dyDescent="0.25">
      <c r="A74792" s="118"/>
      <c r="B74792" s="136"/>
    </row>
    <row r="74793" spans="1:2" x14ac:dyDescent="0.25">
      <c r="A74793" s="118"/>
      <c r="B74793" s="136"/>
    </row>
    <row r="74794" spans="1:2" x14ac:dyDescent="0.25">
      <c r="A74794" s="118"/>
      <c r="B74794" s="136"/>
    </row>
    <row r="74795" spans="1:2" x14ac:dyDescent="0.25">
      <c r="A74795" s="118"/>
      <c r="B74795" s="136"/>
    </row>
    <row r="74796" spans="1:2" x14ac:dyDescent="0.25">
      <c r="A74796" s="118"/>
      <c r="B74796" s="136"/>
    </row>
    <row r="74797" spans="1:2" x14ac:dyDescent="0.25">
      <c r="A74797" s="118"/>
      <c r="B74797" s="136"/>
    </row>
    <row r="74798" spans="1:2" x14ac:dyDescent="0.25">
      <c r="A74798" s="118"/>
      <c r="B74798" s="136"/>
    </row>
    <row r="74799" spans="1:2" x14ac:dyDescent="0.25">
      <c r="A74799" s="118"/>
      <c r="B74799" s="136"/>
    </row>
    <row r="74800" spans="1:2" x14ac:dyDescent="0.25">
      <c r="A74800" s="118"/>
      <c r="B74800" s="136"/>
    </row>
    <row r="74801" spans="1:2" x14ac:dyDescent="0.25">
      <c r="A74801" s="118"/>
      <c r="B74801" s="136"/>
    </row>
    <row r="74802" spans="1:2" x14ac:dyDescent="0.25">
      <c r="A74802" s="118"/>
      <c r="B74802" s="136"/>
    </row>
    <row r="74803" spans="1:2" x14ac:dyDescent="0.25">
      <c r="A74803" s="118"/>
      <c r="B74803" s="136"/>
    </row>
    <row r="74804" spans="1:2" x14ac:dyDescent="0.25">
      <c r="A74804" s="118"/>
      <c r="B74804" s="136"/>
    </row>
    <row r="74805" spans="1:2" x14ac:dyDescent="0.25">
      <c r="A74805" s="118"/>
      <c r="B74805" s="136"/>
    </row>
    <row r="74806" spans="1:2" x14ac:dyDescent="0.25">
      <c r="A74806" s="118"/>
      <c r="B74806" s="136"/>
    </row>
    <row r="74807" spans="1:2" x14ac:dyDescent="0.25">
      <c r="A74807" s="118"/>
      <c r="B74807" s="136"/>
    </row>
    <row r="74808" spans="1:2" x14ac:dyDescent="0.25">
      <c r="A74808" s="118"/>
      <c r="B74808" s="136"/>
    </row>
    <row r="74809" spans="1:2" x14ac:dyDescent="0.25">
      <c r="A74809" s="118"/>
      <c r="B74809" s="136"/>
    </row>
    <row r="74810" spans="1:2" x14ac:dyDescent="0.25">
      <c r="A74810" s="118"/>
      <c r="B74810" s="136"/>
    </row>
    <row r="74811" spans="1:2" x14ac:dyDescent="0.25">
      <c r="A74811" s="118"/>
      <c r="B74811" s="136"/>
    </row>
    <row r="74812" spans="1:2" x14ac:dyDescent="0.25">
      <c r="A74812" s="118"/>
      <c r="B74812" s="136"/>
    </row>
    <row r="74813" spans="1:2" x14ac:dyDescent="0.25">
      <c r="A74813" s="118"/>
      <c r="B74813" s="136"/>
    </row>
    <row r="74814" spans="1:2" x14ac:dyDescent="0.25">
      <c r="A74814" s="118"/>
      <c r="B74814" s="136"/>
    </row>
    <row r="74815" spans="1:2" x14ac:dyDescent="0.25">
      <c r="A74815" s="118"/>
      <c r="B74815" s="136"/>
    </row>
    <row r="74816" spans="1:2" x14ac:dyDescent="0.25">
      <c r="A74816" s="118"/>
      <c r="B74816" s="136"/>
    </row>
    <row r="74817" spans="1:2" x14ac:dyDescent="0.25">
      <c r="A74817" s="118"/>
      <c r="B74817" s="136"/>
    </row>
    <row r="74818" spans="1:2" x14ac:dyDescent="0.25">
      <c r="A74818" s="118"/>
      <c r="B74818" s="136"/>
    </row>
    <row r="74819" spans="1:2" x14ac:dyDescent="0.25">
      <c r="A74819" s="118"/>
      <c r="B74819" s="136"/>
    </row>
    <row r="74820" spans="1:2" x14ac:dyDescent="0.25">
      <c r="A74820" s="118"/>
      <c r="B74820" s="136"/>
    </row>
    <row r="74821" spans="1:2" x14ac:dyDescent="0.25">
      <c r="A74821" s="118"/>
      <c r="B74821" s="136"/>
    </row>
    <row r="74822" spans="1:2" x14ac:dyDescent="0.25">
      <c r="A74822" s="118"/>
      <c r="B74822" s="136"/>
    </row>
    <row r="74823" spans="1:2" x14ac:dyDescent="0.25">
      <c r="A74823" s="118"/>
      <c r="B74823" s="136"/>
    </row>
    <row r="74824" spans="1:2" x14ac:dyDescent="0.25">
      <c r="A74824" s="118"/>
      <c r="B74824" s="136"/>
    </row>
    <row r="74825" spans="1:2" x14ac:dyDescent="0.25">
      <c r="A74825" s="118"/>
      <c r="B74825" s="136"/>
    </row>
    <row r="74826" spans="1:2" x14ac:dyDescent="0.25">
      <c r="A74826" s="118"/>
      <c r="B74826" s="136"/>
    </row>
    <row r="74827" spans="1:2" x14ac:dyDescent="0.25">
      <c r="A74827" s="118"/>
      <c r="B74827" s="136"/>
    </row>
    <row r="74828" spans="1:2" x14ac:dyDescent="0.25">
      <c r="A74828" s="118"/>
      <c r="B74828" s="136"/>
    </row>
    <row r="74829" spans="1:2" x14ac:dyDescent="0.25">
      <c r="A74829" s="118"/>
      <c r="B74829" s="136"/>
    </row>
    <row r="74830" spans="1:2" x14ac:dyDescent="0.25">
      <c r="A74830" s="118"/>
      <c r="B74830" s="136"/>
    </row>
    <row r="74831" spans="1:2" x14ac:dyDescent="0.25">
      <c r="A74831" s="118"/>
      <c r="B74831" s="136"/>
    </row>
    <row r="74832" spans="1:2" x14ac:dyDescent="0.25">
      <c r="A74832" s="118"/>
      <c r="B74832" s="136"/>
    </row>
    <row r="74833" spans="1:2" x14ac:dyDescent="0.25">
      <c r="A74833" s="118"/>
      <c r="B74833" s="136"/>
    </row>
    <row r="74834" spans="1:2" x14ac:dyDescent="0.25">
      <c r="A74834" s="118"/>
      <c r="B74834" s="136"/>
    </row>
    <row r="74835" spans="1:2" x14ac:dyDescent="0.25">
      <c r="A74835" s="118"/>
      <c r="B74835" s="136"/>
    </row>
    <row r="74836" spans="1:2" x14ac:dyDescent="0.25">
      <c r="A74836" s="118"/>
      <c r="B74836" s="136"/>
    </row>
    <row r="74837" spans="1:2" x14ac:dyDescent="0.25">
      <c r="A74837" s="118"/>
      <c r="B74837" s="136"/>
    </row>
    <row r="74838" spans="1:2" x14ac:dyDescent="0.25">
      <c r="A74838" s="118"/>
      <c r="B74838" s="136"/>
    </row>
    <row r="74839" spans="1:2" x14ac:dyDescent="0.25">
      <c r="A74839" s="118"/>
      <c r="B74839" s="136"/>
    </row>
    <row r="74840" spans="1:2" x14ac:dyDescent="0.25">
      <c r="A74840" s="118"/>
      <c r="B74840" s="136"/>
    </row>
    <row r="74841" spans="1:2" x14ac:dyDescent="0.25">
      <c r="A74841" s="118"/>
      <c r="B74841" s="136"/>
    </row>
    <row r="74842" spans="1:2" x14ac:dyDescent="0.25">
      <c r="A74842" s="118"/>
      <c r="B74842" s="136"/>
    </row>
    <row r="74843" spans="1:2" x14ac:dyDescent="0.25">
      <c r="A74843" s="118"/>
      <c r="B74843" s="136"/>
    </row>
    <row r="74844" spans="1:2" x14ac:dyDescent="0.25">
      <c r="A74844" s="118"/>
      <c r="B74844" s="136"/>
    </row>
    <row r="74845" spans="1:2" x14ac:dyDescent="0.25">
      <c r="A74845" s="118"/>
      <c r="B74845" s="136"/>
    </row>
    <row r="74846" spans="1:2" x14ac:dyDescent="0.25">
      <c r="A74846" s="118"/>
      <c r="B74846" s="136"/>
    </row>
    <row r="74847" spans="1:2" x14ac:dyDescent="0.25">
      <c r="A74847" s="118"/>
      <c r="B74847" s="136"/>
    </row>
    <row r="74848" spans="1:2" x14ac:dyDescent="0.25">
      <c r="A74848" s="118"/>
      <c r="B74848" s="136"/>
    </row>
    <row r="74849" spans="1:2" x14ac:dyDescent="0.25">
      <c r="A74849" s="118"/>
      <c r="B74849" s="136"/>
    </row>
    <row r="74850" spans="1:2" x14ac:dyDescent="0.25">
      <c r="A74850" s="118"/>
      <c r="B74850" s="136"/>
    </row>
    <row r="74851" spans="1:2" x14ac:dyDescent="0.25">
      <c r="A74851" s="118"/>
      <c r="B74851" s="136"/>
    </row>
    <row r="74852" spans="1:2" x14ac:dyDescent="0.25">
      <c r="A74852" s="118"/>
      <c r="B74852" s="136"/>
    </row>
    <row r="74853" spans="1:2" x14ac:dyDescent="0.25">
      <c r="A74853" s="118"/>
      <c r="B74853" s="136"/>
    </row>
    <row r="74854" spans="1:2" x14ac:dyDescent="0.25">
      <c r="A74854" s="118"/>
      <c r="B74854" s="136"/>
    </row>
    <row r="74855" spans="1:2" x14ac:dyDescent="0.25">
      <c r="A74855" s="118"/>
      <c r="B74855" s="136"/>
    </row>
    <row r="74856" spans="1:2" x14ac:dyDescent="0.25">
      <c r="A74856" s="118"/>
      <c r="B74856" s="136"/>
    </row>
    <row r="74857" spans="1:2" x14ac:dyDescent="0.25">
      <c r="A74857" s="118"/>
      <c r="B74857" s="136"/>
    </row>
    <row r="74858" spans="1:2" x14ac:dyDescent="0.25">
      <c r="A74858" s="118"/>
      <c r="B74858" s="136"/>
    </row>
    <row r="74859" spans="1:2" x14ac:dyDescent="0.25">
      <c r="A74859" s="118"/>
      <c r="B74859" s="136"/>
    </row>
    <row r="74860" spans="1:2" x14ac:dyDescent="0.25">
      <c r="A74860" s="118"/>
      <c r="B74860" s="136"/>
    </row>
    <row r="74861" spans="1:2" x14ac:dyDescent="0.25">
      <c r="A74861" s="118"/>
      <c r="B74861" s="136"/>
    </row>
    <row r="74862" spans="1:2" x14ac:dyDescent="0.25">
      <c r="A74862" s="118"/>
      <c r="B74862" s="136"/>
    </row>
    <row r="74863" spans="1:2" x14ac:dyDescent="0.25">
      <c r="A74863" s="118"/>
      <c r="B74863" s="136"/>
    </row>
    <row r="74864" spans="1:2" x14ac:dyDescent="0.25">
      <c r="A74864" s="118"/>
      <c r="B74864" s="136"/>
    </row>
    <row r="74865" spans="1:2" x14ac:dyDescent="0.25">
      <c r="A74865" s="118"/>
      <c r="B74865" s="136"/>
    </row>
    <row r="74866" spans="1:2" x14ac:dyDescent="0.25">
      <c r="A74866" s="118"/>
      <c r="B74866" s="136"/>
    </row>
    <row r="74867" spans="1:2" x14ac:dyDescent="0.25">
      <c r="A74867" s="118"/>
      <c r="B74867" s="136"/>
    </row>
    <row r="74868" spans="1:2" x14ac:dyDescent="0.25">
      <c r="A74868" s="118"/>
      <c r="B74868" s="136"/>
    </row>
    <row r="74869" spans="1:2" x14ac:dyDescent="0.25">
      <c r="A74869" s="118"/>
      <c r="B74869" s="136"/>
    </row>
    <row r="74870" spans="1:2" x14ac:dyDescent="0.25">
      <c r="A74870" s="118"/>
      <c r="B74870" s="136"/>
    </row>
    <row r="74871" spans="1:2" x14ac:dyDescent="0.25">
      <c r="A74871" s="118"/>
      <c r="B74871" s="136"/>
    </row>
    <row r="74872" spans="1:2" x14ac:dyDescent="0.25">
      <c r="A74872" s="118"/>
      <c r="B74872" s="136"/>
    </row>
    <row r="74873" spans="1:2" x14ac:dyDescent="0.25">
      <c r="A74873" s="118"/>
      <c r="B74873" s="136"/>
    </row>
    <row r="74874" spans="1:2" x14ac:dyDescent="0.25">
      <c r="A74874" s="118"/>
      <c r="B74874" s="136"/>
    </row>
    <row r="74875" spans="1:2" x14ac:dyDescent="0.25">
      <c r="A74875" s="118"/>
      <c r="B74875" s="136"/>
    </row>
    <row r="74876" spans="1:2" x14ac:dyDescent="0.25">
      <c r="A74876" s="118"/>
      <c r="B74876" s="136"/>
    </row>
    <row r="74877" spans="1:2" x14ac:dyDescent="0.25">
      <c r="A74877" s="118"/>
      <c r="B74877" s="136"/>
    </row>
    <row r="74878" spans="1:2" x14ac:dyDescent="0.25">
      <c r="A74878" s="118"/>
      <c r="B74878" s="136"/>
    </row>
    <row r="74879" spans="1:2" x14ac:dyDescent="0.25">
      <c r="A74879" s="118"/>
      <c r="B74879" s="136"/>
    </row>
    <row r="74880" spans="1:2" x14ac:dyDescent="0.25">
      <c r="A74880" s="118"/>
      <c r="B74880" s="136"/>
    </row>
    <row r="74881" spans="1:2" x14ac:dyDescent="0.25">
      <c r="A74881" s="118"/>
      <c r="B74881" s="136"/>
    </row>
    <row r="74882" spans="1:2" x14ac:dyDescent="0.25">
      <c r="A74882" s="118"/>
      <c r="B74882" s="136"/>
    </row>
    <row r="74883" spans="1:2" x14ac:dyDescent="0.25">
      <c r="A74883" s="118"/>
      <c r="B74883" s="136"/>
    </row>
    <row r="74884" spans="1:2" x14ac:dyDescent="0.25">
      <c r="A74884" s="118"/>
      <c r="B74884" s="136"/>
    </row>
    <row r="74885" spans="1:2" x14ac:dyDescent="0.25">
      <c r="A74885" s="118"/>
      <c r="B74885" s="136"/>
    </row>
    <row r="74886" spans="1:2" x14ac:dyDescent="0.25">
      <c r="A74886" s="118"/>
      <c r="B74886" s="136"/>
    </row>
    <row r="74887" spans="1:2" x14ac:dyDescent="0.25">
      <c r="A74887" s="118"/>
      <c r="B74887" s="136"/>
    </row>
    <row r="74888" spans="1:2" x14ac:dyDescent="0.25">
      <c r="A74888" s="118"/>
      <c r="B74888" s="136"/>
    </row>
    <row r="74889" spans="1:2" x14ac:dyDescent="0.25">
      <c r="A74889" s="118"/>
      <c r="B74889" s="136"/>
    </row>
    <row r="74890" spans="1:2" x14ac:dyDescent="0.25">
      <c r="A74890" s="118"/>
      <c r="B74890" s="136"/>
    </row>
    <row r="74891" spans="1:2" x14ac:dyDescent="0.25">
      <c r="A74891" s="118"/>
      <c r="B74891" s="136"/>
    </row>
    <row r="74892" spans="1:2" x14ac:dyDescent="0.25">
      <c r="A74892" s="118"/>
      <c r="B74892" s="136"/>
    </row>
    <row r="74893" spans="1:2" x14ac:dyDescent="0.25">
      <c r="A74893" s="118"/>
      <c r="B74893" s="136"/>
    </row>
    <row r="74894" spans="1:2" x14ac:dyDescent="0.25">
      <c r="A74894" s="118"/>
      <c r="B74894" s="136"/>
    </row>
    <row r="74895" spans="1:2" x14ac:dyDescent="0.25">
      <c r="A74895" s="118"/>
      <c r="B74895" s="136"/>
    </row>
    <row r="74896" spans="1:2" x14ac:dyDescent="0.25">
      <c r="A74896" s="118"/>
      <c r="B74896" s="136"/>
    </row>
    <row r="74897" spans="1:2" x14ac:dyDescent="0.25">
      <c r="A74897" s="118"/>
      <c r="B74897" s="136"/>
    </row>
    <row r="74898" spans="1:2" x14ac:dyDescent="0.25">
      <c r="A74898" s="118"/>
      <c r="B74898" s="136"/>
    </row>
    <row r="74899" spans="1:2" x14ac:dyDescent="0.25">
      <c r="A74899" s="118"/>
      <c r="B74899" s="136"/>
    </row>
    <row r="74900" spans="1:2" x14ac:dyDescent="0.25">
      <c r="A74900" s="118"/>
      <c r="B74900" s="136"/>
    </row>
    <row r="74901" spans="1:2" x14ac:dyDescent="0.25">
      <c r="A74901" s="118"/>
      <c r="B74901" s="136"/>
    </row>
    <row r="74902" spans="1:2" x14ac:dyDescent="0.25">
      <c r="A74902" s="118"/>
      <c r="B74902" s="136"/>
    </row>
    <row r="74903" spans="1:2" x14ac:dyDescent="0.25">
      <c r="A74903" s="118"/>
      <c r="B74903" s="136"/>
    </row>
    <row r="74904" spans="1:2" x14ac:dyDescent="0.25">
      <c r="A74904" s="118"/>
      <c r="B74904" s="136"/>
    </row>
    <row r="74905" spans="1:2" x14ac:dyDescent="0.25">
      <c r="A74905" s="118"/>
      <c r="B74905" s="136"/>
    </row>
    <row r="74906" spans="1:2" x14ac:dyDescent="0.25">
      <c r="A74906" s="118"/>
      <c r="B74906" s="136"/>
    </row>
    <row r="74907" spans="1:2" x14ac:dyDescent="0.25">
      <c r="A74907" s="118"/>
      <c r="B74907" s="136"/>
    </row>
    <row r="74908" spans="1:2" x14ac:dyDescent="0.25">
      <c r="A74908" s="118"/>
      <c r="B74908" s="136"/>
    </row>
    <row r="74909" spans="1:2" x14ac:dyDescent="0.25">
      <c r="A74909" s="118"/>
      <c r="B74909" s="136"/>
    </row>
    <row r="74910" spans="1:2" x14ac:dyDescent="0.25">
      <c r="A74910" s="118"/>
      <c r="B74910" s="136"/>
    </row>
    <row r="74911" spans="1:2" x14ac:dyDescent="0.25">
      <c r="A74911" s="118"/>
      <c r="B74911" s="136"/>
    </row>
    <row r="74912" spans="1:2" x14ac:dyDescent="0.25">
      <c r="A74912" s="118"/>
      <c r="B74912" s="136"/>
    </row>
    <row r="74913" spans="1:2" x14ac:dyDescent="0.25">
      <c r="A74913" s="118"/>
      <c r="B74913" s="136"/>
    </row>
    <row r="74914" spans="1:2" x14ac:dyDescent="0.25">
      <c r="A74914" s="118"/>
      <c r="B74914" s="136"/>
    </row>
    <row r="74915" spans="1:2" x14ac:dyDescent="0.25">
      <c r="A74915" s="118"/>
      <c r="B74915" s="136"/>
    </row>
    <row r="74916" spans="1:2" x14ac:dyDescent="0.25">
      <c r="A74916" s="118"/>
      <c r="B74916" s="136"/>
    </row>
    <row r="74917" spans="1:2" x14ac:dyDescent="0.25">
      <c r="A74917" s="118"/>
      <c r="B74917" s="136"/>
    </row>
    <row r="74918" spans="1:2" x14ac:dyDescent="0.25">
      <c r="A74918" s="118"/>
      <c r="B74918" s="136"/>
    </row>
    <row r="74919" spans="1:2" x14ac:dyDescent="0.25">
      <c r="A74919" s="118"/>
      <c r="B74919" s="136"/>
    </row>
    <row r="74920" spans="1:2" x14ac:dyDescent="0.25">
      <c r="A74920" s="118"/>
      <c r="B74920" s="136"/>
    </row>
    <row r="74921" spans="1:2" x14ac:dyDescent="0.25">
      <c r="A74921" s="118"/>
      <c r="B74921" s="136"/>
    </row>
    <row r="74922" spans="1:2" x14ac:dyDescent="0.25">
      <c r="A74922" s="118"/>
      <c r="B74922" s="136"/>
    </row>
    <row r="74923" spans="1:2" x14ac:dyDescent="0.25">
      <c r="A74923" s="118"/>
      <c r="B74923" s="136"/>
    </row>
    <row r="74924" spans="1:2" x14ac:dyDescent="0.25">
      <c r="A74924" s="118"/>
      <c r="B74924" s="136"/>
    </row>
    <row r="74925" spans="1:2" x14ac:dyDescent="0.25">
      <c r="A74925" s="118"/>
      <c r="B74925" s="136"/>
    </row>
    <row r="74926" spans="1:2" x14ac:dyDescent="0.25">
      <c r="A74926" s="118"/>
      <c r="B74926" s="136"/>
    </row>
    <row r="74927" spans="1:2" x14ac:dyDescent="0.25">
      <c r="A74927" s="118"/>
      <c r="B74927" s="136"/>
    </row>
    <row r="74928" spans="1:2" x14ac:dyDescent="0.25">
      <c r="A74928" s="118"/>
      <c r="B74928" s="136"/>
    </row>
    <row r="74929" spans="1:2" x14ac:dyDescent="0.25">
      <c r="A74929" s="118"/>
      <c r="B74929" s="136"/>
    </row>
    <row r="74930" spans="1:2" x14ac:dyDescent="0.25">
      <c r="A74930" s="118"/>
      <c r="B74930" s="136"/>
    </row>
    <row r="74931" spans="1:2" x14ac:dyDescent="0.25">
      <c r="A74931" s="118"/>
      <c r="B74931" s="136"/>
    </row>
    <row r="74932" spans="1:2" x14ac:dyDescent="0.25">
      <c r="A74932" s="118"/>
      <c r="B74932" s="136"/>
    </row>
    <row r="74933" spans="1:2" x14ac:dyDescent="0.25">
      <c r="A74933" s="118"/>
      <c r="B74933" s="136"/>
    </row>
    <row r="74934" spans="1:2" x14ac:dyDescent="0.25">
      <c r="A74934" s="118"/>
      <c r="B74934" s="136"/>
    </row>
    <row r="74935" spans="1:2" x14ac:dyDescent="0.25">
      <c r="A74935" s="118"/>
      <c r="B74935" s="136"/>
    </row>
    <row r="74936" spans="1:2" x14ac:dyDescent="0.25">
      <c r="A74936" s="118"/>
      <c r="B74936" s="136"/>
    </row>
    <row r="74937" spans="1:2" x14ac:dyDescent="0.25">
      <c r="A74937" s="118"/>
      <c r="B74937" s="136"/>
    </row>
    <row r="74938" spans="1:2" x14ac:dyDescent="0.25">
      <c r="A74938" s="118"/>
      <c r="B74938" s="136"/>
    </row>
    <row r="74939" spans="1:2" x14ac:dyDescent="0.25">
      <c r="A74939" s="118"/>
      <c r="B74939" s="136"/>
    </row>
    <row r="74940" spans="1:2" x14ac:dyDescent="0.25">
      <c r="A74940" s="118"/>
      <c r="B74940" s="136"/>
    </row>
    <row r="74941" spans="1:2" x14ac:dyDescent="0.25">
      <c r="A74941" s="118"/>
      <c r="B74941" s="136"/>
    </row>
    <row r="74942" spans="1:2" x14ac:dyDescent="0.25">
      <c r="A74942" s="118"/>
      <c r="B74942" s="136"/>
    </row>
    <row r="74943" spans="1:2" x14ac:dyDescent="0.25">
      <c r="A74943" s="118"/>
      <c r="B74943" s="136"/>
    </row>
    <row r="74944" spans="1:2" x14ac:dyDescent="0.25">
      <c r="A74944" s="118"/>
      <c r="B74944" s="136"/>
    </row>
    <row r="74945" spans="1:2" x14ac:dyDescent="0.25">
      <c r="A74945" s="118"/>
      <c r="B74945" s="136"/>
    </row>
    <row r="74946" spans="1:2" x14ac:dyDescent="0.25">
      <c r="A74946" s="118"/>
      <c r="B74946" s="136"/>
    </row>
    <row r="74947" spans="1:2" x14ac:dyDescent="0.25">
      <c r="A74947" s="118"/>
      <c r="B74947" s="136"/>
    </row>
    <row r="74948" spans="1:2" x14ac:dyDescent="0.25">
      <c r="A74948" s="118"/>
      <c r="B74948" s="136"/>
    </row>
    <row r="74949" spans="1:2" x14ac:dyDescent="0.25">
      <c r="A74949" s="118"/>
      <c r="B74949" s="136"/>
    </row>
    <row r="74950" spans="1:2" x14ac:dyDescent="0.25">
      <c r="A74950" s="118"/>
      <c r="B74950" s="136"/>
    </row>
    <row r="74951" spans="1:2" x14ac:dyDescent="0.25">
      <c r="A74951" s="118"/>
      <c r="B74951" s="136"/>
    </row>
    <row r="74952" spans="1:2" x14ac:dyDescent="0.25">
      <c r="A74952" s="118"/>
      <c r="B74952" s="136"/>
    </row>
    <row r="74953" spans="1:2" x14ac:dyDescent="0.25">
      <c r="A74953" s="118"/>
      <c r="B74953" s="136"/>
    </row>
    <row r="74954" spans="1:2" x14ac:dyDescent="0.25">
      <c r="A74954" s="118"/>
      <c r="B74954" s="136"/>
    </row>
    <row r="74955" spans="1:2" x14ac:dyDescent="0.25">
      <c r="A74955" s="118"/>
      <c r="B74955" s="136"/>
    </row>
    <row r="74956" spans="1:2" x14ac:dyDescent="0.25">
      <c r="A74956" s="118"/>
      <c r="B74956" s="136"/>
    </row>
    <row r="74957" spans="1:2" x14ac:dyDescent="0.25">
      <c r="A74957" s="118"/>
      <c r="B74957" s="136"/>
    </row>
    <row r="74958" spans="1:2" x14ac:dyDescent="0.25">
      <c r="A74958" s="118"/>
      <c r="B74958" s="136"/>
    </row>
    <row r="74959" spans="1:2" x14ac:dyDescent="0.25">
      <c r="A74959" s="118"/>
      <c r="B74959" s="136"/>
    </row>
    <row r="74960" spans="1:2" x14ac:dyDescent="0.25">
      <c r="A74960" s="118"/>
      <c r="B74960" s="136"/>
    </row>
    <row r="74961" spans="1:2" x14ac:dyDescent="0.25">
      <c r="A74961" s="118"/>
      <c r="B74961" s="136"/>
    </row>
    <row r="74962" spans="1:2" x14ac:dyDescent="0.25">
      <c r="A74962" s="118"/>
      <c r="B74962" s="136"/>
    </row>
    <row r="74963" spans="1:2" x14ac:dyDescent="0.25">
      <c r="A74963" s="118"/>
      <c r="B74963" s="136"/>
    </row>
    <row r="74964" spans="1:2" x14ac:dyDescent="0.25">
      <c r="A74964" s="118"/>
      <c r="B74964" s="136"/>
    </row>
    <row r="74965" spans="1:2" x14ac:dyDescent="0.25">
      <c r="A74965" s="118"/>
      <c r="B74965" s="136"/>
    </row>
    <row r="74966" spans="1:2" x14ac:dyDescent="0.25">
      <c r="A74966" s="118"/>
      <c r="B74966" s="136"/>
    </row>
    <row r="74967" spans="1:2" x14ac:dyDescent="0.25">
      <c r="A74967" s="118"/>
      <c r="B74967" s="136"/>
    </row>
    <row r="74968" spans="1:2" x14ac:dyDescent="0.25">
      <c r="A74968" s="118"/>
      <c r="B74968" s="136"/>
    </row>
    <row r="74969" spans="1:2" x14ac:dyDescent="0.25">
      <c r="A74969" s="118"/>
      <c r="B74969" s="136"/>
    </row>
    <row r="74970" spans="1:2" x14ac:dyDescent="0.25">
      <c r="A74970" s="118"/>
      <c r="B74970" s="136"/>
    </row>
    <row r="74971" spans="1:2" x14ac:dyDescent="0.25">
      <c r="A74971" s="118"/>
      <c r="B74971" s="136"/>
    </row>
    <row r="74972" spans="1:2" x14ac:dyDescent="0.25">
      <c r="A74972" s="118"/>
      <c r="B74972" s="136"/>
    </row>
    <row r="74973" spans="1:2" x14ac:dyDescent="0.25">
      <c r="A74973" s="118"/>
      <c r="B74973" s="136"/>
    </row>
    <row r="74974" spans="1:2" x14ac:dyDescent="0.25">
      <c r="A74974" s="118"/>
      <c r="B74974" s="136"/>
    </row>
    <row r="74975" spans="1:2" x14ac:dyDescent="0.25">
      <c r="A74975" s="118"/>
      <c r="B74975" s="136"/>
    </row>
    <row r="74976" spans="1:2" x14ac:dyDescent="0.25">
      <c r="A74976" s="118"/>
      <c r="B74976" s="136"/>
    </row>
    <row r="74977" spans="1:2" x14ac:dyDescent="0.25">
      <c r="A74977" s="118"/>
      <c r="B74977" s="136"/>
    </row>
    <row r="74978" spans="1:2" x14ac:dyDescent="0.25">
      <c r="A74978" s="118"/>
      <c r="B74978" s="136"/>
    </row>
    <row r="74979" spans="1:2" x14ac:dyDescent="0.25">
      <c r="A74979" s="118"/>
      <c r="B74979" s="136"/>
    </row>
    <row r="74980" spans="1:2" x14ac:dyDescent="0.25">
      <c r="A74980" s="118"/>
      <c r="B74980" s="136"/>
    </row>
    <row r="74981" spans="1:2" x14ac:dyDescent="0.25">
      <c r="A74981" s="118"/>
      <c r="B74981" s="136"/>
    </row>
    <row r="74982" spans="1:2" x14ac:dyDescent="0.25">
      <c r="A74982" s="118"/>
      <c r="B74982" s="136"/>
    </row>
    <row r="74983" spans="1:2" x14ac:dyDescent="0.25">
      <c r="A74983" s="118"/>
      <c r="B74983" s="136"/>
    </row>
    <row r="74984" spans="1:2" x14ac:dyDescent="0.25">
      <c r="A74984" s="118"/>
      <c r="B74984" s="136"/>
    </row>
    <row r="74985" spans="1:2" x14ac:dyDescent="0.25">
      <c r="A74985" s="118"/>
      <c r="B74985" s="136"/>
    </row>
    <row r="74986" spans="1:2" x14ac:dyDescent="0.25">
      <c r="A74986" s="118"/>
      <c r="B74986" s="136"/>
    </row>
    <row r="74987" spans="1:2" x14ac:dyDescent="0.25">
      <c r="A74987" s="118"/>
      <c r="B74987" s="136"/>
    </row>
    <row r="74988" spans="1:2" x14ac:dyDescent="0.25">
      <c r="A74988" s="118"/>
      <c r="B74988" s="136"/>
    </row>
    <row r="74989" spans="1:2" x14ac:dyDescent="0.25">
      <c r="A74989" s="118"/>
      <c r="B74989" s="136"/>
    </row>
    <row r="74990" spans="1:2" x14ac:dyDescent="0.25">
      <c r="A74990" s="118"/>
      <c r="B74990" s="136"/>
    </row>
    <row r="74991" spans="1:2" x14ac:dyDescent="0.25">
      <c r="A74991" s="118"/>
      <c r="B74991" s="136"/>
    </row>
    <row r="74992" spans="1:2" x14ac:dyDescent="0.25">
      <c r="A74992" s="118"/>
      <c r="B74992" s="136"/>
    </row>
    <row r="74993" spans="1:2" x14ac:dyDescent="0.25">
      <c r="A74993" s="118"/>
      <c r="B74993" s="136"/>
    </row>
    <row r="74994" spans="1:2" x14ac:dyDescent="0.25">
      <c r="A74994" s="118"/>
      <c r="B74994" s="136"/>
    </row>
    <row r="74995" spans="1:2" x14ac:dyDescent="0.25">
      <c r="A74995" s="118"/>
      <c r="B74995" s="136"/>
    </row>
    <row r="74996" spans="1:2" x14ac:dyDescent="0.25">
      <c r="A74996" s="118"/>
      <c r="B74996" s="136"/>
    </row>
    <row r="74997" spans="1:2" x14ac:dyDescent="0.25">
      <c r="A74997" s="118"/>
      <c r="B74997" s="136"/>
    </row>
    <row r="74998" spans="1:2" x14ac:dyDescent="0.25">
      <c r="A74998" s="118"/>
      <c r="B74998" s="136"/>
    </row>
    <row r="74999" spans="1:2" x14ac:dyDescent="0.25">
      <c r="A74999" s="118"/>
      <c r="B74999" s="136"/>
    </row>
    <row r="75000" spans="1:2" x14ac:dyDescent="0.25">
      <c r="A75000" s="118"/>
      <c r="B75000" s="136"/>
    </row>
    <row r="75001" spans="1:2" x14ac:dyDescent="0.25">
      <c r="A75001" s="118"/>
      <c r="B75001" s="136"/>
    </row>
    <row r="75002" spans="1:2" x14ac:dyDescent="0.25">
      <c r="A75002" s="118"/>
      <c r="B75002" s="136"/>
    </row>
    <row r="75003" spans="1:2" x14ac:dyDescent="0.25">
      <c r="A75003" s="118"/>
      <c r="B75003" s="136"/>
    </row>
    <row r="75004" spans="1:2" x14ac:dyDescent="0.25">
      <c r="A75004" s="118"/>
      <c r="B75004" s="136"/>
    </row>
    <row r="75005" spans="1:2" x14ac:dyDescent="0.25">
      <c r="A75005" s="118"/>
      <c r="B75005" s="136"/>
    </row>
    <row r="75006" spans="1:2" x14ac:dyDescent="0.25">
      <c r="A75006" s="118"/>
      <c r="B75006" s="136"/>
    </row>
    <row r="75007" spans="1:2" x14ac:dyDescent="0.25">
      <c r="A75007" s="118"/>
      <c r="B75007" s="136"/>
    </row>
    <row r="75008" spans="1:2" x14ac:dyDescent="0.25">
      <c r="A75008" s="118"/>
      <c r="B75008" s="136"/>
    </row>
    <row r="75009" spans="1:2" x14ac:dyDescent="0.25">
      <c r="A75009" s="118"/>
      <c r="B75009" s="136"/>
    </row>
    <row r="75010" spans="1:2" x14ac:dyDescent="0.25">
      <c r="A75010" s="118"/>
      <c r="B75010" s="136"/>
    </row>
    <row r="75011" spans="1:2" x14ac:dyDescent="0.25">
      <c r="A75011" s="118"/>
      <c r="B75011" s="136"/>
    </row>
    <row r="75012" spans="1:2" x14ac:dyDescent="0.25">
      <c r="A75012" s="118"/>
      <c r="B75012" s="136"/>
    </row>
    <row r="75013" spans="1:2" x14ac:dyDescent="0.25">
      <c r="A75013" s="118"/>
      <c r="B75013" s="136"/>
    </row>
    <row r="75014" spans="1:2" x14ac:dyDescent="0.25">
      <c r="A75014" s="118"/>
      <c r="B75014" s="136"/>
    </row>
    <row r="75015" spans="1:2" x14ac:dyDescent="0.25">
      <c r="A75015" s="118"/>
      <c r="B75015" s="136"/>
    </row>
    <row r="75016" spans="1:2" x14ac:dyDescent="0.25">
      <c r="A75016" s="118"/>
      <c r="B75016" s="136"/>
    </row>
    <row r="75017" spans="1:2" x14ac:dyDescent="0.25">
      <c r="A75017" s="118"/>
      <c r="B75017" s="136"/>
    </row>
    <row r="75018" spans="1:2" x14ac:dyDescent="0.25">
      <c r="A75018" s="118"/>
      <c r="B75018" s="136"/>
    </row>
    <row r="75019" spans="1:2" x14ac:dyDescent="0.25">
      <c r="A75019" s="118"/>
      <c r="B75019" s="136"/>
    </row>
    <row r="75020" spans="1:2" x14ac:dyDescent="0.25">
      <c r="A75020" s="118"/>
      <c r="B75020" s="136"/>
    </row>
    <row r="75021" spans="1:2" x14ac:dyDescent="0.25">
      <c r="A75021" s="118"/>
      <c r="B75021" s="136"/>
    </row>
    <row r="75022" spans="1:2" x14ac:dyDescent="0.25">
      <c r="A75022" s="118"/>
      <c r="B75022" s="136"/>
    </row>
    <row r="75023" spans="1:2" x14ac:dyDescent="0.25">
      <c r="A75023" s="118"/>
      <c r="B75023" s="136"/>
    </row>
    <row r="75024" spans="1:2" x14ac:dyDescent="0.25">
      <c r="A75024" s="118"/>
      <c r="B75024" s="136"/>
    </row>
    <row r="75025" spans="1:2" x14ac:dyDescent="0.25">
      <c r="A75025" s="118"/>
      <c r="B75025" s="136"/>
    </row>
    <row r="75026" spans="1:2" x14ac:dyDescent="0.25">
      <c r="A75026" s="118"/>
      <c r="B75026" s="136"/>
    </row>
    <row r="75027" spans="1:2" x14ac:dyDescent="0.25">
      <c r="A75027" s="118"/>
      <c r="B75027" s="136"/>
    </row>
    <row r="75028" spans="1:2" x14ac:dyDescent="0.25">
      <c r="A75028" s="118"/>
      <c r="B75028" s="136"/>
    </row>
    <row r="75029" spans="1:2" x14ac:dyDescent="0.25">
      <c r="A75029" s="118"/>
      <c r="B75029" s="136"/>
    </row>
    <row r="75030" spans="1:2" x14ac:dyDescent="0.25">
      <c r="A75030" s="118"/>
      <c r="B75030" s="136"/>
    </row>
    <row r="75031" spans="1:2" x14ac:dyDescent="0.25">
      <c r="A75031" s="118"/>
      <c r="B75031" s="136"/>
    </row>
    <row r="75032" spans="1:2" x14ac:dyDescent="0.25">
      <c r="A75032" s="118"/>
      <c r="B75032" s="136"/>
    </row>
    <row r="75033" spans="1:2" x14ac:dyDescent="0.25">
      <c r="A75033" s="118"/>
      <c r="B75033" s="136"/>
    </row>
    <row r="75034" spans="1:2" x14ac:dyDescent="0.25">
      <c r="A75034" s="118"/>
      <c r="B75034" s="136"/>
    </row>
    <row r="75035" spans="1:2" x14ac:dyDescent="0.25">
      <c r="A75035" s="118"/>
      <c r="B75035" s="136"/>
    </row>
    <row r="75036" spans="1:2" x14ac:dyDescent="0.25">
      <c r="A75036" s="118"/>
      <c r="B75036" s="136"/>
    </row>
    <row r="75037" spans="1:2" x14ac:dyDescent="0.25">
      <c r="A75037" s="118"/>
      <c r="B75037" s="136"/>
    </row>
    <row r="75038" spans="1:2" x14ac:dyDescent="0.25">
      <c r="A75038" s="118"/>
      <c r="B75038" s="136"/>
    </row>
    <row r="75039" spans="1:2" x14ac:dyDescent="0.25">
      <c r="A75039" s="118"/>
      <c r="B75039" s="136"/>
    </row>
    <row r="75040" spans="1:2" x14ac:dyDescent="0.25">
      <c r="A75040" s="118"/>
      <c r="B75040" s="136"/>
    </row>
    <row r="75041" spans="1:2" x14ac:dyDescent="0.25">
      <c r="A75041" s="118"/>
      <c r="B75041" s="136"/>
    </row>
    <row r="75042" spans="1:2" x14ac:dyDescent="0.25">
      <c r="A75042" s="118"/>
      <c r="B75042" s="136"/>
    </row>
    <row r="75043" spans="1:2" x14ac:dyDescent="0.25">
      <c r="A75043" s="118"/>
      <c r="B75043" s="136"/>
    </row>
    <row r="75044" spans="1:2" x14ac:dyDescent="0.25">
      <c r="A75044" s="118"/>
      <c r="B75044" s="136"/>
    </row>
    <row r="75045" spans="1:2" x14ac:dyDescent="0.25">
      <c r="A75045" s="118"/>
      <c r="B75045" s="136"/>
    </row>
    <row r="75046" spans="1:2" x14ac:dyDescent="0.25">
      <c r="A75046" s="118"/>
      <c r="B75046" s="136"/>
    </row>
    <row r="75047" spans="1:2" x14ac:dyDescent="0.25">
      <c r="A75047" s="118"/>
      <c r="B75047" s="136"/>
    </row>
    <row r="75048" spans="1:2" x14ac:dyDescent="0.25">
      <c r="A75048" s="118"/>
      <c r="B75048" s="136"/>
    </row>
    <row r="75049" spans="1:2" x14ac:dyDescent="0.25">
      <c r="A75049" s="118"/>
      <c r="B75049" s="136"/>
    </row>
    <row r="75050" spans="1:2" x14ac:dyDescent="0.25">
      <c r="A75050" s="118"/>
      <c r="B75050" s="136"/>
    </row>
    <row r="75051" spans="1:2" x14ac:dyDescent="0.25">
      <c r="A75051" s="118"/>
      <c r="B75051" s="136"/>
    </row>
    <row r="75052" spans="1:2" x14ac:dyDescent="0.25">
      <c r="A75052" s="118"/>
      <c r="B75052" s="136"/>
    </row>
    <row r="75053" spans="1:2" x14ac:dyDescent="0.25">
      <c r="A75053" s="118"/>
      <c r="B75053" s="136"/>
    </row>
    <row r="75054" spans="1:2" x14ac:dyDescent="0.25">
      <c r="A75054" s="118"/>
      <c r="B75054" s="136"/>
    </row>
    <row r="75055" spans="1:2" x14ac:dyDescent="0.25">
      <c r="A75055" s="118"/>
      <c r="B75055" s="136"/>
    </row>
    <row r="75056" spans="1:2" x14ac:dyDescent="0.25">
      <c r="A75056" s="118"/>
      <c r="B75056" s="136"/>
    </row>
    <row r="75057" spans="1:2" x14ac:dyDescent="0.25">
      <c r="A75057" s="118"/>
      <c r="B75057" s="136"/>
    </row>
    <row r="75058" spans="1:2" x14ac:dyDescent="0.25">
      <c r="A75058" s="118"/>
      <c r="B75058" s="136"/>
    </row>
    <row r="75059" spans="1:2" x14ac:dyDescent="0.25">
      <c r="A75059" s="118"/>
      <c r="B75059" s="136"/>
    </row>
    <row r="75060" spans="1:2" x14ac:dyDescent="0.25">
      <c r="A75060" s="118"/>
      <c r="B75060" s="136"/>
    </row>
    <row r="75061" spans="1:2" x14ac:dyDescent="0.25">
      <c r="A75061" s="118"/>
      <c r="B75061" s="136"/>
    </row>
    <row r="75062" spans="1:2" x14ac:dyDescent="0.25">
      <c r="A75062" s="118"/>
      <c r="B75062" s="136"/>
    </row>
    <row r="75063" spans="1:2" x14ac:dyDescent="0.25">
      <c r="A75063" s="118"/>
      <c r="B75063" s="136"/>
    </row>
    <row r="75064" spans="1:2" x14ac:dyDescent="0.25">
      <c r="A75064" s="118"/>
      <c r="B75064" s="136"/>
    </row>
    <row r="75065" spans="1:2" x14ac:dyDescent="0.25">
      <c r="A75065" s="118"/>
      <c r="B75065" s="136"/>
    </row>
    <row r="75066" spans="1:2" x14ac:dyDescent="0.25">
      <c r="A75066" s="118"/>
      <c r="B75066" s="136"/>
    </row>
    <row r="75067" spans="1:2" x14ac:dyDescent="0.25">
      <c r="A75067" s="118"/>
      <c r="B75067" s="136"/>
    </row>
    <row r="75068" spans="1:2" x14ac:dyDescent="0.25">
      <c r="A75068" s="118"/>
      <c r="B75068" s="136"/>
    </row>
    <row r="75069" spans="1:2" x14ac:dyDescent="0.25">
      <c r="A75069" s="118"/>
      <c r="B75069" s="136"/>
    </row>
    <row r="75070" spans="1:2" x14ac:dyDescent="0.25">
      <c r="A75070" s="118"/>
      <c r="B75070" s="136"/>
    </row>
    <row r="75071" spans="1:2" x14ac:dyDescent="0.25">
      <c r="A75071" s="118"/>
      <c r="B75071" s="136"/>
    </row>
    <row r="75072" spans="1:2" x14ac:dyDescent="0.25">
      <c r="A75072" s="118"/>
      <c r="B75072" s="136"/>
    </row>
    <row r="75073" spans="1:2" x14ac:dyDescent="0.25">
      <c r="A75073" s="118"/>
      <c r="B75073" s="136"/>
    </row>
    <row r="75074" spans="1:2" x14ac:dyDescent="0.25">
      <c r="A75074" s="118"/>
      <c r="B75074" s="136"/>
    </row>
    <row r="75075" spans="1:2" x14ac:dyDescent="0.25">
      <c r="A75075" s="118"/>
      <c r="B75075" s="136"/>
    </row>
    <row r="75076" spans="1:2" x14ac:dyDescent="0.25">
      <c r="A75076" s="118"/>
      <c r="B75076" s="136"/>
    </row>
    <row r="75077" spans="1:2" x14ac:dyDescent="0.25">
      <c r="A75077" s="118"/>
      <c r="B75077" s="136"/>
    </row>
    <row r="75078" spans="1:2" x14ac:dyDescent="0.25">
      <c r="A75078" s="118"/>
      <c r="B75078" s="136"/>
    </row>
    <row r="75079" spans="1:2" x14ac:dyDescent="0.25">
      <c r="A75079" s="118"/>
      <c r="B75079" s="136"/>
    </row>
    <row r="75080" spans="1:2" x14ac:dyDescent="0.25">
      <c r="A75080" s="118"/>
      <c r="B75080" s="136"/>
    </row>
    <row r="75081" spans="1:2" x14ac:dyDescent="0.25">
      <c r="A75081" s="118"/>
      <c r="B75081" s="136"/>
    </row>
    <row r="75082" spans="1:2" x14ac:dyDescent="0.25">
      <c r="A75082" s="118"/>
      <c r="B75082" s="136"/>
    </row>
    <row r="75083" spans="1:2" x14ac:dyDescent="0.25">
      <c r="A75083" s="118"/>
      <c r="B75083" s="136"/>
    </row>
    <row r="75084" spans="1:2" x14ac:dyDescent="0.25">
      <c r="A75084" s="118"/>
      <c r="B75084" s="136"/>
    </row>
    <row r="75085" spans="1:2" x14ac:dyDescent="0.25">
      <c r="A75085" s="118"/>
      <c r="B75085" s="136"/>
    </row>
    <row r="75086" spans="1:2" x14ac:dyDescent="0.25">
      <c r="A75086" s="118"/>
      <c r="B75086" s="136"/>
    </row>
    <row r="75087" spans="1:2" x14ac:dyDescent="0.25">
      <c r="A75087" s="118"/>
      <c r="B75087" s="136"/>
    </row>
    <row r="75088" spans="1:2" x14ac:dyDescent="0.25">
      <c r="A75088" s="118"/>
      <c r="B75088" s="136"/>
    </row>
    <row r="75089" spans="1:2" x14ac:dyDescent="0.25">
      <c r="A75089" s="118"/>
      <c r="B75089" s="136"/>
    </row>
    <row r="75090" spans="1:2" x14ac:dyDescent="0.25">
      <c r="A75090" s="118"/>
      <c r="B75090" s="136"/>
    </row>
    <row r="75091" spans="1:2" x14ac:dyDescent="0.25">
      <c r="A75091" s="118"/>
      <c r="B75091" s="136"/>
    </row>
    <row r="75092" spans="1:2" x14ac:dyDescent="0.25">
      <c r="A75092" s="118"/>
      <c r="B75092" s="136"/>
    </row>
    <row r="75093" spans="1:2" x14ac:dyDescent="0.25">
      <c r="A75093" s="118"/>
      <c r="B75093" s="136"/>
    </row>
    <row r="75094" spans="1:2" x14ac:dyDescent="0.25">
      <c r="A75094" s="118"/>
      <c r="B75094" s="136"/>
    </row>
    <row r="75095" spans="1:2" x14ac:dyDescent="0.25">
      <c r="A75095" s="118"/>
      <c r="B75095" s="136"/>
    </row>
    <row r="75096" spans="1:2" x14ac:dyDescent="0.25">
      <c r="A75096" s="118"/>
      <c r="B75096" s="136"/>
    </row>
    <row r="75097" spans="1:2" x14ac:dyDescent="0.25">
      <c r="A75097" s="118"/>
      <c r="B75097" s="136"/>
    </row>
    <row r="75098" spans="1:2" x14ac:dyDescent="0.25">
      <c r="A75098" s="118"/>
      <c r="B75098" s="136"/>
    </row>
    <row r="75099" spans="1:2" x14ac:dyDescent="0.25">
      <c r="A75099" s="118"/>
      <c r="B75099" s="136"/>
    </row>
    <row r="75100" spans="1:2" x14ac:dyDescent="0.25">
      <c r="A75100" s="118"/>
      <c r="B75100" s="136"/>
    </row>
    <row r="75101" spans="1:2" x14ac:dyDescent="0.25">
      <c r="A75101" s="118"/>
      <c r="B75101" s="136"/>
    </row>
    <row r="75102" spans="1:2" x14ac:dyDescent="0.25">
      <c r="A75102" s="118"/>
      <c r="B75102" s="136"/>
    </row>
    <row r="75103" spans="1:2" x14ac:dyDescent="0.25">
      <c r="A75103" s="118"/>
      <c r="B75103" s="136"/>
    </row>
    <row r="75104" spans="1:2" x14ac:dyDescent="0.25">
      <c r="A75104" s="118"/>
      <c r="B75104" s="136"/>
    </row>
    <row r="75105" spans="1:2" x14ac:dyDescent="0.25">
      <c r="A75105" s="118"/>
      <c r="B75105" s="136"/>
    </row>
    <row r="75106" spans="1:2" x14ac:dyDescent="0.25">
      <c r="A75106" s="118"/>
      <c r="B75106" s="136"/>
    </row>
    <row r="75107" spans="1:2" x14ac:dyDescent="0.25">
      <c r="A75107" s="118"/>
      <c r="B75107" s="136"/>
    </row>
    <row r="75108" spans="1:2" x14ac:dyDescent="0.25">
      <c r="A75108" s="118"/>
      <c r="B75108" s="136"/>
    </row>
    <row r="75109" spans="1:2" x14ac:dyDescent="0.25">
      <c r="A75109" s="118"/>
      <c r="B75109" s="136"/>
    </row>
    <row r="75110" spans="1:2" x14ac:dyDescent="0.25">
      <c r="A75110" s="118"/>
      <c r="B75110" s="136"/>
    </row>
    <row r="75111" spans="1:2" x14ac:dyDescent="0.25">
      <c r="A75111" s="118"/>
      <c r="B75111" s="136"/>
    </row>
    <row r="75112" spans="1:2" x14ac:dyDescent="0.25">
      <c r="A75112" s="118"/>
      <c r="B75112" s="136"/>
    </row>
    <row r="75113" spans="1:2" x14ac:dyDescent="0.25">
      <c r="A75113" s="118"/>
      <c r="B75113" s="136"/>
    </row>
    <row r="75114" spans="1:2" x14ac:dyDescent="0.25">
      <c r="A75114" s="118"/>
      <c r="B75114" s="136"/>
    </row>
    <row r="75115" spans="1:2" x14ac:dyDescent="0.25">
      <c r="A75115" s="118"/>
      <c r="B75115" s="136"/>
    </row>
    <row r="75116" spans="1:2" x14ac:dyDescent="0.25">
      <c r="A75116" s="118"/>
      <c r="B75116" s="136"/>
    </row>
    <row r="75117" spans="1:2" x14ac:dyDescent="0.25">
      <c r="A75117" s="118"/>
      <c r="B75117" s="136"/>
    </row>
    <row r="75118" spans="1:2" x14ac:dyDescent="0.25">
      <c r="A75118" s="118"/>
      <c r="B75118" s="136"/>
    </row>
    <row r="75119" spans="1:2" x14ac:dyDescent="0.25">
      <c r="A75119" s="118"/>
      <c r="B75119" s="136"/>
    </row>
    <row r="75120" spans="1:2" x14ac:dyDescent="0.25">
      <c r="A75120" s="118"/>
      <c r="B75120" s="136"/>
    </row>
    <row r="75121" spans="1:2" x14ac:dyDescent="0.25">
      <c r="A75121" s="118"/>
      <c r="B75121" s="136"/>
    </row>
    <row r="75122" spans="1:2" x14ac:dyDescent="0.25">
      <c r="A75122" s="118"/>
      <c r="B75122" s="136"/>
    </row>
    <row r="75123" spans="1:2" x14ac:dyDescent="0.25">
      <c r="A75123" s="118"/>
      <c r="B75123" s="136"/>
    </row>
    <row r="75124" spans="1:2" x14ac:dyDescent="0.25">
      <c r="A75124" s="118"/>
      <c r="B75124" s="136"/>
    </row>
    <row r="75125" spans="1:2" x14ac:dyDescent="0.25">
      <c r="A75125" s="118"/>
      <c r="B75125" s="136"/>
    </row>
    <row r="75126" spans="1:2" x14ac:dyDescent="0.25">
      <c r="A75126" s="118"/>
      <c r="B75126" s="136"/>
    </row>
    <row r="75127" spans="1:2" x14ac:dyDescent="0.25">
      <c r="A75127" s="118"/>
      <c r="B75127" s="136"/>
    </row>
    <row r="75128" spans="1:2" x14ac:dyDescent="0.25">
      <c r="A75128" s="118"/>
      <c r="B75128" s="136"/>
    </row>
    <row r="75129" spans="1:2" x14ac:dyDescent="0.25">
      <c r="A75129" s="118"/>
      <c r="B75129" s="136"/>
    </row>
    <row r="75130" spans="1:2" x14ac:dyDescent="0.25">
      <c r="A75130" s="118"/>
      <c r="B75130" s="136"/>
    </row>
    <row r="75131" spans="1:2" x14ac:dyDescent="0.25">
      <c r="A75131" s="118"/>
      <c r="B75131" s="136"/>
    </row>
    <row r="75132" spans="1:2" x14ac:dyDescent="0.25">
      <c r="A75132" s="118"/>
      <c r="B75132" s="136"/>
    </row>
    <row r="75133" spans="1:2" x14ac:dyDescent="0.25">
      <c r="A75133" s="118"/>
      <c r="B75133" s="136"/>
    </row>
    <row r="75134" spans="1:2" x14ac:dyDescent="0.25">
      <c r="A75134" s="118"/>
      <c r="B75134" s="136"/>
    </row>
    <row r="75135" spans="1:2" x14ac:dyDescent="0.25">
      <c r="A75135" s="118"/>
      <c r="B75135" s="136"/>
    </row>
    <row r="75136" spans="1:2" x14ac:dyDescent="0.25">
      <c r="A75136" s="118"/>
      <c r="B75136" s="136"/>
    </row>
    <row r="75137" spans="1:2" x14ac:dyDescent="0.25">
      <c r="A75137" s="118"/>
      <c r="B75137" s="136"/>
    </row>
    <row r="75138" spans="1:2" x14ac:dyDescent="0.25">
      <c r="A75138" s="118"/>
      <c r="B75138" s="136"/>
    </row>
    <row r="75139" spans="1:2" x14ac:dyDescent="0.25">
      <c r="A75139" s="118"/>
      <c r="B75139" s="136"/>
    </row>
    <row r="75140" spans="1:2" x14ac:dyDescent="0.25">
      <c r="A75140" s="118"/>
      <c r="B75140" s="136"/>
    </row>
    <row r="75141" spans="1:2" x14ac:dyDescent="0.25">
      <c r="A75141" s="118"/>
      <c r="B75141" s="136"/>
    </row>
    <row r="75142" spans="1:2" x14ac:dyDescent="0.25">
      <c r="A75142" s="118"/>
      <c r="B75142" s="136"/>
    </row>
    <row r="75143" spans="1:2" x14ac:dyDescent="0.25">
      <c r="A75143" s="118"/>
      <c r="B75143" s="136"/>
    </row>
    <row r="75144" spans="1:2" x14ac:dyDescent="0.25">
      <c r="A75144" s="118"/>
      <c r="B75144" s="136"/>
    </row>
    <row r="75145" spans="1:2" x14ac:dyDescent="0.25">
      <c r="A75145" s="118"/>
      <c r="B75145" s="136"/>
    </row>
    <row r="75146" spans="1:2" x14ac:dyDescent="0.25">
      <c r="A75146" s="118"/>
      <c r="B75146" s="136"/>
    </row>
    <row r="75147" spans="1:2" x14ac:dyDescent="0.25">
      <c r="A75147" s="118"/>
      <c r="B75147" s="136"/>
    </row>
    <row r="75148" spans="1:2" x14ac:dyDescent="0.25">
      <c r="A75148" s="118"/>
      <c r="B75148" s="136"/>
    </row>
    <row r="75149" spans="1:2" x14ac:dyDescent="0.25">
      <c r="A75149" s="118"/>
      <c r="B75149" s="136"/>
    </row>
    <row r="75150" spans="1:2" x14ac:dyDescent="0.25">
      <c r="A75150" s="118"/>
      <c r="B75150" s="136"/>
    </row>
    <row r="75151" spans="1:2" x14ac:dyDescent="0.25">
      <c r="A75151" s="118"/>
      <c r="B75151" s="136"/>
    </row>
    <row r="75152" spans="1:2" x14ac:dyDescent="0.25">
      <c r="A75152" s="118"/>
      <c r="B75152" s="136"/>
    </row>
    <row r="75153" spans="1:2" x14ac:dyDescent="0.25">
      <c r="A75153" s="118"/>
      <c r="B75153" s="136"/>
    </row>
    <row r="75154" spans="1:2" x14ac:dyDescent="0.25">
      <c r="A75154" s="118"/>
      <c r="B75154" s="136"/>
    </row>
    <row r="75155" spans="1:2" x14ac:dyDescent="0.25">
      <c r="A75155" s="118"/>
      <c r="B75155" s="136"/>
    </row>
    <row r="75156" spans="1:2" x14ac:dyDescent="0.25">
      <c r="A75156" s="118"/>
      <c r="B75156" s="136"/>
    </row>
    <row r="75157" spans="1:2" x14ac:dyDescent="0.25">
      <c r="A75157" s="118"/>
      <c r="B75157" s="136"/>
    </row>
    <row r="75158" spans="1:2" x14ac:dyDescent="0.25">
      <c r="A75158" s="118"/>
      <c r="B75158" s="136"/>
    </row>
    <row r="75159" spans="1:2" x14ac:dyDescent="0.25">
      <c r="A75159" s="118"/>
      <c r="B75159" s="136"/>
    </row>
    <row r="75160" spans="1:2" x14ac:dyDescent="0.25">
      <c r="A75160" s="118"/>
      <c r="B75160" s="136"/>
    </row>
    <row r="75161" spans="1:2" x14ac:dyDescent="0.25">
      <c r="A75161" s="118"/>
      <c r="B75161" s="136"/>
    </row>
    <row r="75162" spans="1:2" x14ac:dyDescent="0.25">
      <c r="A75162" s="118"/>
      <c r="B75162" s="136"/>
    </row>
    <row r="75163" spans="1:2" x14ac:dyDescent="0.25">
      <c r="A75163" s="118"/>
      <c r="B75163" s="136"/>
    </row>
    <row r="75164" spans="1:2" x14ac:dyDescent="0.25">
      <c r="A75164" s="118"/>
      <c r="B75164" s="136"/>
    </row>
    <row r="75165" spans="1:2" x14ac:dyDescent="0.25">
      <c r="A75165" s="118"/>
      <c r="B75165" s="136"/>
    </row>
    <row r="75166" spans="1:2" x14ac:dyDescent="0.25">
      <c r="A75166" s="118"/>
      <c r="B75166" s="136"/>
    </row>
    <row r="75167" spans="1:2" x14ac:dyDescent="0.25">
      <c r="A75167" s="118"/>
      <c r="B75167" s="136"/>
    </row>
    <row r="75168" spans="1:2" x14ac:dyDescent="0.25">
      <c r="A75168" s="118"/>
      <c r="B75168" s="136"/>
    </row>
    <row r="75169" spans="1:2" x14ac:dyDescent="0.25">
      <c r="A75169" s="118"/>
      <c r="B75169" s="136"/>
    </row>
    <row r="75170" spans="1:2" x14ac:dyDescent="0.25">
      <c r="A75170" s="118"/>
      <c r="B75170" s="136"/>
    </row>
    <row r="75171" spans="1:2" x14ac:dyDescent="0.25">
      <c r="A75171" s="118"/>
      <c r="B75171" s="136"/>
    </row>
    <row r="75172" spans="1:2" x14ac:dyDescent="0.25">
      <c r="A75172" s="118"/>
      <c r="B75172" s="136"/>
    </row>
    <row r="75173" spans="1:2" x14ac:dyDescent="0.25">
      <c r="A75173" s="118"/>
      <c r="B75173" s="136"/>
    </row>
    <row r="75174" spans="1:2" x14ac:dyDescent="0.25">
      <c r="A75174" s="118"/>
      <c r="B75174" s="136"/>
    </row>
    <row r="75175" spans="1:2" x14ac:dyDescent="0.25">
      <c r="A75175" s="118"/>
      <c r="B75175" s="136"/>
    </row>
    <row r="75176" spans="1:2" x14ac:dyDescent="0.25">
      <c r="A75176" s="118"/>
      <c r="B75176" s="136"/>
    </row>
    <row r="75177" spans="1:2" x14ac:dyDescent="0.25">
      <c r="A75177" s="118"/>
      <c r="B75177" s="136"/>
    </row>
    <row r="75178" spans="1:2" x14ac:dyDescent="0.25">
      <c r="A75178" s="118"/>
      <c r="B75178" s="136"/>
    </row>
    <row r="75179" spans="1:2" x14ac:dyDescent="0.25">
      <c r="A75179" s="118"/>
      <c r="B75179" s="136"/>
    </row>
    <row r="75180" spans="1:2" x14ac:dyDescent="0.25">
      <c r="A75180" s="118"/>
      <c r="B75180" s="136"/>
    </row>
    <row r="75181" spans="1:2" x14ac:dyDescent="0.25">
      <c r="A75181" s="118"/>
      <c r="B75181" s="136"/>
    </row>
    <row r="75182" spans="1:2" x14ac:dyDescent="0.25">
      <c r="A75182" s="118"/>
      <c r="B75182" s="136"/>
    </row>
    <row r="75183" spans="1:2" x14ac:dyDescent="0.25">
      <c r="A75183" s="118"/>
      <c r="B75183" s="136"/>
    </row>
    <row r="75184" spans="1:2" x14ac:dyDescent="0.25">
      <c r="A75184" s="118"/>
      <c r="B75184" s="136"/>
    </row>
    <row r="75185" spans="1:2" x14ac:dyDescent="0.25">
      <c r="A75185" s="118"/>
      <c r="B75185" s="136"/>
    </row>
    <row r="75186" spans="1:2" x14ac:dyDescent="0.25">
      <c r="A75186" s="118"/>
      <c r="B75186" s="136"/>
    </row>
    <row r="75187" spans="1:2" x14ac:dyDescent="0.25">
      <c r="A75187" s="118"/>
      <c r="B75187" s="136"/>
    </row>
    <row r="75188" spans="1:2" x14ac:dyDescent="0.25">
      <c r="A75188" s="118"/>
      <c r="B75188" s="136"/>
    </row>
    <row r="75189" spans="1:2" x14ac:dyDescent="0.25">
      <c r="A75189" s="118"/>
      <c r="B75189" s="136"/>
    </row>
    <row r="75190" spans="1:2" x14ac:dyDescent="0.25">
      <c r="A75190" s="118"/>
      <c r="B75190" s="136"/>
    </row>
    <row r="75191" spans="1:2" x14ac:dyDescent="0.25">
      <c r="A75191" s="118"/>
      <c r="B75191" s="136"/>
    </row>
    <row r="75192" spans="1:2" x14ac:dyDescent="0.25">
      <c r="A75192" s="118"/>
      <c r="B75192" s="136"/>
    </row>
    <row r="75193" spans="1:2" x14ac:dyDescent="0.25">
      <c r="A75193" s="118"/>
      <c r="B75193" s="136"/>
    </row>
    <row r="75194" spans="1:2" x14ac:dyDescent="0.25">
      <c r="A75194" s="118"/>
      <c r="B75194" s="136"/>
    </row>
    <row r="75195" spans="1:2" x14ac:dyDescent="0.25">
      <c r="A75195" s="118"/>
      <c r="B75195" s="136"/>
    </row>
    <row r="75196" spans="1:2" x14ac:dyDescent="0.25">
      <c r="A75196" s="118"/>
      <c r="B75196" s="136"/>
    </row>
    <row r="75197" spans="1:2" x14ac:dyDescent="0.25">
      <c r="A75197" s="118"/>
      <c r="B75197" s="136"/>
    </row>
    <row r="75198" spans="1:2" x14ac:dyDescent="0.25">
      <c r="A75198" s="118"/>
      <c r="B75198" s="136"/>
    </row>
    <row r="75199" spans="1:2" x14ac:dyDescent="0.25">
      <c r="A75199" s="118"/>
      <c r="B75199" s="136"/>
    </row>
    <row r="75200" spans="1:2" x14ac:dyDescent="0.25">
      <c r="A75200" s="118"/>
      <c r="B75200" s="136"/>
    </row>
    <row r="75201" spans="1:2" x14ac:dyDescent="0.25">
      <c r="A75201" s="118"/>
      <c r="B75201" s="136"/>
    </row>
    <row r="75202" spans="1:2" x14ac:dyDescent="0.25">
      <c r="A75202" s="118"/>
      <c r="B75202" s="136"/>
    </row>
    <row r="75203" spans="1:2" x14ac:dyDescent="0.25">
      <c r="A75203" s="118"/>
      <c r="B75203" s="136"/>
    </row>
    <row r="75204" spans="1:2" x14ac:dyDescent="0.25">
      <c r="A75204" s="118"/>
      <c r="B75204" s="136"/>
    </row>
    <row r="75205" spans="1:2" x14ac:dyDescent="0.25">
      <c r="A75205" s="118"/>
      <c r="B75205" s="136"/>
    </row>
    <row r="75206" spans="1:2" x14ac:dyDescent="0.25">
      <c r="A75206" s="118"/>
      <c r="B75206" s="136"/>
    </row>
    <row r="75207" spans="1:2" x14ac:dyDescent="0.25">
      <c r="A75207" s="118"/>
      <c r="B75207" s="136"/>
    </row>
    <row r="75208" spans="1:2" x14ac:dyDescent="0.25">
      <c r="A75208" s="118"/>
      <c r="B75208" s="136"/>
    </row>
    <row r="75209" spans="1:2" x14ac:dyDescent="0.25">
      <c r="A75209" s="118"/>
      <c r="B75209" s="136"/>
    </row>
    <row r="75210" spans="1:2" x14ac:dyDescent="0.25">
      <c r="A75210" s="118"/>
      <c r="B75210" s="136"/>
    </row>
    <row r="75211" spans="1:2" x14ac:dyDescent="0.25">
      <c r="A75211" s="118"/>
      <c r="B75211" s="136"/>
    </row>
    <row r="75212" spans="1:2" x14ac:dyDescent="0.25">
      <c r="A75212" s="118"/>
      <c r="B75212" s="136"/>
    </row>
    <row r="75213" spans="1:2" x14ac:dyDescent="0.25">
      <c r="A75213" s="118"/>
      <c r="B75213" s="136"/>
    </row>
    <row r="75214" spans="1:2" x14ac:dyDescent="0.25">
      <c r="A75214" s="118"/>
      <c r="B75214" s="136"/>
    </row>
    <row r="75215" spans="1:2" x14ac:dyDescent="0.25">
      <c r="A75215" s="118"/>
      <c r="B75215" s="136"/>
    </row>
    <row r="75216" spans="1:2" x14ac:dyDescent="0.25">
      <c r="A75216" s="118"/>
      <c r="B75216" s="136"/>
    </row>
    <row r="75217" spans="1:2" x14ac:dyDescent="0.25">
      <c r="A75217" s="118"/>
      <c r="B75217" s="136"/>
    </row>
    <row r="75218" spans="1:2" x14ac:dyDescent="0.25">
      <c r="A75218" s="118"/>
      <c r="B75218" s="136"/>
    </row>
    <row r="75219" spans="1:2" x14ac:dyDescent="0.25">
      <c r="A75219" s="118"/>
      <c r="B75219" s="136"/>
    </row>
    <row r="75220" spans="1:2" x14ac:dyDescent="0.25">
      <c r="A75220" s="118"/>
      <c r="B75220" s="136"/>
    </row>
    <row r="75221" spans="1:2" x14ac:dyDescent="0.25">
      <c r="A75221" s="118"/>
      <c r="B75221" s="136"/>
    </row>
    <row r="75222" spans="1:2" x14ac:dyDescent="0.25">
      <c r="A75222" s="118"/>
      <c r="B75222" s="136"/>
    </row>
    <row r="75223" spans="1:2" x14ac:dyDescent="0.25">
      <c r="A75223" s="118"/>
      <c r="B75223" s="136"/>
    </row>
    <row r="75224" spans="1:2" x14ac:dyDescent="0.25">
      <c r="A75224" s="118"/>
      <c r="B75224" s="136"/>
    </row>
    <row r="75225" spans="1:2" x14ac:dyDescent="0.25">
      <c r="A75225" s="118"/>
      <c r="B75225" s="136"/>
    </row>
    <row r="75226" spans="1:2" x14ac:dyDescent="0.25">
      <c r="A75226" s="118"/>
      <c r="B75226" s="136"/>
    </row>
    <row r="75227" spans="1:2" x14ac:dyDescent="0.25">
      <c r="A75227" s="118"/>
      <c r="B75227" s="136"/>
    </row>
    <row r="75228" spans="1:2" x14ac:dyDescent="0.25">
      <c r="A75228" s="118"/>
      <c r="B75228" s="136"/>
    </row>
    <row r="75229" spans="1:2" x14ac:dyDescent="0.25">
      <c r="A75229" s="118"/>
      <c r="B75229" s="136"/>
    </row>
    <row r="75230" spans="1:2" x14ac:dyDescent="0.25">
      <c r="A75230" s="118"/>
      <c r="B75230" s="136"/>
    </row>
    <row r="75231" spans="1:2" x14ac:dyDescent="0.25">
      <c r="A75231" s="118"/>
      <c r="B75231" s="136"/>
    </row>
    <row r="75232" spans="1:2" x14ac:dyDescent="0.25">
      <c r="A75232" s="118"/>
      <c r="B75232" s="136"/>
    </row>
    <row r="75233" spans="1:2" x14ac:dyDescent="0.25">
      <c r="A75233" s="118"/>
      <c r="B75233" s="136"/>
    </row>
    <row r="75234" spans="1:2" x14ac:dyDescent="0.25">
      <c r="A75234" s="118"/>
      <c r="B75234" s="136"/>
    </row>
    <row r="75235" spans="1:2" x14ac:dyDescent="0.25">
      <c r="A75235" s="118"/>
      <c r="B75235" s="136"/>
    </row>
    <row r="75236" spans="1:2" x14ac:dyDescent="0.25">
      <c r="A75236" s="118"/>
      <c r="B75236" s="136"/>
    </row>
    <row r="75237" spans="1:2" x14ac:dyDescent="0.25">
      <c r="A75237" s="118"/>
      <c r="B75237" s="136"/>
    </row>
    <row r="75238" spans="1:2" x14ac:dyDescent="0.25">
      <c r="A75238" s="118"/>
      <c r="B75238" s="136"/>
    </row>
    <row r="75239" spans="1:2" x14ac:dyDescent="0.25">
      <c r="A75239" s="118"/>
      <c r="B75239" s="136"/>
    </row>
    <row r="75240" spans="1:2" x14ac:dyDescent="0.25">
      <c r="A75240" s="118"/>
      <c r="B75240" s="136"/>
    </row>
    <row r="75241" spans="1:2" x14ac:dyDescent="0.25">
      <c r="A75241" s="118"/>
      <c r="B75241" s="136"/>
    </row>
    <row r="75242" spans="1:2" x14ac:dyDescent="0.25">
      <c r="A75242" s="118"/>
      <c r="B75242" s="136"/>
    </row>
    <row r="75243" spans="1:2" x14ac:dyDescent="0.25">
      <c r="A75243" s="118"/>
      <c r="B75243" s="136"/>
    </row>
    <row r="75244" spans="1:2" x14ac:dyDescent="0.25">
      <c r="A75244" s="118"/>
      <c r="B75244" s="136"/>
    </row>
    <row r="75245" spans="1:2" x14ac:dyDescent="0.25">
      <c r="A75245" s="118"/>
      <c r="B75245" s="136"/>
    </row>
    <row r="75246" spans="1:2" x14ac:dyDescent="0.25">
      <c r="A75246" s="118"/>
      <c r="B75246" s="136"/>
    </row>
    <row r="75247" spans="1:2" x14ac:dyDescent="0.25">
      <c r="A75247" s="118"/>
      <c r="B75247" s="136"/>
    </row>
    <row r="75248" spans="1:2" x14ac:dyDescent="0.25">
      <c r="A75248" s="118"/>
      <c r="B75248" s="136"/>
    </row>
    <row r="75249" spans="1:2" x14ac:dyDescent="0.25">
      <c r="A75249" s="118"/>
      <c r="B75249" s="136"/>
    </row>
    <row r="75250" spans="1:2" x14ac:dyDescent="0.25">
      <c r="A75250" s="118"/>
      <c r="B75250" s="136"/>
    </row>
    <row r="75251" spans="1:2" x14ac:dyDescent="0.25">
      <c r="A75251" s="118"/>
      <c r="B75251" s="136"/>
    </row>
    <row r="75252" spans="1:2" x14ac:dyDescent="0.25">
      <c r="A75252" s="118"/>
      <c r="B75252" s="136"/>
    </row>
    <row r="75253" spans="1:2" x14ac:dyDescent="0.25">
      <c r="A75253" s="118"/>
      <c r="B75253" s="136"/>
    </row>
    <row r="75254" spans="1:2" x14ac:dyDescent="0.25">
      <c r="A75254" s="118"/>
      <c r="B75254" s="136"/>
    </row>
    <row r="75255" spans="1:2" x14ac:dyDescent="0.25">
      <c r="A75255" s="118"/>
      <c r="B75255" s="136"/>
    </row>
    <row r="75256" spans="1:2" x14ac:dyDescent="0.25">
      <c r="A75256" s="118"/>
      <c r="B75256" s="136"/>
    </row>
    <row r="75257" spans="1:2" x14ac:dyDescent="0.25">
      <c r="A75257" s="118"/>
      <c r="B75257" s="136"/>
    </row>
    <row r="75258" spans="1:2" x14ac:dyDescent="0.25">
      <c r="A75258" s="118"/>
      <c r="B75258" s="136"/>
    </row>
    <row r="75259" spans="1:2" x14ac:dyDescent="0.25">
      <c r="A75259" s="118"/>
      <c r="B75259" s="136"/>
    </row>
    <row r="75260" spans="1:2" x14ac:dyDescent="0.25">
      <c r="A75260" s="118"/>
      <c r="B75260" s="136"/>
    </row>
    <row r="75261" spans="1:2" x14ac:dyDescent="0.25">
      <c r="A75261" s="118"/>
      <c r="B75261" s="136"/>
    </row>
    <row r="75262" spans="1:2" x14ac:dyDescent="0.25">
      <c r="A75262" s="118"/>
      <c r="B75262" s="136"/>
    </row>
    <row r="75263" spans="1:2" x14ac:dyDescent="0.25">
      <c r="A75263" s="118"/>
      <c r="B75263" s="136"/>
    </row>
    <row r="75264" spans="1:2" x14ac:dyDescent="0.25">
      <c r="A75264" s="118"/>
      <c r="B75264" s="136"/>
    </row>
    <row r="75265" spans="1:2" x14ac:dyDescent="0.25">
      <c r="A75265" s="118"/>
      <c r="B75265" s="136"/>
    </row>
    <row r="75266" spans="1:2" x14ac:dyDescent="0.25">
      <c r="A75266" s="118"/>
      <c r="B75266" s="136"/>
    </row>
    <row r="75267" spans="1:2" x14ac:dyDescent="0.25">
      <c r="A75267" s="118"/>
      <c r="B75267" s="136"/>
    </row>
    <row r="75268" spans="1:2" x14ac:dyDescent="0.25">
      <c r="A75268" s="118"/>
      <c r="B75268" s="136"/>
    </row>
    <row r="75269" spans="1:2" x14ac:dyDescent="0.25">
      <c r="A75269" s="118"/>
      <c r="B75269" s="136"/>
    </row>
    <row r="75270" spans="1:2" x14ac:dyDescent="0.25">
      <c r="A75270" s="118"/>
      <c r="B75270" s="136"/>
    </row>
    <row r="75271" spans="1:2" x14ac:dyDescent="0.25">
      <c r="A75271" s="118"/>
      <c r="B75271" s="136"/>
    </row>
    <row r="75272" spans="1:2" x14ac:dyDescent="0.25">
      <c r="A75272" s="118"/>
      <c r="B75272" s="136"/>
    </row>
    <row r="75273" spans="1:2" x14ac:dyDescent="0.25">
      <c r="A75273" s="118"/>
      <c r="B75273" s="136"/>
    </row>
    <row r="75274" spans="1:2" x14ac:dyDescent="0.25">
      <c r="A75274" s="118"/>
      <c r="B75274" s="136"/>
    </row>
    <row r="75275" spans="1:2" x14ac:dyDescent="0.25">
      <c r="A75275" s="118"/>
      <c r="B75275" s="136"/>
    </row>
    <row r="75276" spans="1:2" x14ac:dyDescent="0.25">
      <c r="A75276" s="118"/>
      <c r="B75276" s="136"/>
    </row>
    <row r="75277" spans="1:2" x14ac:dyDescent="0.25">
      <c r="A75277" s="118"/>
      <c r="B75277" s="136"/>
    </row>
    <row r="75278" spans="1:2" x14ac:dyDescent="0.25">
      <c r="A75278" s="118"/>
      <c r="B75278" s="136"/>
    </row>
    <row r="75279" spans="1:2" x14ac:dyDescent="0.25">
      <c r="A75279" s="118"/>
      <c r="B75279" s="136"/>
    </row>
    <row r="75280" spans="1:2" x14ac:dyDescent="0.25">
      <c r="A75280" s="118"/>
      <c r="B75280" s="136"/>
    </row>
    <row r="75281" spans="1:2" x14ac:dyDescent="0.25">
      <c r="A75281" s="118"/>
      <c r="B75281" s="136"/>
    </row>
    <row r="75282" spans="1:2" x14ac:dyDescent="0.25">
      <c r="A75282" s="118"/>
      <c r="B75282" s="136"/>
    </row>
    <row r="75283" spans="1:2" x14ac:dyDescent="0.25">
      <c r="A75283" s="118"/>
      <c r="B75283" s="136"/>
    </row>
    <row r="75284" spans="1:2" x14ac:dyDescent="0.25">
      <c r="A75284" s="118"/>
      <c r="B75284" s="136"/>
    </row>
    <row r="75285" spans="1:2" x14ac:dyDescent="0.25">
      <c r="A75285" s="118"/>
      <c r="B75285" s="136"/>
    </row>
    <row r="75286" spans="1:2" x14ac:dyDescent="0.25">
      <c r="A75286" s="118"/>
      <c r="B75286" s="136"/>
    </row>
    <row r="75287" spans="1:2" x14ac:dyDescent="0.25">
      <c r="A75287" s="118"/>
      <c r="B75287" s="136"/>
    </row>
    <row r="75288" spans="1:2" x14ac:dyDescent="0.25">
      <c r="A75288" s="118"/>
      <c r="B75288" s="136"/>
    </row>
    <row r="75289" spans="1:2" x14ac:dyDescent="0.25">
      <c r="A75289" s="118"/>
      <c r="B75289" s="136"/>
    </row>
    <row r="75290" spans="1:2" x14ac:dyDescent="0.25">
      <c r="A75290" s="118"/>
      <c r="B75290" s="136"/>
    </row>
    <row r="75291" spans="1:2" x14ac:dyDescent="0.25">
      <c r="A75291" s="118"/>
      <c r="B75291" s="136"/>
    </row>
    <row r="75292" spans="1:2" x14ac:dyDescent="0.25">
      <c r="A75292" s="118"/>
      <c r="B75292" s="136"/>
    </row>
    <row r="75293" spans="1:2" x14ac:dyDescent="0.25">
      <c r="A75293" s="118"/>
      <c r="B75293" s="136"/>
    </row>
    <row r="75294" spans="1:2" x14ac:dyDescent="0.25">
      <c r="A75294" s="118"/>
      <c r="B75294" s="136"/>
    </row>
    <row r="75295" spans="1:2" x14ac:dyDescent="0.25">
      <c r="A75295" s="118"/>
      <c r="B75295" s="136"/>
    </row>
    <row r="75296" spans="1:2" x14ac:dyDescent="0.25">
      <c r="A75296" s="118"/>
      <c r="B75296" s="136"/>
    </row>
    <row r="75297" spans="1:2" x14ac:dyDescent="0.25">
      <c r="A75297" s="118"/>
      <c r="B75297" s="136"/>
    </row>
    <row r="75298" spans="1:2" x14ac:dyDescent="0.25">
      <c r="A75298" s="118"/>
      <c r="B75298" s="136"/>
    </row>
    <row r="75299" spans="1:2" x14ac:dyDescent="0.25">
      <c r="A75299" s="118"/>
      <c r="B75299" s="136"/>
    </row>
    <row r="75300" spans="1:2" x14ac:dyDescent="0.25">
      <c r="A75300" s="118"/>
      <c r="B75300" s="136"/>
    </row>
    <row r="75301" spans="1:2" x14ac:dyDescent="0.25">
      <c r="A75301" s="118"/>
      <c r="B75301" s="136"/>
    </row>
    <row r="75302" spans="1:2" x14ac:dyDescent="0.25">
      <c r="A75302" s="118"/>
      <c r="B75302" s="136"/>
    </row>
    <row r="75303" spans="1:2" x14ac:dyDescent="0.25">
      <c r="A75303" s="118"/>
      <c r="B75303" s="136"/>
    </row>
    <row r="75304" spans="1:2" x14ac:dyDescent="0.25">
      <c r="A75304" s="118"/>
      <c r="B75304" s="136"/>
    </row>
    <row r="75305" spans="1:2" x14ac:dyDescent="0.25">
      <c r="A75305" s="118"/>
      <c r="B75305" s="136"/>
    </row>
    <row r="75306" spans="1:2" x14ac:dyDescent="0.25">
      <c r="A75306" s="118"/>
      <c r="B75306" s="136"/>
    </row>
    <row r="75307" spans="1:2" x14ac:dyDescent="0.25">
      <c r="A75307" s="118"/>
      <c r="B75307" s="136"/>
    </row>
    <row r="75308" spans="1:2" x14ac:dyDescent="0.25">
      <c r="A75308" s="118"/>
      <c r="B75308" s="136"/>
    </row>
    <row r="75309" spans="1:2" x14ac:dyDescent="0.25">
      <c r="A75309" s="118"/>
      <c r="B75309" s="136"/>
    </row>
    <row r="75310" spans="1:2" x14ac:dyDescent="0.25">
      <c r="A75310" s="118"/>
      <c r="B75310" s="136"/>
    </row>
    <row r="75311" spans="1:2" x14ac:dyDescent="0.25">
      <c r="A75311" s="118"/>
      <c r="B75311" s="136"/>
    </row>
    <row r="75312" spans="1:2" x14ac:dyDescent="0.25">
      <c r="A75312" s="118"/>
      <c r="B75312" s="136"/>
    </row>
    <row r="75313" spans="1:2" x14ac:dyDescent="0.25">
      <c r="A75313" s="118"/>
      <c r="B75313" s="136"/>
    </row>
    <row r="75314" spans="1:2" x14ac:dyDescent="0.25">
      <c r="A75314" s="118"/>
      <c r="B75314" s="136"/>
    </row>
    <row r="75315" spans="1:2" x14ac:dyDescent="0.25">
      <c r="A75315" s="118"/>
      <c r="B75315" s="136"/>
    </row>
    <row r="75316" spans="1:2" x14ac:dyDescent="0.25">
      <c r="A75316" s="118"/>
      <c r="B75316" s="136"/>
    </row>
    <row r="75317" spans="1:2" x14ac:dyDescent="0.25">
      <c r="A75317" s="118"/>
      <c r="B75317" s="136"/>
    </row>
    <row r="75318" spans="1:2" x14ac:dyDescent="0.25">
      <c r="A75318" s="118"/>
      <c r="B75318" s="136"/>
    </row>
    <row r="75319" spans="1:2" x14ac:dyDescent="0.25">
      <c r="A75319" s="118"/>
      <c r="B75319" s="136"/>
    </row>
    <row r="75320" spans="1:2" x14ac:dyDescent="0.25">
      <c r="A75320" s="118"/>
      <c r="B75320" s="136"/>
    </row>
    <row r="75321" spans="1:2" x14ac:dyDescent="0.25">
      <c r="A75321" s="118"/>
      <c r="B75321" s="136"/>
    </row>
    <row r="75322" spans="1:2" x14ac:dyDescent="0.25">
      <c r="A75322" s="118"/>
      <c r="B75322" s="136"/>
    </row>
    <row r="75323" spans="1:2" x14ac:dyDescent="0.25">
      <c r="A75323" s="118"/>
      <c r="B75323" s="136"/>
    </row>
    <row r="75324" spans="1:2" x14ac:dyDescent="0.25">
      <c r="A75324" s="118"/>
      <c r="B75324" s="136"/>
    </row>
    <row r="75325" spans="1:2" x14ac:dyDescent="0.25">
      <c r="A75325" s="118"/>
      <c r="B75325" s="136"/>
    </row>
    <row r="75326" spans="1:2" x14ac:dyDescent="0.25">
      <c r="A75326" s="118"/>
      <c r="B75326" s="136"/>
    </row>
    <row r="75327" spans="1:2" x14ac:dyDescent="0.25">
      <c r="A75327" s="118"/>
      <c r="B75327" s="136"/>
    </row>
    <row r="75328" spans="1:2" x14ac:dyDescent="0.25">
      <c r="A75328" s="118"/>
      <c r="B75328" s="136"/>
    </row>
    <row r="75329" spans="1:2" x14ac:dyDescent="0.25">
      <c r="A75329" s="118"/>
      <c r="B75329" s="136"/>
    </row>
    <row r="75330" spans="1:2" x14ac:dyDescent="0.25">
      <c r="A75330" s="118"/>
      <c r="B75330" s="136"/>
    </row>
    <row r="75331" spans="1:2" x14ac:dyDescent="0.25">
      <c r="A75331" s="118"/>
      <c r="B75331" s="136"/>
    </row>
    <row r="75332" spans="1:2" x14ac:dyDescent="0.25">
      <c r="A75332" s="118"/>
      <c r="B75332" s="136"/>
    </row>
    <row r="75333" spans="1:2" x14ac:dyDescent="0.25">
      <c r="A75333" s="118"/>
      <c r="B75333" s="136"/>
    </row>
    <row r="75334" spans="1:2" x14ac:dyDescent="0.25">
      <c r="A75334" s="118"/>
      <c r="B75334" s="136"/>
    </row>
    <row r="75335" spans="1:2" x14ac:dyDescent="0.25">
      <c r="A75335" s="118"/>
      <c r="B75335" s="136"/>
    </row>
    <row r="75336" spans="1:2" x14ac:dyDescent="0.25">
      <c r="A75336" s="118"/>
      <c r="B75336" s="136"/>
    </row>
    <row r="75337" spans="1:2" x14ac:dyDescent="0.25">
      <c r="A75337" s="118"/>
      <c r="B75337" s="136"/>
    </row>
    <row r="75338" spans="1:2" x14ac:dyDescent="0.25">
      <c r="A75338" s="118"/>
      <c r="B75338" s="136"/>
    </row>
    <row r="75339" spans="1:2" x14ac:dyDescent="0.25">
      <c r="A75339" s="118"/>
      <c r="B75339" s="136"/>
    </row>
    <row r="75340" spans="1:2" x14ac:dyDescent="0.25">
      <c r="A75340" s="118"/>
      <c r="B75340" s="136"/>
    </row>
    <row r="75341" spans="1:2" x14ac:dyDescent="0.25">
      <c r="A75341" s="118"/>
      <c r="B75341" s="136"/>
    </row>
    <row r="75342" spans="1:2" x14ac:dyDescent="0.25">
      <c r="A75342" s="118"/>
      <c r="B75342" s="136"/>
    </row>
    <row r="75343" spans="1:2" x14ac:dyDescent="0.25">
      <c r="A75343" s="118"/>
      <c r="B75343" s="136"/>
    </row>
    <row r="75344" spans="1:2" x14ac:dyDescent="0.25">
      <c r="A75344" s="118"/>
      <c r="B75344" s="136"/>
    </row>
    <row r="75345" spans="1:2" x14ac:dyDescent="0.25">
      <c r="A75345" s="118"/>
      <c r="B75345" s="136"/>
    </row>
    <row r="75346" spans="1:2" x14ac:dyDescent="0.25">
      <c r="A75346" s="118"/>
      <c r="B75346" s="136"/>
    </row>
    <row r="75347" spans="1:2" x14ac:dyDescent="0.25">
      <c r="A75347" s="118"/>
      <c r="B75347" s="136"/>
    </row>
    <row r="75348" spans="1:2" x14ac:dyDescent="0.25">
      <c r="A75348" s="118"/>
      <c r="B75348" s="136"/>
    </row>
    <row r="75349" spans="1:2" x14ac:dyDescent="0.25">
      <c r="A75349" s="118"/>
      <c r="B75349" s="136"/>
    </row>
    <row r="75350" spans="1:2" x14ac:dyDescent="0.25">
      <c r="A75350" s="118"/>
      <c r="B75350" s="136"/>
    </row>
    <row r="75351" spans="1:2" x14ac:dyDescent="0.25">
      <c r="A75351" s="118"/>
      <c r="B75351" s="136"/>
    </row>
    <row r="75352" spans="1:2" x14ac:dyDescent="0.25">
      <c r="A75352" s="118"/>
      <c r="B75352" s="136"/>
    </row>
    <row r="75353" spans="1:2" x14ac:dyDescent="0.25">
      <c r="A75353" s="118"/>
      <c r="B75353" s="136"/>
    </row>
    <row r="75354" spans="1:2" x14ac:dyDescent="0.25">
      <c r="A75354" s="118"/>
      <c r="B75354" s="136"/>
    </row>
    <row r="75355" spans="1:2" x14ac:dyDescent="0.25">
      <c r="A75355" s="118"/>
      <c r="B75355" s="136"/>
    </row>
    <row r="75356" spans="1:2" x14ac:dyDescent="0.25">
      <c r="A75356" s="118"/>
      <c r="B75356" s="136"/>
    </row>
    <row r="75357" spans="1:2" x14ac:dyDescent="0.25">
      <c r="A75357" s="118"/>
      <c r="B75357" s="136"/>
    </row>
    <row r="75358" spans="1:2" x14ac:dyDescent="0.25">
      <c r="A75358" s="118"/>
      <c r="B75358" s="136"/>
    </row>
    <row r="75359" spans="1:2" x14ac:dyDescent="0.25">
      <c r="A75359" s="118"/>
      <c r="B75359" s="136"/>
    </row>
    <row r="75360" spans="1:2" x14ac:dyDescent="0.25">
      <c r="A75360" s="118"/>
      <c r="B75360" s="136"/>
    </row>
    <row r="75361" spans="1:2" x14ac:dyDescent="0.25">
      <c r="A75361" s="118"/>
      <c r="B75361" s="136"/>
    </row>
    <row r="75362" spans="1:2" x14ac:dyDescent="0.25">
      <c r="A75362" s="118"/>
      <c r="B75362" s="136"/>
    </row>
    <row r="75363" spans="1:2" x14ac:dyDescent="0.25">
      <c r="A75363" s="118"/>
      <c r="B75363" s="136"/>
    </row>
    <row r="75364" spans="1:2" x14ac:dyDescent="0.25">
      <c r="A75364" s="118"/>
      <c r="B75364" s="136"/>
    </row>
    <row r="75365" spans="1:2" x14ac:dyDescent="0.25">
      <c r="A75365" s="118"/>
      <c r="B75365" s="136"/>
    </row>
    <row r="75366" spans="1:2" x14ac:dyDescent="0.25">
      <c r="A75366" s="118"/>
      <c r="B75366" s="136"/>
    </row>
    <row r="75367" spans="1:2" x14ac:dyDescent="0.25">
      <c r="A75367" s="118"/>
      <c r="B75367" s="136"/>
    </row>
    <row r="75368" spans="1:2" x14ac:dyDescent="0.25">
      <c r="A75368" s="118"/>
      <c r="B75368" s="136"/>
    </row>
    <row r="75369" spans="1:2" x14ac:dyDescent="0.25">
      <c r="A75369" s="118"/>
      <c r="B75369" s="136"/>
    </row>
    <row r="75370" spans="1:2" x14ac:dyDescent="0.25">
      <c r="A75370" s="118"/>
      <c r="B75370" s="136"/>
    </row>
    <row r="75371" spans="1:2" x14ac:dyDescent="0.25">
      <c r="A75371" s="118"/>
      <c r="B75371" s="136"/>
    </row>
    <row r="75372" spans="1:2" x14ac:dyDescent="0.25">
      <c r="A75372" s="118"/>
      <c r="B75372" s="136"/>
    </row>
    <row r="75373" spans="1:2" x14ac:dyDescent="0.25">
      <c r="A75373" s="118"/>
      <c r="B75373" s="136"/>
    </row>
    <row r="75374" spans="1:2" x14ac:dyDescent="0.25">
      <c r="A75374" s="118"/>
      <c r="B75374" s="136"/>
    </row>
    <row r="75375" spans="1:2" x14ac:dyDescent="0.25">
      <c r="A75375" s="118"/>
      <c r="B75375" s="136"/>
    </row>
    <row r="75376" spans="1:2" x14ac:dyDescent="0.25">
      <c r="A75376" s="118"/>
      <c r="B75376" s="136"/>
    </row>
    <row r="75377" spans="1:2" x14ac:dyDescent="0.25">
      <c r="A75377" s="118"/>
      <c r="B75377" s="136"/>
    </row>
    <row r="75378" spans="1:2" x14ac:dyDescent="0.25">
      <c r="A75378" s="118"/>
      <c r="B75378" s="136"/>
    </row>
    <row r="75379" spans="1:2" x14ac:dyDescent="0.25">
      <c r="A75379" s="118"/>
      <c r="B75379" s="136"/>
    </row>
    <row r="75380" spans="1:2" x14ac:dyDescent="0.25">
      <c r="A75380" s="118"/>
      <c r="B75380" s="136"/>
    </row>
    <row r="75381" spans="1:2" x14ac:dyDescent="0.25">
      <c r="A75381" s="118"/>
      <c r="B75381" s="136"/>
    </row>
    <row r="75382" spans="1:2" x14ac:dyDescent="0.25">
      <c r="A75382" s="118"/>
      <c r="B75382" s="136"/>
    </row>
    <row r="75383" spans="1:2" x14ac:dyDescent="0.25">
      <c r="A75383" s="118"/>
      <c r="B75383" s="136"/>
    </row>
    <row r="75384" spans="1:2" x14ac:dyDescent="0.25">
      <c r="A75384" s="118"/>
      <c r="B75384" s="136"/>
    </row>
    <row r="75385" spans="1:2" x14ac:dyDescent="0.25">
      <c r="A75385" s="118"/>
      <c r="B75385" s="136"/>
    </row>
    <row r="75386" spans="1:2" x14ac:dyDescent="0.25">
      <c r="A75386" s="118"/>
      <c r="B75386" s="136"/>
    </row>
    <row r="75387" spans="1:2" x14ac:dyDescent="0.25">
      <c r="A75387" s="118"/>
      <c r="B75387" s="136"/>
    </row>
    <row r="75388" spans="1:2" x14ac:dyDescent="0.25">
      <c r="A75388" s="118"/>
      <c r="B75388" s="136"/>
    </row>
    <row r="75389" spans="1:2" x14ac:dyDescent="0.25">
      <c r="A75389" s="118"/>
      <c r="B75389" s="136"/>
    </row>
    <row r="75390" spans="1:2" x14ac:dyDescent="0.25">
      <c r="A75390" s="118"/>
      <c r="B75390" s="136"/>
    </row>
    <row r="75391" spans="1:2" x14ac:dyDescent="0.25">
      <c r="A75391" s="118"/>
      <c r="B75391" s="136"/>
    </row>
    <row r="75392" spans="1:2" x14ac:dyDescent="0.25">
      <c r="A75392" s="118"/>
      <c r="B75392" s="136"/>
    </row>
    <row r="75393" spans="1:2" x14ac:dyDescent="0.25">
      <c r="A75393" s="118"/>
      <c r="B75393" s="136"/>
    </row>
    <row r="75394" spans="1:2" x14ac:dyDescent="0.25">
      <c r="A75394" s="118"/>
      <c r="B75394" s="136"/>
    </row>
    <row r="75395" spans="1:2" x14ac:dyDescent="0.25">
      <c r="A75395" s="118"/>
      <c r="B75395" s="136"/>
    </row>
    <row r="75396" spans="1:2" x14ac:dyDescent="0.25">
      <c r="A75396" s="118"/>
      <c r="B75396" s="136"/>
    </row>
    <row r="75397" spans="1:2" x14ac:dyDescent="0.25">
      <c r="A75397" s="118"/>
      <c r="B75397" s="136"/>
    </row>
    <row r="75398" spans="1:2" x14ac:dyDescent="0.25">
      <c r="A75398" s="118"/>
      <c r="B75398" s="136"/>
    </row>
    <row r="75399" spans="1:2" x14ac:dyDescent="0.25">
      <c r="A75399" s="118"/>
      <c r="B75399" s="136"/>
    </row>
    <row r="75400" spans="1:2" x14ac:dyDescent="0.25">
      <c r="A75400" s="118"/>
      <c r="B75400" s="136"/>
    </row>
    <row r="75401" spans="1:2" x14ac:dyDescent="0.25">
      <c r="A75401" s="118"/>
      <c r="B75401" s="136"/>
    </row>
    <row r="75402" spans="1:2" x14ac:dyDescent="0.25">
      <c r="A75402" s="118"/>
      <c r="B75402" s="136"/>
    </row>
    <row r="75403" spans="1:2" x14ac:dyDescent="0.25">
      <c r="A75403" s="118"/>
      <c r="B75403" s="136"/>
    </row>
    <row r="75404" spans="1:2" x14ac:dyDescent="0.25">
      <c r="A75404" s="118"/>
      <c r="B75404" s="136"/>
    </row>
    <row r="75405" spans="1:2" x14ac:dyDescent="0.25">
      <c r="A75405" s="118"/>
      <c r="B75405" s="136"/>
    </row>
    <row r="75406" spans="1:2" x14ac:dyDescent="0.25">
      <c r="A75406" s="118"/>
      <c r="B75406" s="136"/>
    </row>
    <row r="75407" spans="1:2" x14ac:dyDescent="0.25">
      <c r="A75407" s="118"/>
      <c r="B75407" s="136"/>
    </row>
    <row r="75408" spans="1:2" x14ac:dyDescent="0.25">
      <c r="A75408" s="118"/>
      <c r="B75408" s="136"/>
    </row>
    <row r="75409" spans="1:2" x14ac:dyDescent="0.25">
      <c r="A75409" s="118"/>
      <c r="B75409" s="136"/>
    </row>
    <row r="75410" spans="1:2" x14ac:dyDescent="0.25">
      <c r="A75410" s="118"/>
      <c r="B75410" s="136"/>
    </row>
    <row r="75411" spans="1:2" x14ac:dyDescent="0.25">
      <c r="A75411" s="118"/>
      <c r="B75411" s="136"/>
    </row>
    <row r="75412" spans="1:2" x14ac:dyDescent="0.25">
      <c r="A75412" s="118"/>
      <c r="B75412" s="136"/>
    </row>
    <row r="75413" spans="1:2" x14ac:dyDescent="0.25">
      <c r="A75413" s="118"/>
      <c r="B75413" s="136"/>
    </row>
    <row r="75414" spans="1:2" x14ac:dyDescent="0.25">
      <c r="A75414" s="118"/>
      <c r="B75414" s="136"/>
    </row>
    <row r="75415" spans="1:2" x14ac:dyDescent="0.25">
      <c r="A75415" s="118"/>
      <c r="B75415" s="136"/>
    </row>
    <row r="75416" spans="1:2" x14ac:dyDescent="0.25">
      <c r="A75416" s="118"/>
      <c r="B75416" s="136"/>
    </row>
    <row r="75417" spans="1:2" x14ac:dyDescent="0.25">
      <c r="A75417" s="118"/>
      <c r="B75417" s="136"/>
    </row>
    <row r="75418" spans="1:2" x14ac:dyDescent="0.25">
      <c r="A75418" s="118"/>
      <c r="B75418" s="136"/>
    </row>
    <row r="75419" spans="1:2" x14ac:dyDescent="0.25">
      <c r="A75419" s="118"/>
      <c r="B75419" s="136"/>
    </row>
    <row r="75420" spans="1:2" x14ac:dyDescent="0.25">
      <c r="A75420" s="118"/>
      <c r="B75420" s="136"/>
    </row>
    <row r="75421" spans="1:2" x14ac:dyDescent="0.25">
      <c r="A75421" s="118"/>
      <c r="B75421" s="136"/>
    </row>
    <row r="75422" spans="1:2" x14ac:dyDescent="0.25">
      <c r="A75422" s="118"/>
      <c r="B75422" s="136"/>
    </row>
    <row r="75423" spans="1:2" x14ac:dyDescent="0.25">
      <c r="A75423" s="118"/>
      <c r="B75423" s="136"/>
    </row>
    <row r="75424" spans="1:2" x14ac:dyDescent="0.25">
      <c r="A75424" s="118"/>
      <c r="B75424" s="136"/>
    </row>
    <row r="75425" spans="1:2" x14ac:dyDescent="0.25">
      <c r="A75425" s="118"/>
      <c r="B75425" s="136"/>
    </row>
    <row r="75426" spans="1:2" x14ac:dyDescent="0.25">
      <c r="A75426" s="118"/>
      <c r="B75426" s="136"/>
    </row>
    <row r="75427" spans="1:2" x14ac:dyDescent="0.25">
      <c r="A75427" s="118"/>
      <c r="B75427" s="136"/>
    </row>
    <row r="75428" spans="1:2" x14ac:dyDescent="0.25">
      <c r="A75428" s="118"/>
      <c r="B75428" s="136"/>
    </row>
    <row r="75429" spans="1:2" x14ac:dyDescent="0.25">
      <c r="A75429" s="118"/>
      <c r="B75429" s="136"/>
    </row>
    <row r="75430" spans="1:2" x14ac:dyDescent="0.25">
      <c r="A75430" s="118"/>
      <c r="B75430" s="136"/>
    </row>
    <row r="75431" spans="1:2" x14ac:dyDescent="0.25">
      <c r="A75431" s="118"/>
      <c r="B75431" s="136"/>
    </row>
    <row r="75432" spans="1:2" x14ac:dyDescent="0.25">
      <c r="A75432" s="118"/>
      <c r="B75432" s="136"/>
    </row>
    <row r="75433" spans="1:2" x14ac:dyDescent="0.25">
      <c r="A75433" s="118"/>
      <c r="B75433" s="136"/>
    </row>
    <row r="75434" spans="1:2" x14ac:dyDescent="0.25">
      <c r="A75434" s="118"/>
      <c r="B75434" s="136"/>
    </row>
    <row r="75435" spans="1:2" x14ac:dyDescent="0.25">
      <c r="A75435" s="118"/>
      <c r="B75435" s="136"/>
    </row>
    <row r="75436" spans="1:2" x14ac:dyDescent="0.25">
      <c r="A75436" s="118"/>
      <c r="B75436" s="136"/>
    </row>
    <row r="75437" spans="1:2" x14ac:dyDescent="0.25">
      <c r="A75437" s="118"/>
      <c r="B75437" s="136"/>
    </row>
    <row r="75438" spans="1:2" x14ac:dyDescent="0.25">
      <c r="A75438" s="118"/>
      <c r="B75438" s="136"/>
    </row>
    <row r="75439" spans="1:2" x14ac:dyDescent="0.25">
      <c r="A75439" s="118"/>
      <c r="B75439" s="136"/>
    </row>
    <row r="75440" spans="1:2" x14ac:dyDescent="0.25">
      <c r="A75440" s="118"/>
      <c r="B75440" s="136"/>
    </row>
    <row r="75441" spans="1:2" x14ac:dyDescent="0.25">
      <c r="A75441" s="118"/>
      <c r="B75441" s="136"/>
    </row>
    <row r="75442" spans="1:2" x14ac:dyDescent="0.25">
      <c r="A75442" s="118"/>
      <c r="B75442" s="136"/>
    </row>
    <row r="75443" spans="1:2" x14ac:dyDescent="0.25">
      <c r="A75443" s="118"/>
      <c r="B75443" s="136"/>
    </row>
    <row r="75444" spans="1:2" x14ac:dyDescent="0.25">
      <c r="A75444" s="118"/>
      <c r="B75444" s="136"/>
    </row>
    <row r="75445" spans="1:2" x14ac:dyDescent="0.25">
      <c r="A75445" s="118"/>
      <c r="B75445" s="136"/>
    </row>
    <row r="75446" spans="1:2" x14ac:dyDescent="0.25">
      <c r="A75446" s="118"/>
      <c r="B75446" s="136"/>
    </row>
    <row r="75447" spans="1:2" x14ac:dyDescent="0.25">
      <c r="A75447" s="118"/>
      <c r="B75447" s="136"/>
    </row>
    <row r="75448" spans="1:2" x14ac:dyDescent="0.25">
      <c r="A75448" s="118"/>
      <c r="B75448" s="136"/>
    </row>
    <row r="75449" spans="1:2" x14ac:dyDescent="0.25">
      <c r="A75449" s="118"/>
      <c r="B75449" s="136"/>
    </row>
    <row r="75450" spans="1:2" x14ac:dyDescent="0.25">
      <c r="A75450" s="118"/>
      <c r="B75450" s="136"/>
    </row>
    <row r="75451" spans="1:2" x14ac:dyDescent="0.25">
      <c r="A75451" s="118"/>
      <c r="B75451" s="136"/>
    </row>
    <row r="75452" spans="1:2" x14ac:dyDescent="0.25">
      <c r="A75452" s="118"/>
      <c r="B75452" s="136"/>
    </row>
    <row r="75453" spans="1:2" x14ac:dyDescent="0.25">
      <c r="A75453" s="118"/>
      <c r="B75453" s="136"/>
    </row>
    <row r="75454" spans="1:2" x14ac:dyDescent="0.25">
      <c r="A75454" s="118"/>
      <c r="B75454" s="136"/>
    </row>
    <row r="75455" spans="1:2" x14ac:dyDescent="0.25">
      <c r="A75455" s="118"/>
      <c r="B75455" s="136"/>
    </row>
    <row r="75456" spans="1:2" x14ac:dyDescent="0.25">
      <c r="A75456" s="118"/>
      <c r="B75456" s="136"/>
    </row>
    <row r="75457" spans="1:2" x14ac:dyDescent="0.25">
      <c r="A75457" s="118"/>
      <c r="B75457" s="136"/>
    </row>
    <row r="75458" spans="1:2" x14ac:dyDescent="0.25">
      <c r="A75458" s="118"/>
      <c r="B75458" s="136"/>
    </row>
    <row r="75459" spans="1:2" x14ac:dyDescent="0.25">
      <c r="A75459" s="118"/>
      <c r="B75459" s="136"/>
    </row>
    <row r="75460" spans="1:2" x14ac:dyDescent="0.25">
      <c r="A75460" s="118"/>
      <c r="B75460" s="136"/>
    </row>
    <row r="75461" spans="1:2" x14ac:dyDescent="0.25">
      <c r="A75461" s="118"/>
      <c r="B75461" s="136"/>
    </row>
    <row r="75462" spans="1:2" x14ac:dyDescent="0.25">
      <c r="A75462" s="118"/>
      <c r="B75462" s="136"/>
    </row>
    <row r="75463" spans="1:2" x14ac:dyDescent="0.25">
      <c r="A75463" s="118"/>
      <c r="B75463" s="136"/>
    </row>
    <row r="75464" spans="1:2" x14ac:dyDescent="0.25">
      <c r="A75464" s="118"/>
      <c r="B75464" s="136"/>
    </row>
    <row r="75465" spans="1:2" x14ac:dyDescent="0.25">
      <c r="A75465" s="118"/>
      <c r="B75465" s="136"/>
    </row>
    <row r="75466" spans="1:2" x14ac:dyDescent="0.25">
      <c r="A75466" s="118"/>
      <c r="B75466" s="136"/>
    </row>
    <row r="75467" spans="1:2" x14ac:dyDescent="0.25">
      <c r="A75467" s="118"/>
      <c r="B75467" s="136"/>
    </row>
    <row r="75468" spans="1:2" x14ac:dyDescent="0.25">
      <c r="A75468" s="118"/>
      <c r="B75468" s="136"/>
    </row>
    <row r="75469" spans="1:2" x14ac:dyDescent="0.25">
      <c r="A75469" s="118"/>
      <c r="B75469" s="136"/>
    </row>
    <row r="75470" spans="1:2" x14ac:dyDescent="0.25">
      <c r="A75470" s="118"/>
      <c r="B75470" s="136"/>
    </row>
    <row r="75471" spans="1:2" x14ac:dyDescent="0.25">
      <c r="A75471" s="118"/>
      <c r="B75471" s="136"/>
    </row>
    <row r="75472" spans="1:2" x14ac:dyDescent="0.25">
      <c r="A75472" s="118"/>
      <c r="B75472" s="136"/>
    </row>
    <row r="75473" spans="1:2" x14ac:dyDescent="0.25">
      <c r="A75473" s="118"/>
      <c r="B75473" s="136"/>
    </row>
    <row r="75474" spans="1:2" x14ac:dyDescent="0.25">
      <c r="A75474" s="118"/>
      <c r="B75474" s="136"/>
    </row>
    <row r="75475" spans="1:2" x14ac:dyDescent="0.25">
      <c r="A75475" s="118"/>
      <c r="B75475" s="136"/>
    </row>
    <row r="75476" spans="1:2" x14ac:dyDescent="0.25">
      <c r="A75476" s="118"/>
      <c r="B75476" s="136"/>
    </row>
    <row r="75477" spans="1:2" x14ac:dyDescent="0.25">
      <c r="A75477" s="118"/>
      <c r="B75477" s="136"/>
    </row>
    <row r="75478" spans="1:2" x14ac:dyDescent="0.25">
      <c r="A75478" s="118"/>
      <c r="B75478" s="136"/>
    </row>
    <row r="75479" spans="1:2" x14ac:dyDescent="0.25">
      <c r="A75479" s="118"/>
      <c r="B75479" s="136"/>
    </row>
    <row r="75480" spans="1:2" x14ac:dyDescent="0.25">
      <c r="A75480" s="118"/>
      <c r="B75480" s="136"/>
    </row>
    <row r="75481" spans="1:2" x14ac:dyDescent="0.25">
      <c r="A75481" s="118"/>
      <c r="B75481" s="136"/>
    </row>
    <row r="75482" spans="1:2" x14ac:dyDescent="0.25">
      <c r="A75482" s="118"/>
      <c r="B75482" s="136"/>
    </row>
    <row r="75483" spans="1:2" x14ac:dyDescent="0.25">
      <c r="A75483" s="118"/>
      <c r="B75483" s="136"/>
    </row>
    <row r="75484" spans="1:2" x14ac:dyDescent="0.25">
      <c r="A75484" s="118"/>
      <c r="B75484" s="136"/>
    </row>
    <row r="75485" spans="1:2" x14ac:dyDescent="0.25">
      <c r="A75485" s="118"/>
      <c r="B75485" s="136"/>
    </row>
    <row r="75486" spans="1:2" x14ac:dyDescent="0.25">
      <c r="A75486" s="118"/>
      <c r="B75486" s="136"/>
    </row>
    <row r="75487" spans="1:2" x14ac:dyDescent="0.25">
      <c r="A75487" s="118"/>
      <c r="B75487" s="136"/>
    </row>
    <row r="75488" spans="1:2" x14ac:dyDescent="0.25">
      <c r="A75488" s="118"/>
      <c r="B75488" s="136"/>
    </row>
    <row r="75489" spans="1:2" x14ac:dyDescent="0.25">
      <c r="A75489" s="118"/>
      <c r="B75489" s="136"/>
    </row>
    <row r="75490" spans="1:2" x14ac:dyDescent="0.25">
      <c r="A75490" s="118"/>
      <c r="B75490" s="136"/>
    </row>
    <row r="75491" spans="1:2" x14ac:dyDescent="0.25">
      <c r="A75491" s="118"/>
      <c r="B75491" s="136"/>
    </row>
    <row r="75492" spans="1:2" x14ac:dyDescent="0.25">
      <c r="A75492" s="118"/>
      <c r="B75492" s="136"/>
    </row>
    <row r="75493" spans="1:2" x14ac:dyDescent="0.25">
      <c r="A75493" s="118"/>
      <c r="B75493" s="136"/>
    </row>
    <row r="75494" spans="1:2" x14ac:dyDescent="0.25">
      <c r="A75494" s="118"/>
      <c r="B75494" s="136"/>
    </row>
    <row r="75495" spans="1:2" x14ac:dyDescent="0.25">
      <c r="A75495" s="118"/>
      <c r="B75495" s="136"/>
    </row>
    <row r="75496" spans="1:2" x14ac:dyDescent="0.25">
      <c r="A75496" s="118"/>
      <c r="B75496" s="136"/>
    </row>
    <row r="75497" spans="1:2" x14ac:dyDescent="0.25">
      <c r="A75497" s="118"/>
      <c r="B75497" s="136"/>
    </row>
    <row r="75498" spans="1:2" x14ac:dyDescent="0.25">
      <c r="A75498" s="118"/>
      <c r="B75498" s="136"/>
    </row>
    <row r="75499" spans="1:2" x14ac:dyDescent="0.25">
      <c r="A75499" s="118"/>
      <c r="B75499" s="136"/>
    </row>
    <row r="75500" spans="1:2" x14ac:dyDescent="0.25">
      <c r="A75500" s="118"/>
      <c r="B75500" s="136"/>
    </row>
    <row r="75501" spans="1:2" x14ac:dyDescent="0.25">
      <c r="A75501" s="118"/>
      <c r="B75501" s="136"/>
    </row>
    <row r="75502" spans="1:2" x14ac:dyDescent="0.25">
      <c r="A75502" s="118"/>
      <c r="B75502" s="136"/>
    </row>
    <row r="75503" spans="1:2" x14ac:dyDescent="0.25">
      <c r="A75503" s="118"/>
      <c r="B75503" s="136"/>
    </row>
    <row r="75504" spans="1:2" x14ac:dyDescent="0.25">
      <c r="A75504" s="118"/>
      <c r="B75504" s="136"/>
    </row>
    <row r="75505" spans="1:2" x14ac:dyDescent="0.25">
      <c r="A75505" s="118"/>
      <c r="B75505" s="136"/>
    </row>
    <row r="75506" spans="1:2" x14ac:dyDescent="0.25">
      <c r="A75506" s="118"/>
      <c r="B75506" s="136"/>
    </row>
    <row r="75507" spans="1:2" x14ac:dyDescent="0.25">
      <c r="A75507" s="118"/>
      <c r="B75507" s="136"/>
    </row>
    <row r="75508" spans="1:2" x14ac:dyDescent="0.25">
      <c r="A75508" s="118"/>
      <c r="B75508" s="136"/>
    </row>
    <row r="75509" spans="1:2" x14ac:dyDescent="0.25">
      <c r="A75509" s="118"/>
      <c r="B75509" s="136"/>
    </row>
    <row r="75510" spans="1:2" x14ac:dyDescent="0.25">
      <c r="A75510" s="118"/>
      <c r="B75510" s="136"/>
    </row>
    <row r="75511" spans="1:2" x14ac:dyDescent="0.25">
      <c r="A75511" s="118"/>
      <c r="B75511" s="136"/>
    </row>
    <row r="75512" spans="1:2" x14ac:dyDescent="0.25">
      <c r="A75512" s="118"/>
      <c r="B75512" s="136"/>
    </row>
    <row r="75513" spans="1:2" x14ac:dyDescent="0.25">
      <c r="A75513" s="118"/>
      <c r="B75513" s="136"/>
    </row>
    <row r="75514" spans="1:2" x14ac:dyDescent="0.25">
      <c r="A75514" s="118"/>
      <c r="B75514" s="136"/>
    </row>
    <row r="75515" spans="1:2" x14ac:dyDescent="0.25">
      <c r="A75515" s="118"/>
      <c r="B75515" s="136"/>
    </row>
    <row r="75516" spans="1:2" x14ac:dyDescent="0.25">
      <c r="A75516" s="118"/>
      <c r="B75516" s="136"/>
    </row>
    <row r="75517" spans="1:2" x14ac:dyDescent="0.25">
      <c r="A75517" s="118"/>
      <c r="B75517" s="136"/>
    </row>
    <row r="75518" spans="1:2" x14ac:dyDescent="0.25">
      <c r="A75518" s="118"/>
      <c r="B75518" s="136"/>
    </row>
    <row r="75519" spans="1:2" x14ac:dyDescent="0.25">
      <c r="A75519" s="118"/>
      <c r="B75519" s="136"/>
    </row>
    <row r="75520" spans="1:2" x14ac:dyDescent="0.25">
      <c r="A75520" s="118"/>
      <c r="B75520" s="136"/>
    </row>
    <row r="75521" spans="1:2" x14ac:dyDescent="0.25">
      <c r="A75521" s="118"/>
      <c r="B75521" s="136"/>
    </row>
    <row r="75522" spans="1:2" x14ac:dyDescent="0.25">
      <c r="A75522" s="118"/>
      <c r="B75522" s="136"/>
    </row>
    <row r="75523" spans="1:2" x14ac:dyDescent="0.25">
      <c r="A75523" s="118"/>
      <c r="B75523" s="136"/>
    </row>
    <row r="75524" spans="1:2" x14ac:dyDescent="0.25">
      <c r="A75524" s="118"/>
      <c r="B75524" s="136"/>
    </row>
    <row r="75525" spans="1:2" x14ac:dyDescent="0.25">
      <c r="A75525" s="118"/>
      <c r="B75525" s="136"/>
    </row>
    <row r="75526" spans="1:2" x14ac:dyDescent="0.25">
      <c r="A75526" s="118"/>
      <c r="B75526" s="136"/>
    </row>
    <row r="75527" spans="1:2" x14ac:dyDescent="0.25">
      <c r="A75527" s="118"/>
      <c r="B75527" s="136"/>
    </row>
    <row r="75528" spans="1:2" x14ac:dyDescent="0.25">
      <c r="A75528" s="118"/>
      <c r="B75528" s="136"/>
    </row>
    <row r="75529" spans="1:2" x14ac:dyDescent="0.25">
      <c r="A75529" s="118"/>
      <c r="B75529" s="136"/>
    </row>
    <row r="75530" spans="1:2" x14ac:dyDescent="0.25">
      <c r="A75530" s="118"/>
      <c r="B75530" s="136"/>
    </row>
    <row r="75531" spans="1:2" x14ac:dyDescent="0.25">
      <c r="A75531" s="118"/>
      <c r="B75531" s="136"/>
    </row>
    <row r="75532" spans="1:2" x14ac:dyDescent="0.25">
      <c r="A75532" s="118"/>
      <c r="B75532" s="136"/>
    </row>
    <row r="75533" spans="1:2" x14ac:dyDescent="0.25">
      <c r="A75533" s="118"/>
      <c r="B75533" s="136"/>
    </row>
    <row r="75534" spans="1:2" x14ac:dyDescent="0.25">
      <c r="A75534" s="118"/>
      <c r="B75534" s="136"/>
    </row>
    <row r="75535" spans="1:2" x14ac:dyDescent="0.25">
      <c r="A75535" s="118"/>
      <c r="B75535" s="136"/>
    </row>
    <row r="75536" spans="1:2" x14ac:dyDescent="0.25">
      <c r="A75536" s="118"/>
      <c r="B75536" s="136"/>
    </row>
    <row r="75537" spans="1:2" x14ac:dyDescent="0.25">
      <c r="A75537" s="118"/>
      <c r="B75537" s="136"/>
    </row>
    <row r="75538" spans="1:2" x14ac:dyDescent="0.25">
      <c r="A75538" s="118"/>
      <c r="B75538" s="136"/>
    </row>
    <row r="75539" spans="1:2" x14ac:dyDescent="0.25">
      <c r="A75539" s="118"/>
      <c r="B75539" s="136"/>
    </row>
    <row r="75540" spans="1:2" x14ac:dyDescent="0.25">
      <c r="A75540" s="118"/>
      <c r="B75540" s="136"/>
    </row>
    <row r="75541" spans="1:2" x14ac:dyDescent="0.25">
      <c r="A75541" s="118"/>
      <c r="B75541" s="136"/>
    </row>
    <row r="75542" spans="1:2" x14ac:dyDescent="0.25">
      <c r="A75542" s="118"/>
      <c r="B75542" s="136"/>
    </row>
    <row r="75543" spans="1:2" x14ac:dyDescent="0.25">
      <c r="A75543" s="118"/>
      <c r="B75543" s="136"/>
    </row>
    <row r="75544" spans="1:2" x14ac:dyDescent="0.25">
      <c r="A75544" s="118"/>
      <c r="B75544" s="136"/>
    </row>
    <row r="75545" spans="1:2" x14ac:dyDescent="0.25">
      <c r="A75545" s="118"/>
      <c r="B75545" s="136"/>
    </row>
    <row r="75546" spans="1:2" x14ac:dyDescent="0.25">
      <c r="A75546" s="118"/>
      <c r="B75546" s="136"/>
    </row>
    <row r="75547" spans="1:2" x14ac:dyDescent="0.25">
      <c r="A75547" s="118"/>
      <c r="B75547" s="136"/>
    </row>
    <row r="75548" spans="1:2" x14ac:dyDescent="0.25">
      <c r="A75548" s="118"/>
      <c r="B75548" s="136"/>
    </row>
    <row r="75549" spans="1:2" x14ac:dyDescent="0.25">
      <c r="A75549" s="118"/>
      <c r="B75549" s="136"/>
    </row>
    <row r="75550" spans="1:2" x14ac:dyDescent="0.25">
      <c r="A75550" s="118"/>
      <c r="B75550" s="136"/>
    </row>
    <row r="75551" spans="1:2" x14ac:dyDescent="0.25">
      <c r="A75551" s="118"/>
      <c r="B75551" s="136"/>
    </row>
    <row r="75552" spans="1:2" x14ac:dyDescent="0.25">
      <c r="A75552" s="118"/>
      <c r="B75552" s="136"/>
    </row>
    <row r="75553" spans="1:2" x14ac:dyDescent="0.25">
      <c r="A75553" s="118"/>
      <c r="B75553" s="136"/>
    </row>
    <row r="75554" spans="1:2" x14ac:dyDescent="0.25">
      <c r="A75554" s="118"/>
      <c r="B75554" s="136"/>
    </row>
    <row r="75555" spans="1:2" x14ac:dyDescent="0.25">
      <c r="A75555" s="118"/>
      <c r="B75555" s="136"/>
    </row>
    <row r="75556" spans="1:2" x14ac:dyDescent="0.25">
      <c r="A75556" s="118"/>
      <c r="B75556" s="136"/>
    </row>
    <row r="75557" spans="1:2" x14ac:dyDescent="0.25">
      <c r="A75557" s="118"/>
      <c r="B75557" s="136"/>
    </row>
    <row r="75558" spans="1:2" x14ac:dyDescent="0.25">
      <c r="A75558" s="118"/>
      <c r="B75558" s="136"/>
    </row>
    <row r="75559" spans="1:2" x14ac:dyDescent="0.25">
      <c r="A75559" s="118"/>
      <c r="B75559" s="136"/>
    </row>
    <row r="75560" spans="1:2" x14ac:dyDescent="0.25">
      <c r="A75560" s="118"/>
      <c r="B75560" s="136"/>
    </row>
    <row r="75561" spans="1:2" x14ac:dyDescent="0.25">
      <c r="A75561" s="118"/>
      <c r="B75561" s="136"/>
    </row>
    <row r="75562" spans="1:2" x14ac:dyDescent="0.25">
      <c r="A75562" s="118"/>
      <c r="B75562" s="136"/>
    </row>
    <row r="75563" spans="1:2" x14ac:dyDescent="0.25">
      <c r="A75563" s="118"/>
      <c r="B75563" s="136"/>
    </row>
    <row r="75564" spans="1:2" x14ac:dyDescent="0.25">
      <c r="A75564" s="118"/>
      <c r="B75564" s="136"/>
    </row>
    <row r="75565" spans="1:2" x14ac:dyDescent="0.25">
      <c r="A75565" s="118"/>
      <c r="B75565" s="136"/>
    </row>
    <row r="75566" spans="1:2" x14ac:dyDescent="0.25">
      <c r="A75566" s="118"/>
      <c r="B75566" s="136"/>
    </row>
    <row r="75567" spans="1:2" x14ac:dyDescent="0.25">
      <c r="A75567" s="118"/>
      <c r="B75567" s="136"/>
    </row>
    <row r="75568" spans="1:2" x14ac:dyDescent="0.25">
      <c r="A75568" s="118"/>
      <c r="B75568" s="136"/>
    </row>
    <row r="75569" spans="1:2" x14ac:dyDescent="0.25">
      <c r="A75569" s="118"/>
      <c r="B75569" s="136"/>
    </row>
    <row r="75570" spans="1:2" x14ac:dyDescent="0.25">
      <c r="A75570" s="118"/>
      <c r="B75570" s="136"/>
    </row>
    <row r="75571" spans="1:2" x14ac:dyDescent="0.25">
      <c r="A75571" s="118"/>
      <c r="B75571" s="136"/>
    </row>
    <row r="75572" spans="1:2" x14ac:dyDescent="0.25">
      <c r="A75572" s="118"/>
      <c r="B75572" s="136"/>
    </row>
    <row r="75573" spans="1:2" x14ac:dyDescent="0.25">
      <c r="A75573" s="118"/>
      <c r="B75573" s="136"/>
    </row>
    <row r="75574" spans="1:2" x14ac:dyDescent="0.25">
      <c r="A75574" s="118"/>
      <c r="B75574" s="136"/>
    </row>
    <row r="75575" spans="1:2" x14ac:dyDescent="0.25">
      <c r="A75575" s="118"/>
      <c r="B75575" s="136"/>
    </row>
    <row r="75576" spans="1:2" x14ac:dyDescent="0.25">
      <c r="A75576" s="118"/>
      <c r="B75576" s="136"/>
    </row>
    <row r="75577" spans="1:2" x14ac:dyDescent="0.25">
      <c r="A75577" s="118"/>
      <c r="B75577" s="136"/>
    </row>
    <row r="75578" spans="1:2" x14ac:dyDescent="0.25">
      <c r="A75578" s="118"/>
      <c r="B75578" s="136"/>
    </row>
    <row r="75579" spans="1:2" x14ac:dyDescent="0.25">
      <c r="A75579" s="118"/>
      <c r="B75579" s="136"/>
    </row>
    <row r="75580" spans="1:2" x14ac:dyDescent="0.25">
      <c r="A75580" s="118"/>
      <c r="B75580" s="136"/>
    </row>
    <row r="75581" spans="1:2" x14ac:dyDescent="0.25">
      <c r="A75581" s="118"/>
      <c r="B75581" s="136"/>
    </row>
    <row r="75582" spans="1:2" x14ac:dyDescent="0.25">
      <c r="A75582" s="118"/>
      <c r="B75582" s="136"/>
    </row>
    <row r="75583" spans="1:2" x14ac:dyDescent="0.25">
      <c r="A75583" s="118"/>
      <c r="B75583" s="136"/>
    </row>
    <row r="75584" spans="1:2" x14ac:dyDescent="0.25">
      <c r="A75584" s="118"/>
      <c r="B75584" s="136"/>
    </row>
    <row r="75585" spans="1:2" x14ac:dyDescent="0.25">
      <c r="A75585" s="118"/>
      <c r="B75585" s="136"/>
    </row>
    <row r="75586" spans="1:2" x14ac:dyDescent="0.25">
      <c r="A75586" s="118"/>
      <c r="B75586" s="136"/>
    </row>
    <row r="75587" spans="1:2" x14ac:dyDescent="0.25">
      <c r="A75587" s="118"/>
      <c r="B75587" s="136"/>
    </row>
    <row r="75588" spans="1:2" x14ac:dyDescent="0.25">
      <c r="A75588" s="118"/>
      <c r="B75588" s="136"/>
    </row>
    <row r="75589" spans="1:2" x14ac:dyDescent="0.25">
      <c r="A75589" s="118"/>
      <c r="B75589" s="136"/>
    </row>
    <row r="75590" spans="1:2" x14ac:dyDescent="0.25">
      <c r="A75590" s="118"/>
      <c r="B75590" s="136"/>
    </row>
    <row r="75591" spans="1:2" x14ac:dyDescent="0.25">
      <c r="A75591" s="118"/>
      <c r="B75591" s="136"/>
    </row>
    <row r="75592" spans="1:2" x14ac:dyDescent="0.25">
      <c r="A75592" s="118"/>
      <c r="B75592" s="136"/>
    </row>
    <row r="75593" spans="1:2" x14ac:dyDescent="0.25">
      <c r="A75593" s="118"/>
      <c r="B75593" s="136"/>
    </row>
    <row r="75594" spans="1:2" x14ac:dyDescent="0.25">
      <c r="A75594" s="118"/>
      <c r="B75594" s="136"/>
    </row>
    <row r="75595" spans="1:2" x14ac:dyDescent="0.25">
      <c r="A75595" s="118"/>
      <c r="B75595" s="136"/>
    </row>
    <row r="75596" spans="1:2" x14ac:dyDescent="0.25">
      <c r="A75596" s="118"/>
      <c r="B75596" s="136"/>
    </row>
    <row r="75597" spans="1:2" x14ac:dyDescent="0.25">
      <c r="A75597" s="118"/>
      <c r="B75597" s="136"/>
    </row>
    <row r="75598" spans="1:2" x14ac:dyDescent="0.25">
      <c r="A75598" s="118"/>
      <c r="B75598" s="136"/>
    </row>
    <row r="75599" spans="1:2" x14ac:dyDescent="0.25">
      <c r="A75599" s="118"/>
      <c r="B75599" s="136"/>
    </row>
    <row r="75600" spans="1:2" x14ac:dyDescent="0.25">
      <c r="A75600" s="118"/>
      <c r="B75600" s="136"/>
    </row>
    <row r="75601" spans="1:2" x14ac:dyDescent="0.25">
      <c r="A75601" s="118"/>
      <c r="B75601" s="136"/>
    </row>
    <row r="75602" spans="1:2" x14ac:dyDescent="0.25">
      <c r="A75602" s="118"/>
      <c r="B75602" s="136"/>
    </row>
    <row r="75603" spans="1:2" x14ac:dyDescent="0.25">
      <c r="A75603" s="118"/>
      <c r="B75603" s="136"/>
    </row>
    <row r="75604" spans="1:2" x14ac:dyDescent="0.25">
      <c r="A75604" s="118"/>
      <c r="B75604" s="136"/>
    </row>
    <row r="75605" spans="1:2" x14ac:dyDescent="0.25">
      <c r="A75605" s="118"/>
      <c r="B75605" s="136"/>
    </row>
    <row r="75606" spans="1:2" x14ac:dyDescent="0.25">
      <c r="A75606" s="118"/>
      <c r="B75606" s="136"/>
    </row>
    <row r="75607" spans="1:2" x14ac:dyDescent="0.25">
      <c r="A75607" s="118"/>
      <c r="B75607" s="136"/>
    </row>
    <row r="75608" spans="1:2" x14ac:dyDescent="0.25">
      <c r="A75608" s="118"/>
      <c r="B75608" s="136"/>
    </row>
    <row r="75609" spans="1:2" x14ac:dyDescent="0.25">
      <c r="A75609" s="118"/>
      <c r="B75609" s="136"/>
    </row>
    <row r="75610" spans="1:2" x14ac:dyDescent="0.25">
      <c r="A75610" s="118"/>
      <c r="B75610" s="136"/>
    </row>
    <row r="75611" spans="1:2" x14ac:dyDescent="0.25">
      <c r="A75611" s="118"/>
      <c r="B75611" s="136"/>
    </row>
    <row r="75612" spans="1:2" x14ac:dyDescent="0.25">
      <c r="A75612" s="118"/>
      <c r="B75612" s="136"/>
    </row>
    <row r="75613" spans="1:2" x14ac:dyDescent="0.25">
      <c r="A75613" s="118"/>
      <c r="B75613" s="136"/>
    </row>
    <row r="75614" spans="1:2" x14ac:dyDescent="0.25">
      <c r="A75614" s="118"/>
      <c r="B75614" s="136"/>
    </row>
    <row r="75615" spans="1:2" x14ac:dyDescent="0.25">
      <c r="A75615" s="118"/>
      <c r="B75615" s="136"/>
    </row>
    <row r="75616" spans="1:2" x14ac:dyDescent="0.25">
      <c r="A75616" s="118"/>
      <c r="B75616" s="136"/>
    </row>
    <row r="75617" spans="1:2" x14ac:dyDescent="0.25">
      <c r="A75617" s="118"/>
      <c r="B75617" s="136"/>
    </row>
    <row r="75618" spans="1:2" x14ac:dyDescent="0.25">
      <c r="A75618" s="118"/>
      <c r="B75618" s="136"/>
    </row>
    <row r="75619" spans="1:2" x14ac:dyDescent="0.25">
      <c r="A75619" s="118"/>
      <c r="B75619" s="136"/>
    </row>
    <row r="75620" spans="1:2" x14ac:dyDescent="0.25">
      <c r="A75620" s="118"/>
      <c r="B75620" s="136"/>
    </row>
    <row r="75621" spans="1:2" x14ac:dyDescent="0.25">
      <c r="A75621" s="118"/>
      <c r="B75621" s="136"/>
    </row>
    <row r="75622" spans="1:2" x14ac:dyDescent="0.25">
      <c r="A75622" s="118"/>
      <c r="B75622" s="136"/>
    </row>
    <row r="75623" spans="1:2" x14ac:dyDescent="0.25">
      <c r="A75623" s="118"/>
      <c r="B75623" s="136"/>
    </row>
    <row r="75624" spans="1:2" x14ac:dyDescent="0.25">
      <c r="A75624" s="118"/>
      <c r="B75624" s="136"/>
    </row>
    <row r="75625" spans="1:2" x14ac:dyDescent="0.25">
      <c r="A75625" s="118"/>
      <c r="B75625" s="136"/>
    </row>
    <row r="75626" spans="1:2" x14ac:dyDescent="0.25">
      <c r="A75626" s="118"/>
      <c r="B75626" s="136"/>
    </row>
    <row r="75627" spans="1:2" x14ac:dyDescent="0.25">
      <c r="A75627" s="118"/>
      <c r="B75627" s="136"/>
    </row>
    <row r="75628" spans="1:2" x14ac:dyDescent="0.25">
      <c r="A75628" s="118"/>
      <c r="B75628" s="136"/>
    </row>
    <row r="75629" spans="1:2" x14ac:dyDescent="0.25">
      <c r="A75629" s="118"/>
      <c r="B75629" s="136"/>
    </row>
    <row r="75630" spans="1:2" x14ac:dyDescent="0.25">
      <c r="A75630" s="118"/>
      <c r="B75630" s="136"/>
    </row>
    <row r="75631" spans="1:2" x14ac:dyDescent="0.25">
      <c r="A75631" s="118"/>
      <c r="B75631" s="136"/>
    </row>
    <row r="75632" spans="1:2" x14ac:dyDescent="0.25">
      <c r="A75632" s="118"/>
      <c r="B75632" s="136"/>
    </row>
    <row r="75633" spans="1:2" x14ac:dyDescent="0.25">
      <c r="A75633" s="118"/>
      <c r="B75633" s="136"/>
    </row>
    <row r="75634" spans="1:2" x14ac:dyDescent="0.25">
      <c r="A75634" s="118"/>
      <c r="B75634" s="136"/>
    </row>
    <row r="75635" spans="1:2" x14ac:dyDescent="0.25">
      <c r="A75635" s="118"/>
      <c r="B75635" s="136"/>
    </row>
    <row r="75636" spans="1:2" x14ac:dyDescent="0.25">
      <c r="A75636" s="118"/>
      <c r="B75636" s="136"/>
    </row>
    <row r="75637" spans="1:2" x14ac:dyDescent="0.25">
      <c r="A75637" s="118"/>
      <c r="B75637" s="136"/>
    </row>
    <row r="75638" spans="1:2" x14ac:dyDescent="0.25">
      <c r="A75638" s="118"/>
      <c r="B75638" s="136"/>
    </row>
    <row r="75639" spans="1:2" x14ac:dyDescent="0.25">
      <c r="A75639" s="118"/>
      <c r="B75639" s="136"/>
    </row>
    <row r="75640" spans="1:2" x14ac:dyDescent="0.25">
      <c r="A75640" s="118"/>
      <c r="B75640" s="136"/>
    </row>
    <row r="75641" spans="1:2" x14ac:dyDescent="0.25">
      <c r="A75641" s="118"/>
      <c r="B75641" s="136"/>
    </row>
    <row r="75642" spans="1:2" x14ac:dyDescent="0.25">
      <c r="A75642" s="118"/>
      <c r="B75642" s="136"/>
    </row>
    <row r="75643" spans="1:2" x14ac:dyDescent="0.25">
      <c r="A75643" s="118"/>
      <c r="B75643" s="136"/>
    </row>
    <row r="75644" spans="1:2" x14ac:dyDescent="0.25">
      <c r="A75644" s="118"/>
      <c r="B75644" s="136"/>
    </row>
    <row r="75645" spans="1:2" x14ac:dyDescent="0.25">
      <c r="A75645" s="118"/>
      <c r="B75645" s="136"/>
    </row>
    <row r="75646" spans="1:2" x14ac:dyDescent="0.25">
      <c r="A75646" s="118"/>
      <c r="B75646" s="136"/>
    </row>
    <row r="75647" spans="1:2" x14ac:dyDescent="0.25">
      <c r="A75647" s="118"/>
      <c r="B75647" s="136"/>
    </row>
    <row r="75648" spans="1:2" x14ac:dyDescent="0.25">
      <c r="A75648" s="118"/>
      <c r="B75648" s="136"/>
    </row>
    <row r="75649" spans="1:2" x14ac:dyDescent="0.25">
      <c r="A75649" s="118"/>
      <c r="B75649" s="136"/>
    </row>
    <row r="75650" spans="1:2" x14ac:dyDescent="0.25">
      <c r="A75650" s="118"/>
      <c r="B75650" s="136"/>
    </row>
    <row r="75651" spans="1:2" x14ac:dyDescent="0.25">
      <c r="A75651" s="118"/>
      <c r="B75651" s="136"/>
    </row>
    <row r="75652" spans="1:2" x14ac:dyDescent="0.25">
      <c r="A75652" s="118"/>
      <c r="B75652" s="136"/>
    </row>
    <row r="75653" spans="1:2" x14ac:dyDescent="0.25">
      <c r="A75653" s="118"/>
      <c r="B75653" s="136"/>
    </row>
    <row r="75654" spans="1:2" x14ac:dyDescent="0.25">
      <c r="A75654" s="118"/>
      <c r="B75654" s="136"/>
    </row>
    <row r="75655" spans="1:2" x14ac:dyDescent="0.25">
      <c r="A75655" s="118"/>
      <c r="B75655" s="136"/>
    </row>
    <row r="75656" spans="1:2" x14ac:dyDescent="0.25">
      <c r="A75656" s="118"/>
      <c r="B75656" s="136"/>
    </row>
    <row r="75657" spans="1:2" x14ac:dyDescent="0.25">
      <c r="A75657" s="118"/>
      <c r="B75657" s="136"/>
    </row>
    <row r="75658" spans="1:2" x14ac:dyDescent="0.25">
      <c r="A75658" s="118"/>
      <c r="B75658" s="136"/>
    </row>
    <row r="75659" spans="1:2" x14ac:dyDescent="0.25">
      <c r="A75659" s="118"/>
      <c r="B75659" s="136"/>
    </row>
    <row r="75660" spans="1:2" x14ac:dyDescent="0.25">
      <c r="A75660" s="118"/>
      <c r="B75660" s="136"/>
    </row>
    <row r="75661" spans="1:2" x14ac:dyDescent="0.25">
      <c r="A75661" s="118"/>
      <c r="B75661" s="136"/>
    </row>
    <row r="75662" spans="1:2" x14ac:dyDescent="0.25">
      <c r="A75662" s="118"/>
      <c r="B75662" s="136"/>
    </row>
    <row r="75663" spans="1:2" x14ac:dyDescent="0.25">
      <c r="A75663" s="118"/>
      <c r="B75663" s="136"/>
    </row>
    <row r="75664" spans="1:2" x14ac:dyDescent="0.25">
      <c r="A75664" s="118"/>
      <c r="B75664" s="136"/>
    </row>
    <row r="75665" spans="1:2" x14ac:dyDescent="0.25">
      <c r="A75665" s="118"/>
      <c r="B75665" s="136"/>
    </row>
    <row r="75666" spans="1:2" x14ac:dyDescent="0.25">
      <c r="A75666" s="118"/>
      <c r="B75666" s="136"/>
    </row>
    <row r="75667" spans="1:2" x14ac:dyDescent="0.25">
      <c r="A75667" s="118"/>
      <c r="B75667" s="136"/>
    </row>
    <row r="75668" spans="1:2" x14ac:dyDescent="0.25">
      <c r="A75668" s="118"/>
      <c r="B75668" s="136"/>
    </row>
    <row r="75669" spans="1:2" x14ac:dyDescent="0.25">
      <c r="A75669" s="118"/>
      <c r="B75669" s="136"/>
    </row>
    <row r="75670" spans="1:2" x14ac:dyDescent="0.25">
      <c r="A75670" s="118"/>
      <c r="B75670" s="136"/>
    </row>
    <row r="75671" spans="1:2" x14ac:dyDescent="0.25">
      <c r="A75671" s="118"/>
      <c r="B75671" s="136"/>
    </row>
    <row r="75672" spans="1:2" x14ac:dyDescent="0.25">
      <c r="A75672" s="118"/>
      <c r="B75672" s="136"/>
    </row>
    <row r="75673" spans="1:2" x14ac:dyDescent="0.25">
      <c r="A75673" s="118"/>
      <c r="B75673" s="136"/>
    </row>
    <row r="75674" spans="1:2" x14ac:dyDescent="0.25">
      <c r="A75674" s="118"/>
      <c r="B75674" s="136"/>
    </row>
    <row r="75675" spans="1:2" x14ac:dyDescent="0.25">
      <c r="A75675" s="118"/>
      <c r="B75675" s="136"/>
    </row>
    <row r="75676" spans="1:2" x14ac:dyDescent="0.25">
      <c r="A75676" s="118"/>
      <c r="B75676" s="136"/>
    </row>
    <row r="75677" spans="1:2" x14ac:dyDescent="0.25">
      <c r="A75677" s="118"/>
      <c r="B75677" s="136"/>
    </row>
    <row r="75678" spans="1:2" x14ac:dyDescent="0.25">
      <c r="A75678" s="118"/>
      <c r="B75678" s="136"/>
    </row>
    <row r="75679" spans="1:2" x14ac:dyDescent="0.25">
      <c r="A75679" s="118"/>
      <c r="B75679" s="136"/>
    </row>
    <row r="75680" spans="1:2" x14ac:dyDescent="0.25">
      <c r="A75680" s="118"/>
      <c r="B75680" s="136"/>
    </row>
    <row r="75681" spans="1:2" x14ac:dyDescent="0.25">
      <c r="A75681" s="118"/>
      <c r="B75681" s="136"/>
    </row>
    <row r="75682" spans="1:2" x14ac:dyDescent="0.25">
      <c r="A75682" s="118"/>
      <c r="B75682" s="136"/>
    </row>
    <row r="75683" spans="1:2" x14ac:dyDescent="0.25">
      <c r="A75683" s="118"/>
      <c r="B75683" s="136"/>
    </row>
    <row r="75684" spans="1:2" x14ac:dyDescent="0.25">
      <c r="A75684" s="118"/>
      <c r="B75684" s="136"/>
    </row>
    <row r="75685" spans="1:2" x14ac:dyDescent="0.25">
      <c r="A75685" s="118"/>
      <c r="B75685" s="136"/>
    </row>
    <row r="75686" spans="1:2" x14ac:dyDescent="0.25">
      <c r="A75686" s="118"/>
      <c r="B75686" s="136"/>
    </row>
    <row r="75687" spans="1:2" x14ac:dyDescent="0.25">
      <c r="A75687" s="118"/>
      <c r="B75687" s="136"/>
    </row>
    <row r="75688" spans="1:2" x14ac:dyDescent="0.25">
      <c r="A75688" s="118"/>
      <c r="B75688" s="136"/>
    </row>
    <row r="75689" spans="1:2" x14ac:dyDescent="0.25">
      <c r="A75689" s="118"/>
      <c r="B75689" s="136"/>
    </row>
    <row r="75690" spans="1:2" x14ac:dyDescent="0.25">
      <c r="A75690" s="118"/>
      <c r="B75690" s="136"/>
    </row>
    <row r="75691" spans="1:2" x14ac:dyDescent="0.25">
      <c r="A75691" s="118"/>
      <c r="B75691" s="136"/>
    </row>
    <row r="75692" spans="1:2" x14ac:dyDescent="0.25">
      <c r="A75692" s="118"/>
      <c r="B75692" s="136"/>
    </row>
    <row r="75693" spans="1:2" x14ac:dyDescent="0.25">
      <c r="A75693" s="118"/>
      <c r="B75693" s="136"/>
    </row>
    <row r="75694" spans="1:2" x14ac:dyDescent="0.25">
      <c r="A75694" s="118"/>
      <c r="B75694" s="136"/>
    </row>
    <row r="75695" spans="1:2" x14ac:dyDescent="0.25">
      <c r="A75695" s="118"/>
      <c r="B75695" s="136"/>
    </row>
    <row r="75696" spans="1:2" x14ac:dyDescent="0.25">
      <c r="A75696" s="118"/>
      <c r="B75696" s="136"/>
    </row>
    <row r="75697" spans="1:2" x14ac:dyDescent="0.25">
      <c r="A75697" s="118"/>
      <c r="B75697" s="136"/>
    </row>
    <row r="75698" spans="1:2" x14ac:dyDescent="0.25">
      <c r="A75698" s="118"/>
      <c r="B75698" s="136"/>
    </row>
    <row r="75699" spans="1:2" x14ac:dyDescent="0.25">
      <c r="A75699" s="118"/>
      <c r="B75699" s="136"/>
    </row>
    <row r="75700" spans="1:2" x14ac:dyDescent="0.25">
      <c r="A75700" s="118"/>
      <c r="B75700" s="136"/>
    </row>
    <row r="75701" spans="1:2" x14ac:dyDescent="0.25">
      <c r="A75701" s="118"/>
      <c r="B75701" s="136"/>
    </row>
    <row r="75702" spans="1:2" x14ac:dyDescent="0.25">
      <c r="A75702" s="118"/>
      <c r="B75702" s="136"/>
    </row>
    <row r="75703" spans="1:2" x14ac:dyDescent="0.25">
      <c r="A75703" s="118"/>
      <c r="B75703" s="136"/>
    </row>
    <row r="75704" spans="1:2" x14ac:dyDescent="0.25">
      <c r="A75704" s="118"/>
      <c r="B75704" s="136"/>
    </row>
    <row r="75705" spans="1:2" x14ac:dyDescent="0.25">
      <c r="A75705" s="118"/>
      <c r="B75705" s="136"/>
    </row>
    <row r="75706" spans="1:2" x14ac:dyDescent="0.25">
      <c r="A75706" s="118"/>
      <c r="B75706" s="136"/>
    </row>
    <row r="75707" spans="1:2" x14ac:dyDescent="0.25">
      <c r="A75707" s="118"/>
      <c r="B75707" s="136"/>
    </row>
    <row r="75708" spans="1:2" x14ac:dyDescent="0.25">
      <c r="A75708" s="118"/>
      <c r="B75708" s="136"/>
    </row>
    <row r="75709" spans="1:2" x14ac:dyDescent="0.25">
      <c r="A75709" s="118"/>
      <c r="B75709" s="136"/>
    </row>
    <row r="75710" spans="1:2" x14ac:dyDescent="0.25">
      <c r="A75710" s="118"/>
      <c r="B75710" s="136"/>
    </row>
    <row r="75711" spans="1:2" x14ac:dyDescent="0.25">
      <c r="A75711" s="118"/>
      <c r="B75711" s="136"/>
    </row>
    <row r="75712" spans="1:2" x14ac:dyDescent="0.25">
      <c r="A75712" s="118"/>
      <c r="B75712" s="136"/>
    </row>
    <row r="75713" spans="1:2" x14ac:dyDescent="0.25">
      <c r="A75713" s="118"/>
      <c r="B75713" s="136"/>
    </row>
    <row r="75714" spans="1:2" x14ac:dyDescent="0.25">
      <c r="A75714" s="118"/>
      <c r="B75714" s="136"/>
    </row>
    <row r="75715" spans="1:2" x14ac:dyDescent="0.25">
      <c r="A75715" s="118"/>
      <c r="B75715" s="136"/>
    </row>
    <row r="75716" spans="1:2" x14ac:dyDescent="0.25">
      <c r="A75716" s="118"/>
      <c r="B75716" s="136"/>
    </row>
    <row r="75717" spans="1:2" x14ac:dyDescent="0.25">
      <c r="A75717" s="118"/>
      <c r="B75717" s="136"/>
    </row>
    <row r="75718" spans="1:2" x14ac:dyDescent="0.25">
      <c r="A75718" s="118"/>
      <c r="B75718" s="136"/>
    </row>
    <row r="75719" spans="1:2" x14ac:dyDescent="0.25">
      <c r="A75719" s="118"/>
      <c r="B75719" s="136"/>
    </row>
    <row r="75720" spans="1:2" x14ac:dyDescent="0.25">
      <c r="A75720" s="118"/>
      <c r="B75720" s="136"/>
    </row>
    <row r="75721" spans="1:2" x14ac:dyDescent="0.25">
      <c r="A75721" s="118"/>
      <c r="B75721" s="136"/>
    </row>
    <row r="75722" spans="1:2" x14ac:dyDescent="0.25">
      <c r="A75722" s="118"/>
      <c r="B75722" s="136"/>
    </row>
    <row r="75723" spans="1:2" x14ac:dyDescent="0.25">
      <c r="A75723" s="118"/>
      <c r="B75723" s="136"/>
    </row>
    <row r="75724" spans="1:2" x14ac:dyDescent="0.25">
      <c r="A75724" s="118"/>
      <c r="B75724" s="136"/>
    </row>
    <row r="75725" spans="1:2" x14ac:dyDescent="0.25">
      <c r="A75725" s="118"/>
      <c r="B75725" s="136"/>
    </row>
    <row r="75726" spans="1:2" x14ac:dyDescent="0.25">
      <c r="A75726" s="118"/>
      <c r="B75726" s="136"/>
    </row>
    <row r="75727" spans="1:2" x14ac:dyDescent="0.25">
      <c r="A75727" s="118"/>
      <c r="B75727" s="136"/>
    </row>
    <row r="75728" spans="1:2" x14ac:dyDescent="0.25">
      <c r="A75728" s="118"/>
      <c r="B75728" s="136"/>
    </row>
    <row r="75729" spans="1:2" x14ac:dyDescent="0.25">
      <c r="A75729" s="118"/>
      <c r="B75729" s="136"/>
    </row>
    <row r="75730" spans="1:2" x14ac:dyDescent="0.25">
      <c r="A75730" s="118"/>
      <c r="B75730" s="136"/>
    </row>
    <row r="75731" spans="1:2" x14ac:dyDescent="0.25">
      <c r="A75731" s="118"/>
      <c r="B75731" s="136"/>
    </row>
    <row r="75732" spans="1:2" x14ac:dyDescent="0.25">
      <c r="A75732" s="118"/>
      <c r="B75732" s="136"/>
    </row>
    <row r="75733" spans="1:2" x14ac:dyDescent="0.25">
      <c r="A75733" s="118"/>
      <c r="B75733" s="136"/>
    </row>
    <row r="75734" spans="1:2" x14ac:dyDescent="0.25">
      <c r="A75734" s="118"/>
      <c r="B75734" s="136"/>
    </row>
    <row r="75735" spans="1:2" x14ac:dyDescent="0.25">
      <c r="A75735" s="118"/>
      <c r="B75735" s="136"/>
    </row>
    <row r="75736" spans="1:2" x14ac:dyDescent="0.25">
      <c r="A75736" s="118"/>
      <c r="B75736" s="136"/>
    </row>
    <row r="75737" spans="1:2" x14ac:dyDescent="0.25">
      <c r="A75737" s="118"/>
      <c r="B75737" s="136"/>
    </row>
    <row r="75738" spans="1:2" x14ac:dyDescent="0.25">
      <c r="A75738" s="118"/>
      <c r="B75738" s="136"/>
    </row>
    <row r="75739" spans="1:2" x14ac:dyDescent="0.25">
      <c r="A75739" s="118"/>
      <c r="B75739" s="136"/>
    </row>
    <row r="75740" spans="1:2" x14ac:dyDescent="0.25">
      <c r="A75740" s="118"/>
      <c r="B75740" s="136"/>
    </row>
    <row r="75741" spans="1:2" x14ac:dyDescent="0.25">
      <c r="A75741" s="118"/>
      <c r="B75741" s="136"/>
    </row>
    <row r="75742" spans="1:2" x14ac:dyDescent="0.25">
      <c r="A75742" s="118"/>
      <c r="B75742" s="136"/>
    </row>
    <row r="75743" spans="1:2" x14ac:dyDescent="0.25">
      <c r="A75743" s="118"/>
      <c r="B75743" s="136"/>
    </row>
    <row r="75744" spans="1:2" x14ac:dyDescent="0.25">
      <c r="A75744" s="118"/>
      <c r="B75744" s="136"/>
    </row>
    <row r="75745" spans="1:2" x14ac:dyDescent="0.25">
      <c r="A75745" s="118"/>
      <c r="B75745" s="136"/>
    </row>
    <row r="75746" spans="1:2" x14ac:dyDescent="0.25">
      <c r="A75746" s="118"/>
      <c r="B75746" s="136"/>
    </row>
    <row r="75747" spans="1:2" x14ac:dyDescent="0.25">
      <c r="A75747" s="118"/>
      <c r="B75747" s="136"/>
    </row>
    <row r="75748" spans="1:2" x14ac:dyDescent="0.25">
      <c r="A75748" s="118"/>
      <c r="B75748" s="136"/>
    </row>
    <row r="75749" spans="1:2" x14ac:dyDescent="0.25">
      <c r="A75749" s="118"/>
      <c r="B75749" s="136"/>
    </row>
    <row r="75750" spans="1:2" x14ac:dyDescent="0.25">
      <c r="A75750" s="118"/>
      <c r="B75750" s="136"/>
    </row>
    <row r="75751" spans="1:2" x14ac:dyDescent="0.25">
      <c r="A75751" s="118"/>
      <c r="B75751" s="136"/>
    </row>
    <row r="75752" spans="1:2" x14ac:dyDescent="0.25">
      <c r="A75752" s="118"/>
      <c r="B75752" s="136"/>
    </row>
    <row r="75753" spans="1:2" x14ac:dyDescent="0.25">
      <c r="A75753" s="118"/>
      <c r="B75753" s="136"/>
    </row>
    <row r="75754" spans="1:2" x14ac:dyDescent="0.25">
      <c r="A75754" s="118"/>
      <c r="B75754" s="136"/>
    </row>
    <row r="75755" spans="1:2" x14ac:dyDescent="0.25">
      <c r="A75755" s="118"/>
      <c r="B75755" s="136"/>
    </row>
    <row r="75756" spans="1:2" x14ac:dyDescent="0.25">
      <c r="A75756" s="118"/>
      <c r="B75756" s="136"/>
    </row>
    <row r="75757" spans="1:2" x14ac:dyDescent="0.25">
      <c r="A75757" s="118"/>
      <c r="B75757" s="136"/>
    </row>
    <row r="75758" spans="1:2" x14ac:dyDescent="0.25">
      <c r="A75758" s="118"/>
      <c r="B75758" s="136"/>
    </row>
    <row r="75759" spans="1:2" x14ac:dyDescent="0.25">
      <c r="A75759" s="118"/>
      <c r="B75759" s="136"/>
    </row>
    <row r="75760" spans="1:2" x14ac:dyDescent="0.25">
      <c r="A75760" s="118"/>
      <c r="B75760" s="136"/>
    </row>
    <row r="75761" spans="1:2" x14ac:dyDescent="0.25">
      <c r="A75761" s="118"/>
      <c r="B75761" s="136"/>
    </row>
    <row r="75762" spans="1:2" x14ac:dyDescent="0.25">
      <c r="A75762" s="118"/>
      <c r="B75762" s="136"/>
    </row>
    <row r="75763" spans="1:2" x14ac:dyDescent="0.25">
      <c r="A75763" s="118"/>
      <c r="B75763" s="136"/>
    </row>
    <row r="75764" spans="1:2" x14ac:dyDescent="0.25">
      <c r="A75764" s="118"/>
      <c r="B75764" s="136"/>
    </row>
    <row r="75765" spans="1:2" x14ac:dyDescent="0.25">
      <c r="A75765" s="118"/>
      <c r="B75765" s="136"/>
    </row>
    <row r="75766" spans="1:2" x14ac:dyDescent="0.25">
      <c r="A75766" s="118"/>
      <c r="B75766" s="136"/>
    </row>
    <row r="75767" spans="1:2" x14ac:dyDescent="0.25">
      <c r="A75767" s="118"/>
      <c r="B75767" s="136"/>
    </row>
    <row r="75768" spans="1:2" x14ac:dyDescent="0.25">
      <c r="A75768" s="118"/>
      <c r="B75768" s="136"/>
    </row>
    <row r="75769" spans="1:2" x14ac:dyDescent="0.25">
      <c r="A75769" s="118"/>
      <c r="B75769" s="136"/>
    </row>
    <row r="75770" spans="1:2" x14ac:dyDescent="0.25">
      <c r="A75770" s="118"/>
      <c r="B75770" s="136"/>
    </row>
    <row r="75771" spans="1:2" x14ac:dyDescent="0.25">
      <c r="A75771" s="118"/>
      <c r="B75771" s="136"/>
    </row>
    <row r="75772" spans="1:2" x14ac:dyDescent="0.25">
      <c r="A75772" s="118"/>
      <c r="B75772" s="136"/>
    </row>
    <row r="75773" spans="1:2" x14ac:dyDescent="0.25">
      <c r="A75773" s="118"/>
      <c r="B75773" s="136"/>
    </row>
    <row r="75774" spans="1:2" x14ac:dyDescent="0.25">
      <c r="A75774" s="118"/>
      <c r="B75774" s="136"/>
    </row>
    <row r="75775" spans="1:2" x14ac:dyDescent="0.25">
      <c r="A75775" s="118"/>
      <c r="B75775" s="136"/>
    </row>
    <row r="75776" spans="1:2" x14ac:dyDescent="0.25">
      <c r="A75776" s="118"/>
      <c r="B75776" s="136"/>
    </row>
    <row r="75777" spans="1:2" x14ac:dyDescent="0.25">
      <c r="A75777" s="118"/>
      <c r="B75777" s="136"/>
    </row>
    <row r="75778" spans="1:2" x14ac:dyDescent="0.25">
      <c r="A75778" s="118"/>
      <c r="B75778" s="136"/>
    </row>
    <row r="75779" spans="1:2" x14ac:dyDescent="0.25">
      <c r="A75779" s="118"/>
      <c r="B75779" s="136"/>
    </row>
    <row r="75780" spans="1:2" x14ac:dyDescent="0.25">
      <c r="A75780" s="118"/>
      <c r="B75780" s="136"/>
    </row>
    <row r="75781" spans="1:2" x14ac:dyDescent="0.25">
      <c r="A75781" s="118"/>
      <c r="B75781" s="136"/>
    </row>
    <row r="75782" spans="1:2" x14ac:dyDescent="0.25">
      <c r="A75782" s="118"/>
      <c r="B75782" s="136"/>
    </row>
    <row r="75783" spans="1:2" x14ac:dyDescent="0.25">
      <c r="A75783" s="118"/>
      <c r="B75783" s="136"/>
    </row>
    <row r="75784" spans="1:2" x14ac:dyDescent="0.25">
      <c r="A75784" s="118"/>
      <c r="B75784" s="136"/>
    </row>
    <row r="75785" spans="1:2" x14ac:dyDescent="0.25">
      <c r="A75785" s="118"/>
      <c r="B75785" s="136"/>
    </row>
    <row r="75786" spans="1:2" x14ac:dyDescent="0.25">
      <c r="A75786" s="118"/>
      <c r="B75786" s="136"/>
    </row>
    <row r="75787" spans="1:2" x14ac:dyDescent="0.25">
      <c r="A75787" s="118"/>
      <c r="B75787" s="136"/>
    </row>
    <row r="75788" spans="1:2" x14ac:dyDescent="0.25">
      <c r="A75788" s="118"/>
      <c r="B75788" s="136"/>
    </row>
    <row r="75789" spans="1:2" x14ac:dyDescent="0.25">
      <c r="A75789" s="118"/>
      <c r="B75789" s="136"/>
    </row>
    <row r="75790" spans="1:2" x14ac:dyDescent="0.25">
      <c r="A75790" s="118"/>
      <c r="B75790" s="136"/>
    </row>
    <row r="75791" spans="1:2" x14ac:dyDescent="0.25">
      <c r="A75791" s="118"/>
      <c r="B75791" s="136"/>
    </row>
    <row r="75792" spans="1:2" x14ac:dyDescent="0.25">
      <c r="A75792" s="118"/>
      <c r="B75792" s="136"/>
    </row>
    <row r="75793" spans="1:2" x14ac:dyDescent="0.25">
      <c r="A75793" s="118"/>
      <c r="B75793" s="136"/>
    </row>
    <row r="75794" spans="1:2" x14ac:dyDescent="0.25">
      <c r="A75794" s="118"/>
      <c r="B75794" s="136"/>
    </row>
    <row r="75795" spans="1:2" x14ac:dyDescent="0.25">
      <c r="A75795" s="118"/>
      <c r="B75795" s="136"/>
    </row>
    <row r="75796" spans="1:2" x14ac:dyDescent="0.25">
      <c r="A75796" s="118"/>
      <c r="B75796" s="136"/>
    </row>
    <row r="75797" spans="1:2" x14ac:dyDescent="0.25">
      <c r="A75797" s="118"/>
      <c r="B75797" s="136"/>
    </row>
    <row r="75798" spans="1:2" x14ac:dyDescent="0.25">
      <c r="A75798" s="118"/>
      <c r="B75798" s="136"/>
    </row>
    <row r="75799" spans="1:2" x14ac:dyDescent="0.25">
      <c r="A75799" s="118"/>
      <c r="B75799" s="136"/>
    </row>
    <row r="75800" spans="1:2" x14ac:dyDescent="0.25">
      <c r="A75800" s="118"/>
      <c r="B75800" s="136"/>
    </row>
    <row r="75801" spans="1:2" x14ac:dyDescent="0.25">
      <c r="A75801" s="118"/>
      <c r="B75801" s="136"/>
    </row>
    <row r="75802" spans="1:2" x14ac:dyDescent="0.25">
      <c r="A75802" s="118"/>
      <c r="B75802" s="136"/>
    </row>
    <row r="75803" spans="1:2" x14ac:dyDescent="0.25">
      <c r="A75803" s="118"/>
      <c r="B75803" s="136"/>
    </row>
    <row r="75804" spans="1:2" x14ac:dyDescent="0.25">
      <c r="A75804" s="118"/>
      <c r="B75804" s="136"/>
    </row>
    <row r="75805" spans="1:2" x14ac:dyDescent="0.25">
      <c r="A75805" s="118"/>
      <c r="B75805" s="136"/>
    </row>
    <row r="75806" spans="1:2" x14ac:dyDescent="0.25">
      <c r="A75806" s="118"/>
      <c r="B75806" s="136"/>
    </row>
    <row r="75807" spans="1:2" x14ac:dyDescent="0.25">
      <c r="A75807" s="118"/>
      <c r="B75807" s="136"/>
    </row>
    <row r="75808" spans="1:2" x14ac:dyDescent="0.25">
      <c r="A75808" s="118"/>
      <c r="B75808" s="136"/>
    </row>
    <row r="75809" spans="1:2" x14ac:dyDescent="0.25">
      <c r="A75809" s="118"/>
      <c r="B75809" s="136"/>
    </row>
    <row r="75810" spans="1:2" x14ac:dyDescent="0.25">
      <c r="A75810" s="118"/>
      <c r="B75810" s="136"/>
    </row>
    <row r="75811" spans="1:2" x14ac:dyDescent="0.25">
      <c r="A75811" s="118"/>
      <c r="B75811" s="136"/>
    </row>
    <row r="75812" spans="1:2" x14ac:dyDescent="0.25">
      <c r="A75812" s="118"/>
      <c r="B75812" s="136"/>
    </row>
    <row r="75813" spans="1:2" x14ac:dyDescent="0.25">
      <c r="A75813" s="118"/>
      <c r="B75813" s="136"/>
    </row>
    <row r="75814" spans="1:2" x14ac:dyDescent="0.25">
      <c r="A75814" s="118"/>
      <c r="B75814" s="136"/>
    </row>
    <row r="75815" spans="1:2" x14ac:dyDescent="0.25">
      <c r="A75815" s="118"/>
      <c r="B75815" s="136"/>
    </row>
    <row r="75816" spans="1:2" x14ac:dyDescent="0.25">
      <c r="A75816" s="118"/>
      <c r="B75816" s="136"/>
    </row>
    <row r="75817" spans="1:2" x14ac:dyDescent="0.25">
      <c r="A75817" s="118"/>
      <c r="B75817" s="136"/>
    </row>
    <row r="75818" spans="1:2" x14ac:dyDescent="0.25">
      <c r="A75818" s="118"/>
      <c r="B75818" s="136"/>
    </row>
    <row r="75819" spans="1:2" x14ac:dyDescent="0.25">
      <c r="A75819" s="118"/>
      <c r="B75819" s="136"/>
    </row>
    <row r="75820" spans="1:2" x14ac:dyDescent="0.25">
      <c r="A75820" s="118"/>
      <c r="B75820" s="136"/>
    </row>
    <row r="75821" spans="1:2" x14ac:dyDescent="0.25">
      <c r="A75821" s="118"/>
      <c r="B75821" s="136"/>
    </row>
    <row r="75822" spans="1:2" x14ac:dyDescent="0.25">
      <c r="A75822" s="118"/>
      <c r="B75822" s="136"/>
    </row>
    <row r="75823" spans="1:2" x14ac:dyDescent="0.25">
      <c r="A75823" s="118"/>
      <c r="B75823" s="136"/>
    </row>
    <row r="75824" spans="1:2" x14ac:dyDescent="0.25">
      <c r="A75824" s="118"/>
      <c r="B75824" s="136"/>
    </row>
    <row r="75825" spans="1:2" x14ac:dyDescent="0.25">
      <c r="A75825" s="118"/>
      <c r="B75825" s="136"/>
    </row>
    <row r="75826" spans="1:2" x14ac:dyDescent="0.25">
      <c r="A75826" s="118"/>
      <c r="B75826" s="136"/>
    </row>
    <row r="75827" spans="1:2" x14ac:dyDescent="0.25">
      <c r="A75827" s="118"/>
      <c r="B75827" s="136"/>
    </row>
    <row r="75828" spans="1:2" x14ac:dyDescent="0.25">
      <c r="A75828" s="118"/>
      <c r="B75828" s="136"/>
    </row>
    <row r="75829" spans="1:2" x14ac:dyDescent="0.25">
      <c r="A75829" s="118"/>
      <c r="B75829" s="136"/>
    </row>
    <row r="75830" spans="1:2" x14ac:dyDescent="0.25">
      <c r="A75830" s="118"/>
      <c r="B75830" s="136"/>
    </row>
    <row r="75831" spans="1:2" x14ac:dyDescent="0.25">
      <c r="A75831" s="118"/>
      <c r="B75831" s="136"/>
    </row>
    <row r="75832" spans="1:2" x14ac:dyDescent="0.25">
      <c r="A75832" s="118"/>
      <c r="B75832" s="136"/>
    </row>
    <row r="75833" spans="1:2" x14ac:dyDescent="0.25">
      <c r="A75833" s="118"/>
      <c r="B75833" s="136"/>
    </row>
    <row r="75834" spans="1:2" x14ac:dyDescent="0.25">
      <c r="A75834" s="118"/>
      <c r="B75834" s="136"/>
    </row>
    <row r="75835" spans="1:2" x14ac:dyDescent="0.25">
      <c r="A75835" s="118"/>
      <c r="B75835" s="136"/>
    </row>
    <row r="75836" spans="1:2" x14ac:dyDescent="0.25">
      <c r="A75836" s="118"/>
      <c r="B75836" s="136"/>
    </row>
    <row r="75837" spans="1:2" x14ac:dyDescent="0.25">
      <c r="A75837" s="118"/>
      <c r="B75837" s="136"/>
    </row>
    <row r="75838" spans="1:2" x14ac:dyDescent="0.25">
      <c r="A75838" s="118"/>
      <c r="B75838" s="136"/>
    </row>
    <row r="75839" spans="1:2" x14ac:dyDescent="0.25">
      <c r="A75839" s="118"/>
      <c r="B75839" s="136"/>
    </row>
    <row r="75840" spans="1:2" x14ac:dyDescent="0.25">
      <c r="A75840" s="118"/>
      <c r="B75840" s="136"/>
    </row>
    <row r="75841" spans="1:2" x14ac:dyDescent="0.25">
      <c r="A75841" s="118"/>
      <c r="B75841" s="136"/>
    </row>
    <row r="75842" spans="1:2" x14ac:dyDescent="0.25">
      <c r="A75842" s="118"/>
      <c r="B75842" s="136"/>
    </row>
    <row r="75843" spans="1:2" x14ac:dyDescent="0.25">
      <c r="A75843" s="118"/>
      <c r="B75843" s="136"/>
    </row>
    <row r="75844" spans="1:2" x14ac:dyDescent="0.25">
      <c r="A75844" s="118"/>
      <c r="B75844" s="136"/>
    </row>
    <row r="75845" spans="1:2" x14ac:dyDescent="0.25">
      <c r="A75845" s="118"/>
      <c r="B75845" s="136"/>
    </row>
    <row r="75846" spans="1:2" x14ac:dyDescent="0.25">
      <c r="A75846" s="118"/>
      <c r="B75846" s="136"/>
    </row>
    <row r="75847" spans="1:2" x14ac:dyDescent="0.25">
      <c r="A75847" s="118"/>
      <c r="B75847" s="136"/>
    </row>
    <row r="75848" spans="1:2" x14ac:dyDescent="0.25">
      <c r="A75848" s="118"/>
      <c r="B75848" s="136"/>
    </row>
    <row r="75849" spans="1:2" x14ac:dyDescent="0.25">
      <c r="A75849" s="118"/>
      <c r="B75849" s="136"/>
    </row>
    <row r="75850" spans="1:2" x14ac:dyDescent="0.25">
      <c r="A75850" s="118"/>
      <c r="B75850" s="136"/>
    </row>
    <row r="75851" spans="1:2" x14ac:dyDescent="0.25">
      <c r="A75851" s="118"/>
      <c r="B75851" s="136"/>
    </row>
    <row r="75852" spans="1:2" x14ac:dyDescent="0.25">
      <c r="A75852" s="118"/>
      <c r="B75852" s="136"/>
    </row>
    <row r="75853" spans="1:2" x14ac:dyDescent="0.25">
      <c r="A75853" s="118"/>
      <c r="B75853" s="136"/>
    </row>
    <row r="75854" spans="1:2" x14ac:dyDescent="0.25">
      <c r="A75854" s="118"/>
      <c r="B75854" s="136"/>
    </row>
    <row r="75855" spans="1:2" x14ac:dyDescent="0.25">
      <c r="A75855" s="118"/>
      <c r="B75855" s="136"/>
    </row>
    <row r="75856" spans="1:2" x14ac:dyDescent="0.25">
      <c r="A75856" s="118"/>
      <c r="B75856" s="136"/>
    </row>
    <row r="75857" spans="1:2" x14ac:dyDescent="0.25">
      <c r="A75857" s="118"/>
      <c r="B75857" s="136"/>
    </row>
    <row r="75858" spans="1:2" x14ac:dyDescent="0.25">
      <c r="A75858" s="118"/>
      <c r="B75858" s="136"/>
    </row>
    <row r="75859" spans="1:2" x14ac:dyDescent="0.25">
      <c r="A75859" s="118"/>
      <c r="B75859" s="136"/>
    </row>
    <row r="75860" spans="1:2" x14ac:dyDescent="0.25">
      <c r="A75860" s="118"/>
      <c r="B75860" s="136"/>
    </row>
    <row r="75861" spans="1:2" x14ac:dyDescent="0.25">
      <c r="A75861" s="118"/>
      <c r="B75861" s="136"/>
    </row>
    <row r="75862" spans="1:2" x14ac:dyDescent="0.25">
      <c r="A75862" s="118"/>
      <c r="B75862" s="136"/>
    </row>
    <row r="75863" spans="1:2" x14ac:dyDescent="0.25">
      <c r="A75863" s="118"/>
      <c r="B75863" s="136"/>
    </row>
    <row r="75864" spans="1:2" x14ac:dyDescent="0.25">
      <c r="A75864" s="118"/>
      <c r="B75864" s="136"/>
    </row>
    <row r="75865" spans="1:2" x14ac:dyDescent="0.25">
      <c r="A75865" s="118"/>
      <c r="B75865" s="136"/>
    </row>
    <row r="75866" spans="1:2" x14ac:dyDescent="0.25">
      <c r="A75866" s="118"/>
      <c r="B75866" s="136"/>
    </row>
    <row r="75867" spans="1:2" x14ac:dyDescent="0.25">
      <c r="A75867" s="118"/>
      <c r="B75867" s="136"/>
    </row>
    <row r="75868" spans="1:2" x14ac:dyDescent="0.25">
      <c r="A75868" s="118"/>
      <c r="B75868" s="136"/>
    </row>
    <row r="75869" spans="1:2" x14ac:dyDescent="0.25">
      <c r="A75869" s="118"/>
      <c r="B75869" s="136"/>
    </row>
    <row r="75870" spans="1:2" x14ac:dyDescent="0.25">
      <c r="A75870" s="118"/>
      <c r="B75870" s="136"/>
    </row>
    <row r="75871" spans="1:2" x14ac:dyDescent="0.25">
      <c r="A75871" s="118"/>
      <c r="B75871" s="136"/>
    </row>
    <row r="75872" spans="1:2" x14ac:dyDescent="0.25">
      <c r="A75872" s="118"/>
      <c r="B75872" s="136"/>
    </row>
    <row r="75873" spans="1:2" x14ac:dyDescent="0.25">
      <c r="A75873" s="118"/>
      <c r="B75873" s="136"/>
    </row>
    <row r="75874" spans="1:2" x14ac:dyDescent="0.25">
      <c r="A75874" s="118"/>
      <c r="B75874" s="136"/>
    </row>
    <row r="75875" spans="1:2" x14ac:dyDescent="0.25">
      <c r="A75875" s="118"/>
      <c r="B75875" s="136"/>
    </row>
    <row r="75876" spans="1:2" x14ac:dyDescent="0.25">
      <c r="A75876" s="118"/>
      <c r="B75876" s="136"/>
    </row>
    <row r="75877" spans="1:2" x14ac:dyDescent="0.25">
      <c r="A75877" s="118"/>
      <c r="B75877" s="136"/>
    </row>
    <row r="75878" spans="1:2" x14ac:dyDescent="0.25">
      <c r="A75878" s="118"/>
      <c r="B75878" s="136"/>
    </row>
    <row r="75879" spans="1:2" x14ac:dyDescent="0.25">
      <c r="A75879" s="118"/>
      <c r="B75879" s="136"/>
    </row>
    <row r="75880" spans="1:2" x14ac:dyDescent="0.25">
      <c r="A75880" s="118"/>
      <c r="B75880" s="136"/>
    </row>
    <row r="75881" spans="1:2" x14ac:dyDescent="0.25">
      <c r="A75881" s="118"/>
      <c r="B75881" s="136"/>
    </row>
    <row r="75882" spans="1:2" x14ac:dyDescent="0.25">
      <c r="A75882" s="118"/>
      <c r="B75882" s="136"/>
    </row>
    <row r="75883" spans="1:2" x14ac:dyDescent="0.25">
      <c r="A75883" s="118"/>
      <c r="B75883" s="136"/>
    </row>
    <row r="75884" spans="1:2" x14ac:dyDescent="0.25">
      <c r="A75884" s="118"/>
      <c r="B75884" s="136"/>
    </row>
    <row r="75885" spans="1:2" x14ac:dyDescent="0.25">
      <c r="A75885" s="118"/>
      <c r="B75885" s="136"/>
    </row>
    <row r="75886" spans="1:2" x14ac:dyDescent="0.25">
      <c r="A75886" s="118"/>
      <c r="B75886" s="136"/>
    </row>
    <row r="75887" spans="1:2" x14ac:dyDescent="0.25">
      <c r="A75887" s="118"/>
      <c r="B75887" s="136"/>
    </row>
    <row r="75888" spans="1:2" x14ac:dyDescent="0.25">
      <c r="A75888" s="118"/>
      <c r="B75888" s="136"/>
    </row>
    <row r="75889" spans="1:2" x14ac:dyDescent="0.25">
      <c r="A75889" s="118"/>
      <c r="B75889" s="136"/>
    </row>
    <row r="75890" spans="1:2" x14ac:dyDescent="0.25">
      <c r="A75890" s="118"/>
      <c r="B75890" s="136"/>
    </row>
    <row r="75891" spans="1:2" x14ac:dyDescent="0.25">
      <c r="A75891" s="118"/>
      <c r="B75891" s="136"/>
    </row>
    <row r="75892" spans="1:2" x14ac:dyDescent="0.25">
      <c r="A75892" s="118"/>
      <c r="B75892" s="136"/>
    </row>
    <row r="75893" spans="1:2" x14ac:dyDescent="0.25">
      <c r="A75893" s="118"/>
      <c r="B75893" s="136"/>
    </row>
    <row r="75894" spans="1:2" x14ac:dyDescent="0.25">
      <c r="A75894" s="118"/>
      <c r="B75894" s="136"/>
    </row>
    <row r="75895" spans="1:2" x14ac:dyDescent="0.25">
      <c r="A75895" s="118"/>
      <c r="B75895" s="136"/>
    </row>
    <row r="75896" spans="1:2" x14ac:dyDescent="0.25">
      <c r="A75896" s="118"/>
      <c r="B75896" s="136"/>
    </row>
    <row r="75897" spans="1:2" x14ac:dyDescent="0.25">
      <c r="A75897" s="118"/>
      <c r="B75897" s="136"/>
    </row>
    <row r="75898" spans="1:2" x14ac:dyDescent="0.25">
      <c r="A75898" s="118"/>
      <c r="B75898" s="136"/>
    </row>
    <row r="75899" spans="1:2" x14ac:dyDescent="0.25">
      <c r="A75899" s="118"/>
      <c r="B75899" s="136"/>
    </row>
    <row r="75900" spans="1:2" x14ac:dyDescent="0.25">
      <c r="A75900" s="118"/>
      <c r="B75900" s="136"/>
    </row>
    <row r="75901" spans="1:2" x14ac:dyDescent="0.25">
      <c r="A75901" s="118"/>
      <c r="B75901" s="136"/>
    </row>
    <row r="75902" spans="1:2" x14ac:dyDescent="0.25">
      <c r="A75902" s="118"/>
      <c r="B75902" s="136"/>
    </row>
    <row r="75903" spans="1:2" x14ac:dyDescent="0.25">
      <c r="A75903" s="118"/>
      <c r="B75903" s="136"/>
    </row>
    <row r="75904" spans="1:2" x14ac:dyDescent="0.25">
      <c r="A75904" s="118"/>
      <c r="B75904" s="136"/>
    </row>
    <row r="75905" spans="1:2" x14ac:dyDescent="0.25">
      <c r="A75905" s="118"/>
      <c r="B75905" s="136"/>
    </row>
    <row r="75906" spans="1:2" x14ac:dyDescent="0.25">
      <c r="A75906" s="118"/>
      <c r="B75906" s="136"/>
    </row>
    <row r="75907" spans="1:2" x14ac:dyDescent="0.25">
      <c r="A75907" s="118"/>
      <c r="B75907" s="136"/>
    </row>
    <row r="75908" spans="1:2" x14ac:dyDescent="0.25">
      <c r="A75908" s="118"/>
      <c r="B75908" s="136"/>
    </row>
    <row r="75909" spans="1:2" x14ac:dyDescent="0.25">
      <c r="A75909" s="118"/>
      <c r="B75909" s="136"/>
    </row>
    <row r="75910" spans="1:2" x14ac:dyDescent="0.25">
      <c r="A75910" s="118"/>
      <c r="B75910" s="136"/>
    </row>
    <row r="75911" spans="1:2" x14ac:dyDescent="0.25">
      <c r="A75911" s="118"/>
      <c r="B75911" s="136"/>
    </row>
    <row r="75912" spans="1:2" x14ac:dyDescent="0.25">
      <c r="A75912" s="118"/>
      <c r="B75912" s="136"/>
    </row>
    <row r="75913" spans="1:2" x14ac:dyDescent="0.25">
      <c r="A75913" s="118"/>
      <c r="B75913" s="136"/>
    </row>
    <row r="75914" spans="1:2" x14ac:dyDescent="0.25">
      <c r="A75914" s="118"/>
      <c r="B75914" s="136"/>
    </row>
    <row r="75915" spans="1:2" x14ac:dyDescent="0.25">
      <c r="A75915" s="118"/>
      <c r="B75915" s="136"/>
    </row>
    <row r="75916" spans="1:2" x14ac:dyDescent="0.25">
      <c r="A75916" s="118"/>
      <c r="B75916" s="136"/>
    </row>
    <row r="75917" spans="1:2" x14ac:dyDescent="0.25">
      <c r="A75917" s="118"/>
      <c r="B75917" s="136"/>
    </row>
    <row r="75918" spans="1:2" x14ac:dyDescent="0.25">
      <c r="A75918" s="118"/>
      <c r="B75918" s="136"/>
    </row>
    <row r="75919" spans="1:2" x14ac:dyDescent="0.25">
      <c r="A75919" s="118"/>
      <c r="B75919" s="136"/>
    </row>
    <row r="75920" spans="1:2" x14ac:dyDescent="0.25">
      <c r="A75920" s="118"/>
      <c r="B75920" s="136"/>
    </row>
    <row r="75921" spans="1:2" x14ac:dyDescent="0.25">
      <c r="A75921" s="118"/>
      <c r="B75921" s="136"/>
    </row>
    <row r="75922" spans="1:2" x14ac:dyDescent="0.25">
      <c r="A75922" s="118"/>
      <c r="B75922" s="136"/>
    </row>
    <row r="75923" spans="1:2" x14ac:dyDescent="0.25">
      <c r="A75923" s="118"/>
      <c r="B75923" s="136"/>
    </row>
    <row r="75924" spans="1:2" x14ac:dyDescent="0.25">
      <c r="A75924" s="118"/>
      <c r="B75924" s="136"/>
    </row>
    <row r="75925" spans="1:2" x14ac:dyDescent="0.25">
      <c r="A75925" s="118"/>
      <c r="B75925" s="136"/>
    </row>
    <row r="75926" spans="1:2" x14ac:dyDescent="0.25">
      <c r="A75926" s="118"/>
      <c r="B75926" s="136"/>
    </row>
    <row r="75927" spans="1:2" x14ac:dyDescent="0.25">
      <c r="A75927" s="118"/>
      <c r="B75927" s="136"/>
    </row>
    <row r="75928" spans="1:2" x14ac:dyDescent="0.25">
      <c r="A75928" s="118"/>
      <c r="B75928" s="136"/>
    </row>
    <row r="75929" spans="1:2" x14ac:dyDescent="0.25">
      <c r="A75929" s="118"/>
      <c r="B75929" s="136"/>
    </row>
    <row r="75930" spans="1:2" x14ac:dyDescent="0.25">
      <c r="A75930" s="118"/>
      <c r="B75930" s="136"/>
    </row>
    <row r="75931" spans="1:2" x14ac:dyDescent="0.25">
      <c r="A75931" s="118"/>
      <c r="B75931" s="136"/>
    </row>
    <row r="75932" spans="1:2" x14ac:dyDescent="0.25">
      <c r="A75932" s="118"/>
      <c r="B75932" s="136"/>
    </row>
    <row r="75933" spans="1:2" x14ac:dyDescent="0.25">
      <c r="A75933" s="118"/>
      <c r="B75933" s="136"/>
    </row>
    <row r="75934" spans="1:2" x14ac:dyDescent="0.25">
      <c r="A75934" s="118"/>
      <c r="B75934" s="136"/>
    </row>
    <row r="75935" spans="1:2" x14ac:dyDescent="0.25">
      <c r="A75935" s="118"/>
      <c r="B75935" s="136"/>
    </row>
    <row r="75936" spans="1:2" x14ac:dyDescent="0.25">
      <c r="A75936" s="118"/>
      <c r="B75936" s="136"/>
    </row>
    <row r="75937" spans="1:2" x14ac:dyDescent="0.25">
      <c r="A75937" s="118"/>
      <c r="B75937" s="136"/>
    </row>
    <row r="75938" spans="1:2" x14ac:dyDescent="0.25">
      <c r="A75938" s="118"/>
      <c r="B75938" s="136"/>
    </row>
    <row r="75939" spans="1:2" x14ac:dyDescent="0.25">
      <c r="A75939" s="118"/>
      <c r="B75939" s="136"/>
    </row>
    <row r="75940" spans="1:2" x14ac:dyDescent="0.25">
      <c r="A75940" s="118"/>
      <c r="B75940" s="136"/>
    </row>
    <row r="75941" spans="1:2" x14ac:dyDescent="0.25">
      <c r="A75941" s="118"/>
      <c r="B75941" s="136"/>
    </row>
    <row r="75942" spans="1:2" x14ac:dyDescent="0.25">
      <c r="A75942" s="118"/>
      <c r="B75942" s="136"/>
    </row>
    <row r="75943" spans="1:2" x14ac:dyDescent="0.25">
      <c r="A75943" s="118"/>
      <c r="B75943" s="136"/>
    </row>
    <row r="75944" spans="1:2" x14ac:dyDescent="0.25">
      <c r="A75944" s="118"/>
      <c r="B75944" s="136"/>
    </row>
    <row r="75945" spans="1:2" x14ac:dyDescent="0.25">
      <c r="A75945" s="118"/>
      <c r="B75945" s="136"/>
    </row>
    <row r="75946" spans="1:2" x14ac:dyDescent="0.25">
      <c r="A75946" s="118"/>
      <c r="B75946" s="136"/>
    </row>
    <row r="75947" spans="1:2" x14ac:dyDescent="0.25">
      <c r="A75947" s="118"/>
      <c r="B75947" s="136"/>
    </row>
    <row r="75948" spans="1:2" x14ac:dyDescent="0.25">
      <c r="A75948" s="118"/>
      <c r="B75948" s="136"/>
    </row>
    <row r="75949" spans="1:2" x14ac:dyDescent="0.25">
      <c r="A75949" s="118"/>
      <c r="B75949" s="136"/>
    </row>
    <row r="75950" spans="1:2" x14ac:dyDescent="0.25">
      <c r="A75950" s="118"/>
      <c r="B75950" s="136"/>
    </row>
    <row r="75951" spans="1:2" x14ac:dyDescent="0.25">
      <c r="A75951" s="118"/>
      <c r="B75951" s="136"/>
    </row>
    <row r="75952" spans="1:2" x14ac:dyDescent="0.25">
      <c r="A75952" s="118"/>
      <c r="B75952" s="136"/>
    </row>
    <row r="75953" spans="1:2" x14ac:dyDescent="0.25">
      <c r="A75953" s="118"/>
      <c r="B75953" s="136"/>
    </row>
    <row r="75954" spans="1:2" x14ac:dyDescent="0.25">
      <c r="A75954" s="118"/>
      <c r="B75954" s="136"/>
    </row>
    <row r="75955" spans="1:2" x14ac:dyDescent="0.25">
      <c r="A75955" s="118"/>
      <c r="B75955" s="136"/>
    </row>
    <row r="75956" spans="1:2" x14ac:dyDescent="0.25">
      <c r="A75956" s="118"/>
      <c r="B75956" s="136"/>
    </row>
    <row r="75957" spans="1:2" x14ac:dyDescent="0.25">
      <c r="A75957" s="118"/>
      <c r="B75957" s="136"/>
    </row>
    <row r="75958" spans="1:2" x14ac:dyDescent="0.25">
      <c r="A75958" s="118"/>
      <c r="B75958" s="136"/>
    </row>
    <row r="75959" spans="1:2" x14ac:dyDescent="0.25">
      <c r="A75959" s="118"/>
      <c r="B75959" s="136"/>
    </row>
    <row r="75960" spans="1:2" x14ac:dyDescent="0.25">
      <c r="A75960" s="118"/>
      <c r="B75960" s="136"/>
    </row>
    <row r="75961" spans="1:2" x14ac:dyDescent="0.25">
      <c r="A75961" s="118"/>
      <c r="B75961" s="136"/>
    </row>
    <row r="75962" spans="1:2" x14ac:dyDescent="0.25">
      <c r="A75962" s="118"/>
      <c r="B75962" s="136"/>
    </row>
    <row r="75963" spans="1:2" x14ac:dyDescent="0.25">
      <c r="A75963" s="118"/>
      <c r="B75963" s="136"/>
    </row>
    <row r="75964" spans="1:2" x14ac:dyDescent="0.25">
      <c r="A75964" s="118"/>
      <c r="B75964" s="136"/>
    </row>
    <row r="75965" spans="1:2" x14ac:dyDescent="0.25">
      <c r="A75965" s="118"/>
      <c r="B75965" s="136"/>
    </row>
    <row r="75966" spans="1:2" x14ac:dyDescent="0.25">
      <c r="A75966" s="118"/>
      <c r="B75966" s="136"/>
    </row>
    <row r="75967" spans="1:2" x14ac:dyDescent="0.25">
      <c r="A75967" s="118"/>
      <c r="B75967" s="136"/>
    </row>
    <row r="75968" spans="1:2" x14ac:dyDescent="0.25">
      <c r="A75968" s="118"/>
      <c r="B75968" s="136"/>
    </row>
    <row r="75969" spans="1:2" x14ac:dyDescent="0.25">
      <c r="A75969" s="118"/>
      <c r="B75969" s="136"/>
    </row>
    <row r="75970" spans="1:2" x14ac:dyDescent="0.25">
      <c r="A75970" s="118"/>
      <c r="B75970" s="136"/>
    </row>
    <row r="75971" spans="1:2" x14ac:dyDescent="0.25">
      <c r="A75971" s="118"/>
      <c r="B75971" s="136"/>
    </row>
    <row r="75972" spans="1:2" x14ac:dyDescent="0.25">
      <c r="A75972" s="118"/>
      <c r="B75972" s="136"/>
    </row>
    <row r="75973" spans="1:2" x14ac:dyDescent="0.25">
      <c r="A75973" s="118"/>
      <c r="B75973" s="136"/>
    </row>
    <row r="75974" spans="1:2" x14ac:dyDescent="0.25">
      <c r="A75974" s="118"/>
      <c r="B75974" s="136"/>
    </row>
    <row r="75975" spans="1:2" x14ac:dyDescent="0.25">
      <c r="A75975" s="118"/>
      <c r="B75975" s="136"/>
    </row>
    <row r="75976" spans="1:2" x14ac:dyDescent="0.25">
      <c r="A75976" s="118"/>
      <c r="B75976" s="136"/>
    </row>
    <row r="75977" spans="1:2" x14ac:dyDescent="0.25">
      <c r="A75977" s="118"/>
      <c r="B75977" s="136"/>
    </row>
    <row r="75978" spans="1:2" x14ac:dyDescent="0.25">
      <c r="A75978" s="118"/>
      <c r="B75978" s="136"/>
    </row>
    <row r="75979" spans="1:2" x14ac:dyDescent="0.25">
      <c r="A75979" s="118"/>
      <c r="B75979" s="136"/>
    </row>
    <row r="75980" spans="1:2" x14ac:dyDescent="0.25">
      <c r="A75980" s="118"/>
      <c r="B75980" s="136"/>
    </row>
    <row r="75981" spans="1:2" x14ac:dyDescent="0.25">
      <c r="A75981" s="118"/>
      <c r="B75981" s="136"/>
    </row>
    <row r="75982" spans="1:2" x14ac:dyDescent="0.25">
      <c r="A75982" s="118"/>
      <c r="B75982" s="136"/>
    </row>
    <row r="75983" spans="1:2" x14ac:dyDescent="0.25">
      <c r="A75983" s="118"/>
      <c r="B75983" s="136"/>
    </row>
    <row r="75984" spans="1:2" x14ac:dyDescent="0.25">
      <c r="A75984" s="118"/>
      <c r="B75984" s="136"/>
    </row>
    <row r="75985" spans="1:2" x14ac:dyDescent="0.25">
      <c r="A75985" s="118"/>
      <c r="B75985" s="136"/>
    </row>
    <row r="75986" spans="1:2" x14ac:dyDescent="0.25">
      <c r="A75986" s="118"/>
      <c r="B75986" s="136"/>
    </row>
    <row r="75987" spans="1:2" x14ac:dyDescent="0.25">
      <c r="A75987" s="118"/>
      <c r="B75987" s="136"/>
    </row>
    <row r="75988" spans="1:2" x14ac:dyDescent="0.25">
      <c r="A75988" s="118"/>
      <c r="B75988" s="136"/>
    </row>
    <row r="75989" spans="1:2" x14ac:dyDescent="0.25">
      <c r="A75989" s="118"/>
      <c r="B75989" s="136"/>
    </row>
    <row r="75990" spans="1:2" x14ac:dyDescent="0.25">
      <c r="A75990" s="118"/>
      <c r="B75990" s="136"/>
    </row>
    <row r="75991" spans="1:2" x14ac:dyDescent="0.25">
      <c r="A75991" s="118"/>
      <c r="B75991" s="136"/>
    </row>
    <row r="75992" spans="1:2" x14ac:dyDescent="0.25">
      <c r="A75992" s="118"/>
      <c r="B75992" s="136"/>
    </row>
    <row r="75993" spans="1:2" x14ac:dyDescent="0.25">
      <c r="A75993" s="118"/>
      <c r="B75993" s="136"/>
    </row>
    <row r="75994" spans="1:2" x14ac:dyDescent="0.25">
      <c r="A75994" s="118"/>
      <c r="B75994" s="136"/>
    </row>
    <row r="75995" spans="1:2" x14ac:dyDescent="0.25">
      <c r="A75995" s="118"/>
      <c r="B75995" s="136"/>
    </row>
    <row r="75996" spans="1:2" x14ac:dyDescent="0.25">
      <c r="A75996" s="118"/>
      <c r="B75996" s="136"/>
    </row>
    <row r="75997" spans="1:2" x14ac:dyDescent="0.25">
      <c r="A75997" s="118"/>
      <c r="B75997" s="136"/>
    </row>
    <row r="75998" spans="1:2" x14ac:dyDescent="0.25">
      <c r="A75998" s="118"/>
      <c r="B75998" s="136"/>
    </row>
    <row r="75999" spans="1:2" x14ac:dyDescent="0.25">
      <c r="A75999" s="118"/>
      <c r="B75999" s="136"/>
    </row>
    <row r="76000" spans="1:2" x14ac:dyDescent="0.25">
      <c r="A76000" s="118"/>
      <c r="B76000" s="136"/>
    </row>
    <row r="76001" spans="1:2" x14ac:dyDescent="0.25">
      <c r="A76001" s="118"/>
      <c r="B76001" s="136"/>
    </row>
    <row r="76002" spans="1:2" x14ac:dyDescent="0.25">
      <c r="A76002" s="118"/>
      <c r="B76002" s="136"/>
    </row>
    <row r="76003" spans="1:2" x14ac:dyDescent="0.25">
      <c r="A76003" s="118"/>
      <c r="B76003" s="136"/>
    </row>
    <row r="76004" spans="1:2" x14ac:dyDescent="0.25">
      <c r="A76004" s="118"/>
      <c r="B76004" s="136"/>
    </row>
    <row r="76005" spans="1:2" x14ac:dyDescent="0.25">
      <c r="A76005" s="118"/>
      <c r="B76005" s="136"/>
    </row>
    <row r="76006" spans="1:2" x14ac:dyDescent="0.25">
      <c r="A76006" s="118"/>
      <c r="B76006" s="136"/>
    </row>
    <row r="76007" spans="1:2" x14ac:dyDescent="0.25">
      <c r="A76007" s="118"/>
      <c r="B76007" s="136"/>
    </row>
    <row r="76008" spans="1:2" x14ac:dyDescent="0.25">
      <c r="A76008" s="118"/>
      <c r="B76008" s="136"/>
    </row>
    <row r="76009" spans="1:2" x14ac:dyDescent="0.25">
      <c r="A76009" s="118"/>
      <c r="B76009" s="136"/>
    </row>
    <row r="76010" spans="1:2" x14ac:dyDescent="0.25">
      <c r="A76010" s="118"/>
      <c r="B76010" s="136"/>
    </row>
    <row r="76011" spans="1:2" x14ac:dyDescent="0.25">
      <c r="A76011" s="118"/>
      <c r="B76011" s="136"/>
    </row>
    <row r="76012" spans="1:2" x14ac:dyDescent="0.25">
      <c r="A76012" s="118"/>
      <c r="B76012" s="136"/>
    </row>
    <row r="76013" spans="1:2" x14ac:dyDescent="0.25">
      <c r="A76013" s="118"/>
      <c r="B76013" s="136"/>
    </row>
    <row r="76014" spans="1:2" x14ac:dyDescent="0.25">
      <c r="A76014" s="118"/>
      <c r="B76014" s="136"/>
    </row>
    <row r="76015" spans="1:2" x14ac:dyDescent="0.25">
      <c r="A76015" s="118"/>
      <c r="B76015" s="136"/>
    </row>
    <row r="76016" spans="1:2" x14ac:dyDescent="0.25">
      <c r="A76016" s="118"/>
      <c r="B76016" s="136"/>
    </row>
    <row r="76017" spans="1:2" x14ac:dyDescent="0.25">
      <c r="A76017" s="118"/>
      <c r="B76017" s="136"/>
    </row>
    <row r="76018" spans="1:2" x14ac:dyDescent="0.25">
      <c r="A76018" s="118"/>
      <c r="B76018" s="136"/>
    </row>
    <row r="76019" spans="1:2" x14ac:dyDescent="0.25">
      <c r="A76019" s="118"/>
      <c r="B76019" s="136"/>
    </row>
    <row r="76020" spans="1:2" x14ac:dyDescent="0.25">
      <c r="A76020" s="118"/>
      <c r="B76020" s="136"/>
    </row>
    <row r="76021" spans="1:2" x14ac:dyDescent="0.25">
      <c r="A76021" s="118"/>
      <c r="B76021" s="136"/>
    </row>
    <row r="76022" spans="1:2" x14ac:dyDescent="0.25">
      <c r="A76022" s="118"/>
      <c r="B76022" s="136"/>
    </row>
    <row r="76023" spans="1:2" x14ac:dyDescent="0.25">
      <c r="A76023" s="118"/>
      <c r="B76023" s="136"/>
    </row>
    <row r="76024" spans="1:2" x14ac:dyDescent="0.25">
      <c r="A76024" s="118"/>
      <c r="B76024" s="136"/>
    </row>
    <row r="76025" spans="1:2" x14ac:dyDescent="0.25">
      <c r="A76025" s="118"/>
      <c r="B76025" s="136"/>
    </row>
    <row r="76026" spans="1:2" x14ac:dyDescent="0.25">
      <c r="A76026" s="118"/>
      <c r="B76026" s="136"/>
    </row>
    <row r="76027" spans="1:2" x14ac:dyDescent="0.25">
      <c r="A76027" s="118"/>
      <c r="B76027" s="136"/>
    </row>
    <row r="76028" spans="1:2" x14ac:dyDescent="0.25">
      <c r="A76028" s="118"/>
      <c r="B76028" s="136"/>
    </row>
    <row r="76029" spans="1:2" x14ac:dyDescent="0.25">
      <c r="A76029" s="118"/>
      <c r="B76029" s="136"/>
    </row>
    <row r="76030" spans="1:2" x14ac:dyDescent="0.25">
      <c r="A76030" s="118"/>
      <c r="B76030" s="136"/>
    </row>
    <row r="76031" spans="1:2" x14ac:dyDescent="0.25">
      <c r="A76031" s="118"/>
      <c r="B76031" s="136"/>
    </row>
    <row r="76032" spans="1:2" x14ac:dyDescent="0.25">
      <c r="A76032" s="118"/>
      <c r="B76032" s="136"/>
    </row>
    <row r="76033" spans="1:2" x14ac:dyDescent="0.25">
      <c r="A76033" s="118"/>
      <c r="B76033" s="136"/>
    </row>
    <row r="76034" spans="1:2" x14ac:dyDescent="0.25">
      <c r="A76034" s="118"/>
      <c r="B76034" s="136"/>
    </row>
    <row r="76035" spans="1:2" x14ac:dyDescent="0.25">
      <c r="A76035" s="118"/>
      <c r="B76035" s="136"/>
    </row>
    <row r="76036" spans="1:2" x14ac:dyDescent="0.25">
      <c r="A76036" s="118"/>
      <c r="B76036" s="136"/>
    </row>
    <row r="76037" spans="1:2" x14ac:dyDescent="0.25">
      <c r="A76037" s="118"/>
      <c r="B76037" s="136"/>
    </row>
    <row r="76038" spans="1:2" x14ac:dyDescent="0.25">
      <c r="A76038" s="118"/>
      <c r="B76038" s="136"/>
    </row>
    <row r="76039" spans="1:2" x14ac:dyDescent="0.25">
      <c r="A76039" s="118"/>
      <c r="B76039" s="136"/>
    </row>
    <row r="76040" spans="1:2" x14ac:dyDescent="0.25">
      <c r="A76040" s="118"/>
      <c r="B76040" s="136"/>
    </row>
    <row r="76041" spans="1:2" x14ac:dyDescent="0.25">
      <c r="A76041" s="118"/>
      <c r="B76041" s="136"/>
    </row>
    <row r="76042" spans="1:2" x14ac:dyDescent="0.25">
      <c r="A76042" s="118"/>
      <c r="B76042" s="136"/>
    </row>
    <row r="76043" spans="1:2" x14ac:dyDescent="0.25">
      <c r="A76043" s="118"/>
      <c r="B76043" s="136"/>
    </row>
    <row r="76044" spans="1:2" x14ac:dyDescent="0.25">
      <c r="A76044" s="118"/>
      <c r="B76044" s="136"/>
    </row>
    <row r="76045" spans="1:2" x14ac:dyDescent="0.25">
      <c r="A76045" s="118"/>
      <c r="B76045" s="136"/>
    </row>
    <row r="76046" spans="1:2" x14ac:dyDescent="0.25">
      <c r="A76046" s="118"/>
      <c r="B76046" s="136"/>
    </row>
    <row r="76047" spans="1:2" x14ac:dyDescent="0.25">
      <c r="A76047" s="118"/>
      <c r="B76047" s="136"/>
    </row>
    <row r="76048" spans="1:2" x14ac:dyDescent="0.25">
      <c r="A76048" s="118"/>
      <c r="B76048" s="136"/>
    </row>
    <row r="76049" spans="1:2" x14ac:dyDescent="0.25">
      <c r="A76049" s="118"/>
      <c r="B76049" s="136"/>
    </row>
    <row r="76050" spans="1:2" x14ac:dyDescent="0.25">
      <c r="A76050" s="118"/>
      <c r="B76050" s="136"/>
    </row>
    <row r="76051" spans="1:2" x14ac:dyDescent="0.25">
      <c r="A76051" s="118"/>
      <c r="B76051" s="136"/>
    </row>
    <row r="76052" spans="1:2" x14ac:dyDescent="0.25">
      <c r="A76052" s="118"/>
      <c r="B76052" s="136"/>
    </row>
    <row r="76053" spans="1:2" x14ac:dyDescent="0.25">
      <c r="A76053" s="118"/>
      <c r="B76053" s="136"/>
    </row>
    <row r="76054" spans="1:2" x14ac:dyDescent="0.25">
      <c r="A76054" s="118"/>
      <c r="B76054" s="136"/>
    </row>
    <row r="76055" spans="1:2" x14ac:dyDescent="0.25">
      <c r="A76055" s="118"/>
      <c r="B76055" s="136"/>
    </row>
    <row r="76056" spans="1:2" x14ac:dyDescent="0.25">
      <c r="A76056" s="118"/>
      <c r="B76056" s="136"/>
    </row>
    <row r="76057" spans="1:2" x14ac:dyDescent="0.25">
      <c r="A76057" s="118"/>
      <c r="B76057" s="136"/>
    </row>
    <row r="76058" spans="1:2" x14ac:dyDescent="0.25">
      <c r="A76058" s="118"/>
      <c r="B76058" s="136"/>
    </row>
    <row r="76059" spans="1:2" x14ac:dyDescent="0.25">
      <c r="A76059" s="118"/>
      <c r="B76059" s="136"/>
    </row>
    <row r="76060" spans="1:2" x14ac:dyDescent="0.25">
      <c r="A76060" s="118"/>
      <c r="B76060" s="136"/>
    </row>
    <row r="76061" spans="1:2" x14ac:dyDescent="0.25">
      <c r="A76061" s="118"/>
      <c r="B76061" s="136"/>
    </row>
    <row r="76062" spans="1:2" x14ac:dyDescent="0.25">
      <c r="A76062" s="118"/>
      <c r="B76062" s="136"/>
    </row>
    <row r="76063" spans="1:2" x14ac:dyDescent="0.25">
      <c r="A76063" s="118"/>
      <c r="B76063" s="136"/>
    </row>
    <row r="76064" spans="1:2" x14ac:dyDescent="0.25">
      <c r="A76064" s="118"/>
      <c r="B76064" s="136"/>
    </row>
    <row r="76065" spans="1:2" x14ac:dyDescent="0.25">
      <c r="A76065" s="118"/>
      <c r="B76065" s="136"/>
    </row>
    <row r="76066" spans="1:2" x14ac:dyDescent="0.25">
      <c r="A76066" s="118"/>
      <c r="B76066" s="136"/>
    </row>
    <row r="76067" spans="1:2" x14ac:dyDescent="0.25">
      <c r="A76067" s="118"/>
      <c r="B76067" s="136"/>
    </row>
    <row r="76068" spans="1:2" x14ac:dyDescent="0.25">
      <c r="A76068" s="118"/>
      <c r="B76068" s="136"/>
    </row>
    <row r="76069" spans="1:2" x14ac:dyDescent="0.25">
      <c r="A76069" s="118"/>
      <c r="B76069" s="136"/>
    </row>
    <row r="76070" spans="1:2" x14ac:dyDescent="0.25">
      <c r="A76070" s="118"/>
      <c r="B76070" s="136"/>
    </row>
    <row r="76071" spans="1:2" x14ac:dyDescent="0.25">
      <c r="A76071" s="118"/>
      <c r="B76071" s="136"/>
    </row>
    <row r="76072" spans="1:2" x14ac:dyDescent="0.25">
      <c r="A76072" s="118"/>
      <c r="B76072" s="136"/>
    </row>
    <row r="76073" spans="1:2" x14ac:dyDescent="0.25">
      <c r="A76073" s="118"/>
      <c r="B76073" s="136"/>
    </row>
    <row r="76074" spans="1:2" x14ac:dyDescent="0.25">
      <c r="A76074" s="118"/>
      <c r="B76074" s="136"/>
    </row>
    <row r="76075" spans="1:2" x14ac:dyDescent="0.25">
      <c r="A76075" s="118"/>
      <c r="B76075" s="136"/>
    </row>
    <row r="76076" spans="1:2" x14ac:dyDescent="0.25">
      <c r="A76076" s="118"/>
      <c r="B76076" s="136"/>
    </row>
    <row r="76077" spans="1:2" x14ac:dyDescent="0.25">
      <c r="A76077" s="118"/>
      <c r="B76077" s="136"/>
    </row>
    <row r="76078" spans="1:2" x14ac:dyDescent="0.25">
      <c r="A76078" s="118"/>
      <c r="B76078" s="136"/>
    </row>
    <row r="76079" spans="1:2" x14ac:dyDescent="0.25">
      <c r="A76079" s="118"/>
      <c r="B76079" s="136"/>
    </row>
    <row r="76080" spans="1:2" x14ac:dyDescent="0.25">
      <c r="A76080" s="118"/>
      <c r="B76080" s="136"/>
    </row>
    <row r="76081" spans="1:2" x14ac:dyDescent="0.25">
      <c r="A76081" s="118"/>
      <c r="B76081" s="136"/>
    </row>
    <row r="76082" spans="1:2" x14ac:dyDescent="0.25">
      <c r="A76082" s="118"/>
      <c r="B76082" s="136"/>
    </row>
    <row r="76083" spans="1:2" x14ac:dyDescent="0.25">
      <c r="A76083" s="118"/>
      <c r="B76083" s="136"/>
    </row>
    <row r="76084" spans="1:2" x14ac:dyDescent="0.25">
      <c r="A76084" s="118"/>
      <c r="B76084" s="136"/>
    </row>
    <row r="76085" spans="1:2" x14ac:dyDescent="0.25">
      <c r="A76085" s="118"/>
      <c r="B76085" s="136"/>
    </row>
    <row r="76086" spans="1:2" x14ac:dyDescent="0.25">
      <c r="A76086" s="118"/>
      <c r="B76086" s="136"/>
    </row>
    <row r="76087" spans="1:2" x14ac:dyDescent="0.25">
      <c r="A76087" s="118"/>
      <c r="B76087" s="136"/>
    </row>
    <row r="76088" spans="1:2" x14ac:dyDescent="0.25">
      <c r="A76088" s="118"/>
      <c r="B76088" s="136"/>
    </row>
    <row r="76089" spans="1:2" x14ac:dyDescent="0.25">
      <c r="A76089" s="118"/>
      <c r="B76089" s="136"/>
    </row>
    <row r="76090" spans="1:2" x14ac:dyDescent="0.25">
      <c r="A76090" s="118"/>
      <c r="B76090" s="136"/>
    </row>
    <row r="76091" spans="1:2" x14ac:dyDescent="0.25">
      <c r="A76091" s="118"/>
      <c r="B76091" s="136"/>
    </row>
    <row r="76092" spans="1:2" x14ac:dyDescent="0.25">
      <c r="A76092" s="118"/>
      <c r="B76092" s="136"/>
    </row>
    <row r="76093" spans="1:2" x14ac:dyDescent="0.25">
      <c r="A76093" s="118"/>
      <c r="B76093" s="136"/>
    </row>
    <row r="76094" spans="1:2" x14ac:dyDescent="0.25">
      <c r="A76094" s="118"/>
      <c r="B76094" s="136"/>
    </row>
    <row r="76095" spans="1:2" x14ac:dyDescent="0.25">
      <c r="A76095" s="118"/>
      <c r="B76095" s="136"/>
    </row>
    <row r="76096" spans="1:2" x14ac:dyDescent="0.25">
      <c r="A76096" s="118"/>
      <c r="B76096" s="136"/>
    </row>
    <row r="76097" spans="1:2" x14ac:dyDescent="0.25">
      <c r="A76097" s="118"/>
      <c r="B76097" s="136"/>
    </row>
    <row r="76098" spans="1:2" x14ac:dyDescent="0.25">
      <c r="A76098" s="118"/>
      <c r="B76098" s="136"/>
    </row>
    <row r="76099" spans="1:2" x14ac:dyDescent="0.25">
      <c r="A76099" s="118"/>
      <c r="B76099" s="136"/>
    </row>
    <row r="76100" spans="1:2" x14ac:dyDescent="0.25">
      <c r="A76100" s="118"/>
      <c r="B76100" s="136"/>
    </row>
    <row r="76101" spans="1:2" x14ac:dyDescent="0.25">
      <c r="A76101" s="118"/>
      <c r="B76101" s="136"/>
    </row>
    <row r="76102" spans="1:2" x14ac:dyDescent="0.25">
      <c r="A76102" s="118"/>
      <c r="B76102" s="136"/>
    </row>
    <row r="76103" spans="1:2" x14ac:dyDescent="0.25">
      <c r="A76103" s="118"/>
      <c r="B76103" s="136"/>
    </row>
    <row r="76104" spans="1:2" x14ac:dyDescent="0.25">
      <c r="A76104" s="118"/>
      <c r="B76104" s="136"/>
    </row>
    <row r="76105" spans="1:2" x14ac:dyDescent="0.25">
      <c r="A76105" s="118"/>
      <c r="B76105" s="136"/>
    </row>
    <row r="76106" spans="1:2" x14ac:dyDescent="0.25">
      <c r="A76106" s="118"/>
      <c r="B76106" s="136"/>
    </row>
    <row r="76107" spans="1:2" x14ac:dyDescent="0.25">
      <c r="A76107" s="118"/>
      <c r="B76107" s="136"/>
    </row>
    <row r="76108" spans="1:2" x14ac:dyDescent="0.25">
      <c r="A76108" s="118"/>
      <c r="B76108" s="136"/>
    </row>
    <row r="76109" spans="1:2" x14ac:dyDescent="0.25">
      <c r="A76109" s="118"/>
      <c r="B76109" s="136"/>
    </row>
    <row r="76110" spans="1:2" x14ac:dyDescent="0.25">
      <c r="A76110" s="118"/>
      <c r="B76110" s="136"/>
    </row>
    <row r="76111" spans="1:2" x14ac:dyDescent="0.25">
      <c r="A76111" s="118"/>
      <c r="B76111" s="136"/>
    </row>
    <row r="76112" spans="1:2" x14ac:dyDescent="0.25">
      <c r="A76112" s="118"/>
      <c r="B76112" s="136"/>
    </row>
    <row r="76113" spans="1:2" x14ac:dyDescent="0.25">
      <c r="A76113" s="118"/>
      <c r="B76113" s="136"/>
    </row>
    <row r="76114" spans="1:2" x14ac:dyDescent="0.25">
      <c r="A76114" s="118"/>
      <c r="B76114" s="136"/>
    </row>
    <row r="76115" spans="1:2" x14ac:dyDescent="0.25">
      <c r="A76115" s="118"/>
      <c r="B76115" s="136"/>
    </row>
    <row r="76116" spans="1:2" x14ac:dyDescent="0.25">
      <c r="A76116" s="118"/>
      <c r="B76116" s="136"/>
    </row>
    <row r="76117" spans="1:2" x14ac:dyDescent="0.25">
      <c r="A76117" s="118"/>
      <c r="B76117" s="136"/>
    </row>
    <row r="76118" spans="1:2" x14ac:dyDescent="0.25">
      <c r="A76118" s="118"/>
      <c r="B76118" s="136"/>
    </row>
    <row r="76119" spans="1:2" x14ac:dyDescent="0.25">
      <c r="A76119" s="118"/>
      <c r="B76119" s="136"/>
    </row>
    <row r="76120" spans="1:2" x14ac:dyDescent="0.25">
      <c r="A76120" s="118"/>
      <c r="B76120" s="136"/>
    </row>
    <row r="76121" spans="1:2" x14ac:dyDescent="0.25">
      <c r="A76121" s="118"/>
      <c r="B76121" s="136"/>
    </row>
    <row r="76122" spans="1:2" x14ac:dyDescent="0.25">
      <c r="A76122" s="118"/>
      <c r="B76122" s="136"/>
    </row>
    <row r="76123" spans="1:2" x14ac:dyDescent="0.25">
      <c r="A76123" s="118"/>
      <c r="B76123" s="136"/>
    </row>
    <row r="76124" spans="1:2" x14ac:dyDescent="0.25">
      <c r="A76124" s="118"/>
      <c r="B76124" s="136"/>
    </row>
    <row r="76125" spans="1:2" x14ac:dyDescent="0.25">
      <c r="A76125" s="118"/>
      <c r="B76125" s="136"/>
    </row>
    <row r="76126" spans="1:2" x14ac:dyDescent="0.25">
      <c r="A76126" s="118"/>
      <c r="B76126" s="136"/>
    </row>
    <row r="76127" spans="1:2" x14ac:dyDescent="0.25">
      <c r="A76127" s="118"/>
      <c r="B76127" s="136"/>
    </row>
    <row r="76128" spans="1:2" x14ac:dyDescent="0.25">
      <c r="A76128" s="118"/>
      <c r="B76128" s="136"/>
    </row>
    <row r="76129" spans="1:2" x14ac:dyDescent="0.25">
      <c r="A76129" s="118"/>
      <c r="B76129" s="136"/>
    </row>
    <row r="76130" spans="1:2" x14ac:dyDescent="0.25">
      <c r="A76130" s="118"/>
      <c r="B76130" s="136"/>
    </row>
    <row r="76131" spans="1:2" x14ac:dyDescent="0.25">
      <c r="A76131" s="118"/>
      <c r="B76131" s="136"/>
    </row>
    <row r="76132" spans="1:2" x14ac:dyDescent="0.25">
      <c r="A76132" s="118"/>
      <c r="B76132" s="136"/>
    </row>
    <row r="76133" spans="1:2" x14ac:dyDescent="0.25">
      <c r="A76133" s="118"/>
      <c r="B76133" s="136"/>
    </row>
    <row r="76134" spans="1:2" x14ac:dyDescent="0.25">
      <c r="A76134" s="118"/>
      <c r="B76134" s="136"/>
    </row>
    <row r="76135" spans="1:2" x14ac:dyDescent="0.25">
      <c r="A76135" s="118"/>
      <c r="B76135" s="136"/>
    </row>
    <row r="76136" spans="1:2" x14ac:dyDescent="0.25">
      <c r="A76136" s="118"/>
      <c r="B76136" s="136"/>
    </row>
    <row r="76137" spans="1:2" x14ac:dyDescent="0.25">
      <c r="A76137" s="118"/>
      <c r="B76137" s="136"/>
    </row>
    <row r="76138" spans="1:2" x14ac:dyDescent="0.25">
      <c r="A76138" s="118"/>
      <c r="B76138" s="136"/>
    </row>
    <row r="76139" spans="1:2" x14ac:dyDescent="0.25">
      <c r="A76139" s="118"/>
      <c r="B76139" s="136"/>
    </row>
    <row r="76140" spans="1:2" x14ac:dyDescent="0.25">
      <c r="A76140" s="118"/>
      <c r="B76140" s="136"/>
    </row>
    <row r="76141" spans="1:2" x14ac:dyDescent="0.25">
      <c r="A76141" s="118"/>
      <c r="B76141" s="136"/>
    </row>
    <row r="76142" spans="1:2" x14ac:dyDescent="0.25">
      <c r="A76142" s="118"/>
      <c r="B76142" s="136"/>
    </row>
    <row r="76143" spans="1:2" x14ac:dyDescent="0.25">
      <c r="A76143" s="118"/>
      <c r="B76143" s="136"/>
    </row>
    <row r="76144" spans="1:2" x14ac:dyDescent="0.25">
      <c r="A76144" s="118"/>
      <c r="B76144" s="136"/>
    </row>
    <row r="76145" spans="1:2" x14ac:dyDescent="0.25">
      <c r="A76145" s="118"/>
      <c r="B76145" s="136"/>
    </row>
    <row r="76146" spans="1:2" x14ac:dyDescent="0.25">
      <c r="A76146" s="118"/>
      <c r="B76146" s="136"/>
    </row>
    <row r="76147" spans="1:2" x14ac:dyDescent="0.25">
      <c r="A76147" s="118"/>
      <c r="B76147" s="136"/>
    </row>
    <row r="76148" spans="1:2" x14ac:dyDescent="0.25">
      <c r="A76148" s="118"/>
      <c r="B76148" s="136"/>
    </row>
    <row r="76149" spans="1:2" x14ac:dyDescent="0.25">
      <c r="A76149" s="118"/>
      <c r="B76149" s="136"/>
    </row>
    <row r="76150" spans="1:2" x14ac:dyDescent="0.25">
      <c r="A76150" s="118"/>
      <c r="B76150" s="136"/>
    </row>
    <row r="76151" spans="1:2" x14ac:dyDescent="0.25">
      <c r="A76151" s="118"/>
      <c r="B76151" s="136"/>
    </row>
    <row r="76152" spans="1:2" x14ac:dyDescent="0.25">
      <c r="A76152" s="118"/>
      <c r="B76152" s="136"/>
    </row>
    <row r="76153" spans="1:2" x14ac:dyDescent="0.25">
      <c r="A76153" s="118"/>
      <c r="B76153" s="136"/>
    </row>
    <row r="76154" spans="1:2" x14ac:dyDescent="0.25">
      <c r="A76154" s="118"/>
      <c r="B76154" s="136"/>
    </row>
    <row r="76155" spans="1:2" x14ac:dyDescent="0.25">
      <c r="A76155" s="118"/>
      <c r="B76155" s="136"/>
    </row>
    <row r="76156" spans="1:2" x14ac:dyDescent="0.25">
      <c r="A76156" s="118"/>
      <c r="B76156" s="136"/>
    </row>
    <row r="76157" spans="1:2" x14ac:dyDescent="0.25">
      <c r="A76157" s="118"/>
      <c r="B76157" s="136"/>
    </row>
    <row r="76158" spans="1:2" x14ac:dyDescent="0.25">
      <c r="A76158" s="118"/>
      <c r="B76158" s="136"/>
    </row>
    <row r="76159" spans="1:2" x14ac:dyDescent="0.25">
      <c r="A76159" s="118"/>
      <c r="B76159" s="136"/>
    </row>
    <row r="76160" spans="1:2" x14ac:dyDescent="0.25">
      <c r="A76160" s="118"/>
      <c r="B76160" s="136"/>
    </row>
    <row r="76161" spans="1:2" x14ac:dyDescent="0.25">
      <c r="A76161" s="118"/>
      <c r="B76161" s="136"/>
    </row>
    <row r="76162" spans="1:2" x14ac:dyDescent="0.25">
      <c r="A76162" s="118"/>
      <c r="B76162" s="136"/>
    </row>
    <row r="76163" spans="1:2" x14ac:dyDescent="0.25">
      <c r="A76163" s="118"/>
      <c r="B76163" s="136"/>
    </row>
    <row r="76164" spans="1:2" x14ac:dyDescent="0.25">
      <c r="A76164" s="118"/>
      <c r="B76164" s="136"/>
    </row>
    <row r="76165" spans="1:2" x14ac:dyDescent="0.25">
      <c r="A76165" s="118"/>
      <c r="B76165" s="136"/>
    </row>
    <row r="76166" spans="1:2" x14ac:dyDescent="0.25">
      <c r="A76166" s="118"/>
      <c r="B76166" s="136"/>
    </row>
    <row r="76167" spans="1:2" x14ac:dyDescent="0.25">
      <c r="A76167" s="118"/>
      <c r="B76167" s="136"/>
    </row>
    <row r="76168" spans="1:2" x14ac:dyDescent="0.25">
      <c r="A76168" s="118"/>
      <c r="B76168" s="136"/>
    </row>
    <row r="76169" spans="1:2" x14ac:dyDescent="0.25">
      <c r="A76169" s="118"/>
      <c r="B76169" s="136"/>
    </row>
    <row r="76170" spans="1:2" x14ac:dyDescent="0.25">
      <c r="A76170" s="118"/>
      <c r="B76170" s="136"/>
    </row>
    <row r="76171" spans="1:2" x14ac:dyDescent="0.25">
      <c r="A76171" s="118"/>
      <c r="B76171" s="136"/>
    </row>
    <row r="76172" spans="1:2" x14ac:dyDescent="0.25">
      <c r="A76172" s="118"/>
      <c r="B76172" s="136"/>
    </row>
    <row r="76173" spans="1:2" x14ac:dyDescent="0.25">
      <c r="A76173" s="118"/>
      <c r="B76173" s="136"/>
    </row>
    <row r="76174" spans="1:2" x14ac:dyDescent="0.25">
      <c r="A76174" s="118"/>
      <c r="B76174" s="136"/>
    </row>
    <row r="76175" spans="1:2" x14ac:dyDescent="0.25">
      <c r="A76175" s="118"/>
      <c r="B76175" s="136"/>
    </row>
    <row r="76176" spans="1:2" x14ac:dyDescent="0.25">
      <c r="A76176" s="118"/>
      <c r="B76176" s="136"/>
    </row>
    <row r="76177" spans="1:2" x14ac:dyDescent="0.25">
      <c r="A76177" s="118"/>
      <c r="B76177" s="136"/>
    </row>
    <row r="76178" spans="1:2" x14ac:dyDescent="0.25">
      <c r="A76178" s="118"/>
      <c r="B76178" s="136"/>
    </row>
    <row r="76179" spans="1:2" x14ac:dyDescent="0.25">
      <c r="A76179" s="118"/>
      <c r="B76179" s="136"/>
    </row>
    <row r="76180" spans="1:2" x14ac:dyDescent="0.25">
      <c r="A76180" s="118"/>
      <c r="B76180" s="136"/>
    </row>
    <row r="76181" spans="1:2" x14ac:dyDescent="0.25">
      <c r="A76181" s="118"/>
      <c r="B76181" s="136"/>
    </row>
    <row r="76182" spans="1:2" x14ac:dyDescent="0.25">
      <c r="A76182" s="118"/>
      <c r="B76182" s="136"/>
    </row>
    <row r="76183" spans="1:2" x14ac:dyDescent="0.25">
      <c r="A76183" s="118"/>
      <c r="B76183" s="136"/>
    </row>
    <row r="76184" spans="1:2" x14ac:dyDescent="0.25">
      <c r="A76184" s="118"/>
      <c r="B76184" s="136"/>
    </row>
    <row r="76185" spans="1:2" x14ac:dyDescent="0.25">
      <c r="A76185" s="118"/>
      <c r="B76185" s="136"/>
    </row>
    <row r="76186" spans="1:2" x14ac:dyDescent="0.25">
      <c r="A76186" s="118"/>
      <c r="B76186" s="136"/>
    </row>
    <row r="76187" spans="1:2" x14ac:dyDescent="0.25">
      <c r="A76187" s="118"/>
      <c r="B76187" s="136"/>
    </row>
    <row r="76188" spans="1:2" x14ac:dyDescent="0.25">
      <c r="A76188" s="118"/>
      <c r="B76188" s="136"/>
    </row>
    <row r="76189" spans="1:2" x14ac:dyDescent="0.25">
      <c r="A76189" s="118"/>
      <c r="B76189" s="136"/>
    </row>
    <row r="76190" spans="1:2" x14ac:dyDescent="0.25">
      <c r="A76190" s="118"/>
      <c r="B76190" s="136"/>
    </row>
    <row r="76191" spans="1:2" x14ac:dyDescent="0.25">
      <c r="A76191" s="118"/>
      <c r="B76191" s="136"/>
    </row>
    <row r="76192" spans="1:2" x14ac:dyDescent="0.25">
      <c r="A76192" s="118"/>
      <c r="B76192" s="136"/>
    </row>
    <row r="76193" spans="1:2" x14ac:dyDescent="0.25">
      <c r="A76193" s="118"/>
      <c r="B76193" s="136"/>
    </row>
    <row r="76194" spans="1:2" x14ac:dyDescent="0.25">
      <c r="A76194" s="118"/>
      <c r="B76194" s="136"/>
    </row>
    <row r="76195" spans="1:2" x14ac:dyDescent="0.25">
      <c r="A76195" s="118"/>
      <c r="B76195" s="136"/>
    </row>
    <row r="76196" spans="1:2" x14ac:dyDescent="0.25">
      <c r="A76196" s="118"/>
      <c r="B76196" s="136"/>
    </row>
    <row r="76197" spans="1:2" x14ac:dyDescent="0.25">
      <c r="A76197" s="118"/>
      <c r="B76197" s="136"/>
    </row>
    <row r="76198" spans="1:2" x14ac:dyDescent="0.25">
      <c r="A76198" s="118"/>
      <c r="B76198" s="136"/>
    </row>
    <row r="76199" spans="1:2" x14ac:dyDescent="0.25">
      <c r="A76199" s="118"/>
      <c r="B76199" s="136"/>
    </row>
    <row r="76200" spans="1:2" x14ac:dyDescent="0.25">
      <c r="A76200" s="118"/>
      <c r="B76200" s="136"/>
    </row>
    <row r="76201" spans="1:2" x14ac:dyDescent="0.25">
      <c r="A76201" s="118"/>
      <c r="B76201" s="136"/>
    </row>
    <row r="76202" spans="1:2" x14ac:dyDescent="0.25">
      <c r="A76202" s="118"/>
      <c r="B76202" s="136"/>
    </row>
    <row r="76203" spans="1:2" x14ac:dyDescent="0.25">
      <c r="A76203" s="118"/>
      <c r="B76203" s="136"/>
    </row>
    <row r="76204" spans="1:2" x14ac:dyDescent="0.25">
      <c r="A76204" s="118"/>
      <c r="B76204" s="136"/>
    </row>
    <row r="76205" spans="1:2" x14ac:dyDescent="0.25">
      <c r="A76205" s="118"/>
      <c r="B76205" s="136"/>
    </row>
    <row r="76206" spans="1:2" x14ac:dyDescent="0.25">
      <c r="A76206" s="118"/>
      <c r="B76206" s="136"/>
    </row>
    <row r="76207" spans="1:2" x14ac:dyDescent="0.25">
      <c r="A76207" s="118"/>
      <c r="B76207" s="136"/>
    </row>
    <row r="76208" spans="1:2" x14ac:dyDescent="0.25">
      <c r="A76208" s="118"/>
      <c r="B76208" s="136"/>
    </row>
    <row r="76209" spans="1:2" x14ac:dyDescent="0.25">
      <c r="A76209" s="118"/>
      <c r="B76209" s="136"/>
    </row>
    <row r="76210" spans="1:2" x14ac:dyDescent="0.25">
      <c r="A76210" s="118"/>
      <c r="B76210" s="136"/>
    </row>
    <row r="76211" spans="1:2" x14ac:dyDescent="0.25">
      <c r="A76211" s="118"/>
      <c r="B76211" s="136"/>
    </row>
    <row r="76212" spans="1:2" x14ac:dyDescent="0.25">
      <c r="A76212" s="118"/>
      <c r="B76212" s="136"/>
    </row>
    <row r="76213" spans="1:2" x14ac:dyDescent="0.25">
      <c r="A76213" s="118"/>
      <c r="B76213" s="136"/>
    </row>
    <row r="76214" spans="1:2" x14ac:dyDescent="0.25">
      <c r="A76214" s="118"/>
      <c r="B76214" s="136"/>
    </row>
    <row r="76215" spans="1:2" x14ac:dyDescent="0.25">
      <c r="A76215" s="118"/>
      <c r="B76215" s="136"/>
    </row>
    <row r="76216" spans="1:2" x14ac:dyDescent="0.25">
      <c r="A76216" s="118"/>
      <c r="B76216" s="136"/>
    </row>
    <row r="76217" spans="1:2" x14ac:dyDescent="0.25">
      <c r="A76217" s="118"/>
      <c r="B76217" s="136"/>
    </row>
    <row r="76218" spans="1:2" x14ac:dyDescent="0.25">
      <c r="A76218" s="118"/>
      <c r="B76218" s="136"/>
    </row>
    <row r="76219" spans="1:2" x14ac:dyDescent="0.25">
      <c r="A76219" s="118"/>
      <c r="B76219" s="136"/>
    </row>
    <row r="76220" spans="1:2" x14ac:dyDescent="0.25">
      <c r="A76220" s="118"/>
      <c r="B76220" s="136"/>
    </row>
    <row r="76221" spans="1:2" x14ac:dyDescent="0.25">
      <c r="A76221" s="118"/>
      <c r="B76221" s="136"/>
    </row>
    <row r="76222" spans="1:2" x14ac:dyDescent="0.25">
      <c r="A76222" s="118"/>
      <c r="B76222" s="136"/>
    </row>
    <row r="76223" spans="1:2" x14ac:dyDescent="0.25">
      <c r="A76223" s="118"/>
      <c r="B76223" s="136"/>
    </row>
    <row r="76224" spans="1:2" x14ac:dyDescent="0.25">
      <c r="A76224" s="118"/>
      <c r="B76224" s="136"/>
    </row>
    <row r="76225" spans="1:2" x14ac:dyDescent="0.25">
      <c r="A76225" s="118"/>
      <c r="B76225" s="136"/>
    </row>
    <row r="76226" spans="1:2" x14ac:dyDescent="0.25">
      <c r="A76226" s="118"/>
      <c r="B76226" s="136"/>
    </row>
    <row r="76227" spans="1:2" x14ac:dyDescent="0.25">
      <c r="A76227" s="118"/>
      <c r="B76227" s="136"/>
    </row>
    <row r="76228" spans="1:2" x14ac:dyDescent="0.25">
      <c r="A76228" s="118"/>
      <c r="B76228" s="136"/>
    </row>
    <row r="76229" spans="1:2" x14ac:dyDescent="0.25">
      <c r="A76229" s="118"/>
      <c r="B76229" s="136"/>
    </row>
    <row r="76230" spans="1:2" x14ac:dyDescent="0.25">
      <c r="A76230" s="118"/>
      <c r="B76230" s="136"/>
    </row>
    <row r="76231" spans="1:2" x14ac:dyDescent="0.25">
      <c r="A76231" s="118"/>
      <c r="B76231" s="136"/>
    </row>
    <row r="76232" spans="1:2" x14ac:dyDescent="0.25">
      <c r="A76232" s="118"/>
      <c r="B76232" s="136"/>
    </row>
    <row r="76233" spans="1:2" x14ac:dyDescent="0.25">
      <c r="A76233" s="118"/>
      <c r="B76233" s="136"/>
    </row>
    <row r="76234" spans="1:2" x14ac:dyDescent="0.25">
      <c r="A76234" s="118"/>
      <c r="B76234" s="136"/>
    </row>
    <row r="76235" spans="1:2" x14ac:dyDescent="0.25">
      <c r="A76235" s="118"/>
      <c r="B76235" s="136"/>
    </row>
    <row r="76236" spans="1:2" x14ac:dyDescent="0.25">
      <c r="A76236" s="118"/>
      <c r="B76236" s="136"/>
    </row>
    <row r="76237" spans="1:2" x14ac:dyDescent="0.25">
      <c r="A76237" s="118"/>
      <c r="B76237" s="136"/>
    </row>
    <row r="76238" spans="1:2" x14ac:dyDescent="0.25">
      <c r="A76238" s="118"/>
      <c r="B76238" s="136"/>
    </row>
    <row r="76239" spans="1:2" x14ac:dyDescent="0.25">
      <c r="A76239" s="118"/>
      <c r="B76239" s="136"/>
    </row>
    <row r="76240" spans="1:2" x14ac:dyDescent="0.25">
      <c r="A76240" s="118"/>
      <c r="B76240" s="136"/>
    </row>
    <row r="76241" spans="1:2" x14ac:dyDescent="0.25">
      <c r="A76241" s="118"/>
      <c r="B76241" s="136"/>
    </row>
    <row r="76242" spans="1:2" x14ac:dyDescent="0.25">
      <c r="A76242" s="118"/>
      <c r="B76242" s="136"/>
    </row>
    <row r="76243" spans="1:2" x14ac:dyDescent="0.25">
      <c r="A76243" s="118"/>
      <c r="B76243" s="136"/>
    </row>
    <row r="76244" spans="1:2" x14ac:dyDescent="0.25">
      <c r="A76244" s="118"/>
      <c r="B76244" s="136"/>
    </row>
    <row r="76245" spans="1:2" x14ac:dyDescent="0.25">
      <c r="A76245" s="118"/>
      <c r="B76245" s="136"/>
    </row>
    <row r="76246" spans="1:2" x14ac:dyDescent="0.25">
      <c r="A76246" s="118"/>
      <c r="B76246" s="136"/>
    </row>
    <row r="76247" spans="1:2" x14ac:dyDescent="0.25">
      <c r="A76247" s="118"/>
      <c r="B76247" s="136"/>
    </row>
    <row r="76248" spans="1:2" x14ac:dyDescent="0.25">
      <c r="A76248" s="118"/>
      <c r="B76248" s="136"/>
    </row>
    <row r="76249" spans="1:2" x14ac:dyDescent="0.25">
      <c r="A76249" s="118"/>
      <c r="B76249" s="136"/>
    </row>
    <row r="76250" spans="1:2" x14ac:dyDescent="0.25">
      <c r="A76250" s="118"/>
      <c r="B76250" s="136"/>
    </row>
    <row r="76251" spans="1:2" x14ac:dyDescent="0.25">
      <c r="A76251" s="118"/>
      <c r="B76251" s="136"/>
    </row>
    <row r="76252" spans="1:2" x14ac:dyDescent="0.25">
      <c r="A76252" s="118"/>
      <c r="B76252" s="136"/>
    </row>
    <row r="76253" spans="1:2" x14ac:dyDescent="0.25">
      <c r="A76253" s="118"/>
      <c r="B76253" s="136"/>
    </row>
    <row r="76254" spans="1:2" x14ac:dyDescent="0.25">
      <c r="A76254" s="118"/>
      <c r="B76254" s="136"/>
    </row>
    <row r="76255" spans="1:2" x14ac:dyDescent="0.25">
      <c r="A76255" s="118"/>
      <c r="B76255" s="136"/>
    </row>
    <row r="76256" spans="1:2" x14ac:dyDescent="0.25">
      <c r="A76256" s="118"/>
      <c r="B76256" s="136"/>
    </row>
    <row r="76257" spans="1:2" x14ac:dyDescent="0.25">
      <c r="A76257" s="118"/>
      <c r="B76257" s="136"/>
    </row>
    <row r="76258" spans="1:2" x14ac:dyDescent="0.25">
      <c r="A76258" s="118"/>
      <c r="B76258" s="136"/>
    </row>
    <row r="76259" spans="1:2" x14ac:dyDescent="0.25">
      <c r="A76259" s="118"/>
      <c r="B76259" s="136"/>
    </row>
    <row r="76260" spans="1:2" x14ac:dyDescent="0.25">
      <c r="A76260" s="118"/>
      <c r="B76260" s="136"/>
    </row>
    <row r="76261" spans="1:2" x14ac:dyDescent="0.25">
      <c r="A76261" s="118"/>
      <c r="B76261" s="136"/>
    </row>
    <row r="76262" spans="1:2" x14ac:dyDescent="0.25">
      <c r="A76262" s="118"/>
      <c r="B76262" s="136"/>
    </row>
    <row r="76263" spans="1:2" x14ac:dyDescent="0.25">
      <c r="A76263" s="118"/>
      <c r="B76263" s="136"/>
    </row>
    <row r="76264" spans="1:2" x14ac:dyDescent="0.25">
      <c r="A76264" s="118"/>
      <c r="B76264" s="136"/>
    </row>
    <row r="76265" spans="1:2" x14ac:dyDescent="0.25">
      <c r="A76265" s="118"/>
      <c r="B76265" s="136"/>
    </row>
    <row r="76266" spans="1:2" x14ac:dyDescent="0.25">
      <c r="A76266" s="118"/>
      <c r="B76266" s="136"/>
    </row>
    <row r="76267" spans="1:2" x14ac:dyDescent="0.25">
      <c r="A76267" s="118"/>
      <c r="B76267" s="136"/>
    </row>
    <row r="76268" spans="1:2" x14ac:dyDescent="0.25">
      <c r="A76268" s="118"/>
      <c r="B76268" s="136"/>
    </row>
    <row r="76269" spans="1:2" x14ac:dyDescent="0.25">
      <c r="A76269" s="118"/>
      <c r="B76269" s="136"/>
    </row>
    <row r="76270" spans="1:2" x14ac:dyDescent="0.25">
      <c r="A76270" s="118"/>
      <c r="B76270" s="136"/>
    </row>
    <row r="76271" spans="1:2" x14ac:dyDescent="0.25">
      <c r="A76271" s="118"/>
      <c r="B76271" s="136"/>
    </row>
    <row r="76272" spans="1:2" x14ac:dyDescent="0.25">
      <c r="A76272" s="118"/>
      <c r="B76272" s="136"/>
    </row>
    <row r="76273" spans="1:2" x14ac:dyDescent="0.25">
      <c r="A76273" s="118"/>
      <c r="B76273" s="136"/>
    </row>
    <row r="76274" spans="1:2" x14ac:dyDescent="0.25">
      <c r="A76274" s="118"/>
      <c r="B76274" s="136"/>
    </row>
    <row r="76275" spans="1:2" x14ac:dyDescent="0.25">
      <c r="A76275" s="118"/>
      <c r="B76275" s="136"/>
    </row>
    <row r="76276" spans="1:2" x14ac:dyDescent="0.25">
      <c r="A76276" s="118"/>
      <c r="B76276" s="136"/>
    </row>
    <row r="76277" spans="1:2" x14ac:dyDescent="0.25">
      <c r="A76277" s="118"/>
      <c r="B76277" s="136"/>
    </row>
    <row r="76278" spans="1:2" x14ac:dyDescent="0.25">
      <c r="A76278" s="118"/>
      <c r="B76278" s="136"/>
    </row>
    <row r="76279" spans="1:2" x14ac:dyDescent="0.25">
      <c r="A76279" s="118"/>
      <c r="B76279" s="136"/>
    </row>
    <row r="76280" spans="1:2" x14ac:dyDescent="0.25">
      <c r="A76280" s="118"/>
      <c r="B76280" s="136"/>
    </row>
    <row r="76281" spans="1:2" x14ac:dyDescent="0.25">
      <c r="A76281" s="118"/>
      <c r="B76281" s="136"/>
    </row>
    <row r="76282" spans="1:2" x14ac:dyDescent="0.25">
      <c r="A76282" s="118"/>
      <c r="B76282" s="136"/>
    </row>
    <row r="76283" spans="1:2" x14ac:dyDescent="0.25">
      <c r="A76283" s="118"/>
      <c r="B76283" s="136"/>
    </row>
    <row r="76284" spans="1:2" x14ac:dyDescent="0.25">
      <c r="A76284" s="118"/>
      <c r="B76284" s="136"/>
    </row>
    <row r="76285" spans="1:2" x14ac:dyDescent="0.25">
      <c r="A76285" s="118"/>
      <c r="B76285" s="136"/>
    </row>
    <row r="76286" spans="1:2" x14ac:dyDescent="0.25">
      <c r="A76286" s="118"/>
      <c r="B76286" s="136"/>
    </row>
    <row r="76287" spans="1:2" x14ac:dyDescent="0.25">
      <c r="A76287" s="118"/>
      <c r="B76287" s="136"/>
    </row>
    <row r="76288" spans="1:2" x14ac:dyDescent="0.25">
      <c r="A76288" s="118"/>
      <c r="B76288" s="136"/>
    </row>
    <row r="76289" spans="1:2" x14ac:dyDescent="0.25">
      <c r="A76289" s="118"/>
      <c r="B76289" s="136"/>
    </row>
    <row r="76290" spans="1:2" x14ac:dyDescent="0.25">
      <c r="A76290" s="118"/>
      <c r="B76290" s="136"/>
    </row>
    <row r="76291" spans="1:2" x14ac:dyDescent="0.25">
      <c r="A76291" s="118"/>
      <c r="B76291" s="136"/>
    </row>
    <row r="76292" spans="1:2" x14ac:dyDescent="0.25">
      <c r="A76292" s="118"/>
      <c r="B76292" s="136"/>
    </row>
    <row r="76293" spans="1:2" x14ac:dyDescent="0.25">
      <c r="A76293" s="118"/>
      <c r="B76293" s="136"/>
    </row>
    <row r="76294" spans="1:2" x14ac:dyDescent="0.25">
      <c r="A76294" s="118"/>
      <c r="B76294" s="136"/>
    </row>
    <row r="76295" spans="1:2" x14ac:dyDescent="0.25">
      <c r="A76295" s="118"/>
      <c r="B76295" s="136"/>
    </row>
    <row r="76296" spans="1:2" x14ac:dyDescent="0.25">
      <c r="A76296" s="118"/>
      <c r="B76296" s="136"/>
    </row>
    <row r="76297" spans="1:2" x14ac:dyDescent="0.25">
      <c r="A76297" s="118"/>
      <c r="B76297" s="136"/>
    </row>
    <row r="76298" spans="1:2" x14ac:dyDescent="0.25">
      <c r="A76298" s="118"/>
      <c r="B76298" s="136"/>
    </row>
    <row r="76299" spans="1:2" x14ac:dyDescent="0.25">
      <c r="A76299" s="118"/>
      <c r="B76299" s="136"/>
    </row>
    <row r="76300" spans="1:2" x14ac:dyDescent="0.25">
      <c r="A76300" s="118"/>
      <c r="B76300" s="136"/>
    </row>
    <row r="76301" spans="1:2" x14ac:dyDescent="0.25">
      <c r="A76301" s="118"/>
      <c r="B76301" s="136"/>
    </row>
    <row r="76302" spans="1:2" x14ac:dyDescent="0.25">
      <c r="A76302" s="118"/>
      <c r="B76302" s="136"/>
    </row>
    <row r="76303" spans="1:2" x14ac:dyDescent="0.25">
      <c r="A76303" s="118"/>
      <c r="B76303" s="136"/>
    </row>
    <row r="76304" spans="1:2" x14ac:dyDescent="0.25">
      <c r="A76304" s="118"/>
      <c r="B76304" s="136"/>
    </row>
    <row r="76305" spans="1:2" x14ac:dyDescent="0.25">
      <c r="A76305" s="118"/>
      <c r="B76305" s="136"/>
    </row>
    <row r="76306" spans="1:2" x14ac:dyDescent="0.25">
      <c r="A76306" s="118"/>
      <c r="B76306" s="136"/>
    </row>
    <row r="76307" spans="1:2" x14ac:dyDescent="0.25">
      <c r="A76307" s="118"/>
      <c r="B76307" s="136"/>
    </row>
    <row r="76308" spans="1:2" x14ac:dyDescent="0.25">
      <c r="A76308" s="118"/>
      <c r="B76308" s="136"/>
    </row>
    <row r="76309" spans="1:2" x14ac:dyDescent="0.25">
      <c r="A76309" s="118"/>
      <c r="B76309" s="136"/>
    </row>
    <row r="76310" spans="1:2" x14ac:dyDescent="0.25">
      <c r="A76310" s="118"/>
      <c r="B76310" s="136"/>
    </row>
    <row r="76311" spans="1:2" x14ac:dyDescent="0.25">
      <c r="A76311" s="118"/>
      <c r="B76311" s="136"/>
    </row>
    <row r="76312" spans="1:2" x14ac:dyDescent="0.25">
      <c r="A76312" s="118"/>
      <c r="B76312" s="136"/>
    </row>
    <row r="76313" spans="1:2" x14ac:dyDescent="0.25">
      <c r="A76313" s="118"/>
      <c r="B76313" s="136"/>
    </row>
    <row r="76314" spans="1:2" x14ac:dyDescent="0.25">
      <c r="A76314" s="118"/>
      <c r="B76314" s="136"/>
    </row>
    <row r="76315" spans="1:2" x14ac:dyDescent="0.25">
      <c r="A76315" s="118"/>
      <c r="B76315" s="136"/>
    </row>
    <row r="76316" spans="1:2" x14ac:dyDescent="0.25">
      <c r="A76316" s="118"/>
      <c r="B76316" s="136"/>
    </row>
    <row r="76317" spans="1:2" x14ac:dyDescent="0.25">
      <c r="A76317" s="118"/>
      <c r="B76317" s="136"/>
    </row>
    <row r="76318" spans="1:2" x14ac:dyDescent="0.25">
      <c r="A76318" s="118"/>
      <c r="B76318" s="136"/>
    </row>
    <row r="76319" spans="1:2" x14ac:dyDescent="0.25">
      <c r="A76319" s="118"/>
      <c r="B76319" s="136"/>
    </row>
    <row r="76320" spans="1:2" x14ac:dyDescent="0.25">
      <c r="A76320" s="118"/>
      <c r="B76320" s="136"/>
    </row>
    <row r="76321" spans="1:2" x14ac:dyDescent="0.25">
      <c r="A76321" s="118"/>
      <c r="B76321" s="136"/>
    </row>
    <row r="76322" spans="1:2" x14ac:dyDescent="0.25">
      <c r="A76322" s="118"/>
      <c r="B76322" s="136"/>
    </row>
    <row r="76323" spans="1:2" x14ac:dyDescent="0.25">
      <c r="A76323" s="118"/>
      <c r="B76323" s="136"/>
    </row>
    <row r="76324" spans="1:2" x14ac:dyDescent="0.25">
      <c r="A76324" s="118"/>
      <c r="B76324" s="136"/>
    </row>
    <row r="76325" spans="1:2" x14ac:dyDescent="0.25">
      <c r="A76325" s="118"/>
      <c r="B76325" s="136"/>
    </row>
    <row r="76326" spans="1:2" x14ac:dyDescent="0.25">
      <c r="A76326" s="118"/>
      <c r="B76326" s="136"/>
    </row>
    <row r="76327" spans="1:2" x14ac:dyDescent="0.25">
      <c r="A76327" s="118"/>
      <c r="B76327" s="136"/>
    </row>
    <row r="76328" spans="1:2" x14ac:dyDescent="0.25">
      <c r="A76328" s="118"/>
      <c r="B76328" s="136"/>
    </row>
    <row r="76329" spans="1:2" x14ac:dyDescent="0.25">
      <c r="A76329" s="118"/>
      <c r="B76329" s="136"/>
    </row>
    <row r="76330" spans="1:2" x14ac:dyDescent="0.25">
      <c r="A76330" s="118"/>
      <c r="B76330" s="136"/>
    </row>
    <row r="76331" spans="1:2" x14ac:dyDescent="0.25">
      <c r="A76331" s="118"/>
      <c r="B76331" s="136"/>
    </row>
    <row r="76332" spans="1:2" x14ac:dyDescent="0.25">
      <c r="A76332" s="118"/>
      <c r="B76332" s="136"/>
    </row>
    <row r="76333" spans="1:2" x14ac:dyDescent="0.25">
      <c r="A76333" s="118"/>
      <c r="B76333" s="136"/>
    </row>
    <row r="76334" spans="1:2" x14ac:dyDescent="0.25">
      <c r="A76334" s="118"/>
      <c r="B76334" s="136"/>
    </row>
    <row r="76335" spans="1:2" x14ac:dyDescent="0.25">
      <c r="A76335" s="118"/>
      <c r="B76335" s="136"/>
    </row>
    <row r="76336" spans="1:2" x14ac:dyDescent="0.25">
      <c r="A76336" s="118"/>
      <c r="B76336" s="136"/>
    </row>
    <row r="76337" spans="1:2" x14ac:dyDescent="0.25">
      <c r="A76337" s="118"/>
      <c r="B76337" s="136"/>
    </row>
    <row r="76338" spans="1:2" x14ac:dyDescent="0.25">
      <c r="A76338" s="118"/>
      <c r="B76338" s="136"/>
    </row>
    <row r="76339" spans="1:2" x14ac:dyDescent="0.25">
      <c r="A76339" s="118"/>
      <c r="B76339" s="136"/>
    </row>
    <row r="76340" spans="1:2" x14ac:dyDescent="0.25">
      <c r="A76340" s="118"/>
      <c r="B76340" s="136"/>
    </row>
    <row r="76341" spans="1:2" x14ac:dyDescent="0.25">
      <c r="A76341" s="118"/>
      <c r="B76341" s="136"/>
    </row>
    <row r="76342" spans="1:2" x14ac:dyDescent="0.25">
      <c r="A76342" s="118"/>
      <c r="B76342" s="136"/>
    </row>
    <row r="76343" spans="1:2" x14ac:dyDescent="0.25">
      <c r="A76343" s="118"/>
      <c r="B76343" s="136"/>
    </row>
    <row r="76344" spans="1:2" x14ac:dyDescent="0.25">
      <c r="A76344" s="118"/>
      <c r="B76344" s="136"/>
    </row>
    <row r="76345" spans="1:2" x14ac:dyDescent="0.25">
      <c r="A76345" s="118"/>
      <c r="B76345" s="136"/>
    </row>
    <row r="76346" spans="1:2" x14ac:dyDescent="0.25">
      <c r="A76346" s="118"/>
      <c r="B76346" s="136"/>
    </row>
    <row r="76347" spans="1:2" x14ac:dyDescent="0.25">
      <c r="A76347" s="118"/>
      <c r="B76347" s="136"/>
    </row>
    <row r="76348" spans="1:2" x14ac:dyDescent="0.25">
      <c r="A76348" s="118"/>
      <c r="B76348" s="136"/>
    </row>
    <row r="76349" spans="1:2" x14ac:dyDescent="0.25">
      <c r="A76349" s="118"/>
      <c r="B76349" s="136"/>
    </row>
    <row r="76350" spans="1:2" x14ac:dyDescent="0.25">
      <c r="A76350" s="118"/>
      <c r="B76350" s="136"/>
    </row>
    <row r="76351" spans="1:2" x14ac:dyDescent="0.25">
      <c r="A76351" s="118"/>
      <c r="B76351" s="136"/>
    </row>
    <row r="76352" spans="1:2" x14ac:dyDescent="0.25">
      <c r="A76352" s="118"/>
      <c r="B76352" s="136"/>
    </row>
    <row r="76353" spans="1:2" x14ac:dyDescent="0.25">
      <c r="A76353" s="118"/>
      <c r="B76353" s="136"/>
    </row>
    <row r="76354" spans="1:2" x14ac:dyDescent="0.25">
      <c r="A76354" s="118"/>
      <c r="B76354" s="136"/>
    </row>
    <row r="76355" spans="1:2" x14ac:dyDescent="0.25">
      <c r="A76355" s="118"/>
      <c r="B76355" s="136"/>
    </row>
    <row r="76356" spans="1:2" x14ac:dyDescent="0.25">
      <c r="A76356" s="118"/>
      <c r="B76356" s="136"/>
    </row>
    <row r="76357" spans="1:2" x14ac:dyDescent="0.25">
      <c r="A76357" s="118"/>
      <c r="B76357" s="136"/>
    </row>
    <row r="76358" spans="1:2" x14ac:dyDescent="0.25">
      <c r="A76358" s="118"/>
      <c r="B76358" s="136"/>
    </row>
    <row r="76359" spans="1:2" x14ac:dyDescent="0.25">
      <c r="A76359" s="118"/>
      <c r="B76359" s="136"/>
    </row>
    <row r="76360" spans="1:2" x14ac:dyDescent="0.25">
      <c r="A76360" s="118"/>
      <c r="B76360" s="136"/>
    </row>
    <row r="76361" spans="1:2" x14ac:dyDescent="0.25">
      <c r="A76361" s="118"/>
      <c r="B76361" s="136"/>
    </row>
    <row r="76362" spans="1:2" x14ac:dyDescent="0.25">
      <c r="A76362" s="118"/>
      <c r="B76362" s="136"/>
    </row>
    <row r="76363" spans="1:2" x14ac:dyDescent="0.25">
      <c r="A76363" s="118"/>
      <c r="B76363" s="136"/>
    </row>
    <row r="76364" spans="1:2" x14ac:dyDescent="0.25">
      <c r="A76364" s="118"/>
      <c r="B76364" s="136"/>
    </row>
    <row r="76365" spans="1:2" x14ac:dyDescent="0.25">
      <c r="A76365" s="118"/>
      <c r="B76365" s="136"/>
    </row>
    <row r="76366" spans="1:2" x14ac:dyDescent="0.25">
      <c r="A76366" s="118"/>
      <c r="B76366" s="136"/>
    </row>
    <row r="76367" spans="1:2" x14ac:dyDescent="0.25">
      <c r="A76367" s="118"/>
      <c r="B76367" s="136"/>
    </row>
    <row r="76368" spans="1:2" x14ac:dyDescent="0.25">
      <c r="A76368" s="118"/>
      <c r="B76368" s="136"/>
    </row>
    <row r="76369" spans="1:2" x14ac:dyDescent="0.25">
      <c r="A76369" s="118"/>
      <c r="B76369" s="136"/>
    </row>
    <row r="76370" spans="1:2" x14ac:dyDescent="0.25">
      <c r="A76370" s="118"/>
      <c r="B76370" s="136"/>
    </row>
    <row r="76371" spans="1:2" x14ac:dyDescent="0.25">
      <c r="A76371" s="118"/>
      <c r="B76371" s="136"/>
    </row>
    <row r="76372" spans="1:2" x14ac:dyDescent="0.25">
      <c r="A76372" s="118"/>
      <c r="B76372" s="136"/>
    </row>
    <row r="76373" spans="1:2" x14ac:dyDescent="0.25">
      <c r="A76373" s="118"/>
      <c r="B76373" s="136"/>
    </row>
    <row r="76374" spans="1:2" x14ac:dyDescent="0.25">
      <c r="A76374" s="118"/>
      <c r="B76374" s="136"/>
    </row>
    <row r="76375" spans="1:2" x14ac:dyDescent="0.25">
      <c r="A76375" s="118"/>
      <c r="B76375" s="136"/>
    </row>
    <row r="76376" spans="1:2" x14ac:dyDescent="0.25">
      <c r="A76376" s="118"/>
      <c r="B76376" s="136"/>
    </row>
    <row r="76377" spans="1:2" x14ac:dyDescent="0.25">
      <c r="A76377" s="118"/>
      <c r="B76377" s="136"/>
    </row>
    <row r="76378" spans="1:2" x14ac:dyDescent="0.25">
      <c r="A76378" s="118"/>
      <c r="B76378" s="136"/>
    </row>
    <row r="76379" spans="1:2" x14ac:dyDescent="0.25">
      <c r="A76379" s="118"/>
      <c r="B76379" s="136"/>
    </row>
    <row r="76380" spans="1:2" x14ac:dyDescent="0.25">
      <c r="A76380" s="118"/>
      <c r="B76380" s="136"/>
    </row>
    <row r="76381" spans="1:2" x14ac:dyDescent="0.25">
      <c r="A76381" s="118"/>
      <c r="B76381" s="136"/>
    </row>
    <row r="76382" spans="1:2" x14ac:dyDescent="0.25">
      <c r="A76382" s="118"/>
      <c r="B76382" s="136"/>
    </row>
    <row r="76383" spans="1:2" x14ac:dyDescent="0.25">
      <c r="A76383" s="118"/>
      <c r="B76383" s="136"/>
    </row>
    <row r="76384" spans="1:2" x14ac:dyDescent="0.25">
      <c r="A76384" s="118"/>
      <c r="B76384" s="136"/>
    </row>
    <row r="76385" spans="1:2" x14ac:dyDescent="0.25">
      <c r="A76385" s="118"/>
      <c r="B76385" s="136"/>
    </row>
    <row r="76386" spans="1:2" x14ac:dyDescent="0.25">
      <c r="A76386" s="118"/>
      <c r="B76386" s="136"/>
    </row>
    <row r="76387" spans="1:2" x14ac:dyDescent="0.25">
      <c r="A76387" s="118"/>
      <c r="B76387" s="136"/>
    </row>
    <row r="76388" spans="1:2" x14ac:dyDescent="0.25">
      <c r="A76388" s="118"/>
      <c r="B76388" s="136"/>
    </row>
    <row r="76389" spans="1:2" x14ac:dyDescent="0.25">
      <c r="A76389" s="118"/>
      <c r="B76389" s="136"/>
    </row>
    <row r="76390" spans="1:2" x14ac:dyDescent="0.25">
      <c r="A76390" s="118"/>
      <c r="B76390" s="136"/>
    </row>
    <row r="76391" spans="1:2" x14ac:dyDescent="0.25">
      <c r="A76391" s="118"/>
      <c r="B76391" s="136"/>
    </row>
    <row r="76392" spans="1:2" x14ac:dyDescent="0.25">
      <c r="A76392" s="118"/>
      <c r="B76392" s="136"/>
    </row>
    <row r="76393" spans="1:2" x14ac:dyDescent="0.25">
      <c r="A76393" s="118"/>
      <c r="B76393" s="136"/>
    </row>
    <row r="76394" spans="1:2" x14ac:dyDescent="0.25">
      <c r="A76394" s="118"/>
      <c r="B76394" s="136"/>
    </row>
    <row r="76395" spans="1:2" x14ac:dyDescent="0.25">
      <c r="A76395" s="118"/>
      <c r="B76395" s="136"/>
    </row>
    <row r="76396" spans="1:2" x14ac:dyDescent="0.25">
      <c r="A76396" s="118"/>
      <c r="B76396" s="136"/>
    </row>
    <row r="76397" spans="1:2" x14ac:dyDescent="0.25">
      <c r="A76397" s="118"/>
      <c r="B76397" s="136"/>
    </row>
    <row r="76398" spans="1:2" x14ac:dyDescent="0.25">
      <c r="A76398" s="118"/>
      <c r="B76398" s="136"/>
    </row>
    <row r="76399" spans="1:2" x14ac:dyDescent="0.25">
      <c r="A76399" s="118"/>
      <c r="B76399" s="136"/>
    </row>
    <row r="76400" spans="1:2" x14ac:dyDescent="0.25">
      <c r="A76400" s="118"/>
      <c r="B76400" s="136"/>
    </row>
    <row r="76401" spans="1:2" x14ac:dyDescent="0.25">
      <c r="A76401" s="118"/>
      <c r="B76401" s="136"/>
    </row>
    <row r="76402" spans="1:2" x14ac:dyDescent="0.25">
      <c r="A76402" s="118"/>
      <c r="B76402" s="136"/>
    </row>
    <row r="76403" spans="1:2" x14ac:dyDescent="0.25">
      <c r="A76403" s="118"/>
      <c r="B76403" s="136"/>
    </row>
    <row r="76404" spans="1:2" x14ac:dyDescent="0.25">
      <c r="A76404" s="118"/>
      <c r="B76404" s="136"/>
    </row>
    <row r="76405" spans="1:2" x14ac:dyDescent="0.25">
      <c r="A76405" s="118"/>
      <c r="B76405" s="136"/>
    </row>
    <row r="76406" spans="1:2" x14ac:dyDescent="0.25">
      <c r="A76406" s="118"/>
      <c r="B76406" s="136"/>
    </row>
    <row r="76407" spans="1:2" x14ac:dyDescent="0.25">
      <c r="A76407" s="118"/>
      <c r="B76407" s="136"/>
    </row>
    <row r="76408" spans="1:2" x14ac:dyDescent="0.25">
      <c r="A76408" s="118"/>
      <c r="B76408" s="136"/>
    </row>
    <row r="76409" spans="1:2" x14ac:dyDescent="0.25">
      <c r="A76409" s="118"/>
      <c r="B76409" s="136"/>
    </row>
    <row r="76410" spans="1:2" x14ac:dyDescent="0.25">
      <c r="A76410" s="118"/>
      <c r="B76410" s="136"/>
    </row>
    <row r="76411" spans="1:2" x14ac:dyDescent="0.25">
      <c r="A76411" s="118"/>
      <c r="B76411" s="136"/>
    </row>
    <row r="76412" spans="1:2" x14ac:dyDescent="0.25">
      <c r="A76412" s="118"/>
      <c r="B76412" s="136"/>
    </row>
    <row r="76413" spans="1:2" x14ac:dyDescent="0.25">
      <c r="A76413" s="118"/>
      <c r="B76413" s="136"/>
    </row>
    <row r="76414" spans="1:2" x14ac:dyDescent="0.25">
      <c r="A76414" s="118"/>
      <c r="B76414" s="136"/>
    </row>
    <row r="76415" spans="1:2" x14ac:dyDescent="0.25">
      <c r="A76415" s="118"/>
      <c r="B76415" s="136"/>
    </row>
    <row r="76416" spans="1:2" x14ac:dyDescent="0.25">
      <c r="A76416" s="118"/>
      <c r="B76416" s="136"/>
    </row>
    <row r="76417" spans="1:2" x14ac:dyDescent="0.25">
      <c r="A76417" s="118"/>
      <c r="B76417" s="136"/>
    </row>
    <row r="76418" spans="1:2" x14ac:dyDescent="0.25">
      <c r="A76418" s="118"/>
      <c r="B76418" s="136"/>
    </row>
    <row r="76419" spans="1:2" x14ac:dyDescent="0.25">
      <c r="A76419" s="118"/>
      <c r="B76419" s="136"/>
    </row>
    <row r="76420" spans="1:2" x14ac:dyDescent="0.25">
      <c r="A76420" s="118"/>
      <c r="B76420" s="136"/>
    </row>
    <row r="76421" spans="1:2" x14ac:dyDescent="0.25">
      <c r="A76421" s="118"/>
      <c r="B76421" s="136"/>
    </row>
    <row r="76422" spans="1:2" x14ac:dyDescent="0.25">
      <c r="A76422" s="118"/>
      <c r="B76422" s="136"/>
    </row>
    <row r="76423" spans="1:2" x14ac:dyDescent="0.25">
      <c r="A76423" s="118"/>
      <c r="B76423" s="136"/>
    </row>
    <row r="76424" spans="1:2" x14ac:dyDescent="0.25">
      <c r="A76424" s="118"/>
      <c r="B76424" s="136"/>
    </row>
    <row r="76425" spans="1:2" x14ac:dyDescent="0.25">
      <c r="A76425" s="118"/>
      <c r="B76425" s="136"/>
    </row>
    <row r="76426" spans="1:2" x14ac:dyDescent="0.25">
      <c r="A76426" s="118"/>
      <c r="B76426" s="136"/>
    </row>
    <row r="76427" spans="1:2" x14ac:dyDescent="0.25">
      <c r="A76427" s="118"/>
      <c r="B76427" s="136"/>
    </row>
    <row r="76428" spans="1:2" x14ac:dyDescent="0.25">
      <c r="A76428" s="118"/>
      <c r="B76428" s="136"/>
    </row>
    <row r="76429" spans="1:2" x14ac:dyDescent="0.25">
      <c r="A76429" s="118"/>
      <c r="B76429" s="136"/>
    </row>
    <row r="76430" spans="1:2" x14ac:dyDescent="0.25">
      <c r="A76430" s="118"/>
      <c r="B76430" s="136"/>
    </row>
    <row r="76431" spans="1:2" x14ac:dyDescent="0.25">
      <c r="A76431" s="118"/>
      <c r="B76431" s="136"/>
    </row>
    <row r="76432" spans="1:2" x14ac:dyDescent="0.25">
      <c r="A76432" s="118"/>
      <c r="B76432" s="136"/>
    </row>
    <row r="76433" spans="1:2" x14ac:dyDescent="0.25">
      <c r="A76433" s="118"/>
      <c r="B76433" s="136"/>
    </row>
    <row r="76434" spans="1:2" x14ac:dyDescent="0.25">
      <c r="A76434" s="118"/>
      <c r="B76434" s="136"/>
    </row>
    <row r="76435" spans="1:2" x14ac:dyDescent="0.25">
      <c r="A76435" s="118"/>
      <c r="B76435" s="136"/>
    </row>
    <row r="76436" spans="1:2" x14ac:dyDescent="0.25">
      <c r="A76436" s="118"/>
      <c r="B76436" s="136"/>
    </row>
    <row r="76437" spans="1:2" x14ac:dyDescent="0.25">
      <c r="A76437" s="118"/>
      <c r="B76437" s="136"/>
    </row>
    <row r="76438" spans="1:2" x14ac:dyDescent="0.25">
      <c r="A76438" s="118"/>
      <c r="B76438" s="136"/>
    </row>
    <row r="76439" spans="1:2" x14ac:dyDescent="0.25">
      <c r="A76439" s="118"/>
      <c r="B76439" s="136"/>
    </row>
    <row r="76440" spans="1:2" x14ac:dyDescent="0.25">
      <c r="A76440" s="118"/>
      <c r="B76440" s="136"/>
    </row>
    <row r="76441" spans="1:2" x14ac:dyDescent="0.25">
      <c r="A76441" s="118"/>
      <c r="B76441" s="136"/>
    </row>
    <row r="76442" spans="1:2" x14ac:dyDescent="0.25">
      <c r="A76442" s="118"/>
      <c r="B76442" s="136"/>
    </row>
    <row r="76443" spans="1:2" x14ac:dyDescent="0.25">
      <c r="A76443" s="118"/>
      <c r="B76443" s="136"/>
    </row>
    <row r="76444" spans="1:2" x14ac:dyDescent="0.25">
      <c r="A76444" s="118"/>
      <c r="B76444" s="136"/>
    </row>
    <row r="76445" spans="1:2" x14ac:dyDescent="0.25">
      <c r="A76445" s="118"/>
      <c r="B76445" s="136"/>
    </row>
    <row r="76446" spans="1:2" x14ac:dyDescent="0.25">
      <c r="A76446" s="118"/>
      <c r="B76446" s="136"/>
    </row>
    <row r="76447" spans="1:2" x14ac:dyDescent="0.25">
      <c r="A76447" s="118"/>
      <c r="B76447" s="136"/>
    </row>
    <row r="76448" spans="1:2" x14ac:dyDescent="0.25">
      <c r="A76448" s="118"/>
      <c r="B76448" s="136"/>
    </row>
    <row r="76449" spans="1:2" x14ac:dyDescent="0.25">
      <c r="A76449" s="118"/>
      <c r="B76449" s="136"/>
    </row>
    <row r="76450" spans="1:2" x14ac:dyDescent="0.25">
      <c r="A76450" s="118"/>
      <c r="B76450" s="136"/>
    </row>
    <row r="76451" spans="1:2" x14ac:dyDescent="0.25">
      <c r="A76451" s="118"/>
      <c r="B76451" s="136"/>
    </row>
    <row r="76452" spans="1:2" x14ac:dyDescent="0.25">
      <c r="A76452" s="118"/>
      <c r="B76452" s="136"/>
    </row>
    <row r="76453" spans="1:2" x14ac:dyDescent="0.25">
      <c r="A76453" s="118"/>
      <c r="B76453" s="136"/>
    </row>
    <row r="76454" spans="1:2" x14ac:dyDescent="0.25">
      <c r="A76454" s="118"/>
      <c r="B76454" s="136"/>
    </row>
    <row r="76455" spans="1:2" x14ac:dyDescent="0.25">
      <c r="A76455" s="118"/>
      <c r="B76455" s="136"/>
    </row>
    <row r="76456" spans="1:2" x14ac:dyDescent="0.25">
      <c r="A76456" s="118"/>
      <c r="B76456" s="136"/>
    </row>
    <row r="76457" spans="1:2" x14ac:dyDescent="0.25">
      <c r="A76457" s="118"/>
      <c r="B76457" s="136"/>
    </row>
    <row r="76458" spans="1:2" x14ac:dyDescent="0.25">
      <c r="A76458" s="118"/>
      <c r="B76458" s="136"/>
    </row>
    <row r="76459" spans="1:2" x14ac:dyDescent="0.25">
      <c r="A76459" s="118"/>
      <c r="B76459" s="136"/>
    </row>
    <row r="76460" spans="1:2" x14ac:dyDescent="0.25">
      <c r="A76460" s="118"/>
      <c r="B76460" s="136"/>
    </row>
    <row r="76461" spans="1:2" x14ac:dyDescent="0.25">
      <c r="A76461" s="118"/>
      <c r="B76461" s="136"/>
    </row>
    <row r="76462" spans="1:2" x14ac:dyDescent="0.25">
      <c r="A76462" s="118"/>
      <c r="B76462" s="136"/>
    </row>
    <row r="76463" spans="1:2" x14ac:dyDescent="0.25">
      <c r="A76463" s="118"/>
      <c r="B76463" s="136"/>
    </row>
    <row r="76464" spans="1:2" x14ac:dyDescent="0.25">
      <c r="A76464" s="118"/>
      <c r="B76464" s="136"/>
    </row>
    <row r="76465" spans="1:2" x14ac:dyDescent="0.25">
      <c r="A76465" s="118"/>
      <c r="B76465" s="136"/>
    </row>
    <row r="76466" spans="1:2" x14ac:dyDescent="0.25">
      <c r="A76466" s="118"/>
      <c r="B76466" s="136"/>
    </row>
    <row r="76467" spans="1:2" x14ac:dyDescent="0.25">
      <c r="A76467" s="118"/>
      <c r="B76467" s="136"/>
    </row>
    <row r="76468" spans="1:2" x14ac:dyDescent="0.25">
      <c r="A76468" s="118"/>
      <c r="B76468" s="136"/>
    </row>
    <row r="76469" spans="1:2" x14ac:dyDescent="0.25">
      <c r="A76469" s="118"/>
      <c r="B76469" s="136"/>
    </row>
    <row r="76470" spans="1:2" x14ac:dyDescent="0.25">
      <c r="A76470" s="118"/>
      <c r="B76470" s="136"/>
    </row>
    <row r="76471" spans="1:2" x14ac:dyDescent="0.25">
      <c r="A76471" s="118"/>
      <c r="B76471" s="136"/>
    </row>
    <row r="76472" spans="1:2" x14ac:dyDescent="0.25">
      <c r="A76472" s="118"/>
      <c r="B76472" s="136"/>
    </row>
    <row r="76473" spans="1:2" x14ac:dyDescent="0.25">
      <c r="A76473" s="118"/>
      <c r="B76473" s="136"/>
    </row>
    <row r="76474" spans="1:2" x14ac:dyDescent="0.25">
      <c r="A76474" s="118"/>
      <c r="B76474" s="136"/>
    </row>
    <row r="76475" spans="1:2" x14ac:dyDescent="0.25">
      <c r="A76475" s="118"/>
      <c r="B76475" s="136"/>
    </row>
    <row r="76476" spans="1:2" x14ac:dyDescent="0.25">
      <c r="A76476" s="118"/>
      <c r="B76476" s="136"/>
    </row>
    <row r="76477" spans="1:2" x14ac:dyDescent="0.25">
      <c r="A76477" s="118"/>
      <c r="B76477" s="136"/>
    </row>
    <row r="76478" spans="1:2" x14ac:dyDescent="0.25">
      <c r="A76478" s="118"/>
      <c r="B76478" s="136"/>
    </row>
    <row r="76479" spans="1:2" x14ac:dyDescent="0.25">
      <c r="A76479" s="118"/>
      <c r="B76479" s="136"/>
    </row>
    <row r="76480" spans="1:2" x14ac:dyDescent="0.25">
      <c r="A76480" s="118"/>
      <c r="B76480" s="136"/>
    </row>
    <row r="76481" spans="1:2" x14ac:dyDescent="0.25">
      <c r="A76481" s="118"/>
      <c r="B76481" s="136"/>
    </row>
    <row r="76482" spans="1:2" x14ac:dyDescent="0.25">
      <c r="A76482" s="118"/>
      <c r="B76482" s="136"/>
    </row>
    <row r="76483" spans="1:2" x14ac:dyDescent="0.25">
      <c r="A76483" s="118"/>
      <c r="B76483" s="136"/>
    </row>
    <row r="76484" spans="1:2" x14ac:dyDescent="0.25">
      <c r="A76484" s="118"/>
      <c r="B76484" s="136"/>
    </row>
    <row r="76485" spans="1:2" x14ac:dyDescent="0.25">
      <c r="A76485" s="118"/>
      <c r="B76485" s="136"/>
    </row>
    <row r="76486" spans="1:2" x14ac:dyDescent="0.25">
      <c r="A76486" s="118"/>
      <c r="B76486" s="136"/>
    </row>
    <row r="76487" spans="1:2" x14ac:dyDescent="0.25">
      <c r="A76487" s="118"/>
      <c r="B76487" s="136"/>
    </row>
    <row r="76488" spans="1:2" x14ac:dyDescent="0.25">
      <c r="A76488" s="118"/>
      <c r="B76488" s="136"/>
    </row>
    <row r="76489" spans="1:2" x14ac:dyDescent="0.25">
      <c r="A76489" s="118"/>
      <c r="B76489" s="136"/>
    </row>
    <row r="76490" spans="1:2" x14ac:dyDescent="0.25">
      <c r="A76490" s="118"/>
      <c r="B76490" s="136"/>
    </row>
    <row r="76491" spans="1:2" x14ac:dyDescent="0.25">
      <c r="A76491" s="118"/>
      <c r="B76491" s="136"/>
    </row>
    <row r="76492" spans="1:2" x14ac:dyDescent="0.25">
      <c r="A76492" s="118"/>
      <c r="B76492" s="136"/>
    </row>
    <row r="76493" spans="1:2" x14ac:dyDescent="0.25">
      <c r="A76493" s="118"/>
      <c r="B76493" s="136"/>
    </row>
    <row r="76494" spans="1:2" x14ac:dyDescent="0.25">
      <c r="A76494" s="118"/>
      <c r="B76494" s="136"/>
    </row>
    <row r="76495" spans="1:2" x14ac:dyDescent="0.25">
      <c r="A76495" s="118"/>
      <c r="B76495" s="136"/>
    </row>
    <row r="76496" spans="1:2" x14ac:dyDescent="0.25">
      <c r="A76496" s="118"/>
      <c r="B76496" s="136"/>
    </row>
    <row r="76497" spans="1:2" x14ac:dyDescent="0.25">
      <c r="A76497" s="118"/>
      <c r="B76497" s="136"/>
    </row>
    <row r="76498" spans="1:2" x14ac:dyDescent="0.25">
      <c r="A76498" s="118"/>
      <c r="B76498" s="136"/>
    </row>
    <row r="76499" spans="1:2" x14ac:dyDescent="0.25">
      <c r="A76499" s="118"/>
      <c r="B76499" s="136"/>
    </row>
    <row r="76500" spans="1:2" x14ac:dyDescent="0.25">
      <c r="A76500" s="118"/>
      <c r="B76500" s="136"/>
    </row>
    <row r="76501" spans="1:2" x14ac:dyDescent="0.25">
      <c r="A76501" s="118"/>
      <c r="B76501" s="136"/>
    </row>
    <row r="76502" spans="1:2" x14ac:dyDescent="0.25">
      <c r="A76502" s="118"/>
      <c r="B76502" s="136"/>
    </row>
    <row r="76503" spans="1:2" x14ac:dyDescent="0.25">
      <c r="A76503" s="118"/>
      <c r="B76503" s="136"/>
    </row>
    <row r="76504" spans="1:2" x14ac:dyDescent="0.25">
      <c r="A76504" s="118"/>
      <c r="B76504" s="136"/>
    </row>
    <row r="76505" spans="1:2" x14ac:dyDescent="0.25">
      <c r="A76505" s="118"/>
      <c r="B76505" s="136"/>
    </row>
    <row r="76506" spans="1:2" x14ac:dyDescent="0.25">
      <c r="A76506" s="118"/>
      <c r="B76506" s="136"/>
    </row>
    <row r="76507" spans="1:2" x14ac:dyDescent="0.25">
      <c r="A76507" s="118"/>
      <c r="B76507" s="136"/>
    </row>
    <row r="76508" spans="1:2" x14ac:dyDescent="0.25">
      <c r="A76508" s="118"/>
      <c r="B76508" s="136"/>
    </row>
    <row r="76509" spans="1:2" x14ac:dyDescent="0.25">
      <c r="A76509" s="118"/>
      <c r="B76509" s="136"/>
    </row>
    <row r="76510" spans="1:2" x14ac:dyDescent="0.25">
      <c r="A76510" s="118"/>
      <c r="B76510" s="136"/>
    </row>
    <row r="76511" spans="1:2" x14ac:dyDescent="0.25">
      <c r="A76511" s="118"/>
      <c r="B76511" s="136"/>
    </row>
    <row r="76512" spans="1:2" x14ac:dyDescent="0.25">
      <c r="A76512" s="118"/>
      <c r="B76512" s="136"/>
    </row>
    <row r="76513" spans="1:2" x14ac:dyDescent="0.25">
      <c r="A76513" s="118"/>
      <c r="B76513" s="136"/>
    </row>
    <row r="76514" spans="1:2" x14ac:dyDescent="0.25">
      <c r="A76514" s="118"/>
      <c r="B76514" s="136"/>
    </row>
    <row r="76515" spans="1:2" x14ac:dyDescent="0.25">
      <c r="A76515" s="118"/>
      <c r="B76515" s="136"/>
    </row>
    <row r="76516" spans="1:2" x14ac:dyDescent="0.25">
      <c r="A76516" s="118"/>
      <c r="B76516" s="136"/>
    </row>
    <row r="76517" spans="1:2" x14ac:dyDescent="0.25">
      <c r="A76517" s="118"/>
      <c r="B76517" s="136"/>
    </row>
    <row r="76518" spans="1:2" x14ac:dyDescent="0.25">
      <c r="A76518" s="118"/>
      <c r="B76518" s="136"/>
    </row>
    <row r="76519" spans="1:2" x14ac:dyDescent="0.25">
      <c r="A76519" s="118"/>
      <c r="B76519" s="136"/>
    </row>
    <row r="76520" spans="1:2" x14ac:dyDescent="0.25">
      <c r="A76520" s="118"/>
      <c r="B76520" s="136"/>
    </row>
    <row r="76521" spans="1:2" x14ac:dyDescent="0.25">
      <c r="A76521" s="118"/>
      <c r="B76521" s="136"/>
    </row>
    <row r="76522" spans="1:2" x14ac:dyDescent="0.25">
      <c r="A76522" s="118"/>
      <c r="B76522" s="136"/>
    </row>
    <row r="76523" spans="1:2" x14ac:dyDescent="0.25">
      <c r="A76523" s="118"/>
      <c r="B76523" s="136"/>
    </row>
    <row r="76524" spans="1:2" x14ac:dyDescent="0.25">
      <c r="A76524" s="118"/>
      <c r="B76524" s="136"/>
    </row>
    <row r="76525" spans="1:2" x14ac:dyDescent="0.25">
      <c r="A76525" s="118"/>
      <c r="B76525" s="136"/>
    </row>
    <row r="76526" spans="1:2" x14ac:dyDescent="0.25">
      <c r="A76526" s="118"/>
      <c r="B76526" s="136"/>
    </row>
    <row r="76527" spans="1:2" x14ac:dyDescent="0.25">
      <c r="A76527" s="118"/>
      <c r="B76527" s="136"/>
    </row>
    <row r="76528" spans="1:2" x14ac:dyDescent="0.25">
      <c r="A76528" s="118"/>
      <c r="B76528" s="136"/>
    </row>
    <row r="76529" spans="1:2" x14ac:dyDescent="0.25">
      <c r="A76529" s="118"/>
      <c r="B76529" s="136"/>
    </row>
    <row r="76530" spans="1:2" x14ac:dyDescent="0.25">
      <c r="A76530" s="118"/>
      <c r="B76530" s="136"/>
    </row>
    <row r="76531" spans="1:2" x14ac:dyDescent="0.25">
      <c r="A76531" s="118"/>
      <c r="B76531" s="136"/>
    </row>
    <row r="76532" spans="1:2" x14ac:dyDescent="0.25">
      <c r="A76532" s="118"/>
      <c r="B76532" s="136"/>
    </row>
    <row r="76533" spans="1:2" x14ac:dyDescent="0.25">
      <c r="A76533" s="118"/>
      <c r="B76533" s="136"/>
    </row>
    <row r="76534" spans="1:2" x14ac:dyDescent="0.25">
      <c r="A76534" s="118"/>
      <c r="B76534" s="136"/>
    </row>
    <row r="76535" spans="1:2" x14ac:dyDescent="0.25">
      <c r="A76535" s="118"/>
      <c r="B76535" s="136"/>
    </row>
    <row r="76536" spans="1:2" x14ac:dyDescent="0.25">
      <c r="A76536" s="118"/>
      <c r="B76536" s="136"/>
    </row>
    <row r="76537" spans="1:2" x14ac:dyDescent="0.25">
      <c r="A76537" s="118"/>
      <c r="B76537" s="136"/>
    </row>
    <row r="76538" spans="1:2" x14ac:dyDescent="0.25">
      <c r="A76538" s="118"/>
      <c r="B76538" s="136"/>
    </row>
    <row r="76539" spans="1:2" x14ac:dyDescent="0.25">
      <c r="A76539" s="118"/>
      <c r="B76539" s="136"/>
    </row>
    <row r="76540" spans="1:2" x14ac:dyDescent="0.25">
      <c r="A76540" s="118"/>
      <c r="B76540" s="136"/>
    </row>
    <row r="76541" spans="1:2" x14ac:dyDescent="0.25">
      <c r="A76541" s="118"/>
      <c r="B76541" s="136"/>
    </row>
    <row r="76542" spans="1:2" x14ac:dyDescent="0.25">
      <c r="A76542" s="118"/>
      <c r="B76542" s="136"/>
    </row>
    <row r="76543" spans="1:2" x14ac:dyDescent="0.25">
      <c r="A76543" s="118"/>
      <c r="B76543" s="136"/>
    </row>
    <row r="76544" spans="1:2" x14ac:dyDescent="0.25">
      <c r="A76544" s="118"/>
      <c r="B76544" s="136"/>
    </row>
    <row r="76545" spans="1:2" x14ac:dyDescent="0.25">
      <c r="A76545" s="118"/>
      <c r="B76545" s="136"/>
    </row>
    <row r="76546" spans="1:2" x14ac:dyDescent="0.25">
      <c r="A76546" s="118"/>
      <c r="B76546" s="136"/>
    </row>
    <row r="76547" spans="1:2" x14ac:dyDescent="0.25">
      <c r="A76547" s="118"/>
      <c r="B76547" s="136"/>
    </row>
    <row r="76548" spans="1:2" x14ac:dyDescent="0.25">
      <c r="A76548" s="118"/>
      <c r="B76548" s="136"/>
    </row>
    <row r="76549" spans="1:2" x14ac:dyDescent="0.25">
      <c r="A76549" s="118"/>
      <c r="B76549" s="136"/>
    </row>
    <row r="76550" spans="1:2" x14ac:dyDescent="0.25">
      <c r="A76550" s="118"/>
      <c r="B76550" s="136"/>
    </row>
    <row r="76551" spans="1:2" x14ac:dyDescent="0.25">
      <c r="A76551" s="118"/>
      <c r="B76551" s="136"/>
    </row>
    <row r="76552" spans="1:2" x14ac:dyDescent="0.25">
      <c r="A76552" s="118"/>
      <c r="B76552" s="136"/>
    </row>
    <row r="76553" spans="1:2" x14ac:dyDescent="0.25">
      <c r="A76553" s="118"/>
      <c r="B76553" s="136"/>
    </row>
    <row r="76554" spans="1:2" x14ac:dyDescent="0.25">
      <c r="A76554" s="118"/>
      <c r="B76554" s="136"/>
    </row>
    <row r="76555" spans="1:2" x14ac:dyDescent="0.25">
      <c r="A76555" s="118"/>
      <c r="B76555" s="136"/>
    </row>
    <row r="76556" spans="1:2" x14ac:dyDescent="0.25">
      <c r="A76556" s="118"/>
      <c r="B76556" s="136"/>
    </row>
    <row r="76557" spans="1:2" x14ac:dyDescent="0.25">
      <c r="A76557" s="118"/>
      <c r="B76557" s="136"/>
    </row>
    <row r="76558" spans="1:2" x14ac:dyDescent="0.25">
      <c r="A76558" s="118"/>
      <c r="B76558" s="136"/>
    </row>
    <row r="76559" spans="1:2" x14ac:dyDescent="0.25">
      <c r="A76559" s="118"/>
      <c r="B76559" s="136"/>
    </row>
    <row r="76560" spans="1:2" x14ac:dyDescent="0.25">
      <c r="A76560" s="118"/>
      <c r="B76560" s="136"/>
    </row>
    <row r="76561" spans="1:2" x14ac:dyDescent="0.25">
      <c r="A76561" s="118"/>
      <c r="B76561" s="136"/>
    </row>
    <row r="76562" spans="1:2" x14ac:dyDescent="0.25">
      <c r="A76562" s="118"/>
      <c r="B76562" s="136"/>
    </row>
    <row r="76563" spans="1:2" x14ac:dyDescent="0.25">
      <c r="A76563" s="118"/>
      <c r="B76563" s="136"/>
    </row>
    <row r="76564" spans="1:2" x14ac:dyDescent="0.25">
      <c r="A76564" s="118"/>
      <c r="B76564" s="136"/>
    </row>
    <row r="76565" spans="1:2" x14ac:dyDescent="0.25">
      <c r="A76565" s="118"/>
      <c r="B76565" s="136"/>
    </row>
    <row r="76566" spans="1:2" x14ac:dyDescent="0.25">
      <c r="A76566" s="118"/>
      <c r="B76566" s="136"/>
    </row>
    <row r="76567" spans="1:2" x14ac:dyDescent="0.25">
      <c r="A76567" s="118"/>
      <c r="B76567" s="136"/>
    </row>
    <row r="76568" spans="1:2" x14ac:dyDescent="0.25">
      <c r="A76568" s="118"/>
      <c r="B76568" s="136"/>
    </row>
    <row r="76569" spans="1:2" x14ac:dyDescent="0.25">
      <c r="A76569" s="118"/>
      <c r="B76569" s="136"/>
    </row>
    <row r="76570" spans="1:2" x14ac:dyDescent="0.25">
      <c r="A76570" s="118"/>
      <c r="B76570" s="136"/>
    </row>
    <row r="76571" spans="1:2" x14ac:dyDescent="0.25">
      <c r="A76571" s="118"/>
      <c r="B76571" s="136"/>
    </row>
    <row r="76572" spans="1:2" x14ac:dyDescent="0.25">
      <c r="A76572" s="118"/>
      <c r="B76572" s="136"/>
    </row>
    <row r="76573" spans="1:2" x14ac:dyDescent="0.25">
      <c r="A76573" s="118"/>
      <c r="B76573" s="136"/>
    </row>
    <row r="76574" spans="1:2" x14ac:dyDescent="0.25">
      <c r="A76574" s="118"/>
      <c r="B76574" s="136"/>
    </row>
    <row r="76575" spans="1:2" x14ac:dyDescent="0.25">
      <c r="A76575" s="118"/>
      <c r="B76575" s="136"/>
    </row>
    <row r="76576" spans="1:2" x14ac:dyDescent="0.25">
      <c r="A76576" s="118"/>
      <c r="B76576" s="136"/>
    </row>
    <row r="76577" spans="1:2" x14ac:dyDescent="0.25">
      <c r="A76577" s="118"/>
      <c r="B76577" s="136"/>
    </row>
    <row r="76578" spans="1:2" x14ac:dyDescent="0.25">
      <c r="A76578" s="118"/>
      <c r="B76578" s="136"/>
    </row>
    <row r="76579" spans="1:2" x14ac:dyDescent="0.25">
      <c r="A76579" s="118"/>
      <c r="B76579" s="136"/>
    </row>
    <row r="76580" spans="1:2" x14ac:dyDescent="0.25">
      <c r="A76580" s="118"/>
      <c r="B76580" s="136"/>
    </row>
    <row r="76581" spans="1:2" x14ac:dyDescent="0.25">
      <c r="A76581" s="118"/>
      <c r="B76581" s="136"/>
    </row>
    <row r="76582" spans="1:2" x14ac:dyDescent="0.25">
      <c r="A76582" s="118"/>
      <c r="B76582" s="136"/>
    </row>
    <row r="76583" spans="1:2" x14ac:dyDescent="0.25">
      <c r="A76583" s="118"/>
      <c r="B76583" s="136"/>
    </row>
    <row r="76584" spans="1:2" x14ac:dyDescent="0.25">
      <c r="A76584" s="118"/>
      <c r="B76584" s="136"/>
    </row>
    <row r="76585" spans="1:2" x14ac:dyDescent="0.25">
      <c r="A76585" s="118"/>
      <c r="B76585" s="136"/>
    </row>
    <row r="76586" spans="1:2" x14ac:dyDescent="0.25">
      <c r="A76586" s="118"/>
      <c r="B76586" s="136"/>
    </row>
    <row r="76587" spans="1:2" x14ac:dyDescent="0.25">
      <c r="A76587" s="118"/>
      <c r="B76587" s="136"/>
    </row>
    <row r="76588" spans="1:2" x14ac:dyDescent="0.25">
      <c r="A76588" s="118"/>
      <c r="B76588" s="136"/>
    </row>
    <row r="76589" spans="1:2" x14ac:dyDescent="0.25">
      <c r="A76589" s="118"/>
      <c r="B76589" s="136"/>
    </row>
    <row r="76590" spans="1:2" x14ac:dyDescent="0.25">
      <c r="A76590" s="118"/>
      <c r="B76590" s="136"/>
    </row>
    <row r="76591" spans="1:2" x14ac:dyDescent="0.25">
      <c r="A76591" s="118"/>
      <c r="B76591" s="136"/>
    </row>
    <row r="76592" spans="1:2" x14ac:dyDescent="0.25">
      <c r="A76592" s="118"/>
      <c r="B76592" s="136"/>
    </row>
    <row r="76593" spans="1:2" x14ac:dyDescent="0.25">
      <c r="A76593" s="118"/>
      <c r="B76593" s="136"/>
    </row>
    <row r="76594" spans="1:2" x14ac:dyDescent="0.25">
      <c r="A76594" s="118"/>
      <c r="B76594" s="136"/>
    </row>
    <row r="76595" spans="1:2" x14ac:dyDescent="0.25">
      <c r="A76595" s="118"/>
      <c r="B76595" s="136"/>
    </row>
    <row r="76596" spans="1:2" x14ac:dyDescent="0.25">
      <c r="A76596" s="118"/>
      <c r="B76596" s="136"/>
    </row>
    <row r="76597" spans="1:2" x14ac:dyDescent="0.25">
      <c r="A76597" s="118"/>
      <c r="B76597" s="136"/>
    </row>
    <row r="76598" spans="1:2" x14ac:dyDescent="0.25">
      <c r="A76598" s="118"/>
      <c r="B76598" s="136"/>
    </row>
    <row r="76599" spans="1:2" x14ac:dyDescent="0.25">
      <c r="A76599" s="118"/>
      <c r="B76599" s="136"/>
    </row>
    <row r="76600" spans="1:2" x14ac:dyDescent="0.25">
      <c r="A76600" s="118"/>
      <c r="B76600" s="136"/>
    </row>
    <row r="76601" spans="1:2" x14ac:dyDescent="0.25">
      <c r="A76601" s="118"/>
      <c r="B76601" s="136"/>
    </row>
    <row r="76602" spans="1:2" x14ac:dyDescent="0.25">
      <c r="A76602" s="118"/>
      <c r="B76602" s="136"/>
    </row>
    <row r="76603" spans="1:2" x14ac:dyDescent="0.25">
      <c r="A76603" s="118"/>
      <c r="B76603" s="136"/>
    </row>
    <row r="76604" spans="1:2" x14ac:dyDescent="0.25">
      <c r="A76604" s="118"/>
      <c r="B76604" s="136"/>
    </row>
    <row r="76605" spans="1:2" x14ac:dyDescent="0.25">
      <c r="A76605" s="118"/>
      <c r="B76605" s="136"/>
    </row>
    <row r="76606" spans="1:2" x14ac:dyDescent="0.25">
      <c r="A76606" s="118"/>
      <c r="B76606" s="136"/>
    </row>
    <row r="76607" spans="1:2" x14ac:dyDescent="0.25">
      <c r="A76607" s="118"/>
      <c r="B76607" s="136"/>
    </row>
    <row r="76608" spans="1:2" x14ac:dyDescent="0.25">
      <c r="A76608" s="118"/>
      <c r="B76608" s="136"/>
    </row>
    <row r="76609" spans="1:2" x14ac:dyDescent="0.25">
      <c r="A76609" s="118"/>
      <c r="B76609" s="136"/>
    </row>
    <row r="76610" spans="1:2" x14ac:dyDescent="0.25">
      <c r="A76610" s="118"/>
      <c r="B76610" s="136"/>
    </row>
    <row r="76611" spans="1:2" x14ac:dyDescent="0.25">
      <c r="A76611" s="118"/>
      <c r="B76611" s="136"/>
    </row>
    <row r="76612" spans="1:2" x14ac:dyDescent="0.25">
      <c r="A76612" s="118"/>
      <c r="B76612" s="136"/>
    </row>
    <row r="76613" spans="1:2" x14ac:dyDescent="0.25">
      <c r="A76613" s="118"/>
      <c r="B76613" s="136"/>
    </row>
    <row r="76614" spans="1:2" x14ac:dyDescent="0.25">
      <c r="A76614" s="118"/>
      <c r="B76614" s="136"/>
    </row>
    <row r="76615" spans="1:2" x14ac:dyDescent="0.25">
      <c r="A76615" s="118"/>
      <c r="B76615" s="136"/>
    </row>
    <row r="76616" spans="1:2" x14ac:dyDescent="0.25">
      <c r="A76616" s="118"/>
      <c r="B76616" s="136"/>
    </row>
    <row r="76617" spans="1:2" x14ac:dyDescent="0.25">
      <c r="A76617" s="118"/>
      <c r="B76617" s="136"/>
    </row>
    <row r="76618" spans="1:2" x14ac:dyDescent="0.25">
      <c r="A76618" s="118"/>
      <c r="B76618" s="136"/>
    </row>
    <row r="76619" spans="1:2" x14ac:dyDescent="0.25">
      <c r="A76619" s="118"/>
      <c r="B76619" s="136"/>
    </row>
    <row r="76620" spans="1:2" x14ac:dyDescent="0.25">
      <c r="A76620" s="118"/>
      <c r="B76620" s="136"/>
    </row>
    <row r="76621" spans="1:2" x14ac:dyDescent="0.25">
      <c r="A76621" s="118"/>
      <c r="B76621" s="136"/>
    </row>
    <row r="76622" spans="1:2" x14ac:dyDescent="0.25">
      <c r="A76622" s="118"/>
      <c r="B76622" s="136"/>
    </row>
    <row r="76623" spans="1:2" x14ac:dyDescent="0.25">
      <c r="A76623" s="118"/>
      <c r="B76623" s="136"/>
    </row>
    <row r="76624" spans="1:2" x14ac:dyDescent="0.25">
      <c r="A76624" s="118"/>
      <c r="B76624" s="136"/>
    </row>
    <row r="76625" spans="1:2" x14ac:dyDescent="0.25">
      <c r="A76625" s="118"/>
      <c r="B76625" s="136"/>
    </row>
    <row r="76626" spans="1:2" x14ac:dyDescent="0.25">
      <c r="A76626" s="118"/>
      <c r="B76626" s="136"/>
    </row>
    <row r="76627" spans="1:2" x14ac:dyDescent="0.25">
      <c r="A76627" s="118"/>
      <c r="B76627" s="136"/>
    </row>
    <row r="76628" spans="1:2" x14ac:dyDescent="0.25">
      <c r="A76628" s="118"/>
      <c r="B76628" s="136"/>
    </row>
    <row r="76629" spans="1:2" x14ac:dyDescent="0.25">
      <c r="A76629" s="118"/>
      <c r="B76629" s="136"/>
    </row>
    <row r="76630" spans="1:2" x14ac:dyDescent="0.25">
      <c r="A76630" s="118"/>
      <c r="B76630" s="136"/>
    </row>
    <row r="76631" spans="1:2" x14ac:dyDescent="0.25">
      <c r="A76631" s="118"/>
      <c r="B76631" s="136"/>
    </row>
    <row r="76632" spans="1:2" x14ac:dyDescent="0.25">
      <c r="A76632" s="118"/>
      <c r="B76632" s="136"/>
    </row>
    <row r="76633" spans="1:2" x14ac:dyDescent="0.25">
      <c r="A76633" s="118"/>
      <c r="B76633" s="136"/>
    </row>
    <row r="76634" spans="1:2" x14ac:dyDescent="0.25">
      <c r="A76634" s="118"/>
      <c r="B76634" s="136"/>
    </row>
    <row r="76635" spans="1:2" x14ac:dyDescent="0.25">
      <c r="A76635" s="118"/>
      <c r="B76635" s="136"/>
    </row>
    <row r="76636" spans="1:2" x14ac:dyDescent="0.25">
      <c r="A76636" s="118"/>
      <c r="B76636" s="136"/>
    </row>
    <row r="76637" spans="1:2" x14ac:dyDescent="0.25">
      <c r="A76637" s="118"/>
      <c r="B76637" s="136"/>
    </row>
    <row r="76638" spans="1:2" x14ac:dyDescent="0.25">
      <c r="A76638" s="118"/>
      <c r="B76638" s="136"/>
    </row>
    <row r="76639" spans="1:2" x14ac:dyDescent="0.25">
      <c r="A76639" s="118"/>
      <c r="B76639" s="136"/>
    </row>
    <row r="76640" spans="1:2" x14ac:dyDescent="0.25">
      <c r="A76640" s="118"/>
      <c r="B76640" s="136"/>
    </row>
    <row r="76641" spans="1:2" x14ac:dyDescent="0.25">
      <c r="A76641" s="118"/>
      <c r="B76641" s="136"/>
    </row>
    <row r="76642" spans="1:2" x14ac:dyDescent="0.25">
      <c r="A76642" s="118"/>
      <c r="B76642" s="136"/>
    </row>
    <row r="76643" spans="1:2" x14ac:dyDescent="0.25">
      <c r="A76643" s="118"/>
      <c r="B76643" s="136"/>
    </row>
    <row r="76644" spans="1:2" x14ac:dyDescent="0.25">
      <c r="A76644" s="118"/>
      <c r="B76644" s="136"/>
    </row>
    <row r="76645" spans="1:2" x14ac:dyDescent="0.25">
      <c r="A76645" s="118"/>
      <c r="B76645" s="136"/>
    </row>
    <row r="76646" spans="1:2" x14ac:dyDescent="0.25">
      <c r="A76646" s="118"/>
      <c r="B76646" s="136"/>
    </row>
    <row r="76647" spans="1:2" x14ac:dyDescent="0.25">
      <c r="A76647" s="118"/>
      <c r="B76647" s="136"/>
    </row>
    <row r="76648" spans="1:2" x14ac:dyDescent="0.25">
      <c r="A76648" s="118"/>
      <c r="B76648" s="136"/>
    </row>
    <row r="76649" spans="1:2" x14ac:dyDescent="0.25">
      <c r="A76649" s="118"/>
      <c r="B76649" s="136"/>
    </row>
    <row r="76650" spans="1:2" x14ac:dyDescent="0.25">
      <c r="A76650" s="118"/>
      <c r="B76650" s="136"/>
    </row>
    <row r="76651" spans="1:2" x14ac:dyDescent="0.25">
      <c r="A76651" s="118"/>
      <c r="B76651" s="136"/>
    </row>
    <row r="76652" spans="1:2" x14ac:dyDescent="0.25">
      <c r="A76652" s="118"/>
      <c r="B76652" s="136"/>
    </row>
    <row r="76653" spans="1:2" x14ac:dyDescent="0.25">
      <c r="A76653" s="118"/>
      <c r="B76653" s="136"/>
    </row>
    <row r="76654" spans="1:2" x14ac:dyDescent="0.25">
      <c r="A76654" s="118"/>
      <c r="B76654" s="136"/>
    </row>
    <row r="76655" spans="1:2" x14ac:dyDescent="0.25">
      <c r="A76655" s="118"/>
      <c r="B76655" s="136"/>
    </row>
    <row r="76656" spans="1:2" x14ac:dyDescent="0.25">
      <c r="A76656" s="118"/>
      <c r="B76656" s="136"/>
    </row>
    <row r="76657" spans="1:2" x14ac:dyDescent="0.25">
      <c r="A76657" s="118"/>
      <c r="B76657" s="136"/>
    </row>
    <row r="76658" spans="1:2" x14ac:dyDescent="0.25">
      <c r="A76658" s="118"/>
      <c r="B76658" s="136"/>
    </row>
    <row r="76659" spans="1:2" x14ac:dyDescent="0.25">
      <c r="A76659" s="118"/>
      <c r="B76659" s="136"/>
    </row>
    <row r="76660" spans="1:2" x14ac:dyDescent="0.25">
      <c r="A76660" s="118"/>
      <c r="B76660" s="136"/>
    </row>
    <row r="76661" spans="1:2" x14ac:dyDescent="0.25">
      <c r="A76661" s="118"/>
      <c r="B76661" s="136"/>
    </row>
    <row r="76662" spans="1:2" x14ac:dyDescent="0.25">
      <c r="A76662" s="118"/>
      <c r="B76662" s="136"/>
    </row>
    <row r="76663" spans="1:2" x14ac:dyDescent="0.25">
      <c r="A76663" s="118"/>
      <c r="B76663" s="136"/>
    </row>
    <row r="76664" spans="1:2" x14ac:dyDescent="0.25">
      <c r="A76664" s="118"/>
      <c r="B76664" s="136"/>
    </row>
    <row r="76665" spans="1:2" x14ac:dyDescent="0.25">
      <c r="A76665" s="118"/>
      <c r="B76665" s="136"/>
    </row>
    <row r="76666" spans="1:2" x14ac:dyDescent="0.25">
      <c r="A76666" s="118"/>
      <c r="B76666" s="136"/>
    </row>
    <row r="76667" spans="1:2" x14ac:dyDescent="0.25">
      <c r="A76667" s="118"/>
      <c r="B76667" s="136"/>
    </row>
    <row r="76668" spans="1:2" x14ac:dyDescent="0.25">
      <c r="A76668" s="118"/>
      <c r="B76668" s="136"/>
    </row>
    <row r="76669" spans="1:2" x14ac:dyDescent="0.25">
      <c r="A76669" s="118"/>
      <c r="B76669" s="136"/>
    </row>
    <row r="76670" spans="1:2" x14ac:dyDescent="0.25">
      <c r="A76670" s="118"/>
      <c r="B76670" s="136"/>
    </row>
    <row r="76671" spans="1:2" x14ac:dyDescent="0.25">
      <c r="A76671" s="118"/>
      <c r="B76671" s="136"/>
    </row>
    <row r="76672" spans="1:2" x14ac:dyDescent="0.25">
      <c r="A76672" s="118"/>
      <c r="B76672" s="136"/>
    </row>
    <row r="76673" spans="1:2" x14ac:dyDescent="0.25">
      <c r="A76673" s="118"/>
      <c r="B76673" s="136"/>
    </row>
    <row r="76674" spans="1:2" x14ac:dyDescent="0.25">
      <c r="A76674" s="118"/>
      <c r="B76674" s="136"/>
    </row>
    <row r="76675" spans="1:2" x14ac:dyDescent="0.25">
      <c r="A76675" s="118"/>
      <c r="B76675" s="136"/>
    </row>
    <row r="76676" spans="1:2" x14ac:dyDescent="0.25">
      <c r="A76676" s="118"/>
      <c r="B76676" s="136"/>
    </row>
    <row r="76677" spans="1:2" x14ac:dyDescent="0.25">
      <c r="A76677" s="118"/>
      <c r="B76677" s="136"/>
    </row>
    <row r="76678" spans="1:2" x14ac:dyDescent="0.25">
      <c r="A76678" s="118"/>
      <c r="B76678" s="136"/>
    </row>
    <row r="76679" spans="1:2" x14ac:dyDescent="0.25">
      <c r="A76679" s="118"/>
      <c r="B76679" s="136"/>
    </row>
    <row r="76680" spans="1:2" x14ac:dyDescent="0.25">
      <c r="A76680" s="118"/>
      <c r="B76680" s="136"/>
    </row>
    <row r="76681" spans="1:2" x14ac:dyDescent="0.25">
      <c r="A76681" s="118"/>
      <c r="B76681" s="136"/>
    </row>
    <row r="76682" spans="1:2" x14ac:dyDescent="0.25">
      <c r="A76682" s="118"/>
      <c r="B76682" s="136"/>
    </row>
    <row r="76683" spans="1:2" x14ac:dyDescent="0.25">
      <c r="A76683" s="118"/>
      <c r="B76683" s="136"/>
    </row>
    <row r="76684" spans="1:2" x14ac:dyDescent="0.25">
      <c r="A76684" s="118"/>
      <c r="B76684" s="136"/>
    </row>
    <row r="76685" spans="1:2" x14ac:dyDescent="0.25">
      <c r="A76685" s="118"/>
      <c r="B76685" s="136"/>
    </row>
    <row r="76686" spans="1:2" x14ac:dyDescent="0.25">
      <c r="A76686" s="118"/>
      <c r="B76686" s="136"/>
    </row>
    <row r="76687" spans="1:2" x14ac:dyDescent="0.25">
      <c r="A76687" s="118"/>
      <c r="B76687" s="136"/>
    </row>
    <row r="76688" spans="1:2" x14ac:dyDescent="0.25">
      <c r="A76688" s="118"/>
      <c r="B76688" s="136"/>
    </row>
    <row r="76689" spans="1:2" x14ac:dyDescent="0.25">
      <c r="A76689" s="118"/>
      <c r="B76689" s="136"/>
    </row>
    <row r="76690" spans="1:2" x14ac:dyDescent="0.25">
      <c r="A76690" s="118"/>
      <c r="B76690" s="136"/>
    </row>
    <row r="76691" spans="1:2" x14ac:dyDescent="0.25">
      <c r="A76691" s="118"/>
      <c r="B76691" s="136"/>
    </row>
    <row r="76692" spans="1:2" x14ac:dyDescent="0.25">
      <c r="A76692" s="118"/>
      <c r="B76692" s="136"/>
    </row>
    <row r="76693" spans="1:2" x14ac:dyDescent="0.25">
      <c r="A76693" s="118"/>
      <c r="B76693" s="136"/>
    </row>
    <row r="76694" spans="1:2" x14ac:dyDescent="0.25">
      <c r="A76694" s="118"/>
      <c r="B76694" s="136"/>
    </row>
    <row r="76695" spans="1:2" x14ac:dyDescent="0.25">
      <c r="A76695" s="118"/>
      <c r="B76695" s="136"/>
    </row>
    <row r="76696" spans="1:2" x14ac:dyDescent="0.25">
      <c r="A76696" s="118"/>
      <c r="B76696" s="136"/>
    </row>
    <row r="76697" spans="1:2" x14ac:dyDescent="0.25">
      <c r="A76697" s="118"/>
      <c r="B76697" s="136"/>
    </row>
    <row r="76698" spans="1:2" x14ac:dyDescent="0.25">
      <c r="A76698" s="118"/>
      <c r="B76698" s="136"/>
    </row>
    <row r="76699" spans="1:2" x14ac:dyDescent="0.25">
      <c r="A76699" s="118"/>
      <c r="B76699" s="136"/>
    </row>
    <row r="76700" spans="1:2" x14ac:dyDescent="0.25">
      <c r="A76700" s="118"/>
      <c r="B76700" s="136"/>
    </row>
    <row r="76701" spans="1:2" x14ac:dyDescent="0.25">
      <c r="A76701" s="118"/>
      <c r="B76701" s="136"/>
    </row>
    <row r="76702" spans="1:2" x14ac:dyDescent="0.25">
      <c r="A76702" s="118"/>
      <c r="B76702" s="136"/>
    </row>
    <row r="76703" spans="1:2" x14ac:dyDescent="0.25">
      <c r="A76703" s="118"/>
      <c r="B76703" s="136"/>
    </row>
    <row r="76704" spans="1:2" x14ac:dyDescent="0.25">
      <c r="A76704" s="118"/>
      <c r="B76704" s="136"/>
    </row>
    <row r="76705" spans="1:2" x14ac:dyDescent="0.25">
      <c r="A76705" s="118"/>
      <c r="B76705" s="136"/>
    </row>
    <row r="76706" spans="1:2" x14ac:dyDescent="0.25">
      <c r="A76706" s="118"/>
      <c r="B76706" s="136"/>
    </row>
    <row r="76707" spans="1:2" x14ac:dyDescent="0.25">
      <c r="A76707" s="118"/>
      <c r="B76707" s="136"/>
    </row>
    <row r="76708" spans="1:2" x14ac:dyDescent="0.25">
      <c r="A76708" s="118"/>
      <c r="B76708" s="136"/>
    </row>
    <row r="76709" spans="1:2" x14ac:dyDescent="0.25">
      <c r="A76709" s="118"/>
      <c r="B76709" s="136"/>
    </row>
    <row r="76710" spans="1:2" x14ac:dyDescent="0.25">
      <c r="A76710" s="118"/>
      <c r="B76710" s="136"/>
    </row>
    <row r="76711" spans="1:2" x14ac:dyDescent="0.25">
      <c r="A76711" s="118"/>
      <c r="B76711" s="136"/>
    </row>
    <row r="76712" spans="1:2" x14ac:dyDescent="0.25">
      <c r="A76712" s="118"/>
      <c r="B76712" s="136"/>
    </row>
    <row r="76713" spans="1:2" x14ac:dyDescent="0.25">
      <c r="A76713" s="118"/>
      <c r="B76713" s="136"/>
    </row>
    <row r="76714" spans="1:2" x14ac:dyDescent="0.25">
      <c r="A76714" s="118"/>
      <c r="B76714" s="136"/>
    </row>
    <row r="76715" spans="1:2" x14ac:dyDescent="0.25">
      <c r="A76715" s="118"/>
      <c r="B76715" s="136"/>
    </row>
    <row r="76716" spans="1:2" x14ac:dyDescent="0.25">
      <c r="A76716" s="118"/>
      <c r="B76716" s="136"/>
    </row>
    <row r="76717" spans="1:2" x14ac:dyDescent="0.25">
      <c r="A76717" s="118"/>
      <c r="B76717" s="136"/>
    </row>
    <row r="76718" spans="1:2" x14ac:dyDescent="0.25">
      <c r="A76718" s="118"/>
      <c r="B76718" s="136"/>
    </row>
    <row r="76719" spans="1:2" x14ac:dyDescent="0.25">
      <c r="A76719" s="118"/>
      <c r="B76719" s="136"/>
    </row>
    <row r="76720" spans="1:2" x14ac:dyDescent="0.25">
      <c r="A76720" s="118"/>
      <c r="B76720" s="136"/>
    </row>
    <row r="76721" spans="1:2" x14ac:dyDescent="0.25">
      <c r="A76721" s="118"/>
      <c r="B76721" s="136"/>
    </row>
    <row r="76722" spans="1:2" x14ac:dyDescent="0.25">
      <c r="A76722" s="118"/>
      <c r="B76722" s="136"/>
    </row>
    <row r="76723" spans="1:2" x14ac:dyDescent="0.25">
      <c r="A76723" s="118"/>
      <c r="B76723" s="136"/>
    </row>
    <row r="76724" spans="1:2" x14ac:dyDescent="0.25">
      <c r="A76724" s="118"/>
      <c r="B76724" s="136"/>
    </row>
    <row r="76725" spans="1:2" x14ac:dyDescent="0.25">
      <c r="A76725" s="118"/>
      <c r="B76725" s="136"/>
    </row>
    <row r="76726" spans="1:2" x14ac:dyDescent="0.25">
      <c r="A76726" s="118"/>
      <c r="B76726" s="136"/>
    </row>
    <row r="76727" spans="1:2" x14ac:dyDescent="0.25">
      <c r="A76727" s="118"/>
      <c r="B76727" s="136"/>
    </row>
    <row r="76728" spans="1:2" x14ac:dyDescent="0.25">
      <c r="A76728" s="118"/>
      <c r="B76728" s="136"/>
    </row>
    <row r="76729" spans="1:2" x14ac:dyDescent="0.25">
      <c r="A76729" s="118"/>
      <c r="B76729" s="136"/>
    </row>
    <row r="76730" spans="1:2" x14ac:dyDescent="0.25">
      <c r="A76730" s="118"/>
      <c r="B76730" s="136"/>
    </row>
    <row r="76731" spans="1:2" x14ac:dyDescent="0.25">
      <c r="A76731" s="118"/>
      <c r="B76731" s="136"/>
    </row>
    <row r="76732" spans="1:2" x14ac:dyDescent="0.25">
      <c r="A76732" s="118"/>
      <c r="B76732" s="136"/>
    </row>
    <row r="76733" spans="1:2" x14ac:dyDescent="0.25">
      <c r="A76733" s="118"/>
      <c r="B76733" s="136"/>
    </row>
    <row r="76734" spans="1:2" x14ac:dyDescent="0.25">
      <c r="A76734" s="118"/>
      <c r="B76734" s="136"/>
    </row>
    <row r="76735" spans="1:2" x14ac:dyDescent="0.25">
      <c r="A76735" s="118"/>
      <c r="B76735" s="136"/>
    </row>
    <row r="76736" spans="1:2" x14ac:dyDescent="0.25">
      <c r="A76736" s="118"/>
      <c r="B76736" s="136"/>
    </row>
    <row r="76737" spans="1:2" x14ac:dyDescent="0.25">
      <c r="A76737" s="118"/>
      <c r="B76737" s="136"/>
    </row>
    <row r="76738" spans="1:2" x14ac:dyDescent="0.25">
      <c r="A76738" s="118"/>
      <c r="B76738" s="136"/>
    </row>
    <row r="76739" spans="1:2" x14ac:dyDescent="0.25">
      <c r="A76739" s="118"/>
      <c r="B76739" s="136"/>
    </row>
    <row r="76740" spans="1:2" x14ac:dyDescent="0.25">
      <c r="A76740" s="118"/>
      <c r="B76740" s="136"/>
    </row>
    <row r="76741" spans="1:2" x14ac:dyDescent="0.25">
      <c r="A76741" s="118"/>
      <c r="B76741" s="136"/>
    </row>
    <row r="76742" spans="1:2" x14ac:dyDescent="0.25">
      <c r="A76742" s="118"/>
      <c r="B76742" s="136"/>
    </row>
    <row r="76743" spans="1:2" x14ac:dyDescent="0.25">
      <c r="A76743" s="118"/>
      <c r="B76743" s="136"/>
    </row>
    <row r="76744" spans="1:2" x14ac:dyDescent="0.25">
      <c r="A76744" s="118"/>
      <c r="B76744" s="136"/>
    </row>
    <row r="76745" spans="1:2" x14ac:dyDescent="0.25">
      <c r="A76745" s="118"/>
      <c r="B76745" s="136"/>
    </row>
    <row r="76746" spans="1:2" x14ac:dyDescent="0.25">
      <c r="A76746" s="118"/>
      <c r="B76746" s="136"/>
    </row>
    <row r="76747" spans="1:2" x14ac:dyDescent="0.25">
      <c r="A76747" s="118"/>
      <c r="B76747" s="136"/>
    </row>
    <row r="76748" spans="1:2" x14ac:dyDescent="0.25">
      <c r="A76748" s="118"/>
      <c r="B76748" s="136"/>
    </row>
    <row r="76749" spans="1:2" x14ac:dyDescent="0.25">
      <c r="A76749" s="118"/>
      <c r="B76749" s="136"/>
    </row>
    <row r="76750" spans="1:2" x14ac:dyDescent="0.25">
      <c r="A76750" s="118"/>
      <c r="B76750" s="136"/>
    </row>
    <row r="76751" spans="1:2" x14ac:dyDescent="0.25">
      <c r="A76751" s="118"/>
      <c r="B76751" s="136"/>
    </row>
    <row r="76752" spans="1:2" x14ac:dyDescent="0.25">
      <c r="A76752" s="118"/>
      <c r="B76752" s="136"/>
    </row>
    <row r="76753" spans="1:2" x14ac:dyDescent="0.25">
      <c r="A76753" s="118"/>
      <c r="B76753" s="136"/>
    </row>
    <row r="76754" spans="1:2" x14ac:dyDescent="0.25">
      <c r="A76754" s="118"/>
      <c r="B76754" s="136"/>
    </row>
    <row r="76755" spans="1:2" x14ac:dyDescent="0.25">
      <c r="A76755" s="118"/>
      <c r="B76755" s="136"/>
    </row>
    <row r="76756" spans="1:2" x14ac:dyDescent="0.25">
      <c r="A76756" s="118"/>
      <c r="B76756" s="136"/>
    </row>
    <row r="76757" spans="1:2" x14ac:dyDescent="0.25">
      <c r="A76757" s="118"/>
      <c r="B76757" s="136"/>
    </row>
    <row r="76758" spans="1:2" x14ac:dyDescent="0.25">
      <c r="A76758" s="118"/>
      <c r="B76758" s="136"/>
    </row>
    <row r="76759" spans="1:2" x14ac:dyDescent="0.25">
      <c r="A76759" s="118"/>
      <c r="B76759" s="136"/>
    </row>
    <row r="76760" spans="1:2" x14ac:dyDescent="0.25">
      <c r="A76760" s="118"/>
      <c r="B76760" s="136"/>
    </row>
    <row r="76761" spans="1:2" x14ac:dyDescent="0.25">
      <c r="A76761" s="118"/>
      <c r="B76761" s="136"/>
    </row>
    <row r="76762" spans="1:2" x14ac:dyDescent="0.25">
      <c r="A76762" s="118"/>
      <c r="B76762" s="136"/>
    </row>
    <row r="76763" spans="1:2" x14ac:dyDescent="0.25">
      <c r="A76763" s="118"/>
      <c r="B76763" s="136"/>
    </row>
    <row r="76764" spans="1:2" x14ac:dyDescent="0.25">
      <c r="A76764" s="118"/>
      <c r="B76764" s="136"/>
    </row>
    <row r="76765" spans="1:2" x14ac:dyDescent="0.25">
      <c r="A76765" s="118"/>
      <c r="B76765" s="136"/>
    </row>
    <row r="76766" spans="1:2" x14ac:dyDescent="0.25">
      <c r="A76766" s="118"/>
      <c r="B76766" s="136"/>
    </row>
    <row r="76767" spans="1:2" x14ac:dyDescent="0.25">
      <c r="A76767" s="118"/>
      <c r="B76767" s="136"/>
    </row>
    <row r="76768" spans="1:2" x14ac:dyDescent="0.25">
      <c r="A76768" s="118"/>
      <c r="B76768" s="136"/>
    </row>
    <row r="76769" spans="1:2" x14ac:dyDescent="0.25">
      <c r="A76769" s="118"/>
      <c r="B76769" s="136"/>
    </row>
    <row r="76770" spans="1:2" x14ac:dyDescent="0.25">
      <c r="A76770" s="118"/>
      <c r="B76770" s="136"/>
    </row>
    <row r="76771" spans="1:2" x14ac:dyDescent="0.25">
      <c r="A76771" s="118"/>
      <c r="B76771" s="136"/>
    </row>
    <row r="76772" spans="1:2" x14ac:dyDescent="0.25">
      <c r="A76772" s="118"/>
      <c r="B76772" s="136"/>
    </row>
    <row r="76773" spans="1:2" x14ac:dyDescent="0.25">
      <c r="A76773" s="118"/>
      <c r="B76773" s="136"/>
    </row>
    <row r="76774" spans="1:2" x14ac:dyDescent="0.25">
      <c r="A76774" s="118"/>
      <c r="B76774" s="136"/>
    </row>
    <row r="76775" spans="1:2" x14ac:dyDescent="0.25">
      <c r="A76775" s="118"/>
      <c r="B76775" s="136"/>
    </row>
    <row r="76776" spans="1:2" x14ac:dyDescent="0.25">
      <c r="A76776" s="118"/>
      <c r="B76776" s="136"/>
    </row>
    <row r="76777" spans="1:2" x14ac:dyDescent="0.25">
      <c r="A76777" s="118"/>
      <c r="B76777" s="136"/>
    </row>
    <row r="76778" spans="1:2" x14ac:dyDescent="0.25">
      <c r="A76778" s="118"/>
      <c r="B76778" s="136"/>
    </row>
    <row r="76779" spans="1:2" x14ac:dyDescent="0.25">
      <c r="A76779" s="118"/>
      <c r="B76779" s="136"/>
    </row>
    <row r="76780" spans="1:2" x14ac:dyDescent="0.25">
      <c r="A76780" s="118"/>
      <c r="B76780" s="136"/>
    </row>
    <row r="76781" spans="1:2" x14ac:dyDescent="0.25">
      <c r="A76781" s="118"/>
      <c r="B76781" s="136"/>
    </row>
    <row r="76782" spans="1:2" x14ac:dyDescent="0.25">
      <c r="A76782" s="118"/>
      <c r="B76782" s="136"/>
    </row>
    <row r="76783" spans="1:2" x14ac:dyDescent="0.25">
      <c r="A76783" s="118"/>
      <c r="B76783" s="136"/>
    </row>
    <row r="76784" spans="1:2" x14ac:dyDescent="0.25">
      <c r="A76784" s="118"/>
      <c r="B76784" s="136"/>
    </row>
    <row r="76785" spans="1:2" x14ac:dyDescent="0.25">
      <c r="A76785" s="118"/>
      <c r="B76785" s="136"/>
    </row>
    <row r="76786" spans="1:2" x14ac:dyDescent="0.25">
      <c r="A76786" s="118"/>
      <c r="B76786" s="136"/>
    </row>
    <row r="76787" spans="1:2" x14ac:dyDescent="0.25">
      <c r="A76787" s="118"/>
      <c r="B76787" s="136"/>
    </row>
    <row r="76788" spans="1:2" x14ac:dyDescent="0.25">
      <c r="A76788" s="118"/>
      <c r="B76788" s="136"/>
    </row>
    <row r="76789" spans="1:2" x14ac:dyDescent="0.25">
      <c r="A76789" s="118"/>
      <c r="B76789" s="136"/>
    </row>
    <row r="76790" spans="1:2" x14ac:dyDescent="0.25">
      <c r="A76790" s="118"/>
      <c r="B76790" s="136"/>
    </row>
    <row r="76791" spans="1:2" x14ac:dyDescent="0.25">
      <c r="A76791" s="118"/>
      <c r="B76791" s="136"/>
    </row>
    <row r="76792" spans="1:2" x14ac:dyDescent="0.25">
      <c r="A76792" s="118"/>
      <c r="B76792" s="136"/>
    </row>
    <row r="76793" spans="1:2" x14ac:dyDescent="0.25">
      <c r="A76793" s="118"/>
      <c r="B76793" s="136"/>
    </row>
    <row r="76794" spans="1:2" x14ac:dyDescent="0.25">
      <c r="A76794" s="118"/>
      <c r="B76794" s="136"/>
    </row>
    <row r="76795" spans="1:2" x14ac:dyDescent="0.25">
      <c r="A76795" s="118"/>
      <c r="B76795" s="136"/>
    </row>
    <row r="76796" spans="1:2" x14ac:dyDescent="0.25">
      <c r="A76796" s="118"/>
      <c r="B76796" s="136"/>
    </row>
    <row r="76797" spans="1:2" x14ac:dyDescent="0.25">
      <c r="A76797" s="118"/>
      <c r="B76797" s="136"/>
    </row>
    <row r="76798" spans="1:2" x14ac:dyDescent="0.25">
      <c r="A76798" s="118"/>
      <c r="B76798" s="136"/>
    </row>
    <row r="76799" spans="1:2" x14ac:dyDescent="0.25">
      <c r="A76799" s="118"/>
      <c r="B76799" s="136"/>
    </row>
    <row r="76800" spans="1:2" x14ac:dyDescent="0.25">
      <c r="A76800" s="118"/>
      <c r="B76800" s="136"/>
    </row>
    <row r="76801" spans="1:2" x14ac:dyDescent="0.25">
      <c r="A76801" s="118"/>
      <c r="B76801" s="136"/>
    </row>
    <row r="76802" spans="1:2" x14ac:dyDescent="0.25">
      <c r="A76802" s="118"/>
      <c r="B76802" s="136"/>
    </row>
    <row r="76803" spans="1:2" x14ac:dyDescent="0.25">
      <c r="A76803" s="118"/>
      <c r="B76803" s="136"/>
    </row>
    <row r="76804" spans="1:2" x14ac:dyDescent="0.25">
      <c r="A76804" s="118"/>
      <c r="B76804" s="136"/>
    </row>
    <row r="76805" spans="1:2" x14ac:dyDescent="0.25">
      <c r="A76805" s="118"/>
      <c r="B76805" s="136"/>
    </row>
    <row r="76806" spans="1:2" x14ac:dyDescent="0.25">
      <c r="A76806" s="118"/>
      <c r="B76806" s="136"/>
    </row>
    <row r="76807" spans="1:2" x14ac:dyDescent="0.25">
      <c r="A76807" s="118"/>
      <c r="B76807" s="136"/>
    </row>
    <row r="76808" spans="1:2" x14ac:dyDescent="0.25">
      <c r="A76808" s="118"/>
      <c r="B76808" s="136"/>
    </row>
    <row r="76809" spans="1:2" x14ac:dyDescent="0.25">
      <c r="A76809" s="118"/>
      <c r="B76809" s="136"/>
    </row>
    <row r="76810" spans="1:2" x14ac:dyDescent="0.25">
      <c r="A76810" s="118"/>
      <c r="B76810" s="136"/>
    </row>
    <row r="76811" spans="1:2" x14ac:dyDescent="0.25">
      <c r="A76811" s="118"/>
      <c r="B76811" s="136"/>
    </row>
    <row r="76812" spans="1:2" x14ac:dyDescent="0.25">
      <c r="A76812" s="118"/>
      <c r="B76812" s="136"/>
    </row>
    <row r="76813" spans="1:2" x14ac:dyDescent="0.25">
      <c r="A76813" s="118"/>
      <c r="B76813" s="136"/>
    </row>
    <row r="76814" spans="1:2" x14ac:dyDescent="0.25">
      <c r="A76814" s="118"/>
      <c r="B76814" s="136"/>
    </row>
    <row r="76815" spans="1:2" x14ac:dyDescent="0.25">
      <c r="A76815" s="118"/>
      <c r="B76815" s="136"/>
    </row>
    <row r="76816" spans="1:2" x14ac:dyDescent="0.25">
      <c r="A76816" s="118"/>
      <c r="B76816" s="136"/>
    </row>
    <row r="76817" spans="1:2" x14ac:dyDescent="0.25">
      <c r="A76817" s="118"/>
      <c r="B76817" s="136"/>
    </row>
    <row r="76818" spans="1:2" x14ac:dyDescent="0.25">
      <c r="A76818" s="118"/>
      <c r="B76818" s="136"/>
    </row>
    <row r="76819" spans="1:2" x14ac:dyDescent="0.25">
      <c r="A76819" s="118"/>
      <c r="B76819" s="136"/>
    </row>
    <row r="76820" spans="1:2" x14ac:dyDescent="0.25">
      <c r="A76820" s="118"/>
      <c r="B76820" s="136"/>
    </row>
    <row r="76821" spans="1:2" x14ac:dyDescent="0.25">
      <c r="A76821" s="118"/>
      <c r="B76821" s="136"/>
    </row>
    <row r="76822" spans="1:2" x14ac:dyDescent="0.25">
      <c r="A76822" s="118"/>
      <c r="B76822" s="136"/>
    </row>
    <row r="76823" spans="1:2" x14ac:dyDescent="0.25">
      <c r="A76823" s="118"/>
      <c r="B76823" s="136"/>
    </row>
    <row r="76824" spans="1:2" x14ac:dyDescent="0.25">
      <c r="A76824" s="118"/>
      <c r="B76824" s="136"/>
    </row>
    <row r="76825" spans="1:2" x14ac:dyDescent="0.25">
      <c r="A76825" s="118"/>
      <c r="B76825" s="136"/>
    </row>
    <row r="76826" spans="1:2" x14ac:dyDescent="0.25">
      <c r="A76826" s="118"/>
      <c r="B76826" s="136"/>
    </row>
    <row r="76827" spans="1:2" x14ac:dyDescent="0.25">
      <c r="A76827" s="118"/>
      <c r="B76827" s="136"/>
    </row>
    <row r="76828" spans="1:2" x14ac:dyDescent="0.25">
      <c r="A76828" s="118"/>
      <c r="B76828" s="136"/>
    </row>
    <row r="76829" spans="1:2" x14ac:dyDescent="0.25">
      <c r="A76829" s="118"/>
      <c r="B76829" s="136"/>
    </row>
    <row r="76830" spans="1:2" x14ac:dyDescent="0.25">
      <c r="A76830" s="118"/>
      <c r="B76830" s="136"/>
    </row>
    <row r="76831" spans="1:2" x14ac:dyDescent="0.25">
      <c r="A76831" s="118"/>
      <c r="B76831" s="136"/>
    </row>
    <row r="76832" spans="1:2" x14ac:dyDescent="0.25">
      <c r="A76832" s="118"/>
      <c r="B76832" s="136"/>
    </row>
    <row r="76833" spans="1:2" x14ac:dyDescent="0.25">
      <c r="A76833" s="118"/>
      <c r="B76833" s="136"/>
    </row>
    <row r="76834" spans="1:2" x14ac:dyDescent="0.25">
      <c r="A76834" s="118"/>
      <c r="B76834" s="136"/>
    </row>
    <row r="76835" spans="1:2" x14ac:dyDescent="0.25">
      <c r="A76835" s="118"/>
      <c r="B76835" s="136"/>
    </row>
    <row r="76836" spans="1:2" x14ac:dyDescent="0.25">
      <c r="A76836" s="118"/>
      <c r="B76836" s="136"/>
    </row>
    <row r="76837" spans="1:2" x14ac:dyDescent="0.25">
      <c r="A76837" s="118"/>
      <c r="B76837" s="136"/>
    </row>
    <row r="76838" spans="1:2" x14ac:dyDescent="0.25">
      <c r="A76838" s="118"/>
      <c r="B76838" s="136"/>
    </row>
    <row r="76839" spans="1:2" x14ac:dyDescent="0.25">
      <c r="A76839" s="118"/>
      <c r="B76839" s="136"/>
    </row>
    <row r="76840" spans="1:2" x14ac:dyDescent="0.25">
      <c r="A76840" s="118"/>
      <c r="B76840" s="136"/>
    </row>
    <row r="76841" spans="1:2" x14ac:dyDescent="0.25">
      <c r="A76841" s="118"/>
      <c r="B76841" s="136"/>
    </row>
    <row r="76842" spans="1:2" x14ac:dyDescent="0.25">
      <c r="A76842" s="118"/>
      <c r="B76842" s="136"/>
    </row>
    <row r="76843" spans="1:2" x14ac:dyDescent="0.25">
      <c r="A76843" s="118"/>
      <c r="B76843" s="136"/>
    </row>
    <row r="76844" spans="1:2" x14ac:dyDescent="0.25">
      <c r="A76844" s="118"/>
      <c r="B76844" s="136"/>
    </row>
    <row r="76845" spans="1:2" x14ac:dyDescent="0.25">
      <c r="A76845" s="118"/>
      <c r="B76845" s="136"/>
    </row>
    <row r="76846" spans="1:2" x14ac:dyDescent="0.25">
      <c r="A76846" s="118"/>
      <c r="B76846" s="136"/>
    </row>
    <row r="76847" spans="1:2" x14ac:dyDescent="0.25">
      <c r="A76847" s="118"/>
      <c r="B76847" s="136"/>
    </row>
    <row r="76848" spans="1:2" x14ac:dyDescent="0.25">
      <c r="A76848" s="118"/>
      <c r="B76848" s="136"/>
    </row>
    <row r="76849" spans="1:2" x14ac:dyDescent="0.25">
      <c r="A76849" s="118"/>
      <c r="B76849" s="136"/>
    </row>
    <row r="76850" spans="1:2" x14ac:dyDescent="0.25">
      <c r="A76850" s="118"/>
      <c r="B76850" s="136"/>
    </row>
    <row r="76851" spans="1:2" x14ac:dyDescent="0.25">
      <c r="A76851" s="118"/>
      <c r="B76851" s="136"/>
    </row>
    <row r="76852" spans="1:2" x14ac:dyDescent="0.25">
      <c r="A76852" s="118"/>
      <c r="B76852" s="136"/>
    </row>
    <row r="76853" spans="1:2" x14ac:dyDescent="0.25">
      <c r="A76853" s="118"/>
      <c r="B76853" s="136"/>
    </row>
    <row r="76854" spans="1:2" x14ac:dyDescent="0.25">
      <c r="A76854" s="118"/>
      <c r="B76854" s="136"/>
    </row>
    <row r="76855" spans="1:2" x14ac:dyDescent="0.25">
      <c r="A76855" s="118"/>
      <c r="B76855" s="136"/>
    </row>
    <row r="76856" spans="1:2" x14ac:dyDescent="0.25">
      <c r="A76856" s="118"/>
      <c r="B76856" s="136"/>
    </row>
    <row r="76857" spans="1:2" x14ac:dyDescent="0.25">
      <c r="A76857" s="118"/>
      <c r="B76857" s="136"/>
    </row>
    <row r="76858" spans="1:2" x14ac:dyDescent="0.25">
      <c r="A76858" s="118"/>
      <c r="B76858" s="136"/>
    </row>
    <row r="76859" spans="1:2" x14ac:dyDescent="0.25">
      <c r="A76859" s="118"/>
      <c r="B76859" s="136"/>
    </row>
    <row r="76860" spans="1:2" x14ac:dyDescent="0.25">
      <c r="A76860" s="118"/>
      <c r="B76860" s="136"/>
    </row>
    <row r="76861" spans="1:2" x14ac:dyDescent="0.25">
      <c r="A76861" s="118"/>
      <c r="B76861" s="136"/>
    </row>
    <row r="76862" spans="1:2" x14ac:dyDescent="0.25">
      <c r="A76862" s="118"/>
      <c r="B76862" s="136"/>
    </row>
    <row r="76863" spans="1:2" x14ac:dyDescent="0.25">
      <c r="A76863" s="118"/>
      <c r="B76863" s="136"/>
    </row>
    <row r="76864" spans="1:2" x14ac:dyDescent="0.25">
      <c r="A76864" s="118"/>
      <c r="B76864" s="136"/>
    </row>
    <row r="76865" spans="1:2" x14ac:dyDescent="0.25">
      <c r="A76865" s="118"/>
      <c r="B76865" s="136"/>
    </row>
    <row r="76866" spans="1:2" x14ac:dyDescent="0.25">
      <c r="A76866" s="118"/>
      <c r="B76866" s="136"/>
    </row>
    <row r="76867" spans="1:2" x14ac:dyDescent="0.25">
      <c r="A76867" s="118"/>
      <c r="B76867" s="136"/>
    </row>
    <row r="76868" spans="1:2" x14ac:dyDescent="0.25">
      <c r="A76868" s="118"/>
      <c r="B76868" s="136"/>
    </row>
    <row r="76869" spans="1:2" x14ac:dyDescent="0.25">
      <c r="A76869" s="118"/>
      <c r="B76869" s="136"/>
    </row>
    <row r="76870" spans="1:2" x14ac:dyDescent="0.25">
      <c r="A76870" s="118"/>
      <c r="B76870" s="136"/>
    </row>
    <row r="76871" spans="1:2" x14ac:dyDescent="0.25">
      <c r="A76871" s="118"/>
      <c r="B76871" s="136"/>
    </row>
    <row r="76872" spans="1:2" x14ac:dyDescent="0.25">
      <c r="A76872" s="118"/>
      <c r="B76872" s="136"/>
    </row>
    <row r="76873" spans="1:2" x14ac:dyDescent="0.25">
      <c r="A76873" s="118"/>
      <c r="B76873" s="136"/>
    </row>
    <row r="76874" spans="1:2" x14ac:dyDescent="0.25">
      <c r="A76874" s="118"/>
      <c r="B76874" s="136"/>
    </row>
    <row r="76875" spans="1:2" x14ac:dyDescent="0.25">
      <c r="A76875" s="118"/>
      <c r="B76875" s="136"/>
    </row>
    <row r="76876" spans="1:2" x14ac:dyDescent="0.25">
      <c r="A76876" s="118"/>
      <c r="B76876" s="136"/>
    </row>
    <row r="76877" spans="1:2" x14ac:dyDescent="0.25">
      <c r="A76877" s="118"/>
      <c r="B76877" s="136"/>
    </row>
    <row r="76878" spans="1:2" x14ac:dyDescent="0.25">
      <c r="A76878" s="118"/>
      <c r="B76878" s="136"/>
    </row>
    <row r="76879" spans="1:2" x14ac:dyDescent="0.25">
      <c r="A76879" s="118"/>
      <c r="B76879" s="136"/>
    </row>
    <row r="76880" spans="1:2" x14ac:dyDescent="0.25">
      <c r="A76880" s="118"/>
      <c r="B76880" s="136"/>
    </row>
    <row r="76881" spans="1:2" x14ac:dyDescent="0.25">
      <c r="A76881" s="118"/>
      <c r="B76881" s="136"/>
    </row>
    <row r="76882" spans="1:2" x14ac:dyDescent="0.25">
      <c r="A76882" s="118"/>
      <c r="B76882" s="136"/>
    </row>
    <row r="76883" spans="1:2" x14ac:dyDescent="0.25">
      <c r="A76883" s="118"/>
      <c r="B76883" s="136"/>
    </row>
    <row r="76884" spans="1:2" x14ac:dyDescent="0.25">
      <c r="A76884" s="118"/>
      <c r="B76884" s="136"/>
    </row>
    <row r="76885" spans="1:2" x14ac:dyDescent="0.25">
      <c r="A76885" s="118"/>
      <c r="B76885" s="136"/>
    </row>
    <row r="76886" spans="1:2" x14ac:dyDescent="0.25">
      <c r="A76886" s="118"/>
      <c r="B76886" s="136"/>
    </row>
    <row r="76887" spans="1:2" x14ac:dyDescent="0.25">
      <c r="A76887" s="118"/>
      <c r="B76887" s="136"/>
    </row>
    <row r="76888" spans="1:2" x14ac:dyDescent="0.25">
      <c r="A76888" s="118"/>
      <c r="B76888" s="136"/>
    </row>
    <row r="76889" spans="1:2" x14ac:dyDescent="0.25">
      <c r="A76889" s="118"/>
      <c r="B76889" s="136"/>
    </row>
    <row r="76890" spans="1:2" x14ac:dyDescent="0.25">
      <c r="A76890" s="118"/>
      <c r="B76890" s="136"/>
    </row>
    <row r="76891" spans="1:2" x14ac:dyDescent="0.25">
      <c r="A76891" s="118"/>
      <c r="B76891" s="136"/>
    </row>
    <row r="76892" spans="1:2" x14ac:dyDescent="0.25">
      <c r="A76892" s="118"/>
      <c r="B76892" s="136"/>
    </row>
    <row r="76893" spans="1:2" x14ac:dyDescent="0.25">
      <c r="A76893" s="118"/>
      <c r="B76893" s="136"/>
    </row>
    <row r="76894" spans="1:2" x14ac:dyDescent="0.25">
      <c r="A76894" s="118"/>
      <c r="B76894" s="136"/>
    </row>
    <row r="76895" spans="1:2" x14ac:dyDescent="0.25">
      <c r="A76895" s="118"/>
      <c r="B76895" s="136"/>
    </row>
    <row r="76896" spans="1:2" x14ac:dyDescent="0.25">
      <c r="A76896" s="118"/>
      <c r="B76896" s="136"/>
    </row>
    <row r="76897" spans="1:2" x14ac:dyDescent="0.25">
      <c r="A76897" s="118"/>
      <c r="B76897" s="136"/>
    </row>
    <row r="76898" spans="1:2" x14ac:dyDescent="0.25">
      <c r="A76898" s="118"/>
      <c r="B76898" s="136"/>
    </row>
    <row r="76899" spans="1:2" x14ac:dyDescent="0.25">
      <c r="A76899" s="118"/>
      <c r="B76899" s="136"/>
    </row>
    <row r="76900" spans="1:2" x14ac:dyDescent="0.25">
      <c r="A76900" s="118"/>
      <c r="B76900" s="136"/>
    </row>
    <row r="76901" spans="1:2" x14ac:dyDescent="0.25">
      <c r="A76901" s="118"/>
      <c r="B76901" s="136"/>
    </row>
    <row r="76902" spans="1:2" x14ac:dyDescent="0.25">
      <c r="A76902" s="118"/>
      <c r="B76902" s="136"/>
    </row>
    <row r="76903" spans="1:2" x14ac:dyDescent="0.25">
      <c r="A76903" s="118"/>
      <c r="B76903" s="136"/>
    </row>
    <row r="76904" spans="1:2" x14ac:dyDescent="0.25">
      <c r="A76904" s="118"/>
      <c r="B76904" s="136"/>
    </row>
    <row r="76905" spans="1:2" x14ac:dyDescent="0.25">
      <c r="A76905" s="118"/>
      <c r="B76905" s="136"/>
    </row>
    <row r="76906" spans="1:2" x14ac:dyDescent="0.25">
      <c r="A76906" s="118"/>
      <c r="B76906" s="136"/>
    </row>
    <row r="76907" spans="1:2" x14ac:dyDescent="0.25">
      <c r="A76907" s="118"/>
      <c r="B76907" s="136"/>
    </row>
    <row r="76908" spans="1:2" x14ac:dyDescent="0.25">
      <c r="A76908" s="118"/>
      <c r="B76908" s="136"/>
    </row>
    <row r="76909" spans="1:2" x14ac:dyDescent="0.25">
      <c r="A76909" s="118"/>
      <c r="B76909" s="136"/>
    </row>
    <row r="76910" spans="1:2" x14ac:dyDescent="0.25">
      <c r="A76910" s="118"/>
      <c r="B76910" s="136"/>
    </row>
    <row r="76911" spans="1:2" x14ac:dyDescent="0.25">
      <c r="A76911" s="118"/>
      <c r="B76911" s="136"/>
    </row>
    <row r="76912" spans="1:2" x14ac:dyDescent="0.25">
      <c r="A76912" s="118"/>
      <c r="B76912" s="136"/>
    </row>
    <row r="76913" spans="1:2" x14ac:dyDescent="0.25">
      <c r="A76913" s="118"/>
      <c r="B76913" s="136"/>
    </row>
    <row r="76914" spans="1:2" x14ac:dyDescent="0.25">
      <c r="A76914" s="118"/>
      <c r="B76914" s="136"/>
    </row>
    <row r="76915" spans="1:2" x14ac:dyDescent="0.25">
      <c r="A76915" s="118"/>
      <c r="B76915" s="136"/>
    </row>
    <row r="76916" spans="1:2" x14ac:dyDescent="0.25">
      <c r="A76916" s="118"/>
      <c r="B76916" s="136"/>
    </row>
    <row r="76917" spans="1:2" x14ac:dyDescent="0.25">
      <c r="A76917" s="118"/>
      <c r="B76917" s="136"/>
    </row>
    <row r="76918" spans="1:2" x14ac:dyDescent="0.25">
      <c r="A76918" s="118"/>
      <c r="B76918" s="136"/>
    </row>
    <row r="76919" spans="1:2" x14ac:dyDescent="0.25">
      <c r="A76919" s="118"/>
      <c r="B76919" s="136"/>
    </row>
    <row r="76920" spans="1:2" x14ac:dyDescent="0.25">
      <c r="A76920" s="118"/>
      <c r="B76920" s="136"/>
    </row>
    <row r="76921" spans="1:2" x14ac:dyDescent="0.25">
      <c r="A76921" s="118"/>
      <c r="B76921" s="136"/>
    </row>
    <row r="76922" spans="1:2" x14ac:dyDescent="0.25">
      <c r="A76922" s="118"/>
      <c r="B76922" s="136"/>
    </row>
    <row r="76923" spans="1:2" x14ac:dyDescent="0.25">
      <c r="A76923" s="118"/>
      <c r="B76923" s="136"/>
    </row>
    <row r="76924" spans="1:2" x14ac:dyDescent="0.25">
      <c r="A76924" s="118"/>
      <c r="B76924" s="136"/>
    </row>
    <row r="76925" spans="1:2" x14ac:dyDescent="0.25">
      <c r="A76925" s="118"/>
      <c r="B76925" s="136"/>
    </row>
    <row r="76926" spans="1:2" x14ac:dyDescent="0.25">
      <c r="A76926" s="118"/>
      <c r="B76926" s="136"/>
    </row>
    <row r="76927" spans="1:2" x14ac:dyDescent="0.25">
      <c r="A76927" s="118"/>
      <c r="B76927" s="136"/>
    </row>
    <row r="76928" spans="1:2" x14ac:dyDescent="0.25">
      <c r="A76928" s="118"/>
      <c r="B76928" s="136"/>
    </row>
    <row r="76929" spans="1:2" x14ac:dyDescent="0.25">
      <c r="A76929" s="118"/>
      <c r="B76929" s="136"/>
    </row>
    <row r="76930" spans="1:2" x14ac:dyDescent="0.25">
      <c r="A76930" s="118"/>
      <c r="B76930" s="136"/>
    </row>
    <row r="76931" spans="1:2" x14ac:dyDescent="0.25">
      <c r="A76931" s="118"/>
      <c r="B76931" s="136"/>
    </row>
    <row r="76932" spans="1:2" x14ac:dyDescent="0.25">
      <c r="A76932" s="118"/>
      <c r="B76932" s="136"/>
    </row>
    <row r="76933" spans="1:2" x14ac:dyDescent="0.25">
      <c r="A76933" s="118"/>
      <c r="B76933" s="136"/>
    </row>
    <row r="76934" spans="1:2" x14ac:dyDescent="0.25">
      <c r="A76934" s="118"/>
      <c r="B76934" s="136"/>
    </row>
    <row r="76935" spans="1:2" x14ac:dyDescent="0.25">
      <c r="A76935" s="118"/>
      <c r="B76935" s="136"/>
    </row>
    <row r="76936" spans="1:2" x14ac:dyDescent="0.25">
      <c r="A76936" s="118"/>
      <c r="B76936" s="136"/>
    </row>
    <row r="76937" spans="1:2" x14ac:dyDescent="0.25">
      <c r="A76937" s="118"/>
      <c r="B76937" s="136"/>
    </row>
    <row r="76938" spans="1:2" x14ac:dyDescent="0.25">
      <c r="A76938" s="118"/>
      <c r="B76938" s="136"/>
    </row>
    <row r="76939" spans="1:2" x14ac:dyDescent="0.25">
      <c r="A76939" s="118"/>
      <c r="B76939" s="136"/>
    </row>
    <row r="76940" spans="1:2" x14ac:dyDescent="0.25">
      <c r="A76940" s="118"/>
      <c r="B76940" s="136"/>
    </row>
    <row r="76941" spans="1:2" x14ac:dyDescent="0.25">
      <c r="A76941" s="118"/>
      <c r="B76941" s="136"/>
    </row>
    <row r="76942" spans="1:2" x14ac:dyDescent="0.25">
      <c r="A76942" s="118"/>
      <c r="B76942" s="136"/>
    </row>
    <row r="76943" spans="1:2" x14ac:dyDescent="0.25">
      <c r="A76943" s="118"/>
      <c r="B76943" s="136"/>
    </row>
    <row r="76944" spans="1:2" x14ac:dyDescent="0.25">
      <c r="A76944" s="118"/>
      <c r="B76944" s="136"/>
    </row>
    <row r="76945" spans="1:2" x14ac:dyDescent="0.25">
      <c r="A76945" s="118"/>
      <c r="B76945" s="136"/>
    </row>
    <row r="76946" spans="1:2" x14ac:dyDescent="0.25">
      <c r="A76946" s="118"/>
      <c r="B76946" s="136"/>
    </row>
    <row r="76947" spans="1:2" x14ac:dyDescent="0.25">
      <c r="A76947" s="118"/>
      <c r="B76947" s="136"/>
    </row>
    <row r="76948" spans="1:2" x14ac:dyDescent="0.25">
      <c r="A76948" s="118"/>
      <c r="B76948" s="136"/>
    </row>
    <row r="76949" spans="1:2" x14ac:dyDescent="0.25">
      <c r="A76949" s="118"/>
      <c r="B76949" s="136"/>
    </row>
    <row r="76950" spans="1:2" x14ac:dyDescent="0.25">
      <c r="A76950" s="118"/>
      <c r="B76950" s="136"/>
    </row>
    <row r="76951" spans="1:2" x14ac:dyDescent="0.25">
      <c r="A76951" s="118"/>
      <c r="B76951" s="136"/>
    </row>
    <row r="76952" spans="1:2" x14ac:dyDescent="0.25">
      <c r="A76952" s="118"/>
      <c r="B76952" s="136"/>
    </row>
    <row r="76953" spans="1:2" x14ac:dyDescent="0.25">
      <c r="A76953" s="118"/>
      <c r="B76953" s="136"/>
    </row>
    <row r="76954" spans="1:2" x14ac:dyDescent="0.25">
      <c r="A76954" s="118"/>
      <c r="B76954" s="136"/>
    </row>
    <row r="76955" spans="1:2" x14ac:dyDescent="0.25">
      <c r="A76955" s="118"/>
      <c r="B76955" s="136"/>
    </row>
    <row r="76956" spans="1:2" x14ac:dyDescent="0.25">
      <c r="A76956" s="118"/>
      <c r="B76956" s="136"/>
    </row>
    <row r="76957" spans="1:2" x14ac:dyDescent="0.25">
      <c r="A76957" s="118"/>
      <c r="B76957" s="136"/>
    </row>
    <row r="76958" spans="1:2" x14ac:dyDescent="0.25">
      <c r="A76958" s="118"/>
      <c r="B76958" s="136"/>
    </row>
    <row r="76959" spans="1:2" x14ac:dyDescent="0.25">
      <c r="A76959" s="118"/>
      <c r="B76959" s="136"/>
    </row>
    <row r="76960" spans="1:2" x14ac:dyDescent="0.25">
      <c r="A76960" s="118"/>
      <c r="B76960" s="136"/>
    </row>
    <row r="76961" spans="1:2" x14ac:dyDescent="0.25">
      <c r="A76961" s="118"/>
      <c r="B76961" s="136"/>
    </row>
    <row r="76962" spans="1:2" x14ac:dyDescent="0.25">
      <c r="A76962" s="118"/>
      <c r="B76962" s="136"/>
    </row>
    <row r="76963" spans="1:2" x14ac:dyDescent="0.25">
      <c r="A76963" s="118"/>
      <c r="B76963" s="136"/>
    </row>
    <row r="76964" spans="1:2" x14ac:dyDescent="0.25">
      <c r="A76964" s="118"/>
      <c r="B76964" s="136"/>
    </row>
    <row r="76965" spans="1:2" x14ac:dyDescent="0.25">
      <c r="A76965" s="118"/>
      <c r="B76965" s="136"/>
    </row>
    <row r="76966" spans="1:2" x14ac:dyDescent="0.25">
      <c r="A76966" s="118"/>
      <c r="B76966" s="136"/>
    </row>
    <row r="76967" spans="1:2" x14ac:dyDescent="0.25">
      <c r="A76967" s="118"/>
      <c r="B76967" s="136"/>
    </row>
    <row r="76968" spans="1:2" x14ac:dyDescent="0.25">
      <c r="A76968" s="118"/>
      <c r="B76968" s="136"/>
    </row>
    <row r="76969" spans="1:2" x14ac:dyDescent="0.25">
      <c r="A76969" s="118"/>
      <c r="B76969" s="136"/>
    </row>
    <row r="76970" spans="1:2" x14ac:dyDescent="0.25">
      <c r="A76970" s="118"/>
      <c r="B76970" s="136"/>
    </row>
    <row r="76971" spans="1:2" x14ac:dyDescent="0.25">
      <c r="A76971" s="118"/>
      <c r="B76971" s="136"/>
    </row>
    <row r="76972" spans="1:2" x14ac:dyDescent="0.25">
      <c r="A76972" s="118"/>
      <c r="B76972" s="136"/>
    </row>
    <row r="76973" spans="1:2" x14ac:dyDescent="0.25">
      <c r="A76973" s="118"/>
      <c r="B76973" s="136"/>
    </row>
    <row r="76974" spans="1:2" x14ac:dyDescent="0.25">
      <c r="A76974" s="118"/>
      <c r="B76974" s="136"/>
    </row>
    <row r="76975" spans="1:2" x14ac:dyDescent="0.25">
      <c r="A76975" s="118"/>
      <c r="B76975" s="136"/>
    </row>
    <row r="76976" spans="1:2" x14ac:dyDescent="0.25">
      <c r="A76976" s="118"/>
      <c r="B76976" s="136"/>
    </row>
    <row r="76977" spans="1:2" x14ac:dyDescent="0.25">
      <c r="A76977" s="118"/>
      <c r="B76977" s="136"/>
    </row>
    <row r="76978" spans="1:2" x14ac:dyDescent="0.25">
      <c r="A76978" s="118"/>
      <c r="B76978" s="136"/>
    </row>
    <row r="76979" spans="1:2" x14ac:dyDescent="0.25">
      <c r="A76979" s="118"/>
      <c r="B76979" s="136"/>
    </row>
    <row r="76980" spans="1:2" x14ac:dyDescent="0.25">
      <c r="A76980" s="118"/>
      <c r="B76980" s="136"/>
    </row>
    <row r="76981" spans="1:2" x14ac:dyDescent="0.25">
      <c r="A76981" s="118"/>
      <c r="B76981" s="136"/>
    </row>
    <row r="76982" spans="1:2" x14ac:dyDescent="0.25">
      <c r="A76982" s="118"/>
      <c r="B76982" s="136"/>
    </row>
    <row r="76983" spans="1:2" x14ac:dyDescent="0.25">
      <c r="A76983" s="118"/>
      <c r="B76983" s="136"/>
    </row>
    <row r="76984" spans="1:2" x14ac:dyDescent="0.25">
      <c r="A76984" s="118"/>
      <c r="B76984" s="136"/>
    </row>
    <row r="76985" spans="1:2" x14ac:dyDescent="0.25">
      <c r="A76985" s="118"/>
      <c r="B76985" s="136"/>
    </row>
    <row r="76986" spans="1:2" x14ac:dyDescent="0.25">
      <c r="A76986" s="118"/>
      <c r="B76986" s="136"/>
    </row>
    <row r="76987" spans="1:2" x14ac:dyDescent="0.25">
      <c r="A76987" s="118"/>
      <c r="B76987" s="136"/>
    </row>
    <row r="76988" spans="1:2" x14ac:dyDescent="0.25">
      <c r="A76988" s="118"/>
      <c r="B76988" s="136"/>
    </row>
    <row r="76989" spans="1:2" x14ac:dyDescent="0.25">
      <c r="A76989" s="118"/>
      <c r="B76989" s="136"/>
    </row>
    <row r="76990" spans="1:2" x14ac:dyDescent="0.25">
      <c r="A76990" s="118"/>
      <c r="B76990" s="136"/>
    </row>
    <row r="76991" spans="1:2" x14ac:dyDescent="0.25">
      <c r="A76991" s="118"/>
      <c r="B76991" s="136"/>
    </row>
    <row r="76992" spans="1:2" x14ac:dyDescent="0.25">
      <c r="A76992" s="118"/>
      <c r="B76992" s="136"/>
    </row>
    <row r="76993" spans="1:2" x14ac:dyDescent="0.25">
      <c r="A76993" s="118"/>
      <c r="B76993" s="136"/>
    </row>
    <row r="76994" spans="1:2" x14ac:dyDescent="0.25">
      <c r="A76994" s="118"/>
      <c r="B76994" s="136"/>
    </row>
    <row r="76995" spans="1:2" x14ac:dyDescent="0.25">
      <c r="A76995" s="118"/>
      <c r="B76995" s="136"/>
    </row>
    <row r="76996" spans="1:2" x14ac:dyDescent="0.25">
      <c r="A76996" s="118"/>
      <c r="B76996" s="136"/>
    </row>
    <row r="76997" spans="1:2" x14ac:dyDescent="0.25">
      <c r="A76997" s="118"/>
      <c r="B76997" s="136"/>
    </row>
    <row r="76998" spans="1:2" x14ac:dyDescent="0.25">
      <c r="A76998" s="118"/>
      <c r="B76998" s="136"/>
    </row>
    <row r="76999" spans="1:2" x14ac:dyDescent="0.25">
      <c r="A76999" s="118"/>
      <c r="B76999" s="136"/>
    </row>
    <row r="77000" spans="1:2" x14ac:dyDescent="0.25">
      <c r="A77000" s="118"/>
      <c r="B77000" s="136"/>
    </row>
    <row r="77001" spans="1:2" x14ac:dyDescent="0.25">
      <c r="A77001" s="118"/>
      <c r="B77001" s="136"/>
    </row>
    <row r="77002" spans="1:2" x14ac:dyDescent="0.25">
      <c r="A77002" s="118"/>
      <c r="B77002" s="136"/>
    </row>
    <row r="77003" spans="1:2" x14ac:dyDescent="0.25">
      <c r="A77003" s="118"/>
      <c r="B77003" s="136"/>
    </row>
    <row r="77004" spans="1:2" x14ac:dyDescent="0.25">
      <c r="A77004" s="118"/>
      <c r="B77004" s="136"/>
    </row>
    <row r="77005" spans="1:2" x14ac:dyDescent="0.25">
      <c r="A77005" s="118"/>
      <c r="B77005" s="136"/>
    </row>
    <row r="77006" spans="1:2" x14ac:dyDescent="0.25">
      <c r="A77006" s="118"/>
      <c r="B77006" s="136"/>
    </row>
    <row r="77007" spans="1:2" x14ac:dyDescent="0.25">
      <c r="A77007" s="118"/>
      <c r="B77007" s="136"/>
    </row>
    <row r="77008" spans="1:2" x14ac:dyDescent="0.25">
      <c r="A77008" s="118"/>
      <c r="B77008" s="136"/>
    </row>
    <row r="77009" spans="1:2" x14ac:dyDescent="0.25">
      <c r="A77009" s="118"/>
      <c r="B77009" s="136"/>
    </row>
    <row r="77010" spans="1:2" x14ac:dyDescent="0.25">
      <c r="A77010" s="118"/>
      <c r="B77010" s="136"/>
    </row>
    <row r="77011" spans="1:2" x14ac:dyDescent="0.25">
      <c r="A77011" s="118"/>
      <c r="B77011" s="136"/>
    </row>
    <row r="77012" spans="1:2" x14ac:dyDescent="0.25">
      <c r="A77012" s="118"/>
      <c r="B77012" s="136"/>
    </row>
    <row r="77013" spans="1:2" x14ac:dyDescent="0.25">
      <c r="A77013" s="118"/>
      <c r="B77013" s="136"/>
    </row>
    <row r="77014" spans="1:2" x14ac:dyDescent="0.25">
      <c r="A77014" s="118"/>
      <c r="B77014" s="136"/>
    </row>
    <row r="77015" spans="1:2" x14ac:dyDescent="0.25">
      <c r="A77015" s="118"/>
      <c r="B77015" s="136"/>
    </row>
    <row r="77016" spans="1:2" x14ac:dyDescent="0.25">
      <c r="A77016" s="118"/>
      <c r="B77016" s="136"/>
    </row>
    <row r="77017" spans="1:2" x14ac:dyDescent="0.25">
      <c r="A77017" s="118"/>
      <c r="B77017" s="136"/>
    </row>
    <row r="77018" spans="1:2" x14ac:dyDescent="0.25">
      <c r="A77018" s="118"/>
      <c r="B77018" s="136"/>
    </row>
    <row r="77019" spans="1:2" x14ac:dyDescent="0.25">
      <c r="A77019" s="118"/>
      <c r="B77019" s="136"/>
    </row>
    <row r="77020" spans="1:2" x14ac:dyDescent="0.25">
      <c r="A77020" s="118"/>
      <c r="B77020" s="136"/>
    </row>
    <row r="77021" spans="1:2" x14ac:dyDescent="0.25">
      <c r="A77021" s="118"/>
      <c r="B77021" s="136"/>
    </row>
    <row r="77022" spans="1:2" x14ac:dyDescent="0.25">
      <c r="A77022" s="118"/>
      <c r="B77022" s="136"/>
    </row>
    <row r="77023" spans="1:2" x14ac:dyDescent="0.25">
      <c r="A77023" s="118"/>
      <c r="B77023" s="136"/>
    </row>
    <row r="77024" spans="1:2" x14ac:dyDescent="0.25">
      <c r="A77024" s="118"/>
      <c r="B77024" s="136"/>
    </row>
    <row r="77025" spans="1:2" x14ac:dyDescent="0.25">
      <c r="A77025" s="118"/>
      <c r="B77025" s="136"/>
    </row>
    <row r="77026" spans="1:2" x14ac:dyDescent="0.25">
      <c r="A77026" s="118"/>
      <c r="B77026" s="136"/>
    </row>
    <row r="77027" spans="1:2" x14ac:dyDescent="0.25">
      <c r="A77027" s="118"/>
      <c r="B77027" s="136"/>
    </row>
    <row r="77028" spans="1:2" x14ac:dyDescent="0.25">
      <c r="A77028" s="118"/>
      <c r="B77028" s="136"/>
    </row>
    <row r="77029" spans="1:2" x14ac:dyDescent="0.25">
      <c r="A77029" s="118"/>
      <c r="B77029" s="136"/>
    </row>
    <row r="77030" spans="1:2" x14ac:dyDescent="0.25">
      <c r="A77030" s="118"/>
      <c r="B77030" s="136"/>
    </row>
    <row r="77031" spans="1:2" x14ac:dyDescent="0.25">
      <c r="A77031" s="118"/>
      <c r="B77031" s="136"/>
    </row>
    <row r="77032" spans="1:2" x14ac:dyDescent="0.25">
      <c r="A77032" s="118"/>
      <c r="B77032" s="136"/>
    </row>
    <row r="77033" spans="1:2" x14ac:dyDescent="0.25">
      <c r="A77033" s="118"/>
      <c r="B77033" s="136"/>
    </row>
    <row r="77034" spans="1:2" x14ac:dyDescent="0.25">
      <c r="A77034" s="118"/>
      <c r="B77034" s="136"/>
    </row>
    <row r="77035" spans="1:2" x14ac:dyDescent="0.25">
      <c r="A77035" s="118"/>
      <c r="B77035" s="136"/>
    </row>
    <row r="77036" spans="1:2" x14ac:dyDescent="0.25">
      <c r="A77036" s="118"/>
      <c r="B77036" s="136"/>
    </row>
    <row r="77037" spans="1:2" x14ac:dyDescent="0.25">
      <c r="A77037" s="118"/>
      <c r="B77037" s="136"/>
    </row>
    <row r="77038" spans="1:2" x14ac:dyDescent="0.25">
      <c r="A77038" s="118"/>
      <c r="B77038" s="136"/>
    </row>
    <row r="77039" spans="1:2" x14ac:dyDescent="0.25">
      <c r="A77039" s="118"/>
      <c r="B77039" s="136"/>
    </row>
    <row r="77040" spans="1:2" x14ac:dyDescent="0.25">
      <c r="A77040" s="118"/>
      <c r="B77040" s="136"/>
    </row>
    <row r="77041" spans="1:2" x14ac:dyDescent="0.25">
      <c r="A77041" s="118"/>
      <c r="B77041" s="136"/>
    </row>
    <row r="77042" spans="1:2" x14ac:dyDescent="0.25">
      <c r="A77042" s="118"/>
      <c r="B77042" s="136"/>
    </row>
    <row r="77043" spans="1:2" x14ac:dyDescent="0.25">
      <c r="A77043" s="118"/>
      <c r="B77043" s="136"/>
    </row>
    <row r="77044" spans="1:2" x14ac:dyDescent="0.25">
      <c r="A77044" s="118"/>
      <c r="B77044" s="136"/>
    </row>
    <row r="77045" spans="1:2" x14ac:dyDescent="0.25">
      <c r="A77045" s="118"/>
      <c r="B77045" s="136"/>
    </row>
    <row r="77046" spans="1:2" x14ac:dyDescent="0.25">
      <c r="A77046" s="118"/>
      <c r="B77046" s="136"/>
    </row>
    <row r="77047" spans="1:2" x14ac:dyDescent="0.25">
      <c r="A77047" s="118"/>
      <c r="B77047" s="136"/>
    </row>
    <row r="77048" spans="1:2" x14ac:dyDescent="0.25">
      <c r="A77048" s="118"/>
      <c r="B77048" s="136"/>
    </row>
    <row r="77049" spans="1:2" x14ac:dyDescent="0.25">
      <c r="A77049" s="118"/>
      <c r="B77049" s="136"/>
    </row>
    <row r="77050" spans="1:2" x14ac:dyDescent="0.25">
      <c r="A77050" s="118"/>
      <c r="B77050" s="136"/>
    </row>
    <row r="77051" spans="1:2" x14ac:dyDescent="0.25">
      <c r="A77051" s="118"/>
      <c r="B77051" s="136"/>
    </row>
    <row r="77052" spans="1:2" x14ac:dyDescent="0.25">
      <c r="A77052" s="118"/>
      <c r="B77052" s="136"/>
    </row>
    <row r="77053" spans="1:2" x14ac:dyDescent="0.25">
      <c r="A77053" s="118"/>
      <c r="B77053" s="136"/>
    </row>
    <row r="77054" spans="1:2" x14ac:dyDescent="0.25">
      <c r="A77054" s="118"/>
      <c r="B77054" s="136"/>
    </row>
    <row r="77055" spans="1:2" x14ac:dyDescent="0.25">
      <c r="A77055" s="118"/>
      <c r="B77055" s="136"/>
    </row>
    <row r="77056" spans="1:2" x14ac:dyDescent="0.25">
      <c r="A77056" s="118"/>
      <c r="B77056" s="136"/>
    </row>
    <row r="77057" spans="1:2" x14ac:dyDescent="0.25">
      <c r="A77057" s="118"/>
      <c r="B77057" s="136"/>
    </row>
    <row r="77058" spans="1:2" x14ac:dyDescent="0.25">
      <c r="A77058" s="118"/>
      <c r="B77058" s="136"/>
    </row>
    <row r="77059" spans="1:2" x14ac:dyDescent="0.25">
      <c r="A77059" s="118"/>
      <c r="B77059" s="136"/>
    </row>
    <row r="77060" spans="1:2" x14ac:dyDescent="0.25">
      <c r="A77060" s="118"/>
      <c r="B77060" s="136"/>
    </row>
    <row r="77061" spans="1:2" x14ac:dyDescent="0.25">
      <c r="A77061" s="118"/>
      <c r="B77061" s="136"/>
    </row>
    <row r="77062" spans="1:2" x14ac:dyDescent="0.25">
      <c r="A77062" s="118"/>
      <c r="B77062" s="136"/>
    </row>
    <row r="77063" spans="1:2" x14ac:dyDescent="0.25">
      <c r="A77063" s="118"/>
      <c r="B77063" s="136"/>
    </row>
    <row r="77064" spans="1:2" x14ac:dyDescent="0.25">
      <c r="A77064" s="118"/>
      <c r="B77064" s="136"/>
    </row>
    <row r="77065" spans="1:2" x14ac:dyDescent="0.25">
      <c r="A77065" s="118"/>
      <c r="B77065" s="136"/>
    </row>
    <row r="77066" spans="1:2" x14ac:dyDescent="0.25">
      <c r="A77066" s="118"/>
      <c r="B77066" s="136"/>
    </row>
    <row r="77067" spans="1:2" x14ac:dyDescent="0.25">
      <c r="A77067" s="118"/>
      <c r="B77067" s="136"/>
    </row>
    <row r="77068" spans="1:2" x14ac:dyDescent="0.25">
      <c r="A77068" s="118"/>
      <c r="B77068" s="136"/>
    </row>
    <row r="77069" spans="1:2" x14ac:dyDescent="0.25">
      <c r="A77069" s="118"/>
      <c r="B77069" s="136"/>
    </row>
    <row r="77070" spans="1:2" x14ac:dyDescent="0.25">
      <c r="A77070" s="118"/>
      <c r="B77070" s="136"/>
    </row>
    <row r="77071" spans="1:2" x14ac:dyDescent="0.25">
      <c r="A77071" s="118"/>
      <c r="B77071" s="136"/>
    </row>
    <row r="77072" spans="1:2" x14ac:dyDescent="0.25">
      <c r="A77072" s="118"/>
      <c r="B77072" s="136"/>
    </row>
    <row r="77073" spans="1:2" x14ac:dyDescent="0.25">
      <c r="A77073" s="118"/>
      <c r="B77073" s="136"/>
    </row>
    <row r="77074" spans="1:2" x14ac:dyDescent="0.25">
      <c r="A77074" s="118"/>
      <c r="B77074" s="136"/>
    </row>
    <row r="77075" spans="1:2" x14ac:dyDescent="0.25">
      <c r="A77075" s="118"/>
      <c r="B77075" s="136"/>
    </row>
    <row r="77076" spans="1:2" x14ac:dyDescent="0.25">
      <c r="A77076" s="118"/>
      <c r="B77076" s="136"/>
    </row>
    <row r="77077" spans="1:2" x14ac:dyDescent="0.25">
      <c r="A77077" s="118"/>
      <c r="B77077" s="136"/>
    </row>
    <row r="77078" spans="1:2" x14ac:dyDescent="0.25">
      <c r="A77078" s="118"/>
      <c r="B77078" s="136"/>
    </row>
    <row r="77079" spans="1:2" x14ac:dyDescent="0.25">
      <c r="A77079" s="118"/>
      <c r="B77079" s="136"/>
    </row>
    <row r="77080" spans="1:2" x14ac:dyDescent="0.25">
      <c r="A77080" s="118"/>
      <c r="B77080" s="136"/>
    </row>
    <row r="77081" spans="1:2" x14ac:dyDescent="0.25">
      <c r="A77081" s="118"/>
      <c r="B77081" s="136"/>
    </row>
    <row r="77082" spans="1:2" x14ac:dyDescent="0.25">
      <c r="A77082" s="118"/>
      <c r="B77082" s="136"/>
    </row>
    <row r="77083" spans="1:2" x14ac:dyDescent="0.25">
      <c r="A77083" s="118"/>
      <c r="B77083" s="136"/>
    </row>
    <row r="77084" spans="1:2" x14ac:dyDescent="0.25">
      <c r="A77084" s="118"/>
      <c r="B77084" s="136"/>
    </row>
    <row r="77085" spans="1:2" x14ac:dyDescent="0.25">
      <c r="A77085" s="118"/>
      <c r="B77085" s="136"/>
    </row>
    <row r="77086" spans="1:2" x14ac:dyDescent="0.25">
      <c r="A77086" s="118"/>
      <c r="B77086" s="136"/>
    </row>
    <row r="77087" spans="1:2" x14ac:dyDescent="0.25">
      <c r="A77087" s="118"/>
      <c r="B77087" s="136"/>
    </row>
    <row r="77088" spans="1:2" x14ac:dyDescent="0.25">
      <c r="A77088" s="118"/>
      <c r="B77088" s="136"/>
    </row>
    <row r="77089" spans="1:2" x14ac:dyDescent="0.25">
      <c r="A77089" s="118"/>
      <c r="B77089" s="136"/>
    </row>
    <row r="77090" spans="1:2" x14ac:dyDescent="0.25">
      <c r="A77090" s="118"/>
      <c r="B77090" s="136"/>
    </row>
    <row r="77091" spans="1:2" x14ac:dyDescent="0.25">
      <c r="A77091" s="118"/>
      <c r="B77091" s="136"/>
    </row>
    <row r="77092" spans="1:2" x14ac:dyDescent="0.25">
      <c r="A77092" s="118"/>
      <c r="B77092" s="136"/>
    </row>
    <row r="77093" spans="1:2" x14ac:dyDescent="0.25">
      <c r="A77093" s="118"/>
      <c r="B77093" s="136"/>
    </row>
    <row r="77094" spans="1:2" x14ac:dyDescent="0.25">
      <c r="A77094" s="118"/>
      <c r="B77094" s="136"/>
    </row>
    <row r="77095" spans="1:2" x14ac:dyDescent="0.25">
      <c r="A77095" s="118"/>
      <c r="B77095" s="136"/>
    </row>
    <row r="77096" spans="1:2" x14ac:dyDescent="0.25">
      <c r="A77096" s="118"/>
      <c r="B77096" s="136"/>
    </row>
    <row r="77097" spans="1:2" x14ac:dyDescent="0.25">
      <c r="A77097" s="118"/>
      <c r="B77097" s="136"/>
    </row>
    <row r="77098" spans="1:2" x14ac:dyDescent="0.25">
      <c r="A77098" s="118"/>
      <c r="B77098" s="136"/>
    </row>
    <row r="77099" spans="1:2" x14ac:dyDescent="0.25">
      <c r="A77099" s="118"/>
      <c r="B77099" s="136"/>
    </row>
    <row r="77100" spans="1:2" x14ac:dyDescent="0.25">
      <c r="A77100" s="118"/>
      <c r="B77100" s="136"/>
    </row>
    <row r="77101" spans="1:2" x14ac:dyDescent="0.25">
      <c r="A77101" s="118"/>
      <c r="B77101" s="136"/>
    </row>
    <row r="77102" spans="1:2" x14ac:dyDescent="0.25">
      <c r="A77102" s="118"/>
      <c r="B77102" s="136"/>
    </row>
    <row r="77103" spans="1:2" x14ac:dyDescent="0.25">
      <c r="A77103" s="118"/>
      <c r="B77103" s="136"/>
    </row>
    <row r="77104" spans="1:2" x14ac:dyDescent="0.25">
      <c r="A77104" s="118"/>
      <c r="B77104" s="136"/>
    </row>
    <row r="77105" spans="1:2" x14ac:dyDescent="0.25">
      <c r="A77105" s="118"/>
      <c r="B77105" s="136"/>
    </row>
    <row r="77106" spans="1:2" x14ac:dyDescent="0.25">
      <c r="A77106" s="118"/>
      <c r="B77106" s="136"/>
    </row>
    <row r="77107" spans="1:2" x14ac:dyDescent="0.25">
      <c r="A77107" s="118"/>
      <c r="B77107" s="136"/>
    </row>
    <row r="77108" spans="1:2" x14ac:dyDescent="0.25">
      <c r="A77108" s="118"/>
      <c r="B77108" s="136"/>
    </row>
    <row r="77109" spans="1:2" x14ac:dyDescent="0.25">
      <c r="A77109" s="118"/>
      <c r="B77109" s="136"/>
    </row>
    <row r="77110" spans="1:2" x14ac:dyDescent="0.25">
      <c r="A77110" s="118"/>
      <c r="B77110" s="136"/>
    </row>
    <row r="77111" spans="1:2" x14ac:dyDescent="0.25">
      <c r="A77111" s="118"/>
      <c r="B77111" s="136"/>
    </row>
    <row r="77112" spans="1:2" x14ac:dyDescent="0.25">
      <c r="A77112" s="118"/>
      <c r="B77112" s="136"/>
    </row>
    <row r="77113" spans="1:2" x14ac:dyDescent="0.25">
      <c r="A77113" s="118"/>
      <c r="B77113" s="136"/>
    </row>
    <row r="77114" spans="1:2" x14ac:dyDescent="0.25">
      <c r="A77114" s="118"/>
      <c r="B77114" s="136"/>
    </row>
    <row r="77115" spans="1:2" x14ac:dyDescent="0.25">
      <c r="A77115" s="118"/>
      <c r="B77115" s="136"/>
    </row>
    <row r="77116" spans="1:2" x14ac:dyDescent="0.25">
      <c r="A77116" s="118"/>
      <c r="B77116" s="136"/>
    </row>
    <row r="77117" spans="1:2" x14ac:dyDescent="0.25">
      <c r="A77117" s="118"/>
      <c r="B77117" s="136"/>
    </row>
    <row r="77118" spans="1:2" x14ac:dyDescent="0.25">
      <c r="A77118" s="118"/>
      <c r="B77118" s="136"/>
    </row>
    <row r="77119" spans="1:2" x14ac:dyDescent="0.25">
      <c r="A77119" s="118"/>
      <c r="B77119" s="136"/>
    </row>
    <row r="77120" spans="1:2" x14ac:dyDescent="0.25">
      <c r="A77120" s="118"/>
      <c r="B77120" s="136"/>
    </row>
    <row r="77121" spans="1:2" x14ac:dyDescent="0.25">
      <c r="A77121" s="118"/>
      <c r="B77121" s="136"/>
    </row>
    <row r="77122" spans="1:2" x14ac:dyDescent="0.25">
      <c r="A77122" s="118"/>
      <c r="B77122" s="136"/>
    </row>
    <row r="77123" spans="1:2" x14ac:dyDescent="0.25">
      <c r="A77123" s="118"/>
      <c r="B77123" s="136"/>
    </row>
    <row r="77124" spans="1:2" x14ac:dyDescent="0.25">
      <c r="A77124" s="118"/>
      <c r="B77124" s="136"/>
    </row>
    <row r="77125" spans="1:2" x14ac:dyDescent="0.25">
      <c r="A77125" s="118"/>
      <c r="B77125" s="136"/>
    </row>
    <row r="77126" spans="1:2" x14ac:dyDescent="0.25">
      <c r="A77126" s="118"/>
      <c r="B77126" s="136"/>
    </row>
    <row r="77127" spans="1:2" x14ac:dyDescent="0.25">
      <c r="A77127" s="118"/>
      <c r="B77127" s="136"/>
    </row>
    <row r="77128" spans="1:2" x14ac:dyDescent="0.25">
      <c r="A77128" s="118"/>
      <c r="B77128" s="136"/>
    </row>
    <row r="77129" spans="1:2" x14ac:dyDescent="0.25">
      <c r="A77129" s="118"/>
      <c r="B77129" s="136"/>
    </row>
    <row r="77130" spans="1:2" x14ac:dyDescent="0.25">
      <c r="A77130" s="118"/>
      <c r="B77130" s="136"/>
    </row>
    <row r="77131" spans="1:2" x14ac:dyDescent="0.25">
      <c r="A77131" s="118"/>
      <c r="B77131" s="136"/>
    </row>
    <row r="77132" spans="1:2" x14ac:dyDescent="0.25">
      <c r="A77132" s="118"/>
      <c r="B77132" s="136"/>
    </row>
    <row r="77133" spans="1:2" x14ac:dyDescent="0.25">
      <c r="A77133" s="118"/>
      <c r="B77133" s="136"/>
    </row>
    <row r="77134" spans="1:2" x14ac:dyDescent="0.25">
      <c r="A77134" s="118"/>
      <c r="B77134" s="136"/>
    </row>
    <row r="77135" spans="1:2" x14ac:dyDescent="0.25">
      <c r="A77135" s="118"/>
      <c r="B77135" s="136"/>
    </row>
    <row r="77136" spans="1:2" x14ac:dyDescent="0.25">
      <c r="A77136" s="118"/>
      <c r="B77136" s="136"/>
    </row>
    <row r="77137" spans="1:2" x14ac:dyDescent="0.25">
      <c r="A77137" s="118"/>
      <c r="B77137" s="136"/>
    </row>
    <row r="77138" spans="1:2" x14ac:dyDescent="0.25">
      <c r="A77138" s="118"/>
      <c r="B77138" s="136"/>
    </row>
    <row r="77139" spans="1:2" x14ac:dyDescent="0.25">
      <c r="A77139" s="118"/>
      <c r="B77139" s="136"/>
    </row>
    <row r="77140" spans="1:2" x14ac:dyDescent="0.25">
      <c r="A77140" s="118"/>
      <c r="B77140" s="136"/>
    </row>
    <row r="77141" spans="1:2" x14ac:dyDescent="0.25">
      <c r="A77141" s="118"/>
      <c r="B77141" s="136"/>
    </row>
    <row r="77142" spans="1:2" x14ac:dyDescent="0.25">
      <c r="A77142" s="118"/>
      <c r="B77142" s="136"/>
    </row>
    <row r="77143" spans="1:2" x14ac:dyDescent="0.25">
      <c r="A77143" s="118"/>
      <c r="B77143" s="136"/>
    </row>
    <row r="77144" spans="1:2" x14ac:dyDescent="0.25">
      <c r="A77144" s="118"/>
      <c r="B77144" s="136"/>
    </row>
    <row r="77145" spans="1:2" x14ac:dyDescent="0.25">
      <c r="A77145" s="118"/>
      <c r="B77145" s="136"/>
    </row>
    <row r="77146" spans="1:2" x14ac:dyDescent="0.25">
      <c r="A77146" s="118"/>
      <c r="B77146" s="136"/>
    </row>
    <row r="77147" spans="1:2" x14ac:dyDescent="0.25">
      <c r="A77147" s="118"/>
      <c r="B77147" s="136"/>
    </row>
    <row r="77148" spans="1:2" x14ac:dyDescent="0.25">
      <c r="A77148" s="118"/>
      <c r="B77148" s="136"/>
    </row>
    <row r="77149" spans="1:2" x14ac:dyDescent="0.25">
      <c r="A77149" s="118"/>
      <c r="B77149" s="136"/>
    </row>
    <row r="77150" spans="1:2" x14ac:dyDescent="0.25">
      <c r="A77150" s="118"/>
      <c r="B77150" s="136"/>
    </row>
    <row r="77151" spans="1:2" x14ac:dyDescent="0.25">
      <c r="A77151" s="118"/>
      <c r="B77151" s="136"/>
    </row>
    <row r="77152" spans="1:2" x14ac:dyDescent="0.25">
      <c r="A77152" s="118"/>
      <c r="B77152" s="136"/>
    </row>
    <row r="77153" spans="1:2" x14ac:dyDescent="0.25">
      <c r="A77153" s="118"/>
      <c r="B77153" s="136"/>
    </row>
    <row r="77154" spans="1:2" x14ac:dyDescent="0.25">
      <c r="A77154" s="118"/>
      <c r="B77154" s="136"/>
    </row>
    <row r="77155" spans="1:2" x14ac:dyDescent="0.25">
      <c r="A77155" s="118"/>
      <c r="B77155" s="136"/>
    </row>
    <row r="77156" spans="1:2" x14ac:dyDescent="0.25">
      <c r="A77156" s="118"/>
      <c r="B77156" s="136"/>
    </row>
    <row r="77157" spans="1:2" x14ac:dyDescent="0.25">
      <c r="A77157" s="118"/>
      <c r="B77157" s="136"/>
    </row>
    <row r="77158" spans="1:2" x14ac:dyDescent="0.25">
      <c r="A77158" s="118"/>
      <c r="B77158" s="136"/>
    </row>
    <row r="77159" spans="1:2" x14ac:dyDescent="0.25">
      <c r="A77159" s="118"/>
      <c r="B77159" s="136"/>
    </row>
    <row r="77160" spans="1:2" x14ac:dyDescent="0.25">
      <c r="A77160" s="118"/>
      <c r="B77160" s="136"/>
    </row>
    <row r="77161" spans="1:2" x14ac:dyDescent="0.25">
      <c r="A77161" s="118"/>
      <c r="B77161" s="136"/>
    </row>
    <row r="77162" spans="1:2" x14ac:dyDescent="0.25">
      <c r="A77162" s="118"/>
      <c r="B77162" s="136"/>
    </row>
    <row r="77163" spans="1:2" x14ac:dyDescent="0.25">
      <c r="A77163" s="118"/>
      <c r="B77163" s="136"/>
    </row>
    <row r="77164" spans="1:2" x14ac:dyDescent="0.25">
      <c r="A77164" s="118"/>
      <c r="B77164" s="136"/>
    </row>
    <row r="77165" spans="1:2" x14ac:dyDescent="0.25">
      <c r="A77165" s="118"/>
      <c r="B77165" s="136"/>
    </row>
    <row r="77166" spans="1:2" x14ac:dyDescent="0.25">
      <c r="A77166" s="118"/>
      <c r="B77166" s="136"/>
    </row>
    <row r="77167" spans="1:2" x14ac:dyDescent="0.25">
      <c r="A77167" s="118"/>
      <c r="B77167" s="136"/>
    </row>
    <row r="77168" spans="1:2" x14ac:dyDescent="0.25">
      <c r="A77168" s="118"/>
      <c r="B77168" s="136"/>
    </row>
    <row r="77169" spans="1:2" x14ac:dyDescent="0.25">
      <c r="A77169" s="118"/>
      <c r="B77169" s="136"/>
    </row>
    <row r="77170" spans="1:2" x14ac:dyDescent="0.25">
      <c r="A77170" s="118"/>
      <c r="B77170" s="136"/>
    </row>
    <row r="77171" spans="1:2" x14ac:dyDescent="0.25">
      <c r="A77171" s="118"/>
      <c r="B77171" s="136"/>
    </row>
    <row r="77172" spans="1:2" x14ac:dyDescent="0.25">
      <c r="A77172" s="118"/>
      <c r="B77172" s="136"/>
    </row>
    <row r="77173" spans="1:2" x14ac:dyDescent="0.25">
      <c r="A77173" s="118"/>
      <c r="B77173" s="136"/>
    </row>
    <row r="77174" spans="1:2" x14ac:dyDescent="0.25">
      <c r="A77174" s="118"/>
      <c r="B77174" s="136"/>
    </row>
    <row r="77175" spans="1:2" x14ac:dyDescent="0.25">
      <c r="A77175" s="118"/>
      <c r="B77175" s="136"/>
    </row>
    <row r="77176" spans="1:2" x14ac:dyDescent="0.25">
      <c r="A77176" s="118"/>
      <c r="B77176" s="136"/>
    </row>
    <row r="77177" spans="1:2" x14ac:dyDescent="0.25">
      <c r="A77177" s="118"/>
      <c r="B77177" s="136"/>
    </row>
    <row r="77178" spans="1:2" x14ac:dyDescent="0.25">
      <c r="A77178" s="118"/>
      <c r="B77178" s="136"/>
    </row>
    <row r="77179" spans="1:2" x14ac:dyDescent="0.25">
      <c r="A77179" s="118"/>
      <c r="B77179" s="136"/>
    </row>
    <row r="77180" spans="1:2" x14ac:dyDescent="0.25">
      <c r="A77180" s="118"/>
      <c r="B77180" s="136"/>
    </row>
    <row r="77181" spans="1:2" x14ac:dyDescent="0.25">
      <c r="A77181" s="118"/>
      <c r="B77181" s="136"/>
    </row>
    <row r="77182" spans="1:2" x14ac:dyDescent="0.25">
      <c r="A77182" s="118"/>
      <c r="B77182" s="136"/>
    </row>
    <row r="77183" spans="1:2" x14ac:dyDescent="0.25">
      <c r="A77183" s="118"/>
      <c r="B77183" s="136"/>
    </row>
    <row r="77184" spans="1:2" x14ac:dyDescent="0.25">
      <c r="A77184" s="118"/>
      <c r="B77184" s="136"/>
    </row>
    <row r="77185" spans="1:2" x14ac:dyDescent="0.25">
      <c r="A77185" s="118"/>
      <c r="B77185" s="136"/>
    </row>
    <row r="77186" spans="1:2" x14ac:dyDescent="0.25">
      <c r="A77186" s="118"/>
      <c r="B77186" s="136"/>
    </row>
    <row r="77187" spans="1:2" x14ac:dyDescent="0.25">
      <c r="A77187" s="118"/>
      <c r="B77187" s="136"/>
    </row>
    <row r="77188" spans="1:2" x14ac:dyDescent="0.25">
      <c r="A77188" s="118"/>
      <c r="B77188" s="136"/>
    </row>
    <row r="77189" spans="1:2" x14ac:dyDescent="0.25">
      <c r="A77189" s="118"/>
      <c r="B77189" s="136"/>
    </row>
    <row r="77190" spans="1:2" x14ac:dyDescent="0.25">
      <c r="A77190" s="118"/>
      <c r="B77190" s="136"/>
    </row>
    <row r="77191" spans="1:2" x14ac:dyDescent="0.25">
      <c r="A77191" s="118"/>
      <c r="B77191" s="136"/>
    </row>
    <row r="77192" spans="1:2" x14ac:dyDescent="0.25">
      <c r="A77192" s="118"/>
      <c r="B77192" s="136"/>
    </row>
    <row r="77193" spans="1:2" x14ac:dyDescent="0.25">
      <c r="A77193" s="118"/>
      <c r="B77193" s="136"/>
    </row>
    <row r="77194" spans="1:2" x14ac:dyDescent="0.25">
      <c r="A77194" s="118"/>
      <c r="B77194" s="136"/>
    </row>
    <row r="77195" spans="1:2" x14ac:dyDescent="0.25">
      <c r="A77195" s="118"/>
      <c r="B77195" s="136"/>
    </row>
    <row r="77196" spans="1:2" x14ac:dyDescent="0.25">
      <c r="A77196" s="118"/>
      <c r="B77196" s="136"/>
    </row>
    <row r="77197" spans="1:2" x14ac:dyDescent="0.25">
      <c r="A77197" s="118"/>
      <c r="B77197" s="136"/>
    </row>
    <row r="77198" spans="1:2" x14ac:dyDescent="0.25">
      <c r="A77198" s="118"/>
      <c r="B77198" s="136"/>
    </row>
    <row r="77199" spans="1:2" x14ac:dyDescent="0.25">
      <c r="A77199" s="118"/>
      <c r="B77199" s="136"/>
    </row>
    <row r="77200" spans="1:2" x14ac:dyDescent="0.25">
      <c r="A77200" s="118"/>
      <c r="B77200" s="136"/>
    </row>
    <row r="77201" spans="1:2" x14ac:dyDescent="0.25">
      <c r="A77201" s="118"/>
      <c r="B77201" s="136"/>
    </row>
    <row r="77202" spans="1:2" x14ac:dyDescent="0.25">
      <c r="A77202" s="118"/>
      <c r="B77202" s="136"/>
    </row>
    <row r="77203" spans="1:2" x14ac:dyDescent="0.25">
      <c r="A77203" s="118"/>
      <c r="B77203" s="136"/>
    </row>
    <row r="77204" spans="1:2" x14ac:dyDescent="0.25">
      <c r="A77204" s="118"/>
      <c r="B77204" s="136"/>
    </row>
    <row r="77205" spans="1:2" x14ac:dyDescent="0.25">
      <c r="A77205" s="118"/>
      <c r="B77205" s="136"/>
    </row>
    <row r="77206" spans="1:2" x14ac:dyDescent="0.25">
      <c r="A77206" s="118"/>
      <c r="B77206" s="136"/>
    </row>
    <row r="77207" spans="1:2" x14ac:dyDescent="0.25">
      <c r="A77207" s="118"/>
      <c r="B77207" s="136"/>
    </row>
    <row r="77208" spans="1:2" x14ac:dyDescent="0.25">
      <c r="A77208" s="118"/>
      <c r="B77208" s="136"/>
    </row>
    <row r="77209" spans="1:2" x14ac:dyDescent="0.25">
      <c r="A77209" s="118"/>
      <c r="B77209" s="136"/>
    </row>
    <row r="77210" spans="1:2" x14ac:dyDescent="0.25">
      <c r="A77210" s="118"/>
      <c r="B77210" s="136"/>
    </row>
    <row r="77211" spans="1:2" x14ac:dyDescent="0.25">
      <c r="A77211" s="118"/>
      <c r="B77211" s="136"/>
    </row>
    <row r="77212" spans="1:2" x14ac:dyDescent="0.25">
      <c r="A77212" s="118"/>
      <c r="B77212" s="136"/>
    </row>
    <row r="77213" spans="1:2" x14ac:dyDescent="0.25">
      <c r="A77213" s="118"/>
      <c r="B77213" s="136"/>
    </row>
    <row r="77214" spans="1:2" x14ac:dyDescent="0.25">
      <c r="A77214" s="118"/>
      <c r="B77214" s="136"/>
    </row>
    <row r="77215" spans="1:2" x14ac:dyDescent="0.25">
      <c r="A77215" s="118"/>
      <c r="B77215" s="136"/>
    </row>
    <row r="77216" spans="1:2" x14ac:dyDescent="0.25">
      <c r="A77216" s="118"/>
      <c r="B77216" s="136"/>
    </row>
    <row r="77217" spans="1:2" x14ac:dyDescent="0.25">
      <c r="A77217" s="118"/>
      <c r="B77217" s="136"/>
    </row>
    <row r="77218" spans="1:2" x14ac:dyDescent="0.25">
      <c r="A77218" s="118"/>
      <c r="B77218" s="136"/>
    </row>
    <row r="77219" spans="1:2" x14ac:dyDescent="0.25">
      <c r="A77219" s="118"/>
      <c r="B77219" s="136"/>
    </row>
    <row r="77220" spans="1:2" x14ac:dyDescent="0.25">
      <c r="A77220" s="118"/>
      <c r="B77220" s="136"/>
    </row>
    <row r="77221" spans="1:2" x14ac:dyDescent="0.25">
      <c r="A77221" s="118"/>
      <c r="B77221" s="136"/>
    </row>
    <row r="77222" spans="1:2" x14ac:dyDescent="0.25">
      <c r="A77222" s="118"/>
      <c r="B77222" s="136"/>
    </row>
    <row r="77223" spans="1:2" x14ac:dyDescent="0.25">
      <c r="A77223" s="118"/>
      <c r="B77223" s="136"/>
    </row>
    <row r="77224" spans="1:2" x14ac:dyDescent="0.25">
      <c r="A77224" s="118"/>
      <c r="B77224" s="136"/>
    </row>
    <row r="77225" spans="1:2" x14ac:dyDescent="0.25">
      <c r="A77225" s="118"/>
      <c r="B77225" s="136"/>
    </row>
    <row r="77226" spans="1:2" x14ac:dyDescent="0.25">
      <c r="A77226" s="118"/>
      <c r="B77226" s="136"/>
    </row>
    <row r="77227" spans="1:2" x14ac:dyDescent="0.25">
      <c r="A77227" s="118"/>
      <c r="B77227" s="136"/>
    </row>
    <row r="77228" spans="1:2" x14ac:dyDescent="0.25">
      <c r="A77228" s="118"/>
      <c r="B77228" s="136"/>
    </row>
    <row r="77229" spans="1:2" x14ac:dyDescent="0.25">
      <c r="A77229" s="118"/>
      <c r="B77229" s="136"/>
    </row>
    <row r="77230" spans="1:2" x14ac:dyDescent="0.25">
      <c r="A77230" s="118"/>
      <c r="B77230" s="136"/>
    </row>
    <row r="77231" spans="1:2" x14ac:dyDescent="0.25">
      <c r="A77231" s="118"/>
      <c r="B77231" s="136"/>
    </row>
    <row r="77232" spans="1:2" x14ac:dyDescent="0.25">
      <c r="A77232" s="118"/>
      <c r="B77232" s="136"/>
    </row>
    <row r="77233" spans="1:2" x14ac:dyDescent="0.25">
      <c r="A77233" s="118"/>
      <c r="B77233" s="136"/>
    </row>
    <row r="77234" spans="1:2" x14ac:dyDescent="0.25">
      <c r="A77234" s="118"/>
      <c r="B77234" s="136"/>
    </row>
    <row r="77235" spans="1:2" x14ac:dyDescent="0.25">
      <c r="A77235" s="118"/>
      <c r="B77235" s="136"/>
    </row>
    <row r="77236" spans="1:2" x14ac:dyDescent="0.25">
      <c r="A77236" s="118"/>
      <c r="B77236" s="136"/>
    </row>
    <row r="77237" spans="1:2" x14ac:dyDescent="0.25">
      <c r="A77237" s="118"/>
      <c r="B77237" s="136"/>
    </row>
    <row r="77238" spans="1:2" x14ac:dyDescent="0.25">
      <c r="A77238" s="118"/>
      <c r="B77238" s="136"/>
    </row>
    <row r="77239" spans="1:2" x14ac:dyDescent="0.25">
      <c r="A77239" s="118"/>
      <c r="B77239" s="136"/>
    </row>
    <row r="77240" spans="1:2" x14ac:dyDescent="0.25">
      <c r="A77240" s="118"/>
      <c r="B77240" s="136"/>
    </row>
    <row r="77241" spans="1:2" x14ac:dyDescent="0.25">
      <c r="A77241" s="118"/>
      <c r="B77241" s="136"/>
    </row>
    <row r="77242" spans="1:2" x14ac:dyDescent="0.25">
      <c r="A77242" s="118"/>
      <c r="B77242" s="136"/>
    </row>
    <row r="77243" spans="1:2" x14ac:dyDescent="0.25">
      <c r="A77243" s="118"/>
      <c r="B77243" s="136"/>
    </row>
    <row r="77244" spans="1:2" x14ac:dyDescent="0.25">
      <c r="A77244" s="118"/>
      <c r="B77244" s="136"/>
    </row>
    <row r="77245" spans="1:2" x14ac:dyDescent="0.25">
      <c r="A77245" s="118"/>
      <c r="B77245" s="136"/>
    </row>
    <row r="77246" spans="1:2" x14ac:dyDescent="0.25">
      <c r="A77246" s="118"/>
      <c r="B77246" s="136"/>
    </row>
    <row r="77247" spans="1:2" x14ac:dyDescent="0.25">
      <c r="A77247" s="118"/>
      <c r="B77247" s="136"/>
    </row>
    <row r="77248" spans="1:2" x14ac:dyDescent="0.25">
      <c r="A77248" s="118"/>
      <c r="B77248" s="136"/>
    </row>
    <row r="77249" spans="1:2" x14ac:dyDescent="0.25">
      <c r="A77249" s="118"/>
      <c r="B77249" s="136"/>
    </row>
    <row r="77250" spans="1:2" x14ac:dyDescent="0.25">
      <c r="A77250" s="118"/>
      <c r="B77250" s="136"/>
    </row>
    <row r="77251" spans="1:2" x14ac:dyDescent="0.25">
      <c r="A77251" s="118"/>
      <c r="B77251" s="136"/>
    </row>
    <row r="77252" spans="1:2" x14ac:dyDescent="0.25">
      <c r="A77252" s="118"/>
      <c r="B77252" s="136"/>
    </row>
    <row r="77253" spans="1:2" x14ac:dyDescent="0.25">
      <c r="A77253" s="118"/>
      <c r="B77253" s="136"/>
    </row>
    <row r="77254" spans="1:2" x14ac:dyDescent="0.25">
      <c r="A77254" s="118"/>
      <c r="B77254" s="136"/>
    </row>
    <row r="77255" spans="1:2" x14ac:dyDescent="0.25">
      <c r="A77255" s="118"/>
      <c r="B77255" s="136"/>
    </row>
    <row r="77256" spans="1:2" x14ac:dyDescent="0.25">
      <c r="A77256" s="118"/>
      <c r="B77256" s="136"/>
    </row>
    <row r="77257" spans="1:2" x14ac:dyDescent="0.25">
      <c r="A77257" s="118"/>
      <c r="B77257" s="136"/>
    </row>
    <row r="77258" spans="1:2" x14ac:dyDescent="0.25">
      <c r="A77258" s="118"/>
      <c r="B77258" s="136"/>
    </row>
    <row r="77259" spans="1:2" x14ac:dyDescent="0.25">
      <c r="A77259" s="118"/>
      <c r="B77259" s="136"/>
    </row>
    <row r="77260" spans="1:2" x14ac:dyDescent="0.25">
      <c r="A77260" s="118"/>
      <c r="B77260" s="136"/>
    </row>
    <row r="77261" spans="1:2" x14ac:dyDescent="0.25">
      <c r="A77261" s="118"/>
      <c r="B77261" s="136"/>
    </row>
    <row r="77262" spans="1:2" x14ac:dyDescent="0.25">
      <c r="A77262" s="118"/>
      <c r="B77262" s="136"/>
    </row>
    <row r="77263" spans="1:2" x14ac:dyDescent="0.25">
      <c r="A77263" s="118"/>
      <c r="B77263" s="136"/>
    </row>
    <row r="77264" spans="1:2" x14ac:dyDescent="0.25">
      <c r="A77264" s="118"/>
      <c r="B77264" s="136"/>
    </row>
    <row r="77265" spans="1:2" x14ac:dyDescent="0.25">
      <c r="A77265" s="118"/>
      <c r="B77265" s="136"/>
    </row>
    <row r="77266" spans="1:2" x14ac:dyDescent="0.25">
      <c r="A77266" s="118"/>
      <c r="B77266" s="136"/>
    </row>
    <row r="77267" spans="1:2" x14ac:dyDescent="0.25">
      <c r="A77267" s="118"/>
      <c r="B77267" s="136"/>
    </row>
    <row r="77268" spans="1:2" x14ac:dyDescent="0.25">
      <c r="A77268" s="118"/>
      <c r="B77268" s="136"/>
    </row>
    <row r="77269" spans="1:2" x14ac:dyDescent="0.25">
      <c r="A77269" s="118"/>
      <c r="B77269" s="136"/>
    </row>
    <row r="77270" spans="1:2" x14ac:dyDescent="0.25">
      <c r="A77270" s="118"/>
      <c r="B77270" s="136"/>
    </row>
    <row r="77271" spans="1:2" x14ac:dyDescent="0.25">
      <c r="A77271" s="118"/>
      <c r="B77271" s="136"/>
    </row>
    <row r="77272" spans="1:2" x14ac:dyDescent="0.25">
      <c r="A77272" s="118"/>
      <c r="B77272" s="136"/>
    </row>
    <row r="77273" spans="1:2" x14ac:dyDescent="0.25">
      <c r="A77273" s="118"/>
      <c r="B77273" s="136"/>
    </row>
    <row r="77274" spans="1:2" x14ac:dyDescent="0.25">
      <c r="A77274" s="118"/>
      <c r="B77274" s="136"/>
    </row>
    <row r="77275" spans="1:2" x14ac:dyDescent="0.25">
      <c r="A77275" s="118"/>
      <c r="B77275" s="136"/>
    </row>
    <row r="77276" spans="1:2" x14ac:dyDescent="0.25">
      <c r="A77276" s="118"/>
      <c r="B77276" s="136"/>
    </row>
    <row r="77277" spans="1:2" x14ac:dyDescent="0.25">
      <c r="A77277" s="118"/>
      <c r="B77277" s="136"/>
    </row>
    <row r="77278" spans="1:2" x14ac:dyDescent="0.25">
      <c r="A77278" s="118"/>
      <c r="B77278" s="136"/>
    </row>
    <row r="77279" spans="1:2" x14ac:dyDescent="0.25">
      <c r="A77279" s="118"/>
      <c r="B77279" s="136"/>
    </row>
    <row r="77280" spans="1:2" x14ac:dyDescent="0.25">
      <c r="A77280" s="118"/>
      <c r="B77280" s="136"/>
    </row>
    <row r="77281" spans="1:2" x14ac:dyDescent="0.25">
      <c r="A77281" s="118"/>
      <c r="B77281" s="136"/>
    </row>
    <row r="77282" spans="1:2" x14ac:dyDescent="0.25">
      <c r="A77282" s="118"/>
      <c r="B77282" s="136"/>
    </row>
    <row r="77283" spans="1:2" x14ac:dyDescent="0.25">
      <c r="A77283" s="118"/>
      <c r="B77283" s="136"/>
    </row>
    <row r="77284" spans="1:2" x14ac:dyDescent="0.25">
      <c r="A77284" s="118"/>
      <c r="B77284" s="136"/>
    </row>
    <row r="77285" spans="1:2" x14ac:dyDescent="0.25">
      <c r="A77285" s="118"/>
      <c r="B77285" s="136"/>
    </row>
    <row r="77286" spans="1:2" x14ac:dyDescent="0.25">
      <c r="A77286" s="118"/>
      <c r="B77286" s="136"/>
    </row>
    <row r="77287" spans="1:2" x14ac:dyDescent="0.25">
      <c r="A77287" s="118"/>
      <c r="B77287" s="136"/>
    </row>
    <row r="77288" spans="1:2" x14ac:dyDescent="0.25">
      <c r="A77288" s="118"/>
      <c r="B77288" s="136"/>
    </row>
    <row r="77289" spans="1:2" x14ac:dyDescent="0.25">
      <c r="A77289" s="118"/>
      <c r="B77289" s="136"/>
    </row>
    <row r="77290" spans="1:2" x14ac:dyDescent="0.25">
      <c r="A77290" s="118"/>
      <c r="B77290" s="136"/>
    </row>
    <row r="77291" spans="1:2" x14ac:dyDescent="0.25">
      <c r="A77291" s="118"/>
      <c r="B77291" s="136"/>
    </row>
    <row r="77292" spans="1:2" x14ac:dyDescent="0.25">
      <c r="A77292" s="118"/>
      <c r="B77292" s="136"/>
    </row>
    <row r="77293" spans="1:2" x14ac:dyDescent="0.25">
      <c r="A77293" s="118"/>
      <c r="B77293" s="136"/>
    </row>
    <row r="77294" spans="1:2" x14ac:dyDescent="0.25">
      <c r="A77294" s="118"/>
      <c r="B77294" s="136"/>
    </row>
    <row r="77295" spans="1:2" x14ac:dyDescent="0.25">
      <c r="A77295" s="118"/>
      <c r="B77295" s="136"/>
    </row>
    <row r="77296" spans="1:2" x14ac:dyDescent="0.25">
      <c r="A77296" s="118"/>
      <c r="B77296" s="136"/>
    </row>
    <row r="77297" spans="1:2" x14ac:dyDescent="0.25">
      <c r="A77297" s="118"/>
      <c r="B77297" s="136"/>
    </row>
    <row r="77298" spans="1:2" x14ac:dyDescent="0.25">
      <c r="A77298" s="118"/>
      <c r="B77298" s="136"/>
    </row>
    <row r="77299" spans="1:2" x14ac:dyDescent="0.25">
      <c r="A77299" s="118"/>
      <c r="B77299" s="136"/>
    </row>
    <row r="77300" spans="1:2" x14ac:dyDescent="0.25">
      <c r="A77300" s="118"/>
      <c r="B77300" s="136"/>
    </row>
    <row r="77301" spans="1:2" x14ac:dyDescent="0.25">
      <c r="A77301" s="118"/>
      <c r="B77301" s="136"/>
    </row>
    <row r="77302" spans="1:2" x14ac:dyDescent="0.25">
      <c r="A77302" s="118"/>
      <c r="B77302" s="136"/>
    </row>
    <row r="77303" spans="1:2" x14ac:dyDescent="0.25">
      <c r="A77303" s="118"/>
      <c r="B77303" s="136"/>
    </row>
    <row r="77304" spans="1:2" x14ac:dyDescent="0.25">
      <c r="A77304" s="118"/>
      <c r="B77304" s="136"/>
    </row>
    <row r="77305" spans="1:2" x14ac:dyDescent="0.25">
      <c r="A77305" s="118"/>
      <c r="B77305" s="136"/>
    </row>
    <row r="77306" spans="1:2" x14ac:dyDescent="0.25">
      <c r="A77306" s="118"/>
      <c r="B77306" s="136"/>
    </row>
    <row r="77307" spans="1:2" x14ac:dyDescent="0.25">
      <c r="A77307" s="118"/>
      <c r="B77307" s="136"/>
    </row>
    <row r="77308" spans="1:2" x14ac:dyDescent="0.25">
      <c r="A77308" s="118"/>
      <c r="B77308" s="136"/>
    </row>
    <row r="77309" spans="1:2" x14ac:dyDescent="0.25">
      <c r="A77309" s="118"/>
      <c r="B77309" s="136"/>
    </row>
    <row r="77310" spans="1:2" x14ac:dyDescent="0.25">
      <c r="A77310" s="118"/>
      <c r="B77310" s="136"/>
    </row>
    <row r="77311" spans="1:2" x14ac:dyDescent="0.25">
      <c r="A77311" s="118"/>
      <c r="B77311" s="136"/>
    </row>
    <row r="77312" spans="1:2" x14ac:dyDescent="0.25">
      <c r="A77312" s="118"/>
      <c r="B77312" s="136"/>
    </row>
    <row r="77313" spans="1:2" x14ac:dyDescent="0.25">
      <c r="A77313" s="118"/>
      <c r="B77313" s="136"/>
    </row>
    <row r="77314" spans="1:2" x14ac:dyDescent="0.25">
      <c r="A77314" s="118"/>
      <c r="B77314" s="136"/>
    </row>
    <row r="77315" spans="1:2" x14ac:dyDescent="0.25">
      <c r="A77315" s="118"/>
      <c r="B77315" s="136"/>
    </row>
    <row r="77316" spans="1:2" x14ac:dyDescent="0.25">
      <c r="A77316" s="118"/>
      <c r="B77316" s="136"/>
    </row>
    <row r="77317" spans="1:2" x14ac:dyDescent="0.25">
      <c r="A77317" s="118"/>
      <c r="B77317" s="136"/>
    </row>
    <row r="77318" spans="1:2" x14ac:dyDescent="0.25">
      <c r="A77318" s="118"/>
      <c r="B77318" s="136"/>
    </row>
    <row r="77319" spans="1:2" x14ac:dyDescent="0.25">
      <c r="A77319" s="118"/>
      <c r="B77319" s="136"/>
    </row>
    <row r="77320" spans="1:2" x14ac:dyDescent="0.25">
      <c r="A77320" s="118"/>
      <c r="B77320" s="136"/>
    </row>
    <row r="77321" spans="1:2" x14ac:dyDescent="0.25">
      <c r="A77321" s="118"/>
      <c r="B77321" s="136"/>
    </row>
    <row r="77322" spans="1:2" x14ac:dyDescent="0.25">
      <c r="A77322" s="118"/>
      <c r="B77322" s="136"/>
    </row>
    <row r="77323" spans="1:2" x14ac:dyDescent="0.25">
      <c r="A77323" s="118"/>
      <c r="B77323" s="136"/>
    </row>
    <row r="77324" spans="1:2" x14ac:dyDescent="0.25">
      <c r="A77324" s="118"/>
      <c r="B77324" s="136"/>
    </row>
    <row r="77325" spans="1:2" x14ac:dyDescent="0.25">
      <c r="A77325" s="118"/>
      <c r="B77325" s="136"/>
    </row>
    <row r="77326" spans="1:2" x14ac:dyDescent="0.25">
      <c r="A77326" s="118"/>
      <c r="B77326" s="136"/>
    </row>
    <row r="77327" spans="1:2" x14ac:dyDescent="0.25">
      <c r="A77327" s="118"/>
      <c r="B77327" s="136"/>
    </row>
    <row r="77328" spans="1:2" x14ac:dyDescent="0.25">
      <c r="A77328" s="118"/>
      <c r="B77328" s="136"/>
    </row>
    <row r="77329" spans="1:2" x14ac:dyDescent="0.25">
      <c r="A77329" s="118"/>
      <c r="B77329" s="136"/>
    </row>
    <row r="77330" spans="1:2" x14ac:dyDescent="0.25">
      <c r="A77330" s="118"/>
      <c r="B77330" s="136"/>
    </row>
    <row r="77331" spans="1:2" x14ac:dyDescent="0.25">
      <c r="A77331" s="118"/>
      <c r="B77331" s="136"/>
    </row>
    <row r="77332" spans="1:2" x14ac:dyDescent="0.25">
      <c r="A77332" s="118"/>
      <c r="B77332" s="136"/>
    </row>
    <row r="77333" spans="1:2" x14ac:dyDescent="0.25">
      <c r="A77333" s="118"/>
      <c r="B77333" s="136"/>
    </row>
    <row r="77334" spans="1:2" x14ac:dyDescent="0.25">
      <c r="A77334" s="118"/>
      <c r="B77334" s="136"/>
    </row>
    <row r="77335" spans="1:2" x14ac:dyDescent="0.25">
      <c r="A77335" s="118"/>
      <c r="B77335" s="136"/>
    </row>
    <row r="77336" spans="1:2" x14ac:dyDescent="0.25">
      <c r="A77336" s="118"/>
      <c r="B77336" s="136"/>
    </row>
    <row r="77337" spans="1:2" x14ac:dyDescent="0.25">
      <c r="A77337" s="118"/>
      <c r="B77337" s="136"/>
    </row>
    <row r="77338" spans="1:2" x14ac:dyDescent="0.25">
      <c r="A77338" s="118"/>
      <c r="B77338" s="136"/>
    </row>
    <row r="77339" spans="1:2" x14ac:dyDescent="0.25">
      <c r="A77339" s="118"/>
      <c r="B77339" s="136"/>
    </row>
    <row r="77340" spans="1:2" x14ac:dyDescent="0.25">
      <c r="A77340" s="118"/>
      <c r="B77340" s="136"/>
    </row>
    <row r="77341" spans="1:2" x14ac:dyDescent="0.25">
      <c r="A77341" s="118"/>
      <c r="B77341" s="136"/>
    </row>
    <row r="77342" spans="1:2" x14ac:dyDescent="0.25">
      <c r="A77342" s="118"/>
      <c r="B77342" s="136"/>
    </row>
    <row r="77343" spans="1:2" x14ac:dyDescent="0.25">
      <c r="A77343" s="118"/>
      <c r="B77343" s="136"/>
    </row>
    <row r="77344" spans="1:2" x14ac:dyDescent="0.25">
      <c r="A77344" s="118"/>
      <c r="B77344" s="136"/>
    </row>
    <row r="77345" spans="1:2" x14ac:dyDescent="0.25">
      <c r="A77345" s="118"/>
      <c r="B77345" s="136"/>
    </row>
    <row r="77346" spans="1:2" x14ac:dyDescent="0.25">
      <c r="A77346" s="118"/>
      <c r="B77346" s="136"/>
    </row>
    <row r="77347" spans="1:2" x14ac:dyDescent="0.25">
      <c r="A77347" s="118"/>
      <c r="B77347" s="136"/>
    </row>
    <row r="77348" spans="1:2" x14ac:dyDescent="0.25">
      <c r="A77348" s="118"/>
      <c r="B77348" s="136"/>
    </row>
    <row r="77349" spans="1:2" x14ac:dyDescent="0.25">
      <c r="A77349" s="118"/>
      <c r="B77349" s="136"/>
    </row>
    <row r="77350" spans="1:2" x14ac:dyDescent="0.25">
      <c r="A77350" s="118"/>
      <c r="B77350" s="136"/>
    </row>
    <row r="77351" spans="1:2" x14ac:dyDescent="0.25">
      <c r="A77351" s="118"/>
      <c r="B77351" s="136"/>
    </row>
    <row r="77352" spans="1:2" x14ac:dyDescent="0.25">
      <c r="A77352" s="118"/>
      <c r="B77352" s="136"/>
    </row>
    <row r="77353" spans="1:2" x14ac:dyDescent="0.25">
      <c r="A77353" s="118"/>
      <c r="B77353" s="136"/>
    </row>
    <row r="77354" spans="1:2" x14ac:dyDescent="0.25">
      <c r="A77354" s="118"/>
      <c r="B77354" s="136"/>
    </row>
    <row r="77355" spans="1:2" x14ac:dyDescent="0.25">
      <c r="A77355" s="118"/>
      <c r="B77355" s="136"/>
    </row>
    <row r="77356" spans="1:2" x14ac:dyDescent="0.25">
      <c r="A77356" s="118"/>
      <c r="B77356" s="136"/>
    </row>
    <row r="77357" spans="1:2" x14ac:dyDescent="0.25">
      <c r="A77357" s="118"/>
      <c r="B77357" s="136"/>
    </row>
    <row r="77358" spans="1:2" x14ac:dyDescent="0.25">
      <c r="A77358" s="118"/>
      <c r="B77358" s="136"/>
    </row>
    <row r="77359" spans="1:2" x14ac:dyDescent="0.25">
      <c r="A77359" s="118"/>
      <c r="B77359" s="136"/>
    </row>
    <row r="77360" spans="1:2" x14ac:dyDescent="0.25">
      <c r="A77360" s="118"/>
      <c r="B77360" s="136"/>
    </row>
    <row r="77361" spans="1:2" x14ac:dyDescent="0.25">
      <c r="A77361" s="118"/>
      <c r="B77361" s="136"/>
    </row>
    <row r="77362" spans="1:2" x14ac:dyDescent="0.25">
      <c r="A77362" s="118"/>
      <c r="B77362" s="136"/>
    </row>
    <row r="77363" spans="1:2" x14ac:dyDescent="0.25">
      <c r="A77363" s="118"/>
      <c r="B77363" s="136"/>
    </row>
    <row r="77364" spans="1:2" x14ac:dyDescent="0.25">
      <c r="A77364" s="118"/>
      <c r="B77364" s="136"/>
    </row>
    <row r="77365" spans="1:2" x14ac:dyDescent="0.25">
      <c r="A77365" s="118"/>
      <c r="B77365" s="136"/>
    </row>
    <row r="77366" spans="1:2" x14ac:dyDescent="0.25">
      <c r="A77366" s="118"/>
      <c r="B77366" s="136"/>
    </row>
    <row r="77367" spans="1:2" x14ac:dyDescent="0.25">
      <c r="A77367" s="118"/>
      <c r="B77367" s="136"/>
    </row>
    <row r="77368" spans="1:2" x14ac:dyDescent="0.25">
      <c r="A77368" s="118"/>
      <c r="B77368" s="136"/>
    </row>
    <row r="77369" spans="1:2" x14ac:dyDescent="0.25">
      <c r="A77369" s="118"/>
      <c r="B77369" s="136"/>
    </row>
    <row r="77370" spans="1:2" x14ac:dyDescent="0.25">
      <c r="A77370" s="118"/>
      <c r="B77370" s="136"/>
    </row>
    <row r="77371" spans="1:2" x14ac:dyDescent="0.25">
      <c r="A77371" s="118"/>
      <c r="B77371" s="136"/>
    </row>
    <row r="77372" spans="1:2" x14ac:dyDescent="0.25">
      <c r="A77372" s="118"/>
      <c r="B77372" s="136"/>
    </row>
    <row r="77373" spans="1:2" x14ac:dyDescent="0.25">
      <c r="A77373" s="118"/>
      <c r="B77373" s="136"/>
    </row>
    <row r="77374" spans="1:2" x14ac:dyDescent="0.25">
      <c r="A77374" s="118"/>
      <c r="B77374" s="136"/>
    </row>
    <row r="77375" spans="1:2" x14ac:dyDescent="0.25">
      <c r="A77375" s="118"/>
      <c r="B77375" s="136"/>
    </row>
    <row r="77376" spans="1:2" x14ac:dyDescent="0.25">
      <c r="A77376" s="118"/>
      <c r="B77376" s="136"/>
    </row>
    <row r="77377" spans="1:2" x14ac:dyDescent="0.25">
      <c r="A77377" s="118"/>
      <c r="B77377" s="136"/>
    </row>
    <row r="77378" spans="1:2" x14ac:dyDescent="0.25">
      <c r="A77378" s="118"/>
      <c r="B77378" s="136"/>
    </row>
    <row r="77379" spans="1:2" x14ac:dyDescent="0.25">
      <c r="A77379" s="118"/>
      <c r="B77379" s="136"/>
    </row>
    <row r="77380" spans="1:2" x14ac:dyDescent="0.25">
      <c r="A77380" s="118"/>
      <c r="B77380" s="136"/>
    </row>
    <row r="77381" spans="1:2" x14ac:dyDescent="0.25">
      <c r="A77381" s="118"/>
      <c r="B77381" s="136"/>
    </row>
    <row r="77382" spans="1:2" x14ac:dyDescent="0.25">
      <c r="A77382" s="118"/>
      <c r="B77382" s="136"/>
    </row>
    <row r="77383" spans="1:2" x14ac:dyDescent="0.25">
      <c r="A77383" s="118"/>
      <c r="B77383" s="136"/>
    </row>
    <row r="77384" spans="1:2" x14ac:dyDescent="0.25">
      <c r="A77384" s="118"/>
      <c r="B77384" s="136"/>
    </row>
    <row r="77385" spans="1:2" x14ac:dyDescent="0.25">
      <c r="A77385" s="118"/>
      <c r="B77385" s="136"/>
    </row>
    <row r="77386" spans="1:2" x14ac:dyDescent="0.25">
      <c r="A77386" s="118"/>
      <c r="B77386" s="136"/>
    </row>
    <row r="77387" spans="1:2" x14ac:dyDescent="0.25">
      <c r="A77387" s="118"/>
      <c r="B77387" s="136"/>
    </row>
    <row r="77388" spans="1:2" x14ac:dyDescent="0.25">
      <c r="A77388" s="118"/>
      <c r="B77388" s="136"/>
    </row>
    <row r="77389" spans="1:2" x14ac:dyDescent="0.25">
      <c r="A77389" s="118"/>
      <c r="B77389" s="136"/>
    </row>
    <row r="77390" spans="1:2" x14ac:dyDescent="0.25">
      <c r="A77390" s="118"/>
      <c r="B77390" s="136"/>
    </row>
    <row r="77391" spans="1:2" x14ac:dyDescent="0.25">
      <c r="A77391" s="118"/>
      <c r="B77391" s="136"/>
    </row>
    <row r="77392" spans="1:2" x14ac:dyDescent="0.25">
      <c r="A77392" s="118"/>
      <c r="B77392" s="136"/>
    </row>
    <row r="77393" spans="1:2" x14ac:dyDescent="0.25">
      <c r="A77393" s="118"/>
      <c r="B77393" s="136"/>
    </row>
    <row r="77394" spans="1:2" x14ac:dyDescent="0.25">
      <c r="A77394" s="118"/>
      <c r="B77394" s="136"/>
    </row>
    <row r="77395" spans="1:2" x14ac:dyDescent="0.25">
      <c r="A77395" s="118"/>
      <c r="B77395" s="136"/>
    </row>
    <row r="77396" spans="1:2" x14ac:dyDescent="0.25">
      <c r="A77396" s="118"/>
      <c r="B77396" s="136"/>
    </row>
    <row r="77397" spans="1:2" x14ac:dyDescent="0.25">
      <c r="A77397" s="118"/>
      <c r="B77397" s="136"/>
    </row>
    <row r="77398" spans="1:2" x14ac:dyDescent="0.25">
      <c r="A77398" s="118"/>
      <c r="B77398" s="136"/>
    </row>
    <row r="77399" spans="1:2" x14ac:dyDescent="0.25">
      <c r="A77399" s="118"/>
      <c r="B77399" s="136"/>
    </row>
    <row r="77400" spans="1:2" x14ac:dyDescent="0.25">
      <c r="A77400" s="118"/>
      <c r="B77400" s="136"/>
    </row>
    <row r="77401" spans="1:2" x14ac:dyDescent="0.25">
      <c r="A77401" s="118"/>
      <c r="B77401" s="136"/>
    </row>
    <row r="77402" spans="1:2" x14ac:dyDescent="0.25">
      <c r="A77402" s="118"/>
      <c r="B77402" s="136"/>
    </row>
    <row r="77403" spans="1:2" x14ac:dyDescent="0.25">
      <c r="A77403" s="118"/>
      <c r="B77403" s="136"/>
    </row>
    <row r="77404" spans="1:2" x14ac:dyDescent="0.25">
      <c r="A77404" s="118"/>
      <c r="B77404" s="136"/>
    </row>
    <row r="77405" spans="1:2" x14ac:dyDescent="0.25">
      <c r="A77405" s="118"/>
      <c r="B77405" s="136"/>
    </row>
    <row r="77406" spans="1:2" x14ac:dyDescent="0.25">
      <c r="A77406" s="118"/>
      <c r="B77406" s="136"/>
    </row>
    <row r="77407" spans="1:2" x14ac:dyDescent="0.25">
      <c r="A77407" s="118"/>
      <c r="B77407" s="136"/>
    </row>
    <row r="77408" spans="1:2" x14ac:dyDescent="0.25">
      <c r="A77408" s="118"/>
      <c r="B77408" s="136"/>
    </row>
    <row r="77409" spans="1:2" x14ac:dyDescent="0.25">
      <c r="A77409" s="118"/>
      <c r="B77409" s="136"/>
    </row>
    <row r="77410" spans="1:2" x14ac:dyDescent="0.25">
      <c r="A77410" s="118"/>
      <c r="B77410" s="136"/>
    </row>
    <row r="77411" spans="1:2" x14ac:dyDescent="0.25">
      <c r="A77411" s="118"/>
      <c r="B77411" s="136"/>
    </row>
    <row r="77412" spans="1:2" x14ac:dyDescent="0.25">
      <c r="A77412" s="118"/>
      <c r="B77412" s="136"/>
    </row>
    <row r="77413" spans="1:2" x14ac:dyDescent="0.25">
      <c r="A77413" s="118"/>
      <c r="B77413" s="136"/>
    </row>
    <row r="77414" spans="1:2" x14ac:dyDescent="0.25">
      <c r="A77414" s="118"/>
      <c r="B77414" s="136"/>
    </row>
    <row r="77415" spans="1:2" x14ac:dyDescent="0.25">
      <c r="A77415" s="118"/>
      <c r="B77415" s="136"/>
    </row>
    <row r="77416" spans="1:2" x14ac:dyDescent="0.25">
      <c r="A77416" s="118"/>
      <c r="B77416" s="136"/>
    </row>
    <row r="77417" spans="1:2" x14ac:dyDescent="0.25">
      <c r="A77417" s="118"/>
      <c r="B77417" s="136"/>
    </row>
    <row r="77418" spans="1:2" x14ac:dyDescent="0.25">
      <c r="A77418" s="118"/>
      <c r="B77418" s="136"/>
    </row>
    <row r="77419" spans="1:2" x14ac:dyDescent="0.25">
      <c r="A77419" s="118"/>
      <c r="B77419" s="136"/>
    </row>
    <row r="77420" spans="1:2" x14ac:dyDescent="0.25">
      <c r="A77420" s="118"/>
      <c r="B77420" s="136"/>
    </row>
    <row r="77421" spans="1:2" x14ac:dyDescent="0.25">
      <c r="A77421" s="118"/>
      <c r="B77421" s="136"/>
    </row>
    <row r="77422" spans="1:2" x14ac:dyDescent="0.25">
      <c r="A77422" s="118"/>
      <c r="B77422" s="136"/>
    </row>
    <row r="77423" spans="1:2" x14ac:dyDescent="0.25">
      <c r="A77423" s="118"/>
      <c r="B77423" s="136"/>
    </row>
    <row r="77424" spans="1:2" x14ac:dyDescent="0.25">
      <c r="A77424" s="118"/>
      <c r="B77424" s="136"/>
    </row>
    <row r="77425" spans="1:2" x14ac:dyDescent="0.25">
      <c r="A77425" s="118"/>
      <c r="B77425" s="136"/>
    </row>
    <row r="77426" spans="1:2" x14ac:dyDescent="0.25">
      <c r="A77426" s="118"/>
      <c r="B77426" s="136"/>
    </row>
    <row r="77427" spans="1:2" x14ac:dyDescent="0.25">
      <c r="A77427" s="118"/>
      <c r="B77427" s="136"/>
    </row>
    <row r="77428" spans="1:2" x14ac:dyDescent="0.25">
      <c r="A77428" s="118"/>
      <c r="B77428" s="136"/>
    </row>
    <row r="77429" spans="1:2" x14ac:dyDescent="0.25">
      <c r="A77429" s="118"/>
      <c r="B77429" s="136"/>
    </row>
    <row r="77430" spans="1:2" x14ac:dyDescent="0.25">
      <c r="A77430" s="118"/>
      <c r="B77430" s="136"/>
    </row>
    <row r="77431" spans="1:2" x14ac:dyDescent="0.25">
      <c r="A77431" s="118"/>
      <c r="B77431" s="136"/>
    </row>
    <row r="77432" spans="1:2" x14ac:dyDescent="0.25">
      <c r="A77432" s="118"/>
      <c r="B77432" s="136"/>
    </row>
    <row r="77433" spans="1:2" x14ac:dyDescent="0.25">
      <c r="A77433" s="118"/>
      <c r="B77433" s="136"/>
    </row>
    <row r="77434" spans="1:2" x14ac:dyDescent="0.25">
      <c r="A77434" s="118"/>
      <c r="B77434" s="136"/>
    </row>
    <row r="77435" spans="1:2" x14ac:dyDescent="0.25">
      <c r="A77435" s="118"/>
      <c r="B77435" s="136"/>
    </row>
    <row r="77436" spans="1:2" x14ac:dyDescent="0.25">
      <c r="A77436" s="118"/>
      <c r="B77436" s="136"/>
    </row>
    <row r="77437" spans="1:2" x14ac:dyDescent="0.25">
      <c r="A77437" s="118"/>
      <c r="B77437" s="136"/>
    </row>
    <row r="77438" spans="1:2" x14ac:dyDescent="0.25">
      <c r="A77438" s="118"/>
      <c r="B77438" s="136"/>
    </row>
    <row r="77439" spans="1:2" x14ac:dyDescent="0.25">
      <c r="A77439" s="118"/>
      <c r="B77439" s="136"/>
    </row>
    <row r="77440" spans="1:2" x14ac:dyDescent="0.25">
      <c r="A77440" s="118"/>
      <c r="B77440" s="136"/>
    </row>
    <row r="77441" spans="1:2" x14ac:dyDescent="0.25">
      <c r="A77441" s="118"/>
      <c r="B77441" s="136"/>
    </row>
    <row r="77442" spans="1:2" x14ac:dyDescent="0.25">
      <c r="A77442" s="118"/>
      <c r="B77442" s="136"/>
    </row>
    <row r="77443" spans="1:2" x14ac:dyDescent="0.25">
      <c r="A77443" s="118"/>
      <c r="B77443" s="136"/>
    </row>
    <row r="77444" spans="1:2" x14ac:dyDescent="0.25">
      <c r="A77444" s="118"/>
      <c r="B77444" s="136"/>
    </row>
    <row r="77445" spans="1:2" x14ac:dyDescent="0.25">
      <c r="A77445" s="118"/>
      <c r="B77445" s="136"/>
    </row>
    <row r="77446" spans="1:2" x14ac:dyDescent="0.25">
      <c r="A77446" s="118"/>
      <c r="B77446" s="136"/>
    </row>
    <row r="77447" spans="1:2" x14ac:dyDescent="0.25">
      <c r="A77447" s="118"/>
      <c r="B77447" s="136"/>
    </row>
    <row r="77448" spans="1:2" x14ac:dyDescent="0.25">
      <c r="A77448" s="118"/>
      <c r="B77448" s="136"/>
    </row>
    <row r="77449" spans="1:2" x14ac:dyDescent="0.25">
      <c r="A77449" s="118"/>
      <c r="B77449" s="136"/>
    </row>
    <row r="77450" spans="1:2" x14ac:dyDescent="0.25">
      <c r="A77450" s="118"/>
      <c r="B77450" s="136"/>
    </row>
    <row r="77451" spans="1:2" x14ac:dyDescent="0.25">
      <c r="A77451" s="118"/>
      <c r="B77451" s="136"/>
    </row>
    <row r="77452" spans="1:2" x14ac:dyDescent="0.25">
      <c r="A77452" s="118"/>
      <c r="B77452" s="136"/>
    </row>
    <row r="77453" spans="1:2" x14ac:dyDescent="0.25">
      <c r="A77453" s="118"/>
      <c r="B77453" s="136"/>
    </row>
    <row r="77454" spans="1:2" x14ac:dyDescent="0.25">
      <c r="A77454" s="118"/>
      <c r="B77454" s="136"/>
    </row>
    <row r="77455" spans="1:2" x14ac:dyDescent="0.25">
      <c r="A77455" s="118"/>
      <c r="B77455" s="136"/>
    </row>
    <row r="77456" spans="1:2" x14ac:dyDescent="0.25">
      <c r="A77456" s="118"/>
      <c r="B77456" s="136"/>
    </row>
    <row r="77457" spans="1:2" x14ac:dyDescent="0.25">
      <c r="A77457" s="118"/>
      <c r="B77457" s="136"/>
    </row>
    <row r="77458" spans="1:2" x14ac:dyDescent="0.25">
      <c r="A77458" s="118"/>
      <c r="B77458" s="136"/>
    </row>
    <row r="77459" spans="1:2" x14ac:dyDescent="0.25">
      <c r="A77459" s="118"/>
      <c r="B77459" s="136"/>
    </row>
    <row r="77460" spans="1:2" x14ac:dyDescent="0.25">
      <c r="A77460" s="118"/>
      <c r="B77460" s="136"/>
    </row>
    <row r="77461" spans="1:2" x14ac:dyDescent="0.25">
      <c r="A77461" s="118"/>
      <c r="B77461" s="136"/>
    </row>
    <row r="77462" spans="1:2" x14ac:dyDescent="0.25">
      <c r="A77462" s="118"/>
      <c r="B77462" s="136"/>
    </row>
    <row r="77463" spans="1:2" x14ac:dyDescent="0.25">
      <c r="A77463" s="118"/>
      <c r="B77463" s="136"/>
    </row>
    <row r="77464" spans="1:2" x14ac:dyDescent="0.25">
      <c r="A77464" s="118"/>
      <c r="B77464" s="136"/>
    </row>
    <row r="77465" spans="1:2" x14ac:dyDescent="0.25">
      <c r="A77465" s="118"/>
      <c r="B77465" s="136"/>
    </row>
    <row r="77466" spans="1:2" x14ac:dyDescent="0.25">
      <c r="A77466" s="118"/>
      <c r="B77466" s="136"/>
    </row>
    <row r="77467" spans="1:2" x14ac:dyDescent="0.25">
      <c r="A77467" s="118"/>
      <c r="B77467" s="136"/>
    </row>
    <row r="77468" spans="1:2" x14ac:dyDescent="0.25">
      <c r="A77468" s="118"/>
      <c r="B77468" s="136"/>
    </row>
    <row r="77469" spans="1:2" x14ac:dyDescent="0.25">
      <c r="A77469" s="118"/>
      <c r="B77469" s="136"/>
    </row>
    <row r="77470" spans="1:2" x14ac:dyDescent="0.25">
      <c r="A77470" s="118"/>
      <c r="B77470" s="136"/>
    </row>
    <row r="77471" spans="1:2" x14ac:dyDescent="0.25">
      <c r="A77471" s="118"/>
      <c r="B77471" s="136"/>
    </row>
    <row r="77472" spans="1:2" x14ac:dyDescent="0.25">
      <c r="A77472" s="118"/>
      <c r="B77472" s="136"/>
    </row>
    <row r="77473" spans="1:2" x14ac:dyDescent="0.25">
      <c r="A77473" s="118"/>
      <c r="B77473" s="136"/>
    </row>
    <row r="77474" spans="1:2" x14ac:dyDescent="0.25">
      <c r="A77474" s="118"/>
      <c r="B77474" s="136"/>
    </row>
    <row r="77475" spans="1:2" x14ac:dyDescent="0.25">
      <c r="A77475" s="118"/>
      <c r="B77475" s="136"/>
    </row>
    <row r="77476" spans="1:2" x14ac:dyDescent="0.25">
      <c r="A77476" s="118"/>
      <c r="B77476" s="136"/>
    </row>
    <row r="77477" spans="1:2" x14ac:dyDescent="0.25">
      <c r="A77477" s="118"/>
      <c r="B77477" s="136"/>
    </row>
    <row r="77478" spans="1:2" x14ac:dyDescent="0.25">
      <c r="A77478" s="118"/>
      <c r="B77478" s="136"/>
    </row>
    <row r="77479" spans="1:2" x14ac:dyDescent="0.25">
      <c r="A77479" s="118"/>
      <c r="B77479" s="136"/>
    </row>
    <row r="77480" spans="1:2" x14ac:dyDescent="0.25">
      <c r="A77480" s="118"/>
      <c r="B77480" s="136"/>
    </row>
    <row r="77481" spans="1:2" x14ac:dyDescent="0.25">
      <c r="A77481" s="118"/>
      <c r="B77481" s="136"/>
    </row>
    <row r="77482" spans="1:2" x14ac:dyDescent="0.25">
      <c r="A77482" s="118"/>
      <c r="B77482" s="136"/>
    </row>
    <row r="77483" spans="1:2" x14ac:dyDescent="0.25">
      <c r="A77483" s="118"/>
      <c r="B77483" s="136"/>
    </row>
    <row r="77484" spans="1:2" x14ac:dyDescent="0.25">
      <c r="A77484" s="118"/>
      <c r="B77484" s="136"/>
    </row>
    <row r="77485" spans="1:2" x14ac:dyDescent="0.25">
      <c r="A77485" s="118"/>
      <c r="B77485" s="136"/>
    </row>
    <row r="77486" spans="1:2" x14ac:dyDescent="0.25">
      <c r="A77486" s="118"/>
      <c r="B77486" s="136"/>
    </row>
    <row r="77487" spans="1:2" x14ac:dyDescent="0.25">
      <c r="A77487" s="118"/>
      <c r="B77487" s="136"/>
    </row>
    <row r="77488" spans="1:2" x14ac:dyDescent="0.25">
      <c r="A77488" s="118"/>
      <c r="B77488" s="136"/>
    </row>
    <row r="77489" spans="1:2" x14ac:dyDescent="0.25">
      <c r="A77489" s="118"/>
      <c r="B77489" s="136"/>
    </row>
    <row r="77490" spans="1:2" x14ac:dyDescent="0.25">
      <c r="A77490" s="118"/>
      <c r="B77490" s="136"/>
    </row>
    <row r="77491" spans="1:2" x14ac:dyDescent="0.25">
      <c r="A77491" s="118"/>
      <c r="B77491" s="136"/>
    </row>
    <row r="77492" spans="1:2" x14ac:dyDescent="0.25">
      <c r="A77492" s="118"/>
      <c r="B77492" s="136"/>
    </row>
    <row r="77493" spans="1:2" x14ac:dyDescent="0.25">
      <c r="A77493" s="118"/>
      <c r="B77493" s="136"/>
    </row>
    <row r="77494" spans="1:2" x14ac:dyDescent="0.25">
      <c r="A77494" s="118"/>
      <c r="B77494" s="136"/>
    </row>
    <row r="77495" spans="1:2" x14ac:dyDescent="0.25">
      <c r="A77495" s="118"/>
      <c r="B77495" s="136"/>
    </row>
    <row r="77496" spans="1:2" x14ac:dyDescent="0.25">
      <c r="A77496" s="118"/>
      <c r="B77496" s="136"/>
    </row>
    <row r="77497" spans="1:2" x14ac:dyDescent="0.25">
      <c r="A77497" s="118"/>
      <c r="B77497" s="136"/>
    </row>
    <row r="77498" spans="1:2" x14ac:dyDescent="0.25">
      <c r="A77498" s="118"/>
      <c r="B77498" s="136"/>
    </row>
    <row r="77499" spans="1:2" x14ac:dyDescent="0.25">
      <c r="A77499" s="118"/>
      <c r="B77499" s="136"/>
    </row>
    <row r="77500" spans="1:2" x14ac:dyDescent="0.25">
      <c r="A77500" s="118"/>
      <c r="B77500" s="136"/>
    </row>
    <row r="77501" spans="1:2" x14ac:dyDescent="0.25">
      <c r="A77501" s="118"/>
      <c r="B77501" s="136"/>
    </row>
    <row r="77502" spans="1:2" x14ac:dyDescent="0.25">
      <c r="A77502" s="118"/>
      <c r="B77502" s="136"/>
    </row>
    <row r="77503" spans="1:2" x14ac:dyDescent="0.25">
      <c r="A77503" s="118"/>
      <c r="B77503" s="136"/>
    </row>
    <row r="77504" spans="1:2" x14ac:dyDescent="0.25">
      <c r="A77504" s="118"/>
      <c r="B77504" s="136"/>
    </row>
    <row r="77505" spans="1:2" x14ac:dyDescent="0.25">
      <c r="A77505" s="118"/>
      <c r="B77505" s="136"/>
    </row>
    <row r="77506" spans="1:2" x14ac:dyDescent="0.25">
      <c r="A77506" s="118"/>
      <c r="B77506" s="136"/>
    </row>
    <row r="77507" spans="1:2" x14ac:dyDescent="0.25">
      <c r="A77507" s="118"/>
      <c r="B77507" s="136"/>
    </row>
    <row r="77508" spans="1:2" x14ac:dyDescent="0.25">
      <c r="A77508" s="118"/>
      <c r="B77508" s="136"/>
    </row>
    <row r="77509" spans="1:2" x14ac:dyDescent="0.25">
      <c r="A77509" s="118"/>
      <c r="B77509" s="136"/>
    </row>
    <row r="77510" spans="1:2" x14ac:dyDescent="0.25">
      <c r="A77510" s="118"/>
      <c r="B77510" s="136"/>
    </row>
    <row r="77511" spans="1:2" x14ac:dyDescent="0.25">
      <c r="A77511" s="118"/>
      <c r="B77511" s="136"/>
    </row>
    <row r="77512" spans="1:2" x14ac:dyDescent="0.25">
      <c r="A77512" s="118"/>
      <c r="B77512" s="136"/>
    </row>
    <row r="77513" spans="1:2" x14ac:dyDescent="0.25">
      <c r="A77513" s="118"/>
      <c r="B77513" s="136"/>
    </row>
    <row r="77514" spans="1:2" x14ac:dyDescent="0.25">
      <c r="A77514" s="118"/>
      <c r="B77514" s="136"/>
    </row>
    <row r="77515" spans="1:2" x14ac:dyDescent="0.25">
      <c r="A77515" s="118"/>
      <c r="B77515" s="136"/>
    </row>
    <row r="77516" spans="1:2" x14ac:dyDescent="0.25">
      <c r="A77516" s="118"/>
      <c r="B77516" s="136"/>
    </row>
    <row r="77517" spans="1:2" x14ac:dyDescent="0.25">
      <c r="A77517" s="118"/>
      <c r="B77517" s="136"/>
    </row>
    <row r="77518" spans="1:2" x14ac:dyDescent="0.25">
      <c r="A77518" s="118"/>
      <c r="B77518" s="136"/>
    </row>
    <row r="77519" spans="1:2" x14ac:dyDescent="0.25">
      <c r="A77519" s="118"/>
      <c r="B77519" s="136"/>
    </row>
    <row r="77520" spans="1:2" x14ac:dyDescent="0.25">
      <c r="A77520" s="118"/>
      <c r="B77520" s="136"/>
    </row>
    <row r="77521" spans="1:2" x14ac:dyDescent="0.25">
      <c r="A77521" s="118"/>
      <c r="B77521" s="136"/>
    </row>
    <row r="77522" spans="1:2" x14ac:dyDescent="0.25">
      <c r="A77522" s="118"/>
      <c r="B77522" s="136"/>
    </row>
    <row r="77523" spans="1:2" x14ac:dyDescent="0.25">
      <c r="A77523" s="118"/>
      <c r="B77523" s="136"/>
    </row>
    <row r="77524" spans="1:2" x14ac:dyDescent="0.25">
      <c r="A77524" s="118"/>
      <c r="B77524" s="136"/>
    </row>
    <row r="77525" spans="1:2" x14ac:dyDescent="0.25">
      <c r="A77525" s="118"/>
      <c r="B77525" s="136"/>
    </row>
    <row r="77526" spans="1:2" x14ac:dyDescent="0.25">
      <c r="A77526" s="118"/>
      <c r="B77526" s="136"/>
    </row>
    <row r="77527" spans="1:2" x14ac:dyDescent="0.25">
      <c r="A77527" s="118"/>
      <c r="B77527" s="136"/>
    </row>
    <row r="77528" spans="1:2" x14ac:dyDescent="0.25">
      <c r="A77528" s="118"/>
      <c r="B77528" s="136"/>
    </row>
    <row r="77529" spans="1:2" x14ac:dyDescent="0.25">
      <c r="A77529" s="118"/>
      <c r="B77529" s="136"/>
    </row>
    <row r="77530" spans="1:2" x14ac:dyDescent="0.25">
      <c r="A77530" s="118"/>
      <c r="B77530" s="136"/>
    </row>
    <row r="77531" spans="1:2" x14ac:dyDescent="0.25">
      <c r="A77531" s="118"/>
      <c r="B77531" s="136"/>
    </row>
    <row r="77532" spans="1:2" x14ac:dyDescent="0.25">
      <c r="A77532" s="118"/>
      <c r="B77532" s="136"/>
    </row>
    <row r="77533" spans="1:2" x14ac:dyDescent="0.25">
      <c r="A77533" s="118"/>
      <c r="B77533" s="136"/>
    </row>
    <row r="77534" spans="1:2" x14ac:dyDescent="0.25">
      <c r="A77534" s="118"/>
      <c r="B77534" s="136"/>
    </row>
    <row r="77535" spans="1:2" x14ac:dyDescent="0.25">
      <c r="A77535" s="118"/>
      <c r="B77535" s="136"/>
    </row>
    <row r="77536" spans="1:2" x14ac:dyDescent="0.25">
      <c r="A77536" s="118"/>
      <c r="B77536" s="136"/>
    </row>
    <row r="77537" spans="1:2" x14ac:dyDescent="0.25">
      <c r="A77537" s="118"/>
      <c r="B77537" s="136"/>
    </row>
    <row r="77538" spans="1:2" x14ac:dyDescent="0.25">
      <c r="A77538" s="118"/>
      <c r="B77538" s="136"/>
    </row>
    <row r="77539" spans="1:2" x14ac:dyDescent="0.25">
      <c r="A77539" s="118"/>
      <c r="B77539" s="136"/>
    </row>
    <row r="77540" spans="1:2" x14ac:dyDescent="0.25">
      <c r="A77540" s="118"/>
      <c r="B77540" s="136"/>
    </row>
    <row r="77541" spans="1:2" x14ac:dyDescent="0.25">
      <c r="A77541" s="118"/>
      <c r="B77541" s="136"/>
    </row>
    <row r="77542" spans="1:2" x14ac:dyDescent="0.25">
      <c r="A77542" s="118"/>
      <c r="B77542" s="136"/>
    </row>
    <row r="77543" spans="1:2" x14ac:dyDescent="0.25">
      <c r="A77543" s="118"/>
      <c r="B77543" s="136"/>
    </row>
    <row r="77544" spans="1:2" x14ac:dyDescent="0.25">
      <c r="A77544" s="118"/>
      <c r="B77544" s="136"/>
    </row>
    <row r="77545" spans="1:2" x14ac:dyDescent="0.25">
      <c r="A77545" s="118"/>
      <c r="B77545" s="136"/>
    </row>
    <row r="77546" spans="1:2" x14ac:dyDescent="0.25">
      <c r="A77546" s="118"/>
      <c r="B77546" s="136"/>
    </row>
    <row r="77547" spans="1:2" x14ac:dyDescent="0.25">
      <c r="A77547" s="118"/>
      <c r="B77547" s="136"/>
    </row>
    <row r="77548" spans="1:2" x14ac:dyDescent="0.25">
      <c r="A77548" s="118"/>
      <c r="B77548" s="136"/>
    </row>
    <row r="77549" spans="1:2" x14ac:dyDescent="0.25">
      <c r="A77549" s="118"/>
      <c r="B77549" s="136"/>
    </row>
    <row r="77550" spans="1:2" x14ac:dyDescent="0.25">
      <c r="A77550" s="118"/>
      <c r="B77550" s="136"/>
    </row>
    <row r="77551" spans="1:2" x14ac:dyDescent="0.25">
      <c r="A77551" s="118"/>
      <c r="B77551" s="136"/>
    </row>
    <row r="77552" spans="1:2" x14ac:dyDescent="0.25">
      <c r="A77552" s="118"/>
      <c r="B77552" s="136"/>
    </row>
    <row r="77553" spans="1:2" x14ac:dyDescent="0.25">
      <c r="A77553" s="118"/>
      <c r="B77553" s="136"/>
    </row>
    <row r="77554" spans="1:2" x14ac:dyDescent="0.25">
      <c r="A77554" s="118"/>
      <c r="B77554" s="136"/>
    </row>
    <row r="77555" spans="1:2" x14ac:dyDescent="0.25">
      <c r="A77555" s="118"/>
      <c r="B77555" s="136"/>
    </row>
    <row r="77556" spans="1:2" x14ac:dyDescent="0.25">
      <c r="A77556" s="118"/>
      <c r="B77556" s="136"/>
    </row>
    <row r="77557" spans="1:2" x14ac:dyDescent="0.25">
      <c r="A77557" s="118"/>
      <c r="B77557" s="136"/>
    </row>
    <row r="77558" spans="1:2" x14ac:dyDescent="0.25">
      <c r="A77558" s="118"/>
      <c r="B77558" s="136"/>
    </row>
    <row r="77559" spans="1:2" x14ac:dyDescent="0.25">
      <c r="A77559" s="118"/>
      <c r="B77559" s="136"/>
    </row>
    <row r="77560" spans="1:2" x14ac:dyDescent="0.25">
      <c r="A77560" s="118"/>
      <c r="B77560" s="136"/>
    </row>
    <row r="77561" spans="1:2" x14ac:dyDescent="0.25">
      <c r="A77561" s="118"/>
      <c r="B77561" s="136"/>
    </row>
    <row r="77562" spans="1:2" x14ac:dyDescent="0.25">
      <c r="A77562" s="118"/>
      <c r="B77562" s="136"/>
    </row>
    <row r="77563" spans="1:2" x14ac:dyDescent="0.25">
      <c r="A77563" s="118"/>
      <c r="B77563" s="136"/>
    </row>
    <row r="77564" spans="1:2" x14ac:dyDescent="0.25">
      <c r="A77564" s="118"/>
      <c r="B77564" s="136"/>
    </row>
    <row r="77565" spans="1:2" x14ac:dyDescent="0.25">
      <c r="A77565" s="118"/>
      <c r="B77565" s="136"/>
    </row>
    <row r="77566" spans="1:2" x14ac:dyDescent="0.25">
      <c r="A77566" s="118"/>
      <c r="B77566" s="136"/>
    </row>
    <row r="77567" spans="1:2" x14ac:dyDescent="0.25">
      <c r="A77567" s="118"/>
      <c r="B77567" s="136"/>
    </row>
    <row r="77568" spans="1:2" x14ac:dyDescent="0.25">
      <c r="A77568" s="118"/>
      <c r="B77568" s="136"/>
    </row>
    <row r="77569" spans="1:2" x14ac:dyDescent="0.25">
      <c r="A77569" s="118"/>
      <c r="B77569" s="136"/>
    </row>
    <row r="77570" spans="1:2" x14ac:dyDescent="0.25">
      <c r="A77570" s="118"/>
      <c r="B77570" s="136"/>
    </row>
    <row r="77571" spans="1:2" x14ac:dyDescent="0.25">
      <c r="A77571" s="118"/>
      <c r="B77571" s="136"/>
    </row>
    <row r="77572" spans="1:2" x14ac:dyDescent="0.25">
      <c r="A77572" s="118"/>
      <c r="B77572" s="136"/>
    </row>
    <row r="77573" spans="1:2" x14ac:dyDescent="0.25">
      <c r="A77573" s="118"/>
      <c r="B77573" s="136"/>
    </row>
    <row r="77574" spans="1:2" x14ac:dyDescent="0.25">
      <c r="A77574" s="118"/>
      <c r="B77574" s="136"/>
    </row>
    <row r="77575" spans="1:2" x14ac:dyDescent="0.25">
      <c r="A77575" s="118"/>
      <c r="B77575" s="136"/>
    </row>
    <row r="77576" spans="1:2" x14ac:dyDescent="0.25">
      <c r="A77576" s="118"/>
      <c r="B77576" s="136"/>
    </row>
    <row r="77577" spans="1:2" x14ac:dyDescent="0.25">
      <c r="A77577" s="118"/>
      <c r="B77577" s="136"/>
    </row>
    <row r="77578" spans="1:2" x14ac:dyDescent="0.25">
      <c r="A77578" s="118"/>
      <c r="B77578" s="136"/>
    </row>
    <row r="77579" spans="1:2" x14ac:dyDescent="0.25">
      <c r="A77579" s="118"/>
      <c r="B77579" s="136"/>
    </row>
    <row r="77580" spans="1:2" x14ac:dyDescent="0.25">
      <c r="A77580" s="118"/>
      <c r="B77580" s="136"/>
    </row>
    <row r="77581" spans="1:2" x14ac:dyDescent="0.25">
      <c r="A77581" s="118"/>
      <c r="B77581" s="136"/>
    </row>
    <row r="77582" spans="1:2" x14ac:dyDescent="0.25">
      <c r="A77582" s="118"/>
      <c r="B77582" s="136"/>
    </row>
    <row r="77583" spans="1:2" x14ac:dyDescent="0.25">
      <c r="A77583" s="118"/>
      <c r="B77583" s="136"/>
    </row>
    <row r="77584" spans="1:2" x14ac:dyDescent="0.25">
      <c r="A77584" s="118"/>
      <c r="B77584" s="136"/>
    </row>
    <row r="77585" spans="1:2" x14ac:dyDescent="0.25">
      <c r="A77585" s="118"/>
      <c r="B77585" s="136"/>
    </row>
    <row r="77586" spans="1:2" x14ac:dyDescent="0.25">
      <c r="A77586" s="118"/>
      <c r="B77586" s="136"/>
    </row>
    <row r="77587" spans="1:2" x14ac:dyDescent="0.25">
      <c r="A77587" s="118"/>
      <c r="B77587" s="136"/>
    </row>
    <row r="77588" spans="1:2" x14ac:dyDescent="0.25">
      <c r="A77588" s="118"/>
      <c r="B77588" s="136"/>
    </row>
    <row r="77589" spans="1:2" x14ac:dyDescent="0.25">
      <c r="A77589" s="118"/>
      <c r="B77589" s="136"/>
    </row>
    <row r="77590" spans="1:2" x14ac:dyDescent="0.25">
      <c r="A77590" s="118"/>
      <c r="B77590" s="136"/>
    </row>
    <row r="77591" spans="1:2" x14ac:dyDescent="0.25">
      <c r="A77591" s="118"/>
      <c r="B77591" s="136"/>
    </row>
    <row r="77592" spans="1:2" x14ac:dyDescent="0.25">
      <c r="A77592" s="118"/>
      <c r="B77592" s="136"/>
    </row>
    <row r="77593" spans="1:2" x14ac:dyDescent="0.25">
      <c r="A77593" s="118"/>
      <c r="B77593" s="136"/>
    </row>
    <row r="77594" spans="1:2" x14ac:dyDescent="0.25">
      <c r="A77594" s="118"/>
      <c r="B77594" s="136"/>
    </row>
    <row r="77595" spans="1:2" x14ac:dyDescent="0.25">
      <c r="A77595" s="118"/>
      <c r="B77595" s="136"/>
    </row>
    <row r="77596" spans="1:2" x14ac:dyDescent="0.25">
      <c r="A77596" s="118"/>
      <c r="B77596" s="136"/>
    </row>
    <row r="77597" spans="1:2" x14ac:dyDescent="0.25">
      <c r="A77597" s="118"/>
      <c r="B77597" s="136"/>
    </row>
    <row r="77598" spans="1:2" x14ac:dyDescent="0.25">
      <c r="A77598" s="118"/>
      <c r="B77598" s="136"/>
    </row>
    <row r="77599" spans="1:2" x14ac:dyDescent="0.25">
      <c r="A77599" s="118"/>
      <c r="B77599" s="136"/>
    </row>
    <row r="77600" spans="1:2" x14ac:dyDescent="0.25">
      <c r="A77600" s="118"/>
      <c r="B77600" s="136"/>
    </row>
    <row r="77601" spans="1:2" x14ac:dyDescent="0.25">
      <c r="A77601" s="118"/>
      <c r="B77601" s="136"/>
    </row>
    <row r="77602" spans="1:2" x14ac:dyDescent="0.25">
      <c r="A77602" s="118"/>
      <c r="B77602" s="136"/>
    </row>
    <row r="77603" spans="1:2" x14ac:dyDescent="0.25">
      <c r="A77603" s="118"/>
      <c r="B77603" s="136"/>
    </row>
    <row r="77604" spans="1:2" x14ac:dyDescent="0.25">
      <c r="A77604" s="118"/>
      <c r="B77604" s="136"/>
    </row>
    <row r="77605" spans="1:2" x14ac:dyDescent="0.25">
      <c r="A77605" s="118"/>
      <c r="B77605" s="136"/>
    </row>
    <row r="77606" spans="1:2" x14ac:dyDescent="0.25">
      <c r="A77606" s="118"/>
      <c r="B77606" s="136"/>
    </row>
    <row r="77607" spans="1:2" x14ac:dyDescent="0.25">
      <c r="A77607" s="118"/>
      <c r="B77607" s="136"/>
    </row>
    <row r="77608" spans="1:2" x14ac:dyDescent="0.25">
      <c r="A77608" s="118"/>
      <c r="B77608" s="136"/>
    </row>
    <row r="77609" spans="1:2" x14ac:dyDescent="0.25">
      <c r="A77609" s="118"/>
      <c r="B77609" s="136"/>
    </row>
    <row r="77610" spans="1:2" x14ac:dyDescent="0.25">
      <c r="A77610" s="118"/>
      <c r="B77610" s="136"/>
    </row>
    <row r="77611" spans="1:2" x14ac:dyDescent="0.25">
      <c r="A77611" s="118"/>
      <c r="B77611" s="136"/>
    </row>
    <row r="77612" spans="1:2" x14ac:dyDescent="0.25">
      <c r="A77612" s="118"/>
      <c r="B77612" s="136"/>
    </row>
    <row r="77613" spans="1:2" x14ac:dyDescent="0.25">
      <c r="A77613" s="118"/>
      <c r="B77613" s="136"/>
    </row>
    <row r="77614" spans="1:2" x14ac:dyDescent="0.25">
      <c r="A77614" s="118"/>
      <c r="B77614" s="136"/>
    </row>
    <row r="77615" spans="1:2" x14ac:dyDescent="0.25">
      <c r="A77615" s="118"/>
      <c r="B77615" s="136"/>
    </row>
    <row r="77616" spans="1:2" x14ac:dyDescent="0.25">
      <c r="A77616" s="118"/>
      <c r="B77616" s="136"/>
    </row>
    <row r="77617" spans="1:2" x14ac:dyDescent="0.25">
      <c r="A77617" s="118"/>
      <c r="B77617" s="136"/>
    </row>
    <row r="77618" spans="1:2" x14ac:dyDescent="0.25">
      <c r="A77618" s="118"/>
      <c r="B77618" s="136"/>
    </row>
    <row r="77619" spans="1:2" x14ac:dyDescent="0.25">
      <c r="A77619" s="118"/>
      <c r="B77619" s="136"/>
    </row>
    <row r="77620" spans="1:2" x14ac:dyDescent="0.25">
      <c r="A77620" s="118"/>
      <c r="B77620" s="136"/>
    </row>
    <row r="77621" spans="1:2" x14ac:dyDescent="0.25">
      <c r="A77621" s="118"/>
      <c r="B77621" s="136"/>
    </row>
    <row r="77622" spans="1:2" x14ac:dyDescent="0.25">
      <c r="A77622" s="118"/>
      <c r="B77622" s="136"/>
    </row>
    <row r="77623" spans="1:2" x14ac:dyDescent="0.25">
      <c r="A77623" s="118"/>
      <c r="B77623" s="136"/>
    </row>
    <row r="77624" spans="1:2" x14ac:dyDescent="0.25">
      <c r="A77624" s="118"/>
      <c r="B77624" s="136"/>
    </row>
    <row r="77625" spans="1:2" x14ac:dyDescent="0.25">
      <c r="A77625" s="118"/>
      <c r="B77625" s="136"/>
    </row>
    <row r="77626" spans="1:2" x14ac:dyDescent="0.25">
      <c r="A77626" s="118"/>
      <c r="B77626" s="136"/>
    </row>
    <row r="77627" spans="1:2" x14ac:dyDescent="0.25">
      <c r="A77627" s="118"/>
      <c r="B77627" s="136"/>
    </row>
    <row r="77628" spans="1:2" x14ac:dyDescent="0.25">
      <c r="A77628" s="118"/>
      <c r="B77628" s="136"/>
    </row>
    <row r="77629" spans="1:2" x14ac:dyDescent="0.25">
      <c r="A77629" s="118"/>
      <c r="B77629" s="136"/>
    </row>
    <row r="77630" spans="1:2" x14ac:dyDescent="0.25">
      <c r="A77630" s="118"/>
      <c r="B77630" s="136"/>
    </row>
    <row r="77631" spans="1:2" x14ac:dyDescent="0.25">
      <c r="A77631" s="118"/>
      <c r="B77631" s="136"/>
    </row>
    <row r="77632" spans="1:2" x14ac:dyDescent="0.25">
      <c r="A77632" s="118"/>
      <c r="B77632" s="136"/>
    </row>
    <row r="77633" spans="1:2" x14ac:dyDescent="0.25">
      <c r="A77633" s="118"/>
      <c r="B77633" s="136"/>
    </row>
    <row r="77634" spans="1:2" x14ac:dyDescent="0.25">
      <c r="A77634" s="118"/>
      <c r="B77634" s="136"/>
    </row>
    <row r="77635" spans="1:2" x14ac:dyDescent="0.25">
      <c r="A77635" s="118"/>
      <c r="B77635" s="136"/>
    </row>
    <row r="77636" spans="1:2" x14ac:dyDescent="0.25">
      <c r="A77636" s="118"/>
      <c r="B77636" s="136"/>
    </row>
    <row r="77637" spans="1:2" x14ac:dyDescent="0.25">
      <c r="A77637" s="118"/>
      <c r="B77637" s="136"/>
    </row>
    <row r="77638" spans="1:2" x14ac:dyDescent="0.25">
      <c r="A77638" s="118"/>
      <c r="B77638" s="136"/>
    </row>
    <row r="77639" spans="1:2" x14ac:dyDescent="0.25">
      <c r="A77639" s="118"/>
      <c r="B77639" s="136"/>
    </row>
    <row r="77640" spans="1:2" x14ac:dyDescent="0.25">
      <c r="A77640" s="118"/>
      <c r="B77640" s="136"/>
    </row>
    <row r="77641" spans="1:2" x14ac:dyDescent="0.25">
      <c r="A77641" s="118"/>
      <c r="B77641" s="136"/>
    </row>
    <row r="77642" spans="1:2" x14ac:dyDescent="0.25">
      <c r="A77642" s="118"/>
      <c r="B77642" s="136"/>
    </row>
    <row r="77643" spans="1:2" x14ac:dyDescent="0.25">
      <c r="A77643" s="118"/>
      <c r="B77643" s="136"/>
    </row>
    <row r="77644" spans="1:2" x14ac:dyDescent="0.25">
      <c r="A77644" s="118"/>
      <c r="B77644" s="136"/>
    </row>
    <row r="77645" spans="1:2" x14ac:dyDescent="0.25">
      <c r="A77645" s="118"/>
      <c r="B77645" s="136"/>
    </row>
    <row r="77646" spans="1:2" x14ac:dyDescent="0.25">
      <c r="A77646" s="118"/>
      <c r="B77646" s="136"/>
    </row>
    <row r="77647" spans="1:2" x14ac:dyDescent="0.25">
      <c r="A77647" s="118"/>
      <c r="B77647" s="136"/>
    </row>
    <row r="77648" spans="1:2" x14ac:dyDescent="0.25">
      <c r="A77648" s="118"/>
      <c r="B77648" s="136"/>
    </row>
    <row r="77649" spans="1:2" x14ac:dyDescent="0.25">
      <c r="A77649" s="118"/>
      <c r="B77649" s="136"/>
    </row>
    <row r="77650" spans="1:2" x14ac:dyDescent="0.25">
      <c r="A77650" s="118"/>
      <c r="B77650" s="136"/>
    </row>
    <row r="77651" spans="1:2" x14ac:dyDescent="0.25">
      <c r="A77651" s="118"/>
      <c r="B77651" s="136"/>
    </row>
    <row r="77652" spans="1:2" x14ac:dyDescent="0.25">
      <c r="A77652" s="118"/>
      <c r="B77652" s="136"/>
    </row>
    <row r="77653" spans="1:2" x14ac:dyDescent="0.25">
      <c r="A77653" s="118"/>
      <c r="B77653" s="136"/>
    </row>
    <row r="77654" spans="1:2" x14ac:dyDescent="0.25">
      <c r="A77654" s="118"/>
      <c r="B77654" s="136"/>
    </row>
    <row r="77655" spans="1:2" x14ac:dyDescent="0.25">
      <c r="A77655" s="118"/>
      <c r="B77655" s="136"/>
    </row>
    <row r="77656" spans="1:2" x14ac:dyDescent="0.25">
      <c r="A77656" s="118"/>
      <c r="B77656" s="136"/>
    </row>
    <row r="77657" spans="1:2" x14ac:dyDescent="0.25">
      <c r="A77657" s="118"/>
      <c r="B77657" s="136"/>
    </row>
    <row r="77658" spans="1:2" x14ac:dyDescent="0.25">
      <c r="A77658" s="118"/>
      <c r="B77658" s="136"/>
    </row>
    <row r="77659" spans="1:2" x14ac:dyDescent="0.25">
      <c r="A77659" s="118"/>
      <c r="B77659" s="136"/>
    </row>
    <row r="77660" spans="1:2" x14ac:dyDescent="0.25">
      <c r="A77660" s="118"/>
      <c r="B77660" s="136"/>
    </row>
    <row r="77661" spans="1:2" x14ac:dyDescent="0.25">
      <c r="A77661" s="118"/>
      <c r="B77661" s="136"/>
    </row>
    <row r="77662" spans="1:2" x14ac:dyDescent="0.25">
      <c r="A77662" s="118"/>
      <c r="B77662" s="136"/>
    </row>
    <row r="77663" spans="1:2" x14ac:dyDescent="0.25">
      <c r="A77663" s="118"/>
      <c r="B77663" s="136"/>
    </row>
    <row r="77664" spans="1:2" x14ac:dyDescent="0.25">
      <c r="A77664" s="118"/>
      <c r="B77664" s="136"/>
    </row>
    <row r="77665" spans="1:2" x14ac:dyDescent="0.25">
      <c r="A77665" s="118"/>
      <c r="B77665" s="136"/>
    </row>
    <row r="77666" spans="1:2" x14ac:dyDescent="0.25">
      <c r="A77666" s="118"/>
      <c r="B77666" s="136"/>
    </row>
    <row r="77667" spans="1:2" x14ac:dyDescent="0.25">
      <c r="A77667" s="118"/>
      <c r="B77667" s="136"/>
    </row>
    <row r="77668" spans="1:2" x14ac:dyDescent="0.25">
      <c r="A77668" s="118"/>
      <c r="B77668" s="136"/>
    </row>
    <row r="77669" spans="1:2" x14ac:dyDescent="0.25">
      <c r="A77669" s="118"/>
      <c r="B77669" s="136"/>
    </row>
    <row r="77670" spans="1:2" x14ac:dyDescent="0.25">
      <c r="A77670" s="118"/>
      <c r="B77670" s="136"/>
    </row>
    <row r="77671" spans="1:2" x14ac:dyDescent="0.25">
      <c r="A77671" s="118"/>
      <c r="B77671" s="136"/>
    </row>
    <row r="77672" spans="1:2" x14ac:dyDescent="0.25">
      <c r="A77672" s="118"/>
      <c r="B77672" s="136"/>
    </row>
    <row r="77673" spans="1:2" x14ac:dyDescent="0.25">
      <c r="A77673" s="118"/>
      <c r="B77673" s="136"/>
    </row>
    <row r="77674" spans="1:2" x14ac:dyDescent="0.25">
      <c r="A77674" s="118"/>
      <c r="B77674" s="136"/>
    </row>
    <row r="77675" spans="1:2" x14ac:dyDescent="0.25">
      <c r="A77675" s="118"/>
      <c r="B77675" s="136"/>
    </row>
    <row r="77676" spans="1:2" x14ac:dyDescent="0.25">
      <c r="A77676" s="118"/>
      <c r="B77676" s="136"/>
    </row>
    <row r="77677" spans="1:2" x14ac:dyDescent="0.25">
      <c r="A77677" s="118"/>
      <c r="B77677" s="136"/>
    </row>
    <row r="77678" spans="1:2" x14ac:dyDescent="0.25">
      <c r="A77678" s="118"/>
      <c r="B77678" s="136"/>
    </row>
    <row r="77679" spans="1:2" x14ac:dyDescent="0.25">
      <c r="A77679" s="118"/>
      <c r="B77679" s="136"/>
    </row>
    <row r="77680" spans="1:2" x14ac:dyDescent="0.25">
      <c r="A77680" s="118"/>
      <c r="B77680" s="136"/>
    </row>
    <row r="77681" spans="1:2" x14ac:dyDescent="0.25">
      <c r="A77681" s="118"/>
      <c r="B77681" s="136"/>
    </row>
    <row r="77682" spans="1:2" x14ac:dyDescent="0.25">
      <c r="A77682" s="118"/>
      <c r="B77682" s="136"/>
    </row>
    <row r="77683" spans="1:2" x14ac:dyDescent="0.25">
      <c r="A77683" s="118"/>
      <c r="B77683" s="136"/>
    </row>
    <row r="77684" spans="1:2" x14ac:dyDescent="0.25">
      <c r="A77684" s="118"/>
      <c r="B77684" s="136"/>
    </row>
    <row r="77685" spans="1:2" x14ac:dyDescent="0.25">
      <c r="A77685" s="118"/>
      <c r="B77685" s="136"/>
    </row>
    <row r="77686" spans="1:2" x14ac:dyDescent="0.25">
      <c r="A77686" s="118"/>
      <c r="B77686" s="136"/>
    </row>
    <row r="77687" spans="1:2" x14ac:dyDescent="0.25">
      <c r="A77687" s="118"/>
      <c r="B77687" s="136"/>
    </row>
    <row r="77688" spans="1:2" x14ac:dyDescent="0.25">
      <c r="A77688" s="118"/>
      <c r="B77688" s="136"/>
    </row>
    <row r="77689" spans="1:2" x14ac:dyDescent="0.25">
      <c r="A77689" s="118"/>
      <c r="B77689" s="136"/>
    </row>
    <row r="77690" spans="1:2" x14ac:dyDescent="0.25">
      <c r="A77690" s="118"/>
      <c r="B77690" s="136"/>
    </row>
    <row r="77691" spans="1:2" x14ac:dyDescent="0.25">
      <c r="A77691" s="118"/>
      <c r="B77691" s="136"/>
    </row>
    <row r="77692" spans="1:2" x14ac:dyDescent="0.25">
      <c r="A77692" s="118"/>
      <c r="B77692" s="136"/>
    </row>
    <row r="77693" spans="1:2" x14ac:dyDescent="0.25">
      <c r="A77693" s="118"/>
      <c r="B77693" s="136"/>
    </row>
    <row r="77694" spans="1:2" x14ac:dyDescent="0.25">
      <c r="A77694" s="118"/>
      <c r="B77694" s="136"/>
    </row>
    <row r="77695" spans="1:2" x14ac:dyDescent="0.25">
      <c r="A77695" s="118"/>
      <c r="B77695" s="136"/>
    </row>
    <row r="77696" spans="1:2" x14ac:dyDescent="0.25">
      <c r="A77696" s="118"/>
      <c r="B77696" s="136"/>
    </row>
    <row r="77697" spans="1:2" x14ac:dyDescent="0.25">
      <c r="A77697" s="118"/>
      <c r="B77697" s="136"/>
    </row>
    <row r="77698" spans="1:2" x14ac:dyDescent="0.25">
      <c r="A77698" s="118"/>
      <c r="B77698" s="136"/>
    </row>
    <row r="77699" spans="1:2" x14ac:dyDescent="0.25">
      <c r="A77699" s="118"/>
      <c r="B77699" s="136"/>
    </row>
    <row r="77700" spans="1:2" x14ac:dyDescent="0.25">
      <c r="A77700" s="118"/>
      <c r="B77700" s="136"/>
    </row>
    <row r="77701" spans="1:2" x14ac:dyDescent="0.25">
      <c r="A77701" s="118"/>
      <c r="B77701" s="136"/>
    </row>
    <row r="77702" spans="1:2" x14ac:dyDescent="0.25">
      <c r="A77702" s="118"/>
      <c r="B77702" s="136"/>
    </row>
    <row r="77703" spans="1:2" x14ac:dyDescent="0.25">
      <c r="A77703" s="118"/>
      <c r="B77703" s="136"/>
    </row>
    <row r="77704" spans="1:2" x14ac:dyDescent="0.25">
      <c r="A77704" s="118"/>
      <c r="B77704" s="136"/>
    </row>
    <row r="77705" spans="1:2" x14ac:dyDescent="0.25">
      <c r="A77705" s="118"/>
      <c r="B77705" s="136"/>
    </row>
    <row r="77706" spans="1:2" x14ac:dyDescent="0.25">
      <c r="A77706" s="118"/>
      <c r="B77706" s="136"/>
    </row>
    <row r="77707" spans="1:2" x14ac:dyDescent="0.25">
      <c r="A77707" s="118"/>
      <c r="B77707" s="136"/>
    </row>
    <row r="77708" spans="1:2" x14ac:dyDescent="0.25">
      <c r="A77708" s="118"/>
      <c r="B77708" s="136"/>
    </row>
    <row r="77709" spans="1:2" x14ac:dyDescent="0.25">
      <c r="A77709" s="118"/>
      <c r="B77709" s="136"/>
    </row>
    <row r="77710" spans="1:2" x14ac:dyDescent="0.25">
      <c r="A77710" s="118"/>
      <c r="B77710" s="136"/>
    </row>
    <row r="77711" spans="1:2" x14ac:dyDescent="0.25">
      <c r="A77711" s="118"/>
      <c r="B77711" s="136"/>
    </row>
    <row r="77712" spans="1:2" x14ac:dyDescent="0.25">
      <c r="A77712" s="118"/>
      <c r="B77712" s="136"/>
    </row>
    <row r="77713" spans="1:2" x14ac:dyDescent="0.25">
      <c r="A77713" s="118"/>
      <c r="B77713" s="136"/>
    </row>
    <row r="77714" spans="1:2" x14ac:dyDescent="0.25">
      <c r="A77714" s="118"/>
      <c r="B77714" s="136"/>
    </row>
    <row r="77715" spans="1:2" x14ac:dyDescent="0.25">
      <c r="A77715" s="118"/>
      <c r="B77715" s="136"/>
    </row>
    <row r="77716" spans="1:2" x14ac:dyDescent="0.25">
      <c r="A77716" s="118"/>
      <c r="B77716" s="136"/>
    </row>
    <row r="77717" spans="1:2" x14ac:dyDescent="0.25">
      <c r="A77717" s="118"/>
      <c r="B77717" s="136"/>
    </row>
    <row r="77718" spans="1:2" x14ac:dyDescent="0.25">
      <c r="A77718" s="118"/>
      <c r="B77718" s="136"/>
    </row>
    <row r="77719" spans="1:2" x14ac:dyDescent="0.25">
      <c r="A77719" s="118"/>
      <c r="B77719" s="136"/>
    </row>
    <row r="77720" spans="1:2" x14ac:dyDescent="0.25">
      <c r="A77720" s="118"/>
      <c r="B77720" s="136"/>
    </row>
    <row r="77721" spans="1:2" x14ac:dyDescent="0.25">
      <c r="A77721" s="118"/>
      <c r="B77721" s="136"/>
    </row>
    <row r="77722" spans="1:2" x14ac:dyDescent="0.25">
      <c r="A77722" s="118"/>
      <c r="B77722" s="136"/>
    </row>
    <row r="77723" spans="1:2" x14ac:dyDescent="0.25">
      <c r="A77723" s="118"/>
      <c r="B77723" s="136"/>
    </row>
    <row r="77724" spans="1:2" x14ac:dyDescent="0.25">
      <c r="A77724" s="118"/>
      <c r="B77724" s="136"/>
    </row>
    <row r="77725" spans="1:2" x14ac:dyDescent="0.25">
      <c r="A77725" s="118"/>
      <c r="B77725" s="136"/>
    </row>
    <row r="77726" spans="1:2" x14ac:dyDescent="0.25">
      <c r="A77726" s="118"/>
      <c r="B77726" s="136"/>
    </row>
    <row r="77727" spans="1:2" x14ac:dyDescent="0.25">
      <c r="A77727" s="118"/>
      <c r="B77727" s="136"/>
    </row>
    <row r="77728" spans="1:2" x14ac:dyDescent="0.25">
      <c r="A77728" s="118"/>
      <c r="B77728" s="136"/>
    </row>
    <row r="77729" spans="1:2" x14ac:dyDescent="0.25">
      <c r="A77729" s="118"/>
      <c r="B77729" s="136"/>
    </row>
    <row r="77730" spans="1:2" x14ac:dyDescent="0.25">
      <c r="A77730" s="118"/>
      <c r="B77730" s="136"/>
    </row>
    <row r="77731" spans="1:2" x14ac:dyDescent="0.25">
      <c r="A77731" s="118"/>
      <c r="B77731" s="136"/>
    </row>
    <row r="77732" spans="1:2" x14ac:dyDescent="0.25">
      <c r="A77732" s="118"/>
      <c r="B77732" s="136"/>
    </row>
    <row r="77733" spans="1:2" x14ac:dyDescent="0.25">
      <c r="A77733" s="118"/>
      <c r="B77733" s="136"/>
    </row>
    <row r="77734" spans="1:2" x14ac:dyDescent="0.25">
      <c r="A77734" s="118"/>
      <c r="B77734" s="136"/>
    </row>
    <row r="77735" spans="1:2" x14ac:dyDescent="0.25">
      <c r="A77735" s="118"/>
      <c r="B77735" s="136"/>
    </row>
    <row r="77736" spans="1:2" x14ac:dyDescent="0.25">
      <c r="A77736" s="118"/>
      <c r="B77736" s="136"/>
    </row>
    <row r="77737" spans="1:2" x14ac:dyDescent="0.25">
      <c r="A77737" s="118"/>
      <c r="B77737" s="136"/>
    </row>
    <row r="77738" spans="1:2" x14ac:dyDescent="0.25">
      <c r="A77738" s="118"/>
      <c r="B77738" s="136"/>
    </row>
    <row r="77739" spans="1:2" x14ac:dyDescent="0.25">
      <c r="A77739" s="118"/>
      <c r="B77739" s="136"/>
    </row>
    <row r="77740" spans="1:2" x14ac:dyDescent="0.25">
      <c r="A77740" s="118"/>
      <c r="B77740" s="136"/>
    </row>
    <row r="77741" spans="1:2" x14ac:dyDescent="0.25">
      <c r="A77741" s="118"/>
      <c r="B77741" s="136"/>
    </row>
    <row r="77742" spans="1:2" x14ac:dyDescent="0.25">
      <c r="A77742" s="118"/>
      <c r="B77742" s="136"/>
    </row>
    <row r="77743" spans="1:2" x14ac:dyDescent="0.25">
      <c r="A77743" s="118"/>
      <c r="B77743" s="136"/>
    </row>
    <row r="77744" spans="1:2" x14ac:dyDescent="0.25">
      <c r="A77744" s="118"/>
      <c r="B77744" s="136"/>
    </row>
    <row r="77745" spans="1:2" x14ac:dyDescent="0.25">
      <c r="A77745" s="118"/>
      <c r="B77745" s="136"/>
    </row>
    <row r="77746" spans="1:2" x14ac:dyDescent="0.25">
      <c r="A77746" s="118"/>
      <c r="B77746" s="136"/>
    </row>
    <row r="77747" spans="1:2" x14ac:dyDescent="0.25">
      <c r="A77747" s="118"/>
      <c r="B77747" s="136"/>
    </row>
    <row r="77748" spans="1:2" x14ac:dyDescent="0.25">
      <c r="A77748" s="118"/>
      <c r="B77748" s="136"/>
    </row>
    <row r="77749" spans="1:2" x14ac:dyDescent="0.25">
      <c r="A77749" s="118"/>
      <c r="B77749" s="136"/>
    </row>
    <row r="77750" spans="1:2" x14ac:dyDescent="0.25">
      <c r="A77750" s="118"/>
      <c r="B77750" s="136"/>
    </row>
    <row r="77751" spans="1:2" x14ac:dyDescent="0.25">
      <c r="A77751" s="118"/>
      <c r="B77751" s="136"/>
    </row>
    <row r="77752" spans="1:2" x14ac:dyDescent="0.25">
      <c r="A77752" s="118"/>
      <c r="B77752" s="136"/>
    </row>
    <row r="77753" spans="1:2" x14ac:dyDescent="0.25">
      <c r="A77753" s="118"/>
      <c r="B77753" s="136"/>
    </row>
    <row r="77754" spans="1:2" x14ac:dyDescent="0.25">
      <c r="A77754" s="118"/>
      <c r="B77754" s="136"/>
    </row>
    <row r="77755" spans="1:2" x14ac:dyDescent="0.25">
      <c r="A77755" s="118"/>
      <c r="B77755" s="136"/>
    </row>
    <row r="77756" spans="1:2" x14ac:dyDescent="0.25">
      <c r="A77756" s="118"/>
      <c r="B77756" s="136"/>
    </row>
    <row r="77757" spans="1:2" x14ac:dyDescent="0.25">
      <c r="A77757" s="118"/>
      <c r="B77757" s="136"/>
    </row>
    <row r="77758" spans="1:2" x14ac:dyDescent="0.25">
      <c r="A77758" s="118"/>
      <c r="B77758" s="136"/>
    </row>
    <row r="77759" spans="1:2" x14ac:dyDescent="0.25">
      <c r="A77759" s="118"/>
      <c r="B77759" s="136"/>
    </row>
    <row r="77760" spans="1:2" x14ac:dyDescent="0.25">
      <c r="A77760" s="118"/>
      <c r="B77760" s="136"/>
    </row>
    <row r="77761" spans="1:2" x14ac:dyDescent="0.25">
      <c r="A77761" s="118"/>
      <c r="B77761" s="136"/>
    </row>
    <row r="77762" spans="1:2" x14ac:dyDescent="0.25">
      <c r="A77762" s="118"/>
      <c r="B77762" s="136"/>
    </row>
    <row r="77763" spans="1:2" x14ac:dyDescent="0.25">
      <c r="A77763" s="118"/>
      <c r="B77763" s="136"/>
    </row>
    <row r="77764" spans="1:2" x14ac:dyDescent="0.25">
      <c r="A77764" s="118"/>
      <c r="B77764" s="136"/>
    </row>
    <row r="77765" spans="1:2" x14ac:dyDescent="0.25">
      <c r="A77765" s="118"/>
      <c r="B77765" s="136"/>
    </row>
    <row r="77766" spans="1:2" x14ac:dyDescent="0.25">
      <c r="A77766" s="118"/>
      <c r="B77766" s="136"/>
    </row>
    <row r="77767" spans="1:2" x14ac:dyDescent="0.25">
      <c r="A77767" s="118"/>
      <c r="B77767" s="136"/>
    </row>
    <row r="77768" spans="1:2" x14ac:dyDescent="0.25">
      <c r="A77768" s="118"/>
      <c r="B77768" s="136"/>
    </row>
    <row r="77769" spans="1:2" x14ac:dyDescent="0.25">
      <c r="A77769" s="118"/>
      <c r="B77769" s="136"/>
    </row>
    <row r="77770" spans="1:2" x14ac:dyDescent="0.25">
      <c r="A77770" s="118"/>
      <c r="B77770" s="136"/>
    </row>
    <row r="77771" spans="1:2" x14ac:dyDescent="0.25">
      <c r="A77771" s="118"/>
      <c r="B77771" s="136"/>
    </row>
    <row r="77772" spans="1:2" x14ac:dyDescent="0.25">
      <c r="A77772" s="118"/>
      <c r="B77772" s="136"/>
    </row>
    <row r="77773" spans="1:2" x14ac:dyDescent="0.25">
      <c r="A77773" s="118"/>
      <c r="B77773" s="136"/>
    </row>
    <row r="77774" spans="1:2" x14ac:dyDescent="0.25">
      <c r="A77774" s="118"/>
      <c r="B77774" s="136"/>
    </row>
    <row r="77775" spans="1:2" x14ac:dyDescent="0.25">
      <c r="A77775" s="118"/>
      <c r="B77775" s="136"/>
    </row>
    <row r="77776" spans="1:2" x14ac:dyDescent="0.25">
      <c r="A77776" s="118"/>
      <c r="B77776" s="136"/>
    </row>
    <row r="77777" spans="1:2" x14ac:dyDescent="0.25">
      <c r="A77777" s="118"/>
      <c r="B77777" s="136"/>
    </row>
    <row r="77778" spans="1:2" x14ac:dyDescent="0.25">
      <c r="A77778" s="118"/>
      <c r="B77778" s="136"/>
    </row>
    <row r="77779" spans="1:2" x14ac:dyDescent="0.25">
      <c r="A77779" s="118"/>
      <c r="B77779" s="136"/>
    </row>
    <row r="77780" spans="1:2" x14ac:dyDescent="0.25">
      <c r="A77780" s="118"/>
      <c r="B77780" s="136"/>
    </row>
    <row r="77781" spans="1:2" x14ac:dyDescent="0.25">
      <c r="A77781" s="118"/>
      <c r="B77781" s="136"/>
    </row>
    <row r="77782" spans="1:2" x14ac:dyDescent="0.25">
      <c r="A77782" s="118"/>
      <c r="B77782" s="136"/>
    </row>
    <row r="77783" spans="1:2" x14ac:dyDescent="0.25">
      <c r="A77783" s="118"/>
      <c r="B77783" s="136"/>
    </row>
    <row r="77784" spans="1:2" x14ac:dyDescent="0.25">
      <c r="A77784" s="118"/>
      <c r="B77784" s="136"/>
    </row>
    <row r="77785" spans="1:2" x14ac:dyDescent="0.25">
      <c r="A77785" s="118"/>
      <c r="B77785" s="136"/>
    </row>
    <row r="77786" spans="1:2" x14ac:dyDescent="0.25">
      <c r="A77786" s="118"/>
      <c r="B77786" s="136"/>
    </row>
    <row r="77787" spans="1:2" x14ac:dyDescent="0.25">
      <c r="A77787" s="118"/>
      <c r="B77787" s="136"/>
    </row>
    <row r="77788" spans="1:2" x14ac:dyDescent="0.25">
      <c r="A77788" s="118"/>
      <c r="B77788" s="136"/>
    </row>
    <row r="77789" spans="1:2" x14ac:dyDescent="0.25">
      <c r="A77789" s="118"/>
      <c r="B77789" s="136"/>
    </row>
    <row r="77790" spans="1:2" x14ac:dyDescent="0.25">
      <c r="A77790" s="118"/>
      <c r="B77790" s="136"/>
    </row>
    <row r="77791" spans="1:2" x14ac:dyDescent="0.25">
      <c r="A77791" s="118"/>
      <c r="B77791" s="136"/>
    </row>
    <row r="77792" spans="1:2" x14ac:dyDescent="0.25">
      <c r="A77792" s="118"/>
      <c r="B77792" s="136"/>
    </row>
    <row r="77793" spans="1:2" x14ac:dyDescent="0.25">
      <c r="A77793" s="118"/>
      <c r="B77793" s="136"/>
    </row>
    <row r="77794" spans="1:2" x14ac:dyDescent="0.25">
      <c r="A77794" s="118"/>
      <c r="B77794" s="136"/>
    </row>
    <row r="77795" spans="1:2" x14ac:dyDescent="0.25">
      <c r="A77795" s="118"/>
      <c r="B77795" s="136"/>
    </row>
    <row r="77796" spans="1:2" x14ac:dyDescent="0.25">
      <c r="A77796" s="118"/>
      <c r="B77796" s="136"/>
    </row>
    <row r="77797" spans="1:2" x14ac:dyDescent="0.25">
      <c r="A77797" s="118"/>
      <c r="B77797" s="136"/>
    </row>
    <row r="77798" spans="1:2" x14ac:dyDescent="0.25">
      <c r="A77798" s="118"/>
      <c r="B77798" s="136"/>
    </row>
    <row r="77799" spans="1:2" x14ac:dyDescent="0.25">
      <c r="A77799" s="118"/>
      <c r="B77799" s="136"/>
    </row>
    <row r="77800" spans="1:2" x14ac:dyDescent="0.25">
      <c r="A77800" s="118"/>
      <c r="B77800" s="136"/>
    </row>
    <row r="77801" spans="1:2" x14ac:dyDescent="0.25">
      <c r="A77801" s="118"/>
      <c r="B77801" s="136"/>
    </row>
    <row r="77802" spans="1:2" x14ac:dyDescent="0.25">
      <c r="A77802" s="118"/>
      <c r="B77802" s="136"/>
    </row>
    <row r="77803" spans="1:2" x14ac:dyDescent="0.25">
      <c r="A77803" s="118"/>
      <c r="B77803" s="136"/>
    </row>
    <row r="77804" spans="1:2" x14ac:dyDescent="0.25">
      <c r="A77804" s="118"/>
      <c r="B77804" s="136"/>
    </row>
    <row r="77805" spans="1:2" x14ac:dyDescent="0.25">
      <c r="A77805" s="118"/>
      <c r="B77805" s="136"/>
    </row>
    <row r="77806" spans="1:2" x14ac:dyDescent="0.25">
      <c r="A77806" s="118"/>
      <c r="B77806" s="136"/>
    </row>
    <row r="77807" spans="1:2" x14ac:dyDescent="0.25">
      <c r="A77807" s="118"/>
      <c r="B77807" s="136"/>
    </row>
    <row r="77808" spans="1:2" x14ac:dyDescent="0.25">
      <c r="A77808" s="118"/>
      <c r="B77808" s="136"/>
    </row>
    <row r="77809" spans="1:2" x14ac:dyDescent="0.25">
      <c r="A77809" s="118"/>
      <c r="B77809" s="136"/>
    </row>
    <row r="77810" spans="1:2" x14ac:dyDescent="0.25">
      <c r="A77810" s="118"/>
      <c r="B77810" s="136"/>
    </row>
    <row r="77811" spans="1:2" x14ac:dyDescent="0.25">
      <c r="A77811" s="118"/>
      <c r="B77811" s="136"/>
    </row>
    <row r="77812" spans="1:2" x14ac:dyDescent="0.25">
      <c r="A77812" s="118"/>
      <c r="B77812" s="136"/>
    </row>
    <row r="77813" spans="1:2" x14ac:dyDescent="0.25">
      <c r="A77813" s="118"/>
      <c r="B77813" s="136"/>
    </row>
    <row r="77814" spans="1:2" x14ac:dyDescent="0.25">
      <c r="A77814" s="118"/>
      <c r="B77814" s="136"/>
    </row>
    <row r="77815" spans="1:2" x14ac:dyDescent="0.25">
      <c r="A77815" s="118"/>
      <c r="B77815" s="136"/>
    </row>
    <row r="77816" spans="1:2" x14ac:dyDescent="0.25">
      <c r="A77816" s="118"/>
      <c r="B77816" s="136"/>
    </row>
    <row r="77817" spans="1:2" x14ac:dyDescent="0.25">
      <c r="A77817" s="118"/>
      <c r="B77817" s="136"/>
    </row>
    <row r="77818" spans="1:2" x14ac:dyDescent="0.25">
      <c r="A77818" s="118"/>
      <c r="B77818" s="136"/>
    </row>
    <row r="77819" spans="1:2" x14ac:dyDescent="0.25">
      <c r="A77819" s="118"/>
      <c r="B77819" s="136"/>
    </row>
    <row r="77820" spans="1:2" x14ac:dyDescent="0.25">
      <c r="A77820" s="118"/>
      <c r="B77820" s="136"/>
    </row>
    <row r="77821" spans="1:2" x14ac:dyDescent="0.25">
      <c r="A77821" s="118"/>
      <c r="B77821" s="136"/>
    </row>
    <row r="77822" spans="1:2" x14ac:dyDescent="0.25">
      <c r="A77822" s="118"/>
      <c r="B77822" s="136"/>
    </row>
    <row r="77823" spans="1:2" x14ac:dyDescent="0.25">
      <c r="A77823" s="118"/>
      <c r="B77823" s="136"/>
    </row>
    <row r="77824" spans="1:2" x14ac:dyDescent="0.25">
      <c r="A77824" s="118"/>
      <c r="B77824" s="136"/>
    </row>
    <row r="77825" spans="1:2" x14ac:dyDescent="0.25">
      <c r="A77825" s="118"/>
      <c r="B77825" s="136"/>
    </row>
    <row r="77826" spans="1:2" x14ac:dyDescent="0.25">
      <c r="A77826" s="118"/>
      <c r="B77826" s="136"/>
    </row>
    <row r="77827" spans="1:2" x14ac:dyDescent="0.25">
      <c r="A77827" s="118"/>
      <c r="B77827" s="136"/>
    </row>
    <row r="77828" spans="1:2" x14ac:dyDescent="0.25">
      <c r="A77828" s="118"/>
      <c r="B77828" s="136"/>
    </row>
    <row r="77829" spans="1:2" x14ac:dyDescent="0.25">
      <c r="A77829" s="118"/>
      <c r="B77829" s="136"/>
    </row>
    <row r="77830" spans="1:2" x14ac:dyDescent="0.25">
      <c r="A77830" s="118"/>
      <c r="B77830" s="136"/>
    </row>
    <row r="77831" spans="1:2" x14ac:dyDescent="0.25">
      <c r="A77831" s="118"/>
      <c r="B77831" s="136"/>
    </row>
    <row r="77832" spans="1:2" x14ac:dyDescent="0.25">
      <c r="A77832" s="118"/>
      <c r="B77832" s="136"/>
    </row>
    <row r="77833" spans="1:2" x14ac:dyDescent="0.25">
      <c r="A77833" s="118"/>
      <c r="B77833" s="136"/>
    </row>
    <row r="77834" spans="1:2" x14ac:dyDescent="0.25">
      <c r="A77834" s="118"/>
      <c r="B77834" s="136"/>
    </row>
    <row r="77835" spans="1:2" x14ac:dyDescent="0.25">
      <c r="A77835" s="118"/>
      <c r="B77835" s="136"/>
    </row>
    <row r="77836" spans="1:2" x14ac:dyDescent="0.25">
      <c r="A77836" s="118"/>
      <c r="B77836" s="136"/>
    </row>
    <row r="77837" spans="1:2" x14ac:dyDescent="0.25">
      <c r="A77837" s="118"/>
      <c r="B77837" s="136"/>
    </row>
    <row r="77838" spans="1:2" x14ac:dyDescent="0.25">
      <c r="A77838" s="118"/>
      <c r="B77838" s="136"/>
    </row>
    <row r="77839" spans="1:2" x14ac:dyDescent="0.25">
      <c r="A77839" s="118"/>
      <c r="B77839" s="136"/>
    </row>
    <row r="77840" spans="1:2" x14ac:dyDescent="0.25">
      <c r="A77840" s="118"/>
      <c r="B77840" s="136"/>
    </row>
    <row r="77841" spans="1:2" x14ac:dyDescent="0.25">
      <c r="A77841" s="118"/>
      <c r="B77841" s="136"/>
    </row>
    <row r="77842" spans="1:2" x14ac:dyDescent="0.25">
      <c r="A77842" s="118"/>
      <c r="B77842" s="136"/>
    </row>
    <row r="77843" spans="1:2" x14ac:dyDescent="0.25">
      <c r="A77843" s="118"/>
      <c r="B77843" s="136"/>
    </row>
    <row r="77844" spans="1:2" x14ac:dyDescent="0.25">
      <c r="A77844" s="118"/>
      <c r="B77844" s="136"/>
    </row>
    <row r="77845" spans="1:2" x14ac:dyDescent="0.25">
      <c r="A77845" s="118"/>
      <c r="B77845" s="136"/>
    </row>
    <row r="77846" spans="1:2" x14ac:dyDescent="0.25">
      <c r="A77846" s="118"/>
      <c r="B77846" s="136"/>
    </row>
    <row r="77847" spans="1:2" x14ac:dyDescent="0.25">
      <c r="A77847" s="118"/>
      <c r="B77847" s="136"/>
    </row>
    <row r="77848" spans="1:2" x14ac:dyDescent="0.25">
      <c r="A77848" s="118"/>
      <c r="B77848" s="136"/>
    </row>
    <row r="77849" spans="1:2" x14ac:dyDescent="0.25">
      <c r="A77849" s="118"/>
      <c r="B77849" s="136"/>
    </row>
    <row r="77850" spans="1:2" x14ac:dyDescent="0.25">
      <c r="A77850" s="118"/>
      <c r="B77850" s="136"/>
    </row>
    <row r="77851" spans="1:2" x14ac:dyDescent="0.25">
      <c r="A77851" s="118"/>
      <c r="B77851" s="136"/>
    </row>
    <row r="77852" spans="1:2" x14ac:dyDescent="0.25">
      <c r="A77852" s="118"/>
      <c r="B77852" s="136"/>
    </row>
    <row r="77853" spans="1:2" x14ac:dyDescent="0.25">
      <c r="A77853" s="118"/>
      <c r="B77853" s="136"/>
    </row>
    <row r="77854" spans="1:2" x14ac:dyDescent="0.25">
      <c r="A77854" s="118"/>
      <c r="B77854" s="136"/>
    </row>
    <row r="77855" spans="1:2" x14ac:dyDescent="0.25">
      <c r="A77855" s="118"/>
      <c r="B77855" s="136"/>
    </row>
    <row r="77856" spans="1:2" x14ac:dyDescent="0.25">
      <c r="A77856" s="118"/>
      <c r="B77856" s="136"/>
    </row>
    <row r="77857" spans="1:2" x14ac:dyDescent="0.25">
      <c r="A77857" s="118"/>
      <c r="B77857" s="136"/>
    </row>
    <row r="77858" spans="1:2" x14ac:dyDescent="0.25">
      <c r="A77858" s="118"/>
      <c r="B77858" s="136"/>
    </row>
    <row r="77859" spans="1:2" x14ac:dyDescent="0.25">
      <c r="A77859" s="118"/>
      <c r="B77859" s="136"/>
    </row>
    <row r="77860" spans="1:2" x14ac:dyDescent="0.25">
      <c r="A77860" s="118"/>
      <c r="B77860" s="136"/>
    </row>
    <row r="77861" spans="1:2" x14ac:dyDescent="0.25">
      <c r="A77861" s="118"/>
      <c r="B77861" s="136"/>
    </row>
    <row r="77862" spans="1:2" x14ac:dyDescent="0.25">
      <c r="A77862" s="118"/>
      <c r="B77862" s="136"/>
    </row>
    <row r="77863" spans="1:2" x14ac:dyDescent="0.25">
      <c r="A77863" s="118"/>
      <c r="B77863" s="136"/>
    </row>
    <row r="77864" spans="1:2" x14ac:dyDescent="0.25">
      <c r="A77864" s="118"/>
      <c r="B77864" s="136"/>
    </row>
    <row r="77865" spans="1:2" x14ac:dyDescent="0.25">
      <c r="A77865" s="118"/>
      <c r="B77865" s="136"/>
    </row>
    <row r="77866" spans="1:2" x14ac:dyDescent="0.25">
      <c r="A77866" s="118"/>
      <c r="B77866" s="136"/>
    </row>
    <row r="77867" spans="1:2" x14ac:dyDescent="0.25">
      <c r="A77867" s="118"/>
      <c r="B77867" s="136"/>
    </row>
    <row r="77868" spans="1:2" x14ac:dyDescent="0.25">
      <c r="A77868" s="118"/>
      <c r="B77868" s="136"/>
    </row>
    <row r="77869" spans="1:2" x14ac:dyDescent="0.25">
      <c r="A77869" s="118"/>
      <c r="B77869" s="136"/>
    </row>
    <row r="77870" spans="1:2" x14ac:dyDescent="0.25">
      <c r="A77870" s="118"/>
      <c r="B77870" s="136"/>
    </row>
    <row r="77871" spans="1:2" x14ac:dyDescent="0.25">
      <c r="A77871" s="118"/>
      <c r="B77871" s="136"/>
    </row>
    <row r="77872" spans="1:2" x14ac:dyDescent="0.25">
      <c r="A77872" s="118"/>
      <c r="B77872" s="136"/>
    </row>
    <row r="77873" spans="1:2" x14ac:dyDescent="0.25">
      <c r="A77873" s="118"/>
      <c r="B77873" s="136"/>
    </row>
    <row r="77874" spans="1:2" x14ac:dyDescent="0.25">
      <c r="A77874" s="118"/>
      <c r="B77874" s="136"/>
    </row>
    <row r="77875" spans="1:2" x14ac:dyDescent="0.25">
      <c r="A77875" s="118"/>
      <c r="B77875" s="136"/>
    </row>
    <row r="77876" spans="1:2" x14ac:dyDescent="0.25">
      <c r="A77876" s="118"/>
      <c r="B77876" s="136"/>
    </row>
    <row r="77877" spans="1:2" x14ac:dyDescent="0.25">
      <c r="A77877" s="118"/>
      <c r="B77877" s="136"/>
    </row>
    <row r="77878" spans="1:2" x14ac:dyDescent="0.25">
      <c r="A77878" s="118"/>
      <c r="B77878" s="136"/>
    </row>
    <row r="77879" spans="1:2" x14ac:dyDescent="0.25">
      <c r="A77879" s="118"/>
      <c r="B77879" s="136"/>
    </row>
    <row r="77880" spans="1:2" x14ac:dyDescent="0.25">
      <c r="A77880" s="118"/>
      <c r="B77880" s="136"/>
    </row>
    <row r="77881" spans="1:2" x14ac:dyDescent="0.25">
      <c r="A77881" s="118"/>
      <c r="B77881" s="136"/>
    </row>
    <row r="77882" spans="1:2" x14ac:dyDescent="0.25">
      <c r="A77882" s="118"/>
      <c r="B77882" s="136"/>
    </row>
    <row r="77883" spans="1:2" x14ac:dyDescent="0.25">
      <c r="A77883" s="118"/>
      <c r="B77883" s="136"/>
    </row>
    <row r="77884" spans="1:2" x14ac:dyDescent="0.25">
      <c r="A77884" s="118"/>
      <c r="B77884" s="136"/>
    </row>
    <row r="77885" spans="1:2" x14ac:dyDescent="0.25">
      <c r="A77885" s="118"/>
      <c r="B77885" s="136"/>
    </row>
    <row r="77886" spans="1:2" x14ac:dyDescent="0.25">
      <c r="A77886" s="118"/>
      <c r="B77886" s="136"/>
    </row>
    <row r="77887" spans="1:2" x14ac:dyDescent="0.25">
      <c r="A77887" s="118"/>
      <c r="B77887" s="136"/>
    </row>
    <row r="77888" spans="1:2" x14ac:dyDescent="0.25">
      <c r="A77888" s="118"/>
      <c r="B77888" s="136"/>
    </row>
    <row r="77889" spans="1:2" x14ac:dyDescent="0.25">
      <c r="A77889" s="118"/>
      <c r="B77889" s="136"/>
    </row>
    <row r="77890" spans="1:2" x14ac:dyDescent="0.25">
      <c r="A77890" s="118"/>
      <c r="B77890" s="136"/>
    </row>
    <row r="77891" spans="1:2" x14ac:dyDescent="0.25">
      <c r="A77891" s="118"/>
      <c r="B77891" s="136"/>
    </row>
    <row r="77892" spans="1:2" x14ac:dyDescent="0.25">
      <c r="A77892" s="118"/>
      <c r="B77892" s="136"/>
    </row>
    <row r="77893" spans="1:2" x14ac:dyDescent="0.25">
      <c r="A77893" s="118"/>
      <c r="B77893" s="136"/>
    </row>
    <row r="77894" spans="1:2" x14ac:dyDescent="0.25">
      <c r="A77894" s="118"/>
      <c r="B77894" s="136"/>
    </row>
    <row r="77895" spans="1:2" x14ac:dyDescent="0.25">
      <c r="A77895" s="118"/>
      <c r="B77895" s="136"/>
    </row>
    <row r="77896" spans="1:2" x14ac:dyDescent="0.25">
      <c r="A77896" s="118"/>
      <c r="B77896" s="136"/>
    </row>
    <row r="77897" spans="1:2" x14ac:dyDescent="0.25">
      <c r="A77897" s="118"/>
      <c r="B77897" s="136"/>
    </row>
    <row r="77898" spans="1:2" x14ac:dyDescent="0.25">
      <c r="A77898" s="118"/>
      <c r="B77898" s="136"/>
    </row>
    <row r="77899" spans="1:2" x14ac:dyDescent="0.25">
      <c r="A77899" s="118"/>
      <c r="B77899" s="136"/>
    </row>
    <row r="77900" spans="1:2" x14ac:dyDescent="0.25">
      <c r="A77900" s="118"/>
      <c r="B77900" s="136"/>
    </row>
    <row r="77901" spans="1:2" x14ac:dyDescent="0.25">
      <c r="A77901" s="118"/>
      <c r="B77901" s="136"/>
    </row>
    <row r="77902" spans="1:2" x14ac:dyDescent="0.25">
      <c r="A77902" s="118"/>
      <c r="B77902" s="136"/>
    </row>
    <row r="77903" spans="1:2" x14ac:dyDescent="0.25">
      <c r="A77903" s="118"/>
      <c r="B77903" s="136"/>
    </row>
    <row r="77904" spans="1:2" x14ac:dyDescent="0.25">
      <c r="A77904" s="118"/>
      <c r="B77904" s="136"/>
    </row>
    <row r="77905" spans="1:2" x14ac:dyDescent="0.25">
      <c r="A77905" s="118"/>
      <c r="B77905" s="136"/>
    </row>
    <row r="77906" spans="1:2" x14ac:dyDescent="0.25">
      <c r="A77906" s="118"/>
      <c r="B77906" s="136"/>
    </row>
    <row r="77907" spans="1:2" x14ac:dyDescent="0.25">
      <c r="A77907" s="118"/>
      <c r="B77907" s="136"/>
    </row>
    <row r="77908" spans="1:2" x14ac:dyDescent="0.25">
      <c r="A77908" s="118"/>
      <c r="B77908" s="136"/>
    </row>
    <row r="77909" spans="1:2" x14ac:dyDescent="0.25">
      <c r="A77909" s="118"/>
      <c r="B77909" s="136"/>
    </row>
    <row r="77910" spans="1:2" x14ac:dyDescent="0.25">
      <c r="A77910" s="118"/>
      <c r="B77910" s="136"/>
    </row>
    <row r="77911" spans="1:2" x14ac:dyDescent="0.25">
      <c r="A77911" s="118"/>
      <c r="B77911" s="136"/>
    </row>
    <row r="77912" spans="1:2" x14ac:dyDescent="0.25">
      <c r="A77912" s="118"/>
      <c r="B77912" s="136"/>
    </row>
    <row r="77913" spans="1:2" x14ac:dyDescent="0.25">
      <c r="A77913" s="118"/>
      <c r="B77913" s="136"/>
    </row>
    <row r="77914" spans="1:2" x14ac:dyDescent="0.25">
      <c r="A77914" s="118"/>
      <c r="B77914" s="136"/>
    </row>
    <row r="77915" spans="1:2" x14ac:dyDescent="0.25">
      <c r="A77915" s="118"/>
      <c r="B77915" s="136"/>
    </row>
    <row r="77916" spans="1:2" x14ac:dyDescent="0.25">
      <c r="A77916" s="118"/>
      <c r="B77916" s="136"/>
    </row>
    <row r="77917" spans="1:2" x14ac:dyDescent="0.25">
      <c r="A77917" s="118"/>
      <c r="B77917" s="136"/>
    </row>
    <row r="77918" spans="1:2" x14ac:dyDescent="0.25">
      <c r="A77918" s="118"/>
      <c r="B77918" s="136"/>
    </row>
    <row r="77919" spans="1:2" x14ac:dyDescent="0.25">
      <c r="A77919" s="118"/>
      <c r="B77919" s="136"/>
    </row>
    <row r="77920" spans="1:2" x14ac:dyDescent="0.25">
      <c r="A77920" s="118"/>
      <c r="B77920" s="136"/>
    </row>
    <row r="77921" spans="1:2" x14ac:dyDescent="0.25">
      <c r="A77921" s="118"/>
      <c r="B77921" s="136"/>
    </row>
    <row r="77922" spans="1:2" x14ac:dyDescent="0.25">
      <c r="A77922" s="118"/>
      <c r="B77922" s="136"/>
    </row>
    <row r="77923" spans="1:2" x14ac:dyDescent="0.25">
      <c r="A77923" s="118"/>
      <c r="B77923" s="136"/>
    </row>
    <row r="77924" spans="1:2" x14ac:dyDescent="0.25">
      <c r="A77924" s="118"/>
      <c r="B77924" s="136"/>
    </row>
    <row r="77925" spans="1:2" x14ac:dyDescent="0.25">
      <c r="A77925" s="118"/>
      <c r="B77925" s="136"/>
    </row>
    <row r="77926" spans="1:2" x14ac:dyDescent="0.25">
      <c r="A77926" s="118"/>
      <c r="B77926" s="136"/>
    </row>
    <row r="77927" spans="1:2" x14ac:dyDescent="0.25">
      <c r="A77927" s="118"/>
      <c r="B77927" s="136"/>
    </row>
    <row r="77928" spans="1:2" x14ac:dyDescent="0.25">
      <c r="A77928" s="118"/>
      <c r="B77928" s="136"/>
    </row>
    <row r="77929" spans="1:2" x14ac:dyDescent="0.25">
      <c r="A77929" s="118"/>
      <c r="B77929" s="136"/>
    </row>
    <row r="77930" spans="1:2" x14ac:dyDescent="0.25">
      <c r="A77930" s="118"/>
      <c r="B77930" s="136"/>
    </row>
    <row r="77931" spans="1:2" x14ac:dyDescent="0.25">
      <c r="A77931" s="118"/>
      <c r="B77931" s="136"/>
    </row>
    <row r="77932" spans="1:2" x14ac:dyDescent="0.25">
      <c r="A77932" s="118"/>
      <c r="B77932" s="136"/>
    </row>
    <row r="77933" spans="1:2" x14ac:dyDescent="0.25">
      <c r="A77933" s="118"/>
      <c r="B77933" s="136"/>
    </row>
    <row r="77934" spans="1:2" x14ac:dyDescent="0.25">
      <c r="A77934" s="118"/>
      <c r="B77934" s="136"/>
    </row>
    <row r="77935" spans="1:2" x14ac:dyDescent="0.25">
      <c r="A77935" s="118"/>
      <c r="B77935" s="136"/>
    </row>
    <row r="77936" spans="1:2" x14ac:dyDescent="0.25">
      <c r="A77936" s="118"/>
      <c r="B77936" s="136"/>
    </row>
    <row r="77937" spans="1:2" x14ac:dyDescent="0.25">
      <c r="A77937" s="118"/>
      <c r="B77937" s="136"/>
    </row>
    <row r="77938" spans="1:2" x14ac:dyDescent="0.25">
      <c r="A77938" s="118"/>
      <c r="B77938" s="136"/>
    </row>
    <row r="77939" spans="1:2" x14ac:dyDescent="0.25">
      <c r="A77939" s="118"/>
      <c r="B77939" s="136"/>
    </row>
    <row r="77940" spans="1:2" x14ac:dyDescent="0.25">
      <c r="A77940" s="118"/>
      <c r="B77940" s="136"/>
    </row>
    <row r="77941" spans="1:2" x14ac:dyDescent="0.25">
      <c r="A77941" s="118"/>
      <c r="B77941" s="136"/>
    </row>
    <row r="77942" spans="1:2" x14ac:dyDescent="0.25">
      <c r="A77942" s="118"/>
      <c r="B77942" s="136"/>
    </row>
    <row r="77943" spans="1:2" x14ac:dyDescent="0.25">
      <c r="A77943" s="118"/>
      <c r="B77943" s="136"/>
    </row>
    <row r="77944" spans="1:2" x14ac:dyDescent="0.25">
      <c r="A77944" s="118"/>
      <c r="B77944" s="136"/>
    </row>
    <row r="77945" spans="1:2" x14ac:dyDescent="0.25">
      <c r="A77945" s="118"/>
      <c r="B77945" s="136"/>
    </row>
    <row r="77946" spans="1:2" x14ac:dyDescent="0.25">
      <c r="A77946" s="118"/>
      <c r="B77946" s="136"/>
    </row>
    <row r="77947" spans="1:2" x14ac:dyDescent="0.25">
      <c r="A77947" s="118"/>
      <c r="B77947" s="136"/>
    </row>
    <row r="77948" spans="1:2" x14ac:dyDescent="0.25">
      <c r="A77948" s="118"/>
      <c r="B77948" s="136"/>
    </row>
    <row r="77949" spans="1:2" x14ac:dyDescent="0.25">
      <c r="A77949" s="118"/>
      <c r="B77949" s="136"/>
    </row>
    <row r="77950" spans="1:2" x14ac:dyDescent="0.25">
      <c r="A77950" s="118"/>
      <c r="B77950" s="136"/>
    </row>
    <row r="77951" spans="1:2" x14ac:dyDescent="0.25">
      <c r="A77951" s="118"/>
      <c r="B77951" s="136"/>
    </row>
    <row r="77952" spans="1:2" x14ac:dyDescent="0.25">
      <c r="A77952" s="118"/>
      <c r="B77952" s="136"/>
    </row>
    <row r="77953" spans="1:2" x14ac:dyDescent="0.25">
      <c r="A77953" s="118"/>
      <c r="B77953" s="136"/>
    </row>
    <row r="77954" spans="1:2" x14ac:dyDescent="0.25">
      <c r="A77954" s="118"/>
      <c r="B77954" s="136"/>
    </row>
    <row r="77955" spans="1:2" x14ac:dyDescent="0.25">
      <c r="A77955" s="118"/>
      <c r="B77955" s="136"/>
    </row>
    <row r="77956" spans="1:2" x14ac:dyDescent="0.25">
      <c r="A77956" s="118"/>
      <c r="B77956" s="136"/>
    </row>
    <row r="77957" spans="1:2" x14ac:dyDescent="0.25">
      <c r="A77957" s="118"/>
      <c r="B77957" s="136"/>
    </row>
    <row r="77958" spans="1:2" x14ac:dyDescent="0.25">
      <c r="A77958" s="118"/>
      <c r="B77958" s="136"/>
    </row>
    <row r="77959" spans="1:2" x14ac:dyDescent="0.25">
      <c r="A77959" s="118"/>
      <c r="B77959" s="136"/>
    </row>
    <row r="77960" spans="1:2" x14ac:dyDescent="0.25">
      <c r="A77960" s="118"/>
      <c r="B77960" s="136"/>
    </row>
    <row r="77961" spans="1:2" x14ac:dyDescent="0.25">
      <c r="A77961" s="118"/>
      <c r="B77961" s="136"/>
    </row>
    <row r="77962" spans="1:2" x14ac:dyDescent="0.25">
      <c r="A77962" s="118"/>
      <c r="B77962" s="136"/>
    </row>
    <row r="77963" spans="1:2" x14ac:dyDescent="0.25">
      <c r="A77963" s="118"/>
      <c r="B77963" s="136"/>
    </row>
    <row r="77964" spans="1:2" x14ac:dyDescent="0.25">
      <c r="A77964" s="118"/>
      <c r="B77964" s="136"/>
    </row>
    <row r="77965" spans="1:2" x14ac:dyDescent="0.25">
      <c r="A77965" s="118"/>
      <c r="B77965" s="136"/>
    </row>
    <row r="77966" spans="1:2" x14ac:dyDescent="0.25">
      <c r="A77966" s="118"/>
      <c r="B77966" s="136"/>
    </row>
    <row r="77967" spans="1:2" x14ac:dyDescent="0.25">
      <c r="A77967" s="118"/>
      <c r="B77967" s="136"/>
    </row>
    <row r="77968" spans="1:2" x14ac:dyDescent="0.25">
      <c r="A77968" s="118"/>
      <c r="B77968" s="136"/>
    </row>
    <row r="77969" spans="1:2" x14ac:dyDescent="0.25">
      <c r="A77969" s="118"/>
      <c r="B77969" s="136"/>
    </row>
    <row r="77970" spans="1:2" x14ac:dyDescent="0.25">
      <c r="A77970" s="118"/>
      <c r="B77970" s="136"/>
    </row>
    <row r="77971" spans="1:2" x14ac:dyDescent="0.25">
      <c r="A77971" s="118"/>
      <c r="B77971" s="136"/>
    </row>
    <row r="77972" spans="1:2" x14ac:dyDescent="0.25">
      <c r="A77972" s="118"/>
      <c r="B77972" s="136"/>
    </row>
    <row r="77973" spans="1:2" x14ac:dyDescent="0.25">
      <c r="A77973" s="118"/>
      <c r="B77973" s="136"/>
    </row>
    <row r="77974" spans="1:2" x14ac:dyDescent="0.25">
      <c r="A77974" s="118"/>
      <c r="B77974" s="136"/>
    </row>
    <row r="77975" spans="1:2" x14ac:dyDescent="0.25">
      <c r="A77975" s="118"/>
      <c r="B77975" s="136"/>
    </row>
    <row r="77976" spans="1:2" x14ac:dyDescent="0.25">
      <c r="A77976" s="118"/>
      <c r="B77976" s="136"/>
    </row>
    <row r="77977" spans="1:2" x14ac:dyDescent="0.25">
      <c r="A77977" s="118"/>
      <c r="B77977" s="136"/>
    </row>
    <row r="77978" spans="1:2" x14ac:dyDescent="0.25">
      <c r="A77978" s="118"/>
      <c r="B77978" s="136"/>
    </row>
    <row r="77979" spans="1:2" x14ac:dyDescent="0.25">
      <c r="A77979" s="118"/>
      <c r="B77979" s="136"/>
    </row>
    <row r="77980" spans="1:2" x14ac:dyDescent="0.25">
      <c r="A77980" s="118"/>
      <c r="B77980" s="136"/>
    </row>
    <row r="77981" spans="1:2" x14ac:dyDescent="0.25">
      <c r="A77981" s="118"/>
      <c r="B77981" s="136"/>
    </row>
    <row r="77982" spans="1:2" x14ac:dyDescent="0.25">
      <c r="A77982" s="118"/>
      <c r="B77982" s="136"/>
    </row>
    <row r="77983" spans="1:2" x14ac:dyDescent="0.25">
      <c r="A77983" s="118"/>
      <c r="B77983" s="136"/>
    </row>
    <row r="77984" spans="1:2" x14ac:dyDescent="0.25">
      <c r="A77984" s="118"/>
      <c r="B77984" s="136"/>
    </row>
    <row r="77985" spans="1:2" x14ac:dyDescent="0.25">
      <c r="A77985" s="118"/>
      <c r="B77985" s="136"/>
    </row>
    <row r="77986" spans="1:2" x14ac:dyDescent="0.25">
      <c r="A77986" s="118"/>
      <c r="B77986" s="136"/>
    </row>
    <row r="77987" spans="1:2" x14ac:dyDescent="0.25">
      <c r="A77987" s="118"/>
      <c r="B77987" s="136"/>
    </row>
    <row r="77988" spans="1:2" x14ac:dyDescent="0.25">
      <c r="A77988" s="118"/>
      <c r="B77988" s="136"/>
    </row>
    <row r="77989" spans="1:2" x14ac:dyDescent="0.25">
      <c r="A77989" s="118"/>
      <c r="B77989" s="136"/>
    </row>
    <row r="77990" spans="1:2" x14ac:dyDescent="0.25">
      <c r="A77990" s="118"/>
      <c r="B77990" s="136"/>
    </row>
    <row r="77991" spans="1:2" x14ac:dyDescent="0.25">
      <c r="A77991" s="118"/>
      <c r="B77991" s="136"/>
    </row>
    <row r="77992" spans="1:2" x14ac:dyDescent="0.25">
      <c r="A77992" s="118"/>
      <c r="B77992" s="136"/>
    </row>
    <row r="77993" spans="1:2" x14ac:dyDescent="0.25">
      <c r="A77993" s="118"/>
      <c r="B77993" s="136"/>
    </row>
    <row r="77994" spans="1:2" x14ac:dyDescent="0.25">
      <c r="A77994" s="118"/>
      <c r="B77994" s="136"/>
    </row>
    <row r="77995" spans="1:2" x14ac:dyDescent="0.25">
      <c r="A77995" s="118"/>
      <c r="B77995" s="136"/>
    </row>
    <row r="77996" spans="1:2" x14ac:dyDescent="0.25">
      <c r="A77996" s="118"/>
      <c r="B77996" s="136"/>
    </row>
    <row r="77997" spans="1:2" x14ac:dyDescent="0.25">
      <c r="A77997" s="118"/>
      <c r="B77997" s="136"/>
    </row>
    <row r="77998" spans="1:2" x14ac:dyDescent="0.25">
      <c r="A77998" s="118"/>
      <c r="B77998" s="136"/>
    </row>
    <row r="77999" spans="1:2" x14ac:dyDescent="0.25">
      <c r="A77999" s="118"/>
      <c r="B77999" s="136"/>
    </row>
    <row r="78000" spans="1:2" x14ac:dyDescent="0.25">
      <c r="A78000" s="118"/>
      <c r="B78000" s="136"/>
    </row>
    <row r="78001" spans="1:2" x14ac:dyDescent="0.25">
      <c r="A78001" s="118"/>
      <c r="B78001" s="136"/>
    </row>
    <row r="78002" spans="1:2" x14ac:dyDescent="0.25">
      <c r="A78002" s="118"/>
      <c r="B78002" s="136"/>
    </row>
    <row r="78003" spans="1:2" x14ac:dyDescent="0.25">
      <c r="A78003" s="118"/>
      <c r="B78003" s="136"/>
    </row>
    <row r="78004" spans="1:2" x14ac:dyDescent="0.25">
      <c r="A78004" s="118"/>
      <c r="B78004" s="136"/>
    </row>
    <row r="78005" spans="1:2" x14ac:dyDescent="0.25">
      <c r="A78005" s="118"/>
      <c r="B78005" s="136"/>
    </row>
    <row r="78006" spans="1:2" x14ac:dyDescent="0.25">
      <c r="A78006" s="118"/>
      <c r="B78006" s="136"/>
    </row>
    <row r="78007" spans="1:2" x14ac:dyDescent="0.25">
      <c r="A78007" s="118"/>
      <c r="B78007" s="136"/>
    </row>
    <row r="78008" spans="1:2" x14ac:dyDescent="0.25">
      <c r="A78008" s="118"/>
      <c r="B78008" s="136"/>
    </row>
    <row r="78009" spans="1:2" x14ac:dyDescent="0.25">
      <c r="A78009" s="118"/>
      <c r="B78009" s="136"/>
    </row>
    <row r="78010" spans="1:2" x14ac:dyDescent="0.25">
      <c r="A78010" s="118"/>
      <c r="B78010" s="136"/>
    </row>
    <row r="78011" spans="1:2" x14ac:dyDescent="0.25">
      <c r="A78011" s="118"/>
      <c r="B78011" s="136"/>
    </row>
    <row r="78012" spans="1:2" x14ac:dyDescent="0.25">
      <c r="A78012" s="118"/>
      <c r="B78012" s="136"/>
    </row>
    <row r="78013" spans="1:2" x14ac:dyDescent="0.25">
      <c r="A78013" s="118"/>
      <c r="B78013" s="136"/>
    </row>
    <row r="78014" spans="1:2" x14ac:dyDescent="0.25">
      <c r="A78014" s="118"/>
      <c r="B78014" s="136"/>
    </row>
    <row r="78015" spans="1:2" x14ac:dyDescent="0.25">
      <c r="A78015" s="118"/>
      <c r="B78015" s="136"/>
    </row>
    <row r="78016" spans="1:2" x14ac:dyDescent="0.25">
      <c r="A78016" s="118"/>
      <c r="B78016" s="136"/>
    </row>
    <row r="78017" spans="1:2" x14ac:dyDescent="0.25">
      <c r="A78017" s="118"/>
      <c r="B78017" s="136"/>
    </row>
    <row r="78018" spans="1:2" x14ac:dyDescent="0.25">
      <c r="A78018" s="118"/>
      <c r="B78018" s="136"/>
    </row>
    <row r="78019" spans="1:2" x14ac:dyDescent="0.25">
      <c r="A78019" s="118"/>
      <c r="B78019" s="136"/>
    </row>
    <row r="78020" spans="1:2" x14ac:dyDescent="0.25">
      <c r="A78020" s="118"/>
      <c r="B78020" s="136"/>
    </row>
    <row r="78021" spans="1:2" x14ac:dyDescent="0.25">
      <c r="A78021" s="118"/>
      <c r="B78021" s="136"/>
    </row>
    <row r="78022" spans="1:2" x14ac:dyDescent="0.25">
      <c r="A78022" s="118"/>
      <c r="B78022" s="136"/>
    </row>
    <row r="78023" spans="1:2" x14ac:dyDescent="0.25">
      <c r="A78023" s="118"/>
      <c r="B78023" s="136"/>
    </row>
    <row r="78024" spans="1:2" x14ac:dyDescent="0.25">
      <c r="A78024" s="118"/>
      <c r="B78024" s="136"/>
    </row>
    <row r="78025" spans="1:2" x14ac:dyDescent="0.25">
      <c r="A78025" s="118"/>
      <c r="B78025" s="136"/>
    </row>
    <row r="78026" spans="1:2" x14ac:dyDescent="0.25">
      <c r="A78026" s="118"/>
      <c r="B78026" s="136"/>
    </row>
    <row r="78027" spans="1:2" x14ac:dyDescent="0.25">
      <c r="A78027" s="118"/>
      <c r="B78027" s="136"/>
    </row>
    <row r="78028" spans="1:2" x14ac:dyDescent="0.25">
      <c r="A78028" s="118"/>
      <c r="B78028" s="136"/>
    </row>
    <row r="78029" spans="1:2" x14ac:dyDescent="0.25">
      <c r="A78029" s="118"/>
      <c r="B78029" s="136"/>
    </row>
    <row r="78030" spans="1:2" x14ac:dyDescent="0.25">
      <c r="A78030" s="118"/>
      <c r="B78030" s="136"/>
    </row>
    <row r="78031" spans="1:2" x14ac:dyDescent="0.25">
      <c r="A78031" s="118"/>
      <c r="B78031" s="136"/>
    </row>
    <row r="78032" spans="1:2" x14ac:dyDescent="0.25">
      <c r="A78032" s="118"/>
      <c r="B78032" s="136"/>
    </row>
    <row r="78033" spans="1:2" x14ac:dyDescent="0.25">
      <c r="A78033" s="118"/>
      <c r="B78033" s="136"/>
    </row>
    <row r="78034" spans="1:2" x14ac:dyDescent="0.25">
      <c r="A78034" s="118"/>
      <c r="B78034" s="136"/>
    </row>
    <row r="78035" spans="1:2" x14ac:dyDescent="0.25">
      <c r="A78035" s="118"/>
      <c r="B78035" s="136"/>
    </row>
    <row r="78036" spans="1:2" x14ac:dyDescent="0.25">
      <c r="A78036" s="118"/>
      <c r="B78036" s="136"/>
    </row>
    <row r="78037" spans="1:2" x14ac:dyDescent="0.25">
      <c r="A78037" s="118"/>
      <c r="B78037" s="136"/>
    </row>
    <row r="78038" spans="1:2" x14ac:dyDescent="0.25">
      <c r="A78038" s="118"/>
      <c r="B78038" s="136"/>
    </row>
    <row r="78039" spans="1:2" x14ac:dyDescent="0.25">
      <c r="A78039" s="118"/>
      <c r="B78039" s="136"/>
    </row>
    <row r="78040" spans="1:2" x14ac:dyDescent="0.25">
      <c r="A78040" s="118"/>
      <c r="B78040" s="136"/>
    </row>
    <row r="78041" spans="1:2" x14ac:dyDescent="0.25">
      <c r="A78041" s="118"/>
      <c r="B78041" s="136"/>
    </row>
    <row r="78042" spans="1:2" x14ac:dyDescent="0.25">
      <c r="A78042" s="118"/>
      <c r="B78042" s="136"/>
    </row>
    <row r="78043" spans="1:2" x14ac:dyDescent="0.25">
      <c r="A78043" s="118"/>
      <c r="B78043" s="136"/>
    </row>
    <row r="78044" spans="1:2" x14ac:dyDescent="0.25">
      <c r="A78044" s="118"/>
      <c r="B78044" s="136"/>
    </row>
    <row r="78045" spans="1:2" x14ac:dyDescent="0.25">
      <c r="A78045" s="118"/>
      <c r="B78045" s="136"/>
    </row>
    <row r="78046" spans="1:2" x14ac:dyDescent="0.25">
      <c r="A78046" s="118"/>
      <c r="B78046" s="136"/>
    </row>
    <row r="78047" spans="1:2" x14ac:dyDescent="0.25">
      <c r="A78047" s="118"/>
      <c r="B78047" s="136"/>
    </row>
    <row r="78048" spans="1:2" x14ac:dyDescent="0.25">
      <c r="A78048" s="118"/>
      <c r="B78048" s="136"/>
    </row>
    <row r="78049" spans="1:2" x14ac:dyDescent="0.25">
      <c r="A78049" s="118"/>
      <c r="B78049" s="136"/>
    </row>
    <row r="78050" spans="1:2" x14ac:dyDescent="0.25">
      <c r="A78050" s="118"/>
      <c r="B78050" s="136"/>
    </row>
    <row r="78051" spans="1:2" x14ac:dyDescent="0.25">
      <c r="A78051" s="118"/>
      <c r="B78051" s="136"/>
    </row>
    <row r="78052" spans="1:2" x14ac:dyDescent="0.25">
      <c r="A78052" s="118"/>
      <c r="B78052" s="136"/>
    </row>
    <row r="78053" spans="1:2" x14ac:dyDescent="0.25">
      <c r="A78053" s="118"/>
      <c r="B78053" s="136"/>
    </row>
    <row r="78054" spans="1:2" x14ac:dyDescent="0.25">
      <c r="A78054" s="118"/>
      <c r="B78054" s="136"/>
    </row>
    <row r="78055" spans="1:2" x14ac:dyDescent="0.25">
      <c r="A78055" s="118"/>
      <c r="B78055" s="136"/>
    </row>
    <row r="78056" spans="1:2" x14ac:dyDescent="0.25">
      <c r="A78056" s="118"/>
      <c r="B78056" s="136"/>
    </row>
    <row r="78057" spans="1:2" x14ac:dyDescent="0.25">
      <c r="A78057" s="118"/>
      <c r="B78057" s="136"/>
    </row>
    <row r="78058" spans="1:2" x14ac:dyDescent="0.25">
      <c r="A78058" s="118"/>
      <c r="B78058" s="136"/>
    </row>
    <row r="78059" spans="1:2" x14ac:dyDescent="0.25">
      <c r="A78059" s="118"/>
      <c r="B78059" s="136"/>
    </row>
    <row r="78060" spans="1:2" x14ac:dyDescent="0.25">
      <c r="A78060" s="118"/>
      <c r="B78060" s="136"/>
    </row>
    <row r="78061" spans="1:2" x14ac:dyDescent="0.25">
      <c r="A78061" s="118"/>
      <c r="B78061" s="136"/>
    </row>
    <row r="78062" spans="1:2" x14ac:dyDescent="0.25">
      <c r="A78062" s="118"/>
      <c r="B78062" s="136"/>
    </row>
    <row r="78063" spans="1:2" x14ac:dyDescent="0.25">
      <c r="A78063" s="118"/>
      <c r="B78063" s="136"/>
    </row>
    <row r="78064" spans="1:2" x14ac:dyDescent="0.25">
      <c r="A78064" s="118"/>
      <c r="B78064" s="136"/>
    </row>
    <row r="78065" spans="1:2" x14ac:dyDescent="0.25">
      <c r="A78065" s="118"/>
      <c r="B78065" s="136"/>
    </row>
    <row r="78066" spans="1:2" x14ac:dyDescent="0.25">
      <c r="A78066" s="118"/>
      <c r="B78066" s="136"/>
    </row>
    <row r="78067" spans="1:2" x14ac:dyDescent="0.25">
      <c r="A78067" s="118"/>
      <c r="B78067" s="136"/>
    </row>
    <row r="78068" spans="1:2" x14ac:dyDescent="0.25">
      <c r="A78068" s="118"/>
      <c r="B78068" s="136"/>
    </row>
    <row r="78069" spans="1:2" x14ac:dyDescent="0.25">
      <c r="A78069" s="118"/>
      <c r="B78069" s="136"/>
    </row>
    <row r="78070" spans="1:2" x14ac:dyDescent="0.25">
      <c r="A78070" s="118"/>
      <c r="B78070" s="136"/>
    </row>
    <row r="78071" spans="1:2" x14ac:dyDescent="0.25">
      <c r="A78071" s="118"/>
      <c r="B78071" s="136"/>
    </row>
    <row r="78072" spans="1:2" x14ac:dyDescent="0.25">
      <c r="A78072" s="118"/>
      <c r="B78072" s="136"/>
    </row>
    <row r="78073" spans="1:2" x14ac:dyDescent="0.25">
      <c r="A78073" s="118"/>
      <c r="B78073" s="136"/>
    </row>
    <row r="78074" spans="1:2" x14ac:dyDescent="0.25">
      <c r="A78074" s="118"/>
      <c r="B78074" s="136"/>
    </row>
    <row r="78075" spans="1:2" x14ac:dyDescent="0.25">
      <c r="A78075" s="118"/>
      <c r="B78075" s="136"/>
    </row>
    <row r="78076" spans="1:2" x14ac:dyDescent="0.25">
      <c r="A78076" s="118"/>
      <c r="B78076" s="136"/>
    </row>
    <row r="78077" spans="1:2" x14ac:dyDescent="0.25">
      <c r="A78077" s="118"/>
      <c r="B78077" s="136"/>
    </row>
    <row r="78078" spans="1:2" x14ac:dyDescent="0.25">
      <c r="A78078" s="118"/>
      <c r="B78078" s="136"/>
    </row>
    <row r="78079" spans="1:2" x14ac:dyDescent="0.25">
      <c r="A78079" s="118"/>
      <c r="B78079" s="136"/>
    </row>
    <row r="78080" spans="1:2" x14ac:dyDescent="0.25">
      <c r="A78080" s="118"/>
      <c r="B78080" s="136"/>
    </row>
    <row r="78081" spans="1:2" x14ac:dyDescent="0.25">
      <c r="A78081" s="118"/>
      <c r="B78081" s="136"/>
    </row>
    <row r="78082" spans="1:2" x14ac:dyDescent="0.25">
      <c r="A78082" s="118"/>
      <c r="B78082" s="136"/>
    </row>
    <row r="78083" spans="1:2" x14ac:dyDescent="0.25">
      <c r="A78083" s="118"/>
      <c r="B78083" s="136"/>
    </row>
    <row r="78084" spans="1:2" x14ac:dyDescent="0.25">
      <c r="A78084" s="118"/>
      <c r="B78084" s="136"/>
    </row>
    <row r="78085" spans="1:2" x14ac:dyDescent="0.25">
      <c r="A78085" s="118"/>
      <c r="B78085" s="136"/>
    </row>
    <row r="78086" spans="1:2" x14ac:dyDescent="0.25">
      <c r="A78086" s="118"/>
      <c r="B78086" s="136"/>
    </row>
    <row r="78087" spans="1:2" x14ac:dyDescent="0.25">
      <c r="A78087" s="118"/>
      <c r="B78087" s="136"/>
    </row>
    <row r="78088" spans="1:2" x14ac:dyDescent="0.25">
      <c r="A78088" s="118"/>
      <c r="B78088" s="136"/>
    </row>
    <row r="78089" spans="1:2" x14ac:dyDescent="0.25">
      <c r="A78089" s="118"/>
      <c r="B78089" s="136"/>
    </row>
    <row r="78090" spans="1:2" x14ac:dyDescent="0.25">
      <c r="A78090" s="118"/>
      <c r="B78090" s="136"/>
    </row>
    <row r="78091" spans="1:2" x14ac:dyDescent="0.25">
      <c r="A78091" s="118"/>
      <c r="B78091" s="136"/>
    </row>
    <row r="78092" spans="1:2" x14ac:dyDescent="0.25">
      <c r="A78092" s="118"/>
      <c r="B78092" s="136"/>
    </row>
    <row r="78093" spans="1:2" x14ac:dyDescent="0.25">
      <c r="A78093" s="118"/>
      <c r="B78093" s="136"/>
    </row>
    <row r="78094" spans="1:2" x14ac:dyDescent="0.25">
      <c r="A78094" s="118"/>
      <c r="B78094" s="136"/>
    </row>
    <row r="78095" spans="1:2" x14ac:dyDescent="0.25">
      <c r="A78095" s="118"/>
      <c r="B78095" s="136"/>
    </row>
    <row r="78096" spans="1:2" x14ac:dyDescent="0.25">
      <c r="A78096" s="118"/>
      <c r="B78096" s="136"/>
    </row>
    <row r="78097" spans="1:2" x14ac:dyDescent="0.25">
      <c r="A78097" s="118"/>
      <c r="B78097" s="136"/>
    </row>
    <row r="78098" spans="1:2" x14ac:dyDescent="0.25">
      <c r="A78098" s="118"/>
      <c r="B78098" s="136"/>
    </row>
    <row r="78099" spans="1:2" x14ac:dyDescent="0.25">
      <c r="A78099" s="118"/>
      <c r="B78099" s="136"/>
    </row>
    <row r="78100" spans="1:2" x14ac:dyDescent="0.25">
      <c r="A78100" s="118"/>
      <c r="B78100" s="136"/>
    </row>
    <row r="78101" spans="1:2" x14ac:dyDescent="0.25">
      <c r="A78101" s="118"/>
      <c r="B78101" s="136"/>
    </row>
    <row r="78102" spans="1:2" x14ac:dyDescent="0.25">
      <c r="A78102" s="118"/>
      <c r="B78102" s="136"/>
    </row>
    <row r="78103" spans="1:2" x14ac:dyDescent="0.25">
      <c r="A78103" s="118"/>
      <c r="B78103" s="136"/>
    </row>
    <row r="78104" spans="1:2" x14ac:dyDescent="0.25">
      <c r="A78104" s="118"/>
      <c r="B78104" s="136"/>
    </row>
    <row r="78105" spans="1:2" x14ac:dyDescent="0.25">
      <c r="A78105" s="118"/>
      <c r="B78105" s="136"/>
    </row>
    <row r="78106" spans="1:2" x14ac:dyDescent="0.25">
      <c r="A78106" s="118"/>
      <c r="B78106" s="136"/>
    </row>
    <row r="78107" spans="1:2" x14ac:dyDescent="0.25">
      <c r="A78107" s="118"/>
      <c r="B78107" s="136"/>
    </row>
    <row r="78108" spans="1:2" x14ac:dyDescent="0.25">
      <c r="A78108" s="118"/>
      <c r="B78108" s="136"/>
    </row>
    <row r="78109" spans="1:2" x14ac:dyDescent="0.25">
      <c r="A78109" s="118"/>
      <c r="B78109" s="136"/>
    </row>
    <row r="78110" spans="1:2" x14ac:dyDescent="0.25">
      <c r="A78110" s="118"/>
      <c r="B78110" s="136"/>
    </row>
    <row r="78111" spans="1:2" x14ac:dyDescent="0.25">
      <c r="A78111" s="118"/>
      <c r="B78111" s="136"/>
    </row>
    <row r="78112" spans="1:2" x14ac:dyDescent="0.25">
      <c r="A78112" s="118"/>
      <c r="B78112" s="136"/>
    </row>
    <row r="78113" spans="1:2" x14ac:dyDescent="0.25">
      <c r="A78113" s="118"/>
      <c r="B78113" s="136"/>
    </row>
    <row r="78114" spans="1:2" x14ac:dyDescent="0.25">
      <c r="A78114" s="118"/>
      <c r="B78114" s="136"/>
    </row>
    <row r="78115" spans="1:2" x14ac:dyDescent="0.25">
      <c r="A78115" s="118"/>
      <c r="B78115" s="136"/>
    </row>
    <row r="78116" spans="1:2" x14ac:dyDescent="0.25">
      <c r="A78116" s="118"/>
      <c r="B78116" s="136"/>
    </row>
    <row r="78117" spans="1:2" x14ac:dyDescent="0.25">
      <c r="A78117" s="118"/>
      <c r="B78117" s="136"/>
    </row>
    <row r="78118" spans="1:2" x14ac:dyDescent="0.25">
      <c r="A78118" s="118"/>
      <c r="B78118" s="136"/>
    </row>
    <row r="78119" spans="1:2" x14ac:dyDescent="0.25">
      <c r="A78119" s="118"/>
      <c r="B78119" s="136"/>
    </row>
    <row r="78120" spans="1:2" x14ac:dyDescent="0.25">
      <c r="A78120" s="118"/>
      <c r="B78120" s="136"/>
    </row>
    <row r="78121" spans="1:2" x14ac:dyDescent="0.25">
      <c r="A78121" s="118"/>
      <c r="B78121" s="136"/>
    </row>
    <row r="78122" spans="1:2" x14ac:dyDescent="0.25">
      <c r="A78122" s="118"/>
      <c r="B78122" s="136"/>
    </row>
    <row r="78123" spans="1:2" x14ac:dyDescent="0.25">
      <c r="A78123" s="118"/>
      <c r="B78123" s="136"/>
    </row>
    <row r="78124" spans="1:2" x14ac:dyDescent="0.25">
      <c r="A78124" s="118"/>
      <c r="B78124" s="136"/>
    </row>
    <row r="78125" spans="1:2" x14ac:dyDescent="0.25">
      <c r="A78125" s="118"/>
      <c r="B78125" s="136"/>
    </row>
    <row r="78126" spans="1:2" x14ac:dyDescent="0.25">
      <c r="A78126" s="118"/>
      <c r="B78126" s="136"/>
    </row>
    <row r="78127" spans="1:2" x14ac:dyDescent="0.25">
      <c r="A78127" s="118"/>
      <c r="B78127" s="136"/>
    </row>
    <row r="78128" spans="1:2" x14ac:dyDescent="0.25">
      <c r="A78128" s="118"/>
      <c r="B78128" s="136"/>
    </row>
    <row r="78129" spans="1:2" x14ac:dyDescent="0.25">
      <c r="A78129" s="118"/>
      <c r="B78129" s="136"/>
    </row>
    <row r="78130" spans="1:2" x14ac:dyDescent="0.25">
      <c r="A78130" s="118"/>
      <c r="B78130" s="136"/>
    </row>
    <row r="78131" spans="1:2" x14ac:dyDescent="0.25">
      <c r="A78131" s="118"/>
      <c r="B78131" s="136"/>
    </row>
    <row r="78132" spans="1:2" x14ac:dyDescent="0.25">
      <c r="A78132" s="118"/>
      <c r="B78132" s="136"/>
    </row>
    <row r="78133" spans="1:2" x14ac:dyDescent="0.25">
      <c r="A78133" s="118"/>
      <c r="B78133" s="136"/>
    </row>
    <row r="78134" spans="1:2" x14ac:dyDescent="0.25">
      <c r="A78134" s="118"/>
      <c r="B78134" s="136"/>
    </row>
    <row r="78135" spans="1:2" x14ac:dyDescent="0.25">
      <c r="A78135" s="118"/>
      <c r="B78135" s="136"/>
    </row>
    <row r="78136" spans="1:2" x14ac:dyDescent="0.25">
      <c r="A78136" s="118"/>
      <c r="B78136" s="136"/>
    </row>
    <row r="78137" spans="1:2" x14ac:dyDescent="0.25">
      <c r="A78137" s="118"/>
      <c r="B78137" s="136"/>
    </row>
    <row r="78138" spans="1:2" x14ac:dyDescent="0.25">
      <c r="A78138" s="118"/>
      <c r="B78138" s="136"/>
    </row>
    <row r="78139" spans="1:2" x14ac:dyDescent="0.25">
      <c r="A78139" s="118"/>
      <c r="B78139" s="136"/>
    </row>
    <row r="78140" spans="1:2" x14ac:dyDescent="0.25">
      <c r="A78140" s="118"/>
      <c r="B78140" s="136"/>
    </row>
    <row r="78141" spans="1:2" x14ac:dyDescent="0.25">
      <c r="A78141" s="118"/>
      <c r="B78141" s="136"/>
    </row>
    <row r="78142" spans="1:2" x14ac:dyDescent="0.25">
      <c r="A78142" s="118"/>
      <c r="B78142" s="136"/>
    </row>
    <row r="78143" spans="1:2" x14ac:dyDescent="0.25">
      <c r="A78143" s="118"/>
      <c r="B78143" s="136"/>
    </row>
    <row r="78144" spans="1:2" x14ac:dyDescent="0.25">
      <c r="A78144" s="118"/>
      <c r="B78144" s="136"/>
    </row>
    <row r="78145" spans="1:2" x14ac:dyDescent="0.25">
      <c r="A78145" s="118"/>
      <c r="B78145" s="136"/>
    </row>
    <row r="78146" spans="1:2" x14ac:dyDescent="0.25">
      <c r="A78146" s="118"/>
      <c r="B78146" s="136"/>
    </row>
    <row r="78147" spans="1:2" x14ac:dyDescent="0.25">
      <c r="A78147" s="118"/>
      <c r="B78147" s="136"/>
    </row>
    <row r="78148" spans="1:2" x14ac:dyDescent="0.25">
      <c r="A78148" s="118"/>
      <c r="B78148" s="136"/>
    </row>
    <row r="78149" spans="1:2" x14ac:dyDescent="0.25">
      <c r="A78149" s="118"/>
      <c r="B78149" s="136"/>
    </row>
    <row r="78150" spans="1:2" x14ac:dyDescent="0.25">
      <c r="A78150" s="118"/>
      <c r="B78150" s="136"/>
    </row>
    <row r="78151" spans="1:2" x14ac:dyDescent="0.25">
      <c r="A78151" s="118"/>
      <c r="B78151" s="136"/>
    </row>
    <row r="78152" spans="1:2" x14ac:dyDescent="0.25">
      <c r="A78152" s="118"/>
      <c r="B78152" s="136"/>
    </row>
    <row r="78153" spans="1:2" x14ac:dyDescent="0.25">
      <c r="A78153" s="118"/>
      <c r="B78153" s="136"/>
    </row>
    <row r="78154" spans="1:2" x14ac:dyDescent="0.25">
      <c r="A78154" s="118"/>
      <c r="B78154" s="136"/>
    </row>
    <row r="78155" spans="1:2" x14ac:dyDescent="0.25">
      <c r="A78155" s="118"/>
      <c r="B78155" s="136"/>
    </row>
    <row r="78156" spans="1:2" x14ac:dyDescent="0.25">
      <c r="A78156" s="118"/>
      <c r="B78156" s="136"/>
    </row>
    <row r="78157" spans="1:2" x14ac:dyDescent="0.25">
      <c r="A78157" s="118"/>
      <c r="B78157" s="136"/>
    </row>
    <row r="78158" spans="1:2" x14ac:dyDescent="0.25">
      <c r="A78158" s="118"/>
      <c r="B78158" s="136"/>
    </row>
    <row r="78159" spans="1:2" x14ac:dyDescent="0.25">
      <c r="A78159" s="118"/>
      <c r="B78159" s="136"/>
    </row>
    <row r="78160" spans="1:2" x14ac:dyDescent="0.25">
      <c r="A78160" s="118"/>
      <c r="B78160" s="136"/>
    </row>
    <row r="78161" spans="1:2" x14ac:dyDescent="0.25">
      <c r="A78161" s="118"/>
      <c r="B78161" s="136"/>
    </row>
    <row r="78162" spans="1:2" x14ac:dyDescent="0.25">
      <c r="A78162" s="118"/>
      <c r="B78162" s="136"/>
    </row>
    <row r="78163" spans="1:2" x14ac:dyDescent="0.25">
      <c r="A78163" s="118"/>
      <c r="B78163" s="136"/>
    </row>
    <row r="78164" spans="1:2" x14ac:dyDescent="0.25">
      <c r="A78164" s="118"/>
      <c r="B78164" s="136"/>
    </row>
    <row r="78165" spans="1:2" x14ac:dyDescent="0.25">
      <c r="A78165" s="118"/>
      <c r="B78165" s="136"/>
    </row>
    <row r="78166" spans="1:2" x14ac:dyDescent="0.25">
      <c r="A78166" s="118"/>
      <c r="B78166" s="136"/>
    </row>
    <row r="78167" spans="1:2" x14ac:dyDescent="0.25">
      <c r="A78167" s="118"/>
      <c r="B78167" s="136"/>
    </row>
    <row r="78168" spans="1:2" x14ac:dyDescent="0.25">
      <c r="A78168" s="118"/>
      <c r="B78168" s="136"/>
    </row>
    <row r="78169" spans="1:2" x14ac:dyDescent="0.25">
      <c r="A78169" s="118"/>
      <c r="B78169" s="136"/>
    </row>
    <row r="78170" spans="1:2" x14ac:dyDescent="0.25">
      <c r="A78170" s="118"/>
      <c r="B78170" s="136"/>
    </row>
    <row r="78171" spans="1:2" x14ac:dyDescent="0.25">
      <c r="A78171" s="118"/>
      <c r="B78171" s="136"/>
    </row>
    <row r="78172" spans="1:2" x14ac:dyDescent="0.25">
      <c r="A78172" s="118"/>
      <c r="B78172" s="136"/>
    </row>
    <row r="78173" spans="1:2" x14ac:dyDescent="0.25">
      <c r="A78173" s="118"/>
      <c r="B78173" s="136"/>
    </row>
    <row r="78174" spans="1:2" x14ac:dyDescent="0.25">
      <c r="A78174" s="118"/>
      <c r="B78174" s="136"/>
    </row>
    <row r="78175" spans="1:2" x14ac:dyDescent="0.25">
      <c r="A78175" s="118"/>
      <c r="B78175" s="136"/>
    </row>
    <row r="78176" spans="1:2" x14ac:dyDescent="0.25">
      <c r="A78176" s="118"/>
      <c r="B78176" s="136"/>
    </row>
    <row r="78177" spans="1:2" x14ac:dyDescent="0.25">
      <c r="A78177" s="118"/>
      <c r="B78177" s="136"/>
    </row>
    <row r="78178" spans="1:2" x14ac:dyDescent="0.25">
      <c r="A78178" s="118"/>
      <c r="B78178" s="136"/>
    </row>
    <row r="78179" spans="1:2" x14ac:dyDescent="0.25">
      <c r="A78179" s="118"/>
      <c r="B78179" s="136"/>
    </row>
    <row r="78180" spans="1:2" x14ac:dyDescent="0.25">
      <c r="A78180" s="118"/>
      <c r="B78180" s="136"/>
    </row>
    <row r="78181" spans="1:2" x14ac:dyDescent="0.25">
      <c r="A78181" s="118"/>
      <c r="B78181" s="136"/>
    </row>
    <row r="78182" spans="1:2" x14ac:dyDescent="0.25">
      <c r="A78182" s="118"/>
      <c r="B78182" s="136"/>
    </row>
    <row r="78183" spans="1:2" x14ac:dyDescent="0.25">
      <c r="A78183" s="118"/>
      <c r="B78183" s="136"/>
    </row>
    <row r="78184" spans="1:2" x14ac:dyDescent="0.25">
      <c r="A78184" s="118"/>
      <c r="B78184" s="136"/>
    </row>
    <row r="78185" spans="1:2" x14ac:dyDescent="0.25">
      <c r="A78185" s="118"/>
      <c r="B78185" s="136"/>
    </row>
    <row r="78186" spans="1:2" x14ac:dyDescent="0.25">
      <c r="A78186" s="118"/>
      <c r="B78186" s="136"/>
    </row>
    <row r="78187" spans="1:2" x14ac:dyDescent="0.25">
      <c r="A78187" s="118"/>
      <c r="B78187" s="136"/>
    </row>
    <row r="78188" spans="1:2" x14ac:dyDescent="0.25">
      <c r="A78188" s="118"/>
      <c r="B78188" s="136"/>
    </row>
    <row r="78189" spans="1:2" x14ac:dyDescent="0.25">
      <c r="A78189" s="118"/>
      <c r="B78189" s="136"/>
    </row>
    <row r="78190" spans="1:2" x14ac:dyDescent="0.25">
      <c r="A78190" s="118"/>
      <c r="B78190" s="136"/>
    </row>
    <row r="78191" spans="1:2" x14ac:dyDescent="0.25">
      <c r="A78191" s="118"/>
      <c r="B78191" s="136"/>
    </row>
    <row r="78192" spans="1:2" x14ac:dyDescent="0.25">
      <c r="A78192" s="118"/>
      <c r="B78192" s="136"/>
    </row>
    <row r="78193" spans="1:2" x14ac:dyDescent="0.25">
      <c r="A78193" s="118"/>
      <c r="B78193" s="136"/>
    </row>
    <row r="78194" spans="1:2" x14ac:dyDescent="0.25">
      <c r="A78194" s="118"/>
      <c r="B78194" s="136"/>
    </row>
    <row r="78195" spans="1:2" x14ac:dyDescent="0.25">
      <c r="A78195" s="118"/>
      <c r="B78195" s="136"/>
    </row>
    <row r="78196" spans="1:2" x14ac:dyDescent="0.25">
      <c r="A78196" s="118"/>
      <c r="B78196" s="136"/>
    </row>
    <row r="78197" spans="1:2" x14ac:dyDescent="0.25">
      <c r="A78197" s="118"/>
      <c r="B78197" s="136"/>
    </row>
    <row r="78198" spans="1:2" x14ac:dyDescent="0.25">
      <c r="A78198" s="118"/>
      <c r="B78198" s="136"/>
    </row>
    <row r="78199" spans="1:2" x14ac:dyDescent="0.25">
      <c r="A78199" s="118"/>
      <c r="B78199" s="136"/>
    </row>
    <row r="78200" spans="1:2" x14ac:dyDescent="0.25">
      <c r="A78200" s="118"/>
      <c r="B78200" s="136"/>
    </row>
    <row r="78201" spans="1:2" x14ac:dyDescent="0.25">
      <c r="A78201" s="118"/>
      <c r="B78201" s="136"/>
    </row>
    <row r="78202" spans="1:2" x14ac:dyDescent="0.25">
      <c r="A78202" s="118"/>
      <c r="B78202" s="136"/>
    </row>
    <row r="78203" spans="1:2" x14ac:dyDescent="0.25">
      <c r="A78203" s="118"/>
      <c r="B78203" s="136"/>
    </row>
    <row r="78204" spans="1:2" x14ac:dyDescent="0.25">
      <c r="A78204" s="118"/>
      <c r="B78204" s="136"/>
    </row>
    <row r="78205" spans="1:2" x14ac:dyDescent="0.25">
      <c r="A78205" s="118"/>
      <c r="B78205" s="136"/>
    </row>
    <row r="78206" spans="1:2" x14ac:dyDescent="0.25">
      <c r="A78206" s="118"/>
      <c r="B78206" s="136"/>
    </row>
    <row r="78207" spans="1:2" x14ac:dyDescent="0.25">
      <c r="A78207" s="118"/>
      <c r="B78207" s="136"/>
    </row>
    <row r="78208" spans="1:2" x14ac:dyDescent="0.25">
      <c r="A78208" s="118"/>
      <c r="B78208" s="136"/>
    </row>
    <row r="78209" spans="1:2" x14ac:dyDescent="0.25">
      <c r="A78209" s="118"/>
      <c r="B78209" s="136"/>
    </row>
    <row r="78210" spans="1:2" x14ac:dyDescent="0.25">
      <c r="A78210" s="118"/>
      <c r="B78210" s="136"/>
    </row>
    <row r="78211" spans="1:2" x14ac:dyDescent="0.25">
      <c r="A78211" s="118"/>
      <c r="B78211" s="136"/>
    </row>
    <row r="78212" spans="1:2" x14ac:dyDescent="0.25">
      <c r="A78212" s="118"/>
      <c r="B78212" s="136"/>
    </row>
    <row r="78213" spans="1:2" x14ac:dyDescent="0.25">
      <c r="A78213" s="118"/>
      <c r="B78213" s="136"/>
    </row>
    <row r="78214" spans="1:2" x14ac:dyDescent="0.25">
      <c r="A78214" s="118"/>
      <c r="B78214" s="136"/>
    </row>
    <row r="78215" spans="1:2" x14ac:dyDescent="0.25">
      <c r="A78215" s="118"/>
      <c r="B78215" s="136"/>
    </row>
    <row r="78216" spans="1:2" x14ac:dyDescent="0.25">
      <c r="A78216" s="118"/>
      <c r="B78216" s="136"/>
    </row>
    <row r="78217" spans="1:2" x14ac:dyDescent="0.25">
      <c r="A78217" s="118"/>
      <c r="B78217" s="136"/>
    </row>
    <row r="78218" spans="1:2" x14ac:dyDescent="0.25">
      <c r="A78218" s="118"/>
      <c r="B78218" s="136"/>
    </row>
    <row r="78219" spans="1:2" x14ac:dyDescent="0.25">
      <c r="A78219" s="118"/>
      <c r="B78219" s="136"/>
    </row>
    <row r="78220" spans="1:2" x14ac:dyDescent="0.25">
      <c r="A78220" s="118"/>
      <c r="B78220" s="136"/>
    </row>
    <row r="78221" spans="1:2" x14ac:dyDescent="0.25">
      <c r="A78221" s="118"/>
      <c r="B78221" s="136"/>
    </row>
    <row r="78222" spans="1:2" x14ac:dyDescent="0.25">
      <c r="A78222" s="118"/>
      <c r="B78222" s="136"/>
    </row>
    <row r="78223" spans="1:2" x14ac:dyDescent="0.25">
      <c r="A78223" s="118"/>
      <c r="B78223" s="136"/>
    </row>
    <row r="78224" spans="1:2" x14ac:dyDescent="0.25">
      <c r="A78224" s="118"/>
      <c r="B78224" s="136"/>
    </row>
    <row r="78225" spans="1:2" x14ac:dyDescent="0.25">
      <c r="A78225" s="118"/>
      <c r="B78225" s="136"/>
    </row>
    <row r="78226" spans="1:2" x14ac:dyDescent="0.25">
      <c r="A78226" s="118"/>
      <c r="B78226" s="136"/>
    </row>
    <row r="78227" spans="1:2" x14ac:dyDescent="0.25">
      <c r="A78227" s="118"/>
      <c r="B78227" s="136"/>
    </row>
    <row r="78228" spans="1:2" x14ac:dyDescent="0.25">
      <c r="A78228" s="118"/>
      <c r="B78228" s="136"/>
    </row>
    <row r="78229" spans="1:2" x14ac:dyDescent="0.25">
      <c r="A78229" s="118"/>
      <c r="B78229" s="136"/>
    </row>
    <row r="78230" spans="1:2" x14ac:dyDescent="0.25">
      <c r="A78230" s="118"/>
      <c r="B78230" s="136"/>
    </row>
    <row r="78231" spans="1:2" x14ac:dyDescent="0.25">
      <c r="A78231" s="118"/>
      <c r="B78231" s="136"/>
    </row>
    <row r="78232" spans="1:2" x14ac:dyDescent="0.25">
      <c r="A78232" s="118"/>
      <c r="B78232" s="136"/>
    </row>
    <row r="78233" spans="1:2" x14ac:dyDescent="0.25">
      <c r="A78233" s="118"/>
      <c r="B78233" s="136"/>
    </row>
    <row r="78234" spans="1:2" x14ac:dyDescent="0.25">
      <c r="A78234" s="118"/>
      <c r="B78234" s="136"/>
    </row>
    <row r="78235" spans="1:2" x14ac:dyDescent="0.25">
      <c r="A78235" s="118"/>
      <c r="B78235" s="136"/>
    </row>
    <row r="78236" spans="1:2" x14ac:dyDescent="0.25">
      <c r="A78236" s="118"/>
      <c r="B78236" s="136"/>
    </row>
    <row r="78237" spans="1:2" x14ac:dyDescent="0.25">
      <c r="A78237" s="118"/>
      <c r="B78237" s="136"/>
    </row>
    <row r="78238" spans="1:2" x14ac:dyDescent="0.25">
      <c r="A78238" s="118"/>
      <c r="B78238" s="136"/>
    </row>
    <row r="78239" spans="1:2" x14ac:dyDescent="0.25">
      <c r="A78239" s="118"/>
      <c r="B78239" s="136"/>
    </row>
    <row r="78240" spans="1:2" x14ac:dyDescent="0.25">
      <c r="A78240" s="118"/>
      <c r="B78240" s="136"/>
    </row>
    <row r="78241" spans="1:2" x14ac:dyDescent="0.25">
      <c r="A78241" s="118"/>
      <c r="B78241" s="136"/>
    </row>
    <row r="78242" spans="1:2" x14ac:dyDescent="0.25">
      <c r="A78242" s="118"/>
      <c r="B78242" s="136"/>
    </row>
    <row r="78243" spans="1:2" x14ac:dyDescent="0.25">
      <c r="A78243" s="118"/>
      <c r="B78243" s="136"/>
    </row>
    <row r="78244" spans="1:2" x14ac:dyDescent="0.25">
      <c r="A78244" s="118"/>
      <c r="B78244" s="136"/>
    </row>
    <row r="78245" spans="1:2" x14ac:dyDescent="0.25">
      <c r="A78245" s="118"/>
      <c r="B78245" s="136"/>
    </row>
    <row r="78246" spans="1:2" x14ac:dyDescent="0.25">
      <c r="A78246" s="118"/>
      <c r="B78246" s="136"/>
    </row>
    <row r="78247" spans="1:2" x14ac:dyDescent="0.25">
      <c r="A78247" s="118"/>
      <c r="B78247" s="136"/>
    </row>
    <row r="78248" spans="1:2" x14ac:dyDescent="0.25">
      <c r="A78248" s="118"/>
      <c r="B78248" s="136"/>
    </row>
    <row r="78249" spans="1:2" x14ac:dyDescent="0.25">
      <c r="A78249" s="118"/>
      <c r="B78249" s="136"/>
    </row>
    <row r="78250" spans="1:2" x14ac:dyDescent="0.25">
      <c r="A78250" s="118"/>
      <c r="B78250" s="136"/>
    </row>
    <row r="78251" spans="1:2" x14ac:dyDescent="0.25">
      <c r="A78251" s="118"/>
      <c r="B78251" s="136"/>
    </row>
    <row r="78252" spans="1:2" x14ac:dyDescent="0.25">
      <c r="A78252" s="118"/>
      <c r="B78252" s="136"/>
    </row>
    <row r="78253" spans="1:2" x14ac:dyDescent="0.25">
      <c r="A78253" s="118"/>
      <c r="B78253" s="136"/>
    </row>
    <row r="78254" spans="1:2" x14ac:dyDescent="0.25">
      <c r="A78254" s="118"/>
      <c r="B78254" s="136"/>
    </row>
    <row r="78255" spans="1:2" x14ac:dyDescent="0.25">
      <c r="A78255" s="118"/>
      <c r="B78255" s="136"/>
    </row>
    <row r="78256" spans="1:2" x14ac:dyDescent="0.25">
      <c r="A78256" s="118"/>
      <c r="B78256" s="136"/>
    </row>
    <row r="78257" spans="1:2" x14ac:dyDescent="0.25">
      <c r="A78257" s="118"/>
      <c r="B78257" s="136"/>
    </row>
    <row r="78258" spans="1:2" x14ac:dyDescent="0.25">
      <c r="A78258" s="118"/>
      <c r="B78258" s="136"/>
    </row>
    <row r="78259" spans="1:2" x14ac:dyDescent="0.25">
      <c r="A78259" s="118"/>
      <c r="B78259" s="136"/>
    </row>
    <row r="78260" spans="1:2" x14ac:dyDescent="0.25">
      <c r="A78260" s="118"/>
      <c r="B78260" s="136"/>
    </row>
    <row r="78261" spans="1:2" x14ac:dyDescent="0.25">
      <c r="A78261" s="118"/>
      <c r="B78261" s="136"/>
    </row>
    <row r="78262" spans="1:2" x14ac:dyDescent="0.25">
      <c r="A78262" s="118"/>
      <c r="B78262" s="136"/>
    </row>
    <row r="78263" spans="1:2" x14ac:dyDescent="0.25">
      <c r="A78263" s="118"/>
      <c r="B78263" s="136"/>
    </row>
    <row r="78264" spans="1:2" x14ac:dyDescent="0.25">
      <c r="A78264" s="118"/>
      <c r="B78264" s="136"/>
    </row>
    <row r="78265" spans="1:2" x14ac:dyDescent="0.25">
      <c r="A78265" s="118"/>
      <c r="B78265" s="136"/>
    </row>
    <row r="78266" spans="1:2" x14ac:dyDescent="0.25">
      <c r="A78266" s="118"/>
      <c r="B78266" s="136"/>
    </row>
    <row r="78267" spans="1:2" x14ac:dyDescent="0.25">
      <c r="A78267" s="118"/>
      <c r="B78267" s="136"/>
    </row>
    <row r="78268" spans="1:2" x14ac:dyDescent="0.25">
      <c r="A78268" s="118"/>
      <c r="B78268" s="136"/>
    </row>
    <row r="78269" spans="1:2" x14ac:dyDescent="0.25">
      <c r="A78269" s="118"/>
      <c r="B78269" s="136"/>
    </row>
    <row r="78270" spans="1:2" x14ac:dyDescent="0.25">
      <c r="A78270" s="118"/>
      <c r="B78270" s="136"/>
    </row>
    <row r="78271" spans="1:2" x14ac:dyDescent="0.25">
      <c r="A78271" s="118"/>
      <c r="B78271" s="136"/>
    </row>
    <row r="78272" spans="1:2" x14ac:dyDescent="0.25">
      <c r="A78272" s="118"/>
      <c r="B78272" s="136"/>
    </row>
    <row r="78273" spans="1:2" x14ac:dyDescent="0.25">
      <c r="A78273" s="118"/>
      <c r="B78273" s="136"/>
    </row>
    <row r="78274" spans="1:2" x14ac:dyDescent="0.25">
      <c r="A78274" s="118"/>
      <c r="B78274" s="136"/>
    </row>
    <row r="78275" spans="1:2" x14ac:dyDescent="0.25">
      <c r="A78275" s="118"/>
      <c r="B78275" s="136"/>
    </row>
    <row r="78276" spans="1:2" x14ac:dyDescent="0.25">
      <c r="A78276" s="118"/>
      <c r="B78276" s="136"/>
    </row>
    <row r="78277" spans="1:2" x14ac:dyDescent="0.25">
      <c r="A78277" s="118"/>
      <c r="B78277" s="136"/>
    </row>
    <row r="78278" spans="1:2" x14ac:dyDescent="0.25">
      <c r="A78278" s="118"/>
      <c r="B78278" s="136"/>
    </row>
    <row r="78279" spans="1:2" x14ac:dyDescent="0.25">
      <c r="A78279" s="118"/>
      <c r="B78279" s="136"/>
    </row>
    <row r="78280" spans="1:2" x14ac:dyDescent="0.25">
      <c r="A78280" s="118"/>
      <c r="B78280" s="136"/>
    </row>
    <row r="78281" spans="1:2" x14ac:dyDescent="0.25">
      <c r="A78281" s="118"/>
      <c r="B78281" s="136"/>
    </row>
    <row r="78282" spans="1:2" x14ac:dyDescent="0.25">
      <c r="A78282" s="118"/>
      <c r="B78282" s="136"/>
    </row>
    <row r="78283" spans="1:2" x14ac:dyDescent="0.25">
      <c r="A78283" s="118"/>
      <c r="B78283" s="136"/>
    </row>
    <row r="78284" spans="1:2" x14ac:dyDescent="0.25">
      <c r="A78284" s="118"/>
      <c r="B78284" s="136"/>
    </row>
    <row r="78285" spans="1:2" x14ac:dyDescent="0.25">
      <c r="A78285" s="118"/>
      <c r="B78285" s="136"/>
    </row>
    <row r="78286" spans="1:2" x14ac:dyDescent="0.25">
      <c r="A78286" s="118"/>
      <c r="B78286" s="136"/>
    </row>
    <row r="78287" spans="1:2" x14ac:dyDescent="0.25">
      <c r="A78287" s="118"/>
      <c r="B78287" s="136"/>
    </row>
    <row r="78288" spans="1:2" x14ac:dyDescent="0.25">
      <c r="A78288" s="118"/>
      <c r="B78288" s="136"/>
    </row>
    <row r="78289" spans="1:2" x14ac:dyDescent="0.25">
      <c r="A78289" s="118"/>
      <c r="B78289" s="136"/>
    </row>
    <row r="78290" spans="1:2" x14ac:dyDescent="0.25">
      <c r="A78290" s="118"/>
      <c r="B78290" s="136"/>
    </row>
    <row r="78291" spans="1:2" x14ac:dyDescent="0.25">
      <c r="A78291" s="118"/>
      <c r="B78291" s="136"/>
    </row>
    <row r="78292" spans="1:2" x14ac:dyDescent="0.25">
      <c r="A78292" s="118"/>
      <c r="B78292" s="136"/>
    </row>
    <row r="78293" spans="1:2" x14ac:dyDescent="0.25">
      <c r="A78293" s="118"/>
      <c r="B78293" s="136"/>
    </row>
    <row r="78294" spans="1:2" x14ac:dyDescent="0.25">
      <c r="A78294" s="118"/>
      <c r="B78294" s="136"/>
    </row>
    <row r="78295" spans="1:2" x14ac:dyDescent="0.25">
      <c r="A78295" s="118"/>
      <c r="B78295" s="136"/>
    </row>
    <row r="78296" spans="1:2" x14ac:dyDescent="0.25">
      <c r="A78296" s="118"/>
      <c r="B78296" s="136"/>
    </row>
    <row r="78297" spans="1:2" x14ac:dyDescent="0.25">
      <c r="A78297" s="118"/>
      <c r="B78297" s="136"/>
    </row>
    <row r="78298" spans="1:2" x14ac:dyDescent="0.25">
      <c r="A78298" s="118"/>
      <c r="B78298" s="136"/>
    </row>
    <row r="78299" spans="1:2" x14ac:dyDescent="0.25">
      <c r="A78299" s="118"/>
      <c r="B78299" s="136"/>
    </row>
    <row r="78300" spans="1:2" x14ac:dyDescent="0.25">
      <c r="A78300" s="118"/>
      <c r="B78300" s="136"/>
    </row>
    <row r="78301" spans="1:2" x14ac:dyDescent="0.25">
      <c r="A78301" s="118"/>
      <c r="B78301" s="136"/>
    </row>
    <row r="78302" spans="1:2" x14ac:dyDescent="0.25">
      <c r="A78302" s="118"/>
      <c r="B78302" s="136"/>
    </row>
    <row r="78303" spans="1:2" x14ac:dyDescent="0.25">
      <c r="A78303" s="118"/>
      <c r="B78303" s="136"/>
    </row>
    <row r="78304" spans="1:2" x14ac:dyDescent="0.25">
      <c r="A78304" s="118"/>
      <c r="B78304" s="136"/>
    </row>
    <row r="78305" spans="1:2" x14ac:dyDescent="0.25">
      <c r="A78305" s="118"/>
      <c r="B78305" s="136"/>
    </row>
    <row r="78306" spans="1:2" x14ac:dyDescent="0.25">
      <c r="A78306" s="118"/>
      <c r="B78306" s="136"/>
    </row>
    <row r="78307" spans="1:2" x14ac:dyDescent="0.25">
      <c r="A78307" s="118"/>
      <c r="B78307" s="136"/>
    </row>
    <row r="78308" spans="1:2" x14ac:dyDescent="0.25">
      <c r="A78308" s="118"/>
      <c r="B78308" s="136"/>
    </row>
    <row r="78309" spans="1:2" x14ac:dyDescent="0.25">
      <c r="A78309" s="118"/>
      <c r="B78309" s="136"/>
    </row>
    <row r="78310" spans="1:2" x14ac:dyDescent="0.25">
      <c r="A78310" s="118"/>
      <c r="B78310" s="136"/>
    </row>
    <row r="78311" spans="1:2" x14ac:dyDescent="0.25">
      <c r="A78311" s="118"/>
      <c r="B78311" s="136"/>
    </row>
    <row r="78312" spans="1:2" x14ac:dyDescent="0.25">
      <c r="A78312" s="118"/>
      <c r="B78312" s="136"/>
    </row>
    <row r="78313" spans="1:2" x14ac:dyDescent="0.25">
      <c r="A78313" s="118"/>
      <c r="B78313" s="136"/>
    </row>
    <row r="78314" spans="1:2" x14ac:dyDescent="0.25">
      <c r="A78314" s="118"/>
      <c r="B78314" s="136"/>
    </row>
    <row r="78315" spans="1:2" x14ac:dyDescent="0.25">
      <c r="A78315" s="118"/>
      <c r="B78315" s="136"/>
    </row>
    <row r="78316" spans="1:2" x14ac:dyDescent="0.25">
      <c r="A78316" s="118"/>
      <c r="B78316" s="136"/>
    </row>
    <row r="78317" spans="1:2" x14ac:dyDescent="0.25">
      <c r="A78317" s="118"/>
      <c r="B78317" s="136"/>
    </row>
    <row r="78318" spans="1:2" x14ac:dyDescent="0.25">
      <c r="A78318" s="118"/>
      <c r="B78318" s="136"/>
    </row>
    <row r="78319" spans="1:2" x14ac:dyDescent="0.25">
      <c r="A78319" s="118"/>
      <c r="B78319" s="136"/>
    </row>
    <row r="78320" spans="1:2" x14ac:dyDescent="0.25">
      <c r="A78320" s="118"/>
      <c r="B78320" s="136"/>
    </row>
    <row r="78321" spans="1:2" x14ac:dyDescent="0.25">
      <c r="A78321" s="118"/>
      <c r="B78321" s="136"/>
    </row>
    <row r="78322" spans="1:2" x14ac:dyDescent="0.25">
      <c r="A78322" s="118"/>
      <c r="B78322" s="136"/>
    </row>
    <row r="78323" spans="1:2" x14ac:dyDescent="0.25">
      <c r="A78323" s="118"/>
      <c r="B78323" s="136"/>
    </row>
    <row r="78324" spans="1:2" x14ac:dyDescent="0.25">
      <c r="A78324" s="118"/>
      <c r="B78324" s="136"/>
    </row>
    <row r="78325" spans="1:2" x14ac:dyDescent="0.25">
      <c r="A78325" s="118"/>
      <c r="B78325" s="136"/>
    </row>
    <row r="78326" spans="1:2" x14ac:dyDescent="0.25">
      <c r="A78326" s="118"/>
      <c r="B78326" s="136"/>
    </row>
    <row r="78327" spans="1:2" x14ac:dyDescent="0.25">
      <c r="A78327" s="118"/>
      <c r="B78327" s="136"/>
    </row>
    <row r="78328" spans="1:2" x14ac:dyDescent="0.25">
      <c r="A78328" s="118"/>
      <c r="B78328" s="136"/>
    </row>
    <row r="78329" spans="1:2" x14ac:dyDescent="0.25">
      <c r="A78329" s="118"/>
      <c r="B78329" s="136"/>
    </row>
    <row r="78330" spans="1:2" x14ac:dyDescent="0.25">
      <c r="A78330" s="118"/>
      <c r="B78330" s="136"/>
    </row>
    <row r="78331" spans="1:2" x14ac:dyDescent="0.25">
      <c r="A78331" s="118"/>
      <c r="B78331" s="136"/>
    </row>
    <row r="78332" spans="1:2" x14ac:dyDescent="0.25">
      <c r="A78332" s="118"/>
      <c r="B78332" s="136"/>
    </row>
    <row r="78333" spans="1:2" x14ac:dyDescent="0.25">
      <c r="A78333" s="118"/>
      <c r="B78333" s="136"/>
    </row>
    <row r="78334" spans="1:2" x14ac:dyDescent="0.25">
      <c r="A78334" s="118"/>
      <c r="B78334" s="136"/>
    </row>
    <row r="78335" spans="1:2" x14ac:dyDescent="0.25">
      <c r="A78335" s="118"/>
      <c r="B78335" s="136"/>
    </row>
    <row r="78336" spans="1:2" x14ac:dyDescent="0.25">
      <c r="A78336" s="118"/>
      <c r="B78336" s="136"/>
    </row>
    <row r="78337" spans="1:2" x14ac:dyDescent="0.25">
      <c r="A78337" s="118"/>
      <c r="B78337" s="136"/>
    </row>
    <row r="78338" spans="1:2" x14ac:dyDescent="0.25">
      <c r="A78338" s="118"/>
      <c r="B78338" s="136"/>
    </row>
    <row r="78339" spans="1:2" x14ac:dyDescent="0.25">
      <c r="A78339" s="118"/>
      <c r="B78339" s="136"/>
    </row>
    <row r="78340" spans="1:2" x14ac:dyDescent="0.25">
      <c r="A78340" s="118"/>
      <c r="B78340" s="136"/>
    </row>
    <row r="78341" spans="1:2" x14ac:dyDescent="0.25">
      <c r="A78341" s="118"/>
      <c r="B78341" s="136"/>
    </row>
    <row r="78342" spans="1:2" x14ac:dyDescent="0.25">
      <c r="A78342" s="118"/>
      <c r="B78342" s="136"/>
    </row>
    <row r="78343" spans="1:2" x14ac:dyDescent="0.25">
      <c r="A78343" s="118"/>
      <c r="B78343" s="136"/>
    </row>
    <row r="78344" spans="1:2" x14ac:dyDescent="0.25">
      <c r="A78344" s="118"/>
      <c r="B78344" s="136"/>
    </row>
    <row r="78345" spans="1:2" x14ac:dyDescent="0.25">
      <c r="A78345" s="118"/>
      <c r="B78345" s="136"/>
    </row>
    <row r="78346" spans="1:2" x14ac:dyDescent="0.25">
      <c r="A78346" s="118"/>
      <c r="B78346" s="136"/>
    </row>
    <row r="78347" spans="1:2" x14ac:dyDescent="0.25">
      <c r="A78347" s="118"/>
      <c r="B78347" s="136"/>
    </row>
    <row r="78348" spans="1:2" x14ac:dyDescent="0.25">
      <c r="A78348" s="118"/>
      <c r="B78348" s="136"/>
    </row>
    <row r="78349" spans="1:2" x14ac:dyDescent="0.25">
      <c r="A78349" s="118"/>
      <c r="B78349" s="136"/>
    </row>
    <row r="78350" spans="1:2" x14ac:dyDescent="0.25">
      <c r="A78350" s="118"/>
      <c r="B78350" s="136"/>
    </row>
    <row r="78351" spans="1:2" x14ac:dyDescent="0.25">
      <c r="A78351" s="118"/>
      <c r="B78351" s="136"/>
    </row>
    <row r="78352" spans="1:2" x14ac:dyDescent="0.25">
      <c r="A78352" s="118"/>
      <c r="B78352" s="136"/>
    </row>
    <row r="78353" spans="1:2" x14ac:dyDescent="0.25">
      <c r="A78353" s="118"/>
      <c r="B78353" s="136"/>
    </row>
    <row r="78354" spans="1:2" x14ac:dyDescent="0.25">
      <c r="A78354" s="118"/>
      <c r="B78354" s="136"/>
    </row>
    <row r="78355" spans="1:2" x14ac:dyDescent="0.25">
      <c r="A78355" s="118"/>
      <c r="B78355" s="136"/>
    </row>
    <row r="78356" spans="1:2" x14ac:dyDescent="0.25">
      <c r="A78356" s="118"/>
      <c r="B78356" s="136"/>
    </row>
    <row r="78357" spans="1:2" x14ac:dyDescent="0.25">
      <c r="A78357" s="118"/>
      <c r="B78357" s="136"/>
    </row>
    <row r="78358" spans="1:2" x14ac:dyDescent="0.25">
      <c r="A78358" s="118"/>
      <c r="B78358" s="136"/>
    </row>
    <row r="78359" spans="1:2" x14ac:dyDescent="0.25">
      <c r="A78359" s="118"/>
      <c r="B78359" s="136"/>
    </row>
    <row r="78360" spans="1:2" x14ac:dyDescent="0.25">
      <c r="A78360" s="118"/>
      <c r="B78360" s="136"/>
    </row>
    <row r="78361" spans="1:2" x14ac:dyDescent="0.25">
      <c r="A78361" s="118"/>
      <c r="B78361" s="136"/>
    </row>
    <row r="78362" spans="1:2" x14ac:dyDescent="0.25">
      <c r="A78362" s="118"/>
      <c r="B78362" s="136"/>
    </row>
    <row r="78363" spans="1:2" x14ac:dyDescent="0.25">
      <c r="A78363" s="118"/>
      <c r="B78363" s="136"/>
    </row>
    <row r="78364" spans="1:2" x14ac:dyDescent="0.25">
      <c r="A78364" s="118"/>
      <c r="B78364" s="136"/>
    </row>
    <row r="78365" spans="1:2" x14ac:dyDescent="0.25">
      <c r="A78365" s="118"/>
      <c r="B78365" s="136"/>
    </row>
    <row r="78366" spans="1:2" x14ac:dyDescent="0.25">
      <c r="A78366" s="118"/>
      <c r="B78366" s="136"/>
    </row>
    <row r="78367" spans="1:2" x14ac:dyDescent="0.25">
      <c r="A78367" s="118"/>
      <c r="B78367" s="136"/>
    </row>
    <row r="78368" spans="1:2" x14ac:dyDescent="0.25">
      <c r="A78368" s="118"/>
      <c r="B78368" s="136"/>
    </row>
    <row r="78369" spans="1:2" x14ac:dyDescent="0.25">
      <c r="A78369" s="118"/>
      <c r="B78369" s="136"/>
    </row>
    <row r="78370" spans="1:2" x14ac:dyDescent="0.25">
      <c r="A78370" s="118"/>
      <c r="B78370" s="136"/>
    </row>
    <row r="78371" spans="1:2" x14ac:dyDescent="0.25">
      <c r="A78371" s="118"/>
      <c r="B78371" s="136"/>
    </row>
    <row r="78372" spans="1:2" x14ac:dyDescent="0.25">
      <c r="A78372" s="118"/>
      <c r="B78372" s="136"/>
    </row>
    <row r="78373" spans="1:2" x14ac:dyDescent="0.25">
      <c r="A78373" s="118"/>
      <c r="B78373" s="136"/>
    </row>
    <row r="78374" spans="1:2" x14ac:dyDescent="0.25">
      <c r="A78374" s="118"/>
      <c r="B78374" s="136"/>
    </row>
    <row r="78375" spans="1:2" x14ac:dyDescent="0.25">
      <c r="A78375" s="118"/>
      <c r="B78375" s="136"/>
    </row>
    <row r="78376" spans="1:2" x14ac:dyDescent="0.25">
      <c r="A78376" s="118"/>
      <c r="B78376" s="136"/>
    </row>
    <row r="78377" spans="1:2" x14ac:dyDescent="0.25">
      <c r="A78377" s="118"/>
      <c r="B78377" s="136"/>
    </row>
    <row r="78378" spans="1:2" x14ac:dyDescent="0.25">
      <c r="A78378" s="118"/>
      <c r="B78378" s="136"/>
    </row>
    <row r="78379" spans="1:2" x14ac:dyDescent="0.25">
      <c r="A78379" s="118"/>
      <c r="B78379" s="136"/>
    </row>
    <row r="78380" spans="1:2" x14ac:dyDescent="0.25">
      <c r="A78380" s="118"/>
      <c r="B78380" s="136"/>
    </row>
    <row r="78381" spans="1:2" x14ac:dyDescent="0.25">
      <c r="A78381" s="118"/>
      <c r="B78381" s="136"/>
    </row>
    <row r="78382" spans="1:2" x14ac:dyDescent="0.25">
      <c r="A78382" s="118"/>
      <c r="B78382" s="136"/>
    </row>
    <row r="78383" spans="1:2" x14ac:dyDescent="0.25">
      <c r="A78383" s="118"/>
      <c r="B78383" s="136"/>
    </row>
    <row r="78384" spans="1:2" x14ac:dyDescent="0.25">
      <c r="A78384" s="118"/>
      <c r="B78384" s="136"/>
    </row>
    <row r="78385" spans="1:2" x14ac:dyDescent="0.25">
      <c r="A78385" s="118"/>
      <c r="B78385" s="136"/>
    </row>
    <row r="78386" spans="1:2" x14ac:dyDescent="0.25">
      <c r="A78386" s="118"/>
      <c r="B78386" s="136"/>
    </row>
    <row r="78387" spans="1:2" x14ac:dyDescent="0.25">
      <c r="A78387" s="118"/>
      <c r="B78387" s="136"/>
    </row>
    <row r="78388" spans="1:2" x14ac:dyDescent="0.25">
      <c r="A78388" s="118"/>
      <c r="B78388" s="136"/>
    </row>
    <row r="78389" spans="1:2" x14ac:dyDescent="0.25">
      <c r="A78389" s="118"/>
      <c r="B78389" s="136"/>
    </row>
    <row r="78390" spans="1:2" x14ac:dyDescent="0.25">
      <c r="A78390" s="118"/>
      <c r="B78390" s="136"/>
    </row>
    <row r="78391" spans="1:2" x14ac:dyDescent="0.25">
      <c r="A78391" s="118"/>
      <c r="B78391" s="136"/>
    </row>
    <row r="78392" spans="1:2" x14ac:dyDescent="0.25">
      <c r="A78392" s="118"/>
      <c r="B78392" s="136"/>
    </row>
    <row r="78393" spans="1:2" x14ac:dyDescent="0.25">
      <c r="A78393" s="118"/>
      <c r="B78393" s="136"/>
    </row>
    <row r="78394" spans="1:2" x14ac:dyDescent="0.25">
      <c r="A78394" s="118"/>
      <c r="B78394" s="136"/>
    </row>
    <row r="78395" spans="1:2" x14ac:dyDescent="0.25">
      <c r="A78395" s="118"/>
      <c r="B78395" s="136"/>
    </row>
    <row r="78396" spans="1:2" x14ac:dyDescent="0.25">
      <c r="A78396" s="118"/>
      <c r="B78396" s="136"/>
    </row>
    <row r="78397" spans="1:2" x14ac:dyDescent="0.25">
      <c r="A78397" s="118"/>
      <c r="B78397" s="136"/>
    </row>
    <row r="78398" spans="1:2" x14ac:dyDescent="0.25">
      <c r="A78398" s="118"/>
      <c r="B78398" s="136"/>
    </row>
    <row r="78399" spans="1:2" x14ac:dyDescent="0.25">
      <c r="A78399" s="118"/>
      <c r="B78399" s="136"/>
    </row>
    <row r="78400" spans="1:2" x14ac:dyDescent="0.25">
      <c r="A78400" s="118"/>
      <c r="B78400" s="136"/>
    </row>
    <row r="78401" spans="1:2" x14ac:dyDescent="0.25">
      <c r="A78401" s="118"/>
      <c r="B78401" s="136"/>
    </row>
    <row r="78402" spans="1:2" x14ac:dyDescent="0.25">
      <c r="A78402" s="118"/>
      <c r="B78402" s="136"/>
    </row>
    <row r="78403" spans="1:2" x14ac:dyDescent="0.25">
      <c r="A78403" s="118"/>
      <c r="B78403" s="136"/>
    </row>
    <row r="78404" spans="1:2" x14ac:dyDescent="0.25">
      <c r="A78404" s="118"/>
      <c r="B78404" s="136"/>
    </row>
    <row r="78405" spans="1:2" x14ac:dyDescent="0.25">
      <c r="A78405" s="118"/>
      <c r="B78405" s="136"/>
    </row>
    <row r="78406" spans="1:2" x14ac:dyDescent="0.25">
      <c r="A78406" s="118"/>
      <c r="B78406" s="136"/>
    </row>
    <row r="78407" spans="1:2" x14ac:dyDescent="0.25">
      <c r="A78407" s="118"/>
      <c r="B78407" s="136"/>
    </row>
    <row r="78408" spans="1:2" x14ac:dyDescent="0.25">
      <c r="A78408" s="118"/>
      <c r="B78408" s="136"/>
    </row>
    <row r="78409" spans="1:2" x14ac:dyDescent="0.25">
      <c r="A78409" s="118"/>
      <c r="B78409" s="136"/>
    </row>
    <row r="78410" spans="1:2" x14ac:dyDescent="0.25">
      <c r="A78410" s="118"/>
      <c r="B78410" s="136"/>
    </row>
    <row r="78411" spans="1:2" x14ac:dyDescent="0.25">
      <c r="A78411" s="118"/>
      <c r="B78411" s="136"/>
    </row>
    <row r="78412" spans="1:2" x14ac:dyDescent="0.25">
      <c r="A78412" s="118"/>
      <c r="B78412" s="136"/>
    </row>
    <row r="78413" spans="1:2" x14ac:dyDescent="0.25">
      <c r="A78413" s="118"/>
      <c r="B78413" s="136"/>
    </row>
    <row r="78414" spans="1:2" x14ac:dyDescent="0.25">
      <c r="A78414" s="118"/>
      <c r="B78414" s="136"/>
    </row>
    <row r="78415" spans="1:2" x14ac:dyDescent="0.25">
      <c r="A78415" s="118"/>
      <c r="B78415" s="136"/>
    </row>
    <row r="78416" spans="1:2" x14ac:dyDescent="0.25">
      <c r="A78416" s="118"/>
      <c r="B78416" s="136"/>
    </row>
    <row r="78417" spans="1:2" x14ac:dyDescent="0.25">
      <c r="A78417" s="118"/>
      <c r="B78417" s="136"/>
    </row>
    <row r="78418" spans="1:2" x14ac:dyDescent="0.25">
      <c r="A78418" s="118"/>
      <c r="B78418" s="136"/>
    </row>
    <row r="78419" spans="1:2" x14ac:dyDescent="0.25">
      <c r="A78419" s="118"/>
      <c r="B78419" s="136"/>
    </row>
    <row r="78420" spans="1:2" x14ac:dyDescent="0.25">
      <c r="A78420" s="118"/>
      <c r="B78420" s="136"/>
    </row>
    <row r="78421" spans="1:2" x14ac:dyDescent="0.25">
      <c r="A78421" s="118"/>
      <c r="B78421" s="136"/>
    </row>
    <row r="78422" spans="1:2" x14ac:dyDescent="0.25">
      <c r="A78422" s="118"/>
      <c r="B78422" s="136"/>
    </row>
    <row r="78423" spans="1:2" x14ac:dyDescent="0.25">
      <c r="A78423" s="118"/>
      <c r="B78423" s="136"/>
    </row>
    <row r="78424" spans="1:2" x14ac:dyDescent="0.25">
      <c r="A78424" s="118"/>
      <c r="B78424" s="136"/>
    </row>
    <row r="78425" spans="1:2" x14ac:dyDescent="0.25">
      <c r="A78425" s="118"/>
      <c r="B78425" s="136"/>
    </row>
    <row r="78426" spans="1:2" x14ac:dyDescent="0.25">
      <c r="A78426" s="118"/>
      <c r="B78426" s="136"/>
    </row>
    <row r="78427" spans="1:2" x14ac:dyDescent="0.25">
      <c r="A78427" s="118"/>
      <c r="B78427" s="136"/>
    </row>
    <row r="78428" spans="1:2" x14ac:dyDescent="0.25">
      <c r="A78428" s="118"/>
      <c r="B78428" s="136"/>
    </row>
    <row r="78429" spans="1:2" x14ac:dyDescent="0.25">
      <c r="A78429" s="118"/>
      <c r="B78429" s="136"/>
    </row>
    <row r="78430" spans="1:2" x14ac:dyDescent="0.25">
      <c r="A78430" s="118"/>
      <c r="B78430" s="136"/>
    </row>
    <row r="78431" spans="1:2" x14ac:dyDescent="0.25">
      <c r="A78431" s="118"/>
      <c r="B78431" s="136"/>
    </row>
    <row r="78432" spans="1:2" x14ac:dyDescent="0.25">
      <c r="A78432" s="118"/>
      <c r="B78432" s="136"/>
    </row>
    <row r="78433" spans="1:2" x14ac:dyDescent="0.25">
      <c r="A78433" s="118"/>
      <c r="B78433" s="136"/>
    </row>
    <row r="78434" spans="1:2" x14ac:dyDescent="0.25">
      <c r="A78434" s="118"/>
      <c r="B78434" s="136"/>
    </row>
    <row r="78435" spans="1:2" x14ac:dyDescent="0.25">
      <c r="A78435" s="118"/>
      <c r="B78435" s="136"/>
    </row>
    <row r="78436" spans="1:2" x14ac:dyDescent="0.25">
      <c r="A78436" s="118"/>
      <c r="B78436" s="136"/>
    </row>
    <row r="78437" spans="1:2" x14ac:dyDescent="0.25">
      <c r="A78437" s="118"/>
      <c r="B78437" s="136"/>
    </row>
    <row r="78438" spans="1:2" x14ac:dyDescent="0.25">
      <c r="A78438" s="118"/>
      <c r="B78438" s="136"/>
    </row>
    <row r="78439" spans="1:2" x14ac:dyDescent="0.25">
      <c r="A78439" s="118"/>
      <c r="B78439" s="136"/>
    </row>
    <row r="78440" spans="1:2" x14ac:dyDescent="0.25">
      <c r="A78440" s="118"/>
      <c r="B78440" s="136"/>
    </row>
    <row r="78441" spans="1:2" x14ac:dyDescent="0.25">
      <c r="A78441" s="118"/>
      <c r="B78441" s="136"/>
    </row>
    <row r="78442" spans="1:2" x14ac:dyDescent="0.25">
      <c r="A78442" s="118"/>
      <c r="B78442" s="136"/>
    </row>
    <row r="78443" spans="1:2" x14ac:dyDescent="0.25">
      <c r="A78443" s="118"/>
      <c r="B78443" s="136"/>
    </row>
    <row r="78444" spans="1:2" x14ac:dyDescent="0.25">
      <c r="A78444" s="118"/>
      <c r="B78444" s="136"/>
    </row>
    <row r="78445" spans="1:2" x14ac:dyDescent="0.25">
      <c r="A78445" s="118"/>
      <c r="B78445" s="136"/>
    </row>
    <row r="78446" spans="1:2" x14ac:dyDescent="0.25">
      <c r="A78446" s="118"/>
      <c r="B78446" s="136"/>
    </row>
    <row r="78447" spans="1:2" x14ac:dyDescent="0.25">
      <c r="A78447" s="118"/>
      <c r="B78447" s="136"/>
    </row>
    <row r="78448" spans="1:2" x14ac:dyDescent="0.25">
      <c r="A78448" s="118"/>
      <c r="B78448" s="136"/>
    </row>
    <row r="78449" spans="1:2" x14ac:dyDescent="0.25">
      <c r="A78449" s="118"/>
      <c r="B78449" s="136"/>
    </row>
    <row r="78450" spans="1:2" x14ac:dyDescent="0.25">
      <c r="A78450" s="118"/>
      <c r="B78450" s="136"/>
    </row>
    <row r="78451" spans="1:2" x14ac:dyDescent="0.25">
      <c r="A78451" s="118"/>
      <c r="B78451" s="136"/>
    </row>
    <row r="78452" spans="1:2" x14ac:dyDescent="0.25">
      <c r="A78452" s="118"/>
      <c r="B78452" s="136"/>
    </row>
    <row r="78453" spans="1:2" x14ac:dyDescent="0.25">
      <c r="A78453" s="118"/>
      <c r="B78453" s="136"/>
    </row>
    <row r="78454" spans="1:2" x14ac:dyDescent="0.25">
      <c r="A78454" s="118"/>
      <c r="B78454" s="136"/>
    </row>
    <row r="78455" spans="1:2" x14ac:dyDescent="0.25">
      <c r="A78455" s="118"/>
      <c r="B78455" s="136"/>
    </row>
    <row r="78456" spans="1:2" x14ac:dyDescent="0.25">
      <c r="A78456" s="118"/>
      <c r="B78456" s="136"/>
    </row>
    <row r="78457" spans="1:2" x14ac:dyDescent="0.25">
      <c r="A78457" s="118"/>
      <c r="B78457" s="136"/>
    </row>
    <row r="78458" spans="1:2" x14ac:dyDescent="0.25">
      <c r="A78458" s="118"/>
      <c r="B78458" s="136"/>
    </row>
    <row r="78459" spans="1:2" x14ac:dyDescent="0.25">
      <c r="A78459" s="118"/>
      <c r="B78459" s="136"/>
    </row>
    <row r="78460" spans="1:2" x14ac:dyDescent="0.25">
      <c r="A78460" s="118"/>
      <c r="B78460" s="136"/>
    </row>
    <row r="78461" spans="1:2" x14ac:dyDescent="0.25">
      <c r="A78461" s="118"/>
      <c r="B78461" s="136"/>
    </row>
    <row r="78462" spans="1:2" x14ac:dyDescent="0.25">
      <c r="A78462" s="118"/>
      <c r="B78462" s="136"/>
    </row>
    <row r="78463" spans="1:2" x14ac:dyDescent="0.25">
      <c r="A78463" s="118"/>
      <c r="B78463" s="136"/>
    </row>
    <row r="78464" spans="1:2" x14ac:dyDescent="0.25">
      <c r="A78464" s="118"/>
      <c r="B78464" s="136"/>
    </row>
    <row r="78465" spans="1:2" x14ac:dyDescent="0.25">
      <c r="A78465" s="118"/>
      <c r="B78465" s="136"/>
    </row>
    <row r="78466" spans="1:2" x14ac:dyDescent="0.25">
      <c r="A78466" s="118"/>
      <c r="B78466" s="136"/>
    </row>
    <row r="78467" spans="1:2" x14ac:dyDescent="0.25">
      <c r="A78467" s="118"/>
      <c r="B78467" s="136"/>
    </row>
    <row r="78468" spans="1:2" x14ac:dyDescent="0.25">
      <c r="A78468" s="118"/>
      <c r="B78468" s="136"/>
    </row>
    <row r="78469" spans="1:2" x14ac:dyDescent="0.25">
      <c r="A78469" s="118"/>
      <c r="B78469" s="136"/>
    </row>
    <row r="78470" spans="1:2" x14ac:dyDescent="0.25">
      <c r="A78470" s="118"/>
      <c r="B78470" s="136"/>
    </row>
    <row r="78471" spans="1:2" x14ac:dyDescent="0.25">
      <c r="A78471" s="118"/>
      <c r="B78471" s="136"/>
    </row>
    <row r="78472" spans="1:2" x14ac:dyDescent="0.25">
      <c r="A78472" s="118"/>
      <c r="B78472" s="136"/>
    </row>
    <row r="78473" spans="1:2" x14ac:dyDescent="0.25">
      <c r="A78473" s="118"/>
      <c r="B78473" s="136"/>
    </row>
    <row r="78474" spans="1:2" x14ac:dyDescent="0.25">
      <c r="A78474" s="118"/>
      <c r="B78474" s="136"/>
    </row>
    <row r="78475" spans="1:2" x14ac:dyDescent="0.25">
      <c r="A78475" s="118"/>
      <c r="B78475" s="136"/>
    </row>
    <row r="78476" spans="1:2" x14ac:dyDescent="0.25">
      <c r="A78476" s="118"/>
      <c r="B78476" s="136"/>
    </row>
    <row r="78477" spans="1:2" x14ac:dyDescent="0.25">
      <c r="A78477" s="118"/>
      <c r="B78477" s="136"/>
    </row>
    <row r="78478" spans="1:2" x14ac:dyDescent="0.25">
      <c r="A78478" s="118"/>
      <c r="B78478" s="136"/>
    </row>
    <row r="78479" spans="1:2" x14ac:dyDescent="0.25">
      <c r="A78479" s="118"/>
      <c r="B78479" s="136"/>
    </row>
    <row r="78480" spans="1:2" x14ac:dyDescent="0.25">
      <c r="A78480" s="118"/>
      <c r="B78480" s="136"/>
    </row>
    <row r="78481" spans="1:2" x14ac:dyDescent="0.25">
      <c r="A78481" s="118"/>
      <c r="B78481" s="136"/>
    </row>
    <row r="78482" spans="1:2" x14ac:dyDescent="0.25">
      <c r="A78482" s="118"/>
      <c r="B78482" s="136"/>
    </row>
    <row r="78483" spans="1:2" x14ac:dyDescent="0.25">
      <c r="A78483" s="118"/>
      <c r="B78483" s="136"/>
    </row>
    <row r="78484" spans="1:2" x14ac:dyDescent="0.25">
      <c r="A78484" s="118"/>
      <c r="B78484" s="136"/>
    </row>
    <row r="78485" spans="1:2" x14ac:dyDescent="0.25">
      <c r="A78485" s="118"/>
      <c r="B78485" s="136"/>
    </row>
    <row r="78486" spans="1:2" x14ac:dyDescent="0.25">
      <c r="A78486" s="118"/>
      <c r="B78486" s="136"/>
    </row>
    <row r="78487" spans="1:2" x14ac:dyDescent="0.25">
      <c r="A78487" s="118"/>
      <c r="B78487" s="136"/>
    </row>
    <row r="78488" spans="1:2" x14ac:dyDescent="0.25">
      <c r="A78488" s="118"/>
      <c r="B78488" s="136"/>
    </row>
    <row r="78489" spans="1:2" x14ac:dyDescent="0.25">
      <c r="A78489" s="118"/>
      <c r="B78489" s="136"/>
    </row>
    <row r="78490" spans="1:2" x14ac:dyDescent="0.25">
      <c r="A78490" s="118"/>
      <c r="B78490" s="136"/>
    </row>
    <row r="78491" spans="1:2" x14ac:dyDescent="0.25">
      <c r="A78491" s="118"/>
      <c r="B78491" s="136"/>
    </row>
    <row r="78492" spans="1:2" x14ac:dyDescent="0.25">
      <c r="A78492" s="118"/>
      <c r="B78492" s="136"/>
    </row>
    <row r="78493" spans="1:2" x14ac:dyDescent="0.25">
      <c r="A78493" s="118"/>
      <c r="B78493" s="136"/>
    </row>
    <row r="78494" spans="1:2" x14ac:dyDescent="0.25">
      <c r="A78494" s="118"/>
      <c r="B78494" s="136"/>
    </row>
    <row r="78495" spans="1:2" x14ac:dyDescent="0.25">
      <c r="A78495" s="118"/>
      <c r="B78495" s="136"/>
    </row>
    <row r="78496" spans="1:2" x14ac:dyDescent="0.25">
      <c r="A78496" s="118"/>
      <c r="B78496" s="136"/>
    </row>
    <row r="78497" spans="1:2" x14ac:dyDescent="0.25">
      <c r="A78497" s="118"/>
      <c r="B78497" s="136"/>
    </row>
    <row r="78498" spans="1:2" x14ac:dyDescent="0.25">
      <c r="A78498" s="118"/>
      <c r="B78498" s="136"/>
    </row>
    <row r="78499" spans="1:2" x14ac:dyDescent="0.25">
      <c r="A78499" s="118"/>
      <c r="B78499" s="136"/>
    </row>
    <row r="78500" spans="1:2" x14ac:dyDescent="0.25">
      <c r="A78500" s="118"/>
      <c r="B78500" s="136"/>
    </row>
    <row r="78501" spans="1:2" x14ac:dyDescent="0.25">
      <c r="A78501" s="118"/>
      <c r="B78501" s="136"/>
    </row>
    <row r="78502" spans="1:2" x14ac:dyDescent="0.25">
      <c r="A78502" s="118"/>
      <c r="B78502" s="136"/>
    </row>
    <row r="78503" spans="1:2" x14ac:dyDescent="0.25">
      <c r="A78503" s="118"/>
      <c r="B78503" s="136"/>
    </row>
    <row r="78504" spans="1:2" x14ac:dyDescent="0.25">
      <c r="A78504" s="118"/>
      <c r="B78504" s="136"/>
    </row>
    <row r="78505" spans="1:2" x14ac:dyDescent="0.25">
      <c r="A78505" s="118"/>
      <c r="B78505" s="136"/>
    </row>
    <row r="78506" spans="1:2" x14ac:dyDescent="0.25">
      <c r="A78506" s="118"/>
      <c r="B78506" s="136"/>
    </row>
    <row r="78507" spans="1:2" x14ac:dyDescent="0.25">
      <c r="A78507" s="118"/>
      <c r="B78507" s="136"/>
    </row>
    <row r="78508" spans="1:2" x14ac:dyDescent="0.25">
      <c r="A78508" s="118"/>
      <c r="B78508" s="136"/>
    </row>
    <row r="78509" spans="1:2" x14ac:dyDescent="0.25">
      <c r="A78509" s="118"/>
      <c r="B78509" s="136"/>
    </row>
    <row r="78510" spans="1:2" x14ac:dyDescent="0.25">
      <c r="A78510" s="118"/>
      <c r="B78510" s="136"/>
    </row>
    <row r="78511" spans="1:2" x14ac:dyDescent="0.25">
      <c r="A78511" s="118"/>
      <c r="B78511" s="136"/>
    </row>
    <row r="78512" spans="1:2" x14ac:dyDescent="0.25">
      <c r="A78512" s="118"/>
      <c r="B78512" s="136"/>
    </row>
    <row r="78513" spans="1:2" x14ac:dyDescent="0.25">
      <c r="A78513" s="118"/>
      <c r="B78513" s="136"/>
    </row>
    <row r="78514" spans="1:2" x14ac:dyDescent="0.25">
      <c r="A78514" s="118"/>
      <c r="B78514" s="136"/>
    </row>
    <row r="78515" spans="1:2" x14ac:dyDescent="0.25">
      <c r="A78515" s="118"/>
      <c r="B78515" s="136"/>
    </row>
    <row r="78516" spans="1:2" x14ac:dyDescent="0.25">
      <c r="A78516" s="118"/>
      <c r="B78516" s="136"/>
    </row>
    <row r="78517" spans="1:2" x14ac:dyDescent="0.25">
      <c r="A78517" s="118"/>
      <c r="B78517" s="136"/>
    </row>
    <row r="78518" spans="1:2" x14ac:dyDescent="0.25">
      <c r="A78518" s="118"/>
      <c r="B78518" s="136"/>
    </row>
    <row r="78519" spans="1:2" x14ac:dyDescent="0.25">
      <c r="A78519" s="118"/>
      <c r="B78519" s="136"/>
    </row>
    <row r="78520" spans="1:2" x14ac:dyDescent="0.25">
      <c r="A78520" s="118"/>
      <c r="B78520" s="136"/>
    </row>
    <row r="78521" spans="1:2" x14ac:dyDescent="0.25">
      <c r="A78521" s="118"/>
      <c r="B78521" s="136"/>
    </row>
    <row r="78522" spans="1:2" x14ac:dyDescent="0.25">
      <c r="A78522" s="118"/>
      <c r="B78522" s="136"/>
    </row>
    <row r="78523" spans="1:2" x14ac:dyDescent="0.25">
      <c r="A78523" s="118"/>
      <c r="B78523" s="136"/>
    </row>
    <row r="78524" spans="1:2" x14ac:dyDescent="0.25">
      <c r="A78524" s="118"/>
      <c r="B78524" s="136"/>
    </row>
    <row r="78525" spans="1:2" x14ac:dyDescent="0.25">
      <c r="A78525" s="118"/>
      <c r="B78525" s="136"/>
    </row>
    <row r="78526" spans="1:2" x14ac:dyDescent="0.25">
      <c r="A78526" s="118"/>
      <c r="B78526" s="136"/>
    </row>
    <row r="78527" spans="1:2" x14ac:dyDescent="0.25">
      <c r="A78527" s="118"/>
      <c r="B78527" s="136"/>
    </row>
    <row r="78528" spans="1:2" x14ac:dyDescent="0.25">
      <c r="A78528" s="118"/>
      <c r="B78528" s="136"/>
    </row>
    <row r="78529" spans="1:2" x14ac:dyDescent="0.25">
      <c r="A78529" s="118"/>
      <c r="B78529" s="136"/>
    </row>
    <row r="78530" spans="1:2" x14ac:dyDescent="0.25">
      <c r="A78530" s="118"/>
      <c r="B78530" s="136"/>
    </row>
    <row r="78531" spans="1:2" x14ac:dyDescent="0.25">
      <c r="A78531" s="118"/>
      <c r="B78531" s="136"/>
    </row>
    <row r="78532" spans="1:2" x14ac:dyDescent="0.25">
      <c r="A78532" s="118"/>
      <c r="B78532" s="136"/>
    </row>
    <row r="78533" spans="1:2" x14ac:dyDescent="0.25">
      <c r="A78533" s="118"/>
      <c r="B78533" s="136"/>
    </row>
    <row r="78534" spans="1:2" x14ac:dyDescent="0.25">
      <c r="A78534" s="118"/>
      <c r="B78534" s="136"/>
    </row>
    <row r="78535" spans="1:2" x14ac:dyDescent="0.25">
      <c r="A78535" s="118"/>
      <c r="B78535" s="136"/>
    </row>
    <row r="78536" spans="1:2" x14ac:dyDescent="0.25">
      <c r="A78536" s="118"/>
      <c r="B78536" s="136"/>
    </row>
    <row r="78537" spans="1:2" x14ac:dyDescent="0.25">
      <c r="A78537" s="118"/>
      <c r="B78537" s="136"/>
    </row>
    <row r="78538" spans="1:2" x14ac:dyDescent="0.25">
      <c r="A78538" s="118"/>
      <c r="B78538" s="136"/>
    </row>
    <row r="78539" spans="1:2" x14ac:dyDescent="0.25">
      <c r="A78539" s="118"/>
      <c r="B78539" s="136"/>
    </row>
    <row r="78540" spans="1:2" x14ac:dyDescent="0.25">
      <c r="A78540" s="118"/>
      <c r="B78540" s="136"/>
    </row>
    <row r="78541" spans="1:2" x14ac:dyDescent="0.25">
      <c r="A78541" s="118"/>
      <c r="B78541" s="136"/>
    </row>
    <row r="78542" spans="1:2" x14ac:dyDescent="0.25">
      <c r="A78542" s="118"/>
      <c r="B78542" s="136"/>
    </row>
    <row r="78543" spans="1:2" x14ac:dyDescent="0.25">
      <c r="A78543" s="118"/>
      <c r="B78543" s="136"/>
    </row>
    <row r="78544" spans="1:2" x14ac:dyDescent="0.25">
      <c r="A78544" s="118"/>
      <c r="B78544" s="136"/>
    </row>
    <row r="78545" spans="1:2" x14ac:dyDescent="0.25">
      <c r="A78545" s="118"/>
      <c r="B78545" s="136"/>
    </row>
    <row r="78546" spans="1:2" x14ac:dyDescent="0.25">
      <c r="A78546" s="118"/>
      <c r="B78546" s="136"/>
    </row>
    <row r="78547" spans="1:2" x14ac:dyDescent="0.25">
      <c r="A78547" s="118"/>
      <c r="B78547" s="136"/>
    </row>
    <row r="78548" spans="1:2" x14ac:dyDescent="0.25">
      <c r="A78548" s="118"/>
      <c r="B78548" s="136"/>
    </row>
    <row r="78549" spans="1:2" x14ac:dyDescent="0.25">
      <c r="A78549" s="118"/>
      <c r="B78549" s="136"/>
    </row>
    <row r="78550" spans="1:2" x14ac:dyDescent="0.25">
      <c r="A78550" s="118"/>
      <c r="B78550" s="136"/>
    </row>
    <row r="78551" spans="1:2" x14ac:dyDescent="0.25">
      <c r="A78551" s="118"/>
      <c r="B78551" s="136"/>
    </row>
    <row r="78552" spans="1:2" x14ac:dyDescent="0.25">
      <c r="A78552" s="118"/>
      <c r="B78552" s="136"/>
    </row>
    <row r="78553" spans="1:2" x14ac:dyDescent="0.25">
      <c r="A78553" s="118"/>
      <c r="B78553" s="136"/>
    </row>
    <row r="78554" spans="1:2" x14ac:dyDescent="0.25">
      <c r="A78554" s="118"/>
      <c r="B78554" s="136"/>
    </row>
    <row r="78555" spans="1:2" x14ac:dyDescent="0.25">
      <c r="A78555" s="118"/>
      <c r="B78555" s="136"/>
    </row>
    <row r="78556" spans="1:2" x14ac:dyDescent="0.25">
      <c r="A78556" s="118"/>
      <c r="B78556" s="136"/>
    </row>
    <row r="78557" spans="1:2" x14ac:dyDescent="0.25">
      <c r="A78557" s="118"/>
      <c r="B78557" s="136"/>
    </row>
    <row r="78558" spans="1:2" x14ac:dyDescent="0.25">
      <c r="A78558" s="118"/>
      <c r="B78558" s="136"/>
    </row>
    <row r="78559" spans="1:2" x14ac:dyDescent="0.25">
      <c r="A78559" s="118"/>
      <c r="B78559" s="136"/>
    </row>
    <row r="78560" spans="1:2" x14ac:dyDescent="0.25">
      <c r="A78560" s="118"/>
      <c r="B78560" s="136"/>
    </row>
    <row r="78561" spans="1:2" x14ac:dyDescent="0.25">
      <c r="A78561" s="118"/>
      <c r="B78561" s="136"/>
    </row>
    <row r="78562" spans="1:2" x14ac:dyDescent="0.25">
      <c r="A78562" s="118"/>
      <c r="B78562" s="136"/>
    </row>
    <row r="78563" spans="1:2" x14ac:dyDescent="0.25">
      <c r="A78563" s="118"/>
      <c r="B78563" s="136"/>
    </row>
    <row r="78564" spans="1:2" x14ac:dyDescent="0.25">
      <c r="A78564" s="118"/>
      <c r="B78564" s="136"/>
    </row>
    <row r="78565" spans="1:2" x14ac:dyDescent="0.25">
      <c r="A78565" s="118"/>
      <c r="B78565" s="136"/>
    </row>
    <row r="78566" spans="1:2" x14ac:dyDescent="0.25">
      <c r="A78566" s="118"/>
      <c r="B78566" s="136"/>
    </row>
    <row r="78567" spans="1:2" x14ac:dyDescent="0.25">
      <c r="A78567" s="118"/>
      <c r="B78567" s="136"/>
    </row>
    <row r="78568" spans="1:2" x14ac:dyDescent="0.25">
      <c r="A78568" s="118"/>
      <c r="B78568" s="136"/>
    </row>
    <row r="78569" spans="1:2" x14ac:dyDescent="0.25">
      <c r="A78569" s="118"/>
      <c r="B78569" s="136"/>
    </row>
    <row r="78570" spans="1:2" x14ac:dyDescent="0.25">
      <c r="A78570" s="118"/>
      <c r="B78570" s="136"/>
    </row>
    <row r="78571" spans="1:2" x14ac:dyDescent="0.25">
      <c r="A78571" s="118"/>
      <c r="B78571" s="136"/>
    </row>
    <row r="78572" spans="1:2" x14ac:dyDescent="0.25">
      <c r="A78572" s="118"/>
      <c r="B78572" s="136"/>
    </row>
    <row r="78573" spans="1:2" x14ac:dyDescent="0.25">
      <c r="A78573" s="118"/>
      <c r="B78573" s="136"/>
    </row>
    <row r="78574" spans="1:2" x14ac:dyDescent="0.25">
      <c r="A78574" s="118"/>
      <c r="B78574" s="136"/>
    </row>
    <row r="78575" spans="1:2" x14ac:dyDescent="0.25">
      <c r="A78575" s="118"/>
      <c r="B78575" s="136"/>
    </row>
    <row r="78576" spans="1:2" x14ac:dyDescent="0.25">
      <c r="A78576" s="118"/>
      <c r="B78576" s="136"/>
    </row>
    <row r="78577" spans="1:2" x14ac:dyDescent="0.25">
      <c r="A78577" s="118"/>
      <c r="B78577" s="136"/>
    </row>
    <row r="78578" spans="1:2" x14ac:dyDescent="0.25">
      <c r="A78578" s="118"/>
      <c r="B78578" s="136"/>
    </row>
    <row r="78579" spans="1:2" x14ac:dyDescent="0.25">
      <c r="A78579" s="118"/>
      <c r="B78579" s="136"/>
    </row>
    <row r="78580" spans="1:2" x14ac:dyDescent="0.25">
      <c r="A78580" s="118"/>
      <c r="B78580" s="136"/>
    </row>
    <row r="78581" spans="1:2" x14ac:dyDescent="0.25">
      <c r="A78581" s="118"/>
      <c r="B78581" s="136"/>
    </row>
    <row r="78582" spans="1:2" x14ac:dyDescent="0.25">
      <c r="A78582" s="118"/>
      <c r="B78582" s="136"/>
    </row>
    <row r="78583" spans="1:2" x14ac:dyDescent="0.25">
      <c r="A78583" s="118"/>
      <c r="B78583" s="136"/>
    </row>
    <row r="78584" spans="1:2" x14ac:dyDescent="0.25">
      <c r="A78584" s="118"/>
      <c r="B78584" s="136"/>
    </row>
    <row r="78585" spans="1:2" x14ac:dyDescent="0.25">
      <c r="A78585" s="118"/>
      <c r="B78585" s="136"/>
    </row>
    <row r="78586" spans="1:2" x14ac:dyDescent="0.25">
      <c r="A78586" s="118"/>
      <c r="B78586" s="136"/>
    </row>
    <row r="78587" spans="1:2" x14ac:dyDescent="0.25">
      <c r="A78587" s="118"/>
      <c r="B78587" s="136"/>
    </row>
    <row r="78588" spans="1:2" x14ac:dyDescent="0.25">
      <c r="A78588" s="118"/>
      <c r="B78588" s="136"/>
    </row>
    <row r="78589" spans="1:2" x14ac:dyDescent="0.25">
      <c r="A78589" s="118"/>
      <c r="B78589" s="136"/>
    </row>
    <row r="78590" spans="1:2" x14ac:dyDescent="0.25">
      <c r="A78590" s="118"/>
      <c r="B78590" s="136"/>
    </row>
    <row r="78591" spans="1:2" x14ac:dyDescent="0.25">
      <c r="A78591" s="118"/>
      <c r="B78591" s="136"/>
    </row>
    <row r="78592" spans="1:2" x14ac:dyDescent="0.25">
      <c r="A78592" s="118"/>
      <c r="B78592" s="136"/>
    </row>
    <row r="78593" spans="1:2" x14ac:dyDescent="0.25">
      <c r="A78593" s="118"/>
      <c r="B78593" s="136"/>
    </row>
    <row r="78594" spans="1:2" x14ac:dyDescent="0.25">
      <c r="A78594" s="118"/>
      <c r="B78594" s="136"/>
    </row>
    <row r="78595" spans="1:2" x14ac:dyDescent="0.25">
      <c r="A78595" s="118"/>
      <c r="B78595" s="136"/>
    </row>
    <row r="78596" spans="1:2" x14ac:dyDescent="0.25">
      <c r="A78596" s="118"/>
      <c r="B78596" s="136"/>
    </row>
    <row r="78597" spans="1:2" x14ac:dyDescent="0.25">
      <c r="A78597" s="118"/>
      <c r="B78597" s="136"/>
    </row>
    <row r="78598" spans="1:2" x14ac:dyDescent="0.25">
      <c r="A78598" s="118"/>
      <c r="B78598" s="136"/>
    </row>
    <row r="78599" spans="1:2" x14ac:dyDescent="0.25">
      <c r="A78599" s="118"/>
      <c r="B78599" s="136"/>
    </row>
    <row r="78600" spans="1:2" x14ac:dyDescent="0.25">
      <c r="A78600" s="118"/>
      <c r="B78600" s="136"/>
    </row>
    <row r="78601" spans="1:2" x14ac:dyDescent="0.25">
      <c r="A78601" s="118"/>
      <c r="B78601" s="136"/>
    </row>
    <row r="78602" spans="1:2" x14ac:dyDescent="0.25">
      <c r="A78602" s="118"/>
      <c r="B78602" s="136"/>
    </row>
    <row r="78603" spans="1:2" x14ac:dyDescent="0.25">
      <c r="A78603" s="118"/>
      <c r="B78603" s="136"/>
    </row>
    <row r="78604" spans="1:2" x14ac:dyDescent="0.25">
      <c r="A78604" s="118"/>
      <c r="B78604" s="136"/>
    </row>
    <row r="78605" spans="1:2" x14ac:dyDescent="0.25">
      <c r="A78605" s="118"/>
      <c r="B78605" s="136"/>
    </row>
    <row r="78606" spans="1:2" x14ac:dyDescent="0.25">
      <c r="A78606" s="118"/>
      <c r="B78606" s="136"/>
    </row>
    <row r="78607" spans="1:2" x14ac:dyDescent="0.25">
      <c r="A78607" s="118"/>
      <c r="B78607" s="136"/>
    </row>
    <row r="78608" spans="1:2" x14ac:dyDescent="0.25">
      <c r="A78608" s="118"/>
      <c r="B78608" s="136"/>
    </row>
    <row r="78609" spans="1:2" x14ac:dyDescent="0.25">
      <c r="A78609" s="118"/>
      <c r="B78609" s="136"/>
    </row>
    <row r="78610" spans="1:2" x14ac:dyDescent="0.25">
      <c r="A78610" s="118"/>
      <c r="B78610" s="136"/>
    </row>
    <row r="78611" spans="1:2" x14ac:dyDescent="0.25">
      <c r="A78611" s="118"/>
      <c r="B78611" s="136"/>
    </row>
    <row r="78612" spans="1:2" x14ac:dyDescent="0.25">
      <c r="A78612" s="118"/>
      <c r="B78612" s="136"/>
    </row>
    <row r="78613" spans="1:2" x14ac:dyDescent="0.25">
      <c r="A78613" s="118"/>
      <c r="B78613" s="136"/>
    </row>
    <row r="78614" spans="1:2" x14ac:dyDescent="0.25">
      <c r="A78614" s="118"/>
      <c r="B78614" s="136"/>
    </row>
    <row r="78615" spans="1:2" x14ac:dyDescent="0.25">
      <c r="A78615" s="118"/>
      <c r="B78615" s="136"/>
    </row>
    <row r="78616" spans="1:2" x14ac:dyDescent="0.25">
      <c r="A78616" s="118"/>
      <c r="B78616" s="136"/>
    </row>
    <row r="78617" spans="1:2" x14ac:dyDescent="0.25">
      <c r="A78617" s="118"/>
      <c r="B78617" s="136"/>
    </row>
    <row r="78618" spans="1:2" x14ac:dyDescent="0.25">
      <c r="A78618" s="118"/>
      <c r="B78618" s="136"/>
    </row>
    <row r="78619" spans="1:2" x14ac:dyDescent="0.25">
      <c r="A78619" s="118"/>
      <c r="B78619" s="136"/>
    </row>
    <row r="78620" spans="1:2" x14ac:dyDescent="0.25">
      <c r="A78620" s="118"/>
      <c r="B78620" s="136"/>
    </row>
    <row r="78621" spans="1:2" x14ac:dyDescent="0.25">
      <c r="A78621" s="118"/>
      <c r="B78621" s="136"/>
    </row>
    <row r="78622" spans="1:2" x14ac:dyDescent="0.25">
      <c r="A78622" s="118"/>
      <c r="B78622" s="136"/>
    </row>
    <row r="78623" spans="1:2" x14ac:dyDescent="0.25">
      <c r="A78623" s="118"/>
      <c r="B78623" s="136"/>
    </row>
    <row r="78624" spans="1:2" x14ac:dyDescent="0.25">
      <c r="A78624" s="118"/>
      <c r="B78624" s="136"/>
    </row>
    <row r="78625" spans="1:2" x14ac:dyDescent="0.25">
      <c r="A78625" s="118"/>
      <c r="B78625" s="136"/>
    </row>
    <row r="78626" spans="1:2" x14ac:dyDescent="0.25">
      <c r="A78626" s="118"/>
      <c r="B78626" s="136"/>
    </row>
    <row r="78627" spans="1:2" x14ac:dyDescent="0.25">
      <c r="A78627" s="118"/>
      <c r="B78627" s="136"/>
    </row>
    <row r="78628" spans="1:2" x14ac:dyDescent="0.25">
      <c r="A78628" s="118"/>
      <c r="B78628" s="136"/>
    </row>
    <row r="78629" spans="1:2" x14ac:dyDescent="0.25">
      <c r="A78629" s="118"/>
      <c r="B78629" s="136"/>
    </row>
    <row r="78630" spans="1:2" x14ac:dyDescent="0.25">
      <c r="A78630" s="118"/>
      <c r="B78630" s="136"/>
    </row>
    <row r="78631" spans="1:2" x14ac:dyDescent="0.25">
      <c r="A78631" s="118"/>
      <c r="B78631" s="136"/>
    </row>
    <row r="78632" spans="1:2" x14ac:dyDescent="0.25">
      <c r="A78632" s="118"/>
      <c r="B78632" s="136"/>
    </row>
    <row r="78633" spans="1:2" x14ac:dyDescent="0.25">
      <c r="A78633" s="118"/>
      <c r="B78633" s="136"/>
    </row>
    <row r="78634" spans="1:2" x14ac:dyDescent="0.25">
      <c r="A78634" s="118"/>
      <c r="B78634" s="136"/>
    </row>
    <row r="78635" spans="1:2" x14ac:dyDescent="0.25">
      <c r="A78635" s="118"/>
      <c r="B78635" s="136"/>
    </row>
    <row r="78636" spans="1:2" x14ac:dyDescent="0.25">
      <c r="A78636" s="118"/>
      <c r="B78636" s="136"/>
    </row>
    <row r="78637" spans="1:2" x14ac:dyDescent="0.25">
      <c r="A78637" s="118"/>
      <c r="B78637" s="136"/>
    </row>
    <row r="78638" spans="1:2" x14ac:dyDescent="0.25">
      <c r="A78638" s="118"/>
      <c r="B78638" s="136"/>
    </row>
    <row r="78639" spans="1:2" x14ac:dyDescent="0.25">
      <c r="A78639" s="118"/>
      <c r="B78639" s="136"/>
    </row>
    <row r="78640" spans="1:2" x14ac:dyDescent="0.25">
      <c r="A78640" s="118"/>
      <c r="B78640" s="136"/>
    </row>
    <row r="78641" spans="1:2" x14ac:dyDescent="0.25">
      <c r="A78641" s="118"/>
      <c r="B78641" s="136"/>
    </row>
    <row r="78642" spans="1:2" x14ac:dyDescent="0.25">
      <c r="A78642" s="118"/>
      <c r="B78642" s="136"/>
    </row>
    <row r="78643" spans="1:2" x14ac:dyDescent="0.25">
      <c r="A78643" s="118"/>
      <c r="B78643" s="136"/>
    </row>
    <row r="78644" spans="1:2" x14ac:dyDescent="0.25">
      <c r="A78644" s="118"/>
      <c r="B78644" s="136"/>
    </row>
    <row r="78645" spans="1:2" x14ac:dyDescent="0.25">
      <c r="A78645" s="118"/>
      <c r="B78645" s="136"/>
    </row>
    <row r="78646" spans="1:2" x14ac:dyDescent="0.25">
      <c r="A78646" s="118"/>
      <c r="B78646" s="136"/>
    </row>
    <row r="78647" spans="1:2" x14ac:dyDescent="0.25">
      <c r="A78647" s="118"/>
      <c r="B78647" s="136"/>
    </row>
    <row r="78648" spans="1:2" x14ac:dyDescent="0.25">
      <c r="A78648" s="118"/>
      <c r="B78648" s="136"/>
    </row>
    <row r="78649" spans="1:2" x14ac:dyDescent="0.25">
      <c r="A78649" s="118"/>
      <c r="B78649" s="136"/>
    </row>
    <row r="78650" spans="1:2" x14ac:dyDescent="0.25">
      <c r="A78650" s="118"/>
      <c r="B78650" s="136"/>
    </row>
    <row r="78651" spans="1:2" x14ac:dyDescent="0.25">
      <c r="A78651" s="118"/>
      <c r="B78651" s="136"/>
    </row>
    <row r="78652" spans="1:2" x14ac:dyDescent="0.25">
      <c r="A78652" s="118"/>
      <c r="B78652" s="136"/>
    </row>
    <row r="78653" spans="1:2" x14ac:dyDescent="0.25">
      <c r="A78653" s="118"/>
      <c r="B78653" s="136"/>
    </row>
    <row r="78654" spans="1:2" x14ac:dyDescent="0.25">
      <c r="A78654" s="118"/>
      <c r="B78654" s="136"/>
    </row>
    <row r="78655" spans="1:2" x14ac:dyDescent="0.25">
      <c r="A78655" s="118"/>
      <c r="B78655" s="136"/>
    </row>
    <row r="78656" spans="1:2" x14ac:dyDescent="0.25">
      <c r="A78656" s="118"/>
      <c r="B78656" s="136"/>
    </row>
    <row r="78657" spans="1:2" x14ac:dyDescent="0.25">
      <c r="A78657" s="118"/>
      <c r="B78657" s="136"/>
    </row>
    <row r="78658" spans="1:2" x14ac:dyDescent="0.25">
      <c r="A78658" s="118"/>
      <c r="B78658" s="136"/>
    </row>
    <row r="78659" spans="1:2" x14ac:dyDescent="0.25">
      <c r="A78659" s="118"/>
      <c r="B78659" s="136"/>
    </row>
    <row r="78660" spans="1:2" x14ac:dyDescent="0.25">
      <c r="A78660" s="118"/>
      <c r="B78660" s="136"/>
    </row>
    <row r="78661" spans="1:2" x14ac:dyDescent="0.25">
      <c r="A78661" s="118"/>
      <c r="B78661" s="136"/>
    </row>
    <row r="78662" spans="1:2" x14ac:dyDescent="0.25">
      <c r="A78662" s="118"/>
      <c r="B78662" s="136"/>
    </row>
    <row r="78663" spans="1:2" x14ac:dyDescent="0.25">
      <c r="A78663" s="118"/>
      <c r="B78663" s="136"/>
    </row>
    <row r="78664" spans="1:2" x14ac:dyDescent="0.25">
      <c r="A78664" s="118"/>
      <c r="B78664" s="136"/>
    </row>
    <row r="78665" spans="1:2" x14ac:dyDescent="0.25">
      <c r="A78665" s="118"/>
      <c r="B78665" s="136"/>
    </row>
    <row r="78666" spans="1:2" x14ac:dyDescent="0.25">
      <c r="A78666" s="118"/>
      <c r="B78666" s="136"/>
    </row>
    <row r="78667" spans="1:2" x14ac:dyDescent="0.25">
      <c r="A78667" s="118"/>
      <c r="B78667" s="136"/>
    </row>
    <row r="78668" spans="1:2" x14ac:dyDescent="0.25">
      <c r="A78668" s="118"/>
      <c r="B78668" s="136"/>
    </row>
    <row r="78669" spans="1:2" x14ac:dyDescent="0.25">
      <c r="A78669" s="118"/>
      <c r="B78669" s="136"/>
    </row>
    <row r="78670" spans="1:2" x14ac:dyDescent="0.25">
      <c r="A78670" s="118"/>
      <c r="B78670" s="136"/>
    </row>
    <row r="78671" spans="1:2" x14ac:dyDescent="0.25">
      <c r="A78671" s="118"/>
      <c r="B78671" s="136"/>
    </row>
    <row r="78672" spans="1:2" x14ac:dyDescent="0.25">
      <c r="A78672" s="118"/>
      <c r="B78672" s="136"/>
    </row>
    <row r="78673" spans="1:2" x14ac:dyDescent="0.25">
      <c r="A78673" s="118"/>
      <c r="B78673" s="136"/>
    </row>
    <row r="78674" spans="1:2" x14ac:dyDescent="0.25">
      <c r="A78674" s="118"/>
      <c r="B78674" s="136"/>
    </row>
    <row r="78675" spans="1:2" x14ac:dyDescent="0.25">
      <c r="A78675" s="118"/>
      <c r="B78675" s="136"/>
    </row>
    <row r="78676" spans="1:2" x14ac:dyDescent="0.25">
      <c r="A78676" s="118"/>
      <c r="B78676" s="136"/>
    </row>
    <row r="78677" spans="1:2" x14ac:dyDescent="0.25">
      <c r="A78677" s="118"/>
      <c r="B78677" s="136"/>
    </row>
    <row r="78678" spans="1:2" x14ac:dyDescent="0.25">
      <c r="A78678" s="118"/>
      <c r="B78678" s="136"/>
    </row>
    <row r="78679" spans="1:2" x14ac:dyDescent="0.25">
      <c r="A78679" s="118"/>
      <c r="B78679" s="136"/>
    </row>
    <row r="78680" spans="1:2" x14ac:dyDescent="0.25">
      <c r="A78680" s="118"/>
      <c r="B78680" s="136"/>
    </row>
    <row r="78681" spans="1:2" x14ac:dyDescent="0.25">
      <c r="A78681" s="118"/>
      <c r="B78681" s="136"/>
    </row>
    <row r="78682" spans="1:2" x14ac:dyDescent="0.25">
      <c r="A78682" s="118"/>
      <c r="B78682" s="136"/>
    </row>
    <row r="78683" spans="1:2" x14ac:dyDescent="0.25">
      <c r="A78683" s="118"/>
      <c r="B78683" s="136"/>
    </row>
    <row r="78684" spans="1:2" x14ac:dyDescent="0.25">
      <c r="A78684" s="118"/>
      <c r="B78684" s="136"/>
    </row>
    <row r="78685" spans="1:2" x14ac:dyDescent="0.25">
      <c r="A78685" s="118"/>
      <c r="B78685" s="136"/>
    </row>
    <row r="78686" spans="1:2" x14ac:dyDescent="0.25">
      <c r="A78686" s="118"/>
      <c r="B78686" s="136"/>
    </row>
    <row r="78687" spans="1:2" x14ac:dyDescent="0.25">
      <c r="A78687" s="118"/>
      <c r="B78687" s="136"/>
    </row>
    <row r="78688" spans="1:2" x14ac:dyDescent="0.25">
      <c r="A78688" s="118"/>
      <c r="B78688" s="136"/>
    </row>
    <row r="78689" spans="1:2" x14ac:dyDescent="0.25">
      <c r="A78689" s="118"/>
      <c r="B78689" s="136"/>
    </row>
    <row r="78690" spans="1:2" x14ac:dyDescent="0.25">
      <c r="A78690" s="118"/>
      <c r="B78690" s="136"/>
    </row>
    <row r="78691" spans="1:2" x14ac:dyDescent="0.25">
      <c r="A78691" s="118"/>
      <c r="B78691" s="136"/>
    </row>
    <row r="78692" spans="1:2" x14ac:dyDescent="0.25">
      <c r="A78692" s="118"/>
      <c r="B78692" s="136"/>
    </row>
    <row r="78693" spans="1:2" x14ac:dyDescent="0.25">
      <c r="A78693" s="118"/>
      <c r="B78693" s="136"/>
    </row>
    <row r="78694" spans="1:2" x14ac:dyDescent="0.25">
      <c r="A78694" s="118"/>
      <c r="B78694" s="136"/>
    </row>
    <row r="78695" spans="1:2" x14ac:dyDescent="0.25">
      <c r="A78695" s="118"/>
      <c r="B78695" s="136"/>
    </row>
    <row r="78696" spans="1:2" x14ac:dyDescent="0.25">
      <c r="A78696" s="118"/>
      <c r="B78696" s="136"/>
    </row>
    <row r="78697" spans="1:2" x14ac:dyDescent="0.25">
      <c r="A78697" s="118"/>
      <c r="B78697" s="136"/>
    </row>
    <row r="78698" spans="1:2" x14ac:dyDescent="0.25">
      <c r="A78698" s="118"/>
      <c r="B78698" s="136"/>
    </row>
    <row r="78699" spans="1:2" x14ac:dyDescent="0.25">
      <c r="A78699" s="118"/>
      <c r="B78699" s="136"/>
    </row>
    <row r="78700" spans="1:2" x14ac:dyDescent="0.25">
      <c r="A78700" s="118"/>
      <c r="B78700" s="136"/>
    </row>
    <row r="78701" spans="1:2" x14ac:dyDescent="0.25">
      <c r="A78701" s="118"/>
      <c r="B78701" s="136"/>
    </row>
    <row r="78702" spans="1:2" x14ac:dyDescent="0.25">
      <c r="A78702" s="118"/>
      <c r="B78702" s="136"/>
    </row>
    <row r="78703" spans="1:2" x14ac:dyDescent="0.25">
      <c r="A78703" s="118"/>
      <c r="B78703" s="136"/>
    </row>
    <row r="78704" spans="1:2" x14ac:dyDescent="0.25">
      <c r="A78704" s="118"/>
      <c r="B78704" s="136"/>
    </row>
    <row r="78705" spans="1:2" x14ac:dyDescent="0.25">
      <c r="A78705" s="118"/>
      <c r="B78705" s="136"/>
    </row>
    <row r="78706" spans="1:2" x14ac:dyDescent="0.25">
      <c r="A78706" s="118"/>
      <c r="B78706" s="136"/>
    </row>
    <row r="78707" spans="1:2" x14ac:dyDescent="0.25">
      <c r="A78707" s="118"/>
      <c r="B78707" s="136"/>
    </row>
    <row r="78708" spans="1:2" x14ac:dyDescent="0.25">
      <c r="A78708" s="118"/>
      <c r="B78708" s="136"/>
    </row>
    <row r="78709" spans="1:2" x14ac:dyDescent="0.25">
      <c r="A78709" s="118"/>
      <c r="B78709" s="136"/>
    </row>
    <row r="78710" spans="1:2" x14ac:dyDescent="0.25">
      <c r="A78710" s="118"/>
      <c r="B78710" s="136"/>
    </row>
    <row r="78711" spans="1:2" x14ac:dyDescent="0.25">
      <c r="A78711" s="118"/>
      <c r="B78711" s="136"/>
    </row>
    <row r="78712" spans="1:2" x14ac:dyDescent="0.25">
      <c r="A78712" s="118"/>
      <c r="B78712" s="136"/>
    </row>
    <row r="78713" spans="1:2" x14ac:dyDescent="0.25">
      <c r="A78713" s="118"/>
      <c r="B78713" s="136"/>
    </row>
    <row r="78714" spans="1:2" x14ac:dyDescent="0.25">
      <c r="A78714" s="118"/>
      <c r="B78714" s="136"/>
    </row>
    <row r="78715" spans="1:2" x14ac:dyDescent="0.25">
      <c r="A78715" s="118"/>
      <c r="B78715" s="136"/>
    </row>
    <row r="78716" spans="1:2" x14ac:dyDescent="0.25">
      <c r="A78716" s="118"/>
      <c r="B78716" s="136"/>
    </row>
    <row r="78717" spans="1:2" x14ac:dyDescent="0.25">
      <c r="A78717" s="118"/>
      <c r="B78717" s="136"/>
    </row>
    <row r="78718" spans="1:2" x14ac:dyDescent="0.25">
      <c r="A78718" s="118"/>
      <c r="B78718" s="136"/>
    </row>
    <row r="78719" spans="1:2" x14ac:dyDescent="0.25">
      <c r="A78719" s="118"/>
      <c r="B78719" s="136"/>
    </row>
    <row r="78720" spans="1:2" x14ac:dyDescent="0.25">
      <c r="A78720" s="118"/>
      <c r="B78720" s="136"/>
    </row>
    <row r="78721" spans="1:2" x14ac:dyDescent="0.25">
      <c r="A78721" s="118"/>
      <c r="B78721" s="136"/>
    </row>
    <row r="78722" spans="1:2" x14ac:dyDescent="0.25">
      <c r="A78722" s="118"/>
      <c r="B78722" s="136"/>
    </row>
    <row r="78723" spans="1:2" x14ac:dyDescent="0.25">
      <c r="A78723" s="118"/>
      <c r="B78723" s="136"/>
    </row>
    <row r="78724" spans="1:2" x14ac:dyDescent="0.25">
      <c r="A78724" s="118"/>
      <c r="B78724" s="136"/>
    </row>
    <row r="78725" spans="1:2" x14ac:dyDescent="0.25">
      <c r="A78725" s="118"/>
      <c r="B78725" s="136"/>
    </row>
    <row r="78726" spans="1:2" x14ac:dyDescent="0.25">
      <c r="A78726" s="118"/>
      <c r="B78726" s="136"/>
    </row>
    <row r="78727" spans="1:2" x14ac:dyDescent="0.25">
      <c r="A78727" s="118"/>
      <c r="B78727" s="136"/>
    </row>
    <row r="78728" spans="1:2" x14ac:dyDescent="0.25">
      <c r="A78728" s="118"/>
      <c r="B78728" s="136"/>
    </row>
    <row r="78729" spans="1:2" x14ac:dyDescent="0.25">
      <c r="A78729" s="118"/>
      <c r="B78729" s="136"/>
    </row>
    <row r="78730" spans="1:2" x14ac:dyDescent="0.25">
      <c r="A78730" s="118"/>
      <c r="B78730" s="136"/>
    </row>
    <row r="78731" spans="1:2" x14ac:dyDescent="0.25">
      <c r="A78731" s="118"/>
      <c r="B78731" s="136"/>
    </row>
    <row r="78732" spans="1:2" x14ac:dyDescent="0.25">
      <c r="A78732" s="118"/>
      <c r="B78732" s="136"/>
    </row>
    <row r="78733" spans="1:2" x14ac:dyDescent="0.25">
      <c r="A78733" s="118"/>
      <c r="B78733" s="136"/>
    </row>
    <row r="78734" spans="1:2" x14ac:dyDescent="0.25">
      <c r="A78734" s="118"/>
      <c r="B78734" s="136"/>
    </row>
    <row r="78735" spans="1:2" x14ac:dyDescent="0.25">
      <c r="A78735" s="118"/>
      <c r="B78735" s="136"/>
    </row>
    <row r="78736" spans="1:2" x14ac:dyDescent="0.25">
      <c r="A78736" s="118"/>
      <c r="B78736" s="136"/>
    </row>
    <row r="78737" spans="1:2" x14ac:dyDescent="0.25">
      <c r="A78737" s="118"/>
      <c r="B78737" s="136"/>
    </row>
    <row r="78738" spans="1:2" x14ac:dyDescent="0.25">
      <c r="A78738" s="118"/>
      <c r="B78738" s="136"/>
    </row>
    <row r="78739" spans="1:2" x14ac:dyDescent="0.25">
      <c r="A78739" s="118"/>
      <c r="B78739" s="136"/>
    </row>
    <row r="78740" spans="1:2" x14ac:dyDescent="0.25">
      <c r="A78740" s="118"/>
      <c r="B78740" s="136"/>
    </row>
    <row r="78741" spans="1:2" x14ac:dyDescent="0.25">
      <c r="A78741" s="118"/>
      <c r="B78741" s="136"/>
    </row>
    <row r="78742" spans="1:2" x14ac:dyDescent="0.25">
      <c r="A78742" s="118"/>
      <c r="B78742" s="136"/>
    </row>
    <row r="78743" spans="1:2" x14ac:dyDescent="0.25">
      <c r="A78743" s="118"/>
      <c r="B78743" s="136"/>
    </row>
    <row r="78744" spans="1:2" x14ac:dyDescent="0.25">
      <c r="A78744" s="118"/>
      <c r="B78744" s="136"/>
    </row>
    <row r="78745" spans="1:2" x14ac:dyDescent="0.25">
      <c r="A78745" s="118"/>
      <c r="B78745" s="136"/>
    </row>
    <row r="78746" spans="1:2" x14ac:dyDescent="0.25">
      <c r="A78746" s="118"/>
      <c r="B78746" s="136"/>
    </row>
    <row r="78747" spans="1:2" x14ac:dyDescent="0.25">
      <c r="A78747" s="118"/>
      <c r="B78747" s="136"/>
    </row>
    <row r="78748" spans="1:2" x14ac:dyDescent="0.25">
      <c r="A78748" s="118"/>
      <c r="B78748" s="136"/>
    </row>
    <row r="78749" spans="1:2" x14ac:dyDescent="0.25">
      <c r="A78749" s="118"/>
      <c r="B78749" s="136"/>
    </row>
    <row r="78750" spans="1:2" x14ac:dyDescent="0.25">
      <c r="A78750" s="118"/>
      <c r="B78750" s="136"/>
    </row>
    <row r="78751" spans="1:2" x14ac:dyDescent="0.25">
      <c r="A78751" s="118"/>
      <c r="B78751" s="136"/>
    </row>
    <row r="78752" spans="1:2" x14ac:dyDescent="0.25">
      <c r="A78752" s="118"/>
      <c r="B78752" s="136"/>
    </row>
    <row r="78753" spans="1:2" x14ac:dyDescent="0.25">
      <c r="A78753" s="118"/>
      <c r="B78753" s="136"/>
    </row>
    <row r="78754" spans="1:2" x14ac:dyDescent="0.25">
      <c r="A78754" s="118"/>
      <c r="B78754" s="136"/>
    </row>
    <row r="78755" spans="1:2" x14ac:dyDescent="0.25">
      <c r="A78755" s="118"/>
      <c r="B78755" s="136"/>
    </row>
    <row r="78756" spans="1:2" x14ac:dyDescent="0.25">
      <c r="A78756" s="118"/>
      <c r="B78756" s="136"/>
    </row>
    <row r="78757" spans="1:2" x14ac:dyDescent="0.25">
      <c r="A78757" s="118"/>
      <c r="B78757" s="136"/>
    </row>
    <row r="78758" spans="1:2" x14ac:dyDescent="0.25">
      <c r="A78758" s="118"/>
      <c r="B78758" s="136"/>
    </row>
    <row r="78759" spans="1:2" x14ac:dyDescent="0.25">
      <c r="A78759" s="118"/>
      <c r="B78759" s="136"/>
    </row>
    <row r="78760" spans="1:2" x14ac:dyDescent="0.25">
      <c r="A78760" s="118"/>
      <c r="B78760" s="136"/>
    </row>
    <row r="78761" spans="1:2" x14ac:dyDescent="0.25">
      <c r="A78761" s="118"/>
      <c r="B78761" s="136"/>
    </row>
    <row r="78762" spans="1:2" x14ac:dyDescent="0.25">
      <c r="A78762" s="118"/>
      <c r="B78762" s="136"/>
    </row>
    <row r="78763" spans="1:2" x14ac:dyDescent="0.25">
      <c r="A78763" s="118"/>
      <c r="B78763" s="136"/>
    </row>
    <row r="78764" spans="1:2" x14ac:dyDescent="0.25">
      <c r="A78764" s="118"/>
      <c r="B78764" s="136"/>
    </row>
    <row r="78765" spans="1:2" x14ac:dyDescent="0.25">
      <c r="A78765" s="118"/>
      <c r="B78765" s="136"/>
    </row>
    <row r="78766" spans="1:2" x14ac:dyDescent="0.25">
      <c r="A78766" s="118"/>
      <c r="B78766" s="136"/>
    </row>
    <row r="78767" spans="1:2" x14ac:dyDescent="0.25">
      <c r="A78767" s="118"/>
      <c r="B78767" s="136"/>
    </row>
    <row r="78768" spans="1:2" x14ac:dyDescent="0.25">
      <c r="A78768" s="118"/>
      <c r="B78768" s="136"/>
    </row>
    <row r="78769" spans="1:2" x14ac:dyDescent="0.25">
      <c r="A78769" s="118"/>
      <c r="B78769" s="136"/>
    </row>
    <row r="78770" spans="1:2" x14ac:dyDescent="0.25">
      <c r="A78770" s="118"/>
      <c r="B78770" s="136"/>
    </row>
    <row r="78771" spans="1:2" x14ac:dyDescent="0.25">
      <c r="A78771" s="118"/>
      <c r="B78771" s="136"/>
    </row>
    <row r="78772" spans="1:2" x14ac:dyDescent="0.25">
      <c r="A78772" s="118"/>
      <c r="B78772" s="136"/>
    </row>
    <row r="78773" spans="1:2" x14ac:dyDescent="0.25">
      <c r="A78773" s="118"/>
      <c r="B78773" s="136"/>
    </row>
    <row r="78774" spans="1:2" x14ac:dyDescent="0.25">
      <c r="A78774" s="118"/>
      <c r="B78774" s="136"/>
    </row>
    <row r="78775" spans="1:2" x14ac:dyDescent="0.25">
      <c r="A78775" s="118"/>
      <c r="B78775" s="136"/>
    </row>
    <row r="78776" spans="1:2" x14ac:dyDescent="0.25">
      <c r="A78776" s="118"/>
      <c r="B78776" s="136"/>
    </row>
    <row r="78777" spans="1:2" x14ac:dyDescent="0.25">
      <c r="A78777" s="118"/>
      <c r="B78777" s="136"/>
    </row>
    <row r="78778" spans="1:2" x14ac:dyDescent="0.25">
      <c r="A78778" s="118"/>
      <c r="B78778" s="136"/>
    </row>
    <row r="78779" spans="1:2" x14ac:dyDescent="0.25">
      <c r="A78779" s="118"/>
      <c r="B78779" s="136"/>
    </row>
    <row r="78780" spans="1:2" x14ac:dyDescent="0.25">
      <c r="A78780" s="118"/>
      <c r="B78780" s="136"/>
    </row>
    <row r="78781" spans="1:2" x14ac:dyDescent="0.25">
      <c r="A78781" s="118"/>
      <c r="B78781" s="136"/>
    </row>
    <row r="78782" spans="1:2" x14ac:dyDescent="0.25">
      <c r="A78782" s="118"/>
      <c r="B78782" s="136"/>
    </row>
    <row r="78783" spans="1:2" x14ac:dyDescent="0.25">
      <c r="A78783" s="118"/>
      <c r="B78783" s="136"/>
    </row>
    <row r="78784" spans="1:2" x14ac:dyDescent="0.25">
      <c r="A78784" s="118"/>
      <c r="B78784" s="136"/>
    </row>
    <row r="78785" spans="1:2" x14ac:dyDescent="0.25">
      <c r="A78785" s="118"/>
      <c r="B78785" s="136"/>
    </row>
    <row r="78786" spans="1:2" x14ac:dyDescent="0.25">
      <c r="A78786" s="118"/>
      <c r="B78786" s="136"/>
    </row>
    <row r="78787" spans="1:2" x14ac:dyDescent="0.25">
      <c r="A78787" s="118"/>
      <c r="B78787" s="136"/>
    </row>
    <row r="78788" spans="1:2" x14ac:dyDescent="0.25">
      <c r="A78788" s="118"/>
      <c r="B78788" s="136"/>
    </row>
    <row r="78789" spans="1:2" x14ac:dyDescent="0.25">
      <c r="A78789" s="118"/>
      <c r="B78789" s="136"/>
    </row>
    <row r="78790" spans="1:2" x14ac:dyDescent="0.25">
      <c r="A78790" s="118"/>
      <c r="B78790" s="136"/>
    </row>
    <row r="78791" spans="1:2" x14ac:dyDescent="0.25">
      <c r="A78791" s="118"/>
      <c r="B78791" s="136"/>
    </row>
    <row r="78792" spans="1:2" x14ac:dyDescent="0.25">
      <c r="A78792" s="118"/>
      <c r="B78792" s="136"/>
    </row>
    <row r="78793" spans="1:2" x14ac:dyDescent="0.25">
      <c r="A78793" s="118"/>
      <c r="B78793" s="136"/>
    </row>
    <row r="78794" spans="1:2" x14ac:dyDescent="0.25">
      <c r="A78794" s="118"/>
      <c r="B78794" s="136"/>
    </row>
    <row r="78795" spans="1:2" x14ac:dyDescent="0.25">
      <c r="A78795" s="118"/>
      <c r="B78795" s="136"/>
    </row>
    <row r="78796" spans="1:2" x14ac:dyDescent="0.25">
      <c r="A78796" s="118"/>
      <c r="B78796" s="136"/>
    </row>
    <row r="78797" spans="1:2" x14ac:dyDescent="0.25">
      <c r="A78797" s="118"/>
      <c r="B78797" s="136"/>
    </row>
    <row r="78798" spans="1:2" x14ac:dyDescent="0.25">
      <c r="A78798" s="118"/>
      <c r="B78798" s="136"/>
    </row>
    <row r="78799" spans="1:2" x14ac:dyDescent="0.25">
      <c r="A78799" s="118"/>
      <c r="B78799" s="136"/>
    </row>
    <row r="78800" spans="1:2" x14ac:dyDescent="0.25">
      <c r="A78800" s="118"/>
      <c r="B78800" s="136"/>
    </row>
    <row r="78801" spans="1:2" x14ac:dyDescent="0.25">
      <c r="A78801" s="118"/>
      <c r="B78801" s="136"/>
    </row>
    <row r="78802" spans="1:2" x14ac:dyDescent="0.25">
      <c r="A78802" s="118"/>
      <c r="B78802" s="136"/>
    </row>
    <row r="78803" spans="1:2" x14ac:dyDescent="0.25">
      <c r="A78803" s="118"/>
      <c r="B78803" s="136"/>
    </row>
    <row r="78804" spans="1:2" x14ac:dyDescent="0.25">
      <c r="A78804" s="118"/>
      <c r="B78804" s="136"/>
    </row>
    <row r="78805" spans="1:2" x14ac:dyDescent="0.25">
      <c r="A78805" s="118"/>
      <c r="B78805" s="136"/>
    </row>
    <row r="78806" spans="1:2" x14ac:dyDescent="0.25">
      <c r="A78806" s="118"/>
      <c r="B78806" s="136"/>
    </row>
    <row r="78807" spans="1:2" x14ac:dyDescent="0.25">
      <c r="A78807" s="118"/>
      <c r="B78807" s="136"/>
    </row>
    <row r="78808" spans="1:2" x14ac:dyDescent="0.25">
      <c r="A78808" s="118"/>
      <c r="B78808" s="136"/>
    </row>
    <row r="78809" spans="1:2" x14ac:dyDescent="0.25">
      <c r="A78809" s="118"/>
      <c r="B78809" s="136"/>
    </row>
    <row r="78810" spans="1:2" x14ac:dyDescent="0.25">
      <c r="A78810" s="118"/>
      <c r="B78810" s="136"/>
    </row>
    <row r="78811" spans="1:2" x14ac:dyDescent="0.25">
      <c r="A78811" s="118"/>
      <c r="B78811" s="136"/>
    </row>
    <row r="78812" spans="1:2" x14ac:dyDescent="0.25">
      <c r="A78812" s="118"/>
      <c r="B78812" s="136"/>
    </row>
    <row r="78813" spans="1:2" x14ac:dyDescent="0.25">
      <c r="A78813" s="118"/>
      <c r="B78813" s="136"/>
    </row>
    <row r="78814" spans="1:2" x14ac:dyDescent="0.25">
      <c r="A78814" s="118"/>
      <c r="B78814" s="136"/>
    </row>
    <row r="78815" spans="1:2" x14ac:dyDescent="0.25">
      <c r="A78815" s="118"/>
      <c r="B78815" s="136"/>
    </row>
    <row r="78816" spans="1:2" x14ac:dyDescent="0.25">
      <c r="A78816" s="118"/>
      <c r="B78816" s="136"/>
    </row>
    <row r="78817" spans="1:2" x14ac:dyDescent="0.25">
      <c r="A78817" s="118"/>
      <c r="B78817" s="136"/>
    </row>
    <row r="78818" spans="1:2" x14ac:dyDescent="0.25">
      <c r="A78818" s="118"/>
      <c r="B78818" s="136"/>
    </row>
    <row r="78819" spans="1:2" x14ac:dyDescent="0.25">
      <c r="A78819" s="118"/>
      <c r="B78819" s="136"/>
    </row>
    <row r="78820" spans="1:2" x14ac:dyDescent="0.25">
      <c r="A78820" s="118"/>
      <c r="B78820" s="136"/>
    </row>
    <row r="78821" spans="1:2" x14ac:dyDescent="0.25">
      <c r="A78821" s="118"/>
      <c r="B78821" s="136"/>
    </row>
    <row r="78822" spans="1:2" x14ac:dyDescent="0.25">
      <c r="A78822" s="118"/>
      <c r="B78822" s="136"/>
    </row>
    <row r="78823" spans="1:2" x14ac:dyDescent="0.25">
      <c r="A78823" s="118"/>
      <c r="B78823" s="136"/>
    </row>
    <row r="78824" spans="1:2" x14ac:dyDescent="0.25">
      <c r="A78824" s="118"/>
      <c r="B78824" s="136"/>
    </row>
    <row r="78825" spans="1:2" x14ac:dyDescent="0.25">
      <c r="A78825" s="118"/>
      <c r="B78825" s="136"/>
    </row>
    <row r="78826" spans="1:2" x14ac:dyDescent="0.25">
      <c r="A78826" s="118"/>
      <c r="B78826" s="136"/>
    </row>
    <row r="78827" spans="1:2" x14ac:dyDescent="0.25">
      <c r="A78827" s="118"/>
      <c r="B78827" s="136"/>
    </row>
    <row r="78828" spans="1:2" x14ac:dyDescent="0.25">
      <c r="A78828" s="118"/>
      <c r="B78828" s="136"/>
    </row>
    <row r="78829" spans="1:2" x14ac:dyDescent="0.25">
      <c r="A78829" s="118"/>
      <c r="B78829" s="136"/>
    </row>
    <row r="78830" spans="1:2" x14ac:dyDescent="0.25">
      <c r="A78830" s="118"/>
      <c r="B78830" s="136"/>
    </row>
    <row r="78831" spans="1:2" x14ac:dyDescent="0.25">
      <c r="A78831" s="118"/>
      <c r="B78831" s="136"/>
    </row>
    <row r="78832" spans="1:2" x14ac:dyDescent="0.25">
      <c r="A78832" s="118"/>
      <c r="B78832" s="136"/>
    </row>
    <row r="78833" spans="1:2" x14ac:dyDescent="0.25">
      <c r="A78833" s="118"/>
      <c r="B78833" s="136"/>
    </row>
    <row r="78834" spans="1:2" x14ac:dyDescent="0.25">
      <c r="A78834" s="118"/>
      <c r="B78834" s="136"/>
    </row>
    <row r="78835" spans="1:2" x14ac:dyDescent="0.25">
      <c r="A78835" s="118"/>
      <c r="B78835" s="136"/>
    </row>
    <row r="78836" spans="1:2" x14ac:dyDescent="0.25">
      <c r="A78836" s="118"/>
      <c r="B78836" s="136"/>
    </row>
    <row r="78837" spans="1:2" x14ac:dyDescent="0.25">
      <c r="A78837" s="118"/>
      <c r="B78837" s="136"/>
    </row>
    <row r="78838" spans="1:2" x14ac:dyDescent="0.25">
      <c r="A78838" s="118"/>
      <c r="B78838" s="136"/>
    </row>
    <row r="78839" spans="1:2" x14ac:dyDescent="0.25">
      <c r="A78839" s="118"/>
      <c r="B78839" s="136"/>
    </row>
    <row r="78840" spans="1:2" x14ac:dyDescent="0.25">
      <c r="A78840" s="118"/>
      <c r="B78840" s="136"/>
    </row>
    <row r="78841" spans="1:2" x14ac:dyDescent="0.25">
      <c r="A78841" s="118"/>
      <c r="B78841" s="136"/>
    </row>
    <row r="78842" spans="1:2" x14ac:dyDescent="0.25">
      <c r="A78842" s="118"/>
      <c r="B78842" s="136"/>
    </row>
    <row r="78843" spans="1:2" x14ac:dyDescent="0.25">
      <c r="A78843" s="118"/>
      <c r="B78843" s="136"/>
    </row>
    <row r="78844" spans="1:2" x14ac:dyDescent="0.25">
      <c r="A78844" s="118"/>
      <c r="B78844" s="136"/>
    </row>
    <row r="78845" spans="1:2" x14ac:dyDescent="0.25">
      <c r="A78845" s="118"/>
      <c r="B78845" s="136"/>
    </row>
    <row r="78846" spans="1:2" x14ac:dyDescent="0.25">
      <c r="A78846" s="118"/>
      <c r="B78846" s="136"/>
    </row>
    <row r="78847" spans="1:2" x14ac:dyDescent="0.25">
      <c r="A78847" s="118"/>
      <c r="B78847" s="136"/>
    </row>
    <row r="78848" spans="1:2" x14ac:dyDescent="0.25">
      <c r="A78848" s="118"/>
      <c r="B78848" s="136"/>
    </row>
    <row r="78849" spans="1:2" x14ac:dyDescent="0.25">
      <c r="A78849" s="118"/>
      <c r="B78849" s="136"/>
    </row>
    <row r="78850" spans="1:2" x14ac:dyDescent="0.25">
      <c r="A78850" s="118"/>
      <c r="B78850" s="136"/>
    </row>
    <row r="78851" spans="1:2" x14ac:dyDescent="0.25">
      <c r="A78851" s="118"/>
      <c r="B78851" s="136"/>
    </row>
    <row r="78852" spans="1:2" x14ac:dyDescent="0.25">
      <c r="A78852" s="118"/>
      <c r="B78852" s="136"/>
    </row>
    <row r="78853" spans="1:2" x14ac:dyDescent="0.25">
      <c r="A78853" s="118"/>
      <c r="B78853" s="136"/>
    </row>
    <row r="78854" spans="1:2" x14ac:dyDescent="0.25">
      <c r="A78854" s="118"/>
      <c r="B78854" s="136"/>
    </row>
    <row r="78855" spans="1:2" x14ac:dyDescent="0.25">
      <c r="A78855" s="118"/>
      <c r="B78855" s="136"/>
    </row>
    <row r="78856" spans="1:2" x14ac:dyDescent="0.25">
      <c r="A78856" s="118"/>
      <c r="B78856" s="136"/>
    </row>
    <row r="78857" spans="1:2" x14ac:dyDescent="0.25">
      <c r="A78857" s="118"/>
      <c r="B78857" s="136"/>
    </row>
    <row r="78858" spans="1:2" x14ac:dyDescent="0.25">
      <c r="A78858" s="118"/>
      <c r="B78858" s="136"/>
    </row>
    <row r="78859" spans="1:2" x14ac:dyDescent="0.25">
      <c r="A78859" s="118"/>
      <c r="B78859" s="136"/>
    </row>
    <row r="78860" spans="1:2" x14ac:dyDescent="0.25">
      <c r="A78860" s="118"/>
      <c r="B78860" s="136"/>
    </row>
    <row r="78861" spans="1:2" x14ac:dyDescent="0.25">
      <c r="A78861" s="118"/>
      <c r="B78861" s="136"/>
    </row>
    <row r="78862" spans="1:2" x14ac:dyDescent="0.25">
      <c r="A78862" s="118"/>
      <c r="B78862" s="136"/>
    </row>
    <row r="78863" spans="1:2" x14ac:dyDescent="0.25">
      <c r="A78863" s="118"/>
      <c r="B78863" s="136"/>
    </row>
    <row r="78864" spans="1:2" x14ac:dyDescent="0.25">
      <c r="A78864" s="118"/>
      <c r="B78864" s="136"/>
    </row>
    <row r="78865" spans="1:2" x14ac:dyDescent="0.25">
      <c r="A78865" s="118"/>
      <c r="B78865" s="136"/>
    </row>
    <row r="78866" spans="1:2" x14ac:dyDescent="0.25">
      <c r="A78866" s="118"/>
      <c r="B78866" s="136"/>
    </row>
    <row r="78867" spans="1:2" x14ac:dyDescent="0.25">
      <c r="A78867" s="118"/>
      <c r="B78867" s="136"/>
    </row>
    <row r="78868" spans="1:2" x14ac:dyDescent="0.25">
      <c r="A78868" s="118"/>
      <c r="B78868" s="136"/>
    </row>
    <row r="78869" spans="1:2" x14ac:dyDescent="0.25">
      <c r="A78869" s="118"/>
      <c r="B78869" s="136"/>
    </row>
    <row r="78870" spans="1:2" x14ac:dyDescent="0.25">
      <c r="A78870" s="118"/>
      <c r="B78870" s="136"/>
    </row>
    <row r="78871" spans="1:2" x14ac:dyDescent="0.25">
      <c r="A78871" s="118"/>
      <c r="B78871" s="136"/>
    </row>
    <row r="78872" spans="1:2" x14ac:dyDescent="0.25">
      <c r="A78872" s="118"/>
      <c r="B78872" s="136"/>
    </row>
    <row r="78873" spans="1:2" x14ac:dyDescent="0.25">
      <c r="A78873" s="118"/>
      <c r="B78873" s="136"/>
    </row>
    <row r="78874" spans="1:2" x14ac:dyDescent="0.25">
      <c r="A78874" s="118"/>
      <c r="B78874" s="136"/>
    </row>
    <row r="78875" spans="1:2" x14ac:dyDescent="0.25">
      <c r="A78875" s="118"/>
      <c r="B78875" s="136"/>
    </row>
    <row r="78876" spans="1:2" x14ac:dyDescent="0.25">
      <c r="A78876" s="118"/>
      <c r="B78876" s="136"/>
    </row>
    <row r="78877" spans="1:2" x14ac:dyDescent="0.25">
      <c r="A78877" s="118"/>
      <c r="B78877" s="136"/>
    </row>
    <row r="78878" spans="1:2" x14ac:dyDescent="0.25">
      <c r="A78878" s="118"/>
      <c r="B78878" s="136"/>
    </row>
    <row r="78879" spans="1:2" x14ac:dyDescent="0.25">
      <c r="A78879" s="118"/>
      <c r="B78879" s="136"/>
    </row>
    <row r="78880" spans="1:2" x14ac:dyDescent="0.25">
      <c r="A78880" s="118"/>
      <c r="B78880" s="136"/>
    </row>
    <row r="78881" spans="1:2" x14ac:dyDescent="0.25">
      <c r="A78881" s="118"/>
      <c r="B78881" s="136"/>
    </row>
    <row r="78882" spans="1:2" x14ac:dyDescent="0.25">
      <c r="A78882" s="118"/>
      <c r="B78882" s="136"/>
    </row>
    <row r="78883" spans="1:2" x14ac:dyDescent="0.25">
      <c r="A78883" s="118"/>
      <c r="B78883" s="136"/>
    </row>
    <row r="78884" spans="1:2" x14ac:dyDescent="0.25">
      <c r="A78884" s="118"/>
      <c r="B78884" s="136"/>
    </row>
    <row r="78885" spans="1:2" x14ac:dyDescent="0.25">
      <c r="A78885" s="118"/>
      <c r="B78885" s="136"/>
    </row>
    <row r="78886" spans="1:2" x14ac:dyDescent="0.25">
      <c r="A78886" s="118"/>
      <c r="B78886" s="136"/>
    </row>
    <row r="78887" spans="1:2" x14ac:dyDescent="0.25">
      <c r="A78887" s="118"/>
      <c r="B78887" s="136"/>
    </row>
    <row r="78888" spans="1:2" x14ac:dyDescent="0.25">
      <c r="A78888" s="118"/>
      <c r="B78888" s="136"/>
    </row>
    <row r="78889" spans="1:2" x14ac:dyDescent="0.25">
      <c r="A78889" s="118"/>
      <c r="B78889" s="136"/>
    </row>
    <row r="78890" spans="1:2" x14ac:dyDescent="0.25">
      <c r="A78890" s="118"/>
      <c r="B78890" s="136"/>
    </row>
    <row r="78891" spans="1:2" x14ac:dyDescent="0.25">
      <c r="A78891" s="118"/>
      <c r="B78891" s="136"/>
    </row>
    <row r="78892" spans="1:2" x14ac:dyDescent="0.25">
      <c r="A78892" s="118"/>
      <c r="B78892" s="136"/>
    </row>
    <row r="78893" spans="1:2" x14ac:dyDescent="0.25">
      <c r="A78893" s="118"/>
      <c r="B78893" s="136"/>
    </row>
    <row r="78894" spans="1:2" x14ac:dyDescent="0.25">
      <c r="A78894" s="118"/>
      <c r="B78894" s="136"/>
    </row>
    <row r="78895" spans="1:2" x14ac:dyDescent="0.25">
      <c r="A78895" s="118"/>
      <c r="B78895" s="136"/>
    </row>
    <row r="78896" spans="1:2" x14ac:dyDescent="0.25">
      <c r="A78896" s="118"/>
      <c r="B78896" s="136"/>
    </row>
    <row r="78897" spans="1:2" x14ac:dyDescent="0.25">
      <c r="A78897" s="118"/>
      <c r="B78897" s="136"/>
    </row>
    <row r="78898" spans="1:2" x14ac:dyDescent="0.25">
      <c r="A78898" s="118"/>
      <c r="B78898" s="136"/>
    </row>
    <row r="78899" spans="1:2" x14ac:dyDescent="0.25">
      <c r="A78899" s="118"/>
      <c r="B78899" s="136"/>
    </row>
    <row r="78900" spans="1:2" x14ac:dyDescent="0.25">
      <c r="A78900" s="118"/>
      <c r="B78900" s="136"/>
    </row>
    <row r="78901" spans="1:2" x14ac:dyDescent="0.25">
      <c r="A78901" s="118"/>
      <c r="B78901" s="136"/>
    </row>
    <row r="78902" spans="1:2" x14ac:dyDescent="0.25">
      <c r="A78902" s="118"/>
      <c r="B78902" s="136"/>
    </row>
    <row r="78903" spans="1:2" x14ac:dyDescent="0.25">
      <c r="A78903" s="118"/>
      <c r="B78903" s="136"/>
    </row>
    <row r="78904" spans="1:2" x14ac:dyDescent="0.25">
      <c r="A78904" s="118"/>
      <c r="B78904" s="136"/>
    </row>
    <row r="78905" spans="1:2" x14ac:dyDescent="0.25">
      <c r="A78905" s="118"/>
      <c r="B78905" s="136"/>
    </row>
    <row r="78906" spans="1:2" x14ac:dyDescent="0.25">
      <c r="A78906" s="118"/>
      <c r="B78906" s="136"/>
    </row>
    <row r="78907" spans="1:2" x14ac:dyDescent="0.25">
      <c r="A78907" s="118"/>
      <c r="B78907" s="136"/>
    </row>
    <row r="78908" spans="1:2" x14ac:dyDescent="0.25">
      <c r="A78908" s="118"/>
      <c r="B78908" s="136"/>
    </row>
    <row r="78909" spans="1:2" x14ac:dyDescent="0.25">
      <c r="A78909" s="118"/>
      <c r="B78909" s="136"/>
    </row>
    <row r="78910" spans="1:2" x14ac:dyDescent="0.25">
      <c r="A78910" s="118"/>
      <c r="B78910" s="136"/>
    </row>
    <row r="78911" spans="1:2" x14ac:dyDescent="0.25">
      <c r="A78911" s="118"/>
      <c r="B78911" s="136"/>
    </row>
    <row r="78912" spans="1:2" x14ac:dyDescent="0.25">
      <c r="A78912" s="118"/>
      <c r="B78912" s="136"/>
    </row>
    <row r="78913" spans="1:2" x14ac:dyDescent="0.25">
      <c r="A78913" s="118"/>
      <c r="B78913" s="136"/>
    </row>
    <row r="78914" spans="1:2" x14ac:dyDescent="0.25">
      <c r="A78914" s="118"/>
      <c r="B78914" s="136"/>
    </row>
    <row r="78915" spans="1:2" x14ac:dyDescent="0.25">
      <c r="A78915" s="118"/>
      <c r="B78915" s="136"/>
    </row>
    <row r="78916" spans="1:2" x14ac:dyDescent="0.25">
      <c r="A78916" s="118"/>
      <c r="B78916" s="136"/>
    </row>
    <row r="78917" spans="1:2" x14ac:dyDescent="0.25">
      <c r="A78917" s="118"/>
      <c r="B78917" s="136"/>
    </row>
    <row r="78918" spans="1:2" x14ac:dyDescent="0.25">
      <c r="A78918" s="118"/>
      <c r="B78918" s="136"/>
    </row>
    <row r="78919" spans="1:2" x14ac:dyDescent="0.25">
      <c r="A78919" s="118"/>
      <c r="B78919" s="136"/>
    </row>
    <row r="78920" spans="1:2" x14ac:dyDescent="0.25">
      <c r="A78920" s="118"/>
      <c r="B78920" s="136"/>
    </row>
    <row r="78921" spans="1:2" x14ac:dyDescent="0.25">
      <c r="A78921" s="118"/>
      <c r="B78921" s="136"/>
    </row>
    <row r="78922" spans="1:2" x14ac:dyDescent="0.25">
      <c r="A78922" s="118"/>
      <c r="B78922" s="136"/>
    </row>
    <row r="78923" spans="1:2" x14ac:dyDescent="0.25">
      <c r="A78923" s="118"/>
      <c r="B78923" s="136"/>
    </row>
    <row r="78924" spans="1:2" x14ac:dyDescent="0.25">
      <c r="A78924" s="118"/>
      <c r="B78924" s="136"/>
    </row>
    <row r="78925" spans="1:2" x14ac:dyDescent="0.25">
      <c r="A78925" s="118"/>
      <c r="B78925" s="136"/>
    </row>
    <row r="78926" spans="1:2" x14ac:dyDescent="0.25">
      <c r="A78926" s="118"/>
      <c r="B78926" s="136"/>
    </row>
    <row r="78927" spans="1:2" x14ac:dyDescent="0.25">
      <c r="A78927" s="118"/>
      <c r="B78927" s="136"/>
    </row>
    <row r="78928" spans="1:2" x14ac:dyDescent="0.25">
      <c r="A78928" s="118"/>
      <c r="B78928" s="136"/>
    </row>
    <row r="78929" spans="1:2" x14ac:dyDescent="0.25">
      <c r="A78929" s="118"/>
      <c r="B78929" s="136"/>
    </row>
    <row r="78930" spans="1:2" x14ac:dyDescent="0.25">
      <c r="A78930" s="118"/>
      <c r="B78930" s="136"/>
    </row>
    <row r="78931" spans="1:2" x14ac:dyDescent="0.25">
      <c r="A78931" s="118"/>
      <c r="B78931" s="136"/>
    </row>
    <row r="78932" spans="1:2" x14ac:dyDescent="0.25">
      <c r="A78932" s="118"/>
      <c r="B78932" s="136"/>
    </row>
    <row r="78933" spans="1:2" x14ac:dyDescent="0.25">
      <c r="A78933" s="118"/>
      <c r="B78933" s="136"/>
    </row>
    <row r="78934" spans="1:2" x14ac:dyDescent="0.25">
      <c r="A78934" s="118"/>
      <c r="B78934" s="136"/>
    </row>
    <row r="78935" spans="1:2" x14ac:dyDescent="0.25">
      <c r="A78935" s="118"/>
      <c r="B78935" s="136"/>
    </row>
    <row r="78936" spans="1:2" x14ac:dyDescent="0.25">
      <c r="A78936" s="118"/>
      <c r="B78936" s="136"/>
    </row>
    <row r="78937" spans="1:2" x14ac:dyDescent="0.25">
      <c r="A78937" s="118"/>
      <c r="B78937" s="136"/>
    </row>
    <row r="78938" spans="1:2" x14ac:dyDescent="0.25">
      <c r="A78938" s="118"/>
      <c r="B78938" s="136"/>
    </row>
    <row r="78939" spans="1:2" x14ac:dyDescent="0.25">
      <c r="A78939" s="118"/>
      <c r="B78939" s="136"/>
    </row>
    <row r="78940" spans="1:2" x14ac:dyDescent="0.25">
      <c r="A78940" s="118"/>
      <c r="B78940" s="136"/>
    </row>
    <row r="78941" spans="1:2" x14ac:dyDescent="0.25">
      <c r="A78941" s="118"/>
      <c r="B78941" s="136"/>
    </row>
    <row r="78942" spans="1:2" x14ac:dyDescent="0.25">
      <c r="A78942" s="118"/>
      <c r="B78942" s="136"/>
    </row>
    <row r="78943" spans="1:2" x14ac:dyDescent="0.25">
      <c r="A78943" s="118"/>
      <c r="B78943" s="136"/>
    </row>
    <row r="78944" spans="1:2" x14ac:dyDescent="0.25">
      <c r="A78944" s="118"/>
      <c r="B78944" s="136"/>
    </row>
    <row r="78945" spans="1:2" x14ac:dyDescent="0.25">
      <c r="A78945" s="118"/>
      <c r="B78945" s="136"/>
    </row>
    <row r="78946" spans="1:2" x14ac:dyDescent="0.25">
      <c r="A78946" s="118"/>
      <c r="B78946" s="136"/>
    </row>
    <row r="78947" spans="1:2" x14ac:dyDescent="0.25">
      <c r="A78947" s="118"/>
      <c r="B78947" s="136"/>
    </row>
    <row r="78948" spans="1:2" x14ac:dyDescent="0.25">
      <c r="A78948" s="118"/>
      <c r="B78948" s="136"/>
    </row>
    <row r="78949" spans="1:2" x14ac:dyDescent="0.25">
      <c r="A78949" s="118"/>
      <c r="B78949" s="136"/>
    </row>
    <row r="78950" spans="1:2" x14ac:dyDescent="0.25">
      <c r="A78950" s="118"/>
      <c r="B78950" s="136"/>
    </row>
    <row r="78951" spans="1:2" x14ac:dyDescent="0.25">
      <c r="A78951" s="118"/>
      <c r="B78951" s="136"/>
    </row>
    <row r="78952" spans="1:2" x14ac:dyDescent="0.25">
      <c r="A78952" s="118"/>
      <c r="B78952" s="136"/>
    </row>
    <row r="78953" spans="1:2" x14ac:dyDescent="0.25">
      <c r="A78953" s="118"/>
      <c r="B78953" s="136"/>
    </row>
    <row r="78954" spans="1:2" x14ac:dyDescent="0.25">
      <c r="A78954" s="118"/>
      <c r="B78954" s="136"/>
    </row>
    <row r="78955" spans="1:2" x14ac:dyDescent="0.25">
      <c r="A78955" s="118"/>
      <c r="B78955" s="136"/>
    </row>
    <row r="78956" spans="1:2" x14ac:dyDescent="0.25">
      <c r="A78956" s="118"/>
      <c r="B78956" s="136"/>
    </row>
    <row r="78957" spans="1:2" x14ac:dyDescent="0.25">
      <c r="A78957" s="118"/>
      <c r="B78957" s="136"/>
    </row>
    <row r="78958" spans="1:2" x14ac:dyDescent="0.25">
      <c r="A78958" s="118"/>
      <c r="B78958" s="136"/>
    </row>
    <row r="78959" spans="1:2" x14ac:dyDescent="0.25">
      <c r="A78959" s="118"/>
      <c r="B78959" s="136"/>
    </row>
    <row r="78960" spans="1:2" x14ac:dyDescent="0.25">
      <c r="A78960" s="118"/>
      <c r="B78960" s="136"/>
    </row>
    <row r="78961" spans="1:2" x14ac:dyDescent="0.25">
      <c r="A78961" s="118"/>
      <c r="B78961" s="136"/>
    </row>
    <row r="78962" spans="1:2" x14ac:dyDescent="0.25">
      <c r="A78962" s="118"/>
      <c r="B78962" s="136"/>
    </row>
    <row r="78963" spans="1:2" x14ac:dyDescent="0.25">
      <c r="A78963" s="118"/>
      <c r="B78963" s="136"/>
    </row>
    <row r="78964" spans="1:2" x14ac:dyDescent="0.25">
      <c r="A78964" s="118"/>
      <c r="B78964" s="136"/>
    </row>
    <row r="78965" spans="1:2" x14ac:dyDescent="0.25">
      <c r="A78965" s="118"/>
      <c r="B78965" s="136"/>
    </row>
    <row r="78966" spans="1:2" x14ac:dyDescent="0.25">
      <c r="A78966" s="118"/>
      <c r="B78966" s="136"/>
    </row>
    <row r="78967" spans="1:2" x14ac:dyDescent="0.25">
      <c r="A78967" s="118"/>
      <c r="B78967" s="136"/>
    </row>
    <row r="78968" spans="1:2" x14ac:dyDescent="0.25">
      <c r="A78968" s="118"/>
      <c r="B78968" s="136"/>
    </row>
    <row r="78969" spans="1:2" x14ac:dyDescent="0.25">
      <c r="A78969" s="118"/>
      <c r="B78969" s="136"/>
    </row>
    <row r="78970" spans="1:2" x14ac:dyDescent="0.25">
      <c r="A78970" s="118"/>
      <c r="B78970" s="136"/>
    </row>
    <row r="78971" spans="1:2" x14ac:dyDescent="0.25">
      <c r="A78971" s="118"/>
      <c r="B78971" s="136"/>
    </row>
    <row r="78972" spans="1:2" x14ac:dyDescent="0.25">
      <c r="A78972" s="118"/>
      <c r="B78972" s="136"/>
    </row>
    <row r="78973" spans="1:2" x14ac:dyDescent="0.25">
      <c r="A78973" s="118"/>
      <c r="B78973" s="136"/>
    </row>
    <row r="78974" spans="1:2" x14ac:dyDescent="0.25">
      <c r="A78974" s="118"/>
      <c r="B78974" s="136"/>
    </row>
    <row r="78975" spans="1:2" x14ac:dyDescent="0.25">
      <c r="A78975" s="118"/>
      <c r="B78975" s="136"/>
    </row>
    <row r="78976" spans="1:2" x14ac:dyDescent="0.25">
      <c r="A78976" s="118"/>
      <c r="B78976" s="136"/>
    </row>
    <row r="78977" spans="1:2" x14ac:dyDescent="0.25">
      <c r="A78977" s="118"/>
      <c r="B78977" s="136"/>
    </row>
    <row r="78978" spans="1:2" x14ac:dyDescent="0.25">
      <c r="A78978" s="118"/>
      <c r="B78978" s="136"/>
    </row>
    <row r="78979" spans="1:2" x14ac:dyDescent="0.25">
      <c r="A78979" s="118"/>
      <c r="B78979" s="136"/>
    </row>
    <row r="78980" spans="1:2" x14ac:dyDescent="0.25">
      <c r="A78980" s="118"/>
      <c r="B78980" s="136"/>
    </row>
    <row r="78981" spans="1:2" x14ac:dyDescent="0.25">
      <c r="A78981" s="118"/>
      <c r="B78981" s="136"/>
    </row>
    <row r="78982" spans="1:2" x14ac:dyDescent="0.25">
      <c r="A78982" s="118"/>
      <c r="B78982" s="136"/>
    </row>
    <row r="78983" spans="1:2" x14ac:dyDescent="0.25">
      <c r="A78983" s="118"/>
      <c r="B78983" s="136"/>
    </row>
    <row r="78984" spans="1:2" x14ac:dyDescent="0.25">
      <c r="A78984" s="118"/>
      <c r="B78984" s="136"/>
    </row>
    <row r="78985" spans="1:2" x14ac:dyDescent="0.25">
      <c r="A78985" s="118"/>
      <c r="B78985" s="136"/>
    </row>
    <row r="78986" spans="1:2" x14ac:dyDescent="0.25">
      <c r="A78986" s="118"/>
      <c r="B78986" s="136"/>
    </row>
    <row r="78987" spans="1:2" x14ac:dyDescent="0.25">
      <c r="A78987" s="118"/>
      <c r="B78987" s="136"/>
    </row>
    <row r="78988" spans="1:2" x14ac:dyDescent="0.25">
      <c r="A78988" s="118"/>
      <c r="B78988" s="136"/>
    </row>
    <row r="78989" spans="1:2" x14ac:dyDescent="0.25">
      <c r="A78989" s="118"/>
      <c r="B78989" s="136"/>
    </row>
    <row r="78990" spans="1:2" x14ac:dyDescent="0.25">
      <c r="A78990" s="118"/>
      <c r="B78990" s="136"/>
    </row>
    <row r="78991" spans="1:2" x14ac:dyDescent="0.25">
      <c r="A78991" s="118"/>
      <c r="B78991" s="136"/>
    </row>
    <row r="78992" spans="1:2" x14ac:dyDescent="0.25">
      <c r="A78992" s="118"/>
      <c r="B78992" s="136"/>
    </row>
    <row r="78993" spans="1:2" x14ac:dyDescent="0.25">
      <c r="A78993" s="118"/>
      <c r="B78993" s="136"/>
    </row>
    <row r="78994" spans="1:2" x14ac:dyDescent="0.25">
      <c r="A78994" s="118"/>
      <c r="B78994" s="136"/>
    </row>
    <row r="78995" spans="1:2" x14ac:dyDescent="0.25">
      <c r="A78995" s="118"/>
      <c r="B78995" s="136"/>
    </row>
    <row r="78996" spans="1:2" x14ac:dyDescent="0.25">
      <c r="A78996" s="118"/>
      <c r="B78996" s="136"/>
    </row>
    <row r="78997" spans="1:2" x14ac:dyDescent="0.25">
      <c r="A78997" s="118"/>
      <c r="B78997" s="136"/>
    </row>
    <row r="78998" spans="1:2" x14ac:dyDescent="0.25">
      <c r="A78998" s="118"/>
      <c r="B78998" s="136"/>
    </row>
    <row r="78999" spans="1:2" x14ac:dyDescent="0.25">
      <c r="A78999" s="118"/>
      <c r="B78999" s="136"/>
    </row>
    <row r="79000" spans="1:2" x14ac:dyDescent="0.25">
      <c r="A79000" s="118"/>
      <c r="B79000" s="136"/>
    </row>
    <row r="79001" spans="1:2" x14ac:dyDescent="0.25">
      <c r="A79001" s="118"/>
      <c r="B79001" s="136"/>
    </row>
    <row r="79002" spans="1:2" x14ac:dyDescent="0.25">
      <c r="A79002" s="118"/>
      <c r="B79002" s="136"/>
    </row>
    <row r="79003" spans="1:2" x14ac:dyDescent="0.25">
      <c r="A79003" s="118"/>
      <c r="B79003" s="136"/>
    </row>
    <row r="79004" spans="1:2" x14ac:dyDescent="0.25">
      <c r="A79004" s="118"/>
      <c r="B79004" s="136"/>
    </row>
    <row r="79005" spans="1:2" x14ac:dyDescent="0.25">
      <c r="A79005" s="118"/>
      <c r="B79005" s="136"/>
    </row>
    <row r="79006" spans="1:2" x14ac:dyDescent="0.25">
      <c r="A79006" s="118"/>
      <c r="B79006" s="136"/>
    </row>
    <row r="79007" spans="1:2" x14ac:dyDescent="0.25">
      <c r="A79007" s="118"/>
      <c r="B79007" s="136"/>
    </row>
    <row r="79008" spans="1:2" x14ac:dyDescent="0.25">
      <c r="A79008" s="118"/>
      <c r="B79008" s="136"/>
    </row>
    <row r="79009" spans="1:2" x14ac:dyDescent="0.25">
      <c r="A79009" s="118"/>
      <c r="B79009" s="136"/>
    </row>
    <row r="79010" spans="1:2" x14ac:dyDescent="0.25">
      <c r="A79010" s="118"/>
      <c r="B79010" s="136"/>
    </row>
    <row r="79011" spans="1:2" x14ac:dyDescent="0.25">
      <c r="A79011" s="118"/>
      <c r="B79011" s="136"/>
    </row>
    <row r="79012" spans="1:2" x14ac:dyDescent="0.25">
      <c r="A79012" s="118"/>
      <c r="B79012" s="136"/>
    </row>
    <row r="79013" spans="1:2" x14ac:dyDescent="0.25">
      <c r="A79013" s="118"/>
      <c r="B79013" s="136"/>
    </row>
    <row r="79014" spans="1:2" x14ac:dyDescent="0.25">
      <c r="A79014" s="118"/>
      <c r="B79014" s="136"/>
    </row>
    <row r="79015" spans="1:2" x14ac:dyDescent="0.25">
      <c r="A79015" s="118"/>
      <c r="B79015" s="136"/>
    </row>
    <row r="79016" spans="1:2" x14ac:dyDescent="0.25">
      <c r="A79016" s="118"/>
      <c r="B79016" s="136"/>
    </row>
    <row r="79017" spans="1:2" x14ac:dyDescent="0.25">
      <c r="A79017" s="118"/>
      <c r="B79017" s="136"/>
    </row>
    <row r="79018" spans="1:2" x14ac:dyDescent="0.25">
      <c r="A79018" s="118"/>
      <c r="B79018" s="136"/>
    </row>
    <row r="79019" spans="1:2" x14ac:dyDescent="0.25">
      <c r="A79019" s="118"/>
      <c r="B79019" s="136"/>
    </row>
    <row r="79020" spans="1:2" x14ac:dyDescent="0.25">
      <c r="A79020" s="118"/>
      <c r="B79020" s="136"/>
    </row>
    <row r="79021" spans="1:2" x14ac:dyDescent="0.25">
      <c r="A79021" s="118"/>
      <c r="B79021" s="136"/>
    </row>
    <row r="79022" spans="1:2" x14ac:dyDescent="0.25">
      <c r="A79022" s="118"/>
      <c r="B79022" s="136"/>
    </row>
    <row r="79023" spans="1:2" x14ac:dyDescent="0.25">
      <c r="A79023" s="118"/>
      <c r="B79023" s="136"/>
    </row>
    <row r="79024" spans="1:2" x14ac:dyDescent="0.25">
      <c r="A79024" s="118"/>
      <c r="B79024" s="136"/>
    </row>
    <row r="79025" spans="1:2" x14ac:dyDescent="0.25">
      <c r="A79025" s="118"/>
      <c r="B79025" s="136"/>
    </row>
    <row r="79026" spans="1:2" x14ac:dyDescent="0.25">
      <c r="A79026" s="118"/>
      <c r="B79026" s="136"/>
    </row>
    <row r="79027" spans="1:2" x14ac:dyDescent="0.25">
      <c r="A79027" s="118"/>
      <c r="B79027" s="136"/>
    </row>
    <row r="79028" spans="1:2" x14ac:dyDescent="0.25">
      <c r="A79028" s="118"/>
      <c r="B79028" s="136"/>
    </row>
    <row r="79029" spans="1:2" x14ac:dyDescent="0.25">
      <c r="A79029" s="118"/>
      <c r="B79029" s="136"/>
    </row>
    <row r="79030" spans="1:2" x14ac:dyDescent="0.25">
      <c r="A79030" s="118"/>
      <c r="B79030" s="136"/>
    </row>
    <row r="79031" spans="1:2" x14ac:dyDescent="0.25">
      <c r="A79031" s="118"/>
      <c r="B79031" s="136"/>
    </row>
    <row r="79032" spans="1:2" x14ac:dyDescent="0.25">
      <c r="A79032" s="118"/>
      <c r="B79032" s="136"/>
    </row>
    <row r="79033" spans="1:2" x14ac:dyDescent="0.25">
      <c r="A79033" s="118"/>
      <c r="B79033" s="136"/>
    </row>
    <row r="79034" spans="1:2" x14ac:dyDescent="0.25">
      <c r="A79034" s="118"/>
      <c r="B79034" s="136"/>
    </row>
    <row r="79035" spans="1:2" x14ac:dyDescent="0.25">
      <c r="A79035" s="118"/>
      <c r="B79035" s="136"/>
    </row>
    <row r="79036" spans="1:2" x14ac:dyDescent="0.25">
      <c r="A79036" s="118"/>
      <c r="B79036" s="136"/>
    </row>
    <row r="79037" spans="1:2" x14ac:dyDescent="0.25">
      <c r="A79037" s="118"/>
      <c r="B79037" s="136"/>
    </row>
    <row r="79038" spans="1:2" x14ac:dyDescent="0.25">
      <c r="A79038" s="118"/>
      <c r="B79038" s="136"/>
    </row>
    <row r="79039" spans="1:2" x14ac:dyDescent="0.25">
      <c r="A79039" s="118"/>
      <c r="B79039" s="136"/>
    </row>
    <row r="79040" spans="1:2" x14ac:dyDescent="0.25">
      <c r="A79040" s="118"/>
      <c r="B79040" s="136"/>
    </row>
    <row r="79041" spans="1:2" x14ac:dyDescent="0.25">
      <c r="A79041" s="118"/>
      <c r="B79041" s="136"/>
    </row>
    <row r="79042" spans="1:2" x14ac:dyDescent="0.25">
      <c r="A79042" s="118"/>
      <c r="B79042" s="136"/>
    </row>
    <row r="79043" spans="1:2" x14ac:dyDescent="0.25">
      <c r="A79043" s="118"/>
      <c r="B79043" s="136"/>
    </row>
    <row r="79044" spans="1:2" x14ac:dyDescent="0.25">
      <c r="A79044" s="118"/>
      <c r="B79044" s="136"/>
    </row>
    <row r="79045" spans="1:2" x14ac:dyDescent="0.25">
      <c r="A79045" s="118"/>
      <c r="B79045" s="136"/>
    </row>
    <row r="79046" spans="1:2" x14ac:dyDescent="0.25">
      <c r="A79046" s="118"/>
      <c r="B79046" s="136"/>
    </row>
    <row r="79047" spans="1:2" x14ac:dyDescent="0.25">
      <c r="A79047" s="118"/>
      <c r="B79047" s="136"/>
    </row>
    <row r="79048" spans="1:2" x14ac:dyDescent="0.25">
      <c r="A79048" s="118"/>
      <c r="B79048" s="136"/>
    </row>
    <row r="79049" spans="1:2" x14ac:dyDescent="0.25">
      <c r="A79049" s="118"/>
      <c r="B79049" s="136"/>
    </row>
    <row r="79050" spans="1:2" x14ac:dyDescent="0.25">
      <c r="A79050" s="118"/>
      <c r="B79050" s="136"/>
    </row>
    <row r="79051" spans="1:2" x14ac:dyDescent="0.25">
      <c r="A79051" s="118"/>
      <c r="B79051" s="136"/>
    </row>
    <row r="79052" spans="1:2" x14ac:dyDescent="0.25">
      <c r="A79052" s="118"/>
      <c r="B79052" s="136"/>
    </row>
    <row r="79053" spans="1:2" x14ac:dyDescent="0.25">
      <c r="A79053" s="118"/>
      <c r="B79053" s="136"/>
    </row>
    <row r="79054" spans="1:2" x14ac:dyDescent="0.25">
      <c r="A79054" s="118"/>
      <c r="B79054" s="136"/>
    </row>
    <row r="79055" spans="1:2" x14ac:dyDescent="0.25">
      <c r="A79055" s="118"/>
      <c r="B79055" s="136"/>
    </row>
    <row r="79056" spans="1:2" x14ac:dyDescent="0.25">
      <c r="A79056" s="118"/>
      <c r="B79056" s="136"/>
    </row>
    <row r="79057" spans="1:2" x14ac:dyDescent="0.25">
      <c r="A79057" s="118"/>
      <c r="B79057" s="136"/>
    </row>
    <row r="79058" spans="1:2" x14ac:dyDescent="0.25">
      <c r="A79058" s="118"/>
      <c r="B79058" s="136"/>
    </row>
    <row r="79059" spans="1:2" x14ac:dyDescent="0.25">
      <c r="A79059" s="118"/>
      <c r="B79059" s="136"/>
    </row>
    <row r="79060" spans="1:2" x14ac:dyDescent="0.25">
      <c r="A79060" s="118"/>
      <c r="B79060" s="136"/>
    </row>
    <row r="79061" spans="1:2" x14ac:dyDescent="0.25">
      <c r="A79061" s="118"/>
      <c r="B79061" s="136"/>
    </row>
    <row r="79062" spans="1:2" x14ac:dyDescent="0.25">
      <c r="A79062" s="118"/>
      <c r="B79062" s="136"/>
    </row>
    <row r="79063" spans="1:2" x14ac:dyDescent="0.25">
      <c r="A79063" s="118"/>
      <c r="B79063" s="136"/>
    </row>
    <row r="79064" spans="1:2" x14ac:dyDescent="0.25">
      <c r="A79064" s="118"/>
      <c r="B79064" s="136"/>
    </row>
    <row r="79065" spans="1:2" x14ac:dyDescent="0.25">
      <c r="A79065" s="118"/>
      <c r="B79065" s="136"/>
    </row>
    <row r="79066" spans="1:2" x14ac:dyDescent="0.25">
      <c r="A79066" s="118"/>
      <c r="B79066" s="136"/>
    </row>
    <row r="79067" spans="1:2" x14ac:dyDescent="0.25">
      <c r="A79067" s="118"/>
      <c r="B79067" s="136"/>
    </row>
    <row r="79068" spans="1:2" x14ac:dyDescent="0.25">
      <c r="A79068" s="118"/>
      <c r="B79068" s="136"/>
    </row>
    <row r="79069" spans="1:2" x14ac:dyDescent="0.25">
      <c r="A79069" s="118"/>
      <c r="B79069" s="136"/>
    </row>
    <row r="79070" spans="1:2" x14ac:dyDescent="0.25">
      <c r="A79070" s="118"/>
      <c r="B79070" s="136"/>
    </row>
    <row r="79071" spans="1:2" x14ac:dyDescent="0.25">
      <c r="A79071" s="118"/>
      <c r="B79071" s="136"/>
    </row>
    <row r="79072" spans="1:2" x14ac:dyDescent="0.25">
      <c r="A79072" s="118"/>
      <c r="B79072" s="136"/>
    </row>
    <row r="79073" spans="1:2" x14ac:dyDescent="0.25">
      <c r="A79073" s="118"/>
      <c r="B79073" s="136"/>
    </row>
    <row r="79074" spans="1:2" x14ac:dyDescent="0.25">
      <c r="A79074" s="118"/>
      <c r="B79074" s="136"/>
    </row>
    <row r="79075" spans="1:2" x14ac:dyDescent="0.25">
      <c r="A79075" s="118"/>
      <c r="B79075" s="136"/>
    </row>
    <row r="79076" spans="1:2" x14ac:dyDescent="0.25">
      <c r="A79076" s="118"/>
      <c r="B79076" s="136"/>
    </row>
    <row r="79077" spans="1:2" x14ac:dyDescent="0.25">
      <c r="A79077" s="118"/>
      <c r="B79077" s="136"/>
    </row>
    <row r="79078" spans="1:2" x14ac:dyDescent="0.25">
      <c r="A79078" s="118"/>
      <c r="B79078" s="136"/>
    </row>
    <row r="79079" spans="1:2" x14ac:dyDescent="0.25">
      <c r="A79079" s="118"/>
      <c r="B79079" s="136"/>
    </row>
    <row r="79080" spans="1:2" x14ac:dyDescent="0.25">
      <c r="A79080" s="118"/>
      <c r="B79080" s="136"/>
    </row>
    <row r="79081" spans="1:2" x14ac:dyDescent="0.25">
      <c r="A79081" s="118"/>
      <c r="B79081" s="136"/>
    </row>
    <row r="79082" spans="1:2" x14ac:dyDescent="0.25">
      <c r="A79082" s="118"/>
      <c r="B79082" s="136"/>
    </row>
    <row r="79083" spans="1:2" x14ac:dyDescent="0.25">
      <c r="A79083" s="118"/>
      <c r="B79083" s="136"/>
    </row>
    <row r="79084" spans="1:2" x14ac:dyDescent="0.25">
      <c r="A79084" s="118"/>
      <c r="B79084" s="136"/>
    </row>
    <row r="79085" spans="1:2" x14ac:dyDescent="0.25">
      <c r="A79085" s="118"/>
      <c r="B79085" s="136"/>
    </row>
    <row r="79086" spans="1:2" x14ac:dyDescent="0.25">
      <c r="A79086" s="118"/>
      <c r="B79086" s="136"/>
    </row>
    <row r="79087" spans="1:2" x14ac:dyDescent="0.25">
      <c r="A79087" s="118"/>
      <c r="B79087" s="136"/>
    </row>
    <row r="79088" spans="1:2" x14ac:dyDescent="0.25">
      <c r="A79088" s="118"/>
      <c r="B79088" s="136"/>
    </row>
    <row r="79089" spans="1:2" x14ac:dyDescent="0.25">
      <c r="A79089" s="118"/>
      <c r="B79089" s="136"/>
    </row>
    <row r="79090" spans="1:2" x14ac:dyDescent="0.25">
      <c r="A79090" s="118"/>
      <c r="B79090" s="136"/>
    </row>
    <row r="79091" spans="1:2" x14ac:dyDescent="0.25">
      <c r="A79091" s="118"/>
      <c r="B79091" s="136"/>
    </row>
    <row r="79092" spans="1:2" x14ac:dyDescent="0.25">
      <c r="A79092" s="118"/>
      <c r="B79092" s="136"/>
    </row>
    <row r="79093" spans="1:2" x14ac:dyDescent="0.25">
      <c r="A79093" s="118"/>
      <c r="B79093" s="136"/>
    </row>
    <row r="79094" spans="1:2" x14ac:dyDescent="0.25">
      <c r="A79094" s="118"/>
      <c r="B79094" s="136"/>
    </row>
    <row r="79095" spans="1:2" x14ac:dyDescent="0.25">
      <c r="A79095" s="118"/>
      <c r="B79095" s="136"/>
    </row>
    <row r="79096" spans="1:2" x14ac:dyDescent="0.25">
      <c r="A79096" s="118"/>
      <c r="B79096" s="136"/>
    </row>
    <row r="79097" spans="1:2" x14ac:dyDescent="0.25">
      <c r="A79097" s="118"/>
      <c r="B79097" s="136"/>
    </row>
    <row r="79098" spans="1:2" x14ac:dyDescent="0.25">
      <c r="A79098" s="118"/>
      <c r="B79098" s="136"/>
    </row>
    <row r="79099" spans="1:2" x14ac:dyDescent="0.25">
      <c r="A79099" s="118"/>
      <c r="B79099" s="136"/>
    </row>
    <row r="79100" spans="1:2" x14ac:dyDescent="0.25">
      <c r="A79100" s="118"/>
      <c r="B79100" s="136"/>
    </row>
    <row r="79101" spans="1:2" x14ac:dyDescent="0.25">
      <c r="A79101" s="118"/>
      <c r="B79101" s="136"/>
    </row>
    <row r="79102" spans="1:2" x14ac:dyDescent="0.25">
      <c r="A79102" s="118"/>
      <c r="B79102" s="136"/>
    </row>
    <row r="79103" spans="1:2" x14ac:dyDescent="0.25">
      <c r="A79103" s="118"/>
      <c r="B79103" s="136"/>
    </row>
    <row r="79104" spans="1:2" x14ac:dyDescent="0.25">
      <c r="A79104" s="118"/>
      <c r="B79104" s="136"/>
    </row>
    <row r="79105" spans="1:2" x14ac:dyDescent="0.25">
      <c r="A79105" s="118"/>
      <c r="B79105" s="136"/>
    </row>
    <row r="79106" spans="1:2" x14ac:dyDescent="0.25">
      <c r="A79106" s="118"/>
      <c r="B79106" s="136"/>
    </row>
    <row r="79107" spans="1:2" x14ac:dyDescent="0.25">
      <c r="A79107" s="118"/>
      <c r="B79107" s="136"/>
    </row>
    <row r="79108" spans="1:2" x14ac:dyDescent="0.25">
      <c r="A79108" s="118"/>
      <c r="B79108" s="136"/>
    </row>
    <row r="79109" spans="1:2" x14ac:dyDescent="0.25">
      <c r="A79109" s="118"/>
      <c r="B79109" s="136"/>
    </row>
    <row r="79110" spans="1:2" x14ac:dyDescent="0.25">
      <c r="A79110" s="118"/>
      <c r="B79110" s="136"/>
    </row>
    <row r="79111" spans="1:2" x14ac:dyDescent="0.25">
      <c r="A79111" s="118"/>
      <c r="B79111" s="136"/>
    </row>
    <row r="79112" spans="1:2" x14ac:dyDescent="0.25">
      <c r="A79112" s="118"/>
      <c r="B79112" s="136"/>
    </row>
    <row r="79113" spans="1:2" x14ac:dyDescent="0.25">
      <c r="A79113" s="118"/>
      <c r="B79113" s="136"/>
    </row>
    <row r="79114" spans="1:2" x14ac:dyDescent="0.25">
      <c r="A79114" s="118"/>
      <c r="B79114" s="136"/>
    </row>
    <row r="79115" spans="1:2" x14ac:dyDescent="0.25">
      <c r="A79115" s="118"/>
      <c r="B79115" s="136"/>
    </row>
    <row r="79116" spans="1:2" x14ac:dyDescent="0.25">
      <c r="A79116" s="118"/>
      <c r="B79116" s="136"/>
    </row>
    <row r="79117" spans="1:2" x14ac:dyDescent="0.25">
      <c r="A79117" s="118"/>
      <c r="B79117" s="136"/>
    </row>
    <row r="79118" spans="1:2" x14ac:dyDescent="0.25">
      <c r="A79118" s="118"/>
      <c r="B79118" s="136"/>
    </row>
    <row r="79119" spans="1:2" x14ac:dyDescent="0.25">
      <c r="A79119" s="118"/>
      <c r="B79119" s="136"/>
    </row>
    <row r="79120" spans="1:2" x14ac:dyDescent="0.25">
      <c r="A79120" s="118"/>
      <c r="B79120" s="136"/>
    </row>
    <row r="79121" spans="1:2" x14ac:dyDescent="0.25">
      <c r="A79121" s="118"/>
      <c r="B79121" s="136"/>
    </row>
    <row r="79122" spans="1:2" x14ac:dyDescent="0.25">
      <c r="A79122" s="118"/>
      <c r="B79122" s="136"/>
    </row>
    <row r="79123" spans="1:2" x14ac:dyDescent="0.25">
      <c r="A79123" s="118"/>
      <c r="B79123" s="136"/>
    </row>
    <row r="79124" spans="1:2" x14ac:dyDescent="0.25">
      <c r="A79124" s="118"/>
      <c r="B79124" s="136"/>
    </row>
    <row r="79125" spans="1:2" x14ac:dyDescent="0.25">
      <c r="A79125" s="118"/>
      <c r="B79125" s="136"/>
    </row>
    <row r="79126" spans="1:2" x14ac:dyDescent="0.25">
      <c r="A79126" s="118"/>
      <c r="B79126" s="136"/>
    </row>
    <row r="79127" spans="1:2" x14ac:dyDescent="0.25">
      <c r="A79127" s="118"/>
      <c r="B79127" s="136"/>
    </row>
    <row r="79128" spans="1:2" x14ac:dyDescent="0.25">
      <c r="A79128" s="118"/>
      <c r="B79128" s="136"/>
    </row>
    <row r="79129" spans="1:2" x14ac:dyDescent="0.25">
      <c r="A79129" s="118"/>
      <c r="B79129" s="136"/>
    </row>
    <row r="79130" spans="1:2" x14ac:dyDescent="0.25">
      <c r="A79130" s="118"/>
      <c r="B79130" s="136"/>
    </row>
    <row r="79131" spans="1:2" x14ac:dyDescent="0.25">
      <c r="A79131" s="118"/>
      <c r="B79131" s="136"/>
    </row>
    <row r="79132" spans="1:2" x14ac:dyDescent="0.25">
      <c r="A79132" s="118"/>
      <c r="B79132" s="136"/>
    </row>
    <row r="79133" spans="1:2" x14ac:dyDescent="0.25">
      <c r="A79133" s="118"/>
      <c r="B79133" s="136"/>
    </row>
    <row r="79134" spans="1:2" x14ac:dyDescent="0.25">
      <c r="A79134" s="118"/>
      <c r="B79134" s="136"/>
    </row>
    <row r="79135" spans="1:2" x14ac:dyDescent="0.25">
      <c r="A79135" s="118"/>
      <c r="B79135" s="136"/>
    </row>
    <row r="79136" spans="1:2" x14ac:dyDescent="0.25">
      <c r="A79136" s="118"/>
      <c r="B79136" s="136"/>
    </row>
    <row r="79137" spans="1:2" x14ac:dyDescent="0.25">
      <c r="A79137" s="118"/>
      <c r="B79137" s="136"/>
    </row>
    <row r="79138" spans="1:2" x14ac:dyDescent="0.25">
      <c r="A79138" s="118"/>
      <c r="B79138" s="136"/>
    </row>
    <row r="79139" spans="1:2" x14ac:dyDescent="0.25">
      <c r="A79139" s="118"/>
      <c r="B79139" s="136"/>
    </row>
    <row r="79140" spans="1:2" x14ac:dyDescent="0.25">
      <c r="A79140" s="118"/>
      <c r="B79140" s="136"/>
    </row>
    <row r="79141" spans="1:2" x14ac:dyDescent="0.25">
      <c r="A79141" s="118"/>
      <c r="B79141" s="136"/>
    </row>
    <row r="79142" spans="1:2" x14ac:dyDescent="0.25">
      <c r="A79142" s="118"/>
      <c r="B79142" s="136"/>
    </row>
    <row r="79143" spans="1:2" x14ac:dyDescent="0.25">
      <c r="A79143" s="118"/>
      <c r="B79143" s="136"/>
    </row>
    <row r="79144" spans="1:2" x14ac:dyDescent="0.25">
      <c r="A79144" s="118"/>
      <c r="B79144" s="136"/>
    </row>
    <row r="79145" spans="1:2" x14ac:dyDescent="0.25">
      <c r="A79145" s="118"/>
      <c r="B79145" s="136"/>
    </row>
    <row r="79146" spans="1:2" x14ac:dyDescent="0.25">
      <c r="A79146" s="118"/>
      <c r="B79146" s="136"/>
    </row>
    <row r="79147" spans="1:2" x14ac:dyDescent="0.25">
      <c r="A79147" s="118"/>
      <c r="B79147" s="136"/>
    </row>
    <row r="79148" spans="1:2" x14ac:dyDescent="0.25">
      <c r="A79148" s="118"/>
      <c r="B79148" s="136"/>
    </row>
    <row r="79149" spans="1:2" x14ac:dyDescent="0.25">
      <c r="A79149" s="118"/>
      <c r="B79149" s="136"/>
    </row>
    <row r="79150" spans="1:2" x14ac:dyDescent="0.25">
      <c r="A79150" s="118"/>
      <c r="B79150" s="136"/>
    </row>
    <row r="79151" spans="1:2" x14ac:dyDescent="0.25">
      <c r="A79151" s="118"/>
      <c r="B79151" s="136"/>
    </row>
    <row r="79152" spans="1:2" x14ac:dyDescent="0.25">
      <c r="A79152" s="118"/>
      <c r="B79152" s="136"/>
    </row>
    <row r="79153" spans="1:2" x14ac:dyDescent="0.25">
      <c r="A79153" s="118"/>
      <c r="B79153" s="136"/>
    </row>
    <row r="79154" spans="1:2" x14ac:dyDescent="0.25">
      <c r="A79154" s="118"/>
      <c r="B79154" s="136"/>
    </row>
    <row r="79155" spans="1:2" x14ac:dyDescent="0.25">
      <c r="A79155" s="118"/>
      <c r="B79155" s="136"/>
    </row>
    <row r="79156" spans="1:2" x14ac:dyDescent="0.25">
      <c r="A79156" s="118"/>
      <c r="B79156" s="136"/>
    </row>
    <row r="79157" spans="1:2" x14ac:dyDescent="0.25">
      <c r="A79157" s="118"/>
      <c r="B79157" s="136"/>
    </row>
    <row r="79158" spans="1:2" x14ac:dyDescent="0.25">
      <c r="A79158" s="118"/>
      <c r="B79158" s="136"/>
    </row>
    <row r="79159" spans="1:2" x14ac:dyDescent="0.25">
      <c r="A79159" s="118"/>
      <c r="B79159" s="136"/>
    </row>
    <row r="79160" spans="1:2" x14ac:dyDescent="0.25">
      <c r="A79160" s="118"/>
      <c r="B79160" s="136"/>
    </row>
    <row r="79161" spans="1:2" x14ac:dyDescent="0.25">
      <c r="A79161" s="118"/>
      <c r="B79161" s="136"/>
    </row>
    <row r="79162" spans="1:2" x14ac:dyDescent="0.25">
      <c r="A79162" s="118"/>
      <c r="B79162" s="136"/>
    </row>
    <row r="79163" spans="1:2" x14ac:dyDescent="0.25">
      <c r="A79163" s="118"/>
      <c r="B79163" s="136"/>
    </row>
    <row r="79164" spans="1:2" x14ac:dyDescent="0.25">
      <c r="A79164" s="118"/>
      <c r="B79164" s="136"/>
    </row>
    <row r="79165" spans="1:2" x14ac:dyDescent="0.25">
      <c r="A79165" s="118"/>
      <c r="B79165" s="136"/>
    </row>
    <row r="79166" spans="1:2" x14ac:dyDescent="0.25">
      <c r="A79166" s="118"/>
      <c r="B79166" s="136"/>
    </row>
    <row r="79167" spans="1:2" x14ac:dyDescent="0.25">
      <c r="A79167" s="118"/>
      <c r="B79167" s="136"/>
    </row>
    <row r="79168" spans="1:2" x14ac:dyDescent="0.25">
      <c r="A79168" s="118"/>
      <c r="B79168" s="136"/>
    </row>
    <row r="79169" spans="1:2" x14ac:dyDescent="0.25">
      <c r="A79169" s="118"/>
      <c r="B79169" s="136"/>
    </row>
    <row r="79170" spans="1:2" x14ac:dyDescent="0.25">
      <c r="A79170" s="118"/>
      <c r="B79170" s="136"/>
    </row>
    <row r="79171" spans="1:2" x14ac:dyDescent="0.25">
      <c r="A79171" s="118"/>
      <c r="B79171" s="136"/>
    </row>
    <row r="79172" spans="1:2" x14ac:dyDescent="0.25">
      <c r="A79172" s="118"/>
      <c r="B79172" s="136"/>
    </row>
    <row r="79173" spans="1:2" x14ac:dyDescent="0.25">
      <c r="A79173" s="118"/>
      <c r="B79173" s="136"/>
    </row>
    <row r="79174" spans="1:2" x14ac:dyDescent="0.25">
      <c r="A79174" s="118"/>
      <c r="B79174" s="136"/>
    </row>
    <row r="79175" spans="1:2" x14ac:dyDescent="0.25">
      <c r="A79175" s="118"/>
      <c r="B79175" s="136"/>
    </row>
    <row r="79176" spans="1:2" x14ac:dyDescent="0.25">
      <c r="A79176" s="118"/>
      <c r="B79176" s="136"/>
    </row>
    <row r="79177" spans="1:2" x14ac:dyDescent="0.25">
      <c r="A79177" s="118"/>
      <c r="B79177" s="136"/>
    </row>
    <row r="79178" spans="1:2" x14ac:dyDescent="0.25">
      <c r="A79178" s="118"/>
      <c r="B79178" s="136"/>
    </row>
    <row r="79179" spans="1:2" x14ac:dyDescent="0.25">
      <c r="A79179" s="118"/>
      <c r="B79179" s="136"/>
    </row>
    <row r="79180" spans="1:2" x14ac:dyDescent="0.25">
      <c r="A79180" s="118"/>
      <c r="B79180" s="136"/>
    </row>
    <row r="79181" spans="1:2" x14ac:dyDescent="0.25">
      <c r="A79181" s="118"/>
      <c r="B79181" s="136"/>
    </row>
    <row r="79182" spans="1:2" x14ac:dyDescent="0.25">
      <c r="A79182" s="118"/>
      <c r="B79182" s="136"/>
    </row>
    <row r="79183" spans="1:2" x14ac:dyDescent="0.25">
      <c r="A79183" s="118"/>
      <c r="B79183" s="136"/>
    </row>
    <row r="79184" spans="1:2" x14ac:dyDescent="0.25">
      <c r="A79184" s="118"/>
      <c r="B79184" s="136"/>
    </row>
    <row r="79185" spans="1:2" x14ac:dyDescent="0.25">
      <c r="A79185" s="118"/>
      <c r="B79185" s="136"/>
    </row>
    <row r="79186" spans="1:2" x14ac:dyDescent="0.25">
      <c r="A79186" s="118"/>
      <c r="B79186" s="136"/>
    </row>
    <row r="79187" spans="1:2" x14ac:dyDescent="0.25">
      <c r="A79187" s="118"/>
      <c r="B79187" s="136"/>
    </row>
    <row r="79188" spans="1:2" x14ac:dyDescent="0.25">
      <c r="A79188" s="118"/>
      <c r="B79188" s="136"/>
    </row>
    <row r="79189" spans="1:2" x14ac:dyDescent="0.25">
      <c r="A79189" s="118"/>
      <c r="B79189" s="136"/>
    </row>
    <row r="79190" spans="1:2" x14ac:dyDescent="0.25">
      <c r="A79190" s="118"/>
      <c r="B79190" s="136"/>
    </row>
    <row r="79191" spans="1:2" x14ac:dyDescent="0.25">
      <c r="A79191" s="118"/>
      <c r="B79191" s="136"/>
    </row>
    <row r="79192" spans="1:2" x14ac:dyDescent="0.25">
      <c r="A79192" s="118"/>
      <c r="B79192" s="136"/>
    </row>
    <row r="79193" spans="1:2" x14ac:dyDescent="0.25">
      <c r="A79193" s="118"/>
      <c r="B79193" s="136"/>
    </row>
    <row r="79194" spans="1:2" x14ac:dyDescent="0.25">
      <c r="A79194" s="118"/>
      <c r="B79194" s="136"/>
    </row>
    <row r="79195" spans="1:2" x14ac:dyDescent="0.25">
      <c r="A79195" s="118"/>
      <c r="B79195" s="136"/>
    </row>
    <row r="79196" spans="1:2" x14ac:dyDescent="0.25">
      <c r="A79196" s="118"/>
      <c r="B79196" s="136"/>
    </row>
    <row r="79197" spans="1:2" x14ac:dyDescent="0.25">
      <c r="A79197" s="118"/>
      <c r="B79197" s="136"/>
    </row>
    <row r="79198" spans="1:2" x14ac:dyDescent="0.25">
      <c r="A79198" s="118"/>
      <c r="B79198" s="136"/>
    </row>
    <row r="79199" spans="1:2" x14ac:dyDescent="0.25">
      <c r="A79199" s="118"/>
      <c r="B79199" s="136"/>
    </row>
    <row r="79200" spans="1:2" x14ac:dyDescent="0.25">
      <c r="A79200" s="118"/>
      <c r="B79200" s="136"/>
    </row>
    <row r="79201" spans="1:2" x14ac:dyDescent="0.25">
      <c r="A79201" s="118"/>
      <c r="B79201" s="136"/>
    </row>
    <row r="79202" spans="1:2" x14ac:dyDescent="0.25">
      <c r="A79202" s="118"/>
      <c r="B79202" s="136"/>
    </row>
    <row r="79203" spans="1:2" x14ac:dyDescent="0.25">
      <c r="A79203" s="118"/>
      <c r="B79203" s="136"/>
    </row>
    <row r="79204" spans="1:2" x14ac:dyDescent="0.25">
      <c r="A79204" s="118"/>
      <c r="B79204" s="136"/>
    </row>
    <row r="79205" spans="1:2" x14ac:dyDescent="0.25">
      <c r="A79205" s="118"/>
      <c r="B79205" s="136"/>
    </row>
    <row r="79206" spans="1:2" x14ac:dyDescent="0.25">
      <c r="A79206" s="118"/>
      <c r="B79206" s="136"/>
    </row>
    <row r="79207" spans="1:2" x14ac:dyDescent="0.25">
      <c r="A79207" s="118"/>
      <c r="B79207" s="136"/>
    </row>
    <row r="79208" spans="1:2" x14ac:dyDescent="0.25">
      <c r="A79208" s="118"/>
      <c r="B79208" s="136"/>
    </row>
    <row r="79209" spans="1:2" x14ac:dyDescent="0.25">
      <c r="A79209" s="118"/>
      <c r="B79209" s="136"/>
    </row>
    <row r="79210" spans="1:2" x14ac:dyDescent="0.25">
      <c r="A79210" s="118"/>
      <c r="B79210" s="136"/>
    </row>
    <row r="79211" spans="1:2" x14ac:dyDescent="0.25">
      <c r="A79211" s="118"/>
      <c r="B79211" s="136"/>
    </row>
    <row r="79212" spans="1:2" x14ac:dyDescent="0.25">
      <c r="A79212" s="118"/>
      <c r="B79212" s="136"/>
    </row>
    <row r="79213" spans="1:2" x14ac:dyDescent="0.25">
      <c r="A79213" s="118"/>
      <c r="B79213" s="136"/>
    </row>
    <row r="79214" spans="1:2" x14ac:dyDescent="0.25">
      <c r="A79214" s="118"/>
      <c r="B79214" s="136"/>
    </row>
    <row r="79215" spans="1:2" x14ac:dyDescent="0.25">
      <c r="A79215" s="118"/>
      <c r="B79215" s="136"/>
    </row>
    <row r="79216" spans="1:2" x14ac:dyDescent="0.25">
      <c r="A79216" s="118"/>
      <c r="B79216" s="136"/>
    </row>
    <row r="79217" spans="1:2" x14ac:dyDescent="0.25">
      <c r="A79217" s="118"/>
      <c r="B79217" s="136"/>
    </row>
    <row r="79218" spans="1:2" x14ac:dyDescent="0.25">
      <c r="A79218" s="118"/>
      <c r="B79218" s="136"/>
    </row>
    <row r="79219" spans="1:2" x14ac:dyDescent="0.25">
      <c r="A79219" s="118"/>
      <c r="B79219" s="136"/>
    </row>
    <row r="79220" spans="1:2" x14ac:dyDescent="0.25">
      <c r="A79220" s="118"/>
      <c r="B79220" s="136"/>
    </row>
    <row r="79221" spans="1:2" x14ac:dyDescent="0.25">
      <c r="A79221" s="118"/>
      <c r="B79221" s="136"/>
    </row>
    <row r="79222" spans="1:2" x14ac:dyDescent="0.25">
      <c r="A79222" s="118"/>
      <c r="B79222" s="136"/>
    </row>
    <row r="79223" spans="1:2" x14ac:dyDescent="0.25">
      <c r="A79223" s="118"/>
      <c r="B79223" s="136"/>
    </row>
    <row r="79224" spans="1:2" x14ac:dyDescent="0.25">
      <c r="A79224" s="118"/>
      <c r="B79224" s="136"/>
    </row>
    <row r="79225" spans="1:2" x14ac:dyDescent="0.25">
      <c r="A79225" s="118"/>
      <c r="B79225" s="136"/>
    </row>
    <row r="79226" spans="1:2" x14ac:dyDescent="0.25">
      <c r="A79226" s="118"/>
      <c r="B79226" s="136"/>
    </row>
    <row r="79227" spans="1:2" x14ac:dyDescent="0.25">
      <c r="A79227" s="118"/>
      <c r="B79227" s="136"/>
    </row>
    <row r="79228" spans="1:2" x14ac:dyDescent="0.25">
      <c r="A79228" s="118"/>
      <c r="B79228" s="136"/>
    </row>
    <row r="79229" spans="1:2" x14ac:dyDescent="0.25">
      <c r="A79229" s="118"/>
      <c r="B79229" s="136"/>
    </row>
    <row r="79230" spans="1:2" x14ac:dyDescent="0.25">
      <c r="A79230" s="118"/>
      <c r="B79230" s="136"/>
    </row>
    <row r="79231" spans="1:2" x14ac:dyDescent="0.25">
      <c r="A79231" s="118"/>
      <c r="B79231" s="136"/>
    </row>
    <row r="79232" spans="1:2" x14ac:dyDescent="0.25">
      <c r="A79232" s="118"/>
      <c r="B79232" s="136"/>
    </row>
    <row r="79233" spans="1:2" x14ac:dyDescent="0.25">
      <c r="A79233" s="118"/>
      <c r="B79233" s="136"/>
    </row>
    <row r="79234" spans="1:2" x14ac:dyDescent="0.25">
      <c r="A79234" s="118"/>
      <c r="B79234" s="136"/>
    </row>
    <row r="79235" spans="1:2" x14ac:dyDescent="0.25">
      <c r="A79235" s="118"/>
      <c r="B79235" s="136"/>
    </row>
    <row r="79236" spans="1:2" x14ac:dyDescent="0.25">
      <c r="A79236" s="118"/>
      <c r="B79236" s="136"/>
    </row>
    <row r="79237" spans="1:2" x14ac:dyDescent="0.25">
      <c r="A79237" s="118"/>
      <c r="B79237" s="136"/>
    </row>
    <row r="79238" spans="1:2" x14ac:dyDescent="0.25">
      <c r="A79238" s="118"/>
      <c r="B79238" s="136"/>
    </row>
    <row r="79239" spans="1:2" x14ac:dyDescent="0.25">
      <c r="A79239" s="118"/>
      <c r="B79239" s="136"/>
    </row>
    <row r="79240" spans="1:2" x14ac:dyDescent="0.25">
      <c r="A79240" s="118"/>
      <c r="B79240" s="136"/>
    </row>
    <row r="79241" spans="1:2" x14ac:dyDescent="0.25">
      <c r="A79241" s="118"/>
      <c r="B79241" s="136"/>
    </row>
    <row r="79242" spans="1:2" x14ac:dyDescent="0.25">
      <c r="A79242" s="118"/>
      <c r="B79242" s="136"/>
    </row>
    <row r="79243" spans="1:2" x14ac:dyDescent="0.25">
      <c r="A79243" s="118"/>
      <c r="B79243" s="136"/>
    </row>
    <row r="79244" spans="1:2" x14ac:dyDescent="0.25">
      <c r="A79244" s="118"/>
      <c r="B79244" s="136"/>
    </row>
    <row r="79245" spans="1:2" x14ac:dyDescent="0.25">
      <c r="A79245" s="118"/>
      <c r="B79245" s="136"/>
    </row>
    <row r="79246" spans="1:2" x14ac:dyDescent="0.25">
      <c r="A79246" s="118"/>
      <c r="B79246" s="136"/>
    </row>
    <row r="79247" spans="1:2" x14ac:dyDescent="0.25">
      <c r="A79247" s="118"/>
      <c r="B79247" s="136"/>
    </row>
    <row r="79248" spans="1:2" x14ac:dyDescent="0.25">
      <c r="A79248" s="118"/>
      <c r="B79248" s="136"/>
    </row>
    <row r="79249" spans="1:2" x14ac:dyDescent="0.25">
      <c r="A79249" s="118"/>
      <c r="B79249" s="136"/>
    </row>
    <row r="79250" spans="1:2" x14ac:dyDescent="0.25">
      <c r="A79250" s="118"/>
      <c r="B79250" s="136"/>
    </row>
    <row r="79251" spans="1:2" x14ac:dyDescent="0.25">
      <c r="A79251" s="118"/>
      <c r="B79251" s="136"/>
    </row>
    <row r="79252" spans="1:2" x14ac:dyDescent="0.25">
      <c r="A79252" s="118"/>
      <c r="B79252" s="136"/>
    </row>
    <row r="79253" spans="1:2" x14ac:dyDescent="0.25">
      <c r="A79253" s="118"/>
      <c r="B79253" s="136"/>
    </row>
    <row r="79254" spans="1:2" x14ac:dyDescent="0.25">
      <c r="A79254" s="118"/>
      <c r="B79254" s="136"/>
    </row>
    <row r="79255" spans="1:2" x14ac:dyDescent="0.25">
      <c r="A79255" s="118"/>
      <c r="B79255" s="136"/>
    </row>
    <row r="79256" spans="1:2" x14ac:dyDescent="0.25">
      <c r="A79256" s="118"/>
      <c r="B79256" s="136"/>
    </row>
    <row r="79257" spans="1:2" x14ac:dyDescent="0.25">
      <c r="A79257" s="118"/>
      <c r="B79257" s="136"/>
    </row>
    <row r="79258" spans="1:2" x14ac:dyDescent="0.25">
      <c r="A79258" s="118"/>
      <c r="B79258" s="136"/>
    </row>
    <row r="79259" spans="1:2" x14ac:dyDescent="0.25">
      <c r="A79259" s="118"/>
      <c r="B79259" s="136"/>
    </row>
    <row r="79260" spans="1:2" x14ac:dyDescent="0.25">
      <c r="A79260" s="118"/>
      <c r="B79260" s="136"/>
    </row>
    <row r="79261" spans="1:2" x14ac:dyDescent="0.25">
      <c r="A79261" s="118"/>
      <c r="B79261" s="136"/>
    </row>
    <row r="79262" spans="1:2" x14ac:dyDescent="0.25">
      <c r="A79262" s="118"/>
      <c r="B79262" s="136"/>
    </row>
    <row r="79263" spans="1:2" x14ac:dyDescent="0.25">
      <c r="A79263" s="118"/>
      <c r="B79263" s="136"/>
    </row>
    <row r="79264" spans="1:2" x14ac:dyDescent="0.25">
      <c r="A79264" s="118"/>
      <c r="B79264" s="136"/>
    </row>
    <row r="79265" spans="1:2" x14ac:dyDescent="0.25">
      <c r="A79265" s="118"/>
      <c r="B79265" s="136"/>
    </row>
    <row r="79266" spans="1:2" x14ac:dyDescent="0.25">
      <c r="A79266" s="118"/>
      <c r="B79266" s="136"/>
    </row>
    <row r="79267" spans="1:2" x14ac:dyDescent="0.25">
      <c r="A79267" s="118"/>
      <c r="B79267" s="136"/>
    </row>
    <row r="79268" spans="1:2" x14ac:dyDescent="0.25">
      <c r="A79268" s="118"/>
      <c r="B79268" s="136"/>
    </row>
    <row r="79269" spans="1:2" x14ac:dyDescent="0.25">
      <c r="A79269" s="118"/>
      <c r="B79269" s="136"/>
    </row>
    <row r="79270" spans="1:2" x14ac:dyDescent="0.25">
      <c r="A79270" s="118"/>
      <c r="B79270" s="136"/>
    </row>
    <row r="79271" spans="1:2" x14ac:dyDescent="0.25">
      <c r="A79271" s="118"/>
      <c r="B79271" s="136"/>
    </row>
    <row r="79272" spans="1:2" x14ac:dyDescent="0.25">
      <c r="A79272" s="118"/>
      <c r="B79272" s="136"/>
    </row>
    <row r="79273" spans="1:2" x14ac:dyDescent="0.25">
      <c r="A79273" s="118"/>
      <c r="B79273" s="136"/>
    </row>
    <row r="79274" spans="1:2" x14ac:dyDescent="0.25">
      <c r="A79274" s="118"/>
      <c r="B79274" s="136"/>
    </row>
    <row r="79275" spans="1:2" x14ac:dyDescent="0.25">
      <c r="A79275" s="118"/>
      <c r="B79275" s="136"/>
    </row>
    <row r="79276" spans="1:2" x14ac:dyDescent="0.25">
      <c r="A79276" s="118"/>
      <c r="B79276" s="136"/>
    </row>
    <row r="79277" spans="1:2" x14ac:dyDescent="0.25">
      <c r="A79277" s="118"/>
      <c r="B79277" s="136"/>
    </row>
    <row r="79278" spans="1:2" x14ac:dyDescent="0.25">
      <c r="A79278" s="118"/>
      <c r="B79278" s="136"/>
    </row>
    <row r="79279" spans="1:2" x14ac:dyDescent="0.25">
      <c r="A79279" s="118"/>
      <c r="B79279" s="136"/>
    </row>
    <row r="79280" spans="1:2" x14ac:dyDescent="0.25">
      <c r="A79280" s="118"/>
      <c r="B79280" s="136"/>
    </row>
    <row r="79281" spans="1:2" x14ac:dyDescent="0.25">
      <c r="A79281" s="118"/>
      <c r="B79281" s="136"/>
    </row>
    <row r="79282" spans="1:2" x14ac:dyDescent="0.25">
      <c r="A79282" s="118"/>
      <c r="B79282" s="136"/>
    </row>
    <row r="79283" spans="1:2" x14ac:dyDescent="0.25">
      <c r="A79283" s="118"/>
      <c r="B79283" s="136"/>
    </row>
    <row r="79284" spans="1:2" x14ac:dyDescent="0.25">
      <c r="A79284" s="118"/>
      <c r="B79284" s="136"/>
    </row>
    <row r="79285" spans="1:2" x14ac:dyDescent="0.25">
      <c r="A79285" s="118"/>
      <c r="B79285" s="136"/>
    </row>
    <row r="79286" spans="1:2" x14ac:dyDescent="0.25">
      <c r="A79286" s="118"/>
      <c r="B79286" s="136"/>
    </row>
    <row r="79287" spans="1:2" x14ac:dyDescent="0.25">
      <c r="A79287" s="118"/>
      <c r="B79287" s="136"/>
    </row>
    <row r="79288" spans="1:2" x14ac:dyDescent="0.25">
      <c r="A79288" s="118"/>
      <c r="B79288" s="136"/>
    </row>
    <row r="79289" spans="1:2" x14ac:dyDescent="0.25">
      <c r="A79289" s="118"/>
      <c r="B79289" s="136"/>
    </row>
    <row r="79290" spans="1:2" x14ac:dyDescent="0.25">
      <c r="A79290" s="118"/>
      <c r="B79290" s="136"/>
    </row>
    <row r="79291" spans="1:2" x14ac:dyDescent="0.25">
      <c r="A79291" s="118"/>
      <c r="B79291" s="136"/>
    </row>
    <row r="79292" spans="1:2" x14ac:dyDescent="0.25">
      <c r="A79292" s="118"/>
      <c r="B79292" s="136"/>
    </row>
    <row r="79293" spans="1:2" x14ac:dyDescent="0.25">
      <c r="A79293" s="118"/>
      <c r="B79293" s="136"/>
    </row>
    <row r="79294" spans="1:2" x14ac:dyDescent="0.25">
      <c r="A79294" s="118"/>
      <c r="B79294" s="136"/>
    </row>
    <row r="79295" spans="1:2" x14ac:dyDescent="0.25">
      <c r="A79295" s="118"/>
      <c r="B79295" s="136"/>
    </row>
    <row r="79296" spans="1:2" x14ac:dyDescent="0.25">
      <c r="A79296" s="118"/>
      <c r="B79296" s="136"/>
    </row>
    <row r="79297" spans="1:2" x14ac:dyDescent="0.25">
      <c r="A79297" s="118"/>
      <c r="B79297" s="136"/>
    </row>
    <row r="79298" spans="1:2" x14ac:dyDescent="0.25">
      <c r="A79298" s="118"/>
      <c r="B79298" s="136"/>
    </row>
    <row r="79299" spans="1:2" x14ac:dyDescent="0.25">
      <c r="A79299" s="118"/>
      <c r="B79299" s="136"/>
    </row>
    <row r="79300" spans="1:2" x14ac:dyDescent="0.25">
      <c r="A79300" s="118"/>
      <c r="B79300" s="136"/>
    </row>
    <row r="79301" spans="1:2" x14ac:dyDescent="0.25">
      <c r="A79301" s="118"/>
      <c r="B79301" s="136"/>
    </row>
    <row r="79302" spans="1:2" x14ac:dyDescent="0.25">
      <c r="A79302" s="118"/>
      <c r="B79302" s="136"/>
    </row>
    <row r="79303" spans="1:2" x14ac:dyDescent="0.25">
      <c r="A79303" s="118"/>
      <c r="B79303" s="136"/>
    </row>
    <row r="79304" spans="1:2" x14ac:dyDescent="0.25">
      <c r="A79304" s="118"/>
      <c r="B79304" s="136"/>
    </row>
    <row r="79305" spans="1:2" x14ac:dyDescent="0.25">
      <c r="A79305" s="118"/>
      <c r="B79305" s="136"/>
    </row>
    <row r="79306" spans="1:2" x14ac:dyDescent="0.25">
      <c r="A79306" s="118"/>
      <c r="B79306" s="136"/>
    </row>
    <row r="79307" spans="1:2" x14ac:dyDescent="0.25">
      <c r="A79307" s="118"/>
      <c r="B79307" s="136"/>
    </row>
    <row r="79308" spans="1:2" x14ac:dyDescent="0.25">
      <c r="A79308" s="118"/>
      <c r="B79308" s="136"/>
    </row>
    <row r="79309" spans="1:2" x14ac:dyDescent="0.25">
      <c r="A79309" s="118"/>
      <c r="B79309" s="136"/>
    </row>
    <row r="79310" spans="1:2" x14ac:dyDescent="0.25">
      <c r="A79310" s="118"/>
      <c r="B79310" s="136"/>
    </row>
    <row r="79311" spans="1:2" x14ac:dyDescent="0.25">
      <c r="A79311" s="118"/>
      <c r="B79311" s="136"/>
    </row>
    <row r="79312" spans="1:2" x14ac:dyDescent="0.25">
      <c r="A79312" s="118"/>
      <c r="B79312" s="136"/>
    </row>
    <row r="79313" spans="1:2" x14ac:dyDescent="0.25">
      <c r="A79313" s="118"/>
      <c r="B79313" s="136"/>
    </row>
    <row r="79314" spans="1:2" x14ac:dyDescent="0.25">
      <c r="A79314" s="118"/>
      <c r="B79314" s="136"/>
    </row>
    <row r="79315" spans="1:2" x14ac:dyDescent="0.25">
      <c r="A79315" s="118"/>
      <c r="B79315" s="136"/>
    </row>
    <row r="79316" spans="1:2" x14ac:dyDescent="0.25">
      <c r="A79316" s="118"/>
      <c r="B79316" s="136"/>
    </row>
    <row r="79317" spans="1:2" x14ac:dyDescent="0.25">
      <c r="A79317" s="118"/>
      <c r="B79317" s="136"/>
    </row>
    <row r="79318" spans="1:2" x14ac:dyDescent="0.25">
      <c r="A79318" s="118"/>
      <c r="B79318" s="136"/>
    </row>
    <row r="79319" spans="1:2" x14ac:dyDescent="0.25">
      <c r="A79319" s="118"/>
      <c r="B79319" s="136"/>
    </row>
    <row r="79320" spans="1:2" x14ac:dyDescent="0.25">
      <c r="A79320" s="118"/>
      <c r="B79320" s="136"/>
    </row>
    <row r="79321" spans="1:2" x14ac:dyDescent="0.25">
      <c r="A79321" s="118"/>
      <c r="B79321" s="136"/>
    </row>
    <row r="79322" spans="1:2" x14ac:dyDescent="0.25">
      <c r="A79322" s="118"/>
      <c r="B79322" s="136"/>
    </row>
    <row r="79323" spans="1:2" x14ac:dyDescent="0.25">
      <c r="A79323" s="118"/>
      <c r="B79323" s="136"/>
    </row>
    <row r="79324" spans="1:2" x14ac:dyDescent="0.25">
      <c r="A79324" s="118"/>
      <c r="B79324" s="136"/>
    </row>
    <row r="79325" spans="1:2" x14ac:dyDescent="0.25">
      <c r="A79325" s="118"/>
      <c r="B79325" s="136"/>
    </row>
    <row r="79326" spans="1:2" x14ac:dyDescent="0.25">
      <c r="A79326" s="118"/>
      <c r="B79326" s="136"/>
    </row>
    <row r="79327" spans="1:2" x14ac:dyDescent="0.25">
      <c r="A79327" s="118"/>
      <c r="B79327" s="136"/>
    </row>
    <row r="79328" spans="1:2" x14ac:dyDescent="0.25">
      <c r="A79328" s="118"/>
      <c r="B79328" s="136"/>
    </row>
    <row r="79329" spans="1:2" x14ac:dyDescent="0.25">
      <c r="A79329" s="118"/>
      <c r="B79329" s="136"/>
    </row>
    <row r="79330" spans="1:2" x14ac:dyDescent="0.25">
      <c r="A79330" s="118"/>
      <c r="B79330" s="136"/>
    </row>
    <row r="79331" spans="1:2" x14ac:dyDescent="0.25">
      <c r="A79331" s="118"/>
      <c r="B79331" s="136"/>
    </row>
    <row r="79332" spans="1:2" x14ac:dyDescent="0.25">
      <c r="A79332" s="118"/>
      <c r="B79332" s="136"/>
    </row>
    <row r="79333" spans="1:2" x14ac:dyDescent="0.25">
      <c r="A79333" s="118"/>
      <c r="B79333" s="136"/>
    </row>
    <row r="79334" spans="1:2" x14ac:dyDescent="0.25">
      <c r="A79334" s="118"/>
      <c r="B79334" s="136"/>
    </row>
    <row r="79335" spans="1:2" x14ac:dyDescent="0.25">
      <c r="A79335" s="118"/>
      <c r="B79335" s="136"/>
    </row>
    <row r="79336" spans="1:2" x14ac:dyDescent="0.25">
      <c r="A79336" s="118"/>
      <c r="B79336" s="136"/>
    </row>
    <row r="79337" spans="1:2" x14ac:dyDescent="0.25">
      <c r="A79337" s="118"/>
      <c r="B79337" s="136"/>
    </row>
    <row r="79338" spans="1:2" x14ac:dyDescent="0.25">
      <c r="A79338" s="118"/>
      <c r="B79338" s="136"/>
    </row>
    <row r="79339" spans="1:2" x14ac:dyDescent="0.25">
      <c r="A79339" s="118"/>
      <c r="B79339" s="136"/>
    </row>
    <row r="79340" spans="1:2" x14ac:dyDescent="0.25">
      <c r="A79340" s="118"/>
      <c r="B79340" s="136"/>
    </row>
    <row r="79341" spans="1:2" x14ac:dyDescent="0.25">
      <c r="A79341" s="118"/>
      <c r="B79341" s="136"/>
    </row>
    <row r="79342" spans="1:2" x14ac:dyDescent="0.25">
      <c r="A79342" s="118"/>
      <c r="B79342" s="136"/>
    </row>
    <row r="79343" spans="1:2" x14ac:dyDescent="0.25">
      <c r="A79343" s="118"/>
      <c r="B79343" s="136"/>
    </row>
    <row r="79344" spans="1:2" x14ac:dyDescent="0.25">
      <c r="A79344" s="118"/>
      <c r="B79344" s="136"/>
    </row>
    <row r="79345" spans="1:2" x14ac:dyDescent="0.25">
      <c r="A79345" s="118"/>
      <c r="B79345" s="136"/>
    </row>
    <row r="79346" spans="1:2" x14ac:dyDescent="0.25">
      <c r="A79346" s="118"/>
      <c r="B79346" s="136"/>
    </row>
    <row r="79347" spans="1:2" x14ac:dyDescent="0.25">
      <c r="A79347" s="118"/>
      <c r="B79347" s="136"/>
    </row>
    <row r="79348" spans="1:2" x14ac:dyDescent="0.25">
      <c r="A79348" s="118"/>
      <c r="B79348" s="136"/>
    </row>
    <row r="79349" spans="1:2" x14ac:dyDescent="0.25">
      <c r="A79349" s="118"/>
      <c r="B79349" s="136"/>
    </row>
    <row r="79350" spans="1:2" x14ac:dyDescent="0.25">
      <c r="A79350" s="118"/>
      <c r="B79350" s="136"/>
    </row>
    <row r="79351" spans="1:2" x14ac:dyDescent="0.25">
      <c r="A79351" s="118"/>
      <c r="B79351" s="136"/>
    </row>
    <row r="79352" spans="1:2" x14ac:dyDescent="0.25">
      <c r="A79352" s="118"/>
      <c r="B79352" s="136"/>
    </row>
    <row r="79353" spans="1:2" x14ac:dyDescent="0.25">
      <c r="A79353" s="118"/>
      <c r="B79353" s="136"/>
    </row>
    <row r="79354" spans="1:2" x14ac:dyDescent="0.25">
      <c r="A79354" s="118"/>
      <c r="B79354" s="136"/>
    </row>
    <row r="79355" spans="1:2" x14ac:dyDescent="0.25">
      <c r="A79355" s="118"/>
      <c r="B79355" s="136"/>
    </row>
    <row r="79356" spans="1:2" x14ac:dyDescent="0.25">
      <c r="A79356" s="118"/>
      <c r="B79356" s="136"/>
    </row>
    <row r="79357" spans="1:2" x14ac:dyDescent="0.25">
      <c r="A79357" s="118"/>
      <c r="B79357" s="136"/>
    </row>
    <row r="79358" spans="1:2" x14ac:dyDescent="0.25">
      <c r="A79358" s="118"/>
      <c r="B79358" s="136"/>
    </row>
    <row r="79359" spans="1:2" x14ac:dyDescent="0.25">
      <c r="A79359" s="118"/>
      <c r="B79359" s="136"/>
    </row>
    <row r="79360" spans="1:2" x14ac:dyDescent="0.25">
      <c r="A79360" s="118"/>
      <c r="B79360" s="136"/>
    </row>
    <row r="79361" spans="1:2" x14ac:dyDescent="0.25">
      <c r="A79361" s="118"/>
      <c r="B79361" s="136"/>
    </row>
    <row r="79362" spans="1:2" x14ac:dyDescent="0.25">
      <c r="A79362" s="118"/>
      <c r="B79362" s="136"/>
    </row>
    <row r="79363" spans="1:2" x14ac:dyDescent="0.25">
      <c r="A79363" s="118"/>
      <c r="B79363" s="136"/>
    </row>
    <row r="79364" spans="1:2" x14ac:dyDescent="0.25">
      <c r="A79364" s="118"/>
      <c r="B79364" s="136"/>
    </row>
    <row r="79365" spans="1:2" x14ac:dyDescent="0.25">
      <c r="A79365" s="118"/>
      <c r="B79365" s="136"/>
    </row>
    <row r="79366" spans="1:2" x14ac:dyDescent="0.25">
      <c r="A79366" s="118"/>
      <c r="B79366" s="136"/>
    </row>
    <row r="79367" spans="1:2" x14ac:dyDescent="0.25">
      <c r="A79367" s="118"/>
      <c r="B79367" s="136"/>
    </row>
    <row r="79368" spans="1:2" x14ac:dyDescent="0.25">
      <c r="A79368" s="118"/>
      <c r="B79368" s="136"/>
    </row>
    <row r="79369" spans="1:2" x14ac:dyDescent="0.25">
      <c r="A79369" s="118"/>
      <c r="B79369" s="136"/>
    </row>
    <row r="79370" spans="1:2" x14ac:dyDescent="0.25">
      <c r="A79370" s="118"/>
      <c r="B79370" s="136"/>
    </row>
    <row r="79371" spans="1:2" x14ac:dyDescent="0.25">
      <c r="A79371" s="118"/>
      <c r="B79371" s="136"/>
    </row>
    <row r="79372" spans="1:2" x14ac:dyDescent="0.25">
      <c r="A79372" s="118"/>
      <c r="B79372" s="136"/>
    </row>
    <row r="79373" spans="1:2" x14ac:dyDescent="0.25">
      <c r="A79373" s="118"/>
      <c r="B79373" s="136"/>
    </row>
    <row r="79374" spans="1:2" x14ac:dyDescent="0.25">
      <c r="A79374" s="118"/>
      <c r="B79374" s="136"/>
    </row>
    <row r="79375" spans="1:2" x14ac:dyDescent="0.25">
      <c r="A79375" s="118"/>
      <c r="B79375" s="136"/>
    </row>
    <row r="79376" spans="1:2" x14ac:dyDescent="0.25">
      <c r="A79376" s="118"/>
      <c r="B79376" s="136"/>
    </row>
    <row r="79377" spans="1:2" x14ac:dyDescent="0.25">
      <c r="A79377" s="118"/>
      <c r="B79377" s="136"/>
    </row>
    <row r="79378" spans="1:2" x14ac:dyDescent="0.25">
      <c r="A79378" s="118"/>
      <c r="B79378" s="136"/>
    </row>
    <row r="79379" spans="1:2" x14ac:dyDescent="0.25">
      <c r="A79379" s="118"/>
      <c r="B79379" s="136"/>
    </row>
    <row r="79380" spans="1:2" x14ac:dyDescent="0.25">
      <c r="A79380" s="118"/>
      <c r="B79380" s="136"/>
    </row>
    <row r="79381" spans="1:2" x14ac:dyDescent="0.25">
      <c r="A79381" s="118"/>
      <c r="B79381" s="136"/>
    </row>
    <row r="79382" spans="1:2" x14ac:dyDescent="0.25">
      <c r="A79382" s="118"/>
      <c r="B79382" s="136"/>
    </row>
    <row r="79383" spans="1:2" x14ac:dyDescent="0.25">
      <c r="A79383" s="118"/>
      <c r="B79383" s="136"/>
    </row>
    <row r="79384" spans="1:2" x14ac:dyDescent="0.25">
      <c r="A79384" s="118"/>
      <c r="B79384" s="136"/>
    </row>
    <row r="79385" spans="1:2" x14ac:dyDescent="0.25">
      <c r="A79385" s="118"/>
      <c r="B79385" s="136"/>
    </row>
    <row r="79386" spans="1:2" x14ac:dyDescent="0.25">
      <c r="A79386" s="118"/>
      <c r="B79386" s="136"/>
    </row>
    <row r="79387" spans="1:2" x14ac:dyDescent="0.25">
      <c r="A79387" s="118"/>
      <c r="B79387" s="136"/>
    </row>
    <row r="79388" spans="1:2" x14ac:dyDescent="0.25">
      <c r="A79388" s="118"/>
      <c r="B79388" s="136"/>
    </row>
    <row r="79389" spans="1:2" x14ac:dyDescent="0.25">
      <c r="A79389" s="118"/>
      <c r="B79389" s="136"/>
    </row>
    <row r="79390" spans="1:2" x14ac:dyDescent="0.25">
      <c r="A79390" s="118"/>
      <c r="B79390" s="136"/>
    </row>
    <row r="79391" spans="1:2" x14ac:dyDescent="0.25">
      <c r="A79391" s="118"/>
      <c r="B79391" s="136"/>
    </row>
    <row r="79392" spans="1:2" x14ac:dyDescent="0.25">
      <c r="A79392" s="118"/>
      <c r="B79392" s="136"/>
    </row>
    <row r="79393" spans="1:2" x14ac:dyDescent="0.25">
      <c r="A79393" s="118"/>
      <c r="B79393" s="136"/>
    </row>
    <row r="79394" spans="1:2" x14ac:dyDescent="0.25">
      <c r="A79394" s="118"/>
      <c r="B79394" s="136"/>
    </row>
    <row r="79395" spans="1:2" x14ac:dyDescent="0.25">
      <c r="A79395" s="118"/>
      <c r="B79395" s="136"/>
    </row>
    <row r="79396" spans="1:2" x14ac:dyDescent="0.25">
      <c r="A79396" s="118"/>
      <c r="B79396" s="136"/>
    </row>
    <row r="79397" spans="1:2" x14ac:dyDescent="0.25">
      <c r="A79397" s="118"/>
      <c r="B79397" s="136"/>
    </row>
    <row r="79398" spans="1:2" x14ac:dyDescent="0.25">
      <c r="A79398" s="118"/>
      <c r="B79398" s="136"/>
    </row>
    <row r="79399" spans="1:2" x14ac:dyDescent="0.25">
      <c r="A79399" s="118"/>
      <c r="B79399" s="136"/>
    </row>
    <row r="79400" spans="1:2" x14ac:dyDescent="0.25">
      <c r="A79400" s="118"/>
      <c r="B79400" s="136"/>
    </row>
    <row r="79401" spans="1:2" x14ac:dyDescent="0.25">
      <c r="A79401" s="118"/>
      <c r="B79401" s="136"/>
    </row>
    <row r="79402" spans="1:2" x14ac:dyDescent="0.25">
      <c r="A79402" s="118"/>
      <c r="B79402" s="136"/>
    </row>
    <row r="79403" spans="1:2" x14ac:dyDescent="0.25">
      <c r="A79403" s="118"/>
      <c r="B79403" s="136"/>
    </row>
    <row r="79404" spans="1:2" x14ac:dyDescent="0.25">
      <c r="A79404" s="118"/>
      <c r="B79404" s="136"/>
    </row>
    <row r="79405" spans="1:2" x14ac:dyDescent="0.25">
      <c r="A79405" s="118"/>
      <c r="B79405" s="136"/>
    </row>
    <row r="79406" spans="1:2" x14ac:dyDescent="0.25">
      <c r="A79406" s="118"/>
      <c r="B79406" s="136"/>
    </row>
    <row r="79407" spans="1:2" x14ac:dyDescent="0.25">
      <c r="A79407" s="118"/>
      <c r="B79407" s="136"/>
    </row>
    <row r="79408" spans="1:2" x14ac:dyDescent="0.25">
      <c r="A79408" s="118"/>
      <c r="B79408" s="136"/>
    </row>
    <row r="79409" spans="1:2" x14ac:dyDescent="0.25">
      <c r="A79409" s="118"/>
      <c r="B79409" s="136"/>
    </row>
    <row r="79410" spans="1:2" x14ac:dyDescent="0.25">
      <c r="A79410" s="118"/>
      <c r="B79410" s="136"/>
    </row>
    <row r="79411" spans="1:2" x14ac:dyDescent="0.25">
      <c r="A79411" s="118"/>
      <c r="B79411" s="136"/>
    </row>
    <row r="79412" spans="1:2" x14ac:dyDescent="0.25">
      <c r="A79412" s="118"/>
      <c r="B79412" s="136"/>
    </row>
    <row r="79413" spans="1:2" x14ac:dyDescent="0.25">
      <c r="A79413" s="118"/>
      <c r="B79413" s="136"/>
    </row>
    <row r="79414" spans="1:2" x14ac:dyDescent="0.25">
      <c r="A79414" s="118"/>
      <c r="B79414" s="136"/>
    </row>
    <row r="79415" spans="1:2" x14ac:dyDescent="0.25">
      <c r="A79415" s="118"/>
      <c r="B79415" s="136"/>
    </row>
    <row r="79416" spans="1:2" x14ac:dyDescent="0.25">
      <c r="A79416" s="118"/>
      <c r="B79416" s="136"/>
    </row>
  </sheetData>
  <conditionalFormatting sqref="C11:C10000">
    <cfRule type="expression" dxfId="8" priority="1">
      <formula>FIND("VBComp.name",$C11)&gt;0</formula>
    </cfRule>
  </conditionalFormatting>
  <pageMargins left="0.7" right="0.7" top="0.78740157499999996" bottom="0.78740157499999996"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dimension ref="A1:AR323"/>
  <sheetViews>
    <sheetView topLeftCell="A151" zoomScale="70" zoomScaleNormal="70" workbookViewId="0">
      <selection activeCell="K183" sqref="K183"/>
    </sheetView>
  </sheetViews>
  <sheetFormatPr baseColWidth="10" defaultRowHeight="15" x14ac:dyDescent="0.25"/>
  <cols>
    <col min="1" max="1" width="16.42578125" customWidth="1"/>
    <col min="2" max="2" width="42.7109375" customWidth="1"/>
    <col min="3" max="44" width="6.28515625" customWidth="1"/>
  </cols>
  <sheetData>
    <row r="1" spans="1:44" ht="36" x14ac:dyDescent="0.25">
      <c r="A1" s="24" t="str">
        <f>MUI_Title</f>
        <v>Golf Workplan Manager</v>
      </c>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c r="AO1" s="24"/>
      <c r="AP1" s="24"/>
      <c r="AQ1" s="24"/>
      <c r="AR1" s="24"/>
    </row>
    <row r="2" spans="1:44" ht="15" customHeight="1" x14ac:dyDescent="0.25">
      <c r="A2" s="88" t="s">
        <v>467</v>
      </c>
      <c r="B2" s="88"/>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row>
    <row r="3" spans="1:44" x14ac:dyDescent="0.25">
      <c r="A3" s="45">
        <f>DBE_COUNT</f>
        <v>316</v>
      </c>
      <c r="B3" s="45"/>
      <c r="C3" s="6" t="s">
        <v>453</v>
      </c>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row>
    <row r="4" spans="1:44" x14ac:dyDescent="0.25">
      <c r="A4" s="15" t="str">
        <f>MUI_DBE_T_EX_ID</f>
        <v>ID</v>
      </c>
      <c r="B4" s="15" t="str">
        <f>MUI_DBE_T_EX_Title</f>
        <v>ExTitle</v>
      </c>
      <c r="C4" s="64">
        <v>5</v>
      </c>
      <c r="D4" s="64">
        <v>4</v>
      </c>
      <c r="E4" s="64">
        <v>3</v>
      </c>
      <c r="F4" s="64">
        <v>2</v>
      </c>
      <c r="G4" s="64">
        <v>1</v>
      </c>
      <c r="H4" s="64">
        <v>0</v>
      </c>
      <c r="I4" s="64">
        <v>-1</v>
      </c>
      <c r="J4" s="64">
        <v>-2</v>
      </c>
      <c r="K4" s="64">
        <v>-3</v>
      </c>
      <c r="L4" s="64">
        <v>-4</v>
      </c>
      <c r="M4" s="64">
        <v>-5</v>
      </c>
      <c r="N4" s="64">
        <v>-6</v>
      </c>
      <c r="O4" s="64">
        <v>-7</v>
      </c>
      <c r="P4" s="64">
        <v>-8</v>
      </c>
      <c r="Q4" s="64">
        <v>-9</v>
      </c>
      <c r="R4" s="64">
        <v>-10</v>
      </c>
      <c r="S4" s="64">
        <v>-11</v>
      </c>
      <c r="T4" s="64">
        <v>-12</v>
      </c>
      <c r="U4" s="64">
        <v>-13</v>
      </c>
      <c r="V4" s="64">
        <v>-14</v>
      </c>
      <c r="W4" s="64">
        <v>-15</v>
      </c>
      <c r="X4" s="64">
        <v>-16</v>
      </c>
      <c r="Y4" s="64">
        <v>-17</v>
      </c>
      <c r="Z4" s="64">
        <v>-18</v>
      </c>
      <c r="AA4" s="64">
        <v>-19</v>
      </c>
      <c r="AB4" s="64">
        <v>-20</v>
      </c>
      <c r="AC4" s="64">
        <v>-21</v>
      </c>
      <c r="AD4" s="64">
        <v>-22</v>
      </c>
      <c r="AE4" s="64">
        <v>-23</v>
      </c>
      <c r="AF4" s="64">
        <v>-24</v>
      </c>
      <c r="AG4" s="64">
        <v>-25</v>
      </c>
      <c r="AH4" s="64">
        <v>-26</v>
      </c>
      <c r="AI4" s="64">
        <v>-27</v>
      </c>
      <c r="AJ4" s="64">
        <v>-28</v>
      </c>
      <c r="AK4" s="64">
        <v>-29</v>
      </c>
      <c r="AL4" s="64">
        <v>-30</v>
      </c>
      <c r="AM4" s="64">
        <v>-31</v>
      </c>
      <c r="AN4" s="64">
        <v>-32</v>
      </c>
      <c r="AO4" s="64">
        <v>-33</v>
      </c>
      <c r="AP4" s="64">
        <v>-34</v>
      </c>
      <c r="AQ4" s="64">
        <v>-35</v>
      </c>
      <c r="AR4" s="64">
        <v>-36</v>
      </c>
    </row>
    <row r="5" spans="1:44" x14ac:dyDescent="0.25">
      <c r="A5" s="11">
        <f>IF(LEN(_DB_Exercises!A6)&gt;0,_DB_Exercises!A6,"")</f>
        <v>1001</v>
      </c>
      <c r="B5" s="14" t="str">
        <f>IF(LEN(_DB_Exercises!K6)&gt;0,_DB_Exercises!K6,"")</f>
        <v>TUCKER TEST  TROUBLE SHOTS</v>
      </c>
      <c r="C5" s="31">
        <f>IF(LEN(_DB_Exercises!X6)&gt;0,_DB_Exercises!X6,"")</f>
        <v>5</v>
      </c>
      <c r="D5" s="31">
        <f>IF(LEN(_DB_Exercises!Y6)&gt;0,_DB_Exercises!Y6,"")</f>
        <v>5</v>
      </c>
      <c r="E5" s="31">
        <f>IF(LEN(_DB_Exercises!Z6)&gt;0,_DB_Exercises!Z6,"")</f>
        <v>5</v>
      </c>
      <c r="F5" s="31">
        <f>IF(LEN(_DB_Exercises!AA6)&gt;0,_DB_Exercises!AA6,"")</f>
        <v>4</v>
      </c>
      <c r="G5" s="31">
        <f>IF(LEN(_DB_Exercises!AB6)&gt;0,_DB_Exercises!AB6,"")</f>
        <v>4</v>
      </c>
      <c r="H5" s="31">
        <f>IF(LEN(_DB_Exercises!AC6)&gt;0,_DB_Exercises!AC6,"")</f>
        <v>4</v>
      </c>
      <c r="I5" s="31">
        <f>IF(LEN(_DB_Exercises!AD6)&gt;0,_DB_Exercises!AD6,"")</f>
        <v>4</v>
      </c>
      <c r="J5" s="31">
        <f>IF(LEN(_DB_Exercises!AE6)&gt;0,_DB_Exercises!AE6,"")</f>
        <v>3</v>
      </c>
      <c r="K5" s="31">
        <f>IF(LEN(_DB_Exercises!AF6)&gt;0,_DB_Exercises!AF6,"")</f>
        <v>3</v>
      </c>
      <c r="L5" s="31">
        <f>IF(LEN(_DB_Exercises!AG6)&gt;0,_DB_Exercises!AG6,"")</f>
        <v>3</v>
      </c>
      <c r="M5" s="31">
        <f>IF(LEN(_DB_Exercises!AH6)&gt;0,_DB_Exercises!AH6,"")</f>
        <v>3</v>
      </c>
      <c r="N5" s="31">
        <f>IF(LEN(_DB_Exercises!AI6)&gt;0,_DB_Exercises!AI6,"")</f>
        <v>3</v>
      </c>
      <c r="O5" s="31">
        <f>IF(LEN(_DB_Exercises!AJ6)&gt;0,_DB_Exercises!AJ6,"")</f>
        <v>3</v>
      </c>
      <c r="P5" s="31">
        <f>IF(LEN(_DB_Exercises!AK6)&gt;0,_DB_Exercises!AK6,"")</f>
        <v>3</v>
      </c>
      <c r="Q5" s="31">
        <f>IF(LEN(_DB_Exercises!AL6)&gt;0,_DB_Exercises!AL6,"")</f>
        <v>3</v>
      </c>
      <c r="R5" s="31">
        <f>IF(LEN(_DB_Exercises!AM6)&gt;0,_DB_Exercises!AM6,"")</f>
        <v>2</v>
      </c>
      <c r="S5" s="31">
        <f>IF(LEN(_DB_Exercises!AN6)&gt;0,_DB_Exercises!AN6,"")</f>
        <v>2</v>
      </c>
      <c r="T5" s="31">
        <f>IF(LEN(_DB_Exercises!AO6)&gt;0,_DB_Exercises!AO6,"")</f>
        <v>2</v>
      </c>
      <c r="U5" s="31">
        <f>IF(LEN(_DB_Exercises!AP6)&gt;0,_DB_Exercises!AP6,"")</f>
        <v>2</v>
      </c>
      <c r="V5" s="31">
        <f>IF(LEN(_DB_Exercises!AQ6)&gt;0,_DB_Exercises!AQ6,"")</f>
        <v>2</v>
      </c>
      <c r="W5" s="31">
        <f>IF(LEN(_DB_Exercises!AR6)&gt;0,_DB_Exercises!AR6,"")</f>
        <v>2</v>
      </c>
      <c r="X5" s="31">
        <f>IF(LEN(_DB_Exercises!AS6)&gt;0,_DB_Exercises!AS6,"")</f>
        <v>2</v>
      </c>
      <c r="Y5" s="31">
        <f>IF(LEN(_DB_Exercises!AT6)&gt;0,_DB_Exercises!AT6,"")</f>
        <v>2</v>
      </c>
      <c r="Z5" s="31">
        <f>IF(LEN(_DB_Exercises!AU6)&gt;0,_DB_Exercises!AU6,"")</f>
        <v>1</v>
      </c>
      <c r="AA5" s="31">
        <f>IF(LEN(_DB_Exercises!AV6)&gt;0,_DB_Exercises!AV6,"")</f>
        <v>1</v>
      </c>
      <c r="AB5" s="31">
        <f>IF(LEN(_DB_Exercises!AW6)&gt;0,_DB_Exercises!AW6,"")</f>
        <v>1</v>
      </c>
      <c r="AC5" s="31">
        <f>IF(LEN(_DB_Exercises!AX6)&gt;0,_DB_Exercises!AX6,"")</f>
        <v>1</v>
      </c>
      <c r="AD5" s="31">
        <f>IF(LEN(_DB_Exercises!AY6)&gt;0,_DB_Exercises!AY6,"")</f>
        <v>1</v>
      </c>
      <c r="AE5" s="31">
        <f>IF(LEN(_DB_Exercises!AZ6)&gt;0,_DB_Exercises!AZ6,"")</f>
        <v>1</v>
      </c>
      <c r="AF5" s="31">
        <f>IF(LEN(_DB_Exercises!BA6)&gt;0,_DB_Exercises!BA6,"")</f>
        <v>1</v>
      </c>
      <c r="AG5" s="31">
        <f>IF(LEN(_DB_Exercises!BB6)&gt;0,_DB_Exercises!BB6,"")</f>
        <v>1</v>
      </c>
      <c r="AH5" s="31">
        <f>IF(LEN(_DB_Exercises!BC6)&gt;0,_DB_Exercises!BC6,"")</f>
        <v>1</v>
      </c>
      <c r="AI5" s="31">
        <f>IF(LEN(_DB_Exercises!BD6)&gt;0,_DB_Exercises!BD6,"")</f>
        <v>1</v>
      </c>
      <c r="AJ5" s="31">
        <f>IF(LEN(_DB_Exercises!BE6)&gt;0,_DB_Exercises!BE6,"")</f>
        <v>1</v>
      </c>
      <c r="AK5" s="31">
        <f>IF(LEN(_DB_Exercises!BF6)&gt;0,_DB_Exercises!BF6,"")</f>
        <v>1</v>
      </c>
      <c r="AL5" s="31">
        <f>IF(LEN(_DB_Exercises!BG6)&gt;0,_DB_Exercises!BG6,"")</f>
        <v>1</v>
      </c>
      <c r="AM5" s="31">
        <f>IF(LEN(_DB_Exercises!BH6)&gt;0,_DB_Exercises!BH6,"")</f>
        <v>1</v>
      </c>
      <c r="AN5" s="31">
        <f>IF(LEN(_DB_Exercises!BI6)&gt;0,_DB_Exercises!BI6,"")</f>
        <v>1</v>
      </c>
      <c r="AO5" s="31">
        <f>IF(LEN(_DB_Exercises!BJ6)&gt;0,_DB_Exercises!BJ6,"")</f>
        <v>1</v>
      </c>
      <c r="AP5" s="31">
        <f>IF(LEN(_DB_Exercises!BK6)&gt;0,_DB_Exercises!BK6,"")</f>
        <v>1</v>
      </c>
      <c r="AQ5" s="31">
        <f>IF(LEN(_DB_Exercises!BL6)&gt;0,_DB_Exercises!BL6,"")</f>
        <v>1</v>
      </c>
      <c r="AR5" s="31">
        <f>IF(LEN(_DB_Exercises!BM6)&gt;0,_DB_Exercises!BM6,"")</f>
        <v>1</v>
      </c>
    </row>
    <row r="6" spans="1:44" x14ac:dyDescent="0.25">
      <c r="A6" s="11">
        <f>IF(LEN(_DB_Exercises!A7)&gt;0,_DB_Exercises!A7,"")</f>
        <v>1002</v>
      </c>
      <c r="B6" s="14" t="str">
        <f>IF(LEN(_DB_Exercises!K7)&gt;0,_DB_Exercises!K7,"")</f>
        <v>TUCKER TEST  BUNKER</v>
      </c>
      <c r="C6" s="31">
        <f>IF(LEN(_DB_Exercises!X7)&gt;0,_DB_Exercises!X7,"")</f>
        <v>14</v>
      </c>
      <c r="D6" s="31">
        <f>IF(LEN(_DB_Exercises!Y7)&gt;0,_DB_Exercises!Y7,"")</f>
        <v>13</v>
      </c>
      <c r="E6" s="31">
        <f>IF(LEN(_DB_Exercises!Z7)&gt;0,_DB_Exercises!Z7,"")</f>
        <v>12</v>
      </c>
      <c r="F6" s="31">
        <f>IF(LEN(_DB_Exercises!AA7)&gt;0,_DB_Exercises!AA7,"")</f>
        <v>11</v>
      </c>
      <c r="G6" s="31">
        <f>IF(LEN(_DB_Exercises!AB7)&gt;0,_DB_Exercises!AB7,"")</f>
        <v>10</v>
      </c>
      <c r="H6" s="31">
        <f>IF(LEN(_DB_Exercises!AC7)&gt;0,_DB_Exercises!AC7,"")</f>
        <v>9</v>
      </c>
      <c r="I6" s="31">
        <f>IF(LEN(_DB_Exercises!AD7)&gt;0,_DB_Exercises!AD7,"")</f>
        <v>9</v>
      </c>
      <c r="J6" s="31">
        <f>IF(LEN(_DB_Exercises!AE7)&gt;0,_DB_Exercises!AE7,"")</f>
        <v>8</v>
      </c>
      <c r="K6" s="31">
        <f>IF(LEN(_DB_Exercises!AF7)&gt;0,_DB_Exercises!AF7,"")</f>
        <v>8</v>
      </c>
      <c r="L6" s="31">
        <f>IF(LEN(_DB_Exercises!AG7)&gt;0,_DB_Exercises!AG7,"")</f>
        <v>7</v>
      </c>
      <c r="M6" s="31">
        <f>IF(LEN(_DB_Exercises!AH7)&gt;0,_DB_Exercises!AH7,"")</f>
        <v>7</v>
      </c>
      <c r="N6" s="31">
        <f>IF(LEN(_DB_Exercises!AI7)&gt;0,_DB_Exercises!AI7,"")</f>
        <v>6</v>
      </c>
      <c r="O6" s="31">
        <f>IF(LEN(_DB_Exercises!AJ7)&gt;0,_DB_Exercises!AJ7,"")</f>
        <v>6</v>
      </c>
      <c r="P6" s="31">
        <f>IF(LEN(_DB_Exercises!AK7)&gt;0,_DB_Exercises!AK7,"")</f>
        <v>5</v>
      </c>
      <c r="Q6" s="31">
        <f>IF(LEN(_DB_Exercises!AL7)&gt;0,_DB_Exercises!AL7,"")</f>
        <v>5</v>
      </c>
      <c r="R6" s="31">
        <f>IF(LEN(_DB_Exercises!AM7)&gt;0,_DB_Exercises!AM7,"")</f>
        <v>4</v>
      </c>
      <c r="S6" s="31">
        <f>IF(LEN(_DB_Exercises!AN7)&gt;0,_DB_Exercises!AN7,"")</f>
        <v>4</v>
      </c>
      <c r="T6" s="31">
        <f>IF(LEN(_DB_Exercises!AO7)&gt;0,_DB_Exercises!AO7,"")</f>
        <v>4</v>
      </c>
      <c r="U6" s="31">
        <f>IF(LEN(_DB_Exercises!AP7)&gt;0,_DB_Exercises!AP7,"")</f>
        <v>4</v>
      </c>
      <c r="V6" s="31">
        <f>IF(LEN(_DB_Exercises!AQ7)&gt;0,_DB_Exercises!AQ7,"")</f>
        <v>4</v>
      </c>
      <c r="W6" s="31">
        <f>IF(LEN(_DB_Exercises!AR7)&gt;0,_DB_Exercises!AR7,"")</f>
        <v>4</v>
      </c>
      <c r="X6" s="31">
        <f>IF(LEN(_DB_Exercises!AS7)&gt;0,_DB_Exercises!AS7,"")</f>
        <v>3</v>
      </c>
      <c r="Y6" s="31">
        <f>IF(LEN(_DB_Exercises!AT7)&gt;0,_DB_Exercises!AT7,"")</f>
        <v>3</v>
      </c>
      <c r="Z6" s="31">
        <f>IF(LEN(_DB_Exercises!AU7)&gt;0,_DB_Exercises!AU7,"")</f>
        <v>3</v>
      </c>
      <c r="AA6" s="31">
        <f>IF(LEN(_DB_Exercises!AV7)&gt;0,_DB_Exercises!AV7,"")</f>
        <v>3</v>
      </c>
      <c r="AB6" s="31">
        <f>IF(LEN(_DB_Exercises!AW7)&gt;0,_DB_Exercises!AW7,"")</f>
        <v>3</v>
      </c>
      <c r="AC6" s="31">
        <f>IF(LEN(_DB_Exercises!AX7)&gt;0,_DB_Exercises!AX7,"")</f>
        <v>3</v>
      </c>
      <c r="AD6" s="31">
        <f>IF(LEN(_DB_Exercises!AY7)&gt;0,_DB_Exercises!AY7,"")</f>
        <v>3</v>
      </c>
      <c r="AE6" s="31">
        <f>IF(LEN(_DB_Exercises!AZ7)&gt;0,_DB_Exercises!AZ7,"")</f>
        <v>3</v>
      </c>
      <c r="AF6" s="31">
        <f>IF(LEN(_DB_Exercises!BA7)&gt;0,_DB_Exercises!BA7,"")</f>
        <v>2</v>
      </c>
      <c r="AG6" s="31">
        <f>IF(LEN(_DB_Exercises!BB7)&gt;0,_DB_Exercises!BB7,"")</f>
        <v>2</v>
      </c>
      <c r="AH6" s="31">
        <f>IF(LEN(_DB_Exercises!BC7)&gt;0,_DB_Exercises!BC7,"")</f>
        <v>2</v>
      </c>
      <c r="AI6" s="31">
        <f>IF(LEN(_DB_Exercises!BD7)&gt;0,_DB_Exercises!BD7,"")</f>
        <v>2</v>
      </c>
      <c r="AJ6" s="31">
        <f>IF(LEN(_DB_Exercises!BE7)&gt;0,_DB_Exercises!BE7,"")</f>
        <v>2</v>
      </c>
      <c r="AK6" s="31">
        <f>IF(LEN(_DB_Exercises!BF7)&gt;0,_DB_Exercises!BF7,"")</f>
        <v>2</v>
      </c>
      <c r="AL6" s="31">
        <f>IF(LEN(_DB_Exercises!BG7)&gt;0,_DB_Exercises!BG7,"")</f>
        <v>2</v>
      </c>
      <c r="AM6" s="31">
        <f>IF(LEN(_DB_Exercises!BH7)&gt;0,_DB_Exercises!BH7,"")</f>
        <v>2</v>
      </c>
      <c r="AN6" s="31">
        <f>IF(LEN(_DB_Exercises!BI7)&gt;0,_DB_Exercises!BI7,"")</f>
        <v>1</v>
      </c>
      <c r="AO6" s="31">
        <f>IF(LEN(_DB_Exercises!BJ7)&gt;0,_DB_Exercises!BJ7,"")</f>
        <v>1</v>
      </c>
      <c r="AP6" s="31">
        <f>IF(LEN(_DB_Exercises!BK7)&gt;0,_DB_Exercises!BK7,"")</f>
        <v>1</v>
      </c>
      <c r="AQ6" s="31">
        <f>IF(LEN(_DB_Exercises!BL7)&gt;0,_DB_Exercises!BL7,"")</f>
        <v>1</v>
      </c>
      <c r="AR6" s="31">
        <f>IF(LEN(_DB_Exercises!BM7)&gt;0,_DB_Exercises!BM7,"")</f>
        <v>1</v>
      </c>
    </row>
    <row r="7" spans="1:44" x14ac:dyDescent="0.25">
      <c r="A7" s="11">
        <f>IF(LEN(_DB_Exercises!A8)&gt;0,_DB_Exercises!A8,"")</f>
        <v>1003</v>
      </c>
      <c r="B7" s="14" t="str">
        <f>IF(LEN(_DB_Exercises!K8)&gt;0,_DB_Exercises!K8,"")</f>
        <v>TUCKER TEST  CHIPPING</v>
      </c>
      <c r="C7" s="31">
        <f>IF(LEN(_DB_Exercises!X8)&gt;0,_DB_Exercises!X8,"")</f>
        <v>10</v>
      </c>
      <c r="D7" s="31">
        <f>IF(LEN(_DB_Exercises!Y8)&gt;0,_DB_Exercises!Y8,"")</f>
        <v>10</v>
      </c>
      <c r="E7" s="31">
        <f>IF(LEN(_DB_Exercises!Z8)&gt;0,_DB_Exercises!Z8,"")</f>
        <v>9</v>
      </c>
      <c r="F7" s="31">
        <f>IF(LEN(_DB_Exercises!AA8)&gt;0,_DB_Exercises!AA8,"")</f>
        <v>9</v>
      </c>
      <c r="G7" s="31">
        <f>IF(LEN(_DB_Exercises!AB8)&gt;0,_DB_Exercises!AB8,"")</f>
        <v>9</v>
      </c>
      <c r="H7" s="31">
        <f>IF(LEN(_DB_Exercises!AC8)&gt;0,_DB_Exercises!AC8,"")</f>
        <v>8</v>
      </c>
      <c r="I7" s="31">
        <f>IF(LEN(_DB_Exercises!AD8)&gt;0,_DB_Exercises!AD8,"")</f>
        <v>8</v>
      </c>
      <c r="J7" s="31">
        <f>IF(LEN(_DB_Exercises!AE8)&gt;0,_DB_Exercises!AE8,"")</f>
        <v>8</v>
      </c>
      <c r="K7" s="31">
        <f>IF(LEN(_DB_Exercises!AF8)&gt;0,_DB_Exercises!AF8,"")</f>
        <v>7</v>
      </c>
      <c r="L7" s="31">
        <f>IF(LEN(_DB_Exercises!AG8)&gt;0,_DB_Exercises!AG8,"")</f>
        <v>7</v>
      </c>
      <c r="M7" s="31">
        <f>IF(LEN(_DB_Exercises!AH8)&gt;0,_DB_Exercises!AH8,"")</f>
        <v>7</v>
      </c>
      <c r="N7" s="31">
        <f>IF(LEN(_DB_Exercises!AI8)&gt;0,_DB_Exercises!AI8,"")</f>
        <v>7</v>
      </c>
      <c r="O7" s="31">
        <f>IF(LEN(_DB_Exercises!AJ8)&gt;0,_DB_Exercises!AJ8,"")</f>
        <v>7</v>
      </c>
      <c r="P7" s="31">
        <f>IF(LEN(_DB_Exercises!AK8)&gt;0,_DB_Exercises!AK8,"")</f>
        <v>6</v>
      </c>
      <c r="Q7" s="31">
        <f>IF(LEN(_DB_Exercises!AL8)&gt;0,_DB_Exercises!AL8,"")</f>
        <v>6</v>
      </c>
      <c r="R7" s="31">
        <f>IF(LEN(_DB_Exercises!AM8)&gt;0,_DB_Exercises!AM8,"")</f>
        <v>6</v>
      </c>
      <c r="S7" s="31">
        <f>IF(LEN(_DB_Exercises!AN8)&gt;0,_DB_Exercises!AN8,"")</f>
        <v>6</v>
      </c>
      <c r="T7" s="31">
        <f>IF(LEN(_DB_Exercises!AO8)&gt;0,_DB_Exercises!AO8,"")</f>
        <v>5</v>
      </c>
      <c r="U7" s="31">
        <f>IF(LEN(_DB_Exercises!AP8)&gt;0,_DB_Exercises!AP8,"")</f>
        <v>5</v>
      </c>
      <c r="V7" s="31">
        <f>IF(LEN(_DB_Exercises!AQ8)&gt;0,_DB_Exercises!AQ8,"")</f>
        <v>5</v>
      </c>
      <c r="W7" s="31">
        <f>IF(LEN(_DB_Exercises!AR8)&gt;0,_DB_Exercises!AR8,"")</f>
        <v>5</v>
      </c>
      <c r="X7" s="31">
        <f>IF(LEN(_DB_Exercises!AS8)&gt;0,_DB_Exercises!AS8,"")</f>
        <v>4</v>
      </c>
      <c r="Y7" s="31">
        <f>IF(LEN(_DB_Exercises!AT8)&gt;0,_DB_Exercises!AT8,"")</f>
        <v>4</v>
      </c>
      <c r="Z7" s="31">
        <f>IF(LEN(_DB_Exercises!AU8)&gt;0,_DB_Exercises!AU8,"")</f>
        <v>4</v>
      </c>
      <c r="AA7" s="31">
        <f>IF(LEN(_DB_Exercises!AV8)&gt;0,_DB_Exercises!AV8,"")</f>
        <v>4</v>
      </c>
      <c r="AB7" s="31">
        <f>IF(LEN(_DB_Exercises!AW8)&gt;0,_DB_Exercises!AW8,"")</f>
        <v>4</v>
      </c>
      <c r="AC7" s="31">
        <f>IF(LEN(_DB_Exercises!AX8)&gt;0,_DB_Exercises!AX8,"")</f>
        <v>3</v>
      </c>
      <c r="AD7" s="31">
        <f>IF(LEN(_DB_Exercises!AY8)&gt;0,_DB_Exercises!AY8,"")</f>
        <v>3</v>
      </c>
      <c r="AE7" s="31">
        <f>IF(LEN(_DB_Exercises!AZ8)&gt;0,_DB_Exercises!AZ8,"")</f>
        <v>3</v>
      </c>
      <c r="AF7" s="31">
        <f>IF(LEN(_DB_Exercises!BA8)&gt;0,_DB_Exercises!BA8,"")</f>
        <v>3</v>
      </c>
      <c r="AG7" s="31">
        <f>IF(LEN(_DB_Exercises!BB8)&gt;0,_DB_Exercises!BB8,"")</f>
        <v>3</v>
      </c>
      <c r="AH7" s="31">
        <f>IF(LEN(_DB_Exercises!BC8)&gt;0,_DB_Exercises!BC8,"")</f>
        <v>3</v>
      </c>
      <c r="AI7" s="31">
        <f>IF(LEN(_DB_Exercises!BD8)&gt;0,_DB_Exercises!BD8,"")</f>
        <v>3</v>
      </c>
      <c r="AJ7" s="31">
        <f>IF(LEN(_DB_Exercises!BE8)&gt;0,_DB_Exercises!BE8,"")</f>
        <v>3</v>
      </c>
      <c r="AK7" s="31">
        <f>IF(LEN(_DB_Exercises!BF8)&gt;0,_DB_Exercises!BF8,"")</f>
        <v>3</v>
      </c>
      <c r="AL7" s="31">
        <f>IF(LEN(_DB_Exercises!BG8)&gt;0,_DB_Exercises!BG8,"")</f>
        <v>2</v>
      </c>
      <c r="AM7" s="31">
        <f>IF(LEN(_DB_Exercises!BH8)&gt;0,_DB_Exercises!BH8,"")</f>
        <v>2</v>
      </c>
      <c r="AN7" s="31">
        <f>IF(LEN(_DB_Exercises!BI8)&gt;0,_DB_Exercises!BI8,"")</f>
        <v>2</v>
      </c>
      <c r="AO7" s="31">
        <f>IF(LEN(_DB_Exercises!BJ8)&gt;0,_DB_Exercises!BJ8,"")</f>
        <v>2</v>
      </c>
      <c r="AP7" s="31">
        <f>IF(LEN(_DB_Exercises!BK8)&gt;0,_DB_Exercises!BK8,"")</f>
        <v>2</v>
      </c>
      <c r="AQ7" s="31">
        <f>IF(LEN(_DB_Exercises!BL8)&gt;0,_DB_Exercises!BL8,"")</f>
        <v>2</v>
      </c>
      <c r="AR7" s="31">
        <f>IF(LEN(_DB_Exercises!BM8)&gt;0,_DB_Exercises!BM8,"")</f>
        <v>2</v>
      </c>
    </row>
    <row r="8" spans="1:44" x14ac:dyDescent="0.25">
      <c r="A8" s="11">
        <f>IF(LEN(_DB_Exercises!A9)&gt;0,_DB_Exercises!A9,"")</f>
        <v>1004</v>
      </c>
      <c r="B8" s="14" t="str">
        <f>IF(LEN(_DB_Exercises!K9)&gt;0,_DB_Exercises!K9,"")</f>
        <v>TUCKER TEST  Pitch   SHORT DISTANCE</v>
      </c>
      <c r="C8" s="31">
        <f>IF(LEN(_DB_Exercises!X9)&gt;0,_DB_Exercises!X9,"")</f>
        <v>10</v>
      </c>
      <c r="D8" s="31">
        <f>IF(LEN(_DB_Exercises!Y9)&gt;0,_DB_Exercises!Y9,"")</f>
        <v>9</v>
      </c>
      <c r="E8" s="31">
        <f>IF(LEN(_DB_Exercises!Z9)&gt;0,_DB_Exercises!Z9,"")</f>
        <v>9</v>
      </c>
      <c r="F8" s="31">
        <f>IF(LEN(_DB_Exercises!AA9)&gt;0,_DB_Exercises!AA9,"")</f>
        <v>8</v>
      </c>
      <c r="G8" s="31">
        <f>IF(LEN(_DB_Exercises!AB9)&gt;0,_DB_Exercises!AB9,"")</f>
        <v>8</v>
      </c>
      <c r="H8" s="31">
        <f>IF(LEN(_DB_Exercises!AC9)&gt;0,_DB_Exercises!AC9,"")</f>
        <v>7</v>
      </c>
      <c r="I8" s="31">
        <f>IF(LEN(_DB_Exercises!AD9)&gt;0,_DB_Exercises!AD9,"")</f>
        <v>7</v>
      </c>
      <c r="J8" s="31">
        <f>IF(LEN(_DB_Exercises!AE9)&gt;0,_DB_Exercises!AE9,"")</f>
        <v>6</v>
      </c>
      <c r="K8" s="31">
        <f>IF(LEN(_DB_Exercises!AF9)&gt;0,_DB_Exercises!AF9,"")</f>
        <v>6</v>
      </c>
      <c r="L8" s="31">
        <f>IF(LEN(_DB_Exercises!AG9)&gt;0,_DB_Exercises!AG9,"")</f>
        <v>6</v>
      </c>
      <c r="M8" s="31">
        <f>IF(LEN(_DB_Exercises!AH9)&gt;0,_DB_Exercises!AH9,"")</f>
        <v>5</v>
      </c>
      <c r="N8" s="31">
        <f>IF(LEN(_DB_Exercises!AI9)&gt;0,_DB_Exercises!AI9,"")</f>
        <v>5</v>
      </c>
      <c r="O8" s="31">
        <f>IF(LEN(_DB_Exercises!AJ9)&gt;0,_DB_Exercises!AJ9,"")</f>
        <v>5</v>
      </c>
      <c r="P8" s="31">
        <f>IF(LEN(_DB_Exercises!AK9)&gt;0,_DB_Exercises!AK9,"")</f>
        <v>5</v>
      </c>
      <c r="Q8" s="31">
        <f>IF(LEN(_DB_Exercises!AL9)&gt;0,_DB_Exercises!AL9,"")</f>
        <v>4</v>
      </c>
      <c r="R8" s="31">
        <f>IF(LEN(_DB_Exercises!AM9)&gt;0,_DB_Exercises!AM9,"")</f>
        <v>4</v>
      </c>
      <c r="S8" s="31">
        <f>IF(LEN(_DB_Exercises!AN9)&gt;0,_DB_Exercises!AN9,"")</f>
        <v>4</v>
      </c>
      <c r="T8" s="31">
        <f>IF(LEN(_DB_Exercises!AO9)&gt;0,_DB_Exercises!AO9,"")</f>
        <v>4</v>
      </c>
      <c r="U8" s="31">
        <f>IF(LEN(_DB_Exercises!AP9)&gt;0,_DB_Exercises!AP9,"")</f>
        <v>4</v>
      </c>
      <c r="V8" s="31">
        <f>IF(LEN(_DB_Exercises!AQ9)&gt;0,_DB_Exercises!AQ9,"")</f>
        <v>4</v>
      </c>
      <c r="W8" s="31">
        <f>IF(LEN(_DB_Exercises!AR9)&gt;0,_DB_Exercises!AR9,"")</f>
        <v>3</v>
      </c>
      <c r="X8" s="31">
        <f>IF(LEN(_DB_Exercises!AS9)&gt;0,_DB_Exercises!AS9,"")</f>
        <v>3</v>
      </c>
      <c r="Y8" s="31">
        <f>IF(LEN(_DB_Exercises!AT9)&gt;0,_DB_Exercises!AT9,"")</f>
        <v>3</v>
      </c>
      <c r="Z8" s="31">
        <f>IF(LEN(_DB_Exercises!AU9)&gt;0,_DB_Exercises!AU9,"")</f>
        <v>3</v>
      </c>
      <c r="AA8" s="31">
        <f>IF(LEN(_DB_Exercises!AV9)&gt;0,_DB_Exercises!AV9,"")</f>
        <v>3</v>
      </c>
      <c r="AB8" s="31">
        <f>IF(LEN(_DB_Exercises!AW9)&gt;0,_DB_Exercises!AW9,"")</f>
        <v>3</v>
      </c>
      <c r="AC8" s="31">
        <f>IF(LEN(_DB_Exercises!AX9)&gt;0,_DB_Exercises!AX9,"")</f>
        <v>3</v>
      </c>
      <c r="AD8" s="31">
        <f>IF(LEN(_DB_Exercises!AY9)&gt;0,_DB_Exercises!AY9,"")</f>
        <v>2</v>
      </c>
      <c r="AE8" s="31">
        <f>IF(LEN(_DB_Exercises!AZ9)&gt;0,_DB_Exercises!AZ9,"")</f>
        <v>2</v>
      </c>
      <c r="AF8" s="31">
        <f>IF(LEN(_DB_Exercises!BA9)&gt;0,_DB_Exercises!BA9,"")</f>
        <v>2</v>
      </c>
      <c r="AG8" s="31">
        <f>IF(LEN(_DB_Exercises!BB9)&gt;0,_DB_Exercises!BB9,"")</f>
        <v>2</v>
      </c>
      <c r="AH8" s="31">
        <f>IF(LEN(_DB_Exercises!BC9)&gt;0,_DB_Exercises!BC9,"")</f>
        <v>2</v>
      </c>
      <c r="AI8" s="31">
        <f>IF(LEN(_DB_Exercises!BD9)&gt;0,_DB_Exercises!BD9,"")</f>
        <v>2</v>
      </c>
      <c r="AJ8" s="31">
        <f>IF(LEN(_DB_Exercises!BE9)&gt;0,_DB_Exercises!BE9,"")</f>
        <v>2</v>
      </c>
      <c r="AK8" s="31">
        <f>IF(LEN(_DB_Exercises!BF9)&gt;0,_DB_Exercises!BF9,"")</f>
        <v>2</v>
      </c>
      <c r="AL8" s="31">
        <f>IF(LEN(_DB_Exercises!BG9)&gt;0,_DB_Exercises!BG9,"")</f>
        <v>1</v>
      </c>
      <c r="AM8" s="31">
        <f>IF(LEN(_DB_Exercises!BH9)&gt;0,_DB_Exercises!BH9,"")</f>
        <v>1</v>
      </c>
      <c r="AN8" s="31">
        <f>IF(LEN(_DB_Exercises!BI9)&gt;0,_DB_Exercises!BI9,"")</f>
        <v>1</v>
      </c>
      <c r="AO8" s="31">
        <f>IF(LEN(_DB_Exercises!BJ9)&gt;0,_DB_Exercises!BJ9,"")</f>
        <v>1</v>
      </c>
      <c r="AP8" s="31">
        <f>IF(LEN(_DB_Exercises!BK9)&gt;0,_DB_Exercises!BK9,"")</f>
        <v>1</v>
      </c>
      <c r="AQ8" s="31">
        <f>IF(LEN(_DB_Exercises!BL9)&gt;0,_DB_Exercises!BL9,"")</f>
        <v>1</v>
      </c>
      <c r="AR8" s="31">
        <f>IF(LEN(_DB_Exercises!BM9)&gt;0,_DB_Exercises!BM9,"")</f>
        <v>1</v>
      </c>
    </row>
    <row r="9" spans="1:44" x14ac:dyDescent="0.25">
      <c r="A9" s="11">
        <f>IF(LEN(_DB_Exercises!A10)&gt;0,_DB_Exercises!A10,"")</f>
        <v>1005</v>
      </c>
      <c r="B9" s="14" t="str">
        <f>IF(LEN(_DB_Exercises!K10)&gt;0,_DB_Exercises!K10,"")</f>
        <v>TUCKER TEST  Pitch   LONG DISTANCE</v>
      </c>
      <c r="C9" s="31">
        <f>IF(LEN(_DB_Exercises!X10)&gt;0,_DB_Exercises!X10,"")</f>
        <v>19</v>
      </c>
      <c r="D9" s="31">
        <f>IF(LEN(_DB_Exercises!Y10)&gt;0,_DB_Exercises!Y10,"")</f>
        <v>18</v>
      </c>
      <c r="E9" s="31">
        <f>IF(LEN(_DB_Exercises!Z10)&gt;0,_DB_Exercises!Z10,"")</f>
        <v>16</v>
      </c>
      <c r="F9" s="31">
        <f>IF(LEN(_DB_Exercises!AA10)&gt;0,_DB_Exercises!AA10,"")</f>
        <v>15</v>
      </c>
      <c r="G9" s="31">
        <f>IF(LEN(_DB_Exercises!AB10)&gt;0,_DB_Exercises!AB10,"")</f>
        <v>14</v>
      </c>
      <c r="H9" s="31">
        <f>IF(LEN(_DB_Exercises!AC10)&gt;0,_DB_Exercises!AC10,"")</f>
        <v>13</v>
      </c>
      <c r="I9" s="31">
        <f>IF(LEN(_DB_Exercises!AD10)&gt;0,_DB_Exercises!AD10,"")</f>
        <v>12</v>
      </c>
      <c r="J9" s="31">
        <f>IF(LEN(_DB_Exercises!AE10)&gt;0,_DB_Exercises!AE10,"")</f>
        <v>11</v>
      </c>
      <c r="K9" s="31">
        <f>IF(LEN(_DB_Exercises!AF10)&gt;0,_DB_Exercises!AF10,"")</f>
        <v>10</v>
      </c>
      <c r="L9" s="31">
        <f>IF(LEN(_DB_Exercises!AG10)&gt;0,_DB_Exercises!AG10,"")</f>
        <v>9</v>
      </c>
      <c r="M9" s="31">
        <f>IF(LEN(_DB_Exercises!AH10)&gt;0,_DB_Exercises!AH10,"")</f>
        <v>9</v>
      </c>
      <c r="N9" s="31">
        <f>IF(LEN(_DB_Exercises!AI10)&gt;0,_DB_Exercises!AI10,"")</f>
        <v>8</v>
      </c>
      <c r="O9" s="31">
        <f>IF(LEN(_DB_Exercises!AJ10)&gt;0,_DB_Exercises!AJ10,"")</f>
        <v>8</v>
      </c>
      <c r="P9" s="31">
        <f>IF(LEN(_DB_Exercises!AK10)&gt;0,_DB_Exercises!AK10,"")</f>
        <v>7</v>
      </c>
      <c r="Q9" s="31">
        <f>IF(LEN(_DB_Exercises!AL10)&gt;0,_DB_Exercises!AL10,"")</f>
        <v>7</v>
      </c>
      <c r="R9" s="31">
        <f>IF(LEN(_DB_Exercises!AM10)&gt;0,_DB_Exercises!AM10,"")</f>
        <v>6</v>
      </c>
      <c r="S9" s="31">
        <f>IF(LEN(_DB_Exercises!AN10)&gt;0,_DB_Exercises!AN10,"")</f>
        <v>6</v>
      </c>
      <c r="T9" s="31">
        <f>IF(LEN(_DB_Exercises!AO10)&gt;0,_DB_Exercises!AO10,"")</f>
        <v>5</v>
      </c>
      <c r="U9" s="31">
        <f>IF(LEN(_DB_Exercises!AP10)&gt;0,_DB_Exercises!AP10,"")</f>
        <v>5</v>
      </c>
      <c r="V9" s="31">
        <f>IF(LEN(_DB_Exercises!AQ10)&gt;0,_DB_Exercises!AQ10,"")</f>
        <v>5</v>
      </c>
      <c r="W9" s="31">
        <f>IF(LEN(_DB_Exercises!AR10)&gt;0,_DB_Exercises!AR10,"")</f>
        <v>4</v>
      </c>
      <c r="X9" s="31">
        <f>IF(LEN(_DB_Exercises!AS10)&gt;0,_DB_Exercises!AS10,"")</f>
        <v>4</v>
      </c>
      <c r="Y9" s="31">
        <f>IF(LEN(_DB_Exercises!AT10)&gt;0,_DB_Exercises!AT10,"")</f>
        <v>4</v>
      </c>
      <c r="Z9" s="31">
        <f>IF(LEN(_DB_Exercises!AU10)&gt;0,_DB_Exercises!AU10,"")</f>
        <v>2</v>
      </c>
      <c r="AA9" s="31">
        <f>IF(LEN(_DB_Exercises!AV10)&gt;0,_DB_Exercises!AV10,"")</f>
        <v>2</v>
      </c>
      <c r="AB9" s="31">
        <f>IF(LEN(_DB_Exercises!AW10)&gt;0,_DB_Exercises!AW10,"")</f>
        <v>2</v>
      </c>
      <c r="AC9" s="31">
        <f>IF(LEN(_DB_Exercises!AX10)&gt;0,_DB_Exercises!AX10,"")</f>
        <v>2</v>
      </c>
      <c r="AD9" s="31">
        <f>IF(LEN(_DB_Exercises!AY10)&gt;0,_DB_Exercises!AY10,"")</f>
        <v>2</v>
      </c>
      <c r="AE9" s="31">
        <f>IF(LEN(_DB_Exercises!AZ10)&gt;0,_DB_Exercises!AZ10,"")</f>
        <v>2</v>
      </c>
      <c r="AF9" s="31">
        <f>IF(LEN(_DB_Exercises!BA10)&gt;0,_DB_Exercises!BA10,"")</f>
        <v>2</v>
      </c>
      <c r="AG9" s="31">
        <f>IF(LEN(_DB_Exercises!BB10)&gt;0,_DB_Exercises!BB10,"")</f>
        <v>2</v>
      </c>
      <c r="AH9" s="31">
        <f>IF(LEN(_DB_Exercises!BC10)&gt;0,_DB_Exercises!BC10,"")</f>
        <v>2</v>
      </c>
      <c r="AI9" s="31">
        <f>IF(LEN(_DB_Exercises!BD10)&gt;0,_DB_Exercises!BD10,"")</f>
        <v>2</v>
      </c>
      <c r="AJ9" s="31">
        <f>IF(LEN(_DB_Exercises!BE10)&gt;0,_DB_Exercises!BE10,"")</f>
        <v>2</v>
      </c>
      <c r="AK9" s="31">
        <f>IF(LEN(_DB_Exercises!BF10)&gt;0,_DB_Exercises!BF10,"")</f>
        <v>2</v>
      </c>
      <c r="AL9" s="31">
        <f>IF(LEN(_DB_Exercises!BG10)&gt;0,_DB_Exercises!BG10,"")</f>
        <v>2</v>
      </c>
      <c r="AM9" s="31">
        <f>IF(LEN(_DB_Exercises!BH10)&gt;0,_DB_Exercises!BH10,"")</f>
        <v>2</v>
      </c>
      <c r="AN9" s="31">
        <f>IF(LEN(_DB_Exercises!BI10)&gt;0,_DB_Exercises!BI10,"")</f>
        <v>1</v>
      </c>
      <c r="AO9" s="31">
        <f>IF(LEN(_DB_Exercises!BJ10)&gt;0,_DB_Exercises!BJ10,"")</f>
        <v>1</v>
      </c>
      <c r="AP9" s="31">
        <f>IF(LEN(_DB_Exercises!BK10)&gt;0,_DB_Exercises!BK10,"")</f>
        <v>1</v>
      </c>
      <c r="AQ9" s="31">
        <f>IF(LEN(_DB_Exercises!BL10)&gt;0,_DB_Exercises!BL10,"")</f>
        <v>1</v>
      </c>
      <c r="AR9" s="31">
        <f>IF(LEN(_DB_Exercises!BM10)&gt;0,_DB_Exercises!BM10,"")</f>
        <v>1</v>
      </c>
    </row>
    <row r="10" spans="1:44" x14ac:dyDescent="0.25">
      <c r="A10" s="11">
        <f>IF(LEN(_DB_Exercises!A11)&gt;0,_DB_Exercises!A11,"")</f>
        <v>1006</v>
      </c>
      <c r="B10" s="14" t="str">
        <f>IF(LEN(_DB_Exercises!K11)&gt;0,_DB_Exercises!K11,"")</f>
        <v>TUCKER TEST  Putting  Short Distance</v>
      </c>
      <c r="C10" s="31">
        <f>IF(LEN(_DB_Exercises!X11)&gt;0,_DB_Exercises!X11,"")</f>
        <v>18</v>
      </c>
      <c r="D10" s="31">
        <f>IF(LEN(_DB_Exercises!Y11)&gt;0,_DB_Exercises!Y11,"")</f>
        <v>17</v>
      </c>
      <c r="E10" s="31">
        <f>IF(LEN(_DB_Exercises!Z11)&gt;0,_DB_Exercises!Z11,"")</f>
        <v>16</v>
      </c>
      <c r="F10" s="31">
        <f>IF(LEN(_DB_Exercises!AA11)&gt;0,_DB_Exercises!AA11,"")</f>
        <v>16</v>
      </c>
      <c r="G10" s="31">
        <f>IF(LEN(_DB_Exercises!AB11)&gt;0,_DB_Exercises!AB11,"")</f>
        <v>16</v>
      </c>
      <c r="H10" s="31">
        <f>IF(LEN(_DB_Exercises!AC11)&gt;0,_DB_Exercises!AC11,"")</f>
        <v>15</v>
      </c>
      <c r="I10" s="31">
        <f>IF(LEN(_DB_Exercises!AD11)&gt;0,_DB_Exercises!AD11,"")</f>
        <v>14</v>
      </c>
      <c r="J10" s="31">
        <f>IF(LEN(_DB_Exercises!AE11)&gt;0,_DB_Exercises!AE11,"")</f>
        <v>14</v>
      </c>
      <c r="K10" s="31">
        <f>IF(LEN(_DB_Exercises!AF11)&gt;0,_DB_Exercises!AF11,"")</f>
        <v>14</v>
      </c>
      <c r="L10" s="31">
        <f>IF(LEN(_DB_Exercises!AG11)&gt;0,_DB_Exercises!AG11,"")</f>
        <v>13</v>
      </c>
      <c r="M10" s="31">
        <f>IF(LEN(_DB_Exercises!AH11)&gt;0,_DB_Exercises!AH11,"")</f>
        <v>13</v>
      </c>
      <c r="N10" s="31">
        <f>IF(LEN(_DB_Exercises!AI11)&gt;0,_DB_Exercises!AI11,"")</f>
        <v>12</v>
      </c>
      <c r="O10" s="31">
        <f>IF(LEN(_DB_Exercises!AJ11)&gt;0,_DB_Exercises!AJ11,"")</f>
        <v>12</v>
      </c>
      <c r="P10" s="31">
        <f>IF(LEN(_DB_Exercises!AK11)&gt;0,_DB_Exercises!AK11,"")</f>
        <v>12</v>
      </c>
      <c r="Q10" s="31">
        <f>IF(LEN(_DB_Exercises!AL11)&gt;0,_DB_Exercises!AL11,"")</f>
        <v>12</v>
      </c>
      <c r="R10" s="31">
        <f>IF(LEN(_DB_Exercises!AM11)&gt;0,_DB_Exercises!AM11,"")</f>
        <v>11</v>
      </c>
      <c r="S10" s="31">
        <f>IF(LEN(_DB_Exercises!AN11)&gt;0,_DB_Exercises!AN11,"")</f>
        <v>11</v>
      </c>
      <c r="T10" s="31">
        <f>IF(LEN(_DB_Exercises!AO11)&gt;0,_DB_Exercises!AO11,"")</f>
        <v>11</v>
      </c>
      <c r="U10" s="31">
        <f>IF(LEN(_DB_Exercises!AP11)&gt;0,_DB_Exercises!AP11,"")</f>
        <v>11</v>
      </c>
      <c r="V10" s="31">
        <f>IF(LEN(_DB_Exercises!AQ11)&gt;0,_DB_Exercises!AQ11,"")</f>
        <v>10</v>
      </c>
      <c r="W10" s="31">
        <f>IF(LEN(_DB_Exercises!AR11)&gt;0,_DB_Exercises!AR11,"")</f>
        <v>10</v>
      </c>
      <c r="X10" s="31">
        <f>IF(LEN(_DB_Exercises!AS11)&gt;0,_DB_Exercises!AS11,"")</f>
        <v>10</v>
      </c>
      <c r="Y10" s="31">
        <f>IF(LEN(_DB_Exercises!AT11)&gt;0,_DB_Exercises!AT11,"")</f>
        <v>10</v>
      </c>
      <c r="Z10" s="31">
        <f>IF(LEN(_DB_Exercises!AU11)&gt;0,_DB_Exercises!AU11,"")</f>
        <v>9</v>
      </c>
      <c r="AA10" s="31">
        <f>IF(LEN(_DB_Exercises!AV11)&gt;0,_DB_Exercises!AV11,"")</f>
        <v>9</v>
      </c>
      <c r="AB10" s="31">
        <f>IF(LEN(_DB_Exercises!AW11)&gt;0,_DB_Exercises!AW11,"")</f>
        <v>9</v>
      </c>
      <c r="AC10" s="31">
        <f>IF(LEN(_DB_Exercises!AX11)&gt;0,_DB_Exercises!AX11,"")</f>
        <v>9</v>
      </c>
      <c r="AD10" s="31">
        <f>IF(LEN(_DB_Exercises!AY11)&gt;0,_DB_Exercises!AY11,"")</f>
        <v>9</v>
      </c>
      <c r="AE10" s="31">
        <f>IF(LEN(_DB_Exercises!AZ11)&gt;0,_DB_Exercises!AZ11,"")</f>
        <v>9</v>
      </c>
      <c r="AF10" s="31">
        <f>IF(LEN(_DB_Exercises!BA11)&gt;0,_DB_Exercises!BA11,"")</f>
        <v>9</v>
      </c>
      <c r="AG10" s="31">
        <f>IF(LEN(_DB_Exercises!BB11)&gt;0,_DB_Exercises!BB11,"")</f>
        <v>9</v>
      </c>
      <c r="AH10" s="31">
        <f>IF(LEN(_DB_Exercises!BC11)&gt;0,_DB_Exercises!BC11,"")</f>
        <v>9</v>
      </c>
      <c r="AI10" s="31">
        <f>IF(LEN(_DB_Exercises!BD11)&gt;0,_DB_Exercises!BD11,"")</f>
        <v>8</v>
      </c>
      <c r="AJ10" s="31">
        <f>IF(LEN(_DB_Exercises!BE11)&gt;0,_DB_Exercises!BE11,"")</f>
        <v>8</v>
      </c>
      <c r="AK10" s="31">
        <f>IF(LEN(_DB_Exercises!BF11)&gt;0,_DB_Exercises!BF11,"")</f>
        <v>8</v>
      </c>
      <c r="AL10" s="31">
        <f>IF(LEN(_DB_Exercises!BG11)&gt;0,_DB_Exercises!BG11,"")</f>
        <v>8</v>
      </c>
      <c r="AM10" s="31">
        <f>IF(LEN(_DB_Exercises!BH11)&gt;0,_DB_Exercises!BH11,"")</f>
        <v>7</v>
      </c>
      <c r="AN10" s="31">
        <f>IF(LEN(_DB_Exercises!BI11)&gt;0,_DB_Exercises!BI11,"")</f>
        <v>7</v>
      </c>
      <c r="AO10" s="31">
        <f>IF(LEN(_DB_Exercises!BJ11)&gt;0,_DB_Exercises!BJ11,"")</f>
        <v>7</v>
      </c>
      <c r="AP10" s="31">
        <f>IF(LEN(_DB_Exercises!BK11)&gt;0,_DB_Exercises!BK11,"")</f>
        <v>6</v>
      </c>
      <c r="AQ10" s="31">
        <f>IF(LEN(_DB_Exercises!BL11)&gt;0,_DB_Exercises!BL11,"")</f>
        <v>6</v>
      </c>
      <c r="AR10" s="31">
        <f>IF(LEN(_DB_Exercises!BM11)&gt;0,_DB_Exercises!BM11,"")</f>
        <v>6</v>
      </c>
    </row>
    <row r="11" spans="1:44" x14ac:dyDescent="0.25">
      <c r="A11" s="11">
        <f>IF(LEN(_DB_Exercises!A12)&gt;0,_DB_Exercises!A12,"")</f>
        <v>1007</v>
      </c>
      <c r="B11" s="14" t="str">
        <f>IF(LEN(_DB_Exercises!K12)&gt;0,_DB_Exercises!K12,"")</f>
        <v>TUCKER TEST  Putting  LONG Distance</v>
      </c>
      <c r="C11" s="31">
        <f>IF(LEN(_DB_Exercises!X12)&gt;0,_DB_Exercises!X12,"")</f>
        <v>14</v>
      </c>
      <c r="D11" s="31">
        <f>IF(LEN(_DB_Exercises!Y12)&gt;0,_DB_Exercises!Y12,"")</f>
        <v>13</v>
      </c>
      <c r="E11" s="31">
        <f>IF(LEN(_DB_Exercises!Z12)&gt;0,_DB_Exercises!Z12,"")</f>
        <v>12</v>
      </c>
      <c r="F11" s="31">
        <f>IF(LEN(_DB_Exercises!AA12)&gt;0,_DB_Exercises!AA12,"")</f>
        <v>12</v>
      </c>
      <c r="G11" s="31">
        <f>IF(LEN(_DB_Exercises!AB12)&gt;0,_DB_Exercises!AB12,"")</f>
        <v>11</v>
      </c>
      <c r="H11" s="31">
        <f>IF(LEN(_DB_Exercises!AC12)&gt;0,_DB_Exercises!AC12,"")</f>
        <v>10</v>
      </c>
      <c r="I11" s="31">
        <f>IF(LEN(_DB_Exercises!AD12)&gt;0,_DB_Exercises!AD12,"")</f>
        <v>10</v>
      </c>
      <c r="J11" s="31">
        <f>IF(LEN(_DB_Exercises!AE12)&gt;0,_DB_Exercises!AE12,"")</f>
        <v>10</v>
      </c>
      <c r="K11" s="31">
        <f>IF(LEN(_DB_Exercises!AF12)&gt;0,_DB_Exercises!AF12,"")</f>
        <v>9</v>
      </c>
      <c r="L11" s="31">
        <f>IF(LEN(_DB_Exercises!AG12)&gt;0,_DB_Exercises!AG12,"")</f>
        <v>9</v>
      </c>
      <c r="M11" s="31">
        <f>IF(LEN(_DB_Exercises!AH12)&gt;0,_DB_Exercises!AH12,"")</f>
        <v>9</v>
      </c>
      <c r="N11" s="31">
        <f>IF(LEN(_DB_Exercises!AI12)&gt;0,_DB_Exercises!AI12,"")</f>
        <v>8</v>
      </c>
      <c r="O11" s="31">
        <f>IF(LEN(_DB_Exercises!AJ12)&gt;0,_DB_Exercises!AJ12,"")</f>
        <v>8</v>
      </c>
      <c r="P11" s="31">
        <f>IF(LEN(_DB_Exercises!AK12)&gt;0,_DB_Exercises!AK12,"")</f>
        <v>8</v>
      </c>
      <c r="Q11" s="31">
        <f>IF(LEN(_DB_Exercises!AL12)&gt;0,_DB_Exercises!AL12,"")</f>
        <v>7</v>
      </c>
      <c r="R11" s="31">
        <f>IF(LEN(_DB_Exercises!AM12)&gt;0,_DB_Exercises!AM12,"")</f>
        <v>7</v>
      </c>
      <c r="S11" s="31">
        <f>IF(LEN(_DB_Exercises!AN12)&gt;0,_DB_Exercises!AN12,"")</f>
        <v>7</v>
      </c>
      <c r="T11" s="31">
        <f>IF(LEN(_DB_Exercises!AO12)&gt;0,_DB_Exercises!AO12,"")</f>
        <v>6</v>
      </c>
      <c r="U11" s="31">
        <f>IF(LEN(_DB_Exercises!AP12)&gt;0,_DB_Exercises!AP12,"")</f>
        <v>6</v>
      </c>
      <c r="V11" s="31">
        <f>IF(LEN(_DB_Exercises!AQ12)&gt;0,_DB_Exercises!AQ12,"")</f>
        <v>6</v>
      </c>
      <c r="W11" s="31">
        <f>IF(LEN(_DB_Exercises!AR12)&gt;0,_DB_Exercises!AR12,"")</f>
        <v>5</v>
      </c>
      <c r="X11" s="31">
        <f>IF(LEN(_DB_Exercises!AS12)&gt;0,_DB_Exercises!AS12,"")</f>
        <v>5</v>
      </c>
      <c r="Y11" s="31">
        <f>IF(LEN(_DB_Exercises!AT12)&gt;0,_DB_Exercises!AT12,"")</f>
        <v>5</v>
      </c>
      <c r="Z11" s="31">
        <f>IF(LEN(_DB_Exercises!AU12)&gt;0,_DB_Exercises!AU12,"")</f>
        <v>4</v>
      </c>
      <c r="AA11" s="31">
        <f>IF(LEN(_DB_Exercises!AV12)&gt;0,_DB_Exercises!AV12,"")</f>
        <v>4</v>
      </c>
      <c r="AB11" s="31">
        <f>IF(LEN(_DB_Exercises!AW12)&gt;0,_DB_Exercises!AW12,"")</f>
        <v>4</v>
      </c>
      <c r="AC11" s="31">
        <f>IF(LEN(_DB_Exercises!AX12)&gt;0,_DB_Exercises!AX12,"")</f>
        <v>3</v>
      </c>
      <c r="AD11" s="31">
        <f>IF(LEN(_DB_Exercises!AY12)&gt;0,_DB_Exercises!AY12,"")</f>
        <v>3</v>
      </c>
      <c r="AE11" s="31">
        <f>IF(LEN(_DB_Exercises!AZ12)&gt;0,_DB_Exercises!AZ12,"")</f>
        <v>3</v>
      </c>
      <c r="AF11" s="31">
        <f>IF(LEN(_DB_Exercises!BA12)&gt;0,_DB_Exercises!BA12,"")</f>
        <v>2</v>
      </c>
      <c r="AG11" s="31">
        <f>IF(LEN(_DB_Exercises!BB12)&gt;0,_DB_Exercises!BB12,"")</f>
        <v>2</v>
      </c>
      <c r="AH11" s="31">
        <f>IF(LEN(_DB_Exercises!BC12)&gt;0,_DB_Exercises!BC12,"")</f>
        <v>2</v>
      </c>
      <c r="AI11" s="31">
        <f>IF(LEN(_DB_Exercises!BD12)&gt;0,_DB_Exercises!BD12,"")</f>
        <v>2</v>
      </c>
      <c r="AJ11" s="31">
        <f>IF(LEN(_DB_Exercises!BE12)&gt;0,_DB_Exercises!BE12,"")</f>
        <v>2</v>
      </c>
      <c r="AK11" s="31">
        <f>IF(LEN(_DB_Exercises!BF12)&gt;0,_DB_Exercises!BF12,"")</f>
        <v>1</v>
      </c>
      <c r="AL11" s="31">
        <f>IF(LEN(_DB_Exercises!BG12)&gt;0,_DB_Exercises!BG12,"")</f>
        <v>1</v>
      </c>
      <c r="AM11" s="31">
        <f>IF(LEN(_DB_Exercises!BH12)&gt;0,_DB_Exercises!BH12,"")</f>
        <v>1</v>
      </c>
      <c r="AN11" s="31">
        <f>IF(LEN(_DB_Exercises!BI12)&gt;0,_DB_Exercises!BI12,"")</f>
        <v>0</v>
      </c>
      <c r="AO11" s="31">
        <f>IF(LEN(_DB_Exercises!BJ12)&gt;0,_DB_Exercises!BJ12,"")</f>
        <v>0</v>
      </c>
      <c r="AP11" s="31">
        <f>IF(LEN(_DB_Exercises!BK12)&gt;0,_DB_Exercises!BK12,"")</f>
        <v>0</v>
      </c>
      <c r="AQ11" s="31">
        <f>IF(LEN(_DB_Exercises!BL12)&gt;0,_DB_Exercises!BL12,"")</f>
        <v>0</v>
      </c>
      <c r="AR11" s="31">
        <f>IF(LEN(_DB_Exercises!BM12)&gt;0,_DB_Exercises!BM12,"")</f>
        <v>0</v>
      </c>
    </row>
    <row r="12" spans="1:44" x14ac:dyDescent="0.25">
      <c r="A12" s="11">
        <f>IF(LEN(_DB_Exercises!A13)&gt;0,_DB_Exercises!A13,"")</f>
        <v>1008</v>
      </c>
      <c r="B12" s="14" t="str">
        <f>IF(LEN(_DB_Exercises!K13)&gt;0,_DB_Exercises!K13,"")</f>
        <v>TUCKER TEST  Total Points</v>
      </c>
      <c r="C12" s="31">
        <f>IF(LEN(_DB_Exercises!X13)&gt;0,_DB_Exercises!X13,"")</f>
        <v>72</v>
      </c>
      <c r="D12" s="31">
        <f>IF(LEN(_DB_Exercises!Y13)&gt;0,_DB_Exercises!Y13,"")</f>
        <v>69</v>
      </c>
      <c r="E12" s="31">
        <f>IF(LEN(_DB_Exercises!Z13)&gt;0,_DB_Exercises!Z13,"")</f>
        <v>66</v>
      </c>
      <c r="F12" s="31">
        <f>IF(LEN(_DB_Exercises!AA13)&gt;0,_DB_Exercises!AA13,"")</f>
        <v>63</v>
      </c>
      <c r="G12" s="31">
        <f>IF(LEN(_DB_Exercises!AB13)&gt;0,_DB_Exercises!AB13,"")</f>
        <v>60</v>
      </c>
      <c r="H12" s="31">
        <f>IF(LEN(_DB_Exercises!AC13)&gt;0,_DB_Exercises!AC13,"")</f>
        <v>57</v>
      </c>
      <c r="I12" s="31">
        <f>IF(LEN(_DB_Exercises!AD13)&gt;0,_DB_Exercises!AD13,"")</f>
        <v>54</v>
      </c>
      <c r="J12" s="31">
        <f>IF(LEN(_DB_Exercises!AE13)&gt;0,_DB_Exercises!AE13,"")</f>
        <v>51</v>
      </c>
      <c r="K12" s="31">
        <f>IF(LEN(_DB_Exercises!AF13)&gt;0,_DB_Exercises!AF13,"")</f>
        <v>49</v>
      </c>
      <c r="L12" s="31">
        <f>IF(LEN(_DB_Exercises!AG13)&gt;0,_DB_Exercises!AG13,"")</f>
        <v>47</v>
      </c>
      <c r="M12" s="31">
        <f>IF(LEN(_DB_Exercises!AH13)&gt;0,_DB_Exercises!AH13,"")</f>
        <v>45</v>
      </c>
      <c r="N12" s="31">
        <f>IF(LEN(_DB_Exercises!AI13)&gt;0,_DB_Exercises!AI13,"")</f>
        <v>43</v>
      </c>
      <c r="O12" s="31">
        <f>IF(LEN(_DB_Exercises!AJ13)&gt;0,_DB_Exercises!AJ13,"")</f>
        <v>42</v>
      </c>
      <c r="P12" s="31">
        <f>IF(LEN(_DB_Exercises!AK13)&gt;0,_DB_Exercises!AK13,"")</f>
        <v>41</v>
      </c>
      <c r="Q12" s="31">
        <f>IF(LEN(_DB_Exercises!AL13)&gt;0,_DB_Exercises!AL13,"")</f>
        <v>40</v>
      </c>
      <c r="R12" s="31">
        <f>IF(LEN(_DB_Exercises!AM13)&gt;0,_DB_Exercises!AM13,"")</f>
        <v>39</v>
      </c>
      <c r="S12" s="31">
        <f>IF(LEN(_DB_Exercises!AN13)&gt;0,_DB_Exercises!AN13,"")</f>
        <v>38</v>
      </c>
      <c r="T12" s="31">
        <f>IF(LEN(_DB_Exercises!AO13)&gt;0,_DB_Exercises!AO13,"")</f>
        <v>37</v>
      </c>
      <c r="U12" s="31">
        <f>IF(LEN(_DB_Exercises!AP13)&gt;0,_DB_Exercises!AP13,"")</f>
        <v>36</v>
      </c>
      <c r="V12" s="31">
        <f>IF(LEN(_DB_Exercises!AQ13)&gt;0,_DB_Exercises!AQ13,"")</f>
        <v>35</v>
      </c>
      <c r="W12" s="31">
        <f>IF(LEN(_DB_Exercises!AR13)&gt;0,_DB_Exercises!AR13,"")</f>
        <v>34</v>
      </c>
      <c r="X12" s="31">
        <f>IF(LEN(_DB_Exercises!AS13)&gt;0,_DB_Exercises!AS13,"")</f>
        <v>33</v>
      </c>
      <c r="Y12" s="31">
        <f>IF(LEN(_DB_Exercises!AT13)&gt;0,_DB_Exercises!AT13,"")</f>
        <v>32</v>
      </c>
      <c r="Z12" s="31">
        <f>IF(LEN(_DB_Exercises!AU13)&gt;0,_DB_Exercises!AU13,"")</f>
        <v>31</v>
      </c>
      <c r="AA12" s="31">
        <f>IF(LEN(_DB_Exercises!AV13)&gt;0,_DB_Exercises!AV13,"")</f>
        <v>30</v>
      </c>
      <c r="AB12" s="31">
        <f>IF(LEN(_DB_Exercises!AW13)&gt;0,_DB_Exercises!AW13,"")</f>
        <v>29</v>
      </c>
      <c r="AC12" s="31">
        <f>IF(LEN(_DB_Exercises!AX13)&gt;0,_DB_Exercises!AX13,"")</f>
        <v>28</v>
      </c>
      <c r="AD12" s="31">
        <f>IF(LEN(_DB_Exercises!AY13)&gt;0,_DB_Exercises!AY13,"")</f>
        <v>27</v>
      </c>
      <c r="AE12" s="31">
        <f>IF(LEN(_DB_Exercises!AZ13)&gt;0,_DB_Exercises!AZ13,"")</f>
        <v>26</v>
      </c>
      <c r="AF12" s="31">
        <f>IF(LEN(_DB_Exercises!BA13)&gt;0,_DB_Exercises!BA13,"")</f>
        <v>25</v>
      </c>
      <c r="AG12" s="31">
        <f>IF(LEN(_DB_Exercises!BB13)&gt;0,_DB_Exercises!BB13,"")</f>
        <v>24</v>
      </c>
      <c r="AH12" s="31">
        <f>IF(LEN(_DB_Exercises!BC13)&gt;0,_DB_Exercises!BC13,"")</f>
        <v>23</v>
      </c>
      <c r="AI12" s="31">
        <f>IF(LEN(_DB_Exercises!BD13)&gt;0,_DB_Exercises!BD13,"")</f>
        <v>22</v>
      </c>
      <c r="AJ12" s="31">
        <f>IF(LEN(_DB_Exercises!BE13)&gt;0,_DB_Exercises!BE13,"")</f>
        <v>21</v>
      </c>
      <c r="AK12" s="31">
        <f>IF(LEN(_DB_Exercises!BF13)&gt;0,_DB_Exercises!BF13,"")</f>
        <v>20</v>
      </c>
      <c r="AL12" s="31">
        <f>IF(LEN(_DB_Exercises!BG13)&gt;0,_DB_Exercises!BG13,"")</f>
        <v>19</v>
      </c>
      <c r="AM12" s="31">
        <f>IF(LEN(_DB_Exercises!BH13)&gt;0,_DB_Exercises!BH13,"")</f>
        <v>18</v>
      </c>
      <c r="AN12" s="31">
        <f>IF(LEN(_DB_Exercises!BI13)&gt;0,_DB_Exercises!BI13,"")</f>
        <v>17</v>
      </c>
      <c r="AO12" s="31">
        <f>IF(LEN(_DB_Exercises!BJ13)&gt;0,_DB_Exercises!BJ13,"")</f>
        <v>16</v>
      </c>
      <c r="AP12" s="31">
        <f>IF(LEN(_DB_Exercises!BK13)&gt;0,_DB_Exercises!BK13,"")</f>
        <v>15</v>
      </c>
      <c r="AQ12" s="31">
        <f>IF(LEN(_DB_Exercises!BL13)&gt;0,_DB_Exercises!BL13,"")</f>
        <v>14</v>
      </c>
      <c r="AR12" s="31">
        <f>IF(LEN(_DB_Exercises!BM13)&gt;0,_DB_Exercises!BM13,"")</f>
        <v>13</v>
      </c>
    </row>
    <row r="13" spans="1:44" x14ac:dyDescent="0.25">
      <c r="A13" s="11">
        <f>IF(LEN(_DB_Exercises!A14)&gt;0,_DB_Exercises!A14,"")</f>
        <v>2000</v>
      </c>
      <c r="B13" s="14" t="str">
        <f>IF(LEN(_DB_Exercises!K14)&gt;0,_DB_Exercises!K14,"")</f>
        <v>Putting Ladder Gambling</v>
      </c>
      <c r="C13" s="31" t="str">
        <f>IF(LEN(_DB_Exercises!X14)&gt;0,_DB_Exercises!X14,"")</f>
        <v/>
      </c>
      <c r="D13" s="31" t="str">
        <f>IF(LEN(_DB_Exercises!Y14)&gt;0,_DB_Exercises!Y14,"")</f>
        <v/>
      </c>
      <c r="E13" s="31" t="str">
        <f>IF(LEN(_DB_Exercises!Z14)&gt;0,_DB_Exercises!Z14,"")</f>
        <v/>
      </c>
      <c r="F13" s="31" t="str">
        <f>IF(LEN(_DB_Exercises!AA14)&gt;0,_DB_Exercises!AA14,"")</f>
        <v/>
      </c>
      <c r="G13" s="31" t="str">
        <f>IF(LEN(_DB_Exercises!AB14)&gt;0,_DB_Exercises!AB14,"")</f>
        <v/>
      </c>
      <c r="H13" s="31" t="str">
        <f>IF(LEN(_DB_Exercises!AC14)&gt;0,_DB_Exercises!AC14,"")</f>
        <v/>
      </c>
      <c r="I13" s="31" t="str">
        <f>IF(LEN(_DB_Exercises!AD14)&gt;0,_DB_Exercises!AD14,"")</f>
        <v/>
      </c>
      <c r="J13" s="31" t="str">
        <f>IF(LEN(_DB_Exercises!AE14)&gt;0,_DB_Exercises!AE14,"")</f>
        <v/>
      </c>
      <c r="K13" s="31" t="str">
        <f>IF(LEN(_DB_Exercises!AF14)&gt;0,_DB_Exercises!AF14,"")</f>
        <v/>
      </c>
      <c r="L13" s="31" t="str">
        <f>IF(LEN(_DB_Exercises!AG14)&gt;0,_DB_Exercises!AG14,"")</f>
        <v/>
      </c>
      <c r="M13" s="31" t="str">
        <f>IF(LEN(_DB_Exercises!AH14)&gt;0,_DB_Exercises!AH14,"")</f>
        <v/>
      </c>
      <c r="N13" s="31" t="str">
        <f>IF(LEN(_DB_Exercises!AI14)&gt;0,_DB_Exercises!AI14,"")</f>
        <v/>
      </c>
      <c r="O13" s="31" t="str">
        <f>IF(LEN(_DB_Exercises!AJ14)&gt;0,_DB_Exercises!AJ14,"")</f>
        <v/>
      </c>
      <c r="P13" s="31" t="str">
        <f>IF(LEN(_DB_Exercises!AK14)&gt;0,_DB_Exercises!AK14,"")</f>
        <v/>
      </c>
      <c r="Q13" s="31" t="str">
        <f>IF(LEN(_DB_Exercises!AL14)&gt;0,_DB_Exercises!AL14,"")</f>
        <v/>
      </c>
      <c r="R13" s="31" t="str">
        <f>IF(LEN(_DB_Exercises!AM14)&gt;0,_DB_Exercises!AM14,"")</f>
        <v/>
      </c>
      <c r="S13" s="31" t="str">
        <f>IF(LEN(_DB_Exercises!AN14)&gt;0,_DB_Exercises!AN14,"")</f>
        <v/>
      </c>
      <c r="T13" s="31" t="str">
        <f>IF(LEN(_DB_Exercises!AO14)&gt;0,_DB_Exercises!AO14,"")</f>
        <v/>
      </c>
      <c r="U13" s="31" t="str">
        <f>IF(LEN(_DB_Exercises!AP14)&gt;0,_DB_Exercises!AP14,"")</f>
        <v/>
      </c>
      <c r="V13" s="31" t="str">
        <f>IF(LEN(_DB_Exercises!AQ14)&gt;0,_DB_Exercises!AQ14,"")</f>
        <v/>
      </c>
      <c r="W13" s="31" t="str">
        <f>IF(LEN(_DB_Exercises!AR14)&gt;0,_DB_Exercises!AR14,"")</f>
        <v/>
      </c>
      <c r="X13" s="31" t="str">
        <f>IF(LEN(_DB_Exercises!AS14)&gt;0,_DB_Exercises!AS14,"")</f>
        <v/>
      </c>
      <c r="Y13" s="31" t="str">
        <f>IF(LEN(_DB_Exercises!AT14)&gt;0,_DB_Exercises!AT14,"")</f>
        <v/>
      </c>
      <c r="Z13" s="31" t="str">
        <f>IF(LEN(_DB_Exercises!AU14)&gt;0,_DB_Exercises!AU14,"")</f>
        <v/>
      </c>
      <c r="AA13" s="31" t="str">
        <f>IF(LEN(_DB_Exercises!AV14)&gt;0,_DB_Exercises!AV14,"")</f>
        <v/>
      </c>
      <c r="AB13" s="31" t="str">
        <f>IF(LEN(_DB_Exercises!AW14)&gt;0,_DB_Exercises!AW14,"")</f>
        <v/>
      </c>
      <c r="AC13" s="31" t="str">
        <f>IF(LEN(_DB_Exercises!AX14)&gt;0,_DB_Exercises!AX14,"")</f>
        <v/>
      </c>
      <c r="AD13" s="31" t="str">
        <f>IF(LEN(_DB_Exercises!AY14)&gt;0,_DB_Exercises!AY14,"")</f>
        <v/>
      </c>
      <c r="AE13" s="31" t="str">
        <f>IF(LEN(_DB_Exercises!AZ14)&gt;0,_DB_Exercises!AZ14,"")</f>
        <v/>
      </c>
      <c r="AF13" s="31" t="str">
        <f>IF(LEN(_DB_Exercises!BA14)&gt;0,_DB_Exercises!BA14,"")</f>
        <v/>
      </c>
      <c r="AG13" s="31" t="str">
        <f>IF(LEN(_DB_Exercises!BB14)&gt;0,_DB_Exercises!BB14,"")</f>
        <v/>
      </c>
      <c r="AH13" s="31" t="str">
        <f>IF(LEN(_DB_Exercises!BC14)&gt;0,_DB_Exercises!BC14,"")</f>
        <v/>
      </c>
      <c r="AI13" s="31" t="str">
        <f>IF(LEN(_DB_Exercises!BD14)&gt;0,_DB_Exercises!BD14,"")</f>
        <v/>
      </c>
      <c r="AJ13" s="31" t="str">
        <f>IF(LEN(_DB_Exercises!BE14)&gt;0,_DB_Exercises!BE14,"")</f>
        <v/>
      </c>
      <c r="AK13" s="31" t="str">
        <f>IF(LEN(_DB_Exercises!BF14)&gt;0,_DB_Exercises!BF14,"")</f>
        <v/>
      </c>
      <c r="AL13" s="31" t="str">
        <f>IF(LEN(_DB_Exercises!BG14)&gt;0,_DB_Exercises!BG14,"")</f>
        <v/>
      </c>
      <c r="AM13" s="31" t="str">
        <f>IF(LEN(_DB_Exercises!BH14)&gt;0,_DB_Exercises!BH14,"")</f>
        <v/>
      </c>
      <c r="AN13" s="31" t="str">
        <f>IF(LEN(_DB_Exercises!BI14)&gt;0,_DB_Exercises!BI14,"")</f>
        <v/>
      </c>
      <c r="AO13" s="31" t="str">
        <f>IF(LEN(_DB_Exercises!BJ14)&gt;0,_DB_Exercises!BJ14,"")</f>
        <v/>
      </c>
      <c r="AP13" s="31" t="str">
        <f>IF(LEN(_DB_Exercises!BK14)&gt;0,_DB_Exercises!BK14,"")</f>
        <v/>
      </c>
      <c r="AQ13" s="31" t="str">
        <f>IF(LEN(_DB_Exercises!BL14)&gt;0,_DB_Exercises!BL14,"")</f>
        <v/>
      </c>
      <c r="AR13" s="31" t="str">
        <f>IF(LEN(_DB_Exercises!BM14)&gt;0,_DB_Exercises!BM14,"")</f>
        <v/>
      </c>
    </row>
    <row r="14" spans="1:44" x14ac:dyDescent="0.25">
      <c r="A14" s="11">
        <f>IF(LEN(_DB_Exercises!A15)&gt;0,_DB_Exercises!A15,"")</f>
        <v>2001</v>
      </c>
      <c r="B14" s="14" t="str">
        <f>IF(LEN(_DB_Exercises!K15)&gt;0,_DB_Exercises!K15,"")</f>
        <v>Kick them out</v>
      </c>
      <c r="C14" s="31" t="str">
        <f>IF(LEN(_DB_Exercises!X15)&gt;0,_DB_Exercises!X15,"")</f>
        <v/>
      </c>
      <c r="D14" s="31" t="str">
        <f>IF(LEN(_DB_Exercises!Y15)&gt;0,_DB_Exercises!Y15,"")</f>
        <v/>
      </c>
      <c r="E14" s="31" t="str">
        <f>IF(LEN(_DB_Exercises!Z15)&gt;0,_DB_Exercises!Z15,"")</f>
        <v/>
      </c>
      <c r="F14" s="31" t="str">
        <f>IF(LEN(_DB_Exercises!AA15)&gt;0,_DB_Exercises!AA15,"")</f>
        <v/>
      </c>
      <c r="G14" s="31" t="str">
        <f>IF(LEN(_DB_Exercises!AB15)&gt;0,_DB_Exercises!AB15,"")</f>
        <v/>
      </c>
      <c r="H14" s="31" t="str">
        <f>IF(LEN(_DB_Exercises!AC15)&gt;0,_DB_Exercises!AC15,"")</f>
        <v/>
      </c>
      <c r="I14" s="31" t="str">
        <f>IF(LEN(_DB_Exercises!AD15)&gt;0,_DB_Exercises!AD15,"")</f>
        <v/>
      </c>
      <c r="J14" s="31" t="str">
        <f>IF(LEN(_DB_Exercises!AE15)&gt;0,_DB_Exercises!AE15,"")</f>
        <v/>
      </c>
      <c r="K14" s="31" t="str">
        <f>IF(LEN(_DB_Exercises!AF15)&gt;0,_DB_Exercises!AF15,"")</f>
        <v/>
      </c>
      <c r="L14" s="31" t="str">
        <f>IF(LEN(_DB_Exercises!AG15)&gt;0,_DB_Exercises!AG15,"")</f>
        <v/>
      </c>
      <c r="M14" s="31" t="str">
        <f>IF(LEN(_DB_Exercises!AH15)&gt;0,_DB_Exercises!AH15,"")</f>
        <v/>
      </c>
      <c r="N14" s="31" t="str">
        <f>IF(LEN(_DB_Exercises!AI15)&gt;0,_DB_Exercises!AI15,"")</f>
        <v/>
      </c>
      <c r="O14" s="31" t="str">
        <f>IF(LEN(_DB_Exercises!AJ15)&gt;0,_DB_Exercises!AJ15,"")</f>
        <v/>
      </c>
      <c r="P14" s="31" t="str">
        <f>IF(LEN(_DB_Exercises!AK15)&gt;0,_DB_Exercises!AK15,"")</f>
        <v/>
      </c>
      <c r="Q14" s="31" t="str">
        <f>IF(LEN(_DB_Exercises!AL15)&gt;0,_DB_Exercises!AL15,"")</f>
        <v/>
      </c>
      <c r="R14" s="31" t="str">
        <f>IF(LEN(_DB_Exercises!AM15)&gt;0,_DB_Exercises!AM15,"")</f>
        <v/>
      </c>
      <c r="S14" s="31" t="str">
        <f>IF(LEN(_DB_Exercises!AN15)&gt;0,_DB_Exercises!AN15,"")</f>
        <v/>
      </c>
      <c r="T14" s="31" t="str">
        <f>IF(LEN(_DB_Exercises!AO15)&gt;0,_DB_Exercises!AO15,"")</f>
        <v/>
      </c>
      <c r="U14" s="31" t="str">
        <f>IF(LEN(_DB_Exercises!AP15)&gt;0,_DB_Exercises!AP15,"")</f>
        <v/>
      </c>
      <c r="V14" s="31" t="str">
        <f>IF(LEN(_DB_Exercises!AQ15)&gt;0,_DB_Exercises!AQ15,"")</f>
        <v/>
      </c>
      <c r="W14" s="31" t="str">
        <f>IF(LEN(_DB_Exercises!AR15)&gt;0,_DB_Exercises!AR15,"")</f>
        <v/>
      </c>
      <c r="X14" s="31" t="str">
        <f>IF(LEN(_DB_Exercises!AS15)&gt;0,_DB_Exercises!AS15,"")</f>
        <v/>
      </c>
      <c r="Y14" s="31" t="str">
        <f>IF(LEN(_DB_Exercises!AT15)&gt;0,_DB_Exercises!AT15,"")</f>
        <v/>
      </c>
      <c r="Z14" s="31" t="str">
        <f>IF(LEN(_DB_Exercises!AU15)&gt;0,_DB_Exercises!AU15,"")</f>
        <v/>
      </c>
      <c r="AA14" s="31" t="str">
        <f>IF(LEN(_DB_Exercises!AV15)&gt;0,_DB_Exercises!AV15,"")</f>
        <v/>
      </c>
      <c r="AB14" s="31" t="str">
        <f>IF(LEN(_DB_Exercises!AW15)&gt;0,_DB_Exercises!AW15,"")</f>
        <v/>
      </c>
      <c r="AC14" s="31" t="str">
        <f>IF(LEN(_DB_Exercises!AX15)&gt;0,_DB_Exercises!AX15,"")</f>
        <v/>
      </c>
      <c r="AD14" s="31" t="str">
        <f>IF(LEN(_DB_Exercises!AY15)&gt;0,_DB_Exercises!AY15,"")</f>
        <v/>
      </c>
      <c r="AE14" s="31" t="str">
        <f>IF(LEN(_DB_Exercises!AZ15)&gt;0,_DB_Exercises!AZ15,"")</f>
        <v/>
      </c>
      <c r="AF14" s="31" t="str">
        <f>IF(LEN(_DB_Exercises!BA15)&gt;0,_DB_Exercises!BA15,"")</f>
        <v/>
      </c>
      <c r="AG14" s="31" t="str">
        <f>IF(LEN(_DB_Exercises!BB15)&gt;0,_DB_Exercises!BB15,"")</f>
        <v/>
      </c>
      <c r="AH14" s="31" t="str">
        <f>IF(LEN(_DB_Exercises!BC15)&gt;0,_DB_Exercises!BC15,"")</f>
        <v/>
      </c>
      <c r="AI14" s="31" t="str">
        <f>IF(LEN(_DB_Exercises!BD15)&gt;0,_DB_Exercises!BD15,"")</f>
        <v/>
      </c>
      <c r="AJ14" s="31" t="str">
        <f>IF(LEN(_DB_Exercises!BE15)&gt;0,_DB_Exercises!BE15,"")</f>
        <v/>
      </c>
      <c r="AK14" s="31" t="str">
        <f>IF(LEN(_DB_Exercises!BF15)&gt;0,_DB_Exercises!BF15,"")</f>
        <v/>
      </c>
      <c r="AL14" s="31" t="str">
        <f>IF(LEN(_DB_Exercises!BG15)&gt;0,_DB_Exercises!BG15,"")</f>
        <v/>
      </c>
      <c r="AM14" s="31" t="str">
        <f>IF(LEN(_DB_Exercises!BH15)&gt;0,_DB_Exercises!BH15,"")</f>
        <v/>
      </c>
      <c r="AN14" s="31" t="str">
        <f>IF(LEN(_DB_Exercises!BI15)&gt;0,_DB_Exercises!BI15,"")</f>
        <v/>
      </c>
      <c r="AO14" s="31" t="str">
        <f>IF(LEN(_DB_Exercises!BJ15)&gt;0,_DB_Exercises!BJ15,"")</f>
        <v/>
      </c>
      <c r="AP14" s="31" t="str">
        <f>IF(LEN(_DB_Exercises!BK15)&gt;0,_DB_Exercises!BK15,"")</f>
        <v/>
      </c>
      <c r="AQ14" s="31" t="str">
        <f>IF(LEN(_DB_Exercises!BL15)&gt;0,_DB_Exercises!BL15,"")</f>
        <v/>
      </c>
      <c r="AR14" s="31" t="str">
        <f>IF(LEN(_DB_Exercises!BM15)&gt;0,_DB_Exercises!BM15,"")</f>
        <v/>
      </c>
    </row>
    <row r="15" spans="1:44" x14ac:dyDescent="0.25">
      <c r="A15" s="11">
        <f>IF(LEN(_DB_Exercises!A16)&gt;0,_DB_Exercises!A16,"")</f>
        <v>2002</v>
      </c>
      <c r="B15" s="14" t="str">
        <f>IF(LEN(_DB_Exercises!K16)&gt;0,_DB_Exercises!K16,"")</f>
        <v>Nearest to the line    Shoot out</v>
      </c>
      <c r="C15" s="31" t="str">
        <f>IF(LEN(_DB_Exercises!X16)&gt;0,_DB_Exercises!X16,"")</f>
        <v/>
      </c>
      <c r="D15" s="31" t="str">
        <f>IF(LEN(_DB_Exercises!Y16)&gt;0,_DB_Exercises!Y16,"")</f>
        <v/>
      </c>
      <c r="E15" s="31" t="str">
        <f>IF(LEN(_DB_Exercises!Z16)&gt;0,_DB_Exercises!Z16,"")</f>
        <v/>
      </c>
      <c r="F15" s="31" t="str">
        <f>IF(LEN(_DB_Exercises!AA16)&gt;0,_DB_Exercises!AA16,"")</f>
        <v/>
      </c>
      <c r="G15" s="31" t="str">
        <f>IF(LEN(_DB_Exercises!AB16)&gt;0,_DB_Exercises!AB16,"")</f>
        <v/>
      </c>
      <c r="H15" s="31" t="str">
        <f>IF(LEN(_DB_Exercises!AC16)&gt;0,_DB_Exercises!AC16,"")</f>
        <v/>
      </c>
      <c r="I15" s="31" t="str">
        <f>IF(LEN(_DB_Exercises!AD16)&gt;0,_DB_Exercises!AD16,"")</f>
        <v/>
      </c>
      <c r="J15" s="31" t="str">
        <f>IF(LEN(_DB_Exercises!AE16)&gt;0,_DB_Exercises!AE16,"")</f>
        <v/>
      </c>
      <c r="K15" s="31" t="str">
        <f>IF(LEN(_DB_Exercises!AF16)&gt;0,_DB_Exercises!AF16,"")</f>
        <v/>
      </c>
      <c r="L15" s="31" t="str">
        <f>IF(LEN(_DB_Exercises!AG16)&gt;0,_DB_Exercises!AG16,"")</f>
        <v/>
      </c>
      <c r="M15" s="31" t="str">
        <f>IF(LEN(_DB_Exercises!AH16)&gt;0,_DB_Exercises!AH16,"")</f>
        <v/>
      </c>
      <c r="N15" s="31" t="str">
        <f>IF(LEN(_DB_Exercises!AI16)&gt;0,_DB_Exercises!AI16,"")</f>
        <v/>
      </c>
      <c r="O15" s="31" t="str">
        <f>IF(LEN(_DB_Exercises!AJ16)&gt;0,_DB_Exercises!AJ16,"")</f>
        <v/>
      </c>
      <c r="P15" s="31" t="str">
        <f>IF(LEN(_DB_Exercises!AK16)&gt;0,_DB_Exercises!AK16,"")</f>
        <v/>
      </c>
      <c r="Q15" s="31" t="str">
        <f>IF(LEN(_DB_Exercises!AL16)&gt;0,_DB_Exercises!AL16,"")</f>
        <v/>
      </c>
      <c r="R15" s="31" t="str">
        <f>IF(LEN(_DB_Exercises!AM16)&gt;0,_DB_Exercises!AM16,"")</f>
        <v/>
      </c>
      <c r="S15" s="31" t="str">
        <f>IF(LEN(_DB_Exercises!AN16)&gt;0,_DB_Exercises!AN16,"")</f>
        <v/>
      </c>
      <c r="T15" s="31" t="str">
        <f>IF(LEN(_DB_Exercises!AO16)&gt;0,_DB_Exercises!AO16,"")</f>
        <v/>
      </c>
      <c r="U15" s="31" t="str">
        <f>IF(LEN(_DB_Exercises!AP16)&gt;0,_DB_Exercises!AP16,"")</f>
        <v/>
      </c>
      <c r="V15" s="31" t="str">
        <f>IF(LEN(_DB_Exercises!AQ16)&gt;0,_DB_Exercises!AQ16,"")</f>
        <v/>
      </c>
      <c r="W15" s="31" t="str">
        <f>IF(LEN(_DB_Exercises!AR16)&gt;0,_DB_Exercises!AR16,"")</f>
        <v/>
      </c>
      <c r="X15" s="31" t="str">
        <f>IF(LEN(_DB_Exercises!AS16)&gt;0,_DB_Exercises!AS16,"")</f>
        <v/>
      </c>
      <c r="Y15" s="31" t="str">
        <f>IF(LEN(_DB_Exercises!AT16)&gt;0,_DB_Exercises!AT16,"")</f>
        <v/>
      </c>
      <c r="Z15" s="31" t="str">
        <f>IF(LEN(_DB_Exercises!AU16)&gt;0,_DB_Exercises!AU16,"")</f>
        <v/>
      </c>
      <c r="AA15" s="31" t="str">
        <f>IF(LEN(_DB_Exercises!AV16)&gt;0,_DB_Exercises!AV16,"")</f>
        <v/>
      </c>
      <c r="AB15" s="31" t="str">
        <f>IF(LEN(_DB_Exercises!AW16)&gt;0,_DB_Exercises!AW16,"")</f>
        <v/>
      </c>
      <c r="AC15" s="31" t="str">
        <f>IF(LEN(_DB_Exercises!AX16)&gt;0,_DB_Exercises!AX16,"")</f>
        <v/>
      </c>
      <c r="AD15" s="31" t="str">
        <f>IF(LEN(_DB_Exercises!AY16)&gt;0,_DB_Exercises!AY16,"")</f>
        <v/>
      </c>
      <c r="AE15" s="31" t="str">
        <f>IF(LEN(_DB_Exercises!AZ16)&gt;0,_DB_Exercises!AZ16,"")</f>
        <v/>
      </c>
      <c r="AF15" s="31" t="str">
        <f>IF(LEN(_DB_Exercises!BA16)&gt;0,_DB_Exercises!BA16,"")</f>
        <v/>
      </c>
      <c r="AG15" s="31" t="str">
        <f>IF(LEN(_DB_Exercises!BB16)&gt;0,_DB_Exercises!BB16,"")</f>
        <v/>
      </c>
      <c r="AH15" s="31" t="str">
        <f>IF(LEN(_DB_Exercises!BC16)&gt;0,_DB_Exercises!BC16,"")</f>
        <v/>
      </c>
      <c r="AI15" s="31" t="str">
        <f>IF(LEN(_DB_Exercises!BD16)&gt;0,_DB_Exercises!BD16,"")</f>
        <v/>
      </c>
      <c r="AJ15" s="31" t="str">
        <f>IF(LEN(_DB_Exercises!BE16)&gt;0,_DB_Exercises!BE16,"")</f>
        <v/>
      </c>
      <c r="AK15" s="31" t="str">
        <f>IF(LEN(_DB_Exercises!BF16)&gt;0,_DB_Exercises!BF16,"")</f>
        <v/>
      </c>
      <c r="AL15" s="31" t="str">
        <f>IF(LEN(_DB_Exercises!BG16)&gt;0,_DB_Exercises!BG16,"")</f>
        <v/>
      </c>
      <c r="AM15" s="31" t="str">
        <f>IF(LEN(_DB_Exercises!BH16)&gt;0,_DB_Exercises!BH16,"")</f>
        <v/>
      </c>
      <c r="AN15" s="31" t="str">
        <f>IF(LEN(_DB_Exercises!BI16)&gt;0,_DB_Exercises!BI16,"")</f>
        <v/>
      </c>
      <c r="AO15" s="31" t="str">
        <f>IF(LEN(_DB_Exercises!BJ16)&gt;0,_DB_Exercises!BJ16,"")</f>
        <v/>
      </c>
      <c r="AP15" s="31" t="str">
        <f>IF(LEN(_DB_Exercises!BK16)&gt;0,_DB_Exercises!BK16,"")</f>
        <v/>
      </c>
      <c r="AQ15" s="31" t="str">
        <f>IF(LEN(_DB_Exercises!BL16)&gt;0,_DB_Exercises!BL16,"")</f>
        <v/>
      </c>
      <c r="AR15" s="31" t="str">
        <f>IF(LEN(_DB_Exercises!BM16)&gt;0,_DB_Exercises!BM16,"")</f>
        <v/>
      </c>
    </row>
    <row r="16" spans="1:44" x14ac:dyDescent="0.25">
      <c r="A16" s="11">
        <f>IF(LEN(_DB_Exercises!A17)&gt;0,_DB_Exercises!A17,"")</f>
        <v>2003</v>
      </c>
      <c r="B16" s="14" t="str">
        <f>IF(LEN(_DB_Exercises!K17)&gt;0,_DB_Exercises!K17,"")</f>
        <v>Nearest to the line    5 lifes</v>
      </c>
      <c r="C16" s="31" t="str">
        <f>IF(LEN(_DB_Exercises!X17)&gt;0,_DB_Exercises!X17,"")</f>
        <v/>
      </c>
      <c r="D16" s="31" t="str">
        <f>IF(LEN(_DB_Exercises!Y17)&gt;0,_DB_Exercises!Y17,"")</f>
        <v/>
      </c>
      <c r="E16" s="31" t="str">
        <f>IF(LEN(_DB_Exercises!Z17)&gt;0,_DB_Exercises!Z17,"")</f>
        <v/>
      </c>
      <c r="F16" s="31" t="str">
        <f>IF(LEN(_DB_Exercises!AA17)&gt;0,_DB_Exercises!AA17,"")</f>
        <v/>
      </c>
      <c r="G16" s="31" t="str">
        <f>IF(LEN(_DB_Exercises!AB17)&gt;0,_DB_Exercises!AB17,"")</f>
        <v/>
      </c>
      <c r="H16" s="31" t="str">
        <f>IF(LEN(_DB_Exercises!AC17)&gt;0,_DB_Exercises!AC17,"")</f>
        <v/>
      </c>
      <c r="I16" s="31" t="str">
        <f>IF(LEN(_DB_Exercises!AD17)&gt;0,_DB_Exercises!AD17,"")</f>
        <v/>
      </c>
      <c r="J16" s="31" t="str">
        <f>IF(LEN(_DB_Exercises!AE17)&gt;0,_DB_Exercises!AE17,"")</f>
        <v/>
      </c>
      <c r="K16" s="31" t="str">
        <f>IF(LEN(_DB_Exercises!AF17)&gt;0,_DB_Exercises!AF17,"")</f>
        <v/>
      </c>
      <c r="L16" s="31" t="str">
        <f>IF(LEN(_DB_Exercises!AG17)&gt;0,_DB_Exercises!AG17,"")</f>
        <v/>
      </c>
      <c r="M16" s="31" t="str">
        <f>IF(LEN(_DB_Exercises!AH17)&gt;0,_DB_Exercises!AH17,"")</f>
        <v/>
      </c>
      <c r="N16" s="31" t="str">
        <f>IF(LEN(_DB_Exercises!AI17)&gt;0,_DB_Exercises!AI17,"")</f>
        <v/>
      </c>
      <c r="O16" s="31" t="str">
        <f>IF(LEN(_DB_Exercises!AJ17)&gt;0,_DB_Exercises!AJ17,"")</f>
        <v/>
      </c>
      <c r="P16" s="31" t="str">
        <f>IF(LEN(_DB_Exercises!AK17)&gt;0,_DB_Exercises!AK17,"")</f>
        <v/>
      </c>
      <c r="Q16" s="31" t="str">
        <f>IF(LEN(_DB_Exercises!AL17)&gt;0,_DB_Exercises!AL17,"")</f>
        <v/>
      </c>
      <c r="R16" s="31" t="str">
        <f>IF(LEN(_DB_Exercises!AM17)&gt;0,_DB_Exercises!AM17,"")</f>
        <v/>
      </c>
      <c r="S16" s="31" t="str">
        <f>IF(LEN(_DB_Exercises!AN17)&gt;0,_DB_Exercises!AN17,"")</f>
        <v/>
      </c>
      <c r="T16" s="31" t="str">
        <f>IF(LEN(_DB_Exercises!AO17)&gt;0,_DB_Exercises!AO17,"")</f>
        <v/>
      </c>
      <c r="U16" s="31" t="str">
        <f>IF(LEN(_DB_Exercises!AP17)&gt;0,_DB_Exercises!AP17,"")</f>
        <v/>
      </c>
      <c r="V16" s="31" t="str">
        <f>IF(LEN(_DB_Exercises!AQ17)&gt;0,_DB_Exercises!AQ17,"")</f>
        <v/>
      </c>
      <c r="W16" s="31" t="str">
        <f>IF(LEN(_DB_Exercises!AR17)&gt;0,_DB_Exercises!AR17,"")</f>
        <v/>
      </c>
      <c r="X16" s="31" t="str">
        <f>IF(LEN(_DB_Exercises!AS17)&gt;0,_DB_Exercises!AS17,"")</f>
        <v/>
      </c>
      <c r="Y16" s="31" t="str">
        <f>IF(LEN(_DB_Exercises!AT17)&gt;0,_DB_Exercises!AT17,"")</f>
        <v/>
      </c>
      <c r="Z16" s="31" t="str">
        <f>IF(LEN(_DB_Exercises!AU17)&gt;0,_DB_Exercises!AU17,"")</f>
        <v/>
      </c>
      <c r="AA16" s="31" t="str">
        <f>IF(LEN(_DB_Exercises!AV17)&gt;0,_DB_Exercises!AV17,"")</f>
        <v/>
      </c>
      <c r="AB16" s="31" t="str">
        <f>IF(LEN(_DB_Exercises!AW17)&gt;0,_DB_Exercises!AW17,"")</f>
        <v/>
      </c>
      <c r="AC16" s="31" t="str">
        <f>IF(LEN(_DB_Exercises!AX17)&gt;0,_DB_Exercises!AX17,"")</f>
        <v/>
      </c>
      <c r="AD16" s="31" t="str">
        <f>IF(LEN(_DB_Exercises!AY17)&gt;0,_DB_Exercises!AY17,"")</f>
        <v/>
      </c>
      <c r="AE16" s="31" t="str">
        <f>IF(LEN(_DB_Exercises!AZ17)&gt;0,_DB_Exercises!AZ17,"")</f>
        <v/>
      </c>
      <c r="AF16" s="31" t="str">
        <f>IF(LEN(_DB_Exercises!BA17)&gt;0,_DB_Exercises!BA17,"")</f>
        <v/>
      </c>
      <c r="AG16" s="31" t="str">
        <f>IF(LEN(_DB_Exercises!BB17)&gt;0,_DB_Exercises!BB17,"")</f>
        <v/>
      </c>
      <c r="AH16" s="31" t="str">
        <f>IF(LEN(_DB_Exercises!BC17)&gt;0,_DB_Exercises!BC17,"")</f>
        <v/>
      </c>
      <c r="AI16" s="31" t="str">
        <f>IF(LEN(_DB_Exercises!BD17)&gt;0,_DB_Exercises!BD17,"")</f>
        <v/>
      </c>
      <c r="AJ16" s="31" t="str">
        <f>IF(LEN(_DB_Exercises!BE17)&gt;0,_DB_Exercises!BE17,"")</f>
        <v/>
      </c>
      <c r="AK16" s="31" t="str">
        <f>IF(LEN(_DB_Exercises!BF17)&gt;0,_DB_Exercises!BF17,"")</f>
        <v/>
      </c>
      <c r="AL16" s="31" t="str">
        <f>IF(LEN(_DB_Exercises!BG17)&gt;0,_DB_Exercises!BG17,"")</f>
        <v/>
      </c>
      <c r="AM16" s="31" t="str">
        <f>IF(LEN(_DB_Exercises!BH17)&gt;0,_DB_Exercises!BH17,"")</f>
        <v/>
      </c>
      <c r="AN16" s="31" t="str">
        <f>IF(LEN(_DB_Exercises!BI17)&gt;0,_DB_Exercises!BI17,"")</f>
        <v/>
      </c>
      <c r="AO16" s="31" t="str">
        <f>IF(LEN(_DB_Exercises!BJ17)&gt;0,_DB_Exercises!BJ17,"")</f>
        <v/>
      </c>
      <c r="AP16" s="31" t="str">
        <f>IF(LEN(_DB_Exercises!BK17)&gt;0,_DB_Exercises!BK17,"")</f>
        <v/>
      </c>
      <c r="AQ16" s="31" t="str">
        <f>IF(LEN(_DB_Exercises!BL17)&gt;0,_DB_Exercises!BL17,"")</f>
        <v/>
      </c>
      <c r="AR16" s="31" t="str">
        <f>IF(LEN(_DB_Exercises!BM17)&gt;0,_DB_Exercises!BM17,"")</f>
        <v/>
      </c>
    </row>
    <row r="17" spans="1:44" x14ac:dyDescent="0.25">
      <c r="A17" s="11">
        <f>IF(LEN(_DB_Exercises!A19)&gt;0,_DB_Exercises!A19,"")</f>
        <v>2005</v>
      </c>
      <c r="B17" s="14" t="str">
        <f>IF(LEN(_DB_Exercises!K19)&gt;0,_DB_Exercises!K19,"")</f>
        <v>Nearest to the line  Shoot out</v>
      </c>
      <c r="C17" s="31" t="str">
        <f>IF(LEN(_DB_Exercises!X19)&gt;0,_DB_Exercises!X19,"")</f>
        <v/>
      </c>
      <c r="D17" s="31" t="str">
        <f>IF(LEN(_DB_Exercises!Y19)&gt;0,_DB_Exercises!Y19,"")</f>
        <v/>
      </c>
      <c r="E17" s="31" t="str">
        <f>IF(LEN(_DB_Exercises!Z19)&gt;0,_DB_Exercises!Z19,"")</f>
        <v/>
      </c>
      <c r="F17" s="31" t="str">
        <f>IF(LEN(_DB_Exercises!AA19)&gt;0,_DB_Exercises!AA19,"")</f>
        <v/>
      </c>
      <c r="G17" s="31" t="str">
        <f>IF(LEN(_DB_Exercises!AB19)&gt;0,_DB_Exercises!AB19,"")</f>
        <v/>
      </c>
      <c r="H17" s="31" t="str">
        <f>IF(LEN(_DB_Exercises!AC19)&gt;0,_DB_Exercises!AC19,"")</f>
        <v/>
      </c>
      <c r="I17" s="31" t="str">
        <f>IF(LEN(_DB_Exercises!AD19)&gt;0,_DB_Exercises!AD19,"")</f>
        <v/>
      </c>
      <c r="J17" s="31" t="str">
        <f>IF(LEN(_DB_Exercises!AE19)&gt;0,_DB_Exercises!AE19,"")</f>
        <v/>
      </c>
      <c r="K17" s="31" t="str">
        <f>IF(LEN(_DB_Exercises!AF19)&gt;0,_DB_Exercises!AF19,"")</f>
        <v/>
      </c>
      <c r="L17" s="31" t="str">
        <f>IF(LEN(_DB_Exercises!AG19)&gt;0,_DB_Exercises!AG19,"")</f>
        <v/>
      </c>
      <c r="M17" s="31" t="str">
        <f>IF(LEN(_DB_Exercises!AH19)&gt;0,_DB_Exercises!AH19,"")</f>
        <v/>
      </c>
      <c r="N17" s="31" t="str">
        <f>IF(LEN(_DB_Exercises!AI19)&gt;0,_DB_Exercises!AI19,"")</f>
        <v/>
      </c>
      <c r="O17" s="31" t="str">
        <f>IF(LEN(_DB_Exercises!AJ19)&gt;0,_DB_Exercises!AJ19,"")</f>
        <v/>
      </c>
      <c r="P17" s="31" t="str">
        <f>IF(LEN(_DB_Exercises!AK19)&gt;0,_DB_Exercises!AK19,"")</f>
        <v/>
      </c>
      <c r="Q17" s="31" t="str">
        <f>IF(LEN(_DB_Exercises!AL19)&gt;0,_DB_Exercises!AL19,"")</f>
        <v/>
      </c>
      <c r="R17" s="31" t="str">
        <f>IF(LEN(_DB_Exercises!AM19)&gt;0,_DB_Exercises!AM19,"")</f>
        <v/>
      </c>
      <c r="S17" s="31" t="str">
        <f>IF(LEN(_DB_Exercises!AN19)&gt;0,_DB_Exercises!AN19,"")</f>
        <v/>
      </c>
      <c r="T17" s="31" t="str">
        <f>IF(LEN(_DB_Exercises!AO19)&gt;0,_DB_Exercises!AO19,"")</f>
        <v/>
      </c>
      <c r="U17" s="31" t="str">
        <f>IF(LEN(_DB_Exercises!AP19)&gt;0,_DB_Exercises!AP19,"")</f>
        <v/>
      </c>
      <c r="V17" s="31" t="str">
        <f>IF(LEN(_DB_Exercises!AQ19)&gt;0,_DB_Exercises!AQ19,"")</f>
        <v/>
      </c>
      <c r="W17" s="31" t="str">
        <f>IF(LEN(_DB_Exercises!AR19)&gt;0,_DB_Exercises!AR19,"")</f>
        <v/>
      </c>
      <c r="X17" s="31" t="str">
        <f>IF(LEN(_DB_Exercises!AS19)&gt;0,_DB_Exercises!AS19,"")</f>
        <v/>
      </c>
      <c r="Y17" s="31" t="str">
        <f>IF(LEN(_DB_Exercises!AT19)&gt;0,_DB_Exercises!AT19,"")</f>
        <v/>
      </c>
      <c r="Z17" s="31" t="str">
        <f>IF(LEN(_DB_Exercises!AU19)&gt;0,_DB_Exercises!AU19,"")</f>
        <v/>
      </c>
      <c r="AA17" s="31" t="str">
        <f>IF(LEN(_DB_Exercises!AV19)&gt;0,_DB_Exercises!AV19,"")</f>
        <v/>
      </c>
      <c r="AB17" s="31" t="str">
        <f>IF(LEN(_DB_Exercises!AW19)&gt;0,_DB_Exercises!AW19,"")</f>
        <v/>
      </c>
      <c r="AC17" s="31" t="str">
        <f>IF(LEN(_DB_Exercises!AX19)&gt;0,_DB_Exercises!AX19,"")</f>
        <v/>
      </c>
      <c r="AD17" s="31" t="str">
        <f>IF(LEN(_DB_Exercises!AY19)&gt;0,_DB_Exercises!AY19,"")</f>
        <v/>
      </c>
      <c r="AE17" s="31" t="str">
        <f>IF(LEN(_DB_Exercises!AZ19)&gt;0,_DB_Exercises!AZ19,"")</f>
        <v/>
      </c>
      <c r="AF17" s="31" t="str">
        <f>IF(LEN(_DB_Exercises!BA19)&gt;0,_DB_Exercises!BA19,"")</f>
        <v/>
      </c>
      <c r="AG17" s="31" t="str">
        <f>IF(LEN(_DB_Exercises!BB19)&gt;0,_DB_Exercises!BB19,"")</f>
        <v/>
      </c>
      <c r="AH17" s="31" t="str">
        <f>IF(LEN(_DB_Exercises!BC19)&gt;0,_DB_Exercises!BC19,"")</f>
        <v/>
      </c>
      <c r="AI17" s="31" t="str">
        <f>IF(LEN(_DB_Exercises!BD19)&gt;0,_DB_Exercises!BD19,"")</f>
        <v/>
      </c>
      <c r="AJ17" s="31" t="str">
        <f>IF(LEN(_DB_Exercises!BE19)&gt;0,_DB_Exercises!BE19,"")</f>
        <v/>
      </c>
      <c r="AK17" s="31" t="str">
        <f>IF(LEN(_DB_Exercises!BF19)&gt;0,_DB_Exercises!BF19,"")</f>
        <v/>
      </c>
      <c r="AL17" s="31" t="str">
        <f>IF(LEN(_DB_Exercises!BG19)&gt;0,_DB_Exercises!BG19,"")</f>
        <v/>
      </c>
      <c r="AM17" s="31" t="str">
        <f>IF(LEN(_DB_Exercises!BH19)&gt;0,_DB_Exercises!BH19,"")</f>
        <v/>
      </c>
      <c r="AN17" s="31" t="str">
        <f>IF(LEN(_DB_Exercises!BI19)&gt;0,_DB_Exercises!BI19,"")</f>
        <v/>
      </c>
      <c r="AO17" s="31" t="str">
        <f>IF(LEN(_DB_Exercises!BJ19)&gt;0,_DB_Exercises!BJ19,"")</f>
        <v/>
      </c>
      <c r="AP17" s="31" t="str">
        <f>IF(LEN(_DB_Exercises!BK19)&gt;0,_DB_Exercises!BK19,"")</f>
        <v/>
      </c>
      <c r="AQ17" s="31" t="str">
        <f>IF(LEN(_DB_Exercises!BL19)&gt;0,_DB_Exercises!BL19,"")</f>
        <v/>
      </c>
      <c r="AR17" s="31" t="str">
        <f>IF(LEN(_DB_Exercises!BM19)&gt;0,_DB_Exercises!BM19,"")</f>
        <v/>
      </c>
    </row>
    <row r="18" spans="1:44" x14ac:dyDescent="0.25">
      <c r="A18" s="11">
        <f>IF(LEN(_DB_Exercises!A20)&gt;0,_DB_Exercises!A20,"")</f>
        <v>2006</v>
      </c>
      <c r="B18" s="14" t="str">
        <f>IF(LEN(_DB_Exercises!K20)&gt;0,_DB_Exercises!K20,"")</f>
        <v>Putting Hero</v>
      </c>
      <c r="C18" s="31">
        <f>IF(LEN(_DB_Exercises!X20)&gt;0,_DB_Exercises!X20,"")</f>
        <v>10</v>
      </c>
      <c r="D18" s="31">
        <f>IF(LEN(_DB_Exercises!Y20)&gt;0,_DB_Exercises!Y20,"")</f>
        <v>10</v>
      </c>
      <c r="E18" s="31">
        <f>IF(LEN(_DB_Exercises!Z20)&gt;0,_DB_Exercises!Z20,"")</f>
        <v>10</v>
      </c>
      <c r="F18" s="31">
        <f>IF(LEN(_DB_Exercises!AA20)&gt;0,_DB_Exercises!AA20,"")</f>
        <v>9</v>
      </c>
      <c r="G18" s="31">
        <f>IF(LEN(_DB_Exercises!AB20)&gt;0,_DB_Exercises!AB20,"")</f>
        <v>9</v>
      </c>
      <c r="H18" s="31">
        <f>IF(LEN(_DB_Exercises!AC20)&gt;0,_DB_Exercises!AC20,"")</f>
        <v>9</v>
      </c>
      <c r="I18" s="31">
        <f>IF(LEN(_DB_Exercises!AD20)&gt;0,_DB_Exercises!AD20,"")</f>
        <v>9</v>
      </c>
      <c r="J18" s="31">
        <f>IF(LEN(_DB_Exercises!AE20)&gt;0,_DB_Exercises!AE20,"")</f>
        <v>8</v>
      </c>
      <c r="K18" s="31">
        <f>IF(LEN(_DB_Exercises!AF20)&gt;0,_DB_Exercises!AF20,"")</f>
        <v>8</v>
      </c>
      <c r="L18" s="31">
        <f>IF(LEN(_DB_Exercises!AG20)&gt;0,_DB_Exercises!AG20,"")</f>
        <v>8</v>
      </c>
      <c r="M18" s="31">
        <f>IF(LEN(_DB_Exercises!AH20)&gt;0,_DB_Exercises!AH20,"")</f>
        <v>8</v>
      </c>
      <c r="N18" s="31">
        <f>IF(LEN(_DB_Exercises!AI20)&gt;0,_DB_Exercises!AI20,"")</f>
        <v>8</v>
      </c>
      <c r="O18" s="31">
        <f>IF(LEN(_DB_Exercises!AJ20)&gt;0,_DB_Exercises!AJ20,"")</f>
        <v>7</v>
      </c>
      <c r="P18" s="31">
        <f>IF(LEN(_DB_Exercises!AK20)&gt;0,_DB_Exercises!AK20,"")</f>
        <v>7</v>
      </c>
      <c r="Q18" s="31">
        <f>IF(LEN(_DB_Exercises!AL20)&gt;0,_DB_Exercises!AL20,"")</f>
        <v>7</v>
      </c>
      <c r="R18" s="31">
        <f>IF(LEN(_DB_Exercises!AM20)&gt;0,_DB_Exercises!AM20,"")</f>
        <v>7</v>
      </c>
      <c r="S18" s="31">
        <f>IF(LEN(_DB_Exercises!AN20)&gt;0,_DB_Exercises!AN20,"")</f>
        <v>7</v>
      </c>
      <c r="T18" s="31">
        <f>IF(LEN(_DB_Exercises!AO20)&gt;0,_DB_Exercises!AO20,"")</f>
        <v>7</v>
      </c>
      <c r="U18" s="31">
        <f>IF(LEN(_DB_Exercises!AP20)&gt;0,_DB_Exercises!AP20,"")</f>
        <v>7</v>
      </c>
      <c r="V18" s="31">
        <f>IF(LEN(_DB_Exercises!AQ20)&gt;0,_DB_Exercises!AQ20,"")</f>
        <v>7</v>
      </c>
      <c r="W18" s="31">
        <f>IF(LEN(_DB_Exercises!AR20)&gt;0,_DB_Exercises!AR20,"")</f>
        <v>6</v>
      </c>
      <c r="X18" s="31">
        <f>IF(LEN(_DB_Exercises!AS20)&gt;0,_DB_Exercises!AS20,"")</f>
        <v>6</v>
      </c>
      <c r="Y18" s="31">
        <f>IF(LEN(_DB_Exercises!AT20)&gt;0,_DB_Exercises!AT20,"")</f>
        <v>6</v>
      </c>
      <c r="Z18" s="31">
        <f>IF(LEN(_DB_Exercises!AU20)&gt;0,_DB_Exercises!AU20,"")</f>
        <v>6</v>
      </c>
      <c r="AA18" s="31">
        <f>IF(LEN(_DB_Exercises!AV20)&gt;0,_DB_Exercises!AV20,"")</f>
        <v>6</v>
      </c>
      <c r="AB18" s="31">
        <f>IF(LEN(_DB_Exercises!AW20)&gt;0,_DB_Exercises!AW20,"")</f>
        <v>6</v>
      </c>
      <c r="AC18" s="31">
        <f>IF(LEN(_DB_Exercises!AX20)&gt;0,_DB_Exercises!AX20,"")</f>
        <v>6</v>
      </c>
      <c r="AD18" s="31">
        <f>IF(LEN(_DB_Exercises!AY20)&gt;0,_DB_Exercises!AY20,"")</f>
        <v>6</v>
      </c>
      <c r="AE18" s="31">
        <f>IF(LEN(_DB_Exercises!AZ20)&gt;0,_DB_Exercises!AZ20,"")</f>
        <v>6</v>
      </c>
      <c r="AF18" s="31">
        <f>IF(LEN(_DB_Exercises!BA20)&gt;0,_DB_Exercises!BA20,"")</f>
        <v>6</v>
      </c>
      <c r="AG18" s="31">
        <f>IF(LEN(_DB_Exercises!BB20)&gt;0,_DB_Exercises!BB20,"")</f>
        <v>6</v>
      </c>
      <c r="AH18" s="31">
        <f>IF(LEN(_DB_Exercises!BC20)&gt;0,_DB_Exercises!BC20,"")</f>
        <v>6</v>
      </c>
      <c r="AI18" s="31">
        <f>IF(LEN(_DB_Exercises!BD20)&gt;0,_DB_Exercises!BD20,"")</f>
        <v>6</v>
      </c>
      <c r="AJ18" s="31">
        <f>IF(LEN(_DB_Exercises!BE20)&gt;0,_DB_Exercises!BE20,"")</f>
        <v>6</v>
      </c>
      <c r="AK18" s="31">
        <f>IF(LEN(_DB_Exercises!BF20)&gt;0,_DB_Exercises!BF20,"")</f>
        <v>5</v>
      </c>
      <c r="AL18" s="31">
        <f>IF(LEN(_DB_Exercises!BG20)&gt;0,_DB_Exercises!BG20,"")</f>
        <v>5</v>
      </c>
      <c r="AM18" s="31">
        <f>IF(LEN(_DB_Exercises!BH20)&gt;0,_DB_Exercises!BH20,"")</f>
        <v>5</v>
      </c>
      <c r="AN18" s="31">
        <f>IF(LEN(_DB_Exercises!BI20)&gt;0,_DB_Exercises!BI20,"")</f>
        <v>5</v>
      </c>
      <c r="AO18" s="31">
        <f>IF(LEN(_DB_Exercises!BJ20)&gt;0,_DB_Exercises!BJ20,"")</f>
        <v>5</v>
      </c>
      <c r="AP18" s="31">
        <f>IF(LEN(_DB_Exercises!BK20)&gt;0,_DB_Exercises!BK20,"")</f>
        <v>5</v>
      </c>
      <c r="AQ18" s="31">
        <f>IF(LEN(_DB_Exercises!BL20)&gt;0,_DB_Exercises!BL20,"")</f>
        <v>5</v>
      </c>
      <c r="AR18" s="31">
        <f>IF(LEN(_DB_Exercises!BM20)&gt;0,_DB_Exercises!BM20,"")</f>
        <v>5</v>
      </c>
    </row>
    <row r="19" spans="1:44" x14ac:dyDescent="0.25">
      <c r="A19" s="11">
        <f>IF(LEN(_DB_Exercises!A21)&gt;0,_DB_Exercises!A21,"")</f>
        <v>2007</v>
      </c>
      <c r="B19" s="14" t="str">
        <f>IF(LEN(_DB_Exercises!K21)&gt;0,_DB_Exercises!K21,"")</f>
        <v>Putting Hero</v>
      </c>
      <c r="C19" s="31">
        <f>IF(LEN(_DB_Exercises!X21)&gt;0,_DB_Exercises!X21,"")</f>
        <v>10</v>
      </c>
      <c r="D19" s="31">
        <f>IF(LEN(_DB_Exercises!Y21)&gt;0,_DB_Exercises!Y21,"")</f>
        <v>10</v>
      </c>
      <c r="E19" s="31">
        <f>IF(LEN(_DB_Exercises!Z21)&gt;0,_DB_Exercises!Z21,"")</f>
        <v>10</v>
      </c>
      <c r="F19" s="31">
        <f>IF(LEN(_DB_Exercises!AA21)&gt;0,_DB_Exercises!AA21,"")</f>
        <v>9</v>
      </c>
      <c r="G19" s="31">
        <f>IF(LEN(_DB_Exercises!AB21)&gt;0,_DB_Exercises!AB21,"")</f>
        <v>9</v>
      </c>
      <c r="H19" s="31">
        <f>IF(LEN(_DB_Exercises!AC21)&gt;0,_DB_Exercises!AC21,"")</f>
        <v>9</v>
      </c>
      <c r="I19" s="31">
        <f>IF(LEN(_DB_Exercises!AD21)&gt;0,_DB_Exercises!AD21,"")</f>
        <v>9</v>
      </c>
      <c r="J19" s="31">
        <f>IF(LEN(_DB_Exercises!AE21)&gt;0,_DB_Exercises!AE21,"")</f>
        <v>8</v>
      </c>
      <c r="K19" s="31">
        <f>IF(LEN(_DB_Exercises!AF21)&gt;0,_DB_Exercises!AF21,"")</f>
        <v>8</v>
      </c>
      <c r="L19" s="31">
        <f>IF(LEN(_DB_Exercises!AG21)&gt;0,_DB_Exercises!AG21,"")</f>
        <v>8</v>
      </c>
      <c r="M19" s="31">
        <f>IF(LEN(_DB_Exercises!AH21)&gt;0,_DB_Exercises!AH21,"")</f>
        <v>8</v>
      </c>
      <c r="N19" s="31">
        <f>IF(LEN(_DB_Exercises!AI21)&gt;0,_DB_Exercises!AI21,"")</f>
        <v>8</v>
      </c>
      <c r="O19" s="31">
        <f>IF(LEN(_DB_Exercises!AJ21)&gt;0,_DB_Exercises!AJ21,"")</f>
        <v>7</v>
      </c>
      <c r="P19" s="31">
        <f>IF(LEN(_DB_Exercises!AK21)&gt;0,_DB_Exercises!AK21,"")</f>
        <v>7</v>
      </c>
      <c r="Q19" s="31">
        <f>IF(LEN(_DB_Exercises!AL21)&gt;0,_DB_Exercises!AL21,"")</f>
        <v>7</v>
      </c>
      <c r="R19" s="31">
        <f>IF(LEN(_DB_Exercises!AM21)&gt;0,_DB_Exercises!AM21,"")</f>
        <v>7</v>
      </c>
      <c r="S19" s="31">
        <f>IF(LEN(_DB_Exercises!AN21)&gt;0,_DB_Exercises!AN21,"")</f>
        <v>7</v>
      </c>
      <c r="T19" s="31">
        <f>IF(LEN(_DB_Exercises!AO21)&gt;0,_DB_Exercises!AO21,"")</f>
        <v>7</v>
      </c>
      <c r="U19" s="31">
        <f>IF(LEN(_DB_Exercises!AP21)&gt;0,_DB_Exercises!AP21,"")</f>
        <v>7</v>
      </c>
      <c r="V19" s="31">
        <f>IF(LEN(_DB_Exercises!AQ21)&gt;0,_DB_Exercises!AQ21,"")</f>
        <v>7</v>
      </c>
      <c r="W19" s="31">
        <f>IF(LEN(_DB_Exercises!AR21)&gt;0,_DB_Exercises!AR21,"")</f>
        <v>6</v>
      </c>
      <c r="X19" s="31">
        <f>IF(LEN(_DB_Exercises!AS21)&gt;0,_DB_Exercises!AS21,"")</f>
        <v>6</v>
      </c>
      <c r="Y19" s="31">
        <f>IF(LEN(_DB_Exercises!AT21)&gt;0,_DB_Exercises!AT21,"")</f>
        <v>6</v>
      </c>
      <c r="Z19" s="31">
        <f>IF(LEN(_DB_Exercises!AU21)&gt;0,_DB_Exercises!AU21,"")</f>
        <v>6</v>
      </c>
      <c r="AA19" s="31">
        <f>IF(LEN(_DB_Exercises!AV21)&gt;0,_DB_Exercises!AV21,"")</f>
        <v>6</v>
      </c>
      <c r="AB19" s="31">
        <f>IF(LEN(_DB_Exercises!AW21)&gt;0,_DB_Exercises!AW21,"")</f>
        <v>6</v>
      </c>
      <c r="AC19" s="31">
        <f>IF(LEN(_DB_Exercises!AX21)&gt;0,_DB_Exercises!AX21,"")</f>
        <v>6</v>
      </c>
      <c r="AD19" s="31">
        <f>IF(LEN(_DB_Exercises!AY21)&gt;0,_DB_Exercises!AY21,"")</f>
        <v>6</v>
      </c>
      <c r="AE19" s="31">
        <f>IF(LEN(_DB_Exercises!AZ21)&gt;0,_DB_Exercises!AZ21,"")</f>
        <v>6</v>
      </c>
      <c r="AF19" s="31">
        <f>IF(LEN(_DB_Exercises!BA21)&gt;0,_DB_Exercises!BA21,"")</f>
        <v>6</v>
      </c>
      <c r="AG19" s="31">
        <f>IF(LEN(_DB_Exercises!BB21)&gt;0,_DB_Exercises!BB21,"")</f>
        <v>6</v>
      </c>
      <c r="AH19" s="31">
        <f>IF(LEN(_DB_Exercises!BC21)&gt;0,_DB_Exercises!BC21,"")</f>
        <v>6</v>
      </c>
      <c r="AI19" s="31">
        <f>IF(LEN(_DB_Exercises!BD21)&gt;0,_DB_Exercises!BD21,"")</f>
        <v>6</v>
      </c>
      <c r="AJ19" s="31">
        <f>IF(LEN(_DB_Exercises!BE21)&gt;0,_DB_Exercises!BE21,"")</f>
        <v>6</v>
      </c>
      <c r="AK19" s="31">
        <f>IF(LEN(_DB_Exercises!BF21)&gt;0,_DB_Exercises!BF21,"")</f>
        <v>5</v>
      </c>
      <c r="AL19" s="31">
        <f>IF(LEN(_DB_Exercises!BG21)&gt;0,_DB_Exercises!BG21,"")</f>
        <v>5</v>
      </c>
      <c r="AM19" s="31">
        <f>IF(LEN(_DB_Exercises!BH21)&gt;0,_DB_Exercises!BH21,"")</f>
        <v>5</v>
      </c>
      <c r="AN19" s="31">
        <f>IF(LEN(_DB_Exercises!BI21)&gt;0,_DB_Exercises!BI21,"")</f>
        <v>5</v>
      </c>
      <c r="AO19" s="31">
        <f>IF(LEN(_DB_Exercises!BJ21)&gt;0,_DB_Exercises!BJ21,"")</f>
        <v>5</v>
      </c>
      <c r="AP19" s="31">
        <f>IF(LEN(_DB_Exercises!BK21)&gt;0,_DB_Exercises!BK21,"")</f>
        <v>5</v>
      </c>
      <c r="AQ19" s="31">
        <f>IF(LEN(_DB_Exercises!BL21)&gt;0,_DB_Exercises!BL21,"")</f>
        <v>5</v>
      </c>
      <c r="AR19" s="31">
        <f>IF(LEN(_DB_Exercises!BM21)&gt;0,_DB_Exercises!BM21,"")</f>
        <v>5</v>
      </c>
    </row>
    <row r="20" spans="1:44" x14ac:dyDescent="0.25">
      <c r="A20" s="11">
        <f>IF(LEN(_DB_Exercises!A22)&gt;0,_DB_Exercises!A22,"")</f>
        <v>2008</v>
      </c>
      <c r="B20" s="14" t="str">
        <f>IF(LEN(_DB_Exercises!K22)&gt;0,_DB_Exercises!K22,"")</f>
        <v>Putting Hero Extrem</v>
      </c>
      <c r="C20" s="31">
        <f>IF(LEN(_DB_Exercises!X22)&gt;0,_DB_Exercises!X22,"")</f>
        <v>10</v>
      </c>
      <c r="D20" s="31">
        <f>IF(LEN(_DB_Exercises!Y22)&gt;0,_DB_Exercises!Y22,"")</f>
        <v>10</v>
      </c>
      <c r="E20" s="31">
        <f>IF(LEN(_DB_Exercises!Z22)&gt;0,_DB_Exercises!Z22,"")</f>
        <v>10</v>
      </c>
      <c r="F20" s="31">
        <f>IF(LEN(_DB_Exercises!AA22)&gt;0,_DB_Exercises!AA22,"")</f>
        <v>9</v>
      </c>
      <c r="G20" s="31">
        <f>IF(LEN(_DB_Exercises!AB22)&gt;0,_DB_Exercises!AB22,"")</f>
        <v>9</v>
      </c>
      <c r="H20" s="31">
        <f>IF(LEN(_DB_Exercises!AC22)&gt;0,_DB_Exercises!AC22,"")</f>
        <v>9</v>
      </c>
      <c r="I20" s="31">
        <f>IF(LEN(_DB_Exercises!AD22)&gt;0,_DB_Exercises!AD22,"")</f>
        <v>9</v>
      </c>
      <c r="J20" s="31">
        <f>IF(LEN(_DB_Exercises!AE22)&gt;0,_DB_Exercises!AE22,"")</f>
        <v>8</v>
      </c>
      <c r="K20" s="31">
        <f>IF(LEN(_DB_Exercises!AF22)&gt;0,_DB_Exercises!AF22,"")</f>
        <v>8</v>
      </c>
      <c r="L20" s="31">
        <f>IF(LEN(_DB_Exercises!AG22)&gt;0,_DB_Exercises!AG22,"")</f>
        <v>8</v>
      </c>
      <c r="M20" s="31">
        <f>IF(LEN(_DB_Exercises!AH22)&gt;0,_DB_Exercises!AH22,"")</f>
        <v>8</v>
      </c>
      <c r="N20" s="31">
        <f>IF(LEN(_DB_Exercises!AI22)&gt;0,_DB_Exercises!AI22,"")</f>
        <v>8</v>
      </c>
      <c r="O20" s="31">
        <f>IF(LEN(_DB_Exercises!AJ22)&gt;0,_DB_Exercises!AJ22,"")</f>
        <v>7</v>
      </c>
      <c r="P20" s="31">
        <f>IF(LEN(_DB_Exercises!AK22)&gt;0,_DB_Exercises!AK22,"")</f>
        <v>7</v>
      </c>
      <c r="Q20" s="31">
        <f>IF(LEN(_DB_Exercises!AL22)&gt;0,_DB_Exercises!AL22,"")</f>
        <v>7</v>
      </c>
      <c r="R20" s="31">
        <f>IF(LEN(_DB_Exercises!AM22)&gt;0,_DB_Exercises!AM22,"")</f>
        <v>7</v>
      </c>
      <c r="S20" s="31">
        <f>IF(LEN(_DB_Exercises!AN22)&gt;0,_DB_Exercises!AN22,"")</f>
        <v>7</v>
      </c>
      <c r="T20" s="31">
        <f>IF(LEN(_DB_Exercises!AO22)&gt;0,_DB_Exercises!AO22,"")</f>
        <v>7</v>
      </c>
      <c r="U20" s="31">
        <f>IF(LEN(_DB_Exercises!AP22)&gt;0,_DB_Exercises!AP22,"")</f>
        <v>7</v>
      </c>
      <c r="V20" s="31">
        <f>IF(LEN(_DB_Exercises!AQ22)&gt;0,_DB_Exercises!AQ22,"")</f>
        <v>7</v>
      </c>
      <c r="W20" s="31">
        <f>IF(LEN(_DB_Exercises!AR22)&gt;0,_DB_Exercises!AR22,"")</f>
        <v>6</v>
      </c>
      <c r="X20" s="31">
        <f>IF(LEN(_DB_Exercises!AS22)&gt;0,_DB_Exercises!AS22,"")</f>
        <v>6</v>
      </c>
      <c r="Y20" s="31">
        <f>IF(LEN(_DB_Exercises!AT22)&gt;0,_DB_Exercises!AT22,"")</f>
        <v>6</v>
      </c>
      <c r="Z20" s="31">
        <f>IF(LEN(_DB_Exercises!AU22)&gt;0,_DB_Exercises!AU22,"")</f>
        <v>6</v>
      </c>
      <c r="AA20" s="31">
        <f>IF(LEN(_DB_Exercises!AV22)&gt;0,_DB_Exercises!AV22,"")</f>
        <v>6</v>
      </c>
      <c r="AB20" s="31">
        <f>IF(LEN(_DB_Exercises!AW22)&gt;0,_DB_Exercises!AW22,"")</f>
        <v>6</v>
      </c>
      <c r="AC20" s="31">
        <f>IF(LEN(_DB_Exercises!AX22)&gt;0,_DB_Exercises!AX22,"")</f>
        <v>6</v>
      </c>
      <c r="AD20" s="31">
        <f>IF(LEN(_DB_Exercises!AY22)&gt;0,_DB_Exercises!AY22,"")</f>
        <v>6</v>
      </c>
      <c r="AE20" s="31">
        <f>IF(LEN(_DB_Exercises!AZ22)&gt;0,_DB_Exercises!AZ22,"")</f>
        <v>6</v>
      </c>
      <c r="AF20" s="31">
        <f>IF(LEN(_DB_Exercises!BA22)&gt;0,_DB_Exercises!BA22,"")</f>
        <v>6</v>
      </c>
      <c r="AG20" s="31">
        <f>IF(LEN(_DB_Exercises!BB22)&gt;0,_DB_Exercises!BB22,"")</f>
        <v>6</v>
      </c>
      <c r="AH20" s="31">
        <f>IF(LEN(_DB_Exercises!BC22)&gt;0,_DB_Exercises!BC22,"")</f>
        <v>6</v>
      </c>
      <c r="AI20" s="31">
        <f>IF(LEN(_DB_Exercises!BD22)&gt;0,_DB_Exercises!BD22,"")</f>
        <v>6</v>
      </c>
      <c r="AJ20" s="31">
        <f>IF(LEN(_DB_Exercises!BE22)&gt;0,_DB_Exercises!BE22,"")</f>
        <v>6</v>
      </c>
      <c r="AK20" s="31">
        <f>IF(LEN(_DB_Exercises!BF22)&gt;0,_DB_Exercises!BF22,"")</f>
        <v>5</v>
      </c>
      <c r="AL20" s="31">
        <f>IF(LEN(_DB_Exercises!BG22)&gt;0,_DB_Exercises!BG22,"")</f>
        <v>5</v>
      </c>
      <c r="AM20" s="31">
        <f>IF(LEN(_DB_Exercises!BH22)&gt;0,_DB_Exercises!BH22,"")</f>
        <v>5</v>
      </c>
      <c r="AN20" s="31">
        <f>IF(LEN(_DB_Exercises!BI22)&gt;0,_DB_Exercises!BI22,"")</f>
        <v>5</v>
      </c>
      <c r="AO20" s="31">
        <f>IF(LEN(_DB_Exercises!BJ22)&gt;0,_DB_Exercises!BJ22,"")</f>
        <v>5</v>
      </c>
      <c r="AP20" s="31">
        <f>IF(LEN(_DB_Exercises!BK22)&gt;0,_DB_Exercises!BK22,"")</f>
        <v>5</v>
      </c>
      <c r="AQ20" s="31">
        <f>IF(LEN(_DB_Exercises!BL22)&gt;0,_DB_Exercises!BL22,"")</f>
        <v>5</v>
      </c>
      <c r="AR20" s="31">
        <f>IF(LEN(_DB_Exercises!BM22)&gt;0,_DB_Exercises!BM22,"")</f>
        <v>5</v>
      </c>
    </row>
    <row r="21" spans="1:44" x14ac:dyDescent="0.25">
      <c r="A21" s="11" t="e">
        <f>IF(LEN(_DB_Exercises!#REF!)&gt;0,_DB_Exercises!#REF!,"")</f>
        <v>#REF!</v>
      </c>
      <c r="B21" s="14" t="e">
        <f>IF(LEN(_DB_Exercises!#REF!)&gt;0,_DB_Exercises!#REF!,"")</f>
        <v>#REF!</v>
      </c>
      <c r="C21" s="31" t="e">
        <f>IF(LEN(_DB_Exercises!#REF!)&gt;0,_DB_Exercises!#REF!,"")</f>
        <v>#REF!</v>
      </c>
      <c r="D21" s="31" t="e">
        <f>IF(LEN(_DB_Exercises!#REF!)&gt;0,_DB_Exercises!#REF!,"")</f>
        <v>#REF!</v>
      </c>
      <c r="E21" s="31" t="e">
        <f>IF(LEN(_DB_Exercises!#REF!)&gt;0,_DB_Exercises!#REF!,"")</f>
        <v>#REF!</v>
      </c>
      <c r="F21" s="31" t="e">
        <f>IF(LEN(_DB_Exercises!#REF!)&gt;0,_DB_Exercises!#REF!,"")</f>
        <v>#REF!</v>
      </c>
      <c r="G21" s="31" t="e">
        <f>IF(LEN(_DB_Exercises!#REF!)&gt;0,_DB_Exercises!#REF!,"")</f>
        <v>#REF!</v>
      </c>
      <c r="H21" s="31" t="e">
        <f>IF(LEN(_DB_Exercises!#REF!)&gt;0,_DB_Exercises!#REF!,"")</f>
        <v>#REF!</v>
      </c>
      <c r="I21" s="31" t="e">
        <f>IF(LEN(_DB_Exercises!#REF!)&gt;0,_DB_Exercises!#REF!,"")</f>
        <v>#REF!</v>
      </c>
      <c r="J21" s="31" t="e">
        <f>IF(LEN(_DB_Exercises!#REF!)&gt;0,_DB_Exercises!#REF!,"")</f>
        <v>#REF!</v>
      </c>
      <c r="K21" s="31" t="e">
        <f>IF(LEN(_DB_Exercises!#REF!)&gt;0,_DB_Exercises!#REF!,"")</f>
        <v>#REF!</v>
      </c>
      <c r="L21" s="31" t="e">
        <f>IF(LEN(_DB_Exercises!#REF!)&gt;0,_DB_Exercises!#REF!,"")</f>
        <v>#REF!</v>
      </c>
      <c r="M21" s="31" t="e">
        <f>IF(LEN(_DB_Exercises!#REF!)&gt;0,_DB_Exercises!#REF!,"")</f>
        <v>#REF!</v>
      </c>
      <c r="N21" s="31" t="e">
        <f>IF(LEN(_DB_Exercises!#REF!)&gt;0,_DB_Exercises!#REF!,"")</f>
        <v>#REF!</v>
      </c>
      <c r="O21" s="31" t="e">
        <f>IF(LEN(_DB_Exercises!#REF!)&gt;0,_DB_Exercises!#REF!,"")</f>
        <v>#REF!</v>
      </c>
      <c r="P21" s="31" t="e">
        <f>IF(LEN(_DB_Exercises!#REF!)&gt;0,_DB_Exercises!#REF!,"")</f>
        <v>#REF!</v>
      </c>
      <c r="Q21" s="31" t="e">
        <f>IF(LEN(_DB_Exercises!#REF!)&gt;0,_DB_Exercises!#REF!,"")</f>
        <v>#REF!</v>
      </c>
      <c r="R21" s="31" t="e">
        <f>IF(LEN(_DB_Exercises!#REF!)&gt;0,_DB_Exercises!#REF!,"")</f>
        <v>#REF!</v>
      </c>
      <c r="S21" s="31" t="e">
        <f>IF(LEN(_DB_Exercises!#REF!)&gt;0,_DB_Exercises!#REF!,"")</f>
        <v>#REF!</v>
      </c>
      <c r="T21" s="31" t="e">
        <f>IF(LEN(_DB_Exercises!#REF!)&gt;0,_DB_Exercises!#REF!,"")</f>
        <v>#REF!</v>
      </c>
      <c r="U21" s="31" t="e">
        <f>IF(LEN(_DB_Exercises!#REF!)&gt;0,_DB_Exercises!#REF!,"")</f>
        <v>#REF!</v>
      </c>
      <c r="V21" s="31" t="e">
        <f>IF(LEN(_DB_Exercises!#REF!)&gt;0,_DB_Exercises!#REF!,"")</f>
        <v>#REF!</v>
      </c>
      <c r="W21" s="31" t="e">
        <f>IF(LEN(_DB_Exercises!#REF!)&gt;0,_DB_Exercises!#REF!,"")</f>
        <v>#REF!</v>
      </c>
      <c r="X21" s="31" t="e">
        <f>IF(LEN(_DB_Exercises!#REF!)&gt;0,_DB_Exercises!#REF!,"")</f>
        <v>#REF!</v>
      </c>
      <c r="Y21" s="31" t="e">
        <f>IF(LEN(_DB_Exercises!#REF!)&gt;0,_DB_Exercises!#REF!,"")</f>
        <v>#REF!</v>
      </c>
      <c r="Z21" s="31" t="e">
        <f>IF(LEN(_DB_Exercises!#REF!)&gt;0,_DB_Exercises!#REF!,"")</f>
        <v>#REF!</v>
      </c>
      <c r="AA21" s="31" t="e">
        <f>IF(LEN(_DB_Exercises!#REF!)&gt;0,_DB_Exercises!#REF!,"")</f>
        <v>#REF!</v>
      </c>
      <c r="AB21" s="31" t="e">
        <f>IF(LEN(_DB_Exercises!#REF!)&gt;0,_DB_Exercises!#REF!,"")</f>
        <v>#REF!</v>
      </c>
      <c r="AC21" s="31" t="e">
        <f>IF(LEN(_DB_Exercises!#REF!)&gt;0,_DB_Exercises!#REF!,"")</f>
        <v>#REF!</v>
      </c>
      <c r="AD21" s="31" t="e">
        <f>IF(LEN(_DB_Exercises!#REF!)&gt;0,_DB_Exercises!#REF!,"")</f>
        <v>#REF!</v>
      </c>
      <c r="AE21" s="31" t="e">
        <f>IF(LEN(_DB_Exercises!#REF!)&gt;0,_DB_Exercises!#REF!,"")</f>
        <v>#REF!</v>
      </c>
      <c r="AF21" s="31" t="e">
        <f>IF(LEN(_DB_Exercises!#REF!)&gt;0,_DB_Exercises!#REF!,"")</f>
        <v>#REF!</v>
      </c>
      <c r="AG21" s="31" t="e">
        <f>IF(LEN(_DB_Exercises!#REF!)&gt;0,_DB_Exercises!#REF!,"")</f>
        <v>#REF!</v>
      </c>
      <c r="AH21" s="31" t="e">
        <f>IF(LEN(_DB_Exercises!#REF!)&gt;0,_DB_Exercises!#REF!,"")</f>
        <v>#REF!</v>
      </c>
      <c r="AI21" s="31" t="e">
        <f>IF(LEN(_DB_Exercises!#REF!)&gt;0,_DB_Exercises!#REF!,"")</f>
        <v>#REF!</v>
      </c>
      <c r="AJ21" s="31" t="e">
        <f>IF(LEN(_DB_Exercises!#REF!)&gt;0,_DB_Exercises!#REF!,"")</f>
        <v>#REF!</v>
      </c>
      <c r="AK21" s="31" t="e">
        <f>IF(LEN(_DB_Exercises!#REF!)&gt;0,_DB_Exercises!#REF!,"")</f>
        <v>#REF!</v>
      </c>
      <c r="AL21" s="31" t="e">
        <f>IF(LEN(_DB_Exercises!#REF!)&gt;0,_DB_Exercises!#REF!,"")</f>
        <v>#REF!</v>
      </c>
      <c r="AM21" s="31" t="e">
        <f>IF(LEN(_DB_Exercises!#REF!)&gt;0,_DB_Exercises!#REF!,"")</f>
        <v>#REF!</v>
      </c>
      <c r="AN21" s="31" t="e">
        <f>IF(LEN(_DB_Exercises!#REF!)&gt;0,_DB_Exercises!#REF!,"")</f>
        <v>#REF!</v>
      </c>
      <c r="AO21" s="31" t="e">
        <f>IF(LEN(_DB_Exercises!#REF!)&gt;0,_DB_Exercises!#REF!,"")</f>
        <v>#REF!</v>
      </c>
      <c r="AP21" s="31" t="e">
        <f>IF(LEN(_DB_Exercises!#REF!)&gt;0,_DB_Exercises!#REF!,"")</f>
        <v>#REF!</v>
      </c>
      <c r="AQ21" s="31" t="e">
        <f>IF(LEN(_DB_Exercises!#REF!)&gt;0,_DB_Exercises!#REF!,"")</f>
        <v>#REF!</v>
      </c>
      <c r="AR21" s="31" t="e">
        <f>IF(LEN(_DB_Exercises!#REF!)&gt;0,_DB_Exercises!#REF!,"")</f>
        <v>#REF!</v>
      </c>
    </row>
    <row r="22" spans="1:44" x14ac:dyDescent="0.25">
      <c r="A22" s="11">
        <f>IF(LEN(_DB_Exercises!A23)&gt;0,_DB_Exercises!A23,"")</f>
        <v>2009</v>
      </c>
      <c r="B22" s="14" t="str">
        <f>IF(LEN(_DB_Exercises!K23)&gt;0,_DB_Exercises!K23,"")</f>
        <v>Putting Hero Ultra</v>
      </c>
      <c r="C22" s="31">
        <f>IF(LEN(_DB_Exercises!X23)&gt;0,_DB_Exercises!X23,"")</f>
        <v>10</v>
      </c>
      <c r="D22" s="31">
        <f>IF(LEN(_DB_Exercises!Y23)&gt;0,_DB_Exercises!Y23,"")</f>
        <v>10</v>
      </c>
      <c r="E22" s="31">
        <f>IF(LEN(_DB_Exercises!Z23)&gt;0,_DB_Exercises!Z23,"")</f>
        <v>10</v>
      </c>
      <c r="F22" s="31">
        <f>IF(LEN(_DB_Exercises!AA23)&gt;0,_DB_Exercises!AA23,"")</f>
        <v>9</v>
      </c>
      <c r="G22" s="31">
        <f>IF(LEN(_DB_Exercises!AB23)&gt;0,_DB_Exercises!AB23,"")</f>
        <v>9</v>
      </c>
      <c r="H22" s="31">
        <f>IF(LEN(_DB_Exercises!AC23)&gt;0,_DB_Exercises!AC23,"")</f>
        <v>9</v>
      </c>
      <c r="I22" s="31">
        <f>IF(LEN(_DB_Exercises!AD23)&gt;0,_DB_Exercises!AD23,"")</f>
        <v>9</v>
      </c>
      <c r="J22" s="31">
        <f>IF(LEN(_DB_Exercises!AE23)&gt;0,_DB_Exercises!AE23,"")</f>
        <v>8</v>
      </c>
      <c r="K22" s="31">
        <f>IF(LEN(_DB_Exercises!AF23)&gt;0,_DB_Exercises!AF23,"")</f>
        <v>8</v>
      </c>
      <c r="L22" s="31">
        <f>IF(LEN(_DB_Exercises!AG23)&gt;0,_DB_Exercises!AG23,"")</f>
        <v>8</v>
      </c>
      <c r="M22" s="31">
        <f>IF(LEN(_DB_Exercises!AH23)&gt;0,_DB_Exercises!AH23,"")</f>
        <v>8</v>
      </c>
      <c r="N22" s="31">
        <f>IF(LEN(_DB_Exercises!AI23)&gt;0,_DB_Exercises!AI23,"")</f>
        <v>8</v>
      </c>
      <c r="O22" s="31">
        <f>IF(LEN(_DB_Exercises!AJ23)&gt;0,_DB_Exercises!AJ23,"")</f>
        <v>7</v>
      </c>
      <c r="P22" s="31">
        <f>IF(LEN(_DB_Exercises!AK23)&gt;0,_DB_Exercises!AK23,"")</f>
        <v>7</v>
      </c>
      <c r="Q22" s="31">
        <f>IF(LEN(_DB_Exercises!AL23)&gt;0,_DB_Exercises!AL23,"")</f>
        <v>7</v>
      </c>
      <c r="R22" s="31">
        <f>IF(LEN(_DB_Exercises!AM23)&gt;0,_DB_Exercises!AM23,"")</f>
        <v>7</v>
      </c>
      <c r="S22" s="31">
        <f>IF(LEN(_DB_Exercises!AN23)&gt;0,_DB_Exercises!AN23,"")</f>
        <v>7</v>
      </c>
      <c r="T22" s="31">
        <f>IF(LEN(_DB_Exercises!AO23)&gt;0,_DB_Exercises!AO23,"")</f>
        <v>7</v>
      </c>
      <c r="U22" s="31">
        <f>IF(LEN(_DB_Exercises!AP23)&gt;0,_DB_Exercises!AP23,"")</f>
        <v>7</v>
      </c>
      <c r="V22" s="31">
        <f>IF(LEN(_DB_Exercises!AQ23)&gt;0,_DB_Exercises!AQ23,"")</f>
        <v>7</v>
      </c>
      <c r="W22" s="31">
        <f>IF(LEN(_DB_Exercises!AR23)&gt;0,_DB_Exercises!AR23,"")</f>
        <v>6</v>
      </c>
      <c r="X22" s="31">
        <f>IF(LEN(_DB_Exercises!AS23)&gt;0,_DB_Exercises!AS23,"")</f>
        <v>6</v>
      </c>
      <c r="Y22" s="31">
        <f>IF(LEN(_DB_Exercises!AT23)&gt;0,_DB_Exercises!AT23,"")</f>
        <v>6</v>
      </c>
      <c r="Z22" s="31">
        <f>IF(LEN(_DB_Exercises!AU23)&gt;0,_DB_Exercises!AU23,"")</f>
        <v>6</v>
      </c>
      <c r="AA22" s="31">
        <f>IF(LEN(_DB_Exercises!AV23)&gt;0,_DB_Exercises!AV23,"")</f>
        <v>6</v>
      </c>
      <c r="AB22" s="31">
        <f>IF(LEN(_DB_Exercises!AW23)&gt;0,_DB_Exercises!AW23,"")</f>
        <v>6</v>
      </c>
      <c r="AC22" s="31">
        <f>IF(LEN(_DB_Exercises!AX23)&gt;0,_DB_Exercises!AX23,"")</f>
        <v>6</v>
      </c>
      <c r="AD22" s="31">
        <f>IF(LEN(_DB_Exercises!AY23)&gt;0,_DB_Exercises!AY23,"")</f>
        <v>6</v>
      </c>
      <c r="AE22" s="31">
        <f>IF(LEN(_DB_Exercises!AZ23)&gt;0,_DB_Exercises!AZ23,"")</f>
        <v>6</v>
      </c>
      <c r="AF22" s="31">
        <f>IF(LEN(_DB_Exercises!BA23)&gt;0,_DB_Exercises!BA23,"")</f>
        <v>6</v>
      </c>
      <c r="AG22" s="31">
        <f>IF(LEN(_DB_Exercises!BB23)&gt;0,_DB_Exercises!BB23,"")</f>
        <v>6</v>
      </c>
      <c r="AH22" s="31">
        <f>IF(LEN(_DB_Exercises!BC23)&gt;0,_DB_Exercises!BC23,"")</f>
        <v>6</v>
      </c>
      <c r="AI22" s="31">
        <f>IF(LEN(_DB_Exercises!BD23)&gt;0,_DB_Exercises!BD23,"")</f>
        <v>6</v>
      </c>
      <c r="AJ22" s="31">
        <f>IF(LEN(_DB_Exercises!BE23)&gt;0,_DB_Exercises!BE23,"")</f>
        <v>6</v>
      </c>
      <c r="AK22" s="31">
        <f>IF(LEN(_DB_Exercises!BF23)&gt;0,_DB_Exercises!BF23,"")</f>
        <v>5</v>
      </c>
      <c r="AL22" s="31">
        <f>IF(LEN(_DB_Exercises!BG23)&gt;0,_DB_Exercises!BG23,"")</f>
        <v>5</v>
      </c>
      <c r="AM22" s="31">
        <f>IF(LEN(_DB_Exercises!BH23)&gt;0,_DB_Exercises!BH23,"")</f>
        <v>5</v>
      </c>
      <c r="AN22" s="31">
        <f>IF(LEN(_DB_Exercises!BI23)&gt;0,_DB_Exercises!BI23,"")</f>
        <v>5</v>
      </c>
      <c r="AO22" s="31">
        <f>IF(LEN(_DB_Exercises!BJ23)&gt;0,_DB_Exercises!BJ23,"")</f>
        <v>5</v>
      </c>
      <c r="AP22" s="31">
        <f>IF(LEN(_DB_Exercises!BK23)&gt;0,_DB_Exercises!BK23,"")</f>
        <v>5</v>
      </c>
      <c r="AQ22" s="31">
        <f>IF(LEN(_DB_Exercises!BL23)&gt;0,_DB_Exercises!BL23,"")</f>
        <v>5</v>
      </c>
      <c r="AR22" s="31">
        <f>IF(LEN(_DB_Exercises!BM23)&gt;0,_DB_Exercises!BM23,"")</f>
        <v>5</v>
      </c>
    </row>
    <row r="23" spans="1:44" x14ac:dyDescent="0.25">
      <c r="A23" s="11">
        <f>IF(LEN(_DB_Exercises!A24)&gt;0,_DB_Exercises!A24,"")</f>
        <v>2010</v>
      </c>
      <c r="B23" s="14" t="str">
        <f>IF(LEN(_DB_Exercises!K24)&gt;0,_DB_Exercises!K24,"")</f>
        <v>Putting Circle 3 feet</v>
      </c>
      <c r="C23" s="31" t="str">
        <f>IF(LEN(_DB_Exercises!X24)&gt;0,_DB_Exercises!X24,"")</f>
        <v/>
      </c>
      <c r="D23" s="31" t="str">
        <f>IF(LEN(_DB_Exercises!Y24)&gt;0,_DB_Exercises!Y24,"")</f>
        <v/>
      </c>
      <c r="E23" s="31" t="str">
        <f>IF(LEN(_DB_Exercises!Z24)&gt;0,_DB_Exercises!Z24,"")</f>
        <v/>
      </c>
      <c r="F23" s="31" t="str">
        <f>IF(LEN(_DB_Exercises!AA24)&gt;0,_DB_Exercises!AA24,"")</f>
        <v/>
      </c>
      <c r="G23" s="31" t="str">
        <f>IF(LEN(_DB_Exercises!AB24)&gt;0,_DB_Exercises!AB24,"")</f>
        <v/>
      </c>
      <c r="H23" s="31" t="str">
        <f>IF(LEN(_DB_Exercises!AC24)&gt;0,_DB_Exercises!AC24,"")</f>
        <v/>
      </c>
      <c r="I23" s="31" t="str">
        <f>IF(LEN(_DB_Exercises!AD24)&gt;0,_DB_Exercises!AD24,"")</f>
        <v/>
      </c>
      <c r="J23" s="31" t="str">
        <f>IF(LEN(_DB_Exercises!AE24)&gt;0,_DB_Exercises!AE24,"")</f>
        <v/>
      </c>
      <c r="K23" s="31" t="str">
        <f>IF(LEN(_DB_Exercises!AF24)&gt;0,_DB_Exercises!AF24,"")</f>
        <v/>
      </c>
      <c r="L23" s="31" t="str">
        <f>IF(LEN(_DB_Exercises!AG24)&gt;0,_DB_Exercises!AG24,"")</f>
        <v/>
      </c>
      <c r="M23" s="31" t="str">
        <f>IF(LEN(_DB_Exercises!AH24)&gt;0,_DB_Exercises!AH24,"")</f>
        <v/>
      </c>
      <c r="N23" s="31" t="str">
        <f>IF(LEN(_DB_Exercises!AI24)&gt;0,_DB_Exercises!AI24,"")</f>
        <v/>
      </c>
      <c r="O23" s="31" t="str">
        <f>IF(LEN(_DB_Exercises!AJ24)&gt;0,_DB_Exercises!AJ24,"")</f>
        <v/>
      </c>
      <c r="P23" s="31" t="str">
        <f>IF(LEN(_DB_Exercises!AK24)&gt;0,_DB_Exercises!AK24,"")</f>
        <v/>
      </c>
      <c r="Q23" s="31" t="str">
        <f>IF(LEN(_DB_Exercises!AL24)&gt;0,_DB_Exercises!AL24,"")</f>
        <v/>
      </c>
      <c r="R23" s="31" t="str">
        <f>IF(LEN(_DB_Exercises!AM24)&gt;0,_DB_Exercises!AM24,"")</f>
        <v/>
      </c>
      <c r="S23" s="31" t="str">
        <f>IF(LEN(_DB_Exercises!AN24)&gt;0,_DB_Exercises!AN24,"")</f>
        <v/>
      </c>
      <c r="T23" s="31" t="str">
        <f>IF(LEN(_DB_Exercises!AO24)&gt;0,_DB_Exercises!AO24,"")</f>
        <v/>
      </c>
      <c r="U23" s="31" t="str">
        <f>IF(LEN(_DB_Exercises!AP24)&gt;0,_DB_Exercises!AP24,"")</f>
        <v/>
      </c>
      <c r="V23" s="31" t="str">
        <f>IF(LEN(_DB_Exercises!AQ24)&gt;0,_DB_Exercises!AQ24,"")</f>
        <v/>
      </c>
      <c r="W23" s="31" t="str">
        <f>IF(LEN(_DB_Exercises!AR24)&gt;0,_DB_Exercises!AR24,"")</f>
        <v/>
      </c>
      <c r="X23" s="31" t="str">
        <f>IF(LEN(_DB_Exercises!AS24)&gt;0,_DB_Exercises!AS24,"")</f>
        <v/>
      </c>
      <c r="Y23" s="31" t="str">
        <f>IF(LEN(_DB_Exercises!AT24)&gt;0,_DB_Exercises!AT24,"")</f>
        <v/>
      </c>
      <c r="Z23" s="31" t="str">
        <f>IF(LEN(_DB_Exercises!AU24)&gt;0,_DB_Exercises!AU24,"")</f>
        <v/>
      </c>
      <c r="AA23" s="31" t="str">
        <f>IF(LEN(_DB_Exercises!AV24)&gt;0,_DB_Exercises!AV24,"")</f>
        <v/>
      </c>
      <c r="AB23" s="31" t="str">
        <f>IF(LEN(_DB_Exercises!AW24)&gt;0,_DB_Exercises!AW24,"")</f>
        <v/>
      </c>
      <c r="AC23" s="31" t="str">
        <f>IF(LEN(_DB_Exercises!AX24)&gt;0,_DB_Exercises!AX24,"")</f>
        <v/>
      </c>
      <c r="AD23" s="31" t="str">
        <f>IF(LEN(_DB_Exercises!AY24)&gt;0,_DB_Exercises!AY24,"")</f>
        <v/>
      </c>
      <c r="AE23" s="31" t="str">
        <f>IF(LEN(_DB_Exercises!AZ24)&gt;0,_DB_Exercises!AZ24,"")</f>
        <v/>
      </c>
      <c r="AF23" s="31" t="str">
        <f>IF(LEN(_DB_Exercises!BA24)&gt;0,_DB_Exercises!BA24,"")</f>
        <v/>
      </c>
      <c r="AG23" s="31" t="str">
        <f>IF(LEN(_DB_Exercises!BB24)&gt;0,_DB_Exercises!BB24,"")</f>
        <v/>
      </c>
      <c r="AH23" s="31" t="str">
        <f>IF(LEN(_DB_Exercises!BC24)&gt;0,_DB_Exercises!BC24,"")</f>
        <v/>
      </c>
      <c r="AI23" s="31" t="str">
        <f>IF(LEN(_DB_Exercises!BD24)&gt;0,_DB_Exercises!BD24,"")</f>
        <v/>
      </c>
      <c r="AJ23" s="31" t="str">
        <f>IF(LEN(_DB_Exercises!BE24)&gt;0,_DB_Exercises!BE24,"")</f>
        <v/>
      </c>
      <c r="AK23" s="31" t="str">
        <f>IF(LEN(_DB_Exercises!BF24)&gt;0,_DB_Exercises!BF24,"")</f>
        <v/>
      </c>
      <c r="AL23" s="31" t="str">
        <f>IF(LEN(_DB_Exercises!BG24)&gt;0,_DB_Exercises!BG24,"")</f>
        <v/>
      </c>
      <c r="AM23" s="31" t="str">
        <f>IF(LEN(_DB_Exercises!BH24)&gt;0,_DB_Exercises!BH24,"")</f>
        <v/>
      </c>
      <c r="AN23" s="31" t="str">
        <f>IF(LEN(_DB_Exercises!BI24)&gt;0,_DB_Exercises!BI24,"")</f>
        <v/>
      </c>
      <c r="AO23" s="31" t="str">
        <f>IF(LEN(_DB_Exercises!BJ24)&gt;0,_DB_Exercises!BJ24,"")</f>
        <v/>
      </c>
      <c r="AP23" s="31" t="str">
        <f>IF(LEN(_DB_Exercises!BK24)&gt;0,_DB_Exercises!BK24,"")</f>
        <v/>
      </c>
      <c r="AQ23" s="31" t="str">
        <f>IF(LEN(_DB_Exercises!BL24)&gt;0,_DB_Exercises!BL24,"")</f>
        <v/>
      </c>
      <c r="AR23" s="31" t="str">
        <f>IF(LEN(_DB_Exercises!BM24)&gt;0,_DB_Exercises!BM24,"")</f>
        <v/>
      </c>
    </row>
    <row r="24" spans="1:44" x14ac:dyDescent="0.25">
      <c r="A24" s="11">
        <f>IF(LEN(_DB_Exercises!A25)&gt;0,_DB_Exercises!A25,"")</f>
        <v>2011</v>
      </c>
      <c r="B24" s="14" t="str">
        <f>IF(LEN(_DB_Exercises!K25)&gt;0,_DB_Exercises!K25,"")</f>
        <v>Putting Contest  40 - 50 - 60 feet</v>
      </c>
      <c r="C24" s="31" t="str">
        <f>IF(LEN(_DB_Exercises!X25)&gt;0,_DB_Exercises!X25,"")</f>
        <v/>
      </c>
      <c r="D24" s="31" t="str">
        <f>IF(LEN(_DB_Exercises!Y25)&gt;0,_DB_Exercises!Y25,"")</f>
        <v/>
      </c>
      <c r="E24" s="31" t="str">
        <f>IF(LEN(_DB_Exercises!Z25)&gt;0,_DB_Exercises!Z25,"")</f>
        <v/>
      </c>
      <c r="F24" s="31" t="str">
        <f>IF(LEN(_DB_Exercises!AA25)&gt;0,_DB_Exercises!AA25,"")</f>
        <v/>
      </c>
      <c r="G24" s="31" t="str">
        <f>IF(LEN(_DB_Exercises!AB25)&gt;0,_DB_Exercises!AB25,"")</f>
        <v/>
      </c>
      <c r="H24" s="31" t="str">
        <f>IF(LEN(_DB_Exercises!AC25)&gt;0,_DB_Exercises!AC25,"")</f>
        <v/>
      </c>
      <c r="I24" s="31" t="str">
        <f>IF(LEN(_DB_Exercises!AD25)&gt;0,_DB_Exercises!AD25,"")</f>
        <v/>
      </c>
      <c r="J24" s="31" t="str">
        <f>IF(LEN(_DB_Exercises!AE25)&gt;0,_DB_Exercises!AE25,"")</f>
        <v/>
      </c>
      <c r="K24" s="31" t="str">
        <f>IF(LEN(_DB_Exercises!AF25)&gt;0,_DB_Exercises!AF25,"")</f>
        <v/>
      </c>
      <c r="L24" s="31" t="str">
        <f>IF(LEN(_DB_Exercises!AG25)&gt;0,_DB_Exercises!AG25,"")</f>
        <v/>
      </c>
      <c r="M24" s="31" t="str">
        <f>IF(LEN(_DB_Exercises!AH25)&gt;0,_DB_Exercises!AH25,"")</f>
        <v/>
      </c>
      <c r="N24" s="31" t="str">
        <f>IF(LEN(_DB_Exercises!AI25)&gt;0,_DB_Exercises!AI25,"")</f>
        <v/>
      </c>
      <c r="O24" s="31" t="str">
        <f>IF(LEN(_DB_Exercises!AJ25)&gt;0,_DB_Exercises!AJ25,"")</f>
        <v/>
      </c>
      <c r="P24" s="31" t="str">
        <f>IF(LEN(_DB_Exercises!AK25)&gt;0,_DB_Exercises!AK25,"")</f>
        <v/>
      </c>
      <c r="Q24" s="31" t="str">
        <f>IF(LEN(_DB_Exercises!AL25)&gt;0,_DB_Exercises!AL25,"")</f>
        <v/>
      </c>
      <c r="R24" s="31" t="str">
        <f>IF(LEN(_DB_Exercises!AM25)&gt;0,_DB_Exercises!AM25,"")</f>
        <v/>
      </c>
      <c r="S24" s="31" t="str">
        <f>IF(LEN(_DB_Exercises!AN25)&gt;0,_DB_Exercises!AN25,"")</f>
        <v/>
      </c>
      <c r="T24" s="31" t="str">
        <f>IF(LEN(_DB_Exercises!AO25)&gt;0,_DB_Exercises!AO25,"")</f>
        <v/>
      </c>
      <c r="U24" s="31" t="str">
        <f>IF(LEN(_DB_Exercises!AP25)&gt;0,_DB_Exercises!AP25,"")</f>
        <v/>
      </c>
      <c r="V24" s="31" t="str">
        <f>IF(LEN(_DB_Exercises!AQ25)&gt;0,_DB_Exercises!AQ25,"")</f>
        <v/>
      </c>
      <c r="W24" s="31" t="str">
        <f>IF(LEN(_DB_Exercises!AR25)&gt;0,_DB_Exercises!AR25,"")</f>
        <v/>
      </c>
      <c r="X24" s="31" t="str">
        <f>IF(LEN(_DB_Exercises!AS25)&gt;0,_DB_Exercises!AS25,"")</f>
        <v/>
      </c>
      <c r="Y24" s="31" t="str">
        <f>IF(LEN(_DB_Exercises!AT25)&gt;0,_DB_Exercises!AT25,"")</f>
        <v/>
      </c>
      <c r="Z24" s="31" t="str">
        <f>IF(LEN(_DB_Exercises!AU25)&gt;0,_DB_Exercises!AU25,"")</f>
        <v/>
      </c>
      <c r="AA24" s="31" t="str">
        <f>IF(LEN(_DB_Exercises!AV25)&gt;0,_DB_Exercises!AV25,"")</f>
        <v/>
      </c>
      <c r="AB24" s="31" t="str">
        <f>IF(LEN(_DB_Exercises!AW25)&gt;0,_DB_Exercises!AW25,"")</f>
        <v/>
      </c>
      <c r="AC24" s="31" t="str">
        <f>IF(LEN(_DB_Exercises!AX25)&gt;0,_DB_Exercises!AX25,"")</f>
        <v/>
      </c>
      <c r="AD24" s="31" t="str">
        <f>IF(LEN(_DB_Exercises!AY25)&gt;0,_DB_Exercises!AY25,"")</f>
        <v/>
      </c>
      <c r="AE24" s="31" t="str">
        <f>IF(LEN(_DB_Exercises!AZ25)&gt;0,_DB_Exercises!AZ25,"")</f>
        <v/>
      </c>
      <c r="AF24" s="31" t="str">
        <f>IF(LEN(_DB_Exercises!BA25)&gt;0,_DB_Exercises!BA25,"")</f>
        <v/>
      </c>
      <c r="AG24" s="31" t="str">
        <f>IF(LEN(_DB_Exercises!BB25)&gt;0,_DB_Exercises!BB25,"")</f>
        <v/>
      </c>
      <c r="AH24" s="31" t="str">
        <f>IF(LEN(_DB_Exercises!BC25)&gt;0,_DB_Exercises!BC25,"")</f>
        <v/>
      </c>
      <c r="AI24" s="31" t="str">
        <f>IF(LEN(_DB_Exercises!BD25)&gt;0,_DB_Exercises!BD25,"")</f>
        <v/>
      </c>
      <c r="AJ24" s="31" t="str">
        <f>IF(LEN(_DB_Exercises!BE25)&gt;0,_DB_Exercises!BE25,"")</f>
        <v/>
      </c>
      <c r="AK24" s="31" t="str">
        <f>IF(LEN(_DB_Exercises!BF25)&gt;0,_DB_Exercises!BF25,"")</f>
        <v/>
      </c>
      <c r="AL24" s="31" t="str">
        <f>IF(LEN(_DB_Exercises!BG25)&gt;0,_DB_Exercises!BG25,"")</f>
        <v/>
      </c>
      <c r="AM24" s="31" t="str">
        <f>IF(LEN(_DB_Exercises!BH25)&gt;0,_DB_Exercises!BH25,"")</f>
        <v/>
      </c>
      <c r="AN24" s="31" t="str">
        <f>IF(LEN(_DB_Exercises!BI25)&gt;0,_DB_Exercises!BI25,"")</f>
        <v/>
      </c>
      <c r="AO24" s="31" t="str">
        <f>IF(LEN(_DB_Exercises!BJ25)&gt;0,_DB_Exercises!BJ25,"")</f>
        <v/>
      </c>
      <c r="AP24" s="31" t="str">
        <f>IF(LEN(_DB_Exercises!BK25)&gt;0,_DB_Exercises!BK25,"")</f>
        <v/>
      </c>
      <c r="AQ24" s="31" t="str">
        <f>IF(LEN(_DB_Exercises!BL25)&gt;0,_DB_Exercises!BL25,"")</f>
        <v/>
      </c>
      <c r="AR24" s="31" t="str">
        <f>IF(LEN(_DB_Exercises!BM25)&gt;0,_DB_Exercises!BM25,"")</f>
        <v/>
      </c>
    </row>
    <row r="25" spans="1:44" x14ac:dyDescent="0.25">
      <c r="A25" s="11">
        <f>IF(LEN(_DB_Exercises!A26)&gt;0,_DB_Exercises!A26,"")</f>
        <v>2012</v>
      </c>
      <c r="B25" s="14" t="str">
        <f>IF(LEN(_DB_Exercises!K26)&gt;0,_DB_Exercises!K26,"")</f>
        <v>Putting 18</v>
      </c>
      <c r="C25" s="31" t="str">
        <f>IF(LEN(_DB_Exercises!X26)&gt;0,_DB_Exercises!X26,"")</f>
        <v/>
      </c>
      <c r="D25" s="31" t="str">
        <f>IF(LEN(_DB_Exercises!Y26)&gt;0,_DB_Exercises!Y26,"")</f>
        <v/>
      </c>
      <c r="E25" s="31" t="str">
        <f>IF(LEN(_DB_Exercises!Z26)&gt;0,_DB_Exercises!Z26,"")</f>
        <v/>
      </c>
      <c r="F25" s="31" t="str">
        <f>IF(LEN(_DB_Exercises!AA26)&gt;0,_DB_Exercises!AA26,"")</f>
        <v/>
      </c>
      <c r="G25" s="31" t="str">
        <f>IF(LEN(_DB_Exercises!AB26)&gt;0,_DB_Exercises!AB26,"")</f>
        <v/>
      </c>
      <c r="H25" s="31" t="str">
        <f>IF(LEN(_DB_Exercises!AC26)&gt;0,_DB_Exercises!AC26,"")</f>
        <v/>
      </c>
      <c r="I25" s="31" t="str">
        <f>IF(LEN(_DB_Exercises!AD26)&gt;0,_DB_Exercises!AD26,"")</f>
        <v/>
      </c>
      <c r="J25" s="31" t="str">
        <f>IF(LEN(_DB_Exercises!AE26)&gt;0,_DB_Exercises!AE26,"")</f>
        <v/>
      </c>
      <c r="K25" s="31" t="str">
        <f>IF(LEN(_DB_Exercises!AF26)&gt;0,_DB_Exercises!AF26,"")</f>
        <v/>
      </c>
      <c r="L25" s="31" t="str">
        <f>IF(LEN(_DB_Exercises!AG26)&gt;0,_DB_Exercises!AG26,"")</f>
        <v/>
      </c>
      <c r="M25" s="31" t="str">
        <f>IF(LEN(_DB_Exercises!AH26)&gt;0,_DB_Exercises!AH26,"")</f>
        <v/>
      </c>
      <c r="N25" s="31" t="str">
        <f>IF(LEN(_DB_Exercises!AI26)&gt;0,_DB_Exercises!AI26,"")</f>
        <v/>
      </c>
      <c r="O25" s="31" t="str">
        <f>IF(LEN(_DB_Exercises!AJ26)&gt;0,_DB_Exercises!AJ26,"")</f>
        <v/>
      </c>
      <c r="P25" s="31" t="str">
        <f>IF(LEN(_DB_Exercises!AK26)&gt;0,_DB_Exercises!AK26,"")</f>
        <v/>
      </c>
      <c r="Q25" s="31" t="str">
        <f>IF(LEN(_DB_Exercises!AL26)&gt;0,_DB_Exercises!AL26,"")</f>
        <v/>
      </c>
      <c r="R25" s="31" t="str">
        <f>IF(LEN(_DB_Exercises!AM26)&gt;0,_DB_Exercises!AM26,"")</f>
        <v/>
      </c>
      <c r="S25" s="31" t="str">
        <f>IF(LEN(_DB_Exercises!AN26)&gt;0,_DB_Exercises!AN26,"")</f>
        <v/>
      </c>
      <c r="T25" s="31" t="str">
        <f>IF(LEN(_DB_Exercises!AO26)&gt;0,_DB_Exercises!AO26,"")</f>
        <v/>
      </c>
      <c r="U25" s="31" t="str">
        <f>IF(LEN(_DB_Exercises!AP26)&gt;0,_DB_Exercises!AP26,"")</f>
        <v/>
      </c>
      <c r="V25" s="31" t="str">
        <f>IF(LEN(_DB_Exercises!AQ26)&gt;0,_DB_Exercises!AQ26,"")</f>
        <v/>
      </c>
      <c r="W25" s="31" t="str">
        <f>IF(LEN(_DB_Exercises!AR26)&gt;0,_DB_Exercises!AR26,"")</f>
        <v/>
      </c>
      <c r="X25" s="31" t="str">
        <f>IF(LEN(_DB_Exercises!AS26)&gt;0,_DB_Exercises!AS26,"")</f>
        <v/>
      </c>
      <c r="Y25" s="31" t="str">
        <f>IF(LEN(_DB_Exercises!AT26)&gt;0,_DB_Exercises!AT26,"")</f>
        <v/>
      </c>
      <c r="Z25" s="31" t="str">
        <f>IF(LEN(_DB_Exercises!AU26)&gt;0,_DB_Exercises!AU26,"")</f>
        <v/>
      </c>
      <c r="AA25" s="31" t="str">
        <f>IF(LEN(_DB_Exercises!AV26)&gt;0,_DB_Exercises!AV26,"")</f>
        <v/>
      </c>
      <c r="AB25" s="31" t="str">
        <f>IF(LEN(_DB_Exercises!AW26)&gt;0,_DB_Exercises!AW26,"")</f>
        <v/>
      </c>
      <c r="AC25" s="31" t="str">
        <f>IF(LEN(_DB_Exercises!AX26)&gt;0,_DB_Exercises!AX26,"")</f>
        <v/>
      </c>
      <c r="AD25" s="31" t="str">
        <f>IF(LEN(_DB_Exercises!AY26)&gt;0,_DB_Exercises!AY26,"")</f>
        <v/>
      </c>
      <c r="AE25" s="31" t="str">
        <f>IF(LEN(_DB_Exercises!AZ26)&gt;0,_DB_Exercises!AZ26,"")</f>
        <v/>
      </c>
      <c r="AF25" s="31" t="str">
        <f>IF(LEN(_DB_Exercises!BA26)&gt;0,_DB_Exercises!BA26,"")</f>
        <v/>
      </c>
      <c r="AG25" s="31" t="str">
        <f>IF(LEN(_DB_Exercises!BB26)&gt;0,_DB_Exercises!BB26,"")</f>
        <v/>
      </c>
      <c r="AH25" s="31" t="str">
        <f>IF(LEN(_DB_Exercises!BC26)&gt;0,_DB_Exercises!BC26,"")</f>
        <v/>
      </c>
      <c r="AI25" s="31" t="str">
        <f>IF(LEN(_DB_Exercises!BD26)&gt;0,_DB_Exercises!BD26,"")</f>
        <v/>
      </c>
      <c r="AJ25" s="31" t="str">
        <f>IF(LEN(_DB_Exercises!BE26)&gt;0,_DB_Exercises!BE26,"")</f>
        <v/>
      </c>
      <c r="AK25" s="31" t="str">
        <f>IF(LEN(_DB_Exercises!BF26)&gt;0,_DB_Exercises!BF26,"")</f>
        <v/>
      </c>
      <c r="AL25" s="31" t="str">
        <f>IF(LEN(_DB_Exercises!BG26)&gt;0,_DB_Exercises!BG26,"")</f>
        <v/>
      </c>
      <c r="AM25" s="31" t="str">
        <f>IF(LEN(_DB_Exercises!BH26)&gt;0,_DB_Exercises!BH26,"")</f>
        <v/>
      </c>
      <c r="AN25" s="31" t="str">
        <f>IF(LEN(_DB_Exercises!BI26)&gt;0,_DB_Exercises!BI26,"")</f>
        <v/>
      </c>
      <c r="AO25" s="31" t="str">
        <f>IF(LEN(_DB_Exercises!BJ26)&gt;0,_DB_Exercises!BJ26,"")</f>
        <v/>
      </c>
      <c r="AP25" s="31" t="str">
        <f>IF(LEN(_DB_Exercises!BK26)&gt;0,_DB_Exercises!BK26,"")</f>
        <v/>
      </c>
      <c r="AQ25" s="31" t="str">
        <f>IF(LEN(_DB_Exercises!BL26)&gt;0,_DB_Exercises!BL26,"")</f>
        <v/>
      </c>
      <c r="AR25" s="31" t="str">
        <f>IF(LEN(_DB_Exercises!BM26)&gt;0,_DB_Exercises!BM26,"")</f>
        <v/>
      </c>
    </row>
    <row r="26" spans="1:44" x14ac:dyDescent="0.25">
      <c r="A26" s="11">
        <f>IF(LEN(_DB_Exercises!A27)&gt;0,_DB_Exercises!A27,"")</f>
        <v>2013</v>
      </c>
      <c r="B26" s="14" t="str">
        <f>IF(LEN(_DB_Exercises!K27)&gt;0,_DB_Exercises!K27,"")</f>
        <v>Putting 9</v>
      </c>
      <c r="C26" s="31" t="str">
        <f>IF(LEN(_DB_Exercises!X27)&gt;0,_DB_Exercises!X27,"")</f>
        <v/>
      </c>
      <c r="D26" s="31" t="str">
        <f>IF(LEN(_DB_Exercises!Y27)&gt;0,_DB_Exercises!Y27,"")</f>
        <v/>
      </c>
      <c r="E26" s="31" t="str">
        <f>IF(LEN(_DB_Exercises!Z27)&gt;0,_DB_Exercises!Z27,"")</f>
        <v/>
      </c>
      <c r="F26" s="31" t="str">
        <f>IF(LEN(_DB_Exercises!AA27)&gt;0,_DB_Exercises!AA27,"")</f>
        <v/>
      </c>
      <c r="G26" s="31" t="str">
        <f>IF(LEN(_DB_Exercises!AB27)&gt;0,_DB_Exercises!AB27,"")</f>
        <v/>
      </c>
      <c r="H26" s="31" t="str">
        <f>IF(LEN(_DB_Exercises!AC27)&gt;0,_DB_Exercises!AC27,"")</f>
        <v/>
      </c>
      <c r="I26" s="31" t="str">
        <f>IF(LEN(_DB_Exercises!AD27)&gt;0,_DB_Exercises!AD27,"")</f>
        <v/>
      </c>
      <c r="J26" s="31" t="str">
        <f>IF(LEN(_DB_Exercises!AE27)&gt;0,_DB_Exercises!AE27,"")</f>
        <v/>
      </c>
      <c r="K26" s="31" t="str">
        <f>IF(LEN(_DB_Exercises!AF27)&gt;0,_DB_Exercises!AF27,"")</f>
        <v/>
      </c>
      <c r="L26" s="31" t="str">
        <f>IF(LEN(_DB_Exercises!AG27)&gt;0,_DB_Exercises!AG27,"")</f>
        <v/>
      </c>
      <c r="M26" s="31" t="str">
        <f>IF(LEN(_DB_Exercises!AH27)&gt;0,_DB_Exercises!AH27,"")</f>
        <v/>
      </c>
      <c r="N26" s="31" t="str">
        <f>IF(LEN(_DB_Exercises!AI27)&gt;0,_DB_Exercises!AI27,"")</f>
        <v/>
      </c>
      <c r="O26" s="31" t="str">
        <f>IF(LEN(_DB_Exercises!AJ27)&gt;0,_DB_Exercises!AJ27,"")</f>
        <v/>
      </c>
      <c r="P26" s="31" t="str">
        <f>IF(LEN(_DB_Exercises!AK27)&gt;0,_DB_Exercises!AK27,"")</f>
        <v/>
      </c>
      <c r="Q26" s="31" t="str">
        <f>IF(LEN(_DB_Exercises!AL27)&gt;0,_DB_Exercises!AL27,"")</f>
        <v/>
      </c>
      <c r="R26" s="31" t="str">
        <f>IF(LEN(_DB_Exercises!AM27)&gt;0,_DB_Exercises!AM27,"")</f>
        <v/>
      </c>
      <c r="S26" s="31" t="str">
        <f>IF(LEN(_DB_Exercises!AN27)&gt;0,_DB_Exercises!AN27,"")</f>
        <v/>
      </c>
      <c r="T26" s="31" t="str">
        <f>IF(LEN(_DB_Exercises!AO27)&gt;0,_DB_Exercises!AO27,"")</f>
        <v/>
      </c>
      <c r="U26" s="31" t="str">
        <f>IF(LEN(_DB_Exercises!AP27)&gt;0,_DB_Exercises!AP27,"")</f>
        <v/>
      </c>
      <c r="V26" s="31" t="str">
        <f>IF(LEN(_DB_Exercises!AQ27)&gt;0,_DB_Exercises!AQ27,"")</f>
        <v/>
      </c>
      <c r="W26" s="31" t="str">
        <f>IF(LEN(_DB_Exercises!AR27)&gt;0,_DB_Exercises!AR27,"")</f>
        <v/>
      </c>
      <c r="X26" s="31" t="str">
        <f>IF(LEN(_DB_Exercises!AS27)&gt;0,_DB_Exercises!AS27,"")</f>
        <v/>
      </c>
      <c r="Y26" s="31" t="str">
        <f>IF(LEN(_DB_Exercises!AT27)&gt;0,_DB_Exercises!AT27,"")</f>
        <v/>
      </c>
      <c r="Z26" s="31" t="str">
        <f>IF(LEN(_DB_Exercises!AU27)&gt;0,_DB_Exercises!AU27,"")</f>
        <v/>
      </c>
      <c r="AA26" s="31" t="str">
        <f>IF(LEN(_DB_Exercises!AV27)&gt;0,_DB_Exercises!AV27,"")</f>
        <v/>
      </c>
      <c r="AB26" s="31" t="str">
        <f>IF(LEN(_DB_Exercises!AW27)&gt;0,_DB_Exercises!AW27,"")</f>
        <v/>
      </c>
      <c r="AC26" s="31" t="str">
        <f>IF(LEN(_DB_Exercises!AX27)&gt;0,_DB_Exercises!AX27,"")</f>
        <v/>
      </c>
      <c r="AD26" s="31" t="str">
        <f>IF(LEN(_DB_Exercises!AY27)&gt;0,_DB_Exercises!AY27,"")</f>
        <v/>
      </c>
      <c r="AE26" s="31" t="str">
        <f>IF(LEN(_DB_Exercises!AZ27)&gt;0,_DB_Exercises!AZ27,"")</f>
        <v/>
      </c>
      <c r="AF26" s="31" t="str">
        <f>IF(LEN(_DB_Exercises!BA27)&gt;0,_DB_Exercises!BA27,"")</f>
        <v/>
      </c>
      <c r="AG26" s="31" t="str">
        <f>IF(LEN(_DB_Exercises!BB27)&gt;0,_DB_Exercises!BB27,"")</f>
        <v/>
      </c>
      <c r="AH26" s="31" t="str">
        <f>IF(LEN(_DB_Exercises!BC27)&gt;0,_DB_Exercises!BC27,"")</f>
        <v/>
      </c>
      <c r="AI26" s="31" t="str">
        <f>IF(LEN(_DB_Exercises!BD27)&gt;0,_DB_Exercises!BD27,"")</f>
        <v/>
      </c>
      <c r="AJ26" s="31" t="str">
        <f>IF(LEN(_DB_Exercises!BE27)&gt;0,_DB_Exercises!BE27,"")</f>
        <v/>
      </c>
      <c r="AK26" s="31" t="str">
        <f>IF(LEN(_DB_Exercises!BF27)&gt;0,_DB_Exercises!BF27,"")</f>
        <v/>
      </c>
      <c r="AL26" s="31" t="str">
        <f>IF(LEN(_DB_Exercises!BG27)&gt;0,_DB_Exercises!BG27,"")</f>
        <v/>
      </c>
      <c r="AM26" s="31" t="str">
        <f>IF(LEN(_DB_Exercises!BH27)&gt;0,_DB_Exercises!BH27,"")</f>
        <v/>
      </c>
      <c r="AN26" s="31" t="str">
        <f>IF(LEN(_DB_Exercises!BI27)&gt;0,_DB_Exercises!BI27,"")</f>
        <v/>
      </c>
      <c r="AO26" s="31" t="str">
        <f>IF(LEN(_DB_Exercises!BJ27)&gt;0,_DB_Exercises!BJ27,"")</f>
        <v/>
      </c>
      <c r="AP26" s="31" t="str">
        <f>IF(LEN(_DB_Exercises!BK27)&gt;0,_DB_Exercises!BK27,"")</f>
        <v/>
      </c>
      <c r="AQ26" s="31" t="str">
        <f>IF(LEN(_DB_Exercises!BL27)&gt;0,_DB_Exercises!BL27,"")</f>
        <v/>
      </c>
      <c r="AR26" s="31" t="str">
        <f>IF(LEN(_DB_Exercises!BM27)&gt;0,_DB_Exercises!BM27,"")</f>
        <v/>
      </c>
    </row>
    <row r="27" spans="1:44" x14ac:dyDescent="0.25">
      <c r="A27" s="11">
        <f>IF(LEN(_DB_Exercises!A28)&gt;0,_DB_Exercises!A28,"")</f>
        <v>2014</v>
      </c>
      <c r="B27" s="14" t="str">
        <f>IF(LEN(_DB_Exercises!K28)&gt;0,_DB_Exercises!K28,"")</f>
        <v>Putting 60</v>
      </c>
      <c r="C27" s="31">
        <f>IF(LEN(_DB_Exercises!X28)&gt;0,_DB_Exercises!X28,"")</f>
        <v>59</v>
      </c>
      <c r="D27" s="31">
        <f>IF(LEN(_DB_Exercises!Y28)&gt;0,_DB_Exercises!Y28,"")</f>
        <v>58</v>
      </c>
      <c r="E27" s="31">
        <f>IF(LEN(_DB_Exercises!Z28)&gt;0,_DB_Exercises!Z28,"")</f>
        <v>57</v>
      </c>
      <c r="F27" s="31">
        <f>IF(LEN(_DB_Exercises!AA28)&gt;0,_DB_Exercises!AA28,"")</f>
        <v>56</v>
      </c>
      <c r="G27" s="31">
        <f>IF(LEN(_DB_Exercises!AB28)&gt;0,_DB_Exercises!AB28,"")</f>
        <v>55</v>
      </c>
      <c r="H27" s="31">
        <f>IF(LEN(_DB_Exercises!AC28)&gt;0,_DB_Exercises!AC28,"")</f>
        <v>54</v>
      </c>
      <c r="I27" s="31">
        <f>IF(LEN(_DB_Exercises!AD28)&gt;0,_DB_Exercises!AD28,"")</f>
        <v>53</v>
      </c>
      <c r="J27" s="31">
        <f>IF(LEN(_DB_Exercises!AE28)&gt;0,_DB_Exercises!AE28,"")</f>
        <v>52</v>
      </c>
      <c r="K27" s="31">
        <f>IF(LEN(_DB_Exercises!AF28)&gt;0,_DB_Exercises!AF28,"")</f>
        <v>51</v>
      </c>
      <c r="L27" s="31">
        <f>IF(LEN(_DB_Exercises!AG28)&gt;0,_DB_Exercises!AG28,"")</f>
        <v>50</v>
      </c>
      <c r="M27" s="31">
        <f>IF(LEN(_DB_Exercises!AH28)&gt;0,_DB_Exercises!AH28,"")</f>
        <v>49</v>
      </c>
      <c r="N27" s="31">
        <f>IF(LEN(_DB_Exercises!AI28)&gt;0,_DB_Exercises!AI28,"")</f>
        <v>48</v>
      </c>
      <c r="O27" s="31">
        <f>IF(LEN(_DB_Exercises!AJ28)&gt;0,_DB_Exercises!AJ28,"")</f>
        <v>47</v>
      </c>
      <c r="P27" s="31">
        <f>IF(LEN(_DB_Exercises!AK28)&gt;0,_DB_Exercises!AK28,"")</f>
        <v>46</v>
      </c>
      <c r="Q27" s="31">
        <f>IF(LEN(_DB_Exercises!AL28)&gt;0,_DB_Exercises!AL28,"")</f>
        <v>45</v>
      </c>
      <c r="R27" s="31">
        <f>IF(LEN(_DB_Exercises!AM28)&gt;0,_DB_Exercises!AM28,"")</f>
        <v>44</v>
      </c>
      <c r="S27" s="31">
        <f>IF(LEN(_DB_Exercises!AN28)&gt;0,_DB_Exercises!AN28,"")</f>
        <v>43</v>
      </c>
      <c r="T27" s="31">
        <f>IF(LEN(_DB_Exercises!AO28)&gt;0,_DB_Exercises!AO28,"")</f>
        <v>42</v>
      </c>
      <c r="U27" s="31">
        <f>IF(LEN(_DB_Exercises!AP28)&gt;0,_DB_Exercises!AP28,"")</f>
        <v>41</v>
      </c>
      <c r="V27" s="31">
        <f>IF(LEN(_DB_Exercises!AQ28)&gt;0,_DB_Exercises!AQ28,"")</f>
        <v>40</v>
      </c>
      <c r="W27" s="31">
        <f>IF(LEN(_DB_Exercises!AR28)&gt;0,_DB_Exercises!AR28,"")</f>
        <v>39</v>
      </c>
      <c r="X27" s="31">
        <f>IF(LEN(_DB_Exercises!AS28)&gt;0,_DB_Exercises!AS28,"")</f>
        <v>38</v>
      </c>
      <c r="Y27" s="31">
        <f>IF(LEN(_DB_Exercises!AT28)&gt;0,_DB_Exercises!AT28,"")</f>
        <v>37</v>
      </c>
      <c r="Z27" s="31">
        <f>IF(LEN(_DB_Exercises!AU28)&gt;0,_DB_Exercises!AU28,"")</f>
        <v>36</v>
      </c>
      <c r="AA27" s="31">
        <f>IF(LEN(_DB_Exercises!AV28)&gt;0,_DB_Exercises!AV28,"")</f>
        <v>35</v>
      </c>
      <c r="AB27" s="31">
        <f>IF(LEN(_DB_Exercises!AW28)&gt;0,_DB_Exercises!AW28,"")</f>
        <v>34</v>
      </c>
      <c r="AC27" s="31">
        <f>IF(LEN(_DB_Exercises!AX28)&gt;0,_DB_Exercises!AX28,"")</f>
        <v>33</v>
      </c>
      <c r="AD27" s="31">
        <f>IF(LEN(_DB_Exercises!AY28)&gt;0,_DB_Exercises!AY28,"")</f>
        <v>32</v>
      </c>
      <c r="AE27" s="31">
        <f>IF(LEN(_DB_Exercises!AZ28)&gt;0,_DB_Exercises!AZ28,"")</f>
        <v>31</v>
      </c>
      <c r="AF27" s="31">
        <f>IF(LEN(_DB_Exercises!BA28)&gt;0,_DB_Exercises!BA28,"")</f>
        <v>30</v>
      </c>
      <c r="AG27" s="31">
        <f>IF(LEN(_DB_Exercises!BB28)&gt;0,_DB_Exercises!BB28,"")</f>
        <v>29</v>
      </c>
      <c r="AH27" s="31">
        <f>IF(LEN(_DB_Exercises!BC28)&gt;0,_DB_Exercises!BC28,"")</f>
        <v>28</v>
      </c>
      <c r="AI27" s="31">
        <f>IF(LEN(_DB_Exercises!BD28)&gt;0,_DB_Exercises!BD28,"")</f>
        <v>27</v>
      </c>
      <c r="AJ27" s="31">
        <f>IF(LEN(_DB_Exercises!BE28)&gt;0,_DB_Exercises!BE28,"")</f>
        <v>26</v>
      </c>
      <c r="AK27" s="31">
        <f>IF(LEN(_DB_Exercises!BF28)&gt;0,_DB_Exercises!BF28,"")</f>
        <v>25</v>
      </c>
      <c r="AL27" s="31">
        <f>IF(LEN(_DB_Exercises!BG28)&gt;0,_DB_Exercises!BG28,"")</f>
        <v>24</v>
      </c>
      <c r="AM27" s="31">
        <f>IF(LEN(_DB_Exercises!BH28)&gt;0,_DB_Exercises!BH28,"")</f>
        <v>23</v>
      </c>
      <c r="AN27" s="31">
        <f>IF(LEN(_DB_Exercises!BI28)&gt;0,_DB_Exercises!BI28,"")</f>
        <v>22</v>
      </c>
      <c r="AO27" s="31">
        <f>IF(LEN(_DB_Exercises!BJ28)&gt;0,_DB_Exercises!BJ28,"")</f>
        <v>21</v>
      </c>
      <c r="AP27" s="31">
        <f>IF(LEN(_DB_Exercises!BK28)&gt;0,_DB_Exercises!BK28,"")</f>
        <v>20</v>
      </c>
      <c r="AQ27" s="31">
        <f>IF(LEN(_DB_Exercises!BL28)&gt;0,_DB_Exercises!BL28,"")</f>
        <v>19</v>
      </c>
      <c r="AR27" s="31">
        <f>IF(LEN(_DB_Exercises!BM28)&gt;0,_DB_Exercises!BM28,"")</f>
        <v>18</v>
      </c>
    </row>
    <row r="28" spans="1:44" x14ac:dyDescent="0.25">
      <c r="A28" s="11">
        <f>IF(LEN(_DB_Exercises!A29)&gt;0,_DB_Exercises!A29,"")</f>
        <v>2015</v>
      </c>
      <c r="B28" s="14" t="str">
        <f>IF(LEN(_DB_Exercises!K29)&gt;0,_DB_Exercises!K29,"")</f>
        <v>Putt Distance 60</v>
      </c>
      <c r="C28" s="31">
        <f>IF(LEN(_DB_Exercises!X29)&gt;0,_DB_Exercises!X29,"")</f>
        <v>50</v>
      </c>
      <c r="D28" s="31">
        <f>IF(LEN(_DB_Exercises!Y29)&gt;0,_DB_Exercises!Y29,"")</f>
        <v>49.5</v>
      </c>
      <c r="E28" s="31">
        <f>IF(LEN(_DB_Exercises!Z29)&gt;0,_DB_Exercises!Z29,"")</f>
        <v>49</v>
      </c>
      <c r="F28" s="31">
        <f>IF(LEN(_DB_Exercises!AA29)&gt;0,_DB_Exercises!AA29,"")</f>
        <v>48.5</v>
      </c>
      <c r="G28" s="31">
        <f>IF(LEN(_DB_Exercises!AB29)&gt;0,_DB_Exercises!AB29,"")</f>
        <v>48</v>
      </c>
      <c r="H28" s="31">
        <f>IF(LEN(_DB_Exercises!AC29)&gt;0,_DB_Exercises!AC29,"")</f>
        <v>47.5</v>
      </c>
      <c r="I28" s="31">
        <f>IF(LEN(_DB_Exercises!AD29)&gt;0,_DB_Exercises!AD29,"")</f>
        <v>47</v>
      </c>
      <c r="J28" s="31">
        <f>IF(LEN(_DB_Exercises!AE29)&gt;0,_DB_Exercises!AE29,"")</f>
        <v>46.5</v>
      </c>
      <c r="K28" s="31">
        <f>IF(LEN(_DB_Exercises!AF29)&gt;0,_DB_Exercises!AF29,"")</f>
        <v>46</v>
      </c>
      <c r="L28" s="31">
        <f>IF(LEN(_DB_Exercises!AG29)&gt;0,_DB_Exercises!AG29,"")</f>
        <v>45.5</v>
      </c>
      <c r="M28" s="31">
        <f>IF(LEN(_DB_Exercises!AH29)&gt;0,_DB_Exercises!AH29,"")</f>
        <v>45</v>
      </c>
      <c r="N28" s="31">
        <f>IF(LEN(_DB_Exercises!AI29)&gt;0,_DB_Exercises!AI29,"")</f>
        <v>44.5</v>
      </c>
      <c r="O28" s="31">
        <f>IF(LEN(_DB_Exercises!AJ29)&gt;0,_DB_Exercises!AJ29,"")</f>
        <v>44</v>
      </c>
      <c r="P28" s="31">
        <f>IF(LEN(_DB_Exercises!AK29)&gt;0,_DB_Exercises!AK29,"")</f>
        <v>43.5</v>
      </c>
      <c r="Q28" s="31">
        <f>IF(LEN(_DB_Exercises!AL29)&gt;0,_DB_Exercises!AL29,"")</f>
        <v>43</v>
      </c>
      <c r="R28" s="31">
        <f>IF(LEN(_DB_Exercises!AM29)&gt;0,_DB_Exercises!AM29,"")</f>
        <v>42.5</v>
      </c>
      <c r="S28" s="31">
        <f>IF(LEN(_DB_Exercises!AN29)&gt;0,_DB_Exercises!AN29,"")</f>
        <v>42</v>
      </c>
      <c r="T28" s="31">
        <f>IF(LEN(_DB_Exercises!AO29)&gt;0,_DB_Exercises!AO29,"")</f>
        <v>41.5</v>
      </c>
      <c r="U28" s="31">
        <f>IF(LEN(_DB_Exercises!AP29)&gt;0,_DB_Exercises!AP29,"")</f>
        <v>41</v>
      </c>
      <c r="V28" s="31">
        <f>IF(LEN(_DB_Exercises!AQ29)&gt;0,_DB_Exercises!AQ29,"")</f>
        <v>40.5</v>
      </c>
      <c r="W28" s="31">
        <f>IF(LEN(_DB_Exercises!AR29)&gt;0,_DB_Exercises!AR29,"")</f>
        <v>40</v>
      </c>
      <c r="X28" s="31">
        <f>IF(LEN(_DB_Exercises!AS29)&gt;0,_DB_Exercises!AS29,"")</f>
        <v>39.5</v>
      </c>
      <c r="Y28" s="31">
        <f>IF(LEN(_DB_Exercises!AT29)&gt;0,_DB_Exercises!AT29,"")</f>
        <v>39</v>
      </c>
      <c r="Z28" s="31">
        <f>IF(LEN(_DB_Exercises!AU29)&gt;0,_DB_Exercises!AU29,"")</f>
        <v>38.5</v>
      </c>
      <c r="AA28" s="31">
        <f>IF(LEN(_DB_Exercises!AV29)&gt;0,_DB_Exercises!AV29,"")</f>
        <v>38</v>
      </c>
      <c r="AB28" s="31">
        <f>IF(LEN(_DB_Exercises!AW29)&gt;0,_DB_Exercises!AW29,"")</f>
        <v>37.5</v>
      </c>
      <c r="AC28" s="31">
        <f>IF(LEN(_DB_Exercises!AX29)&gt;0,_DB_Exercises!AX29,"")</f>
        <v>37</v>
      </c>
      <c r="AD28" s="31">
        <f>IF(LEN(_DB_Exercises!AY29)&gt;0,_DB_Exercises!AY29,"")</f>
        <v>36.5</v>
      </c>
      <c r="AE28" s="31">
        <f>IF(LEN(_DB_Exercises!AZ29)&gt;0,_DB_Exercises!AZ29,"")</f>
        <v>36</v>
      </c>
      <c r="AF28" s="31">
        <f>IF(LEN(_DB_Exercises!BA29)&gt;0,_DB_Exercises!BA29,"")</f>
        <v>35.5</v>
      </c>
      <c r="AG28" s="31">
        <f>IF(LEN(_DB_Exercises!BB29)&gt;0,_DB_Exercises!BB29,"")</f>
        <v>35</v>
      </c>
      <c r="AH28" s="31">
        <f>IF(LEN(_DB_Exercises!BC29)&gt;0,_DB_Exercises!BC29,"")</f>
        <v>34.5</v>
      </c>
      <c r="AI28" s="31">
        <f>IF(LEN(_DB_Exercises!BD29)&gt;0,_DB_Exercises!BD29,"")</f>
        <v>34</v>
      </c>
      <c r="AJ28" s="31">
        <f>IF(LEN(_DB_Exercises!BE29)&gt;0,_DB_Exercises!BE29,"")</f>
        <v>33.5</v>
      </c>
      <c r="AK28" s="31">
        <f>IF(LEN(_DB_Exercises!BF29)&gt;0,_DB_Exercises!BF29,"")</f>
        <v>33</v>
      </c>
      <c r="AL28" s="31">
        <f>IF(LEN(_DB_Exercises!BG29)&gt;0,_DB_Exercises!BG29,"")</f>
        <v>32.5</v>
      </c>
      <c r="AM28" s="31">
        <f>IF(LEN(_DB_Exercises!BH29)&gt;0,_DB_Exercises!BH29,"")</f>
        <v>32</v>
      </c>
      <c r="AN28" s="31">
        <f>IF(LEN(_DB_Exercises!BI29)&gt;0,_DB_Exercises!BI29,"")</f>
        <v>31.5</v>
      </c>
      <c r="AO28" s="31">
        <f>IF(LEN(_DB_Exercises!BJ29)&gt;0,_DB_Exercises!BJ29,"")</f>
        <v>31</v>
      </c>
      <c r="AP28" s="31">
        <f>IF(LEN(_DB_Exercises!BK29)&gt;0,_DB_Exercises!BK29,"")</f>
        <v>30.5</v>
      </c>
      <c r="AQ28" s="31">
        <f>IF(LEN(_DB_Exercises!BL29)&gt;0,_DB_Exercises!BL29,"")</f>
        <v>30</v>
      </c>
      <c r="AR28" s="31">
        <f>IF(LEN(_DB_Exercises!BM29)&gt;0,_DB_Exercises!BM29,"")</f>
        <v>29.5</v>
      </c>
    </row>
    <row r="29" spans="1:44" x14ac:dyDescent="0.25">
      <c r="A29" s="11">
        <f>IF(LEN(_DB_Exercises!A30)&gt;0,_DB_Exercises!A30,"")</f>
        <v>2016</v>
      </c>
      <c r="B29" s="14" t="str">
        <f>IF(LEN(_DB_Exercises!K30)&gt;0,_DB_Exercises!K30,"")</f>
        <v>Pressure Putting</v>
      </c>
      <c r="C29" s="31" t="str">
        <f>IF(LEN(_DB_Exercises!X30)&gt;0,_DB_Exercises!X30,"")</f>
        <v/>
      </c>
      <c r="D29" s="31" t="str">
        <f>IF(LEN(_DB_Exercises!Y30)&gt;0,_DB_Exercises!Y30,"")</f>
        <v/>
      </c>
      <c r="E29" s="31" t="str">
        <f>IF(LEN(_DB_Exercises!Z30)&gt;0,_DB_Exercises!Z30,"")</f>
        <v/>
      </c>
      <c r="F29" s="31" t="str">
        <f>IF(LEN(_DB_Exercises!AA30)&gt;0,_DB_Exercises!AA30,"")</f>
        <v/>
      </c>
      <c r="G29" s="31" t="str">
        <f>IF(LEN(_DB_Exercises!AB30)&gt;0,_DB_Exercises!AB30,"")</f>
        <v/>
      </c>
      <c r="H29" s="31" t="str">
        <f>IF(LEN(_DB_Exercises!AC30)&gt;0,_DB_Exercises!AC30,"")</f>
        <v/>
      </c>
      <c r="I29" s="31" t="str">
        <f>IF(LEN(_DB_Exercises!AD30)&gt;0,_DB_Exercises!AD30,"")</f>
        <v/>
      </c>
      <c r="J29" s="31" t="str">
        <f>IF(LEN(_DB_Exercises!AE30)&gt;0,_DB_Exercises!AE30,"")</f>
        <v/>
      </c>
      <c r="K29" s="31" t="str">
        <f>IF(LEN(_DB_Exercises!AF30)&gt;0,_DB_Exercises!AF30,"")</f>
        <v/>
      </c>
      <c r="L29" s="31" t="str">
        <f>IF(LEN(_DB_Exercises!AG30)&gt;0,_DB_Exercises!AG30,"")</f>
        <v/>
      </c>
      <c r="M29" s="31" t="str">
        <f>IF(LEN(_DB_Exercises!AH30)&gt;0,_DB_Exercises!AH30,"")</f>
        <v/>
      </c>
      <c r="N29" s="31" t="str">
        <f>IF(LEN(_DB_Exercises!AI30)&gt;0,_DB_Exercises!AI30,"")</f>
        <v/>
      </c>
      <c r="O29" s="31" t="str">
        <f>IF(LEN(_DB_Exercises!AJ30)&gt;0,_DB_Exercises!AJ30,"")</f>
        <v/>
      </c>
      <c r="P29" s="31" t="str">
        <f>IF(LEN(_DB_Exercises!AK30)&gt;0,_DB_Exercises!AK30,"")</f>
        <v/>
      </c>
      <c r="Q29" s="31" t="str">
        <f>IF(LEN(_DB_Exercises!AL30)&gt;0,_DB_Exercises!AL30,"")</f>
        <v/>
      </c>
      <c r="R29" s="31" t="str">
        <f>IF(LEN(_DB_Exercises!AM30)&gt;0,_DB_Exercises!AM30,"")</f>
        <v/>
      </c>
      <c r="S29" s="31" t="str">
        <f>IF(LEN(_DB_Exercises!AN30)&gt;0,_DB_Exercises!AN30,"")</f>
        <v/>
      </c>
      <c r="T29" s="31" t="str">
        <f>IF(LEN(_DB_Exercises!AO30)&gt;0,_DB_Exercises!AO30,"")</f>
        <v/>
      </c>
      <c r="U29" s="31" t="str">
        <f>IF(LEN(_DB_Exercises!AP30)&gt;0,_DB_Exercises!AP30,"")</f>
        <v/>
      </c>
      <c r="V29" s="31" t="str">
        <f>IF(LEN(_DB_Exercises!AQ30)&gt;0,_DB_Exercises!AQ30,"")</f>
        <v/>
      </c>
      <c r="W29" s="31" t="str">
        <f>IF(LEN(_DB_Exercises!AR30)&gt;0,_DB_Exercises!AR30,"")</f>
        <v/>
      </c>
      <c r="X29" s="31" t="str">
        <f>IF(LEN(_DB_Exercises!AS30)&gt;0,_DB_Exercises!AS30,"")</f>
        <v/>
      </c>
      <c r="Y29" s="31" t="str">
        <f>IF(LEN(_DB_Exercises!AT30)&gt;0,_DB_Exercises!AT30,"")</f>
        <v/>
      </c>
      <c r="Z29" s="31" t="str">
        <f>IF(LEN(_DB_Exercises!AU30)&gt;0,_DB_Exercises!AU30,"")</f>
        <v/>
      </c>
      <c r="AA29" s="31" t="str">
        <f>IF(LEN(_DB_Exercises!AV30)&gt;0,_DB_Exercises!AV30,"")</f>
        <v/>
      </c>
      <c r="AB29" s="31" t="str">
        <f>IF(LEN(_DB_Exercises!AW30)&gt;0,_DB_Exercises!AW30,"")</f>
        <v/>
      </c>
      <c r="AC29" s="31" t="str">
        <f>IF(LEN(_DB_Exercises!AX30)&gt;0,_DB_Exercises!AX30,"")</f>
        <v/>
      </c>
      <c r="AD29" s="31" t="str">
        <f>IF(LEN(_DB_Exercises!AY30)&gt;0,_DB_Exercises!AY30,"")</f>
        <v/>
      </c>
      <c r="AE29" s="31" t="str">
        <f>IF(LEN(_DB_Exercises!AZ30)&gt;0,_DB_Exercises!AZ30,"")</f>
        <v/>
      </c>
      <c r="AF29" s="31" t="str">
        <f>IF(LEN(_DB_Exercises!BA30)&gt;0,_DB_Exercises!BA30,"")</f>
        <v/>
      </c>
      <c r="AG29" s="31" t="str">
        <f>IF(LEN(_DB_Exercises!BB30)&gt;0,_DB_Exercises!BB30,"")</f>
        <v/>
      </c>
      <c r="AH29" s="31" t="str">
        <f>IF(LEN(_DB_Exercises!BC30)&gt;0,_DB_Exercises!BC30,"")</f>
        <v/>
      </c>
      <c r="AI29" s="31" t="str">
        <f>IF(LEN(_DB_Exercises!BD30)&gt;0,_DB_Exercises!BD30,"")</f>
        <v/>
      </c>
      <c r="AJ29" s="31" t="str">
        <f>IF(LEN(_DB_Exercises!BE30)&gt;0,_DB_Exercises!BE30,"")</f>
        <v/>
      </c>
      <c r="AK29" s="31" t="str">
        <f>IF(LEN(_DB_Exercises!BF30)&gt;0,_DB_Exercises!BF30,"")</f>
        <v/>
      </c>
      <c r="AL29" s="31" t="str">
        <f>IF(LEN(_DB_Exercises!BG30)&gt;0,_DB_Exercises!BG30,"")</f>
        <v/>
      </c>
      <c r="AM29" s="31" t="str">
        <f>IF(LEN(_DB_Exercises!BH30)&gt;0,_DB_Exercises!BH30,"")</f>
        <v/>
      </c>
      <c r="AN29" s="31" t="str">
        <f>IF(LEN(_DB_Exercises!BI30)&gt;0,_DB_Exercises!BI30,"")</f>
        <v/>
      </c>
      <c r="AO29" s="31" t="str">
        <f>IF(LEN(_DB_Exercises!BJ30)&gt;0,_DB_Exercises!BJ30,"")</f>
        <v/>
      </c>
      <c r="AP29" s="31" t="str">
        <f>IF(LEN(_DB_Exercises!BK30)&gt;0,_DB_Exercises!BK30,"")</f>
        <v/>
      </c>
      <c r="AQ29" s="31" t="str">
        <f>IF(LEN(_DB_Exercises!BL30)&gt;0,_DB_Exercises!BL30,"")</f>
        <v/>
      </c>
      <c r="AR29" s="31" t="str">
        <f>IF(LEN(_DB_Exercises!BM30)&gt;0,_DB_Exercises!BM30,"")</f>
        <v/>
      </c>
    </row>
    <row r="30" spans="1:44" x14ac:dyDescent="0.25">
      <c r="A30" s="11">
        <f>IF(LEN(_DB_Exercises!A31)&gt;0,_DB_Exercises!A31,"")</f>
        <v>2017</v>
      </c>
      <c r="B30" s="14" t="str">
        <f>IF(LEN(_DB_Exercises!K31)&gt;0,_DB_Exercises!K31,"")</f>
        <v>Pressure Putting  until target points</v>
      </c>
      <c r="C30" s="31">
        <f>IF(LEN(_DB_Exercises!X31)&gt;0,_DB_Exercises!X31,"")</f>
        <v>40</v>
      </c>
      <c r="D30" s="31">
        <f>IF(LEN(_DB_Exercises!Y31)&gt;0,_DB_Exercises!Y31,"")</f>
        <v>39.375</v>
      </c>
      <c r="E30" s="31">
        <f>IF(LEN(_DB_Exercises!Z31)&gt;0,_DB_Exercises!Z31,"")</f>
        <v>38.75</v>
      </c>
      <c r="F30" s="31">
        <f>IF(LEN(_DB_Exercises!AA31)&gt;0,_DB_Exercises!AA31,"")</f>
        <v>38.125</v>
      </c>
      <c r="G30" s="31">
        <f>IF(LEN(_DB_Exercises!AB31)&gt;0,_DB_Exercises!AB31,"")</f>
        <v>37.5</v>
      </c>
      <c r="H30" s="31">
        <f>IF(LEN(_DB_Exercises!AC31)&gt;0,_DB_Exercises!AC31,"")</f>
        <v>36.875</v>
      </c>
      <c r="I30" s="31">
        <f>IF(LEN(_DB_Exercises!AD31)&gt;0,_DB_Exercises!AD31,"")</f>
        <v>36.25</v>
      </c>
      <c r="J30" s="31">
        <f>IF(LEN(_DB_Exercises!AE31)&gt;0,_DB_Exercises!AE31,"")</f>
        <v>35.625</v>
      </c>
      <c r="K30" s="31">
        <f>IF(LEN(_DB_Exercises!AF31)&gt;0,_DB_Exercises!AF31,"")</f>
        <v>35</v>
      </c>
      <c r="L30" s="31">
        <f>IF(LEN(_DB_Exercises!AG31)&gt;0,_DB_Exercises!AG31,"")</f>
        <v>34.375</v>
      </c>
      <c r="M30" s="31">
        <f>IF(LEN(_DB_Exercises!AH31)&gt;0,_DB_Exercises!AH31,"")</f>
        <v>33.75</v>
      </c>
      <c r="N30" s="31">
        <f>IF(LEN(_DB_Exercises!AI31)&gt;0,_DB_Exercises!AI31,"")</f>
        <v>33.125</v>
      </c>
      <c r="O30" s="31">
        <f>IF(LEN(_DB_Exercises!AJ31)&gt;0,_DB_Exercises!AJ31,"")</f>
        <v>32.5</v>
      </c>
      <c r="P30" s="31">
        <f>IF(LEN(_DB_Exercises!AK31)&gt;0,_DB_Exercises!AK31,"")</f>
        <v>31.875</v>
      </c>
      <c r="Q30" s="31">
        <f>IF(LEN(_DB_Exercises!AL31)&gt;0,_DB_Exercises!AL31,"")</f>
        <v>31.25</v>
      </c>
      <c r="R30" s="31">
        <f>IF(LEN(_DB_Exercises!AM31)&gt;0,_DB_Exercises!AM31,"")</f>
        <v>30.625</v>
      </c>
      <c r="S30" s="31">
        <f>IF(LEN(_DB_Exercises!AN31)&gt;0,_DB_Exercises!AN31,"")</f>
        <v>30</v>
      </c>
      <c r="T30" s="31">
        <f>IF(LEN(_DB_Exercises!AO31)&gt;0,_DB_Exercises!AO31,"")</f>
        <v>29.5</v>
      </c>
      <c r="U30" s="31">
        <f>IF(LEN(_DB_Exercises!AP31)&gt;0,_DB_Exercises!AP31,"")</f>
        <v>29</v>
      </c>
      <c r="V30" s="31">
        <f>IF(LEN(_DB_Exercises!AQ31)&gt;0,_DB_Exercises!AQ31,"")</f>
        <v>28.5</v>
      </c>
      <c r="W30" s="31">
        <f>IF(LEN(_DB_Exercises!AR31)&gt;0,_DB_Exercises!AR31,"")</f>
        <v>28</v>
      </c>
      <c r="X30" s="31">
        <f>IF(LEN(_DB_Exercises!AS31)&gt;0,_DB_Exercises!AS31,"")</f>
        <v>27.5</v>
      </c>
      <c r="Y30" s="31">
        <f>IF(LEN(_DB_Exercises!AT31)&gt;0,_DB_Exercises!AT31,"")</f>
        <v>27</v>
      </c>
      <c r="Z30" s="31">
        <f>IF(LEN(_DB_Exercises!AU31)&gt;0,_DB_Exercises!AU31,"")</f>
        <v>26.5</v>
      </c>
      <c r="AA30" s="31">
        <f>IF(LEN(_DB_Exercises!AV31)&gt;0,_DB_Exercises!AV31,"")</f>
        <v>26</v>
      </c>
      <c r="AB30" s="31">
        <f>IF(LEN(_DB_Exercises!AW31)&gt;0,_DB_Exercises!AW31,"")</f>
        <v>25.5</v>
      </c>
      <c r="AC30" s="31">
        <f>IF(LEN(_DB_Exercises!AX31)&gt;0,_DB_Exercises!AX31,"")</f>
        <v>25</v>
      </c>
      <c r="AD30" s="31">
        <f>IF(LEN(_DB_Exercises!AY31)&gt;0,_DB_Exercises!AY31,"")</f>
        <v>24.5</v>
      </c>
      <c r="AE30" s="31">
        <f>IF(LEN(_DB_Exercises!AZ31)&gt;0,_DB_Exercises!AZ31,"")</f>
        <v>24</v>
      </c>
      <c r="AF30" s="31">
        <f>IF(LEN(_DB_Exercises!BA31)&gt;0,_DB_Exercises!BA31,"")</f>
        <v>23.5</v>
      </c>
      <c r="AG30" s="31">
        <f>IF(LEN(_DB_Exercises!BB31)&gt;0,_DB_Exercises!BB31,"")</f>
        <v>23</v>
      </c>
      <c r="AH30" s="31">
        <f>IF(LEN(_DB_Exercises!BC31)&gt;0,_DB_Exercises!BC31,"")</f>
        <v>22.5</v>
      </c>
      <c r="AI30" s="31">
        <f>IF(LEN(_DB_Exercises!BD31)&gt;0,_DB_Exercises!BD31,"")</f>
        <v>22</v>
      </c>
      <c r="AJ30" s="31">
        <f>IF(LEN(_DB_Exercises!BE31)&gt;0,_DB_Exercises!BE31,"")</f>
        <v>21.5</v>
      </c>
      <c r="AK30" s="31">
        <f>IF(LEN(_DB_Exercises!BF31)&gt;0,_DB_Exercises!BF31,"")</f>
        <v>21</v>
      </c>
      <c r="AL30" s="31">
        <f>IF(LEN(_DB_Exercises!BG31)&gt;0,_DB_Exercises!BG31,"")</f>
        <v>20.5</v>
      </c>
      <c r="AM30" s="31">
        <f>IF(LEN(_DB_Exercises!BH31)&gt;0,_DB_Exercises!BH31,"")</f>
        <v>20</v>
      </c>
      <c r="AN30" s="31">
        <f>IF(LEN(_DB_Exercises!BI31)&gt;0,_DB_Exercises!BI31,"")</f>
        <v>19.5</v>
      </c>
      <c r="AO30" s="31">
        <f>IF(LEN(_DB_Exercises!BJ31)&gt;0,_DB_Exercises!BJ31,"")</f>
        <v>19</v>
      </c>
      <c r="AP30" s="31">
        <f>IF(LEN(_DB_Exercises!BK31)&gt;0,_DB_Exercises!BK31,"")</f>
        <v>18.5</v>
      </c>
      <c r="AQ30" s="31">
        <f>IF(LEN(_DB_Exercises!BL31)&gt;0,_DB_Exercises!BL31,"")</f>
        <v>18</v>
      </c>
      <c r="AR30" s="31">
        <f>IF(LEN(_DB_Exercises!BM31)&gt;0,_DB_Exercises!BM31,"")</f>
        <v>17.5</v>
      </c>
    </row>
    <row r="31" spans="1:44" x14ac:dyDescent="0.25">
      <c r="A31" s="11">
        <f>IF(LEN(_DB_Exercises!A32)&gt;0,_DB_Exercises!A32,"")</f>
        <v>2018</v>
      </c>
      <c r="B31" s="14" t="str">
        <f>IF(LEN(_DB_Exercises!K32)&gt;0,_DB_Exercises!K32,"")</f>
        <v>Pressure Putting</v>
      </c>
      <c r="C31" s="31">
        <f>IF(LEN(_DB_Exercises!X32)&gt;0,_DB_Exercises!X32,"")</f>
        <v>20</v>
      </c>
      <c r="D31" s="31">
        <f>IF(LEN(_DB_Exercises!Y32)&gt;0,_DB_Exercises!Y32,"")</f>
        <v>19.625</v>
      </c>
      <c r="E31" s="31">
        <f>IF(LEN(_DB_Exercises!Z32)&gt;0,_DB_Exercises!Z32,"")</f>
        <v>19.25</v>
      </c>
      <c r="F31" s="31">
        <f>IF(LEN(_DB_Exercises!AA32)&gt;0,_DB_Exercises!AA32,"")</f>
        <v>18.875</v>
      </c>
      <c r="G31" s="31">
        <f>IF(LEN(_DB_Exercises!AB32)&gt;0,_DB_Exercises!AB32,"")</f>
        <v>18.5</v>
      </c>
      <c r="H31" s="31">
        <f>IF(LEN(_DB_Exercises!AC32)&gt;0,_DB_Exercises!AC32,"")</f>
        <v>18.125</v>
      </c>
      <c r="I31" s="31">
        <f>IF(LEN(_DB_Exercises!AD32)&gt;0,_DB_Exercises!AD32,"")</f>
        <v>17.75</v>
      </c>
      <c r="J31" s="31">
        <f>IF(LEN(_DB_Exercises!AE32)&gt;0,_DB_Exercises!AE32,"")</f>
        <v>17.375</v>
      </c>
      <c r="K31" s="31">
        <f>IF(LEN(_DB_Exercises!AF32)&gt;0,_DB_Exercises!AF32,"")</f>
        <v>17</v>
      </c>
      <c r="L31" s="31">
        <f>IF(LEN(_DB_Exercises!AG32)&gt;0,_DB_Exercises!AG32,"")</f>
        <v>16.625</v>
      </c>
      <c r="M31" s="31">
        <f>IF(LEN(_DB_Exercises!AH32)&gt;0,_DB_Exercises!AH32,"")</f>
        <v>16.25</v>
      </c>
      <c r="N31" s="31">
        <f>IF(LEN(_DB_Exercises!AI32)&gt;0,_DB_Exercises!AI32,"")</f>
        <v>15.875</v>
      </c>
      <c r="O31" s="31">
        <f>IF(LEN(_DB_Exercises!AJ32)&gt;0,_DB_Exercises!AJ32,"")</f>
        <v>15.5</v>
      </c>
      <c r="P31" s="31">
        <f>IF(LEN(_DB_Exercises!AK32)&gt;0,_DB_Exercises!AK32,"")</f>
        <v>15.125</v>
      </c>
      <c r="Q31" s="31">
        <f>IF(LEN(_DB_Exercises!AL32)&gt;0,_DB_Exercises!AL32,"")</f>
        <v>14.75</v>
      </c>
      <c r="R31" s="31">
        <f>IF(LEN(_DB_Exercises!AM32)&gt;0,_DB_Exercises!AM32,"")</f>
        <v>14.375</v>
      </c>
      <c r="S31" s="31">
        <f>IF(LEN(_DB_Exercises!AN32)&gt;0,_DB_Exercises!AN32,"")</f>
        <v>14</v>
      </c>
      <c r="T31" s="31">
        <f>IF(LEN(_DB_Exercises!AO32)&gt;0,_DB_Exercises!AO32,"")</f>
        <v>13.7</v>
      </c>
      <c r="U31" s="31">
        <f>IF(LEN(_DB_Exercises!AP32)&gt;0,_DB_Exercises!AP32,"")</f>
        <v>13.399999999999999</v>
      </c>
      <c r="V31" s="31">
        <f>IF(LEN(_DB_Exercises!AQ32)&gt;0,_DB_Exercises!AQ32,"")</f>
        <v>13.099999999999998</v>
      </c>
      <c r="W31" s="31">
        <f>IF(LEN(_DB_Exercises!AR32)&gt;0,_DB_Exercises!AR32,"")</f>
        <v>12.799999999999997</v>
      </c>
      <c r="X31" s="31">
        <f>IF(LEN(_DB_Exercises!AS32)&gt;0,_DB_Exercises!AS32,"")</f>
        <v>12.499999999999996</v>
      </c>
      <c r="Y31" s="31">
        <f>IF(LEN(_DB_Exercises!AT32)&gt;0,_DB_Exercises!AT32,"")</f>
        <v>12.199999999999996</v>
      </c>
      <c r="Z31" s="31">
        <f>IF(LEN(_DB_Exercises!AU32)&gt;0,_DB_Exercises!AU32,"")</f>
        <v>11.899999999999995</v>
      </c>
      <c r="AA31" s="31">
        <f>IF(LEN(_DB_Exercises!AV32)&gt;0,_DB_Exercises!AV32,"")</f>
        <v>11.599999999999994</v>
      </c>
      <c r="AB31" s="31">
        <f>IF(LEN(_DB_Exercises!AW32)&gt;0,_DB_Exercises!AW32,"")</f>
        <v>11.299999999999994</v>
      </c>
      <c r="AC31" s="31">
        <f>IF(LEN(_DB_Exercises!AX32)&gt;0,_DB_Exercises!AX32,"")</f>
        <v>10.999999999999993</v>
      </c>
      <c r="AD31" s="31">
        <f>IF(LEN(_DB_Exercises!AY32)&gt;0,_DB_Exercises!AY32,"")</f>
        <v>10.699999999999992</v>
      </c>
      <c r="AE31" s="31">
        <f>IF(LEN(_DB_Exercises!AZ32)&gt;0,_DB_Exercises!AZ32,"")</f>
        <v>10.399999999999991</v>
      </c>
      <c r="AF31" s="31">
        <f>IF(LEN(_DB_Exercises!BA32)&gt;0,_DB_Exercises!BA32,"")</f>
        <v>10.099999999999991</v>
      </c>
      <c r="AG31" s="31">
        <f>IF(LEN(_DB_Exercises!BB32)&gt;0,_DB_Exercises!BB32,"")</f>
        <v>9.7999999999999901</v>
      </c>
      <c r="AH31" s="31">
        <f>IF(LEN(_DB_Exercises!BC32)&gt;0,_DB_Exercises!BC32,"")</f>
        <v>9.4999999999999893</v>
      </c>
      <c r="AI31" s="31">
        <f>IF(LEN(_DB_Exercises!BD32)&gt;0,_DB_Exercises!BD32,"")</f>
        <v>9.1999999999999886</v>
      </c>
      <c r="AJ31" s="31">
        <f>IF(LEN(_DB_Exercises!BE32)&gt;0,_DB_Exercises!BE32,"")</f>
        <v>8.8999999999999879</v>
      </c>
      <c r="AK31" s="31">
        <f>IF(LEN(_DB_Exercises!BF32)&gt;0,_DB_Exercises!BF32,"")</f>
        <v>8.5999999999999872</v>
      </c>
      <c r="AL31" s="31">
        <f>IF(LEN(_DB_Exercises!BG32)&gt;0,_DB_Exercises!BG32,"")</f>
        <v>8.2999999999999865</v>
      </c>
      <c r="AM31" s="31">
        <f>IF(LEN(_DB_Exercises!BH32)&gt;0,_DB_Exercises!BH32,"")</f>
        <v>7.9999999999999867</v>
      </c>
      <c r="AN31" s="31">
        <f>IF(LEN(_DB_Exercises!BI32)&gt;0,_DB_Exercises!BI32,"")</f>
        <v>7.6999999999999869</v>
      </c>
      <c r="AO31" s="31">
        <f>IF(LEN(_DB_Exercises!BJ32)&gt;0,_DB_Exercises!BJ32,"")</f>
        <v>7.399999999999987</v>
      </c>
      <c r="AP31" s="31">
        <f>IF(LEN(_DB_Exercises!BK32)&gt;0,_DB_Exercises!BK32,"")</f>
        <v>7.0999999999999872</v>
      </c>
      <c r="AQ31" s="31">
        <f>IF(LEN(_DB_Exercises!BL32)&gt;0,_DB_Exercises!BL32,"")</f>
        <v>6.7999999999999874</v>
      </c>
      <c r="AR31" s="31">
        <f>IF(LEN(_DB_Exercises!BM32)&gt;0,_DB_Exercises!BM32,"")</f>
        <v>6.4999999999999876</v>
      </c>
    </row>
    <row r="32" spans="1:44" x14ac:dyDescent="0.25">
      <c r="A32" s="11">
        <f>IF(LEN(_DB_Exercises!A33)&gt;0,_DB_Exercises!A33,"")</f>
        <v>2019</v>
      </c>
      <c r="B32" s="14" t="str">
        <f>IF(LEN(_DB_Exercises!K33)&gt;0,_DB_Exercises!K33,"")</f>
        <v>Putting Break to the right</v>
      </c>
      <c r="C32" s="31">
        <f>IF(LEN(_DB_Exercises!X33)&gt;0,_DB_Exercises!X33,"")</f>
        <v>9</v>
      </c>
      <c r="D32" s="31">
        <f>IF(LEN(_DB_Exercises!Y33)&gt;0,_DB_Exercises!Y33,"")</f>
        <v>8.75</v>
      </c>
      <c r="E32" s="31">
        <f>IF(LEN(_DB_Exercises!Z33)&gt;0,_DB_Exercises!Z33,"")</f>
        <v>8.5</v>
      </c>
      <c r="F32" s="31">
        <f>IF(LEN(_DB_Exercises!AA33)&gt;0,_DB_Exercises!AA33,"")</f>
        <v>8.25</v>
      </c>
      <c r="G32" s="31">
        <f>IF(LEN(_DB_Exercises!AB33)&gt;0,_DB_Exercises!AB33,"")</f>
        <v>8</v>
      </c>
      <c r="H32" s="31">
        <f>IF(LEN(_DB_Exercises!AC33)&gt;0,_DB_Exercises!AC33,"")</f>
        <v>7.75</v>
      </c>
      <c r="I32" s="31">
        <f>IF(LEN(_DB_Exercises!AD33)&gt;0,_DB_Exercises!AD33,"")</f>
        <v>7.5</v>
      </c>
      <c r="J32" s="31">
        <f>IF(LEN(_DB_Exercises!AE33)&gt;0,_DB_Exercises!AE33,"")</f>
        <v>7.25</v>
      </c>
      <c r="K32" s="31">
        <f>IF(LEN(_DB_Exercises!AF33)&gt;0,_DB_Exercises!AF33,"")</f>
        <v>7</v>
      </c>
      <c r="L32" s="31">
        <f>IF(LEN(_DB_Exercises!AG33)&gt;0,_DB_Exercises!AG33,"")</f>
        <v>6.75</v>
      </c>
      <c r="M32" s="31">
        <f>IF(LEN(_DB_Exercises!AH33)&gt;0,_DB_Exercises!AH33,"")</f>
        <v>6.5</v>
      </c>
      <c r="N32" s="31">
        <f>IF(LEN(_DB_Exercises!AI33)&gt;0,_DB_Exercises!AI33,"")</f>
        <v>6.25</v>
      </c>
      <c r="O32" s="31">
        <f>IF(LEN(_DB_Exercises!AJ33)&gt;0,_DB_Exercises!AJ33,"")</f>
        <v>6</v>
      </c>
      <c r="P32" s="31">
        <f>IF(LEN(_DB_Exercises!AK33)&gt;0,_DB_Exercises!AK33,"")</f>
        <v>5.75</v>
      </c>
      <c r="Q32" s="31">
        <f>IF(LEN(_DB_Exercises!AL33)&gt;0,_DB_Exercises!AL33,"")</f>
        <v>5.5</v>
      </c>
      <c r="R32" s="31">
        <f>IF(LEN(_DB_Exercises!AM33)&gt;0,_DB_Exercises!AM33,"")</f>
        <v>5.25</v>
      </c>
      <c r="S32" s="31">
        <f>IF(LEN(_DB_Exercises!AN33)&gt;0,_DB_Exercises!AN33,"")</f>
        <v>5</v>
      </c>
      <c r="T32" s="31">
        <f>IF(LEN(_DB_Exercises!AO33)&gt;0,_DB_Exercises!AO33,"")</f>
        <v>4.84</v>
      </c>
      <c r="U32" s="31">
        <f>IF(LEN(_DB_Exercises!AP33)&gt;0,_DB_Exercises!AP33,"")</f>
        <v>4.68</v>
      </c>
      <c r="V32" s="31">
        <f>IF(LEN(_DB_Exercises!AQ33)&gt;0,_DB_Exercises!AQ33,"")</f>
        <v>4.5199999999999996</v>
      </c>
      <c r="W32" s="31">
        <f>IF(LEN(_DB_Exercises!AR33)&gt;0,_DB_Exercises!AR33,"")</f>
        <v>4.3599999999999994</v>
      </c>
      <c r="X32" s="31">
        <f>IF(LEN(_DB_Exercises!AS33)&gt;0,_DB_Exercises!AS33,"")</f>
        <v>4.1999999999999993</v>
      </c>
      <c r="Y32" s="31">
        <f>IF(LEN(_DB_Exercises!AT33)&gt;0,_DB_Exercises!AT33,"")</f>
        <v>4.0399999999999991</v>
      </c>
      <c r="Z32" s="31">
        <f>IF(LEN(_DB_Exercises!AU33)&gt;0,_DB_Exercises!AU33,"")</f>
        <v>3.879999999999999</v>
      </c>
      <c r="AA32" s="31">
        <f>IF(LEN(_DB_Exercises!AV33)&gt;0,_DB_Exercises!AV33,"")</f>
        <v>3.7199999999999989</v>
      </c>
      <c r="AB32" s="31">
        <f>IF(LEN(_DB_Exercises!AW33)&gt;0,_DB_Exercises!AW33,"")</f>
        <v>3.5599999999999987</v>
      </c>
      <c r="AC32" s="31">
        <f>IF(LEN(_DB_Exercises!AX33)&gt;0,_DB_Exercises!AX33,"")</f>
        <v>3.3999999999999986</v>
      </c>
      <c r="AD32" s="31">
        <f>IF(LEN(_DB_Exercises!AY33)&gt;0,_DB_Exercises!AY33,"")</f>
        <v>3.2399999999999984</v>
      </c>
      <c r="AE32" s="31">
        <f>IF(LEN(_DB_Exercises!AZ33)&gt;0,_DB_Exercises!AZ33,"")</f>
        <v>3.0799999999999983</v>
      </c>
      <c r="AF32" s="31">
        <f>IF(LEN(_DB_Exercises!BA33)&gt;0,_DB_Exercises!BA33,"")</f>
        <v>2.9199999999999982</v>
      </c>
      <c r="AG32" s="31">
        <f>IF(LEN(_DB_Exercises!BB33)&gt;0,_DB_Exercises!BB33,"")</f>
        <v>2.759999999999998</v>
      </c>
      <c r="AH32" s="31">
        <f>IF(LEN(_DB_Exercises!BC33)&gt;0,_DB_Exercises!BC33,"")</f>
        <v>2.5999999999999979</v>
      </c>
      <c r="AI32" s="31">
        <f>IF(LEN(_DB_Exercises!BD33)&gt;0,_DB_Exercises!BD33,"")</f>
        <v>2.4399999999999977</v>
      </c>
      <c r="AJ32" s="31">
        <f>IF(LEN(_DB_Exercises!BE33)&gt;0,_DB_Exercises!BE33,"")</f>
        <v>2.2799999999999976</v>
      </c>
      <c r="AK32" s="31">
        <f>IF(LEN(_DB_Exercises!BF33)&gt;0,_DB_Exercises!BF33,"")</f>
        <v>2.1199999999999974</v>
      </c>
      <c r="AL32" s="31">
        <f>IF(LEN(_DB_Exercises!BG33)&gt;0,_DB_Exercises!BG33,"")</f>
        <v>1.9599999999999975</v>
      </c>
      <c r="AM32" s="31">
        <f>IF(LEN(_DB_Exercises!BH33)&gt;0,_DB_Exercises!BH33,"")</f>
        <v>1.7999999999999976</v>
      </c>
      <c r="AN32" s="31">
        <f>IF(LEN(_DB_Exercises!BI33)&gt;0,_DB_Exercises!BI33,"")</f>
        <v>1.6399999999999977</v>
      </c>
      <c r="AO32" s="31">
        <f>IF(LEN(_DB_Exercises!BJ33)&gt;0,_DB_Exercises!BJ33,"")</f>
        <v>1.4799999999999978</v>
      </c>
      <c r="AP32" s="31">
        <f>IF(LEN(_DB_Exercises!BK33)&gt;0,_DB_Exercises!BK33,"")</f>
        <v>1.3199999999999978</v>
      </c>
      <c r="AQ32" s="31">
        <f>IF(LEN(_DB_Exercises!BL33)&gt;0,_DB_Exercises!BL33,"")</f>
        <v>1.1599999999999979</v>
      </c>
      <c r="AR32" s="31">
        <f>IF(LEN(_DB_Exercises!BM33)&gt;0,_DB_Exercises!BM33,"")</f>
        <v>1</v>
      </c>
    </row>
    <row r="33" spans="1:44" x14ac:dyDescent="0.25">
      <c r="A33" s="11">
        <f>IF(LEN(_DB_Exercises!A34)&gt;0,_DB_Exercises!A34,"")</f>
        <v>2020</v>
      </c>
      <c r="B33" s="14" t="str">
        <f>IF(LEN(_DB_Exercises!K34)&gt;0,_DB_Exercises!K34,"")</f>
        <v>Putting Break to the left</v>
      </c>
      <c r="C33" s="31">
        <f>IF(LEN(_DB_Exercises!X34)&gt;0,_DB_Exercises!X34,"")</f>
        <v>9</v>
      </c>
      <c r="D33" s="31">
        <f>IF(LEN(_DB_Exercises!Y34)&gt;0,_DB_Exercises!Y34,"")</f>
        <v>8.75</v>
      </c>
      <c r="E33" s="31">
        <f>IF(LEN(_DB_Exercises!Z34)&gt;0,_DB_Exercises!Z34,"")</f>
        <v>8.5</v>
      </c>
      <c r="F33" s="31">
        <f>IF(LEN(_DB_Exercises!AA34)&gt;0,_DB_Exercises!AA34,"")</f>
        <v>8.25</v>
      </c>
      <c r="G33" s="31">
        <f>IF(LEN(_DB_Exercises!AB34)&gt;0,_DB_Exercises!AB34,"")</f>
        <v>8</v>
      </c>
      <c r="H33" s="31">
        <f>IF(LEN(_DB_Exercises!AC34)&gt;0,_DB_Exercises!AC34,"")</f>
        <v>7.75</v>
      </c>
      <c r="I33" s="31">
        <f>IF(LEN(_DB_Exercises!AD34)&gt;0,_DB_Exercises!AD34,"")</f>
        <v>7.5</v>
      </c>
      <c r="J33" s="31">
        <f>IF(LEN(_DB_Exercises!AE34)&gt;0,_DB_Exercises!AE34,"")</f>
        <v>7.25</v>
      </c>
      <c r="K33" s="31">
        <f>IF(LEN(_DB_Exercises!AF34)&gt;0,_DB_Exercises!AF34,"")</f>
        <v>7</v>
      </c>
      <c r="L33" s="31">
        <f>IF(LEN(_DB_Exercises!AG34)&gt;0,_DB_Exercises!AG34,"")</f>
        <v>6.75</v>
      </c>
      <c r="M33" s="31">
        <f>IF(LEN(_DB_Exercises!AH34)&gt;0,_DB_Exercises!AH34,"")</f>
        <v>6.5</v>
      </c>
      <c r="N33" s="31">
        <f>IF(LEN(_DB_Exercises!AI34)&gt;0,_DB_Exercises!AI34,"")</f>
        <v>6.25</v>
      </c>
      <c r="O33" s="31">
        <f>IF(LEN(_DB_Exercises!AJ34)&gt;0,_DB_Exercises!AJ34,"")</f>
        <v>6</v>
      </c>
      <c r="P33" s="31">
        <f>IF(LEN(_DB_Exercises!AK34)&gt;0,_DB_Exercises!AK34,"")</f>
        <v>5.75</v>
      </c>
      <c r="Q33" s="31">
        <f>IF(LEN(_DB_Exercises!AL34)&gt;0,_DB_Exercises!AL34,"")</f>
        <v>5.5</v>
      </c>
      <c r="R33" s="31">
        <f>IF(LEN(_DB_Exercises!AM34)&gt;0,_DB_Exercises!AM34,"")</f>
        <v>5.25</v>
      </c>
      <c r="S33" s="31">
        <f>IF(LEN(_DB_Exercises!AN34)&gt;0,_DB_Exercises!AN34,"")</f>
        <v>5</v>
      </c>
      <c r="T33" s="31">
        <f>IF(LEN(_DB_Exercises!AO34)&gt;0,_DB_Exercises!AO34,"")</f>
        <v>4.84</v>
      </c>
      <c r="U33" s="31">
        <f>IF(LEN(_DB_Exercises!AP34)&gt;0,_DB_Exercises!AP34,"")</f>
        <v>4.68</v>
      </c>
      <c r="V33" s="31">
        <f>IF(LEN(_DB_Exercises!AQ34)&gt;0,_DB_Exercises!AQ34,"")</f>
        <v>4.5199999999999996</v>
      </c>
      <c r="W33" s="31">
        <f>IF(LEN(_DB_Exercises!AR34)&gt;0,_DB_Exercises!AR34,"")</f>
        <v>4.3599999999999994</v>
      </c>
      <c r="X33" s="31">
        <f>IF(LEN(_DB_Exercises!AS34)&gt;0,_DB_Exercises!AS34,"")</f>
        <v>4.1999999999999993</v>
      </c>
      <c r="Y33" s="31">
        <f>IF(LEN(_DB_Exercises!AT34)&gt;0,_DB_Exercises!AT34,"")</f>
        <v>4.0399999999999991</v>
      </c>
      <c r="Z33" s="31">
        <f>IF(LEN(_DB_Exercises!AU34)&gt;0,_DB_Exercises!AU34,"")</f>
        <v>3.879999999999999</v>
      </c>
      <c r="AA33" s="31">
        <f>IF(LEN(_DB_Exercises!AV34)&gt;0,_DB_Exercises!AV34,"")</f>
        <v>3.7199999999999989</v>
      </c>
      <c r="AB33" s="31">
        <f>IF(LEN(_DB_Exercises!AW34)&gt;0,_DB_Exercises!AW34,"")</f>
        <v>3.5599999999999987</v>
      </c>
      <c r="AC33" s="31">
        <f>IF(LEN(_DB_Exercises!AX34)&gt;0,_DB_Exercises!AX34,"")</f>
        <v>3.3999999999999986</v>
      </c>
      <c r="AD33" s="31">
        <f>IF(LEN(_DB_Exercises!AY34)&gt;0,_DB_Exercises!AY34,"")</f>
        <v>3.2399999999999984</v>
      </c>
      <c r="AE33" s="31">
        <f>IF(LEN(_DB_Exercises!AZ34)&gt;0,_DB_Exercises!AZ34,"")</f>
        <v>3.0799999999999983</v>
      </c>
      <c r="AF33" s="31">
        <f>IF(LEN(_DB_Exercises!BA34)&gt;0,_DB_Exercises!BA34,"")</f>
        <v>2.9199999999999982</v>
      </c>
      <c r="AG33" s="31">
        <f>IF(LEN(_DB_Exercises!BB34)&gt;0,_DB_Exercises!BB34,"")</f>
        <v>2.759999999999998</v>
      </c>
      <c r="AH33" s="31">
        <f>IF(LEN(_DB_Exercises!BC34)&gt;0,_DB_Exercises!BC34,"")</f>
        <v>2.5999999999999979</v>
      </c>
      <c r="AI33" s="31">
        <f>IF(LEN(_DB_Exercises!BD34)&gt;0,_DB_Exercises!BD34,"")</f>
        <v>2.4399999999999977</v>
      </c>
      <c r="AJ33" s="31">
        <f>IF(LEN(_DB_Exercises!BE34)&gt;0,_DB_Exercises!BE34,"")</f>
        <v>2.2799999999999976</v>
      </c>
      <c r="AK33" s="31">
        <f>IF(LEN(_DB_Exercises!BF34)&gt;0,_DB_Exercises!BF34,"")</f>
        <v>2.1199999999999974</v>
      </c>
      <c r="AL33" s="31">
        <f>IF(LEN(_DB_Exercises!BG34)&gt;0,_DB_Exercises!BG34,"")</f>
        <v>1.9599999999999975</v>
      </c>
      <c r="AM33" s="31">
        <f>IF(LEN(_DB_Exercises!BH34)&gt;0,_DB_Exercises!BH34,"")</f>
        <v>1.7999999999999976</v>
      </c>
      <c r="AN33" s="31">
        <f>IF(LEN(_DB_Exercises!BI34)&gt;0,_DB_Exercises!BI34,"")</f>
        <v>1.6399999999999977</v>
      </c>
      <c r="AO33" s="31">
        <f>IF(LEN(_DB_Exercises!BJ34)&gt;0,_DB_Exercises!BJ34,"")</f>
        <v>1.4799999999999978</v>
      </c>
      <c r="AP33" s="31">
        <f>IF(LEN(_DB_Exercises!BK34)&gt;0,_DB_Exercises!BK34,"")</f>
        <v>1.3199999999999978</v>
      </c>
      <c r="AQ33" s="31">
        <f>IF(LEN(_DB_Exercises!BL34)&gt;0,_DB_Exercises!BL34,"")</f>
        <v>1.1599999999999979</v>
      </c>
      <c r="AR33" s="31">
        <f>IF(LEN(_DB_Exercises!BM34)&gt;0,_DB_Exercises!BM34,"")</f>
        <v>1</v>
      </c>
    </row>
    <row r="34" spans="1:44" x14ac:dyDescent="0.25">
      <c r="A34" s="11">
        <f>IF(LEN(_DB_Exercises!A35)&gt;0,_DB_Exercises!A35,"")</f>
        <v>2021</v>
      </c>
      <c r="B34" s="14" t="str">
        <f>IF(LEN(_DB_Exercises!K35)&gt;0,_DB_Exercises!K35,"")</f>
        <v>Tour Length Control</v>
      </c>
      <c r="C34" s="31">
        <f>IF(LEN(_DB_Exercises!X35)&gt;0,_DB_Exercises!X35,"")</f>
        <v>20</v>
      </c>
      <c r="D34" s="31">
        <f>IF(LEN(_DB_Exercises!Y35)&gt;0,_DB_Exercises!Y35,"")</f>
        <v>19.8125</v>
      </c>
      <c r="E34" s="31">
        <f>IF(LEN(_DB_Exercises!Z35)&gt;0,_DB_Exercises!Z35,"")</f>
        <v>19.625</v>
      </c>
      <c r="F34" s="31">
        <f>IF(LEN(_DB_Exercises!AA35)&gt;0,_DB_Exercises!AA35,"")</f>
        <v>19.4375</v>
      </c>
      <c r="G34" s="31">
        <f>IF(LEN(_DB_Exercises!AB35)&gt;0,_DB_Exercises!AB35,"")</f>
        <v>19.25</v>
      </c>
      <c r="H34" s="31">
        <f>IF(LEN(_DB_Exercises!AC35)&gt;0,_DB_Exercises!AC35,"")</f>
        <v>19.0625</v>
      </c>
      <c r="I34" s="31">
        <f>IF(LEN(_DB_Exercises!AD35)&gt;0,_DB_Exercises!AD35,"")</f>
        <v>18.875</v>
      </c>
      <c r="J34" s="31">
        <f>IF(LEN(_DB_Exercises!AE35)&gt;0,_DB_Exercises!AE35,"")</f>
        <v>18.6875</v>
      </c>
      <c r="K34" s="31">
        <f>IF(LEN(_DB_Exercises!AF35)&gt;0,_DB_Exercises!AF35,"")</f>
        <v>18.5</v>
      </c>
      <c r="L34" s="31">
        <f>IF(LEN(_DB_Exercises!AG35)&gt;0,_DB_Exercises!AG35,"")</f>
        <v>18.3125</v>
      </c>
      <c r="M34" s="31">
        <f>IF(LEN(_DB_Exercises!AH35)&gt;0,_DB_Exercises!AH35,"")</f>
        <v>18.125</v>
      </c>
      <c r="N34" s="31">
        <f>IF(LEN(_DB_Exercises!AI35)&gt;0,_DB_Exercises!AI35,"")</f>
        <v>17.9375</v>
      </c>
      <c r="O34" s="31">
        <f>IF(LEN(_DB_Exercises!AJ35)&gt;0,_DB_Exercises!AJ35,"")</f>
        <v>17.75</v>
      </c>
      <c r="P34" s="31">
        <f>IF(LEN(_DB_Exercises!AK35)&gt;0,_DB_Exercises!AK35,"")</f>
        <v>17.5625</v>
      </c>
      <c r="Q34" s="31">
        <f>IF(LEN(_DB_Exercises!AL35)&gt;0,_DB_Exercises!AL35,"")</f>
        <v>17.375</v>
      </c>
      <c r="R34" s="31">
        <f>IF(LEN(_DB_Exercises!AM35)&gt;0,_DB_Exercises!AM35,"")</f>
        <v>17.1875</v>
      </c>
      <c r="S34" s="31">
        <f>IF(LEN(_DB_Exercises!AN35)&gt;0,_DB_Exercises!AN35,"")</f>
        <v>17</v>
      </c>
      <c r="T34" s="31">
        <f>IF(LEN(_DB_Exercises!AO35)&gt;0,_DB_Exercises!AO35,"")</f>
        <v>16.84</v>
      </c>
      <c r="U34" s="31">
        <f>IF(LEN(_DB_Exercises!AP35)&gt;0,_DB_Exercises!AP35,"")</f>
        <v>16.68</v>
      </c>
      <c r="V34" s="31">
        <f>IF(LEN(_DB_Exercises!AQ35)&gt;0,_DB_Exercises!AQ35,"")</f>
        <v>16.52</v>
      </c>
      <c r="W34" s="31">
        <f>IF(LEN(_DB_Exercises!AR35)&gt;0,_DB_Exercises!AR35,"")</f>
        <v>16.36</v>
      </c>
      <c r="X34" s="31">
        <f>IF(LEN(_DB_Exercises!AS35)&gt;0,_DB_Exercises!AS35,"")</f>
        <v>16.2</v>
      </c>
      <c r="Y34" s="31">
        <f>IF(LEN(_DB_Exercises!AT35)&gt;0,_DB_Exercises!AT35,"")</f>
        <v>16.04</v>
      </c>
      <c r="Z34" s="31">
        <f>IF(LEN(_DB_Exercises!AU35)&gt;0,_DB_Exercises!AU35,"")</f>
        <v>15.879999999999999</v>
      </c>
      <c r="AA34" s="31">
        <f>IF(LEN(_DB_Exercises!AV35)&gt;0,_DB_Exercises!AV35,"")</f>
        <v>15.719999999999999</v>
      </c>
      <c r="AB34" s="31">
        <f>IF(LEN(_DB_Exercises!AW35)&gt;0,_DB_Exercises!AW35,"")</f>
        <v>15.559999999999999</v>
      </c>
      <c r="AC34" s="31">
        <f>IF(LEN(_DB_Exercises!AX35)&gt;0,_DB_Exercises!AX35,"")</f>
        <v>15.399999999999999</v>
      </c>
      <c r="AD34" s="31">
        <f>IF(LEN(_DB_Exercises!AY35)&gt;0,_DB_Exercises!AY35,"")</f>
        <v>15.239999999999998</v>
      </c>
      <c r="AE34" s="31">
        <f>IF(LEN(_DB_Exercises!AZ35)&gt;0,_DB_Exercises!AZ35,"")</f>
        <v>15.079999999999998</v>
      </c>
      <c r="AF34" s="31">
        <f>IF(LEN(_DB_Exercises!BA35)&gt;0,_DB_Exercises!BA35,"")</f>
        <v>14.919999999999998</v>
      </c>
      <c r="AG34" s="31">
        <f>IF(LEN(_DB_Exercises!BB35)&gt;0,_DB_Exercises!BB35,"")</f>
        <v>14.759999999999998</v>
      </c>
      <c r="AH34" s="31">
        <f>IF(LEN(_DB_Exercises!BC35)&gt;0,_DB_Exercises!BC35,"")</f>
        <v>14.599999999999998</v>
      </c>
      <c r="AI34" s="31">
        <f>IF(LEN(_DB_Exercises!BD35)&gt;0,_DB_Exercises!BD35,"")</f>
        <v>14.439999999999998</v>
      </c>
      <c r="AJ34" s="31">
        <f>IF(LEN(_DB_Exercises!BE35)&gt;0,_DB_Exercises!BE35,"")</f>
        <v>14.279999999999998</v>
      </c>
      <c r="AK34" s="31">
        <f>IF(LEN(_DB_Exercises!BF35)&gt;0,_DB_Exercises!BF35,"")</f>
        <v>14.119999999999997</v>
      </c>
      <c r="AL34" s="31">
        <f>IF(LEN(_DB_Exercises!BG35)&gt;0,_DB_Exercises!BG35,"")</f>
        <v>13.959999999999997</v>
      </c>
      <c r="AM34" s="31">
        <f>IF(LEN(_DB_Exercises!BH35)&gt;0,_DB_Exercises!BH35,"")</f>
        <v>13.799999999999997</v>
      </c>
      <c r="AN34" s="31">
        <f>IF(LEN(_DB_Exercises!BI35)&gt;0,_DB_Exercises!BI35,"")</f>
        <v>13.639999999999997</v>
      </c>
      <c r="AO34" s="31">
        <f>IF(LEN(_DB_Exercises!BJ35)&gt;0,_DB_Exercises!BJ35,"")</f>
        <v>13.479999999999997</v>
      </c>
      <c r="AP34" s="31">
        <f>IF(LEN(_DB_Exercises!BK35)&gt;0,_DB_Exercises!BK35,"")</f>
        <v>13.319999999999997</v>
      </c>
      <c r="AQ34" s="31">
        <f>IF(LEN(_DB_Exercises!BL35)&gt;0,_DB_Exercises!BL35,"")</f>
        <v>13.159999999999997</v>
      </c>
      <c r="AR34" s="31">
        <f>IF(LEN(_DB_Exercises!BM35)&gt;0,_DB_Exercises!BM35,"")</f>
        <v>12</v>
      </c>
    </row>
    <row r="35" spans="1:44" x14ac:dyDescent="0.25">
      <c r="A35" s="11">
        <f>IF(LEN(_DB_Exercises!A36)&gt;0,_DB_Exercises!A36,"")</f>
        <v>2022</v>
      </c>
      <c r="B35" s="14" t="str">
        <f>IF(LEN(_DB_Exercises!K36)&gt;0,_DB_Exercises!K36,"")</f>
        <v>Short Distance  -  5 in a Row</v>
      </c>
      <c r="C35" s="31" t="str">
        <f>IF(LEN(_DB_Exercises!X36)&gt;0,_DB_Exercises!X36,"")</f>
        <v/>
      </c>
      <c r="D35" s="31" t="str">
        <f>IF(LEN(_DB_Exercises!Y36)&gt;0,_DB_Exercises!Y36,"")</f>
        <v/>
      </c>
      <c r="E35" s="31" t="str">
        <f>IF(LEN(_DB_Exercises!Z36)&gt;0,_DB_Exercises!Z36,"")</f>
        <v/>
      </c>
      <c r="F35" s="31" t="str">
        <f>IF(LEN(_DB_Exercises!AA36)&gt;0,_DB_Exercises!AA36,"")</f>
        <v/>
      </c>
      <c r="G35" s="31" t="str">
        <f>IF(LEN(_DB_Exercises!AB36)&gt;0,_DB_Exercises!AB36,"")</f>
        <v/>
      </c>
      <c r="H35" s="31" t="str">
        <f>IF(LEN(_DB_Exercises!AC36)&gt;0,_DB_Exercises!AC36,"")</f>
        <v/>
      </c>
      <c r="I35" s="31" t="str">
        <f>IF(LEN(_DB_Exercises!AD36)&gt;0,_DB_Exercises!AD36,"")</f>
        <v/>
      </c>
      <c r="J35" s="31" t="str">
        <f>IF(LEN(_DB_Exercises!AE36)&gt;0,_DB_Exercises!AE36,"")</f>
        <v/>
      </c>
      <c r="K35" s="31" t="str">
        <f>IF(LEN(_DB_Exercises!AF36)&gt;0,_DB_Exercises!AF36,"")</f>
        <v/>
      </c>
      <c r="L35" s="31" t="str">
        <f>IF(LEN(_DB_Exercises!AG36)&gt;0,_DB_Exercises!AG36,"")</f>
        <v/>
      </c>
      <c r="M35" s="31" t="str">
        <f>IF(LEN(_DB_Exercises!AH36)&gt;0,_DB_Exercises!AH36,"")</f>
        <v/>
      </c>
      <c r="N35" s="31" t="str">
        <f>IF(LEN(_DB_Exercises!AI36)&gt;0,_DB_Exercises!AI36,"")</f>
        <v/>
      </c>
      <c r="O35" s="31" t="str">
        <f>IF(LEN(_DB_Exercises!AJ36)&gt;0,_DB_Exercises!AJ36,"")</f>
        <v/>
      </c>
      <c r="P35" s="31" t="str">
        <f>IF(LEN(_DB_Exercises!AK36)&gt;0,_DB_Exercises!AK36,"")</f>
        <v/>
      </c>
      <c r="Q35" s="31" t="str">
        <f>IF(LEN(_DB_Exercises!AL36)&gt;0,_DB_Exercises!AL36,"")</f>
        <v/>
      </c>
      <c r="R35" s="31" t="str">
        <f>IF(LEN(_DB_Exercises!AM36)&gt;0,_DB_Exercises!AM36,"")</f>
        <v/>
      </c>
      <c r="S35" s="31" t="str">
        <f>IF(LEN(_DB_Exercises!AN36)&gt;0,_DB_Exercises!AN36,"")</f>
        <v/>
      </c>
      <c r="T35" s="31" t="str">
        <f>IF(LEN(_DB_Exercises!AO36)&gt;0,_DB_Exercises!AO36,"")</f>
        <v/>
      </c>
      <c r="U35" s="31" t="str">
        <f>IF(LEN(_DB_Exercises!AP36)&gt;0,_DB_Exercises!AP36,"")</f>
        <v/>
      </c>
      <c r="V35" s="31" t="str">
        <f>IF(LEN(_DB_Exercises!AQ36)&gt;0,_DB_Exercises!AQ36,"")</f>
        <v/>
      </c>
      <c r="W35" s="31" t="str">
        <f>IF(LEN(_DB_Exercises!AR36)&gt;0,_DB_Exercises!AR36,"")</f>
        <v/>
      </c>
      <c r="X35" s="31" t="str">
        <f>IF(LEN(_DB_Exercises!AS36)&gt;0,_DB_Exercises!AS36,"")</f>
        <v/>
      </c>
      <c r="Y35" s="31" t="str">
        <f>IF(LEN(_DB_Exercises!AT36)&gt;0,_DB_Exercises!AT36,"")</f>
        <v/>
      </c>
      <c r="Z35" s="31" t="str">
        <f>IF(LEN(_DB_Exercises!AU36)&gt;0,_DB_Exercises!AU36,"")</f>
        <v/>
      </c>
      <c r="AA35" s="31" t="str">
        <f>IF(LEN(_DB_Exercises!AV36)&gt;0,_DB_Exercises!AV36,"")</f>
        <v/>
      </c>
      <c r="AB35" s="31" t="str">
        <f>IF(LEN(_DB_Exercises!AW36)&gt;0,_DB_Exercises!AW36,"")</f>
        <v/>
      </c>
      <c r="AC35" s="31" t="str">
        <f>IF(LEN(_DB_Exercises!AX36)&gt;0,_DB_Exercises!AX36,"")</f>
        <v/>
      </c>
      <c r="AD35" s="31" t="str">
        <f>IF(LEN(_DB_Exercises!AY36)&gt;0,_DB_Exercises!AY36,"")</f>
        <v/>
      </c>
      <c r="AE35" s="31" t="str">
        <f>IF(LEN(_DB_Exercises!AZ36)&gt;0,_DB_Exercises!AZ36,"")</f>
        <v/>
      </c>
      <c r="AF35" s="31" t="str">
        <f>IF(LEN(_DB_Exercises!BA36)&gt;0,_DB_Exercises!BA36,"")</f>
        <v/>
      </c>
      <c r="AG35" s="31" t="str">
        <f>IF(LEN(_DB_Exercises!BB36)&gt;0,_DB_Exercises!BB36,"")</f>
        <v/>
      </c>
      <c r="AH35" s="31" t="str">
        <f>IF(LEN(_DB_Exercises!BC36)&gt;0,_DB_Exercises!BC36,"")</f>
        <v/>
      </c>
      <c r="AI35" s="31" t="str">
        <f>IF(LEN(_DB_Exercises!BD36)&gt;0,_DB_Exercises!BD36,"")</f>
        <v/>
      </c>
      <c r="AJ35" s="31" t="str">
        <f>IF(LEN(_DB_Exercises!BE36)&gt;0,_DB_Exercises!BE36,"")</f>
        <v/>
      </c>
      <c r="AK35" s="31" t="str">
        <f>IF(LEN(_DB_Exercises!BF36)&gt;0,_DB_Exercises!BF36,"")</f>
        <v/>
      </c>
      <c r="AL35" s="31" t="str">
        <f>IF(LEN(_DB_Exercises!BG36)&gt;0,_DB_Exercises!BG36,"")</f>
        <v/>
      </c>
      <c r="AM35" s="31" t="str">
        <f>IF(LEN(_DB_Exercises!BH36)&gt;0,_DB_Exercises!BH36,"")</f>
        <v/>
      </c>
      <c r="AN35" s="31" t="str">
        <f>IF(LEN(_DB_Exercises!BI36)&gt;0,_DB_Exercises!BI36,"")</f>
        <v/>
      </c>
      <c r="AO35" s="31" t="str">
        <f>IF(LEN(_DB_Exercises!BJ36)&gt;0,_DB_Exercises!BJ36,"")</f>
        <v/>
      </c>
      <c r="AP35" s="31" t="str">
        <f>IF(LEN(_DB_Exercises!BK36)&gt;0,_DB_Exercises!BK36,"")</f>
        <v/>
      </c>
      <c r="AQ35" s="31" t="str">
        <f>IF(LEN(_DB_Exercises!BL36)&gt;0,_DB_Exercises!BL36,"")</f>
        <v/>
      </c>
      <c r="AR35" s="31" t="str">
        <f>IF(LEN(_DB_Exercises!BM36)&gt;0,_DB_Exercises!BM36,"")</f>
        <v/>
      </c>
    </row>
    <row r="36" spans="1:44" x14ac:dyDescent="0.25">
      <c r="A36" s="11">
        <f>IF(LEN(_DB_Exercises!A38)&gt;0,_DB_Exercises!A38,"")</f>
        <v>2024</v>
      </c>
      <c r="B36" s="14" t="str">
        <f>IF(LEN(_DB_Exercises!K38)&gt;0,_DB_Exercises!K38,"")</f>
        <v>Long Distance  -  5 in a Row</v>
      </c>
      <c r="C36" s="31">
        <f>IF(LEN(_DB_Exercises!X38)&gt;0,_DB_Exercises!X38,"")</f>
        <v>0</v>
      </c>
      <c r="D36" s="31">
        <f>IF(LEN(_DB_Exercises!Y38)&gt;0,_DB_Exercises!Y38,"")</f>
        <v>0.125</v>
      </c>
      <c r="E36" s="31">
        <f>IF(LEN(_DB_Exercises!Z38)&gt;0,_DB_Exercises!Z38,"")</f>
        <v>0.25</v>
      </c>
      <c r="F36" s="31">
        <f>IF(LEN(_DB_Exercises!AA38)&gt;0,_DB_Exercises!AA38,"")</f>
        <v>0.375</v>
      </c>
      <c r="G36" s="31">
        <f>IF(LEN(_DB_Exercises!AB38)&gt;0,_DB_Exercises!AB38,"")</f>
        <v>0.5</v>
      </c>
      <c r="H36" s="31">
        <f>IF(LEN(_DB_Exercises!AC38)&gt;0,_DB_Exercises!AC38,"")</f>
        <v>0.625</v>
      </c>
      <c r="I36" s="31">
        <f>IF(LEN(_DB_Exercises!AD38)&gt;0,_DB_Exercises!AD38,"")</f>
        <v>0.75</v>
      </c>
      <c r="J36" s="31">
        <f>IF(LEN(_DB_Exercises!AE38)&gt;0,_DB_Exercises!AE38,"")</f>
        <v>0.875</v>
      </c>
      <c r="K36" s="31">
        <f>IF(LEN(_DB_Exercises!AF38)&gt;0,_DB_Exercises!AF38,"")</f>
        <v>1</v>
      </c>
      <c r="L36" s="31">
        <f>IF(LEN(_DB_Exercises!AG38)&gt;0,_DB_Exercises!AG38,"")</f>
        <v>1.3333333333333333</v>
      </c>
      <c r="M36" s="31">
        <f>IF(LEN(_DB_Exercises!AH38)&gt;0,_DB_Exercises!AH38,"")</f>
        <v>1.6666666666666665</v>
      </c>
      <c r="N36" s="31">
        <f>IF(LEN(_DB_Exercises!AI38)&gt;0,_DB_Exercises!AI38,"")</f>
        <v>1.9999999999999998</v>
      </c>
      <c r="O36" s="31">
        <f>IF(LEN(_DB_Exercises!AJ38)&gt;0,_DB_Exercises!AJ38,"")</f>
        <v>2.333333333333333</v>
      </c>
      <c r="P36" s="31">
        <f>IF(LEN(_DB_Exercises!AK38)&gt;0,_DB_Exercises!AK38,"")</f>
        <v>2.6666666666666665</v>
      </c>
      <c r="Q36" s="31">
        <f>IF(LEN(_DB_Exercises!AL38)&gt;0,_DB_Exercises!AL38,"")</f>
        <v>3</v>
      </c>
      <c r="R36" s="31">
        <f>IF(LEN(_DB_Exercises!AM38)&gt;0,_DB_Exercises!AM38,"")</f>
        <v>3.3333333333333335</v>
      </c>
      <c r="S36" s="31">
        <f>IF(LEN(_DB_Exercises!AN38)&gt;0,_DB_Exercises!AN38,"")</f>
        <v>4</v>
      </c>
      <c r="T36" s="31">
        <f>IF(LEN(_DB_Exercises!AO38)&gt;0,_DB_Exercises!AO38,"")</f>
        <v>4.12</v>
      </c>
      <c r="U36" s="31">
        <f>IF(LEN(_DB_Exercises!AP38)&gt;0,_DB_Exercises!AP38,"")</f>
        <v>4.24</v>
      </c>
      <c r="V36" s="31">
        <f>IF(LEN(_DB_Exercises!AQ38)&gt;0,_DB_Exercises!AQ38,"")</f>
        <v>4.3600000000000003</v>
      </c>
      <c r="W36" s="31">
        <f>IF(LEN(_DB_Exercises!AR38)&gt;0,_DB_Exercises!AR38,"")</f>
        <v>4.4800000000000004</v>
      </c>
      <c r="X36" s="31">
        <f>IF(LEN(_DB_Exercises!AS38)&gt;0,_DB_Exercises!AS38,"")</f>
        <v>4.6000000000000005</v>
      </c>
      <c r="Y36" s="31">
        <f>IF(LEN(_DB_Exercises!AT38)&gt;0,_DB_Exercises!AT38,"")</f>
        <v>4.7200000000000006</v>
      </c>
      <c r="Z36" s="31">
        <f>IF(LEN(_DB_Exercises!AU38)&gt;0,_DB_Exercises!AU38,"")</f>
        <v>4.8400000000000007</v>
      </c>
      <c r="AA36" s="31">
        <f>IF(LEN(_DB_Exercises!AV38)&gt;0,_DB_Exercises!AV38,"")</f>
        <v>4.9600000000000009</v>
      </c>
      <c r="AB36" s="31">
        <f>IF(LEN(_DB_Exercises!AW38)&gt;0,_DB_Exercises!AW38,"")</f>
        <v>5.080000000000001</v>
      </c>
      <c r="AC36" s="31">
        <f>IF(LEN(_DB_Exercises!AX38)&gt;0,_DB_Exercises!AX38,"")</f>
        <v>5.2000000000000011</v>
      </c>
      <c r="AD36" s="31">
        <f>IF(LEN(_DB_Exercises!AY38)&gt;0,_DB_Exercises!AY38,"")</f>
        <v>5.3200000000000012</v>
      </c>
      <c r="AE36" s="31">
        <f>IF(LEN(_DB_Exercises!AZ38)&gt;0,_DB_Exercises!AZ38,"")</f>
        <v>5.4400000000000013</v>
      </c>
      <c r="AF36" s="31">
        <f>IF(LEN(_DB_Exercises!BA38)&gt;0,_DB_Exercises!BA38,"")</f>
        <v>5.5600000000000014</v>
      </c>
      <c r="AG36" s="31">
        <f>IF(LEN(_DB_Exercises!BB38)&gt;0,_DB_Exercises!BB38,"")</f>
        <v>5.6800000000000015</v>
      </c>
      <c r="AH36" s="31">
        <f>IF(LEN(_DB_Exercises!BC38)&gt;0,_DB_Exercises!BC38,"")</f>
        <v>5.8000000000000016</v>
      </c>
      <c r="AI36" s="31">
        <f>IF(LEN(_DB_Exercises!BD38)&gt;0,_DB_Exercises!BD38,"")</f>
        <v>5.9200000000000017</v>
      </c>
      <c r="AJ36" s="31">
        <f>IF(LEN(_DB_Exercises!BE38)&gt;0,_DB_Exercises!BE38,"")</f>
        <v>6.0400000000000018</v>
      </c>
      <c r="AK36" s="31">
        <f>IF(LEN(_DB_Exercises!BF38)&gt;0,_DB_Exercises!BF38,"")</f>
        <v>6.1600000000000019</v>
      </c>
      <c r="AL36" s="31">
        <f>IF(LEN(_DB_Exercises!BG38)&gt;0,_DB_Exercises!BG38,"")</f>
        <v>6.280000000000002</v>
      </c>
      <c r="AM36" s="31">
        <f>IF(LEN(_DB_Exercises!BH38)&gt;0,_DB_Exercises!BH38,"")</f>
        <v>6.4000000000000021</v>
      </c>
      <c r="AN36" s="31">
        <f>IF(LEN(_DB_Exercises!BI38)&gt;0,_DB_Exercises!BI38,"")</f>
        <v>6.5200000000000022</v>
      </c>
      <c r="AO36" s="31">
        <f>IF(LEN(_DB_Exercises!BJ38)&gt;0,_DB_Exercises!BJ38,"")</f>
        <v>6.6400000000000023</v>
      </c>
      <c r="AP36" s="31">
        <f>IF(LEN(_DB_Exercises!BK38)&gt;0,_DB_Exercises!BK38,"")</f>
        <v>6.7600000000000025</v>
      </c>
      <c r="AQ36" s="31">
        <f>IF(LEN(_DB_Exercises!BL38)&gt;0,_DB_Exercises!BL38,"")</f>
        <v>6.8800000000000026</v>
      </c>
      <c r="AR36" s="31">
        <f>IF(LEN(_DB_Exercises!BM38)&gt;0,_DB_Exercises!BM38,"")</f>
        <v>7</v>
      </c>
    </row>
    <row r="37" spans="1:44" x14ac:dyDescent="0.25">
      <c r="A37" s="11" t="e">
        <f>IF(LEN(_DB_Exercises!#REF!)&gt;0,_DB_Exercises!#REF!,"")</f>
        <v>#REF!</v>
      </c>
      <c r="B37" s="14" t="e">
        <f>IF(LEN(_DB_Exercises!#REF!)&gt;0,_DB_Exercises!#REF!,"")</f>
        <v>#REF!</v>
      </c>
      <c r="C37" s="31" t="e">
        <f>IF(LEN(_DB_Exercises!#REF!)&gt;0,_DB_Exercises!#REF!,"")</f>
        <v>#REF!</v>
      </c>
      <c r="D37" s="31" t="e">
        <f>IF(LEN(_DB_Exercises!#REF!)&gt;0,_DB_Exercises!#REF!,"")</f>
        <v>#REF!</v>
      </c>
      <c r="E37" s="31" t="e">
        <f>IF(LEN(_DB_Exercises!#REF!)&gt;0,_DB_Exercises!#REF!,"")</f>
        <v>#REF!</v>
      </c>
      <c r="F37" s="31" t="e">
        <f>IF(LEN(_DB_Exercises!#REF!)&gt;0,_DB_Exercises!#REF!,"")</f>
        <v>#REF!</v>
      </c>
      <c r="G37" s="31" t="e">
        <f>IF(LEN(_DB_Exercises!#REF!)&gt;0,_DB_Exercises!#REF!,"")</f>
        <v>#REF!</v>
      </c>
      <c r="H37" s="31" t="e">
        <f>IF(LEN(_DB_Exercises!#REF!)&gt;0,_DB_Exercises!#REF!,"")</f>
        <v>#REF!</v>
      </c>
      <c r="I37" s="31" t="e">
        <f>IF(LEN(_DB_Exercises!#REF!)&gt;0,_DB_Exercises!#REF!,"")</f>
        <v>#REF!</v>
      </c>
      <c r="J37" s="31" t="e">
        <f>IF(LEN(_DB_Exercises!#REF!)&gt;0,_DB_Exercises!#REF!,"")</f>
        <v>#REF!</v>
      </c>
      <c r="K37" s="31" t="e">
        <f>IF(LEN(_DB_Exercises!#REF!)&gt;0,_DB_Exercises!#REF!,"")</f>
        <v>#REF!</v>
      </c>
      <c r="L37" s="31" t="e">
        <f>IF(LEN(_DB_Exercises!#REF!)&gt;0,_DB_Exercises!#REF!,"")</f>
        <v>#REF!</v>
      </c>
      <c r="M37" s="31" t="e">
        <f>IF(LEN(_DB_Exercises!#REF!)&gt;0,_DB_Exercises!#REF!,"")</f>
        <v>#REF!</v>
      </c>
      <c r="N37" s="31" t="e">
        <f>IF(LEN(_DB_Exercises!#REF!)&gt;0,_DB_Exercises!#REF!,"")</f>
        <v>#REF!</v>
      </c>
      <c r="O37" s="31" t="e">
        <f>IF(LEN(_DB_Exercises!#REF!)&gt;0,_DB_Exercises!#REF!,"")</f>
        <v>#REF!</v>
      </c>
      <c r="P37" s="31" t="e">
        <f>IF(LEN(_DB_Exercises!#REF!)&gt;0,_DB_Exercises!#REF!,"")</f>
        <v>#REF!</v>
      </c>
      <c r="Q37" s="31" t="e">
        <f>IF(LEN(_DB_Exercises!#REF!)&gt;0,_DB_Exercises!#REF!,"")</f>
        <v>#REF!</v>
      </c>
      <c r="R37" s="31" t="e">
        <f>IF(LEN(_DB_Exercises!#REF!)&gt;0,_DB_Exercises!#REF!,"")</f>
        <v>#REF!</v>
      </c>
      <c r="S37" s="31" t="e">
        <f>IF(LEN(_DB_Exercises!#REF!)&gt;0,_DB_Exercises!#REF!,"")</f>
        <v>#REF!</v>
      </c>
      <c r="T37" s="31" t="e">
        <f>IF(LEN(_DB_Exercises!#REF!)&gt;0,_DB_Exercises!#REF!,"")</f>
        <v>#REF!</v>
      </c>
      <c r="U37" s="31" t="e">
        <f>IF(LEN(_DB_Exercises!#REF!)&gt;0,_DB_Exercises!#REF!,"")</f>
        <v>#REF!</v>
      </c>
      <c r="V37" s="31" t="e">
        <f>IF(LEN(_DB_Exercises!#REF!)&gt;0,_DB_Exercises!#REF!,"")</f>
        <v>#REF!</v>
      </c>
      <c r="W37" s="31" t="e">
        <f>IF(LEN(_DB_Exercises!#REF!)&gt;0,_DB_Exercises!#REF!,"")</f>
        <v>#REF!</v>
      </c>
      <c r="X37" s="31" t="e">
        <f>IF(LEN(_DB_Exercises!#REF!)&gt;0,_DB_Exercises!#REF!,"")</f>
        <v>#REF!</v>
      </c>
      <c r="Y37" s="31" t="e">
        <f>IF(LEN(_DB_Exercises!#REF!)&gt;0,_DB_Exercises!#REF!,"")</f>
        <v>#REF!</v>
      </c>
      <c r="Z37" s="31" t="e">
        <f>IF(LEN(_DB_Exercises!#REF!)&gt;0,_DB_Exercises!#REF!,"")</f>
        <v>#REF!</v>
      </c>
      <c r="AA37" s="31" t="e">
        <f>IF(LEN(_DB_Exercises!#REF!)&gt;0,_DB_Exercises!#REF!,"")</f>
        <v>#REF!</v>
      </c>
      <c r="AB37" s="31" t="e">
        <f>IF(LEN(_DB_Exercises!#REF!)&gt;0,_DB_Exercises!#REF!,"")</f>
        <v>#REF!</v>
      </c>
      <c r="AC37" s="31" t="e">
        <f>IF(LEN(_DB_Exercises!#REF!)&gt;0,_DB_Exercises!#REF!,"")</f>
        <v>#REF!</v>
      </c>
      <c r="AD37" s="31" t="e">
        <f>IF(LEN(_DB_Exercises!#REF!)&gt;0,_DB_Exercises!#REF!,"")</f>
        <v>#REF!</v>
      </c>
      <c r="AE37" s="31" t="e">
        <f>IF(LEN(_DB_Exercises!#REF!)&gt;0,_DB_Exercises!#REF!,"")</f>
        <v>#REF!</v>
      </c>
      <c r="AF37" s="31" t="e">
        <f>IF(LEN(_DB_Exercises!#REF!)&gt;0,_DB_Exercises!#REF!,"")</f>
        <v>#REF!</v>
      </c>
      <c r="AG37" s="31" t="e">
        <f>IF(LEN(_DB_Exercises!#REF!)&gt;0,_DB_Exercises!#REF!,"")</f>
        <v>#REF!</v>
      </c>
      <c r="AH37" s="31" t="e">
        <f>IF(LEN(_DB_Exercises!#REF!)&gt;0,_DB_Exercises!#REF!,"")</f>
        <v>#REF!</v>
      </c>
      <c r="AI37" s="31" t="e">
        <f>IF(LEN(_DB_Exercises!#REF!)&gt;0,_DB_Exercises!#REF!,"")</f>
        <v>#REF!</v>
      </c>
      <c r="AJ37" s="31" t="e">
        <f>IF(LEN(_DB_Exercises!#REF!)&gt;0,_DB_Exercises!#REF!,"")</f>
        <v>#REF!</v>
      </c>
      <c r="AK37" s="31" t="e">
        <f>IF(LEN(_DB_Exercises!#REF!)&gt;0,_DB_Exercises!#REF!,"")</f>
        <v>#REF!</v>
      </c>
      <c r="AL37" s="31" t="e">
        <f>IF(LEN(_DB_Exercises!#REF!)&gt;0,_DB_Exercises!#REF!,"")</f>
        <v>#REF!</v>
      </c>
      <c r="AM37" s="31" t="e">
        <f>IF(LEN(_DB_Exercises!#REF!)&gt;0,_DB_Exercises!#REF!,"")</f>
        <v>#REF!</v>
      </c>
      <c r="AN37" s="31" t="e">
        <f>IF(LEN(_DB_Exercises!#REF!)&gt;0,_DB_Exercises!#REF!,"")</f>
        <v>#REF!</v>
      </c>
      <c r="AO37" s="31" t="e">
        <f>IF(LEN(_DB_Exercises!#REF!)&gt;0,_DB_Exercises!#REF!,"")</f>
        <v>#REF!</v>
      </c>
      <c r="AP37" s="31" t="e">
        <f>IF(LEN(_DB_Exercises!#REF!)&gt;0,_DB_Exercises!#REF!,"")</f>
        <v>#REF!</v>
      </c>
      <c r="AQ37" s="31" t="e">
        <f>IF(LEN(_DB_Exercises!#REF!)&gt;0,_DB_Exercises!#REF!,"")</f>
        <v>#REF!</v>
      </c>
      <c r="AR37" s="31" t="e">
        <f>IF(LEN(_DB_Exercises!#REF!)&gt;0,_DB_Exercises!#REF!,"")</f>
        <v>#REF!</v>
      </c>
    </row>
    <row r="38" spans="1:44" x14ac:dyDescent="0.25">
      <c r="A38" s="11">
        <f>IF(LEN(_DB_Exercises!A39)&gt;0,_DB_Exercises!A39,"")</f>
        <v>2025</v>
      </c>
      <c r="B38" s="14" t="str">
        <f>IF(LEN(_DB_Exercises!K39)&gt;0,_DB_Exercises!K39,"")</f>
        <v>Putting Circle 3-4-5-6 feet</v>
      </c>
      <c r="C38" s="31" t="str">
        <f>IF(LEN(_DB_Exercises!X39)&gt;0,_DB_Exercises!X39,"")</f>
        <v/>
      </c>
      <c r="D38" s="31" t="str">
        <f>IF(LEN(_DB_Exercises!Y39)&gt;0,_DB_Exercises!Y39,"")</f>
        <v/>
      </c>
      <c r="E38" s="31" t="str">
        <f>IF(LEN(_DB_Exercises!Z39)&gt;0,_DB_Exercises!Z39,"")</f>
        <v/>
      </c>
      <c r="F38" s="31" t="str">
        <f>IF(LEN(_DB_Exercises!AA39)&gt;0,_DB_Exercises!AA39,"")</f>
        <v/>
      </c>
      <c r="G38" s="31" t="str">
        <f>IF(LEN(_DB_Exercises!AB39)&gt;0,_DB_Exercises!AB39,"")</f>
        <v/>
      </c>
      <c r="H38" s="31" t="str">
        <f>IF(LEN(_DB_Exercises!AC39)&gt;0,_DB_Exercises!AC39,"")</f>
        <v/>
      </c>
      <c r="I38" s="31" t="str">
        <f>IF(LEN(_DB_Exercises!AD39)&gt;0,_DB_Exercises!AD39,"")</f>
        <v/>
      </c>
      <c r="J38" s="31" t="str">
        <f>IF(LEN(_DB_Exercises!AE39)&gt;0,_DB_Exercises!AE39,"")</f>
        <v/>
      </c>
      <c r="K38" s="31" t="str">
        <f>IF(LEN(_DB_Exercises!AF39)&gt;0,_DB_Exercises!AF39,"")</f>
        <v/>
      </c>
      <c r="L38" s="31" t="str">
        <f>IF(LEN(_DB_Exercises!AG39)&gt;0,_DB_Exercises!AG39,"")</f>
        <v/>
      </c>
      <c r="M38" s="31" t="str">
        <f>IF(LEN(_DB_Exercises!AH39)&gt;0,_DB_Exercises!AH39,"")</f>
        <v/>
      </c>
      <c r="N38" s="31" t="str">
        <f>IF(LEN(_DB_Exercises!AI39)&gt;0,_DB_Exercises!AI39,"")</f>
        <v/>
      </c>
      <c r="O38" s="31" t="str">
        <f>IF(LEN(_DB_Exercises!AJ39)&gt;0,_DB_Exercises!AJ39,"")</f>
        <v/>
      </c>
      <c r="P38" s="31" t="str">
        <f>IF(LEN(_DB_Exercises!AK39)&gt;0,_DB_Exercises!AK39,"")</f>
        <v/>
      </c>
      <c r="Q38" s="31" t="str">
        <f>IF(LEN(_DB_Exercises!AL39)&gt;0,_DB_Exercises!AL39,"")</f>
        <v/>
      </c>
      <c r="R38" s="31" t="str">
        <f>IF(LEN(_DB_Exercises!AM39)&gt;0,_DB_Exercises!AM39,"")</f>
        <v/>
      </c>
      <c r="S38" s="31" t="str">
        <f>IF(LEN(_DB_Exercises!AN39)&gt;0,_DB_Exercises!AN39,"")</f>
        <v/>
      </c>
      <c r="T38" s="31" t="str">
        <f>IF(LEN(_DB_Exercises!AO39)&gt;0,_DB_Exercises!AO39,"")</f>
        <v/>
      </c>
      <c r="U38" s="31" t="str">
        <f>IF(LEN(_DB_Exercises!AP39)&gt;0,_DB_Exercises!AP39,"")</f>
        <v/>
      </c>
      <c r="V38" s="31" t="str">
        <f>IF(LEN(_DB_Exercises!AQ39)&gt;0,_DB_Exercises!AQ39,"")</f>
        <v/>
      </c>
      <c r="W38" s="31" t="str">
        <f>IF(LEN(_DB_Exercises!AR39)&gt;0,_DB_Exercises!AR39,"")</f>
        <v/>
      </c>
      <c r="X38" s="31" t="str">
        <f>IF(LEN(_DB_Exercises!AS39)&gt;0,_DB_Exercises!AS39,"")</f>
        <v/>
      </c>
      <c r="Y38" s="31" t="str">
        <f>IF(LEN(_DB_Exercises!AT39)&gt;0,_DB_Exercises!AT39,"")</f>
        <v/>
      </c>
      <c r="Z38" s="31" t="str">
        <f>IF(LEN(_DB_Exercises!AU39)&gt;0,_DB_Exercises!AU39,"")</f>
        <v/>
      </c>
      <c r="AA38" s="31" t="str">
        <f>IF(LEN(_DB_Exercises!AV39)&gt;0,_DB_Exercises!AV39,"")</f>
        <v/>
      </c>
      <c r="AB38" s="31" t="str">
        <f>IF(LEN(_DB_Exercises!AW39)&gt;0,_DB_Exercises!AW39,"")</f>
        <v/>
      </c>
      <c r="AC38" s="31" t="str">
        <f>IF(LEN(_DB_Exercises!AX39)&gt;0,_DB_Exercises!AX39,"")</f>
        <v/>
      </c>
      <c r="AD38" s="31" t="str">
        <f>IF(LEN(_DB_Exercises!AY39)&gt;0,_DB_Exercises!AY39,"")</f>
        <v/>
      </c>
      <c r="AE38" s="31" t="str">
        <f>IF(LEN(_DB_Exercises!AZ39)&gt;0,_DB_Exercises!AZ39,"")</f>
        <v/>
      </c>
      <c r="AF38" s="31" t="str">
        <f>IF(LEN(_DB_Exercises!BA39)&gt;0,_DB_Exercises!BA39,"")</f>
        <v/>
      </c>
      <c r="AG38" s="31" t="str">
        <f>IF(LEN(_DB_Exercises!BB39)&gt;0,_DB_Exercises!BB39,"")</f>
        <v/>
      </c>
      <c r="AH38" s="31" t="str">
        <f>IF(LEN(_DB_Exercises!BC39)&gt;0,_DB_Exercises!BC39,"")</f>
        <v/>
      </c>
      <c r="AI38" s="31" t="str">
        <f>IF(LEN(_DB_Exercises!BD39)&gt;0,_DB_Exercises!BD39,"")</f>
        <v/>
      </c>
      <c r="AJ38" s="31" t="str">
        <f>IF(LEN(_DB_Exercises!BE39)&gt;0,_DB_Exercises!BE39,"")</f>
        <v/>
      </c>
      <c r="AK38" s="31" t="str">
        <f>IF(LEN(_DB_Exercises!BF39)&gt;0,_DB_Exercises!BF39,"")</f>
        <v/>
      </c>
      <c r="AL38" s="31" t="str">
        <f>IF(LEN(_DB_Exercises!BG39)&gt;0,_DB_Exercises!BG39,"")</f>
        <v/>
      </c>
      <c r="AM38" s="31" t="str">
        <f>IF(LEN(_DB_Exercises!BH39)&gt;0,_DB_Exercises!BH39,"")</f>
        <v/>
      </c>
      <c r="AN38" s="31" t="str">
        <f>IF(LEN(_DB_Exercises!BI39)&gt;0,_DB_Exercises!BI39,"")</f>
        <v/>
      </c>
      <c r="AO38" s="31" t="str">
        <f>IF(LEN(_DB_Exercises!BJ39)&gt;0,_DB_Exercises!BJ39,"")</f>
        <v/>
      </c>
      <c r="AP38" s="31" t="str">
        <f>IF(LEN(_DB_Exercises!BK39)&gt;0,_DB_Exercises!BK39,"")</f>
        <v/>
      </c>
      <c r="AQ38" s="31" t="str">
        <f>IF(LEN(_DB_Exercises!BL39)&gt;0,_DB_Exercises!BL39,"")</f>
        <v/>
      </c>
      <c r="AR38" s="31" t="str">
        <f>IF(LEN(_DB_Exercises!BM39)&gt;0,_DB_Exercises!BM39,"")</f>
        <v/>
      </c>
    </row>
    <row r="39" spans="1:44" x14ac:dyDescent="0.25">
      <c r="A39" s="11">
        <f>IF(LEN(_DB_Exercises!A40)&gt;0,_DB_Exercises!A40,"")</f>
        <v>2026</v>
      </c>
      <c r="B39" s="14" t="str">
        <f>IF(LEN(_DB_Exercises!K40)&gt;0,_DB_Exercises!K40,"")</f>
        <v>Putting Circle 3-4-5-6 feet</v>
      </c>
      <c r="C39" s="31" t="str">
        <f>IF(LEN(_DB_Exercises!X40)&gt;0,_DB_Exercises!X40,"")</f>
        <v/>
      </c>
      <c r="D39" s="31" t="str">
        <f>IF(LEN(_DB_Exercises!Y40)&gt;0,_DB_Exercises!Y40,"")</f>
        <v/>
      </c>
      <c r="E39" s="31" t="str">
        <f>IF(LEN(_DB_Exercises!Z40)&gt;0,_DB_Exercises!Z40,"")</f>
        <v/>
      </c>
      <c r="F39" s="31" t="str">
        <f>IF(LEN(_DB_Exercises!AA40)&gt;0,_DB_Exercises!AA40,"")</f>
        <v/>
      </c>
      <c r="G39" s="31" t="str">
        <f>IF(LEN(_DB_Exercises!AB40)&gt;0,_DB_Exercises!AB40,"")</f>
        <v/>
      </c>
      <c r="H39" s="31" t="str">
        <f>IF(LEN(_DB_Exercises!AC40)&gt;0,_DB_Exercises!AC40,"")</f>
        <v/>
      </c>
      <c r="I39" s="31" t="str">
        <f>IF(LEN(_DB_Exercises!AD40)&gt;0,_DB_Exercises!AD40,"")</f>
        <v/>
      </c>
      <c r="J39" s="31" t="str">
        <f>IF(LEN(_DB_Exercises!AE40)&gt;0,_DB_Exercises!AE40,"")</f>
        <v/>
      </c>
      <c r="K39" s="31" t="str">
        <f>IF(LEN(_DB_Exercises!AF40)&gt;0,_DB_Exercises!AF40,"")</f>
        <v/>
      </c>
      <c r="L39" s="31" t="str">
        <f>IF(LEN(_DB_Exercises!AG40)&gt;0,_DB_Exercises!AG40,"")</f>
        <v/>
      </c>
      <c r="M39" s="31" t="str">
        <f>IF(LEN(_DB_Exercises!AH40)&gt;0,_DB_Exercises!AH40,"")</f>
        <v/>
      </c>
      <c r="N39" s="31" t="str">
        <f>IF(LEN(_DB_Exercises!AI40)&gt;0,_DB_Exercises!AI40,"")</f>
        <v/>
      </c>
      <c r="O39" s="31" t="str">
        <f>IF(LEN(_DB_Exercises!AJ40)&gt;0,_DB_Exercises!AJ40,"")</f>
        <v/>
      </c>
      <c r="P39" s="31" t="str">
        <f>IF(LEN(_DB_Exercises!AK40)&gt;0,_DB_Exercises!AK40,"")</f>
        <v/>
      </c>
      <c r="Q39" s="31" t="str">
        <f>IF(LEN(_DB_Exercises!AL40)&gt;0,_DB_Exercises!AL40,"")</f>
        <v/>
      </c>
      <c r="R39" s="31" t="str">
        <f>IF(LEN(_DB_Exercises!AM40)&gt;0,_DB_Exercises!AM40,"")</f>
        <v/>
      </c>
      <c r="S39" s="31" t="str">
        <f>IF(LEN(_DB_Exercises!AN40)&gt;0,_DB_Exercises!AN40,"")</f>
        <v/>
      </c>
      <c r="T39" s="31" t="str">
        <f>IF(LEN(_DB_Exercises!AO40)&gt;0,_DB_Exercises!AO40,"")</f>
        <v/>
      </c>
      <c r="U39" s="31" t="str">
        <f>IF(LEN(_DB_Exercises!AP40)&gt;0,_DB_Exercises!AP40,"")</f>
        <v/>
      </c>
      <c r="V39" s="31" t="str">
        <f>IF(LEN(_DB_Exercises!AQ40)&gt;0,_DB_Exercises!AQ40,"")</f>
        <v/>
      </c>
      <c r="W39" s="31" t="str">
        <f>IF(LEN(_DB_Exercises!AR40)&gt;0,_DB_Exercises!AR40,"")</f>
        <v/>
      </c>
      <c r="X39" s="31" t="str">
        <f>IF(LEN(_DB_Exercises!AS40)&gt;0,_DB_Exercises!AS40,"")</f>
        <v/>
      </c>
      <c r="Y39" s="31" t="str">
        <f>IF(LEN(_DB_Exercises!AT40)&gt;0,_DB_Exercises!AT40,"")</f>
        <v/>
      </c>
      <c r="Z39" s="31" t="str">
        <f>IF(LEN(_DB_Exercises!AU40)&gt;0,_DB_Exercises!AU40,"")</f>
        <v/>
      </c>
      <c r="AA39" s="31" t="str">
        <f>IF(LEN(_DB_Exercises!AV40)&gt;0,_DB_Exercises!AV40,"")</f>
        <v/>
      </c>
      <c r="AB39" s="31" t="str">
        <f>IF(LEN(_DB_Exercises!AW40)&gt;0,_DB_Exercises!AW40,"")</f>
        <v/>
      </c>
      <c r="AC39" s="31" t="str">
        <f>IF(LEN(_DB_Exercises!AX40)&gt;0,_DB_Exercises!AX40,"")</f>
        <v/>
      </c>
      <c r="AD39" s="31" t="str">
        <f>IF(LEN(_DB_Exercises!AY40)&gt;0,_DB_Exercises!AY40,"")</f>
        <v/>
      </c>
      <c r="AE39" s="31" t="str">
        <f>IF(LEN(_DB_Exercises!AZ40)&gt;0,_DB_Exercises!AZ40,"")</f>
        <v/>
      </c>
      <c r="AF39" s="31" t="str">
        <f>IF(LEN(_DB_Exercises!BA40)&gt;0,_DB_Exercises!BA40,"")</f>
        <v/>
      </c>
      <c r="AG39" s="31" t="str">
        <f>IF(LEN(_DB_Exercises!BB40)&gt;0,_DB_Exercises!BB40,"")</f>
        <v/>
      </c>
      <c r="AH39" s="31" t="str">
        <f>IF(LEN(_DB_Exercises!BC40)&gt;0,_DB_Exercises!BC40,"")</f>
        <v/>
      </c>
      <c r="AI39" s="31" t="str">
        <f>IF(LEN(_DB_Exercises!BD40)&gt;0,_DB_Exercises!BD40,"")</f>
        <v/>
      </c>
      <c r="AJ39" s="31" t="str">
        <f>IF(LEN(_DB_Exercises!BE40)&gt;0,_DB_Exercises!BE40,"")</f>
        <v/>
      </c>
      <c r="AK39" s="31" t="str">
        <f>IF(LEN(_DB_Exercises!BF40)&gt;0,_DB_Exercises!BF40,"")</f>
        <v/>
      </c>
      <c r="AL39" s="31" t="str">
        <f>IF(LEN(_DB_Exercises!BG40)&gt;0,_DB_Exercises!BG40,"")</f>
        <v/>
      </c>
      <c r="AM39" s="31" t="str">
        <f>IF(LEN(_DB_Exercises!BH40)&gt;0,_DB_Exercises!BH40,"")</f>
        <v/>
      </c>
      <c r="AN39" s="31" t="str">
        <f>IF(LEN(_DB_Exercises!BI40)&gt;0,_DB_Exercises!BI40,"")</f>
        <v/>
      </c>
      <c r="AO39" s="31" t="str">
        <f>IF(LEN(_DB_Exercises!BJ40)&gt;0,_DB_Exercises!BJ40,"")</f>
        <v/>
      </c>
      <c r="AP39" s="31" t="str">
        <f>IF(LEN(_DB_Exercises!BK40)&gt;0,_DB_Exercises!BK40,"")</f>
        <v/>
      </c>
      <c r="AQ39" s="31" t="str">
        <f>IF(LEN(_DB_Exercises!BL40)&gt;0,_DB_Exercises!BL40,"")</f>
        <v/>
      </c>
      <c r="AR39" s="31" t="str">
        <f>IF(LEN(_DB_Exercises!BM40)&gt;0,_DB_Exercises!BM40,"")</f>
        <v/>
      </c>
    </row>
    <row r="40" spans="1:44" x14ac:dyDescent="0.25">
      <c r="A40" s="11">
        <f>IF(LEN(_DB_Exercises!A41)&gt;0,_DB_Exercises!A41,"")</f>
        <v>2027</v>
      </c>
      <c r="B40" s="14" t="str">
        <f>IF(LEN(_DB_Exercises!K41)&gt;0,_DB_Exercises!K41,"")</f>
        <v>Putting Circle 3-4-5-6 feet</v>
      </c>
      <c r="C40" s="31" t="str">
        <f>IF(LEN(_DB_Exercises!X41)&gt;0,_DB_Exercises!X41,"")</f>
        <v/>
      </c>
      <c r="D40" s="31" t="str">
        <f>IF(LEN(_DB_Exercises!Y41)&gt;0,_DB_Exercises!Y41,"")</f>
        <v/>
      </c>
      <c r="E40" s="31" t="str">
        <f>IF(LEN(_DB_Exercises!Z41)&gt;0,_DB_Exercises!Z41,"")</f>
        <v/>
      </c>
      <c r="F40" s="31" t="str">
        <f>IF(LEN(_DB_Exercises!AA41)&gt;0,_DB_Exercises!AA41,"")</f>
        <v/>
      </c>
      <c r="G40" s="31" t="str">
        <f>IF(LEN(_DB_Exercises!AB41)&gt;0,_DB_Exercises!AB41,"")</f>
        <v/>
      </c>
      <c r="H40" s="31" t="str">
        <f>IF(LEN(_DB_Exercises!AC41)&gt;0,_DB_Exercises!AC41,"")</f>
        <v/>
      </c>
      <c r="I40" s="31" t="str">
        <f>IF(LEN(_DB_Exercises!AD41)&gt;0,_DB_Exercises!AD41,"")</f>
        <v/>
      </c>
      <c r="J40" s="31" t="str">
        <f>IF(LEN(_DB_Exercises!AE41)&gt;0,_DB_Exercises!AE41,"")</f>
        <v/>
      </c>
      <c r="K40" s="31" t="str">
        <f>IF(LEN(_DB_Exercises!AF41)&gt;0,_DB_Exercises!AF41,"")</f>
        <v/>
      </c>
      <c r="L40" s="31" t="str">
        <f>IF(LEN(_DB_Exercises!AG41)&gt;0,_DB_Exercises!AG41,"")</f>
        <v/>
      </c>
      <c r="M40" s="31" t="str">
        <f>IF(LEN(_DB_Exercises!AH41)&gt;0,_DB_Exercises!AH41,"")</f>
        <v/>
      </c>
      <c r="N40" s="31" t="str">
        <f>IF(LEN(_DB_Exercises!AI41)&gt;0,_DB_Exercises!AI41,"")</f>
        <v/>
      </c>
      <c r="O40" s="31" t="str">
        <f>IF(LEN(_DB_Exercises!AJ41)&gt;0,_DB_Exercises!AJ41,"")</f>
        <v/>
      </c>
      <c r="P40" s="31" t="str">
        <f>IF(LEN(_DB_Exercises!AK41)&gt;0,_DB_Exercises!AK41,"")</f>
        <v/>
      </c>
      <c r="Q40" s="31" t="str">
        <f>IF(LEN(_DB_Exercises!AL41)&gt;0,_DB_Exercises!AL41,"")</f>
        <v/>
      </c>
      <c r="R40" s="31" t="str">
        <f>IF(LEN(_DB_Exercises!AM41)&gt;0,_DB_Exercises!AM41,"")</f>
        <v/>
      </c>
      <c r="S40" s="31" t="str">
        <f>IF(LEN(_DB_Exercises!AN41)&gt;0,_DB_Exercises!AN41,"")</f>
        <v/>
      </c>
      <c r="T40" s="31" t="str">
        <f>IF(LEN(_DB_Exercises!AO41)&gt;0,_DB_Exercises!AO41,"")</f>
        <v/>
      </c>
      <c r="U40" s="31" t="str">
        <f>IF(LEN(_DB_Exercises!AP41)&gt;0,_DB_Exercises!AP41,"")</f>
        <v/>
      </c>
      <c r="V40" s="31" t="str">
        <f>IF(LEN(_DB_Exercises!AQ41)&gt;0,_DB_Exercises!AQ41,"")</f>
        <v/>
      </c>
      <c r="W40" s="31" t="str">
        <f>IF(LEN(_DB_Exercises!AR41)&gt;0,_DB_Exercises!AR41,"")</f>
        <v/>
      </c>
      <c r="X40" s="31" t="str">
        <f>IF(LEN(_DB_Exercises!AS41)&gt;0,_DB_Exercises!AS41,"")</f>
        <v/>
      </c>
      <c r="Y40" s="31" t="str">
        <f>IF(LEN(_DB_Exercises!AT41)&gt;0,_DB_Exercises!AT41,"")</f>
        <v/>
      </c>
      <c r="Z40" s="31" t="str">
        <f>IF(LEN(_DB_Exercises!AU41)&gt;0,_DB_Exercises!AU41,"")</f>
        <v/>
      </c>
      <c r="AA40" s="31" t="str">
        <f>IF(LEN(_DB_Exercises!AV41)&gt;0,_DB_Exercises!AV41,"")</f>
        <v/>
      </c>
      <c r="AB40" s="31" t="str">
        <f>IF(LEN(_DB_Exercises!AW41)&gt;0,_DB_Exercises!AW41,"")</f>
        <v/>
      </c>
      <c r="AC40" s="31" t="str">
        <f>IF(LEN(_DB_Exercises!AX41)&gt;0,_DB_Exercises!AX41,"")</f>
        <v/>
      </c>
      <c r="AD40" s="31" t="str">
        <f>IF(LEN(_DB_Exercises!AY41)&gt;0,_DB_Exercises!AY41,"")</f>
        <v/>
      </c>
      <c r="AE40" s="31" t="str">
        <f>IF(LEN(_DB_Exercises!AZ41)&gt;0,_DB_Exercises!AZ41,"")</f>
        <v/>
      </c>
      <c r="AF40" s="31" t="str">
        <f>IF(LEN(_DB_Exercises!BA41)&gt;0,_DB_Exercises!BA41,"")</f>
        <v/>
      </c>
      <c r="AG40" s="31" t="str">
        <f>IF(LEN(_DB_Exercises!BB41)&gt;0,_DB_Exercises!BB41,"")</f>
        <v/>
      </c>
      <c r="AH40" s="31" t="str">
        <f>IF(LEN(_DB_Exercises!BC41)&gt;0,_DB_Exercises!BC41,"")</f>
        <v/>
      </c>
      <c r="AI40" s="31" t="str">
        <f>IF(LEN(_DB_Exercises!BD41)&gt;0,_DB_Exercises!BD41,"")</f>
        <v/>
      </c>
      <c r="AJ40" s="31" t="str">
        <f>IF(LEN(_DB_Exercises!BE41)&gt;0,_DB_Exercises!BE41,"")</f>
        <v/>
      </c>
      <c r="AK40" s="31" t="str">
        <f>IF(LEN(_DB_Exercises!BF41)&gt;0,_DB_Exercises!BF41,"")</f>
        <v/>
      </c>
      <c r="AL40" s="31" t="str">
        <f>IF(LEN(_DB_Exercises!BG41)&gt;0,_DB_Exercises!BG41,"")</f>
        <v/>
      </c>
      <c r="AM40" s="31" t="str">
        <f>IF(LEN(_DB_Exercises!BH41)&gt;0,_DB_Exercises!BH41,"")</f>
        <v/>
      </c>
      <c r="AN40" s="31" t="str">
        <f>IF(LEN(_DB_Exercises!BI41)&gt;0,_DB_Exercises!BI41,"")</f>
        <v/>
      </c>
      <c r="AO40" s="31" t="str">
        <f>IF(LEN(_DB_Exercises!BJ41)&gt;0,_DB_Exercises!BJ41,"")</f>
        <v/>
      </c>
      <c r="AP40" s="31" t="str">
        <f>IF(LEN(_DB_Exercises!BK41)&gt;0,_DB_Exercises!BK41,"")</f>
        <v/>
      </c>
      <c r="AQ40" s="31" t="str">
        <f>IF(LEN(_DB_Exercises!BL41)&gt;0,_DB_Exercises!BL41,"")</f>
        <v/>
      </c>
      <c r="AR40" s="31" t="str">
        <f>IF(LEN(_DB_Exercises!BM41)&gt;0,_DB_Exercises!BM41,"")</f>
        <v/>
      </c>
    </row>
    <row r="41" spans="1:44" x14ac:dyDescent="0.25">
      <c r="A41" s="11">
        <f>IF(LEN(_DB_Exercises!A42)&gt;0,_DB_Exercises!A42,"")</f>
        <v>2028</v>
      </c>
      <c r="B41" s="14" t="str">
        <f>IF(LEN(_DB_Exercises!K42)&gt;0,_DB_Exercises!K42,"")</f>
        <v>50 points  Beginner</v>
      </c>
      <c r="C41" s="31" t="str">
        <f>IF(LEN(_DB_Exercises!X42)&gt;0,_DB_Exercises!X42,"")</f>
        <v/>
      </c>
      <c r="D41" s="31" t="str">
        <f>IF(LEN(_DB_Exercises!Y42)&gt;0,_DB_Exercises!Y42,"")</f>
        <v/>
      </c>
      <c r="E41" s="31" t="str">
        <f>IF(LEN(_DB_Exercises!Z42)&gt;0,_DB_Exercises!Z42,"")</f>
        <v/>
      </c>
      <c r="F41" s="31" t="str">
        <f>IF(LEN(_DB_Exercises!AA42)&gt;0,_DB_Exercises!AA42,"")</f>
        <v/>
      </c>
      <c r="G41" s="31" t="str">
        <f>IF(LEN(_DB_Exercises!AB42)&gt;0,_DB_Exercises!AB42,"")</f>
        <v/>
      </c>
      <c r="H41" s="31" t="str">
        <f>IF(LEN(_DB_Exercises!AC42)&gt;0,_DB_Exercises!AC42,"")</f>
        <v/>
      </c>
      <c r="I41" s="31" t="str">
        <f>IF(LEN(_DB_Exercises!AD42)&gt;0,_DB_Exercises!AD42,"")</f>
        <v/>
      </c>
      <c r="J41" s="31" t="str">
        <f>IF(LEN(_DB_Exercises!AE42)&gt;0,_DB_Exercises!AE42,"")</f>
        <v/>
      </c>
      <c r="K41" s="31" t="str">
        <f>IF(LEN(_DB_Exercises!AF42)&gt;0,_DB_Exercises!AF42,"")</f>
        <v/>
      </c>
      <c r="L41" s="31" t="str">
        <f>IF(LEN(_DB_Exercises!AG42)&gt;0,_DB_Exercises!AG42,"")</f>
        <v/>
      </c>
      <c r="M41" s="31" t="str">
        <f>IF(LEN(_DB_Exercises!AH42)&gt;0,_DB_Exercises!AH42,"")</f>
        <v/>
      </c>
      <c r="N41" s="31" t="str">
        <f>IF(LEN(_DB_Exercises!AI42)&gt;0,_DB_Exercises!AI42,"")</f>
        <v/>
      </c>
      <c r="O41" s="31" t="str">
        <f>IF(LEN(_DB_Exercises!AJ42)&gt;0,_DB_Exercises!AJ42,"")</f>
        <v/>
      </c>
      <c r="P41" s="31" t="str">
        <f>IF(LEN(_DB_Exercises!AK42)&gt;0,_DB_Exercises!AK42,"")</f>
        <v/>
      </c>
      <c r="Q41" s="31" t="str">
        <f>IF(LEN(_DB_Exercises!AL42)&gt;0,_DB_Exercises!AL42,"")</f>
        <v/>
      </c>
      <c r="R41" s="31" t="str">
        <f>IF(LEN(_DB_Exercises!AM42)&gt;0,_DB_Exercises!AM42,"")</f>
        <v/>
      </c>
      <c r="S41" s="31" t="str">
        <f>IF(LEN(_DB_Exercises!AN42)&gt;0,_DB_Exercises!AN42,"")</f>
        <v/>
      </c>
      <c r="T41" s="31" t="str">
        <f>IF(LEN(_DB_Exercises!AO42)&gt;0,_DB_Exercises!AO42,"")</f>
        <v/>
      </c>
      <c r="U41" s="31" t="str">
        <f>IF(LEN(_DB_Exercises!AP42)&gt;0,_DB_Exercises!AP42,"")</f>
        <v/>
      </c>
      <c r="V41" s="31" t="str">
        <f>IF(LEN(_DB_Exercises!AQ42)&gt;0,_DB_Exercises!AQ42,"")</f>
        <v/>
      </c>
      <c r="W41" s="31" t="str">
        <f>IF(LEN(_DB_Exercises!AR42)&gt;0,_DB_Exercises!AR42,"")</f>
        <v/>
      </c>
      <c r="X41" s="31" t="str">
        <f>IF(LEN(_DB_Exercises!AS42)&gt;0,_DB_Exercises!AS42,"")</f>
        <v/>
      </c>
      <c r="Y41" s="31" t="str">
        <f>IF(LEN(_DB_Exercises!AT42)&gt;0,_DB_Exercises!AT42,"")</f>
        <v/>
      </c>
      <c r="Z41" s="31" t="str">
        <f>IF(LEN(_DB_Exercises!AU42)&gt;0,_DB_Exercises!AU42,"")</f>
        <v/>
      </c>
      <c r="AA41" s="31" t="str">
        <f>IF(LEN(_DB_Exercises!AV42)&gt;0,_DB_Exercises!AV42,"")</f>
        <v/>
      </c>
      <c r="AB41" s="31" t="str">
        <f>IF(LEN(_DB_Exercises!AW42)&gt;0,_DB_Exercises!AW42,"")</f>
        <v/>
      </c>
      <c r="AC41" s="31" t="str">
        <f>IF(LEN(_DB_Exercises!AX42)&gt;0,_DB_Exercises!AX42,"")</f>
        <v/>
      </c>
      <c r="AD41" s="31" t="str">
        <f>IF(LEN(_DB_Exercises!AY42)&gt;0,_DB_Exercises!AY42,"")</f>
        <v/>
      </c>
      <c r="AE41" s="31" t="str">
        <f>IF(LEN(_DB_Exercises!AZ42)&gt;0,_DB_Exercises!AZ42,"")</f>
        <v/>
      </c>
      <c r="AF41" s="31" t="str">
        <f>IF(LEN(_DB_Exercises!BA42)&gt;0,_DB_Exercises!BA42,"")</f>
        <v/>
      </c>
      <c r="AG41" s="31" t="str">
        <f>IF(LEN(_DB_Exercises!BB42)&gt;0,_DB_Exercises!BB42,"")</f>
        <v/>
      </c>
      <c r="AH41" s="31" t="str">
        <f>IF(LEN(_DB_Exercises!BC42)&gt;0,_DB_Exercises!BC42,"")</f>
        <v/>
      </c>
      <c r="AI41" s="31" t="str">
        <f>IF(LEN(_DB_Exercises!BD42)&gt;0,_DB_Exercises!BD42,"")</f>
        <v/>
      </c>
      <c r="AJ41" s="31" t="str">
        <f>IF(LEN(_DB_Exercises!BE42)&gt;0,_DB_Exercises!BE42,"")</f>
        <v/>
      </c>
      <c r="AK41" s="31" t="str">
        <f>IF(LEN(_DB_Exercises!BF42)&gt;0,_DB_Exercises!BF42,"")</f>
        <v/>
      </c>
      <c r="AL41" s="31" t="str">
        <f>IF(LEN(_DB_Exercises!BG42)&gt;0,_DB_Exercises!BG42,"")</f>
        <v/>
      </c>
      <c r="AM41" s="31" t="str">
        <f>IF(LEN(_DB_Exercises!BH42)&gt;0,_DB_Exercises!BH42,"")</f>
        <v/>
      </c>
      <c r="AN41" s="31" t="str">
        <f>IF(LEN(_DB_Exercises!BI42)&gt;0,_DB_Exercises!BI42,"")</f>
        <v/>
      </c>
      <c r="AO41" s="31" t="str">
        <f>IF(LEN(_DB_Exercises!BJ42)&gt;0,_DB_Exercises!BJ42,"")</f>
        <v/>
      </c>
      <c r="AP41" s="31" t="str">
        <f>IF(LEN(_DB_Exercises!BK42)&gt;0,_DB_Exercises!BK42,"")</f>
        <v/>
      </c>
      <c r="AQ41" s="31" t="str">
        <f>IF(LEN(_DB_Exercises!BL42)&gt;0,_DB_Exercises!BL42,"")</f>
        <v/>
      </c>
      <c r="AR41" s="31" t="str">
        <f>IF(LEN(_DB_Exercises!BM42)&gt;0,_DB_Exercises!BM42,"")</f>
        <v/>
      </c>
    </row>
    <row r="42" spans="1:44" x14ac:dyDescent="0.25">
      <c r="A42" s="11">
        <f>IF(LEN(_DB_Exercises!A43)&gt;0,_DB_Exercises!A43,"")</f>
        <v>2029</v>
      </c>
      <c r="B42" s="14" t="str">
        <f>IF(LEN(_DB_Exercises!K43)&gt;0,_DB_Exercises!K43,"")</f>
        <v>50 points  Intermediate</v>
      </c>
      <c r="C42" s="31" t="str">
        <f>IF(LEN(_DB_Exercises!X43)&gt;0,_DB_Exercises!X43,"")</f>
        <v/>
      </c>
      <c r="D42" s="31" t="str">
        <f>IF(LEN(_DB_Exercises!Y43)&gt;0,_DB_Exercises!Y43,"")</f>
        <v/>
      </c>
      <c r="E42" s="31" t="str">
        <f>IF(LEN(_DB_Exercises!Z43)&gt;0,_DB_Exercises!Z43,"")</f>
        <v/>
      </c>
      <c r="F42" s="31" t="str">
        <f>IF(LEN(_DB_Exercises!AA43)&gt;0,_DB_Exercises!AA43,"")</f>
        <v/>
      </c>
      <c r="G42" s="31" t="str">
        <f>IF(LEN(_DB_Exercises!AB43)&gt;0,_DB_Exercises!AB43,"")</f>
        <v/>
      </c>
      <c r="H42" s="31" t="str">
        <f>IF(LEN(_DB_Exercises!AC43)&gt;0,_DB_Exercises!AC43,"")</f>
        <v/>
      </c>
      <c r="I42" s="31" t="str">
        <f>IF(LEN(_DB_Exercises!AD43)&gt;0,_DB_Exercises!AD43,"")</f>
        <v/>
      </c>
      <c r="J42" s="31" t="str">
        <f>IF(LEN(_DB_Exercises!AE43)&gt;0,_DB_Exercises!AE43,"")</f>
        <v/>
      </c>
      <c r="K42" s="31" t="str">
        <f>IF(LEN(_DB_Exercises!AF43)&gt;0,_DB_Exercises!AF43,"")</f>
        <v/>
      </c>
      <c r="L42" s="31" t="str">
        <f>IF(LEN(_DB_Exercises!AG43)&gt;0,_DB_Exercises!AG43,"")</f>
        <v/>
      </c>
      <c r="M42" s="31" t="str">
        <f>IF(LEN(_DB_Exercises!AH43)&gt;0,_DB_Exercises!AH43,"")</f>
        <v/>
      </c>
      <c r="N42" s="31" t="str">
        <f>IF(LEN(_DB_Exercises!AI43)&gt;0,_DB_Exercises!AI43,"")</f>
        <v/>
      </c>
      <c r="O42" s="31" t="str">
        <f>IF(LEN(_DB_Exercises!AJ43)&gt;0,_DB_Exercises!AJ43,"")</f>
        <v/>
      </c>
      <c r="P42" s="31" t="str">
        <f>IF(LEN(_DB_Exercises!AK43)&gt;0,_DB_Exercises!AK43,"")</f>
        <v/>
      </c>
      <c r="Q42" s="31" t="str">
        <f>IF(LEN(_DB_Exercises!AL43)&gt;0,_DB_Exercises!AL43,"")</f>
        <v/>
      </c>
      <c r="R42" s="31" t="str">
        <f>IF(LEN(_DB_Exercises!AM43)&gt;0,_DB_Exercises!AM43,"")</f>
        <v/>
      </c>
      <c r="S42" s="31" t="str">
        <f>IF(LEN(_DB_Exercises!AN43)&gt;0,_DB_Exercises!AN43,"")</f>
        <v/>
      </c>
      <c r="T42" s="31" t="str">
        <f>IF(LEN(_DB_Exercises!AO43)&gt;0,_DB_Exercises!AO43,"")</f>
        <v/>
      </c>
      <c r="U42" s="31" t="str">
        <f>IF(LEN(_DB_Exercises!AP43)&gt;0,_DB_Exercises!AP43,"")</f>
        <v/>
      </c>
      <c r="V42" s="31" t="str">
        <f>IF(LEN(_DB_Exercises!AQ43)&gt;0,_DB_Exercises!AQ43,"")</f>
        <v/>
      </c>
      <c r="W42" s="31" t="str">
        <f>IF(LEN(_DB_Exercises!AR43)&gt;0,_DB_Exercises!AR43,"")</f>
        <v/>
      </c>
      <c r="X42" s="31" t="str">
        <f>IF(LEN(_DB_Exercises!AS43)&gt;0,_DB_Exercises!AS43,"")</f>
        <v/>
      </c>
      <c r="Y42" s="31" t="str">
        <f>IF(LEN(_DB_Exercises!AT43)&gt;0,_DB_Exercises!AT43,"")</f>
        <v/>
      </c>
      <c r="Z42" s="31" t="str">
        <f>IF(LEN(_DB_Exercises!AU43)&gt;0,_DB_Exercises!AU43,"")</f>
        <v/>
      </c>
      <c r="AA42" s="31" t="str">
        <f>IF(LEN(_DB_Exercises!AV43)&gt;0,_DB_Exercises!AV43,"")</f>
        <v/>
      </c>
      <c r="AB42" s="31" t="str">
        <f>IF(LEN(_DB_Exercises!AW43)&gt;0,_DB_Exercises!AW43,"")</f>
        <v/>
      </c>
      <c r="AC42" s="31" t="str">
        <f>IF(LEN(_DB_Exercises!AX43)&gt;0,_DB_Exercises!AX43,"")</f>
        <v/>
      </c>
      <c r="AD42" s="31" t="str">
        <f>IF(LEN(_DB_Exercises!AY43)&gt;0,_DB_Exercises!AY43,"")</f>
        <v/>
      </c>
      <c r="AE42" s="31" t="str">
        <f>IF(LEN(_DB_Exercises!AZ43)&gt;0,_DB_Exercises!AZ43,"")</f>
        <v/>
      </c>
      <c r="AF42" s="31" t="str">
        <f>IF(LEN(_DB_Exercises!BA43)&gt;0,_DB_Exercises!BA43,"")</f>
        <v/>
      </c>
      <c r="AG42" s="31" t="str">
        <f>IF(LEN(_DB_Exercises!BB43)&gt;0,_DB_Exercises!BB43,"")</f>
        <v/>
      </c>
      <c r="AH42" s="31" t="str">
        <f>IF(LEN(_DB_Exercises!BC43)&gt;0,_DB_Exercises!BC43,"")</f>
        <v/>
      </c>
      <c r="AI42" s="31" t="str">
        <f>IF(LEN(_DB_Exercises!BD43)&gt;0,_DB_Exercises!BD43,"")</f>
        <v/>
      </c>
      <c r="AJ42" s="31" t="str">
        <f>IF(LEN(_DB_Exercises!BE43)&gt;0,_DB_Exercises!BE43,"")</f>
        <v/>
      </c>
      <c r="AK42" s="31" t="str">
        <f>IF(LEN(_DB_Exercises!BF43)&gt;0,_DB_Exercises!BF43,"")</f>
        <v/>
      </c>
      <c r="AL42" s="31" t="str">
        <f>IF(LEN(_DB_Exercises!BG43)&gt;0,_DB_Exercises!BG43,"")</f>
        <v/>
      </c>
      <c r="AM42" s="31" t="str">
        <f>IF(LEN(_DB_Exercises!BH43)&gt;0,_DB_Exercises!BH43,"")</f>
        <v/>
      </c>
      <c r="AN42" s="31" t="str">
        <f>IF(LEN(_DB_Exercises!BI43)&gt;0,_DB_Exercises!BI43,"")</f>
        <v/>
      </c>
      <c r="AO42" s="31" t="str">
        <f>IF(LEN(_DB_Exercises!BJ43)&gt;0,_DB_Exercises!BJ43,"")</f>
        <v/>
      </c>
      <c r="AP42" s="31" t="str">
        <f>IF(LEN(_DB_Exercises!BK43)&gt;0,_DB_Exercises!BK43,"")</f>
        <v/>
      </c>
      <c r="AQ42" s="31" t="str">
        <f>IF(LEN(_DB_Exercises!BL43)&gt;0,_DB_Exercises!BL43,"")</f>
        <v/>
      </c>
      <c r="AR42" s="31" t="str">
        <f>IF(LEN(_DB_Exercises!BM43)&gt;0,_DB_Exercises!BM43,"")</f>
        <v/>
      </c>
    </row>
    <row r="43" spans="1:44" x14ac:dyDescent="0.25">
      <c r="A43" s="11">
        <f>IF(LEN(_DB_Exercises!A44)&gt;0,_DB_Exercises!A44,"")</f>
        <v>2030</v>
      </c>
      <c r="B43" s="14" t="str">
        <f>IF(LEN(_DB_Exercises!K44)&gt;0,_DB_Exercises!K44,"")</f>
        <v>50 points  Expert</v>
      </c>
      <c r="C43" s="31" t="str">
        <f>IF(LEN(_DB_Exercises!X44)&gt;0,_DB_Exercises!X44,"")</f>
        <v/>
      </c>
      <c r="D43" s="31" t="str">
        <f>IF(LEN(_DB_Exercises!Y44)&gt;0,_DB_Exercises!Y44,"")</f>
        <v/>
      </c>
      <c r="E43" s="31" t="str">
        <f>IF(LEN(_DB_Exercises!Z44)&gt;0,_DB_Exercises!Z44,"")</f>
        <v/>
      </c>
      <c r="F43" s="31" t="str">
        <f>IF(LEN(_DB_Exercises!AA44)&gt;0,_DB_Exercises!AA44,"")</f>
        <v/>
      </c>
      <c r="G43" s="31" t="str">
        <f>IF(LEN(_DB_Exercises!AB44)&gt;0,_DB_Exercises!AB44,"")</f>
        <v/>
      </c>
      <c r="H43" s="31" t="str">
        <f>IF(LEN(_DB_Exercises!AC44)&gt;0,_DB_Exercises!AC44,"")</f>
        <v/>
      </c>
      <c r="I43" s="31" t="str">
        <f>IF(LEN(_DB_Exercises!AD44)&gt;0,_DB_Exercises!AD44,"")</f>
        <v/>
      </c>
      <c r="J43" s="31" t="str">
        <f>IF(LEN(_DB_Exercises!AE44)&gt;0,_DB_Exercises!AE44,"")</f>
        <v/>
      </c>
      <c r="K43" s="31" t="str">
        <f>IF(LEN(_DB_Exercises!AF44)&gt;0,_DB_Exercises!AF44,"")</f>
        <v/>
      </c>
      <c r="L43" s="31" t="str">
        <f>IF(LEN(_DB_Exercises!AG44)&gt;0,_DB_Exercises!AG44,"")</f>
        <v/>
      </c>
      <c r="M43" s="31" t="str">
        <f>IF(LEN(_DB_Exercises!AH44)&gt;0,_DB_Exercises!AH44,"")</f>
        <v/>
      </c>
      <c r="N43" s="31" t="str">
        <f>IF(LEN(_DB_Exercises!AI44)&gt;0,_DB_Exercises!AI44,"")</f>
        <v/>
      </c>
      <c r="O43" s="31" t="str">
        <f>IF(LEN(_DB_Exercises!AJ44)&gt;0,_DB_Exercises!AJ44,"")</f>
        <v/>
      </c>
      <c r="P43" s="31" t="str">
        <f>IF(LEN(_DB_Exercises!AK44)&gt;0,_DB_Exercises!AK44,"")</f>
        <v/>
      </c>
      <c r="Q43" s="31" t="str">
        <f>IF(LEN(_DB_Exercises!AL44)&gt;0,_DB_Exercises!AL44,"")</f>
        <v/>
      </c>
      <c r="R43" s="31" t="str">
        <f>IF(LEN(_DB_Exercises!AM44)&gt;0,_DB_Exercises!AM44,"")</f>
        <v/>
      </c>
      <c r="S43" s="31" t="str">
        <f>IF(LEN(_DB_Exercises!AN44)&gt;0,_DB_Exercises!AN44,"")</f>
        <v/>
      </c>
      <c r="T43" s="31" t="str">
        <f>IF(LEN(_DB_Exercises!AO44)&gt;0,_DB_Exercises!AO44,"")</f>
        <v/>
      </c>
      <c r="U43" s="31" t="str">
        <f>IF(LEN(_DB_Exercises!AP44)&gt;0,_DB_Exercises!AP44,"")</f>
        <v/>
      </c>
      <c r="V43" s="31" t="str">
        <f>IF(LEN(_DB_Exercises!AQ44)&gt;0,_DB_Exercises!AQ44,"")</f>
        <v/>
      </c>
      <c r="W43" s="31" t="str">
        <f>IF(LEN(_DB_Exercises!AR44)&gt;0,_DB_Exercises!AR44,"")</f>
        <v/>
      </c>
      <c r="X43" s="31" t="str">
        <f>IF(LEN(_DB_Exercises!AS44)&gt;0,_DB_Exercises!AS44,"")</f>
        <v/>
      </c>
      <c r="Y43" s="31" t="str">
        <f>IF(LEN(_DB_Exercises!AT44)&gt;0,_DB_Exercises!AT44,"")</f>
        <v/>
      </c>
      <c r="Z43" s="31" t="str">
        <f>IF(LEN(_DB_Exercises!AU44)&gt;0,_DB_Exercises!AU44,"")</f>
        <v/>
      </c>
      <c r="AA43" s="31" t="str">
        <f>IF(LEN(_DB_Exercises!AV44)&gt;0,_DB_Exercises!AV44,"")</f>
        <v/>
      </c>
      <c r="AB43" s="31" t="str">
        <f>IF(LEN(_DB_Exercises!AW44)&gt;0,_DB_Exercises!AW44,"")</f>
        <v/>
      </c>
      <c r="AC43" s="31" t="str">
        <f>IF(LEN(_DB_Exercises!AX44)&gt;0,_DB_Exercises!AX44,"")</f>
        <v/>
      </c>
      <c r="AD43" s="31" t="str">
        <f>IF(LEN(_DB_Exercises!AY44)&gt;0,_DB_Exercises!AY44,"")</f>
        <v/>
      </c>
      <c r="AE43" s="31" t="str">
        <f>IF(LEN(_DB_Exercises!AZ44)&gt;0,_DB_Exercises!AZ44,"")</f>
        <v/>
      </c>
      <c r="AF43" s="31" t="str">
        <f>IF(LEN(_DB_Exercises!BA44)&gt;0,_DB_Exercises!BA44,"")</f>
        <v/>
      </c>
      <c r="AG43" s="31" t="str">
        <f>IF(LEN(_DB_Exercises!BB44)&gt;0,_DB_Exercises!BB44,"")</f>
        <v/>
      </c>
      <c r="AH43" s="31" t="str">
        <f>IF(LEN(_DB_Exercises!BC44)&gt;0,_DB_Exercises!BC44,"")</f>
        <v/>
      </c>
      <c r="AI43" s="31" t="str">
        <f>IF(LEN(_DB_Exercises!BD44)&gt;0,_DB_Exercises!BD44,"")</f>
        <v/>
      </c>
      <c r="AJ43" s="31" t="str">
        <f>IF(LEN(_DB_Exercises!BE44)&gt;0,_DB_Exercises!BE44,"")</f>
        <v/>
      </c>
      <c r="AK43" s="31" t="str">
        <f>IF(LEN(_DB_Exercises!BF44)&gt;0,_DB_Exercises!BF44,"")</f>
        <v/>
      </c>
      <c r="AL43" s="31" t="str">
        <f>IF(LEN(_DB_Exercises!BG44)&gt;0,_DB_Exercises!BG44,"")</f>
        <v/>
      </c>
      <c r="AM43" s="31" t="str">
        <f>IF(LEN(_DB_Exercises!BH44)&gt;0,_DB_Exercises!BH44,"")</f>
        <v/>
      </c>
      <c r="AN43" s="31" t="str">
        <f>IF(LEN(_DB_Exercises!BI44)&gt;0,_DB_Exercises!BI44,"")</f>
        <v/>
      </c>
      <c r="AO43" s="31" t="str">
        <f>IF(LEN(_DB_Exercises!BJ44)&gt;0,_DB_Exercises!BJ44,"")</f>
        <v/>
      </c>
      <c r="AP43" s="31" t="str">
        <f>IF(LEN(_DB_Exercises!BK44)&gt;0,_DB_Exercises!BK44,"")</f>
        <v/>
      </c>
      <c r="AQ43" s="31" t="str">
        <f>IF(LEN(_DB_Exercises!BL44)&gt;0,_DB_Exercises!BL44,"")</f>
        <v/>
      </c>
      <c r="AR43" s="31" t="str">
        <f>IF(LEN(_DB_Exercises!BM44)&gt;0,_DB_Exercises!BM44,"")</f>
        <v/>
      </c>
    </row>
    <row r="44" spans="1:44" x14ac:dyDescent="0.25">
      <c r="A44" s="11">
        <f>IF(LEN(_DB_Exercises!A45)&gt;0,_DB_Exercises!A45,"")</f>
        <v>2031</v>
      </c>
      <c r="B44" s="14" t="str">
        <f>IF(LEN(_DB_Exercises!K45)&gt;0,_DB_Exercises!K45,"")</f>
        <v>50 points  Ultra</v>
      </c>
      <c r="C44" s="31" t="str">
        <f>IF(LEN(_DB_Exercises!X45)&gt;0,_DB_Exercises!X45,"")</f>
        <v/>
      </c>
      <c r="D44" s="31" t="str">
        <f>IF(LEN(_DB_Exercises!Y45)&gt;0,_DB_Exercises!Y45,"")</f>
        <v/>
      </c>
      <c r="E44" s="31" t="str">
        <f>IF(LEN(_DB_Exercises!Z45)&gt;0,_DB_Exercises!Z45,"")</f>
        <v/>
      </c>
      <c r="F44" s="31" t="str">
        <f>IF(LEN(_DB_Exercises!AA45)&gt;0,_DB_Exercises!AA45,"")</f>
        <v/>
      </c>
      <c r="G44" s="31" t="str">
        <f>IF(LEN(_DB_Exercises!AB45)&gt;0,_DB_Exercises!AB45,"")</f>
        <v/>
      </c>
      <c r="H44" s="31" t="str">
        <f>IF(LEN(_DB_Exercises!AC45)&gt;0,_DB_Exercises!AC45,"")</f>
        <v/>
      </c>
      <c r="I44" s="31" t="str">
        <f>IF(LEN(_DB_Exercises!AD45)&gt;0,_DB_Exercises!AD45,"")</f>
        <v/>
      </c>
      <c r="J44" s="31" t="str">
        <f>IF(LEN(_DB_Exercises!AE45)&gt;0,_DB_Exercises!AE45,"")</f>
        <v/>
      </c>
      <c r="K44" s="31" t="str">
        <f>IF(LEN(_DB_Exercises!AF45)&gt;0,_DB_Exercises!AF45,"")</f>
        <v/>
      </c>
      <c r="L44" s="31" t="str">
        <f>IF(LEN(_DB_Exercises!AG45)&gt;0,_DB_Exercises!AG45,"")</f>
        <v/>
      </c>
      <c r="M44" s="31" t="str">
        <f>IF(LEN(_DB_Exercises!AH45)&gt;0,_DB_Exercises!AH45,"")</f>
        <v/>
      </c>
      <c r="N44" s="31" t="str">
        <f>IF(LEN(_DB_Exercises!AI45)&gt;0,_DB_Exercises!AI45,"")</f>
        <v/>
      </c>
      <c r="O44" s="31" t="str">
        <f>IF(LEN(_DB_Exercises!AJ45)&gt;0,_DB_Exercises!AJ45,"")</f>
        <v/>
      </c>
      <c r="P44" s="31" t="str">
        <f>IF(LEN(_DB_Exercises!AK45)&gt;0,_DB_Exercises!AK45,"")</f>
        <v/>
      </c>
      <c r="Q44" s="31" t="str">
        <f>IF(LEN(_DB_Exercises!AL45)&gt;0,_DB_Exercises!AL45,"")</f>
        <v/>
      </c>
      <c r="R44" s="31" t="str">
        <f>IF(LEN(_DB_Exercises!AM45)&gt;0,_DB_Exercises!AM45,"")</f>
        <v/>
      </c>
      <c r="S44" s="31" t="str">
        <f>IF(LEN(_DB_Exercises!AN45)&gt;0,_DB_Exercises!AN45,"")</f>
        <v/>
      </c>
      <c r="T44" s="31" t="str">
        <f>IF(LEN(_DB_Exercises!AO45)&gt;0,_DB_Exercises!AO45,"")</f>
        <v/>
      </c>
      <c r="U44" s="31" t="str">
        <f>IF(LEN(_DB_Exercises!AP45)&gt;0,_DB_Exercises!AP45,"")</f>
        <v/>
      </c>
      <c r="V44" s="31" t="str">
        <f>IF(LEN(_DB_Exercises!AQ45)&gt;0,_DB_Exercises!AQ45,"")</f>
        <v/>
      </c>
      <c r="W44" s="31" t="str">
        <f>IF(LEN(_DB_Exercises!AR45)&gt;0,_DB_Exercises!AR45,"")</f>
        <v/>
      </c>
      <c r="X44" s="31" t="str">
        <f>IF(LEN(_DB_Exercises!AS45)&gt;0,_DB_Exercises!AS45,"")</f>
        <v/>
      </c>
      <c r="Y44" s="31" t="str">
        <f>IF(LEN(_DB_Exercises!AT45)&gt;0,_DB_Exercises!AT45,"")</f>
        <v/>
      </c>
      <c r="Z44" s="31" t="str">
        <f>IF(LEN(_DB_Exercises!AU45)&gt;0,_DB_Exercises!AU45,"")</f>
        <v/>
      </c>
      <c r="AA44" s="31" t="str">
        <f>IF(LEN(_DB_Exercises!AV45)&gt;0,_DB_Exercises!AV45,"")</f>
        <v/>
      </c>
      <c r="AB44" s="31" t="str">
        <f>IF(LEN(_DB_Exercises!AW45)&gt;0,_DB_Exercises!AW45,"")</f>
        <v/>
      </c>
      <c r="AC44" s="31" t="str">
        <f>IF(LEN(_DB_Exercises!AX45)&gt;0,_DB_Exercises!AX45,"")</f>
        <v/>
      </c>
      <c r="AD44" s="31" t="str">
        <f>IF(LEN(_DB_Exercises!AY45)&gt;0,_DB_Exercises!AY45,"")</f>
        <v/>
      </c>
      <c r="AE44" s="31" t="str">
        <f>IF(LEN(_DB_Exercises!AZ45)&gt;0,_DB_Exercises!AZ45,"")</f>
        <v/>
      </c>
      <c r="AF44" s="31" t="str">
        <f>IF(LEN(_DB_Exercises!BA45)&gt;0,_DB_Exercises!BA45,"")</f>
        <v/>
      </c>
      <c r="AG44" s="31" t="str">
        <f>IF(LEN(_DB_Exercises!BB45)&gt;0,_DB_Exercises!BB45,"")</f>
        <v/>
      </c>
      <c r="AH44" s="31" t="str">
        <f>IF(LEN(_DB_Exercises!BC45)&gt;0,_DB_Exercises!BC45,"")</f>
        <v/>
      </c>
      <c r="AI44" s="31" t="str">
        <f>IF(LEN(_DB_Exercises!BD45)&gt;0,_DB_Exercises!BD45,"")</f>
        <v/>
      </c>
      <c r="AJ44" s="31" t="str">
        <f>IF(LEN(_DB_Exercises!BE45)&gt;0,_DB_Exercises!BE45,"")</f>
        <v/>
      </c>
      <c r="AK44" s="31" t="str">
        <f>IF(LEN(_DB_Exercises!BF45)&gt;0,_DB_Exercises!BF45,"")</f>
        <v/>
      </c>
      <c r="AL44" s="31" t="str">
        <f>IF(LEN(_DB_Exercises!BG45)&gt;0,_DB_Exercises!BG45,"")</f>
        <v/>
      </c>
      <c r="AM44" s="31" t="str">
        <f>IF(LEN(_DB_Exercises!BH45)&gt;0,_DB_Exercises!BH45,"")</f>
        <v/>
      </c>
      <c r="AN44" s="31" t="str">
        <f>IF(LEN(_DB_Exercises!BI45)&gt;0,_DB_Exercises!BI45,"")</f>
        <v/>
      </c>
      <c r="AO44" s="31" t="str">
        <f>IF(LEN(_DB_Exercises!BJ45)&gt;0,_DB_Exercises!BJ45,"")</f>
        <v/>
      </c>
      <c r="AP44" s="31" t="str">
        <f>IF(LEN(_DB_Exercises!BK45)&gt;0,_DB_Exercises!BK45,"")</f>
        <v/>
      </c>
      <c r="AQ44" s="31" t="str">
        <f>IF(LEN(_DB_Exercises!BL45)&gt;0,_DB_Exercises!BL45,"")</f>
        <v/>
      </c>
      <c r="AR44" s="31" t="str">
        <f>IF(LEN(_DB_Exercises!BM45)&gt;0,_DB_Exercises!BM45,"")</f>
        <v/>
      </c>
    </row>
    <row r="45" spans="1:44" x14ac:dyDescent="0.25">
      <c r="A45" s="11">
        <f>IF(LEN(_DB_Exercises!A46)&gt;0,_DB_Exercises!A46,"")</f>
        <v>2032</v>
      </c>
      <c r="B45" s="14" t="str">
        <f>IF(LEN(_DB_Exercises!K46)&gt;0,_DB_Exercises!K46,"")</f>
        <v>Nearest to the hole  Shoot out</v>
      </c>
      <c r="C45" s="31" t="str">
        <f>IF(LEN(_DB_Exercises!X46)&gt;0,_DB_Exercises!X46,"")</f>
        <v/>
      </c>
      <c r="D45" s="31" t="str">
        <f>IF(LEN(_DB_Exercises!Y46)&gt;0,_DB_Exercises!Y46,"")</f>
        <v/>
      </c>
      <c r="E45" s="31" t="str">
        <f>IF(LEN(_DB_Exercises!Z46)&gt;0,_DB_Exercises!Z46,"")</f>
        <v/>
      </c>
      <c r="F45" s="31" t="str">
        <f>IF(LEN(_DB_Exercises!AA46)&gt;0,_DB_Exercises!AA46,"")</f>
        <v/>
      </c>
      <c r="G45" s="31" t="str">
        <f>IF(LEN(_DB_Exercises!AB46)&gt;0,_DB_Exercises!AB46,"")</f>
        <v/>
      </c>
      <c r="H45" s="31" t="str">
        <f>IF(LEN(_DB_Exercises!AC46)&gt;0,_DB_Exercises!AC46,"")</f>
        <v/>
      </c>
      <c r="I45" s="31" t="str">
        <f>IF(LEN(_DB_Exercises!AD46)&gt;0,_DB_Exercises!AD46,"")</f>
        <v/>
      </c>
      <c r="J45" s="31" t="str">
        <f>IF(LEN(_DB_Exercises!AE46)&gt;0,_DB_Exercises!AE46,"")</f>
        <v/>
      </c>
      <c r="K45" s="31" t="str">
        <f>IF(LEN(_DB_Exercises!AF46)&gt;0,_DB_Exercises!AF46,"")</f>
        <v/>
      </c>
      <c r="L45" s="31" t="str">
        <f>IF(LEN(_DB_Exercises!AG46)&gt;0,_DB_Exercises!AG46,"")</f>
        <v/>
      </c>
      <c r="M45" s="31" t="str">
        <f>IF(LEN(_DB_Exercises!AH46)&gt;0,_DB_Exercises!AH46,"")</f>
        <v/>
      </c>
      <c r="N45" s="31" t="str">
        <f>IF(LEN(_DB_Exercises!AI46)&gt;0,_DB_Exercises!AI46,"")</f>
        <v/>
      </c>
      <c r="O45" s="31" t="str">
        <f>IF(LEN(_DB_Exercises!AJ46)&gt;0,_DB_Exercises!AJ46,"")</f>
        <v/>
      </c>
      <c r="P45" s="31" t="str">
        <f>IF(LEN(_DB_Exercises!AK46)&gt;0,_DB_Exercises!AK46,"")</f>
        <v/>
      </c>
      <c r="Q45" s="31" t="str">
        <f>IF(LEN(_DB_Exercises!AL46)&gt;0,_DB_Exercises!AL46,"")</f>
        <v/>
      </c>
      <c r="R45" s="31" t="str">
        <f>IF(LEN(_DB_Exercises!AM46)&gt;0,_DB_Exercises!AM46,"")</f>
        <v/>
      </c>
      <c r="S45" s="31" t="str">
        <f>IF(LEN(_DB_Exercises!AN46)&gt;0,_DB_Exercises!AN46,"")</f>
        <v/>
      </c>
      <c r="T45" s="31" t="str">
        <f>IF(LEN(_DB_Exercises!AO46)&gt;0,_DB_Exercises!AO46,"")</f>
        <v/>
      </c>
      <c r="U45" s="31" t="str">
        <f>IF(LEN(_DB_Exercises!AP46)&gt;0,_DB_Exercises!AP46,"")</f>
        <v/>
      </c>
      <c r="V45" s="31" t="str">
        <f>IF(LEN(_DB_Exercises!AQ46)&gt;0,_DB_Exercises!AQ46,"")</f>
        <v/>
      </c>
      <c r="W45" s="31" t="str">
        <f>IF(LEN(_DB_Exercises!AR46)&gt;0,_DB_Exercises!AR46,"")</f>
        <v/>
      </c>
      <c r="X45" s="31" t="str">
        <f>IF(LEN(_DB_Exercises!AS46)&gt;0,_DB_Exercises!AS46,"")</f>
        <v/>
      </c>
      <c r="Y45" s="31" t="str">
        <f>IF(LEN(_DB_Exercises!AT46)&gt;0,_DB_Exercises!AT46,"")</f>
        <v/>
      </c>
      <c r="Z45" s="31" t="str">
        <f>IF(LEN(_DB_Exercises!AU46)&gt;0,_DB_Exercises!AU46,"")</f>
        <v/>
      </c>
      <c r="AA45" s="31" t="str">
        <f>IF(LEN(_DB_Exercises!AV46)&gt;0,_DB_Exercises!AV46,"")</f>
        <v/>
      </c>
      <c r="AB45" s="31" t="str">
        <f>IF(LEN(_DB_Exercises!AW46)&gt;0,_DB_Exercises!AW46,"")</f>
        <v/>
      </c>
      <c r="AC45" s="31" t="str">
        <f>IF(LEN(_DB_Exercises!AX46)&gt;0,_DB_Exercises!AX46,"")</f>
        <v/>
      </c>
      <c r="AD45" s="31" t="str">
        <f>IF(LEN(_DB_Exercises!AY46)&gt;0,_DB_Exercises!AY46,"")</f>
        <v/>
      </c>
      <c r="AE45" s="31" t="str">
        <f>IF(LEN(_DB_Exercises!AZ46)&gt;0,_DB_Exercises!AZ46,"")</f>
        <v/>
      </c>
      <c r="AF45" s="31" t="str">
        <f>IF(LEN(_DB_Exercises!BA46)&gt;0,_DB_Exercises!BA46,"")</f>
        <v/>
      </c>
      <c r="AG45" s="31" t="str">
        <f>IF(LEN(_DB_Exercises!BB46)&gt;0,_DB_Exercises!BB46,"")</f>
        <v/>
      </c>
      <c r="AH45" s="31" t="str">
        <f>IF(LEN(_DB_Exercises!BC46)&gt;0,_DB_Exercises!BC46,"")</f>
        <v/>
      </c>
      <c r="AI45" s="31" t="str">
        <f>IF(LEN(_DB_Exercises!BD46)&gt;0,_DB_Exercises!BD46,"")</f>
        <v/>
      </c>
      <c r="AJ45" s="31" t="str">
        <f>IF(LEN(_DB_Exercises!BE46)&gt;0,_DB_Exercises!BE46,"")</f>
        <v/>
      </c>
      <c r="AK45" s="31" t="str">
        <f>IF(LEN(_DB_Exercises!BF46)&gt;0,_DB_Exercises!BF46,"")</f>
        <v/>
      </c>
      <c r="AL45" s="31" t="str">
        <f>IF(LEN(_DB_Exercises!BG46)&gt;0,_DB_Exercises!BG46,"")</f>
        <v/>
      </c>
      <c r="AM45" s="31" t="str">
        <f>IF(LEN(_DB_Exercises!BH46)&gt;0,_DB_Exercises!BH46,"")</f>
        <v/>
      </c>
      <c r="AN45" s="31" t="str">
        <f>IF(LEN(_DB_Exercises!BI46)&gt;0,_DB_Exercises!BI46,"")</f>
        <v/>
      </c>
      <c r="AO45" s="31" t="str">
        <f>IF(LEN(_DB_Exercises!BJ46)&gt;0,_DB_Exercises!BJ46,"")</f>
        <v/>
      </c>
      <c r="AP45" s="31" t="str">
        <f>IF(LEN(_DB_Exercises!BK46)&gt;0,_DB_Exercises!BK46,"")</f>
        <v/>
      </c>
      <c r="AQ45" s="31" t="str">
        <f>IF(LEN(_DB_Exercises!BL46)&gt;0,_DB_Exercises!BL46,"")</f>
        <v/>
      </c>
      <c r="AR45" s="31" t="str">
        <f>IF(LEN(_DB_Exercises!BM46)&gt;0,_DB_Exercises!BM46,"")</f>
        <v/>
      </c>
    </row>
    <row r="46" spans="1:44" x14ac:dyDescent="0.25">
      <c r="A46" s="11">
        <f>IF(LEN(_DB_Exercises!A47)&gt;0,_DB_Exercises!A47,"")</f>
        <v>2033</v>
      </c>
      <c r="B46" s="14" t="str">
        <f>IF(LEN(_DB_Exercises!K47)&gt;0,_DB_Exercises!K47,"")</f>
        <v>Push Put Drill</v>
      </c>
      <c r="C46" s="31" t="str">
        <f>IF(LEN(_DB_Exercises!X47)&gt;0,_DB_Exercises!X47,"")</f>
        <v/>
      </c>
      <c r="D46" s="31" t="str">
        <f>IF(LEN(_DB_Exercises!Y47)&gt;0,_DB_Exercises!Y47,"")</f>
        <v/>
      </c>
      <c r="E46" s="31" t="str">
        <f>IF(LEN(_DB_Exercises!Z47)&gt;0,_DB_Exercises!Z47,"")</f>
        <v/>
      </c>
      <c r="F46" s="31" t="str">
        <f>IF(LEN(_DB_Exercises!AA47)&gt;0,_DB_Exercises!AA47,"")</f>
        <v/>
      </c>
      <c r="G46" s="31" t="str">
        <f>IF(LEN(_DB_Exercises!AB47)&gt;0,_DB_Exercises!AB47,"")</f>
        <v/>
      </c>
      <c r="H46" s="31" t="str">
        <f>IF(LEN(_DB_Exercises!AC47)&gt;0,_DB_Exercises!AC47,"")</f>
        <v/>
      </c>
      <c r="I46" s="31" t="str">
        <f>IF(LEN(_DB_Exercises!AD47)&gt;0,_DB_Exercises!AD47,"")</f>
        <v/>
      </c>
      <c r="J46" s="31" t="str">
        <f>IF(LEN(_DB_Exercises!AE47)&gt;0,_DB_Exercises!AE47,"")</f>
        <v/>
      </c>
      <c r="K46" s="31" t="str">
        <f>IF(LEN(_DB_Exercises!AF47)&gt;0,_DB_Exercises!AF47,"")</f>
        <v/>
      </c>
      <c r="L46" s="31" t="str">
        <f>IF(LEN(_DB_Exercises!AG47)&gt;0,_DB_Exercises!AG47,"")</f>
        <v/>
      </c>
      <c r="M46" s="31" t="str">
        <f>IF(LEN(_DB_Exercises!AH47)&gt;0,_DB_Exercises!AH47,"")</f>
        <v/>
      </c>
      <c r="N46" s="31" t="str">
        <f>IF(LEN(_DB_Exercises!AI47)&gt;0,_DB_Exercises!AI47,"")</f>
        <v/>
      </c>
      <c r="O46" s="31" t="str">
        <f>IF(LEN(_DB_Exercises!AJ47)&gt;0,_DB_Exercises!AJ47,"")</f>
        <v/>
      </c>
      <c r="P46" s="31" t="str">
        <f>IF(LEN(_DB_Exercises!AK47)&gt;0,_DB_Exercises!AK47,"")</f>
        <v/>
      </c>
      <c r="Q46" s="31" t="str">
        <f>IF(LEN(_DB_Exercises!AL47)&gt;0,_DB_Exercises!AL47,"")</f>
        <v/>
      </c>
      <c r="R46" s="31" t="str">
        <f>IF(LEN(_DB_Exercises!AM47)&gt;0,_DB_Exercises!AM47,"")</f>
        <v/>
      </c>
      <c r="S46" s="31" t="str">
        <f>IF(LEN(_DB_Exercises!AN47)&gt;0,_DB_Exercises!AN47,"")</f>
        <v/>
      </c>
      <c r="T46" s="31" t="str">
        <f>IF(LEN(_DB_Exercises!AO47)&gt;0,_DB_Exercises!AO47,"")</f>
        <v/>
      </c>
      <c r="U46" s="31" t="str">
        <f>IF(LEN(_DB_Exercises!AP47)&gt;0,_DB_Exercises!AP47,"")</f>
        <v/>
      </c>
      <c r="V46" s="31" t="str">
        <f>IF(LEN(_DB_Exercises!AQ47)&gt;0,_DB_Exercises!AQ47,"")</f>
        <v/>
      </c>
      <c r="W46" s="31" t="str">
        <f>IF(LEN(_DB_Exercises!AR47)&gt;0,_DB_Exercises!AR47,"")</f>
        <v/>
      </c>
      <c r="X46" s="31" t="str">
        <f>IF(LEN(_DB_Exercises!AS47)&gt;0,_DB_Exercises!AS47,"")</f>
        <v/>
      </c>
      <c r="Y46" s="31" t="str">
        <f>IF(LEN(_DB_Exercises!AT47)&gt;0,_DB_Exercises!AT47,"")</f>
        <v/>
      </c>
      <c r="Z46" s="31" t="str">
        <f>IF(LEN(_DB_Exercises!AU47)&gt;0,_DB_Exercises!AU47,"")</f>
        <v/>
      </c>
      <c r="AA46" s="31" t="str">
        <f>IF(LEN(_DB_Exercises!AV47)&gt;0,_DB_Exercises!AV47,"")</f>
        <v/>
      </c>
      <c r="AB46" s="31" t="str">
        <f>IF(LEN(_DB_Exercises!AW47)&gt;0,_DB_Exercises!AW47,"")</f>
        <v/>
      </c>
      <c r="AC46" s="31" t="str">
        <f>IF(LEN(_DB_Exercises!AX47)&gt;0,_DB_Exercises!AX47,"")</f>
        <v/>
      </c>
      <c r="AD46" s="31" t="str">
        <f>IF(LEN(_DB_Exercises!AY47)&gt;0,_DB_Exercises!AY47,"")</f>
        <v/>
      </c>
      <c r="AE46" s="31" t="str">
        <f>IF(LEN(_DB_Exercises!AZ47)&gt;0,_DB_Exercises!AZ47,"")</f>
        <v/>
      </c>
      <c r="AF46" s="31" t="str">
        <f>IF(LEN(_DB_Exercises!BA47)&gt;0,_DB_Exercises!BA47,"")</f>
        <v/>
      </c>
      <c r="AG46" s="31" t="str">
        <f>IF(LEN(_DB_Exercises!BB47)&gt;0,_DB_Exercises!BB47,"")</f>
        <v/>
      </c>
      <c r="AH46" s="31" t="str">
        <f>IF(LEN(_DB_Exercises!BC47)&gt;0,_DB_Exercises!BC47,"")</f>
        <v/>
      </c>
      <c r="AI46" s="31" t="str">
        <f>IF(LEN(_DB_Exercises!BD47)&gt;0,_DB_Exercises!BD47,"")</f>
        <v/>
      </c>
      <c r="AJ46" s="31" t="str">
        <f>IF(LEN(_DB_Exercises!BE47)&gt;0,_DB_Exercises!BE47,"")</f>
        <v/>
      </c>
      <c r="AK46" s="31" t="str">
        <f>IF(LEN(_DB_Exercises!BF47)&gt;0,_DB_Exercises!BF47,"")</f>
        <v/>
      </c>
      <c r="AL46" s="31" t="str">
        <f>IF(LEN(_DB_Exercises!BG47)&gt;0,_DB_Exercises!BG47,"")</f>
        <v/>
      </c>
      <c r="AM46" s="31" t="str">
        <f>IF(LEN(_DB_Exercises!BH47)&gt;0,_DB_Exercises!BH47,"")</f>
        <v/>
      </c>
      <c r="AN46" s="31" t="str">
        <f>IF(LEN(_DB_Exercises!BI47)&gt;0,_DB_Exercises!BI47,"")</f>
        <v/>
      </c>
      <c r="AO46" s="31" t="str">
        <f>IF(LEN(_DB_Exercises!BJ47)&gt;0,_DB_Exercises!BJ47,"")</f>
        <v/>
      </c>
      <c r="AP46" s="31" t="str">
        <f>IF(LEN(_DB_Exercises!BK47)&gt;0,_DB_Exercises!BK47,"")</f>
        <v/>
      </c>
      <c r="AQ46" s="31" t="str">
        <f>IF(LEN(_DB_Exercises!BL47)&gt;0,_DB_Exercises!BL47,"")</f>
        <v/>
      </c>
      <c r="AR46" s="31" t="str">
        <f>IF(LEN(_DB_Exercises!BM47)&gt;0,_DB_Exercises!BM47,"")</f>
        <v/>
      </c>
    </row>
    <row r="47" spans="1:44" x14ac:dyDescent="0.25">
      <c r="A47" s="11">
        <f>IF(LEN(_DB_Exercises!A48)&gt;0,_DB_Exercises!A48,"")</f>
        <v>2034</v>
      </c>
      <c r="B47" s="14" t="str">
        <f>IF(LEN(_DB_Exercises!K48)&gt;0,_DB_Exercises!K48,"")</f>
        <v>Guarded Put Drill  Beginner</v>
      </c>
      <c r="C47" s="31" t="str">
        <f>IF(LEN(_DB_Exercises!X48)&gt;0,_DB_Exercises!X48,"")</f>
        <v/>
      </c>
      <c r="D47" s="31" t="str">
        <f>IF(LEN(_DB_Exercises!Y48)&gt;0,_DB_Exercises!Y48,"")</f>
        <v/>
      </c>
      <c r="E47" s="31" t="str">
        <f>IF(LEN(_DB_Exercises!Z48)&gt;0,_DB_Exercises!Z48,"")</f>
        <v/>
      </c>
      <c r="F47" s="31" t="str">
        <f>IF(LEN(_DB_Exercises!AA48)&gt;0,_DB_Exercises!AA48,"")</f>
        <v/>
      </c>
      <c r="G47" s="31" t="str">
        <f>IF(LEN(_DB_Exercises!AB48)&gt;0,_DB_Exercises!AB48,"")</f>
        <v/>
      </c>
      <c r="H47" s="31" t="str">
        <f>IF(LEN(_DB_Exercises!AC48)&gt;0,_DB_Exercises!AC48,"")</f>
        <v/>
      </c>
      <c r="I47" s="31" t="str">
        <f>IF(LEN(_DB_Exercises!AD48)&gt;0,_DB_Exercises!AD48,"")</f>
        <v/>
      </c>
      <c r="J47" s="31" t="str">
        <f>IF(LEN(_DB_Exercises!AE48)&gt;0,_DB_Exercises!AE48,"")</f>
        <v/>
      </c>
      <c r="K47" s="31" t="str">
        <f>IF(LEN(_DB_Exercises!AF48)&gt;0,_DB_Exercises!AF48,"")</f>
        <v/>
      </c>
      <c r="L47" s="31" t="str">
        <f>IF(LEN(_DB_Exercises!AG48)&gt;0,_DB_Exercises!AG48,"")</f>
        <v/>
      </c>
      <c r="M47" s="31" t="str">
        <f>IF(LEN(_DB_Exercises!AH48)&gt;0,_DB_Exercises!AH48,"")</f>
        <v/>
      </c>
      <c r="N47" s="31" t="str">
        <f>IF(LEN(_DB_Exercises!AI48)&gt;0,_DB_Exercises!AI48,"")</f>
        <v/>
      </c>
      <c r="O47" s="31" t="str">
        <f>IF(LEN(_DB_Exercises!AJ48)&gt;0,_DB_Exercises!AJ48,"")</f>
        <v/>
      </c>
      <c r="P47" s="31" t="str">
        <f>IF(LEN(_DB_Exercises!AK48)&gt;0,_DB_Exercises!AK48,"")</f>
        <v/>
      </c>
      <c r="Q47" s="31" t="str">
        <f>IF(LEN(_DB_Exercises!AL48)&gt;0,_DB_Exercises!AL48,"")</f>
        <v/>
      </c>
      <c r="R47" s="31" t="str">
        <f>IF(LEN(_DB_Exercises!AM48)&gt;0,_DB_Exercises!AM48,"")</f>
        <v/>
      </c>
      <c r="S47" s="31" t="str">
        <f>IF(LEN(_DB_Exercises!AN48)&gt;0,_DB_Exercises!AN48,"")</f>
        <v/>
      </c>
      <c r="T47" s="31" t="str">
        <f>IF(LEN(_DB_Exercises!AO48)&gt;0,_DB_Exercises!AO48,"")</f>
        <v/>
      </c>
      <c r="U47" s="31" t="str">
        <f>IF(LEN(_DB_Exercises!AP48)&gt;0,_DB_Exercises!AP48,"")</f>
        <v/>
      </c>
      <c r="V47" s="31" t="str">
        <f>IF(LEN(_DB_Exercises!AQ48)&gt;0,_DB_Exercises!AQ48,"")</f>
        <v/>
      </c>
      <c r="W47" s="31" t="str">
        <f>IF(LEN(_DB_Exercises!AR48)&gt;0,_DB_Exercises!AR48,"")</f>
        <v/>
      </c>
      <c r="X47" s="31" t="str">
        <f>IF(LEN(_DB_Exercises!AS48)&gt;0,_DB_Exercises!AS48,"")</f>
        <v/>
      </c>
      <c r="Y47" s="31" t="str">
        <f>IF(LEN(_DB_Exercises!AT48)&gt;0,_DB_Exercises!AT48,"")</f>
        <v/>
      </c>
      <c r="Z47" s="31" t="str">
        <f>IF(LEN(_DB_Exercises!AU48)&gt;0,_DB_Exercises!AU48,"")</f>
        <v/>
      </c>
      <c r="AA47" s="31" t="str">
        <f>IF(LEN(_DB_Exercises!AV48)&gt;0,_DB_Exercises!AV48,"")</f>
        <v/>
      </c>
      <c r="AB47" s="31" t="str">
        <f>IF(LEN(_DB_Exercises!AW48)&gt;0,_DB_Exercises!AW48,"")</f>
        <v/>
      </c>
      <c r="AC47" s="31" t="str">
        <f>IF(LEN(_DB_Exercises!AX48)&gt;0,_DB_Exercises!AX48,"")</f>
        <v/>
      </c>
      <c r="AD47" s="31" t="str">
        <f>IF(LEN(_DB_Exercises!AY48)&gt;0,_DB_Exercises!AY48,"")</f>
        <v/>
      </c>
      <c r="AE47" s="31" t="str">
        <f>IF(LEN(_DB_Exercises!AZ48)&gt;0,_DB_Exercises!AZ48,"")</f>
        <v/>
      </c>
      <c r="AF47" s="31" t="str">
        <f>IF(LEN(_DB_Exercises!BA48)&gt;0,_DB_Exercises!BA48,"")</f>
        <v/>
      </c>
      <c r="AG47" s="31" t="str">
        <f>IF(LEN(_DB_Exercises!BB48)&gt;0,_DB_Exercises!BB48,"")</f>
        <v/>
      </c>
      <c r="AH47" s="31" t="str">
        <f>IF(LEN(_DB_Exercises!BC48)&gt;0,_DB_Exercises!BC48,"")</f>
        <v/>
      </c>
      <c r="AI47" s="31" t="str">
        <f>IF(LEN(_DB_Exercises!BD48)&gt;0,_DB_Exercises!BD48,"")</f>
        <v/>
      </c>
      <c r="AJ47" s="31" t="str">
        <f>IF(LEN(_DB_Exercises!BE48)&gt;0,_DB_Exercises!BE48,"")</f>
        <v/>
      </c>
      <c r="AK47" s="31" t="str">
        <f>IF(LEN(_DB_Exercises!BF48)&gt;0,_DB_Exercises!BF48,"")</f>
        <v/>
      </c>
      <c r="AL47" s="31" t="str">
        <f>IF(LEN(_DB_Exercises!BG48)&gt;0,_DB_Exercises!BG48,"")</f>
        <v/>
      </c>
      <c r="AM47" s="31" t="str">
        <f>IF(LEN(_DB_Exercises!BH48)&gt;0,_DB_Exercises!BH48,"")</f>
        <v/>
      </c>
      <c r="AN47" s="31" t="str">
        <f>IF(LEN(_DB_Exercises!BI48)&gt;0,_DB_Exercises!BI48,"")</f>
        <v/>
      </c>
      <c r="AO47" s="31" t="str">
        <f>IF(LEN(_DB_Exercises!BJ48)&gt;0,_DB_Exercises!BJ48,"")</f>
        <v/>
      </c>
      <c r="AP47" s="31" t="str">
        <f>IF(LEN(_DB_Exercises!BK48)&gt;0,_DB_Exercises!BK48,"")</f>
        <v/>
      </c>
      <c r="AQ47" s="31" t="str">
        <f>IF(LEN(_DB_Exercises!BL48)&gt;0,_DB_Exercises!BL48,"")</f>
        <v/>
      </c>
      <c r="AR47" s="31" t="str">
        <f>IF(LEN(_DB_Exercises!BM48)&gt;0,_DB_Exercises!BM48,"")</f>
        <v/>
      </c>
    </row>
    <row r="48" spans="1:44" x14ac:dyDescent="0.25">
      <c r="A48" s="11">
        <f>IF(LEN(_DB_Exercises!A49)&gt;0,_DB_Exercises!A49,"")</f>
        <v>2035</v>
      </c>
      <c r="B48" s="14" t="str">
        <f>IF(LEN(_DB_Exercises!K49)&gt;0,_DB_Exercises!K49,"")</f>
        <v>Guarded Put Drill  Expert</v>
      </c>
      <c r="C48" s="31" t="str">
        <f>IF(LEN(_DB_Exercises!X49)&gt;0,_DB_Exercises!X49,"")</f>
        <v/>
      </c>
      <c r="D48" s="31" t="str">
        <f>IF(LEN(_DB_Exercises!Y49)&gt;0,_DB_Exercises!Y49,"")</f>
        <v/>
      </c>
      <c r="E48" s="31" t="str">
        <f>IF(LEN(_DB_Exercises!Z49)&gt;0,_DB_Exercises!Z49,"")</f>
        <v/>
      </c>
      <c r="F48" s="31" t="str">
        <f>IF(LEN(_DB_Exercises!AA49)&gt;0,_DB_Exercises!AA49,"")</f>
        <v/>
      </c>
      <c r="G48" s="31" t="str">
        <f>IF(LEN(_DB_Exercises!AB49)&gt;0,_DB_Exercises!AB49,"")</f>
        <v/>
      </c>
      <c r="H48" s="31" t="str">
        <f>IF(LEN(_DB_Exercises!AC49)&gt;0,_DB_Exercises!AC49,"")</f>
        <v/>
      </c>
      <c r="I48" s="31" t="str">
        <f>IF(LEN(_DB_Exercises!AD49)&gt;0,_DB_Exercises!AD49,"")</f>
        <v/>
      </c>
      <c r="J48" s="31" t="str">
        <f>IF(LEN(_DB_Exercises!AE49)&gt;0,_DB_Exercises!AE49,"")</f>
        <v/>
      </c>
      <c r="K48" s="31" t="str">
        <f>IF(LEN(_DB_Exercises!AF49)&gt;0,_DB_Exercises!AF49,"")</f>
        <v/>
      </c>
      <c r="L48" s="31" t="str">
        <f>IF(LEN(_DB_Exercises!AG49)&gt;0,_DB_Exercises!AG49,"")</f>
        <v/>
      </c>
      <c r="M48" s="31" t="str">
        <f>IF(LEN(_DB_Exercises!AH49)&gt;0,_DB_Exercises!AH49,"")</f>
        <v/>
      </c>
      <c r="N48" s="31" t="str">
        <f>IF(LEN(_DB_Exercises!AI49)&gt;0,_DB_Exercises!AI49,"")</f>
        <v/>
      </c>
      <c r="O48" s="31" t="str">
        <f>IF(LEN(_DB_Exercises!AJ49)&gt;0,_DB_Exercises!AJ49,"")</f>
        <v/>
      </c>
      <c r="P48" s="31" t="str">
        <f>IF(LEN(_DB_Exercises!AK49)&gt;0,_DB_Exercises!AK49,"")</f>
        <v/>
      </c>
      <c r="Q48" s="31" t="str">
        <f>IF(LEN(_DB_Exercises!AL49)&gt;0,_DB_Exercises!AL49,"")</f>
        <v/>
      </c>
      <c r="R48" s="31" t="str">
        <f>IF(LEN(_DB_Exercises!AM49)&gt;0,_DB_Exercises!AM49,"")</f>
        <v/>
      </c>
      <c r="S48" s="31" t="str">
        <f>IF(LEN(_DB_Exercises!AN49)&gt;0,_DB_Exercises!AN49,"")</f>
        <v/>
      </c>
      <c r="T48" s="31" t="str">
        <f>IF(LEN(_DB_Exercises!AO49)&gt;0,_DB_Exercises!AO49,"")</f>
        <v/>
      </c>
      <c r="U48" s="31" t="str">
        <f>IF(LEN(_DB_Exercises!AP49)&gt;0,_DB_Exercises!AP49,"")</f>
        <v/>
      </c>
      <c r="V48" s="31" t="str">
        <f>IF(LEN(_DB_Exercises!AQ49)&gt;0,_DB_Exercises!AQ49,"")</f>
        <v/>
      </c>
      <c r="W48" s="31" t="str">
        <f>IF(LEN(_DB_Exercises!AR49)&gt;0,_DB_Exercises!AR49,"")</f>
        <v/>
      </c>
      <c r="X48" s="31" t="str">
        <f>IF(LEN(_DB_Exercises!AS49)&gt;0,_DB_Exercises!AS49,"")</f>
        <v/>
      </c>
      <c r="Y48" s="31" t="str">
        <f>IF(LEN(_DB_Exercises!AT49)&gt;0,_DB_Exercises!AT49,"")</f>
        <v/>
      </c>
      <c r="Z48" s="31" t="str">
        <f>IF(LEN(_DB_Exercises!AU49)&gt;0,_DB_Exercises!AU49,"")</f>
        <v/>
      </c>
      <c r="AA48" s="31" t="str">
        <f>IF(LEN(_DB_Exercises!AV49)&gt;0,_DB_Exercises!AV49,"")</f>
        <v/>
      </c>
      <c r="AB48" s="31" t="str">
        <f>IF(LEN(_DB_Exercises!AW49)&gt;0,_DB_Exercises!AW49,"")</f>
        <v/>
      </c>
      <c r="AC48" s="31" t="str">
        <f>IF(LEN(_DB_Exercises!AX49)&gt;0,_DB_Exercises!AX49,"")</f>
        <v/>
      </c>
      <c r="AD48" s="31" t="str">
        <f>IF(LEN(_DB_Exercises!AY49)&gt;0,_DB_Exercises!AY49,"")</f>
        <v/>
      </c>
      <c r="AE48" s="31" t="str">
        <f>IF(LEN(_DB_Exercises!AZ49)&gt;0,_DB_Exercises!AZ49,"")</f>
        <v/>
      </c>
      <c r="AF48" s="31" t="str">
        <f>IF(LEN(_DB_Exercises!BA49)&gt;0,_DB_Exercises!BA49,"")</f>
        <v/>
      </c>
      <c r="AG48" s="31" t="str">
        <f>IF(LEN(_DB_Exercises!BB49)&gt;0,_DB_Exercises!BB49,"")</f>
        <v/>
      </c>
      <c r="AH48" s="31" t="str">
        <f>IF(LEN(_DB_Exercises!BC49)&gt;0,_DB_Exercises!BC49,"")</f>
        <v/>
      </c>
      <c r="AI48" s="31" t="str">
        <f>IF(LEN(_DB_Exercises!BD49)&gt;0,_DB_Exercises!BD49,"")</f>
        <v/>
      </c>
      <c r="AJ48" s="31" t="str">
        <f>IF(LEN(_DB_Exercises!BE49)&gt;0,_DB_Exercises!BE49,"")</f>
        <v/>
      </c>
      <c r="AK48" s="31" t="str">
        <f>IF(LEN(_DB_Exercises!BF49)&gt;0,_DB_Exercises!BF49,"")</f>
        <v/>
      </c>
      <c r="AL48" s="31" t="str">
        <f>IF(LEN(_DB_Exercises!BG49)&gt;0,_DB_Exercises!BG49,"")</f>
        <v/>
      </c>
      <c r="AM48" s="31" t="str">
        <f>IF(LEN(_DB_Exercises!BH49)&gt;0,_DB_Exercises!BH49,"")</f>
        <v/>
      </c>
      <c r="AN48" s="31" t="str">
        <f>IF(LEN(_DB_Exercises!BI49)&gt;0,_DB_Exercises!BI49,"")</f>
        <v/>
      </c>
      <c r="AO48" s="31" t="str">
        <f>IF(LEN(_DB_Exercises!BJ49)&gt;0,_DB_Exercises!BJ49,"")</f>
        <v/>
      </c>
      <c r="AP48" s="31" t="str">
        <f>IF(LEN(_DB_Exercises!BK49)&gt;0,_DB_Exercises!BK49,"")</f>
        <v/>
      </c>
      <c r="AQ48" s="31" t="str">
        <f>IF(LEN(_DB_Exercises!BL49)&gt;0,_DB_Exercises!BL49,"")</f>
        <v/>
      </c>
      <c r="AR48" s="31" t="str">
        <f>IF(LEN(_DB_Exercises!BM49)&gt;0,_DB_Exercises!BM49,"")</f>
        <v/>
      </c>
    </row>
    <row r="49" spans="1:44" x14ac:dyDescent="0.25">
      <c r="A49" s="11">
        <f>IF(LEN(_DB_Exercises!A50)&gt;0,_DB_Exercises!A50,"")</f>
        <v>2036</v>
      </c>
      <c r="B49" s="14" t="str">
        <f>IF(LEN(_DB_Exercises!K50)&gt;0,_DB_Exercises!K50,"")</f>
        <v>Eyes Position</v>
      </c>
      <c r="C49" s="31" t="str">
        <f>IF(LEN(_DB_Exercises!X50)&gt;0,_DB_Exercises!X50,"")</f>
        <v/>
      </c>
      <c r="D49" s="31" t="str">
        <f>IF(LEN(_DB_Exercises!Y50)&gt;0,_DB_Exercises!Y50,"")</f>
        <v/>
      </c>
      <c r="E49" s="31" t="str">
        <f>IF(LEN(_DB_Exercises!Z50)&gt;0,_DB_Exercises!Z50,"")</f>
        <v/>
      </c>
      <c r="F49" s="31" t="str">
        <f>IF(LEN(_DB_Exercises!AA50)&gt;0,_DB_Exercises!AA50,"")</f>
        <v/>
      </c>
      <c r="G49" s="31" t="str">
        <f>IF(LEN(_DB_Exercises!AB50)&gt;0,_DB_Exercises!AB50,"")</f>
        <v/>
      </c>
      <c r="H49" s="31" t="str">
        <f>IF(LEN(_DB_Exercises!AC50)&gt;0,_DB_Exercises!AC50,"")</f>
        <v/>
      </c>
      <c r="I49" s="31" t="str">
        <f>IF(LEN(_DB_Exercises!AD50)&gt;0,_DB_Exercises!AD50,"")</f>
        <v/>
      </c>
      <c r="J49" s="31" t="str">
        <f>IF(LEN(_DB_Exercises!AE50)&gt;0,_DB_Exercises!AE50,"")</f>
        <v/>
      </c>
      <c r="K49" s="31" t="str">
        <f>IF(LEN(_DB_Exercises!AF50)&gt;0,_DB_Exercises!AF50,"")</f>
        <v/>
      </c>
      <c r="L49" s="31" t="str">
        <f>IF(LEN(_DB_Exercises!AG50)&gt;0,_DB_Exercises!AG50,"")</f>
        <v/>
      </c>
      <c r="M49" s="31" t="str">
        <f>IF(LEN(_DB_Exercises!AH50)&gt;0,_DB_Exercises!AH50,"")</f>
        <v/>
      </c>
      <c r="N49" s="31" t="str">
        <f>IF(LEN(_DB_Exercises!AI50)&gt;0,_DB_Exercises!AI50,"")</f>
        <v/>
      </c>
      <c r="O49" s="31" t="str">
        <f>IF(LEN(_DB_Exercises!AJ50)&gt;0,_DB_Exercises!AJ50,"")</f>
        <v/>
      </c>
      <c r="P49" s="31" t="str">
        <f>IF(LEN(_DB_Exercises!AK50)&gt;0,_DB_Exercises!AK50,"")</f>
        <v/>
      </c>
      <c r="Q49" s="31" t="str">
        <f>IF(LEN(_DB_Exercises!AL50)&gt;0,_DB_Exercises!AL50,"")</f>
        <v/>
      </c>
      <c r="R49" s="31" t="str">
        <f>IF(LEN(_DB_Exercises!AM50)&gt;0,_DB_Exercises!AM50,"")</f>
        <v/>
      </c>
      <c r="S49" s="31" t="str">
        <f>IF(LEN(_DB_Exercises!AN50)&gt;0,_DB_Exercises!AN50,"")</f>
        <v/>
      </c>
      <c r="T49" s="31" t="str">
        <f>IF(LEN(_DB_Exercises!AO50)&gt;0,_DB_Exercises!AO50,"")</f>
        <v/>
      </c>
      <c r="U49" s="31" t="str">
        <f>IF(LEN(_DB_Exercises!AP50)&gt;0,_DB_Exercises!AP50,"")</f>
        <v/>
      </c>
      <c r="V49" s="31" t="str">
        <f>IF(LEN(_DB_Exercises!AQ50)&gt;0,_DB_Exercises!AQ50,"")</f>
        <v/>
      </c>
      <c r="W49" s="31" t="str">
        <f>IF(LEN(_DB_Exercises!AR50)&gt;0,_DB_Exercises!AR50,"")</f>
        <v/>
      </c>
      <c r="X49" s="31" t="str">
        <f>IF(LEN(_DB_Exercises!AS50)&gt;0,_DB_Exercises!AS50,"")</f>
        <v/>
      </c>
      <c r="Y49" s="31" t="str">
        <f>IF(LEN(_DB_Exercises!AT50)&gt;0,_DB_Exercises!AT50,"")</f>
        <v/>
      </c>
      <c r="Z49" s="31" t="str">
        <f>IF(LEN(_DB_Exercises!AU50)&gt;0,_DB_Exercises!AU50,"")</f>
        <v/>
      </c>
      <c r="AA49" s="31" t="str">
        <f>IF(LEN(_DB_Exercises!AV50)&gt;0,_DB_Exercises!AV50,"")</f>
        <v/>
      </c>
      <c r="AB49" s="31" t="str">
        <f>IF(LEN(_DB_Exercises!AW50)&gt;0,_DB_Exercises!AW50,"")</f>
        <v/>
      </c>
      <c r="AC49" s="31" t="str">
        <f>IF(LEN(_DB_Exercises!AX50)&gt;0,_DB_Exercises!AX50,"")</f>
        <v/>
      </c>
      <c r="AD49" s="31" t="str">
        <f>IF(LEN(_DB_Exercises!AY50)&gt;0,_DB_Exercises!AY50,"")</f>
        <v/>
      </c>
      <c r="AE49" s="31" t="str">
        <f>IF(LEN(_DB_Exercises!AZ50)&gt;0,_DB_Exercises!AZ50,"")</f>
        <v/>
      </c>
      <c r="AF49" s="31" t="str">
        <f>IF(LEN(_DB_Exercises!BA50)&gt;0,_DB_Exercises!BA50,"")</f>
        <v/>
      </c>
      <c r="AG49" s="31" t="str">
        <f>IF(LEN(_DB_Exercises!BB50)&gt;0,_DB_Exercises!BB50,"")</f>
        <v/>
      </c>
      <c r="AH49" s="31" t="str">
        <f>IF(LEN(_DB_Exercises!BC50)&gt;0,_DB_Exercises!BC50,"")</f>
        <v/>
      </c>
      <c r="AI49" s="31" t="str">
        <f>IF(LEN(_DB_Exercises!BD50)&gt;0,_DB_Exercises!BD50,"")</f>
        <v/>
      </c>
      <c r="AJ49" s="31" t="str">
        <f>IF(LEN(_DB_Exercises!BE50)&gt;0,_DB_Exercises!BE50,"")</f>
        <v/>
      </c>
      <c r="AK49" s="31" t="str">
        <f>IF(LEN(_DB_Exercises!BF50)&gt;0,_DB_Exercises!BF50,"")</f>
        <v/>
      </c>
      <c r="AL49" s="31" t="str">
        <f>IF(LEN(_DB_Exercises!BG50)&gt;0,_DB_Exercises!BG50,"")</f>
        <v/>
      </c>
      <c r="AM49" s="31" t="str">
        <f>IF(LEN(_DB_Exercises!BH50)&gt;0,_DB_Exercises!BH50,"")</f>
        <v/>
      </c>
      <c r="AN49" s="31" t="str">
        <f>IF(LEN(_DB_Exercises!BI50)&gt;0,_DB_Exercises!BI50,"")</f>
        <v/>
      </c>
      <c r="AO49" s="31" t="str">
        <f>IF(LEN(_DB_Exercises!BJ50)&gt;0,_DB_Exercises!BJ50,"")</f>
        <v/>
      </c>
      <c r="AP49" s="31" t="str">
        <f>IF(LEN(_DB_Exercises!BK50)&gt;0,_DB_Exercises!BK50,"")</f>
        <v/>
      </c>
      <c r="AQ49" s="31" t="str">
        <f>IF(LEN(_DB_Exercises!BL50)&gt;0,_DB_Exercises!BL50,"")</f>
        <v/>
      </c>
      <c r="AR49" s="31" t="str">
        <f>IF(LEN(_DB_Exercises!BM50)&gt;0,_DB_Exercises!BM50,"")</f>
        <v/>
      </c>
    </row>
    <row r="50" spans="1:44" x14ac:dyDescent="0.25">
      <c r="A50" s="11">
        <f>IF(LEN(_DB_Exercises!A51)&gt;0,_DB_Exercises!A51,"")</f>
        <v>2037</v>
      </c>
      <c r="B50" s="14" t="str">
        <f>IF(LEN(_DB_Exercises!K51)&gt;0,_DB_Exercises!K51,"")</f>
        <v>Fix Hands</v>
      </c>
      <c r="C50" s="31" t="str">
        <f>IF(LEN(_DB_Exercises!X51)&gt;0,_DB_Exercises!X51,"")</f>
        <v/>
      </c>
      <c r="D50" s="31" t="str">
        <f>IF(LEN(_DB_Exercises!Y51)&gt;0,_DB_Exercises!Y51,"")</f>
        <v/>
      </c>
      <c r="E50" s="31" t="str">
        <f>IF(LEN(_DB_Exercises!Z51)&gt;0,_DB_Exercises!Z51,"")</f>
        <v/>
      </c>
      <c r="F50" s="31" t="str">
        <f>IF(LEN(_DB_Exercises!AA51)&gt;0,_DB_Exercises!AA51,"")</f>
        <v/>
      </c>
      <c r="G50" s="31" t="str">
        <f>IF(LEN(_DB_Exercises!AB51)&gt;0,_DB_Exercises!AB51,"")</f>
        <v/>
      </c>
      <c r="H50" s="31" t="str">
        <f>IF(LEN(_DB_Exercises!AC51)&gt;0,_DB_Exercises!AC51,"")</f>
        <v/>
      </c>
      <c r="I50" s="31" t="str">
        <f>IF(LEN(_DB_Exercises!AD51)&gt;0,_DB_Exercises!AD51,"")</f>
        <v/>
      </c>
      <c r="J50" s="31" t="str">
        <f>IF(LEN(_DB_Exercises!AE51)&gt;0,_DB_Exercises!AE51,"")</f>
        <v/>
      </c>
      <c r="K50" s="31" t="str">
        <f>IF(LEN(_DB_Exercises!AF51)&gt;0,_DB_Exercises!AF51,"")</f>
        <v/>
      </c>
      <c r="L50" s="31" t="str">
        <f>IF(LEN(_DB_Exercises!AG51)&gt;0,_DB_Exercises!AG51,"")</f>
        <v/>
      </c>
      <c r="M50" s="31" t="str">
        <f>IF(LEN(_DB_Exercises!AH51)&gt;0,_DB_Exercises!AH51,"")</f>
        <v/>
      </c>
      <c r="N50" s="31" t="str">
        <f>IF(LEN(_DB_Exercises!AI51)&gt;0,_DB_Exercises!AI51,"")</f>
        <v/>
      </c>
      <c r="O50" s="31" t="str">
        <f>IF(LEN(_DB_Exercises!AJ51)&gt;0,_DB_Exercises!AJ51,"")</f>
        <v/>
      </c>
      <c r="P50" s="31" t="str">
        <f>IF(LEN(_DB_Exercises!AK51)&gt;0,_DB_Exercises!AK51,"")</f>
        <v/>
      </c>
      <c r="Q50" s="31" t="str">
        <f>IF(LEN(_DB_Exercises!AL51)&gt;0,_DB_Exercises!AL51,"")</f>
        <v/>
      </c>
      <c r="R50" s="31" t="str">
        <f>IF(LEN(_DB_Exercises!AM51)&gt;0,_DB_Exercises!AM51,"")</f>
        <v/>
      </c>
      <c r="S50" s="31" t="str">
        <f>IF(LEN(_DB_Exercises!AN51)&gt;0,_DB_Exercises!AN51,"")</f>
        <v/>
      </c>
      <c r="T50" s="31" t="str">
        <f>IF(LEN(_DB_Exercises!AO51)&gt;0,_DB_Exercises!AO51,"")</f>
        <v/>
      </c>
      <c r="U50" s="31" t="str">
        <f>IF(LEN(_DB_Exercises!AP51)&gt;0,_DB_Exercises!AP51,"")</f>
        <v/>
      </c>
      <c r="V50" s="31" t="str">
        <f>IF(LEN(_DB_Exercises!AQ51)&gt;0,_DB_Exercises!AQ51,"")</f>
        <v/>
      </c>
      <c r="W50" s="31" t="str">
        <f>IF(LEN(_DB_Exercises!AR51)&gt;0,_DB_Exercises!AR51,"")</f>
        <v/>
      </c>
      <c r="X50" s="31" t="str">
        <f>IF(LEN(_DB_Exercises!AS51)&gt;0,_DB_Exercises!AS51,"")</f>
        <v/>
      </c>
      <c r="Y50" s="31" t="str">
        <f>IF(LEN(_DB_Exercises!AT51)&gt;0,_DB_Exercises!AT51,"")</f>
        <v/>
      </c>
      <c r="Z50" s="31" t="str">
        <f>IF(LEN(_DB_Exercises!AU51)&gt;0,_DB_Exercises!AU51,"")</f>
        <v/>
      </c>
      <c r="AA50" s="31" t="str">
        <f>IF(LEN(_DB_Exercises!AV51)&gt;0,_DB_Exercises!AV51,"")</f>
        <v/>
      </c>
      <c r="AB50" s="31" t="str">
        <f>IF(LEN(_DB_Exercises!AW51)&gt;0,_DB_Exercises!AW51,"")</f>
        <v/>
      </c>
      <c r="AC50" s="31" t="str">
        <f>IF(LEN(_DB_Exercises!AX51)&gt;0,_DB_Exercises!AX51,"")</f>
        <v/>
      </c>
      <c r="AD50" s="31" t="str">
        <f>IF(LEN(_DB_Exercises!AY51)&gt;0,_DB_Exercises!AY51,"")</f>
        <v/>
      </c>
      <c r="AE50" s="31" t="str">
        <f>IF(LEN(_DB_Exercises!AZ51)&gt;0,_DB_Exercises!AZ51,"")</f>
        <v/>
      </c>
      <c r="AF50" s="31" t="str">
        <f>IF(LEN(_DB_Exercises!BA51)&gt;0,_DB_Exercises!BA51,"")</f>
        <v/>
      </c>
      <c r="AG50" s="31" t="str">
        <f>IF(LEN(_DB_Exercises!BB51)&gt;0,_DB_Exercises!BB51,"")</f>
        <v/>
      </c>
      <c r="AH50" s="31" t="str">
        <f>IF(LEN(_DB_Exercises!BC51)&gt;0,_DB_Exercises!BC51,"")</f>
        <v/>
      </c>
      <c r="AI50" s="31" t="str">
        <f>IF(LEN(_DB_Exercises!BD51)&gt;0,_DB_Exercises!BD51,"")</f>
        <v/>
      </c>
      <c r="AJ50" s="31" t="str">
        <f>IF(LEN(_DB_Exercises!BE51)&gt;0,_DB_Exercises!BE51,"")</f>
        <v/>
      </c>
      <c r="AK50" s="31" t="str">
        <f>IF(LEN(_DB_Exercises!BF51)&gt;0,_DB_Exercises!BF51,"")</f>
        <v/>
      </c>
      <c r="AL50" s="31" t="str">
        <f>IF(LEN(_DB_Exercises!BG51)&gt;0,_DB_Exercises!BG51,"")</f>
        <v/>
      </c>
      <c r="AM50" s="31" t="str">
        <f>IF(LEN(_DB_Exercises!BH51)&gt;0,_DB_Exercises!BH51,"")</f>
        <v/>
      </c>
      <c r="AN50" s="31" t="str">
        <f>IF(LEN(_DB_Exercises!BI51)&gt;0,_DB_Exercises!BI51,"")</f>
        <v/>
      </c>
      <c r="AO50" s="31" t="str">
        <f>IF(LEN(_DB_Exercises!BJ51)&gt;0,_DB_Exercises!BJ51,"")</f>
        <v/>
      </c>
      <c r="AP50" s="31" t="str">
        <f>IF(LEN(_DB_Exercises!BK51)&gt;0,_DB_Exercises!BK51,"")</f>
        <v/>
      </c>
      <c r="AQ50" s="31" t="str">
        <f>IF(LEN(_DB_Exercises!BL51)&gt;0,_DB_Exercises!BL51,"")</f>
        <v/>
      </c>
      <c r="AR50" s="31" t="str">
        <f>IF(LEN(_DB_Exercises!BM51)&gt;0,_DB_Exercises!BM51,"")</f>
        <v/>
      </c>
    </row>
    <row r="51" spans="1:44" x14ac:dyDescent="0.25">
      <c r="A51" s="11">
        <f>IF(LEN(_DB_Exercises!A52)&gt;0,_DB_Exercises!A52,"")</f>
        <v>2038</v>
      </c>
      <c r="B51" s="14" t="str">
        <f>IF(LEN(_DB_Exercises!K52)&gt;0,_DB_Exercises!K52,"")</f>
        <v>Do the star  Beginner</v>
      </c>
      <c r="C51" s="31" t="str">
        <f>IF(LEN(_DB_Exercises!X52)&gt;0,_DB_Exercises!X52,"")</f>
        <v/>
      </c>
      <c r="D51" s="31" t="str">
        <f>IF(LEN(_DB_Exercises!Y52)&gt;0,_DB_Exercises!Y52,"")</f>
        <v/>
      </c>
      <c r="E51" s="31" t="str">
        <f>IF(LEN(_DB_Exercises!Z52)&gt;0,_DB_Exercises!Z52,"")</f>
        <v/>
      </c>
      <c r="F51" s="31" t="str">
        <f>IF(LEN(_DB_Exercises!AA52)&gt;0,_DB_Exercises!AA52,"")</f>
        <v/>
      </c>
      <c r="G51" s="31" t="str">
        <f>IF(LEN(_DB_Exercises!AB52)&gt;0,_DB_Exercises!AB52,"")</f>
        <v/>
      </c>
      <c r="H51" s="31" t="str">
        <f>IF(LEN(_DB_Exercises!AC52)&gt;0,_DB_Exercises!AC52,"")</f>
        <v/>
      </c>
      <c r="I51" s="31" t="str">
        <f>IF(LEN(_DB_Exercises!AD52)&gt;0,_DB_Exercises!AD52,"")</f>
        <v/>
      </c>
      <c r="J51" s="31" t="str">
        <f>IF(LEN(_DB_Exercises!AE52)&gt;0,_DB_Exercises!AE52,"")</f>
        <v/>
      </c>
      <c r="K51" s="31" t="str">
        <f>IF(LEN(_DB_Exercises!AF52)&gt;0,_DB_Exercises!AF52,"")</f>
        <v/>
      </c>
      <c r="L51" s="31" t="str">
        <f>IF(LEN(_DB_Exercises!AG52)&gt;0,_DB_Exercises!AG52,"")</f>
        <v/>
      </c>
      <c r="M51" s="31" t="str">
        <f>IF(LEN(_DB_Exercises!AH52)&gt;0,_DB_Exercises!AH52,"")</f>
        <v/>
      </c>
      <c r="N51" s="31" t="str">
        <f>IF(LEN(_DB_Exercises!AI52)&gt;0,_DB_Exercises!AI52,"")</f>
        <v/>
      </c>
      <c r="O51" s="31" t="str">
        <f>IF(LEN(_DB_Exercises!AJ52)&gt;0,_DB_Exercises!AJ52,"")</f>
        <v/>
      </c>
      <c r="P51" s="31" t="str">
        <f>IF(LEN(_DB_Exercises!AK52)&gt;0,_DB_Exercises!AK52,"")</f>
        <v/>
      </c>
      <c r="Q51" s="31" t="str">
        <f>IF(LEN(_DB_Exercises!AL52)&gt;0,_DB_Exercises!AL52,"")</f>
        <v/>
      </c>
      <c r="R51" s="31" t="str">
        <f>IF(LEN(_DB_Exercises!AM52)&gt;0,_DB_Exercises!AM52,"")</f>
        <v/>
      </c>
      <c r="S51" s="31" t="str">
        <f>IF(LEN(_DB_Exercises!AN52)&gt;0,_DB_Exercises!AN52,"")</f>
        <v/>
      </c>
      <c r="T51" s="31" t="str">
        <f>IF(LEN(_DB_Exercises!AO52)&gt;0,_DB_Exercises!AO52,"")</f>
        <v/>
      </c>
      <c r="U51" s="31" t="str">
        <f>IF(LEN(_DB_Exercises!AP52)&gt;0,_DB_Exercises!AP52,"")</f>
        <v/>
      </c>
      <c r="V51" s="31" t="str">
        <f>IF(LEN(_DB_Exercises!AQ52)&gt;0,_DB_Exercises!AQ52,"")</f>
        <v/>
      </c>
      <c r="W51" s="31" t="str">
        <f>IF(LEN(_DB_Exercises!AR52)&gt;0,_DB_Exercises!AR52,"")</f>
        <v/>
      </c>
      <c r="X51" s="31" t="str">
        <f>IF(LEN(_DB_Exercises!AS52)&gt;0,_DB_Exercises!AS52,"")</f>
        <v/>
      </c>
      <c r="Y51" s="31" t="str">
        <f>IF(LEN(_DB_Exercises!AT52)&gt;0,_DB_Exercises!AT52,"")</f>
        <v/>
      </c>
      <c r="Z51" s="31" t="str">
        <f>IF(LEN(_DB_Exercises!AU52)&gt;0,_DB_Exercises!AU52,"")</f>
        <v/>
      </c>
      <c r="AA51" s="31" t="str">
        <f>IF(LEN(_DB_Exercises!AV52)&gt;0,_DB_Exercises!AV52,"")</f>
        <v/>
      </c>
      <c r="AB51" s="31" t="str">
        <f>IF(LEN(_DB_Exercises!AW52)&gt;0,_DB_Exercises!AW52,"")</f>
        <v/>
      </c>
      <c r="AC51" s="31" t="str">
        <f>IF(LEN(_DB_Exercises!AX52)&gt;0,_DB_Exercises!AX52,"")</f>
        <v/>
      </c>
      <c r="AD51" s="31" t="str">
        <f>IF(LEN(_DB_Exercises!AY52)&gt;0,_DB_Exercises!AY52,"")</f>
        <v/>
      </c>
      <c r="AE51" s="31" t="str">
        <f>IF(LEN(_DB_Exercises!AZ52)&gt;0,_DB_Exercises!AZ52,"")</f>
        <v/>
      </c>
      <c r="AF51" s="31" t="str">
        <f>IF(LEN(_DB_Exercises!BA52)&gt;0,_DB_Exercises!BA52,"")</f>
        <v/>
      </c>
      <c r="AG51" s="31" t="str">
        <f>IF(LEN(_DB_Exercises!BB52)&gt;0,_DB_Exercises!BB52,"")</f>
        <v/>
      </c>
      <c r="AH51" s="31" t="str">
        <f>IF(LEN(_DB_Exercises!BC52)&gt;0,_DB_Exercises!BC52,"")</f>
        <v/>
      </c>
      <c r="AI51" s="31" t="str">
        <f>IF(LEN(_DB_Exercises!BD52)&gt;0,_DB_Exercises!BD52,"")</f>
        <v/>
      </c>
      <c r="AJ51" s="31" t="str">
        <f>IF(LEN(_DB_Exercises!BE52)&gt;0,_DB_Exercises!BE52,"")</f>
        <v/>
      </c>
      <c r="AK51" s="31" t="str">
        <f>IF(LEN(_DB_Exercises!BF52)&gt;0,_DB_Exercises!BF52,"")</f>
        <v/>
      </c>
      <c r="AL51" s="31" t="str">
        <f>IF(LEN(_DB_Exercises!BG52)&gt;0,_DB_Exercises!BG52,"")</f>
        <v/>
      </c>
      <c r="AM51" s="31" t="str">
        <f>IF(LEN(_DB_Exercises!BH52)&gt;0,_DB_Exercises!BH52,"")</f>
        <v/>
      </c>
      <c r="AN51" s="31" t="str">
        <f>IF(LEN(_DB_Exercises!BI52)&gt;0,_DB_Exercises!BI52,"")</f>
        <v/>
      </c>
      <c r="AO51" s="31" t="str">
        <f>IF(LEN(_DB_Exercises!BJ52)&gt;0,_DB_Exercises!BJ52,"")</f>
        <v/>
      </c>
      <c r="AP51" s="31" t="str">
        <f>IF(LEN(_DB_Exercises!BK52)&gt;0,_DB_Exercises!BK52,"")</f>
        <v/>
      </c>
      <c r="AQ51" s="31" t="str">
        <f>IF(LEN(_DB_Exercises!BL52)&gt;0,_DB_Exercises!BL52,"")</f>
        <v/>
      </c>
      <c r="AR51" s="31" t="str">
        <f>IF(LEN(_DB_Exercises!BM52)&gt;0,_DB_Exercises!BM52,"")</f>
        <v/>
      </c>
    </row>
    <row r="52" spans="1:44" x14ac:dyDescent="0.25">
      <c r="A52" s="11">
        <f>IF(LEN(_DB_Exercises!A53)&gt;0,_DB_Exercises!A53,"")</f>
        <v>2039</v>
      </c>
      <c r="B52" s="14" t="str">
        <f>IF(LEN(_DB_Exercises!K53)&gt;0,_DB_Exercises!K53,"")</f>
        <v>Do the star  Intermediate</v>
      </c>
      <c r="C52" s="31" t="str">
        <f>IF(LEN(_DB_Exercises!X53)&gt;0,_DB_Exercises!X53,"")</f>
        <v/>
      </c>
      <c r="D52" s="31" t="str">
        <f>IF(LEN(_DB_Exercises!Y53)&gt;0,_DB_Exercises!Y53,"")</f>
        <v/>
      </c>
      <c r="E52" s="31" t="str">
        <f>IF(LEN(_DB_Exercises!Z53)&gt;0,_DB_Exercises!Z53,"")</f>
        <v/>
      </c>
      <c r="F52" s="31" t="str">
        <f>IF(LEN(_DB_Exercises!AA53)&gt;0,_DB_Exercises!AA53,"")</f>
        <v/>
      </c>
      <c r="G52" s="31" t="str">
        <f>IF(LEN(_DB_Exercises!AB53)&gt;0,_DB_Exercises!AB53,"")</f>
        <v/>
      </c>
      <c r="H52" s="31" t="str">
        <f>IF(LEN(_DB_Exercises!AC53)&gt;0,_DB_Exercises!AC53,"")</f>
        <v/>
      </c>
      <c r="I52" s="31" t="str">
        <f>IF(LEN(_DB_Exercises!AD53)&gt;0,_DB_Exercises!AD53,"")</f>
        <v/>
      </c>
      <c r="J52" s="31" t="str">
        <f>IF(LEN(_DB_Exercises!AE53)&gt;0,_DB_Exercises!AE53,"")</f>
        <v/>
      </c>
      <c r="K52" s="31" t="str">
        <f>IF(LEN(_DB_Exercises!AF53)&gt;0,_DB_Exercises!AF53,"")</f>
        <v/>
      </c>
      <c r="L52" s="31" t="str">
        <f>IF(LEN(_DB_Exercises!AG53)&gt;0,_DB_Exercises!AG53,"")</f>
        <v/>
      </c>
      <c r="M52" s="31" t="str">
        <f>IF(LEN(_DB_Exercises!AH53)&gt;0,_DB_Exercises!AH53,"")</f>
        <v/>
      </c>
      <c r="N52" s="31" t="str">
        <f>IF(LEN(_DB_Exercises!AI53)&gt;0,_DB_Exercises!AI53,"")</f>
        <v/>
      </c>
      <c r="O52" s="31" t="str">
        <f>IF(LEN(_DB_Exercises!AJ53)&gt;0,_DB_Exercises!AJ53,"")</f>
        <v/>
      </c>
      <c r="P52" s="31" t="str">
        <f>IF(LEN(_DB_Exercises!AK53)&gt;0,_DB_Exercises!AK53,"")</f>
        <v/>
      </c>
      <c r="Q52" s="31" t="str">
        <f>IF(LEN(_DB_Exercises!AL53)&gt;0,_DB_Exercises!AL53,"")</f>
        <v/>
      </c>
      <c r="R52" s="31" t="str">
        <f>IF(LEN(_DB_Exercises!AM53)&gt;0,_DB_Exercises!AM53,"")</f>
        <v/>
      </c>
      <c r="S52" s="31" t="str">
        <f>IF(LEN(_DB_Exercises!AN53)&gt;0,_DB_Exercises!AN53,"")</f>
        <v/>
      </c>
      <c r="T52" s="31" t="str">
        <f>IF(LEN(_DB_Exercises!AO53)&gt;0,_DB_Exercises!AO53,"")</f>
        <v/>
      </c>
      <c r="U52" s="31" t="str">
        <f>IF(LEN(_DB_Exercises!AP53)&gt;0,_DB_Exercises!AP53,"")</f>
        <v/>
      </c>
      <c r="V52" s="31" t="str">
        <f>IF(LEN(_DB_Exercises!AQ53)&gt;0,_DB_Exercises!AQ53,"")</f>
        <v/>
      </c>
      <c r="W52" s="31" t="str">
        <f>IF(LEN(_DB_Exercises!AR53)&gt;0,_DB_Exercises!AR53,"")</f>
        <v/>
      </c>
      <c r="X52" s="31" t="str">
        <f>IF(LEN(_DB_Exercises!AS53)&gt;0,_DB_Exercises!AS53,"")</f>
        <v/>
      </c>
      <c r="Y52" s="31" t="str">
        <f>IF(LEN(_DB_Exercises!AT53)&gt;0,_DB_Exercises!AT53,"")</f>
        <v/>
      </c>
      <c r="Z52" s="31" t="str">
        <f>IF(LEN(_DB_Exercises!AU53)&gt;0,_DB_Exercises!AU53,"")</f>
        <v/>
      </c>
      <c r="AA52" s="31" t="str">
        <f>IF(LEN(_DB_Exercises!AV53)&gt;0,_DB_Exercises!AV53,"")</f>
        <v/>
      </c>
      <c r="AB52" s="31" t="str">
        <f>IF(LEN(_DB_Exercises!AW53)&gt;0,_DB_Exercises!AW53,"")</f>
        <v/>
      </c>
      <c r="AC52" s="31" t="str">
        <f>IF(LEN(_DB_Exercises!AX53)&gt;0,_DB_Exercises!AX53,"")</f>
        <v/>
      </c>
      <c r="AD52" s="31" t="str">
        <f>IF(LEN(_DB_Exercises!AY53)&gt;0,_DB_Exercises!AY53,"")</f>
        <v/>
      </c>
      <c r="AE52" s="31" t="str">
        <f>IF(LEN(_DB_Exercises!AZ53)&gt;0,_DB_Exercises!AZ53,"")</f>
        <v/>
      </c>
      <c r="AF52" s="31" t="str">
        <f>IF(LEN(_DB_Exercises!BA53)&gt;0,_DB_Exercises!BA53,"")</f>
        <v/>
      </c>
      <c r="AG52" s="31" t="str">
        <f>IF(LEN(_DB_Exercises!BB53)&gt;0,_DB_Exercises!BB53,"")</f>
        <v/>
      </c>
      <c r="AH52" s="31" t="str">
        <f>IF(LEN(_DB_Exercises!BC53)&gt;0,_DB_Exercises!BC53,"")</f>
        <v/>
      </c>
      <c r="AI52" s="31" t="str">
        <f>IF(LEN(_DB_Exercises!BD53)&gt;0,_DB_Exercises!BD53,"")</f>
        <v/>
      </c>
      <c r="AJ52" s="31" t="str">
        <f>IF(LEN(_DB_Exercises!BE53)&gt;0,_DB_Exercises!BE53,"")</f>
        <v/>
      </c>
      <c r="AK52" s="31" t="str">
        <f>IF(LEN(_DB_Exercises!BF53)&gt;0,_DB_Exercises!BF53,"")</f>
        <v/>
      </c>
      <c r="AL52" s="31" t="str">
        <f>IF(LEN(_DB_Exercises!BG53)&gt;0,_DB_Exercises!BG53,"")</f>
        <v/>
      </c>
      <c r="AM52" s="31" t="str">
        <f>IF(LEN(_DB_Exercises!BH53)&gt;0,_DB_Exercises!BH53,"")</f>
        <v/>
      </c>
      <c r="AN52" s="31" t="str">
        <f>IF(LEN(_DB_Exercises!BI53)&gt;0,_DB_Exercises!BI53,"")</f>
        <v/>
      </c>
      <c r="AO52" s="31" t="str">
        <f>IF(LEN(_DB_Exercises!BJ53)&gt;0,_DB_Exercises!BJ53,"")</f>
        <v/>
      </c>
      <c r="AP52" s="31" t="str">
        <f>IF(LEN(_DB_Exercises!BK53)&gt;0,_DB_Exercises!BK53,"")</f>
        <v/>
      </c>
      <c r="AQ52" s="31" t="str">
        <f>IF(LEN(_DB_Exercises!BL53)&gt;0,_DB_Exercises!BL53,"")</f>
        <v/>
      </c>
      <c r="AR52" s="31" t="str">
        <f>IF(LEN(_DB_Exercises!BM53)&gt;0,_DB_Exercises!BM53,"")</f>
        <v/>
      </c>
    </row>
    <row r="53" spans="1:44" x14ac:dyDescent="0.25">
      <c r="A53" s="11">
        <f>IF(LEN(_DB_Exercises!A54)&gt;0,_DB_Exercises!A54,"")</f>
        <v>2040</v>
      </c>
      <c r="B53" s="14" t="str">
        <f>IF(LEN(_DB_Exercises!K54)&gt;0,_DB_Exercises!K54,"")</f>
        <v>Do the star  Expert</v>
      </c>
      <c r="C53" s="31" t="str">
        <f>IF(LEN(_DB_Exercises!X54)&gt;0,_DB_Exercises!X54,"")</f>
        <v/>
      </c>
      <c r="D53" s="31" t="str">
        <f>IF(LEN(_DB_Exercises!Y54)&gt;0,_DB_Exercises!Y54,"")</f>
        <v/>
      </c>
      <c r="E53" s="31" t="str">
        <f>IF(LEN(_DB_Exercises!Z54)&gt;0,_DB_Exercises!Z54,"")</f>
        <v/>
      </c>
      <c r="F53" s="31" t="str">
        <f>IF(LEN(_DB_Exercises!AA54)&gt;0,_DB_Exercises!AA54,"")</f>
        <v/>
      </c>
      <c r="G53" s="31" t="str">
        <f>IF(LEN(_DB_Exercises!AB54)&gt;0,_DB_Exercises!AB54,"")</f>
        <v/>
      </c>
      <c r="H53" s="31" t="str">
        <f>IF(LEN(_DB_Exercises!AC54)&gt;0,_DB_Exercises!AC54,"")</f>
        <v/>
      </c>
      <c r="I53" s="31" t="str">
        <f>IF(LEN(_DB_Exercises!AD54)&gt;0,_DB_Exercises!AD54,"")</f>
        <v/>
      </c>
      <c r="J53" s="31" t="str">
        <f>IF(LEN(_DB_Exercises!AE54)&gt;0,_DB_Exercises!AE54,"")</f>
        <v/>
      </c>
      <c r="K53" s="31" t="str">
        <f>IF(LEN(_DB_Exercises!AF54)&gt;0,_DB_Exercises!AF54,"")</f>
        <v/>
      </c>
      <c r="L53" s="31" t="str">
        <f>IF(LEN(_DB_Exercises!AG54)&gt;0,_DB_Exercises!AG54,"")</f>
        <v/>
      </c>
      <c r="M53" s="31" t="str">
        <f>IF(LEN(_DB_Exercises!AH54)&gt;0,_DB_Exercises!AH54,"")</f>
        <v/>
      </c>
      <c r="N53" s="31" t="str">
        <f>IF(LEN(_DB_Exercises!AI54)&gt;0,_DB_Exercises!AI54,"")</f>
        <v/>
      </c>
      <c r="O53" s="31" t="str">
        <f>IF(LEN(_DB_Exercises!AJ54)&gt;0,_DB_Exercises!AJ54,"")</f>
        <v/>
      </c>
      <c r="P53" s="31" t="str">
        <f>IF(LEN(_DB_Exercises!AK54)&gt;0,_DB_Exercises!AK54,"")</f>
        <v/>
      </c>
      <c r="Q53" s="31" t="str">
        <f>IF(LEN(_DB_Exercises!AL54)&gt;0,_DB_Exercises!AL54,"")</f>
        <v/>
      </c>
      <c r="R53" s="31" t="str">
        <f>IF(LEN(_DB_Exercises!AM54)&gt;0,_DB_Exercises!AM54,"")</f>
        <v/>
      </c>
      <c r="S53" s="31" t="str">
        <f>IF(LEN(_DB_Exercises!AN54)&gt;0,_DB_Exercises!AN54,"")</f>
        <v/>
      </c>
      <c r="T53" s="31" t="str">
        <f>IF(LEN(_DB_Exercises!AO54)&gt;0,_DB_Exercises!AO54,"")</f>
        <v/>
      </c>
      <c r="U53" s="31" t="str">
        <f>IF(LEN(_DB_Exercises!AP54)&gt;0,_DB_Exercises!AP54,"")</f>
        <v/>
      </c>
      <c r="V53" s="31" t="str">
        <f>IF(LEN(_DB_Exercises!AQ54)&gt;0,_DB_Exercises!AQ54,"")</f>
        <v/>
      </c>
      <c r="W53" s="31" t="str">
        <f>IF(LEN(_DB_Exercises!AR54)&gt;0,_DB_Exercises!AR54,"")</f>
        <v/>
      </c>
      <c r="X53" s="31" t="str">
        <f>IF(LEN(_DB_Exercises!AS54)&gt;0,_DB_Exercises!AS54,"")</f>
        <v/>
      </c>
      <c r="Y53" s="31" t="str">
        <f>IF(LEN(_DB_Exercises!AT54)&gt;0,_DB_Exercises!AT54,"")</f>
        <v/>
      </c>
      <c r="Z53" s="31" t="str">
        <f>IF(LEN(_DB_Exercises!AU54)&gt;0,_DB_Exercises!AU54,"")</f>
        <v/>
      </c>
      <c r="AA53" s="31" t="str">
        <f>IF(LEN(_DB_Exercises!AV54)&gt;0,_DB_Exercises!AV54,"")</f>
        <v/>
      </c>
      <c r="AB53" s="31" t="str">
        <f>IF(LEN(_DB_Exercises!AW54)&gt;0,_DB_Exercises!AW54,"")</f>
        <v/>
      </c>
      <c r="AC53" s="31" t="str">
        <f>IF(LEN(_DB_Exercises!AX54)&gt;0,_DB_Exercises!AX54,"")</f>
        <v/>
      </c>
      <c r="AD53" s="31" t="str">
        <f>IF(LEN(_DB_Exercises!AY54)&gt;0,_DB_Exercises!AY54,"")</f>
        <v/>
      </c>
      <c r="AE53" s="31" t="str">
        <f>IF(LEN(_DB_Exercises!AZ54)&gt;0,_DB_Exercises!AZ54,"")</f>
        <v/>
      </c>
      <c r="AF53" s="31" t="str">
        <f>IF(LEN(_DB_Exercises!BA54)&gt;0,_DB_Exercises!BA54,"")</f>
        <v/>
      </c>
      <c r="AG53" s="31" t="str">
        <f>IF(LEN(_DB_Exercises!BB54)&gt;0,_DB_Exercises!BB54,"")</f>
        <v/>
      </c>
      <c r="AH53" s="31" t="str">
        <f>IF(LEN(_DB_Exercises!BC54)&gt;0,_DB_Exercises!BC54,"")</f>
        <v/>
      </c>
      <c r="AI53" s="31" t="str">
        <f>IF(LEN(_DB_Exercises!BD54)&gt;0,_DB_Exercises!BD54,"")</f>
        <v/>
      </c>
      <c r="AJ53" s="31" t="str">
        <f>IF(LEN(_DB_Exercises!BE54)&gt;0,_DB_Exercises!BE54,"")</f>
        <v/>
      </c>
      <c r="AK53" s="31" t="str">
        <f>IF(LEN(_DB_Exercises!BF54)&gt;0,_DB_Exercises!BF54,"")</f>
        <v/>
      </c>
      <c r="AL53" s="31" t="str">
        <f>IF(LEN(_DB_Exercises!BG54)&gt;0,_DB_Exercises!BG54,"")</f>
        <v/>
      </c>
      <c r="AM53" s="31" t="str">
        <f>IF(LEN(_DB_Exercises!BH54)&gt;0,_DB_Exercises!BH54,"")</f>
        <v/>
      </c>
      <c r="AN53" s="31" t="str">
        <f>IF(LEN(_DB_Exercises!BI54)&gt;0,_DB_Exercises!BI54,"")</f>
        <v/>
      </c>
      <c r="AO53" s="31" t="str">
        <f>IF(LEN(_DB_Exercises!BJ54)&gt;0,_DB_Exercises!BJ54,"")</f>
        <v/>
      </c>
      <c r="AP53" s="31" t="str">
        <f>IF(LEN(_DB_Exercises!BK54)&gt;0,_DB_Exercises!BK54,"")</f>
        <v/>
      </c>
      <c r="AQ53" s="31" t="str">
        <f>IF(LEN(_DB_Exercises!BL54)&gt;0,_DB_Exercises!BL54,"")</f>
        <v/>
      </c>
      <c r="AR53" s="31" t="str">
        <f>IF(LEN(_DB_Exercises!BM54)&gt;0,_DB_Exercises!BM54,"")</f>
        <v/>
      </c>
    </row>
    <row r="54" spans="1:44" x14ac:dyDescent="0.25">
      <c r="A54" s="11">
        <f>IF(LEN(_DB_Exercises!A55)&gt;0,_DB_Exercises!A55,"")</f>
        <v>2041</v>
      </c>
      <c r="B54" s="14" t="str">
        <f>IF(LEN(_DB_Exercises!K55)&gt;0,_DB_Exercises!K55,"")</f>
        <v>Do the star  Ultra</v>
      </c>
      <c r="C54" s="31" t="str">
        <f>IF(LEN(_DB_Exercises!X55)&gt;0,_DB_Exercises!X55,"")</f>
        <v/>
      </c>
      <c r="D54" s="31" t="str">
        <f>IF(LEN(_DB_Exercises!Y55)&gt;0,_DB_Exercises!Y55,"")</f>
        <v/>
      </c>
      <c r="E54" s="31" t="str">
        <f>IF(LEN(_DB_Exercises!Z55)&gt;0,_DB_Exercises!Z55,"")</f>
        <v/>
      </c>
      <c r="F54" s="31" t="str">
        <f>IF(LEN(_DB_Exercises!AA55)&gt;0,_DB_Exercises!AA55,"")</f>
        <v/>
      </c>
      <c r="G54" s="31" t="str">
        <f>IF(LEN(_DB_Exercises!AB55)&gt;0,_DB_Exercises!AB55,"")</f>
        <v/>
      </c>
      <c r="H54" s="31" t="str">
        <f>IF(LEN(_DB_Exercises!AC55)&gt;0,_DB_Exercises!AC55,"")</f>
        <v/>
      </c>
      <c r="I54" s="31" t="str">
        <f>IF(LEN(_DB_Exercises!AD55)&gt;0,_DB_Exercises!AD55,"")</f>
        <v/>
      </c>
      <c r="J54" s="31" t="str">
        <f>IF(LEN(_DB_Exercises!AE55)&gt;0,_DB_Exercises!AE55,"")</f>
        <v/>
      </c>
      <c r="K54" s="31" t="str">
        <f>IF(LEN(_DB_Exercises!AF55)&gt;0,_DB_Exercises!AF55,"")</f>
        <v/>
      </c>
      <c r="L54" s="31" t="str">
        <f>IF(LEN(_DB_Exercises!AG55)&gt;0,_DB_Exercises!AG55,"")</f>
        <v/>
      </c>
      <c r="M54" s="31" t="str">
        <f>IF(LEN(_DB_Exercises!AH55)&gt;0,_DB_Exercises!AH55,"")</f>
        <v/>
      </c>
      <c r="N54" s="31" t="str">
        <f>IF(LEN(_DB_Exercises!AI55)&gt;0,_DB_Exercises!AI55,"")</f>
        <v/>
      </c>
      <c r="O54" s="31" t="str">
        <f>IF(LEN(_DB_Exercises!AJ55)&gt;0,_DB_Exercises!AJ55,"")</f>
        <v/>
      </c>
      <c r="P54" s="31" t="str">
        <f>IF(LEN(_DB_Exercises!AK55)&gt;0,_DB_Exercises!AK55,"")</f>
        <v/>
      </c>
      <c r="Q54" s="31" t="str">
        <f>IF(LEN(_DB_Exercises!AL55)&gt;0,_DB_Exercises!AL55,"")</f>
        <v/>
      </c>
      <c r="R54" s="31" t="str">
        <f>IF(LEN(_DB_Exercises!AM55)&gt;0,_DB_Exercises!AM55,"")</f>
        <v/>
      </c>
      <c r="S54" s="31" t="str">
        <f>IF(LEN(_DB_Exercises!AN55)&gt;0,_DB_Exercises!AN55,"")</f>
        <v/>
      </c>
      <c r="T54" s="31" t="str">
        <f>IF(LEN(_DB_Exercises!AO55)&gt;0,_DB_Exercises!AO55,"")</f>
        <v/>
      </c>
      <c r="U54" s="31" t="str">
        <f>IF(LEN(_DB_Exercises!AP55)&gt;0,_DB_Exercises!AP55,"")</f>
        <v/>
      </c>
      <c r="V54" s="31" t="str">
        <f>IF(LEN(_DB_Exercises!AQ55)&gt;0,_DB_Exercises!AQ55,"")</f>
        <v/>
      </c>
      <c r="W54" s="31" t="str">
        <f>IF(LEN(_DB_Exercises!AR55)&gt;0,_DB_Exercises!AR55,"")</f>
        <v/>
      </c>
      <c r="X54" s="31" t="str">
        <f>IF(LEN(_DB_Exercises!AS55)&gt;0,_DB_Exercises!AS55,"")</f>
        <v/>
      </c>
      <c r="Y54" s="31" t="str">
        <f>IF(LEN(_DB_Exercises!AT55)&gt;0,_DB_Exercises!AT55,"")</f>
        <v/>
      </c>
      <c r="Z54" s="31" t="str">
        <f>IF(LEN(_DB_Exercises!AU55)&gt;0,_DB_Exercises!AU55,"")</f>
        <v/>
      </c>
      <c r="AA54" s="31" t="str">
        <f>IF(LEN(_DB_Exercises!AV55)&gt;0,_DB_Exercises!AV55,"")</f>
        <v/>
      </c>
      <c r="AB54" s="31" t="str">
        <f>IF(LEN(_DB_Exercises!AW55)&gt;0,_DB_Exercises!AW55,"")</f>
        <v/>
      </c>
      <c r="AC54" s="31" t="str">
        <f>IF(LEN(_DB_Exercises!AX55)&gt;0,_DB_Exercises!AX55,"")</f>
        <v/>
      </c>
      <c r="AD54" s="31" t="str">
        <f>IF(LEN(_DB_Exercises!AY55)&gt;0,_DB_Exercises!AY55,"")</f>
        <v/>
      </c>
      <c r="AE54" s="31" t="str">
        <f>IF(LEN(_DB_Exercises!AZ55)&gt;0,_DB_Exercises!AZ55,"")</f>
        <v/>
      </c>
      <c r="AF54" s="31" t="str">
        <f>IF(LEN(_DB_Exercises!BA55)&gt;0,_DB_Exercises!BA55,"")</f>
        <v/>
      </c>
      <c r="AG54" s="31" t="str">
        <f>IF(LEN(_DB_Exercises!BB55)&gt;0,_DB_Exercises!BB55,"")</f>
        <v/>
      </c>
      <c r="AH54" s="31" t="str">
        <f>IF(LEN(_DB_Exercises!BC55)&gt;0,_DB_Exercises!BC55,"")</f>
        <v/>
      </c>
      <c r="AI54" s="31" t="str">
        <f>IF(LEN(_DB_Exercises!BD55)&gt;0,_DB_Exercises!BD55,"")</f>
        <v/>
      </c>
      <c r="AJ54" s="31" t="str">
        <f>IF(LEN(_DB_Exercises!BE55)&gt;0,_DB_Exercises!BE55,"")</f>
        <v/>
      </c>
      <c r="AK54" s="31" t="str">
        <f>IF(LEN(_DB_Exercises!BF55)&gt;0,_DB_Exercises!BF55,"")</f>
        <v/>
      </c>
      <c r="AL54" s="31" t="str">
        <f>IF(LEN(_DB_Exercises!BG55)&gt;0,_DB_Exercises!BG55,"")</f>
        <v/>
      </c>
      <c r="AM54" s="31" t="str">
        <f>IF(LEN(_DB_Exercises!BH55)&gt;0,_DB_Exercises!BH55,"")</f>
        <v/>
      </c>
      <c r="AN54" s="31" t="str">
        <f>IF(LEN(_DB_Exercises!BI55)&gt;0,_DB_Exercises!BI55,"")</f>
        <v/>
      </c>
      <c r="AO54" s="31" t="str">
        <f>IF(LEN(_DB_Exercises!BJ55)&gt;0,_DB_Exercises!BJ55,"")</f>
        <v/>
      </c>
      <c r="AP54" s="31" t="str">
        <f>IF(LEN(_DB_Exercises!BK55)&gt;0,_DB_Exercises!BK55,"")</f>
        <v/>
      </c>
      <c r="AQ54" s="31" t="str">
        <f>IF(LEN(_DB_Exercises!BL55)&gt;0,_DB_Exercises!BL55,"")</f>
        <v/>
      </c>
      <c r="AR54" s="31" t="str">
        <f>IF(LEN(_DB_Exercises!BM55)&gt;0,_DB_Exercises!BM55,"")</f>
        <v/>
      </c>
    </row>
    <row r="55" spans="1:44" x14ac:dyDescent="0.25">
      <c r="A55" s="11">
        <f>IF(LEN(_DB_Exercises!A56)&gt;0,_DB_Exercises!A56,"")</f>
        <v>2044</v>
      </c>
      <c r="B55" s="14" t="str">
        <f>IF(LEN(_DB_Exercises!K56)&gt;0,_DB_Exercises!K56,"")</f>
        <v>1,5 m  15 points</v>
      </c>
      <c r="C55" s="31">
        <f>IF(LEN(_DB_Exercises!X56)&gt;0,_DB_Exercises!X56,"")</f>
        <v>10</v>
      </c>
      <c r="D55" s="31">
        <f>IF(LEN(_DB_Exercises!Y56)&gt;0,_DB_Exercises!Y56,"")</f>
        <v>10.230769231915474</v>
      </c>
      <c r="E55" s="31">
        <f>IF(LEN(_DB_Exercises!Z56)&gt;0,_DB_Exercises!Z56,"")</f>
        <v>10.461538463830948</v>
      </c>
      <c r="F55" s="31">
        <f>IF(LEN(_DB_Exercises!AA56)&gt;0,_DB_Exercises!AA56,"")</f>
        <v>10.692307695746422</v>
      </c>
      <c r="G55" s="31">
        <f>IF(LEN(_DB_Exercises!AB56)&gt;0,_DB_Exercises!AB56,"")</f>
        <v>10.923076927661896</v>
      </c>
      <c r="H55" s="31">
        <f>IF(LEN(_DB_Exercises!AC56)&gt;0,_DB_Exercises!AC56,"")</f>
        <v>11.15384615957737</v>
      </c>
      <c r="I55" s="31">
        <f>IF(LEN(_DB_Exercises!AD56)&gt;0,_DB_Exercises!AD56,"")</f>
        <v>11.384615391492844</v>
      </c>
      <c r="J55" s="31">
        <f>IF(LEN(_DB_Exercises!AE56)&gt;0,_DB_Exercises!AE56,"")</f>
        <v>11.615384623408318</v>
      </c>
      <c r="K55" s="31">
        <f>IF(LEN(_DB_Exercises!AF56)&gt;0,_DB_Exercises!AF56,"")</f>
        <v>11.846153855323792</v>
      </c>
      <c r="L55" s="31">
        <f>IF(LEN(_DB_Exercises!AG56)&gt;0,_DB_Exercises!AG56,"")</f>
        <v>12.076923087239265</v>
      </c>
      <c r="M55" s="31">
        <f>IF(LEN(_DB_Exercises!AH56)&gt;0,_DB_Exercises!AH56,"")</f>
        <v>12.307692319154739</v>
      </c>
      <c r="N55" s="31">
        <f>IF(LEN(_DB_Exercises!AI56)&gt;0,_DB_Exercises!AI56,"")</f>
        <v>12.538461551070213</v>
      </c>
      <c r="O55" s="31">
        <f>IF(LEN(_DB_Exercises!AJ56)&gt;0,_DB_Exercises!AJ56,"")</f>
        <v>12.769230782985687</v>
      </c>
      <c r="P55" s="31">
        <f>IF(LEN(_DB_Exercises!AK56)&gt;0,_DB_Exercises!AK56,"")</f>
        <v>13</v>
      </c>
      <c r="Q55" s="31">
        <f>IF(LEN(_DB_Exercises!AL56)&gt;0,_DB_Exercises!AL56,"")</f>
        <v>13</v>
      </c>
      <c r="R55" s="31">
        <f>IF(LEN(_DB_Exercises!AM56)&gt;0,_DB_Exercises!AM56,"")</f>
        <v>13</v>
      </c>
      <c r="S55" s="31">
        <f>IF(LEN(_DB_Exercises!AN56)&gt;0,_DB_Exercises!AN56,"")</f>
        <v>13</v>
      </c>
      <c r="T55" s="31">
        <f>IF(LEN(_DB_Exercises!AO56)&gt;0,_DB_Exercises!AO56,"")</f>
        <v>13</v>
      </c>
      <c r="U55" s="31">
        <f>IF(LEN(_DB_Exercises!AP56)&gt;0,_DB_Exercises!AP56,"")</f>
        <v>14</v>
      </c>
      <c r="V55" s="31">
        <f>IF(LEN(_DB_Exercises!AQ56)&gt;0,_DB_Exercises!AQ56,"")</f>
        <v>14</v>
      </c>
      <c r="W55" s="31">
        <f>IF(LEN(_DB_Exercises!AR56)&gt;0,_DB_Exercises!AR56,"")</f>
        <v>14</v>
      </c>
      <c r="X55" s="31">
        <f>IF(LEN(_DB_Exercises!AS56)&gt;0,_DB_Exercises!AS56,"")</f>
        <v>14</v>
      </c>
      <c r="Y55" s="31">
        <f>IF(LEN(_DB_Exercises!AT56)&gt;0,_DB_Exercises!AT56,"")</f>
        <v>14</v>
      </c>
      <c r="Z55" s="31">
        <f>IF(LEN(_DB_Exercises!AU56)&gt;0,_DB_Exercises!AU56,"")</f>
        <v>14</v>
      </c>
      <c r="AA55" s="31">
        <f>IF(LEN(_DB_Exercises!AV56)&gt;0,_DB_Exercises!AV56,"")</f>
        <v>14</v>
      </c>
      <c r="AB55" s="31">
        <f>IF(LEN(_DB_Exercises!AW56)&gt;0,_DB_Exercises!AW56,"")</f>
        <v>15</v>
      </c>
      <c r="AC55" s="31">
        <f>IF(LEN(_DB_Exercises!AX56)&gt;0,_DB_Exercises!AX56,"")</f>
        <v>15</v>
      </c>
      <c r="AD55" s="31">
        <f>IF(LEN(_DB_Exercises!AY56)&gt;0,_DB_Exercises!AY56,"")</f>
        <v>16</v>
      </c>
      <c r="AE55" s="31">
        <f>IF(LEN(_DB_Exercises!AZ56)&gt;0,_DB_Exercises!AZ56,"")</f>
        <v>16</v>
      </c>
      <c r="AF55" s="31">
        <f>IF(LEN(_DB_Exercises!BA56)&gt;0,_DB_Exercises!BA56,"")</f>
        <v>16</v>
      </c>
      <c r="AG55" s="31">
        <f>IF(LEN(_DB_Exercises!BB56)&gt;0,_DB_Exercises!BB56,"")</f>
        <v>17</v>
      </c>
      <c r="AH55" s="31">
        <f>IF(LEN(_DB_Exercises!BC56)&gt;0,_DB_Exercises!BC56,"")</f>
        <v>17</v>
      </c>
      <c r="AI55" s="31">
        <f>IF(LEN(_DB_Exercises!BD56)&gt;0,_DB_Exercises!BD56,"")</f>
        <v>18</v>
      </c>
      <c r="AJ55" s="31">
        <f>IF(LEN(_DB_Exercises!BE56)&gt;0,_DB_Exercises!BE56,"")</f>
        <v>18</v>
      </c>
      <c r="AK55" s="31">
        <f>IF(LEN(_DB_Exercises!BF56)&gt;0,_DB_Exercises!BF56,"")</f>
        <v>19</v>
      </c>
      <c r="AL55" s="31">
        <f>IF(LEN(_DB_Exercises!BG56)&gt;0,_DB_Exercises!BG56,"")</f>
        <v>19</v>
      </c>
      <c r="AM55" s="31">
        <f>IF(LEN(_DB_Exercises!BH56)&gt;0,_DB_Exercises!BH56,"")</f>
        <v>20</v>
      </c>
      <c r="AN55" s="31">
        <f>IF(LEN(_DB_Exercises!BI56)&gt;0,_DB_Exercises!BI56,"")</f>
        <v>20</v>
      </c>
      <c r="AO55" s="31">
        <f>IF(LEN(_DB_Exercises!BJ56)&gt;0,_DB_Exercises!BJ56,"")</f>
        <v>21</v>
      </c>
      <c r="AP55" s="31">
        <f>IF(LEN(_DB_Exercises!BK56)&gt;0,_DB_Exercises!BK56,"")</f>
        <v>22</v>
      </c>
      <c r="AQ55" s="31">
        <f>IF(LEN(_DB_Exercises!BL56)&gt;0,_DB_Exercises!BL56,"")</f>
        <v>22</v>
      </c>
      <c r="AR55" s="31">
        <f>IF(LEN(_DB_Exercises!BM56)&gt;0,_DB_Exercises!BM56,"")</f>
        <v>23</v>
      </c>
    </row>
    <row r="56" spans="1:44" x14ac:dyDescent="0.25">
      <c r="A56" s="11">
        <f>IF(LEN(_DB_Exercises!A57)&gt;0,_DB_Exercises!A57,"")</f>
        <v>2045</v>
      </c>
      <c r="B56" s="14" t="str">
        <f>IF(LEN(_DB_Exercises!K57)&gt;0,_DB_Exercises!K57,"")</f>
        <v>3 m  10 points</v>
      </c>
      <c r="C56" s="31">
        <f>IF(LEN(_DB_Exercises!X57)&gt;0,_DB_Exercises!X57,"")</f>
        <v>11</v>
      </c>
      <c r="D56" s="31">
        <f>IF(LEN(_DB_Exercises!Y57)&gt;0,_DB_Exercises!Y57,"")</f>
        <v>12</v>
      </c>
      <c r="E56" s="31">
        <f>IF(LEN(_DB_Exercises!Z57)&gt;0,_DB_Exercises!Z57,"")</f>
        <v>13</v>
      </c>
      <c r="F56" s="31">
        <f>IF(LEN(_DB_Exercises!AA57)&gt;0,_DB_Exercises!AA57,"")</f>
        <v>14</v>
      </c>
      <c r="G56" s="31">
        <f>IF(LEN(_DB_Exercises!AB57)&gt;0,_DB_Exercises!AB57,"")</f>
        <v>15</v>
      </c>
      <c r="H56" s="31">
        <f>IF(LEN(_DB_Exercises!AC57)&gt;0,_DB_Exercises!AC57,"")</f>
        <v>16</v>
      </c>
      <c r="I56" s="31">
        <f>IF(LEN(_DB_Exercises!AD57)&gt;0,_DB_Exercises!AD57,"")</f>
        <v>17</v>
      </c>
      <c r="J56" s="31">
        <f>IF(LEN(_DB_Exercises!AE57)&gt;0,_DB_Exercises!AE57,"")</f>
        <v>18</v>
      </c>
      <c r="K56" s="31">
        <f>IF(LEN(_DB_Exercises!AF57)&gt;0,_DB_Exercises!AF57,"")</f>
        <v>19</v>
      </c>
      <c r="L56" s="31">
        <f>IF(LEN(_DB_Exercises!AG57)&gt;0,_DB_Exercises!AG57,"")</f>
        <v>20</v>
      </c>
      <c r="M56" s="31">
        <f>IF(LEN(_DB_Exercises!AH57)&gt;0,_DB_Exercises!AH57,"")</f>
        <v>21</v>
      </c>
      <c r="N56" s="31">
        <f>IF(LEN(_DB_Exercises!AI57)&gt;0,_DB_Exercises!AI57,"")</f>
        <v>22</v>
      </c>
      <c r="O56" s="31">
        <f>IF(LEN(_DB_Exercises!AJ57)&gt;0,_DB_Exercises!AJ57,"")</f>
        <v>23</v>
      </c>
      <c r="P56" s="31">
        <f>IF(LEN(_DB_Exercises!AK57)&gt;0,_DB_Exercises!AK57,"")</f>
        <v>24</v>
      </c>
      <c r="Q56" s="31">
        <f>IF(LEN(_DB_Exercises!AL57)&gt;0,_DB_Exercises!AL57,"")</f>
        <v>26</v>
      </c>
      <c r="R56" s="31">
        <f>IF(LEN(_DB_Exercises!AM57)&gt;0,_DB_Exercises!AM57,"")</f>
        <v>28</v>
      </c>
      <c r="S56" s="31">
        <f>IF(LEN(_DB_Exercises!AN57)&gt;0,_DB_Exercises!AN57,"")</f>
        <v>30</v>
      </c>
      <c r="T56" s="31">
        <f>IF(LEN(_DB_Exercises!AO57)&gt;0,_DB_Exercises!AO57,"")</f>
        <v>32</v>
      </c>
      <c r="U56" s="31">
        <f>IF(LEN(_DB_Exercises!AP57)&gt;0,_DB_Exercises!AP57,"")</f>
        <v>34</v>
      </c>
      <c r="V56" s="31">
        <f>IF(LEN(_DB_Exercises!AQ57)&gt;0,_DB_Exercises!AQ57,"")</f>
        <v>35</v>
      </c>
      <c r="W56" s="31">
        <f>IF(LEN(_DB_Exercises!AR57)&gt;0,_DB_Exercises!AR57,"")</f>
        <v>37</v>
      </c>
      <c r="X56" s="31">
        <f>IF(LEN(_DB_Exercises!AS57)&gt;0,_DB_Exercises!AS57,"")</f>
        <v>39</v>
      </c>
      <c r="Y56" s="31">
        <f>IF(LEN(_DB_Exercises!AT57)&gt;0,_DB_Exercises!AT57,"")</f>
        <v>41</v>
      </c>
      <c r="Z56" s="31">
        <f>IF(LEN(_DB_Exercises!AU57)&gt;0,_DB_Exercises!AU57,"")</f>
        <v>43</v>
      </c>
      <c r="AA56" s="31">
        <f>IF(LEN(_DB_Exercises!AV57)&gt;0,_DB_Exercises!AV57,"")</f>
        <v>44</v>
      </c>
      <c r="AB56" s="31">
        <f>IF(LEN(_DB_Exercises!AW57)&gt;0,_DB_Exercises!AW57,"")</f>
        <v>46</v>
      </c>
      <c r="AC56" s="31">
        <f>IF(LEN(_DB_Exercises!AX57)&gt;0,_DB_Exercises!AX57,"")</f>
        <v>48</v>
      </c>
      <c r="AD56" s="31">
        <f>IF(LEN(_DB_Exercises!AY57)&gt;0,_DB_Exercises!AY57,"")</f>
        <v>49</v>
      </c>
      <c r="AE56" s="31">
        <f>IF(LEN(_DB_Exercises!AZ57)&gt;0,_DB_Exercises!AZ57,"")</f>
        <v>50</v>
      </c>
      <c r="AF56" s="31">
        <f>IF(LEN(_DB_Exercises!BA57)&gt;0,_DB_Exercises!BA57,"")</f>
        <v>52</v>
      </c>
      <c r="AG56" s="31">
        <f>IF(LEN(_DB_Exercises!BB57)&gt;0,_DB_Exercises!BB57,"")</f>
        <v>54</v>
      </c>
      <c r="AH56" s="31">
        <f>IF(LEN(_DB_Exercises!BC57)&gt;0,_DB_Exercises!BC57,"")</f>
        <v>55</v>
      </c>
      <c r="AI56" s="31">
        <f>IF(LEN(_DB_Exercises!BD57)&gt;0,_DB_Exercises!BD57,"")</f>
        <v>56</v>
      </c>
      <c r="AJ56" s="31">
        <f>IF(LEN(_DB_Exercises!BE57)&gt;0,_DB_Exercises!BE57,"")</f>
        <v>58</v>
      </c>
      <c r="AK56" s="31">
        <f>IF(LEN(_DB_Exercises!BF57)&gt;0,_DB_Exercises!BF57,"")</f>
        <v>60</v>
      </c>
      <c r="AL56" s="31">
        <f>IF(LEN(_DB_Exercises!BG57)&gt;0,_DB_Exercises!BG57,"")</f>
        <v>61</v>
      </c>
      <c r="AM56" s="31">
        <f>IF(LEN(_DB_Exercises!BH57)&gt;0,_DB_Exercises!BH57,"")</f>
        <v>62</v>
      </c>
      <c r="AN56" s="31">
        <f>IF(LEN(_DB_Exercises!BI57)&gt;0,_DB_Exercises!BI57,"")</f>
        <v>64</v>
      </c>
      <c r="AO56" s="31">
        <f>IF(LEN(_DB_Exercises!BJ57)&gt;0,_DB_Exercises!BJ57,"")</f>
        <v>66</v>
      </c>
      <c r="AP56" s="31">
        <f>IF(LEN(_DB_Exercises!BK57)&gt;0,_DB_Exercises!BK57,"")</f>
        <v>67</v>
      </c>
      <c r="AQ56" s="31">
        <f>IF(LEN(_DB_Exercises!BL57)&gt;0,_DB_Exercises!BL57,"")</f>
        <v>68</v>
      </c>
      <c r="AR56" s="31">
        <f>IF(LEN(_DB_Exercises!BM57)&gt;0,_DB_Exercises!BM57,"")</f>
        <v>70</v>
      </c>
    </row>
    <row r="57" spans="1:44" x14ac:dyDescent="0.25">
      <c r="A57" s="11">
        <f>IF(LEN(_DB_Exercises!A58)&gt;0,_DB_Exercises!A58,"")</f>
        <v>2046</v>
      </c>
      <c r="B57" s="14" t="str">
        <f>IF(LEN(_DB_Exercises!K58)&gt;0,_DB_Exercises!K58,"")</f>
        <v>4,5 m  5 points</v>
      </c>
      <c r="C57" s="31">
        <f>IF(LEN(_DB_Exercises!X58)&gt;0,_DB_Exercises!X58,"")</f>
        <v>11</v>
      </c>
      <c r="D57" s="31">
        <f>IF(LEN(_DB_Exercises!Y58)&gt;0,_DB_Exercises!Y58,"")</f>
        <v>11.769230782985687</v>
      </c>
      <c r="E57" s="31">
        <f>IF(LEN(_DB_Exercises!Z58)&gt;0,_DB_Exercises!Z58,"")</f>
        <v>12.538461565971375</v>
      </c>
      <c r="F57" s="31">
        <f>IF(LEN(_DB_Exercises!AA58)&gt;0,_DB_Exercises!AA58,"")</f>
        <v>13.307692348957062</v>
      </c>
      <c r="G57" s="31">
        <f>IF(LEN(_DB_Exercises!AB58)&gt;0,_DB_Exercises!AB58,"")</f>
        <v>14.076923131942749</v>
      </c>
      <c r="H57" s="31">
        <f>IF(LEN(_DB_Exercises!AC58)&gt;0,_DB_Exercises!AC58,"")</f>
        <v>14.846153914928436</v>
      </c>
      <c r="I57" s="31">
        <f>IF(LEN(_DB_Exercises!AD58)&gt;0,_DB_Exercises!AD58,"")</f>
        <v>15.615384697914124</v>
      </c>
      <c r="J57" s="31">
        <f>IF(LEN(_DB_Exercises!AE58)&gt;0,_DB_Exercises!AE58,"")</f>
        <v>16.384615480899811</v>
      </c>
      <c r="K57" s="31">
        <f>IF(LEN(_DB_Exercises!AF58)&gt;0,_DB_Exercises!AF58,"")</f>
        <v>17.153846263885498</v>
      </c>
      <c r="L57" s="31">
        <f>IF(LEN(_DB_Exercises!AG58)&gt;0,_DB_Exercises!AG58,"")</f>
        <v>17.923077046871185</v>
      </c>
      <c r="M57" s="31">
        <f>IF(LEN(_DB_Exercises!AH58)&gt;0,_DB_Exercises!AH58,"")</f>
        <v>18.692307829856873</v>
      </c>
      <c r="N57" s="31">
        <f>IF(LEN(_DB_Exercises!AI58)&gt;0,_DB_Exercises!AI58,"")</f>
        <v>19.46153861284256</v>
      </c>
      <c r="O57" s="31">
        <f>IF(LEN(_DB_Exercises!AJ58)&gt;0,_DB_Exercises!AJ58,"")</f>
        <v>20.230769395828247</v>
      </c>
      <c r="P57" s="31">
        <f>IF(LEN(_DB_Exercises!AK58)&gt;0,_DB_Exercises!AK58,"")</f>
        <v>21</v>
      </c>
      <c r="Q57" s="31">
        <f>IF(LEN(_DB_Exercises!AL58)&gt;0,_DB_Exercises!AL58,"")</f>
        <v>24</v>
      </c>
      <c r="R57" s="31">
        <f>IF(LEN(_DB_Exercises!AM58)&gt;0,_DB_Exercises!AM58,"")</f>
        <v>27</v>
      </c>
      <c r="S57" s="31">
        <f>IF(LEN(_DB_Exercises!AN58)&gt;0,_DB_Exercises!AN58,"")</f>
        <v>30</v>
      </c>
      <c r="T57" s="31">
        <f>IF(LEN(_DB_Exercises!AO58)&gt;0,_DB_Exercises!AO58,"")</f>
        <v>33</v>
      </c>
      <c r="U57" s="31">
        <f>IF(LEN(_DB_Exercises!AP58)&gt;0,_DB_Exercises!AP58,"")</f>
        <v>36</v>
      </c>
      <c r="V57" s="31">
        <f>IF(LEN(_DB_Exercises!AQ58)&gt;0,_DB_Exercises!AQ58,"")</f>
        <v>38</v>
      </c>
      <c r="W57" s="31">
        <f>IF(LEN(_DB_Exercises!AR58)&gt;0,_DB_Exercises!AR58,"")</f>
        <v>41</v>
      </c>
      <c r="X57" s="31">
        <f>IF(LEN(_DB_Exercises!AS58)&gt;0,_DB_Exercises!AS58,"")</f>
        <v>44</v>
      </c>
      <c r="Y57" s="31">
        <f>IF(LEN(_DB_Exercises!AT58)&gt;0,_DB_Exercises!AT58,"")</f>
        <v>47</v>
      </c>
      <c r="Z57" s="31">
        <f>IF(LEN(_DB_Exercises!AU58)&gt;0,_DB_Exercises!AU58,"")</f>
        <v>50</v>
      </c>
      <c r="AA57" s="31">
        <f>IF(LEN(_DB_Exercises!AV58)&gt;0,_DB_Exercises!AV58,"")</f>
        <v>52</v>
      </c>
      <c r="AB57" s="31">
        <f>IF(LEN(_DB_Exercises!AW58)&gt;0,_DB_Exercises!AW58,"")</f>
        <v>55</v>
      </c>
      <c r="AC57" s="31">
        <f>IF(LEN(_DB_Exercises!AX58)&gt;0,_DB_Exercises!AX58,"")</f>
        <v>58</v>
      </c>
      <c r="AD57" s="31">
        <f>IF(LEN(_DB_Exercises!AY58)&gt;0,_DB_Exercises!AY58,"")</f>
        <v>60</v>
      </c>
      <c r="AE57" s="31">
        <f>IF(LEN(_DB_Exercises!AZ58)&gt;0,_DB_Exercises!AZ58,"")</f>
        <v>62</v>
      </c>
      <c r="AF57" s="31">
        <f>IF(LEN(_DB_Exercises!BA58)&gt;0,_DB_Exercises!BA58,"")</f>
        <v>65</v>
      </c>
      <c r="AG57" s="31">
        <f>IF(LEN(_DB_Exercises!BB58)&gt;0,_DB_Exercises!BB58,"")</f>
        <v>68</v>
      </c>
      <c r="AH57" s="31">
        <f>IF(LEN(_DB_Exercises!BC58)&gt;0,_DB_Exercises!BC58,"")</f>
        <v>70</v>
      </c>
      <c r="AI57" s="31">
        <f>IF(LEN(_DB_Exercises!BD58)&gt;0,_DB_Exercises!BD58,"")</f>
        <v>72</v>
      </c>
      <c r="AJ57" s="31">
        <f>IF(LEN(_DB_Exercises!BE58)&gt;0,_DB_Exercises!BE58,"")</f>
        <v>75</v>
      </c>
      <c r="AK57" s="31">
        <f>IF(LEN(_DB_Exercises!BF58)&gt;0,_DB_Exercises!BF58,"")</f>
        <v>78</v>
      </c>
      <c r="AL57" s="31">
        <f>IF(LEN(_DB_Exercises!BG58)&gt;0,_DB_Exercises!BG58,"")</f>
        <v>81</v>
      </c>
      <c r="AM57" s="31">
        <f>IF(LEN(_DB_Exercises!BH58)&gt;0,_DB_Exercises!BH58,"")</f>
        <v>84</v>
      </c>
      <c r="AN57" s="31">
        <f>IF(LEN(_DB_Exercises!BI58)&gt;0,_DB_Exercises!BI58,"")</f>
        <v>88</v>
      </c>
      <c r="AO57" s="31">
        <f>IF(LEN(_DB_Exercises!BJ58)&gt;0,_DB_Exercises!BJ58,"")</f>
        <v>91</v>
      </c>
      <c r="AP57" s="31">
        <f>IF(LEN(_DB_Exercises!BK58)&gt;0,_DB_Exercises!BK58,"")</f>
        <v>94</v>
      </c>
      <c r="AQ57" s="31">
        <f>IF(LEN(_DB_Exercises!BL58)&gt;0,_DB_Exercises!BL58,"")</f>
        <v>97</v>
      </c>
      <c r="AR57" s="31">
        <f>IF(LEN(_DB_Exercises!BM58)&gt;0,_DB_Exercises!BM58,"")</f>
        <v>100</v>
      </c>
    </row>
    <row r="58" spans="1:44" x14ac:dyDescent="0.25">
      <c r="A58" s="11">
        <f>IF(LEN(_DB_Exercises!A62)&gt;0,_DB_Exercises!A62,"")</f>
        <v>2050</v>
      </c>
      <c r="B58" s="14" t="str">
        <f>IF(LEN(_DB_Exercises!K62)&gt;0,_DB_Exercises!K62,"")</f>
        <v>1,5 m  10 holes</v>
      </c>
      <c r="C58" s="31">
        <f>IF(LEN(_DB_Exercises!X62)&gt;0,_DB_Exercises!X62,"")</f>
        <v>16</v>
      </c>
      <c r="D58" s="31">
        <f>IF(LEN(_DB_Exercises!Y62)&gt;0,_DB_Exercises!Y62,"")</f>
        <v>15.692307680845261</v>
      </c>
      <c r="E58" s="31">
        <f>IF(LEN(_DB_Exercises!Z62)&gt;0,_DB_Exercises!Z62,"")</f>
        <v>15.384615361690521</v>
      </c>
      <c r="F58" s="31">
        <f>IF(LEN(_DB_Exercises!AA62)&gt;0,_DB_Exercises!AA62,"")</f>
        <v>15.076923042535782</v>
      </c>
      <c r="G58" s="31">
        <f>IF(LEN(_DB_Exercises!AB62)&gt;0,_DB_Exercises!AB62,"")</f>
        <v>14.769230723381042</v>
      </c>
      <c r="H58" s="31">
        <f>IF(LEN(_DB_Exercises!AC62)&gt;0,_DB_Exercises!AC62,"")</f>
        <v>14.461538404226303</v>
      </c>
      <c r="I58" s="31">
        <f>IF(LEN(_DB_Exercises!AD62)&gt;0,_DB_Exercises!AD62,"")</f>
        <v>14.153846085071564</v>
      </c>
      <c r="J58" s="31">
        <f>IF(LEN(_DB_Exercises!AE62)&gt;0,_DB_Exercises!AE62,"")</f>
        <v>13.846153765916824</v>
      </c>
      <c r="K58" s="31">
        <f>IF(LEN(_DB_Exercises!AF62)&gt;0,_DB_Exercises!AF62,"")</f>
        <v>13.538461446762085</v>
      </c>
      <c r="L58" s="31">
        <f>IF(LEN(_DB_Exercises!AG62)&gt;0,_DB_Exercises!AG62,"")</f>
        <v>13.230769127607346</v>
      </c>
      <c r="M58" s="31">
        <f>IF(LEN(_DB_Exercises!AH62)&gt;0,_DB_Exercises!AH62,"")</f>
        <v>12.923076808452606</v>
      </c>
      <c r="N58" s="31">
        <f>IF(LEN(_DB_Exercises!AI62)&gt;0,_DB_Exercises!AI62,"")</f>
        <v>12.615384489297867</v>
      </c>
      <c r="O58" s="31">
        <f>IF(LEN(_DB_Exercises!AJ62)&gt;0,_DB_Exercises!AJ62,"")</f>
        <v>12.307692170143127</v>
      </c>
      <c r="P58" s="31">
        <f>IF(LEN(_DB_Exercises!AK62)&gt;0,_DB_Exercises!AK62,"")</f>
        <v>12</v>
      </c>
      <c r="Q58" s="31">
        <f>IF(LEN(_DB_Exercises!AL62)&gt;0,_DB_Exercises!AL62,"")</f>
        <v>12</v>
      </c>
      <c r="R58" s="31">
        <f>IF(LEN(_DB_Exercises!AM62)&gt;0,_DB_Exercises!AM62,"")</f>
        <v>12</v>
      </c>
      <c r="S58" s="31">
        <f>IF(LEN(_DB_Exercises!AN62)&gt;0,_DB_Exercises!AN62,"")</f>
        <v>11</v>
      </c>
      <c r="T58" s="31">
        <f>IF(LEN(_DB_Exercises!AO62)&gt;0,_DB_Exercises!AO62,"")</f>
        <v>11</v>
      </c>
      <c r="U58" s="31">
        <f>IF(LEN(_DB_Exercises!AP62)&gt;0,_DB_Exercises!AP62,"")</f>
        <v>11</v>
      </c>
      <c r="V58" s="31">
        <f>IF(LEN(_DB_Exercises!AQ62)&gt;0,_DB_Exercises!AQ62,"")</f>
        <v>11</v>
      </c>
      <c r="W58" s="31">
        <f>IF(LEN(_DB_Exercises!AR62)&gt;0,_DB_Exercises!AR62,"")</f>
        <v>11</v>
      </c>
      <c r="X58" s="31">
        <f>IF(LEN(_DB_Exercises!AS62)&gt;0,_DB_Exercises!AS62,"")</f>
        <v>10</v>
      </c>
      <c r="Y58" s="31">
        <f>IF(LEN(_DB_Exercises!AT62)&gt;0,_DB_Exercises!AT62,"")</f>
        <v>10</v>
      </c>
      <c r="Z58" s="31">
        <f>IF(LEN(_DB_Exercises!AU62)&gt;0,_DB_Exercises!AU62,"")</f>
        <v>10</v>
      </c>
      <c r="AA58" s="31">
        <f>IF(LEN(_DB_Exercises!AV62)&gt;0,_DB_Exercises!AV62,"")</f>
        <v>10</v>
      </c>
      <c r="AB58" s="31">
        <f>IF(LEN(_DB_Exercises!AW62)&gt;0,_DB_Exercises!AW62,"")</f>
        <v>10</v>
      </c>
      <c r="AC58" s="31">
        <f>IF(LEN(_DB_Exercises!AX62)&gt;0,_DB_Exercises!AX62,"")</f>
        <v>9</v>
      </c>
      <c r="AD58" s="31">
        <f>IF(LEN(_DB_Exercises!AY62)&gt;0,_DB_Exercises!AY62,"")</f>
        <v>9</v>
      </c>
      <c r="AE58" s="31">
        <f>IF(LEN(_DB_Exercises!AZ62)&gt;0,_DB_Exercises!AZ62,"")</f>
        <v>9</v>
      </c>
      <c r="AF58" s="31">
        <f>IF(LEN(_DB_Exercises!BA62)&gt;0,_DB_Exercises!BA62,"")</f>
        <v>9</v>
      </c>
      <c r="AG58" s="31">
        <f>IF(LEN(_DB_Exercises!BB62)&gt;0,_DB_Exercises!BB62,"")</f>
        <v>9</v>
      </c>
      <c r="AH58" s="31">
        <f>IF(LEN(_DB_Exercises!BC62)&gt;0,_DB_Exercises!BC62,"")</f>
        <v>8</v>
      </c>
      <c r="AI58" s="31">
        <f>IF(LEN(_DB_Exercises!BD62)&gt;0,_DB_Exercises!BD62,"")</f>
        <v>8</v>
      </c>
      <c r="AJ58" s="31">
        <f>IF(LEN(_DB_Exercises!BE62)&gt;0,_DB_Exercises!BE62,"")</f>
        <v>8</v>
      </c>
      <c r="AK58" s="31">
        <f>IF(LEN(_DB_Exercises!BF62)&gt;0,_DB_Exercises!BF62,"")</f>
        <v>8</v>
      </c>
      <c r="AL58" s="31">
        <f>IF(LEN(_DB_Exercises!BG62)&gt;0,_DB_Exercises!BG62,"")</f>
        <v>8</v>
      </c>
      <c r="AM58" s="31">
        <f>IF(LEN(_DB_Exercises!BH62)&gt;0,_DB_Exercises!BH62,"")</f>
        <v>7</v>
      </c>
      <c r="AN58" s="31">
        <f>IF(LEN(_DB_Exercises!BI62)&gt;0,_DB_Exercises!BI62,"")</f>
        <v>7</v>
      </c>
      <c r="AO58" s="31">
        <f>IF(LEN(_DB_Exercises!BJ62)&gt;0,_DB_Exercises!BJ62,"")</f>
        <v>7</v>
      </c>
      <c r="AP58" s="31">
        <f>IF(LEN(_DB_Exercises!BK62)&gt;0,_DB_Exercises!BK62,"")</f>
        <v>6</v>
      </c>
      <c r="AQ58" s="31">
        <f>IF(LEN(_DB_Exercises!BL62)&gt;0,_DB_Exercises!BL62,"")</f>
        <v>6</v>
      </c>
      <c r="AR58" s="31">
        <f>IF(LEN(_DB_Exercises!BM62)&gt;0,_DB_Exercises!BM62,"")</f>
        <v>6</v>
      </c>
    </row>
    <row r="59" spans="1:44" x14ac:dyDescent="0.25">
      <c r="A59" s="11">
        <f>IF(LEN(_DB_Exercises!A63)&gt;0,_DB_Exercises!A63,"")</f>
        <v>2051</v>
      </c>
      <c r="B59" s="14" t="str">
        <f>IF(LEN(_DB_Exercises!K63)&gt;0,_DB_Exercises!K63,"")</f>
        <v>3 m  10 holes</v>
      </c>
      <c r="C59" s="31">
        <f>IF(LEN(_DB_Exercises!X63)&gt;0,_DB_Exercises!X63,"")</f>
        <v>8</v>
      </c>
      <c r="D59" s="31">
        <f>IF(LEN(_DB_Exercises!Y63)&gt;0,_DB_Exercises!Y63,"")</f>
        <v>7.6923076808452606</v>
      </c>
      <c r="E59" s="31">
        <f>IF(LEN(_DB_Exercises!Z63)&gt;0,_DB_Exercises!Z63,"")</f>
        <v>7.3846153616905212</v>
      </c>
      <c r="F59" s="31">
        <f>IF(LEN(_DB_Exercises!AA63)&gt;0,_DB_Exercises!AA63,"")</f>
        <v>7.0769230425357819</v>
      </c>
      <c r="G59" s="31">
        <f>IF(LEN(_DB_Exercises!AB63)&gt;0,_DB_Exercises!AB63,"")</f>
        <v>6.7692307233810425</v>
      </c>
      <c r="H59" s="31">
        <f>IF(LEN(_DB_Exercises!AC63)&gt;0,_DB_Exercises!AC63,"")</f>
        <v>6.4615384042263031</v>
      </c>
      <c r="I59" s="31">
        <f>IF(LEN(_DB_Exercises!AD63)&gt;0,_DB_Exercises!AD63,"")</f>
        <v>6.1538460850715637</v>
      </c>
      <c r="J59" s="31">
        <f>IF(LEN(_DB_Exercises!AE63)&gt;0,_DB_Exercises!AE63,"")</f>
        <v>5.8461537659168243</v>
      </c>
      <c r="K59" s="31">
        <f>IF(LEN(_DB_Exercises!AF63)&gt;0,_DB_Exercises!AF63,"")</f>
        <v>5.538461446762085</v>
      </c>
      <c r="L59" s="31">
        <f>IF(LEN(_DB_Exercises!AG63)&gt;0,_DB_Exercises!AG63,"")</f>
        <v>5.2307691276073456</v>
      </c>
      <c r="M59" s="31">
        <f>IF(LEN(_DB_Exercises!AH63)&gt;0,_DB_Exercises!AH63,"")</f>
        <v>4.9230768084526062</v>
      </c>
      <c r="N59" s="31">
        <f>IF(LEN(_DB_Exercises!AI63)&gt;0,_DB_Exercises!AI63,"")</f>
        <v>4.6153844892978668</v>
      </c>
      <c r="O59" s="31">
        <f>IF(LEN(_DB_Exercises!AJ63)&gt;0,_DB_Exercises!AJ63,"")</f>
        <v>4.3076921701431274</v>
      </c>
      <c r="P59" s="31">
        <f>IF(LEN(_DB_Exercises!AK63)&gt;0,_DB_Exercises!AK63,"")</f>
        <v>4</v>
      </c>
      <c r="Q59" s="31">
        <f>IF(LEN(_DB_Exercises!AL63)&gt;0,_DB_Exercises!AL63,"")</f>
        <v>4</v>
      </c>
      <c r="R59" s="31">
        <f>IF(LEN(_DB_Exercises!AM63)&gt;0,_DB_Exercises!AM63,"")</f>
        <v>4</v>
      </c>
      <c r="S59" s="31">
        <f>IF(LEN(_DB_Exercises!AN63)&gt;0,_DB_Exercises!AN63,"")</f>
        <v>3</v>
      </c>
      <c r="T59" s="31">
        <f>IF(LEN(_DB_Exercises!AO63)&gt;0,_DB_Exercises!AO63,"")</f>
        <v>3</v>
      </c>
      <c r="U59" s="31">
        <f>IF(LEN(_DB_Exercises!AP63)&gt;0,_DB_Exercises!AP63,"")</f>
        <v>3</v>
      </c>
      <c r="V59" s="31">
        <f>IF(LEN(_DB_Exercises!AQ63)&gt;0,_DB_Exercises!AQ63,"")</f>
        <v>3</v>
      </c>
      <c r="W59" s="31">
        <f>IF(LEN(_DB_Exercises!AR63)&gt;0,_DB_Exercises!AR63,"")</f>
        <v>3</v>
      </c>
      <c r="X59" s="31">
        <f>IF(LEN(_DB_Exercises!AS63)&gt;0,_DB_Exercises!AS63,"")</f>
        <v>2</v>
      </c>
      <c r="Y59" s="31">
        <f>IF(LEN(_DB_Exercises!AT63)&gt;0,_DB_Exercises!AT63,"")</f>
        <v>2</v>
      </c>
      <c r="Z59" s="31">
        <f>IF(LEN(_DB_Exercises!AU63)&gt;0,_DB_Exercises!AU63,"")</f>
        <v>2</v>
      </c>
      <c r="AA59" s="31">
        <f>IF(LEN(_DB_Exercises!AV63)&gt;0,_DB_Exercises!AV63,"")</f>
        <v>2</v>
      </c>
      <c r="AB59" s="31">
        <f>IF(LEN(_DB_Exercises!AW63)&gt;0,_DB_Exercises!AW63,"")</f>
        <v>1</v>
      </c>
      <c r="AC59" s="31">
        <f>IF(LEN(_DB_Exercises!AX63)&gt;0,_DB_Exercises!AX63,"")</f>
        <v>1</v>
      </c>
      <c r="AD59" s="31">
        <f>IF(LEN(_DB_Exercises!AY63)&gt;0,_DB_Exercises!AY63,"")</f>
        <v>1</v>
      </c>
      <c r="AE59" s="31">
        <f>IF(LEN(_DB_Exercises!AZ63)&gt;0,_DB_Exercises!AZ63,"")</f>
        <v>0</v>
      </c>
      <c r="AF59" s="31">
        <f>IF(LEN(_DB_Exercises!BA63)&gt;0,_DB_Exercises!BA63,"")</f>
        <v>0</v>
      </c>
      <c r="AG59" s="31">
        <f>IF(LEN(_DB_Exercises!BB63)&gt;0,_DB_Exercises!BB63,"")</f>
        <v>0</v>
      </c>
      <c r="AH59" s="31">
        <f>IF(LEN(_DB_Exercises!BC63)&gt;0,_DB_Exercises!BC63,"")</f>
        <v>0</v>
      </c>
      <c r="AI59" s="31">
        <f>IF(LEN(_DB_Exercises!BD63)&gt;0,_DB_Exercises!BD63,"")</f>
        <v>-1</v>
      </c>
      <c r="AJ59" s="31">
        <f>IF(LEN(_DB_Exercises!BE63)&gt;0,_DB_Exercises!BE63,"")</f>
        <v>-1</v>
      </c>
      <c r="AK59" s="31">
        <f>IF(LEN(_DB_Exercises!BF63)&gt;0,_DB_Exercises!BF63,"")</f>
        <v>-1</v>
      </c>
      <c r="AL59" s="31">
        <f>IF(LEN(_DB_Exercises!BG63)&gt;0,_DB_Exercises!BG63,"")</f>
        <v>-2</v>
      </c>
      <c r="AM59" s="31">
        <f>IF(LEN(_DB_Exercises!BH63)&gt;0,_DB_Exercises!BH63,"")</f>
        <v>-2</v>
      </c>
      <c r="AN59" s="31">
        <f>IF(LEN(_DB_Exercises!BI63)&gt;0,_DB_Exercises!BI63,"")</f>
        <v>-2</v>
      </c>
      <c r="AO59" s="31">
        <f>IF(LEN(_DB_Exercises!BJ63)&gt;0,_DB_Exercises!BJ63,"")</f>
        <v>-2</v>
      </c>
      <c r="AP59" s="31">
        <f>IF(LEN(_DB_Exercises!BK63)&gt;0,_DB_Exercises!BK63,"")</f>
        <v>-2</v>
      </c>
      <c r="AQ59" s="31">
        <f>IF(LEN(_DB_Exercises!BL63)&gt;0,_DB_Exercises!BL63,"")</f>
        <v>-3</v>
      </c>
      <c r="AR59" s="31">
        <f>IF(LEN(_DB_Exercises!BM63)&gt;0,_DB_Exercises!BM63,"")</f>
        <v>-3</v>
      </c>
    </row>
    <row r="60" spans="1:44" x14ac:dyDescent="0.25">
      <c r="A60" s="11">
        <f>IF(LEN(_DB_Exercises!A64)&gt;0,_DB_Exercises!A64,"")</f>
        <v>2052</v>
      </c>
      <c r="B60" s="14" t="str">
        <f>IF(LEN(_DB_Exercises!K64)&gt;0,_DB_Exercises!K64,"")</f>
        <v>4,5 m  10 holes</v>
      </c>
      <c r="C60" s="31">
        <f>IF(LEN(_DB_Exercises!X64)&gt;0,_DB_Exercises!X64,"")</f>
        <v>4</v>
      </c>
      <c r="D60" s="31">
        <f>IF(LEN(_DB_Exercises!Y64)&gt;0,_DB_Exercises!Y64,"")</f>
        <v>3.6923076808452606</v>
      </c>
      <c r="E60" s="31">
        <f>IF(LEN(_DB_Exercises!Z64)&gt;0,_DB_Exercises!Z64,"")</f>
        <v>3.3846153616905212</v>
      </c>
      <c r="F60" s="31">
        <f>IF(LEN(_DB_Exercises!AA64)&gt;0,_DB_Exercises!AA64,"")</f>
        <v>3.0769230425357819</v>
      </c>
      <c r="G60" s="31">
        <f>IF(LEN(_DB_Exercises!AB64)&gt;0,_DB_Exercises!AB64,"")</f>
        <v>2.7692307233810425</v>
      </c>
      <c r="H60" s="31">
        <f>IF(LEN(_DB_Exercises!AC64)&gt;0,_DB_Exercises!AC64,"")</f>
        <v>2.4615384042263031</v>
      </c>
      <c r="I60" s="31">
        <f>IF(LEN(_DB_Exercises!AD64)&gt;0,_DB_Exercises!AD64,"")</f>
        <v>2.1538460850715637</v>
      </c>
      <c r="J60" s="31">
        <f>IF(LEN(_DB_Exercises!AE64)&gt;0,_DB_Exercises!AE64,"")</f>
        <v>1.8461537659168243</v>
      </c>
      <c r="K60" s="31">
        <f>IF(LEN(_DB_Exercises!AF64)&gt;0,_DB_Exercises!AF64,"")</f>
        <v>1.538461446762085</v>
      </c>
      <c r="L60" s="31">
        <f>IF(LEN(_DB_Exercises!AG64)&gt;0,_DB_Exercises!AG64,"")</f>
        <v>1.2307691276073456</v>
      </c>
      <c r="M60" s="31">
        <f>IF(LEN(_DB_Exercises!AH64)&gt;0,_DB_Exercises!AH64,"")</f>
        <v>0.9230768084526062</v>
      </c>
      <c r="N60" s="31">
        <f>IF(LEN(_DB_Exercises!AI64)&gt;0,_DB_Exercises!AI64,"")</f>
        <v>0.61538448929786682</v>
      </c>
      <c r="O60" s="31">
        <f>IF(LEN(_DB_Exercises!AJ64)&gt;0,_DB_Exercises!AJ64,"")</f>
        <v>0.30769217014312744</v>
      </c>
      <c r="P60" s="31">
        <f>IF(LEN(_DB_Exercises!AK64)&gt;0,_DB_Exercises!AK64,"")</f>
        <v>0</v>
      </c>
      <c r="Q60" s="31">
        <f>IF(LEN(_DB_Exercises!AL64)&gt;0,_DB_Exercises!AL64,"")</f>
        <v>0</v>
      </c>
      <c r="R60" s="31">
        <f>IF(LEN(_DB_Exercises!AM64)&gt;0,_DB_Exercises!AM64,"")</f>
        <v>0</v>
      </c>
      <c r="S60" s="31">
        <f>IF(LEN(_DB_Exercises!AN64)&gt;0,_DB_Exercises!AN64,"")</f>
        <v>-1</v>
      </c>
      <c r="T60" s="31">
        <f>IF(LEN(_DB_Exercises!AO64)&gt;0,_DB_Exercises!AO64,"")</f>
        <v>-1</v>
      </c>
      <c r="U60" s="31">
        <f>IF(LEN(_DB_Exercises!AP64)&gt;0,_DB_Exercises!AP64,"")</f>
        <v>-1</v>
      </c>
      <c r="V60" s="31">
        <f>IF(LEN(_DB_Exercises!AQ64)&gt;0,_DB_Exercises!AQ64,"")</f>
        <v>-1</v>
      </c>
      <c r="W60" s="31">
        <f>IF(LEN(_DB_Exercises!AR64)&gt;0,_DB_Exercises!AR64,"")</f>
        <v>-1</v>
      </c>
      <c r="X60" s="31">
        <f>IF(LEN(_DB_Exercises!AS64)&gt;0,_DB_Exercises!AS64,"")</f>
        <v>-2</v>
      </c>
      <c r="Y60" s="31">
        <f>IF(LEN(_DB_Exercises!AT64)&gt;0,_DB_Exercises!AT64,"")</f>
        <v>-2</v>
      </c>
      <c r="Z60" s="31">
        <f>IF(LEN(_DB_Exercises!AU64)&gt;0,_DB_Exercises!AU64,"")</f>
        <v>-2</v>
      </c>
      <c r="AA60" s="31">
        <f>IF(LEN(_DB_Exercises!AV64)&gt;0,_DB_Exercises!AV64,"")</f>
        <v>-2</v>
      </c>
      <c r="AB60" s="31">
        <f>IF(LEN(_DB_Exercises!AW64)&gt;0,_DB_Exercises!AW64,"")</f>
        <v>-2</v>
      </c>
      <c r="AC60" s="31">
        <f>IF(LEN(_DB_Exercises!AX64)&gt;0,_DB_Exercises!AX64,"")</f>
        <v>-3</v>
      </c>
      <c r="AD60" s="31">
        <f>IF(LEN(_DB_Exercises!AY64)&gt;0,_DB_Exercises!AY64,"")</f>
        <v>-3</v>
      </c>
      <c r="AE60" s="31">
        <f>IF(LEN(_DB_Exercises!AZ64)&gt;0,_DB_Exercises!AZ64,"")</f>
        <v>-3</v>
      </c>
      <c r="AF60" s="31">
        <f>IF(LEN(_DB_Exercises!BA64)&gt;0,_DB_Exercises!BA64,"")</f>
        <v>-3</v>
      </c>
      <c r="AG60" s="31">
        <f>IF(LEN(_DB_Exercises!BB64)&gt;0,_DB_Exercises!BB64,"")</f>
        <v>-3</v>
      </c>
      <c r="AH60" s="31">
        <f>IF(LEN(_DB_Exercises!BC64)&gt;0,_DB_Exercises!BC64,"")</f>
        <v>-4</v>
      </c>
      <c r="AI60" s="31">
        <f>IF(LEN(_DB_Exercises!BD64)&gt;0,_DB_Exercises!BD64,"")</f>
        <v>-4</v>
      </c>
      <c r="AJ60" s="31">
        <f>IF(LEN(_DB_Exercises!BE64)&gt;0,_DB_Exercises!BE64,"")</f>
        <v>-4</v>
      </c>
      <c r="AK60" s="31">
        <f>IF(LEN(_DB_Exercises!BF64)&gt;0,_DB_Exercises!BF64,"")</f>
        <v>-4</v>
      </c>
      <c r="AL60" s="31">
        <f>IF(LEN(_DB_Exercises!BG64)&gt;0,_DB_Exercises!BG64,"")</f>
        <v>-4</v>
      </c>
      <c r="AM60" s="31">
        <f>IF(LEN(_DB_Exercises!BH64)&gt;0,_DB_Exercises!BH64,"")</f>
        <v>-5</v>
      </c>
      <c r="AN60" s="31">
        <f>IF(LEN(_DB_Exercises!BI64)&gt;0,_DB_Exercises!BI64,"")</f>
        <v>-5</v>
      </c>
      <c r="AO60" s="31">
        <f>IF(LEN(_DB_Exercises!BJ64)&gt;0,_DB_Exercises!BJ64,"")</f>
        <v>-5</v>
      </c>
      <c r="AP60" s="31">
        <f>IF(LEN(_DB_Exercises!BK64)&gt;0,_DB_Exercises!BK64,"")</f>
        <v>-6</v>
      </c>
      <c r="AQ60" s="31">
        <f>IF(LEN(_DB_Exercises!BL64)&gt;0,_DB_Exercises!BL64,"")</f>
        <v>-6</v>
      </c>
      <c r="AR60" s="31">
        <f>IF(LEN(_DB_Exercises!BM64)&gt;0,_DB_Exercises!BM64,"")</f>
        <v>-6</v>
      </c>
    </row>
    <row r="61" spans="1:44" x14ac:dyDescent="0.25">
      <c r="A61" s="11">
        <f>IF(LEN(_DB_Exercises!A59)&gt;0,_DB_Exercises!A59,"")</f>
        <v>2047</v>
      </c>
      <c r="B61" s="14" t="str">
        <f>IF(LEN(_DB_Exercises!K59)&gt;0,_DB_Exercises!K59,"")</f>
        <v>6 m  15 points</v>
      </c>
      <c r="C61" s="31">
        <f>IF(LEN(_DB_Exercises!X59)&gt;0,_DB_Exercises!X59,"")</f>
        <v>12</v>
      </c>
      <c r="D61" s="31">
        <f>IF(LEN(_DB_Exercises!Y59)&gt;0,_DB_Exercises!Y59,"")</f>
        <v>12</v>
      </c>
      <c r="E61" s="31">
        <f>IF(LEN(_DB_Exercises!Z59)&gt;0,_DB_Exercises!Z59,"")</f>
        <v>12</v>
      </c>
      <c r="F61" s="31">
        <f>IF(LEN(_DB_Exercises!AA59)&gt;0,_DB_Exercises!AA59,"")</f>
        <v>13</v>
      </c>
      <c r="G61" s="31">
        <f>IF(LEN(_DB_Exercises!AB59)&gt;0,_DB_Exercises!AB59,"")</f>
        <v>13</v>
      </c>
      <c r="H61" s="31">
        <f>IF(LEN(_DB_Exercises!AC59)&gt;0,_DB_Exercises!AC59,"")</f>
        <v>13</v>
      </c>
      <c r="I61" s="31">
        <f>IF(LEN(_DB_Exercises!AD59)&gt;0,_DB_Exercises!AD59,"")</f>
        <v>13</v>
      </c>
      <c r="J61" s="31">
        <f>IF(LEN(_DB_Exercises!AE59)&gt;0,_DB_Exercises!AE59,"")</f>
        <v>14</v>
      </c>
      <c r="K61" s="31">
        <f>IF(LEN(_DB_Exercises!AF59)&gt;0,_DB_Exercises!AF59,"")</f>
        <v>14</v>
      </c>
      <c r="L61" s="31">
        <f>IF(LEN(_DB_Exercises!AG59)&gt;0,_DB_Exercises!AG59,"")</f>
        <v>14</v>
      </c>
      <c r="M61" s="31">
        <f>IF(LEN(_DB_Exercises!AH59)&gt;0,_DB_Exercises!AH59,"")</f>
        <v>14</v>
      </c>
      <c r="N61" s="31">
        <f>IF(LEN(_DB_Exercises!AI59)&gt;0,_DB_Exercises!AI59,"")</f>
        <v>15</v>
      </c>
      <c r="O61" s="31">
        <f>IF(LEN(_DB_Exercises!AJ59)&gt;0,_DB_Exercises!AJ59,"")</f>
        <v>15</v>
      </c>
      <c r="P61" s="31">
        <f>IF(LEN(_DB_Exercises!AK59)&gt;0,_DB_Exercises!AK59,"")</f>
        <v>15</v>
      </c>
      <c r="Q61" s="31">
        <f>IF(LEN(_DB_Exercises!AL59)&gt;0,_DB_Exercises!AL59,"")</f>
        <v>16</v>
      </c>
      <c r="R61" s="31">
        <f>IF(LEN(_DB_Exercises!AM59)&gt;0,_DB_Exercises!AM59,"")</f>
        <v>16</v>
      </c>
      <c r="S61" s="31">
        <f>IF(LEN(_DB_Exercises!AN59)&gt;0,_DB_Exercises!AN59,"")</f>
        <v>16</v>
      </c>
      <c r="T61" s="31">
        <f>IF(LEN(_DB_Exercises!AO59)&gt;0,_DB_Exercises!AO59,"")</f>
        <v>17</v>
      </c>
      <c r="U61" s="31">
        <f>IF(LEN(_DB_Exercises!AP59)&gt;0,_DB_Exercises!AP59,"")</f>
        <v>18</v>
      </c>
      <c r="V61" s="31">
        <f>IF(LEN(_DB_Exercises!AQ59)&gt;0,_DB_Exercises!AQ59,"")</f>
        <v>18</v>
      </c>
      <c r="W61" s="31">
        <f>IF(LEN(_DB_Exercises!AR59)&gt;0,_DB_Exercises!AR59,"")</f>
        <v>18</v>
      </c>
      <c r="X61" s="31">
        <f>IF(LEN(_DB_Exercises!AS59)&gt;0,_DB_Exercises!AS59,"")</f>
        <v>19</v>
      </c>
      <c r="Y61" s="31">
        <f>IF(LEN(_DB_Exercises!AT59)&gt;0,_DB_Exercises!AT59,"")</f>
        <v>20</v>
      </c>
      <c r="Z61" s="31">
        <f>IF(LEN(_DB_Exercises!AU59)&gt;0,_DB_Exercises!AU59,"")</f>
        <v>20</v>
      </c>
      <c r="AA61" s="31">
        <f>IF(LEN(_DB_Exercises!AV59)&gt;0,_DB_Exercises!AV59,"")</f>
        <v>22</v>
      </c>
      <c r="AB61" s="31">
        <f>IF(LEN(_DB_Exercises!AW59)&gt;0,_DB_Exercises!AW59,"")</f>
        <v>23</v>
      </c>
      <c r="AC61" s="31">
        <f>IF(LEN(_DB_Exercises!AX59)&gt;0,_DB_Exercises!AX59,"")</f>
        <v>24</v>
      </c>
      <c r="AD61" s="31">
        <f>IF(LEN(_DB_Exercises!AY59)&gt;0,_DB_Exercises!AY59,"")</f>
        <v>26</v>
      </c>
      <c r="AE61" s="31">
        <f>IF(LEN(_DB_Exercises!AZ59)&gt;0,_DB_Exercises!AZ59,"")</f>
        <v>28</v>
      </c>
      <c r="AF61" s="31">
        <f>IF(LEN(_DB_Exercises!BA59)&gt;0,_DB_Exercises!BA59,"")</f>
        <v>29</v>
      </c>
      <c r="AG61" s="31">
        <f>IF(LEN(_DB_Exercises!BB59)&gt;0,_DB_Exercises!BB59,"")</f>
        <v>30</v>
      </c>
      <c r="AH61" s="31">
        <f>IF(LEN(_DB_Exercises!BC59)&gt;0,_DB_Exercises!BC59,"")</f>
        <v>32</v>
      </c>
      <c r="AI61" s="31">
        <f>IF(LEN(_DB_Exercises!BD59)&gt;0,_DB_Exercises!BD59,"")</f>
        <v>34</v>
      </c>
      <c r="AJ61" s="31">
        <f>IF(LEN(_DB_Exercises!BE59)&gt;0,_DB_Exercises!BE59,"")</f>
        <v>35</v>
      </c>
      <c r="AK61" s="31">
        <f>IF(LEN(_DB_Exercises!BF59)&gt;0,_DB_Exercises!BF59,"")</f>
        <v>36</v>
      </c>
      <c r="AL61" s="31">
        <f>IF(LEN(_DB_Exercises!BG59)&gt;0,_DB_Exercises!BG59,"")</f>
        <v>37</v>
      </c>
      <c r="AM61" s="31">
        <f>IF(LEN(_DB_Exercises!BH59)&gt;0,_DB_Exercises!BH59,"")</f>
        <v>38</v>
      </c>
      <c r="AN61" s="31">
        <f>IF(LEN(_DB_Exercises!BI59)&gt;0,_DB_Exercises!BI59,"")</f>
        <v>38</v>
      </c>
      <c r="AO61" s="31">
        <f>IF(LEN(_DB_Exercises!BJ59)&gt;0,_DB_Exercises!BJ59,"")</f>
        <v>39</v>
      </c>
      <c r="AP61" s="31">
        <f>IF(LEN(_DB_Exercises!BK59)&gt;0,_DB_Exercises!BK59,"")</f>
        <v>40</v>
      </c>
      <c r="AQ61" s="31">
        <f>IF(LEN(_DB_Exercises!BL59)&gt;0,_DB_Exercises!BL59,"")</f>
        <v>41</v>
      </c>
      <c r="AR61" s="31">
        <f>IF(LEN(_DB_Exercises!BM59)&gt;0,_DB_Exercises!BM59,"")</f>
        <v>42</v>
      </c>
    </row>
    <row r="62" spans="1:44" x14ac:dyDescent="0.25">
      <c r="A62" s="11">
        <f>IF(LEN(_DB_Exercises!A60)&gt;0,_DB_Exercises!A60,"")</f>
        <v>2048</v>
      </c>
      <c r="B62" s="14" t="str">
        <f>IF(LEN(_DB_Exercises!K60)&gt;0,_DB_Exercises!K60,"")</f>
        <v>9 m  10 points</v>
      </c>
      <c r="C62" s="31">
        <f>IF(LEN(_DB_Exercises!X60)&gt;0,_DB_Exercises!X60,"")</f>
        <v>14</v>
      </c>
      <c r="D62" s="31">
        <f>IF(LEN(_DB_Exercises!Y60)&gt;0,_DB_Exercises!Y60,"")</f>
        <v>14</v>
      </c>
      <c r="E62" s="31">
        <f>IF(LEN(_DB_Exercises!Z60)&gt;0,_DB_Exercises!Z60,"")</f>
        <v>15</v>
      </c>
      <c r="F62" s="31">
        <f>IF(LEN(_DB_Exercises!AA60)&gt;0,_DB_Exercises!AA60,"")</f>
        <v>15</v>
      </c>
      <c r="G62" s="31">
        <f>IF(LEN(_DB_Exercises!AB60)&gt;0,_DB_Exercises!AB60,"")</f>
        <v>15</v>
      </c>
      <c r="H62" s="31">
        <f>IF(LEN(_DB_Exercises!AC60)&gt;0,_DB_Exercises!AC60,"")</f>
        <v>16</v>
      </c>
      <c r="I62" s="31">
        <f>IF(LEN(_DB_Exercises!AD60)&gt;0,_DB_Exercises!AD60,"")</f>
        <v>16</v>
      </c>
      <c r="J62" s="31">
        <f>IF(LEN(_DB_Exercises!AE60)&gt;0,_DB_Exercises!AE60,"")</f>
        <v>16</v>
      </c>
      <c r="K62" s="31">
        <f>IF(LEN(_DB_Exercises!AF60)&gt;0,_DB_Exercises!AF60,"")</f>
        <v>16</v>
      </c>
      <c r="L62" s="31">
        <f>IF(LEN(_DB_Exercises!AG60)&gt;0,_DB_Exercises!AG60,"")</f>
        <v>17</v>
      </c>
      <c r="M62" s="31">
        <f>IF(LEN(_DB_Exercises!AH60)&gt;0,_DB_Exercises!AH60,"")</f>
        <v>17</v>
      </c>
      <c r="N62" s="31">
        <f>IF(LEN(_DB_Exercises!AI60)&gt;0,_DB_Exercises!AI60,"")</f>
        <v>17</v>
      </c>
      <c r="O62" s="31">
        <f>IF(LEN(_DB_Exercises!AJ60)&gt;0,_DB_Exercises!AJ60,"")</f>
        <v>18</v>
      </c>
      <c r="P62" s="31">
        <f>IF(LEN(_DB_Exercises!AK60)&gt;0,_DB_Exercises!AK60,"")</f>
        <v>18</v>
      </c>
      <c r="Q62" s="31">
        <f>IF(LEN(_DB_Exercises!AL60)&gt;0,_DB_Exercises!AL60,"")</f>
        <v>19</v>
      </c>
      <c r="R62" s="31">
        <f>IF(LEN(_DB_Exercises!AM60)&gt;0,_DB_Exercises!AM60,"")</f>
        <v>20</v>
      </c>
      <c r="S62" s="31">
        <f>IF(LEN(_DB_Exercises!AN60)&gt;0,_DB_Exercises!AN60,"")</f>
        <v>21</v>
      </c>
      <c r="T62" s="31">
        <f>IF(LEN(_DB_Exercises!AO60)&gt;0,_DB_Exercises!AO60,"")</f>
        <v>22</v>
      </c>
      <c r="U62" s="31">
        <f>IF(LEN(_DB_Exercises!AP60)&gt;0,_DB_Exercises!AP60,"")</f>
        <v>24</v>
      </c>
      <c r="V62" s="31">
        <f>IF(LEN(_DB_Exercises!AQ60)&gt;0,_DB_Exercises!AQ60,"")</f>
        <v>25</v>
      </c>
      <c r="W62" s="31">
        <f>IF(LEN(_DB_Exercises!AR60)&gt;0,_DB_Exercises!AR60,"")</f>
        <v>26</v>
      </c>
      <c r="X62" s="31">
        <f>IF(LEN(_DB_Exercises!AS60)&gt;0,_DB_Exercises!AS60,"")</f>
        <v>27</v>
      </c>
      <c r="Y62" s="31">
        <f>IF(LEN(_DB_Exercises!AT60)&gt;0,_DB_Exercises!AT60,"")</f>
        <v>28</v>
      </c>
      <c r="Z62" s="31">
        <f>IF(LEN(_DB_Exercises!AU60)&gt;0,_DB_Exercises!AU60,"")</f>
        <v>29</v>
      </c>
      <c r="AA62" s="31">
        <f>IF(LEN(_DB_Exercises!AV60)&gt;0,_DB_Exercises!AV60,"")</f>
        <v>31</v>
      </c>
      <c r="AB62" s="31">
        <f>IF(LEN(_DB_Exercises!AW60)&gt;0,_DB_Exercises!AW60,"")</f>
        <v>32</v>
      </c>
      <c r="AC62" s="31">
        <f>IF(LEN(_DB_Exercises!AX60)&gt;0,_DB_Exercises!AX60,"")</f>
        <v>34</v>
      </c>
      <c r="AD62" s="31">
        <f>IF(LEN(_DB_Exercises!AY60)&gt;0,_DB_Exercises!AY60,"")</f>
        <v>35</v>
      </c>
      <c r="AE62" s="31">
        <f>IF(LEN(_DB_Exercises!AZ60)&gt;0,_DB_Exercises!AZ60,"")</f>
        <v>37</v>
      </c>
      <c r="AF62" s="31">
        <f>IF(LEN(_DB_Exercises!BA60)&gt;0,_DB_Exercises!BA60,"")</f>
        <v>39</v>
      </c>
      <c r="AG62" s="31">
        <f>IF(LEN(_DB_Exercises!BB60)&gt;0,_DB_Exercises!BB60,"")</f>
        <v>40</v>
      </c>
      <c r="AH62" s="31">
        <f>IF(LEN(_DB_Exercises!BC60)&gt;0,_DB_Exercises!BC60,"")</f>
        <v>42</v>
      </c>
      <c r="AI62" s="31">
        <f>IF(LEN(_DB_Exercises!BD60)&gt;0,_DB_Exercises!BD60,"")</f>
        <v>43</v>
      </c>
      <c r="AJ62" s="31">
        <f>IF(LEN(_DB_Exercises!BE60)&gt;0,_DB_Exercises!BE60,"")</f>
        <v>45</v>
      </c>
      <c r="AK62" s="31">
        <f>IF(LEN(_DB_Exercises!BF60)&gt;0,_DB_Exercises!BF60,"")</f>
        <v>48</v>
      </c>
      <c r="AL62" s="31">
        <f>IF(LEN(_DB_Exercises!BG60)&gt;0,_DB_Exercises!BG60,"")</f>
        <v>51</v>
      </c>
      <c r="AM62" s="31">
        <f>IF(LEN(_DB_Exercises!BH60)&gt;0,_DB_Exercises!BH60,"")</f>
        <v>54</v>
      </c>
      <c r="AN62" s="31">
        <f>IF(LEN(_DB_Exercises!BI60)&gt;0,_DB_Exercises!BI60,"")</f>
        <v>58</v>
      </c>
      <c r="AO62" s="31">
        <f>IF(LEN(_DB_Exercises!BJ60)&gt;0,_DB_Exercises!BJ60,"")</f>
        <v>61</v>
      </c>
      <c r="AP62" s="31">
        <f>IF(LEN(_DB_Exercises!BK60)&gt;0,_DB_Exercises!BK60,"")</f>
        <v>64</v>
      </c>
      <c r="AQ62" s="31">
        <f>IF(LEN(_DB_Exercises!BL60)&gt;0,_DB_Exercises!BL60,"")</f>
        <v>67</v>
      </c>
      <c r="AR62" s="31">
        <f>IF(LEN(_DB_Exercises!BM60)&gt;0,_DB_Exercises!BM60,"")</f>
        <v>70</v>
      </c>
    </row>
    <row r="63" spans="1:44" x14ac:dyDescent="0.25">
      <c r="A63" s="11">
        <f>IF(LEN(_DB_Exercises!A61)&gt;0,_DB_Exercises!A61,"")</f>
        <v>2049</v>
      </c>
      <c r="B63" s="14" t="str">
        <f>IF(LEN(_DB_Exercises!K61)&gt;0,_DB_Exercises!K61,"")</f>
        <v>12 m  5 points</v>
      </c>
      <c r="C63" s="31">
        <f>IF(LEN(_DB_Exercises!X61)&gt;0,_DB_Exercises!X61,"")</f>
        <v>10</v>
      </c>
      <c r="D63" s="31">
        <f>IF(LEN(_DB_Exercises!Y61)&gt;0,_DB_Exercises!Y61,"")</f>
        <v>12</v>
      </c>
      <c r="E63" s="31">
        <f>IF(LEN(_DB_Exercises!Z61)&gt;0,_DB_Exercises!Z61,"")</f>
        <v>13</v>
      </c>
      <c r="F63" s="31">
        <f>IF(LEN(_DB_Exercises!AA61)&gt;0,_DB_Exercises!AA61,"")</f>
        <v>15</v>
      </c>
      <c r="G63" s="31">
        <f>IF(LEN(_DB_Exercises!AB61)&gt;0,_DB_Exercises!AB61,"")</f>
        <v>16</v>
      </c>
      <c r="H63" s="31">
        <f>IF(LEN(_DB_Exercises!AC61)&gt;0,_DB_Exercises!AC61,"")</f>
        <v>18</v>
      </c>
      <c r="I63" s="31">
        <f>IF(LEN(_DB_Exercises!AD61)&gt;0,_DB_Exercises!AD61,"")</f>
        <v>19</v>
      </c>
      <c r="J63" s="31">
        <f>IF(LEN(_DB_Exercises!AE61)&gt;0,_DB_Exercises!AE61,"")</f>
        <v>21</v>
      </c>
      <c r="K63" s="31">
        <f>IF(LEN(_DB_Exercises!AF61)&gt;0,_DB_Exercises!AF61,"")</f>
        <v>22</v>
      </c>
      <c r="L63" s="31">
        <f>IF(LEN(_DB_Exercises!AG61)&gt;0,_DB_Exercises!AG61,"")</f>
        <v>24</v>
      </c>
      <c r="M63" s="31">
        <f>IF(LEN(_DB_Exercises!AH61)&gt;0,_DB_Exercises!AH61,"")</f>
        <v>25</v>
      </c>
      <c r="N63" s="31">
        <f>IF(LEN(_DB_Exercises!AI61)&gt;0,_DB_Exercises!AI61,"")</f>
        <v>27</v>
      </c>
      <c r="O63" s="31">
        <f>IF(LEN(_DB_Exercises!AJ61)&gt;0,_DB_Exercises!AJ61,"")</f>
        <v>28</v>
      </c>
      <c r="P63" s="31">
        <f>IF(LEN(_DB_Exercises!AK61)&gt;0,_DB_Exercises!AK61,"")</f>
        <v>30</v>
      </c>
      <c r="Q63" s="31">
        <f>IF(LEN(_DB_Exercises!AL61)&gt;0,_DB_Exercises!AL61,"")</f>
        <v>32</v>
      </c>
      <c r="R63" s="31">
        <f>IF(LEN(_DB_Exercises!AM61)&gt;0,_DB_Exercises!AM61,"")</f>
        <v>34</v>
      </c>
      <c r="S63" s="31">
        <f>IF(LEN(_DB_Exercises!AN61)&gt;0,_DB_Exercises!AN61,"")</f>
        <v>36</v>
      </c>
      <c r="T63" s="31">
        <f>IF(LEN(_DB_Exercises!AO61)&gt;0,_DB_Exercises!AO61,"")</f>
        <v>38</v>
      </c>
      <c r="U63" s="31">
        <f>IF(LEN(_DB_Exercises!AP61)&gt;0,_DB_Exercises!AP61,"")</f>
        <v>40</v>
      </c>
      <c r="V63" s="31">
        <f>IF(LEN(_DB_Exercises!AQ61)&gt;0,_DB_Exercises!AQ61,"")</f>
        <v>42</v>
      </c>
      <c r="W63" s="31">
        <f>IF(LEN(_DB_Exercises!AR61)&gt;0,_DB_Exercises!AR61,"")</f>
        <v>44</v>
      </c>
      <c r="X63" s="31">
        <f>IF(LEN(_DB_Exercises!AS61)&gt;0,_DB_Exercises!AS61,"")</f>
        <v>46</v>
      </c>
      <c r="Y63" s="31">
        <f>IF(LEN(_DB_Exercises!AT61)&gt;0,_DB_Exercises!AT61,"")</f>
        <v>48</v>
      </c>
      <c r="Z63" s="31">
        <f>IF(LEN(_DB_Exercises!AU61)&gt;0,_DB_Exercises!AU61,"")</f>
        <v>50</v>
      </c>
      <c r="AA63" s="31">
        <f>IF(LEN(_DB_Exercises!AV61)&gt;0,_DB_Exercises!AV61,"")</f>
        <v>52</v>
      </c>
      <c r="AB63" s="31">
        <f>IF(LEN(_DB_Exercises!AW61)&gt;0,_DB_Exercises!AW61,"")</f>
        <v>55</v>
      </c>
      <c r="AC63" s="31">
        <f>IF(LEN(_DB_Exercises!AX61)&gt;0,_DB_Exercises!AX61,"")</f>
        <v>58</v>
      </c>
      <c r="AD63" s="31">
        <f>IF(LEN(_DB_Exercises!AY61)&gt;0,_DB_Exercises!AY61,"")</f>
        <v>60</v>
      </c>
      <c r="AE63" s="31">
        <f>IF(LEN(_DB_Exercises!AZ61)&gt;0,_DB_Exercises!AZ61,"")</f>
        <v>62</v>
      </c>
      <c r="AF63" s="31">
        <f>IF(LEN(_DB_Exercises!BA61)&gt;0,_DB_Exercises!BA61,"")</f>
        <v>65</v>
      </c>
      <c r="AG63" s="31">
        <f>IF(LEN(_DB_Exercises!BB61)&gt;0,_DB_Exercises!BB61,"")</f>
        <v>68</v>
      </c>
      <c r="AH63" s="31">
        <f>IF(LEN(_DB_Exercises!BC61)&gt;0,_DB_Exercises!BC61,"")</f>
        <v>70</v>
      </c>
      <c r="AI63" s="31">
        <f>IF(LEN(_DB_Exercises!BD61)&gt;0,_DB_Exercises!BD61,"")</f>
        <v>72</v>
      </c>
      <c r="AJ63" s="31">
        <f>IF(LEN(_DB_Exercises!BE61)&gt;0,_DB_Exercises!BE61,"")</f>
        <v>75</v>
      </c>
      <c r="AK63" s="31">
        <f>IF(LEN(_DB_Exercises!BF61)&gt;0,_DB_Exercises!BF61,"")</f>
        <v>78</v>
      </c>
      <c r="AL63" s="31">
        <f>IF(LEN(_DB_Exercises!BG61)&gt;0,_DB_Exercises!BG61,"")</f>
        <v>81</v>
      </c>
      <c r="AM63" s="31">
        <f>IF(LEN(_DB_Exercises!BH61)&gt;0,_DB_Exercises!BH61,"")</f>
        <v>84</v>
      </c>
      <c r="AN63" s="31">
        <f>IF(LEN(_DB_Exercises!BI61)&gt;0,_DB_Exercises!BI61,"")</f>
        <v>88</v>
      </c>
      <c r="AO63" s="31">
        <f>IF(LEN(_DB_Exercises!BJ61)&gt;0,_DB_Exercises!BJ61,"")</f>
        <v>91</v>
      </c>
      <c r="AP63" s="31">
        <f>IF(LEN(_DB_Exercises!BK61)&gt;0,_DB_Exercises!BK61,"")</f>
        <v>94</v>
      </c>
      <c r="AQ63" s="31">
        <f>IF(LEN(_DB_Exercises!BL61)&gt;0,_DB_Exercises!BL61,"")</f>
        <v>97</v>
      </c>
      <c r="AR63" s="31">
        <f>IF(LEN(_DB_Exercises!BM61)&gt;0,_DB_Exercises!BM61,"")</f>
        <v>100</v>
      </c>
    </row>
    <row r="64" spans="1:44" x14ac:dyDescent="0.25">
      <c r="A64" s="11">
        <f>IF(LEN(_DB_Exercises!A65)&gt;0,_DB_Exercises!A65,"")</f>
        <v>2053</v>
      </c>
      <c r="B64" s="14" t="str">
        <f>IF(LEN(_DB_Exercises!K65)&gt;0,_DB_Exercises!K65,"")</f>
        <v>6 m  10 holes</v>
      </c>
      <c r="C64" s="31">
        <f>IF(LEN(_DB_Exercises!X65)&gt;0,_DB_Exercises!X65,"")</f>
        <v>15</v>
      </c>
      <c r="D64" s="31">
        <f>IF(LEN(_DB_Exercises!Y65)&gt;0,_DB_Exercises!Y65,"")</f>
        <v>14.615384608507156</v>
      </c>
      <c r="E64" s="31">
        <f>IF(LEN(_DB_Exercises!Z65)&gt;0,_DB_Exercises!Z65,"")</f>
        <v>14.230769217014313</v>
      </c>
      <c r="F64" s="31">
        <f>IF(LEN(_DB_Exercises!AA65)&gt;0,_DB_Exercises!AA65,"")</f>
        <v>13.846153825521469</v>
      </c>
      <c r="G64" s="31">
        <f>IF(LEN(_DB_Exercises!AB65)&gt;0,_DB_Exercises!AB65,"")</f>
        <v>13.461538434028625</v>
      </c>
      <c r="H64" s="31">
        <f>IF(LEN(_DB_Exercises!AC65)&gt;0,_DB_Exercises!AC65,"")</f>
        <v>13.076923042535782</v>
      </c>
      <c r="I64" s="31">
        <f>IF(LEN(_DB_Exercises!AD65)&gt;0,_DB_Exercises!AD65,"")</f>
        <v>12.692307651042938</v>
      </c>
      <c r="J64" s="31">
        <f>IF(LEN(_DB_Exercises!AE65)&gt;0,_DB_Exercises!AE65,"")</f>
        <v>12.307692259550095</v>
      </c>
      <c r="K64" s="31">
        <f>IF(LEN(_DB_Exercises!AF65)&gt;0,_DB_Exercises!AF65,"")</f>
        <v>11.923076868057251</v>
      </c>
      <c r="L64" s="31">
        <f>IF(LEN(_DB_Exercises!AG65)&gt;0,_DB_Exercises!AG65,"")</f>
        <v>11.538461476564407</v>
      </c>
      <c r="M64" s="31">
        <f>IF(LEN(_DB_Exercises!AH65)&gt;0,_DB_Exercises!AH65,"")</f>
        <v>11.153846085071564</v>
      </c>
      <c r="N64" s="31">
        <f>IF(LEN(_DB_Exercises!AI65)&gt;0,_DB_Exercises!AI65,"")</f>
        <v>10.76923069357872</v>
      </c>
      <c r="O64" s="31">
        <f>IF(LEN(_DB_Exercises!AJ65)&gt;0,_DB_Exercises!AJ65,"")</f>
        <v>10.384615302085876</v>
      </c>
      <c r="P64" s="31">
        <f>IF(LEN(_DB_Exercises!AK65)&gt;0,_DB_Exercises!AK65,"")</f>
        <v>10</v>
      </c>
      <c r="Q64" s="31">
        <f>IF(LEN(_DB_Exercises!AL65)&gt;0,_DB_Exercises!AL65,"")</f>
        <v>10</v>
      </c>
      <c r="R64" s="31">
        <f>IF(LEN(_DB_Exercises!AM65)&gt;0,_DB_Exercises!AM65,"")</f>
        <v>9</v>
      </c>
      <c r="S64" s="31">
        <f>IF(LEN(_DB_Exercises!AN65)&gt;0,_DB_Exercises!AN65,"")</f>
        <v>9</v>
      </c>
      <c r="T64" s="31">
        <f>IF(LEN(_DB_Exercises!AO65)&gt;0,_DB_Exercises!AO65,"")</f>
        <v>9</v>
      </c>
      <c r="U64" s="31">
        <f>IF(LEN(_DB_Exercises!AP65)&gt;0,_DB_Exercises!AP65,"")</f>
        <v>8</v>
      </c>
      <c r="V64" s="31">
        <f>IF(LEN(_DB_Exercises!AQ65)&gt;0,_DB_Exercises!AQ65,"")</f>
        <v>8</v>
      </c>
      <c r="W64" s="31">
        <f>IF(LEN(_DB_Exercises!AR65)&gt;0,_DB_Exercises!AR65,"")</f>
        <v>8</v>
      </c>
      <c r="X64" s="31">
        <f>IF(LEN(_DB_Exercises!AS65)&gt;0,_DB_Exercises!AS65,"")</f>
        <v>8</v>
      </c>
      <c r="Y64" s="31">
        <f>IF(LEN(_DB_Exercises!AT65)&gt;0,_DB_Exercises!AT65,"")</f>
        <v>7</v>
      </c>
      <c r="Z64" s="31">
        <f>IF(LEN(_DB_Exercises!AU65)&gt;0,_DB_Exercises!AU65,"")</f>
        <v>7</v>
      </c>
      <c r="AA64" s="31">
        <f>IF(LEN(_DB_Exercises!AV65)&gt;0,_DB_Exercises!AV65,"")</f>
        <v>7</v>
      </c>
      <c r="AB64" s="31">
        <f>IF(LEN(_DB_Exercises!AW65)&gt;0,_DB_Exercises!AW65,"")</f>
        <v>6</v>
      </c>
      <c r="AC64" s="31">
        <f>IF(LEN(_DB_Exercises!AX65)&gt;0,_DB_Exercises!AX65,"")</f>
        <v>6</v>
      </c>
      <c r="AD64" s="31">
        <f>IF(LEN(_DB_Exercises!AY65)&gt;0,_DB_Exercises!AY65,"")</f>
        <v>5</v>
      </c>
      <c r="AE64" s="31">
        <f>IF(LEN(_DB_Exercises!AZ65)&gt;0,_DB_Exercises!AZ65,"")</f>
        <v>5</v>
      </c>
      <c r="AF64" s="31">
        <f>IF(LEN(_DB_Exercises!BA65)&gt;0,_DB_Exercises!BA65,"")</f>
        <v>5</v>
      </c>
      <c r="AG64" s="31">
        <f>IF(LEN(_DB_Exercises!BB65)&gt;0,_DB_Exercises!BB65,"")</f>
        <v>4</v>
      </c>
      <c r="AH64" s="31">
        <f>IF(LEN(_DB_Exercises!BC65)&gt;0,_DB_Exercises!BC65,"")</f>
        <v>4</v>
      </c>
      <c r="AI64" s="31">
        <f>IF(LEN(_DB_Exercises!BD65)&gt;0,_DB_Exercises!BD65,"")</f>
        <v>3</v>
      </c>
      <c r="AJ64" s="31">
        <f>IF(LEN(_DB_Exercises!BE65)&gt;0,_DB_Exercises!BE65,"")</f>
        <v>3</v>
      </c>
      <c r="AK64" s="31">
        <f>IF(LEN(_DB_Exercises!BF65)&gt;0,_DB_Exercises!BF65,"")</f>
        <v>2</v>
      </c>
      <c r="AL64" s="31">
        <f>IF(LEN(_DB_Exercises!BG65)&gt;0,_DB_Exercises!BG65,"")</f>
        <v>2</v>
      </c>
      <c r="AM64" s="31">
        <f>IF(LEN(_DB_Exercises!BH65)&gt;0,_DB_Exercises!BH65,"")</f>
        <v>2</v>
      </c>
      <c r="AN64" s="31">
        <f>IF(LEN(_DB_Exercises!BI65)&gt;0,_DB_Exercises!BI65,"")</f>
        <v>1</v>
      </c>
      <c r="AO64" s="31">
        <f>IF(LEN(_DB_Exercises!BJ65)&gt;0,_DB_Exercises!BJ65,"")</f>
        <v>0</v>
      </c>
      <c r="AP64" s="31">
        <f>IF(LEN(_DB_Exercises!BK65)&gt;0,_DB_Exercises!BK65,"")</f>
        <v>0</v>
      </c>
      <c r="AQ64" s="31">
        <f>IF(LEN(_DB_Exercises!BL65)&gt;0,_DB_Exercises!BL65,"")</f>
        <v>0</v>
      </c>
      <c r="AR64" s="31">
        <f>IF(LEN(_DB_Exercises!BM65)&gt;0,_DB_Exercises!BM65,"")</f>
        <v>-1</v>
      </c>
    </row>
    <row r="65" spans="1:44" x14ac:dyDescent="0.25">
      <c r="A65" s="11">
        <f>IF(LEN(_DB_Exercises!A66)&gt;0,_DB_Exercises!A66,"")</f>
        <v>2054</v>
      </c>
      <c r="B65" s="14" t="str">
        <f>IF(LEN(_DB_Exercises!K66)&gt;0,_DB_Exercises!K66,"")</f>
        <v>9 m  10 holes</v>
      </c>
      <c r="C65" s="31">
        <f>IF(LEN(_DB_Exercises!X66)&gt;0,_DB_Exercises!X66,"")</f>
        <v>10</v>
      </c>
      <c r="D65" s="31">
        <f>IF(LEN(_DB_Exercises!Y66)&gt;0,_DB_Exercises!Y66,"")</f>
        <v>9.5384615361690521</v>
      </c>
      <c r="E65" s="31">
        <f>IF(LEN(_DB_Exercises!Z66)&gt;0,_DB_Exercises!Z66,"")</f>
        <v>9.0769230723381042</v>
      </c>
      <c r="F65" s="31">
        <f>IF(LEN(_DB_Exercises!AA66)&gt;0,_DB_Exercises!AA66,"")</f>
        <v>8.6153846085071564</v>
      </c>
      <c r="G65" s="31">
        <f>IF(LEN(_DB_Exercises!AB66)&gt;0,_DB_Exercises!AB66,"")</f>
        <v>8.1538461446762085</v>
      </c>
      <c r="H65" s="31">
        <f>IF(LEN(_DB_Exercises!AC66)&gt;0,_DB_Exercises!AC66,"")</f>
        <v>7.6923076808452606</v>
      </c>
      <c r="I65" s="31">
        <f>IF(LEN(_DB_Exercises!AD66)&gt;0,_DB_Exercises!AD66,"")</f>
        <v>7.2307692170143127</v>
      </c>
      <c r="J65" s="31">
        <f>IF(LEN(_DB_Exercises!AE66)&gt;0,_DB_Exercises!AE66,"")</f>
        <v>6.7692307531833649</v>
      </c>
      <c r="K65" s="31">
        <f>IF(LEN(_DB_Exercises!AF66)&gt;0,_DB_Exercises!AF66,"")</f>
        <v>6.307692289352417</v>
      </c>
      <c r="L65" s="31">
        <f>IF(LEN(_DB_Exercises!AG66)&gt;0,_DB_Exercises!AG66,"")</f>
        <v>5.8461538255214691</v>
      </c>
      <c r="M65" s="31">
        <f>IF(LEN(_DB_Exercises!AH66)&gt;0,_DB_Exercises!AH66,"")</f>
        <v>5.3846153616905212</v>
      </c>
      <c r="N65" s="31">
        <f>IF(LEN(_DB_Exercises!AI66)&gt;0,_DB_Exercises!AI66,"")</f>
        <v>4.9230768978595734</v>
      </c>
      <c r="O65" s="31">
        <f>IF(LEN(_DB_Exercises!AJ66)&gt;0,_DB_Exercises!AJ66,"")</f>
        <v>4.4615384340286255</v>
      </c>
      <c r="P65" s="31">
        <f>IF(LEN(_DB_Exercises!AK66)&gt;0,_DB_Exercises!AK66,"")</f>
        <v>4</v>
      </c>
      <c r="Q65" s="31">
        <f>IF(LEN(_DB_Exercises!AL66)&gt;0,_DB_Exercises!AL66,"")</f>
        <v>4</v>
      </c>
      <c r="R65" s="31">
        <f>IF(LEN(_DB_Exercises!AM66)&gt;0,_DB_Exercises!AM66,"")</f>
        <v>3</v>
      </c>
      <c r="S65" s="31">
        <f>IF(LEN(_DB_Exercises!AN66)&gt;0,_DB_Exercises!AN66,"")</f>
        <v>3</v>
      </c>
      <c r="T65" s="31">
        <f>IF(LEN(_DB_Exercises!AO66)&gt;0,_DB_Exercises!AO66,"")</f>
        <v>2</v>
      </c>
      <c r="U65" s="31">
        <f>IF(LEN(_DB_Exercises!AP66)&gt;0,_DB_Exercises!AP66,"")</f>
        <v>2</v>
      </c>
      <c r="V65" s="31">
        <f>IF(LEN(_DB_Exercises!AQ66)&gt;0,_DB_Exercises!AQ66,"")</f>
        <v>2</v>
      </c>
      <c r="W65" s="31">
        <f>IF(LEN(_DB_Exercises!AR66)&gt;0,_DB_Exercises!AR66,"")</f>
        <v>1</v>
      </c>
      <c r="X65" s="31">
        <f>IF(LEN(_DB_Exercises!AS66)&gt;0,_DB_Exercises!AS66,"")</f>
        <v>1</v>
      </c>
      <c r="Y65" s="31">
        <f>IF(LEN(_DB_Exercises!AT66)&gt;0,_DB_Exercises!AT66,"")</f>
        <v>0</v>
      </c>
      <c r="Z65" s="31">
        <f>IF(LEN(_DB_Exercises!AU66)&gt;0,_DB_Exercises!AU66,"")</f>
        <v>0</v>
      </c>
      <c r="AA65" s="31">
        <f>IF(LEN(_DB_Exercises!AV66)&gt;0,_DB_Exercises!AV66,"")</f>
        <v>0</v>
      </c>
      <c r="AB65" s="31">
        <f>IF(LEN(_DB_Exercises!AW66)&gt;0,_DB_Exercises!AW66,"")</f>
        <v>-1</v>
      </c>
      <c r="AC65" s="31">
        <f>IF(LEN(_DB_Exercises!AX66)&gt;0,_DB_Exercises!AX66,"")</f>
        <v>-1</v>
      </c>
      <c r="AD65" s="31">
        <f>IF(LEN(_DB_Exercises!AY66)&gt;0,_DB_Exercises!AY66,"")</f>
        <v>-2</v>
      </c>
      <c r="AE65" s="31">
        <f>IF(LEN(_DB_Exercises!AZ66)&gt;0,_DB_Exercises!AZ66,"")</f>
        <v>-2</v>
      </c>
      <c r="AF65" s="31">
        <f>IF(LEN(_DB_Exercises!BA66)&gt;0,_DB_Exercises!BA66,"")</f>
        <v>-2</v>
      </c>
      <c r="AG65" s="31">
        <f>IF(LEN(_DB_Exercises!BB66)&gt;0,_DB_Exercises!BB66,"")</f>
        <v>-3</v>
      </c>
      <c r="AH65" s="31">
        <f>IF(LEN(_DB_Exercises!BC66)&gt;0,_DB_Exercises!BC66,"")</f>
        <v>-3</v>
      </c>
      <c r="AI65" s="31">
        <f>IF(LEN(_DB_Exercises!BD66)&gt;0,_DB_Exercises!BD66,"")</f>
        <v>-4</v>
      </c>
      <c r="AJ65" s="31">
        <f>IF(LEN(_DB_Exercises!BE66)&gt;0,_DB_Exercises!BE66,"")</f>
        <v>-4</v>
      </c>
      <c r="AK65" s="31">
        <f>IF(LEN(_DB_Exercises!BF66)&gt;0,_DB_Exercises!BF66,"")</f>
        <v>-4</v>
      </c>
      <c r="AL65" s="31">
        <f>IF(LEN(_DB_Exercises!BG66)&gt;0,_DB_Exercises!BG66,"")</f>
        <v>-5</v>
      </c>
      <c r="AM65" s="31">
        <f>IF(LEN(_DB_Exercises!BH66)&gt;0,_DB_Exercises!BH66,"")</f>
        <v>-5</v>
      </c>
      <c r="AN65" s="31">
        <f>IF(LEN(_DB_Exercises!BI66)&gt;0,_DB_Exercises!BI66,"")</f>
        <v>-6</v>
      </c>
      <c r="AO65" s="31">
        <f>IF(LEN(_DB_Exercises!BJ66)&gt;0,_DB_Exercises!BJ66,"")</f>
        <v>-6</v>
      </c>
      <c r="AP65" s="31">
        <f>IF(LEN(_DB_Exercises!BK66)&gt;0,_DB_Exercises!BK66,"")</f>
        <v>-6</v>
      </c>
      <c r="AQ65" s="31">
        <f>IF(LEN(_DB_Exercises!BL66)&gt;0,_DB_Exercises!BL66,"")</f>
        <v>-7</v>
      </c>
      <c r="AR65" s="31">
        <f>IF(LEN(_DB_Exercises!BM66)&gt;0,_DB_Exercises!BM66,"")</f>
        <v>-7</v>
      </c>
    </row>
    <row r="66" spans="1:44" x14ac:dyDescent="0.25">
      <c r="A66" s="11">
        <f>IF(LEN(_DB_Exercises!A67)&gt;0,_DB_Exercises!A67,"")</f>
        <v>2055</v>
      </c>
      <c r="B66" s="14" t="str">
        <f>IF(LEN(_DB_Exercises!K67)&gt;0,_DB_Exercises!K67,"")</f>
        <v>12 m  10 holes</v>
      </c>
      <c r="C66" s="31">
        <f>IF(LEN(_DB_Exercises!X67)&gt;0,_DB_Exercises!X67,"")</f>
        <v>5</v>
      </c>
      <c r="D66" s="31">
        <f>IF(LEN(_DB_Exercises!Y67)&gt;0,_DB_Exercises!Y67,"")</f>
        <v>4.5384615361690521</v>
      </c>
      <c r="E66" s="31">
        <f>IF(LEN(_DB_Exercises!Z67)&gt;0,_DB_Exercises!Z67,"")</f>
        <v>4.0769230723381042</v>
      </c>
      <c r="F66" s="31">
        <f>IF(LEN(_DB_Exercises!AA67)&gt;0,_DB_Exercises!AA67,"")</f>
        <v>3.6153846085071564</v>
      </c>
      <c r="G66" s="31">
        <f>IF(LEN(_DB_Exercises!AB67)&gt;0,_DB_Exercises!AB67,"")</f>
        <v>3.1538461446762085</v>
      </c>
      <c r="H66" s="31">
        <f>IF(LEN(_DB_Exercises!AC67)&gt;0,_DB_Exercises!AC67,"")</f>
        <v>2.6923076808452606</v>
      </c>
      <c r="I66" s="31">
        <f>IF(LEN(_DB_Exercises!AD67)&gt;0,_DB_Exercises!AD67,"")</f>
        <v>2.2307692170143127</v>
      </c>
      <c r="J66" s="31">
        <f>IF(LEN(_DB_Exercises!AE67)&gt;0,_DB_Exercises!AE67,"")</f>
        <v>1.7692307531833649</v>
      </c>
      <c r="K66" s="31">
        <f>IF(LEN(_DB_Exercises!AF67)&gt;0,_DB_Exercises!AF67,"")</f>
        <v>1.307692289352417</v>
      </c>
      <c r="L66" s="31">
        <f>IF(LEN(_DB_Exercises!AG67)&gt;0,_DB_Exercises!AG67,"")</f>
        <v>0.84615382552146912</v>
      </c>
      <c r="M66" s="31">
        <f>IF(LEN(_DB_Exercises!AH67)&gt;0,_DB_Exercises!AH67,"")</f>
        <v>0.38461536169052124</v>
      </c>
      <c r="N66" s="31">
        <f>IF(LEN(_DB_Exercises!AI67)&gt;0,_DB_Exercises!AI67,"")</f>
        <v>-7.6923102140426636E-2</v>
      </c>
      <c r="O66" s="31">
        <f>IF(LEN(_DB_Exercises!AJ67)&gt;0,_DB_Exercises!AJ67,"")</f>
        <v>-0.53846156597137451</v>
      </c>
      <c r="P66" s="31">
        <f>IF(LEN(_DB_Exercises!AK67)&gt;0,_DB_Exercises!AK67,"")</f>
        <v>-1</v>
      </c>
      <c r="Q66" s="31">
        <f>IF(LEN(_DB_Exercises!AL67)&gt;0,_DB_Exercises!AL67,"")</f>
        <v>-1</v>
      </c>
      <c r="R66" s="31" t="str">
        <f>IF(LEN(_DB_Exercises!AM67)&gt;0,_DB_Exercises!AM67,"")</f>
        <v>c</v>
      </c>
      <c r="S66" s="31">
        <f>IF(LEN(_DB_Exercises!AN67)&gt;0,_DB_Exercises!AN67,"")</f>
        <v>-2</v>
      </c>
      <c r="T66" s="31">
        <f>IF(LEN(_DB_Exercises!AO67)&gt;0,_DB_Exercises!AO67,"")</f>
        <v>-3</v>
      </c>
      <c r="U66" s="31">
        <f>IF(LEN(_DB_Exercises!AP67)&gt;0,_DB_Exercises!AP67,"")</f>
        <v>-3</v>
      </c>
      <c r="V66" s="31">
        <f>IF(LEN(_DB_Exercises!AQ67)&gt;0,_DB_Exercises!AQ67,"")</f>
        <v>-3</v>
      </c>
      <c r="W66" s="31">
        <f>IF(LEN(_DB_Exercises!AR67)&gt;0,_DB_Exercises!AR67,"")</f>
        <v>-4</v>
      </c>
      <c r="X66" s="31">
        <f>IF(LEN(_DB_Exercises!AS67)&gt;0,_DB_Exercises!AS67,"")</f>
        <v>-4</v>
      </c>
      <c r="Y66" s="31">
        <f>IF(LEN(_DB_Exercises!AT67)&gt;0,_DB_Exercises!AT67,"")</f>
        <v>-5</v>
      </c>
      <c r="Z66" s="31">
        <f>IF(LEN(_DB_Exercises!AU67)&gt;0,_DB_Exercises!AU67,"")</f>
        <v>-5</v>
      </c>
      <c r="AA66" s="31">
        <f>IF(LEN(_DB_Exercises!AV67)&gt;0,_DB_Exercises!AV67,"")</f>
        <v>-5</v>
      </c>
      <c r="AB66" s="31">
        <f>IF(LEN(_DB_Exercises!AW67)&gt;0,_DB_Exercises!AW67,"")</f>
        <v>-6</v>
      </c>
      <c r="AC66" s="31">
        <f>IF(LEN(_DB_Exercises!AX67)&gt;0,_DB_Exercises!AX67,"")</f>
        <v>-6</v>
      </c>
      <c r="AD66" s="31">
        <f>IF(LEN(_DB_Exercises!AY67)&gt;0,_DB_Exercises!AY67,"")</f>
        <v>-7</v>
      </c>
      <c r="AE66" s="31">
        <f>IF(LEN(_DB_Exercises!AZ67)&gt;0,_DB_Exercises!AZ67,"")</f>
        <v>-7</v>
      </c>
      <c r="AF66" s="31">
        <f>IF(LEN(_DB_Exercises!BA67)&gt;0,_DB_Exercises!BA67,"")</f>
        <v>-7</v>
      </c>
      <c r="AG66" s="31">
        <f>IF(LEN(_DB_Exercises!BB67)&gt;0,_DB_Exercises!BB67,"")</f>
        <v>-8</v>
      </c>
      <c r="AH66" s="31">
        <f>IF(LEN(_DB_Exercises!BC67)&gt;0,_DB_Exercises!BC67,"")</f>
        <v>-8</v>
      </c>
      <c r="AI66" s="31">
        <f>IF(LEN(_DB_Exercises!BD67)&gt;0,_DB_Exercises!BD67,"")</f>
        <v>-9</v>
      </c>
      <c r="AJ66" s="31">
        <f>IF(LEN(_DB_Exercises!BE67)&gt;0,_DB_Exercises!BE67,"")</f>
        <v>-9</v>
      </c>
      <c r="AK66" s="31">
        <f>IF(LEN(_DB_Exercises!BF67)&gt;0,_DB_Exercises!BF67,"")</f>
        <v>-10</v>
      </c>
      <c r="AL66" s="31">
        <f>IF(LEN(_DB_Exercises!BG67)&gt;0,_DB_Exercises!BG67,"")</f>
        <v>-10</v>
      </c>
      <c r="AM66" s="31">
        <f>IF(LEN(_DB_Exercises!BH67)&gt;0,_DB_Exercises!BH67,"")</f>
        <v>-11</v>
      </c>
      <c r="AN66" s="31">
        <f>IF(LEN(_DB_Exercises!BI67)&gt;0,_DB_Exercises!BI67,"")</f>
        <v>-12</v>
      </c>
      <c r="AO66" s="31">
        <f>IF(LEN(_DB_Exercises!BJ67)&gt;0,_DB_Exercises!BJ67,"")</f>
        <v>-12</v>
      </c>
      <c r="AP66" s="31">
        <f>IF(LEN(_DB_Exercises!BK67)&gt;0,_DB_Exercises!BK67,"")</f>
        <v>-13</v>
      </c>
      <c r="AQ66" s="31">
        <f>IF(LEN(_DB_Exercises!BL67)&gt;0,_DB_Exercises!BL67,"")</f>
        <v>-13</v>
      </c>
      <c r="AR66" s="31">
        <f>IF(LEN(_DB_Exercises!BM67)&gt;0,_DB_Exercises!BM67,"")</f>
        <v>-14</v>
      </c>
    </row>
    <row r="67" spans="1:44" x14ac:dyDescent="0.25">
      <c r="A67" s="11">
        <f>IF(LEN(_DB_Exercises!A68)&gt;0,_DB_Exercises!A68,"")</f>
        <v>2056</v>
      </c>
      <c r="B67" s="14" t="str">
        <f>IF(LEN(_DB_Exercises!K68)&gt;0,_DB_Exercises!K68,"")</f>
        <v>Sprial Game  60  - 180 cm</v>
      </c>
      <c r="C67" s="31">
        <f>IF(LEN(_DB_Exercises!X68)&gt;0,_DB_Exercises!X68,"")</f>
        <v>0</v>
      </c>
      <c r="D67" s="31">
        <f>IF(LEN(_DB_Exercises!Y68)&gt;0,_DB_Exercises!Y68,"")</f>
        <v>0</v>
      </c>
      <c r="E67" s="31">
        <f>IF(LEN(_DB_Exercises!Z68)&gt;0,_DB_Exercises!Z68,"")</f>
        <v>0</v>
      </c>
      <c r="F67" s="31">
        <f>IF(LEN(_DB_Exercises!AA68)&gt;0,_DB_Exercises!AA68,"")</f>
        <v>0</v>
      </c>
      <c r="G67" s="31">
        <f>IF(LEN(_DB_Exercises!AB68)&gt;0,_DB_Exercises!AB68,"")</f>
        <v>0</v>
      </c>
      <c r="H67" s="31">
        <f>IF(LEN(_DB_Exercises!AC68)&gt;0,_DB_Exercises!AC68,"")</f>
        <v>0</v>
      </c>
      <c r="I67" s="31">
        <f>IF(LEN(_DB_Exercises!AD68)&gt;0,_DB_Exercises!AD68,"")</f>
        <v>0</v>
      </c>
      <c r="J67" s="31">
        <f>IF(LEN(_DB_Exercises!AE68)&gt;0,_DB_Exercises!AE68,"")</f>
        <v>1</v>
      </c>
      <c r="K67" s="31">
        <f>IF(LEN(_DB_Exercises!AF68)&gt;0,_DB_Exercises!AF68,"")</f>
        <v>1</v>
      </c>
      <c r="L67" s="31">
        <f>IF(LEN(_DB_Exercises!AG68)&gt;0,_DB_Exercises!AG68,"")</f>
        <v>1</v>
      </c>
      <c r="M67" s="31">
        <f>IF(LEN(_DB_Exercises!AH68)&gt;0,_DB_Exercises!AH68,"")</f>
        <v>1</v>
      </c>
      <c r="N67" s="31">
        <f>IF(LEN(_DB_Exercises!AI68)&gt;0,_DB_Exercises!AI68,"")</f>
        <v>1</v>
      </c>
      <c r="O67" s="31">
        <f>IF(LEN(_DB_Exercises!AJ68)&gt;0,_DB_Exercises!AJ68,"")</f>
        <v>1</v>
      </c>
      <c r="P67" s="31">
        <f>IF(LEN(_DB_Exercises!AK68)&gt;0,_DB_Exercises!AK68,"")</f>
        <v>1</v>
      </c>
      <c r="Q67" s="31">
        <f>IF(LEN(_DB_Exercises!AL68)&gt;0,_DB_Exercises!AL68,"")</f>
        <v>1</v>
      </c>
      <c r="R67" s="31">
        <f>IF(LEN(_DB_Exercises!AM68)&gt;0,_DB_Exercises!AM68,"")</f>
        <v>1</v>
      </c>
      <c r="S67" s="31">
        <f>IF(LEN(_DB_Exercises!AN68)&gt;0,_DB_Exercises!AN68,"")</f>
        <v>1</v>
      </c>
      <c r="T67" s="31">
        <f>IF(LEN(_DB_Exercises!AO68)&gt;0,_DB_Exercises!AO68,"")</f>
        <v>1</v>
      </c>
      <c r="U67" s="31">
        <f>IF(LEN(_DB_Exercises!AP68)&gt;0,_DB_Exercises!AP68,"")</f>
        <v>2</v>
      </c>
      <c r="V67" s="31">
        <f>IF(LEN(_DB_Exercises!AQ68)&gt;0,_DB_Exercises!AQ68,"")</f>
        <v>2</v>
      </c>
      <c r="W67" s="31">
        <f>IF(LEN(_DB_Exercises!AR68)&gt;0,_DB_Exercises!AR68,"")</f>
        <v>2</v>
      </c>
      <c r="X67" s="31">
        <f>IF(LEN(_DB_Exercises!AS68)&gt;0,_DB_Exercises!AS68,"")</f>
        <v>2</v>
      </c>
      <c r="Y67" s="31">
        <f>IF(LEN(_DB_Exercises!AT68)&gt;0,_DB_Exercises!AT68,"")</f>
        <v>2</v>
      </c>
      <c r="Z67" s="31">
        <f>IF(LEN(_DB_Exercises!AU68)&gt;0,_DB_Exercises!AU68,"")</f>
        <v>2</v>
      </c>
      <c r="AA67" s="31">
        <f>IF(LEN(_DB_Exercises!AV68)&gt;0,_DB_Exercises!AV68,"")</f>
        <v>2</v>
      </c>
      <c r="AB67" s="31">
        <f>IF(LEN(_DB_Exercises!AW68)&gt;0,_DB_Exercises!AW68,"")</f>
        <v>2</v>
      </c>
      <c r="AC67" s="31">
        <f>IF(LEN(_DB_Exercises!AX68)&gt;0,_DB_Exercises!AX68,"")</f>
        <v>2</v>
      </c>
      <c r="AD67" s="31">
        <f>IF(LEN(_DB_Exercises!AY68)&gt;0,_DB_Exercises!AY68,"")</f>
        <v>2</v>
      </c>
      <c r="AE67" s="31">
        <f>IF(LEN(_DB_Exercises!AZ68)&gt;0,_DB_Exercises!AZ68,"")</f>
        <v>2</v>
      </c>
      <c r="AF67" s="31">
        <f>IF(LEN(_DB_Exercises!BA68)&gt;0,_DB_Exercises!BA68,"")</f>
        <v>3</v>
      </c>
      <c r="AG67" s="31">
        <f>IF(LEN(_DB_Exercises!BB68)&gt;0,_DB_Exercises!BB68,"")</f>
        <v>3</v>
      </c>
      <c r="AH67" s="31">
        <f>IF(LEN(_DB_Exercises!BC68)&gt;0,_DB_Exercises!BC68,"")</f>
        <v>3</v>
      </c>
      <c r="AI67" s="31">
        <f>IF(LEN(_DB_Exercises!BD68)&gt;0,_DB_Exercises!BD68,"")</f>
        <v>3</v>
      </c>
      <c r="AJ67" s="31">
        <f>IF(LEN(_DB_Exercises!BE68)&gt;0,_DB_Exercises!BE68,"")</f>
        <v>3</v>
      </c>
      <c r="AK67" s="31">
        <f>IF(LEN(_DB_Exercises!BF68)&gt;0,_DB_Exercises!BF68,"")</f>
        <v>3</v>
      </c>
      <c r="AL67" s="31">
        <f>IF(LEN(_DB_Exercises!BG68)&gt;0,_DB_Exercises!BG68,"")</f>
        <v>3</v>
      </c>
      <c r="AM67" s="31">
        <f>IF(LEN(_DB_Exercises!BH68)&gt;0,_DB_Exercises!BH68,"")</f>
        <v>3</v>
      </c>
      <c r="AN67" s="31">
        <f>IF(LEN(_DB_Exercises!BI68)&gt;0,_DB_Exercises!BI68,"")</f>
        <v>4</v>
      </c>
      <c r="AO67" s="31">
        <f>IF(LEN(_DB_Exercises!BJ68)&gt;0,_DB_Exercises!BJ68,"")</f>
        <v>4</v>
      </c>
      <c r="AP67" s="31">
        <f>IF(LEN(_DB_Exercises!BK68)&gt;0,_DB_Exercises!BK68,"")</f>
        <v>4</v>
      </c>
      <c r="AQ67" s="31">
        <f>IF(LEN(_DB_Exercises!BL68)&gt;0,_DB_Exercises!BL68,"")</f>
        <v>4</v>
      </c>
      <c r="AR67" s="31">
        <f>IF(LEN(_DB_Exercises!BM68)&gt;0,_DB_Exercises!BM68,"")</f>
        <v>4</v>
      </c>
    </row>
    <row r="68" spans="1:44" x14ac:dyDescent="0.25">
      <c r="A68" s="11">
        <f>IF(LEN(_DB_Exercises!A69)&gt;0,_DB_Exercises!A69,"")</f>
        <v>2057</v>
      </c>
      <c r="B68" s="14" t="str">
        <f>IF(LEN(_DB_Exercises!K69)&gt;0,_DB_Exercises!K69,"")</f>
        <v>Sprial Game  60  -  210 cm</v>
      </c>
      <c r="C68" s="31">
        <f>IF(LEN(_DB_Exercises!X69)&gt;0,_DB_Exercises!X69,"")</f>
        <v>1</v>
      </c>
      <c r="D68" s="31">
        <f>IF(LEN(_DB_Exercises!Y69)&gt;0,_DB_Exercises!Y69,"")</f>
        <v>1</v>
      </c>
      <c r="E68" s="31">
        <f>IF(LEN(_DB_Exercises!Z69)&gt;0,_DB_Exercises!Z69,"")</f>
        <v>1</v>
      </c>
      <c r="F68" s="31">
        <f>IF(LEN(_DB_Exercises!AA69)&gt;0,_DB_Exercises!AA69,"")</f>
        <v>1</v>
      </c>
      <c r="G68" s="31">
        <f>IF(LEN(_DB_Exercises!AB69)&gt;0,_DB_Exercises!AB69,"")</f>
        <v>2</v>
      </c>
      <c r="H68" s="31">
        <f>IF(LEN(_DB_Exercises!AC69)&gt;0,_DB_Exercises!AC69,"")</f>
        <v>2</v>
      </c>
      <c r="I68" s="31">
        <f>IF(LEN(_DB_Exercises!AD69)&gt;0,_DB_Exercises!AD69,"")</f>
        <v>2</v>
      </c>
      <c r="J68" s="31">
        <f>IF(LEN(_DB_Exercises!AE69)&gt;0,_DB_Exercises!AE69,"")</f>
        <v>2</v>
      </c>
      <c r="K68" s="31">
        <f>IF(LEN(_DB_Exercises!AF69)&gt;0,_DB_Exercises!AF69,"")</f>
        <v>2</v>
      </c>
      <c r="L68" s="31">
        <f>IF(LEN(_DB_Exercises!AG69)&gt;0,_DB_Exercises!AG69,"")</f>
        <v>2</v>
      </c>
      <c r="M68" s="31">
        <f>IF(LEN(_DB_Exercises!AH69)&gt;0,_DB_Exercises!AH69,"")</f>
        <v>3</v>
      </c>
      <c r="N68" s="31">
        <f>IF(LEN(_DB_Exercises!AI69)&gt;0,_DB_Exercises!AI69,"")</f>
        <v>3</v>
      </c>
      <c r="O68" s="31">
        <f>IF(LEN(_DB_Exercises!AJ69)&gt;0,_DB_Exercises!AJ69,"")</f>
        <v>3</v>
      </c>
      <c r="P68" s="31">
        <f>IF(LEN(_DB_Exercises!AK69)&gt;0,_DB_Exercises!AK69,"")</f>
        <v>3</v>
      </c>
      <c r="Q68" s="31">
        <f>IF(LEN(_DB_Exercises!AL69)&gt;0,_DB_Exercises!AL69,"")</f>
        <v>3</v>
      </c>
      <c r="R68" s="31">
        <f>IF(LEN(_DB_Exercises!AM69)&gt;0,_DB_Exercises!AM69,"")</f>
        <v>3</v>
      </c>
      <c r="S68" s="31">
        <f>IF(LEN(_DB_Exercises!AN69)&gt;0,_DB_Exercises!AN69,"")</f>
        <v>4</v>
      </c>
      <c r="T68" s="31">
        <f>IF(LEN(_DB_Exercises!AO69)&gt;0,_DB_Exercises!AO69,"")</f>
        <v>4</v>
      </c>
      <c r="U68" s="31">
        <f>IF(LEN(_DB_Exercises!AP69)&gt;0,_DB_Exercises!AP69,"")</f>
        <v>4</v>
      </c>
      <c r="V68" s="31">
        <f>IF(LEN(_DB_Exercises!AQ69)&gt;0,_DB_Exercises!AQ69,"")</f>
        <v>4</v>
      </c>
      <c r="W68" s="31">
        <f>IF(LEN(_DB_Exercises!AR69)&gt;0,_DB_Exercises!AR69,"")</f>
        <v>4</v>
      </c>
      <c r="X68" s="31">
        <f>IF(LEN(_DB_Exercises!AS69)&gt;0,_DB_Exercises!AS69,"")</f>
        <v>5</v>
      </c>
      <c r="Y68" s="31">
        <f>IF(LEN(_DB_Exercises!AT69)&gt;0,_DB_Exercises!AT69,"")</f>
        <v>5</v>
      </c>
      <c r="Z68" s="31">
        <f>IF(LEN(_DB_Exercises!AU69)&gt;0,_DB_Exercises!AU69,"")</f>
        <v>5</v>
      </c>
      <c r="AA68" s="31">
        <f>IF(LEN(_DB_Exercises!AV69)&gt;0,_DB_Exercises!AV69,"")</f>
        <v>6</v>
      </c>
      <c r="AB68" s="31">
        <f>IF(LEN(_DB_Exercises!AW69)&gt;0,_DB_Exercises!AW69,"")</f>
        <v>7</v>
      </c>
      <c r="AC68" s="31">
        <f>IF(LEN(_DB_Exercises!AX69)&gt;0,_DB_Exercises!AX69,"")</f>
        <v>8</v>
      </c>
      <c r="AD68" s="31">
        <f>IF(LEN(_DB_Exercises!AY69)&gt;0,_DB_Exercises!AY69,"")</f>
        <v>9</v>
      </c>
      <c r="AE68" s="31">
        <f>IF(LEN(_DB_Exercises!AZ69)&gt;0,_DB_Exercises!AZ69,"")</f>
        <v>10</v>
      </c>
      <c r="AF68" s="31">
        <f>IF(LEN(_DB_Exercises!BA69)&gt;0,_DB_Exercises!BA69,"")</f>
        <v>10</v>
      </c>
      <c r="AG68" s="31">
        <f>IF(LEN(_DB_Exercises!BB69)&gt;0,_DB_Exercises!BB69,"")</f>
        <v>11</v>
      </c>
      <c r="AH68" s="31">
        <f>IF(LEN(_DB_Exercises!BC69)&gt;0,_DB_Exercises!BC69,"")</f>
        <v>12</v>
      </c>
      <c r="AI68" s="31">
        <f>IF(LEN(_DB_Exercises!BD69)&gt;0,_DB_Exercises!BD69,"")</f>
        <v>13</v>
      </c>
      <c r="AJ68" s="31">
        <f>IF(LEN(_DB_Exercises!BE69)&gt;0,_DB_Exercises!BE69,"")</f>
        <v>14</v>
      </c>
      <c r="AK68" s="31">
        <f>IF(LEN(_DB_Exercises!BF69)&gt;0,_DB_Exercises!BF69,"")</f>
        <v>14</v>
      </c>
      <c r="AL68" s="31">
        <f>IF(LEN(_DB_Exercises!BG69)&gt;0,_DB_Exercises!BG69,"")</f>
        <v>14</v>
      </c>
      <c r="AM68" s="31">
        <f>IF(LEN(_DB_Exercises!BH69)&gt;0,_DB_Exercises!BH69,"")</f>
        <v>14</v>
      </c>
      <c r="AN68" s="31">
        <f>IF(LEN(_DB_Exercises!BI69)&gt;0,_DB_Exercises!BI69,"")</f>
        <v>14</v>
      </c>
      <c r="AO68" s="31">
        <f>IF(LEN(_DB_Exercises!BJ69)&gt;0,_DB_Exercises!BJ69,"")</f>
        <v>15</v>
      </c>
      <c r="AP68" s="31">
        <f>IF(LEN(_DB_Exercises!BK69)&gt;0,_DB_Exercises!BK69,"")</f>
        <v>15</v>
      </c>
      <c r="AQ68" s="31">
        <f>IF(LEN(_DB_Exercises!BL69)&gt;0,_DB_Exercises!BL69,"")</f>
        <v>15</v>
      </c>
      <c r="AR68" s="31">
        <f>IF(LEN(_DB_Exercises!BM69)&gt;0,_DB_Exercises!BM69,"")</f>
        <v>15</v>
      </c>
    </row>
    <row r="69" spans="1:44" x14ac:dyDescent="0.25">
      <c r="A69" s="11">
        <f>IF(LEN(_DB_Exercises!A70)&gt;0,_DB_Exercises!A70,"")</f>
        <v>2058</v>
      </c>
      <c r="B69" s="14" t="str">
        <f>IF(LEN(_DB_Exercises!K70)&gt;0,_DB_Exercises!K70,"")</f>
        <v>Sprial Game  60 -  240 cm</v>
      </c>
      <c r="C69" s="31">
        <f>IF(LEN(_DB_Exercises!X70)&gt;0,_DB_Exercises!X70,"")</f>
        <v>3</v>
      </c>
      <c r="D69" s="31">
        <f>IF(LEN(_DB_Exercises!Y70)&gt;0,_DB_Exercises!Y70,"")</f>
        <v>4</v>
      </c>
      <c r="E69" s="31">
        <f>IF(LEN(_DB_Exercises!Z70)&gt;0,_DB_Exercises!Z70,"")</f>
        <v>4</v>
      </c>
      <c r="F69" s="31">
        <f>IF(LEN(_DB_Exercises!AA70)&gt;0,_DB_Exercises!AA70,"")</f>
        <v>5</v>
      </c>
      <c r="G69" s="31">
        <f>IF(LEN(_DB_Exercises!AB70)&gt;0,_DB_Exercises!AB70,"")</f>
        <v>5</v>
      </c>
      <c r="H69" s="31">
        <f>IF(LEN(_DB_Exercises!AC70)&gt;0,_DB_Exercises!AC70,"")</f>
        <v>6</v>
      </c>
      <c r="I69" s="31">
        <f>IF(LEN(_DB_Exercises!AD70)&gt;0,_DB_Exercises!AD70,"")</f>
        <v>7</v>
      </c>
      <c r="J69" s="31">
        <f>IF(LEN(_DB_Exercises!AE70)&gt;0,_DB_Exercises!AE70,"")</f>
        <v>7</v>
      </c>
      <c r="K69" s="31">
        <f>IF(LEN(_DB_Exercises!AF70)&gt;0,_DB_Exercises!AF70,"")</f>
        <v>8</v>
      </c>
      <c r="L69" s="31">
        <f>IF(LEN(_DB_Exercises!AG70)&gt;0,_DB_Exercises!AG70,"")</f>
        <v>9</v>
      </c>
      <c r="M69" s="31">
        <f>IF(LEN(_DB_Exercises!AH70)&gt;0,_DB_Exercises!AH70,"")</f>
        <v>9</v>
      </c>
      <c r="N69" s="31">
        <f>IF(LEN(_DB_Exercises!AI70)&gt;0,_DB_Exercises!AI70,"")</f>
        <v>10</v>
      </c>
      <c r="O69" s="31">
        <f>IF(LEN(_DB_Exercises!AJ70)&gt;0,_DB_Exercises!AJ70,"")</f>
        <v>10</v>
      </c>
      <c r="P69" s="31">
        <f>IF(LEN(_DB_Exercises!AK70)&gt;0,_DB_Exercises!AK70,"")</f>
        <v>11</v>
      </c>
      <c r="Q69" s="31">
        <f>IF(LEN(_DB_Exercises!AL70)&gt;0,_DB_Exercises!AL70,"")</f>
        <v>12</v>
      </c>
      <c r="R69" s="31">
        <f>IF(LEN(_DB_Exercises!AM70)&gt;0,_DB_Exercises!AM70,"")</f>
        <v>13</v>
      </c>
      <c r="S69" s="31">
        <f>IF(LEN(_DB_Exercises!AN70)&gt;0,_DB_Exercises!AN70,"")</f>
        <v>13</v>
      </c>
      <c r="T69" s="31">
        <f>IF(LEN(_DB_Exercises!AO70)&gt;0,_DB_Exercises!AO70,"")</f>
        <v>14</v>
      </c>
      <c r="U69" s="31">
        <f>IF(LEN(_DB_Exercises!AP70)&gt;0,_DB_Exercises!AP70,"")</f>
        <v>15</v>
      </c>
      <c r="V69" s="31">
        <f>IF(LEN(_DB_Exercises!AQ70)&gt;0,_DB_Exercises!AQ70,"")</f>
        <v>16</v>
      </c>
      <c r="W69" s="31">
        <f>IF(LEN(_DB_Exercises!AR70)&gt;0,_DB_Exercises!AR70,"")</f>
        <v>17</v>
      </c>
      <c r="X69" s="31">
        <f>IF(LEN(_DB_Exercises!AS70)&gt;0,_DB_Exercises!AS70,"")</f>
        <v>17</v>
      </c>
      <c r="Y69" s="31">
        <f>IF(LEN(_DB_Exercises!AT70)&gt;0,_DB_Exercises!AT70,"")</f>
        <v>18</v>
      </c>
      <c r="Z69" s="31">
        <f>IF(LEN(_DB_Exercises!AU70)&gt;0,_DB_Exercises!AU70,"")</f>
        <v>19</v>
      </c>
      <c r="AA69" s="31">
        <f>IF(LEN(_DB_Exercises!AV70)&gt;0,_DB_Exercises!AV70,"")</f>
        <v>22</v>
      </c>
      <c r="AB69" s="31">
        <f>IF(LEN(_DB_Exercises!AW70)&gt;0,_DB_Exercises!AW70,"")</f>
        <v>25</v>
      </c>
      <c r="AC69" s="31">
        <f>IF(LEN(_DB_Exercises!AX70)&gt;0,_DB_Exercises!AX70,"")</f>
        <v>28</v>
      </c>
      <c r="AD69" s="31">
        <f>IF(LEN(_DB_Exercises!AY70)&gt;0,_DB_Exercises!AY70,"")</f>
        <v>31</v>
      </c>
      <c r="AE69" s="31">
        <f>IF(LEN(_DB_Exercises!AZ70)&gt;0,_DB_Exercises!AZ70,"")</f>
        <v>34</v>
      </c>
      <c r="AF69" s="31">
        <f>IF(LEN(_DB_Exercises!BA70)&gt;0,_DB_Exercises!BA70,"")</f>
        <v>38</v>
      </c>
      <c r="AG69" s="31">
        <f>IF(LEN(_DB_Exercises!BB70)&gt;0,_DB_Exercises!BB70,"")</f>
        <v>41</v>
      </c>
      <c r="AH69" s="31">
        <f>IF(LEN(_DB_Exercises!BC70)&gt;0,_DB_Exercises!BC70,"")</f>
        <v>44</v>
      </c>
      <c r="AI69" s="31">
        <f>IF(LEN(_DB_Exercises!BD70)&gt;0,_DB_Exercises!BD70,"")</f>
        <v>47</v>
      </c>
      <c r="AJ69" s="31">
        <f>IF(LEN(_DB_Exercises!BE70)&gt;0,_DB_Exercises!BE70,"")</f>
        <v>50</v>
      </c>
      <c r="AK69" s="31">
        <f>IF(LEN(_DB_Exercises!BF70)&gt;0,_DB_Exercises!BF70,"")</f>
        <v>53</v>
      </c>
      <c r="AL69" s="31">
        <f>IF(LEN(_DB_Exercises!BG70)&gt;0,_DB_Exercises!BG70,"")</f>
        <v>57</v>
      </c>
      <c r="AM69" s="31">
        <f>IF(LEN(_DB_Exercises!BH70)&gt;0,_DB_Exercises!BH70,"")</f>
        <v>60</v>
      </c>
      <c r="AN69" s="31">
        <f>IF(LEN(_DB_Exercises!BI70)&gt;0,_DB_Exercises!BI70,"")</f>
        <v>64</v>
      </c>
      <c r="AO69" s="31">
        <f>IF(LEN(_DB_Exercises!BJ70)&gt;0,_DB_Exercises!BJ70,"")</f>
        <v>67</v>
      </c>
      <c r="AP69" s="31">
        <f>IF(LEN(_DB_Exercises!BK70)&gt;0,_DB_Exercises!BK70,"")</f>
        <v>70</v>
      </c>
      <c r="AQ69" s="31">
        <f>IF(LEN(_DB_Exercises!BL70)&gt;0,_DB_Exercises!BL70,"")</f>
        <v>74</v>
      </c>
      <c r="AR69" s="31">
        <f>IF(LEN(_DB_Exercises!BM70)&gt;0,_DB_Exercises!BM70,"")</f>
        <v>77</v>
      </c>
    </row>
    <row r="70" spans="1:44" x14ac:dyDescent="0.25">
      <c r="A70" s="11">
        <f>IF(LEN(_DB_Exercises!A71)&gt;0,_DB_Exercises!A71,"")</f>
        <v>2059</v>
      </c>
      <c r="B70" s="14" t="str">
        <f>IF(LEN(_DB_Exercises!K71)&gt;0,_DB_Exercises!K71,"")</f>
        <v>Sprial Game  60  -  270 cm</v>
      </c>
      <c r="C70" s="31">
        <f>IF(LEN(_DB_Exercises!X71)&gt;0,_DB_Exercises!X71,"")</f>
        <v>8</v>
      </c>
      <c r="D70" s="31">
        <f>IF(LEN(_DB_Exercises!Y71)&gt;0,_DB_Exercises!Y71,"")</f>
        <v>10</v>
      </c>
      <c r="E70" s="31">
        <f>IF(LEN(_DB_Exercises!Z71)&gt;0,_DB_Exercises!Z71,"")</f>
        <v>13</v>
      </c>
      <c r="F70" s="31">
        <f>IF(LEN(_DB_Exercises!AA71)&gt;0,_DB_Exercises!AA71,"")</f>
        <v>15</v>
      </c>
      <c r="G70" s="31">
        <f>IF(LEN(_DB_Exercises!AB71)&gt;0,_DB_Exercises!AB71,"")</f>
        <v>18</v>
      </c>
      <c r="H70" s="31">
        <f>IF(LEN(_DB_Exercises!AC71)&gt;0,_DB_Exercises!AC71,"")</f>
        <v>20</v>
      </c>
      <c r="I70" s="31">
        <f>IF(LEN(_DB_Exercises!AD71)&gt;0,_DB_Exercises!AD71,"")</f>
        <v>23</v>
      </c>
      <c r="J70" s="31">
        <f>IF(LEN(_DB_Exercises!AE71)&gt;0,_DB_Exercises!AE71,"")</f>
        <v>25</v>
      </c>
      <c r="K70" s="31">
        <f>IF(LEN(_DB_Exercises!AF71)&gt;0,_DB_Exercises!AF71,"")</f>
        <v>28</v>
      </c>
      <c r="L70" s="31">
        <f>IF(LEN(_DB_Exercises!AG71)&gt;0,_DB_Exercises!AG71,"")</f>
        <v>30</v>
      </c>
      <c r="M70" s="31">
        <f>IF(LEN(_DB_Exercises!AH71)&gt;0,_DB_Exercises!AH71,"")</f>
        <v>33</v>
      </c>
      <c r="N70" s="31">
        <f>IF(LEN(_DB_Exercises!AI71)&gt;0,_DB_Exercises!AI71,"")</f>
        <v>35</v>
      </c>
      <c r="O70" s="31">
        <f>IF(LEN(_DB_Exercises!AJ71)&gt;0,_DB_Exercises!AJ71,"")</f>
        <v>38</v>
      </c>
      <c r="P70" s="31">
        <f>IF(LEN(_DB_Exercises!AK71)&gt;0,_DB_Exercises!AK71,"")</f>
        <v>40</v>
      </c>
      <c r="Q70" s="31">
        <f>IF(LEN(_DB_Exercises!AL71)&gt;0,_DB_Exercises!AL71,"")</f>
        <v>42</v>
      </c>
      <c r="R70" s="31">
        <f>IF(LEN(_DB_Exercises!AM71)&gt;0,_DB_Exercises!AM71,"")</f>
        <v>44</v>
      </c>
      <c r="S70" s="31">
        <f>IF(LEN(_DB_Exercises!AN71)&gt;0,_DB_Exercises!AN71,"")</f>
        <v>46</v>
      </c>
      <c r="T70" s="31">
        <f>IF(LEN(_DB_Exercises!AO71)&gt;0,_DB_Exercises!AO71,"")</f>
        <v>48</v>
      </c>
      <c r="U70" s="31">
        <f>IF(LEN(_DB_Exercises!AP71)&gt;0,_DB_Exercises!AP71,"")</f>
        <v>50</v>
      </c>
      <c r="V70" s="31">
        <f>IF(LEN(_DB_Exercises!AQ71)&gt;0,_DB_Exercises!AQ71,"")</f>
        <v>52</v>
      </c>
      <c r="W70" s="31">
        <f>IF(LEN(_DB_Exercises!AR71)&gt;0,_DB_Exercises!AR71,"")</f>
        <v>54</v>
      </c>
      <c r="X70" s="31">
        <f>IF(LEN(_DB_Exercises!AS71)&gt;0,_DB_Exercises!AS71,"")</f>
        <v>56</v>
      </c>
      <c r="Y70" s="31">
        <f>IF(LEN(_DB_Exercises!AT71)&gt;0,_DB_Exercises!AT71,"")</f>
        <v>58</v>
      </c>
      <c r="Z70" s="31">
        <f>IF(LEN(_DB_Exercises!AU71)&gt;0,_DB_Exercises!AU71,"")</f>
        <v>60</v>
      </c>
      <c r="AA70" s="31">
        <f>IF(LEN(_DB_Exercises!AV71)&gt;0,_DB_Exercises!AV71,"")</f>
        <v>64</v>
      </c>
      <c r="AB70" s="31">
        <f>IF(LEN(_DB_Exercises!AW71)&gt;0,_DB_Exercises!AW71,"")</f>
        <v>68</v>
      </c>
      <c r="AC70" s="31">
        <f>IF(LEN(_DB_Exercises!AX71)&gt;0,_DB_Exercises!AX71,"")</f>
        <v>72</v>
      </c>
      <c r="AD70" s="31">
        <f>IF(LEN(_DB_Exercises!AY71)&gt;0,_DB_Exercises!AY71,"")</f>
        <v>76</v>
      </c>
      <c r="AE70" s="31">
        <f>IF(LEN(_DB_Exercises!AZ71)&gt;0,_DB_Exercises!AZ71,"")</f>
        <v>80</v>
      </c>
      <c r="AF70" s="31">
        <f>IF(LEN(_DB_Exercises!BA71)&gt;0,_DB_Exercises!BA71,"")</f>
        <v>84</v>
      </c>
      <c r="AG70" s="31">
        <f>IF(LEN(_DB_Exercises!BB71)&gt;0,_DB_Exercises!BB71,"")</f>
        <v>88</v>
      </c>
      <c r="AH70" s="31">
        <f>IF(LEN(_DB_Exercises!BC71)&gt;0,_DB_Exercises!BC71,"")</f>
        <v>92</v>
      </c>
      <c r="AI70" s="31">
        <f>IF(LEN(_DB_Exercises!BD71)&gt;0,_DB_Exercises!BD71,"")</f>
        <v>96</v>
      </c>
      <c r="AJ70" s="31">
        <f>IF(LEN(_DB_Exercises!BE71)&gt;0,_DB_Exercises!BE71,"")</f>
        <v>100</v>
      </c>
      <c r="AK70" s="31">
        <f>IF(LEN(_DB_Exercises!BF71)&gt;0,_DB_Exercises!BF71,"")</f>
        <v>105</v>
      </c>
      <c r="AL70" s="31">
        <f>IF(LEN(_DB_Exercises!BG71)&gt;0,_DB_Exercises!BG71,"")</f>
        <v>110</v>
      </c>
      <c r="AM70" s="31">
        <f>IF(LEN(_DB_Exercises!BH71)&gt;0,_DB_Exercises!BH71,"")</f>
        <v>115</v>
      </c>
      <c r="AN70" s="31">
        <f>IF(LEN(_DB_Exercises!BI71)&gt;0,_DB_Exercises!BI71,"")</f>
        <v>120</v>
      </c>
      <c r="AO70" s="31">
        <f>IF(LEN(_DB_Exercises!BJ71)&gt;0,_DB_Exercises!BJ71,"")</f>
        <v>125</v>
      </c>
      <c r="AP70" s="31">
        <f>IF(LEN(_DB_Exercises!BK71)&gt;0,_DB_Exercises!BK71,"")</f>
        <v>130</v>
      </c>
      <c r="AQ70" s="31">
        <f>IF(LEN(_DB_Exercises!BL71)&gt;0,_DB_Exercises!BL71,"")</f>
        <v>135</v>
      </c>
      <c r="AR70" s="31">
        <f>IF(LEN(_DB_Exercises!BM71)&gt;0,_DB_Exercises!BM71,"")</f>
        <v>140</v>
      </c>
    </row>
    <row r="71" spans="1:44" x14ac:dyDescent="0.25">
      <c r="A71" s="11">
        <f>IF(LEN(_DB_Exercises!A72)&gt;0,_DB_Exercises!A72,"")</f>
        <v>2060</v>
      </c>
      <c r="B71" s="14" t="str">
        <f>IF(LEN(_DB_Exercises!K72)&gt;0,_DB_Exercises!K72,"")</f>
        <v>Sprial Game  60  -  300 cm</v>
      </c>
      <c r="C71" s="31">
        <f>IF(LEN(_DB_Exercises!X72)&gt;0,_DB_Exercises!X72,"")</f>
        <v>23</v>
      </c>
      <c r="D71" s="31">
        <f>IF(LEN(_DB_Exercises!Y72)&gt;0,_DB_Exercises!Y72,"")</f>
        <v>29</v>
      </c>
      <c r="E71" s="31">
        <f>IF(LEN(_DB_Exercises!Z72)&gt;0,_DB_Exercises!Z72,"")</f>
        <v>35</v>
      </c>
      <c r="F71" s="31">
        <f>IF(LEN(_DB_Exercises!AA72)&gt;0,_DB_Exercises!AA72,"")</f>
        <v>41</v>
      </c>
      <c r="G71" s="31">
        <f>IF(LEN(_DB_Exercises!AB72)&gt;0,_DB_Exercises!AB72,"")</f>
        <v>47</v>
      </c>
      <c r="H71" s="31">
        <f>IF(LEN(_DB_Exercises!AC72)&gt;0,_DB_Exercises!AC72,"")</f>
        <v>53</v>
      </c>
      <c r="I71" s="31">
        <f>IF(LEN(_DB_Exercises!AD72)&gt;0,_DB_Exercises!AD72,"")</f>
        <v>59</v>
      </c>
      <c r="J71" s="31">
        <f>IF(LEN(_DB_Exercises!AE72)&gt;0,_DB_Exercises!AE72,"")</f>
        <v>64</v>
      </c>
      <c r="K71" s="31">
        <f>IF(LEN(_DB_Exercises!AF72)&gt;0,_DB_Exercises!AF72,"")</f>
        <v>70</v>
      </c>
      <c r="L71" s="31">
        <f>IF(LEN(_DB_Exercises!AG72)&gt;0,_DB_Exercises!AG72,"")</f>
        <v>76</v>
      </c>
      <c r="M71" s="31">
        <f>IF(LEN(_DB_Exercises!AH72)&gt;0,_DB_Exercises!AH72,"")</f>
        <v>82</v>
      </c>
      <c r="N71" s="31">
        <f>IF(LEN(_DB_Exercises!AI72)&gt;0,_DB_Exercises!AI72,"")</f>
        <v>88</v>
      </c>
      <c r="O71" s="31">
        <f>IF(LEN(_DB_Exercises!AJ72)&gt;0,_DB_Exercises!AJ72,"")</f>
        <v>94</v>
      </c>
      <c r="P71" s="31">
        <f>IF(LEN(_DB_Exercises!AK72)&gt;0,_DB_Exercises!AK72,"")</f>
        <v>100</v>
      </c>
      <c r="Q71" s="31">
        <f>IF(LEN(_DB_Exercises!AL72)&gt;0,_DB_Exercises!AL72,"")</f>
        <v>105</v>
      </c>
      <c r="R71" s="31">
        <f>IF(LEN(_DB_Exercises!AM72)&gt;0,_DB_Exercises!AM72,"")</f>
        <v>110</v>
      </c>
      <c r="S71" s="31">
        <f>IF(LEN(_DB_Exercises!AN72)&gt;0,_DB_Exercises!AN72,"")</f>
        <v>115</v>
      </c>
      <c r="T71" s="31">
        <f>IF(LEN(_DB_Exercises!AO72)&gt;0,_DB_Exercises!AO72,"")</f>
        <v>120</v>
      </c>
      <c r="U71" s="31">
        <f>IF(LEN(_DB_Exercises!AP72)&gt;0,_DB_Exercises!AP72,"")</f>
        <v>125</v>
      </c>
      <c r="V71" s="31">
        <f>IF(LEN(_DB_Exercises!AQ72)&gt;0,_DB_Exercises!AQ72,"")</f>
        <v>130</v>
      </c>
      <c r="W71" s="31">
        <f>IF(LEN(_DB_Exercises!AR72)&gt;0,_DB_Exercises!AR72,"")</f>
        <v>135</v>
      </c>
      <c r="X71" s="31">
        <f>IF(LEN(_DB_Exercises!AS72)&gt;0,_DB_Exercises!AS72,"")</f>
        <v>140</v>
      </c>
      <c r="Y71" s="31">
        <f>IF(LEN(_DB_Exercises!AT72)&gt;0,_DB_Exercises!AT72,"")</f>
        <v>145</v>
      </c>
      <c r="Z71" s="31">
        <f>IF(LEN(_DB_Exercises!AU72)&gt;0,_DB_Exercises!AU72,"")</f>
        <v>150</v>
      </c>
      <c r="AA71" s="31">
        <f>IF(LEN(_DB_Exercises!AV72)&gt;0,_DB_Exercises!AV72,"")</f>
        <v>155</v>
      </c>
      <c r="AB71" s="31">
        <f>IF(LEN(_DB_Exercises!AW72)&gt;0,_DB_Exercises!AW72,"")</f>
        <v>160</v>
      </c>
      <c r="AC71" s="31">
        <f>IF(LEN(_DB_Exercises!AX72)&gt;0,_DB_Exercises!AX72,"")</f>
        <v>165</v>
      </c>
      <c r="AD71" s="31">
        <f>IF(LEN(_DB_Exercises!AY72)&gt;0,_DB_Exercises!AY72,"")</f>
        <v>170</v>
      </c>
      <c r="AE71" s="31">
        <f>IF(LEN(_DB_Exercises!AZ72)&gt;0,_DB_Exercises!AZ72,"")</f>
        <v>175</v>
      </c>
      <c r="AF71" s="31">
        <f>IF(LEN(_DB_Exercises!BA72)&gt;0,_DB_Exercises!BA72,"")</f>
        <v>180</v>
      </c>
      <c r="AG71" s="31">
        <f>IF(LEN(_DB_Exercises!BB72)&gt;0,_DB_Exercises!BB72,"")</f>
        <v>185</v>
      </c>
      <c r="AH71" s="31">
        <f>IF(LEN(_DB_Exercises!BC72)&gt;0,_DB_Exercises!BC72,"")</f>
        <v>190</v>
      </c>
      <c r="AI71" s="31">
        <f>IF(LEN(_DB_Exercises!BD72)&gt;0,_DB_Exercises!BD72,"")</f>
        <v>195</v>
      </c>
      <c r="AJ71" s="31">
        <f>IF(LEN(_DB_Exercises!BE72)&gt;0,_DB_Exercises!BE72,"")</f>
        <v>200</v>
      </c>
      <c r="AK71" s="31">
        <f>IF(LEN(_DB_Exercises!BF72)&gt;0,_DB_Exercises!BF72,"")</f>
        <v>225</v>
      </c>
      <c r="AL71" s="31">
        <f>IF(LEN(_DB_Exercises!BG72)&gt;0,_DB_Exercises!BG72,"")</f>
        <v>250</v>
      </c>
      <c r="AM71" s="31">
        <f>IF(LEN(_DB_Exercises!BH72)&gt;0,_DB_Exercises!BH72,"")</f>
        <v>275</v>
      </c>
      <c r="AN71" s="31">
        <f>IF(LEN(_DB_Exercises!BI72)&gt;0,_DB_Exercises!BI72,"")</f>
        <v>300</v>
      </c>
      <c r="AO71" s="31">
        <f>IF(LEN(_DB_Exercises!BJ72)&gt;0,_DB_Exercises!BJ72,"")</f>
        <v>325</v>
      </c>
      <c r="AP71" s="31">
        <f>IF(LEN(_DB_Exercises!BK72)&gt;0,_DB_Exercises!BK72,"")</f>
        <v>350</v>
      </c>
      <c r="AQ71" s="31">
        <f>IF(LEN(_DB_Exercises!BL72)&gt;0,_DB_Exercises!BL72,"")</f>
        <v>375</v>
      </c>
      <c r="AR71" s="31">
        <f>IF(LEN(_DB_Exercises!BM72)&gt;0,_DB_Exercises!BM72,"")</f>
        <v>400</v>
      </c>
    </row>
    <row r="72" spans="1:44" x14ac:dyDescent="0.25">
      <c r="A72" s="11">
        <f>IF(LEN(_DB_Exercises!A73)&gt;0,_DB_Exercises!A73,"")</f>
        <v>2061</v>
      </c>
      <c r="B72" s="14" t="str">
        <f>IF(LEN(_DB_Exercises!K73)&gt;0,_DB_Exercises!K73,"")</f>
        <v>3 holes  3m  Level 1</v>
      </c>
      <c r="C72" s="31" t="str">
        <f>IF(LEN(_DB_Exercises!X73)&gt;0,_DB_Exercises!X73,"")</f>
        <v/>
      </c>
      <c r="D72" s="31" t="str">
        <f>IF(LEN(_DB_Exercises!Y73)&gt;0,_DB_Exercises!Y73,"")</f>
        <v/>
      </c>
      <c r="E72" s="31" t="str">
        <f>IF(LEN(_DB_Exercises!Z73)&gt;0,_DB_Exercises!Z73,"")</f>
        <v/>
      </c>
      <c r="F72" s="31" t="str">
        <f>IF(LEN(_DB_Exercises!AA73)&gt;0,_DB_Exercises!AA73,"")</f>
        <v/>
      </c>
      <c r="G72" s="31" t="str">
        <f>IF(LEN(_DB_Exercises!AB73)&gt;0,_DB_Exercises!AB73,"")</f>
        <v/>
      </c>
      <c r="H72" s="31" t="str">
        <f>IF(LEN(_DB_Exercises!AC73)&gt;0,_DB_Exercises!AC73,"")</f>
        <v/>
      </c>
      <c r="I72" s="31" t="str">
        <f>IF(LEN(_DB_Exercises!AD73)&gt;0,_DB_Exercises!AD73,"")</f>
        <v/>
      </c>
      <c r="J72" s="31" t="str">
        <f>IF(LEN(_DB_Exercises!AE73)&gt;0,_DB_Exercises!AE73,"")</f>
        <v/>
      </c>
      <c r="K72" s="31" t="str">
        <f>IF(LEN(_DB_Exercises!AF73)&gt;0,_DB_Exercises!AF73,"")</f>
        <v/>
      </c>
      <c r="L72" s="31" t="str">
        <f>IF(LEN(_DB_Exercises!AG73)&gt;0,_DB_Exercises!AG73,"")</f>
        <v/>
      </c>
      <c r="M72" s="31" t="str">
        <f>IF(LEN(_DB_Exercises!AH73)&gt;0,_DB_Exercises!AH73,"")</f>
        <v/>
      </c>
      <c r="N72" s="31" t="str">
        <f>IF(LEN(_DB_Exercises!AI73)&gt;0,_DB_Exercises!AI73,"")</f>
        <v/>
      </c>
      <c r="O72" s="31" t="str">
        <f>IF(LEN(_DB_Exercises!AJ73)&gt;0,_DB_Exercises!AJ73,"")</f>
        <v/>
      </c>
      <c r="P72" s="31" t="str">
        <f>IF(LEN(_DB_Exercises!AK73)&gt;0,_DB_Exercises!AK73,"")</f>
        <v/>
      </c>
      <c r="Q72" s="31" t="str">
        <f>IF(LEN(_DB_Exercises!AL73)&gt;0,_DB_Exercises!AL73,"")</f>
        <v/>
      </c>
      <c r="R72" s="31" t="str">
        <f>IF(LEN(_DB_Exercises!AM73)&gt;0,_DB_Exercises!AM73,"")</f>
        <v/>
      </c>
      <c r="S72" s="31" t="str">
        <f>IF(LEN(_DB_Exercises!AN73)&gt;0,_DB_Exercises!AN73,"")</f>
        <v/>
      </c>
      <c r="T72" s="31" t="str">
        <f>IF(LEN(_DB_Exercises!AO73)&gt;0,_DB_Exercises!AO73,"")</f>
        <v/>
      </c>
      <c r="U72" s="31" t="str">
        <f>IF(LEN(_DB_Exercises!AP73)&gt;0,_DB_Exercises!AP73,"")</f>
        <v/>
      </c>
      <c r="V72" s="31" t="str">
        <f>IF(LEN(_DB_Exercises!AQ73)&gt;0,_DB_Exercises!AQ73,"")</f>
        <v/>
      </c>
      <c r="W72" s="31" t="str">
        <f>IF(LEN(_DB_Exercises!AR73)&gt;0,_DB_Exercises!AR73,"")</f>
        <v/>
      </c>
      <c r="X72" s="31" t="str">
        <f>IF(LEN(_DB_Exercises!AS73)&gt;0,_DB_Exercises!AS73,"")</f>
        <v/>
      </c>
      <c r="Y72" s="31" t="str">
        <f>IF(LEN(_DB_Exercises!AT73)&gt;0,_DB_Exercises!AT73,"")</f>
        <v/>
      </c>
      <c r="Z72" s="31" t="str">
        <f>IF(LEN(_DB_Exercises!AU73)&gt;0,_DB_Exercises!AU73,"")</f>
        <v/>
      </c>
      <c r="AA72" s="31" t="str">
        <f>IF(LEN(_DB_Exercises!AV73)&gt;0,_DB_Exercises!AV73,"")</f>
        <v/>
      </c>
      <c r="AB72" s="31" t="str">
        <f>IF(LEN(_DB_Exercises!AW73)&gt;0,_DB_Exercises!AW73,"")</f>
        <v/>
      </c>
      <c r="AC72" s="31" t="str">
        <f>IF(LEN(_DB_Exercises!AX73)&gt;0,_DB_Exercises!AX73,"")</f>
        <v/>
      </c>
      <c r="AD72" s="31" t="str">
        <f>IF(LEN(_DB_Exercises!AY73)&gt;0,_DB_Exercises!AY73,"")</f>
        <v/>
      </c>
      <c r="AE72" s="31" t="str">
        <f>IF(LEN(_DB_Exercises!AZ73)&gt;0,_DB_Exercises!AZ73,"")</f>
        <v/>
      </c>
      <c r="AF72" s="31" t="str">
        <f>IF(LEN(_DB_Exercises!BA73)&gt;0,_DB_Exercises!BA73,"")</f>
        <v/>
      </c>
      <c r="AG72" s="31" t="str">
        <f>IF(LEN(_DB_Exercises!BB73)&gt;0,_DB_Exercises!BB73,"")</f>
        <v/>
      </c>
      <c r="AH72" s="31" t="str">
        <f>IF(LEN(_DB_Exercises!BC73)&gt;0,_DB_Exercises!BC73,"")</f>
        <v/>
      </c>
      <c r="AI72" s="31" t="str">
        <f>IF(LEN(_DB_Exercises!BD73)&gt;0,_DB_Exercises!BD73,"")</f>
        <v/>
      </c>
      <c r="AJ72" s="31" t="str">
        <f>IF(LEN(_DB_Exercises!BE73)&gt;0,_DB_Exercises!BE73,"")</f>
        <v/>
      </c>
      <c r="AK72" s="31" t="str">
        <f>IF(LEN(_DB_Exercises!BF73)&gt;0,_DB_Exercises!BF73,"")</f>
        <v/>
      </c>
      <c r="AL72" s="31" t="str">
        <f>IF(LEN(_DB_Exercises!BG73)&gt;0,_DB_Exercises!BG73,"")</f>
        <v/>
      </c>
      <c r="AM72" s="31" t="str">
        <f>IF(LEN(_DB_Exercises!BH73)&gt;0,_DB_Exercises!BH73,"")</f>
        <v/>
      </c>
      <c r="AN72" s="31" t="str">
        <f>IF(LEN(_DB_Exercises!BI73)&gt;0,_DB_Exercises!BI73,"")</f>
        <v/>
      </c>
      <c r="AO72" s="31" t="str">
        <f>IF(LEN(_DB_Exercises!BJ73)&gt;0,_DB_Exercises!BJ73,"")</f>
        <v/>
      </c>
      <c r="AP72" s="31" t="str">
        <f>IF(LEN(_DB_Exercises!BK73)&gt;0,_DB_Exercises!BK73,"")</f>
        <v/>
      </c>
      <c r="AQ72" s="31" t="str">
        <f>IF(LEN(_DB_Exercises!BL73)&gt;0,_DB_Exercises!BL73,"")</f>
        <v/>
      </c>
      <c r="AR72" s="31" t="str">
        <f>IF(LEN(_DB_Exercises!BM73)&gt;0,_DB_Exercises!BM73,"")</f>
        <v/>
      </c>
    </row>
    <row r="73" spans="1:44" x14ac:dyDescent="0.25">
      <c r="A73" s="11">
        <f>IF(LEN(_DB_Exercises!A74)&gt;0,_DB_Exercises!A74,"")</f>
        <v>2062</v>
      </c>
      <c r="B73" s="14" t="str">
        <f>IF(LEN(_DB_Exercises!K74)&gt;0,_DB_Exercises!K74,"")</f>
        <v>3 holes  3 - 6m  Level 1</v>
      </c>
      <c r="C73" s="31" t="str">
        <f>IF(LEN(_DB_Exercises!X74)&gt;0,_DB_Exercises!X74,"")</f>
        <v/>
      </c>
      <c r="D73" s="31" t="str">
        <f>IF(LEN(_DB_Exercises!Y74)&gt;0,_DB_Exercises!Y74,"")</f>
        <v/>
      </c>
      <c r="E73" s="31" t="str">
        <f>IF(LEN(_DB_Exercises!Z74)&gt;0,_DB_Exercises!Z74,"")</f>
        <v/>
      </c>
      <c r="F73" s="31" t="str">
        <f>IF(LEN(_DB_Exercises!AA74)&gt;0,_DB_Exercises!AA74,"")</f>
        <v/>
      </c>
      <c r="G73" s="31" t="str">
        <f>IF(LEN(_DB_Exercises!AB74)&gt;0,_DB_Exercises!AB74,"")</f>
        <v/>
      </c>
      <c r="H73" s="31" t="str">
        <f>IF(LEN(_DB_Exercises!AC74)&gt;0,_DB_Exercises!AC74,"")</f>
        <v/>
      </c>
      <c r="I73" s="31" t="str">
        <f>IF(LEN(_DB_Exercises!AD74)&gt;0,_DB_Exercises!AD74,"")</f>
        <v/>
      </c>
      <c r="J73" s="31" t="str">
        <f>IF(LEN(_DB_Exercises!AE74)&gt;0,_DB_Exercises!AE74,"")</f>
        <v/>
      </c>
      <c r="K73" s="31" t="str">
        <f>IF(LEN(_DB_Exercises!AF74)&gt;0,_DB_Exercises!AF74,"")</f>
        <v/>
      </c>
      <c r="L73" s="31" t="str">
        <f>IF(LEN(_DB_Exercises!AG74)&gt;0,_DB_Exercises!AG74,"")</f>
        <v/>
      </c>
      <c r="M73" s="31" t="str">
        <f>IF(LEN(_DB_Exercises!AH74)&gt;0,_DB_Exercises!AH74,"")</f>
        <v/>
      </c>
      <c r="N73" s="31" t="str">
        <f>IF(LEN(_DB_Exercises!AI74)&gt;0,_DB_Exercises!AI74,"")</f>
        <v/>
      </c>
      <c r="O73" s="31" t="str">
        <f>IF(LEN(_DB_Exercises!AJ74)&gt;0,_DB_Exercises!AJ74,"")</f>
        <v/>
      </c>
      <c r="P73" s="31" t="str">
        <f>IF(LEN(_DB_Exercises!AK74)&gt;0,_DB_Exercises!AK74,"")</f>
        <v/>
      </c>
      <c r="Q73" s="31" t="str">
        <f>IF(LEN(_DB_Exercises!AL74)&gt;0,_DB_Exercises!AL74,"")</f>
        <v/>
      </c>
      <c r="R73" s="31" t="str">
        <f>IF(LEN(_DB_Exercises!AM74)&gt;0,_DB_Exercises!AM74,"")</f>
        <v/>
      </c>
      <c r="S73" s="31" t="str">
        <f>IF(LEN(_DB_Exercises!AN74)&gt;0,_DB_Exercises!AN74,"")</f>
        <v/>
      </c>
      <c r="T73" s="31" t="str">
        <f>IF(LEN(_DB_Exercises!AO74)&gt;0,_DB_Exercises!AO74,"")</f>
        <v/>
      </c>
      <c r="U73" s="31" t="str">
        <f>IF(LEN(_DB_Exercises!AP74)&gt;0,_DB_Exercises!AP74,"")</f>
        <v/>
      </c>
      <c r="V73" s="31" t="str">
        <f>IF(LEN(_DB_Exercises!AQ74)&gt;0,_DB_Exercises!AQ74,"")</f>
        <v/>
      </c>
      <c r="W73" s="31" t="str">
        <f>IF(LEN(_DB_Exercises!AR74)&gt;0,_DB_Exercises!AR74,"")</f>
        <v/>
      </c>
      <c r="X73" s="31" t="str">
        <f>IF(LEN(_DB_Exercises!AS74)&gt;0,_DB_Exercises!AS74,"")</f>
        <v/>
      </c>
      <c r="Y73" s="31" t="str">
        <f>IF(LEN(_DB_Exercises!AT74)&gt;0,_DB_Exercises!AT74,"")</f>
        <v/>
      </c>
      <c r="Z73" s="31" t="str">
        <f>IF(LEN(_DB_Exercises!AU74)&gt;0,_DB_Exercises!AU74,"")</f>
        <v/>
      </c>
      <c r="AA73" s="31" t="str">
        <f>IF(LEN(_DB_Exercises!AV74)&gt;0,_DB_Exercises!AV74,"")</f>
        <v/>
      </c>
      <c r="AB73" s="31" t="str">
        <f>IF(LEN(_DB_Exercises!AW74)&gt;0,_DB_Exercises!AW74,"")</f>
        <v/>
      </c>
      <c r="AC73" s="31" t="str">
        <f>IF(LEN(_DB_Exercises!AX74)&gt;0,_DB_Exercises!AX74,"")</f>
        <v/>
      </c>
      <c r="AD73" s="31" t="str">
        <f>IF(LEN(_DB_Exercises!AY74)&gt;0,_DB_Exercises!AY74,"")</f>
        <v/>
      </c>
      <c r="AE73" s="31" t="str">
        <f>IF(LEN(_DB_Exercises!AZ74)&gt;0,_DB_Exercises!AZ74,"")</f>
        <v/>
      </c>
      <c r="AF73" s="31" t="str">
        <f>IF(LEN(_DB_Exercises!BA74)&gt;0,_DB_Exercises!BA74,"")</f>
        <v/>
      </c>
      <c r="AG73" s="31" t="str">
        <f>IF(LEN(_DB_Exercises!BB74)&gt;0,_DB_Exercises!BB74,"")</f>
        <v/>
      </c>
      <c r="AH73" s="31" t="str">
        <f>IF(LEN(_DB_Exercises!BC74)&gt;0,_DB_Exercises!BC74,"")</f>
        <v/>
      </c>
      <c r="AI73" s="31" t="str">
        <f>IF(LEN(_DB_Exercises!BD74)&gt;0,_DB_Exercises!BD74,"")</f>
        <v/>
      </c>
      <c r="AJ73" s="31" t="str">
        <f>IF(LEN(_DB_Exercises!BE74)&gt;0,_DB_Exercises!BE74,"")</f>
        <v/>
      </c>
      <c r="AK73" s="31" t="str">
        <f>IF(LEN(_DB_Exercises!BF74)&gt;0,_DB_Exercises!BF74,"")</f>
        <v/>
      </c>
      <c r="AL73" s="31" t="str">
        <f>IF(LEN(_DB_Exercises!BG74)&gt;0,_DB_Exercises!BG74,"")</f>
        <v/>
      </c>
      <c r="AM73" s="31" t="str">
        <f>IF(LEN(_DB_Exercises!BH74)&gt;0,_DB_Exercises!BH74,"")</f>
        <v/>
      </c>
      <c r="AN73" s="31" t="str">
        <f>IF(LEN(_DB_Exercises!BI74)&gt;0,_DB_Exercises!BI74,"")</f>
        <v/>
      </c>
      <c r="AO73" s="31" t="str">
        <f>IF(LEN(_DB_Exercises!BJ74)&gt;0,_DB_Exercises!BJ74,"")</f>
        <v/>
      </c>
      <c r="AP73" s="31" t="str">
        <f>IF(LEN(_DB_Exercises!BK74)&gt;0,_DB_Exercises!BK74,"")</f>
        <v/>
      </c>
      <c r="AQ73" s="31" t="str">
        <f>IF(LEN(_DB_Exercises!BL74)&gt;0,_DB_Exercises!BL74,"")</f>
        <v/>
      </c>
      <c r="AR73" s="31" t="str">
        <f>IF(LEN(_DB_Exercises!BM74)&gt;0,_DB_Exercises!BM74,"")</f>
        <v/>
      </c>
    </row>
    <row r="74" spans="1:44" x14ac:dyDescent="0.25">
      <c r="A74" s="11">
        <f>IF(LEN(_DB_Exercises!A75)&gt;0,_DB_Exercises!A75,"")</f>
        <v>2063</v>
      </c>
      <c r="B74" s="14" t="str">
        <f>IF(LEN(_DB_Exercises!K75)&gt;0,_DB_Exercises!K75,"")</f>
        <v>3 holes  6 - 9m  Level 1</v>
      </c>
      <c r="C74" s="31" t="str">
        <f>IF(LEN(_DB_Exercises!X75)&gt;0,_DB_Exercises!X75,"")</f>
        <v/>
      </c>
      <c r="D74" s="31" t="str">
        <f>IF(LEN(_DB_Exercises!Y75)&gt;0,_DB_Exercises!Y75,"")</f>
        <v/>
      </c>
      <c r="E74" s="31" t="str">
        <f>IF(LEN(_DB_Exercises!Z75)&gt;0,_DB_Exercises!Z75,"")</f>
        <v/>
      </c>
      <c r="F74" s="31" t="str">
        <f>IF(LEN(_DB_Exercises!AA75)&gt;0,_DB_Exercises!AA75,"")</f>
        <v/>
      </c>
      <c r="G74" s="31" t="str">
        <f>IF(LEN(_DB_Exercises!AB75)&gt;0,_DB_Exercises!AB75,"")</f>
        <v/>
      </c>
      <c r="H74" s="31" t="str">
        <f>IF(LEN(_DB_Exercises!AC75)&gt;0,_DB_Exercises!AC75,"")</f>
        <v/>
      </c>
      <c r="I74" s="31" t="str">
        <f>IF(LEN(_DB_Exercises!AD75)&gt;0,_DB_Exercises!AD75,"")</f>
        <v/>
      </c>
      <c r="J74" s="31" t="str">
        <f>IF(LEN(_DB_Exercises!AE75)&gt;0,_DB_Exercises!AE75,"")</f>
        <v/>
      </c>
      <c r="K74" s="31" t="str">
        <f>IF(LEN(_DB_Exercises!AF75)&gt;0,_DB_Exercises!AF75,"")</f>
        <v/>
      </c>
      <c r="L74" s="31" t="str">
        <f>IF(LEN(_DB_Exercises!AG75)&gt;0,_DB_Exercises!AG75,"")</f>
        <v/>
      </c>
      <c r="M74" s="31" t="str">
        <f>IF(LEN(_DB_Exercises!AH75)&gt;0,_DB_Exercises!AH75,"")</f>
        <v/>
      </c>
      <c r="N74" s="31" t="str">
        <f>IF(LEN(_DB_Exercises!AI75)&gt;0,_DB_Exercises!AI75,"")</f>
        <v/>
      </c>
      <c r="O74" s="31" t="str">
        <f>IF(LEN(_DB_Exercises!AJ75)&gt;0,_DB_Exercises!AJ75,"")</f>
        <v/>
      </c>
      <c r="P74" s="31" t="str">
        <f>IF(LEN(_DB_Exercises!AK75)&gt;0,_DB_Exercises!AK75,"")</f>
        <v/>
      </c>
      <c r="Q74" s="31" t="str">
        <f>IF(LEN(_DB_Exercises!AL75)&gt;0,_DB_Exercises!AL75,"")</f>
        <v/>
      </c>
      <c r="R74" s="31" t="str">
        <f>IF(LEN(_DB_Exercises!AM75)&gt;0,_DB_Exercises!AM75,"")</f>
        <v/>
      </c>
      <c r="S74" s="31" t="str">
        <f>IF(LEN(_DB_Exercises!AN75)&gt;0,_DB_Exercises!AN75,"")</f>
        <v/>
      </c>
      <c r="T74" s="31" t="str">
        <f>IF(LEN(_DB_Exercises!AO75)&gt;0,_DB_Exercises!AO75,"")</f>
        <v/>
      </c>
      <c r="U74" s="31" t="str">
        <f>IF(LEN(_DB_Exercises!AP75)&gt;0,_DB_Exercises!AP75,"")</f>
        <v/>
      </c>
      <c r="V74" s="31" t="str">
        <f>IF(LEN(_DB_Exercises!AQ75)&gt;0,_DB_Exercises!AQ75,"")</f>
        <v/>
      </c>
      <c r="W74" s="31" t="str">
        <f>IF(LEN(_DB_Exercises!AR75)&gt;0,_DB_Exercises!AR75,"")</f>
        <v/>
      </c>
      <c r="X74" s="31" t="str">
        <f>IF(LEN(_DB_Exercises!AS75)&gt;0,_DB_Exercises!AS75,"")</f>
        <v/>
      </c>
      <c r="Y74" s="31" t="str">
        <f>IF(LEN(_DB_Exercises!AT75)&gt;0,_DB_Exercises!AT75,"")</f>
        <v/>
      </c>
      <c r="Z74" s="31" t="str">
        <f>IF(LEN(_DB_Exercises!AU75)&gt;0,_DB_Exercises!AU75,"")</f>
        <v/>
      </c>
      <c r="AA74" s="31" t="str">
        <f>IF(LEN(_DB_Exercises!AV75)&gt;0,_DB_Exercises!AV75,"")</f>
        <v/>
      </c>
      <c r="AB74" s="31" t="str">
        <f>IF(LEN(_DB_Exercises!AW75)&gt;0,_DB_Exercises!AW75,"")</f>
        <v/>
      </c>
      <c r="AC74" s="31" t="str">
        <f>IF(LEN(_DB_Exercises!AX75)&gt;0,_DB_Exercises!AX75,"")</f>
        <v/>
      </c>
      <c r="AD74" s="31" t="str">
        <f>IF(LEN(_DB_Exercises!AY75)&gt;0,_DB_Exercises!AY75,"")</f>
        <v/>
      </c>
      <c r="AE74" s="31" t="str">
        <f>IF(LEN(_DB_Exercises!AZ75)&gt;0,_DB_Exercises!AZ75,"")</f>
        <v/>
      </c>
      <c r="AF74" s="31" t="str">
        <f>IF(LEN(_DB_Exercises!BA75)&gt;0,_DB_Exercises!BA75,"")</f>
        <v/>
      </c>
      <c r="AG74" s="31" t="str">
        <f>IF(LEN(_DB_Exercises!BB75)&gt;0,_DB_Exercises!BB75,"")</f>
        <v/>
      </c>
      <c r="AH74" s="31" t="str">
        <f>IF(LEN(_DB_Exercises!BC75)&gt;0,_DB_Exercises!BC75,"")</f>
        <v/>
      </c>
      <c r="AI74" s="31" t="str">
        <f>IF(LEN(_DB_Exercises!BD75)&gt;0,_DB_Exercises!BD75,"")</f>
        <v/>
      </c>
      <c r="AJ74" s="31" t="str">
        <f>IF(LEN(_DB_Exercises!BE75)&gt;0,_DB_Exercises!BE75,"")</f>
        <v/>
      </c>
      <c r="AK74" s="31" t="str">
        <f>IF(LEN(_DB_Exercises!BF75)&gt;0,_DB_Exercises!BF75,"")</f>
        <v/>
      </c>
      <c r="AL74" s="31" t="str">
        <f>IF(LEN(_DB_Exercises!BG75)&gt;0,_DB_Exercises!BG75,"")</f>
        <v/>
      </c>
      <c r="AM74" s="31" t="str">
        <f>IF(LEN(_DB_Exercises!BH75)&gt;0,_DB_Exercises!BH75,"")</f>
        <v/>
      </c>
      <c r="AN74" s="31" t="str">
        <f>IF(LEN(_DB_Exercises!BI75)&gt;0,_DB_Exercises!BI75,"")</f>
        <v/>
      </c>
      <c r="AO74" s="31" t="str">
        <f>IF(LEN(_DB_Exercises!BJ75)&gt;0,_DB_Exercises!BJ75,"")</f>
        <v/>
      </c>
      <c r="AP74" s="31" t="str">
        <f>IF(LEN(_DB_Exercises!BK75)&gt;0,_DB_Exercises!BK75,"")</f>
        <v/>
      </c>
      <c r="AQ74" s="31" t="str">
        <f>IF(LEN(_DB_Exercises!BL75)&gt;0,_DB_Exercises!BL75,"")</f>
        <v/>
      </c>
      <c r="AR74" s="31" t="str">
        <f>IF(LEN(_DB_Exercises!BM75)&gt;0,_DB_Exercises!BM75,"")</f>
        <v/>
      </c>
    </row>
    <row r="75" spans="1:44" x14ac:dyDescent="0.25">
      <c r="A75" s="11">
        <f>IF(LEN(_DB_Exercises!A76)&gt;0,_DB_Exercises!A76,"")</f>
        <v>2064</v>
      </c>
      <c r="B75" s="14" t="str">
        <f>IF(LEN(_DB_Exercises!K76)&gt;0,_DB_Exercises!K76,"")</f>
        <v>3 holes  6 - 12m  Level 2</v>
      </c>
      <c r="C75" s="31" t="str">
        <f>IF(LEN(_DB_Exercises!X76)&gt;0,_DB_Exercises!X76,"")</f>
        <v/>
      </c>
      <c r="D75" s="31" t="str">
        <f>IF(LEN(_DB_Exercises!Y76)&gt;0,_DB_Exercises!Y76,"")</f>
        <v/>
      </c>
      <c r="E75" s="31" t="str">
        <f>IF(LEN(_DB_Exercises!Z76)&gt;0,_DB_Exercises!Z76,"")</f>
        <v/>
      </c>
      <c r="F75" s="31" t="str">
        <f>IF(LEN(_DB_Exercises!AA76)&gt;0,_DB_Exercises!AA76,"")</f>
        <v/>
      </c>
      <c r="G75" s="31" t="str">
        <f>IF(LEN(_DB_Exercises!AB76)&gt;0,_DB_Exercises!AB76,"")</f>
        <v/>
      </c>
      <c r="H75" s="31" t="str">
        <f>IF(LEN(_DB_Exercises!AC76)&gt;0,_DB_Exercises!AC76,"")</f>
        <v/>
      </c>
      <c r="I75" s="31" t="str">
        <f>IF(LEN(_DB_Exercises!AD76)&gt;0,_DB_Exercises!AD76,"")</f>
        <v/>
      </c>
      <c r="J75" s="31" t="str">
        <f>IF(LEN(_DB_Exercises!AE76)&gt;0,_DB_Exercises!AE76,"")</f>
        <v/>
      </c>
      <c r="K75" s="31" t="str">
        <f>IF(LEN(_DB_Exercises!AF76)&gt;0,_DB_Exercises!AF76,"")</f>
        <v/>
      </c>
      <c r="L75" s="31" t="str">
        <f>IF(LEN(_DB_Exercises!AG76)&gt;0,_DB_Exercises!AG76,"")</f>
        <v/>
      </c>
      <c r="M75" s="31" t="str">
        <f>IF(LEN(_DB_Exercises!AH76)&gt;0,_DB_Exercises!AH76,"")</f>
        <v/>
      </c>
      <c r="N75" s="31" t="str">
        <f>IF(LEN(_DB_Exercises!AI76)&gt;0,_DB_Exercises!AI76,"")</f>
        <v/>
      </c>
      <c r="O75" s="31" t="str">
        <f>IF(LEN(_DB_Exercises!AJ76)&gt;0,_DB_Exercises!AJ76,"")</f>
        <v/>
      </c>
      <c r="P75" s="31" t="str">
        <f>IF(LEN(_DB_Exercises!AK76)&gt;0,_DB_Exercises!AK76,"")</f>
        <v/>
      </c>
      <c r="Q75" s="31" t="str">
        <f>IF(LEN(_DB_Exercises!AL76)&gt;0,_DB_Exercises!AL76,"")</f>
        <v/>
      </c>
      <c r="R75" s="31" t="str">
        <f>IF(LEN(_DB_Exercises!AM76)&gt;0,_DB_Exercises!AM76,"")</f>
        <v/>
      </c>
      <c r="S75" s="31" t="str">
        <f>IF(LEN(_DB_Exercises!AN76)&gt;0,_DB_Exercises!AN76,"")</f>
        <v/>
      </c>
      <c r="T75" s="31" t="str">
        <f>IF(LEN(_DB_Exercises!AO76)&gt;0,_DB_Exercises!AO76,"")</f>
        <v/>
      </c>
      <c r="U75" s="31" t="str">
        <f>IF(LEN(_DB_Exercises!AP76)&gt;0,_DB_Exercises!AP76,"")</f>
        <v/>
      </c>
      <c r="V75" s="31" t="str">
        <f>IF(LEN(_DB_Exercises!AQ76)&gt;0,_DB_Exercises!AQ76,"")</f>
        <v/>
      </c>
      <c r="W75" s="31" t="str">
        <f>IF(LEN(_DB_Exercises!AR76)&gt;0,_DB_Exercises!AR76,"")</f>
        <v/>
      </c>
      <c r="X75" s="31" t="str">
        <f>IF(LEN(_DB_Exercises!AS76)&gt;0,_DB_Exercises!AS76,"")</f>
        <v/>
      </c>
      <c r="Y75" s="31" t="str">
        <f>IF(LEN(_DB_Exercises!AT76)&gt;0,_DB_Exercises!AT76,"")</f>
        <v/>
      </c>
      <c r="Z75" s="31" t="str">
        <f>IF(LEN(_DB_Exercises!AU76)&gt;0,_DB_Exercises!AU76,"")</f>
        <v/>
      </c>
      <c r="AA75" s="31" t="str">
        <f>IF(LEN(_DB_Exercises!AV76)&gt;0,_DB_Exercises!AV76,"")</f>
        <v/>
      </c>
      <c r="AB75" s="31" t="str">
        <f>IF(LEN(_DB_Exercises!AW76)&gt;0,_DB_Exercises!AW76,"")</f>
        <v/>
      </c>
      <c r="AC75" s="31" t="str">
        <f>IF(LEN(_DB_Exercises!AX76)&gt;0,_DB_Exercises!AX76,"")</f>
        <v/>
      </c>
      <c r="AD75" s="31" t="str">
        <f>IF(LEN(_DB_Exercises!AY76)&gt;0,_DB_Exercises!AY76,"")</f>
        <v/>
      </c>
      <c r="AE75" s="31" t="str">
        <f>IF(LEN(_DB_Exercises!AZ76)&gt;0,_DB_Exercises!AZ76,"")</f>
        <v/>
      </c>
      <c r="AF75" s="31" t="str">
        <f>IF(LEN(_DB_Exercises!BA76)&gt;0,_DB_Exercises!BA76,"")</f>
        <v/>
      </c>
      <c r="AG75" s="31" t="str">
        <f>IF(LEN(_DB_Exercises!BB76)&gt;0,_DB_Exercises!BB76,"")</f>
        <v/>
      </c>
      <c r="AH75" s="31" t="str">
        <f>IF(LEN(_DB_Exercises!BC76)&gt;0,_DB_Exercises!BC76,"")</f>
        <v/>
      </c>
      <c r="AI75" s="31" t="str">
        <f>IF(LEN(_DB_Exercises!BD76)&gt;0,_DB_Exercises!BD76,"")</f>
        <v/>
      </c>
      <c r="AJ75" s="31" t="str">
        <f>IF(LEN(_DB_Exercises!BE76)&gt;0,_DB_Exercises!BE76,"")</f>
        <v/>
      </c>
      <c r="AK75" s="31" t="str">
        <f>IF(LEN(_DB_Exercises!BF76)&gt;0,_DB_Exercises!BF76,"")</f>
        <v/>
      </c>
      <c r="AL75" s="31" t="str">
        <f>IF(LEN(_DB_Exercises!BG76)&gt;0,_DB_Exercises!BG76,"")</f>
        <v/>
      </c>
      <c r="AM75" s="31" t="str">
        <f>IF(LEN(_DB_Exercises!BH76)&gt;0,_DB_Exercises!BH76,"")</f>
        <v/>
      </c>
      <c r="AN75" s="31" t="str">
        <f>IF(LEN(_DB_Exercises!BI76)&gt;0,_DB_Exercises!BI76,"")</f>
        <v/>
      </c>
      <c r="AO75" s="31" t="str">
        <f>IF(LEN(_DB_Exercises!BJ76)&gt;0,_DB_Exercises!BJ76,"")</f>
        <v/>
      </c>
      <c r="AP75" s="31" t="str">
        <f>IF(LEN(_DB_Exercises!BK76)&gt;0,_DB_Exercises!BK76,"")</f>
        <v/>
      </c>
      <c r="AQ75" s="31" t="str">
        <f>IF(LEN(_DB_Exercises!BL76)&gt;0,_DB_Exercises!BL76,"")</f>
        <v/>
      </c>
      <c r="AR75" s="31" t="str">
        <f>IF(LEN(_DB_Exercises!BM76)&gt;0,_DB_Exercises!BM76,"")</f>
        <v/>
      </c>
    </row>
    <row r="76" spans="1:44" x14ac:dyDescent="0.25">
      <c r="A76" s="11">
        <f>IF(LEN(_DB_Exercises!A77)&gt;0,_DB_Exercises!A77,"")</f>
        <v>2065</v>
      </c>
      <c r="B76" s="14" t="str">
        <f>IF(LEN(_DB_Exercises!K77)&gt;0,_DB_Exercises!K77,"")</f>
        <v>5 holes  3m Level 2</v>
      </c>
      <c r="C76" s="31" t="str">
        <f>IF(LEN(_DB_Exercises!X77)&gt;0,_DB_Exercises!X77,"")</f>
        <v/>
      </c>
      <c r="D76" s="31" t="str">
        <f>IF(LEN(_DB_Exercises!Y77)&gt;0,_DB_Exercises!Y77,"")</f>
        <v/>
      </c>
      <c r="E76" s="31" t="str">
        <f>IF(LEN(_DB_Exercises!Z77)&gt;0,_DB_Exercises!Z77,"")</f>
        <v/>
      </c>
      <c r="F76" s="31" t="str">
        <f>IF(LEN(_DB_Exercises!AA77)&gt;0,_DB_Exercises!AA77,"")</f>
        <v/>
      </c>
      <c r="G76" s="31" t="str">
        <f>IF(LEN(_DB_Exercises!AB77)&gt;0,_DB_Exercises!AB77,"")</f>
        <v/>
      </c>
      <c r="H76" s="31" t="str">
        <f>IF(LEN(_DB_Exercises!AC77)&gt;0,_DB_Exercises!AC77,"")</f>
        <v/>
      </c>
      <c r="I76" s="31" t="str">
        <f>IF(LEN(_DB_Exercises!AD77)&gt;0,_DB_Exercises!AD77,"")</f>
        <v/>
      </c>
      <c r="J76" s="31" t="str">
        <f>IF(LEN(_DB_Exercises!AE77)&gt;0,_DB_Exercises!AE77,"")</f>
        <v/>
      </c>
      <c r="K76" s="31" t="str">
        <f>IF(LEN(_DB_Exercises!AF77)&gt;0,_DB_Exercises!AF77,"")</f>
        <v/>
      </c>
      <c r="L76" s="31" t="str">
        <f>IF(LEN(_DB_Exercises!AG77)&gt;0,_DB_Exercises!AG77,"")</f>
        <v/>
      </c>
      <c r="M76" s="31" t="str">
        <f>IF(LEN(_DB_Exercises!AH77)&gt;0,_DB_Exercises!AH77,"")</f>
        <v/>
      </c>
      <c r="N76" s="31" t="str">
        <f>IF(LEN(_DB_Exercises!AI77)&gt;0,_DB_Exercises!AI77,"")</f>
        <v/>
      </c>
      <c r="O76" s="31" t="str">
        <f>IF(LEN(_DB_Exercises!AJ77)&gt;0,_DB_Exercises!AJ77,"")</f>
        <v/>
      </c>
      <c r="P76" s="31" t="str">
        <f>IF(LEN(_DB_Exercises!AK77)&gt;0,_DB_Exercises!AK77,"")</f>
        <v/>
      </c>
      <c r="Q76" s="31" t="str">
        <f>IF(LEN(_DB_Exercises!AL77)&gt;0,_DB_Exercises!AL77,"")</f>
        <v/>
      </c>
      <c r="R76" s="31" t="str">
        <f>IF(LEN(_DB_Exercises!AM77)&gt;0,_DB_Exercises!AM77,"")</f>
        <v/>
      </c>
      <c r="S76" s="31" t="str">
        <f>IF(LEN(_DB_Exercises!AN77)&gt;0,_DB_Exercises!AN77,"")</f>
        <v/>
      </c>
      <c r="T76" s="31" t="str">
        <f>IF(LEN(_DB_Exercises!AO77)&gt;0,_DB_Exercises!AO77,"")</f>
        <v/>
      </c>
      <c r="U76" s="31" t="str">
        <f>IF(LEN(_DB_Exercises!AP77)&gt;0,_DB_Exercises!AP77,"")</f>
        <v/>
      </c>
      <c r="V76" s="31" t="str">
        <f>IF(LEN(_DB_Exercises!AQ77)&gt;0,_DB_Exercises!AQ77,"")</f>
        <v/>
      </c>
      <c r="W76" s="31" t="str">
        <f>IF(LEN(_DB_Exercises!AR77)&gt;0,_DB_Exercises!AR77,"")</f>
        <v/>
      </c>
      <c r="X76" s="31" t="str">
        <f>IF(LEN(_DB_Exercises!AS77)&gt;0,_DB_Exercises!AS77,"")</f>
        <v/>
      </c>
      <c r="Y76" s="31" t="str">
        <f>IF(LEN(_DB_Exercises!AT77)&gt;0,_DB_Exercises!AT77,"")</f>
        <v/>
      </c>
      <c r="Z76" s="31" t="str">
        <f>IF(LEN(_DB_Exercises!AU77)&gt;0,_DB_Exercises!AU77,"")</f>
        <v/>
      </c>
      <c r="AA76" s="31" t="str">
        <f>IF(LEN(_DB_Exercises!AV77)&gt;0,_DB_Exercises!AV77,"")</f>
        <v/>
      </c>
      <c r="AB76" s="31" t="str">
        <f>IF(LEN(_DB_Exercises!AW77)&gt;0,_DB_Exercises!AW77,"")</f>
        <v/>
      </c>
      <c r="AC76" s="31" t="str">
        <f>IF(LEN(_DB_Exercises!AX77)&gt;0,_DB_Exercises!AX77,"")</f>
        <v/>
      </c>
      <c r="AD76" s="31" t="str">
        <f>IF(LEN(_DB_Exercises!AY77)&gt;0,_DB_Exercises!AY77,"")</f>
        <v/>
      </c>
      <c r="AE76" s="31" t="str">
        <f>IF(LEN(_DB_Exercises!AZ77)&gt;0,_DB_Exercises!AZ77,"")</f>
        <v/>
      </c>
      <c r="AF76" s="31" t="str">
        <f>IF(LEN(_DB_Exercises!BA77)&gt;0,_DB_Exercises!BA77,"")</f>
        <v/>
      </c>
      <c r="AG76" s="31" t="str">
        <f>IF(LEN(_DB_Exercises!BB77)&gt;0,_DB_Exercises!BB77,"")</f>
        <v/>
      </c>
      <c r="AH76" s="31" t="str">
        <f>IF(LEN(_DB_Exercises!BC77)&gt;0,_DB_Exercises!BC77,"")</f>
        <v/>
      </c>
      <c r="AI76" s="31" t="str">
        <f>IF(LEN(_DB_Exercises!BD77)&gt;0,_DB_Exercises!BD77,"")</f>
        <v/>
      </c>
      <c r="AJ76" s="31" t="str">
        <f>IF(LEN(_DB_Exercises!BE77)&gt;0,_DB_Exercises!BE77,"")</f>
        <v/>
      </c>
      <c r="AK76" s="31" t="str">
        <f>IF(LEN(_DB_Exercises!BF77)&gt;0,_DB_Exercises!BF77,"")</f>
        <v/>
      </c>
      <c r="AL76" s="31" t="str">
        <f>IF(LEN(_DB_Exercises!BG77)&gt;0,_DB_Exercises!BG77,"")</f>
        <v/>
      </c>
      <c r="AM76" s="31" t="str">
        <f>IF(LEN(_DB_Exercises!BH77)&gt;0,_DB_Exercises!BH77,"")</f>
        <v/>
      </c>
      <c r="AN76" s="31" t="str">
        <f>IF(LEN(_DB_Exercises!BI77)&gt;0,_DB_Exercises!BI77,"")</f>
        <v/>
      </c>
      <c r="AO76" s="31" t="str">
        <f>IF(LEN(_DB_Exercises!BJ77)&gt;0,_DB_Exercises!BJ77,"")</f>
        <v/>
      </c>
      <c r="AP76" s="31" t="str">
        <f>IF(LEN(_DB_Exercises!BK77)&gt;0,_DB_Exercises!BK77,"")</f>
        <v/>
      </c>
      <c r="AQ76" s="31" t="str">
        <f>IF(LEN(_DB_Exercises!BL77)&gt;0,_DB_Exercises!BL77,"")</f>
        <v/>
      </c>
      <c r="AR76" s="31" t="str">
        <f>IF(LEN(_DB_Exercises!BM77)&gt;0,_DB_Exercises!BM77,"")</f>
        <v/>
      </c>
    </row>
    <row r="77" spans="1:44" x14ac:dyDescent="0.25">
      <c r="A77" s="11">
        <f>IF(LEN(_DB_Exercises!A78)&gt;0,_DB_Exercises!A78,"")</f>
        <v>2066</v>
      </c>
      <c r="B77" s="14" t="str">
        <f>IF(LEN(_DB_Exercises!K78)&gt;0,_DB_Exercises!K78,"")</f>
        <v>5 holes      3 - 4m      Level 2</v>
      </c>
      <c r="C77" s="31" t="str">
        <f>IF(LEN(_DB_Exercises!X78)&gt;0,_DB_Exercises!X78,"")</f>
        <v/>
      </c>
      <c r="D77" s="31" t="str">
        <f>IF(LEN(_DB_Exercises!Y78)&gt;0,_DB_Exercises!Y78,"")</f>
        <v/>
      </c>
      <c r="E77" s="31" t="str">
        <f>IF(LEN(_DB_Exercises!Z78)&gt;0,_DB_Exercises!Z78,"")</f>
        <v/>
      </c>
      <c r="F77" s="31" t="str">
        <f>IF(LEN(_DB_Exercises!AA78)&gt;0,_DB_Exercises!AA78,"")</f>
        <v/>
      </c>
      <c r="G77" s="31" t="str">
        <f>IF(LEN(_DB_Exercises!AB78)&gt;0,_DB_Exercises!AB78,"")</f>
        <v/>
      </c>
      <c r="H77" s="31" t="str">
        <f>IF(LEN(_DB_Exercises!AC78)&gt;0,_DB_Exercises!AC78,"")</f>
        <v/>
      </c>
      <c r="I77" s="31" t="str">
        <f>IF(LEN(_DB_Exercises!AD78)&gt;0,_DB_Exercises!AD78,"")</f>
        <v/>
      </c>
      <c r="J77" s="31" t="str">
        <f>IF(LEN(_DB_Exercises!AE78)&gt;0,_DB_Exercises!AE78,"")</f>
        <v/>
      </c>
      <c r="K77" s="31" t="str">
        <f>IF(LEN(_DB_Exercises!AF78)&gt;0,_DB_Exercises!AF78,"")</f>
        <v/>
      </c>
      <c r="L77" s="31" t="str">
        <f>IF(LEN(_DB_Exercises!AG78)&gt;0,_DB_Exercises!AG78,"")</f>
        <v/>
      </c>
      <c r="M77" s="31" t="str">
        <f>IF(LEN(_DB_Exercises!AH78)&gt;0,_DB_Exercises!AH78,"")</f>
        <v/>
      </c>
      <c r="N77" s="31" t="str">
        <f>IF(LEN(_DB_Exercises!AI78)&gt;0,_DB_Exercises!AI78,"")</f>
        <v/>
      </c>
      <c r="O77" s="31" t="str">
        <f>IF(LEN(_DB_Exercises!AJ78)&gt;0,_DB_Exercises!AJ78,"")</f>
        <v/>
      </c>
      <c r="P77" s="31" t="str">
        <f>IF(LEN(_DB_Exercises!AK78)&gt;0,_DB_Exercises!AK78,"")</f>
        <v/>
      </c>
      <c r="Q77" s="31" t="str">
        <f>IF(LEN(_DB_Exercises!AL78)&gt;0,_DB_Exercises!AL78,"")</f>
        <v/>
      </c>
      <c r="R77" s="31" t="str">
        <f>IF(LEN(_DB_Exercises!AM78)&gt;0,_DB_Exercises!AM78,"")</f>
        <v/>
      </c>
      <c r="S77" s="31" t="str">
        <f>IF(LEN(_DB_Exercises!AN78)&gt;0,_DB_Exercises!AN78,"")</f>
        <v/>
      </c>
      <c r="T77" s="31" t="str">
        <f>IF(LEN(_DB_Exercises!AO78)&gt;0,_DB_Exercises!AO78,"")</f>
        <v/>
      </c>
      <c r="U77" s="31" t="str">
        <f>IF(LEN(_DB_Exercises!AP78)&gt;0,_DB_Exercises!AP78,"")</f>
        <v/>
      </c>
      <c r="V77" s="31" t="str">
        <f>IF(LEN(_DB_Exercises!AQ78)&gt;0,_DB_Exercises!AQ78,"")</f>
        <v/>
      </c>
      <c r="W77" s="31" t="str">
        <f>IF(LEN(_DB_Exercises!AR78)&gt;0,_DB_Exercises!AR78,"")</f>
        <v/>
      </c>
      <c r="X77" s="31" t="str">
        <f>IF(LEN(_DB_Exercises!AS78)&gt;0,_DB_Exercises!AS78,"")</f>
        <v/>
      </c>
      <c r="Y77" s="31" t="str">
        <f>IF(LEN(_DB_Exercises!AT78)&gt;0,_DB_Exercises!AT78,"")</f>
        <v/>
      </c>
      <c r="Z77" s="31" t="str">
        <f>IF(LEN(_DB_Exercises!AU78)&gt;0,_DB_Exercises!AU78,"")</f>
        <v/>
      </c>
      <c r="AA77" s="31" t="str">
        <f>IF(LEN(_DB_Exercises!AV78)&gt;0,_DB_Exercises!AV78,"")</f>
        <v/>
      </c>
      <c r="AB77" s="31" t="str">
        <f>IF(LEN(_DB_Exercises!AW78)&gt;0,_DB_Exercises!AW78,"")</f>
        <v/>
      </c>
      <c r="AC77" s="31" t="str">
        <f>IF(LEN(_DB_Exercises!AX78)&gt;0,_DB_Exercises!AX78,"")</f>
        <v/>
      </c>
      <c r="AD77" s="31" t="str">
        <f>IF(LEN(_DB_Exercises!AY78)&gt;0,_DB_Exercises!AY78,"")</f>
        <v/>
      </c>
      <c r="AE77" s="31" t="str">
        <f>IF(LEN(_DB_Exercises!AZ78)&gt;0,_DB_Exercises!AZ78,"")</f>
        <v/>
      </c>
      <c r="AF77" s="31" t="str">
        <f>IF(LEN(_DB_Exercises!BA78)&gt;0,_DB_Exercises!BA78,"")</f>
        <v/>
      </c>
      <c r="AG77" s="31" t="str">
        <f>IF(LEN(_DB_Exercises!BB78)&gt;0,_DB_Exercises!BB78,"")</f>
        <v/>
      </c>
      <c r="AH77" s="31" t="str">
        <f>IF(LEN(_DB_Exercises!BC78)&gt;0,_DB_Exercises!BC78,"")</f>
        <v/>
      </c>
      <c r="AI77" s="31" t="str">
        <f>IF(LEN(_DB_Exercises!BD78)&gt;0,_DB_Exercises!BD78,"")</f>
        <v/>
      </c>
      <c r="AJ77" s="31" t="str">
        <f>IF(LEN(_DB_Exercises!BE78)&gt;0,_DB_Exercises!BE78,"")</f>
        <v/>
      </c>
      <c r="AK77" s="31" t="str">
        <f>IF(LEN(_DB_Exercises!BF78)&gt;0,_DB_Exercises!BF78,"")</f>
        <v/>
      </c>
      <c r="AL77" s="31" t="str">
        <f>IF(LEN(_DB_Exercises!BG78)&gt;0,_DB_Exercises!BG78,"")</f>
        <v/>
      </c>
      <c r="AM77" s="31" t="str">
        <f>IF(LEN(_DB_Exercises!BH78)&gt;0,_DB_Exercises!BH78,"")</f>
        <v/>
      </c>
      <c r="AN77" s="31" t="str">
        <f>IF(LEN(_DB_Exercises!BI78)&gt;0,_DB_Exercises!BI78,"")</f>
        <v/>
      </c>
      <c r="AO77" s="31" t="str">
        <f>IF(LEN(_DB_Exercises!BJ78)&gt;0,_DB_Exercises!BJ78,"")</f>
        <v/>
      </c>
      <c r="AP77" s="31" t="str">
        <f>IF(LEN(_DB_Exercises!BK78)&gt;0,_DB_Exercises!BK78,"")</f>
        <v/>
      </c>
      <c r="AQ77" s="31" t="str">
        <f>IF(LEN(_DB_Exercises!BL78)&gt;0,_DB_Exercises!BL78,"")</f>
        <v/>
      </c>
      <c r="AR77" s="31" t="str">
        <f>IF(LEN(_DB_Exercises!BM78)&gt;0,_DB_Exercises!BM78,"")</f>
        <v/>
      </c>
    </row>
    <row r="78" spans="1:44" x14ac:dyDescent="0.25">
      <c r="A78" s="11">
        <f>IF(LEN(_DB_Exercises!A79)&gt;0,_DB_Exercises!A79,"")</f>
        <v>2067</v>
      </c>
      <c r="B78" s="14" t="str">
        <f>IF(LEN(_DB_Exercises!K79)&gt;0,_DB_Exercises!K79,"")</f>
        <v>5 holes      4 - 6m      Level 2</v>
      </c>
      <c r="C78" s="31" t="str">
        <f>IF(LEN(_DB_Exercises!X79)&gt;0,_DB_Exercises!X79,"")</f>
        <v/>
      </c>
      <c r="D78" s="31" t="str">
        <f>IF(LEN(_DB_Exercises!Y79)&gt;0,_DB_Exercises!Y79,"")</f>
        <v/>
      </c>
      <c r="E78" s="31" t="str">
        <f>IF(LEN(_DB_Exercises!Z79)&gt;0,_DB_Exercises!Z79,"")</f>
        <v/>
      </c>
      <c r="F78" s="31" t="str">
        <f>IF(LEN(_DB_Exercises!AA79)&gt;0,_DB_Exercises!AA79,"")</f>
        <v/>
      </c>
      <c r="G78" s="31" t="str">
        <f>IF(LEN(_DB_Exercises!AB79)&gt;0,_DB_Exercises!AB79,"")</f>
        <v/>
      </c>
      <c r="H78" s="31" t="str">
        <f>IF(LEN(_DB_Exercises!AC79)&gt;0,_DB_Exercises!AC79,"")</f>
        <v/>
      </c>
      <c r="I78" s="31" t="str">
        <f>IF(LEN(_DB_Exercises!AD79)&gt;0,_DB_Exercises!AD79,"")</f>
        <v/>
      </c>
      <c r="J78" s="31" t="str">
        <f>IF(LEN(_DB_Exercises!AE79)&gt;0,_DB_Exercises!AE79,"")</f>
        <v/>
      </c>
      <c r="K78" s="31" t="str">
        <f>IF(LEN(_DB_Exercises!AF79)&gt;0,_DB_Exercises!AF79,"")</f>
        <v/>
      </c>
      <c r="L78" s="31" t="str">
        <f>IF(LEN(_DB_Exercises!AG79)&gt;0,_DB_Exercises!AG79,"")</f>
        <v/>
      </c>
      <c r="M78" s="31" t="str">
        <f>IF(LEN(_DB_Exercises!AH79)&gt;0,_DB_Exercises!AH79,"")</f>
        <v/>
      </c>
      <c r="N78" s="31" t="str">
        <f>IF(LEN(_DB_Exercises!AI79)&gt;0,_DB_Exercises!AI79,"")</f>
        <v/>
      </c>
      <c r="O78" s="31" t="str">
        <f>IF(LEN(_DB_Exercises!AJ79)&gt;0,_DB_Exercises!AJ79,"")</f>
        <v/>
      </c>
      <c r="P78" s="31" t="str">
        <f>IF(LEN(_DB_Exercises!AK79)&gt;0,_DB_Exercises!AK79,"")</f>
        <v/>
      </c>
      <c r="Q78" s="31" t="str">
        <f>IF(LEN(_DB_Exercises!AL79)&gt;0,_DB_Exercises!AL79,"")</f>
        <v/>
      </c>
      <c r="R78" s="31" t="str">
        <f>IF(LEN(_DB_Exercises!AM79)&gt;0,_DB_Exercises!AM79,"")</f>
        <v/>
      </c>
      <c r="S78" s="31" t="str">
        <f>IF(LEN(_DB_Exercises!AN79)&gt;0,_DB_Exercises!AN79,"")</f>
        <v/>
      </c>
      <c r="T78" s="31" t="str">
        <f>IF(LEN(_DB_Exercises!AO79)&gt;0,_DB_Exercises!AO79,"")</f>
        <v/>
      </c>
      <c r="U78" s="31" t="str">
        <f>IF(LEN(_DB_Exercises!AP79)&gt;0,_DB_Exercises!AP79,"")</f>
        <v/>
      </c>
      <c r="V78" s="31" t="str">
        <f>IF(LEN(_DB_Exercises!AQ79)&gt;0,_DB_Exercises!AQ79,"")</f>
        <v/>
      </c>
      <c r="W78" s="31" t="str">
        <f>IF(LEN(_DB_Exercises!AR79)&gt;0,_DB_Exercises!AR79,"")</f>
        <v/>
      </c>
      <c r="X78" s="31" t="str">
        <f>IF(LEN(_DB_Exercises!AS79)&gt;0,_DB_Exercises!AS79,"")</f>
        <v/>
      </c>
      <c r="Y78" s="31" t="str">
        <f>IF(LEN(_DB_Exercises!AT79)&gt;0,_DB_Exercises!AT79,"")</f>
        <v/>
      </c>
      <c r="Z78" s="31" t="str">
        <f>IF(LEN(_DB_Exercises!AU79)&gt;0,_DB_Exercises!AU79,"")</f>
        <v/>
      </c>
      <c r="AA78" s="31" t="str">
        <f>IF(LEN(_DB_Exercises!AV79)&gt;0,_DB_Exercises!AV79,"")</f>
        <v/>
      </c>
      <c r="AB78" s="31" t="str">
        <f>IF(LEN(_DB_Exercises!AW79)&gt;0,_DB_Exercises!AW79,"")</f>
        <v/>
      </c>
      <c r="AC78" s="31" t="str">
        <f>IF(LEN(_DB_Exercises!AX79)&gt;0,_DB_Exercises!AX79,"")</f>
        <v/>
      </c>
      <c r="AD78" s="31" t="str">
        <f>IF(LEN(_DB_Exercises!AY79)&gt;0,_DB_Exercises!AY79,"")</f>
        <v/>
      </c>
      <c r="AE78" s="31" t="str">
        <f>IF(LEN(_DB_Exercises!AZ79)&gt;0,_DB_Exercises!AZ79,"")</f>
        <v/>
      </c>
      <c r="AF78" s="31" t="str">
        <f>IF(LEN(_DB_Exercises!BA79)&gt;0,_DB_Exercises!BA79,"")</f>
        <v/>
      </c>
      <c r="AG78" s="31" t="str">
        <f>IF(LEN(_DB_Exercises!BB79)&gt;0,_DB_Exercises!BB79,"")</f>
        <v/>
      </c>
      <c r="AH78" s="31" t="str">
        <f>IF(LEN(_DB_Exercises!BC79)&gt;0,_DB_Exercises!BC79,"")</f>
        <v/>
      </c>
      <c r="AI78" s="31" t="str">
        <f>IF(LEN(_DB_Exercises!BD79)&gt;0,_DB_Exercises!BD79,"")</f>
        <v/>
      </c>
      <c r="AJ78" s="31" t="str">
        <f>IF(LEN(_DB_Exercises!BE79)&gt;0,_DB_Exercises!BE79,"")</f>
        <v/>
      </c>
      <c r="AK78" s="31" t="str">
        <f>IF(LEN(_DB_Exercises!BF79)&gt;0,_DB_Exercises!BF79,"")</f>
        <v/>
      </c>
      <c r="AL78" s="31" t="str">
        <f>IF(LEN(_DB_Exercises!BG79)&gt;0,_DB_Exercises!BG79,"")</f>
        <v/>
      </c>
      <c r="AM78" s="31" t="str">
        <f>IF(LEN(_DB_Exercises!BH79)&gt;0,_DB_Exercises!BH79,"")</f>
        <v/>
      </c>
      <c r="AN78" s="31" t="str">
        <f>IF(LEN(_DB_Exercises!BI79)&gt;0,_DB_Exercises!BI79,"")</f>
        <v/>
      </c>
      <c r="AO78" s="31" t="str">
        <f>IF(LEN(_DB_Exercises!BJ79)&gt;0,_DB_Exercises!BJ79,"")</f>
        <v/>
      </c>
      <c r="AP78" s="31" t="str">
        <f>IF(LEN(_DB_Exercises!BK79)&gt;0,_DB_Exercises!BK79,"")</f>
        <v/>
      </c>
      <c r="AQ78" s="31" t="str">
        <f>IF(LEN(_DB_Exercises!BL79)&gt;0,_DB_Exercises!BL79,"")</f>
        <v/>
      </c>
      <c r="AR78" s="31" t="str">
        <f>IF(LEN(_DB_Exercises!BM79)&gt;0,_DB_Exercises!BM79,"")</f>
        <v/>
      </c>
    </row>
    <row r="79" spans="1:44" x14ac:dyDescent="0.25">
      <c r="A79" s="11">
        <f>IF(LEN(_DB_Exercises!A80)&gt;0,_DB_Exercises!A80,"")</f>
        <v>2068</v>
      </c>
      <c r="B79" s="14" t="str">
        <f>IF(LEN(_DB_Exercises!K80)&gt;0,_DB_Exercises!K80,"")</f>
        <v>5 holes     5 - 8m      Level 2</v>
      </c>
      <c r="C79" s="31" t="str">
        <f>IF(LEN(_DB_Exercises!X80)&gt;0,_DB_Exercises!X80,"")</f>
        <v/>
      </c>
      <c r="D79" s="31" t="str">
        <f>IF(LEN(_DB_Exercises!Y80)&gt;0,_DB_Exercises!Y80,"")</f>
        <v/>
      </c>
      <c r="E79" s="31" t="str">
        <f>IF(LEN(_DB_Exercises!Z80)&gt;0,_DB_Exercises!Z80,"")</f>
        <v/>
      </c>
      <c r="F79" s="31" t="str">
        <f>IF(LEN(_DB_Exercises!AA80)&gt;0,_DB_Exercises!AA80,"")</f>
        <v/>
      </c>
      <c r="G79" s="31" t="str">
        <f>IF(LEN(_DB_Exercises!AB80)&gt;0,_DB_Exercises!AB80,"")</f>
        <v/>
      </c>
      <c r="H79" s="31" t="str">
        <f>IF(LEN(_DB_Exercises!AC80)&gt;0,_DB_Exercises!AC80,"")</f>
        <v/>
      </c>
      <c r="I79" s="31" t="str">
        <f>IF(LEN(_DB_Exercises!AD80)&gt;0,_DB_Exercises!AD80,"")</f>
        <v/>
      </c>
      <c r="J79" s="31" t="str">
        <f>IF(LEN(_DB_Exercises!AE80)&gt;0,_DB_Exercises!AE80,"")</f>
        <v/>
      </c>
      <c r="K79" s="31" t="str">
        <f>IF(LEN(_DB_Exercises!AF80)&gt;0,_DB_Exercises!AF80,"")</f>
        <v/>
      </c>
      <c r="L79" s="31" t="str">
        <f>IF(LEN(_DB_Exercises!AG80)&gt;0,_DB_Exercises!AG80,"")</f>
        <v/>
      </c>
      <c r="M79" s="31" t="str">
        <f>IF(LEN(_DB_Exercises!AH80)&gt;0,_DB_Exercises!AH80,"")</f>
        <v/>
      </c>
      <c r="N79" s="31" t="str">
        <f>IF(LEN(_DB_Exercises!AI80)&gt;0,_DB_Exercises!AI80,"")</f>
        <v/>
      </c>
      <c r="O79" s="31" t="str">
        <f>IF(LEN(_DB_Exercises!AJ80)&gt;0,_DB_Exercises!AJ80,"")</f>
        <v/>
      </c>
      <c r="P79" s="31" t="str">
        <f>IF(LEN(_DB_Exercises!AK80)&gt;0,_DB_Exercises!AK80,"")</f>
        <v/>
      </c>
      <c r="Q79" s="31" t="str">
        <f>IF(LEN(_DB_Exercises!AL80)&gt;0,_DB_Exercises!AL80,"")</f>
        <v/>
      </c>
      <c r="R79" s="31" t="str">
        <f>IF(LEN(_DB_Exercises!AM80)&gt;0,_DB_Exercises!AM80,"")</f>
        <v/>
      </c>
      <c r="S79" s="31" t="str">
        <f>IF(LEN(_DB_Exercises!AN80)&gt;0,_DB_Exercises!AN80,"")</f>
        <v/>
      </c>
      <c r="T79" s="31" t="str">
        <f>IF(LEN(_DB_Exercises!AO80)&gt;0,_DB_Exercises!AO80,"")</f>
        <v/>
      </c>
      <c r="U79" s="31" t="str">
        <f>IF(LEN(_DB_Exercises!AP80)&gt;0,_DB_Exercises!AP80,"")</f>
        <v/>
      </c>
      <c r="V79" s="31" t="str">
        <f>IF(LEN(_DB_Exercises!AQ80)&gt;0,_DB_Exercises!AQ80,"")</f>
        <v/>
      </c>
      <c r="W79" s="31" t="str">
        <f>IF(LEN(_DB_Exercises!AR80)&gt;0,_DB_Exercises!AR80,"")</f>
        <v/>
      </c>
      <c r="X79" s="31" t="str">
        <f>IF(LEN(_DB_Exercises!AS80)&gt;0,_DB_Exercises!AS80,"")</f>
        <v/>
      </c>
      <c r="Y79" s="31" t="str">
        <f>IF(LEN(_DB_Exercises!AT80)&gt;0,_DB_Exercises!AT80,"")</f>
        <v/>
      </c>
      <c r="Z79" s="31" t="str">
        <f>IF(LEN(_DB_Exercises!AU80)&gt;0,_DB_Exercises!AU80,"")</f>
        <v/>
      </c>
      <c r="AA79" s="31" t="str">
        <f>IF(LEN(_DB_Exercises!AV80)&gt;0,_DB_Exercises!AV80,"")</f>
        <v/>
      </c>
      <c r="AB79" s="31" t="str">
        <f>IF(LEN(_DB_Exercises!AW80)&gt;0,_DB_Exercises!AW80,"")</f>
        <v/>
      </c>
      <c r="AC79" s="31" t="str">
        <f>IF(LEN(_DB_Exercises!AX80)&gt;0,_DB_Exercises!AX80,"")</f>
        <v/>
      </c>
      <c r="AD79" s="31" t="str">
        <f>IF(LEN(_DB_Exercises!AY80)&gt;0,_DB_Exercises!AY80,"")</f>
        <v/>
      </c>
      <c r="AE79" s="31" t="str">
        <f>IF(LEN(_DB_Exercises!AZ80)&gt;0,_DB_Exercises!AZ80,"")</f>
        <v/>
      </c>
      <c r="AF79" s="31" t="str">
        <f>IF(LEN(_DB_Exercises!BA80)&gt;0,_DB_Exercises!BA80,"")</f>
        <v/>
      </c>
      <c r="AG79" s="31" t="str">
        <f>IF(LEN(_DB_Exercises!BB80)&gt;0,_DB_Exercises!BB80,"")</f>
        <v/>
      </c>
      <c r="AH79" s="31" t="str">
        <f>IF(LEN(_DB_Exercises!BC80)&gt;0,_DB_Exercises!BC80,"")</f>
        <v/>
      </c>
      <c r="AI79" s="31" t="str">
        <f>IF(LEN(_DB_Exercises!BD80)&gt;0,_DB_Exercises!BD80,"")</f>
        <v/>
      </c>
      <c r="AJ79" s="31" t="str">
        <f>IF(LEN(_DB_Exercises!BE80)&gt;0,_DB_Exercises!BE80,"")</f>
        <v/>
      </c>
      <c r="AK79" s="31" t="str">
        <f>IF(LEN(_DB_Exercises!BF80)&gt;0,_DB_Exercises!BF80,"")</f>
        <v/>
      </c>
      <c r="AL79" s="31" t="str">
        <f>IF(LEN(_DB_Exercises!BG80)&gt;0,_DB_Exercises!BG80,"")</f>
        <v/>
      </c>
      <c r="AM79" s="31" t="str">
        <f>IF(LEN(_DB_Exercises!BH80)&gt;0,_DB_Exercises!BH80,"")</f>
        <v/>
      </c>
      <c r="AN79" s="31" t="str">
        <f>IF(LEN(_DB_Exercises!BI80)&gt;0,_DB_Exercises!BI80,"")</f>
        <v/>
      </c>
      <c r="AO79" s="31" t="str">
        <f>IF(LEN(_DB_Exercises!BJ80)&gt;0,_DB_Exercises!BJ80,"")</f>
        <v/>
      </c>
      <c r="AP79" s="31" t="str">
        <f>IF(LEN(_DB_Exercises!BK80)&gt;0,_DB_Exercises!BK80,"")</f>
        <v/>
      </c>
      <c r="AQ79" s="31" t="str">
        <f>IF(LEN(_DB_Exercises!BL80)&gt;0,_DB_Exercises!BL80,"")</f>
        <v/>
      </c>
      <c r="AR79" s="31" t="str">
        <f>IF(LEN(_DB_Exercises!BM80)&gt;0,_DB_Exercises!BM80,"")</f>
        <v/>
      </c>
    </row>
    <row r="80" spans="1:44" x14ac:dyDescent="0.25">
      <c r="A80" s="11">
        <f>IF(LEN(_DB_Exercises!A81)&gt;0,_DB_Exercises!A81,"")</f>
        <v>2069</v>
      </c>
      <c r="B80" s="14" t="str">
        <f>IF(LEN(_DB_Exercises!K81)&gt;0,_DB_Exercises!K81,"")</f>
        <v>5 holes      6 - 10m      Level 2</v>
      </c>
      <c r="C80" s="31" t="str">
        <f>IF(LEN(_DB_Exercises!X81)&gt;0,_DB_Exercises!X81,"")</f>
        <v/>
      </c>
      <c r="D80" s="31" t="str">
        <f>IF(LEN(_DB_Exercises!Y81)&gt;0,_DB_Exercises!Y81,"")</f>
        <v/>
      </c>
      <c r="E80" s="31" t="str">
        <f>IF(LEN(_DB_Exercises!Z81)&gt;0,_DB_Exercises!Z81,"")</f>
        <v/>
      </c>
      <c r="F80" s="31" t="str">
        <f>IF(LEN(_DB_Exercises!AA81)&gt;0,_DB_Exercises!AA81,"")</f>
        <v/>
      </c>
      <c r="G80" s="31" t="str">
        <f>IF(LEN(_DB_Exercises!AB81)&gt;0,_DB_Exercises!AB81,"")</f>
        <v/>
      </c>
      <c r="H80" s="31" t="str">
        <f>IF(LEN(_DB_Exercises!AC81)&gt;0,_DB_Exercises!AC81,"")</f>
        <v/>
      </c>
      <c r="I80" s="31" t="str">
        <f>IF(LEN(_DB_Exercises!AD81)&gt;0,_DB_Exercises!AD81,"")</f>
        <v/>
      </c>
      <c r="J80" s="31" t="str">
        <f>IF(LEN(_DB_Exercises!AE81)&gt;0,_DB_Exercises!AE81,"")</f>
        <v/>
      </c>
      <c r="K80" s="31" t="str">
        <f>IF(LEN(_DB_Exercises!AF81)&gt;0,_DB_Exercises!AF81,"")</f>
        <v/>
      </c>
      <c r="L80" s="31" t="str">
        <f>IF(LEN(_DB_Exercises!AG81)&gt;0,_DB_Exercises!AG81,"")</f>
        <v/>
      </c>
      <c r="M80" s="31" t="str">
        <f>IF(LEN(_DB_Exercises!AH81)&gt;0,_DB_Exercises!AH81,"")</f>
        <v/>
      </c>
      <c r="N80" s="31" t="str">
        <f>IF(LEN(_DB_Exercises!AI81)&gt;0,_DB_Exercises!AI81,"")</f>
        <v/>
      </c>
      <c r="O80" s="31" t="str">
        <f>IF(LEN(_DB_Exercises!AJ81)&gt;0,_DB_Exercises!AJ81,"")</f>
        <v/>
      </c>
      <c r="P80" s="31" t="str">
        <f>IF(LEN(_DB_Exercises!AK81)&gt;0,_DB_Exercises!AK81,"")</f>
        <v/>
      </c>
      <c r="Q80" s="31" t="str">
        <f>IF(LEN(_DB_Exercises!AL81)&gt;0,_DB_Exercises!AL81,"")</f>
        <v/>
      </c>
      <c r="R80" s="31" t="str">
        <f>IF(LEN(_DB_Exercises!AM81)&gt;0,_DB_Exercises!AM81,"")</f>
        <v/>
      </c>
      <c r="S80" s="31" t="str">
        <f>IF(LEN(_DB_Exercises!AN81)&gt;0,_DB_Exercises!AN81,"")</f>
        <v/>
      </c>
      <c r="T80" s="31" t="str">
        <f>IF(LEN(_DB_Exercises!AO81)&gt;0,_DB_Exercises!AO81,"")</f>
        <v/>
      </c>
      <c r="U80" s="31" t="str">
        <f>IF(LEN(_DB_Exercises!AP81)&gt;0,_DB_Exercises!AP81,"")</f>
        <v/>
      </c>
      <c r="V80" s="31" t="str">
        <f>IF(LEN(_DB_Exercises!AQ81)&gt;0,_DB_Exercises!AQ81,"")</f>
        <v/>
      </c>
      <c r="W80" s="31" t="str">
        <f>IF(LEN(_DB_Exercises!AR81)&gt;0,_DB_Exercises!AR81,"")</f>
        <v/>
      </c>
      <c r="X80" s="31" t="str">
        <f>IF(LEN(_DB_Exercises!AS81)&gt;0,_DB_Exercises!AS81,"")</f>
        <v/>
      </c>
      <c r="Y80" s="31" t="str">
        <f>IF(LEN(_DB_Exercises!AT81)&gt;0,_DB_Exercises!AT81,"")</f>
        <v/>
      </c>
      <c r="Z80" s="31" t="str">
        <f>IF(LEN(_DB_Exercises!AU81)&gt;0,_DB_Exercises!AU81,"")</f>
        <v/>
      </c>
      <c r="AA80" s="31" t="str">
        <f>IF(LEN(_DB_Exercises!AV81)&gt;0,_DB_Exercises!AV81,"")</f>
        <v/>
      </c>
      <c r="AB80" s="31" t="str">
        <f>IF(LEN(_DB_Exercises!AW81)&gt;0,_DB_Exercises!AW81,"")</f>
        <v/>
      </c>
      <c r="AC80" s="31" t="str">
        <f>IF(LEN(_DB_Exercises!AX81)&gt;0,_DB_Exercises!AX81,"")</f>
        <v/>
      </c>
      <c r="AD80" s="31" t="str">
        <f>IF(LEN(_DB_Exercises!AY81)&gt;0,_DB_Exercises!AY81,"")</f>
        <v/>
      </c>
      <c r="AE80" s="31" t="str">
        <f>IF(LEN(_DB_Exercises!AZ81)&gt;0,_DB_Exercises!AZ81,"")</f>
        <v/>
      </c>
      <c r="AF80" s="31" t="str">
        <f>IF(LEN(_DB_Exercises!BA81)&gt;0,_DB_Exercises!BA81,"")</f>
        <v/>
      </c>
      <c r="AG80" s="31" t="str">
        <f>IF(LEN(_DB_Exercises!BB81)&gt;0,_DB_Exercises!BB81,"")</f>
        <v/>
      </c>
      <c r="AH80" s="31" t="str">
        <f>IF(LEN(_DB_Exercises!BC81)&gt;0,_DB_Exercises!BC81,"")</f>
        <v/>
      </c>
      <c r="AI80" s="31" t="str">
        <f>IF(LEN(_DB_Exercises!BD81)&gt;0,_DB_Exercises!BD81,"")</f>
        <v/>
      </c>
      <c r="AJ80" s="31" t="str">
        <f>IF(LEN(_DB_Exercises!BE81)&gt;0,_DB_Exercises!BE81,"")</f>
        <v/>
      </c>
      <c r="AK80" s="31" t="str">
        <f>IF(LEN(_DB_Exercises!BF81)&gt;0,_DB_Exercises!BF81,"")</f>
        <v/>
      </c>
      <c r="AL80" s="31" t="str">
        <f>IF(LEN(_DB_Exercises!BG81)&gt;0,_DB_Exercises!BG81,"")</f>
        <v/>
      </c>
      <c r="AM80" s="31" t="str">
        <f>IF(LEN(_DB_Exercises!BH81)&gt;0,_DB_Exercises!BH81,"")</f>
        <v/>
      </c>
      <c r="AN80" s="31" t="str">
        <f>IF(LEN(_DB_Exercises!BI81)&gt;0,_DB_Exercises!BI81,"")</f>
        <v/>
      </c>
      <c r="AO80" s="31" t="str">
        <f>IF(LEN(_DB_Exercises!BJ81)&gt;0,_DB_Exercises!BJ81,"")</f>
        <v/>
      </c>
      <c r="AP80" s="31" t="str">
        <f>IF(LEN(_DB_Exercises!BK81)&gt;0,_DB_Exercises!BK81,"")</f>
        <v/>
      </c>
      <c r="AQ80" s="31" t="str">
        <f>IF(LEN(_DB_Exercises!BL81)&gt;0,_DB_Exercises!BL81,"")</f>
        <v/>
      </c>
      <c r="AR80" s="31" t="str">
        <f>IF(LEN(_DB_Exercises!BM81)&gt;0,_DB_Exercises!BM81,"")</f>
        <v/>
      </c>
    </row>
    <row r="81" spans="1:44" x14ac:dyDescent="0.25">
      <c r="A81" s="11">
        <f>IF(LEN(_DB_Exercises!A82)&gt;0,_DB_Exercises!A82,"")</f>
        <v>2070</v>
      </c>
      <c r="B81" s="14" t="str">
        <f>IF(LEN(_DB_Exercises!K82)&gt;0,_DB_Exercises!K82,"")</f>
        <v>5 holes      7 - 12m      Level 2</v>
      </c>
      <c r="C81" s="31" t="str">
        <f>IF(LEN(_DB_Exercises!X82)&gt;0,_DB_Exercises!X82,"")</f>
        <v/>
      </c>
      <c r="D81" s="31" t="str">
        <f>IF(LEN(_DB_Exercises!Y82)&gt;0,_DB_Exercises!Y82,"")</f>
        <v/>
      </c>
      <c r="E81" s="31" t="str">
        <f>IF(LEN(_DB_Exercises!Z82)&gt;0,_DB_Exercises!Z82,"")</f>
        <v/>
      </c>
      <c r="F81" s="31" t="str">
        <f>IF(LEN(_DB_Exercises!AA82)&gt;0,_DB_Exercises!AA82,"")</f>
        <v/>
      </c>
      <c r="G81" s="31" t="str">
        <f>IF(LEN(_DB_Exercises!AB82)&gt;0,_DB_Exercises!AB82,"")</f>
        <v/>
      </c>
      <c r="H81" s="31" t="str">
        <f>IF(LEN(_DB_Exercises!AC82)&gt;0,_DB_Exercises!AC82,"")</f>
        <v/>
      </c>
      <c r="I81" s="31" t="str">
        <f>IF(LEN(_DB_Exercises!AD82)&gt;0,_DB_Exercises!AD82,"")</f>
        <v/>
      </c>
      <c r="J81" s="31" t="str">
        <f>IF(LEN(_DB_Exercises!AE82)&gt;0,_DB_Exercises!AE82,"")</f>
        <v/>
      </c>
      <c r="K81" s="31" t="str">
        <f>IF(LEN(_DB_Exercises!AF82)&gt;0,_DB_Exercises!AF82,"")</f>
        <v/>
      </c>
      <c r="L81" s="31" t="str">
        <f>IF(LEN(_DB_Exercises!AG82)&gt;0,_DB_Exercises!AG82,"")</f>
        <v/>
      </c>
      <c r="M81" s="31" t="str">
        <f>IF(LEN(_DB_Exercises!AH82)&gt;0,_DB_Exercises!AH82,"")</f>
        <v/>
      </c>
      <c r="N81" s="31" t="str">
        <f>IF(LEN(_DB_Exercises!AI82)&gt;0,_DB_Exercises!AI82,"")</f>
        <v/>
      </c>
      <c r="O81" s="31" t="str">
        <f>IF(LEN(_DB_Exercises!AJ82)&gt;0,_DB_Exercises!AJ82,"")</f>
        <v/>
      </c>
      <c r="P81" s="31" t="str">
        <f>IF(LEN(_DB_Exercises!AK82)&gt;0,_DB_Exercises!AK82,"")</f>
        <v/>
      </c>
      <c r="Q81" s="31" t="str">
        <f>IF(LEN(_DB_Exercises!AL82)&gt;0,_DB_Exercises!AL82,"")</f>
        <v/>
      </c>
      <c r="R81" s="31" t="str">
        <f>IF(LEN(_DB_Exercises!AM82)&gt;0,_DB_Exercises!AM82,"")</f>
        <v/>
      </c>
      <c r="S81" s="31" t="str">
        <f>IF(LEN(_DB_Exercises!AN82)&gt;0,_DB_Exercises!AN82,"")</f>
        <v/>
      </c>
      <c r="T81" s="31" t="str">
        <f>IF(LEN(_DB_Exercises!AO82)&gt;0,_DB_Exercises!AO82,"")</f>
        <v/>
      </c>
      <c r="U81" s="31" t="str">
        <f>IF(LEN(_DB_Exercises!AP82)&gt;0,_DB_Exercises!AP82,"")</f>
        <v/>
      </c>
      <c r="V81" s="31" t="str">
        <f>IF(LEN(_DB_Exercises!AQ82)&gt;0,_DB_Exercises!AQ82,"")</f>
        <v/>
      </c>
      <c r="W81" s="31" t="str">
        <f>IF(LEN(_DB_Exercises!AR82)&gt;0,_DB_Exercises!AR82,"")</f>
        <v/>
      </c>
      <c r="X81" s="31" t="str">
        <f>IF(LEN(_DB_Exercises!AS82)&gt;0,_DB_Exercises!AS82,"")</f>
        <v/>
      </c>
      <c r="Y81" s="31" t="str">
        <f>IF(LEN(_DB_Exercises!AT82)&gt;0,_DB_Exercises!AT82,"")</f>
        <v/>
      </c>
      <c r="Z81" s="31" t="str">
        <f>IF(LEN(_DB_Exercises!AU82)&gt;0,_DB_Exercises!AU82,"")</f>
        <v/>
      </c>
      <c r="AA81" s="31" t="str">
        <f>IF(LEN(_DB_Exercises!AV82)&gt;0,_DB_Exercises!AV82,"")</f>
        <v/>
      </c>
      <c r="AB81" s="31" t="str">
        <f>IF(LEN(_DB_Exercises!AW82)&gt;0,_DB_Exercises!AW82,"")</f>
        <v/>
      </c>
      <c r="AC81" s="31" t="str">
        <f>IF(LEN(_DB_Exercises!AX82)&gt;0,_DB_Exercises!AX82,"")</f>
        <v/>
      </c>
      <c r="AD81" s="31" t="str">
        <f>IF(LEN(_DB_Exercises!AY82)&gt;0,_DB_Exercises!AY82,"")</f>
        <v/>
      </c>
      <c r="AE81" s="31" t="str">
        <f>IF(LEN(_DB_Exercises!AZ82)&gt;0,_DB_Exercises!AZ82,"")</f>
        <v/>
      </c>
      <c r="AF81" s="31" t="str">
        <f>IF(LEN(_DB_Exercises!BA82)&gt;0,_DB_Exercises!BA82,"")</f>
        <v/>
      </c>
      <c r="AG81" s="31" t="str">
        <f>IF(LEN(_DB_Exercises!BB82)&gt;0,_DB_Exercises!BB82,"")</f>
        <v/>
      </c>
      <c r="AH81" s="31" t="str">
        <f>IF(LEN(_DB_Exercises!BC82)&gt;0,_DB_Exercises!BC82,"")</f>
        <v/>
      </c>
      <c r="AI81" s="31" t="str">
        <f>IF(LEN(_DB_Exercises!BD82)&gt;0,_DB_Exercises!BD82,"")</f>
        <v/>
      </c>
      <c r="AJ81" s="31" t="str">
        <f>IF(LEN(_DB_Exercises!BE82)&gt;0,_DB_Exercises!BE82,"")</f>
        <v/>
      </c>
      <c r="AK81" s="31" t="str">
        <f>IF(LEN(_DB_Exercises!BF82)&gt;0,_DB_Exercises!BF82,"")</f>
        <v/>
      </c>
      <c r="AL81" s="31" t="str">
        <f>IF(LEN(_DB_Exercises!BG82)&gt;0,_DB_Exercises!BG82,"")</f>
        <v/>
      </c>
      <c r="AM81" s="31" t="str">
        <f>IF(LEN(_DB_Exercises!BH82)&gt;0,_DB_Exercises!BH82,"")</f>
        <v/>
      </c>
      <c r="AN81" s="31" t="str">
        <f>IF(LEN(_DB_Exercises!BI82)&gt;0,_DB_Exercises!BI82,"")</f>
        <v/>
      </c>
      <c r="AO81" s="31" t="str">
        <f>IF(LEN(_DB_Exercises!BJ82)&gt;0,_DB_Exercises!BJ82,"")</f>
        <v/>
      </c>
      <c r="AP81" s="31" t="str">
        <f>IF(LEN(_DB_Exercises!BK82)&gt;0,_DB_Exercises!BK82,"")</f>
        <v/>
      </c>
      <c r="AQ81" s="31" t="str">
        <f>IF(LEN(_DB_Exercises!BL82)&gt;0,_DB_Exercises!BL82,"")</f>
        <v/>
      </c>
      <c r="AR81" s="31" t="str">
        <f>IF(LEN(_DB_Exercises!BM82)&gt;0,_DB_Exercises!BM82,"")</f>
        <v/>
      </c>
    </row>
    <row r="82" spans="1:44" x14ac:dyDescent="0.25">
      <c r="A82" s="11">
        <f>IF(LEN(_DB_Exercises!A83)&gt;0,_DB_Exercises!A83,"")</f>
        <v>2071</v>
      </c>
      <c r="B82" s="14" t="str">
        <f>IF(LEN(_DB_Exercises!K83)&gt;0,_DB_Exercises!K83,"")</f>
        <v>7 holes       3m      Level 3</v>
      </c>
      <c r="C82" s="31" t="str">
        <f>IF(LEN(_DB_Exercises!X83)&gt;0,_DB_Exercises!X83,"")</f>
        <v/>
      </c>
      <c r="D82" s="31" t="str">
        <f>IF(LEN(_DB_Exercises!Y83)&gt;0,_DB_Exercises!Y83,"")</f>
        <v/>
      </c>
      <c r="E82" s="31" t="str">
        <f>IF(LEN(_DB_Exercises!Z83)&gt;0,_DB_Exercises!Z83,"")</f>
        <v/>
      </c>
      <c r="F82" s="31" t="str">
        <f>IF(LEN(_DB_Exercises!AA83)&gt;0,_DB_Exercises!AA83,"")</f>
        <v/>
      </c>
      <c r="G82" s="31" t="str">
        <f>IF(LEN(_DB_Exercises!AB83)&gt;0,_DB_Exercises!AB83,"")</f>
        <v/>
      </c>
      <c r="H82" s="31" t="str">
        <f>IF(LEN(_DB_Exercises!AC83)&gt;0,_DB_Exercises!AC83,"")</f>
        <v/>
      </c>
      <c r="I82" s="31" t="str">
        <f>IF(LEN(_DB_Exercises!AD83)&gt;0,_DB_Exercises!AD83,"")</f>
        <v/>
      </c>
      <c r="J82" s="31" t="str">
        <f>IF(LEN(_DB_Exercises!AE83)&gt;0,_DB_Exercises!AE83,"")</f>
        <v/>
      </c>
      <c r="K82" s="31" t="str">
        <f>IF(LEN(_DB_Exercises!AF83)&gt;0,_DB_Exercises!AF83,"")</f>
        <v/>
      </c>
      <c r="L82" s="31" t="str">
        <f>IF(LEN(_DB_Exercises!AG83)&gt;0,_DB_Exercises!AG83,"")</f>
        <v/>
      </c>
      <c r="M82" s="31" t="str">
        <f>IF(LEN(_DB_Exercises!AH83)&gt;0,_DB_Exercises!AH83,"")</f>
        <v/>
      </c>
      <c r="N82" s="31" t="str">
        <f>IF(LEN(_DB_Exercises!AI83)&gt;0,_DB_Exercises!AI83,"")</f>
        <v/>
      </c>
      <c r="O82" s="31" t="str">
        <f>IF(LEN(_DB_Exercises!AJ83)&gt;0,_DB_Exercises!AJ83,"")</f>
        <v/>
      </c>
      <c r="P82" s="31" t="str">
        <f>IF(LEN(_DB_Exercises!AK83)&gt;0,_DB_Exercises!AK83,"")</f>
        <v/>
      </c>
      <c r="Q82" s="31" t="str">
        <f>IF(LEN(_DB_Exercises!AL83)&gt;0,_DB_Exercises!AL83,"")</f>
        <v/>
      </c>
      <c r="R82" s="31" t="str">
        <f>IF(LEN(_DB_Exercises!AM83)&gt;0,_DB_Exercises!AM83,"")</f>
        <v/>
      </c>
      <c r="S82" s="31" t="str">
        <f>IF(LEN(_DB_Exercises!AN83)&gt;0,_DB_Exercises!AN83,"")</f>
        <v/>
      </c>
      <c r="T82" s="31" t="str">
        <f>IF(LEN(_DB_Exercises!AO83)&gt;0,_DB_Exercises!AO83,"")</f>
        <v/>
      </c>
      <c r="U82" s="31" t="str">
        <f>IF(LEN(_DB_Exercises!AP83)&gt;0,_DB_Exercises!AP83,"")</f>
        <v/>
      </c>
      <c r="V82" s="31" t="str">
        <f>IF(LEN(_DB_Exercises!AQ83)&gt;0,_DB_Exercises!AQ83,"")</f>
        <v/>
      </c>
      <c r="W82" s="31" t="str">
        <f>IF(LEN(_DB_Exercises!AR83)&gt;0,_DB_Exercises!AR83,"")</f>
        <v/>
      </c>
      <c r="X82" s="31" t="str">
        <f>IF(LEN(_DB_Exercises!AS83)&gt;0,_DB_Exercises!AS83,"")</f>
        <v/>
      </c>
      <c r="Y82" s="31" t="str">
        <f>IF(LEN(_DB_Exercises!AT83)&gt;0,_DB_Exercises!AT83,"")</f>
        <v/>
      </c>
      <c r="Z82" s="31" t="str">
        <f>IF(LEN(_DB_Exercises!AU83)&gt;0,_DB_Exercises!AU83,"")</f>
        <v/>
      </c>
      <c r="AA82" s="31" t="str">
        <f>IF(LEN(_DB_Exercises!AV83)&gt;0,_DB_Exercises!AV83,"")</f>
        <v/>
      </c>
      <c r="AB82" s="31" t="str">
        <f>IF(LEN(_DB_Exercises!AW83)&gt;0,_DB_Exercises!AW83,"")</f>
        <v/>
      </c>
      <c r="AC82" s="31" t="str">
        <f>IF(LEN(_DB_Exercises!AX83)&gt;0,_DB_Exercises!AX83,"")</f>
        <v/>
      </c>
      <c r="AD82" s="31" t="str">
        <f>IF(LEN(_DB_Exercises!AY83)&gt;0,_DB_Exercises!AY83,"")</f>
        <v/>
      </c>
      <c r="AE82" s="31" t="str">
        <f>IF(LEN(_DB_Exercises!AZ83)&gt;0,_DB_Exercises!AZ83,"")</f>
        <v/>
      </c>
      <c r="AF82" s="31" t="str">
        <f>IF(LEN(_DB_Exercises!BA83)&gt;0,_DB_Exercises!BA83,"")</f>
        <v/>
      </c>
      <c r="AG82" s="31" t="str">
        <f>IF(LEN(_DB_Exercises!BB83)&gt;0,_DB_Exercises!BB83,"")</f>
        <v/>
      </c>
      <c r="AH82" s="31" t="str">
        <f>IF(LEN(_DB_Exercises!BC83)&gt;0,_DB_Exercises!BC83,"")</f>
        <v/>
      </c>
      <c r="AI82" s="31" t="str">
        <f>IF(LEN(_DB_Exercises!BD83)&gt;0,_DB_Exercises!BD83,"")</f>
        <v/>
      </c>
      <c r="AJ82" s="31" t="str">
        <f>IF(LEN(_DB_Exercises!BE83)&gt;0,_DB_Exercises!BE83,"")</f>
        <v/>
      </c>
      <c r="AK82" s="31" t="str">
        <f>IF(LEN(_DB_Exercises!BF83)&gt;0,_DB_Exercises!BF83,"")</f>
        <v/>
      </c>
      <c r="AL82" s="31" t="str">
        <f>IF(LEN(_DB_Exercises!BG83)&gt;0,_DB_Exercises!BG83,"")</f>
        <v/>
      </c>
      <c r="AM82" s="31" t="str">
        <f>IF(LEN(_DB_Exercises!BH83)&gt;0,_DB_Exercises!BH83,"")</f>
        <v/>
      </c>
      <c r="AN82" s="31" t="str">
        <f>IF(LEN(_DB_Exercises!BI83)&gt;0,_DB_Exercises!BI83,"")</f>
        <v/>
      </c>
      <c r="AO82" s="31" t="str">
        <f>IF(LEN(_DB_Exercises!BJ83)&gt;0,_DB_Exercises!BJ83,"")</f>
        <v/>
      </c>
      <c r="AP82" s="31" t="str">
        <f>IF(LEN(_DB_Exercises!BK83)&gt;0,_DB_Exercises!BK83,"")</f>
        <v/>
      </c>
      <c r="AQ82" s="31" t="str">
        <f>IF(LEN(_DB_Exercises!BL83)&gt;0,_DB_Exercises!BL83,"")</f>
        <v/>
      </c>
      <c r="AR82" s="31" t="str">
        <f>IF(LEN(_DB_Exercises!BM83)&gt;0,_DB_Exercises!BM83,"")</f>
        <v/>
      </c>
    </row>
    <row r="83" spans="1:44" x14ac:dyDescent="0.25">
      <c r="A83" s="11">
        <f>IF(LEN(_DB_Exercises!A84)&gt;0,_DB_Exercises!A84,"")</f>
        <v>2072</v>
      </c>
      <c r="B83" s="14" t="str">
        <f>IF(LEN(_DB_Exercises!K84)&gt;0,_DB_Exercises!K84,"")</f>
        <v>7 holes      3 - 4m      Level 3</v>
      </c>
      <c r="C83" s="31" t="str">
        <f>IF(LEN(_DB_Exercises!X84)&gt;0,_DB_Exercises!X84,"")</f>
        <v/>
      </c>
      <c r="D83" s="31" t="str">
        <f>IF(LEN(_DB_Exercises!Y84)&gt;0,_DB_Exercises!Y84,"")</f>
        <v/>
      </c>
      <c r="E83" s="31" t="str">
        <f>IF(LEN(_DB_Exercises!Z84)&gt;0,_DB_Exercises!Z84,"")</f>
        <v/>
      </c>
      <c r="F83" s="31" t="str">
        <f>IF(LEN(_DB_Exercises!AA84)&gt;0,_DB_Exercises!AA84,"")</f>
        <v/>
      </c>
      <c r="G83" s="31" t="str">
        <f>IF(LEN(_DB_Exercises!AB84)&gt;0,_DB_Exercises!AB84,"")</f>
        <v/>
      </c>
      <c r="H83" s="31" t="str">
        <f>IF(LEN(_DB_Exercises!AC84)&gt;0,_DB_Exercises!AC84,"")</f>
        <v/>
      </c>
      <c r="I83" s="31" t="str">
        <f>IF(LEN(_DB_Exercises!AD84)&gt;0,_DB_Exercises!AD84,"")</f>
        <v/>
      </c>
      <c r="J83" s="31" t="str">
        <f>IF(LEN(_DB_Exercises!AE84)&gt;0,_DB_Exercises!AE84,"")</f>
        <v/>
      </c>
      <c r="K83" s="31" t="str">
        <f>IF(LEN(_DB_Exercises!AF84)&gt;0,_DB_Exercises!AF84,"")</f>
        <v/>
      </c>
      <c r="L83" s="31" t="str">
        <f>IF(LEN(_DB_Exercises!AG84)&gt;0,_DB_Exercises!AG84,"")</f>
        <v/>
      </c>
      <c r="M83" s="31" t="str">
        <f>IF(LEN(_DB_Exercises!AH84)&gt;0,_DB_Exercises!AH84,"")</f>
        <v/>
      </c>
      <c r="N83" s="31" t="str">
        <f>IF(LEN(_DB_Exercises!AI84)&gt;0,_DB_Exercises!AI84,"")</f>
        <v/>
      </c>
      <c r="O83" s="31" t="str">
        <f>IF(LEN(_DB_Exercises!AJ84)&gt;0,_DB_Exercises!AJ84,"")</f>
        <v/>
      </c>
      <c r="P83" s="31" t="str">
        <f>IF(LEN(_DB_Exercises!AK84)&gt;0,_DB_Exercises!AK84,"")</f>
        <v/>
      </c>
      <c r="Q83" s="31" t="str">
        <f>IF(LEN(_DB_Exercises!AL84)&gt;0,_DB_Exercises!AL84,"")</f>
        <v/>
      </c>
      <c r="R83" s="31" t="str">
        <f>IF(LEN(_DB_Exercises!AM84)&gt;0,_DB_Exercises!AM84,"")</f>
        <v/>
      </c>
      <c r="S83" s="31" t="str">
        <f>IF(LEN(_DB_Exercises!AN84)&gt;0,_DB_Exercises!AN84,"")</f>
        <v/>
      </c>
      <c r="T83" s="31" t="str">
        <f>IF(LEN(_DB_Exercises!AO84)&gt;0,_DB_Exercises!AO84,"")</f>
        <v/>
      </c>
      <c r="U83" s="31" t="str">
        <f>IF(LEN(_DB_Exercises!AP84)&gt;0,_DB_Exercises!AP84,"")</f>
        <v/>
      </c>
      <c r="V83" s="31" t="str">
        <f>IF(LEN(_DB_Exercises!AQ84)&gt;0,_DB_Exercises!AQ84,"")</f>
        <v/>
      </c>
      <c r="W83" s="31" t="str">
        <f>IF(LEN(_DB_Exercises!AR84)&gt;0,_DB_Exercises!AR84,"")</f>
        <v/>
      </c>
      <c r="X83" s="31" t="str">
        <f>IF(LEN(_DB_Exercises!AS84)&gt;0,_DB_Exercises!AS84,"")</f>
        <v/>
      </c>
      <c r="Y83" s="31" t="str">
        <f>IF(LEN(_DB_Exercises!AT84)&gt;0,_DB_Exercises!AT84,"")</f>
        <v/>
      </c>
      <c r="Z83" s="31" t="str">
        <f>IF(LEN(_DB_Exercises!AU84)&gt;0,_DB_Exercises!AU84,"")</f>
        <v/>
      </c>
      <c r="AA83" s="31" t="str">
        <f>IF(LEN(_DB_Exercises!AV84)&gt;0,_DB_Exercises!AV84,"")</f>
        <v/>
      </c>
      <c r="AB83" s="31" t="str">
        <f>IF(LEN(_DB_Exercises!AW84)&gt;0,_DB_Exercises!AW84,"")</f>
        <v/>
      </c>
      <c r="AC83" s="31" t="str">
        <f>IF(LEN(_DB_Exercises!AX84)&gt;0,_DB_Exercises!AX84,"")</f>
        <v/>
      </c>
      <c r="AD83" s="31" t="str">
        <f>IF(LEN(_DB_Exercises!AY84)&gt;0,_DB_Exercises!AY84,"")</f>
        <v/>
      </c>
      <c r="AE83" s="31" t="str">
        <f>IF(LEN(_DB_Exercises!AZ84)&gt;0,_DB_Exercises!AZ84,"")</f>
        <v/>
      </c>
      <c r="AF83" s="31" t="str">
        <f>IF(LEN(_DB_Exercises!BA84)&gt;0,_DB_Exercises!BA84,"")</f>
        <v/>
      </c>
      <c r="AG83" s="31" t="str">
        <f>IF(LEN(_DB_Exercises!BB84)&gt;0,_DB_Exercises!BB84,"")</f>
        <v/>
      </c>
      <c r="AH83" s="31" t="str">
        <f>IF(LEN(_DB_Exercises!BC84)&gt;0,_DB_Exercises!BC84,"")</f>
        <v/>
      </c>
      <c r="AI83" s="31" t="str">
        <f>IF(LEN(_DB_Exercises!BD84)&gt;0,_DB_Exercises!BD84,"")</f>
        <v/>
      </c>
      <c r="AJ83" s="31" t="str">
        <f>IF(LEN(_DB_Exercises!BE84)&gt;0,_DB_Exercises!BE84,"")</f>
        <v/>
      </c>
      <c r="AK83" s="31" t="str">
        <f>IF(LEN(_DB_Exercises!BF84)&gt;0,_DB_Exercises!BF84,"")</f>
        <v/>
      </c>
      <c r="AL83" s="31" t="str">
        <f>IF(LEN(_DB_Exercises!BG84)&gt;0,_DB_Exercises!BG84,"")</f>
        <v/>
      </c>
      <c r="AM83" s="31" t="str">
        <f>IF(LEN(_DB_Exercises!BH84)&gt;0,_DB_Exercises!BH84,"")</f>
        <v/>
      </c>
      <c r="AN83" s="31" t="str">
        <f>IF(LEN(_DB_Exercises!BI84)&gt;0,_DB_Exercises!BI84,"")</f>
        <v/>
      </c>
      <c r="AO83" s="31" t="str">
        <f>IF(LEN(_DB_Exercises!BJ84)&gt;0,_DB_Exercises!BJ84,"")</f>
        <v/>
      </c>
      <c r="AP83" s="31" t="str">
        <f>IF(LEN(_DB_Exercises!BK84)&gt;0,_DB_Exercises!BK84,"")</f>
        <v/>
      </c>
      <c r="AQ83" s="31" t="str">
        <f>IF(LEN(_DB_Exercises!BL84)&gt;0,_DB_Exercises!BL84,"")</f>
        <v/>
      </c>
      <c r="AR83" s="31" t="str">
        <f>IF(LEN(_DB_Exercises!BM84)&gt;0,_DB_Exercises!BM84,"")</f>
        <v/>
      </c>
    </row>
    <row r="84" spans="1:44" x14ac:dyDescent="0.25">
      <c r="A84" s="11">
        <f>IF(LEN(_DB_Exercises!A88)&gt;0,_DB_Exercises!A88,"")</f>
        <v>2076</v>
      </c>
      <c r="B84" s="14" t="str">
        <f>IF(LEN(_DB_Exercises!K88)&gt;0,_DB_Exercises!K88,"")</f>
        <v>7 holes       7 - 12m      Level 3</v>
      </c>
      <c r="C84" s="31" t="str">
        <f>IF(LEN(_DB_Exercises!X88)&gt;0,_DB_Exercises!X88,"")</f>
        <v/>
      </c>
      <c r="D84" s="31" t="str">
        <f>IF(LEN(_DB_Exercises!Y88)&gt;0,_DB_Exercises!Y88,"")</f>
        <v/>
      </c>
      <c r="E84" s="31" t="str">
        <f>IF(LEN(_DB_Exercises!Z88)&gt;0,_DB_Exercises!Z88,"")</f>
        <v/>
      </c>
      <c r="F84" s="31" t="str">
        <f>IF(LEN(_DB_Exercises!AA88)&gt;0,_DB_Exercises!AA88,"")</f>
        <v/>
      </c>
      <c r="G84" s="31" t="str">
        <f>IF(LEN(_DB_Exercises!AB88)&gt;0,_DB_Exercises!AB88,"")</f>
        <v/>
      </c>
      <c r="H84" s="31" t="str">
        <f>IF(LEN(_DB_Exercises!AC88)&gt;0,_DB_Exercises!AC88,"")</f>
        <v/>
      </c>
      <c r="I84" s="31" t="str">
        <f>IF(LEN(_DB_Exercises!AD88)&gt;0,_DB_Exercises!AD88,"")</f>
        <v/>
      </c>
      <c r="J84" s="31" t="str">
        <f>IF(LEN(_DB_Exercises!AE88)&gt;0,_DB_Exercises!AE88,"")</f>
        <v/>
      </c>
      <c r="K84" s="31" t="str">
        <f>IF(LEN(_DB_Exercises!AF88)&gt;0,_DB_Exercises!AF88,"")</f>
        <v/>
      </c>
      <c r="L84" s="31" t="str">
        <f>IF(LEN(_DB_Exercises!AG88)&gt;0,_DB_Exercises!AG88,"")</f>
        <v/>
      </c>
      <c r="M84" s="31" t="str">
        <f>IF(LEN(_DB_Exercises!AH88)&gt;0,_DB_Exercises!AH88,"")</f>
        <v/>
      </c>
      <c r="N84" s="31" t="str">
        <f>IF(LEN(_DB_Exercises!AI88)&gt;0,_DB_Exercises!AI88,"")</f>
        <v/>
      </c>
      <c r="O84" s="31" t="str">
        <f>IF(LEN(_DB_Exercises!AJ88)&gt;0,_DB_Exercises!AJ88,"")</f>
        <v/>
      </c>
      <c r="P84" s="31" t="str">
        <f>IF(LEN(_DB_Exercises!AK88)&gt;0,_DB_Exercises!AK88,"")</f>
        <v/>
      </c>
      <c r="Q84" s="31" t="str">
        <f>IF(LEN(_DB_Exercises!AL88)&gt;0,_DB_Exercises!AL88,"")</f>
        <v/>
      </c>
      <c r="R84" s="31" t="str">
        <f>IF(LEN(_DB_Exercises!AM88)&gt;0,_DB_Exercises!AM88,"")</f>
        <v/>
      </c>
      <c r="S84" s="31" t="str">
        <f>IF(LEN(_DB_Exercises!AN88)&gt;0,_DB_Exercises!AN88,"")</f>
        <v/>
      </c>
      <c r="T84" s="31" t="str">
        <f>IF(LEN(_DB_Exercises!AO88)&gt;0,_DB_Exercises!AO88,"")</f>
        <v/>
      </c>
      <c r="U84" s="31" t="str">
        <f>IF(LEN(_DB_Exercises!AP88)&gt;0,_DB_Exercises!AP88,"")</f>
        <v/>
      </c>
      <c r="V84" s="31" t="str">
        <f>IF(LEN(_DB_Exercises!AQ88)&gt;0,_DB_Exercises!AQ88,"")</f>
        <v/>
      </c>
      <c r="W84" s="31" t="str">
        <f>IF(LEN(_DB_Exercises!AR88)&gt;0,_DB_Exercises!AR88,"")</f>
        <v/>
      </c>
      <c r="X84" s="31" t="str">
        <f>IF(LEN(_DB_Exercises!AS88)&gt;0,_DB_Exercises!AS88,"")</f>
        <v/>
      </c>
      <c r="Y84" s="31" t="str">
        <f>IF(LEN(_DB_Exercises!AT88)&gt;0,_DB_Exercises!AT88,"")</f>
        <v/>
      </c>
      <c r="Z84" s="31" t="str">
        <f>IF(LEN(_DB_Exercises!AU88)&gt;0,_DB_Exercises!AU88,"")</f>
        <v/>
      </c>
      <c r="AA84" s="31" t="str">
        <f>IF(LEN(_DB_Exercises!AV88)&gt;0,_DB_Exercises!AV88,"")</f>
        <v/>
      </c>
      <c r="AB84" s="31" t="str">
        <f>IF(LEN(_DB_Exercises!AW88)&gt;0,_DB_Exercises!AW88,"")</f>
        <v/>
      </c>
      <c r="AC84" s="31" t="str">
        <f>IF(LEN(_DB_Exercises!AX88)&gt;0,_DB_Exercises!AX88,"")</f>
        <v/>
      </c>
      <c r="AD84" s="31" t="str">
        <f>IF(LEN(_DB_Exercises!AY88)&gt;0,_DB_Exercises!AY88,"")</f>
        <v/>
      </c>
      <c r="AE84" s="31" t="str">
        <f>IF(LEN(_DB_Exercises!AZ88)&gt;0,_DB_Exercises!AZ88,"")</f>
        <v/>
      </c>
      <c r="AF84" s="31" t="str">
        <f>IF(LEN(_DB_Exercises!BA88)&gt;0,_DB_Exercises!BA88,"")</f>
        <v/>
      </c>
      <c r="AG84" s="31" t="str">
        <f>IF(LEN(_DB_Exercises!BB88)&gt;0,_DB_Exercises!BB88,"")</f>
        <v/>
      </c>
      <c r="AH84" s="31" t="str">
        <f>IF(LEN(_DB_Exercises!BC88)&gt;0,_DB_Exercises!BC88,"")</f>
        <v/>
      </c>
      <c r="AI84" s="31" t="str">
        <f>IF(LEN(_DB_Exercises!BD88)&gt;0,_DB_Exercises!BD88,"")</f>
        <v/>
      </c>
      <c r="AJ84" s="31" t="str">
        <f>IF(LEN(_DB_Exercises!BE88)&gt;0,_DB_Exercises!BE88,"")</f>
        <v/>
      </c>
      <c r="AK84" s="31" t="str">
        <f>IF(LEN(_DB_Exercises!BF88)&gt;0,_DB_Exercises!BF88,"")</f>
        <v/>
      </c>
      <c r="AL84" s="31" t="str">
        <f>IF(LEN(_DB_Exercises!BG88)&gt;0,_DB_Exercises!BG88,"")</f>
        <v/>
      </c>
      <c r="AM84" s="31" t="str">
        <f>IF(LEN(_DB_Exercises!BH88)&gt;0,_DB_Exercises!BH88,"")</f>
        <v/>
      </c>
      <c r="AN84" s="31" t="str">
        <f>IF(LEN(_DB_Exercises!BI88)&gt;0,_DB_Exercises!BI88,"")</f>
        <v/>
      </c>
      <c r="AO84" s="31" t="str">
        <f>IF(LEN(_DB_Exercises!BJ88)&gt;0,_DB_Exercises!BJ88,"")</f>
        <v/>
      </c>
      <c r="AP84" s="31" t="str">
        <f>IF(LEN(_DB_Exercises!BK88)&gt;0,_DB_Exercises!BK88,"")</f>
        <v/>
      </c>
      <c r="AQ84" s="31" t="str">
        <f>IF(LEN(_DB_Exercises!BL88)&gt;0,_DB_Exercises!BL88,"")</f>
        <v/>
      </c>
      <c r="AR84" s="31" t="str">
        <f>IF(LEN(_DB_Exercises!BM88)&gt;0,_DB_Exercises!BM88,"")</f>
        <v/>
      </c>
    </row>
    <row r="85" spans="1:44" x14ac:dyDescent="0.25">
      <c r="A85" s="11" t="e">
        <f>IF(LEN(_DB_Exercises!#REF!)&gt;0,_DB_Exercises!#REF!,"")</f>
        <v>#REF!</v>
      </c>
      <c r="B85" s="14" t="e">
        <f>IF(LEN(_DB_Exercises!#REF!)&gt;0,_DB_Exercises!#REF!,"")</f>
        <v>#REF!</v>
      </c>
      <c r="C85" s="31" t="e">
        <f>IF(LEN(_DB_Exercises!#REF!)&gt;0,_DB_Exercises!#REF!,"")</f>
        <v>#REF!</v>
      </c>
      <c r="D85" s="31" t="e">
        <f>IF(LEN(_DB_Exercises!#REF!)&gt;0,_DB_Exercises!#REF!,"")</f>
        <v>#REF!</v>
      </c>
      <c r="E85" s="31" t="e">
        <f>IF(LEN(_DB_Exercises!#REF!)&gt;0,_DB_Exercises!#REF!,"")</f>
        <v>#REF!</v>
      </c>
      <c r="F85" s="31" t="e">
        <f>IF(LEN(_DB_Exercises!#REF!)&gt;0,_DB_Exercises!#REF!,"")</f>
        <v>#REF!</v>
      </c>
      <c r="G85" s="31" t="e">
        <f>IF(LEN(_DB_Exercises!#REF!)&gt;0,_DB_Exercises!#REF!,"")</f>
        <v>#REF!</v>
      </c>
      <c r="H85" s="31" t="e">
        <f>IF(LEN(_DB_Exercises!#REF!)&gt;0,_DB_Exercises!#REF!,"")</f>
        <v>#REF!</v>
      </c>
      <c r="I85" s="31" t="e">
        <f>IF(LEN(_DB_Exercises!#REF!)&gt;0,_DB_Exercises!#REF!,"")</f>
        <v>#REF!</v>
      </c>
      <c r="J85" s="31" t="e">
        <f>IF(LEN(_DB_Exercises!#REF!)&gt;0,_DB_Exercises!#REF!,"")</f>
        <v>#REF!</v>
      </c>
      <c r="K85" s="31" t="e">
        <f>IF(LEN(_DB_Exercises!#REF!)&gt;0,_DB_Exercises!#REF!,"")</f>
        <v>#REF!</v>
      </c>
      <c r="L85" s="31" t="e">
        <f>IF(LEN(_DB_Exercises!#REF!)&gt;0,_DB_Exercises!#REF!,"")</f>
        <v>#REF!</v>
      </c>
      <c r="M85" s="31" t="e">
        <f>IF(LEN(_DB_Exercises!#REF!)&gt;0,_DB_Exercises!#REF!,"")</f>
        <v>#REF!</v>
      </c>
      <c r="N85" s="31" t="e">
        <f>IF(LEN(_DB_Exercises!#REF!)&gt;0,_DB_Exercises!#REF!,"")</f>
        <v>#REF!</v>
      </c>
      <c r="O85" s="31" t="e">
        <f>IF(LEN(_DB_Exercises!#REF!)&gt;0,_DB_Exercises!#REF!,"")</f>
        <v>#REF!</v>
      </c>
      <c r="P85" s="31" t="e">
        <f>IF(LEN(_DB_Exercises!#REF!)&gt;0,_DB_Exercises!#REF!,"")</f>
        <v>#REF!</v>
      </c>
      <c r="Q85" s="31" t="e">
        <f>IF(LEN(_DB_Exercises!#REF!)&gt;0,_DB_Exercises!#REF!,"")</f>
        <v>#REF!</v>
      </c>
      <c r="R85" s="31" t="e">
        <f>IF(LEN(_DB_Exercises!#REF!)&gt;0,_DB_Exercises!#REF!,"")</f>
        <v>#REF!</v>
      </c>
      <c r="S85" s="31" t="e">
        <f>IF(LEN(_DB_Exercises!#REF!)&gt;0,_DB_Exercises!#REF!,"")</f>
        <v>#REF!</v>
      </c>
      <c r="T85" s="31" t="e">
        <f>IF(LEN(_DB_Exercises!#REF!)&gt;0,_DB_Exercises!#REF!,"")</f>
        <v>#REF!</v>
      </c>
      <c r="U85" s="31" t="e">
        <f>IF(LEN(_DB_Exercises!#REF!)&gt;0,_DB_Exercises!#REF!,"")</f>
        <v>#REF!</v>
      </c>
      <c r="V85" s="31" t="e">
        <f>IF(LEN(_DB_Exercises!#REF!)&gt;0,_DB_Exercises!#REF!,"")</f>
        <v>#REF!</v>
      </c>
      <c r="W85" s="31" t="e">
        <f>IF(LEN(_DB_Exercises!#REF!)&gt;0,_DB_Exercises!#REF!,"")</f>
        <v>#REF!</v>
      </c>
      <c r="X85" s="31" t="e">
        <f>IF(LEN(_DB_Exercises!#REF!)&gt;0,_DB_Exercises!#REF!,"")</f>
        <v>#REF!</v>
      </c>
      <c r="Y85" s="31" t="e">
        <f>IF(LEN(_DB_Exercises!#REF!)&gt;0,_DB_Exercises!#REF!,"")</f>
        <v>#REF!</v>
      </c>
      <c r="Z85" s="31" t="e">
        <f>IF(LEN(_DB_Exercises!#REF!)&gt;0,_DB_Exercises!#REF!,"")</f>
        <v>#REF!</v>
      </c>
      <c r="AA85" s="31" t="e">
        <f>IF(LEN(_DB_Exercises!#REF!)&gt;0,_DB_Exercises!#REF!,"")</f>
        <v>#REF!</v>
      </c>
      <c r="AB85" s="31" t="e">
        <f>IF(LEN(_DB_Exercises!#REF!)&gt;0,_DB_Exercises!#REF!,"")</f>
        <v>#REF!</v>
      </c>
      <c r="AC85" s="31" t="e">
        <f>IF(LEN(_DB_Exercises!#REF!)&gt;0,_DB_Exercises!#REF!,"")</f>
        <v>#REF!</v>
      </c>
      <c r="AD85" s="31" t="e">
        <f>IF(LEN(_DB_Exercises!#REF!)&gt;0,_DB_Exercises!#REF!,"")</f>
        <v>#REF!</v>
      </c>
      <c r="AE85" s="31" t="e">
        <f>IF(LEN(_DB_Exercises!#REF!)&gt;0,_DB_Exercises!#REF!,"")</f>
        <v>#REF!</v>
      </c>
      <c r="AF85" s="31" t="e">
        <f>IF(LEN(_DB_Exercises!#REF!)&gt;0,_DB_Exercises!#REF!,"")</f>
        <v>#REF!</v>
      </c>
      <c r="AG85" s="31" t="e">
        <f>IF(LEN(_DB_Exercises!#REF!)&gt;0,_DB_Exercises!#REF!,"")</f>
        <v>#REF!</v>
      </c>
      <c r="AH85" s="31" t="e">
        <f>IF(LEN(_DB_Exercises!#REF!)&gt;0,_DB_Exercises!#REF!,"")</f>
        <v>#REF!</v>
      </c>
      <c r="AI85" s="31" t="e">
        <f>IF(LEN(_DB_Exercises!#REF!)&gt;0,_DB_Exercises!#REF!,"")</f>
        <v>#REF!</v>
      </c>
      <c r="AJ85" s="31" t="e">
        <f>IF(LEN(_DB_Exercises!#REF!)&gt;0,_DB_Exercises!#REF!,"")</f>
        <v>#REF!</v>
      </c>
      <c r="AK85" s="31" t="e">
        <f>IF(LEN(_DB_Exercises!#REF!)&gt;0,_DB_Exercises!#REF!,"")</f>
        <v>#REF!</v>
      </c>
      <c r="AL85" s="31" t="e">
        <f>IF(LEN(_DB_Exercises!#REF!)&gt;0,_DB_Exercises!#REF!,"")</f>
        <v>#REF!</v>
      </c>
      <c r="AM85" s="31" t="e">
        <f>IF(LEN(_DB_Exercises!#REF!)&gt;0,_DB_Exercises!#REF!,"")</f>
        <v>#REF!</v>
      </c>
      <c r="AN85" s="31" t="e">
        <f>IF(LEN(_DB_Exercises!#REF!)&gt;0,_DB_Exercises!#REF!,"")</f>
        <v>#REF!</v>
      </c>
      <c r="AO85" s="31" t="e">
        <f>IF(LEN(_DB_Exercises!#REF!)&gt;0,_DB_Exercises!#REF!,"")</f>
        <v>#REF!</v>
      </c>
      <c r="AP85" s="31" t="e">
        <f>IF(LEN(_DB_Exercises!#REF!)&gt;0,_DB_Exercises!#REF!,"")</f>
        <v>#REF!</v>
      </c>
      <c r="AQ85" s="31" t="e">
        <f>IF(LEN(_DB_Exercises!#REF!)&gt;0,_DB_Exercises!#REF!,"")</f>
        <v>#REF!</v>
      </c>
      <c r="AR85" s="31" t="e">
        <f>IF(LEN(_DB_Exercises!#REF!)&gt;0,_DB_Exercises!#REF!,"")</f>
        <v>#REF!</v>
      </c>
    </row>
    <row r="86" spans="1:44" x14ac:dyDescent="0.25">
      <c r="A86" s="11">
        <f>IF(LEN(_DB_Exercises!A89)&gt;0,_DB_Exercises!A89,"")</f>
        <v>2077</v>
      </c>
      <c r="B86" s="14" t="str">
        <f>IF(LEN(_DB_Exercises!K89)&gt;0,_DB_Exercises!K89,"")</f>
        <v>Put through the gate</v>
      </c>
      <c r="C86" s="31" t="str">
        <f>IF(LEN(_DB_Exercises!X89)&gt;0,_DB_Exercises!X89,"")</f>
        <v/>
      </c>
      <c r="D86" s="31" t="str">
        <f>IF(LEN(_DB_Exercises!Y89)&gt;0,_DB_Exercises!Y89,"")</f>
        <v/>
      </c>
      <c r="E86" s="31" t="str">
        <f>IF(LEN(_DB_Exercises!Z89)&gt;0,_DB_Exercises!Z89,"")</f>
        <v/>
      </c>
      <c r="F86" s="31" t="str">
        <f>IF(LEN(_DB_Exercises!AA89)&gt;0,_DB_Exercises!AA89,"")</f>
        <v/>
      </c>
      <c r="G86" s="31" t="str">
        <f>IF(LEN(_DB_Exercises!AB89)&gt;0,_DB_Exercises!AB89,"")</f>
        <v/>
      </c>
      <c r="H86" s="31" t="str">
        <f>IF(LEN(_DB_Exercises!AC89)&gt;0,_DB_Exercises!AC89,"")</f>
        <v/>
      </c>
      <c r="I86" s="31" t="str">
        <f>IF(LEN(_DB_Exercises!AD89)&gt;0,_DB_Exercises!AD89,"")</f>
        <v/>
      </c>
      <c r="J86" s="31" t="str">
        <f>IF(LEN(_DB_Exercises!AE89)&gt;0,_DB_Exercises!AE89,"")</f>
        <v/>
      </c>
      <c r="K86" s="31" t="str">
        <f>IF(LEN(_DB_Exercises!AF89)&gt;0,_DB_Exercises!AF89,"")</f>
        <v/>
      </c>
      <c r="L86" s="31" t="str">
        <f>IF(LEN(_DB_Exercises!AG89)&gt;0,_DB_Exercises!AG89,"")</f>
        <v/>
      </c>
      <c r="M86" s="31" t="str">
        <f>IF(LEN(_DB_Exercises!AH89)&gt;0,_DB_Exercises!AH89,"")</f>
        <v/>
      </c>
      <c r="N86" s="31" t="str">
        <f>IF(LEN(_DB_Exercises!AI89)&gt;0,_DB_Exercises!AI89,"")</f>
        <v/>
      </c>
      <c r="O86" s="31" t="str">
        <f>IF(LEN(_DB_Exercises!AJ89)&gt;0,_DB_Exercises!AJ89,"")</f>
        <v/>
      </c>
      <c r="P86" s="31" t="str">
        <f>IF(LEN(_DB_Exercises!AK89)&gt;0,_DB_Exercises!AK89,"")</f>
        <v/>
      </c>
      <c r="Q86" s="31" t="str">
        <f>IF(LEN(_DB_Exercises!AL89)&gt;0,_DB_Exercises!AL89,"")</f>
        <v/>
      </c>
      <c r="R86" s="31" t="str">
        <f>IF(LEN(_DB_Exercises!AM89)&gt;0,_DB_Exercises!AM89,"")</f>
        <v/>
      </c>
      <c r="S86" s="31" t="str">
        <f>IF(LEN(_DB_Exercises!AN89)&gt;0,_DB_Exercises!AN89,"")</f>
        <v/>
      </c>
      <c r="T86" s="31" t="str">
        <f>IF(LEN(_DB_Exercises!AO89)&gt;0,_DB_Exercises!AO89,"")</f>
        <v/>
      </c>
      <c r="U86" s="31" t="str">
        <f>IF(LEN(_DB_Exercises!AP89)&gt;0,_DB_Exercises!AP89,"")</f>
        <v/>
      </c>
      <c r="V86" s="31" t="str">
        <f>IF(LEN(_DB_Exercises!AQ89)&gt;0,_DB_Exercises!AQ89,"")</f>
        <v/>
      </c>
      <c r="W86" s="31" t="str">
        <f>IF(LEN(_DB_Exercises!AR89)&gt;0,_DB_Exercises!AR89,"")</f>
        <v/>
      </c>
      <c r="X86" s="31" t="str">
        <f>IF(LEN(_DB_Exercises!AS89)&gt;0,_DB_Exercises!AS89,"")</f>
        <v/>
      </c>
      <c r="Y86" s="31" t="str">
        <f>IF(LEN(_DB_Exercises!AT89)&gt;0,_DB_Exercises!AT89,"")</f>
        <v/>
      </c>
      <c r="Z86" s="31" t="str">
        <f>IF(LEN(_DB_Exercises!AU89)&gt;0,_DB_Exercises!AU89,"")</f>
        <v/>
      </c>
      <c r="AA86" s="31" t="str">
        <f>IF(LEN(_DB_Exercises!AV89)&gt;0,_DB_Exercises!AV89,"")</f>
        <v/>
      </c>
      <c r="AB86" s="31" t="str">
        <f>IF(LEN(_DB_Exercises!AW89)&gt;0,_DB_Exercises!AW89,"")</f>
        <v/>
      </c>
      <c r="AC86" s="31" t="str">
        <f>IF(LEN(_DB_Exercises!AX89)&gt;0,_DB_Exercises!AX89,"")</f>
        <v/>
      </c>
      <c r="AD86" s="31" t="str">
        <f>IF(LEN(_DB_Exercises!AY89)&gt;0,_DB_Exercises!AY89,"")</f>
        <v/>
      </c>
      <c r="AE86" s="31" t="str">
        <f>IF(LEN(_DB_Exercises!AZ89)&gt;0,_DB_Exercises!AZ89,"")</f>
        <v/>
      </c>
      <c r="AF86" s="31" t="str">
        <f>IF(LEN(_DB_Exercises!BA89)&gt;0,_DB_Exercises!BA89,"")</f>
        <v/>
      </c>
      <c r="AG86" s="31" t="str">
        <f>IF(LEN(_DB_Exercises!BB89)&gt;0,_DB_Exercises!BB89,"")</f>
        <v/>
      </c>
      <c r="AH86" s="31" t="str">
        <f>IF(LEN(_DB_Exercises!BC89)&gt;0,_DB_Exercises!BC89,"")</f>
        <v/>
      </c>
      <c r="AI86" s="31" t="str">
        <f>IF(LEN(_DB_Exercises!BD89)&gt;0,_DB_Exercises!BD89,"")</f>
        <v/>
      </c>
      <c r="AJ86" s="31" t="str">
        <f>IF(LEN(_DB_Exercises!BE89)&gt;0,_DB_Exercises!BE89,"")</f>
        <v/>
      </c>
      <c r="AK86" s="31" t="str">
        <f>IF(LEN(_DB_Exercises!BF89)&gt;0,_DB_Exercises!BF89,"")</f>
        <v/>
      </c>
      <c r="AL86" s="31" t="str">
        <f>IF(LEN(_DB_Exercises!BG89)&gt;0,_DB_Exercises!BG89,"")</f>
        <v/>
      </c>
      <c r="AM86" s="31" t="str">
        <f>IF(LEN(_DB_Exercises!BH89)&gt;0,_DB_Exercises!BH89,"")</f>
        <v/>
      </c>
      <c r="AN86" s="31" t="str">
        <f>IF(LEN(_DB_Exercises!BI89)&gt;0,_DB_Exercises!BI89,"")</f>
        <v/>
      </c>
      <c r="AO86" s="31" t="str">
        <f>IF(LEN(_DB_Exercises!BJ89)&gt;0,_DB_Exercises!BJ89,"")</f>
        <v/>
      </c>
      <c r="AP86" s="31" t="str">
        <f>IF(LEN(_DB_Exercises!BK89)&gt;0,_DB_Exercises!BK89,"")</f>
        <v/>
      </c>
      <c r="AQ86" s="31" t="str">
        <f>IF(LEN(_DB_Exercises!BL89)&gt;0,_DB_Exercises!BL89,"")</f>
        <v/>
      </c>
      <c r="AR86" s="31" t="str">
        <f>IF(LEN(_DB_Exercises!BM89)&gt;0,_DB_Exercises!BM89,"")</f>
        <v/>
      </c>
    </row>
    <row r="87" spans="1:44" x14ac:dyDescent="0.25">
      <c r="A87" s="11">
        <f>IF(LEN(_DB_Exercises!A90)&gt;0,_DB_Exercises!A90,"")</f>
        <v>2078</v>
      </c>
      <c r="B87" s="14" t="str">
        <f>IF(LEN(_DB_Exercises!K90)&gt;0,_DB_Exercises!K90,"")</f>
        <v>Asse Putting</v>
      </c>
      <c r="C87" s="31" t="str">
        <f>IF(LEN(_DB_Exercises!X90)&gt;0,_DB_Exercises!X90,"")</f>
        <v/>
      </c>
      <c r="D87" s="31" t="str">
        <f>IF(LEN(_DB_Exercises!Y90)&gt;0,_DB_Exercises!Y90,"")</f>
        <v/>
      </c>
      <c r="E87" s="31" t="str">
        <f>IF(LEN(_DB_Exercises!Z90)&gt;0,_DB_Exercises!Z90,"")</f>
        <v/>
      </c>
      <c r="F87" s="31" t="str">
        <f>IF(LEN(_DB_Exercises!AA90)&gt;0,_DB_Exercises!AA90,"")</f>
        <v/>
      </c>
      <c r="G87" s="31" t="str">
        <f>IF(LEN(_DB_Exercises!AB90)&gt;0,_DB_Exercises!AB90,"")</f>
        <v/>
      </c>
      <c r="H87" s="31" t="str">
        <f>IF(LEN(_DB_Exercises!AC90)&gt;0,_DB_Exercises!AC90,"")</f>
        <v/>
      </c>
      <c r="I87" s="31" t="str">
        <f>IF(LEN(_DB_Exercises!AD90)&gt;0,_DB_Exercises!AD90,"")</f>
        <v/>
      </c>
      <c r="J87" s="31" t="str">
        <f>IF(LEN(_DB_Exercises!AE90)&gt;0,_DB_Exercises!AE90,"")</f>
        <v/>
      </c>
      <c r="K87" s="31" t="str">
        <f>IF(LEN(_DB_Exercises!AF90)&gt;0,_DB_Exercises!AF90,"")</f>
        <v/>
      </c>
      <c r="L87" s="31" t="str">
        <f>IF(LEN(_DB_Exercises!AG90)&gt;0,_DB_Exercises!AG90,"")</f>
        <v/>
      </c>
      <c r="M87" s="31" t="str">
        <f>IF(LEN(_DB_Exercises!AH90)&gt;0,_DB_Exercises!AH90,"")</f>
        <v/>
      </c>
      <c r="N87" s="31" t="str">
        <f>IF(LEN(_DB_Exercises!AI90)&gt;0,_DB_Exercises!AI90,"")</f>
        <v/>
      </c>
      <c r="O87" s="31" t="str">
        <f>IF(LEN(_DB_Exercises!AJ90)&gt;0,_DB_Exercises!AJ90,"")</f>
        <v/>
      </c>
      <c r="P87" s="31" t="str">
        <f>IF(LEN(_DB_Exercises!AK90)&gt;0,_DB_Exercises!AK90,"")</f>
        <v/>
      </c>
      <c r="Q87" s="31" t="str">
        <f>IF(LEN(_DB_Exercises!AL90)&gt;0,_DB_Exercises!AL90,"")</f>
        <v/>
      </c>
      <c r="R87" s="31" t="str">
        <f>IF(LEN(_DB_Exercises!AM90)&gt;0,_DB_Exercises!AM90,"")</f>
        <v/>
      </c>
      <c r="S87" s="31" t="str">
        <f>IF(LEN(_DB_Exercises!AN90)&gt;0,_DB_Exercises!AN90,"")</f>
        <v/>
      </c>
      <c r="T87" s="31" t="str">
        <f>IF(LEN(_DB_Exercises!AO90)&gt;0,_DB_Exercises!AO90,"")</f>
        <v/>
      </c>
      <c r="U87" s="31" t="str">
        <f>IF(LEN(_DB_Exercises!AP90)&gt;0,_DB_Exercises!AP90,"")</f>
        <v/>
      </c>
      <c r="V87" s="31" t="str">
        <f>IF(LEN(_DB_Exercises!AQ90)&gt;0,_DB_Exercises!AQ90,"")</f>
        <v/>
      </c>
      <c r="W87" s="31" t="str">
        <f>IF(LEN(_DB_Exercises!AR90)&gt;0,_DB_Exercises!AR90,"")</f>
        <v/>
      </c>
      <c r="X87" s="31" t="str">
        <f>IF(LEN(_DB_Exercises!AS90)&gt;0,_DB_Exercises!AS90,"")</f>
        <v/>
      </c>
      <c r="Y87" s="31" t="str">
        <f>IF(LEN(_DB_Exercises!AT90)&gt;0,_DB_Exercises!AT90,"")</f>
        <v/>
      </c>
      <c r="Z87" s="31" t="str">
        <f>IF(LEN(_DB_Exercises!AU90)&gt;0,_DB_Exercises!AU90,"")</f>
        <v/>
      </c>
      <c r="AA87" s="31" t="str">
        <f>IF(LEN(_DB_Exercises!AV90)&gt;0,_DB_Exercises!AV90,"")</f>
        <v/>
      </c>
      <c r="AB87" s="31" t="str">
        <f>IF(LEN(_DB_Exercises!AW90)&gt;0,_DB_Exercises!AW90,"")</f>
        <v/>
      </c>
      <c r="AC87" s="31" t="str">
        <f>IF(LEN(_DB_Exercises!AX90)&gt;0,_DB_Exercises!AX90,"")</f>
        <v/>
      </c>
      <c r="AD87" s="31" t="str">
        <f>IF(LEN(_DB_Exercises!AY90)&gt;0,_DB_Exercises!AY90,"")</f>
        <v/>
      </c>
      <c r="AE87" s="31" t="str">
        <f>IF(LEN(_DB_Exercises!AZ90)&gt;0,_DB_Exercises!AZ90,"")</f>
        <v/>
      </c>
      <c r="AF87" s="31" t="str">
        <f>IF(LEN(_DB_Exercises!BA90)&gt;0,_DB_Exercises!BA90,"")</f>
        <v/>
      </c>
      <c r="AG87" s="31" t="str">
        <f>IF(LEN(_DB_Exercises!BB90)&gt;0,_DB_Exercises!BB90,"")</f>
        <v/>
      </c>
      <c r="AH87" s="31" t="str">
        <f>IF(LEN(_DB_Exercises!BC90)&gt;0,_DB_Exercises!BC90,"")</f>
        <v/>
      </c>
      <c r="AI87" s="31" t="str">
        <f>IF(LEN(_DB_Exercises!BD90)&gt;0,_DB_Exercises!BD90,"")</f>
        <v/>
      </c>
      <c r="AJ87" s="31" t="str">
        <f>IF(LEN(_DB_Exercises!BE90)&gt;0,_DB_Exercises!BE90,"")</f>
        <v/>
      </c>
      <c r="AK87" s="31" t="str">
        <f>IF(LEN(_DB_Exercises!BF90)&gt;0,_DB_Exercises!BF90,"")</f>
        <v/>
      </c>
      <c r="AL87" s="31" t="str">
        <f>IF(LEN(_DB_Exercises!BG90)&gt;0,_DB_Exercises!BG90,"")</f>
        <v/>
      </c>
      <c r="AM87" s="31" t="str">
        <f>IF(LEN(_DB_Exercises!BH90)&gt;0,_DB_Exercises!BH90,"")</f>
        <v/>
      </c>
      <c r="AN87" s="31" t="str">
        <f>IF(LEN(_DB_Exercises!BI90)&gt;0,_DB_Exercises!BI90,"")</f>
        <v/>
      </c>
      <c r="AO87" s="31" t="str">
        <f>IF(LEN(_DB_Exercises!BJ90)&gt;0,_DB_Exercises!BJ90,"")</f>
        <v/>
      </c>
      <c r="AP87" s="31" t="str">
        <f>IF(LEN(_DB_Exercises!BK90)&gt;0,_DB_Exercises!BK90,"")</f>
        <v/>
      </c>
      <c r="AQ87" s="31" t="str">
        <f>IF(LEN(_DB_Exercises!BL90)&gt;0,_DB_Exercises!BL90,"")</f>
        <v/>
      </c>
      <c r="AR87" s="31" t="str">
        <f>IF(LEN(_DB_Exercises!BM90)&gt;0,_DB_Exercises!BM90,"")</f>
        <v/>
      </c>
    </row>
    <row r="88" spans="1:44" x14ac:dyDescent="0.25">
      <c r="A88" s="11">
        <f>IF(LEN(_DB_Exercises!A91)&gt;0,_DB_Exercises!A91,"")</f>
        <v>2079</v>
      </c>
      <c r="B88" s="14" t="str">
        <f>IF(LEN(_DB_Exercises!K91)&gt;0,_DB_Exercises!K91,"")</f>
        <v>Steal the ball</v>
      </c>
      <c r="C88" s="31" t="str">
        <f>IF(LEN(_DB_Exercises!X91)&gt;0,_DB_Exercises!X91,"")</f>
        <v/>
      </c>
      <c r="D88" s="31" t="str">
        <f>IF(LEN(_DB_Exercises!Y91)&gt;0,_DB_Exercises!Y91,"")</f>
        <v/>
      </c>
      <c r="E88" s="31" t="str">
        <f>IF(LEN(_DB_Exercises!Z91)&gt;0,_DB_Exercises!Z91,"")</f>
        <v/>
      </c>
      <c r="F88" s="31" t="str">
        <f>IF(LEN(_DB_Exercises!AA91)&gt;0,_DB_Exercises!AA91,"")</f>
        <v/>
      </c>
      <c r="G88" s="31" t="str">
        <f>IF(LEN(_DB_Exercises!AB91)&gt;0,_DB_Exercises!AB91,"")</f>
        <v/>
      </c>
      <c r="H88" s="31" t="str">
        <f>IF(LEN(_DB_Exercises!AC91)&gt;0,_DB_Exercises!AC91,"")</f>
        <v/>
      </c>
      <c r="I88" s="31" t="str">
        <f>IF(LEN(_DB_Exercises!AD91)&gt;0,_DB_Exercises!AD91,"")</f>
        <v/>
      </c>
      <c r="J88" s="31" t="str">
        <f>IF(LEN(_DB_Exercises!AE91)&gt;0,_DB_Exercises!AE91,"")</f>
        <v/>
      </c>
      <c r="K88" s="31" t="str">
        <f>IF(LEN(_DB_Exercises!AF91)&gt;0,_DB_Exercises!AF91,"")</f>
        <v/>
      </c>
      <c r="L88" s="31" t="str">
        <f>IF(LEN(_DB_Exercises!AG91)&gt;0,_DB_Exercises!AG91,"")</f>
        <v/>
      </c>
      <c r="M88" s="31" t="str">
        <f>IF(LEN(_DB_Exercises!AH91)&gt;0,_DB_Exercises!AH91,"")</f>
        <v/>
      </c>
      <c r="N88" s="31" t="str">
        <f>IF(LEN(_DB_Exercises!AI91)&gt;0,_DB_Exercises!AI91,"")</f>
        <v/>
      </c>
      <c r="O88" s="31" t="str">
        <f>IF(LEN(_DB_Exercises!AJ91)&gt;0,_DB_Exercises!AJ91,"")</f>
        <v/>
      </c>
      <c r="P88" s="31" t="str">
        <f>IF(LEN(_DB_Exercises!AK91)&gt;0,_DB_Exercises!AK91,"")</f>
        <v/>
      </c>
      <c r="Q88" s="31" t="str">
        <f>IF(LEN(_DB_Exercises!AL91)&gt;0,_DB_Exercises!AL91,"")</f>
        <v/>
      </c>
      <c r="R88" s="31" t="str">
        <f>IF(LEN(_DB_Exercises!AM91)&gt;0,_DB_Exercises!AM91,"")</f>
        <v/>
      </c>
      <c r="S88" s="31" t="str">
        <f>IF(LEN(_DB_Exercises!AN91)&gt;0,_DB_Exercises!AN91,"")</f>
        <v/>
      </c>
      <c r="T88" s="31" t="str">
        <f>IF(LEN(_DB_Exercises!AO91)&gt;0,_DB_Exercises!AO91,"")</f>
        <v/>
      </c>
      <c r="U88" s="31" t="str">
        <f>IF(LEN(_DB_Exercises!AP91)&gt;0,_DB_Exercises!AP91,"")</f>
        <v/>
      </c>
      <c r="V88" s="31" t="str">
        <f>IF(LEN(_DB_Exercises!AQ91)&gt;0,_DB_Exercises!AQ91,"")</f>
        <v/>
      </c>
      <c r="W88" s="31" t="str">
        <f>IF(LEN(_DB_Exercises!AR91)&gt;0,_DB_Exercises!AR91,"")</f>
        <v/>
      </c>
      <c r="X88" s="31" t="str">
        <f>IF(LEN(_DB_Exercises!AS91)&gt;0,_DB_Exercises!AS91,"")</f>
        <v/>
      </c>
      <c r="Y88" s="31" t="str">
        <f>IF(LEN(_DB_Exercises!AT91)&gt;0,_DB_Exercises!AT91,"")</f>
        <v/>
      </c>
      <c r="Z88" s="31" t="str">
        <f>IF(LEN(_DB_Exercises!AU91)&gt;0,_DB_Exercises!AU91,"")</f>
        <v/>
      </c>
      <c r="AA88" s="31" t="str">
        <f>IF(LEN(_DB_Exercises!AV91)&gt;0,_DB_Exercises!AV91,"")</f>
        <v/>
      </c>
      <c r="AB88" s="31" t="str">
        <f>IF(LEN(_DB_Exercises!AW91)&gt;0,_DB_Exercises!AW91,"")</f>
        <v/>
      </c>
      <c r="AC88" s="31" t="str">
        <f>IF(LEN(_DB_Exercises!AX91)&gt;0,_DB_Exercises!AX91,"")</f>
        <v/>
      </c>
      <c r="AD88" s="31" t="str">
        <f>IF(LEN(_DB_Exercises!AY91)&gt;0,_DB_Exercises!AY91,"")</f>
        <v/>
      </c>
      <c r="AE88" s="31" t="str">
        <f>IF(LEN(_DB_Exercises!AZ91)&gt;0,_DB_Exercises!AZ91,"")</f>
        <v/>
      </c>
      <c r="AF88" s="31" t="str">
        <f>IF(LEN(_DB_Exercises!BA91)&gt;0,_DB_Exercises!BA91,"")</f>
        <v/>
      </c>
      <c r="AG88" s="31" t="str">
        <f>IF(LEN(_DB_Exercises!BB91)&gt;0,_DB_Exercises!BB91,"")</f>
        <v/>
      </c>
      <c r="AH88" s="31" t="str">
        <f>IF(LEN(_DB_Exercises!BC91)&gt;0,_DB_Exercises!BC91,"")</f>
        <v/>
      </c>
      <c r="AI88" s="31" t="str">
        <f>IF(LEN(_DB_Exercises!BD91)&gt;0,_DB_Exercises!BD91,"")</f>
        <v/>
      </c>
      <c r="AJ88" s="31" t="str">
        <f>IF(LEN(_DB_Exercises!BE91)&gt;0,_DB_Exercises!BE91,"")</f>
        <v/>
      </c>
      <c r="AK88" s="31" t="str">
        <f>IF(LEN(_DB_Exercises!BF91)&gt;0,_DB_Exercises!BF91,"")</f>
        <v/>
      </c>
      <c r="AL88" s="31" t="str">
        <f>IF(LEN(_DB_Exercises!BG91)&gt;0,_DB_Exercises!BG91,"")</f>
        <v/>
      </c>
      <c r="AM88" s="31" t="str">
        <f>IF(LEN(_DB_Exercises!BH91)&gt;0,_DB_Exercises!BH91,"")</f>
        <v/>
      </c>
      <c r="AN88" s="31" t="str">
        <f>IF(LEN(_DB_Exercises!BI91)&gt;0,_DB_Exercises!BI91,"")</f>
        <v/>
      </c>
      <c r="AO88" s="31" t="str">
        <f>IF(LEN(_DB_Exercises!BJ91)&gt;0,_DB_Exercises!BJ91,"")</f>
        <v/>
      </c>
      <c r="AP88" s="31" t="str">
        <f>IF(LEN(_DB_Exercises!BK91)&gt;0,_DB_Exercises!BK91,"")</f>
        <v/>
      </c>
      <c r="AQ88" s="31" t="str">
        <f>IF(LEN(_DB_Exercises!BL91)&gt;0,_DB_Exercises!BL91,"")</f>
        <v/>
      </c>
      <c r="AR88" s="31" t="str">
        <f>IF(LEN(_DB_Exercises!BM91)&gt;0,_DB_Exercises!BM91,"")</f>
        <v/>
      </c>
    </row>
    <row r="89" spans="1:44" x14ac:dyDescent="0.25">
      <c r="A89" s="11">
        <f>IF(LEN(_DB_Exercises!A92)&gt;0,_DB_Exercises!A92,"")</f>
        <v>2080</v>
      </c>
      <c r="B89" s="14" t="str">
        <f>IF(LEN(_DB_Exercises!K92)&gt;0,_DB_Exercises!K92,"")</f>
        <v>Biathlon      Zonen</v>
      </c>
      <c r="C89" s="31" t="str">
        <f>IF(LEN(_DB_Exercises!X92)&gt;0,_DB_Exercises!X92,"")</f>
        <v/>
      </c>
      <c r="D89" s="31" t="str">
        <f>IF(LEN(_DB_Exercises!Y92)&gt;0,_DB_Exercises!Y92,"")</f>
        <v/>
      </c>
      <c r="E89" s="31" t="str">
        <f>IF(LEN(_DB_Exercises!Z92)&gt;0,_DB_Exercises!Z92,"")</f>
        <v/>
      </c>
      <c r="F89" s="31" t="str">
        <f>IF(LEN(_DB_Exercises!AA92)&gt;0,_DB_Exercises!AA92,"")</f>
        <v/>
      </c>
      <c r="G89" s="31" t="str">
        <f>IF(LEN(_DB_Exercises!AB92)&gt;0,_DB_Exercises!AB92,"")</f>
        <v/>
      </c>
      <c r="H89" s="31" t="str">
        <f>IF(LEN(_DB_Exercises!AC92)&gt;0,_DB_Exercises!AC92,"")</f>
        <v/>
      </c>
      <c r="I89" s="31" t="str">
        <f>IF(LEN(_DB_Exercises!AD92)&gt;0,_DB_Exercises!AD92,"")</f>
        <v/>
      </c>
      <c r="J89" s="31" t="str">
        <f>IF(LEN(_DB_Exercises!AE92)&gt;0,_DB_Exercises!AE92,"")</f>
        <v/>
      </c>
      <c r="K89" s="31" t="str">
        <f>IF(LEN(_DB_Exercises!AF92)&gt;0,_DB_Exercises!AF92,"")</f>
        <v/>
      </c>
      <c r="L89" s="31" t="str">
        <f>IF(LEN(_DB_Exercises!AG92)&gt;0,_DB_Exercises!AG92,"")</f>
        <v/>
      </c>
      <c r="M89" s="31" t="str">
        <f>IF(LEN(_DB_Exercises!AH92)&gt;0,_DB_Exercises!AH92,"")</f>
        <v/>
      </c>
      <c r="N89" s="31" t="str">
        <f>IF(LEN(_DB_Exercises!AI92)&gt;0,_DB_Exercises!AI92,"")</f>
        <v/>
      </c>
      <c r="O89" s="31" t="str">
        <f>IF(LEN(_DB_Exercises!AJ92)&gt;0,_DB_Exercises!AJ92,"")</f>
        <v/>
      </c>
      <c r="P89" s="31" t="str">
        <f>IF(LEN(_DB_Exercises!AK92)&gt;0,_DB_Exercises!AK92,"")</f>
        <v/>
      </c>
      <c r="Q89" s="31" t="str">
        <f>IF(LEN(_DB_Exercises!AL92)&gt;0,_DB_Exercises!AL92,"")</f>
        <v/>
      </c>
      <c r="R89" s="31" t="str">
        <f>IF(LEN(_DB_Exercises!AM92)&gt;0,_DB_Exercises!AM92,"")</f>
        <v/>
      </c>
      <c r="S89" s="31" t="str">
        <f>IF(LEN(_DB_Exercises!AN92)&gt;0,_DB_Exercises!AN92,"")</f>
        <v/>
      </c>
      <c r="T89" s="31" t="str">
        <f>IF(LEN(_DB_Exercises!AO92)&gt;0,_DB_Exercises!AO92,"")</f>
        <v/>
      </c>
      <c r="U89" s="31" t="str">
        <f>IF(LEN(_DB_Exercises!AP92)&gt;0,_DB_Exercises!AP92,"")</f>
        <v/>
      </c>
      <c r="V89" s="31" t="str">
        <f>IF(LEN(_DB_Exercises!AQ92)&gt;0,_DB_Exercises!AQ92,"")</f>
        <v/>
      </c>
      <c r="W89" s="31" t="str">
        <f>IF(LEN(_DB_Exercises!AR92)&gt;0,_DB_Exercises!AR92,"")</f>
        <v/>
      </c>
      <c r="X89" s="31" t="str">
        <f>IF(LEN(_DB_Exercises!AS92)&gt;0,_DB_Exercises!AS92,"")</f>
        <v/>
      </c>
      <c r="Y89" s="31" t="str">
        <f>IF(LEN(_DB_Exercises!AT92)&gt;0,_DB_Exercises!AT92,"")</f>
        <v/>
      </c>
      <c r="Z89" s="31" t="str">
        <f>IF(LEN(_DB_Exercises!AU92)&gt;0,_DB_Exercises!AU92,"")</f>
        <v/>
      </c>
      <c r="AA89" s="31" t="str">
        <f>IF(LEN(_DB_Exercises!AV92)&gt;0,_DB_Exercises!AV92,"")</f>
        <v/>
      </c>
      <c r="AB89" s="31" t="str">
        <f>IF(LEN(_DB_Exercises!AW92)&gt;0,_DB_Exercises!AW92,"")</f>
        <v/>
      </c>
      <c r="AC89" s="31" t="str">
        <f>IF(LEN(_DB_Exercises!AX92)&gt;0,_DB_Exercises!AX92,"")</f>
        <v/>
      </c>
      <c r="AD89" s="31" t="str">
        <f>IF(LEN(_DB_Exercises!AY92)&gt;0,_DB_Exercises!AY92,"")</f>
        <v/>
      </c>
      <c r="AE89" s="31" t="str">
        <f>IF(LEN(_DB_Exercises!AZ92)&gt;0,_DB_Exercises!AZ92,"")</f>
        <v/>
      </c>
      <c r="AF89" s="31" t="str">
        <f>IF(LEN(_DB_Exercises!BA92)&gt;0,_DB_Exercises!BA92,"")</f>
        <v/>
      </c>
      <c r="AG89" s="31" t="str">
        <f>IF(LEN(_DB_Exercises!BB92)&gt;0,_DB_Exercises!BB92,"")</f>
        <v/>
      </c>
      <c r="AH89" s="31" t="str">
        <f>IF(LEN(_DB_Exercises!BC92)&gt;0,_DB_Exercises!BC92,"")</f>
        <v/>
      </c>
      <c r="AI89" s="31" t="str">
        <f>IF(LEN(_DB_Exercises!BD92)&gt;0,_DB_Exercises!BD92,"")</f>
        <v/>
      </c>
      <c r="AJ89" s="31" t="str">
        <f>IF(LEN(_DB_Exercises!BE92)&gt;0,_DB_Exercises!BE92,"")</f>
        <v/>
      </c>
      <c r="AK89" s="31" t="str">
        <f>IF(LEN(_DB_Exercises!BF92)&gt;0,_DB_Exercises!BF92,"")</f>
        <v/>
      </c>
      <c r="AL89" s="31" t="str">
        <f>IF(LEN(_DB_Exercises!BG92)&gt;0,_DB_Exercises!BG92,"")</f>
        <v/>
      </c>
      <c r="AM89" s="31" t="str">
        <f>IF(LEN(_DB_Exercises!BH92)&gt;0,_DB_Exercises!BH92,"")</f>
        <v/>
      </c>
      <c r="AN89" s="31" t="str">
        <f>IF(LEN(_DB_Exercises!BI92)&gt;0,_DB_Exercises!BI92,"")</f>
        <v/>
      </c>
      <c r="AO89" s="31" t="str">
        <f>IF(LEN(_DB_Exercises!BJ92)&gt;0,_DB_Exercises!BJ92,"")</f>
        <v/>
      </c>
      <c r="AP89" s="31" t="str">
        <f>IF(LEN(_DB_Exercises!BK92)&gt;0,_DB_Exercises!BK92,"")</f>
        <v/>
      </c>
      <c r="AQ89" s="31" t="str">
        <f>IF(LEN(_DB_Exercises!BL92)&gt;0,_DB_Exercises!BL92,"")</f>
        <v/>
      </c>
      <c r="AR89" s="31" t="str">
        <f>IF(LEN(_DB_Exercises!BM92)&gt;0,_DB_Exercises!BM92,"")</f>
        <v/>
      </c>
    </row>
    <row r="90" spans="1:44" x14ac:dyDescent="0.25">
      <c r="A90" s="11">
        <f>IF(LEN(_DB_Exercises!A93)&gt;0,_DB_Exercises!A93,"")</f>
        <v>2081</v>
      </c>
      <c r="B90" s="14" t="str">
        <f>IF(LEN(_DB_Exercises!K93)&gt;0,_DB_Exercises!K93,"")</f>
        <v>Biathlon      5 in a Row</v>
      </c>
      <c r="C90" s="31" t="str">
        <f>IF(LEN(_DB_Exercises!X93)&gt;0,_DB_Exercises!X93,"")</f>
        <v/>
      </c>
      <c r="D90" s="31" t="str">
        <f>IF(LEN(_DB_Exercises!Y93)&gt;0,_DB_Exercises!Y93,"")</f>
        <v/>
      </c>
      <c r="E90" s="31" t="str">
        <f>IF(LEN(_DB_Exercises!Z93)&gt;0,_DB_Exercises!Z93,"")</f>
        <v/>
      </c>
      <c r="F90" s="31" t="str">
        <f>IF(LEN(_DB_Exercises!AA93)&gt;0,_DB_Exercises!AA93,"")</f>
        <v/>
      </c>
      <c r="G90" s="31" t="str">
        <f>IF(LEN(_DB_Exercises!AB93)&gt;0,_DB_Exercises!AB93,"")</f>
        <v/>
      </c>
      <c r="H90" s="31" t="str">
        <f>IF(LEN(_DB_Exercises!AC93)&gt;0,_DB_Exercises!AC93,"")</f>
        <v/>
      </c>
      <c r="I90" s="31" t="str">
        <f>IF(LEN(_DB_Exercises!AD93)&gt;0,_DB_Exercises!AD93,"")</f>
        <v/>
      </c>
      <c r="J90" s="31" t="str">
        <f>IF(LEN(_DB_Exercises!AE93)&gt;0,_DB_Exercises!AE93,"")</f>
        <v/>
      </c>
      <c r="K90" s="31" t="str">
        <f>IF(LEN(_DB_Exercises!AF93)&gt;0,_DB_Exercises!AF93,"")</f>
        <v/>
      </c>
      <c r="L90" s="31" t="str">
        <f>IF(LEN(_DB_Exercises!AG93)&gt;0,_DB_Exercises!AG93,"")</f>
        <v/>
      </c>
      <c r="M90" s="31" t="str">
        <f>IF(LEN(_DB_Exercises!AH93)&gt;0,_DB_Exercises!AH93,"")</f>
        <v/>
      </c>
      <c r="N90" s="31" t="str">
        <f>IF(LEN(_DB_Exercises!AI93)&gt;0,_DB_Exercises!AI93,"")</f>
        <v/>
      </c>
      <c r="O90" s="31" t="str">
        <f>IF(LEN(_DB_Exercises!AJ93)&gt;0,_DB_Exercises!AJ93,"")</f>
        <v/>
      </c>
      <c r="P90" s="31" t="str">
        <f>IF(LEN(_DB_Exercises!AK93)&gt;0,_DB_Exercises!AK93,"")</f>
        <v/>
      </c>
      <c r="Q90" s="31" t="str">
        <f>IF(LEN(_DB_Exercises!AL93)&gt;0,_DB_Exercises!AL93,"")</f>
        <v/>
      </c>
      <c r="R90" s="31" t="str">
        <f>IF(LEN(_DB_Exercises!AM93)&gt;0,_DB_Exercises!AM93,"")</f>
        <v/>
      </c>
      <c r="S90" s="31" t="str">
        <f>IF(LEN(_DB_Exercises!AN93)&gt;0,_DB_Exercises!AN93,"")</f>
        <v/>
      </c>
      <c r="T90" s="31" t="str">
        <f>IF(LEN(_DB_Exercises!AO93)&gt;0,_DB_Exercises!AO93,"")</f>
        <v/>
      </c>
      <c r="U90" s="31" t="str">
        <f>IF(LEN(_DB_Exercises!AP93)&gt;0,_DB_Exercises!AP93,"")</f>
        <v/>
      </c>
      <c r="V90" s="31" t="str">
        <f>IF(LEN(_DB_Exercises!AQ93)&gt;0,_DB_Exercises!AQ93,"")</f>
        <v/>
      </c>
      <c r="W90" s="31" t="str">
        <f>IF(LEN(_DB_Exercises!AR93)&gt;0,_DB_Exercises!AR93,"")</f>
        <v/>
      </c>
      <c r="X90" s="31" t="str">
        <f>IF(LEN(_DB_Exercises!AS93)&gt;0,_DB_Exercises!AS93,"")</f>
        <v/>
      </c>
      <c r="Y90" s="31" t="str">
        <f>IF(LEN(_DB_Exercises!AT93)&gt;0,_DB_Exercises!AT93,"")</f>
        <v/>
      </c>
      <c r="Z90" s="31" t="str">
        <f>IF(LEN(_DB_Exercises!AU93)&gt;0,_DB_Exercises!AU93,"")</f>
        <v/>
      </c>
      <c r="AA90" s="31" t="str">
        <f>IF(LEN(_DB_Exercises!AV93)&gt;0,_DB_Exercises!AV93,"")</f>
        <v/>
      </c>
      <c r="AB90" s="31" t="str">
        <f>IF(LEN(_DB_Exercises!AW93)&gt;0,_DB_Exercises!AW93,"")</f>
        <v/>
      </c>
      <c r="AC90" s="31" t="str">
        <f>IF(LEN(_DB_Exercises!AX93)&gt;0,_DB_Exercises!AX93,"")</f>
        <v/>
      </c>
      <c r="AD90" s="31" t="str">
        <f>IF(LEN(_DB_Exercises!AY93)&gt;0,_DB_Exercises!AY93,"")</f>
        <v/>
      </c>
      <c r="AE90" s="31" t="str">
        <f>IF(LEN(_DB_Exercises!AZ93)&gt;0,_DB_Exercises!AZ93,"")</f>
        <v/>
      </c>
      <c r="AF90" s="31" t="str">
        <f>IF(LEN(_DB_Exercises!BA93)&gt;0,_DB_Exercises!BA93,"")</f>
        <v/>
      </c>
      <c r="AG90" s="31" t="str">
        <f>IF(LEN(_DB_Exercises!BB93)&gt;0,_DB_Exercises!BB93,"")</f>
        <v/>
      </c>
      <c r="AH90" s="31" t="str">
        <f>IF(LEN(_DB_Exercises!BC93)&gt;0,_DB_Exercises!BC93,"")</f>
        <v/>
      </c>
      <c r="AI90" s="31" t="str">
        <f>IF(LEN(_DB_Exercises!BD93)&gt;0,_DB_Exercises!BD93,"")</f>
        <v/>
      </c>
      <c r="AJ90" s="31" t="str">
        <f>IF(LEN(_DB_Exercises!BE93)&gt;0,_DB_Exercises!BE93,"")</f>
        <v/>
      </c>
      <c r="AK90" s="31" t="str">
        <f>IF(LEN(_DB_Exercises!BF93)&gt;0,_DB_Exercises!BF93,"")</f>
        <v/>
      </c>
      <c r="AL90" s="31" t="str">
        <f>IF(LEN(_DB_Exercises!BG93)&gt;0,_DB_Exercises!BG93,"")</f>
        <v/>
      </c>
      <c r="AM90" s="31" t="str">
        <f>IF(LEN(_DB_Exercises!BH93)&gt;0,_DB_Exercises!BH93,"")</f>
        <v/>
      </c>
      <c r="AN90" s="31" t="str">
        <f>IF(LEN(_DB_Exercises!BI93)&gt;0,_DB_Exercises!BI93,"")</f>
        <v/>
      </c>
      <c r="AO90" s="31" t="str">
        <f>IF(LEN(_DB_Exercises!BJ93)&gt;0,_DB_Exercises!BJ93,"")</f>
        <v/>
      </c>
      <c r="AP90" s="31" t="str">
        <f>IF(LEN(_DB_Exercises!BK93)&gt;0,_DB_Exercises!BK93,"")</f>
        <v/>
      </c>
      <c r="AQ90" s="31" t="str">
        <f>IF(LEN(_DB_Exercises!BL93)&gt;0,_DB_Exercises!BL93,"")</f>
        <v/>
      </c>
      <c r="AR90" s="31" t="str">
        <f>IF(LEN(_DB_Exercises!BM93)&gt;0,_DB_Exercises!BM93,"")</f>
        <v/>
      </c>
    </row>
    <row r="91" spans="1:44" x14ac:dyDescent="0.25">
      <c r="A91" s="11">
        <f>IF(LEN(_DB_Exercises!A94)&gt;0,_DB_Exercises!A94,"")</f>
        <v>2082</v>
      </c>
      <c r="B91" s="14" t="str">
        <f>IF(LEN(_DB_Exercises!K94)&gt;0,_DB_Exercises!K94,"")</f>
        <v>Doppelball</v>
      </c>
      <c r="C91" s="31" t="str">
        <f>IF(LEN(_DB_Exercises!X94)&gt;0,_DB_Exercises!X94,"")</f>
        <v/>
      </c>
      <c r="D91" s="31" t="str">
        <f>IF(LEN(_DB_Exercises!Y94)&gt;0,_DB_Exercises!Y94,"")</f>
        <v/>
      </c>
      <c r="E91" s="31" t="str">
        <f>IF(LEN(_DB_Exercises!Z94)&gt;0,_DB_Exercises!Z94,"")</f>
        <v/>
      </c>
      <c r="F91" s="31" t="str">
        <f>IF(LEN(_DB_Exercises!AA94)&gt;0,_DB_Exercises!AA94,"")</f>
        <v/>
      </c>
      <c r="G91" s="31" t="str">
        <f>IF(LEN(_DB_Exercises!AB94)&gt;0,_DB_Exercises!AB94,"")</f>
        <v/>
      </c>
      <c r="H91" s="31" t="str">
        <f>IF(LEN(_DB_Exercises!AC94)&gt;0,_DB_Exercises!AC94,"")</f>
        <v/>
      </c>
      <c r="I91" s="31" t="str">
        <f>IF(LEN(_DB_Exercises!AD94)&gt;0,_DB_Exercises!AD94,"")</f>
        <v/>
      </c>
      <c r="J91" s="31" t="str">
        <f>IF(LEN(_DB_Exercises!AE94)&gt;0,_DB_Exercises!AE94,"")</f>
        <v/>
      </c>
      <c r="K91" s="31" t="str">
        <f>IF(LEN(_DB_Exercises!AF94)&gt;0,_DB_Exercises!AF94,"")</f>
        <v/>
      </c>
      <c r="L91" s="31" t="str">
        <f>IF(LEN(_DB_Exercises!AG94)&gt;0,_DB_Exercises!AG94,"")</f>
        <v/>
      </c>
      <c r="M91" s="31" t="str">
        <f>IF(LEN(_DB_Exercises!AH94)&gt;0,_DB_Exercises!AH94,"")</f>
        <v/>
      </c>
      <c r="N91" s="31" t="str">
        <f>IF(LEN(_DB_Exercises!AI94)&gt;0,_DB_Exercises!AI94,"")</f>
        <v/>
      </c>
      <c r="O91" s="31" t="str">
        <f>IF(LEN(_DB_Exercises!AJ94)&gt;0,_DB_Exercises!AJ94,"")</f>
        <v/>
      </c>
      <c r="P91" s="31" t="str">
        <f>IF(LEN(_DB_Exercises!AK94)&gt;0,_DB_Exercises!AK94,"")</f>
        <v/>
      </c>
      <c r="Q91" s="31" t="str">
        <f>IF(LEN(_DB_Exercises!AL94)&gt;0,_DB_Exercises!AL94,"")</f>
        <v/>
      </c>
      <c r="R91" s="31" t="str">
        <f>IF(LEN(_DB_Exercises!AM94)&gt;0,_DB_Exercises!AM94,"")</f>
        <v/>
      </c>
      <c r="S91" s="31" t="str">
        <f>IF(LEN(_DB_Exercises!AN94)&gt;0,_DB_Exercises!AN94,"")</f>
        <v/>
      </c>
      <c r="T91" s="31" t="str">
        <f>IF(LEN(_DB_Exercises!AO94)&gt;0,_DB_Exercises!AO94,"")</f>
        <v/>
      </c>
      <c r="U91" s="31" t="str">
        <f>IF(LEN(_DB_Exercises!AP94)&gt;0,_DB_Exercises!AP94,"")</f>
        <v/>
      </c>
      <c r="V91" s="31" t="str">
        <f>IF(LEN(_DB_Exercises!AQ94)&gt;0,_DB_Exercises!AQ94,"")</f>
        <v/>
      </c>
      <c r="W91" s="31" t="str">
        <f>IF(LEN(_DB_Exercises!AR94)&gt;0,_DB_Exercises!AR94,"")</f>
        <v/>
      </c>
      <c r="X91" s="31" t="str">
        <f>IF(LEN(_DB_Exercises!AS94)&gt;0,_DB_Exercises!AS94,"")</f>
        <v/>
      </c>
      <c r="Y91" s="31" t="str">
        <f>IF(LEN(_DB_Exercises!AT94)&gt;0,_DB_Exercises!AT94,"")</f>
        <v/>
      </c>
      <c r="Z91" s="31" t="str">
        <f>IF(LEN(_DB_Exercises!AU94)&gt;0,_DB_Exercises!AU94,"")</f>
        <v/>
      </c>
      <c r="AA91" s="31" t="str">
        <f>IF(LEN(_DB_Exercises!AV94)&gt;0,_DB_Exercises!AV94,"")</f>
        <v/>
      </c>
      <c r="AB91" s="31" t="str">
        <f>IF(LEN(_DB_Exercises!AW94)&gt;0,_DB_Exercises!AW94,"")</f>
        <v/>
      </c>
      <c r="AC91" s="31" t="str">
        <f>IF(LEN(_DB_Exercises!AX94)&gt;0,_DB_Exercises!AX94,"")</f>
        <v/>
      </c>
      <c r="AD91" s="31" t="str">
        <f>IF(LEN(_DB_Exercises!AY94)&gt;0,_DB_Exercises!AY94,"")</f>
        <v/>
      </c>
      <c r="AE91" s="31" t="str">
        <f>IF(LEN(_DB_Exercises!AZ94)&gt;0,_DB_Exercises!AZ94,"")</f>
        <v/>
      </c>
      <c r="AF91" s="31" t="str">
        <f>IF(LEN(_DB_Exercises!BA94)&gt;0,_DB_Exercises!BA94,"")</f>
        <v/>
      </c>
      <c r="AG91" s="31" t="str">
        <f>IF(LEN(_DB_Exercises!BB94)&gt;0,_DB_Exercises!BB94,"")</f>
        <v/>
      </c>
      <c r="AH91" s="31" t="str">
        <f>IF(LEN(_DB_Exercises!BC94)&gt;0,_DB_Exercises!BC94,"")</f>
        <v/>
      </c>
      <c r="AI91" s="31" t="str">
        <f>IF(LEN(_DB_Exercises!BD94)&gt;0,_DB_Exercises!BD94,"")</f>
        <v/>
      </c>
      <c r="AJ91" s="31" t="str">
        <f>IF(LEN(_DB_Exercises!BE94)&gt;0,_DB_Exercises!BE94,"")</f>
        <v/>
      </c>
      <c r="AK91" s="31" t="str">
        <f>IF(LEN(_DB_Exercises!BF94)&gt;0,_DB_Exercises!BF94,"")</f>
        <v/>
      </c>
      <c r="AL91" s="31" t="str">
        <f>IF(LEN(_DB_Exercises!BG94)&gt;0,_DB_Exercises!BG94,"")</f>
        <v/>
      </c>
      <c r="AM91" s="31" t="str">
        <f>IF(LEN(_DB_Exercises!BH94)&gt;0,_DB_Exercises!BH94,"")</f>
        <v/>
      </c>
      <c r="AN91" s="31" t="str">
        <f>IF(LEN(_DB_Exercises!BI94)&gt;0,_DB_Exercises!BI94,"")</f>
        <v/>
      </c>
      <c r="AO91" s="31" t="str">
        <f>IF(LEN(_DB_Exercises!BJ94)&gt;0,_DB_Exercises!BJ94,"")</f>
        <v/>
      </c>
      <c r="AP91" s="31" t="str">
        <f>IF(LEN(_DB_Exercises!BK94)&gt;0,_DB_Exercises!BK94,"")</f>
        <v/>
      </c>
      <c r="AQ91" s="31" t="str">
        <f>IF(LEN(_DB_Exercises!BL94)&gt;0,_DB_Exercises!BL94,"")</f>
        <v/>
      </c>
      <c r="AR91" s="31" t="str">
        <f>IF(LEN(_DB_Exercises!BM94)&gt;0,_DB_Exercises!BM94,"")</f>
        <v/>
      </c>
    </row>
    <row r="92" spans="1:44" ht="30" x14ac:dyDescent="0.25">
      <c r="A92" s="11">
        <f>IF(LEN(_DB_Exercises!A95)&gt;0,_DB_Exercises!A95,"")</f>
        <v>2083</v>
      </c>
      <c r="B92" s="14" t="str">
        <f>IF(LEN(_DB_Exercises!K95)&gt;0,_DB_Exercises!K95,"")</f>
        <v>Freedom Exploration   
1    Where are you now</v>
      </c>
      <c r="C92" s="31" t="str">
        <f>IF(LEN(_DB_Exercises!X95)&gt;0,_DB_Exercises!X95,"")</f>
        <v/>
      </c>
      <c r="D92" s="31" t="str">
        <f>IF(LEN(_DB_Exercises!Y95)&gt;0,_DB_Exercises!Y95,"")</f>
        <v/>
      </c>
      <c r="E92" s="31" t="str">
        <f>IF(LEN(_DB_Exercises!Z95)&gt;0,_DB_Exercises!Z95,"")</f>
        <v/>
      </c>
      <c r="F92" s="31" t="str">
        <f>IF(LEN(_DB_Exercises!AA95)&gt;0,_DB_Exercises!AA95,"")</f>
        <v/>
      </c>
      <c r="G92" s="31" t="str">
        <f>IF(LEN(_DB_Exercises!AB95)&gt;0,_DB_Exercises!AB95,"")</f>
        <v/>
      </c>
      <c r="H92" s="31" t="str">
        <f>IF(LEN(_DB_Exercises!AC95)&gt;0,_DB_Exercises!AC95,"")</f>
        <v/>
      </c>
      <c r="I92" s="31" t="str">
        <f>IF(LEN(_DB_Exercises!AD95)&gt;0,_DB_Exercises!AD95,"")</f>
        <v/>
      </c>
      <c r="J92" s="31" t="str">
        <f>IF(LEN(_DB_Exercises!AE95)&gt;0,_DB_Exercises!AE95,"")</f>
        <v/>
      </c>
      <c r="K92" s="31" t="str">
        <f>IF(LEN(_DB_Exercises!AF95)&gt;0,_DB_Exercises!AF95,"")</f>
        <v/>
      </c>
      <c r="L92" s="31" t="str">
        <f>IF(LEN(_DB_Exercises!AG95)&gt;0,_DB_Exercises!AG95,"")</f>
        <v/>
      </c>
      <c r="M92" s="31" t="str">
        <f>IF(LEN(_DB_Exercises!AH95)&gt;0,_DB_Exercises!AH95,"")</f>
        <v/>
      </c>
      <c r="N92" s="31" t="str">
        <f>IF(LEN(_DB_Exercises!AI95)&gt;0,_DB_Exercises!AI95,"")</f>
        <v/>
      </c>
      <c r="O92" s="31" t="str">
        <f>IF(LEN(_DB_Exercises!AJ95)&gt;0,_DB_Exercises!AJ95,"")</f>
        <v/>
      </c>
      <c r="P92" s="31" t="str">
        <f>IF(LEN(_DB_Exercises!AK95)&gt;0,_DB_Exercises!AK95,"")</f>
        <v/>
      </c>
      <c r="Q92" s="31" t="str">
        <f>IF(LEN(_DB_Exercises!AL95)&gt;0,_DB_Exercises!AL95,"")</f>
        <v/>
      </c>
      <c r="R92" s="31" t="str">
        <f>IF(LEN(_DB_Exercises!AM95)&gt;0,_DB_Exercises!AM95,"")</f>
        <v/>
      </c>
      <c r="S92" s="31" t="str">
        <f>IF(LEN(_DB_Exercises!AN95)&gt;0,_DB_Exercises!AN95,"")</f>
        <v/>
      </c>
      <c r="T92" s="31" t="str">
        <f>IF(LEN(_DB_Exercises!AO95)&gt;0,_DB_Exercises!AO95,"")</f>
        <v/>
      </c>
      <c r="U92" s="31" t="str">
        <f>IF(LEN(_DB_Exercises!AP95)&gt;0,_DB_Exercises!AP95,"")</f>
        <v/>
      </c>
      <c r="V92" s="31" t="str">
        <f>IF(LEN(_DB_Exercises!AQ95)&gt;0,_DB_Exercises!AQ95,"")</f>
        <v/>
      </c>
      <c r="W92" s="31" t="str">
        <f>IF(LEN(_DB_Exercises!AR95)&gt;0,_DB_Exercises!AR95,"")</f>
        <v/>
      </c>
      <c r="X92" s="31" t="str">
        <f>IF(LEN(_DB_Exercises!AS95)&gt;0,_DB_Exercises!AS95,"")</f>
        <v/>
      </c>
      <c r="Y92" s="31" t="str">
        <f>IF(LEN(_DB_Exercises!AT95)&gt;0,_DB_Exercises!AT95,"")</f>
        <v/>
      </c>
      <c r="Z92" s="31" t="str">
        <f>IF(LEN(_DB_Exercises!AU95)&gt;0,_DB_Exercises!AU95,"")</f>
        <v/>
      </c>
      <c r="AA92" s="31" t="str">
        <f>IF(LEN(_DB_Exercises!AV95)&gt;0,_DB_Exercises!AV95,"")</f>
        <v/>
      </c>
      <c r="AB92" s="31" t="str">
        <f>IF(LEN(_DB_Exercises!AW95)&gt;0,_DB_Exercises!AW95,"")</f>
        <v/>
      </c>
      <c r="AC92" s="31" t="str">
        <f>IF(LEN(_DB_Exercises!AX95)&gt;0,_DB_Exercises!AX95,"")</f>
        <v/>
      </c>
      <c r="AD92" s="31" t="str">
        <f>IF(LEN(_DB_Exercises!AY95)&gt;0,_DB_Exercises!AY95,"")</f>
        <v/>
      </c>
      <c r="AE92" s="31" t="str">
        <f>IF(LEN(_DB_Exercises!AZ95)&gt;0,_DB_Exercises!AZ95,"")</f>
        <v/>
      </c>
      <c r="AF92" s="31" t="str">
        <f>IF(LEN(_DB_Exercises!BA95)&gt;0,_DB_Exercises!BA95,"")</f>
        <v/>
      </c>
      <c r="AG92" s="31" t="str">
        <f>IF(LEN(_DB_Exercises!BB95)&gt;0,_DB_Exercises!BB95,"")</f>
        <v/>
      </c>
      <c r="AH92" s="31" t="str">
        <f>IF(LEN(_DB_Exercises!BC95)&gt;0,_DB_Exercises!BC95,"")</f>
        <v/>
      </c>
      <c r="AI92" s="31" t="str">
        <f>IF(LEN(_DB_Exercises!BD95)&gt;0,_DB_Exercises!BD95,"")</f>
        <v/>
      </c>
      <c r="AJ92" s="31" t="str">
        <f>IF(LEN(_DB_Exercises!BE95)&gt;0,_DB_Exercises!BE95,"")</f>
        <v/>
      </c>
      <c r="AK92" s="31" t="str">
        <f>IF(LEN(_DB_Exercises!BF95)&gt;0,_DB_Exercises!BF95,"")</f>
        <v/>
      </c>
      <c r="AL92" s="31" t="str">
        <f>IF(LEN(_DB_Exercises!BG95)&gt;0,_DB_Exercises!BG95,"")</f>
        <v/>
      </c>
      <c r="AM92" s="31" t="str">
        <f>IF(LEN(_DB_Exercises!BH95)&gt;0,_DB_Exercises!BH95,"")</f>
        <v/>
      </c>
      <c r="AN92" s="31" t="str">
        <f>IF(LEN(_DB_Exercises!BI95)&gt;0,_DB_Exercises!BI95,"")</f>
        <v/>
      </c>
      <c r="AO92" s="31" t="str">
        <f>IF(LEN(_DB_Exercises!BJ95)&gt;0,_DB_Exercises!BJ95,"")</f>
        <v/>
      </c>
      <c r="AP92" s="31" t="str">
        <f>IF(LEN(_DB_Exercises!BK95)&gt;0,_DB_Exercises!BK95,"")</f>
        <v/>
      </c>
      <c r="AQ92" s="31" t="str">
        <f>IF(LEN(_DB_Exercises!BL95)&gt;0,_DB_Exercises!BL95,"")</f>
        <v/>
      </c>
      <c r="AR92" s="31" t="str">
        <f>IF(LEN(_DB_Exercises!BM95)&gt;0,_DB_Exercises!BM95,"")</f>
        <v/>
      </c>
    </row>
    <row r="93" spans="1:44" ht="30" x14ac:dyDescent="0.25">
      <c r="A93" s="11">
        <f>IF(LEN(_DB_Exercises!A96)&gt;0,_DB_Exercises!A96,"")</f>
        <v>2084</v>
      </c>
      <c r="B93" s="14" t="str">
        <f>IF(LEN(_DB_Exercises!K96)&gt;0,_DB_Exercises!K96,"")</f>
        <v>Freedom Exploration   
1a    The Spot</v>
      </c>
      <c r="C93" s="31" t="str">
        <f>IF(LEN(_DB_Exercises!X96)&gt;0,_DB_Exercises!X96,"")</f>
        <v/>
      </c>
      <c r="D93" s="31" t="str">
        <f>IF(LEN(_DB_Exercises!Y96)&gt;0,_DB_Exercises!Y96,"")</f>
        <v/>
      </c>
      <c r="E93" s="31" t="str">
        <f>IF(LEN(_DB_Exercises!Z96)&gt;0,_DB_Exercises!Z96,"")</f>
        <v/>
      </c>
      <c r="F93" s="31" t="str">
        <f>IF(LEN(_DB_Exercises!AA96)&gt;0,_DB_Exercises!AA96,"")</f>
        <v/>
      </c>
      <c r="G93" s="31" t="str">
        <f>IF(LEN(_DB_Exercises!AB96)&gt;0,_DB_Exercises!AB96,"")</f>
        <v/>
      </c>
      <c r="H93" s="31" t="str">
        <f>IF(LEN(_DB_Exercises!AC96)&gt;0,_DB_Exercises!AC96,"")</f>
        <v/>
      </c>
      <c r="I93" s="31" t="str">
        <f>IF(LEN(_DB_Exercises!AD96)&gt;0,_DB_Exercises!AD96,"")</f>
        <v/>
      </c>
      <c r="J93" s="31" t="str">
        <f>IF(LEN(_DB_Exercises!AE96)&gt;0,_DB_Exercises!AE96,"")</f>
        <v/>
      </c>
      <c r="K93" s="31" t="str">
        <f>IF(LEN(_DB_Exercises!AF96)&gt;0,_DB_Exercises!AF96,"")</f>
        <v/>
      </c>
      <c r="L93" s="31" t="str">
        <f>IF(LEN(_DB_Exercises!AG96)&gt;0,_DB_Exercises!AG96,"")</f>
        <v/>
      </c>
      <c r="M93" s="31" t="str">
        <f>IF(LEN(_DB_Exercises!AH96)&gt;0,_DB_Exercises!AH96,"")</f>
        <v/>
      </c>
      <c r="N93" s="31" t="str">
        <f>IF(LEN(_DB_Exercises!AI96)&gt;0,_DB_Exercises!AI96,"")</f>
        <v/>
      </c>
      <c r="O93" s="31" t="str">
        <f>IF(LEN(_DB_Exercises!AJ96)&gt;0,_DB_Exercises!AJ96,"")</f>
        <v/>
      </c>
      <c r="P93" s="31" t="str">
        <f>IF(LEN(_DB_Exercises!AK96)&gt;0,_DB_Exercises!AK96,"")</f>
        <v/>
      </c>
      <c r="Q93" s="31" t="str">
        <f>IF(LEN(_DB_Exercises!AL96)&gt;0,_DB_Exercises!AL96,"")</f>
        <v/>
      </c>
      <c r="R93" s="31" t="str">
        <f>IF(LEN(_DB_Exercises!AM96)&gt;0,_DB_Exercises!AM96,"")</f>
        <v/>
      </c>
      <c r="S93" s="31" t="str">
        <f>IF(LEN(_DB_Exercises!AN96)&gt;0,_DB_Exercises!AN96,"")</f>
        <v/>
      </c>
      <c r="T93" s="31" t="str">
        <f>IF(LEN(_DB_Exercises!AO96)&gt;0,_DB_Exercises!AO96,"")</f>
        <v/>
      </c>
      <c r="U93" s="31" t="str">
        <f>IF(LEN(_DB_Exercises!AP96)&gt;0,_DB_Exercises!AP96,"")</f>
        <v/>
      </c>
      <c r="V93" s="31" t="str">
        <f>IF(LEN(_DB_Exercises!AQ96)&gt;0,_DB_Exercises!AQ96,"")</f>
        <v/>
      </c>
      <c r="W93" s="31" t="str">
        <f>IF(LEN(_DB_Exercises!AR96)&gt;0,_DB_Exercises!AR96,"")</f>
        <v/>
      </c>
      <c r="X93" s="31" t="str">
        <f>IF(LEN(_DB_Exercises!AS96)&gt;0,_DB_Exercises!AS96,"")</f>
        <v/>
      </c>
      <c r="Y93" s="31" t="str">
        <f>IF(LEN(_DB_Exercises!AT96)&gt;0,_DB_Exercises!AT96,"")</f>
        <v/>
      </c>
      <c r="Z93" s="31" t="str">
        <f>IF(LEN(_DB_Exercises!AU96)&gt;0,_DB_Exercises!AU96,"")</f>
        <v/>
      </c>
      <c r="AA93" s="31" t="str">
        <f>IF(LEN(_DB_Exercises!AV96)&gt;0,_DB_Exercises!AV96,"")</f>
        <v/>
      </c>
      <c r="AB93" s="31" t="str">
        <f>IF(LEN(_DB_Exercises!AW96)&gt;0,_DB_Exercises!AW96,"")</f>
        <v/>
      </c>
      <c r="AC93" s="31" t="str">
        <f>IF(LEN(_DB_Exercises!AX96)&gt;0,_DB_Exercises!AX96,"")</f>
        <v/>
      </c>
      <c r="AD93" s="31" t="str">
        <f>IF(LEN(_DB_Exercises!AY96)&gt;0,_DB_Exercises!AY96,"")</f>
        <v/>
      </c>
      <c r="AE93" s="31" t="str">
        <f>IF(LEN(_DB_Exercises!AZ96)&gt;0,_DB_Exercises!AZ96,"")</f>
        <v/>
      </c>
      <c r="AF93" s="31" t="str">
        <f>IF(LEN(_DB_Exercises!BA96)&gt;0,_DB_Exercises!BA96,"")</f>
        <v/>
      </c>
      <c r="AG93" s="31" t="str">
        <f>IF(LEN(_DB_Exercises!BB96)&gt;0,_DB_Exercises!BB96,"")</f>
        <v/>
      </c>
      <c r="AH93" s="31" t="str">
        <f>IF(LEN(_DB_Exercises!BC96)&gt;0,_DB_Exercises!BC96,"")</f>
        <v/>
      </c>
      <c r="AI93" s="31" t="str">
        <f>IF(LEN(_DB_Exercises!BD96)&gt;0,_DB_Exercises!BD96,"")</f>
        <v/>
      </c>
      <c r="AJ93" s="31" t="str">
        <f>IF(LEN(_DB_Exercises!BE96)&gt;0,_DB_Exercises!BE96,"")</f>
        <v/>
      </c>
      <c r="AK93" s="31" t="str">
        <f>IF(LEN(_DB_Exercises!BF96)&gt;0,_DB_Exercises!BF96,"")</f>
        <v/>
      </c>
      <c r="AL93" s="31" t="str">
        <f>IF(LEN(_DB_Exercises!BG96)&gt;0,_DB_Exercises!BG96,"")</f>
        <v/>
      </c>
      <c r="AM93" s="31" t="str">
        <f>IF(LEN(_DB_Exercises!BH96)&gt;0,_DB_Exercises!BH96,"")</f>
        <v/>
      </c>
      <c r="AN93" s="31" t="str">
        <f>IF(LEN(_DB_Exercises!BI96)&gt;0,_DB_Exercises!BI96,"")</f>
        <v/>
      </c>
      <c r="AO93" s="31" t="str">
        <f>IF(LEN(_DB_Exercises!BJ96)&gt;0,_DB_Exercises!BJ96,"")</f>
        <v/>
      </c>
      <c r="AP93" s="31" t="str">
        <f>IF(LEN(_DB_Exercises!BK96)&gt;0,_DB_Exercises!BK96,"")</f>
        <v/>
      </c>
      <c r="AQ93" s="31" t="str">
        <f>IF(LEN(_DB_Exercises!BL96)&gt;0,_DB_Exercises!BL96,"")</f>
        <v/>
      </c>
      <c r="AR93" s="31" t="str">
        <f>IF(LEN(_DB_Exercises!BM96)&gt;0,_DB_Exercises!BM96,"")</f>
        <v/>
      </c>
    </row>
    <row r="94" spans="1:44" ht="30" x14ac:dyDescent="0.25">
      <c r="A94" s="11">
        <f>IF(LEN(_DB_Exercises!A97)&gt;0,_DB_Exercises!A97,"")</f>
        <v>2085</v>
      </c>
      <c r="B94" s="14" t="str">
        <f>IF(LEN(_DB_Exercises!K97)&gt;0,_DB_Exercises!K97,"")</f>
        <v>Freedom Exploration   
1b    The Spot while putting</v>
      </c>
      <c r="C94" s="31" t="str">
        <f>IF(LEN(_DB_Exercises!X97)&gt;0,_DB_Exercises!X97,"")</f>
        <v/>
      </c>
      <c r="D94" s="31" t="str">
        <f>IF(LEN(_DB_Exercises!Y97)&gt;0,_DB_Exercises!Y97,"")</f>
        <v/>
      </c>
      <c r="E94" s="31" t="str">
        <f>IF(LEN(_DB_Exercises!Z97)&gt;0,_DB_Exercises!Z97,"")</f>
        <v/>
      </c>
      <c r="F94" s="31" t="str">
        <f>IF(LEN(_DB_Exercises!AA97)&gt;0,_DB_Exercises!AA97,"")</f>
        <v/>
      </c>
      <c r="G94" s="31" t="str">
        <f>IF(LEN(_DB_Exercises!AB97)&gt;0,_DB_Exercises!AB97,"")</f>
        <v/>
      </c>
      <c r="H94" s="31" t="str">
        <f>IF(LEN(_DB_Exercises!AC97)&gt;0,_DB_Exercises!AC97,"")</f>
        <v/>
      </c>
      <c r="I94" s="31" t="str">
        <f>IF(LEN(_DB_Exercises!AD97)&gt;0,_DB_Exercises!AD97,"")</f>
        <v/>
      </c>
      <c r="J94" s="31" t="str">
        <f>IF(LEN(_DB_Exercises!AE97)&gt;0,_DB_Exercises!AE97,"")</f>
        <v/>
      </c>
      <c r="K94" s="31" t="str">
        <f>IF(LEN(_DB_Exercises!AF97)&gt;0,_DB_Exercises!AF97,"")</f>
        <v/>
      </c>
      <c r="L94" s="31" t="str">
        <f>IF(LEN(_DB_Exercises!AG97)&gt;0,_DB_Exercises!AG97,"")</f>
        <v/>
      </c>
      <c r="M94" s="31" t="str">
        <f>IF(LEN(_DB_Exercises!AH97)&gt;0,_DB_Exercises!AH97,"")</f>
        <v/>
      </c>
      <c r="N94" s="31" t="str">
        <f>IF(LEN(_DB_Exercises!AI97)&gt;0,_DB_Exercises!AI97,"")</f>
        <v/>
      </c>
      <c r="O94" s="31" t="str">
        <f>IF(LEN(_DB_Exercises!AJ97)&gt;0,_DB_Exercises!AJ97,"")</f>
        <v/>
      </c>
      <c r="P94" s="31" t="str">
        <f>IF(LEN(_DB_Exercises!AK97)&gt;0,_DB_Exercises!AK97,"")</f>
        <v/>
      </c>
      <c r="Q94" s="31" t="str">
        <f>IF(LEN(_DB_Exercises!AL97)&gt;0,_DB_Exercises!AL97,"")</f>
        <v/>
      </c>
      <c r="R94" s="31" t="str">
        <f>IF(LEN(_DB_Exercises!AM97)&gt;0,_DB_Exercises!AM97,"")</f>
        <v/>
      </c>
      <c r="S94" s="31" t="str">
        <f>IF(LEN(_DB_Exercises!AN97)&gt;0,_DB_Exercises!AN97,"")</f>
        <v/>
      </c>
      <c r="T94" s="31" t="str">
        <f>IF(LEN(_DB_Exercises!AO97)&gt;0,_DB_Exercises!AO97,"")</f>
        <v/>
      </c>
      <c r="U94" s="31" t="str">
        <f>IF(LEN(_DB_Exercises!AP97)&gt;0,_DB_Exercises!AP97,"")</f>
        <v/>
      </c>
      <c r="V94" s="31" t="str">
        <f>IF(LEN(_DB_Exercises!AQ97)&gt;0,_DB_Exercises!AQ97,"")</f>
        <v/>
      </c>
      <c r="W94" s="31" t="str">
        <f>IF(LEN(_DB_Exercises!AR97)&gt;0,_DB_Exercises!AR97,"")</f>
        <v/>
      </c>
      <c r="X94" s="31" t="str">
        <f>IF(LEN(_DB_Exercises!AS97)&gt;0,_DB_Exercises!AS97,"")</f>
        <v/>
      </c>
      <c r="Y94" s="31" t="str">
        <f>IF(LEN(_DB_Exercises!AT97)&gt;0,_DB_Exercises!AT97,"")</f>
        <v/>
      </c>
      <c r="Z94" s="31" t="str">
        <f>IF(LEN(_DB_Exercises!AU97)&gt;0,_DB_Exercises!AU97,"")</f>
        <v/>
      </c>
      <c r="AA94" s="31" t="str">
        <f>IF(LEN(_DB_Exercises!AV97)&gt;0,_DB_Exercises!AV97,"")</f>
        <v/>
      </c>
      <c r="AB94" s="31" t="str">
        <f>IF(LEN(_DB_Exercises!AW97)&gt;0,_DB_Exercises!AW97,"")</f>
        <v/>
      </c>
      <c r="AC94" s="31" t="str">
        <f>IF(LEN(_DB_Exercises!AX97)&gt;0,_DB_Exercises!AX97,"")</f>
        <v/>
      </c>
      <c r="AD94" s="31" t="str">
        <f>IF(LEN(_DB_Exercises!AY97)&gt;0,_DB_Exercises!AY97,"")</f>
        <v/>
      </c>
      <c r="AE94" s="31" t="str">
        <f>IF(LEN(_DB_Exercises!AZ97)&gt;0,_DB_Exercises!AZ97,"")</f>
        <v/>
      </c>
      <c r="AF94" s="31" t="str">
        <f>IF(LEN(_DB_Exercises!BA97)&gt;0,_DB_Exercises!BA97,"")</f>
        <v/>
      </c>
      <c r="AG94" s="31" t="str">
        <f>IF(LEN(_DB_Exercises!BB97)&gt;0,_DB_Exercises!BB97,"")</f>
        <v/>
      </c>
      <c r="AH94" s="31" t="str">
        <f>IF(LEN(_DB_Exercises!BC97)&gt;0,_DB_Exercises!BC97,"")</f>
        <v/>
      </c>
      <c r="AI94" s="31" t="str">
        <f>IF(LEN(_DB_Exercises!BD97)&gt;0,_DB_Exercises!BD97,"")</f>
        <v/>
      </c>
      <c r="AJ94" s="31" t="str">
        <f>IF(LEN(_DB_Exercises!BE97)&gt;0,_DB_Exercises!BE97,"")</f>
        <v/>
      </c>
      <c r="AK94" s="31" t="str">
        <f>IF(LEN(_DB_Exercises!BF97)&gt;0,_DB_Exercises!BF97,"")</f>
        <v/>
      </c>
      <c r="AL94" s="31" t="str">
        <f>IF(LEN(_DB_Exercises!BG97)&gt;0,_DB_Exercises!BG97,"")</f>
        <v/>
      </c>
      <c r="AM94" s="31" t="str">
        <f>IF(LEN(_DB_Exercises!BH97)&gt;0,_DB_Exercises!BH97,"")</f>
        <v/>
      </c>
      <c r="AN94" s="31" t="str">
        <f>IF(LEN(_DB_Exercises!BI97)&gt;0,_DB_Exercises!BI97,"")</f>
        <v/>
      </c>
      <c r="AO94" s="31" t="str">
        <f>IF(LEN(_DB_Exercises!BJ97)&gt;0,_DB_Exercises!BJ97,"")</f>
        <v/>
      </c>
      <c r="AP94" s="31" t="str">
        <f>IF(LEN(_DB_Exercises!BK97)&gt;0,_DB_Exercises!BK97,"")</f>
        <v/>
      </c>
      <c r="AQ94" s="31" t="str">
        <f>IF(LEN(_DB_Exercises!BL97)&gt;0,_DB_Exercises!BL97,"")</f>
        <v/>
      </c>
      <c r="AR94" s="31" t="str">
        <f>IF(LEN(_DB_Exercises!BM97)&gt;0,_DB_Exercises!BM97,"")</f>
        <v/>
      </c>
    </row>
    <row r="95" spans="1:44" ht="30" x14ac:dyDescent="0.25">
      <c r="A95" s="11">
        <f>IF(LEN(_DB_Exercises!A98)&gt;0,_DB_Exercises!A98,"")</f>
        <v>2086</v>
      </c>
      <c r="B95" s="14" t="str">
        <f>IF(LEN(_DB_Exercises!K98)&gt;0,_DB_Exercises!K98,"")</f>
        <v>Freedom Exploration   
1c    The Spot to a target</v>
      </c>
      <c r="C95" s="31" t="str">
        <f>IF(LEN(_DB_Exercises!X98)&gt;0,_DB_Exercises!X98,"")</f>
        <v/>
      </c>
      <c r="D95" s="31" t="str">
        <f>IF(LEN(_DB_Exercises!Y98)&gt;0,_DB_Exercises!Y98,"")</f>
        <v/>
      </c>
      <c r="E95" s="31" t="str">
        <f>IF(LEN(_DB_Exercises!Z98)&gt;0,_DB_Exercises!Z98,"")</f>
        <v/>
      </c>
      <c r="F95" s="31" t="str">
        <f>IF(LEN(_DB_Exercises!AA98)&gt;0,_DB_Exercises!AA98,"")</f>
        <v/>
      </c>
      <c r="G95" s="31" t="str">
        <f>IF(LEN(_DB_Exercises!AB98)&gt;0,_DB_Exercises!AB98,"")</f>
        <v/>
      </c>
      <c r="H95" s="31" t="str">
        <f>IF(LEN(_DB_Exercises!AC98)&gt;0,_DB_Exercises!AC98,"")</f>
        <v/>
      </c>
      <c r="I95" s="31" t="str">
        <f>IF(LEN(_DB_Exercises!AD98)&gt;0,_DB_Exercises!AD98,"")</f>
        <v/>
      </c>
      <c r="J95" s="31" t="str">
        <f>IF(LEN(_DB_Exercises!AE98)&gt;0,_DB_Exercises!AE98,"")</f>
        <v/>
      </c>
      <c r="K95" s="31" t="str">
        <f>IF(LEN(_DB_Exercises!AF98)&gt;0,_DB_Exercises!AF98,"")</f>
        <v/>
      </c>
      <c r="L95" s="31" t="str">
        <f>IF(LEN(_DB_Exercises!AG98)&gt;0,_DB_Exercises!AG98,"")</f>
        <v/>
      </c>
      <c r="M95" s="31" t="str">
        <f>IF(LEN(_DB_Exercises!AH98)&gt;0,_DB_Exercises!AH98,"")</f>
        <v/>
      </c>
      <c r="N95" s="31" t="str">
        <f>IF(LEN(_DB_Exercises!AI98)&gt;0,_DB_Exercises!AI98,"")</f>
        <v/>
      </c>
      <c r="O95" s="31" t="str">
        <f>IF(LEN(_DB_Exercises!AJ98)&gt;0,_DB_Exercises!AJ98,"")</f>
        <v/>
      </c>
      <c r="P95" s="31" t="str">
        <f>IF(LEN(_DB_Exercises!AK98)&gt;0,_DB_Exercises!AK98,"")</f>
        <v/>
      </c>
      <c r="Q95" s="31" t="str">
        <f>IF(LEN(_DB_Exercises!AL98)&gt;0,_DB_Exercises!AL98,"")</f>
        <v/>
      </c>
      <c r="R95" s="31" t="str">
        <f>IF(LEN(_DB_Exercises!AM98)&gt;0,_DB_Exercises!AM98,"")</f>
        <v/>
      </c>
      <c r="S95" s="31" t="str">
        <f>IF(LEN(_DB_Exercises!AN98)&gt;0,_DB_Exercises!AN98,"")</f>
        <v/>
      </c>
      <c r="T95" s="31" t="str">
        <f>IF(LEN(_DB_Exercises!AO98)&gt;0,_DB_Exercises!AO98,"")</f>
        <v/>
      </c>
      <c r="U95" s="31" t="str">
        <f>IF(LEN(_DB_Exercises!AP98)&gt;0,_DB_Exercises!AP98,"")</f>
        <v/>
      </c>
      <c r="V95" s="31" t="str">
        <f>IF(LEN(_DB_Exercises!AQ98)&gt;0,_DB_Exercises!AQ98,"")</f>
        <v/>
      </c>
      <c r="W95" s="31" t="str">
        <f>IF(LEN(_DB_Exercises!AR98)&gt;0,_DB_Exercises!AR98,"")</f>
        <v/>
      </c>
      <c r="X95" s="31" t="str">
        <f>IF(LEN(_DB_Exercises!AS98)&gt;0,_DB_Exercises!AS98,"")</f>
        <v/>
      </c>
      <c r="Y95" s="31" t="str">
        <f>IF(LEN(_DB_Exercises!AT98)&gt;0,_DB_Exercises!AT98,"")</f>
        <v/>
      </c>
      <c r="Z95" s="31" t="str">
        <f>IF(LEN(_DB_Exercises!AU98)&gt;0,_DB_Exercises!AU98,"")</f>
        <v/>
      </c>
      <c r="AA95" s="31" t="str">
        <f>IF(LEN(_DB_Exercises!AV98)&gt;0,_DB_Exercises!AV98,"")</f>
        <v/>
      </c>
      <c r="AB95" s="31" t="str">
        <f>IF(LEN(_DB_Exercises!AW98)&gt;0,_DB_Exercises!AW98,"")</f>
        <v/>
      </c>
      <c r="AC95" s="31" t="str">
        <f>IF(LEN(_DB_Exercises!AX98)&gt;0,_DB_Exercises!AX98,"")</f>
        <v/>
      </c>
      <c r="AD95" s="31" t="str">
        <f>IF(LEN(_DB_Exercises!AY98)&gt;0,_DB_Exercises!AY98,"")</f>
        <v/>
      </c>
      <c r="AE95" s="31" t="str">
        <f>IF(LEN(_DB_Exercises!AZ98)&gt;0,_DB_Exercises!AZ98,"")</f>
        <v/>
      </c>
      <c r="AF95" s="31" t="str">
        <f>IF(LEN(_DB_Exercises!BA98)&gt;0,_DB_Exercises!BA98,"")</f>
        <v/>
      </c>
      <c r="AG95" s="31" t="str">
        <f>IF(LEN(_DB_Exercises!BB98)&gt;0,_DB_Exercises!BB98,"")</f>
        <v/>
      </c>
      <c r="AH95" s="31" t="str">
        <f>IF(LEN(_DB_Exercises!BC98)&gt;0,_DB_Exercises!BC98,"")</f>
        <v/>
      </c>
      <c r="AI95" s="31" t="str">
        <f>IF(LEN(_DB_Exercises!BD98)&gt;0,_DB_Exercises!BD98,"")</f>
        <v/>
      </c>
      <c r="AJ95" s="31" t="str">
        <f>IF(LEN(_DB_Exercises!BE98)&gt;0,_DB_Exercises!BE98,"")</f>
        <v/>
      </c>
      <c r="AK95" s="31" t="str">
        <f>IF(LEN(_DB_Exercises!BF98)&gt;0,_DB_Exercises!BF98,"")</f>
        <v/>
      </c>
      <c r="AL95" s="31" t="str">
        <f>IF(LEN(_DB_Exercises!BG98)&gt;0,_DB_Exercises!BG98,"")</f>
        <v/>
      </c>
      <c r="AM95" s="31" t="str">
        <f>IF(LEN(_DB_Exercises!BH98)&gt;0,_DB_Exercises!BH98,"")</f>
        <v/>
      </c>
      <c r="AN95" s="31" t="str">
        <f>IF(LEN(_DB_Exercises!BI98)&gt;0,_DB_Exercises!BI98,"")</f>
        <v/>
      </c>
      <c r="AO95" s="31" t="str">
        <f>IF(LEN(_DB_Exercises!BJ98)&gt;0,_DB_Exercises!BJ98,"")</f>
        <v/>
      </c>
      <c r="AP95" s="31" t="str">
        <f>IF(LEN(_DB_Exercises!BK98)&gt;0,_DB_Exercises!BK98,"")</f>
        <v/>
      </c>
      <c r="AQ95" s="31" t="str">
        <f>IF(LEN(_DB_Exercises!BL98)&gt;0,_DB_Exercises!BL98,"")</f>
        <v/>
      </c>
      <c r="AR95" s="31" t="str">
        <f>IF(LEN(_DB_Exercises!BM98)&gt;0,_DB_Exercises!BM98,"")</f>
        <v/>
      </c>
    </row>
    <row r="96" spans="1:44" ht="30" x14ac:dyDescent="0.25">
      <c r="A96" s="11">
        <f>IF(LEN(_DB_Exercises!A99)&gt;0,_DB_Exercises!A99,"")</f>
        <v>2087</v>
      </c>
      <c r="B96" s="14" t="str">
        <f>IF(LEN(_DB_Exercises!K99)&gt;0,_DB_Exercises!K99,"")</f>
        <v>Freedom Exploration   
2a    The Flagstick</v>
      </c>
      <c r="C96" s="31" t="str">
        <f>IF(LEN(_DB_Exercises!X99)&gt;0,_DB_Exercises!X99,"")</f>
        <v/>
      </c>
      <c r="D96" s="31" t="str">
        <f>IF(LEN(_DB_Exercises!Y99)&gt;0,_DB_Exercises!Y99,"")</f>
        <v/>
      </c>
      <c r="E96" s="31" t="str">
        <f>IF(LEN(_DB_Exercises!Z99)&gt;0,_DB_Exercises!Z99,"")</f>
        <v/>
      </c>
      <c r="F96" s="31" t="str">
        <f>IF(LEN(_DB_Exercises!AA99)&gt;0,_DB_Exercises!AA99,"")</f>
        <v/>
      </c>
      <c r="G96" s="31" t="str">
        <f>IF(LEN(_DB_Exercises!AB99)&gt;0,_DB_Exercises!AB99,"")</f>
        <v/>
      </c>
      <c r="H96" s="31" t="str">
        <f>IF(LEN(_DB_Exercises!AC99)&gt;0,_DB_Exercises!AC99,"")</f>
        <v/>
      </c>
      <c r="I96" s="31" t="str">
        <f>IF(LEN(_DB_Exercises!AD99)&gt;0,_DB_Exercises!AD99,"")</f>
        <v/>
      </c>
      <c r="J96" s="31" t="str">
        <f>IF(LEN(_DB_Exercises!AE99)&gt;0,_DB_Exercises!AE99,"")</f>
        <v/>
      </c>
      <c r="K96" s="31" t="str">
        <f>IF(LEN(_DB_Exercises!AF99)&gt;0,_DB_Exercises!AF99,"")</f>
        <v/>
      </c>
      <c r="L96" s="31" t="str">
        <f>IF(LEN(_DB_Exercises!AG99)&gt;0,_DB_Exercises!AG99,"")</f>
        <v/>
      </c>
      <c r="M96" s="31" t="str">
        <f>IF(LEN(_DB_Exercises!AH99)&gt;0,_DB_Exercises!AH99,"")</f>
        <v/>
      </c>
      <c r="N96" s="31" t="str">
        <f>IF(LEN(_DB_Exercises!AI99)&gt;0,_DB_Exercises!AI99,"")</f>
        <v/>
      </c>
      <c r="O96" s="31" t="str">
        <f>IF(LEN(_DB_Exercises!AJ99)&gt;0,_DB_Exercises!AJ99,"")</f>
        <v/>
      </c>
      <c r="P96" s="31" t="str">
        <f>IF(LEN(_DB_Exercises!AK99)&gt;0,_DB_Exercises!AK99,"")</f>
        <v/>
      </c>
      <c r="Q96" s="31" t="str">
        <f>IF(LEN(_DB_Exercises!AL99)&gt;0,_DB_Exercises!AL99,"")</f>
        <v/>
      </c>
      <c r="R96" s="31" t="str">
        <f>IF(LEN(_DB_Exercises!AM99)&gt;0,_DB_Exercises!AM99,"")</f>
        <v/>
      </c>
      <c r="S96" s="31" t="str">
        <f>IF(LEN(_DB_Exercises!AN99)&gt;0,_DB_Exercises!AN99,"")</f>
        <v/>
      </c>
      <c r="T96" s="31" t="str">
        <f>IF(LEN(_DB_Exercises!AO99)&gt;0,_DB_Exercises!AO99,"")</f>
        <v/>
      </c>
      <c r="U96" s="31" t="str">
        <f>IF(LEN(_DB_Exercises!AP99)&gt;0,_DB_Exercises!AP99,"")</f>
        <v/>
      </c>
      <c r="V96" s="31" t="str">
        <f>IF(LEN(_DB_Exercises!AQ99)&gt;0,_DB_Exercises!AQ99,"")</f>
        <v/>
      </c>
      <c r="W96" s="31" t="str">
        <f>IF(LEN(_DB_Exercises!AR99)&gt;0,_DB_Exercises!AR99,"")</f>
        <v/>
      </c>
      <c r="X96" s="31" t="str">
        <f>IF(LEN(_DB_Exercises!AS99)&gt;0,_DB_Exercises!AS99,"")</f>
        <v/>
      </c>
      <c r="Y96" s="31" t="str">
        <f>IF(LEN(_DB_Exercises!AT99)&gt;0,_DB_Exercises!AT99,"")</f>
        <v/>
      </c>
      <c r="Z96" s="31" t="str">
        <f>IF(LEN(_DB_Exercises!AU99)&gt;0,_DB_Exercises!AU99,"")</f>
        <v/>
      </c>
      <c r="AA96" s="31" t="str">
        <f>IF(LEN(_DB_Exercises!AV99)&gt;0,_DB_Exercises!AV99,"")</f>
        <v/>
      </c>
      <c r="AB96" s="31" t="str">
        <f>IF(LEN(_DB_Exercises!AW99)&gt;0,_DB_Exercises!AW99,"")</f>
        <v/>
      </c>
      <c r="AC96" s="31" t="str">
        <f>IF(LEN(_DB_Exercises!AX99)&gt;0,_DB_Exercises!AX99,"")</f>
        <v/>
      </c>
      <c r="AD96" s="31" t="str">
        <f>IF(LEN(_DB_Exercises!AY99)&gt;0,_DB_Exercises!AY99,"")</f>
        <v/>
      </c>
      <c r="AE96" s="31" t="str">
        <f>IF(LEN(_DB_Exercises!AZ99)&gt;0,_DB_Exercises!AZ99,"")</f>
        <v/>
      </c>
      <c r="AF96" s="31" t="str">
        <f>IF(LEN(_DB_Exercises!BA99)&gt;0,_DB_Exercises!BA99,"")</f>
        <v/>
      </c>
      <c r="AG96" s="31" t="str">
        <f>IF(LEN(_DB_Exercises!BB99)&gt;0,_DB_Exercises!BB99,"")</f>
        <v/>
      </c>
      <c r="AH96" s="31" t="str">
        <f>IF(LEN(_DB_Exercises!BC99)&gt;0,_DB_Exercises!BC99,"")</f>
        <v/>
      </c>
      <c r="AI96" s="31" t="str">
        <f>IF(LEN(_DB_Exercises!BD99)&gt;0,_DB_Exercises!BD99,"")</f>
        <v/>
      </c>
      <c r="AJ96" s="31" t="str">
        <f>IF(LEN(_DB_Exercises!BE99)&gt;0,_DB_Exercises!BE99,"")</f>
        <v/>
      </c>
      <c r="AK96" s="31" t="str">
        <f>IF(LEN(_DB_Exercises!BF99)&gt;0,_DB_Exercises!BF99,"")</f>
        <v/>
      </c>
      <c r="AL96" s="31" t="str">
        <f>IF(LEN(_DB_Exercises!BG99)&gt;0,_DB_Exercises!BG99,"")</f>
        <v/>
      </c>
      <c r="AM96" s="31" t="str">
        <f>IF(LEN(_DB_Exercises!BH99)&gt;0,_DB_Exercises!BH99,"")</f>
        <v/>
      </c>
      <c r="AN96" s="31" t="str">
        <f>IF(LEN(_DB_Exercises!BI99)&gt;0,_DB_Exercises!BI99,"")</f>
        <v/>
      </c>
      <c r="AO96" s="31" t="str">
        <f>IF(LEN(_DB_Exercises!BJ99)&gt;0,_DB_Exercises!BJ99,"")</f>
        <v/>
      </c>
      <c r="AP96" s="31" t="str">
        <f>IF(LEN(_DB_Exercises!BK99)&gt;0,_DB_Exercises!BK99,"")</f>
        <v/>
      </c>
      <c r="AQ96" s="31" t="str">
        <f>IF(LEN(_DB_Exercises!BL99)&gt;0,_DB_Exercises!BL99,"")</f>
        <v/>
      </c>
      <c r="AR96" s="31" t="str">
        <f>IF(LEN(_DB_Exercises!BM99)&gt;0,_DB_Exercises!BM99,"")</f>
        <v/>
      </c>
    </row>
    <row r="97" spans="1:44" ht="30" x14ac:dyDescent="0.25">
      <c r="A97" s="11">
        <f>IF(LEN(_DB_Exercises!A100)&gt;0,_DB_Exercises!A100,"")</f>
        <v>2088</v>
      </c>
      <c r="B97" s="14" t="str">
        <f>IF(LEN(_DB_Exercises!K100)&gt;0,_DB_Exercises!K100,"")</f>
        <v>Freedom Exploration   
2a     The Flagstick and the target</v>
      </c>
      <c r="C97" s="31" t="str">
        <f>IF(LEN(_DB_Exercises!X100)&gt;0,_DB_Exercises!X100,"")</f>
        <v/>
      </c>
      <c r="D97" s="31" t="str">
        <f>IF(LEN(_DB_Exercises!Y100)&gt;0,_DB_Exercises!Y100,"")</f>
        <v/>
      </c>
      <c r="E97" s="31" t="str">
        <f>IF(LEN(_DB_Exercises!Z100)&gt;0,_DB_Exercises!Z100,"")</f>
        <v/>
      </c>
      <c r="F97" s="31" t="str">
        <f>IF(LEN(_DB_Exercises!AA100)&gt;0,_DB_Exercises!AA100,"")</f>
        <v/>
      </c>
      <c r="G97" s="31" t="str">
        <f>IF(LEN(_DB_Exercises!AB100)&gt;0,_DB_Exercises!AB100,"")</f>
        <v/>
      </c>
      <c r="H97" s="31" t="str">
        <f>IF(LEN(_DB_Exercises!AC100)&gt;0,_DB_Exercises!AC100,"")</f>
        <v/>
      </c>
      <c r="I97" s="31" t="str">
        <f>IF(LEN(_DB_Exercises!AD100)&gt;0,_DB_Exercises!AD100,"")</f>
        <v/>
      </c>
      <c r="J97" s="31" t="str">
        <f>IF(LEN(_DB_Exercises!AE100)&gt;0,_DB_Exercises!AE100,"")</f>
        <v/>
      </c>
      <c r="K97" s="31" t="str">
        <f>IF(LEN(_DB_Exercises!AF100)&gt;0,_DB_Exercises!AF100,"")</f>
        <v/>
      </c>
      <c r="L97" s="31" t="str">
        <f>IF(LEN(_DB_Exercises!AG100)&gt;0,_DB_Exercises!AG100,"")</f>
        <v/>
      </c>
      <c r="M97" s="31" t="str">
        <f>IF(LEN(_DB_Exercises!AH100)&gt;0,_DB_Exercises!AH100,"")</f>
        <v/>
      </c>
      <c r="N97" s="31" t="str">
        <f>IF(LEN(_DB_Exercises!AI100)&gt;0,_DB_Exercises!AI100,"")</f>
        <v/>
      </c>
      <c r="O97" s="31" t="str">
        <f>IF(LEN(_DB_Exercises!AJ100)&gt;0,_DB_Exercises!AJ100,"")</f>
        <v/>
      </c>
      <c r="P97" s="31" t="str">
        <f>IF(LEN(_DB_Exercises!AK100)&gt;0,_DB_Exercises!AK100,"")</f>
        <v/>
      </c>
      <c r="Q97" s="31" t="str">
        <f>IF(LEN(_DB_Exercises!AL100)&gt;0,_DB_Exercises!AL100,"")</f>
        <v/>
      </c>
      <c r="R97" s="31" t="str">
        <f>IF(LEN(_DB_Exercises!AM100)&gt;0,_DB_Exercises!AM100,"")</f>
        <v/>
      </c>
      <c r="S97" s="31" t="str">
        <f>IF(LEN(_DB_Exercises!AN100)&gt;0,_DB_Exercises!AN100,"")</f>
        <v/>
      </c>
      <c r="T97" s="31" t="str">
        <f>IF(LEN(_DB_Exercises!AO100)&gt;0,_DB_Exercises!AO100,"")</f>
        <v/>
      </c>
      <c r="U97" s="31" t="str">
        <f>IF(LEN(_DB_Exercises!AP100)&gt;0,_DB_Exercises!AP100,"")</f>
        <v/>
      </c>
      <c r="V97" s="31" t="str">
        <f>IF(LEN(_DB_Exercises!AQ100)&gt;0,_DB_Exercises!AQ100,"")</f>
        <v/>
      </c>
      <c r="W97" s="31" t="str">
        <f>IF(LEN(_DB_Exercises!AR100)&gt;0,_DB_Exercises!AR100,"")</f>
        <v/>
      </c>
      <c r="X97" s="31" t="str">
        <f>IF(LEN(_DB_Exercises!AS100)&gt;0,_DB_Exercises!AS100,"")</f>
        <v/>
      </c>
      <c r="Y97" s="31" t="str">
        <f>IF(LEN(_DB_Exercises!AT100)&gt;0,_DB_Exercises!AT100,"")</f>
        <v/>
      </c>
      <c r="Z97" s="31" t="str">
        <f>IF(LEN(_DB_Exercises!AU100)&gt;0,_DB_Exercises!AU100,"")</f>
        <v/>
      </c>
      <c r="AA97" s="31" t="str">
        <f>IF(LEN(_DB_Exercises!AV100)&gt;0,_DB_Exercises!AV100,"")</f>
        <v/>
      </c>
      <c r="AB97" s="31" t="str">
        <f>IF(LEN(_DB_Exercises!AW100)&gt;0,_DB_Exercises!AW100,"")</f>
        <v/>
      </c>
      <c r="AC97" s="31" t="str">
        <f>IF(LEN(_DB_Exercises!AX100)&gt;0,_DB_Exercises!AX100,"")</f>
        <v/>
      </c>
      <c r="AD97" s="31" t="str">
        <f>IF(LEN(_DB_Exercises!AY100)&gt;0,_DB_Exercises!AY100,"")</f>
        <v/>
      </c>
      <c r="AE97" s="31" t="str">
        <f>IF(LEN(_DB_Exercises!AZ100)&gt;0,_DB_Exercises!AZ100,"")</f>
        <v/>
      </c>
      <c r="AF97" s="31" t="str">
        <f>IF(LEN(_DB_Exercises!BA100)&gt;0,_DB_Exercises!BA100,"")</f>
        <v/>
      </c>
      <c r="AG97" s="31" t="str">
        <f>IF(LEN(_DB_Exercises!BB100)&gt;0,_DB_Exercises!BB100,"")</f>
        <v/>
      </c>
      <c r="AH97" s="31" t="str">
        <f>IF(LEN(_DB_Exercises!BC100)&gt;0,_DB_Exercises!BC100,"")</f>
        <v/>
      </c>
      <c r="AI97" s="31" t="str">
        <f>IF(LEN(_DB_Exercises!BD100)&gt;0,_DB_Exercises!BD100,"")</f>
        <v/>
      </c>
      <c r="AJ97" s="31" t="str">
        <f>IF(LEN(_DB_Exercises!BE100)&gt;0,_DB_Exercises!BE100,"")</f>
        <v/>
      </c>
      <c r="AK97" s="31" t="str">
        <f>IF(LEN(_DB_Exercises!BF100)&gt;0,_DB_Exercises!BF100,"")</f>
        <v/>
      </c>
      <c r="AL97" s="31" t="str">
        <f>IF(LEN(_DB_Exercises!BG100)&gt;0,_DB_Exercises!BG100,"")</f>
        <v/>
      </c>
      <c r="AM97" s="31" t="str">
        <f>IF(LEN(_DB_Exercises!BH100)&gt;0,_DB_Exercises!BH100,"")</f>
        <v/>
      </c>
      <c r="AN97" s="31" t="str">
        <f>IF(LEN(_DB_Exercises!BI100)&gt;0,_DB_Exercises!BI100,"")</f>
        <v/>
      </c>
      <c r="AO97" s="31" t="str">
        <f>IF(LEN(_DB_Exercises!BJ100)&gt;0,_DB_Exercises!BJ100,"")</f>
        <v/>
      </c>
      <c r="AP97" s="31" t="str">
        <f>IF(LEN(_DB_Exercises!BK100)&gt;0,_DB_Exercises!BK100,"")</f>
        <v/>
      </c>
      <c r="AQ97" s="31" t="str">
        <f>IF(LEN(_DB_Exercises!BL100)&gt;0,_DB_Exercises!BL100,"")</f>
        <v/>
      </c>
      <c r="AR97" s="31" t="str">
        <f>IF(LEN(_DB_Exercises!BM100)&gt;0,_DB_Exercises!BM100,"")</f>
        <v/>
      </c>
    </row>
    <row r="98" spans="1:44" ht="30" x14ac:dyDescent="0.25">
      <c r="A98" s="11">
        <f>IF(LEN(_DB_Exercises!A101)&gt;0,_DB_Exercises!A101,"")</f>
        <v>2089</v>
      </c>
      <c r="B98" s="14" t="str">
        <f>IF(LEN(_DB_Exercises!K101)&gt;0,_DB_Exercises!K101,"")</f>
        <v>Freedom Exploration    
3a    Adding numbers</v>
      </c>
      <c r="C98" s="31" t="str">
        <f>IF(LEN(_DB_Exercises!X101)&gt;0,_DB_Exercises!X101,"")</f>
        <v/>
      </c>
      <c r="D98" s="31" t="str">
        <f>IF(LEN(_DB_Exercises!Y101)&gt;0,_DB_Exercises!Y101,"")</f>
        <v/>
      </c>
      <c r="E98" s="31" t="str">
        <f>IF(LEN(_DB_Exercises!Z101)&gt;0,_DB_Exercises!Z101,"")</f>
        <v/>
      </c>
      <c r="F98" s="31" t="str">
        <f>IF(LEN(_DB_Exercises!AA101)&gt;0,_DB_Exercises!AA101,"")</f>
        <v/>
      </c>
      <c r="G98" s="31" t="str">
        <f>IF(LEN(_DB_Exercises!AB101)&gt;0,_DB_Exercises!AB101,"")</f>
        <v/>
      </c>
      <c r="H98" s="31" t="str">
        <f>IF(LEN(_DB_Exercises!AC101)&gt;0,_DB_Exercises!AC101,"")</f>
        <v/>
      </c>
      <c r="I98" s="31" t="str">
        <f>IF(LEN(_DB_Exercises!AD101)&gt;0,_DB_Exercises!AD101,"")</f>
        <v/>
      </c>
      <c r="J98" s="31" t="str">
        <f>IF(LEN(_DB_Exercises!AE101)&gt;0,_DB_Exercises!AE101,"")</f>
        <v/>
      </c>
      <c r="K98" s="31" t="str">
        <f>IF(LEN(_DB_Exercises!AF101)&gt;0,_DB_Exercises!AF101,"")</f>
        <v/>
      </c>
      <c r="L98" s="31" t="str">
        <f>IF(LEN(_DB_Exercises!AG101)&gt;0,_DB_Exercises!AG101,"")</f>
        <v/>
      </c>
      <c r="M98" s="31" t="str">
        <f>IF(LEN(_DB_Exercises!AH101)&gt;0,_DB_Exercises!AH101,"")</f>
        <v/>
      </c>
      <c r="N98" s="31" t="str">
        <f>IF(LEN(_DB_Exercises!AI101)&gt;0,_DB_Exercises!AI101,"")</f>
        <v/>
      </c>
      <c r="O98" s="31" t="str">
        <f>IF(LEN(_DB_Exercises!AJ101)&gt;0,_DB_Exercises!AJ101,"")</f>
        <v/>
      </c>
      <c r="P98" s="31" t="str">
        <f>IF(LEN(_DB_Exercises!AK101)&gt;0,_DB_Exercises!AK101,"")</f>
        <v/>
      </c>
      <c r="Q98" s="31" t="str">
        <f>IF(LEN(_DB_Exercises!AL101)&gt;0,_DB_Exercises!AL101,"")</f>
        <v/>
      </c>
      <c r="R98" s="31" t="str">
        <f>IF(LEN(_DB_Exercises!AM101)&gt;0,_DB_Exercises!AM101,"")</f>
        <v/>
      </c>
      <c r="S98" s="31" t="str">
        <f>IF(LEN(_DB_Exercises!AN101)&gt;0,_DB_Exercises!AN101,"")</f>
        <v/>
      </c>
      <c r="T98" s="31" t="str">
        <f>IF(LEN(_DB_Exercises!AO101)&gt;0,_DB_Exercises!AO101,"")</f>
        <v/>
      </c>
      <c r="U98" s="31" t="str">
        <f>IF(LEN(_DB_Exercises!AP101)&gt;0,_DB_Exercises!AP101,"")</f>
        <v/>
      </c>
      <c r="V98" s="31" t="str">
        <f>IF(LEN(_DB_Exercises!AQ101)&gt;0,_DB_Exercises!AQ101,"")</f>
        <v/>
      </c>
      <c r="W98" s="31" t="str">
        <f>IF(LEN(_DB_Exercises!AR101)&gt;0,_DB_Exercises!AR101,"")</f>
        <v/>
      </c>
      <c r="X98" s="31" t="str">
        <f>IF(LEN(_DB_Exercises!AS101)&gt;0,_DB_Exercises!AS101,"")</f>
        <v/>
      </c>
      <c r="Y98" s="31" t="str">
        <f>IF(LEN(_DB_Exercises!AT101)&gt;0,_DB_Exercises!AT101,"")</f>
        <v/>
      </c>
      <c r="Z98" s="31" t="str">
        <f>IF(LEN(_DB_Exercises!AU101)&gt;0,_DB_Exercises!AU101,"")</f>
        <v/>
      </c>
      <c r="AA98" s="31" t="str">
        <f>IF(LEN(_DB_Exercises!AV101)&gt;0,_DB_Exercises!AV101,"")</f>
        <v/>
      </c>
      <c r="AB98" s="31" t="str">
        <f>IF(LEN(_DB_Exercises!AW101)&gt;0,_DB_Exercises!AW101,"")</f>
        <v/>
      </c>
      <c r="AC98" s="31" t="str">
        <f>IF(LEN(_DB_Exercises!AX101)&gt;0,_DB_Exercises!AX101,"")</f>
        <v/>
      </c>
      <c r="AD98" s="31" t="str">
        <f>IF(LEN(_DB_Exercises!AY101)&gt;0,_DB_Exercises!AY101,"")</f>
        <v/>
      </c>
      <c r="AE98" s="31" t="str">
        <f>IF(LEN(_DB_Exercises!AZ101)&gt;0,_DB_Exercises!AZ101,"")</f>
        <v/>
      </c>
      <c r="AF98" s="31" t="str">
        <f>IF(LEN(_DB_Exercises!BA101)&gt;0,_DB_Exercises!BA101,"")</f>
        <v/>
      </c>
      <c r="AG98" s="31" t="str">
        <f>IF(LEN(_DB_Exercises!BB101)&gt;0,_DB_Exercises!BB101,"")</f>
        <v/>
      </c>
      <c r="AH98" s="31" t="str">
        <f>IF(LEN(_DB_Exercises!BC101)&gt;0,_DB_Exercises!BC101,"")</f>
        <v/>
      </c>
      <c r="AI98" s="31" t="str">
        <f>IF(LEN(_DB_Exercises!BD101)&gt;0,_DB_Exercises!BD101,"")</f>
        <v/>
      </c>
      <c r="AJ98" s="31" t="str">
        <f>IF(LEN(_DB_Exercises!BE101)&gt;0,_DB_Exercises!BE101,"")</f>
        <v/>
      </c>
      <c r="AK98" s="31" t="str">
        <f>IF(LEN(_DB_Exercises!BF101)&gt;0,_DB_Exercises!BF101,"")</f>
        <v/>
      </c>
      <c r="AL98" s="31" t="str">
        <f>IF(LEN(_DB_Exercises!BG101)&gt;0,_DB_Exercises!BG101,"")</f>
        <v/>
      </c>
      <c r="AM98" s="31" t="str">
        <f>IF(LEN(_DB_Exercises!BH101)&gt;0,_DB_Exercises!BH101,"")</f>
        <v/>
      </c>
      <c r="AN98" s="31" t="str">
        <f>IF(LEN(_DB_Exercises!BI101)&gt;0,_DB_Exercises!BI101,"")</f>
        <v/>
      </c>
      <c r="AO98" s="31" t="str">
        <f>IF(LEN(_DB_Exercises!BJ101)&gt;0,_DB_Exercises!BJ101,"")</f>
        <v/>
      </c>
      <c r="AP98" s="31" t="str">
        <f>IF(LEN(_DB_Exercises!BK101)&gt;0,_DB_Exercises!BK101,"")</f>
        <v/>
      </c>
      <c r="AQ98" s="31" t="str">
        <f>IF(LEN(_DB_Exercises!BL101)&gt;0,_DB_Exercises!BL101,"")</f>
        <v/>
      </c>
      <c r="AR98" s="31" t="str">
        <f>IF(LEN(_DB_Exercises!BM101)&gt;0,_DB_Exercises!BM101,"")</f>
        <v/>
      </c>
    </row>
    <row r="99" spans="1:44" ht="30" x14ac:dyDescent="0.25">
      <c r="A99" s="11">
        <f>IF(LEN(_DB_Exercises!A102)&gt;0,_DB_Exercises!A102,"")</f>
        <v>2090</v>
      </c>
      <c r="B99" s="14" t="str">
        <f>IF(LEN(_DB_Exercises!K102)&gt;0,_DB_Exercises!K102,"")</f>
        <v>Freedom Exploration 
3b    Looking at the hole</v>
      </c>
      <c r="C99" s="31" t="str">
        <f>IF(LEN(_DB_Exercises!X102)&gt;0,_DB_Exercises!X102,"")</f>
        <v/>
      </c>
      <c r="D99" s="31" t="str">
        <f>IF(LEN(_DB_Exercises!Y102)&gt;0,_DB_Exercises!Y102,"")</f>
        <v/>
      </c>
      <c r="E99" s="31" t="str">
        <f>IF(LEN(_DB_Exercises!Z102)&gt;0,_DB_Exercises!Z102,"")</f>
        <v/>
      </c>
      <c r="F99" s="31" t="str">
        <f>IF(LEN(_DB_Exercises!AA102)&gt;0,_DB_Exercises!AA102,"")</f>
        <v/>
      </c>
      <c r="G99" s="31" t="str">
        <f>IF(LEN(_DB_Exercises!AB102)&gt;0,_DB_Exercises!AB102,"")</f>
        <v/>
      </c>
      <c r="H99" s="31" t="str">
        <f>IF(LEN(_DB_Exercises!AC102)&gt;0,_DB_Exercises!AC102,"")</f>
        <v/>
      </c>
      <c r="I99" s="31" t="str">
        <f>IF(LEN(_DB_Exercises!AD102)&gt;0,_DB_Exercises!AD102,"")</f>
        <v/>
      </c>
      <c r="J99" s="31" t="str">
        <f>IF(LEN(_DB_Exercises!AE102)&gt;0,_DB_Exercises!AE102,"")</f>
        <v/>
      </c>
      <c r="K99" s="31" t="str">
        <f>IF(LEN(_DB_Exercises!AF102)&gt;0,_DB_Exercises!AF102,"")</f>
        <v/>
      </c>
      <c r="L99" s="31" t="str">
        <f>IF(LEN(_DB_Exercises!AG102)&gt;0,_DB_Exercises!AG102,"")</f>
        <v/>
      </c>
      <c r="M99" s="31" t="str">
        <f>IF(LEN(_DB_Exercises!AH102)&gt;0,_DB_Exercises!AH102,"")</f>
        <v/>
      </c>
      <c r="N99" s="31" t="str">
        <f>IF(LEN(_DB_Exercises!AI102)&gt;0,_DB_Exercises!AI102,"")</f>
        <v/>
      </c>
      <c r="O99" s="31" t="str">
        <f>IF(LEN(_DB_Exercises!AJ102)&gt;0,_DB_Exercises!AJ102,"")</f>
        <v/>
      </c>
      <c r="P99" s="31" t="str">
        <f>IF(LEN(_DB_Exercises!AK102)&gt;0,_DB_Exercises!AK102,"")</f>
        <v/>
      </c>
      <c r="Q99" s="31" t="str">
        <f>IF(LEN(_DB_Exercises!AL102)&gt;0,_DB_Exercises!AL102,"")</f>
        <v/>
      </c>
      <c r="R99" s="31" t="str">
        <f>IF(LEN(_DB_Exercises!AM102)&gt;0,_DB_Exercises!AM102,"")</f>
        <v/>
      </c>
      <c r="S99" s="31" t="str">
        <f>IF(LEN(_DB_Exercises!AN102)&gt;0,_DB_Exercises!AN102,"")</f>
        <v/>
      </c>
      <c r="T99" s="31" t="str">
        <f>IF(LEN(_DB_Exercises!AO102)&gt;0,_DB_Exercises!AO102,"")</f>
        <v/>
      </c>
      <c r="U99" s="31" t="str">
        <f>IF(LEN(_DB_Exercises!AP102)&gt;0,_DB_Exercises!AP102,"")</f>
        <v/>
      </c>
      <c r="V99" s="31" t="str">
        <f>IF(LEN(_DB_Exercises!AQ102)&gt;0,_DB_Exercises!AQ102,"")</f>
        <v/>
      </c>
      <c r="W99" s="31" t="str">
        <f>IF(LEN(_DB_Exercises!AR102)&gt;0,_DB_Exercises!AR102,"")</f>
        <v/>
      </c>
      <c r="X99" s="31" t="str">
        <f>IF(LEN(_DB_Exercises!AS102)&gt;0,_DB_Exercises!AS102,"")</f>
        <v/>
      </c>
      <c r="Y99" s="31" t="str">
        <f>IF(LEN(_DB_Exercises!AT102)&gt;0,_DB_Exercises!AT102,"")</f>
        <v/>
      </c>
      <c r="Z99" s="31" t="str">
        <f>IF(LEN(_DB_Exercises!AU102)&gt;0,_DB_Exercises!AU102,"")</f>
        <v/>
      </c>
      <c r="AA99" s="31" t="str">
        <f>IF(LEN(_DB_Exercises!AV102)&gt;0,_DB_Exercises!AV102,"")</f>
        <v/>
      </c>
      <c r="AB99" s="31" t="str">
        <f>IF(LEN(_DB_Exercises!AW102)&gt;0,_DB_Exercises!AW102,"")</f>
        <v/>
      </c>
      <c r="AC99" s="31" t="str">
        <f>IF(LEN(_DB_Exercises!AX102)&gt;0,_DB_Exercises!AX102,"")</f>
        <v/>
      </c>
      <c r="AD99" s="31" t="str">
        <f>IF(LEN(_DB_Exercises!AY102)&gt;0,_DB_Exercises!AY102,"")</f>
        <v/>
      </c>
      <c r="AE99" s="31" t="str">
        <f>IF(LEN(_DB_Exercises!AZ102)&gt;0,_DB_Exercises!AZ102,"")</f>
        <v/>
      </c>
      <c r="AF99" s="31" t="str">
        <f>IF(LEN(_DB_Exercises!BA102)&gt;0,_DB_Exercises!BA102,"")</f>
        <v/>
      </c>
      <c r="AG99" s="31" t="str">
        <f>IF(LEN(_DB_Exercises!BB102)&gt;0,_DB_Exercises!BB102,"")</f>
        <v/>
      </c>
      <c r="AH99" s="31" t="str">
        <f>IF(LEN(_DB_Exercises!BC102)&gt;0,_DB_Exercises!BC102,"")</f>
        <v/>
      </c>
      <c r="AI99" s="31" t="str">
        <f>IF(LEN(_DB_Exercises!BD102)&gt;0,_DB_Exercises!BD102,"")</f>
        <v/>
      </c>
      <c r="AJ99" s="31" t="str">
        <f>IF(LEN(_DB_Exercises!BE102)&gt;0,_DB_Exercises!BE102,"")</f>
        <v/>
      </c>
      <c r="AK99" s="31" t="str">
        <f>IF(LEN(_DB_Exercises!BF102)&gt;0,_DB_Exercises!BF102,"")</f>
        <v/>
      </c>
      <c r="AL99" s="31" t="str">
        <f>IF(LEN(_DB_Exercises!BG102)&gt;0,_DB_Exercises!BG102,"")</f>
        <v/>
      </c>
      <c r="AM99" s="31" t="str">
        <f>IF(LEN(_DB_Exercises!BH102)&gt;0,_DB_Exercises!BH102,"")</f>
        <v/>
      </c>
      <c r="AN99" s="31" t="str">
        <f>IF(LEN(_DB_Exercises!BI102)&gt;0,_DB_Exercises!BI102,"")</f>
        <v/>
      </c>
      <c r="AO99" s="31" t="str">
        <f>IF(LEN(_DB_Exercises!BJ102)&gt;0,_DB_Exercises!BJ102,"")</f>
        <v/>
      </c>
      <c r="AP99" s="31" t="str">
        <f>IF(LEN(_DB_Exercises!BK102)&gt;0,_DB_Exercises!BK102,"")</f>
        <v/>
      </c>
      <c r="AQ99" s="31" t="str">
        <f>IF(LEN(_DB_Exercises!BL102)&gt;0,_DB_Exercises!BL102,"")</f>
        <v/>
      </c>
      <c r="AR99" s="31" t="str">
        <f>IF(LEN(_DB_Exercises!BM102)&gt;0,_DB_Exercises!BM102,"")</f>
        <v/>
      </c>
    </row>
    <row r="100" spans="1:44" ht="30" x14ac:dyDescent="0.25">
      <c r="A100" s="11">
        <f>IF(LEN(_DB_Exercises!A103)&gt;0,_DB_Exercises!A103,"")</f>
        <v>2091</v>
      </c>
      <c r="B100" s="14" t="str">
        <f>IF(LEN(_DB_Exercises!K103)&gt;0,_DB_Exercises!K103,"")</f>
        <v>Freedom Exploration    
3c    Connecting to the Target</v>
      </c>
      <c r="C100" s="31" t="str">
        <f>IF(LEN(_DB_Exercises!X103)&gt;0,_DB_Exercises!X103,"")</f>
        <v/>
      </c>
      <c r="D100" s="31" t="str">
        <f>IF(LEN(_DB_Exercises!Y103)&gt;0,_DB_Exercises!Y103,"")</f>
        <v/>
      </c>
      <c r="E100" s="31" t="str">
        <f>IF(LEN(_DB_Exercises!Z103)&gt;0,_DB_Exercises!Z103,"")</f>
        <v/>
      </c>
      <c r="F100" s="31" t="str">
        <f>IF(LEN(_DB_Exercises!AA103)&gt;0,_DB_Exercises!AA103,"")</f>
        <v/>
      </c>
      <c r="G100" s="31" t="str">
        <f>IF(LEN(_DB_Exercises!AB103)&gt;0,_DB_Exercises!AB103,"")</f>
        <v/>
      </c>
      <c r="H100" s="31" t="str">
        <f>IF(LEN(_DB_Exercises!AC103)&gt;0,_DB_Exercises!AC103,"")</f>
        <v/>
      </c>
      <c r="I100" s="31" t="str">
        <f>IF(LEN(_DB_Exercises!AD103)&gt;0,_DB_Exercises!AD103,"")</f>
        <v/>
      </c>
      <c r="J100" s="31" t="str">
        <f>IF(LEN(_DB_Exercises!AE103)&gt;0,_DB_Exercises!AE103,"")</f>
        <v/>
      </c>
      <c r="K100" s="31" t="str">
        <f>IF(LEN(_DB_Exercises!AF103)&gt;0,_DB_Exercises!AF103,"")</f>
        <v/>
      </c>
      <c r="L100" s="31" t="str">
        <f>IF(LEN(_DB_Exercises!AG103)&gt;0,_DB_Exercises!AG103,"")</f>
        <v/>
      </c>
      <c r="M100" s="31" t="str">
        <f>IF(LEN(_DB_Exercises!AH103)&gt;0,_DB_Exercises!AH103,"")</f>
        <v/>
      </c>
      <c r="N100" s="31" t="str">
        <f>IF(LEN(_DB_Exercises!AI103)&gt;0,_DB_Exercises!AI103,"")</f>
        <v/>
      </c>
      <c r="O100" s="31" t="str">
        <f>IF(LEN(_DB_Exercises!AJ103)&gt;0,_DB_Exercises!AJ103,"")</f>
        <v/>
      </c>
      <c r="P100" s="31" t="str">
        <f>IF(LEN(_DB_Exercises!AK103)&gt;0,_DB_Exercises!AK103,"")</f>
        <v/>
      </c>
      <c r="Q100" s="31" t="str">
        <f>IF(LEN(_DB_Exercises!AL103)&gt;0,_DB_Exercises!AL103,"")</f>
        <v/>
      </c>
      <c r="R100" s="31" t="str">
        <f>IF(LEN(_DB_Exercises!AM103)&gt;0,_DB_Exercises!AM103,"")</f>
        <v/>
      </c>
      <c r="S100" s="31" t="str">
        <f>IF(LEN(_DB_Exercises!AN103)&gt;0,_DB_Exercises!AN103,"")</f>
        <v/>
      </c>
      <c r="T100" s="31" t="str">
        <f>IF(LEN(_DB_Exercises!AO103)&gt;0,_DB_Exercises!AO103,"")</f>
        <v/>
      </c>
      <c r="U100" s="31" t="str">
        <f>IF(LEN(_DB_Exercises!AP103)&gt;0,_DB_Exercises!AP103,"")</f>
        <v/>
      </c>
      <c r="V100" s="31" t="str">
        <f>IF(LEN(_DB_Exercises!AQ103)&gt;0,_DB_Exercises!AQ103,"")</f>
        <v/>
      </c>
      <c r="W100" s="31" t="str">
        <f>IF(LEN(_DB_Exercises!AR103)&gt;0,_DB_Exercises!AR103,"")</f>
        <v/>
      </c>
      <c r="X100" s="31" t="str">
        <f>IF(LEN(_DB_Exercises!AS103)&gt;0,_DB_Exercises!AS103,"")</f>
        <v/>
      </c>
      <c r="Y100" s="31" t="str">
        <f>IF(LEN(_DB_Exercises!AT103)&gt;0,_DB_Exercises!AT103,"")</f>
        <v/>
      </c>
      <c r="Z100" s="31" t="str">
        <f>IF(LEN(_DB_Exercises!AU103)&gt;0,_DB_Exercises!AU103,"")</f>
        <v/>
      </c>
      <c r="AA100" s="31" t="str">
        <f>IF(LEN(_DB_Exercises!AV103)&gt;0,_DB_Exercises!AV103,"")</f>
        <v/>
      </c>
      <c r="AB100" s="31" t="str">
        <f>IF(LEN(_DB_Exercises!AW103)&gt;0,_DB_Exercises!AW103,"")</f>
        <v/>
      </c>
      <c r="AC100" s="31" t="str">
        <f>IF(LEN(_DB_Exercises!AX103)&gt;0,_DB_Exercises!AX103,"")</f>
        <v/>
      </c>
      <c r="AD100" s="31" t="str">
        <f>IF(LEN(_DB_Exercises!AY103)&gt;0,_DB_Exercises!AY103,"")</f>
        <v/>
      </c>
      <c r="AE100" s="31" t="str">
        <f>IF(LEN(_DB_Exercises!AZ103)&gt;0,_DB_Exercises!AZ103,"")</f>
        <v/>
      </c>
      <c r="AF100" s="31" t="str">
        <f>IF(LEN(_DB_Exercises!BA103)&gt;0,_DB_Exercises!BA103,"")</f>
        <v/>
      </c>
      <c r="AG100" s="31" t="str">
        <f>IF(LEN(_DB_Exercises!BB103)&gt;0,_DB_Exercises!BB103,"")</f>
        <v/>
      </c>
      <c r="AH100" s="31" t="str">
        <f>IF(LEN(_DB_Exercises!BC103)&gt;0,_DB_Exercises!BC103,"")</f>
        <v/>
      </c>
      <c r="AI100" s="31" t="str">
        <f>IF(LEN(_DB_Exercises!BD103)&gt;0,_DB_Exercises!BD103,"")</f>
        <v/>
      </c>
      <c r="AJ100" s="31" t="str">
        <f>IF(LEN(_DB_Exercises!BE103)&gt;0,_DB_Exercises!BE103,"")</f>
        <v/>
      </c>
      <c r="AK100" s="31" t="str">
        <f>IF(LEN(_DB_Exercises!BF103)&gt;0,_DB_Exercises!BF103,"")</f>
        <v/>
      </c>
      <c r="AL100" s="31" t="str">
        <f>IF(LEN(_DB_Exercises!BG103)&gt;0,_DB_Exercises!BG103,"")</f>
        <v/>
      </c>
      <c r="AM100" s="31" t="str">
        <f>IF(LEN(_DB_Exercises!BH103)&gt;0,_DB_Exercises!BH103,"")</f>
        <v/>
      </c>
      <c r="AN100" s="31" t="str">
        <f>IF(LEN(_DB_Exercises!BI103)&gt;0,_DB_Exercises!BI103,"")</f>
        <v/>
      </c>
      <c r="AO100" s="31" t="str">
        <f>IF(LEN(_DB_Exercises!BJ103)&gt;0,_DB_Exercises!BJ103,"")</f>
        <v/>
      </c>
      <c r="AP100" s="31" t="str">
        <f>IF(LEN(_DB_Exercises!BK103)&gt;0,_DB_Exercises!BK103,"")</f>
        <v/>
      </c>
      <c r="AQ100" s="31" t="str">
        <f>IF(LEN(_DB_Exercises!BL103)&gt;0,_DB_Exercises!BL103,"")</f>
        <v/>
      </c>
      <c r="AR100" s="31" t="str">
        <f>IF(LEN(_DB_Exercises!BM103)&gt;0,_DB_Exercises!BM103,"")</f>
        <v/>
      </c>
    </row>
    <row r="101" spans="1:44" ht="30" x14ac:dyDescent="0.25">
      <c r="A101" s="11">
        <f>IF(LEN(_DB_Exercises!A104)&gt;0,_DB_Exercises!A104,"")</f>
        <v>2092</v>
      </c>
      <c r="B101" s="14" t="str">
        <f>IF(LEN(_DB_Exercises!K104)&gt;0,_DB_Exercises!K104,"")</f>
        <v>Freedom Exploration    
4a    Enjoying the Motion</v>
      </c>
      <c r="C101" s="31" t="str">
        <f>IF(LEN(_DB_Exercises!X104)&gt;0,_DB_Exercises!X104,"")</f>
        <v/>
      </c>
      <c r="D101" s="31" t="str">
        <f>IF(LEN(_DB_Exercises!Y104)&gt;0,_DB_Exercises!Y104,"")</f>
        <v/>
      </c>
      <c r="E101" s="31" t="str">
        <f>IF(LEN(_DB_Exercises!Z104)&gt;0,_DB_Exercises!Z104,"")</f>
        <v/>
      </c>
      <c r="F101" s="31" t="str">
        <f>IF(LEN(_DB_Exercises!AA104)&gt;0,_DB_Exercises!AA104,"")</f>
        <v/>
      </c>
      <c r="G101" s="31" t="str">
        <f>IF(LEN(_DB_Exercises!AB104)&gt;0,_DB_Exercises!AB104,"")</f>
        <v/>
      </c>
      <c r="H101" s="31" t="str">
        <f>IF(LEN(_DB_Exercises!AC104)&gt;0,_DB_Exercises!AC104,"")</f>
        <v/>
      </c>
      <c r="I101" s="31" t="str">
        <f>IF(LEN(_DB_Exercises!AD104)&gt;0,_DB_Exercises!AD104,"")</f>
        <v/>
      </c>
      <c r="J101" s="31" t="str">
        <f>IF(LEN(_DB_Exercises!AE104)&gt;0,_DB_Exercises!AE104,"")</f>
        <v/>
      </c>
      <c r="K101" s="31" t="str">
        <f>IF(LEN(_DB_Exercises!AF104)&gt;0,_DB_Exercises!AF104,"")</f>
        <v/>
      </c>
      <c r="L101" s="31" t="str">
        <f>IF(LEN(_DB_Exercises!AG104)&gt;0,_DB_Exercises!AG104,"")</f>
        <v/>
      </c>
      <c r="M101" s="31" t="str">
        <f>IF(LEN(_DB_Exercises!AH104)&gt;0,_DB_Exercises!AH104,"")</f>
        <v/>
      </c>
      <c r="N101" s="31" t="str">
        <f>IF(LEN(_DB_Exercises!AI104)&gt;0,_DB_Exercises!AI104,"")</f>
        <v/>
      </c>
      <c r="O101" s="31" t="str">
        <f>IF(LEN(_DB_Exercises!AJ104)&gt;0,_DB_Exercises!AJ104,"")</f>
        <v/>
      </c>
      <c r="P101" s="31" t="str">
        <f>IF(LEN(_DB_Exercises!AK104)&gt;0,_DB_Exercises!AK104,"")</f>
        <v/>
      </c>
      <c r="Q101" s="31" t="str">
        <f>IF(LEN(_DB_Exercises!AL104)&gt;0,_DB_Exercises!AL104,"")</f>
        <v/>
      </c>
      <c r="R101" s="31" t="str">
        <f>IF(LEN(_DB_Exercises!AM104)&gt;0,_DB_Exercises!AM104,"")</f>
        <v/>
      </c>
      <c r="S101" s="31" t="str">
        <f>IF(LEN(_DB_Exercises!AN104)&gt;0,_DB_Exercises!AN104,"")</f>
        <v/>
      </c>
      <c r="T101" s="31" t="str">
        <f>IF(LEN(_DB_Exercises!AO104)&gt;0,_DB_Exercises!AO104,"")</f>
        <v/>
      </c>
      <c r="U101" s="31" t="str">
        <f>IF(LEN(_DB_Exercises!AP104)&gt;0,_DB_Exercises!AP104,"")</f>
        <v/>
      </c>
      <c r="V101" s="31" t="str">
        <f>IF(LEN(_DB_Exercises!AQ104)&gt;0,_DB_Exercises!AQ104,"")</f>
        <v/>
      </c>
      <c r="W101" s="31" t="str">
        <f>IF(LEN(_DB_Exercises!AR104)&gt;0,_DB_Exercises!AR104,"")</f>
        <v/>
      </c>
      <c r="X101" s="31" t="str">
        <f>IF(LEN(_DB_Exercises!AS104)&gt;0,_DB_Exercises!AS104,"")</f>
        <v/>
      </c>
      <c r="Y101" s="31" t="str">
        <f>IF(LEN(_DB_Exercises!AT104)&gt;0,_DB_Exercises!AT104,"")</f>
        <v/>
      </c>
      <c r="Z101" s="31" t="str">
        <f>IF(LEN(_DB_Exercises!AU104)&gt;0,_DB_Exercises!AU104,"")</f>
        <v/>
      </c>
      <c r="AA101" s="31" t="str">
        <f>IF(LEN(_DB_Exercises!AV104)&gt;0,_DB_Exercises!AV104,"")</f>
        <v/>
      </c>
      <c r="AB101" s="31" t="str">
        <f>IF(LEN(_DB_Exercises!AW104)&gt;0,_DB_Exercises!AW104,"")</f>
        <v/>
      </c>
      <c r="AC101" s="31" t="str">
        <f>IF(LEN(_DB_Exercises!AX104)&gt;0,_DB_Exercises!AX104,"")</f>
        <v/>
      </c>
      <c r="AD101" s="31" t="str">
        <f>IF(LEN(_DB_Exercises!AY104)&gt;0,_DB_Exercises!AY104,"")</f>
        <v/>
      </c>
      <c r="AE101" s="31" t="str">
        <f>IF(LEN(_DB_Exercises!AZ104)&gt;0,_DB_Exercises!AZ104,"")</f>
        <v/>
      </c>
      <c r="AF101" s="31" t="str">
        <f>IF(LEN(_DB_Exercises!BA104)&gt;0,_DB_Exercises!BA104,"")</f>
        <v/>
      </c>
      <c r="AG101" s="31" t="str">
        <f>IF(LEN(_DB_Exercises!BB104)&gt;0,_DB_Exercises!BB104,"")</f>
        <v/>
      </c>
      <c r="AH101" s="31" t="str">
        <f>IF(LEN(_DB_Exercises!BC104)&gt;0,_DB_Exercises!BC104,"")</f>
        <v/>
      </c>
      <c r="AI101" s="31" t="str">
        <f>IF(LEN(_DB_Exercises!BD104)&gt;0,_DB_Exercises!BD104,"")</f>
        <v/>
      </c>
      <c r="AJ101" s="31" t="str">
        <f>IF(LEN(_DB_Exercises!BE104)&gt;0,_DB_Exercises!BE104,"")</f>
        <v/>
      </c>
      <c r="AK101" s="31" t="str">
        <f>IF(LEN(_DB_Exercises!BF104)&gt;0,_DB_Exercises!BF104,"")</f>
        <v/>
      </c>
      <c r="AL101" s="31" t="str">
        <f>IF(LEN(_DB_Exercises!BG104)&gt;0,_DB_Exercises!BG104,"")</f>
        <v/>
      </c>
      <c r="AM101" s="31" t="str">
        <f>IF(LEN(_DB_Exercises!BH104)&gt;0,_DB_Exercises!BH104,"")</f>
        <v/>
      </c>
      <c r="AN101" s="31" t="str">
        <f>IF(LEN(_DB_Exercises!BI104)&gt;0,_DB_Exercises!BI104,"")</f>
        <v/>
      </c>
      <c r="AO101" s="31" t="str">
        <f>IF(LEN(_DB_Exercises!BJ104)&gt;0,_DB_Exercises!BJ104,"")</f>
        <v/>
      </c>
      <c r="AP101" s="31" t="str">
        <f>IF(LEN(_DB_Exercises!BK104)&gt;0,_DB_Exercises!BK104,"")</f>
        <v/>
      </c>
      <c r="AQ101" s="31" t="str">
        <f>IF(LEN(_DB_Exercises!BL104)&gt;0,_DB_Exercises!BL104,"")</f>
        <v/>
      </c>
      <c r="AR101" s="31" t="str">
        <f>IF(LEN(_DB_Exercises!BM104)&gt;0,_DB_Exercises!BM104,"")</f>
        <v/>
      </c>
    </row>
    <row r="102" spans="1:44" ht="30" x14ac:dyDescent="0.25">
      <c r="A102" s="11">
        <f>IF(LEN(_DB_Exercises!A105)&gt;0,_DB_Exercises!A105,"")</f>
        <v>2093</v>
      </c>
      <c r="B102" s="14" t="str">
        <f>IF(LEN(_DB_Exercises!K105)&gt;0,_DB_Exercises!K105,"")</f>
        <v>Freedom Exploration    
4b     Enjoying the Motion with a target</v>
      </c>
      <c r="C102" s="31" t="str">
        <f>IF(LEN(_DB_Exercises!X105)&gt;0,_DB_Exercises!X105,"")</f>
        <v/>
      </c>
      <c r="D102" s="31" t="str">
        <f>IF(LEN(_DB_Exercises!Y105)&gt;0,_DB_Exercises!Y105,"")</f>
        <v/>
      </c>
      <c r="E102" s="31" t="str">
        <f>IF(LEN(_DB_Exercises!Z105)&gt;0,_DB_Exercises!Z105,"")</f>
        <v/>
      </c>
      <c r="F102" s="31" t="str">
        <f>IF(LEN(_DB_Exercises!AA105)&gt;0,_DB_Exercises!AA105,"")</f>
        <v/>
      </c>
      <c r="G102" s="31" t="str">
        <f>IF(LEN(_DB_Exercises!AB105)&gt;0,_DB_Exercises!AB105,"")</f>
        <v/>
      </c>
      <c r="H102" s="31" t="str">
        <f>IF(LEN(_DB_Exercises!AC105)&gt;0,_DB_Exercises!AC105,"")</f>
        <v/>
      </c>
      <c r="I102" s="31" t="str">
        <f>IF(LEN(_DB_Exercises!AD105)&gt;0,_DB_Exercises!AD105,"")</f>
        <v/>
      </c>
      <c r="J102" s="31" t="str">
        <f>IF(LEN(_DB_Exercises!AE105)&gt;0,_DB_Exercises!AE105,"")</f>
        <v/>
      </c>
      <c r="K102" s="31" t="str">
        <f>IF(LEN(_DB_Exercises!AF105)&gt;0,_DB_Exercises!AF105,"")</f>
        <v/>
      </c>
      <c r="L102" s="31" t="str">
        <f>IF(LEN(_DB_Exercises!AG105)&gt;0,_DB_Exercises!AG105,"")</f>
        <v/>
      </c>
      <c r="M102" s="31" t="str">
        <f>IF(LEN(_DB_Exercises!AH105)&gt;0,_DB_Exercises!AH105,"")</f>
        <v/>
      </c>
      <c r="N102" s="31" t="str">
        <f>IF(LEN(_DB_Exercises!AI105)&gt;0,_DB_Exercises!AI105,"")</f>
        <v/>
      </c>
      <c r="O102" s="31" t="str">
        <f>IF(LEN(_DB_Exercises!AJ105)&gt;0,_DB_Exercises!AJ105,"")</f>
        <v/>
      </c>
      <c r="P102" s="31" t="str">
        <f>IF(LEN(_DB_Exercises!AK105)&gt;0,_DB_Exercises!AK105,"")</f>
        <v/>
      </c>
      <c r="Q102" s="31" t="str">
        <f>IF(LEN(_DB_Exercises!AL105)&gt;0,_DB_Exercises!AL105,"")</f>
        <v/>
      </c>
      <c r="R102" s="31" t="str">
        <f>IF(LEN(_DB_Exercises!AM105)&gt;0,_DB_Exercises!AM105,"")</f>
        <v/>
      </c>
      <c r="S102" s="31" t="str">
        <f>IF(LEN(_DB_Exercises!AN105)&gt;0,_DB_Exercises!AN105,"")</f>
        <v/>
      </c>
      <c r="T102" s="31" t="str">
        <f>IF(LEN(_DB_Exercises!AO105)&gt;0,_DB_Exercises!AO105,"")</f>
        <v/>
      </c>
      <c r="U102" s="31" t="str">
        <f>IF(LEN(_DB_Exercises!AP105)&gt;0,_DB_Exercises!AP105,"")</f>
        <v/>
      </c>
      <c r="V102" s="31" t="str">
        <f>IF(LEN(_DB_Exercises!AQ105)&gt;0,_DB_Exercises!AQ105,"")</f>
        <v/>
      </c>
      <c r="W102" s="31" t="str">
        <f>IF(LEN(_DB_Exercises!AR105)&gt;0,_DB_Exercises!AR105,"")</f>
        <v/>
      </c>
      <c r="X102" s="31" t="str">
        <f>IF(LEN(_DB_Exercises!AS105)&gt;0,_DB_Exercises!AS105,"")</f>
        <v/>
      </c>
      <c r="Y102" s="31" t="str">
        <f>IF(LEN(_DB_Exercises!AT105)&gt;0,_DB_Exercises!AT105,"")</f>
        <v/>
      </c>
      <c r="Z102" s="31" t="str">
        <f>IF(LEN(_DB_Exercises!AU105)&gt;0,_DB_Exercises!AU105,"")</f>
        <v/>
      </c>
      <c r="AA102" s="31" t="str">
        <f>IF(LEN(_DB_Exercises!AV105)&gt;0,_DB_Exercises!AV105,"")</f>
        <v/>
      </c>
      <c r="AB102" s="31" t="str">
        <f>IF(LEN(_DB_Exercises!AW105)&gt;0,_DB_Exercises!AW105,"")</f>
        <v/>
      </c>
      <c r="AC102" s="31" t="str">
        <f>IF(LEN(_DB_Exercises!AX105)&gt;0,_DB_Exercises!AX105,"")</f>
        <v/>
      </c>
      <c r="AD102" s="31" t="str">
        <f>IF(LEN(_DB_Exercises!AY105)&gt;0,_DB_Exercises!AY105,"")</f>
        <v/>
      </c>
      <c r="AE102" s="31" t="str">
        <f>IF(LEN(_DB_Exercises!AZ105)&gt;0,_DB_Exercises!AZ105,"")</f>
        <v/>
      </c>
      <c r="AF102" s="31" t="str">
        <f>IF(LEN(_DB_Exercises!BA105)&gt;0,_DB_Exercises!BA105,"")</f>
        <v/>
      </c>
      <c r="AG102" s="31" t="str">
        <f>IF(LEN(_DB_Exercises!BB105)&gt;0,_DB_Exercises!BB105,"")</f>
        <v/>
      </c>
      <c r="AH102" s="31" t="str">
        <f>IF(LEN(_DB_Exercises!BC105)&gt;0,_DB_Exercises!BC105,"")</f>
        <v/>
      </c>
      <c r="AI102" s="31" t="str">
        <f>IF(LEN(_DB_Exercises!BD105)&gt;0,_DB_Exercises!BD105,"")</f>
        <v/>
      </c>
      <c r="AJ102" s="31" t="str">
        <f>IF(LEN(_DB_Exercises!BE105)&gt;0,_DB_Exercises!BE105,"")</f>
        <v/>
      </c>
      <c r="AK102" s="31" t="str">
        <f>IF(LEN(_DB_Exercises!BF105)&gt;0,_DB_Exercises!BF105,"")</f>
        <v/>
      </c>
      <c r="AL102" s="31" t="str">
        <f>IF(LEN(_DB_Exercises!BG105)&gt;0,_DB_Exercises!BG105,"")</f>
        <v/>
      </c>
      <c r="AM102" s="31" t="str">
        <f>IF(LEN(_DB_Exercises!BH105)&gt;0,_DB_Exercises!BH105,"")</f>
        <v/>
      </c>
      <c r="AN102" s="31" t="str">
        <f>IF(LEN(_DB_Exercises!BI105)&gt;0,_DB_Exercises!BI105,"")</f>
        <v/>
      </c>
      <c r="AO102" s="31" t="str">
        <f>IF(LEN(_DB_Exercises!BJ105)&gt;0,_DB_Exercises!BJ105,"")</f>
        <v/>
      </c>
      <c r="AP102" s="31" t="str">
        <f>IF(LEN(_DB_Exercises!BK105)&gt;0,_DB_Exercises!BK105,"")</f>
        <v/>
      </c>
      <c r="AQ102" s="31" t="str">
        <f>IF(LEN(_DB_Exercises!BL105)&gt;0,_DB_Exercises!BL105,"")</f>
        <v/>
      </c>
      <c r="AR102" s="31" t="str">
        <f>IF(LEN(_DB_Exercises!BM105)&gt;0,_DB_Exercises!BM105,"")</f>
        <v/>
      </c>
    </row>
    <row r="103" spans="1:44" ht="30" x14ac:dyDescent="0.25">
      <c r="A103" s="11">
        <f>IF(LEN(_DB_Exercises!A106)&gt;0,_DB_Exercises!A106,"")</f>
        <v>2094</v>
      </c>
      <c r="B103" s="14" t="str">
        <f>IF(LEN(_DB_Exercises!K106)&gt;0,_DB_Exercises!K106,"")</f>
        <v>Freedom Exploration   
5    Exposing Interferce</v>
      </c>
      <c r="C103" s="31" t="str">
        <f>IF(LEN(_DB_Exercises!X106)&gt;0,_DB_Exercises!X106,"")</f>
        <v/>
      </c>
      <c r="D103" s="31" t="str">
        <f>IF(LEN(_DB_Exercises!Y106)&gt;0,_DB_Exercises!Y106,"")</f>
        <v/>
      </c>
      <c r="E103" s="31" t="str">
        <f>IF(LEN(_DB_Exercises!Z106)&gt;0,_DB_Exercises!Z106,"")</f>
        <v/>
      </c>
      <c r="F103" s="31" t="str">
        <f>IF(LEN(_DB_Exercises!AA106)&gt;0,_DB_Exercises!AA106,"")</f>
        <v/>
      </c>
      <c r="G103" s="31" t="str">
        <f>IF(LEN(_DB_Exercises!AB106)&gt;0,_DB_Exercises!AB106,"")</f>
        <v/>
      </c>
      <c r="H103" s="31" t="str">
        <f>IF(LEN(_DB_Exercises!AC106)&gt;0,_DB_Exercises!AC106,"")</f>
        <v/>
      </c>
      <c r="I103" s="31" t="str">
        <f>IF(LEN(_DB_Exercises!AD106)&gt;0,_DB_Exercises!AD106,"")</f>
        <v/>
      </c>
      <c r="J103" s="31" t="str">
        <f>IF(LEN(_DB_Exercises!AE106)&gt;0,_DB_Exercises!AE106,"")</f>
        <v/>
      </c>
      <c r="K103" s="31" t="str">
        <f>IF(LEN(_DB_Exercises!AF106)&gt;0,_DB_Exercises!AF106,"")</f>
        <v/>
      </c>
      <c r="L103" s="31" t="str">
        <f>IF(LEN(_DB_Exercises!AG106)&gt;0,_DB_Exercises!AG106,"")</f>
        <v/>
      </c>
      <c r="M103" s="31" t="str">
        <f>IF(LEN(_DB_Exercises!AH106)&gt;0,_DB_Exercises!AH106,"")</f>
        <v/>
      </c>
      <c r="N103" s="31" t="str">
        <f>IF(LEN(_DB_Exercises!AI106)&gt;0,_DB_Exercises!AI106,"")</f>
        <v/>
      </c>
      <c r="O103" s="31" t="str">
        <f>IF(LEN(_DB_Exercises!AJ106)&gt;0,_DB_Exercises!AJ106,"")</f>
        <v/>
      </c>
      <c r="P103" s="31" t="str">
        <f>IF(LEN(_DB_Exercises!AK106)&gt;0,_DB_Exercises!AK106,"")</f>
        <v/>
      </c>
      <c r="Q103" s="31" t="str">
        <f>IF(LEN(_DB_Exercises!AL106)&gt;0,_DB_Exercises!AL106,"")</f>
        <v/>
      </c>
      <c r="R103" s="31" t="str">
        <f>IF(LEN(_DB_Exercises!AM106)&gt;0,_DB_Exercises!AM106,"")</f>
        <v/>
      </c>
      <c r="S103" s="31" t="str">
        <f>IF(LEN(_DB_Exercises!AN106)&gt;0,_DB_Exercises!AN106,"")</f>
        <v/>
      </c>
      <c r="T103" s="31" t="str">
        <f>IF(LEN(_DB_Exercises!AO106)&gt;0,_DB_Exercises!AO106,"")</f>
        <v/>
      </c>
      <c r="U103" s="31" t="str">
        <f>IF(LEN(_DB_Exercises!AP106)&gt;0,_DB_Exercises!AP106,"")</f>
        <v/>
      </c>
      <c r="V103" s="31" t="str">
        <f>IF(LEN(_DB_Exercises!AQ106)&gt;0,_DB_Exercises!AQ106,"")</f>
        <v/>
      </c>
      <c r="W103" s="31" t="str">
        <f>IF(LEN(_DB_Exercises!AR106)&gt;0,_DB_Exercises!AR106,"")</f>
        <v/>
      </c>
      <c r="X103" s="31" t="str">
        <f>IF(LEN(_DB_Exercises!AS106)&gt;0,_DB_Exercises!AS106,"")</f>
        <v/>
      </c>
      <c r="Y103" s="31" t="str">
        <f>IF(LEN(_DB_Exercises!AT106)&gt;0,_DB_Exercises!AT106,"")</f>
        <v/>
      </c>
      <c r="Z103" s="31" t="str">
        <f>IF(LEN(_DB_Exercises!AU106)&gt;0,_DB_Exercises!AU106,"")</f>
        <v/>
      </c>
      <c r="AA103" s="31" t="str">
        <f>IF(LEN(_DB_Exercises!AV106)&gt;0,_DB_Exercises!AV106,"")</f>
        <v/>
      </c>
      <c r="AB103" s="31" t="str">
        <f>IF(LEN(_DB_Exercises!AW106)&gt;0,_DB_Exercises!AW106,"")</f>
        <v/>
      </c>
      <c r="AC103" s="31" t="str">
        <f>IF(LEN(_DB_Exercises!AX106)&gt;0,_DB_Exercises!AX106,"")</f>
        <v/>
      </c>
      <c r="AD103" s="31" t="str">
        <f>IF(LEN(_DB_Exercises!AY106)&gt;0,_DB_Exercises!AY106,"")</f>
        <v/>
      </c>
      <c r="AE103" s="31" t="str">
        <f>IF(LEN(_DB_Exercises!AZ106)&gt;0,_DB_Exercises!AZ106,"")</f>
        <v/>
      </c>
      <c r="AF103" s="31" t="str">
        <f>IF(LEN(_DB_Exercises!BA106)&gt;0,_DB_Exercises!BA106,"")</f>
        <v/>
      </c>
      <c r="AG103" s="31" t="str">
        <f>IF(LEN(_DB_Exercises!BB106)&gt;0,_DB_Exercises!BB106,"")</f>
        <v/>
      </c>
      <c r="AH103" s="31" t="str">
        <f>IF(LEN(_DB_Exercises!BC106)&gt;0,_DB_Exercises!BC106,"")</f>
        <v/>
      </c>
      <c r="AI103" s="31" t="str">
        <f>IF(LEN(_DB_Exercises!BD106)&gt;0,_DB_Exercises!BD106,"")</f>
        <v/>
      </c>
      <c r="AJ103" s="31" t="str">
        <f>IF(LEN(_DB_Exercises!BE106)&gt;0,_DB_Exercises!BE106,"")</f>
        <v/>
      </c>
      <c r="AK103" s="31" t="str">
        <f>IF(LEN(_DB_Exercises!BF106)&gt;0,_DB_Exercises!BF106,"")</f>
        <v/>
      </c>
      <c r="AL103" s="31" t="str">
        <f>IF(LEN(_DB_Exercises!BG106)&gt;0,_DB_Exercises!BG106,"")</f>
        <v/>
      </c>
      <c r="AM103" s="31" t="str">
        <f>IF(LEN(_DB_Exercises!BH106)&gt;0,_DB_Exercises!BH106,"")</f>
        <v/>
      </c>
      <c r="AN103" s="31" t="str">
        <f>IF(LEN(_DB_Exercises!BI106)&gt;0,_DB_Exercises!BI106,"")</f>
        <v/>
      </c>
      <c r="AO103" s="31" t="str">
        <f>IF(LEN(_DB_Exercises!BJ106)&gt;0,_DB_Exercises!BJ106,"")</f>
        <v/>
      </c>
      <c r="AP103" s="31" t="str">
        <f>IF(LEN(_DB_Exercises!BK106)&gt;0,_DB_Exercises!BK106,"")</f>
        <v/>
      </c>
      <c r="AQ103" s="31" t="str">
        <f>IF(LEN(_DB_Exercises!BL106)&gt;0,_DB_Exercises!BL106,"")</f>
        <v/>
      </c>
      <c r="AR103" s="31" t="str">
        <f>IF(LEN(_DB_Exercises!BM106)&gt;0,_DB_Exercises!BM106,"")</f>
        <v/>
      </c>
    </row>
    <row r="104" spans="1:44" ht="30" x14ac:dyDescent="0.25">
      <c r="A104" s="11">
        <f>IF(LEN(_DB_Exercises!A107)&gt;0,_DB_Exercises!A107,"")</f>
        <v>2095</v>
      </c>
      <c r="B104" s="14" t="str">
        <f>IF(LEN(_DB_Exercises!K107)&gt;0,_DB_Exercises!K107,"")</f>
        <v>Freedom Exploration   
6a    Reaction Putting</v>
      </c>
      <c r="C104" s="31" t="str">
        <f>IF(LEN(_DB_Exercises!X107)&gt;0,_DB_Exercises!X107,"")</f>
        <v/>
      </c>
      <c r="D104" s="31" t="str">
        <f>IF(LEN(_DB_Exercises!Y107)&gt;0,_DB_Exercises!Y107,"")</f>
        <v/>
      </c>
      <c r="E104" s="31" t="str">
        <f>IF(LEN(_DB_Exercises!Z107)&gt;0,_DB_Exercises!Z107,"")</f>
        <v/>
      </c>
      <c r="F104" s="31" t="str">
        <f>IF(LEN(_DB_Exercises!AA107)&gt;0,_DB_Exercises!AA107,"")</f>
        <v/>
      </c>
      <c r="G104" s="31" t="str">
        <f>IF(LEN(_DB_Exercises!AB107)&gt;0,_DB_Exercises!AB107,"")</f>
        <v/>
      </c>
      <c r="H104" s="31" t="str">
        <f>IF(LEN(_DB_Exercises!AC107)&gt;0,_DB_Exercises!AC107,"")</f>
        <v/>
      </c>
      <c r="I104" s="31" t="str">
        <f>IF(LEN(_DB_Exercises!AD107)&gt;0,_DB_Exercises!AD107,"")</f>
        <v/>
      </c>
      <c r="J104" s="31" t="str">
        <f>IF(LEN(_DB_Exercises!AE107)&gt;0,_DB_Exercises!AE107,"")</f>
        <v/>
      </c>
      <c r="K104" s="31" t="str">
        <f>IF(LEN(_DB_Exercises!AF107)&gt;0,_DB_Exercises!AF107,"")</f>
        <v/>
      </c>
      <c r="L104" s="31" t="str">
        <f>IF(LEN(_DB_Exercises!AG107)&gt;0,_DB_Exercises!AG107,"")</f>
        <v/>
      </c>
      <c r="M104" s="31" t="str">
        <f>IF(LEN(_DB_Exercises!AH107)&gt;0,_DB_Exercises!AH107,"")</f>
        <v/>
      </c>
      <c r="N104" s="31" t="str">
        <f>IF(LEN(_DB_Exercises!AI107)&gt;0,_DB_Exercises!AI107,"")</f>
        <v/>
      </c>
      <c r="O104" s="31" t="str">
        <f>IF(LEN(_DB_Exercises!AJ107)&gt;0,_DB_Exercises!AJ107,"")</f>
        <v/>
      </c>
      <c r="P104" s="31" t="str">
        <f>IF(LEN(_DB_Exercises!AK107)&gt;0,_DB_Exercises!AK107,"")</f>
        <v/>
      </c>
      <c r="Q104" s="31" t="str">
        <f>IF(LEN(_DB_Exercises!AL107)&gt;0,_DB_Exercises!AL107,"")</f>
        <v/>
      </c>
      <c r="R104" s="31" t="str">
        <f>IF(LEN(_DB_Exercises!AM107)&gt;0,_DB_Exercises!AM107,"")</f>
        <v/>
      </c>
      <c r="S104" s="31" t="str">
        <f>IF(LEN(_DB_Exercises!AN107)&gt;0,_DB_Exercises!AN107,"")</f>
        <v/>
      </c>
      <c r="T104" s="31" t="str">
        <f>IF(LEN(_DB_Exercises!AO107)&gt;0,_DB_Exercises!AO107,"")</f>
        <v/>
      </c>
      <c r="U104" s="31" t="str">
        <f>IF(LEN(_DB_Exercises!AP107)&gt;0,_DB_Exercises!AP107,"")</f>
        <v/>
      </c>
      <c r="V104" s="31" t="str">
        <f>IF(LEN(_DB_Exercises!AQ107)&gt;0,_DB_Exercises!AQ107,"")</f>
        <v/>
      </c>
      <c r="W104" s="31" t="str">
        <f>IF(LEN(_DB_Exercises!AR107)&gt;0,_DB_Exercises!AR107,"")</f>
        <v/>
      </c>
      <c r="X104" s="31" t="str">
        <f>IF(LEN(_DB_Exercises!AS107)&gt;0,_DB_Exercises!AS107,"")</f>
        <v/>
      </c>
      <c r="Y104" s="31" t="str">
        <f>IF(LEN(_DB_Exercises!AT107)&gt;0,_DB_Exercises!AT107,"")</f>
        <v/>
      </c>
      <c r="Z104" s="31" t="str">
        <f>IF(LEN(_DB_Exercises!AU107)&gt;0,_DB_Exercises!AU107,"")</f>
        <v/>
      </c>
      <c r="AA104" s="31" t="str">
        <f>IF(LEN(_DB_Exercises!AV107)&gt;0,_DB_Exercises!AV107,"")</f>
        <v/>
      </c>
      <c r="AB104" s="31" t="str">
        <f>IF(LEN(_DB_Exercises!AW107)&gt;0,_DB_Exercises!AW107,"")</f>
        <v/>
      </c>
      <c r="AC104" s="31" t="str">
        <f>IF(LEN(_DB_Exercises!AX107)&gt;0,_DB_Exercises!AX107,"")</f>
        <v/>
      </c>
      <c r="AD104" s="31" t="str">
        <f>IF(LEN(_DB_Exercises!AY107)&gt;0,_DB_Exercises!AY107,"")</f>
        <v/>
      </c>
      <c r="AE104" s="31" t="str">
        <f>IF(LEN(_DB_Exercises!AZ107)&gt;0,_DB_Exercises!AZ107,"")</f>
        <v/>
      </c>
      <c r="AF104" s="31" t="str">
        <f>IF(LEN(_DB_Exercises!BA107)&gt;0,_DB_Exercises!BA107,"")</f>
        <v/>
      </c>
      <c r="AG104" s="31" t="str">
        <f>IF(LEN(_DB_Exercises!BB107)&gt;0,_DB_Exercises!BB107,"")</f>
        <v/>
      </c>
      <c r="AH104" s="31" t="str">
        <f>IF(LEN(_DB_Exercises!BC107)&gt;0,_DB_Exercises!BC107,"")</f>
        <v/>
      </c>
      <c r="AI104" s="31" t="str">
        <f>IF(LEN(_DB_Exercises!BD107)&gt;0,_DB_Exercises!BD107,"")</f>
        <v/>
      </c>
      <c r="AJ104" s="31" t="str">
        <f>IF(LEN(_DB_Exercises!BE107)&gt;0,_DB_Exercises!BE107,"")</f>
        <v/>
      </c>
      <c r="AK104" s="31" t="str">
        <f>IF(LEN(_DB_Exercises!BF107)&gt;0,_DB_Exercises!BF107,"")</f>
        <v/>
      </c>
      <c r="AL104" s="31" t="str">
        <f>IF(LEN(_DB_Exercises!BG107)&gt;0,_DB_Exercises!BG107,"")</f>
        <v/>
      </c>
      <c r="AM104" s="31" t="str">
        <f>IF(LEN(_DB_Exercises!BH107)&gt;0,_DB_Exercises!BH107,"")</f>
        <v/>
      </c>
      <c r="AN104" s="31" t="str">
        <f>IF(LEN(_DB_Exercises!BI107)&gt;0,_DB_Exercises!BI107,"")</f>
        <v/>
      </c>
      <c r="AO104" s="31" t="str">
        <f>IF(LEN(_DB_Exercises!BJ107)&gt;0,_DB_Exercises!BJ107,"")</f>
        <v/>
      </c>
      <c r="AP104" s="31" t="str">
        <f>IF(LEN(_DB_Exercises!BK107)&gt;0,_DB_Exercises!BK107,"")</f>
        <v/>
      </c>
      <c r="AQ104" s="31" t="str">
        <f>IF(LEN(_DB_Exercises!BL107)&gt;0,_DB_Exercises!BL107,"")</f>
        <v/>
      </c>
      <c r="AR104" s="31" t="str">
        <f>IF(LEN(_DB_Exercises!BM107)&gt;0,_DB_Exercises!BM107,"")</f>
        <v/>
      </c>
    </row>
    <row r="105" spans="1:44" ht="30" x14ac:dyDescent="0.25">
      <c r="A105" s="11">
        <f>IF(LEN(_DB_Exercises!A108)&gt;0,_DB_Exercises!A108,"")</f>
        <v>2096</v>
      </c>
      <c r="B105" s="14" t="str">
        <f>IF(LEN(_DB_Exercises!K108)&gt;0,_DB_Exercises!K108,"")</f>
        <v>Freedom Exploration 
6b    Reaction Putting to a hole</v>
      </c>
      <c r="C105" s="31" t="str">
        <f>IF(LEN(_DB_Exercises!X108)&gt;0,_DB_Exercises!X108,"")</f>
        <v/>
      </c>
      <c r="D105" s="31" t="str">
        <f>IF(LEN(_DB_Exercises!Y108)&gt;0,_DB_Exercises!Y108,"")</f>
        <v/>
      </c>
      <c r="E105" s="31" t="str">
        <f>IF(LEN(_DB_Exercises!Z108)&gt;0,_DB_Exercises!Z108,"")</f>
        <v/>
      </c>
      <c r="F105" s="31" t="str">
        <f>IF(LEN(_DB_Exercises!AA108)&gt;0,_DB_Exercises!AA108,"")</f>
        <v/>
      </c>
      <c r="G105" s="31" t="str">
        <f>IF(LEN(_DB_Exercises!AB108)&gt;0,_DB_Exercises!AB108,"")</f>
        <v/>
      </c>
      <c r="H105" s="31" t="str">
        <f>IF(LEN(_DB_Exercises!AC108)&gt;0,_DB_Exercises!AC108,"")</f>
        <v/>
      </c>
      <c r="I105" s="31" t="str">
        <f>IF(LEN(_DB_Exercises!AD108)&gt;0,_DB_Exercises!AD108,"")</f>
        <v/>
      </c>
      <c r="J105" s="31" t="str">
        <f>IF(LEN(_DB_Exercises!AE108)&gt;0,_DB_Exercises!AE108,"")</f>
        <v/>
      </c>
      <c r="K105" s="31" t="str">
        <f>IF(LEN(_DB_Exercises!AF108)&gt;0,_DB_Exercises!AF108,"")</f>
        <v/>
      </c>
      <c r="L105" s="31" t="str">
        <f>IF(LEN(_DB_Exercises!AG108)&gt;0,_DB_Exercises!AG108,"")</f>
        <v/>
      </c>
      <c r="M105" s="31" t="str">
        <f>IF(LEN(_DB_Exercises!AH108)&gt;0,_DB_Exercises!AH108,"")</f>
        <v/>
      </c>
      <c r="N105" s="31" t="str">
        <f>IF(LEN(_DB_Exercises!AI108)&gt;0,_DB_Exercises!AI108,"")</f>
        <v/>
      </c>
      <c r="O105" s="31" t="str">
        <f>IF(LEN(_DB_Exercises!AJ108)&gt;0,_DB_Exercises!AJ108,"")</f>
        <v/>
      </c>
      <c r="P105" s="31" t="str">
        <f>IF(LEN(_DB_Exercises!AK108)&gt;0,_DB_Exercises!AK108,"")</f>
        <v/>
      </c>
      <c r="Q105" s="31" t="str">
        <f>IF(LEN(_DB_Exercises!AL108)&gt;0,_DB_Exercises!AL108,"")</f>
        <v/>
      </c>
      <c r="R105" s="31" t="str">
        <f>IF(LEN(_DB_Exercises!AM108)&gt;0,_DB_Exercises!AM108,"")</f>
        <v/>
      </c>
      <c r="S105" s="31" t="str">
        <f>IF(LEN(_DB_Exercises!AN108)&gt;0,_DB_Exercises!AN108,"")</f>
        <v/>
      </c>
      <c r="T105" s="31" t="str">
        <f>IF(LEN(_DB_Exercises!AO108)&gt;0,_DB_Exercises!AO108,"")</f>
        <v/>
      </c>
      <c r="U105" s="31" t="str">
        <f>IF(LEN(_DB_Exercises!AP108)&gt;0,_DB_Exercises!AP108,"")</f>
        <v/>
      </c>
      <c r="V105" s="31" t="str">
        <f>IF(LEN(_DB_Exercises!AQ108)&gt;0,_DB_Exercises!AQ108,"")</f>
        <v/>
      </c>
      <c r="W105" s="31" t="str">
        <f>IF(LEN(_DB_Exercises!AR108)&gt;0,_DB_Exercises!AR108,"")</f>
        <v/>
      </c>
      <c r="X105" s="31" t="str">
        <f>IF(LEN(_DB_Exercises!AS108)&gt;0,_DB_Exercises!AS108,"")</f>
        <v/>
      </c>
      <c r="Y105" s="31" t="str">
        <f>IF(LEN(_DB_Exercises!AT108)&gt;0,_DB_Exercises!AT108,"")</f>
        <v/>
      </c>
      <c r="Z105" s="31" t="str">
        <f>IF(LEN(_DB_Exercises!AU108)&gt;0,_DB_Exercises!AU108,"")</f>
        <v/>
      </c>
      <c r="AA105" s="31" t="str">
        <f>IF(LEN(_DB_Exercises!AV108)&gt;0,_DB_Exercises!AV108,"")</f>
        <v/>
      </c>
      <c r="AB105" s="31" t="str">
        <f>IF(LEN(_DB_Exercises!AW108)&gt;0,_DB_Exercises!AW108,"")</f>
        <v/>
      </c>
      <c r="AC105" s="31" t="str">
        <f>IF(LEN(_DB_Exercises!AX108)&gt;0,_DB_Exercises!AX108,"")</f>
        <v/>
      </c>
      <c r="AD105" s="31" t="str">
        <f>IF(LEN(_DB_Exercises!AY108)&gt;0,_DB_Exercises!AY108,"")</f>
        <v/>
      </c>
      <c r="AE105" s="31" t="str">
        <f>IF(LEN(_DB_Exercises!AZ108)&gt;0,_DB_Exercises!AZ108,"")</f>
        <v/>
      </c>
      <c r="AF105" s="31" t="str">
        <f>IF(LEN(_DB_Exercises!BA108)&gt;0,_DB_Exercises!BA108,"")</f>
        <v/>
      </c>
      <c r="AG105" s="31" t="str">
        <f>IF(LEN(_DB_Exercises!BB108)&gt;0,_DB_Exercises!BB108,"")</f>
        <v/>
      </c>
      <c r="AH105" s="31" t="str">
        <f>IF(LEN(_DB_Exercises!BC108)&gt;0,_DB_Exercises!BC108,"")</f>
        <v/>
      </c>
      <c r="AI105" s="31" t="str">
        <f>IF(LEN(_DB_Exercises!BD108)&gt;0,_DB_Exercises!BD108,"")</f>
        <v/>
      </c>
      <c r="AJ105" s="31" t="str">
        <f>IF(LEN(_DB_Exercises!BE108)&gt;0,_DB_Exercises!BE108,"")</f>
        <v/>
      </c>
      <c r="AK105" s="31" t="str">
        <f>IF(LEN(_DB_Exercises!BF108)&gt;0,_DB_Exercises!BF108,"")</f>
        <v/>
      </c>
      <c r="AL105" s="31" t="str">
        <f>IF(LEN(_DB_Exercises!BG108)&gt;0,_DB_Exercises!BG108,"")</f>
        <v/>
      </c>
      <c r="AM105" s="31" t="str">
        <f>IF(LEN(_DB_Exercises!BH108)&gt;0,_DB_Exercises!BH108,"")</f>
        <v/>
      </c>
      <c r="AN105" s="31" t="str">
        <f>IF(LEN(_DB_Exercises!BI108)&gt;0,_DB_Exercises!BI108,"")</f>
        <v/>
      </c>
      <c r="AO105" s="31" t="str">
        <f>IF(LEN(_DB_Exercises!BJ108)&gt;0,_DB_Exercises!BJ108,"")</f>
        <v/>
      </c>
      <c r="AP105" s="31" t="str">
        <f>IF(LEN(_DB_Exercises!BK108)&gt;0,_DB_Exercises!BK108,"")</f>
        <v/>
      </c>
      <c r="AQ105" s="31" t="str">
        <f>IF(LEN(_DB_Exercises!BL108)&gt;0,_DB_Exercises!BL108,"")</f>
        <v/>
      </c>
      <c r="AR105" s="31" t="str">
        <f>IF(LEN(_DB_Exercises!BM108)&gt;0,_DB_Exercises!BM108,"")</f>
        <v/>
      </c>
    </row>
    <row r="106" spans="1:44" ht="30" x14ac:dyDescent="0.25">
      <c r="A106" s="11">
        <f>IF(LEN(_DB_Exercises!A109)&gt;0,_DB_Exercises!A109,"")</f>
        <v>2097</v>
      </c>
      <c r="B106" s="14" t="str">
        <f>IF(LEN(_DB_Exercises!K109)&gt;0,_DB_Exercises!K109,"")</f>
        <v>Peace of Mind Exploratin 
1    The Voice</v>
      </c>
      <c r="C106" s="31" t="str">
        <f>IF(LEN(_DB_Exercises!X109)&gt;0,_DB_Exercises!X109,"")</f>
        <v/>
      </c>
      <c r="D106" s="31" t="str">
        <f>IF(LEN(_DB_Exercises!Y109)&gt;0,_DB_Exercises!Y109,"")</f>
        <v/>
      </c>
      <c r="E106" s="31" t="str">
        <f>IF(LEN(_DB_Exercises!Z109)&gt;0,_DB_Exercises!Z109,"")</f>
        <v/>
      </c>
      <c r="F106" s="31" t="str">
        <f>IF(LEN(_DB_Exercises!AA109)&gt;0,_DB_Exercises!AA109,"")</f>
        <v/>
      </c>
      <c r="G106" s="31" t="str">
        <f>IF(LEN(_DB_Exercises!AB109)&gt;0,_DB_Exercises!AB109,"")</f>
        <v/>
      </c>
      <c r="H106" s="31" t="str">
        <f>IF(LEN(_DB_Exercises!AC109)&gt;0,_DB_Exercises!AC109,"")</f>
        <v/>
      </c>
      <c r="I106" s="31" t="str">
        <f>IF(LEN(_DB_Exercises!AD109)&gt;0,_DB_Exercises!AD109,"")</f>
        <v/>
      </c>
      <c r="J106" s="31" t="str">
        <f>IF(LEN(_DB_Exercises!AE109)&gt;0,_DB_Exercises!AE109,"")</f>
        <v/>
      </c>
      <c r="K106" s="31" t="str">
        <f>IF(LEN(_DB_Exercises!AF109)&gt;0,_DB_Exercises!AF109,"")</f>
        <v/>
      </c>
      <c r="L106" s="31" t="str">
        <f>IF(LEN(_DB_Exercises!AG109)&gt;0,_DB_Exercises!AG109,"")</f>
        <v/>
      </c>
      <c r="M106" s="31" t="str">
        <f>IF(LEN(_DB_Exercises!AH109)&gt;0,_DB_Exercises!AH109,"")</f>
        <v/>
      </c>
      <c r="N106" s="31" t="str">
        <f>IF(LEN(_DB_Exercises!AI109)&gt;0,_DB_Exercises!AI109,"")</f>
        <v/>
      </c>
      <c r="O106" s="31" t="str">
        <f>IF(LEN(_DB_Exercises!AJ109)&gt;0,_DB_Exercises!AJ109,"")</f>
        <v/>
      </c>
      <c r="P106" s="31" t="str">
        <f>IF(LEN(_DB_Exercises!AK109)&gt;0,_DB_Exercises!AK109,"")</f>
        <v/>
      </c>
      <c r="Q106" s="31" t="str">
        <f>IF(LEN(_DB_Exercises!AL109)&gt;0,_DB_Exercises!AL109,"")</f>
        <v/>
      </c>
      <c r="R106" s="31" t="str">
        <f>IF(LEN(_DB_Exercises!AM109)&gt;0,_DB_Exercises!AM109,"")</f>
        <v/>
      </c>
      <c r="S106" s="31" t="str">
        <f>IF(LEN(_DB_Exercises!AN109)&gt;0,_DB_Exercises!AN109,"")</f>
        <v/>
      </c>
      <c r="T106" s="31" t="str">
        <f>IF(LEN(_DB_Exercises!AO109)&gt;0,_DB_Exercises!AO109,"")</f>
        <v/>
      </c>
      <c r="U106" s="31" t="str">
        <f>IF(LEN(_DB_Exercises!AP109)&gt;0,_DB_Exercises!AP109,"")</f>
        <v/>
      </c>
      <c r="V106" s="31" t="str">
        <f>IF(LEN(_DB_Exercises!AQ109)&gt;0,_DB_Exercises!AQ109,"")</f>
        <v/>
      </c>
      <c r="W106" s="31" t="str">
        <f>IF(LEN(_DB_Exercises!AR109)&gt;0,_DB_Exercises!AR109,"")</f>
        <v/>
      </c>
      <c r="X106" s="31" t="str">
        <f>IF(LEN(_DB_Exercises!AS109)&gt;0,_DB_Exercises!AS109,"")</f>
        <v/>
      </c>
      <c r="Y106" s="31" t="str">
        <f>IF(LEN(_DB_Exercises!AT109)&gt;0,_DB_Exercises!AT109,"")</f>
        <v/>
      </c>
      <c r="Z106" s="31" t="str">
        <f>IF(LEN(_DB_Exercises!AU109)&gt;0,_DB_Exercises!AU109,"")</f>
        <v/>
      </c>
      <c r="AA106" s="31" t="str">
        <f>IF(LEN(_DB_Exercises!AV109)&gt;0,_DB_Exercises!AV109,"")</f>
        <v/>
      </c>
      <c r="AB106" s="31" t="str">
        <f>IF(LEN(_DB_Exercises!AW109)&gt;0,_DB_Exercises!AW109,"")</f>
        <v/>
      </c>
      <c r="AC106" s="31" t="str">
        <f>IF(LEN(_DB_Exercises!AX109)&gt;0,_DB_Exercises!AX109,"")</f>
        <v/>
      </c>
      <c r="AD106" s="31" t="str">
        <f>IF(LEN(_DB_Exercises!AY109)&gt;0,_DB_Exercises!AY109,"")</f>
        <v/>
      </c>
      <c r="AE106" s="31" t="str">
        <f>IF(LEN(_DB_Exercises!AZ109)&gt;0,_DB_Exercises!AZ109,"")</f>
        <v/>
      </c>
      <c r="AF106" s="31" t="str">
        <f>IF(LEN(_DB_Exercises!BA109)&gt;0,_DB_Exercises!BA109,"")</f>
        <v/>
      </c>
      <c r="AG106" s="31" t="str">
        <f>IF(LEN(_DB_Exercises!BB109)&gt;0,_DB_Exercises!BB109,"")</f>
        <v/>
      </c>
      <c r="AH106" s="31" t="str">
        <f>IF(LEN(_DB_Exercises!BC109)&gt;0,_DB_Exercises!BC109,"")</f>
        <v/>
      </c>
      <c r="AI106" s="31" t="str">
        <f>IF(LEN(_DB_Exercises!BD109)&gt;0,_DB_Exercises!BD109,"")</f>
        <v/>
      </c>
      <c r="AJ106" s="31" t="str">
        <f>IF(LEN(_DB_Exercises!BE109)&gt;0,_DB_Exercises!BE109,"")</f>
        <v/>
      </c>
      <c r="AK106" s="31" t="str">
        <f>IF(LEN(_DB_Exercises!BF109)&gt;0,_DB_Exercises!BF109,"")</f>
        <v/>
      </c>
      <c r="AL106" s="31" t="str">
        <f>IF(LEN(_DB_Exercises!BG109)&gt;0,_DB_Exercises!BG109,"")</f>
        <v/>
      </c>
      <c r="AM106" s="31" t="str">
        <f>IF(LEN(_DB_Exercises!BH109)&gt;0,_DB_Exercises!BH109,"")</f>
        <v/>
      </c>
      <c r="AN106" s="31" t="str">
        <f>IF(LEN(_DB_Exercises!BI109)&gt;0,_DB_Exercises!BI109,"")</f>
        <v/>
      </c>
      <c r="AO106" s="31" t="str">
        <f>IF(LEN(_DB_Exercises!BJ109)&gt;0,_DB_Exercises!BJ109,"")</f>
        <v/>
      </c>
      <c r="AP106" s="31" t="str">
        <f>IF(LEN(_DB_Exercises!BK109)&gt;0,_DB_Exercises!BK109,"")</f>
        <v/>
      </c>
      <c r="AQ106" s="31" t="str">
        <f>IF(LEN(_DB_Exercises!BL109)&gt;0,_DB_Exercises!BL109,"")</f>
        <v/>
      </c>
      <c r="AR106" s="31" t="str">
        <f>IF(LEN(_DB_Exercises!BM109)&gt;0,_DB_Exercises!BM109,"")</f>
        <v/>
      </c>
    </row>
    <row r="107" spans="1:44" ht="30" x14ac:dyDescent="0.25">
      <c r="A107" s="11">
        <f>IF(LEN(_DB_Exercises!A110)&gt;0,_DB_Exercises!A110,"")</f>
        <v>2098</v>
      </c>
      <c r="B107" s="14" t="str">
        <f>IF(LEN(_DB_Exercises!K110)&gt;0,_DB_Exercises!K110,"")</f>
        <v>Peace of Mind Exploratin 
2a    Concentration on the Clubhead</v>
      </c>
      <c r="C107" s="31" t="str">
        <f>IF(LEN(_DB_Exercises!X110)&gt;0,_DB_Exercises!X110,"")</f>
        <v/>
      </c>
      <c r="D107" s="31" t="str">
        <f>IF(LEN(_DB_Exercises!Y110)&gt;0,_DB_Exercises!Y110,"")</f>
        <v/>
      </c>
      <c r="E107" s="31" t="str">
        <f>IF(LEN(_DB_Exercises!Z110)&gt;0,_DB_Exercises!Z110,"")</f>
        <v/>
      </c>
      <c r="F107" s="31" t="str">
        <f>IF(LEN(_DB_Exercises!AA110)&gt;0,_DB_Exercises!AA110,"")</f>
        <v/>
      </c>
      <c r="G107" s="31" t="str">
        <f>IF(LEN(_DB_Exercises!AB110)&gt;0,_DB_Exercises!AB110,"")</f>
        <v/>
      </c>
      <c r="H107" s="31" t="str">
        <f>IF(LEN(_DB_Exercises!AC110)&gt;0,_DB_Exercises!AC110,"")</f>
        <v/>
      </c>
      <c r="I107" s="31" t="str">
        <f>IF(LEN(_DB_Exercises!AD110)&gt;0,_DB_Exercises!AD110,"")</f>
        <v/>
      </c>
      <c r="J107" s="31" t="str">
        <f>IF(LEN(_DB_Exercises!AE110)&gt;0,_DB_Exercises!AE110,"")</f>
        <v/>
      </c>
      <c r="K107" s="31" t="str">
        <f>IF(LEN(_DB_Exercises!AF110)&gt;0,_DB_Exercises!AF110,"")</f>
        <v/>
      </c>
      <c r="L107" s="31" t="str">
        <f>IF(LEN(_DB_Exercises!AG110)&gt;0,_DB_Exercises!AG110,"")</f>
        <v/>
      </c>
      <c r="M107" s="31" t="str">
        <f>IF(LEN(_DB_Exercises!AH110)&gt;0,_DB_Exercises!AH110,"")</f>
        <v/>
      </c>
      <c r="N107" s="31" t="str">
        <f>IF(LEN(_DB_Exercises!AI110)&gt;0,_DB_Exercises!AI110,"")</f>
        <v/>
      </c>
      <c r="O107" s="31" t="str">
        <f>IF(LEN(_DB_Exercises!AJ110)&gt;0,_DB_Exercises!AJ110,"")</f>
        <v/>
      </c>
      <c r="P107" s="31" t="str">
        <f>IF(LEN(_DB_Exercises!AK110)&gt;0,_DB_Exercises!AK110,"")</f>
        <v/>
      </c>
      <c r="Q107" s="31" t="str">
        <f>IF(LEN(_DB_Exercises!AL110)&gt;0,_DB_Exercises!AL110,"")</f>
        <v/>
      </c>
      <c r="R107" s="31" t="str">
        <f>IF(LEN(_DB_Exercises!AM110)&gt;0,_DB_Exercises!AM110,"")</f>
        <v/>
      </c>
      <c r="S107" s="31" t="str">
        <f>IF(LEN(_DB_Exercises!AN110)&gt;0,_DB_Exercises!AN110,"")</f>
        <v/>
      </c>
      <c r="T107" s="31" t="str">
        <f>IF(LEN(_DB_Exercises!AO110)&gt;0,_DB_Exercises!AO110,"")</f>
        <v/>
      </c>
      <c r="U107" s="31" t="str">
        <f>IF(LEN(_DB_Exercises!AP110)&gt;0,_DB_Exercises!AP110,"")</f>
        <v/>
      </c>
      <c r="V107" s="31" t="str">
        <f>IF(LEN(_DB_Exercises!AQ110)&gt;0,_DB_Exercises!AQ110,"")</f>
        <v/>
      </c>
      <c r="W107" s="31" t="str">
        <f>IF(LEN(_DB_Exercises!AR110)&gt;0,_DB_Exercises!AR110,"")</f>
        <v/>
      </c>
      <c r="X107" s="31" t="str">
        <f>IF(LEN(_DB_Exercises!AS110)&gt;0,_DB_Exercises!AS110,"")</f>
        <v/>
      </c>
      <c r="Y107" s="31" t="str">
        <f>IF(LEN(_DB_Exercises!AT110)&gt;0,_DB_Exercises!AT110,"")</f>
        <v/>
      </c>
      <c r="Z107" s="31" t="str">
        <f>IF(LEN(_DB_Exercises!AU110)&gt;0,_DB_Exercises!AU110,"")</f>
        <v/>
      </c>
      <c r="AA107" s="31" t="str">
        <f>IF(LEN(_DB_Exercises!AV110)&gt;0,_DB_Exercises!AV110,"")</f>
        <v/>
      </c>
      <c r="AB107" s="31" t="str">
        <f>IF(LEN(_DB_Exercises!AW110)&gt;0,_DB_Exercises!AW110,"")</f>
        <v/>
      </c>
      <c r="AC107" s="31" t="str">
        <f>IF(LEN(_DB_Exercises!AX110)&gt;0,_DB_Exercises!AX110,"")</f>
        <v/>
      </c>
      <c r="AD107" s="31" t="str">
        <f>IF(LEN(_DB_Exercises!AY110)&gt;0,_DB_Exercises!AY110,"")</f>
        <v/>
      </c>
      <c r="AE107" s="31" t="str">
        <f>IF(LEN(_DB_Exercises!AZ110)&gt;0,_DB_Exercises!AZ110,"")</f>
        <v/>
      </c>
      <c r="AF107" s="31" t="str">
        <f>IF(LEN(_DB_Exercises!BA110)&gt;0,_DB_Exercises!BA110,"")</f>
        <v/>
      </c>
      <c r="AG107" s="31" t="str">
        <f>IF(LEN(_DB_Exercises!BB110)&gt;0,_DB_Exercises!BB110,"")</f>
        <v/>
      </c>
      <c r="AH107" s="31" t="str">
        <f>IF(LEN(_DB_Exercises!BC110)&gt;0,_DB_Exercises!BC110,"")</f>
        <v/>
      </c>
      <c r="AI107" s="31" t="str">
        <f>IF(LEN(_DB_Exercises!BD110)&gt;0,_DB_Exercises!BD110,"")</f>
        <v/>
      </c>
      <c r="AJ107" s="31" t="str">
        <f>IF(LEN(_DB_Exercises!BE110)&gt;0,_DB_Exercises!BE110,"")</f>
        <v/>
      </c>
      <c r="AK107" s="31" t="str">
        <f>IF(LEN(_DB_Exercises!BF110)&gt;0,_DB_Exercises!BF110,"")</f>
        <v/>
      </c>
      <c r="AL107" s="31" t="str">
        <f>IF(LEN(_DB_Exercises!BG110)&gt;0,_DB_Exercises!BG110,"")</f>
        <v/>
      </c>
      <c r="AM107" s="31" t="str">
        <f>IF(LEN(_DB_Exercises!BH110)&gt;0,_DB_Exercises!BH110,"")</f>
        <v/>
      </c>
      <c r="AN107" s="31" t="str">
        <f>IF(LEN(_DB_Exercises!BI110)&gt;0,_DB_Exercises!BI110,"")</f>
        <v/>
      </c>
      <c r="AO107" s="31" t="str">
        <f>IF(LEN(_DB_Exercises!BJ110)&gt;0,_DB_Exercises!BJ110,"")</f>
        <v/>
      </c>
      <c r="AP107" s="31" t="str">
        <f>IF(LEN(_DB_Exercises!BK110)&gt;0,_DB_Exercises!BK110,"")</f>
        <v/>
      </c>
      <c r="AQ107" s="31" t="str">
        <f>IF(LEN(_DB_Exercises!BL110)&gt;0,_DB_Exercises!BL110,"")</f>
        <v/>
      </c>
      <c r="AR107" s="31" t="str">
        <f>IF(LEN(_DB_Exercises!BM110)&gt;0,_DB_Exercises!BM110,"")</f>
        <v/>
      </c>
    </row>
    <row r="108" spans="1:44" ht="30" x14ac:dyDescent="0.25">
      <c r="A108" s="11">
        <f>IF(LEN(_DB_Exercises!A111)&gt;0,_DB_Exercises!A111,"")</f>
        <v>2099</v>
      </c>
      <c r="B108" s="14" t="str">
        <f>IF(LEN(_DB_Exercises!K111)&gt;0,_DB_Exercises!K111,"")</f>
        <v>Peace of Mind Exploratin 
2b    Deepening Concentration</v>
      </c>
      <c r="C108" s="31" t="str">
        <f>IF(LEN(_DB_Exercises!X111)&gt;0,_DB_Exercises!X111,"")</f>
        <v/>
      </c>
      <c r="D108" s="31" t="str">
        <f>IF(LEN(_DB_Exercises!Y111)&gt;0,_DB_Exercises!Y111,"")</f>
        <v/>
      </c>
      <c r="E108" s="31" t="str">
        <f>IF(LEN(_DB_Exercises!Z111)&gt;0,_DB_Exercises!Z111,"")</f>
        <v/>
      </c>
      <c r="F108" s="31" t="str">
        <f>IF(LEN(_DB_Exercises!AA111)&gt;0,_DB_Exercises!AA111,"")</f>
        <v/>
      </c>
      <c r="G108" s="31" t="str">
        <f>IF(LEN(_DB_Exercises!AB111)&gt;0,_DB_Exercises!AB111,"")</f>
        <v/>
      </c>
      <c r="H108" s="31" t="str">
        <f>IF(LEN(_DB_Exercises!AC111)&gt;0,_DB_Exercises!AC111,"")</f>
        <v/>
      </c>
      <c r="I108" s="31" t="str">
        <f>IF(LEN(_DB_Exercises!AD111)&gt;0,_DB_Exercises!AD111,"")</f>
        <v/>
      </c>
      <c r="J108" s="31" t="str">
        <f>IF(LEN(_DB_Exercises!AE111)&gt;0,_DB_Exercises!AE111,"")</f>
        <v/>
      </c>
      <c r="K108" s="31" t="str">
        <f>IF(LEN(_DB_Exercises!AF111)&gt;0,_DB_Exercises!AF111,"")</f>
        <v/>
      </c>
      <c r="L108" s="31" t="str">
        <f>IF(LEN(_DB_Exercises!AG111)&gt;0,_DB_Exercises!AG111,"")</f>
        <v/>
      </c>
      <c r="M108" s="31" t="str">
        <f>IF(LEN(_DB_Exercises!AH111)&gt;0,_DB_Exercises!AH111,"")</f>
        <v/>
      </c>
      <c r="N108" s="31" t="str">
        <f>IF(LEN(_DB_Exercises!AI111)&gt;0,_DB_Exercises!AI111,"")</f>
        <v/>
      </c>
      <c r="O108" s="31" t="str">
        <f>IF(LEN(_DB_Exercises!AJ111)&gt;0,_DB_Exercises!AJ111,"")</f>
        <v/>
      </c>
      <c r="P108" s="31" t="str">
        <f>IF(LEN(_DB_Exercises!AK111)&gt;0,_DB_Exercises!AK111,"")</f>
        <v/>
      </c>
      <c r="Q108" s="31" t="str">
        <f>IF(LEN(_DB_Exercises!AL111)&gt;0,_DB_Exercises!AL111,"")</f>
        <v/>
      </c>
      <c r="R108" s="31" t="str">
        <f>IF(LEN(_DB_Exercises!AM111)&gt;0,_DB_Exercises!AM111,"")</f>
        <v/>
      </c>
      <c r="S108" s="31" t="str">
        <f>IF(LEN(_DB_Exercises!AN111)&gt;0,_DB_Exercises!AN111,"")</f>
        <v/>
      </c>
      <c r="T108" s="31" t="str">
        <f>IF(LEN(_DB_Exercises!AO111)&gt;0,_DB_Exercises!AO111,"")</f>
        <v/>
      </c>
      <c r="U108" s="31" t="str">
        <f>IF(LEN(_DB_Exercises!AP111)&gt;0,_DB_Exercises!AP111,"")</f>
        <v/>
      </c>
      <c r="V108" s="31" t="str">
        <f>IF(LEN(_DB_Exercises!AQ111)&gt;0,_DB_Exercises!AQ111,"")</f>
        <v/>
      </c>
      <c r="W108" s="31" t="str">
        <f>IF(LEN(_DB_Exercises!AR111)&gt;0,_DB_Exercises!AR111,"")</f>
        <v/>
      </c>
      <c r="X108" s="31" t="str">
        <f>IF(LEN(_DB_Exercises!AS111)&gt;0,_DB_Exercises!AS111,"")</f>
        <v/>
      </c>
      <c r="Y108" s="31" t="str">
        <f>IF(LEN(_DB_Exercises!AT111)&gt;0,_DB_Exercises!AT111,"")</f>
        <v/>
      </c>
      <c r="Z108" s="31" t="str">
        <f>IF(LEN(_DB_Exercises!AU111)&gt;0,_DB_Exercises!AU111,"")</f>
        <v/>
      </c>
      <c r="AA108" s="31" t="str">
        <f>IF(LEN(_DB_Exercises!AV111)&gt;0,_DB_Exercises!AV111,"")</f>
        <v/>
      </c>
      <c r="AB108" s="31" t="str">
        <f>IF(LEN(_DB_Exercises!AW111)&gt;0,_DB_Exercises!AW111,"")</f>
        <v/>
      </c>
      <c r="AC108" s="31" t="str">
        <f>IF(LEN(_DB_Exercises!AX111)&gt;0,_DB_Exercises!AX111,"")</f>
        <v/>
      </c>
      <c r="AD108" s="31" t="str">
        <f>IF(LEN(_DB_Exercises!AY111)&gt;0,_DB_Exercises!AY111,"")</f>
        <v/>
      </c>
      <c r="AE108" s="31" t="str">
        <f>IF(LEN(_DB_Exercises!AZ111)&gt;0,_DB_Exercises!AZ111,"")</f>
        <v/>
      </c>
      <c r="AF108" s="31" t="str">
        <f>IF(LEN(_DB_Exercises!BA111)&gt;0,_DB_Exercises!BA111,"")</f>
        <v/>
      </c>
      <c r="AG108" s="31" t="str">
        <f>IF(LEN(_DB_Exercises!BB111)&gt;0,_DB_Exercises!BB111,"")</f>
        <v/>
      </c>
      <c r="AH108" s="31" t="str">
        <f>IF(LEN(_DB_Exercises!BC111)&gt;0,_DB_Exercises!BC111,"")</f>
        <v/>
      </c>
      <c r="AI108" s="31" t="str">
        <f>IF(LEN(_DB_Exercises!BD111)&gt;0,_DB_Exercises!BD111,"")</f>
        <v/>
      </c>
      <c r="AJ108" s="31" t="str">
        <f>IF(LEN(_DB_Exercises!BE111)&gt;0,_DB_Exercises!BE111,"")</f>
        <v/>
      </c>
      <c r="AK108" s="31" t="str">
        <f>IF(LEN(_DB_Exercises!BF111)&gt;0,_DB_Exercises!BF111,"")</f>
        <v/>
      </c>
      <c r="AL108" s="31" t="str">
        <f>IF(LEN(_DB_Exercises!BG111)&gt;0,_DB_Exercises!BG111,"")</f>
        <v/>
      </c>
      <c r="AM108" s="31" t="str">
        <f>IF(LEN(_DB_Exercises!BH111)&gt;0,_DB_Exercises!BH111,"")</f>
        <v/>
      </c>
      <c r="AN108" s="31" t="str">
        <f>IF(LEN(_DB_Exercises!BI111)&gt;0,_DB_Exercises!BI111,"")</f>
        <v/>
      </c>
      <c r="AO108" s="31" t="str">
        <f>IF(LEN(_DB_Exercises!BJ111)&gt;0,_DB_Exercises!BJ111,"")</f>
        <v/>
      </c>
      <c r="AP108" s="31" t="str">
        <f>IF(LEN(_DB_Exercises!BK111)&gt;0,_DB_Exercises!BK111,"")</f>
        <v/>
      </c>
      <c r="AQ108" s="31" t="str">
        <f>IF(LEN(_DB_Exercises!BL111)&gt;0,_DB_Exercises!BL111,"")</f>
        <v/>
      </c>
      <c r="AR108" s="31" t="str">
        <f>IF(LEN(_DB_Exercises!BM111)&gt;0,_DB_Exercises!BM111,"")</f>
        <v/>
      </c>
    </row>
    <row r="109" spans="1:44" ht="30" x14ac:dyDescent="0.25">
      <c r="A109" s="11">
        <f>IF(LEN(_DB_Exercises!A112)&gt;0,_DB_Exercises!A112,"")</f>
        <v>2100</v>
      </c>
      <c r="B109" s="14" t="str">
        <f>IF(LEN(_DB_Exercises!K112)&gt;0,_DB_Exercises!K112,"")</f>
        <v>Peace of Mind Exploratin 
3    Narrow Focus</v>
      </c>
      <c r="C109" s="31" t="str">
        <f>IF(LEN(_DB_Exercises!X112)&gt;0,_DB_Exercises!X112,"")</f>
        <v/>
      </c>
      <c r="D109" s="31" t="str">
        <f>IF(LEN(_DB_Exercises!Y112)&gt;0,_DB_Exercises!Y112,"")</f>
        <v/>
      </c>
      <c r="E109" s="31" t="str">
        <f>IF(LEN(_DB_Exercises!Z112)&gt;0,_DB_Exercises!Z112,"")</f>
        <v/>
      </c>
      <c r="F109" s="31" t="str">
        <f>IF(LEN(_DB_Exercises!AA112)&gt;0,_DB_Exercises!AA112,"")</f>
        <v/>
      </c>
      <c r="G109" s="31" t="str">
        <f>IF(LEN(_DB_Exercises!AB112)&gt;0,_DB_Exercises!AB112,"")</f>
        <v/>
      </c>
      <c r="H109" s="31" t="str">
        <f>IF(LEN(_DB_Exercises!AC112)&gt;0,_DB_Exercises!AC112,"")</f>
        <v/>
      </c>
      <c r="I109" s="31" t="str">
        <f>IF(LEN(_DB_Exercises!AD112)&gt;0,_DB_Exercises!AD112,"")</f>
        <v/>
      </c>
      <c r="J109" s="31" t="str">
        <f>IF(LEN(_DB_Exercises!AE112)&gt;0,_DB_Exercises!AE112,"")</f>
        <v/>
      </c>
      <c r="K109" s="31" t="str">
        <f>IF(LEN(_DB_Exercises!AF112)&gt;0,_DB_Exercises!AF112,"")</f>
        <v/>
      </c>
      <c r="L109" s="31" t="str">
        <f>IF(LEN(_DB_Exercises!AG112)&gt;0,_DB_Exercises!AG112,"")</f>
        <v/>
      </c>
      <c r="M109" s="31" t="str">
        <f>IF(LEN(_DB_Exercises!AH112)&gt;0,_DB_Exercises!AH112,"")</f>
        <v/>
      </c>
      <c r="N109" s="31" t="str">
        <f>IF(LEN(_DB_Exercises!AI112)&gt;0,_DB_Exercises!AI112,"")</f>
        <v/>
      </c>
      <c r="O109" s="31" t="str">
        <f>IF(LEN(_DB_Exercises!AJ112)&gt;0,_DB_Exercises!AJ112,"")</f>
        <v/>
      </c>
      <c r="P109" s="31" t="str">
        <f>IF(LEN(_DB_Exercises!AK112)&gt;0,_DB_Exercises!AK112,"")</f>
        <v/>
      </c>
      <c r="Q109" s="31" t="str">
        <f>IF(LEN(_DB_Exercises!AL112)&gt;0,_DB_Exercises!AL112,"")</f>
        <v/>
      </c>
      <c r="R109" s="31" t="str">
        <f>IF(LEN(_DB_Exercises!AM112)&gt;0,_DB_Exercises!AM112,"")</f>
        <v/>
      </c>
      <c r="S109" s="31" t="str">
        <f>IF(LEN(_DB_Exercises!AN112)&gt;0,_DB_Exercises!AN112,"")</f>
        <v/>
      </c>
      <c r="T109" s="31" t="str">
        <f>IF(LEN(_DB_Exercises!AO112)&gt;0,_DB_Exercises!AO112,"")</f>
        <v/>
      </c>
      <c r="U109" s="31" t="str">
        <f>IF(LEN(_DB_Exercises!AP112)&gt;0,_DB_Exercises!AP112,"")</f>
        <v/>
      </c>
      <c r="V109" s="31" t="str">
        <f>IF(LEN(_DB_Exercises!AQ112)&gt;0,_DB_Exercises!AQ112,"")</f>
        <v/>
      </c>
      <c r="W109" s="31" t="str">
        <f>IF(LEN(_DB_Exercises!AR112)&gt;0,_DB_Exercises!AR112,"")</f>
        <v/>
      </c>
      <c r="X109" s="31" t="str">
        <f>IF(LEN(_DB_Exercises!AS112)&gt;0,_DB_Exercises!AS112,"")</f>
        <v/>
      </c>
      <c r="Y109" s="31" t="str">
        <f>IF(LEN(_DB_Exercises!AT112)&gt;0,_DB_Exercises!AT112,"")</f>
        <v/>
      </c>
      <c r="Z109" s="31" t="str">
        <f>IF(LEN(_DB_Exercises!AU112)&gt;0,_DB_Exercises!AU112,"")</f>
        <v/>
      </c>
      <c r="AA109" s="31" t="str">
        <f>IF(LEN(_DB_Exercises!AV112)&gt;0,_DB_Exercises!AV112,"")</f>
        <v/>
      </c>
      <c r="AB109" s="31" t="str">
        <f>IF(LEN(_DB_Exercises!AW112)&gt;0,_DB_Exercises!AW112,"")</f>
        <v/>
      </c>
      <c r="AC109" s="31" t="str">
        <f>IF(LEN(_DB_Exercises!AX112)&gt;0,_DB_Exercises!AX112,"")</f>
        <v/>
      </c>
      <c r="AD109" s="31" t="str">
        <f>IF(LEN(_DB_Exercises!AY112)&gt;0,_DB_Exercises!AY112,"")</f>
        <v/>
      </c>
      <c r="AE109" s="31" t="str">
        <f>IF(LEN(_DB_Exercises!AZ112)&gt;0,_DB_Exercises!AZ112,"")</f>
        <v/>
      </c>
      <c r="AF109" s="31" t="str">
        <f>IF(LEN(_DB_Exercises!BA112)&gt;0,_DB_Exercises!BA112,"")</f>
        <v/>
      </c>
      <c r="AG109" s="31" t="str">
        <f>IF(LEN(_DB_Exercises!BB112)&gt;0,_DB_Exercises!BB112,"")</f>
        <v/>
      </c>
      <c r="AH109" s="31" t="str">
        <f>IF(LEN(_DB_Exercises!BC112)&gt;0,_DB_Exercises!BC112,"")</f>
        <v/>
      </c>
      <c r="AI109" s="31" t="str">
        <f>IF(LEN(_DB_Exercises!BD112)&gt;0,_DB_Exercises!BD112,"")</f>
        <v/>
      </c>
      <c r="AJ109" s="31" t="str">
        <f>IF(LEN(_DB_Exercises!BE112)&gt;0,_DB_Exercises!BE112,"")</f>
        <v/>
      </c>
      <c r="AK109" s="31" t="str">
        <f>IF(LEN(_DB_Exercises!BF112)&gt;0,_DB_Exercises!BF112,"")</f>
        <v/>
      </c>
      <c r="AL109" s="31" t="str">
        <f>IF(LEN(_DB_Exercises!BG112)&gt;0,_DB_Exercises!BG112,"")</f>
        <v/>
      </c>
      <c r="AM109" s="31" t="str">
        <f>IF(LEN(_DB_Exercises!BH112)&gt;0,_DB_Exercises!BH112,"")</f>
        <v/>
      </c>
      <c r="AN109" s="31" t="str">
        <f>IF(LEN(_DB_Exercises!BI112)&gt;0,_DB_Exercises!BI112,"")</f>
        <v/>
      </c>
      <c r="AO109" s="31" t="str">
        <f>IF(LEN(_DB_Exercises!BJ112)&gt;0,_DB_Exercises!BJ112,"")</f>
        <v/>
      </c>
      <c r="AP109" s="31" t="str">
        <f>IF(LEN(_DB_Exercises!BK112)&gt;0,_DB_Exercises!BK112,"")</f>
        <v/>
      </c>
      <c r="AQ109" s="31" t="str">
        <f>IF(LEN(_DB_Exercises!BL112)&gt;0,_DB_Exercises!BL112,"")</f>
        <v/>
      </c>
      <c r="AR109" s="31" t="str">
        <f>IF(LEN(_DB_Exercises!BM112)&gt;0,_DB_Exercises!BM112,"")</f>
        <v/>
      </c>
    </row>
    <row r="110" spans="1:44" ht="30" x14ac:dyDescent="0.25">
      <c r="A110" s="11">
        <f>IF(LEN(_DB_Exercises!A113)&gt;0,_DB_Exercises!A113,"")</f>
        <v>2101</v>
      </c>
      <c r="B110" s="14" t="str">
        <f>IF(LEN(_DB_Exercises!K113)&gt;0,_DB_Exercises!K113,"")</f>
        <v>Peace of Mind Exploratin 
4    Exposing Judgments</v>
      </c>
      <c r="C110" s="31" t="str">
        <f>IF(LEN(_DB_Exercises!X113)&gt;0,_DB_Exercises!X113,"")</f>
        <v/>
      </c>
      <c r="D110" s="31" t="str">
        <f>IF(LEN(_DB_Exercises!Y113)&gt;0,_DB_Exercises!Y113,"")</f>
        <v/>
      </c>
      <c r="E110" s="31" t="str">
        <f>IF(LEN(_DB_Exercises!Z113)&gt;0,_DB_Exercises!Z113,"")</f>
        <v/>
      </c>
      <c r="F110" s="31" t="str">
        <f>IF(LEN(_DB_Exercises!AA113)&gt;0,_DB_Exercises!AA113,"")</f>
        <v/>
      </c>
      <c r="G110" s="31" t="str">
        <f>IF(LEN(_DB_Exercises!AB113)&gt;0,_DB_Exercises!AB113,"")</f>
        <v/>
      </c>
      <c r="H110" s="31" t="str">
        <f>IF(LEN(_DB_Exercises!AC113)&gt;0,_DB_Exercises!AC113,"")</f>
        <v/>
      </c>
      <c r="I110" s="31" t="str">
        <f>IF(LEN(_DB_Exercises!AD113)&gt;0,_DB_Exercises!AD113,"")</f>
        <v/>
      </c>
      <c r="J110" s="31" t="str">
        <f>IF(LEN(_DB_Exercises!AE113)&gt;0,_DB_Exercises!AE113,"")</f>
        <v/>
      </c>
      <c r="K110" s="31" t="str">
        <f>IF(LEN(_DB_Exercises!AF113)&gt;0,_DB_Exercises!AF113,"")</f>
        <v/>
      </c>
      <c r="L110" s="31" t="str">
        <f>IF(LEN(_DB_Exercises!AG113)&gt;0,_DB_Exercises!AG113,"")</f>
        <v/>
      </c>
      <c r="M110" s="31" t="str">
        <f>IF(LEN(_DB_Exercises!AH113)&gt;0,_DB_Exercises!AH113,"")</f>
        <v/>
      </c>
      <c r="N110" s="31" t="str">
        <f>IF(LEN(_DB_Exercises!AI113)&gt;0,_DB_Exercises!AI113,"")</f>
        <v/>
      </c>
      <c r="O110" s="31" t="str">
        <f>IF(LEN(_DB_Exercises!AJ113)&gt;0,_DB_Exercises!AJ113,"")</f>
        <v/>
      </c>
      <c r="P110" s="31" t="str">
        <f>IF(LEN(_DB_Exercises!AK113)&gt;0,_DB_Exercises!AK113,"")</f>
        <v/>
      </c>
      <c r="Q110" s="31" t="str">
        <f>IF(LEN(_DB_Exercises!AL113)&gt;0,_DB_Exercises!AL113,"")</f>
        <v/>
      </c>
      <c r="R110" s="31" t="str">
        <f>IF(LEN(_DB_Exercises!AM113)&gt;0,_DB_Exercises!AM113,"")</f>
        <v/>
      </c>
      <c r="S110" s="31" t="str">
        <f>IF(LEN(_DB_Exercises!AN113)&gt;0,_DB_Exercises!AN113,"")</f>
        <v/>
      </c>
      <c r="T110" s="31" t="str">
        <f>IF(LEN(_DB_Exercises!AO113)&gt;0,_DB_Exercises!AO113,"")</f>
        <v/>
      </c>
      <c r="U110" s="31" t="str">
        <f>IF(LEN(_DB_Exercises!AP113)&gt;0,_DB_Exercises!AP113,"")</f>
        <v/>
      </c>
      <c r="V110" s="31" t="str">
        <f>IF(LEN(_DB_Exercises!AQ113)&gt;0,_DB_Exercises!AQ113,"")</f>
        <v/>
      </c>
      <c r="W110" s="31" t="str">
        <f>IF(LEN(_DB_Exercises!AR113)&gt;0,_DB_Exercises!AR113,"")</f>
        <v/>
      </c>
      <c r="X110" s="31" t="str">
        <f>IF(LEN(_DB_Exercises!AS113)&gt;0,_DB_Exercises!AS113,"")</f>
        <v/>
      </c>
      <c r="Y110" s="31" t="str">
        <f>IF(LEN(_DB_Exercises!AT113)&gt;0,_DB_Exercises!AT113,"")</f>
        <v/>
      </c>
      <c r="Z110" s="31" t="str">
        <f>IF(LEN(_DB_Exercises!AU113)&gt;0,_DB_Exercises!AU113,"")</f>
        <v/>
      </c>
      <c r="AA110" s="31" t="str">
        <f>IF(LEN(_DB_Exercises!AV113)&gt;0,_DB_Exercises!AV113,"")</f>
        <v/>
      </c>
      <c r="AB110" s="31" t="str">
        <f>IF(LEN(_DB_Exercises!AW113)&gt;0,_DB_Exercises!AW113,"")</f>
        <v/>
      </c>
      <c r="AC110" s="31" t="str">
        <f>IF(LEN(_DB_Exercises!AX113)&gt;0,_DB_Exercises!AX113,"")</f>
        <v/>
      </c>
      <c r="AD110" s="31" t="str">
        <f>IF(LEN(_DB_Exercises!AY113)&gt;0,_DB_Exercises!AY113,"")</f>
        <v/>
      </c>
      <c r="AE110" s="31" t="str">
        <f>IF(LEN(_DB_Exercises!AZ113)&gt;0,_DB_Exercises!AZ113,"")</f>
        <v/>
      </c>
      <c r="AF110" s="31" t="str">
        <f>IF(LEN(_DB_Exercises!BA113)&gt;0,_DB_Exercises!BA113,"")</f>
        <v/>
      </c>
      <c r="AG110" s="31" t="str">
        <f>IF(LEN(_DB_Exercises!BB113)&gt;0,_DB_Exercises!BB113,"")</f>
        <v/>
      </c>
      <c r="AH110" s="31" t="str">
        <f>IF(LEN(_DB_Exercises!BC113)&gt;0,_DB_Exercises!BC113,"")</f>
        <v/>
      </c>
      <c r="AI110" s="31" t="str">
        <f>IF(LEN(_DB_Exercises!BD113)&gt;0,_DB_Exercises!BD113,"")</f>
        <v/>
      </c>
      <c r="AJ110" s="31" t="str">
        <f>IF(LEN(_DB_Exercises!BE113)&gt;0,_DB_Exercises!BE113,"")</f>
        <v/>
      </c>
      <c r="AK110" s="31" t="str">
        <f>IF(LEN(_DB_Exercises!BF113)&gt;0,_DB_Exercises!BF113,"")</f>
        <v/>
      </c>
      <c r="AL110" s="31" t="str">
        <f>IF(LEN(_DB_Exercises!BG113)&gt;0,_DB_Exercises!BG113,"")</f>
        <v/>
      </c>
      <c r="AM110" s="31" t="str">
        <f>IF(LEN(_DB_Exercises!BH113)&gt;0,_DB_Exercises!BH113,"")</f>
        <v/>
      </c>
      <c r="AN110" s="31" t="str">
        <f>IF(LEN(_DB_Exercises!BI113)&gt;0,_DB_Exercises!BI113,"")</f>
        <v/>
      </c>
      <c r="AO110" s="31" t="str">
        <f>IF(LEN(_DB_Exercises!BJ113)&gt;0,_DB_Exercises!BJ113,"")</f>
        <v/>
      </c>
      <c r="AP110" s="31" t="str">
        <f>IF(LEN(_DB_Exercises!BK113)&gt;0,_DB_Exercises!BK113,"")</f>
        <v/>
      </c>
      <c r="AQ110" s="31" t="str">
        <f>IF(LEN(_DB_Exercises!BL113)&gt;0,_DB_Exercises!BL113,"")</f>
        <v/>
      </c>
      <c r="AR110" s="31" t="str">
        <f>IF(LEN(_DB_Exercises!BM113)&gt;0,_DB_Exercises!BM113,"")</f>
        <v/>
      </c>
    </row>
    <row r="111" spans="1:44" ht="30" x14ac:dyDescent="0.25">
      <c r="A111" s="11">
        <f>IF(LEN(_DB_Exercises!A114)&gt;0,_DB_Exercises!A114,"")</f>
        <v>2102</v>
      </c>
      <c r="B111" s="14" t="str">
        <f>IF(LEN(_DB_Exercises!K114)&gt;0,_DB_Exercises!K114,"")</f>
        <v>SelfCoaching Exploration 
1     Reality Check</v>
      </c>
      <c r="C111" s="31" t="str">
        <f>IF(LEN(_DB_Exercises!X114)&gt;0,_DB_Exercises!X114,"")</f>
        <v/>
      </c>
      <c r="D111" s="31" t="str">
        <f>IF(LEN(_DB_Exercises!Y114)&gt;0,_DB_Exercises!Y114,"")</f>
        <v/>
      </c>
      <c r="E111" s="31" t="str">
        <f>IF(LEN(_DB_Exercises!Z114)&gt;0,_DB_Exercises!Z114,"")</f>
        <v/>
      </c>
      <c r="F111" s="31" t="str">
        <f>IF(LEN(_DB_Exercises!AA114)&gt;0,_DB_Exercises!AA114,"")</f>
        <v/>
      </c>
      <c r="G111" s="31" t="str">
        <f>IF(LEN(_DB_Exercises!AB114)&gt;0,_DB_Exercises!AB114,"")</f>
        <v/>
      </c>
      <c r="H111" s="31" t="str">
        <f>IF(LEN(_DB_Exercises!AC114)&gt;0,_DB_Exercises!AC114,"")</f>
        <v/>
      </c>
      <c r="I111" s="31" t="str">
        <f>IF(LEN(_DB_Exercises!AD114)&gt;0,_DB_Exercises!AD114,"")</f>
        <v/>
      </c>
      <c r="J111" s="31" t="str">
        <f>IF(LEN(_DB_Exercises!AE114)&gt;0,_DB_Exercises!AE114,"")</f>
        <v/>
      </c>
      <c r="K111" s="31" t="str">
        <f>IF(LEN(_DB_Exercises!AF114)&gt;0,_DB_Exercises!AF114,"")</f>
        <v/>
      </c>
      <c r="L111" s="31" t="str">
        <f>IF(LEN(_DB_Exercises!AG114)&gt;0,_DB_Exercises!AG114,"")</f>
        <v/>
      </c>
      <c r="M111" s="31" t="str">
        <f>IF(LEN(_DB_Exercises!AH114)&gt;0,_DB_Exercises!AH114,"")</f>
        <v/>
      </c>
      <c r="N111" s="31" t="str">
        <f>IF(LEN(_DB_Exercises!AI114)&gt;0,_DB_Exercises!AI114,"")</f>
        <v/>
      </c>
      <c r="O111" s="31" t="str">
        <f>IF(LEN(_DB_Exercises!AJ114)&gt;0,_DB_Exercises!AJ114,"")</f>
        <v/>
      </c>
      <c r="P111" s="31" t="str">
        <f>IF(LEN(_DB_Exercises!AK114)&gt;0,_DB_Exercises!AK114,"")</f>
        <v/>
      </c>
      <c r="Q111" s="31" t="str">
        <f>IF(LEN(_DB_Exercises!AL114)&gt;0,_DB_Exercises!AL114,"")</f>
        <v/>
      </c>
      <c r="R111" s="31" t="str">
        <f>IF(LEN(_DB_Exercises!AM114)&gt;0,_DB_Exercises!AM114,"")</f>
        <v/>
      </c>
      <c r="S111" s="31" t="str">
        <f>IF(LEN(_DB_Exercises!AN114)&gt;0,_DB_Exercises!AN114,"")</f>
        <v/>
      </c>
      <c r="T111" s="31" t="str">
        <f>IF(LEN(_DB_Exercises!AO114)&gt;0,_DB_Exercises!AO114,"")</f>
        <v/>
      </c>
      <c r="U111" s="31" t="str">
        <f>IF(LEN(_DB_Exercises!AP114)&gt;0,_DB_Exercises!AP114,"")</f>
        <v/>
      </c>
      <c r="V111" s="31" t="str">
        <f>IF(LEN(_DB_Exercises!AQ114)&gt;0,_DB_Exercises!AQ114,"")</f>
        <v/>
      </c>
      <c r="W111" s="31" t="str">
        <f>IF(LEN(_DB_Exercises!AR114)&gt;0,_DB_Exercises!AR114,"")</f>
        <v/>
      </c>
      <c r="X111" s="31" t="str">
        <f>IF(LEN(_DB_Exercises!AS114)&gt;0,_DB_Exercises!AS114,"")</f>
        <v/>
      </c>
      <c r="Y111" s="31" t="str">
        <f>IF(LEN(_DB_Exercises!AT114)&gt;0,_DB_Exercises!AT114,"")</f>
        <v/>
      </c>
      <c r="Z111" s="31" t="str">
        <f>IF(LEN(_DB_Exercises!AU114)&gt;0,_DB_Exercises!AU114,"")</f>
        <v/>
      </c>
      <c r="AA111" s="31" t="str">
        <f>IF(LEN(_DB_Exercises!AV114)&gt;0,_DB_Exercises!AV114,"")</f>
        <v/>
      </c>
      <c r="AB111" s="31" t="str">
        <f>IF(LEN(_DB_Exercises!AW114)&gt;0,_DB_Exercises!AW114,"")</f>
        <v/>
      </c>
      <c r="AC111" s="31" t="str">
        <f>IF(LEN(_DB_Exercises!AX114)&gt;0,_DB_Exercises!AX114,"")</f>
        <v/>
      </c>
      <c r="AD111" s="31" t="str">
        <f>IF(LEN(_DB_Exercises!AY114)&gt;0,_DB_Exercises!AY114,"")</f>
        <v/>
      </c>
      <c r="AE111" s="31" t="str">
        <f>IF(LEN(_DB_Exercises!AZ114)&gt;0,_DB_Exercises!AZ114,"")</f>
        <v/>
      </c>
      <c r="AF111" s="31" t="str">
        <f>IF(LEN(_DB_Exercises!BA114)&gt;0,_DB_Exercises!BA114,"")</f>
        <v/>
      </c>
      <c r="AG111" s="31" t="str">
        <f>IF(LEN(_DB_Exercises!BB114)&gt;0,_DB_Exercises!BB114,"")</f>
        <v/>
      </c>
      <c r="AH111" s="31" t="str">
        <f>IF(LEN(_DB_Exercises!BC114)&gt;0,_DB_Exercises!BC114,"")</f>
        <v/>
      </c>
      <c r="AI111" s="31" t="str">
        <f>IF(LEN(_DB_Exercises!BD114)&gt;0,_DB_Exercises!BD114,"")</f>
        <v/>
      </c>
      <c r="AJ111" s="31" t="str">
        <f>IF(LEN(_DB_Exercises!BE114)&gt;0,_DB_Exercises!BE114,"")</f>
        <v/>
      </c>
      <c r="AK111" s="31" t="str">
        <f>IF(LEN(_DB_Exercises!BF114)&gt;0,_DB_Exercises!BF114,"")</f>
        <v/>
      </c>
      <c r="AL111" s="31" t="str">
        <f>IF(LEN(_DB_Exercises!BG114)&gt;0,_DB_Exercises!BG114,"")</f>
        <v/>
      </c>
      <c r="AM111" s="31" t="str">
        <f>IF(LEN(_DB_Exercises!BH114)&gt;0,_DB_Exercises!BH114,"")</f>
        <v/>
      </c>
      <c r="AN111" s="31" t="str">
        <f>IF(LEN(_DB_Exercises!BI114)&gt;0,_DB_Exercises!BI114,"")</f>
        <v/>
      </c>
      <c r="AO111" s="31" t="str">
        <f>IF(LEN(_DB_Exercises!BJ114)&gt;0,_DB_Exercises!BJ114,"")</f>
        <v/>
      </c>
      <c r="AP111" s="31" t="str">
        <f>IF(LEN(_DB_Exercises!BK114)&gt;0,_DB_Exercises!BK114,"")</f>
        <v/>
      </c>
      <c r="AQ111" s="31" t="str">
        <f>IF(LEN(_DB_Exercises!BL114)&gt;0,_DB_Exercises!BL114,"")</f>
        <v/>
      </c>
      <c r="AR111" s="31" t="str">
        <f>IF(LEN(_DB_Exercises!BM114)&gt;0,_DB_Exercises!BM114,"")</f>
        <v/>
      </c>
    </row>
    <row r="112" spans="1:44" ht="30" x14ac:dyDescent="0.25">
      <c r="A112" s="11">
        <f>IF(LEN(_DB_Exercises!A115)&gt;0,_DB_Exercises!A115,"")</f>
        <v>2103</v>
      </c>
      <c r="B112" s="14" t="str">
        <f>IF(LEN(_DB_Exercises!K115)&gt;0,_DB_Exercises!K115,"")</f>
        <v>SelfCoaching Exploration 
2    Reading Greens</v>
      </c>
      <c r="C112" s="31" t="str">
        <f>IF(LEN(_DB_Exercises!X115)&gt;0,_DB_Exercises!X115,"")</f>
        <v/>
      </c>
      <c r="D112" s="31" t="str">
        <f>IF(LEN(_DB_Exercises!Y115)&gt;0,_DB_Exercises!Y115,"")</f>
        <v/>
      </c>
      <c r="E112" s="31" t="str">
        <f>IF(LEN(_DB_Exercises!Z115)&gt;0,_DB_Exercises!Z115,"")</f>
        <v/>
      </c>
      <c r="F112" s="31" t="str">
        <f>IF(LEN(_DB_Exercises!AA115)&gt;0,_DB_Exercises!AA115,"")</f>
        <v/>
      </c>
      <c r="G112" s="31" t="str">
        <f>IF(LEN(_DB_Exercises!AB115)&gt;0,_DB_Exercises!AB115,"")</f>
        <v/>
      </c>
      <c r="H112" s="31" t="str">
        <f>IF(LEN(_DB_Exercises!AC115)&gt;0,_DB_Exercises!AC115,"")</f>
        <v/>
      </c>
      <c r="I112" s="31" t="str">
        <f>IF(LEN(_DB_Exercises!AD115)&gt;0,_DB_Exercises!AD115,"")</f>
        <v/>
      </c>
      <c r="J112" s="31" t="str">
        <f>IF(LEN(_DB_Exercises!AE115)&gt;0,_DB_Exercises!AE115,"")</f>
        <v/>
      </c>
      <c r="K112" s="31" t="str">
        <f>IF(LEN(_DB_Exercises!AF115)&gt;0,_DB_Exercises!AF115,"")</f>
        <v/>
      </c>
      <c r="L112" s="31" t="str">
        <f>IF(LEN(_DB_Exercises!AG115)&gt;0,_DB_Exercises!AG115,"")</f>
        <v/>
      </c>
      <c r="M112" s="31" t="str">
        <f>IF(LEN(_DB_Exercises!AH115)&gt;0,_DB_Exercises!AH115,"")</f>
        <v/>
      </c>
      <c r="N112" s="31" t="str">
        <f>IF(LEN(_DB_Exercises!AI115)&gt;0,_DB_Exercises!AI115,"")</f>
        <v/>
      </c>
      <c r="O112" s="31" t="str">
        <f>IF(LEN(_DB_Exercises!AJ115)&gt;0,_DB_Exercises!AJ115,"")</f>
        <v/>
      </c>
      <c r="P112" s="31" t="str">
        <f>IF(LEN(_DB_Exercises!AK115)&gt;0,_DB_Exercises!AK115,"")</f>
        <v/>
      </c>
      <c r="Q112" s="31" t="str">
        <f>IF(LEN(_DB_Exercises!AL115)&gt;0,_DB_Exercises!AL115,"")</f>
        <v/>
      </c>
      <c r="R112" s="31" t="str">
        <f>IF(LEN(_DB_Exercises!AM115)&gt;0,_DB_Exercises!AM115,"")</f>
        <v/>
      </c>
      <c r="S112" s="31" t="str">
        <f>IF(LEN(_DB_Exercises!AN115)&gt;0,_DB_Exercises!AN115,"")</f>
        <v/>
      </c>
      <c r="T112" s="31" t="str">
        <f>IF(LEN(_DB_Exercises!AO115)&gt;0,_DB_Exercises!AO115,"")</f>
        <v/>
      </c>
      <c r="U112" s="31" t="str">
        <f>IF(LEN(_DB_Exercises!AP115)&gt;0,_DB_Exercises!AP115,"")</f>
        <v/>
      </c>
      <c r="V112" s="31" t="str">
        <f>IF(LEN(_DB_Exercises!AQ115)&gt;0,_DB_Exercises!AQ115,"")</f>
        <v/>
      </c>
      <c r="W112" s="31" t="str">
        <f>IF(LEN(_DB_Exercises!AR115)&gt;0,_DB_Exercises!AR115,"")</f>
        <v/>
      </c>
      <c r="X112" s="31" t="str">
        <f>IF(LEN(_DB_Exercises!AS115)&gt;0,_DB_Exercises!AS115,"")</f>
        <v/>
      </c>
      <c r="Y112" s="31" t="str">
        <f>IF(LEN(_DB_Exercises!AT115)&gt;0,_DB_Exercises!AT115,"")</f>
        <v/>
      </c>
      <c r="Z112" s="31" t="str">
        <f>IF(LEN(_DB_Exercises!AU115)&gt;0,_DB_Exercises!AU115,"")</f>
        <v/>
      </c>
      <c r="AA112" s="31" t="str">
        <f>IF(LEN(_DB_Exercises!AV115)&gt;0,_DB_Exercises!AV115,"")</f>
        <v/>
      </c>
      <c r="AB112" s="31" t="str">
        <f>IF(LEN(_DB_Exercises!AW115)&gt;0,_DB_Exercises!AW115,"")</f>
        <v/>
      </c>
      <c r="AC112" s="31" t="str">
        <f>IF(LEN(_DB_Exercises!AX115)&gt;0,_DB_Exercises!AX115,"")</f>
        <v/>
      </c>
      <c r="AD112" s="31" t="str">
        <f>IF(LEN(_DB_Exercises!AY115)&gt;0,_DB_Exercises!AY115,"")</f>
        <v/>
      </c>
      <c r="AE112" s="31" t="str">
        <f>IF(LEN(_DB_Exercises!AZ115)&gt;0,_DB_Exercises!AZ115,"")</f>
        <v/>
      </c>
      <c r="AF112" s="31" t="str">
        <f>IF(LEN(_DB_Exercises!BA115)&gt;0,_DB_Exercises!BA115,"")</f>
        <v/>
      </c>
      <c r="AG112" s="31" t="str">
        <f>IF(LEN(_DB_Exercises!BB115)&gt;0,_DB_Exercises!BB115,"")</f>
        <v/>
      </c>
      <c r="AH112" s="31" t="str">
        <f>IF(LEN(_DB_Exercises!BC115)&gt;0,_DB_Exercises!BC115,"")</f>
        <v/>
      </c>
      <c r="AI112" s="31" t="str">
        <f>IF(LEN(_DB_Exercises!BD115)&gt;0,_DB_Exercises!BD115,"")</f>
        <v/>
      </c>
      <c r="AJ112" s="31" t="str">
        <f>IF(LEN(_DB_Exercises!BE115)&gt;0,_DB_Exercises!BE115,"")</f>
        <v/>
      </c>
      <c r="AK112" s="31" t="str">
        <f>IF(LEN(_DB_Exercises!BF115)&gt;0,_DB_Exercises!BF115,"")</f>
        <v/>
      </c>
      <c r="AL112" s="31" t="str">
        <f>IF(LEN(_DB_Exercises!BG115)&gt;0,_DB_Exercises!BG115,"")</f>
        <v/>
      </c>
      <c r="AM112" s="31" t="str">
        <f>IF(LEN(_DB_Exercises!BH115)&gt;0,_DB_Exercises!BH115,"")</f>
        <v/>
      </c>
      <c r="AN112" s="31" t="str">
        <f>IF(LEN(_DB_Exercises!BI115)&gt;0,_DB_Exercises!BI115,"")</f>
        <v/>
      </c>
      <c r="AO112" s="31" t="str">
        <f>IF(LEN(_DB_Exercises!BJ115)&gt;0,_DB_Exercises!BJ115,"")</f>
        <v/>
      </c>
      <c r="AP112" s="31" t="str">
        <f>IF(LEN(_DB_Exercises!BK115)&gt;0,_DB_Exercises!BK115,"")</f>
        <v/>
      </c>
      <c r="AQ112" s="31" t="str">
        <f>IF(LEN(_DB_Exercises!BL115)&gt;0,_DB_Exercises!BL115,"")</f>
        <v/>
      </c>
      <c r="AR112" s="31" t="str">
        <f>IF(LEN(_DB_Exercises!BM115)&gt;0,_DB_Exercises!BM115,"")</f>
        <v/>
      </c>
    </row>
    <row r="113" spans="1:44" ht="30" x14ac:dyDescent="0.25">
      <c r="A113" s="11">
        <f>IF(LEN(_DB_Exercises!A116)&gt;0,_DB_Exercises!A116,"")</f>
        <v>2104</v>
      </c>
      <c r="B113" s="14" t="str">
        <f>IF(LEN(_DB_Exercises!K116)&gt;0,_DB_Exercises!K116,"")</f>
        <v>SelfCoaching Exploration
3a    Is the practice Stroke enough</v>
      </c>
      <c r="C113" s="31" t="str">
        <f>IF(LEN(_DB_Exercises!X116)&gt;0,_DB_Exercises!X116,"")</f>
        <v/>
      </c>
      <c r="D113" s="31" t="str">
        <f>IF(LEN(_DB_Exercises!Y116)&gt;0,_DB_Exercises!Y116,"")</f>
        <v/>
      </c>
      <c r="E113" s="31" t="str">
        <f>IF(LEN(_DB_Exercises!Z116)&gt;0,_DB_Exercises!Z116,"")</f>
        <v/>
      </c>
      <c r="F113" s="31" t="str">
        <f>IF(LEN(_DB_Exercises!AA116)&gt;0,_DB_Exercises!AA116,"")</f>
        <v/>
      </c>
      <c r="G113" s="31" t="str">
        <f>IF(LEN(_DB_Exercises!AB116)&gt;0,_DB_Exercises!AB116,"")</f>
        <v/>
      </c>
      <c r="H113" s="31" t="str">
        <f>IF(LEN(_DB_Exercises!AC116)&gt;0,_DB_Exercises!AC116,"")</f>
        <v/>
      </c>
      <c r="I113" s="31" t="str">
        <f>IF(LEN(_DB_Exercises!AD116)&gt;0,_DB_Exercises!AD116,"")</f>
        <v/>
      </c>
      <c r="J113" s="31" t="str">
        <f>IF(LEN(_DB_Exercises!AE116)&gt;0,_DB_Exercises!AE116,"")</f>
        <v/>
      </c>
      <c r="K113" s="31" t="str">
        <f>IF(LEN(_DB_Exercises!AF116)&gt;0,_DB_Exercises!AF116,"")</f>
        <v/>
      </c>
      <c r="L113" s="31" t="str">
        <f>IF(LEN(_DB_Exercises!AG116)&gt;0,_DB_Exercises!AG116,"")</f>
        <v/>
      </c>
      <c r="M113" s="31" t="str">
        <f>IF(LEN(_DB_Exercises!AH116)&gt;0,_DB_Exercises!AH116,"")</f>
        <v/>
      </c>
      <c r="N113" s="31" t="str">
        <f>IF(LEN(_DB_Exercises!AI116)&gt;0,_DB_Exercises!AI116,"")</f>
        <v/>
      </c>
      <c r="O113" s="31" t="str">
        <f>IF(LEN(_DB_Exercises!AJ116)&gt;0,_DB_Exercises!AJ116,"")</f>
        <v/>
      </c>
      <c r="P113" s="31" t="str">
        <f>IF(LEN(_DB_Exercises!AK116)&gt;0,_DB_Exercises!AK116,"")</f>
        <v/>
      </c>
      <c r="Q113" s="31" t="str">
        <f>IF(LEN(_DB_Exercises!AL116)&gt;0,_DB_Exercises!AL116,"")</f>
        <v/>
      </c>
      <c r="R113" s="31" t="str">
        <f>IF(LEN(_DB_Exercises!AM116)&gt;0,_DB_Exercises!AM116,"")</f>
        <v/>
      </c>
      <c r="S113" s="31" t="str">
        <f>IF(LEN(_DB_Exercises!AN116)&gt;0,_DB_Exercises!AN116,"")</f>
        <v/>
      </c>
      <c r="T113" s="31" t="str">
        <f>IF(LEN(_DB_Exercises!AO116)&gt;0,_DB_Exercises!AO116,"")</f>
        <v/>
      </c>
      <c r="U113" s="31" t="str">
        <f>IF(LEN(_DB_Exercises!AP116)&gt;0,_DB_Exercises!AP116,"")</f>
        <v/>
      </c>
      <c r="V113" s="31" t="str">
        <f>IF(LEN(_DB_Exercises!AQ116)&gt;0,_DB_Exercises!AQ116,"")</f>
        <v/>
      </c>
      <c r="W113" s="31" t="str">
        <f>IF(LEN(_DB_Exercises!AR116)&gt;0,_DB_Exercises!AR116,"")</f>
        <v/>
      </c>
      <c r="X113" s="31" t="str">
        <f>IF(LEN(_DB_Exercises!AS116)&gt;0,_DB_Exercises!AS116,"")</f>
        <v/>
      </c>
      <c r="Y113" s="31" t="str">
        <f>IF(LEN(_DB_Exercises!AT116)&gt;0,_DB_Exercises!AT116,"")</f>
        <v/>
      </c>
      <c r="Z113" s="31" t="str">
        <f>IF(LEN(_DB_Exercises!AU116)&gt;0,_DB_Exercises!AU116,"")</f>
        <v/>
      </c>
      <c r="AA113" s="31" t="str">
        <f>IF(LEN(_DB_Exercises!AV116)&gt;0,_DB_Exercises!AV116,"")</f>
        <v/>
      </c>
      <c r="AB113" s="31" t="str">
        <f>IF(LEN(_DB_Exercises!AW116)&gt;0,_DB_Exercises!AW116,"")</f>
        <v/>
      </c>
      <c r="AC113" s="31" t="str">
        <f>IF(LEN(_DB_Exercises!AX116)&gt;0,_DB_Exercises!AX116,"")</f>
        <v/>
      </c>
      <c r="AD113" s="31" t="str">
        <f>IF(LEN(_DB_Exercises!AY116)&gt;0,_DB_Exercises!AY116,"")</f>
        <v/>
      </c>
      <c r="AE113" s="31" t="str">
        <f>IF(LEN(_DB_Exercises!AZ116)&gt;0,_DB_Exercises!AZ116,"")</f>
        <v/>
      </c>
      <c r="AF113" s="31" t="str">
        <f>IF(LEN(_DB_Exercises!BA116)&gt;0,_DB_Exercises!BA116,"")</f>
        <v/>
      </c>
      <c r="AG113" s="31" t="str">
        <f>IF(LEN(_DB_Exercises!BB116)&gt;0,_DB_Exercises!BB116,"")</f>
        <v/>
      </c>
      <c r="AH113" s="31" t="str">
        <f>IF(LEN(_DB_Exercises!BC116)&gt;0,_DB_Exercises!BC116,"")</f>
        <v/>
      </c>
      <c r="AI113" s="31" t="str">
        <f>IF(LEN(_DB_Exercises!BD116)&gt;0,_DB_Exercises!BD116,"")</f>
        <v/>
      </c>
      <c r="AJ113" s="31" t="str">
        <f>IF(LEN(_DB_Exercises!BE116)&gt;0,_DB_Exercises!BE116,"")</f>
        <v/>
      </c>
      <c r="AK113" s="31" t="str">
        <f>IF(LEN(_DB_Exercises!BF116)&gt;0,_DB_Exercises!BF116,"")</f>
        <v/>
      </c>
      <c r="AL113" s="31" t="str">
        <f>IF(LEN(_DB_Exercises!BG116)&gt;0,_DB_Exercises!BG116,"")</f>
        <v/>
      </c>
      <c r="AM113" s="31" t="str">
        <f>IF(LEN(_DB_Exercises!BH116)&gt;0,_DB_Exercises!BH116,"")</f>
        <v/>
      </c>
      <c r="AN113" s="31" t="str">
        <f>IF(LEN(_DB_Exercises!BI116)&gt;0,_DB_Exercises!BI116,"")</f>
        <v/>
      </c>
      <c r="AO113" s="31" t="str">
        <f>IF(LEN(_DB_Exercises!BJ116)&gt;0,_DB_Exercises!BJ116,"")</f>
        <v/>
      </c>
      <c r="AP113" s="31" t="str">
        <f>IF(LEN(_DB_Exercises!BK116)&gt;0,_DB_Exercises!BK116,"")</f>
        <v/>
      </c>
      <c r="AQ113" s="31" t="str">
        <f>IF(LEN(_DB_Exercises!BL116)&gt;0,_DB_Exercises!BL116,"")</f>
        <v/>
      </c>
      <c r="AR113" s="31" t="str">
        <f>IF(LEN(_DB_Exercises!BM116)&gt;0,_DB_Exercises!BM116,"")</f>
        <v/>
      </c>
    </row>
    <row r="114" spans="1:44" ht="30" x14ac:dyDescent="0.25">
      <c r="A114" s="11">
        <f>IF(LEN(_DB_Exercises!A117)&gt;0,_DB_Exercises!A117,"")</f>
        <v>2105</v>
      </c>
      <c r="B114" s="14" t="str">
        <f>IF(LEN(_DB_Exercises!K117)&gt;0,_DB_Exercises!K117,"")</f>
        <v>SelfCoaching Exploration 
3b    Interference in the Stroke</v>
      </c>
      <c r="C114" s="31" t="str">
        <f>IF(LEN(_DB_Exercises!X117)&gt;0,_DB_Exercises!X117,"")</f>
        <v/>
      </c>
      <c r="D114" s="31" t="str">
        <f>IF(LEN(_DB_Exercises!Y117)&gt;0,_DB_Exercises!Y117,"")</f>
        <v/>
      </c>
      <c r="E114" s="31" t="str">
        <f>IF(LEN(_DB_Exercises!Z117)&gt;0,_DB_Exercises!Z117,"")</f>
        <v/>
      </c>
      <c r="F114" s="31" t="str">
        <f>IF(LEN(_DB_Exercises!AA117)&gt;0,_DB_Exercises!AA117,"")</f>
        <v/>
      </c>
      <c r="G114" s="31" t="str">
        <f>IF(LEN(_DB_Exercises!AB117)&gt;0,_DB_Exercises!AB117,"")</f>
        <v/>
      </c>
      <c r="H114" s="31" t="str">
        <f>IF(LEN(_DB_Exercises!AC117)&gt;0,_DB_Exercises!AC117,"")</f>
        <v/>
      </c>
      <c r="I114" s="31" t="str">
        <f>IF(LEN(_DB_Exercises!AD117)&gt;0,_DB_Exercises!AD117,"")</f>
        <v/>
      </c>
      <c r="J114" s="31" t="str">
        <f>IF(LEN(_DB_Exercises!AE117)&gt;0,_DB_Exercises!AE117,"")</f>
        <v/>
      </c>
      <c r="K114" s="31" t="str">
        <f>IF(LEN(_DB_Exercises!AF117)&gt;0,_DB_Exercises!AF117,"")</f>
        <v/>
      </c>
      <c r="L114" s="31" t="str">
        <f>IF(LEN(_DB_Exercises!AG117)&gt;0,_DB_Exercises!AG117,"")</f>
        <v/>
      </c>
      <c r="M114" s="31" t="str">
        <f>IF(LEN(_DB_Exercises!AH117)&gt;0,_DB_Exercises!AH117,"")</f>
        <v/>
      </c>
      <c r="N114" s="31" t="str">
        <f>IF(LEN(_DB_Exercises!AI117)&gt;0,_DB_Exercises!AI117,"")</f>
        <v/>
      </c>
      <c r="O114" s="31" t="str">
        <f>IF(LEN(_DB_Exercises!AJ117)&gt;0,_DB_Exercises!AJ117,"")</f>
        <v/>
      </c>
      <c r="P114" s="31" t="str">
        <f>IF(LEN(_DB_Exercises!AK117)&gt;0,_DB_Exercises!AK117,"")</f>
        <v/>
      </c>
      <c r="Q114" s="31" t="str">
        <f>IF(LEN(_DB_Exercises!AL117)&gt;0,_DB_Exercises!AL117,"")</f>
        <v/>
      </c>
      <c r="R114" s="31" t="str">
        <f>IF(LEN(_DB_Exercises!AM117)&gt;0,_DB_Exercises!AM117,"")</f>
        <v/>
      </c>
      <c r="S114" s="31" t="str">
        <f>IF(LEN(_DB_Exercises!AN117)&gt;0,_DB_Exercises!AN117,"")</f>
        <v/>
      </c>
      <c r="T114" s="31" t="str">
        <f>IF(LEN(_DB_Exercises!AO117)&gt;0,_DB_Exercises!AO117,"")</f>
        <v/>
      </c>
      <c r="U114" s="31" t="str">
        <f>IF(LEN(_DB_Exercises!AP117)&gt;0,_DB_Exercises!AP117,"")</f>
        <v/>
      </c>
      <c r="V114" s="31" t="str">
        <f>IF(LEN(_DB_Exercises!AQ117)&gt;0,_DB_Exercises!AQ117,"")</f>
        <v/>
      </c>
      <c r="W114" s="31" t="str">
        <f>IF(LEN(_DB_Exercises!AR117)&gt;0,_DB_Exercises!AR117,"")</f>
        <v/>
      </c>
      <c r="X114" s="31" t="str">
        <f>IF(LEN(_DB_Exercises!AS117)&gt;0,_DB_Exercises!AS117,"")</f>
        <v/>
      </c>
      <c r="Y114" s="31" t="str">
        <f>IF(LEN(_DB_Exercises!AT117)&gt;0,_DB_Exercises!AT117,"")</f>
        <v/>
      </c>
      <c r="Z114" s="31" t="str">
        <f>IF(LEN(_DB_Exercises!AU117)&gt;0,_DB_Exercises!AU117,"")</f>
        <v/>
      </c>
      <c r="AA114" s="31" t="str">
        <f>IF(LEN(_DB_Exercises!AV117)&gt;0,_DB_Exercises!AV117,"")</f>
        <v/>
      </c>
      <c r="AB114" s="31" t="str">
        <f>IF(LEN(_DB_Exercises!AW117)&gt;0,_DB_Exercises!AW117,"")</f>
        <v/>
      </c>
      <c r="AC114" s="31" t="str">
        <f>IF(LEN(_DB_Exercises!AX117)&gt;0,_DB_Exercises!AX117,"")</f>
        <v/>
      </c>
      <c r="AD114" s="31" t="str">
        <f>IF(LEN(_DB_Exercises!AY117)&gt;0,_DB_Exercises!AY117,"")</f>
        <v/>
      </c>
      <c r="AE114" s="31" t="str">
        <f>IF(LEN(_DB_Exercises!AZ117)&gt;0,_DB_Exercises!AZ117,"")</f>
        <v/>
      </c>
      <c r="AF114" s="31" t="str">
        <f>IF(LEN(_DB_Exercises!BA117)&gt;0,_DB_Exercises!BA117,"")</f>
        <v/>
      </c>
      <c r="AG114" s="31" t="str">
        <f>IF(LEN(_DB_Exercises!BB117)&gt;0,_DB_Exercises!BB117,"")</f>
        <v/>
      </c>
      <c r="AH114" s="31" t="str">
        <f>IF(LEN(_DB_Exercises!BC117)&gt;0,_DB_Exercises!BC117,"")</f>
        <v/>
      </c>
      <c r="AI114" s="31" t="str">
        <f>IF(LEN(_DB_Exercises!BD117)&gt;0,_DB_Exercises!BD117,"")</f>
        <v/>
      </c>
      <c r="AJ114" s="31" t="str">
        <f>IF(LEN(_DB_Exercises!BE117)&gt;0,_DB_Exercises!BE117,"")</f>
        <v/>
      </c>
      <c r="AK114" s="31" t="str">
        <f>IF(LEN(_DB_Exercises!BF117)&gt;0,_DB_Exercises!BF117,"")</f>
        <v/>
      </c>
      <c r="AL114" s="31" t="str">
        <f>IF(LEN(_DB_Exercises!BG117)&gt;0,_DB_Exercises!BG117,"")</f>
        <v/>
      </c>
      <c r="AM114" s="31" t="str">
        <f>IF(LEN(_DB_Exercises!BH117)&gt;0,_DB_Exercises!BH117,"")</f>
        <v/>
      </c>
      <c r="AN114" s="31" t="str">
        <f>IF(LEN(_DB_Exercises!BI117)&gt;0,_DB_Exercises!BI117,"")</f>
        <v/>
      </c>
      <c r="AO114" s="31" t="str">
        <f>IF(LEN(_DB_Exercises!BJ117)&gt;0,_DB_Exercises!BJ117,"")</f>
        <v/>
      </c>
      <c r="AP114" s="31" t="str">
        <f>IF(LEN(_DB_Exercises!BK117)&gt;0,_DB_Exercises!BK117,"")</f>
        <v/>
      </c>
      <c r="AQ114" s="31" t="str">
        <f>IF(LEN(_DB_Exercises!BL117)&gt;0,_DB_Exercises!BL117,"")</f>
        <v/>
      </c>
      <c r="AR114" s="31" t="str">
        <f>IF(LEN(_DB_Exercises!BM117)&gt;0,_DB_Exercises!BM117,"")</f>
        <v/>
      </c>
    </row>
    <row r="115" spans="1:44" ht="30" x14ac:dyDescent="0.25">
      <c r="A115" s="11">
        <f>IF(LEN(_DB_Exercises!A118)&gt;0,_DB_Exercises!A118,"")</f>
        <v>2106</v>
      </c>
      <c r="B115" s="14" t="str">
        <f>IF(LEN(_DB_Exercises!K118)&gt;0,_DB_Exercises!K118,"")</f>
        <v>SelfCoaching Exploration 
4a    The blind walk</v>
      </c>
      <c r="C115" s="31" t="str">
        <f>IF(LEN(_DB_Exercises!X118)&gt;0,_DB_Exercises!X118,"")</f>
        <v/>
      </c>
      <c r="D115" s="31" t="str">
        <f>IF(LEN(_DB_Exercises!Y118)&gt;0,_DB_Exercises!Y118,"")</f>
        <v/>
      </c>
      <c r="E115" s="31" t="str">
        <f>IF(LEN(_DB_Exercises!Z118)&gt;0,_DB_Exercises!Z118,"")</f>
        <v/>
      </c>
      <c r="F115" s="31" t="str">
        <f>IF(LEN(_DB_Exercises!AA118)&gt;0,_DB_Exercises!AA118,"")</f>
        <v/>
      </c>
      <c r="G115" s="31" t="str">
        <f>IF(LEN(_DB_Exercises!AB118)&gt;0,_DB_Exercises!AB118,"")</f>
        <v/>
      </c>
      <c r="H115" s="31" t="str">
        <f>IF(LEN(_DB_Exercises!AC118)&gt;0,_DB_Exercises!AC118,"")</f>
        <v/>
      </c>
      <c r="I115" s="31" t="str">
        <f>IF(LEN(_DB_Exercises!AD118)&gt;0,_DB_Exercises!AD118,"")</f>
        <v/>
      </c>
      <c r="J115" s="31" t="str">
        <f>IF(LEN(_DB_Exercises!AE118)&gt;0,_DB_Exercises!AE118,"")</f>
        <v/>
      </c>
      <c r="K115" s="31" t="str">
        <f>IF(LEN(_DB_Exercises!AF118)&gt;0,_DB_Exercises!AF118,"")</f>
        <v/>
      </c>
      <c r="L115" s="31" t="str">
        <f>IF(LEN(_DB_Exercises!AG118)&gt;0,_DB_Exercises!AG118,"")</f>
        <v/>
      </c>
      <c r="M115" s="31" t="str">
        <f>IF(LEN(_DB_Exercises!AH118)&gt;0,_DB_Exercises!AH118,"")</f>
        <v/>
      </c>
      <c r="N115" s="31" t="str">
        <f>IF(LEN(_DB_Exercises!AI118)&gt;0,_DB_Exercises!AI118,"")</f>
        <v/>
      </c>
      <c r="O115" s="31" t="str">
        <f>IF(LEN(_DB_Exercises!AJ118)&gt;0,_DB_Exercises!AJ118,"")</f>
        <v/>
      </c>
      <c r="P115" s="31" t="str">
        <f>IF(LEN(_DB_Exercises!AK118)&gt;0,_DB_Exercises!AK118,"")</f>
        <v/>
      </c>
      <c r="Q115" s="31" t="str">
        <f>IF(LEN(_DB_Exercises!AL118)&gt;0,_DB_Exercises!AL118,"")</f>
        <v/>
      </c>
      <c r="R115" s="31" t="str">
        <f>IF(LEN(_DB_Exercises!AM118)&gt;0,_DB_Exercises!AM118,"")</f>
        <v/>
      </c>
      <c r="S115" s="31" t="str">
        <f>IF(LEN(_DB_Exercises!AN118)&gt;0,_DB_Exercises!AN118,"")</f>
        <v/>
      </c>
      <c r="T115" s="31" t="str">
        <f>IF(LEN(_DB_Exercises!AO118)&gt;0,_DB_Exercises!AO118,"")</f>
        <v/>
      </c>
      <c r="U115" s="31" t="str">
        <f>IF(LEN(_DB_Exercises!AP118)&gt;0,_DB_Exercises!AP118,"")</f>
        <v/>
      </c>
      <c r="V115" s="31" t="str">
        <f>IF(LEN(_DB_Exercises!AQ118)&gt;0,_DB_Exercises!AQ118,"")</f>
        <v/>
      </c>
      <c r="W115" s="31" t="str">
        <f>IF(LEN(_DB_Exercises!AR118)&gt;0,_DB_Exercises!AR118,"")</f>
        <v/>
      </c>
      <c r="X115" s="31" t="str">
        <f>IF(LEN(_DB_Exercises!AS118)&gt;0,_DB_Exercises!AS118,"")</f>
        <v/>
      </c>
      <c r="Y115" s="31" t="str">
        <f>IF(LEN(_DB_Exercises!AT118)&gt;0,_DB_Exercises!AT118,"")</f>
        <v/>
      </c>
      <c r="Z115" s="31" t="str">
        <f>IF(LEN(_DB_Exercises!AU118)&gt;0,_DB_Exercises!AU118,"")</f>
        <v/>
      </c>
      <c r="AA115" s="31" t="str">
        <f>IF(LEN(_DB_Exercises!AV118)&gt;0,_DB_Exercises!AV118,"")</f>
        <v/>
      </c>
      <c r="AB115" s="31" t="str">
        <f>IF(LEN(_DB_Exercises!AW118)&gt;0,_DB_Exercises!AW118,"")</f>
        <v/>
      </c>
      <c r="AC115" s="31" t="str">
        <f>IF(LEN(_DB_Exercises!AX118)&gt;0,_DB_Exercises!AX118,"")</f>
        <v/>
      </c>
      <c r="AD115" s="31" t="str">
        <f>IF(LEN(_DB_Exercises!AY118)&gt;0,_DB_Exercises!AY118,"")</f>
        <v/>
      </c>
      <c r="AE115" s="31" t="str">
        <f>IF(LEN(_DB_Exercises!AZ118)&gt;0,_DB_Exercises!AZ118,"")</f>
        <v/>
      </c>
      <c r="AF115" s="31" t="str">
        <f>IF(LEN(_DB_Exercises!BA118)&gt;0,_DB_Exercises!BA118,"")</f>
        <v/>
      </c>
      <c r="AG115" s="31" t="str">
        <f>IF(LEN(_DB_Exercises!BB118)&gt;0,_DB_Exercises!BB118,"")</f>
        <v/>
      </c>
      <c r="AH115" s="31" t="str">
        <f>IF(LEN(_DB_Exercises!BC118)&gt;0,_DB_Exercises!BC118,"")</f>
        <v/>
      </c>
      <c r="AI115" s="31" t="str">
        <f>IF(LEN(_DB_Exercises!BD118)&gt;0,_DB_Exercises!BD118,"")</f>
        <v/>
      </c>
      <c r="AJ115" s="31" t="str">
        <f>IF(LEN(_DB_Exercises!BE118)&gt;0,_DB_Exercises!BE118,"")</f>
        <v/>
      </c>
      <c r="AK115" s="31" t="str">
        <f>IF(LEN(_DB_Exercises!BF118)&gt;0,_DB_Exercises!BF118,"")</f>
        <v/>
      </c>
      <c r="AL115" s="31" t="str">
        <f>IF(LEN(_DB_Exercises!BG118)&gt;0,_DB_Exercises!BG118,"")</f>
        <v/>
      </c>
      <c r="AM115" s="31" t="str">
        <f>IF(LEN(_DB_Exercises!BH118)&gt;0,_DB_Exercises!BH118,"")</f>
        <v/>
      </c>
      <c r="AN115" s="31" t="str">
        <f>IF(LEN(_DB_Exercises!BI118)&gt;0,_DB_Exercises!BI118,"")</f>
        <v/>
      </c>
      <c r="AO115" s="31" t="str">
        <f>IF(LEN(_DB_Exercises!BJ118)&gt;0,_DB_Exercises!BJ118,"")</f>
        <v/>
      </c>
      <c r="AP115" s="31" t="str">
        <f>IF(LEN(_DB_Exercises!BK118)&gt;0,_DB_Exercises!BK118,"")</f>
        <v/>
      </c>
      <c r="AQ115" s="31" t="str">
        <f>IF(LEN(_DB_Exercises!BL118)&gt;0,_DB_Exercises!BL118,"")</f>
        <v/>
      </c>
      <c r="AR115" s="31" t="str">
        <f>IF(LEN(_DB_Exercises!BM118)&gt;0,_DB_Exercises!BM118,"")</f>
        <v/>
      </c>
    </row>
    <row r="116" spans="1:44" ht="30" x14ac:dyDescent="0.25">
      <c r="A116" s="11">
        <f>IF(LEN(_DB_Exercises!A119)&gt;0,_DB_Exercises!A119,"")</f>
        <v>2107</v>
      </c>
      <c r="B116" s="14" t="str">
        <f>IF(LEN(_DB_Exercises!K119)&gt;0,_DB_Exercises!K119,"")</f>
        <v>SelfCoaching Exploration 
4b    The blind walk  a shift in perception</v>
      </c>
      <c r="C116" s="31" t="str">
        <f>IF(LEN(_DB_Exercises!X119)&gt;0,_DB_Exercises!X119,"")</f>
        <v/>
      </c>
      <c r="D116" s="31" t="str">
        <f>IF(LEN(_DB_Exercises!Y119)&gt;0,_DB_Exercises!Y119,"")</f>
        <v/>
      </c>
      <c r="E116" s="31" t="str">
        <f>IF(LEN(_DB_Exercises!Z119)&gt;0,_DB_Exercises!Z119,"")</f>
        <v/>
      </c>
      <c r="F116" s="31" t="str">
        <f>IF(LEN(_DB_Exercises!AA119)&gt;0,_DB_Exercises!AA119,"")</f>
        <v/>
      </c>
      <c r="G116" s="31" t="str">
        <f>IF(LEN(_DB_Exercises!AB119)&gt;0,_DB_Exercises!AB119,"")</f>
        <v/>
      </c>
      <c r="H116" s="31" t="str">
        <f>IF(LEN(_DB_Exercises!AC119)&gt;0,_DB_Exercises!AC119,"")</f>
        <v/>
      </c>
      <c r="I116" s="31" t="str">
        <f>IF(LEN(_DB_Exercises!AD119)&gt;0,_DB_Exercises!AD119,"")</f>
        <v/>
      </c>
      <c r="J116" s="31" t="str">
        <f>IF(LEN(_DB_Exercises!AE119)&gt;0,_DB_Exercises!AE119,"")</f>
        <v/>
      </c>
      <c r="K116" s="31" t="str">
        <f>IF(LEN(_DB_Exercises!AF119)&gt;0,_DB_Exercises!AF119,"")</f>
        <v/>
      </c>
      <c r="L116" s="31" t="str">
        <f>IF(LEN(_DB_Exercises!AG119)&gt;0,_DB_Exercises!AG119,"")</f>
        <v/>
      </c>
      <c r="M116" s="31" t="str">
        <f>IF(LEN(_DB_Exercises!AH119)&gt;0,_DB_Exercises!AH119,"")</f>
        <v/>
      </c>
      <c r="N116" s="31" t="str">
        <f>IF(LEN(_DB_Exercises!AI119)&gt;0,_DB_Exercises!AI119,"")</f>
        <v/>
      </c>
      <c r="O116" s="31" t="str">
        <f>IF(LEN(_DB_Exercises!AJ119)&gt;0,_DB_Exercises!AJ119,"")</f>
        <v/>
      </c>
      <c r="P116" s="31" t="str">
        <f>IF(LEN(_DB_Exercises!AK119)&gt;0,_DB_Exercises!AK119,"")</f>
        <v/>
      </c>
      <c r="Q116" s="31" t="str">
        <f>IF(LEN(_DB_Exercises!AL119)&gt;0,_DB_Exercises!AL119,"")</f>
        <v/>
      </c>
      <c r="R116" s="31" t="str">
        <f>IF(LEN(_DB_Exercises!AM119)&gt;0,_DB_Exercises!AM119,"")</f>
        <v/>
      </c>
      <c r="S116" s="31" t="str">
        <f>IF(LEN(_DB_Exercises!AN119)&gt;0,_DB_Exercises!AN119,"")</f>
        <v/>
      </c>
      <c r="T116" s="31" t="str">
        <f>IF(LEN(_DB_Exercises!AO119)&gt;0,_DB_Exercises!AO119,"")</f>
        <v/>
      </c>
      <c r="U116" s="31" t="str">
        <f>IF(LEN(_DB_Exercises!AP119)&gt;0,_DB_Exercises!AP119,"")</f>
        <v/>
      </c>
      <c r="V116" s="31" t="str">
        <f>IF(LEN(_DB_Exercises!AQ119)&gt;0,_DB_Exercises!AQ119,"")</f>
        <v/>
      </c>
      <c r="W116" s="31" t="str">
        <f>IF(LEN(_DB_Exercises!AR119)&gt;0,_DB_Exercises!AR119,"")</f>
        <v/>
      </c>
      <c r="X116" s="31" t="str">
        <f>IF(LEN(_DB_Exercises!AS119)&gt;0,_DB_Exercises!AS119,"")</f>
        <v/>
      </c>
      <c r="Y116" s="31" t="str">
        <f>IF(LEN(_DB_Exercises!AT119)&gt;0,_DB_Exercises!AT119,"")</f>
        <v/>
      </c>
      <c r="Z116" s="31" t="str">
        <f>IF(LEN(_DB_Exercises!AU119)&gt;0,_DB_Exercises!AU119,"")</f>
        <v/>
      </c>
      <c r="AA116" s="31" t="str">
        <f>IF(LEN(_DB_Exercises!AV119)&gt;0,_DB_Exercises!AV119,"")</f>
        <v/>
      </c>
      <c r="AB116" s="31" t="str">
        <f>IF(LEN(_DB_Exercises!AW119)&gt;0,_DB_Exercises!AW119,"")</f>
        <v/>
      </c>
      <c r="AC116" s="31" t="str">
        <f>IF(LEN(_DB_Exercises!AX119)&gt;0,_DB_Exercises!AX119,"")</f>
        <v/>
      </c>
      <c r="AD116" s="31" t="str">
        <f>IF(LEN(_DB_Exercises!AY119)&gt;0,_DB_Exercises!AY119,"")</f>
        <v/>
      </c>
      <c r="AE116" s="31" t="str">
        <f>IF(LEN(_DB_Exercises!AZ119)&gt;0,_DB_Exercises!AZ119,"")</f>
        <v/>
      </c>
      <c r="AF116" s="31" t="str">
        <f>IF(LEN(_DB_Exercises!BA119)&gt;0,_DB_Exercises!BA119,"")</f>
        <v/>
      </c>
      <c r="AG116" s="31" t="str">
        <f>IF(LEN(_DB_Exercises!BB119)&gt;0,_DB_Exercises!BB119,"")</f>
        <v/>
      </c>
      <c r="AH116" s="31" t="str">
        <f>IF(LEN(_DB_Exercises!BC119)&gt;0,_DB_Exercises!BC119,"")</f>
        <v/>
      </c>
      <c r="AI116" s="31" t="str">
        <f>IF(LEN(_DB_Exercises!BD119)&gt;0,_DB_Exercises!BD119,"")</f>
        <v/>
      </c>
      <c r="AJ116" s="31" t="str">
        <f>IF(LEN(_DB_Exercises!BE119)&gt;0,_DB_Exercises!BE119,"")</f>
        <v/>
      </c>
      <c r="AK116" s="31" t="str">
        <f>IF(LEN(_DB_Exercises!BF119)&gt;0,_DB_Exercises!BF119,"")</f>
        <v/>
      </c>
      <c r="AL116" s="31" t="str">
        <f>IF(LEN(_DB_Exercises!BG119)&gt;0,_DB_Exercises!BG119,"")</f>
        <v/>
      </c>
      <c r="AM116" s="31" t="str">
        <f>IF(LEN(_DB_Exercises!BH119)&gt;0,_DB_Exercises!BH119,"")</f>
        <v/>
      </c>
      <c r="AN116" s="31" t="str">
        <f>IF(LEN(_DB_Exercises!BI119)&gt;0,_DB_Exercises!BI119,"")</f>
        <v/>
      </c>
      <c r="AO116" s="31" t="str">
        <f>IF(LEN(_DB_Exercises!BJ119)&gt;0,_DB_Exercises!BJ119,"")</f>
        <v/>
      </c>
      <c r="AP116" s="31" t="str">
        <f>IF(LEN(_DB_Exercises!BK119)&gt;0,_DB_Exercises!BK119,"")</f>
        <v/>
      </c>
      <c r="AQ116" s="31" t="str">
        <f>IF(LEN(_DB_Exercises!BL119)&gt;0,_DB_Exercises!BL119,"")</f>
        <v/>
      </c>
      <c r="AR116" s="31" t="str">
        <f>IF(LEN(_DB_Exercises!BM119)&gt;0,_DB_Exercises!BM119,"")</f>
        <v/>
      </c>
    </row>
    <row r="117" spans="1:44" ht="30" x14ac:dyDescent="0.25">
      <c r="A117" s="11">
        <f>IF(LEN(_DB_Exercises!A120)&gt;0,_DB_Exercises!A120,"")</f>
        <v>2108</v>
      </c>
      <c r="B117" s="14" t="str">
        <f>IF(LEN(_DB_Exercises!K120)&gt;0,_DB_Exercises!K120,"")</f>
        <v>SelfCoaching Exploration 
5a    Putt and predict direction</v>
      </c>
      <c r="C117" s="31" t="str">
        <f>IF(LEN(_DB_Exercises!X120)&gt;0,_DB_Exercises!X120,"")</f>
        <v/>
      </c>
      <c r="D117" s="31" t="str">
        <f>IF(LEN(_DB_Exercises!Y120)&gt;0,_DB_Exercises!Y120,"")</f>
        <v/>
      </c>
      <c r="E117" s="31" t="str">
        <f>IF(LEN(_DB_Exercises!Z120)&gt;0,_DB_Exercises!Z120,"")</f>
        <v/>
      </c>
      <c r="F117" s="31" t="str">
        <f>IF(LEN(_DB_Exercises!AA120)&gt;0,_DB_Exercises!AA120,"")</f>
        <v/>
      </c>
      <c r="G117" s="31" t="str">
        <f>IF(LEN(_DB_Exercises!AB120)&gt;0,_DB_Exercises!AB120,"")</f>
        <v/>
      </c>
      <c r="H117" s="31" t="str">
        <f>IF(LEN(_DB_Exercises!AC120)&gt;0,_DB_Exercises!AC120,"")</f>
        <v/>
      </c>
      <c r="I117" s="31" t="str">
        <f>IF(LEN(_DB_Exercises!AD120)&gt;0,_DB_Exercises!AD120,"")</f>
        <v/>
      </c>
      <c r="J117" s="31" t="str">
        <f>IF(LEN(_DB_Exercises!AE120)&gt;0,_DB_Exercises!AE120,"")</f>
        <v/>
      </c>
      <c r="K117" s="31" t="str">
        <f>IF(LEN(_DB_Exercises!AF120)&gt;0,_DB_Exercises!AF120,"")</f>
        <v/>
      </c>
      <c r="L117" s="31" t="str">
        <f>IF(LEN(_DB_Exercises!AG120)&gt;0,_DB_Exercises!AG120,"")</f>
        <v/>
      </c>
      <c r="M117" s="31" t="str">
        <f>IF(LEN(_DB_Exercises!AH120)&gt;0,_DB_Exercises!AH120,"")</f>
        <v/>
      </c>
      <c r="N117" s="31" t="str">
        <f>IF(LEN(_DB_Exercises!AI120)&gt;0,_DB_Exercises!AI120,"")</f>
        <v/>
      </c>
      <c r="O117" s="31" t="str">
        <f>IF(LEN(_DB_Exercises!AJ120)&gt;0,_DB_Exercises!AJ120,"")</f>
        <v/>
      </c>
      <c r="P117" s="31" t="str">
        <f>IF(LEN(_DB_Exercises!AK120)&gt;0,_DB_Exercises!AK120,"")</f>
        <v/>
      </c>
      <c r="Q117" s="31" t="str">
        <f>IF(LEN(_DB_Exercises!AL120)&gt;0,_DB_Exercises!AL120,"")</f>
        <v/>
      </c>
      <c r="R117" s="31" t="str">
        <f>IF(LEN(_DB_Exercises!AM120)&gt;0,_DB_Exercises!AM120,"")</f>
        <v/>
      </c>
      <c r="S117" s="31" t="str">
        <f>IF(LEN(_DB_Exercises!AN120)&gt;0,_DB_Exercises!AN120,"")</f>
        <v/>
      </c>
      <c r="T117" s="31" t="str">
        <f>IF(LEN(_DB_Exercises!AO120)&gt;0,_DB_Exercises!AO120,"")</f>
        <v/>
      </c>
      <c r="U117" s="31" t="str">
        <f>IF(LEN(_DB_Exercises!AP120)&gt;0,_DB_Exercises!AP120,"")</f>
        <v/>
      </c>
      <c r="V117" s="31" t="str">
        <f>IF(LEN(_DB_Exercises!AQ120)&gt;0,_DB_Exercises!AQ120,"")</f>
        <v/>
      </c>
      <c r="W117" s="31" t="str">
        <f>IF(LEN(_DB_Exercises!AR120)&gt;0,_DB_Exercises!AR120,"")</f>
        <v/>
      </c>
      <c r="X117" s="31" t="str">
        <f>IF(LEN(_DB_Exercises!AS120)&gt;0,_DB_Exercises!AS120,"")</f>
        <v/>
      </c>
      <c r="Y117" s="31" t="str">
        <f>IF(LEN(_DB_Exercises!AT120)&gt;0,_DB_Exercises!AT120,"")</f>
        <v/>
      </c>
      <c r="Z117" s="31" t="str">
        <f>IF(LEN(_DB_Exercises!AU120)&gt;0,_DB_Exercises!AU120,"")</f>
        <v/>
      </c>
      <c r="AA117" s="31" t="str">
        <f>IF(LEN(_DB_Exercises!AV120)&gt;0,_DB_Exercises!AV120,"")</f>
        <v/>
      </c>
      <c r="AB117" s="31" t="str">
        <f>IF(LEN(_DB_Exercises!AW120)&gt;0,_DB_Exercises!AW120,"")</f>
        <v/>
      </c>
      <c r="AC117" s="31" t="str">
        <f>IF(LEN(_DB_Exercises!AX120)&gt;0,_DB_Exercises!AX120,"")</f>
        <v/>
      </c>
      <c r="AD117" s="31" t="str">
        <f>IF(LEN(_DB_Exercises!AY120)&gt;0,_DB_Exercises!AY120,"")</f>
        <v/>
      </c>
      <c r="AE117" s="31" t="str">
        <f>IF(LEN(_DB_Exercises!AZ120)&gt;0,_DB_Exercises!AZ120,"")</f>
        <v/>
      </c>
      <c r="AF117" s="31" t="str">
        <f>IF(LEN(_DB_Exercises!BA120)&gt;0,_DB_Exercises!BA120,"")</f>
        <v/>
      </c>
      <c r="AG117" s="31" t="str">
        <f>IF(LEN(_DB_Exercises!BB120)&gt;0,_DB_Exercises!BB120,"")</f>
        <v/>
      </c>
      <c r="AH117" s="31" t="str">
        <f>IF(LEN(_DB_Exercises!BC120)&gt;0,_DB_Exercises!BC120,"")</f>
        <v/>
      </c>
      <c r="AI117" s="31" t="str">
        <f>IF(LEN(_DB_Exercises!BD120)&gt;0,_DB_Exercises!BD120,"")</f>
        <v/>
      </c>
      <c r="AJ117" s="31" t="str">
        <f>IF(LEN(_DB_Exercises!BE120)&gt;0,_DB_Exercises!BE120,"")</f>
        <v/>
      </c>
      <c r="AK117" s="31" t="str">
        <f>IF(LEN(_DB_Exercises!BF120)&gt;0,_DB_Exercises!BF120,"")</f>
        <v/>
      </c>
      <c r="AL117" s="31" t="str">
        <f>IF(LEN(_DB_Exercises!BG120)&gt;0,_DB_Exercises!BG120,"")</f>
        <v/>
      </c>
      <c r="AM117" s="31" t="str">
        <f>IF(LEN(_DB_Exercises!BH120)&gt;0,_DB_Exercises!BH120,"")</f>
        <v/>
      </c>
      <c r="AN117" s="31" t="str">
        <f>IF(LEN(_DB_Exercises!BI120)&gt;0,_DB_Exercises!BI120,"")</f>
        <v/>
      </c>
      <c r="AO117" s="31" t="str">
        <f>IF(LEN(_DB_Exercises!BJ120)&gt;0,_DB_Exercises!BJ120,"")</f>
        <v/>
      </c>
      <c r="AP117" s="31" t="str">
        <f>IF(LEN(_DB_Exercises!BK120)&gt;0,_DB_Exercises!BK120,"")</f>
        <v/>
      </c>
      <c r="AQ117" s="31" t="str">
        <f>IF(LEN(_DB_Exercises!BL120)&gt;0,_DB_Exercises!BL120,"")</f>
        <v/>
      </c>
      <c r="AR117" s="31" t="str">
        <f>IF(LEN(_DB_Exercises!BM120)&gt;0,_DB_Exercises!BM120,"")</f>
        <v/>
      </c>
    </row>
    <row r="118" spans="1:44" ht="30" x14ac:dyDescent="0.25">
      <c r="A118" s="11">
        <f>IF(LEN(_DB_Exercises!A121)&gt;0,_DB_Exercises!A121,"")</f>
        <v>2109</v>
      </c>
      <c r="B118" s="14" t="str">
        <f>IF(LEN(_DB_Exercises!K121)&gt;0,_DB_Exercises!K121,"")</f>
        <v>SelfCoaching Exploration 
5b    Putt and predict distance</v>
      </c>
      <c r="C118" s="31" t="str">
        <f>IF(LEN(_DB_Exercises!X121)&gt;0,_DB_Exercises!X121,"")</f>
        <v/>
      </c>
      <c r="D118" s="31" t="str">
        <f>IF(LEN(_DB_Exercises!Y121)&gt;0,_DB_Exercises!Y121,"")</f>
        <v/>
      </c>
      <c r="E118" s="31" t="str">
        <f>IF(LEN(_DB_Exercises!Z121)&gt;0,_DB_Exercises!Z121,"")</f>
        <v/>
      </c>
      <c r="F118" s="31" t="str">
        <f>IF(LEN(_DB_Exercises!AA121)&gt;0,_DB_Exercises!AA121,"")</f>
        <v/>
      </c>
      <c r="G118" s="31" t="str">
        <f>IF(LEN(_DB_Exercises!AB121)&gt;0,_DB_Exercises!AB121,"")</f>
        <v/>
      </c>
      <c r="H118" s="31" t="str">
        <f>IF(LEN(_DB_Exercises!AC121)&gt;0,_DB_Exercises!AC121,"")</f>
        <v/>
      </c>
      <c r="I118" s="31" t="str">
        <f>IF(LEN(_DB_Exercises!AD121)&gt;0,_DB_Exercises!AD121,"")</f>
        <v/>
      </c>
      <c r="J118" s="31" t="str">
        <f>IF(LEN(_DB_Exercises!AE121)&gt;0,_DB_Exercises!AE121,"")</f>
        <v/>
      </c>
      <c r="K118" s="31" t="str">
        <f>IF(LEN(_DB_Exercises!AF121)&gt;0,_DB_Exercises!AF121,"")</f>
        <v/>
      </c>
      <c r="L118" s="31" t="str">
        <f>IF(LEN(_DB_Exercises!AG121)&gt;0,_DB_Exercises!AG121,"")</f>
        <v/>
      </c>
      <c r="M118" s="31" t="str">
        <f>IF(LEN(_DB_Exercises!AH121)&gt;0,_DB_Exercises!AH121,"")</f>
        <v/>
      </c>
      <c r="N118" s="31" t="str">
        <f>IF(LEN(_DB_Exercises!AI121)&gt;0,_DB_Exercises!AI121,"")</f>
        <v/>
      </c>
      <c r="O118" s="31" t="str">
        <f>IF(LEN(_DB_Exercises!AJ121)&gt;0,_DB_Exercises!AJ121,"")</f>
        <v/>
      </c>
      <c r="P118" s="31" t="str">
        <f>IF(LEN(_DB_Exercises!AK121)&gt;0,_DB_Exercises!AK121,"")</f>
        <v/>
      </c>
      <c r="Q118" s="31" t="str">
        <f>IF(LEN(_DB_Exercises!AL121)&gt;0,_DB_Exercises!AL121,"")</f>
        <v/>
      </c>
      <c r="R118" s="31" t="str">
        <f>IF(LEN(_DB_Exercises!AM121)&gt;0,_DB_Exercises!AM121,"")</f>
        <v/>
      </c>
      <c r="S118" s="31" t="str">
        <f>IF(LEN(_DB_Exercises!AN121)&gt;0,_DB_Exercises!AN121,"")</f>
        <v/>
      </c>
      <c r="T118" s="31" t="str">
        <f>IF(LEN(_DB_Exercises!AO121)&gt;0,_DB_Exercises!AO121,"")</f>
        <v/>
      </c>
      <c r="U118" s="31" t="str">
        <f>IF(LEN(_DB_Exercises!AP121)&gt;0,_DB_Exercises!AP121,"")</f>
        <v/>
      </c>
      <c r="V118" s="31" t="str">
        <f>IF(LEN(_DB_Exercises!AQ121)&gt;0,_DB_Exercises!AQ121,"")</f>
        <v/>
      </c>
      <c r="W118" s="31" t="str">
        <f>IF(LEN(_DB_Exercises!AR121)&gt;0,_DB_Exercises!AR121,"")</f>
        <v/>
      </c>
      <c r="X118" s="31" t="str">
        <f>IF(LEN(_DB_Exercises!AS121)&gt;0,_DB_Exercises!AS121,"")</f>
        <v/>
      </c>
      <c r="Y118" s="31" t="str">
        <f>IF(LEN(_DB_Exercises!AT121)&gt;0,_DB_Exercises!AT121,"")</f>
        <v/>
      </c>
      <c r="Z118" s="31" t="str">
        <f>IF(LEN(_DB_Exercises!AU121)&gt;0,_DB_Exercises!AU121,"")</f>
        <v/>
      </c>
      <c r="AA118" s="31" t="str">
        <f>IF(LEN(_DB_Exercises!AV121)&gt;0,_DB_Exercises!AV121,"")</f>
        <v/>
      </c>
      <c r="AB118" s="31" t="str">
        <f>IF(LEN(_DB_Exercises!AW121)&gt;0,_DB_Exercises!AW121,"")</f>
        <v/>
      </c>
      <c r="AC118" s="31" t="str">
        <f>IF(LEN(_DB_Exercises!AX121)&gt;0,_DB_Exercises!AX121,"")</f>
        <v/>
      </c>
      <c r="AD118" s="31" t="str">
        <f>IF(LEN(_DB_Exercises!AY121)&gt;0,_DB_Exercises!AY121,"")</f>
        <v/>
      </c>
      <c r="AE118" s="31" t="str">
        <f>IF(LEN(_DB_Exercises!AZ121)&gt;0,_DB_Exercises!AZ121,"")</f>
        <v/>
      </c>
      <c r="AF118" s="31" t="str">
        <f>IF(LEN(_DB_Exercises!BA121)&gt;0,_DB_Exercises!BA121,"")</f>
        <v/>
      </c>
      <c r="AG118" s="31" t="str">
        <f>IF(LEN(_DB_Exercises!BB121)&gt;0,_DB_Exercises!BB121,"")</f>
        <v/>
      </c>
      <c r="AH118" s="31" t="str">
        <f>IF(LEN(_DB_Exercises!BC121)&gt;0,_DB_Exercises!BC121,"")</f>
        <v/>
      </c>
      <c r="AI118" s="31" t="str">
        <f>IF(LEN(_DB_Exercises!BD121)&gt;0,_DB_Exercises!BD121,"")</f>
        <v/>
      </c>
      <c r="AJ118" s="31" t="str">
        <f>IF(LEN(_DB_Exercises!BE121)&gt;0,_DB_Exercises!BE121,"")</f>
        <v/>
      </c>
      <c r="AK118" s="31" t="str">
        <f>IF(LEN(_DB_Exercises!BF121)&gt;0,_DB_Exercises!BF121,"")</f>
        <v/>
      </c>
      <c r="AL118" s="31" t="str">
        <f>IF(LEN(_DB_Exercises!BG121)&gt;0,_DB_Exercises!BG121,"")</f>
        <v/>
      </c>
      <c r="AM118" s="31" t="str">
        <f>IF(LEN(_DB_Exercises!BH121)&gt;0,_DB_Exercises!BH121,"")</f>
        <v/>
      </c>
      <c r="AN118" s="31" t="str">
        <f>IF(LEN(_DB_Exercises!BI121)&gt;0,_DB_Exercises!BI121,"")</f>
        <v/>
      </c>
      <c r="AO118" s="31" t="str">
        <f>IF(LEN(_DB_Exercises!BJ121)&gt;0,_DB_Exercises!BJ121,"")</f>
        <v/>
      </c>
      <c r="AP118" s="31" t="str">
        <f>IF(LEN(_DB_Exercises!BK121)&gt;0,_DB_Exercises!BK121,"")</f>
        <v/>
      </c>
      <c r="AQ118" s="31" t="str">
        <f>IF(LEN(_DB_Exercises!BL121)&gt;0,_DB_Exercises!BL121,"")</f>
        <v/>
      </c>
      <c r="AR118" s="31" t="str">
        <f>IF(LEN(_DB_Exercises!BM121)&gt;0,_DB_Exercises!BM121,"")</f>
        <v/>
      </c>
    </row>
    <row r="119" spans="1:44" x14ac:dyDescent="0.25">
      <c r="A119" s="11">
        <f>IF(LEN(_DB_Exercises!A122)&gt;0,_DB_Exercises!A122,"")</f>
        <v>2110</v>
      </c>
      <c r="B119" s="14" t="str">
        <f>IF(LEN(_DB_Exercises!K122)&gt;0,_DB_Exercises!K122,"")</f>
        <v>Putting  Hero</v>
      </c>
      <c r="C119" s="31" t="str">
        <f>IF(LEN(_DB_Exercises!X122)&gt;0,_DB_Exercises!X122,"")</f>
        <v/>
      </c>
      <c r="D119" s="31" t="str">
        <f>IF(LEN(_DB_Exercises!Y122)&gt;0,_DB_Exercises!Y122,"")</f>
        <v/>
      </c>
      <c r="E119" s="31" t="str">
        <f>IF(LEN(_DB_Exercises!Z122)&gt;0,_DB_Exercises!Z122,"")</f>
        <v/>
      </c>
      <c r="F119" s="31" t="str">
        <f>IF(LEN(_DB_Exercises!AA122)&gt;0,_DB_Exercises!AA122,"")</f>
        <v/>
      </c>
      <c r="G119" s="31" t="str">
        <f>IF(LEN(_DB_Exercises!AB122)&gt;0,_DB_Exercises!AB122,"")</f>
        <v/>
      </c>
      <c r="H119" s="31" t="str">
        <f>IF(LEN(_DB_Exercises!AC122)&gt;0,_DB_Exercises!AC122,"")</f>
        <v/>
      </c>
      <c r="I119" s="31" t="str">
        <f>IF(LEN(_DB_Exercises!AD122)&gt;0,_DB_Exercises!AD122,"")</f>
        <v/>
      </c>
      <c r="J119" s="31" t="str">
        <f>IF(LEN(_DB_Exercises!AE122)&gt;0,_DB_Exercises!AE122,"")</f>
        <v/>
      </c>
      <c r="K119" s="31" t="str">
        <f>IF(LEN(_DB_Exercises!AF122)&gt;0,_DB_Exercises!AF122,"")</f>
        <v/>
      </c>
      <c r="L119" s="31" t="str">
        <f>IF(LEN(_DB_Exercises!AG122)&gt;0,_DB_Exercises!AG122,"")</f>
        <v/>
      </c>
      <c r="M119" s="31" t="str">
        <f>IF(LEN(_DB_Exercises!AH122)&gt;0,_DB_Exercises!AH122,"")</f>
        <v/>
      </c>
      <c r="N119" s="31" t="str">
        <f>IF(LEN(_DB_Exercises!AI122)&gt;0,_DB_Exercises!AI122,"")</f>
        <v/>
      </c>
      <c r="O119" s="31" t="str">
        <f>IF(LEN(_DB_Exercises!AJ122)&gt;0,_DB_Exercises!AJ122,"")</f>
        <v/>
      </c>
      <c r="P119" s="31" t="str">
        <f>IF(LEN(_DB_Exercises!AK122)&gt;0,_DB_Exercises!AK122,"")</f>
        <v/>
      </c>
      <c r="Q119" s="31" t="str">
        <f>IF(LEN(_DB_Exercises!AL122)&gt;0,_DB_Exercises!AL122,"")</f>
        <v/>
      </c>
      <c r="R119" s="31" t="str">
        <f>IF(LEN(_DB_Exercises!AM122)&gt;0,_DB_Exercises!AM122,"")</f>
        <v/>
      </c>
      <c r="S119" s="31" t="str">
        <f>IF(LEN(_DB_Exercises!AN122)&gt;0,_DB_Exercises!AN122,"")</f>
        <v/>
      </c>
      <c r="T119" s="31" t="str">
        <f>IF(LEN(_DB_Exercises!AO122)&gt;0,_DB_Exercises!AO122,"")</f>
        <v/>
      </c>
      <c r="U119" s="31" t="str">
        <f>IF(LEN(_DB_Exercises!AP122)&gt;0,_DB_Exercises!AP122,"")</f>
        <v/>
      </c>
      <c r="V119" s="31" t="str">
        <f>IF(LEN(_DB_Exercises!AQ122)&gt;0,_DB_Exercises!AQ122,"")</f>
        <v/>
      </c>
      <c r="W119" s="31" t="str">
        <f>IF(LEN(_DB_Exercises!AR122)&gt;0,_DB_Exercises!AR122,"")</f>
        <v/>
      </c>
      <c r="X119" s="31" t="str">
        <f>IF(LEN(_DB_Exercises!AS122)&gt;0,_DB_Exercises!AS122,"")</f>
        <v/>
      </c>
      <c r="Y119" s="31" t="str">
        <f>IF(LEN(_DB_Exercises!AT122)&gt;0,_DB_Exercises!AT122,"")</f>
        <v/>
      </c>
      <c r="Z119" s="31" t="str">
        <f>IF(LEN(_DB_Exercises!AU122)&gt;0,_DB_Exercises!AU122,"")</f>
        <v/>
      </c>
      <c r="AA119" s="31" t="str">
        <f>IF(LEN(_DB_Exercises!AV122)&gt;0,_DB_Exercises!AV122,"")</f>
        <v/>
      </c>
      <c r="AB119" s="31" t="str">
        <f>IF(LEN(_DB_Exercises!AW122)&gt;0,_DB_Exercises!AW122,"")</f>
        <v/>
      </c>
      <c r="AC119" s="31" t="str">
        <f>IF(LEN(_DB_Exercises!AX122)&gt;0,_DB_Exercises!AX122,"")</f>
        <v/>
      </c>
      <c r="AD119" s="31" t="str">
        <f>IF(LEN(_DB_Exercises!AY122)&gt;0,_DB_Exercises!AY122,"")</f>
        <v/>
      </c>
      <c r="AE119" s="31" t="str">
        <f>IF(LEN(_DB_Exercises!AZ122)&gt;0,_DB_Exercises!AZ122,"")</f>
        <v/>
      </c>
      <c r="AF119" s="31" t="str">
        <f>IF(LEN(_DB_Exercises!BA122)&gt;0,_DB_Exercises!BA122,"")</f>
        <v/>
      </c>
      <c r="AG119" s="31" t="str">
        <f>IF(LEN(_DB_Exercises!BB122)&gt;0,_DB_Exercises!BB122,"")</f>
        <v/>
      </c>
      <c r="AH119" s="31" t="str">
        <f>IF(LEN(_DB_Exercises!BC122)&gt;0,_DB_Exercises!BC122,"")</f>
        <v/>
      </c>
      <c r="AI119" s="31" t="str">
        <f>IF(LEN(_DB_Exercises!BD122)&gt;0,_DB_Exercises!BD122,"")</f>
        <v/>
      </c>
      <c r="AJ119" s="31" t="str">
        <f>IF(LEN(_DB_Exercises!BE122)&gt;0,_DB_Exercises!BE122,"")</f>
        <v/>
      </c>
      <c r="AK119" s="31" t="str">
        <f>IF(LEN(_DB_Exercises!BF122)&gt;0,_DB_Exercises!BF122,"")</f>
        <v/>
      </c>
      <c r="AL119" s="31" t="str">
        <f>IF(LEN(_DB_Exercises!BG122)&gt;0,_DB_Exercises!BG122,"")</f>
        <v/>
      </c>
      <c r="AM119" s="31" t="str">
        <f>IF(LEN(_DB_Exercises!BH122)&gt;0,_DB_Exercises!BH122,"")</f>
        <v/>
      </c>
      <c r="AN119" s="31" t="str">
        <f>IF(LEN(_DB_Exercises!BI122)&gt;0,_DB_Exercises!BI122,"")</f>
        <v/>
      </c>
      <c r="AO119" s="31" t="str">
        <f>IF(LEN(_DB_Exercises!BJ122)&gt;0,_DB_Exercises!BJ122,"")</f>
        <v/>
      </c>
      <c r="AP119" s="31" t="str">
        <f>IF(LEN(_DB_Exercises!BK122)&gt;0,_DB_Exercises!BK122,"")</f>
        <v/>
      </c>
      <c r="AQ119" s="31" t="str">
        <f>IF(LEN(_DB_Exercises!BL122)&gt;0,_DB_Exercises!BL122,"")</f>
        <v/>
      </c>
      <c r="AR119" s="31" t="str">
        <f>IF(LEN(_DB_Exercises!BM122)&gt;0,_DB_Exercises!BM122,"")</f>
        <v/>
      </c>
    </row>
    <row r="120" spans="1:44" x14ac:dyDescent="0.25">
      <c r="A120" s="11">
        <f>IF(LEN(_DB_Exercises!A124)&gt;0,_DB_Exercises!A124,"")</f>
        <v>2112</v>
      </c>
      <c r="B120" s="14" t="str">
        <f>IF(LEN(_DB_Exercises!K124)&gt;0,_DB_Exercises!K124,"")</f>
        <v>Putting Extrem #2</v>
      </c>
      <c r="C120" s="31">
        <f>IF(LEN(_DB_Exercises!X124)&gt;0,_DB_Exercises!X124,"")</f>
        <v>95</v>
      </c>
      <c r="D120" s="31">
        <f>IF(LEN(_DB_Exercises!Y124)&gt;0,_DB_Exercises!Y124,"")</f>
        <v>93</v>
      </c>
      <c r="E120" s="31">
        <f>IF(LEN(_DB_Exercises!Z124)&gt;0,_DB_Exercises!Z124,"")</f>
        <v>91</v>
      </c>
      <c r="F120" s="31">
        <f>IF(LEN(_DB_Exercises!AA124)&gt;0,_DB_Exercises!AA124,"")</f>
        <v>89</v>
      </c>
      <c r="G120" s="31">
        <f>IF(LEN(_DB_Exercises!AB124)&gt;0,_DB_Exercises!AB124,"")</f>
        <v>87</v>
      </c>
      <c r="H120" s="31">
        <f>IF(LEN(_DB_Exercises!AC124)&gt;0,_DB_Exercises!AC124,"")</f>
        <v>85</v>
      </c>
      <c r="I120" s="31">
        <f>IF(LEN(_DB_Exercises!AD124)&gt;0,_DB_Exercises!AD124,"")</f>
        <v>82</v>
      </c>
      <c r="J120" s="31">
        <f>IF(LEN(_DB_Exercises!AE124)&gt;0,_DB_Exercises!AE124,"")</f>
        <v>80</v>
      </c>
      <c r="K120" s="31">
        <f>IF(LEN(_DB_Exercises!AF124)&gt;0,_DB_Exercises!AF124,"")</f>
        <v>78</v>
      </c>
      <c r="L120" s="31">
        <f>IF(LEN(_DB_Exercises!AG124)&gt;0,_DB_Exercises!AG124,"")</f>
        <v>76</v>
      </c>
      <c r="M120" s="31">
        <f>IF(LEN(_DB_Exercises!AH124)&gt;0,_DB_Exercises!AH124,"")</f>
        <v>74</v>
      </c>
      <c r="N120" s="31">
        <f>IF(LEN(_DB_Exercises!AI124)&gt;0,_DB_Exercises!AI124,"")</f>
        <v>72</v>
      </c>
      <c r="O120" s="31">
        <f>IF(LEN(_DB_Exercises!AJ124)&gt;0,_DB_Exercises!AJ124,"")</f>
        <v>70</v>
      </c>
      <c r="P120" s="31">
        <f>IF(LEN(_DB_Exercises!AK124)&gt;0,_DB_Exercises!AK124,"")</f>
        <v>68</v>
      </c>
      <c r="Q120" s="31">
        <f>IF(LEN(_DB_Exercises!AL124)&gt;0,_DB_Exercises!AL124,"")</f>
        <v>66</v>
      </c>
      <c r="R120" s="31">
        <f>IF(LEN(_DB_Exercises!AM124)&gt;0,_DB_Exercises!AM124,"")</f>
        <v>64</v>
      </c>
      <c r="S120" s="31">
        <f>IF(LEN(_DB_Exercises!AN124)&gt;0,_DB_Exercises!AN124,"")</f>
        <v>61</v>
      </c>
      <c r="T120" s="31">
        <f>IF(LEN(_DB_Exercises!AO124)&gt;0,_DB_Exercises!AO124,"")</f>
        <v>59</v>
      </c>
      <c r="U120" s="31">
        <f>IF(LEN(_DB_Exercises!AP124)&gt;0,_DB_Exercises!AP124,"")</f>
        <v>57</v>
      </c>
      <c r="V120" s="31">
        <f>IF(LEN(_DB_Exercises!AQ124)&gt;0,_DB_Exercises!AQ124,"")</f>
        <v>55</v>
      </c>
      <c r="W120" s="31">
        <f>IF(LEN(_DB_Exercises!AR124)&gt;0,_DB_Exercises!AR124,"")</f>
        <v>53</v>
      </c>
      <c r="X120" s="31">
        <f>IF(LEN(_DB_Exercises!AS124)&gt;0,_DB_Exercises!AS124,"")</f>
        <v>51</v>
      </c>
      <c r="Y120" s="31">
        <f>IF(LEN(_DB_Exercises!AT124)&gt;0,_DB_Exercises!AT124,"")</f>
        <v>49</v>
      </c>
      <c r="Z120" s="31">
        <f>IF(LEN(_DB_Exercises!AU124)&gt;0,_DB_Exercises!AU124,"")</f>
        <v>47</v>
      </c>
      <c r="AA120" s="31">
        <f>IF(LEN(_DB_Exercises!AV124)&gt;0,_DB_Exercises!AV124,"")</f>
        <v>45</v>
      </c>
      <c r="AB120" s="31">
        <f>IF(LEN(_DB_Exercises!AW124)&gt;0,_DB_Exercises!AW124,"")</f>
        <v>43</v>
      </c>
      <c r="AC120" s="31">
        <f>IF(LEN(_DB_Exercises!AX124)&gt;0,_DB_Exercises!AX124,"")</f>
        <v>40</v>
      </c>
      <c r="AD120" s="31">
        <f>IF(LEN(_DB_Exercises!AY124)&gt;0,_DB_Exercises!AY124,"")</f>
        <v>38</v>
      </c>
      <c r="AE120" s="31">
        <f>IF(LEN(_DB_Exercises!AZ124)&gt;0,_DB_Exercises!AZ124,"")</f>
        <v>36</v>
      </c>
      <c r="AF120" s="31">
        <f>IF(LEN(_DB_Exercises!BA124)&gt;0,_DB_Exercises!BA124,"")</f>
        <v>34</v>
      </c>
      <c r="AG120" s="31">
        <f>IF(LEN(_DB_Exercises!BB124)&gt;0,_DB_Exercises!BB124,"")</f>
        <v>32</v>
      </c>
      <c r="AH120" s="31">
        <f>IF(LEN(_DB_Exercises!BC124)&gt;0,_DB_Exercises!BC124,"")</f>
        <v>30</v>
      </c>
      <c r="AI120" s="31">
        <f>IF(LEN(_DB_Exercises!BD124)&gt;0,_DB_Exercises!BD124,"")</f>
        <v>28</v>
      </c>
      <c r="AJ120" s="31">
        <f>IF(LEN(_DB_Exercises!BE124)&gt;0,_DB_Exercises!BE124,"")</f>
        <v>26</v>
      </c>
      <c r="AK120" s="31">
        <f>IF(LEN(_DB_Exercises!BF124)&gt;0,_DB_Exercises!BF124,"")</f>
        <v>24</v>
      </c>
      <c r="AL120" s="31">
        <f>IF(LEN(_DB_Exercises!BG124)&gt;0,_DB_Exercises!BG124,"")</f>
        <v>22</v>
      </c>
      <c r="AM120" s="31">
        <f>IF(LEN(_DB_Exercises!BH124)&gt;0,_DB_Exercises!BH124,"")</f>
        <v>19</v>
      </c>
      <c r="AN120" s="31">
        <f>IF(LEN(_DB_Exercises!BI124)&gt;0,_DB_Exercises!BI124,"")</f>
        <v>17</v>
      </c>
      <c r="AO120" s="31">
        <f>IF(LEN(_DB_Exercises!BJ124)&gt;0,_DB_Exercises!BJ124,"")</f>
        <v>15</v>
      </c>
      <c r="AP120" s="31">
        <f>IF(LEN(_DB_Exercises!BK124)&gt;0,_DB_Exercises!BK124,"")</f>
        <v>13</v>
      </c>
      <c r="AQ120" s="31">
        <f>IF(LEN(_DB_Exercises!BL124)&gt;0,_DB_Exercises!BL124,"")</f>
        <v>11</v>
      </c>
      <c r="AR120" s="31">
        <f>IF(LEN(_DB_Exercises!BM124)&gt;0,_DB_Exercises!BM124,"")</f>
        <v>9</v>
      </c>
    </row>
    <row r="121" spans="1:44" x14ac:dyDescent="0.25">
      <c r="A121" s="11">
        <f>IF(LEN(_DB_Exercises!A126)&gt;0,_DB_Exercises!A126,"")</f>
        <v>2114</v>
      </c>
      <c r="B121" s="14" t="str">
        <f>IF(LEN(_DB_Exercises!K126)&gt;0,_DB_Exercises!K126,"")</f>
        <v>Putting Extrem #4</v>
      </c>
      <c r="C121" s="31">
        <f>IF(LEN(_DB_Exercises!X126)&gt;0,_DB_Exercises!X126,"")</f>
        <v>85</v>
      </c>
      <c r="D121" s="31">
        <f>IF(LEN(_DB_Exercises!Y126)&gt;0,_DB_Exercises!Y126,"")</f>
        <v>83</v>
      </c>
      <c r="E121" s="31">
        <f>IF(LEN(_DB_Exercises!Z126)&gt;0,_DB_Exercises!Z126,"")</f>
        <v>81</v>
      </c>
      <c r="F121" s="31">
        <f>IF(LEN(_DB_Exercises!AA126)&gt;0,_DB_Exercises!AA126,"")</f>
        <v>79</v>
      </c>
      <c r="G121" s="31">
        <f>IF(LEN(_DB_Exercises!AB126)&gt;0,_DB_Exercises!AB126,"")</f>
        <v>77</v>
      </c>
      <c r="H121" s="31">
        <f>IF(LEN(_DB_Exercises!AC126)&gt;0,_DB_Exercises!AC126,"")</f>
        <v>75</v>
      </c>
      <c r="I121" s="31">
        <f>IF(LEN(_DB_Exercises!AD126)&gt;0,_DB_Exercises!AD126,"")</f>
        <v>73</v>
      </c>
      <c r="J121" s="31">
        <f>IF(LEN(_DB_Exercises!AE126)&gt;0,_DB_Exercises!AE126,"")</f>
        <v>72</v>
      </c>
      <c r="K121" s="31">
        <f>IF(LEN(_DB_Exercises!AF126)&gt;0,_DB_Exercises!AF126,"")</f>
        <v>70</v>
      </c>
      <c r="L121" s="31">
        <f>IF(LEN(_DB_Exercises!AG126)&gt;0,_DB_Exercises!AG126,"")</f>
        <v>68</v>
      </c>
      <c r="M121" s="31">
        <f>IF(LEN(_DB_Exercises!AH126)&gt;0,_DB_Exercises!AH126,"")</f>
        <v>66</v>
      </c>
      <c r="N121" s="31">
        <f>IF(LEN(_DB_Exercises!AI126)&gt;0,_DB_Exercises!AI126,"")</f>
        <v>64</v>
      </c>
      <c r="O121" s="31">
        <f>IF(LEN(_DB_Exercises!AJ126)&gt;0,_DB_Exercises!AJ126,"")</f>
        <v>62</v>
      </c>
      <c r="P121" s="31">
        <f>IF(LEN(_DB_Exercises!AK126)&gt;0,_DB_Exercises!AK126,"")</f>
        <v>60</v>
      </c>
      <c r="Q121" s="31">
        <f>IF(LEN(_DB_Exercises!AL126)&gt;0,_DB_Exercises!AL126,"")</f>
        <v>58</v>
      </c>
      <c r="R121" s="31">
        <f>IF(LEN(_DB_Exercises!AM126)&gt;0,_DB_Exercises!AM126,"")</f>
        <v>56</v>
      </c>
      <c r="S121" s="31">
        <f>IF(LEN(_DB_Exercises!AN126)&gt;0,_DB_Exercises!AN126,"")</f>
        <v>54</v>
      </c>
      <c r="T121" s="31">
        <f>IF(LEN(_DB_Exercises!AO126)&gt;0,_DB_Exercises!AO126,"")</f>
        <v>52</v>
      </c>
      <c r="U121" s="31">
        <f>IF(LEN(_DB_Exercises!AP126)&gt;0,_DB_Exercises!AP126,"")</f>
        <v>50</v>
      </c>
      <c r="V121" s="31">
        <f>IF(LEN(_DB_Exercises!AQ126)&gt;0,_DB_Exercises!AQ126,"")</f>
        <v>48</v>
      </c>
      <c r="W121" s="31">
        <f>IF(LEN(_DB_Exercises!AR126)&gt;0,_DB_Exercises!AR126,"")</f>
        <v>46</v>
      </c>
      <c r="X121" s="31">
        <f>IF(LEN(_DB_Exercises!AS126)&gt;0,_DB_Exercises!AS126,"")</f>
        <v>45</v>
      </c>
      <c r="Y121" s="31">
        <f>IF(LEN(_DB_Exercises!AT126)&gt;0,_DB_Exercises!AT126,"")</f>
        <v>43</v>
      </c>
      <c r="Z121" s="31">
        <f>IF(LEN(_DB_Exercises!AU126)&gt;0,_DB_Exercises!AU126,"")</f>
        <v>41</v>
      </c>
      <c r="AA121" s="31">
        <f>IF(LEN(_DB_Exercises!AV126)&gt;0,_DB_Exercises!AV126,"")</f>
        <v>39</v>
      </c>
      <c r="AB121" s="31">
        <f>IF(LEN(_DB_Exercises!AW126)&gt;0,_DB_Exercises!AW126,"")</f>
        <v>37</v>
      </c>
      <c r="AC121" s="31">
        <f>IF(LEN(_DB_Exercises!AX126)&gt;0,_DB_Exercises!AX126,"")</f>
        <v>35</v>
      </c>
      <c r="AD121" s="31">
        <f>IF(LEN(_DB_Exercises!AY126)&gt;0,_DB_Exercises!AY126,"")</f>
        <v>33</v>
      </c>
      <c r="AE121" s="31">
        <f>IF(LEN(_DB_Exercises!AZ126)&gt;0,_DB_Exercises!AZ126,"")</f>
        <v>31</v>
      </c>
      <c r="AF121" s="31">
        <f>IF(LEN(_DB_Exercises!BA126)&gt;0,_DB_Exercises!BA126,"")</f>
        <v>29</v>
      </c>
      <c r="AG121" s="31">
        <f>IF(LEN(_DB_Exercises!BB126)&gt;0,_DB_Exercises!BB126,"")</f>
        <v>27</v>
      </c>
      <c r="AH121" s="31">
        <f>IF(LEN(_DB_Exercises!BC126)&gt;0,_DB_Exercises!BC126,"")</f>
        <v>25</v>
      </c>
      <c r="AI121" s="31">
        <f>IF(LEN(_DB_Exercises!BD126)&gt;0,_DB_Exercises!BD126,"")</f>
        <v>23</v>
      </c>
      <c r="AJ121" s="31">
        <f>IF(LEN(_DB_Exercises!BE126)&gt;0,_DB_Exercises!BE126,"")</f>
        <v>21</v>
      </c>
      <c r="AK121" s="31">
        <f>IF(LEN(_DB_Exercises!BF126)&gt;0,_DB_Exercises!BF126,"")</f>
        <v>19</v>
      </c>
      <c r="AL121" s="31">
        <f>IF(LEN(_DB_Exercises!BG126)&gt;0,_DB_Exercises!BG126,"")</f>
        <v>18</v>
      </c>
      <c r="AM121" s="31">
        <f>IF(LEN(_DB_Exercises!BH126)&gt;0,_DB_Exercises!BH126,"")</f>
        <v>16</v>
      </c>
      <c r="AN121" s="31">
        <f>IF(LEN(_DB_Exercises!BI126)&gt;0,_DB_Exercises!BI126,"")</f>
        <v>14</v>
      </c>
      <c r="AO121" s="31">
        <f>IF(LEN(_DB_Exercises!BJ126)&gt;0,_DB_Exercises!BJ126,"")</f>
        <v>12</v>
      </c>
      <c r="AP121" s="31">
        <f>IF(LEN(_DB_Exercises!BK126)&gt;0,_DB_Exercises!BK126,"")</f>
        <v>10</v>
      </c>
      <c r="AQ121" s="31">
        <f>IF(LEN(_DB_Exercises!BL126)&gt;0,_DB_Exercises!BL126,"")</f>
        <v>8</v>
      </c>
      <c r="AR121" s="31">
        <f>IF(LEN(_DB_Exercises!BM126)&gt;0,_DB_Exercises!BM126,"")</f>
        <v>6</v>
      </c>
    </row>
    <row r="122" spans="1:44" x14ac:dyDescent="0.25">
      <c r="A122" s="11">
        <f>IF(LEN(_DB_Exercises!A127)&gt;0,_DB_Exercises!A127,"")</f>
        <v>2115</v>
      </c>
      <c r="B122" s="14" t="str">
        <f>IF(LEN(_DB_Exercises!K127)&gt;0,_DB_Exercises!K127,"")</f>
        <v>Putting Extrem #5</v>
      </c>
      <c r="C122" s="31">
        <f>IF(LEN(_DB_Exercises!X127)&gt;0,_DB_Exercises!X127,"")</f>
        <v>80</v>
      </c>
      <c r="D122" s="31">
        <f>IF(LEN(_DB_Exercises!Y127)&gt;0,_DB_Exercises!Y127,"")</f>
        <v>78</v>
      </c>
      <c r="E122" s="31">
        <f>IF(LEN(_DB_Exercises!Z127)&gt;0,_DB_Exercises!Z127,"")</f>
        <v>76</v>
      </c>
      <c r="F122" s="31">
        <f>IF(LEN(_DB_Exercises!AA127)&gt;0,_DB_Exercises!AA127,"")</f>
        <v>75</v>
      </c>
      <c r="G122" s="31">
        <f>IF(LEN(_DB_Exercises!AB127)&gt;0,_DB_Exercises!AB127,"")</f>
        <v>73</v>
      </c>
      <c r="H122" s="31">
        <f>IF(LEN(_DB_Exercises!AC127)&gt;0,_DB_Exercises!AC127,"")</f>
        <v>71</v>
      </c>
      <c r="I122" s="31">
        <f>IF(LEN(_DB_Exercises!AD127)&gt;0,_DB_Exercises!AD127,"")</f>
        <v>69</v>
      </c>
      <c r="J122" s="31">
        <f>IF(LEN(_DB_Exercises!AE127)&gt;0,_DB_Exercises!AE127,"")</f>
        <v>67</v>
      </c>
      <c r="K122" s="31">
        <f>IF(LEN(_DB_Exercises!AF127)&gt;0,_DB_Exercises!AF127,"")</f>
        <v>65</v>
      </c>
      <c r="L122" s="31">
        <f>IF(LEN(_DB_Exercises!AG127)&gt;0,_DB_Exercises!AG127,"")</f>
        <v>64</v>
      </c>
      <c r="M122" s="31">
        <f>IF(LEN(_DB_Exercises!AH127)&gt;0,_DB_Exercises!AH127,"")</f>
        <v>62</v>
      </c>
      <c r="N122" s="31">
        <f>IF(LEN(_DB_Exercises!AI127)&gt;0,_DB_Exercises!AI127,"")</f>
        <v>60</v>
      </c>
      <c r="O122" s="31">
        <f>IF(LEN(_DB_Exercises!AJ127)&gt;0,_DB_Exercises!AJ127,"")</f>
        <v>58</v>
      </c>
      <c r="P122" s="31">
        <f>IF(LEN(_DB_Exercises!AK127)&gt;0,_DB_Exercises!AK127,"")</f>
        <v>56</v>
      </c>
      <c r="Q122" s="31">
        <f>IF(LEN(_DB_Exercises!AL127)&gt;0,_DB_Exercises!AL127,"")</f>
        <v>54</v>
      </c>
      <c r="R122" s="31">
        <f>IF(LEN(_DB_Exercises!AM127)&gt;0,_DB_Exercises!AM127,"")</f>
        <v>53</v>
      </c>
      <c r="S122" s="31">
        <f>IF(LEN(_DB_Exercises!AN127)&gt;0,_DB_Exercises!AN127,"")</f>
        <v>51</v>
      </c>
      <c r="T122" s="31">
        <f>IF(LEN(_DB_Exercises!AO127)&gt;0,_DB_Exercises!AO127,"")</f>
        <v>49</v>
      </c>
      <c r="U122" s="31">
        <f>IF(LEN(_DB_Exercises!AP127)&gt;0,_DB_Exercises!AP127,"")</f>
        <v>47</v>
      </c>
      <c r="V122" s="31">
        <f>IF(LEN(_DB_Exercises!AQ127)&gt;0,_DB_Exercises!AQ127,"")</f>
        <v>45</v>
      </c>
      <c r="W122" s="31">
        <f>IF(LEN(_DB_Exercises!AR127)&gt;0,_DB_Exercises!AR127,"")</f>
        <v>43</v>
      </c>
      <c r="X122" s="31">
        <f>IF(LEN(_DB_Exercises!AS127)&gt;0,_DB_Exercises!AS127,"")</f>
        <v>42</v>
      </c>
      <c r="Y122" s="31">
        <f>IF(LEN(_DB_Exercises!AT127)&gt;0,_DB_Exercises!AT127,"")</f>
        <v>40</v>
      </c>
      <c r="Z122" s="31">
        <f>IF(LEN(_DB_Exercises!AU127)&gt;0,_DB_Exercises!AU127,"")</f>
        <v>38</v>
      </c>
      <c r="AA122" s="31">
        <f>IF(LEN(_DB_Exercises!AV127)&gt;0,_DB_Exercises!AV127,"")</f>
        <v>36</v>
      </c>
      <c r="AB122" s="31">
        <f>IF(LEN(_DB_Exercises!AW127)&gt;0,_DB_Exercises!AW127,"")</f>
        <v>34</v>
      </c>
      <c r="AC122" s="31">
        <f>IF(LEN(_DB_Exercises!AX127)&gt;0,_DB_Exercises!AX127,"")</f>
        <v>32</v>
      </c>
      <c r="AD122" s="31">
        <f>IF(LEN(_DB_Exercises!AY127)&gt;0,_DB_Exercises!AY127,"")</f>
        <v>31</v>
      </c>
      <c r="AE122" s="31">
        <f>IF(LEN(_DB_Exercises!AZ127)&gt;0,_DB_Exercises!AZ127,"")</f>
        <v>29</v>
      </c>
      <c r="AF122" s="31">
        <f>IF(LEN(_DB_Exercises!BA127)&gt;0,_DB_Exercises!BA127,"")</f>
        <v>27</v>
      </c>
      <c r="AG122" s="31">
        <f>IF(LEN(_DB_Exercises!BB127)&gt;0,_DB_Exercises!BB127,"")</f>
        <v>25</v>
      </c>
      <c r="AH122" s="31">
        <f>IF(LEN(_DB_Exercises!BC127)&gt;0,_DB_Exercises!BC127,"")</f>
        <v>23</v>
      </c>
      <c r="AI122" s="31">
        <f>IF(LEN(_DB_Exercises!BD127)&gt;0,_DB_Exercises!BD127,"")</f>
        <v>21</v>
      </c>
      <c r="AJ122" s="31">
        <f>IF(LEN(_DB_Exercises!BE127)&gt;0,_DB_Exercises!BE127,"")</f>
        <v>20</v>
      </c>
      <c r="AK122" s="31">
        <f>IF(LEN(_DB_Exercises!BF127)&gt;0,_DB_Exercises!BF127,"")</f>
        <v>18</v>
      </c>
      <c r="AL122" s="31">
        <f>IF(LEN(_DB_Exercises!BG127)&gt;0,_DB_Exercises!BG127,"")</f>
        <v>16</v>
      </c>
      <c r="AM122" s="31">
        <f>IF(LEN(_DB_Exercises!BH127)&gt;0,_DB_Exercises!BH127,"")</f>
        <v>14</v>
      </c>
      <c r="AN122" s="31">
        <f>IF(LEN(_DB_Exercises!BI127)&gt;0,_DB_Exercises!BI127,"")</f>
        <v>12</v>
      </c>
      <c r="AO122" s="31">
        <f>IF(LEN(_DB_Exercises!BJ127)&gt;0,_DB_Exercises!BJ127,"")</f>
        <v>10</v>
      </c>
      <c r="AP122" s="31">
        <f>IF(LEN(_DB_Exercises!BK127)&gt;0,_DB_Exercises!BK127,"")</f>
        <v>9</v>
      </c>
      <c r="AQ122" s="31">
        <f>IF(LEN(_DB_Exercises!BL127)&gt;0,_DB_Exercises!BL127,"")</f>
        <v>7</v>
      </c>
      <c r="AR122" s="31">
        <f>IF(LEN(_DB_Exercises!BM127)&gt;0,_DB_Exercises!BM127,"")</f>
        <v>5</v>
      </c>
    </row>
    <row r="123" spans="1:44" x14ac:dyDescent="0.25">
      <c r="A123" s="11">
        <f>IF(LEN(_DB_Exercises!A128)&gt;0,_DB_Exercises!A128,"")</f>
        <v>2116</v>
      </c>
      <c r="B123" s="14" t="str">
        <f>IF(LEN(_DB_Exercises!K128)&gt;0,_DB_Exercises!K128,"")</f>
        <v>Putting Extrem #6</v>
      </c>
      <c r="C123" s="31">
        <f>IF(LEN(_DB_Exercises!X128)&gt;0,_DB_Exercises!X128,"")</f>
        <v>75</v>
      </c>
      <c r="D123" s="31">
        <f>IF(LEN(_DB_Exercises!Y128)&gt;0,_DB_Exercises!Y128,"")</f>
        <v>73</v>
      </c>
      <c r="E123" s="31">
        <f>IF(LEN(_DB_Exercises!Z128)&gt;0,_DB_Exercises!Z128,"")</f>
        <v>72</v>
      </c>
      <c r="F123" s="31">
        <f>IF(LEN(_DB_Exercises!AA128)&gt;0,_DB_Exercises!AA128,"")</f>
        <v>70</v>
      </c>
      <c r="G123" s="31">
        <f>IF(LEN(_DB_Exercises!AB128)&gt;0,_DB_Exercises!AB128,"")</f>
        <v>68</v>
      </c>
      <c r="H123" s="31">
        <f>IF(LEN(_DB_Exercises!AC128)&gt;0,_DB_Exercises!AC128,"")</f>
        <v>66</v>
      </c>
      <c r="I123" s="31">
        <f>IF(LEN(_DB_Exercises!AD128)&gt;0,_DB_Exercises!AD128,"")</f>
        <v>65</v>
      </c>
      <c r="J123" s="31">
        <f>IF(LEN(_DB_Exercises!AE128)&gt;0,_DB_Exercises!AE128,"")</f>
        <v>63</v>
      </c>
      <c r="K123" s="31">
        <f>IF(LEN(_DB_Exercises!AF128)&gt;0,_DB_Exercises!AF128,"")</f>
        <v>61</v>
      </c>
      <c r="L123" s="31">
        <f>IF(LEN(_DB_Exercises!AG128)&gt;0,_DB_Exercises!AG128,"")</f>
        <v>59</v>
      </c>
      <c r="M123" s="31">
        <f>IF(LEN(_DB_Exercises!AH128)&gt;0,_DB_Exercises!AH128,"")</f>
        <v>58</v>
      </c>
      <c r="N123" s="31">
        <f>IF(LEN(_DB_Exercises!AI128)&gt;0,_DB_Exercises!AI128,"")</f>
        <v>56</v>
      </c>
      <c r="O123" s="31">
        <f>IF(LEN(_DB_Exercises!AJ128)&gt;0,_DB_Exercises!AJ128,"")</f>
        <v>54</v>
      </c>
      <c r="P123" s="31">
        <f>IF(LEN(_DB_Exercises!AK128)&gt;0,_DB_Exercises!AK128,"")</f>
        <v>52</v>
      </c>
      <c r="Q123" s="31">
        <f>IF(LEN(_DB_Exercises!AL128)&gt;0,_DB_Exercises!AL128,"")</f>
        <v>51</v>
      </c>
      <c r="R123" s="31">
        <f>IF(LEN(_DB_Exercises!AM128)&gt;0,_DB_Exercises!AM128,"")</f>
        <v>49</v>
      </c>
      <c r="S123" s="31">
        <f>IF(LEN(_DB_Exercises!AN128)&gt;0,_DB_Exercises!AN128,"")</f>
        <v>47</v>
      </c>
      <c r="T123" s="31">
        <f>IF(LEN(_DB_Exercises!AO128)&gt;0,_DB_Exercises!AO128,"")</f>
        <v>46</v>
      </c>
      <c r="U123" s="31">
        <f>IF(LEN(_DB_Exercises!AP128)&gt;0,_DB_Exercises!AP128,"")</f>
        <v>44</v>
      </c>
      <c r="V123" s="31">
        <f>IF(LEN(_DB_Exercises!AQ128)&gt;0,_DB_Exercises!AQ128,"")</f>
        <v>42</v>
      </c>
      <c r="W123" s="31">
        <f>IF(LEN(_DB_Exercises!AR128)&gt;0,_DB_Exercises!AR128,"")</f>
        <v>40</v>
      </c>
      <c r="X123" s="31">
        <f>IF(LEN(_DB_Exercises!AS128)&gt;0,_DB_Exercises!AS128,"")</f>
        <v>39</v>
      </c>
      <c r="Y123" s="31">
        <f>IF(LEN(_DB_Exercises!AT128)&gt;0,_DB_Exercises!AT128,"")</f>
        <v>37</v>
      </c>
      <c r="Z123" s="31">
        <f>IF(LEN(_DB_Exercises!AU128)&gt;0,_DB_Exercises!AU128,"")</f>
        <v>35</v>
      </c>
      <c r="AA123" s="31">
        <f>IF(LEN(_DB_Exercises!AV128)&gt;0,_DB_Exercises!AV128,"")</f>
        <v>33</v>
      </c>
      <c r="AB123" s="31">
        <f>IF(LEN(_DB_Exercises!AW128)&gt;0,_DB_Exercises!AW128,"")</f>
        <v>32</v>
      </c>
      <c r="AC123" s="31">
        <f>IF(LEN(_DB_Exercises!AX128)&gt;0,_DB_Exercises!AX128,"")</f>
        <v>30</v>
      </c>
      <c r="AD123" s="31">
        <f>IF(LEN(_DB_Exercises!AY128)&gt;0,_DB_Exercises!AY128,"")</f>
        <v>28</v>
      </c>
      <c r="AE123" s="31">
        <f>IF(LEN(_DB_Exercises!AZ128)&gt;0,_DB_Exercises!AZ128,"")</f>
        <v>27</v>
      </c>
      <c r="AF123" s="31">
        <f>IF(LEN(_DB_Exercises!BA128)&gt;0,_DB_Exercises!BA128,"")</f>
        <v>25</v>
      </c>
      <c r="AG123" s="31">
        <f>IF(LEN(_DB_Exercises!BB128)&gt;0,_DB_Exercises!BB128,"")</f>
        <v>23</v>
      </c>
      <c r="AH123" s="31">
        <f>IF(LEN(_DB_Exercises!BC128)&gt;0,_DB_Exercises!BC128,"")</f>
        <v>21</v>
      </c>
      <c r="AI123" s="31">
        <f>IF(LEN(_DB_Exercises!BD128)&gt;0,_DB_Exercises!BD128,"")</f>
        <v>20</v>
      </c>
      <c r="AJ123" s="31">
        <f>IF(LEN(_DB_Exercises!BE128)&gt;0,_DB_Exercises!BE128,"")</f>
        <v>18</v>
      </c>
      <c r="AK123" s="31">
        <f>IF(LEN(_DB_Exercises!BF128)&gt;0,_DB_Exercises!BF128,"")</f>
        <v>16</v>
      </c>
      <c r="AL123" s="31">
        <f>IF(LEN(_DB_Exercises!BG128)&gt;0,_DB_Exercises!BG128,"")</f>
        <v>14</v>
      </c>
      <c r="AM123" s="31">
        <f>IF(LEN(_DB_Exercises!BH128)&gt;0,_DB_Exercises!BH128,"")</f>
        <v>13</v>
      </c>
      <c r="AN123" s="31">
        <f>IF(LEN(_DB_Exercises!BI128)&gt;0,_DB_Exercises!BI128,"")</f>
        <v>11</v>
      </c>
      <c r="AO123" s="31">
        <f>IF(LEN(_DB_Exercises!BJ128)&gt;0,_DB_Exercises!BJ128,"")</f>
        <v>9</v>
      </c>
      <c r="AP123" s="31">
        <f>IF(LEN(_DB_Exercises!BK128)&gt;0,_DB_Exercises!BK128,"")</f>
        <v>7</v>
      </c>
      <c r="AQ123" s="31">
        <f>IF(LEN(_DB_Exercises!BL128)&gt;0,_DB_Exercises!BL128,"")</f>
        <v>6</v>
      </c>
      <c r="AR123" s="31">
        <f>IF(LEN(_DB_Exercises!BM128)&gt;0,_DB_Exercises!BM128,"")</f>
        <v>4</v>
      </c>
    </row>
    <row r="124" spans="1:44" x14ac:dyDescent="0.25">
      <c r="A124" s="11">
        <f>IF(LEN(_DB_Exercises!A129)&gt;0,_DB_Exercises!A129,"")</f>
        <v>2117</v>
      </c>
      <c r="B124" s="14" t="str">
        <f>IF(LEN(_DB_Exercises!K129)&gt;0,_DB_Exercises!K129,"")</f>
        <v>Best Ball Putting #1</v>
      </c>
      <c r="C124" s="31" t="str">
        <f>IF(LEN(_DB_Exercises!X129)&gt;0,_DB_Exercises!X129,"")</f>
        <v/>
      </c>
      <c r="D124" s="31" t="str">
        <f>IF(LEN(_DB_Exercises!Y129)&gt;0,_DB_Exercises!Y129,"")</f>
        <v/>
      </c>
      <c r="E124" s="31" t="str">
        <f>IF(LEN(_DB_Exercises!Z129)&gt;0,_DB_Exercises!Z129,"")</f>
        <v/>
      </c>
      <c r="F124" s="31" t="str">
        <f>IF(LEN(_DB_Exercises!AA129)&gt;0,_DB_Exercises!AA129,"")</f>
        <v/>
      </c>
      <c r="G124" s="31" t="str">
        <f>IF(LEN(_DB_Exercises!AB129)&gt;0,_DB_Exercises!AB129,"")</f>
        <v/>
      </c>
      <c r="H124" s="31" t="str">
        <f>IF(LEN(_DB_Exercises!AC129)&gt;0,_DB_Exercises!AC129,"")</f>
        <v/>
      </c>
      <c r="I124" s="31" t="str">
        <f>IF(LEN(_DB_Exercises!AD129)&gt;0,_DB_Exercises!AD129,"")</f>
        <v/>
      </c>
      <c r="J124" s="31" t="str">
        <f>IF(LEN(_DB_Exercises!AE129)&gt;0,_DB_Exercises!AE129,"")</f>
        <v/>
      </c>
      <c r="K124" s="31" t="str">
        <f>IF(LEN(_DB_Exercises!AF129)&gt;0,_DB_Exercises!AF129,"")</f>
        <v/>
      </c>
      <c r="L124" s="31" t="str">
        <f>IF(LEN(_DB_Exercises!AG129)&gt;0,_DB_Exercises!AG129,"")</f>
        <v/>
      </c>
      <c r="M124" s="31" t="str">
        <f>IF(LEN(_DB_Exercises!AH129)&gt;0,_DB_Exercises!AH129,"")</f>
        <v/>
      </c>
      <c r="N124" s="31" t="str">
        <f>IF(LEN(_DB_Exercises!AI129)&gt;0,_DB_Exercises!AI129,"")</f>
        <v/>
      </c>
      <c r="O124" s="31" t="str">
        <f>IF(LEN(_DB_Exercises!AJ129)&gt;0,_DB_Exercises!AJ129,"")</f>
        <v/>
      </c>
      <c r="P124" s="31" t="str">
        <f>IF(LEN(_DB_Exercises!AK129)&gt;0,_DB_Exercises!AK129,"")</f>
        <v/>
      </c>
      <c r="Q124" s="31" t="str">
        <f>IF(LEN(_DB_Exercises!AL129)&gt;0,_DB_Exercises!AL129,"")</f>
        <v/>
      </c>
      <c r="R124" s="31" t="str">
        <f>IF(LEN(_DB_Exercises!AM129)&gt;0,_DB_Exercises!AM129,"")</f>
        <v/>
      </c>
      <c r="S124" s="31" t="str">
        <f>IF(LEN(_DB_Exercises!AN129)&gt;0,_DB_Exercises!AN129,"")</f>
        <v/>
      </c>
      <c r="T124" s="31" t="str">
        <f>IF(LEN(_DB_Exercises!AO129)&gt;0,_DB_Exercises!AO129,"")</f>
        <v/>
      </c>
      <c r="U124" s="31" t="str">
        <f>IF(LEN(_DB_Exercises!AP129)&gt;0,_DB_Exercises!AP129,"")</f>
        <v/>
      </c>
      <c r="V124" s="31" t="str">
        <f>IF(LEN(_DB_Exercises!AQ129)&gt;0,_DB_Exercises!AQ129,"")</f>
        <v/>
      </c>
      <c r="W124" s="31" t="str">
        <f>IF(LEN(_DB_Exercises!AR129)&gt;0,_DB_Exercises!AR129,"")</f>
        <v/>
      </c>
      <c r="X124" s="31" t="str">
        <f>IF(LEN(_DB_Exercises!AS129)&gt;0,_DB_Exercises!AS129,"")</f>
        <v/>
      </c>
      <c r="Y124" s="31" t="str">
        <f>IF(LEN(_DB_Exercises!AT129)&gt;0,_DB_Exercises!AT129,"")</f>
        <v/>
      </c>
      <c r="Z124" s="31" t="str">
        <f>IF(LEN(_DB_Exercises!AU129)&gt;0,_DB_Exercises!AU129,"")</f>
        <v/>
      </c>
      <c r="AA124" s="31" t="str">
        <f>IF(LEN(_DB_Exercises!AV129)&gt;0,_DB_Exercises!AV129,"")</f>
        <v/>
      </c>
      <c r="AB124" s="31" t="str">
        <f>IF(LEN(_DB_Exercises!AW129)&gt;0,_DB_Exercises!AW129,"")</f>
        <v/>
      </c>
      <c r="AC124" s="31" t="str">
        <f>IF(LEN(_DB_Exercises!AX129)&gt;0,_DB_Exercises!AX129,"")</f>
        <v/>
      </c>
      <c r="AD124" s="31" t="str">
        <f>IF(LEN(_DB_Exercises!AY129)&gt;0,_DB_Exercises!AY129,"")</f>
        <v/>
      </c>
      <c r="AE124" s="31" t="str">
        <f>IF(LEN(_DB_Exercises!AZ129)&gt;0,_DB_Exercises!AZ129,"")</f>
        <v/>
      </c>
      <c r="AF124" s="31" t="str">
        <f>IF(LEN(_DB_Exercises!BA129)&gt;0,_DB_Exercises!BA129,"")</f>
        <v/>
      </c>
      <c r="AG124" s="31" t="str">
        <f>IF(LEN(_DB_Exercises!BB129)&gt;0,_DB_Exercises!BB129,"")</f>
        <v/>
      </c>
      <c r="AH124" s="31" t="str">
        <f>IF(LEN(_DB_Exercises!BC129)&gt;0,_DB_Exercises!BC129,"")</f>
        <v/>
      </c>
      <c r="AI124" s="31" t="str">
        <f>IF(LEN(_DB_Exercises!BD129)&gt;0,_DB_Exercises!BD129,"")</f>
        <v/>
      </c>
      <c r="AJ124" s="31" t="str">
        <f>IF(LEN(_DB_Exercises!BE129)&gt;0,_DB_Exercises!BE129,"")</f>
        <v/>
      </c>
      <c r="AK124" s="31" t="str">
        <f>IF(LEN(_DB_Exercises!BF129)&gt;0,_DB_Exercises!BF129,"")</f>
        <v/>
      </c>
      <c r="AL124" s="31" t="str">
        <f>IF(LEN(_DB_Exercises!BG129)&gt;0,_DB_Exercises!BG129,"")</f>
        <v/>
      </c>
      <c r="AM124" s="31" t="str">
        <f>IF(LEN(_DB_Exercises!BH129)&gt;0,_DB_Exercises!BH129,"")</f>
        <v/>
      </c>
      <c r="AN124" s="31" t="str">
        <f>IF(LEN(_DB_Exercises!BI129)&gt;0,_DB_Exercises!BI129,"")</f>
        <v/>
      </c>
      <c r="AO124" s="31" t="str">
        <f>IF(LEN(_DB_Exercises!BJ129)&gt;0,_DB_Exercises!BJ129,"")</f>
        <v/>
      </c>
      <c r="AP124" s="31" t="str">
        <f>IF(LEN(_DB_Exercises!BK129)&gt;0,_DB_Exercises!BK129,"")</f>
        <v/>
      </c>
      <c r="AQ124" s="31" t="str">
        <f>IF(LEN(_DB_Exercises!BL129)&gt;0,_DB_Exercises!BL129,"")</f>
        <v/>
      </c>
      <c r="AR124" s="31" t="str">
        <f>IF(LEN(_DB_Exercises!BM129)&gt;0,_DB_Exercises!BM129,"")</f>
        <v/>
      </c>
    </row>
    <row r="125" spans="1:44" x14ac:dyDescent="0.25">
      <c r="A125" s="11">
        <f>IF(LEN(_DB_Exercises!A130)&gt;0,_DB_Exercises!A130,"")</f>
        <v>2118</v>
      </c>
      <c r="B125" s="14" t="str">
        <f>IF(LEN(_DB_Exercises!K130)&gt;0,_DB_Exercises!K130,"")</f>
        <v>Best Ball Putting #2</v>
      </c>
      <c r="C125" s="31" t="str">
        <f>IF(LEN(_DB_Exercises!X130)&gt;0,_DB_Exercises!X130,"")</f>
        <v/>
      </c>
      <c r="D125" s="31" t="str">
        <f>IF(LEN(_DB_Exercises!Y130)&gt;0,_DB_Exercises!Y130,"")</f>
        <v/>
      </c>
      <c r="E125" s="31" t="str">
        <f>IF(LEN(_DB_Exercises!Z130)&gt;0,_DB_Exercises!Z130,"")</f>
        <v/>
      </c>
      <c r="F125" s="31" t="str">
        <f>IF(LEN(_DB_Exercises!AA130)&gt;0,_DB_Exercises!AA130,"")</f>
        <v/>
      </c>
      <c r="G125" s="31" t="str">
        <f>IF(LEN(_DB_Exercises!AB130)&gt;0,_DB_Exercises!AB130,"")</f>
        <v/>
      </c>
      <c r="H125" s="31" t="str">
        <f>IF(LEN(_DB_Exercises!AC130)&gt;0,_DB_Exercises!AC130,"")</f>
        <v/>
      </c>
      <c r="I125" s="31" t="str">
        <f>IF(LEN(_DB_Exercises!AD130)&gt;0,_DB_Exercises!AD130,"")</f>
        <v/>
      </c>
      <c r="J125" s="31" t="str">
        <f>IF(LEN(_DB_Exercises!AE130)&gt;0,_DB_Exercises!AE130,"")</f>
        <v/>
      </c>
      <c r="K125" s="31" t="str">
        <f>IF(LEN(_DB_Exercises!AF130)&gt;0,_DB_Exercises!AF130,"")</f>
        <v/>
      </c>
      <c r="L125" s="31" t="str">
        <f>IF(LEN(_DB_Exercises!AG130)&gt;0,_DB_Exercises!AG130,"")</f>
        <v/>
      </c>
      <c r="M125" s="31" t="str">
        <f>IF(LEN(_DB_Exercises!AH130)&gt;0,_DB_Exercises!AH130,"")</f>
        <v/>
      </c>
      <c r="N125" s="31" t="str">
        <f>IF(LEN(_DB_Exercises!AI130)&gt;0,_DB_Exercises!AI130,"")</f>
        <v/>
      </c>
      <c r="O125" s="31" t="str">
        <f>IF(LEN(_DB_Exercises!AJ130)&gt;0,_DB_Exercises!AJ130,"")</f>
        <v/>
      </c>
      <c r="P125" s="31" t="str">
        <f>IF(LEN(_DB_Exercises!AK130)&gt;0,_DB_Exercises!AK130,"")</f>
        <v/>
      </c>
      <c r="Q125" s="31" t="str">
        <f>IF(LEN(_DB_Exercises!AL130)&gt;0,_DB_Exercises!AL130,"")</f>
        <v/>
      </c>
      <c r="R125" s="31" t="str">
        <f>IF(LEN(_DB_Exercises!AM130)&gt;0,_DB_Exercises!AM130,"")</f>
        <v/>
      </c>
      <c r="S125" s="31" t="str">
        <f>IF(LEN(_DB_Exercises!AN130)&gt;0,_DB_Exercises!AN130,"")</f>
        <v/>
      </c>
      <c r="T125" s="31" t="str">
        <f>IF(LEN(_DB_Exercises!AO130)&gt;0,_DB_Exercises!AO130,"")</f>
        <v/>
      </c>
      <c r="U125" s="31" t="str">
        <f>IF(LEN(_DB_Exercises!AP130)&gt;0,_DB_Exercises!AP130,"")</f>
        <v/>
      </c>
      <c r="V125" s="31" t="str">
        <f>IF(LEN(_DB_Exercises!AQ130)&gt;0,_DB_Exercises!AQ130,"")</f>
        <v/>
      </c>
      <c r="W125" s="31" t="str">
        <f>IF(LEN(_DB_Exercises!AR130)&gt;0,_DB_Exercises!AR130,"")</f>
        <v/>
      </c>
      <c r="X125" s="31" t="str">
        <f>IF(LEN(_DB_Exercises!AS130)&gt;0,_DB_Exercises!AS130,"")</f>
        <v/>
      </c>
      <c r="Y125" s="31" t="str">
        <f>IF(LEN(_DB_Exercises!AT130)&gt;0,_DB_Exercises!AT130,"")</f>
        <v/>
      </c>
      <c r="Z125" s="31" t="str">
        <f>IF(LEN(_DB_Exercises!AU130)&gt;0,_DB_Exercises!AU130,"")</f>
        <v/>
      </c>
      <c r="AA125" s="31" t="str">
        <f>IF(LEN(_DB_Exercises!AV130)&gt;0,_DB_Exercises!AV130,"")</f>
        <v/>
      </c>
      <c r="AB125" s="31" t="str">
        <f>IF(LEN(_DB_Exercises!AW130)&gt;0,_DB_Exercises!AW130,"")</f>
        <v/>
      </c>
      <c r="AC125" s="31" t="str">
        <f>IF(LEN(_DB_Exercises!AX130)&gt;0,_DB_Exercises!AX130,"")</f>
        <v/>
      </c>
      <c r="AD125" s="31" t="str">
        <f>IF(LEN(_DB_Exercises!AY130)&gt;0,_DB_Exercises!AY130,"")</f>
        <v/>
      </c>
      <c r="AE125" s="31" t="str">
        <f>IF(LEN(_DB_Exercises!AZ130)&gt;0,_DB_Exercises!AZ130,"")</f>
        <v/>
      </c>
      <c r="AF125" s="31" t="str">
        <f>IF(LEN(_DB_Exercises!BA130)&gt;0,_DB_Exercises!BA130,"")</f>
        <v/>
      </c>
      <c r="AG125" s="31" t="str">
        <f>IF(LEN(_DB_Exercises!BB130)&gt;0,_DB_Exercises!BB130,"")</f>
        <v/>
      </c>
      <c r="AH125" s="31" t="str">
        <f>IF(LEN(_DB_Exercises!BC130)&gt;0,_DB_Exercises!BC130,"")</f>
        <v/>
      </c>
      <c r="AI125" s="31" t="str">
        <f>IF(LEN(_DB_Exercises!BD130)&gt;0,_DB_Exercises!BD130,"")</f>
        <v/>
      </c>
      <c r="AJ125" s="31" t="str">
        <f>IF(LEN(_DB_Exercises!BE130)&gt;0,_DB_Exercises!BE130,"")</f>
        <v/>
      </c>
      <c r="AK125" s="31" t="str">
        <f>IF(LEN(_DB_Exercises!BF130)&gt;0,_DB_Exercises!BF130,"")</f>
        <v/>
      </c>
      <c r="AL125" s="31" t="str">
        <f>IF(LEN(_DB_Exercises!BG130)&gt;0,_DB_Exercises!BG130,"")</f>
        <v/>
      </c>
      <c r="AM125" s="31" t="str">
        <f>IF(LEN(_DB_Exercises!BH130)&gt;0,_DB_Exercises!BH130,"")</f>
        <v/>
      </c>
      <c r="AN125" s="31" t="str">
        <f>IF(LEN(_DB_Exercises!BI130)&gt;0,_DB_Exercises!BI130,"")</f>
        <v/>
      </c>
      <c r="AO125" s="31" t="str">
        <f>IF(LEN(_DB_Exercises!BJ130)&gt;0,_DB_Exercises!BJ130,"")</f>
        <v/>
      </c>
      <c r="AP125" s="31" t="str">
        <f>IF(LEN(_DB_Exercises!BK130)&gt;0,_DB_Exercises!BK130,"")</f>
        <v/>
      </c>
      <c r="AQ125" s="31" t="str">
        <f>IF(LEN(_DB_Exercises!BL130)&gt;0,_DB_Exercises!BL130,"")</f>
        <v/>
      </c>
      <c r="AR125" s="31" t="str">
        <f>IF(LEN(_DB_Exercises!BM130)&gt;0,_DB_Exercises!BM130,"")</f>
        <v/>
      </c>
    </row>
    <row r="126" spans="1:44" x14ac:dyDescent="0.25">
      <c r="A126" s="11">
        <f>IF(LEN(_DB_Exercises!A131)&gt;0,_DB_Exercises!A131,"")</f>
        <v>2119</v>
      </c>
      <c r="B126" s="14" t="str">
        <f>IF(LEN(_DB_Exercises!K131)&gt;0,_DB_Exercises!K131,"")</f>
        <v>Best Ball Putting #3</v>
      </c>
      <c r="C126" s="31" t="str">
        <f>IF(LEN(_DB_Exercises!X131)&gt;0,_DB_Exercises!X131,"")</f>
        <v/>
      </c>
      <c r="D126" s="31" t="str">
        <f>IF(LEN(_DB_Exercises!Y131)&gt;0,_DB_Exercises!Y131,"")</f>
        <v/>
      </c>
      <c r="E126" s="31" t="str">
        <f>IF(LEN(_DB_Exercises!Z131)&gt;0,_DB_Exercises!Z131,"")</f>
        <v/>
      </c>
      <c r="F126" s="31" t="str">
        <f>IF(LEN(_DB_Exercises!AA131)&gt;0,_DB_Exercises!AA131,"")</f>
        <v/>
      </c>
      <c r="G126" s="31" t="str">
        <f>IF(LEN(_DB_Exercises!AB131)&gt;0,_DB_Exercises!AB131,"")</f>
        <v/>
      </c>
      <c r="H126" s="31" t="str">
        <f>IF(LEN(_DB_Exercises!AC131)&gt;0,_DB_Exercises!AC131,"")</f>
        <v/>
      </c>
      <c r="I126" s="31" t="str">
        <f>IF(LEN(_DB_Exercises!AD131)&gt;0,_DB_Exercises!AD131,"")</f>
        <v/>
      </c>
      <c r="J126" s="31" t="str">
        <f>IF(LEN(_DB_Exercises!AE131)&gt;0,_DB_Exercises!AE131,"")</f>
        <v/>
      </c>
      <c r="K126" s="31" t="str">
        <f>IF(LEN(_DB_Exercises!AF131)&gt;0,_DB_Exercises!AF131,"")</f>
        <v/>
      </c>
      <c r="L126" s="31" t="str">
        <f>IF(LEN(_DB_Exercises!AG131)&gt;0,_DB_Exercises!AG131,"")</f>
        <v/>
      </c>
      <c r="M126" s="31" t="str">
        <f>IF(LEN(_DB_Exercises!AH131)&gt;0,_DB_Exercises!AH131,"")</f>
        <v/>
      </c>
      <c r="N126" s="31" t="str">
        <f>IF(LEN(_DB_Exercises!AI131)&gt;0,_DB_Exercises!AI131,"")</f>
        <v/>
      </c>
      <c r="O126" s="31" t="str">
        <f>IF(LEN(_DB_Exercises!AJ131)&gt;0,_DB_Exercises!AJ131,"")</f>
        <v/>
      </c>
      <c r="P126" s="31" t="str">
        <f>IF(LEN(_DB_Exercises!AK131)&gt;0,_DB_Exercises!AK131,"")</f>
        <v/>
      </c>
      <c r="Q126" s="31" t="str">
        <f>IF(LEN(_DB_Exercises!AL131)&gt;0,_DB_Exercises!AL131,"")</f>
        <v/>
      </c>
      <c r="R126" s="31" t="str">
        <f>IF(LEN(_DB_Exercises!AM131)&gt;0,_DB_Exercises!AM131,"")</f>
        <v/>
      </c>
      <c r="S126" s="31" t="str">
        <f>IF(LEN(_DB_Exercises!AN131)&gt;0,_DB_Exercises!AN131,"")</f>
        <v/>
      </c>
      <c r="T126" s="31" t="str">
        <f>IF(LEN(_DB_Exercises!AO131)&gt;0,_DB_Exercises!AO131,"")</f>
        <v/>
      </c>
      <c r="U126" s="31" t="str">
        <f>IF(LEN(_DB_Exercises!AP131)&gt;0,_DB_Exercises!AP131,"")</f>
        <v/>
      </c>
      <c r="V126" s="31" t="str">
        <f>IF(LEN(_DB_Exercises!AQ131)&gt;0,_DB_Exercises!AQ131,"")</f>
        <v/>
      </c>
      <c r="W126" s="31" t="str">
        <f>IF(LEN(_DB_Exercises!AR131)&gt;0,_DB_Exercises!AR131,"")</f>
        <v/>
      </c>
      <c r="X126" s="31" t="str">
        <f>IF(LEN(_DB_Exercises!AS131)&gt;0,_DB_Exercises!AS131,"")</f>
        <v/>
      </c>
      <c r="Y126" s="31" t="str">
        <f>IF(LEN(_DB_Exercises!AT131)&gt;0,_DB_Exercises!AT131,"")</f>
        <v/>
      </c>
      <c r="Z126" s="31" t="str">
        <f>IF(LEN(_DB_Exercises!AU131)&gt;0,_DB_Exercises!AU131,"")</f>
        <v/>
      </c>
      <c r="AA126" s="31" t="str">
        <f>IF(LEN(_DB_Exercises!AV131)&gt;0,_DB_Exercises!AV131,"")</f>
        <v/>
      </c>
      <c r="AB126" s="31" t="str">
        <f>IF(LEN(_DB_Exercises!AW131)&gt;0,_DB_Exercises!AW131,"")</f>
        <v/>
      </c>
      <c r="AC126" s="31" t="str">
        <f>IF(LEN(_DB_Exercises!AX131)&gt;0,_DB_Exercises!AX131,"")</f>
        <v/>
      </c>
      <c r="AD126" s="31" t="str">
        <f>IF(LEN(_DB_Exercises!AY131)&gt;0,_DB_Exercises!AY131,"")</f>
        <v/>
      </c>
      <c r="AE126" s="31" t="str">
        <f>IF(LEN(_DB_Exercises!AZ131)&gt;0,_DB_Exercises!AZ131,"")</f>
        <v/>
      </c>
      <c r="AF126" s="31" t="str">
        <f>IF(LEN(_DB_Exercises!BA131)&gt;0,_DB_Exercises!BA131,"")</f>
        <v/>
      </c>
      <c r="AG126" s="31" t="str">
        <f>IF(LEN(_DB_Exercises!BB131)&gt;0,_DB_Exercises!BB131,"")</f>
        <v/>
      </c>
      <c r="AH126" s="31" t="str">
        <f>IF(LEN(_DB_Exercises!BC131)&gt;0,_DB_Exercises!BC131,"")</f>
        <v/>
      </c>
      <c r="AI126" s="31" t="str">
        <f>IF(LEN(_DB_Exercises!BD131)&gt;0,_DB_Exercises!BD131,"")</f>
        <v/>
      </c>
      <c r="AJ126" s="31" t="str">
        <f>IF(LEN(_DB_Exercises!BE131)&gt;0,_DB_Exercises!BE131,"")</f>
        <v/>
      </c>
      <c r="AK126" s="31" t="str">
        <f>IF(LEN(_DB_Exercises!BF131)&gt;0,_DB_Exercises!BF131,"")</f>
        <v/>
      </c>
      <c r="AL126" s="31" t="str">
        <f>IF(LEN(_DB_Exercises!BG131)&gt;0,_DB_Exercises!BG131,"")</f>
        <v/>
      </c>
      <c r="AM126" s="31" t="str">
        <f>IF(LEN(_DB_Exercises!BH131)&gt;0,_DB_Exercises!BH131,"")</f>
        <v/>
      </c>
      <c r="AN126" s="31" t="str">
        <f>IF(LEN(_DB_Exercises!BI131)&gt;0,_DB_Exercises!BI131,"")</f>
        <v/>
      </c>
      <c r="AO126" s="31" t="str">
        <f>IF(LEN(_DB_Exercises!BJ131)&gt;0,_DB_Exercises!BJ131,"")</f>
        <v/>
      </c>
      <c r="AP126" s="31" t="str">
        <f>IF(LEN(_DB_Exercises!BK131)&gt;0,_DB_Exercises!BK131,"")</f>
        <v/>
      </c>
      <c r="AQ126" s="31" t="str">
        <f>IF(LEN(_DB_Exercises!BL131)&gt;0,_DB_Exercises!BL131,"")</f>
        <v/>
      </c>
      <c r="AR126" s="31" t="str">
        <f>IF(LEN(_DB_Exercises!BM131)&gt;0,_DB_Exercises!BM131,"")</f>
        <v/>
      </c>
    </row>
    <row r="127" spans="1:44" x14ac:dyDescent="0.25">
      <c r="A127" s="11">
        <f>IF(LEN(_DB_Exercises!A132)&gt;0,_DB_Exercises!A132,"")</f>
        <v>2120</v>
      </c>
      <c r="B127" s="14" t="str">
        <f>IF(LEN(_DB_Exercises!K132)&gt;0,_DB_Exercises!K132,"")</f>
        <v>Best Ball Putting #4</v>
      </c>
      <c r="C127" s="31" t="str">
        <f>IF(LEN(_DB_Exercises!X132)&gt;0,_DB_Exercises!X132,"")</f>
        <v/>
      </c>
      <c r="D127" s="31" t="str">
        <f>IF(LEN(_DB_Exercises!Y132)&gt;0,_DB_Exercises!Y132,"")</f>
        <v/>
      </c>
      <c r="E127" s="31" t="str">
        <f>IF(LEN(_DB_Exercises!Z132)&gt;0,_DB_Exercises!Z132,"")</f>
        <v/>
      </c>
      <c r="F127" s="31" t="str">
        <f>IF(LEN(_DB_Exercises!AA132)&gt;0,_DB_Exercises!AA132,"")</f>
        <v/>
      </c>
      <c r="G127" s="31" t="str">
        <f>IF(LEN(_DB_Exercises!AB132)&gt;0,_DB_Exercises!AB132,"")</f>
        <v/>
      </c>
      <c r="H127" s="31" t="str">
        <f>IF(LEN(_DB_Exercises!AC132)&gt;0,_DB_Exercises!AC132,"")</f>
        <v/>
      </c>
      <c r="I127" s="31" t="str">
        <f>IF(LEN(_DB_Exercises!AD132)&gt;0,_DB_Exercises!AD132,"")</f>
        <v/>
      </c>
      <c r="J127" s="31" t="str">
        <f>IF(LEN(_DB_Exercises!AE132)&gt;0,_DB_Exercises!AE132,"")</f>
        <v/>
      </c>
      <c r="K127" s="31" t="str">
        <f>IF(LEN(_DB_Exercises!AF132)&gt;0,_DB_Exercises!AF132,"")</f>
        <v/>
      </c>
      <c r="L127" s="31" t="str">
        <f>IF(LEN(_DB_Exercises!AG132)&gt;0,_DB_Exercises!AG132,"")</f>
        <v/>
      </c>
      <c r="M127" s="31" t="str">
        <f>IF(LEN(_DB_Exercises!AH132)&gt;0,_DB_Exercises!AH132,"")</f>
        <v/>
      </c>
      <c r="N127" s="31" t="str">
        <f>IF(LEN(_DB_Exercises!AI132)&gt;0,_DB_Exercises!AI132,"")</f>
        <v/>
      </c>
      <c r="O127" s="31" t="str">
        <f>IF(LEN(_DB_Exercises!AJ132)&gt;0,_DB_Exercises!AJ132,"")</f>
        <v/>
      </c>
      <c r="P127" s="31" t="str">
        <f>IF(LEN(_DB_Exercises!AK132)&gt;0,_DB_Exercises!AK132,"")</f>
        <v/>
      </c>
      <c r="Q127" s="31" t="str">
        <f>IF(LEN(_DB_Exercises!AL132)&gt;0,_DB_Exercises!AL132,"")</f>
        <v/>
      </c>
      <c r="R127" s="31" t="str">
        <f>IF(LEN(_DB_Exercises!AM132)&gt;0,_DB_Exercises!AM132,"")</f>
        <v/>
      </c>
      <c r="S127" s="31" t="str">
        <f>IF(LEN(_DB_Exercises!AN132)&gt;0,_DB_Exercises!AN132,"")</f>
        <v/>
      </c>
      <c r="T127" s="31" t="str">
        <f>IF(LEN(_DB_Exercises!AO132)&gt;0,_DB_Exercises!AO132,"")</f>
        <v/>
      </c>
      <c r="U127" s="31" t="str">
        <f>IF(LEN(_DB_Exercises!AP132)&gt;0,_DB_Exercises!AP132,"")</f>
        <v/>
      </c>
      <c r="V127" s="31" t="str">
        <f>IF(LEN(_DB_Exercises!AQ132)&gt;0,_DB_Exercises!AQ132,"")</f>
        <v/>
      </c>
      <c r="W127" s="31" t="str">
        <f>IF(LEN(_DB_Exercises!AR132)&gt;0,_DB_Exercises!AR132,"")</f>
        <v/>
      </c>
      <c r="X127" s="31" t="str">
        <f>IF(LEN(_DB_Exercises!AS132)&gt;0,_DB_Exercises!AS132,"")</f>
        <v/>
      </c>
      <c r="Y127" s="31" t="str">
        <f>IF(LEN(_DB_Exercises!AT132)&gt;0,_DB_Exercises!AT132,"")</f>
        <v/>
      </c>
      <c r="Z127" s="31" t="str">
        <f>IF(LEN(_DB_Exercises!AU132)&gt;0,_DB_Exercises!AU132,"")</f>
        <v/>
      </c>
      <c r="AA127" s="31" t="str">
        <f>IF(LEN(_DB_Exercises!AV132)&gt;0,_DB_Exercises!AV132,"")</f>
        <v/>
      </c>
      <c r="AB127" s="31" t="str">
        <f>IF(LEN(_DB_Exercises!AW132)&gt;0,_DB_Exercises!AW132,"")</f>
        <v/>
      </c>
      <c r="AC127" s="31" t="str">
        <f>IF(LEN(_DB_Exercises!AX132)&gt;0,_DB_Exercises!AX132,"")</f>
        <v/>
      </c>
      <c r="AD127" s="31" t="str">
        <f>IF(LEN(_DB_Exercises!AY132)&gt;0,_DB_Exercises!AY132,"")</f>
        <v/>
      </c>
      <c r="AE127" s="31" t="str">
        <f>IF(LEN(_DB_Exercises!AZ132)&gt;0,_DB_Exercises!AZ132,"")</f>
        <v/>
      </c>
      <c r="AF127" s="31" t="str">
        <f>IF(LEN(_DB_Exercises!BA132)&gt;0,_DB_Exercises!BA132,"")</f>
        <v/>
      </c>
      <c r="AG127" s="31" t="str">
        <f>IF(LEN(_DB_Exercises!BB132)&gt;0,_DB_Exercises!BB132,"")</f>
        <v/>
      </c>
      <c r="AH127" s="31" t="str">
        <f>IF(LEN(_DB_Exercises!BC132)&gt;0,_DB_Exercises!BC132,"")</f>
        <v/>
      </c>
      <c r="AI127" s="31" t="str">
        <f>IF(LEN(_DB_Exercises!BD132)&gt;0,_DB_Exercises!BD132,"")</f>
        <v/>
      </c>
      <c r="AJ127" s="31" t="str">
        <f>IF(LEN(_DB_Exercises!BE132)&gt;0,_DB_Exercises!BE132,"")</f>
        <v/>
      </c>
      <c r="AK127" s="31" t="str">
        <f>IF(LEN(_DB_Exercises!BF132)&gt;0,_DB_Exercises!BF132,"")</f>
        <v/>
      </c>
      <c r="AL127" s="31" t="str">
        <f>IF(LEN(_DB_Exercises!BG132)&gt;0,_DB_Exercises!BG132,"")</f>
        <v/>
      </c>
      <c r="AM127" s="31" t="str">
        <f>IF(LEN(_DB_Exercises!BH132)&gt;0,_DB_Exercises!BH132,"")</f>
        <v/>
      </c>
      <c r="AN127" s="31" t="str">
        <f>IF(LEN(_DB_Exercises!BI132)&gt;0,_DB_Exercises!BI132,"")</f>
        <v/>
      </c>
      <c r="AO127" s="31" t="str">
        <f>IF(LEN(_DB_Exercises!BJ132)&gt;0,_DB_Exercises!BJ132,"")</f>
        <v/>
      </c>
      <c r="AP127" s="31" t="str">
        <f>IF(LEN(_DB_Exercises!BK132)&gt;0,_DB_Exercises!BK132,"")</f>
        <v/>
      </c>
      <c r="AQ127" s="31" t="str">
        <f>IF(LEN(_DB_Exercises!BL132)&gt;0,_DB_Exercises!BL132,"")</f>
        <v/>
      </c>
      <c r="AR127" s="31" t="str">
        <f>IF(LEN(_DB_Exercises!BM132)&gt;0,_DB_Exercises!BM132,"")</f>
        <v/>
      </c>
    </row>
    <row r="128" spans="1:44" x14ac:dyDescent="0.25">
      <c r="A128" s="11">
        <f>IF(LEN(_DB_Exercises!A133)&gt;0,_DB_Exercises!A133,"")</f>
        <v>2121</v>
      </c>
      <c r="B128" s="14" t="str">
        <f>IF(LEN(_DB_Exercises!K133)&gt;0,_DB_Exercises!K133,"")</f>
        <v>Best Ball Putting #5</v>
      </c>
      <c r="C128" s="31" t="str">
        <f>IF(LEN(_DB_Exercises!X133)&gt;0,_DB_Exercises!X133,"")</f>
        <v/>
      </c>
      <c r="D128" s="31" t="str">
        <f>IF(LEN(_DB_Exercises!Y133)&gt;0,_DB_Exercises!Y133,"")</f>
        <v/>
      </c>
      <c r="E128" s="31" t="str">
        <f>IF(LEN(_DB_Exercises!Z133)&gt;0,_DB_Exercises!Z133,"")</f>
        <v/>
      </c>
      <c r="F128" s="31" t="str">
        <f>IF(LEN(_DB_Exercises!AA133)&gt;0,_DB_Exercises!AA133,"")</f>
        <v/>
      </c>
      <c r="G128" s="31" t="str">
        <f>IF(LEN(_DB_Exercises!AB133)&gt;0,_DB_Exercises!AB133,"")</f>
        <v/>
      </c>
      <c r="H128" s="31" t="str">
        <f>IF(LEN(_DB_Exercises!AC133)&gt;0,_DB_Exercises!AC133,"")</f>
        <v/>
      </c>
      <c r="I128" s="31" t="str">
        <f>IF(LEN(_DB_Exercises!AD133)&gt;0,_DB_Exercises!AD133,"")</f>
        <v/>
      </c>
      <c r="J128" s="31" t="str">
        <f>IF(LEN(_DB_Exercises!AE133)&gt;0,_DB_Exercises!AE133,"")</f>
        <v/>
      </c>
      <c r="K128" s="31" t="str">
        <f>IF(LEN(_DB_Exercises!AF133)&gt;0,_DB_Exercises!AF133,"")</f>
        <v/>
      </c>
      <c r="L128" s="31" t="str">
        <f>IF(LEN(_DB_Exercises!AG133)&gt;0,_DB_Exercises!AG133,"")</f>
        <v/>
      </c>
      <c r="M128" s="31" t="str">
        <f>IF(LEN(_DB_Exercises!AH133)&gt;0,_DB_Exercises!AH133,"")</f>
        <v/>
      </c>
      <c r="N128" s="31" t="str">
        <f>IF(LEN(_DB_Exercises!AI133)&gt;0,_DB_Exercises!AI133,"")</f>
        <v/>
      </c>
      <c r="O128" s="31" t="str">
        <f>IF(LEN(_DB_Exercises!AJ133)&gt;0,_DB_Exercises!AJ133,"")</f>
        <v/>
      </c>
      <c r="P128" s="31" t="str">
        <f>IF(LEN(_DB_Exercises!AK133)&gt;0,_DB_Exercises!AK133,"")</f>
        <v/>
      </c>
      <c r="Q128" s="31" t="str">
        <f>IF(LEN(_DB_Exercises!AL133)&gt;0,_DB_Exercises!AL133,"")</f>
        <v/>
      </c>
      <c r="R128" s="31" t="str">
        <f>IF(LEN(_DB_Exercises!AM133)&gt;0,_DB_Exercises!AM133,"")</f>
        <v/>
      </c>
      <c r="S128" s="31" t="str">
        <f>IF(LEN(_DB_Exercises!AN133)&gt;0,_DB_Exercises!AN133,"")</f>
        <v/>
      </c>
      <c r="T128" s="31" t="str">
        <f>IF(LEN(_DB_Exercises!AO133)&gt;0,_DB_Exercises!AO133,"")</f>
        <v/>
      </c>
      <c r="U128" s="31" t="str">
        <f>IF(LEN(_DB_Exercises!AP133)&gt;0,_DB_Exercises!AP133,"")</f>
        <v/>
      </c>
      <c r="V128" s="31" t="str">
        <f>IF(LEN(_DB_Exercises!AQ133)&gt;0,_DB_Exercises!AQ133,"")</f>
        <v/>
      </c>
      <c r="W128" s="31" t="str">
        <f>IF(LEN(_DB_Exercises!AR133)&gt;0,_DB_Exercises!AR133,"")</f>
        <v/>
      </c>
      <c r="X128" s="31" t="str">
        <f>IF(LEN(_DB_Exercises!AS133)&gt;0,_DB_Exercises!AS133,"")</f>
        <v/>
      </c>
      <c r="Y128" s="31" t="str">
        <f>IF(LEN(_DB_Exercises!AT133)&gt;0,_DB_Exercises!AT133,"")</f>
        <v/>
      </c>
      <c r="Z128" s="31" t="str">
        <f>IF(LEN(_DB_Exercises!AU133)&gt;0,_DB_Exercises!AU133,"")</f>
        <v/>
      </c>
      <c r="AA128" s="31" t="str">
        <f>IF(LEN(_DB_Exercises!AV133)&gt;0,_DB_Exercises!AV133,"")</f>
        <v/>
      </c>
      <c r="AB128" s="31" t="str">
        <f>IF(LEN(_DB_Exercises!AW133)&gt;0,_DB_Exercises!AW133,"")</f>
        <v/>
      </c>
      <c r="AC128" s="31" t="str">
        <f>IF(LEN(_DB_Exercises!AX133)&gt;0,_DB_Exercises!AX133,"")</f>
        <v/>
      </c>
      <c r="AD128" s="31" t="str">
        <f>IF(LEN(_DB_Exercises!AY133)&gt;0,_DB_Exercises!AY133,"")</f>
        <v/>
      </c>
      <c r="AE128" s="31" t="str">
        <f>IF(LEN(_DB_Exercises!AZ133)&gt;0,_DB_Exercises!AZ133,"")</f>
        <v/>
      </c>
      <c r="AF128" s="31" t="str">
        <f>IF(LEN(_DB_Exercises!BA133)&gt;0,_DB_Exercises!BA133,"")</f>
        <v/>
      </c>
      <c r="AG128" s="31" t="str">
        <f>IF(LEN(_DB_Exercises!BB133)&gt;0,_DB_Exercises!BB133,"")</f>
        <v/>
      </c>
      <c r="AH128" s="31" t="str">
        <f>IF(LEN(_DB_Exercises!BC133)&gt;0,_DB_Exercises!BC133,"")</f>
        <v/>
      </c>
      <c r="AI128" s="31" t="str">
        <f>IF(LEN(_DB_Exercises!BD133)&gt;0,_DB_Exercises!BD133,"")</f>
        <v/>
      </c>
      <c r="AJ128" s="31" t="str">
        <f>IF(LEN(_DB_Exercises!BE133)&gt;0,_DB_Exercises!BE133,"")</f>
        <v/>
      </c>
      <c r="AK128" s="31" t="str">
        <f>IF(LEN(_DB_Exercises!BF133)&gt;0,_DB_Exercises!BF133,"")</f>
        <v/>
      </c>
      <c r="AL128" s="31" t="str">
        <f>IF(LEN(_DB_Exercises!BG133)&gt;0,_DB_Exercises!BG133,"")</f>
        <v/>
      </c>
      <c r="AM128" s="31" t="str">
        <f>IF(LEN(_DB_Exercises!BH133)&gt;0,_DB_Exercises!BH133,"")</f>
        <v/>
      </c>
      <c r="AN128" s="31" t="str">
        <f>IF(LEN(_DB_Exercises!BI133)&gt;0,_DB_Exercises!BI133,"")</f>
        <v/>
      </c>
      <c r="AO128" s="31" t="str">
        <f>IF(LEN(_DB_Exercises!BJ133)&gt;0,_DB_Exercises!BJ133,"")</f>
        <v/>
      </c>
      <c r="AP128" s="31" t="str">
        <f>IF(LEN(_DB_Exercises!BK133)&gt;0,_DB_Exercises!BK133,"")</f>
        <v/>
      </c>
      <c r="AQ128" s="31" t="str">
        <f>IF(LEN(_DB_Exercises!BL133)&gt;0,_DB_Exercises!BL133,"")</f>
        <v/>
      </c>
      <c r="AR128" s="31" t="str">
        <f>IF(LEN(_DB_Exercises!BM133)&gt;0,_DB_Exercises!BM133,"")</f>
        <v/>
      </c>
    </row>
    <row r="129" spans="1:44" x14ac:dyDescent="0.25">
      <c r="A129" s="11">
        <f>IF(LEN(_DB_Exercises!A134)&gt;0,_DB_Exercises!A134,"")</f>
        <v>2122</v>
      </c>
      <c r="B129" s="14" t="str">
        <f>IF(LEN(_DB_Exercises!K134)&gt;0,_DB_Exercises!K134,"")</f>
        <v>Best Ball Putting #6</v>
      </c>
      <c r="C129" s="31" t="str">
        <f>IF(LEN(_DB_Exercises!X134)&gt;0,_DB_Exercises!X134,"")</f>
        <v/>
      </c>
      <c r="D129" s="31" t="str">
        <f>IF(LEN(_DB_Exercises!Y134)&gt;0,_DB_Exercises!Y134,"")</f>
        <v/>
      </c>
      <c r="E129" s="31" t="str">
        <f>IF(LEN(_DB_Exercises!Z134)&gt;0,_DB_Exercises!Z134,"")</f>
        <v/>
      </c>
      <c r="F129" s="31" t="str">
        <f>IF(LEN(_DB_Exercises!AA134)&gt;0,_DB_Exercises!AA134,"")</f>
        <v/>
      </c>
      <c r="G129" s="31" t="str">
        <f>IF(LEN(_DB_Exercises!AB134)&gt;0,_DB_Exercises!AB134,"")</f>
        <v/>
      </c>
      <c r="H129" s="31" t="str">
        <f>IF(LEN(_DB_Exercises!AC134)&gt;0,_DB_Exercises!AC134,"")</f>
        <v/>
      </c>
      <c r="I129" s="31" t="str">
        <f>IF(LEN(_DB_Exercises!AD134)&gt;0,_DB_Exercises!AD134,"")</f>
        <v/>
      </c>
      <c r="J129" s="31" t="str">
        <f>IF(LEN(_DB_Exercises!AE134)&gt;0,_DB_Exercises!AE134,"")</f>
        <v/>
      </c>
      <c r="K129" s="31" t="str">
        <f>IF(LEN(_DB_Exercises!AF134)&gt;0,_DB_Exercises!AF134,"")</f>
        <v/>
      </c>
      <c r="L129" s="31" t="str">
        <f>IF(LEN(_DB_Exercises!AG134)&gt;0,_DB_Exercises!AG134,"")</f>
        <v/>
      </c>
      <c r="M129" s="31" t="str">
        <f>IF(LEN(_DB_Exercises!AH134)&gt;0,_DB_Exercises!AH134,"")</f>
        <v/>
      </c>
      <c r="N129" s="31" t="str">
        <f>IF(LEN(_DB_Exercises!AI134)&gt;0,_DB_Exercises!AI134,"")</f>
        <v/>
      </c>
      <c r="O129" s="31" t="str">
        <f>IF(LEN(_DB_Exercises!AJ134)&gt;0,_DB_Exercises!AJ134,"")</f>
        <v/>
      </c>
      <c r="P129" s="31" t="str">
        <f>IF(LEN(_DB_Exercises!AK134)&gt;0,_DB_Exercises!AK134,"")</f>
        <v/>
      </c>
      <c r="Q129" s="31" t="str">
        <f>IF(LEN(_DB_Exercises!AL134)&gt;0,_DB_Exercises!AL134,"")</f>
        <v/>
      </c>
      <c r="R129" s="31" t="str">
        <f>IF(LEN(_DB_Exercises!AM134)&gt;0,_DB_Exercises!AM134,"")</f>
        <v/>
      </c>
      <c r="S129" s="31" t="str">
        <f>IF(LEN(_DB_Exercises!AN134)&gt;0,_DB_Exercises!AN134,"")</f>
        <v/>
      </c>
      <c r="T129" s="31" t="str">
        <f>IF(LEN(_DB_Exercises!AO134)&gt;0,_DB_Exercises!AO134,"")</f>
        <v/>
      </c>
      <c r="U129" s="31" t="str">
        <f>IF(LEN(_DB_Exercises!AP134)&gt;0,_DB_Exercises!AP134,"")</f>
        <v/>
      </c>
      <c r="V129" s="31" t="str">
        <f>IF(LEN(_DB_Exercises!AQ134)&gt;0,_DB_Exercises!AQ134,"")</f>
        <v/>
      </c>
      <c r="W129" s="31" t="str">
        <f>IF(LEN(_DB_Exercises!AR134)&gt;0,_DB_Exercises!AR134,"")</f>
        <v/>
      </c>
      <c r="X129" s="31" t="str">
        <f>IF(LEN(_DB_Exercises!AS134)&gt;0,_DB_Exercises!AS134,"")</f>
        <v/>
      </c>
      <c r="Y129" s="31" t="str">
        <f>IF(LEN(_DB_Exercises!AT134)&gt;0,_DB_Exercises!AT134,"")</f>
        <v/>
      </c>
      <c r="Z129" s="31" t="str">
        <f>IF(LEN(_DB_Exercises!AU134)&gt;0,_DB_Exercises!AU134,"")</f>
        <v/>
      </c>
      <c r="AA129" s="31" t="str">
        <f>IF(LEN(_DB_Exercises!AV134)&gt;0,_DB_Exercises!AV134,"")</f>
        <v/>
      </c>
      <c r="AB129" s="31" t="str">
        <f>IF(LEN(_DB_Exercises!AW134)&gt;0,_DB_Exercises!AW134,"")</f>
        <v/>
      </c>
      <c r="AC129" s="31" t="str">
        <f>IF(LEN(_DB_Exercises!AX134)&gt;0,_DB_Exercises!AX134,"")</f>
        <v/>
      </c>
      <c r="AD129" s="31" t="str">
        <f>IF(LEN(_DB_Exercises!AY134)&gt;0,_DB_Exercises!AY134,"")</f>
        <v/>
      </c>
      <c r="AE129" s="31" t="str">
        <f>IF(LEN(_DB_Exercises!AZ134)&gt;0,_DB_Exercises!AZ134,"")</f>
        <v/>
      </c>
      <c r="AF129" s="31" t="str">
        <f>IF(LEN(_DB_Exercises!BA134)&gt;0,_DB_Exercises!BA134,"")</f>
        <v/>
      </c>
      <c r="AG129" s="31" t="str">
        <f>IF(LEN(_DB_Exercises!BB134)&gt;0,_DB_Exercises!BB134,"")</f>
        <v/>
      </c>
      <c r="AH129" s="31" t="str">
        <f>IF(LEN(_DB_Exercises!BC134)&gt;0,_DB_Exercises!BC134,"")</f>
        <v/>
      </c>
      <c r="AI129" s="31" t="str">
        <f>IF(LEN(_DB_Exercises!BD134)&gt;0,_DB_Exercises!BD134,"")</f>
        <v/>
      </c>
      <c r="AJ129" s="31" t="str">
        <f>IF(LEN(_DB_Exercises!BE134)&gt;0,_DB_Exercises!BE134,"")</f>
        <v/>
      </c>
      <c r="AK129" s="31" t="str">
        <f>IF(LEN(_DB_Exercises!BF134)&gt;0,_DB_Exercises!BF134,"")</f>
        <v/>
      </c>
      <c r="AL129" s="31" t="str">
        <f>IF(LEN(_DB_Exercises!BG134)&gt;0,_DB_Exercises!BG134,"")</f>
        <v/>
      </c>
      <c r="AM129" s="31" t="str">
        <f>IF(LEN(_DB_Exercises!BH134)&gt;0,_DB_Exercises!BH134,"")</f>
        <v/>
      </c>
      <c r="AN129" s="31" t="str">
        <f>IF(LEN(_DB_Exercises!BI134)&gt;0,_DB_Exercises!BI134,"")</f>
        <v/>
      </c>
      <c r="AO129" s="31" t="str">
        <f>IF(LEN(_DB_Exercises!BJ134)&gt;0,_DB_Exercises!BJ134,"")</f>
        <v/>
      </c>
      <c r="AP129" s="31" t="str">
        <f>IF(LEN(_DB_Exercises!BK134)&gt;0,_DB_Exercises!BK134,"")</f>
        <v/>
      </c>
      <c r="AQ129" s="31" t="str">
        <f>IF(LEN(_DB_Exercises!BL134)&gt;0,_DB_Exercises!BL134,"")</f>
        <v/>
      </c>
      <c r="AR129" s="31" t="str">
        <f>IF(LEN(_DB_Exercises!BM134)&gt;0,_DB_Exercises!BM134,"")</f>
        <v/>
      </c>
    </row>
    <row r="130" spans="1:44" x14ac:dyDescent="0.25">
      <c r="A130" s="11">
        <f>IF(LEN(_DB_Exercises!A135)&gt;0,_DB_Exercises!A135,"")</f>
        <v>2123</v>
      </c>
      <c r="B130" s="14" t="str">
        <f>IF(LEN(_DB_Exercises!K135)&gt;0,_DB_Exercises!K135,"")</f>
        <v>WORST Ball Putting #1</v>
      </c>
      <c r="C130" s="31" t="str">
        <f>IF(LEN(_DB_Exercises!X135)&gt;0,_DB_Exercises!X135,"")</f>
        <v/>
      </c>
      <c r="D130" s="31" t="str">
        <f>IF(LEN(_DB_Exercises!Y135)&gt;0,_DB_Exercises!Y135,"")</f>
        <v/>
      </c>
      <c r="E130" s="31" t="str">
        <f>IF(LEN(_DB_Exercises!Z135)&gt;0,_DB_Exercises!Z135,"")</f>
        <v/>
      </c>
      <c r="F130" s="31" t="str">
        <f>IF(LEN(_DB_Exercises!AA135)&gt;0,_DB_Exercises!AA135,"")</f>
        <v/>
      </c>
      <c r="G130" s="31" t="str">
        <f>IF(LEN(_DB_Exercises!AB135)&gt;0,_DB_Exercises!AB135,"")</f>
        <v/>
      </c>
      <c r="H130" s="31" t="str">
        <f>IF(LEN(_DB_Exercises!AC135)&gt;0,_DB_Exercises!AC135,"")</f>
        <v/>
      </c>
      <c r="I130" s="31" t="str">
        <f>IF(LEN(_DB_Exercises!AD135)&gt;0,_DB_Exercises!AD135,"")</f>
        <v/>
      </c>
      <c r="J130" s="31" t="str">
        <f>IF(LEN(_DB_Exercises!AE135)&gt;0,_DB_Exercises!AE135,"")</f>
        <v/>
      </c>
      <c r="K130" s="31" t="str">
        <f>IF(LEN(_DB_Exercises!AF135)&gt;0,_DB_Exercises!AF135,"")</f>
        <v/>
      </c>
      <c r="L130" s="31" t="str">
        <f>IF(LEN(_DB_Exercises!AG135)&gt;0,_DB_Exercises!AG135,"")</f>
        <v/>
      </c>
      <c r="M130" s="31" t="str">
        <f>IF(LEN(_DB_Exercises!AH135)&gt;0,_DB_Exercises!AH135,"")</f>
        <v/>
      </c>
      <c r="N130" s="31" t="str">
        <f>IF(LEN(_DB_Exercises!AI135)&gt;0,_DB_Exercises!AI135,"")</f>
        <v/>
      </c>
      <c r="O130" s="31" t="str">
        <f>IF(LEN(_DB_Exercises!AJ135)&gt;0,_DB_Exercises!AJ135,"")</f>
        <v/>
      </c>
      <c r="P130" s="31" t="str">
        <f>IF(LEN(_DB_Exercises!AK135)&gt;0,_DB_Exercises!AK135,"")</f>
        <v/>
      </c>
      <c r="Q130" s="31" t="str">
        <f>IF(LEN(_DB_Exercises!AL135)&gt;0,_DB_Exercises!AL135,"")</f>
        <v/>
      </c>
      <c r="R130" s="31" t="str">
        <f>IF(LEN(_DB_Exercises!AM135)&gt;0,_DB_Exercises!AM135,"")</f>
        <v/>
      </c>
      <c r="S130" s="31" t="str">
        <f>IF(LEN(_DB_Exercises!AN135)&gt;0,_DB_Exercises!AN135,"")</f>
        <v/>
      </c>
      <c r="T130" s="31" t="str">
        <f>IF(LEN(_DB_Exercises!AO135)&gt;0,_DB_Exercises!AO135,"")</f>
        <v/>
      </c>
      <c r="U130" s="31" t="str">
        <f>IF(LEN(_DB_Exercises!AP135)&gt;0,_DB_Exercises!AP135,"")</f>
        <v/>
      </c>
      <c r="V130" s="31" t="str">
        <f>IF(LEN(_DB_Exercises!AQ135)&gt;0,_DB_Exercises!AQ135,"")</f>
        <v/>
      </c>
      <c r="W130" s="31" t="str">
        <f>IF(LEN(_DB_Exercises!AR135)&gt;0,_DB_Exercises!AR135,"")</f>
        <v/>
      </c>
      <c r="X130" s="31" t="str">
        <f>IF(LEN(_DB_Exercises!AS135)&gt;0,_DB_Exercises!AS135,"")</f>
        <v/>
      </c>
      <c r="Y130" s="31" t="str">
        <f>IF(LEN(_DB_Exercises!AT135)&gt;0,_DB_Exercises!AT135,"")</f>
        <v/>
      </c>
      <c r="Z130" s="31" t="str">
        <f>IF(LEN(_DB_Exercises!AU135)&gt;0,_DB_Exercises!AU135,"")</f>
        <v/>
      </c>
      <c r="AA130" s="31" t="str">
        <f>IF(LEN(_DB_Exercises!AV135)&gt;0,_DB_Exercises!AV135,"")</f>
        <v/>
      </c>
      <c r="AB130" s="31" t="str">
        <f>IF(LEN(_DB_Exercises!AW135)&gt;0,_DB_Exercises!AW135,"")</f>
        <v/>
      </c>
      <c r="AC130" s="31" t="str">
        <f>IF(LEN(_DB_Exercises!AX135)&gt;0,_DB_Exercises!AX135,"")</f>
        <v/>
      </c>
      <c r="AD130" s="31" t="str">
        <f>IF(LEN(_DB_Exercises!AY135)&gt;0,_DB_Exercises!AY135,"")</f>
        <v/>
      </c>
      <c r="AE130" s="31" t="str">
        <f>IF(LEN(_DB_Exercises!AZ135)&gt;0,_DB_Exercises!AZ135,"")</f>
        <v/>
      </c>
      <c r="AF130" s="31" t="str">
        <f>IF(LEN(_DB_Exercises!BA135)&gt;0,_DB_Exercises!BA135,"")</f>
        <v/>
      </c>
      <c r="AG130" s="31" t="str">
        <f>IF(LEN(_DB_Exercises!BB135)&gt;0,_DB_Exercises!BB135,"")</f>
        <v/>
      </c>
      <c r="AH130" s="31" t="str">
        <f>IF(LEN(_DB_Exercises!BC135)&gt;0,_DB_Exercises!BC135,"")</f>
        <v/>
      </c>
      <c r="AI130" s="31" t="str">
        <f>IF(LEN(_DB_Exercises!BD135)&gt;0,_DB_Exercises!BD135,"")</f>
        <v/>
      </c>
      <c r="AJ130" s="31" t="str">
        <f>IF(LEN(_DB_Exercises!BE135)&gt;0,_DB_Exercises!BE135,"")</f>
        <v/>
      </c>
      <c r="AK130" s="31" t="str">
        <f>IF(LEN(_DB_Exercises!BF135)&gt;0,_DB_Exercises!BF135,"")</f>
        <v/>
      </c>
      <c r="AL130" s="31" t="str">
        <f>IF(LEN(_DB_Exercises!BG135)&gt;0,_DB_Exercises!BG135,"")</f>
        <v/>
      </c>
      <c r="AM130" s="31" t="str">
        <f>IF(LEN(_DB_Exercises!BH135)&gt;0,_DB_Exercises!BH135,"")</f>
        <v/>
      </c>
      <c r="AN130" s="31" t="str">
        <f>IF(LEN(_DB_Exercises!BI135)&gt;0,_DB_Exercises!BI135,"")</f>
        <v/>
      </c>
      <c r="AO130" s="31" t="str">
        <f>IF(LEN(_DB_Exercises!BJ135)&gt;0,_DB_Exercises!BJ135,"")</f>
        <v/>
      </c>
      <c r="AP130" s="31" t="str">
        <f>IF(LEN(_DB_Exercises!BK135)&gt;0,_DB_Exercises!BK135,"")</f>
        <v/>
      </c>
      <c r="AQ130" s="31" t="str">
        <f>IF(LEN(_DB_Exercises!BL135)&gt;0,_DB_Exercises!BL135,"")</f>
        <v/>
      </c>
      <c r="AR130" s="31" t="str">
        <f>IF(LEN(_DB_Exercises!BM135)&gt;0,_DB_Exercises!BM135,"")</f>
        <v/>
      </c>
    </row>
    <row r="131" spans="1:44" x14ac:dyDescent="0.25">
      <c r="A131" s="11">
        <f>IF(LEN(_DB_Exercises!A136)&gt;0,_DB_Exercises!A136,"")</f>
        <v>2124</v>
      </c>
      <c r="B131" s="14" t="str">
        <f>IF(LEN(_DB_Exercises!K136)&gt;0,_DB_Exercises!K136,"")</f>
        <v>WORST Ball Putting #2</v>
      </c>
      <c r="C131" s="31" t="str">
        <f>IF(LEN(_DB_Exercises!X136)&gt;0,_DB_Exercises!X136,"")</f>
        <v/>
      </c>
      <c r="D131" s="31" t="str">
        <f>IF(LEN(_DB_Exercises!Y136)&gt;0,_DB_Exercises!Y136,"")</f>
        <v/>
      </c>
      <c r="E131" s="31" t="str">
        <f>IF(LEN(_DB_Exercises!Z136)&gt;0,_DB_Exercises!Z136,"")</f>
        <v/>
      </c>
      <c r="F131" s="31" t="str">
        <f>IF(LEN(_DB_Exercises!AA136)&gt;0,_DB_Exercises!AA136,"")</f>
        <v/>
      </c>
      <c r="G131" s="31" t="str">
        <f>IF(LEN(_DB_Exercises!AB136)&gt;0,_DB_Exercises!AB136,"")</f>
        <v/>
      </c>
      <c r="H131" s="31" t="str">
        <f>IF(LEN(_DB_Exercises!AC136)&gt;0,_DB_Exercises!AC136,"")</f>
        <v/>
      </c>
      <c r="I131" s="31" t="str">
        <f>IF(LEN(_DB_Exercises!AD136)&gt;0,_DB_Exercises!AD136,"")</f>
        <v/>
      </c>
      <c r="J131" s="31" t="str">
        <f>IF(LEN(_DB_Exercises!AE136)&gt;0,_DB_Exercises!AE136,"")</f>
        <v/>
      </c>
      <c r="K131" s="31" t="str">
        <f>IF(LEN(_DB_Exercises!AF136)&gt;0,_DB_Exercises!AF136,"")</f>
        <v/>
      </c>
      <c r="L131" s="31" t="str">
        <f>IF(LEN(_DB_Exercises!AG136)&gt;0,_DB_Exercises!AG136,"")</f>
        <v/>
      </c>
      <c r="M131" s="31" t="str">
        <f>IF(LEN(_DB_Exercises!AH136)&gt;0,_DB_Exercises!AH136,"")</f>
        <v/>
      </c>
      <c r="N131" s="31" t="str">
        <f>IF(LEN(_DB_Exercises!AI136)&gt;0,_DB_Exercises!AI136,"")</f>
        <v/>
      </c>
      <c r="O131" s="31" t="str">
        <f>IF(LEN(_DB_Exercises!AJ136)&gt;0,_DB_Exercises!AJ136,"")</f>
        <v/>
      </c>
      <c r="P131" s="31" t="str">
        <f>IF(LEN(_DB_Exercises!AK136)&gt;0,_DB_Exercises!AK136,"")</f>
        <v/>
      </c>
      <c r="Q131" s="31" t="str">
        <f>IF(LEN(_DB_Exercises!AL136)&gt;0,_DB_Exercises!AL136,"")</f>
        <v/>
      </c>
      <c r="R131" s="31" t="str">
        <f>IF(LEN(_DB_Exercises!AM136)&gt;0,_DB_Exercises!AM136,"")</f>
        <v/>
      </c>
      <c r="S131" s="31" t="str">
        <f>IF(LEN(_DB_Exercises!AN136)&gt;0,_DB_Exercises!AN136,"")</f>
        <v/>
      </c>
      <c r="T131" s="31" t="str">
        <f>IF(LEN(_DB_Exercises!AO136)&gt;0,_DB_Exercises!AO136,"")</f>
        <v/>
      </c>
      <c r="U131" s="31" t="str">
        <f>IF(LEN(_DB_Exercises!AP136)&gt;0,_DB_Exercises!AP136,"")</f>
        <v/>
      </c>
      <c r="V131" s="31" t="str">
        <f>IF(LEN(_DB_Exercises!AQ136)&gt;0,_DB_Exercises!AQ136,"")</f>
        <v/>
      </c>
      <c r="W131" s="31" t="str">
        <f>IF(LEN(_DB_Exercises!AR136)&gt;0,_DB_Exercises!AR136,"")</f>
        <v/>
      </c>
      <c r="X131" s="31" t="str">
        <f>IF(LEN(_DB_Exercises!AS136)&gt;0,_DB_Exercises!AS136,"")</f>
        <v/>
      </c>
      <c r="Y131" s="31" t="str">
        <f>IF(LEN(_DB_Exercises!AT136)&gt;0,_DB_Exercises!AT136,"")</f>
        <v/>
      </c>
      <c r="Z131" s="31" t="str">
        <f>IF(LEN(_DB_Exercises!AU136)&gt;0,_DB_Exercises!AU136,"")</f>
        <v/>
      </c>
      <c r="AA131" s="31" t="str">
        <f>IF(LEN(_DB_Exercises!AV136)&gt;0,_DB_Exercises!AV136,"")</f>
        <v/>
      </c>
      <c r="AB131" s="31" t="str">
        <f>IF(LEN(_DB_Exercises!AW136)&gt;0,_DB_Exercises!AW136,"")</f>
        <v/>
      </c>
      <c r="AC131" s="31" t="str">
        <f>IF(LEN(_DB_Exercises!AX136)&gt;0,_DB_Exercises!AX136,"")</f>
        <v/>
      </c>
      <c r="AD131" s="31" t="str">
        <f>IF(LEN(_DB_Exercises!AY136)&gt;0,_DB_Exercises!AY136,"")</f>
        <v/>
      </c>
      <c r="AE131" s="31" t="str">
        <f>IF(LEN(_DB_Exercises!AZ136)&gt;0,_DB_Exercises!AZ136,"")</f>
        <v/>
      </c>
      <c r="AF131" s="31" t="str">
        <f>IF(LEN(_DB_Exercises!BA136)&gt;0,_DB_Exercises!BA136,"")</f>
        <v/>
      </c>
      <c r="AG131" s="31" t="str">
        <f>IF(LEN(_DB_Exercises!BB136)&gt;0,_DB_Exercises!BB136,"")</f>
        <v/>
      </c>
      <c r="AH131" s="31" t="str">
        <f>IF(LEN(_DB_Exercises!BC136)&gt;0,_DB_Exercises!BC136,"")</f>
        <v/>
      </c>
      <c r="AI131" s="31" t="str">
        <f>IF(LEN(_DB_Exercises!BD136)&gt;0,_DB_Exercises!BD136,"")</f>
        <v/>
      </c>
      <c r="AJ131" s="31" t="str">
        <f>IF(LEN(_DB_Exercises!BE136)&gt;0,_DB_Exercises!BE136,"")</f>
        <v/>
      </c>
      <c r="AK131" s="31" t="str">
        <f>IF(LEN(_DB_Exercises!BF136)&gt;0,_DB_Exercises!BF136,"")</f>
        <v/>
      </c>
      <c r="AL131" s="31" t="str">
        <f>IF(LEN(_DB_Exercises!BG136)&gt;0,_DB_Exercises!BG136,"")</f>
        <v/>
      </c>
      <c r="AM131" s="31" t="str">
        <f>IF(LEN(_DB_Exercises!BH136)&gt;0,_DB_Exercises!BH136,"")</f>
        <v/>
      </c>
      <c r="AN131" s="31" t="str">
        <f>IF(LEN(_DB_Exercises!BI136)&gt;0,_DB_Exercises!BI136,"")</f>
        <v/>
      </c>
      <c r="AO131" s="31" t="str">
        <f>IF(LEN(_DB_Exercises!BJ136)&gt;0,_DB_Exercises!BJ136,"")</f>
        <v/>
      </c>
      <c r="AP131" s="31" t="str">
        <f>IF(LEN(_DB_Exercises!BK136)&gt;0,_DB_Exercises!BK136,"")</f>
        <v/>
      </c>
      <c r="AQ131" s="31" t="str">
        <f>IF(LEN(_DB_Exercises!BL136)&gt;0,_DB_Exercises!BL136,"")</f>
        <v/>
      </c>
      <c r="AR131" s="31" t="str">
        <f>IF(LEN(_DB_Exercises!BM136)&gt;0,_DB_Exercises!BM136,"")</f>
        <v/>
      </c>
    </row>
    <row r="132" spans="1:44" x14ac:dyDescent="0.25">
      <c r="A132" s="11">
        <f>IF(LEN(_DB_Exercises!A137)&gt;0,_DB_Exercises!A137,"")</f>
        <v>2125</v>
      </c>
      <c r="B132" s="14" t="str">
        <f>IF(LEN(_DB_Exercises!K137)&gt;0,_DB_Exercises!K137,"")</f>
        <v>WORST Ball Putting #3</v>
      </c>
      <c r="C132" s="31" t="str">
        <f>IF(LEN(_DB_Exercises!X137)&gt;0,_DB_Exercises!X137,"")</f>
        <v/>
      </c>
      <c r="D132" s="31" t="str">
        <f>IF(LEN(_DB_Exercises!Y137)&gt;0,_DB_Exercises!Y137,"")</f>
        <v/>
      </c>
      <c r="E132" s="31" t="str">
        <f>IF(LEN(_DB_Exercises!Z137)&gt;0,_DB_Exercises!Z137,"")</f>
        <v/>
      </c>
      <c r="F132" s="31" t="str">
        <f>IF(LEN(_DB_Exercises!AA137)&gt;0,_DB_Exercises!AA137,"")</f>
        <v/>
      </c>
      <c r="G132" s="31" t="str">
        <f>IF(LEN(_DB_Exercises!AB137)&gt;0,_DB_Exercises!AB137,"")</f>
        <v/>
      </c>
      <c r="H132" s="31" t="str">
        <f>IF(LEN(_DB_Exercises!AC137)&gt;0,_DB_Exercises!AC137,"")</f>
        <v/>
      </c>
      <c r="I132" s="31" t="str">
        <f>IF(LEN(_DB_Exercises!AD137)&gt;0,_DB_Exercises!AD137,"")</f>
        <v/>
      </c>
      <c r="J132" s="31" t="str">
        <f>IF(LEN(_DB_Exercises!AE137)&gt;0,_DB_Exercises!AE137,"")</f>
        <v/>
      </c>
      <c r="K132" s="31" t="str">
        <f>IF(LEN(_DB_Exercises!AF137)&gt;0,_DB_Exercises!AF137,"")</f>
        <v/>
      </c>
      <c r="L132" s="31" t="str">
        <f>IF(LEN(_DB_Exercises!AG137)&gt;0,_DB_Exercises!AG137,"")</f>
        <v/>
      </c>
      <c r="M132" s="31" t="str">
        <f>IF(LEN(_DB_Exercises!AH137)&gt;0,_DB_Exercises!AH137,"")</f>
        <v/>
      </c>
      <c r="N132" s="31" t="str">
        <f>IF(LEN(_DB_Exercises!AI137)&gt;0,_DB_Exercises!AI137,"")</f>
        <v/>
      </c>
      <c r="O132" s="31" t="str">
        <f>IF(LEN(_DB_Exercises!AJ137)&gt;0,_DB_Exercises!AJ137,"")</f>
        <v/>
      </c>
      <c r="P132" s="31" t="str">
        <f>IF(LEN(_DB_Exercises!AK137)&gt;0,_DB_Exercises!AK137,"")</f>
        <v/>
      </c>
      <c r="Q132" s="31" t="str">
        <f>IF(LEN(_DB_Exercises!AL137)&gt;0,_DB_Exercises!AL137,"")</f>
        <v/>
      </c>
      <c r="R132" s="31" t="str">
        <f>IF(LEN(_DB_Exercises!AM137)&gt;0,_DB_Exercises!AM137,"")</f>
        <v/>
      </c>
      <c r="S132" s="31" t="str">
        <f>IF(LEN(_DB_Exercises!AN137)&gt;0,_DB_Exercises!AN137,"")</f>
        <v/>
      </c>
      <c r="T132" s="31" t="str">
        <f>IF(LEN(_DB_Exercises!AO137)&gt;0,_DB_Exercises!AO137,"")</f>
        <v/>
      </c>
      <c r="U132" s="31" t="str">
        <f>IF(LEN(_DB_Exercises!AP137)&gt;0,_DB_Exercises!AP137,"")</f>
        <v/>
      </c>
      <c r="V132" s="31" t="str">
        <f>IF(LEN(_DB_Exercises!AQ137)&gt;0,_DB_Exercises!AQ137,"")</f>
        <v/>
      </c>
      <c r="W132" s="31" t="str">
        <f>IF(LEN(_DB_Exercises!AR137)&gt;0,_DB_Exercises!AR137,"")</f>
        <v/>
      </c>
      <c r="X132" s="31" t="str">
        <f>IF(LEN(_DB_Exercises!AS137)&gt;0,_DB_Exercises!AS137,"")</f>
        <v/>
      </c>
      <c r="Y132" s="31" t="str">
        <f>IF(LEN(_DB_Exercises!AT137)&gt;0,_DB_Exercises!AT137,"")</f>
        <v/>
      </c>
      <c r="Z132" s="31" t="str">
        <f>IF(LEN(_DB_Exercises!AU137)&gt;0,_DB_Exercises!AU137,"")</f>
        <v/>
      </c>
      <c r="AA132" s="31" t="str">
        <f>IF(LEN(_DB_Exercises!AV137)&gt;0,_DB_Exercises!AV137,"")</f>
        <v/>
      </c>
      <c r="AB132" s="31" t="str">
        <f>IF(LEN(_DB_Exercises!AW137)&gt;0,_DB_Exercises!AW137,"")</f>
        <v/>
      </c>
      <c r="AC132" s="31" t="str">
        <f>IF(LEN(_DB_Exercises!AX137)&gt;0,_DB_Exercises!AX137,"")</f>
        <v/>
      </c>
      <c r="AD132" s="31" t="str">
        <f>IF(LEN(_DB_Exercises!AY137)&gt;0,_DB_Exercises!AY137,"")</f>
        <v/>
      </c>
      <c r="AE132" s="31" t="str">
        <f>IF(LEN(_DB_Exercises!AZ137)&gt;0,_DB_Exercises!AZ137,"")</f>
        <v/>
      </c>
      <c r="AF132" s="31" t="str">
        <f>IF(LEN(_DB_Exercises!BA137)&gt;0,_DB_Exercises!BA137,"")</f>
        <v/>
      </c>
      <c r="AG132" s="31" t="str">
        <f>IF(LEN(_DB_Exercises!BB137)&gt;0,_DB_Exercises!BB137,"")</f>
        <v/>
      </c>
      <c r="AH132" s="31" t="str">
        <f>IF(LEN(_DB_Exercises!BC137)&gt;0,_DB_Exercises!BC137,"")</f>
        <v/>
      </c>
      <c r="AI132" s="31" t="str">
        <f>IF(LEN(_DB_Exercises!BD137)&gt;0,_DB_Exercises!BD137,"")</f>
        <v/>
      </c>
      <c r="AJ132" s="31" t="str">
        <f>IF(LEN(_DB_Exercises!BE137)&gt;0,_DB_Exercises!BE137,"")</f>
        <v/>
      </c>
      <c r="AK132" s="31" t="str">
        <f>IF(LEN(_DB_Exercises!BF137)&gt;0,_DB_Exercises!BF137,"")</f>
        <v/>
      </c>
      <c r="AL132" s="31" t="str">
        <f>IF(LEN(_DB_Exercises!BG137)&gt;0,_DB_Exercises!BG137,"")</f>
        <v/>
      </c>
      <c r="AM132" s="31" t="str">
        <f>IF(LEN(_DB_Exercises!BH137)&gt;0,_DB_Exercises!BH137,"")</f>
        <v/>
      </c>
      <c r="AN132" s="31" t="str">
        <f>IF(LEN(_DB_Exercises!BI137)&gt;0,_DB_Exercises!BI137,"")</f>
        <v/>
      </c>
      <c r="AO132" s="31" t="str">
        <f>IF(LEN(_DB_Exercises!BJ137)&gt;0,_DB_Exercises!BJ137,"")</f>
        <v/>
      </c>
      <c r="AP132" s="31" t="str">
        <f>IF(LEN(_DB_Exercises!BK137)&gt;0,_DB_Exercises!BK137,"")</f>
        <v/>
      </c>
      <c r="AQ132" s="31" t="str">
        <f>IF(LEN(_DB_Exercises!BL137)&gt;0,_DB_Exercises!BL137,"")</f>
        <v/>
      </c>
      <c r="AR132" s="31" t="str">
        <f>IF(LEN(_DB_Exercises!BM137)&gt;0,_DB_Exercises!BM137,"")</f>
        <v/>
      </c>
    </row>
    <row r="133" spans="1:44" x14ac:dyDescent="0.25">
      <c r="A133" s="11">
        <f>IF(LEN(_DB_Exercises!A138)&gt;0,_DB_Exercises!A138,"")</f>
        <v>2126</v>
      </c>
      <c r="B133" s="14" t="str">
        <f>IF(LEN(_DB_Exercises!K138)&gt;0,_DB_Exercises!K138,"")</f>
        <v>WORST Ball Putting #4</v>
      </c>
      <c r="C133" s="31" t="str">
        <f>IF(LEN(_DB_Exercises!X138)&gt;0,_DB_Exercises!X138,"")</f>
        <v/>
      </c>
      <c r="D133" s="31" t="str">
        <f>IF(LEN(_DB_Exercises!Y138)&gt;0,_DB_Exercises!Y138,"")</f>
        <v/>
      </c>
      <c r="E133" s="31" t="str">
        <f>IF(LEN(_DB_Exercises!Z138)&gt;0,_DB_Exercises!Z138,"")</f>
        <v/>
      </c>
      <c r="F133" s="31" t="str">
        <f>IF(LEN(_DB_Exercises!AA138)&gt;0,_DB_Exercises!AA138,"")</f>
        <v/>
      </c>
      <c r="G133" s="31" t="str">
        <f>IF(LEN(_DB_Exercises!AB138)&gt;0,_DB_Exercises!AB138,"")</f>
        <v/>
      </c>
      <c r="H133" s="31" t="str">
        <f>IF(LEN(_DB_Exercises!AC138)&gt;0,_DB_Exercises!AC138,"")</f>
        <v/>
      </c>
      <c r="I133" s="31" t="str">
        <f>IF(LEN(_DB_Exercises!AD138)&gt;0,_DB_Exercises!AD138,"")</f>
        <v/>
      </c>
      <c r="J133" s="31" t="str">
        <f>IF(LEN(_DB_Exercises!AE138)&gt;0,_DB_Exercises!AE138,"")</f>
        <v/>
      </c>
      <c r="K133" s="31" t="str">
        <f>IF(LEN(_DB_Exercises!AF138)&gt;0,_DB_Exercises!AF138,"")</f>
        <v/>
      </c>
      <c r="L133" s="31" t="str">
        <f>IF(LEN(_DB_Exercises!AG138)&gt;0,_DB_Exercises!AG138,"")</f>
        <v/>
      </c>
      <c r="M133" s="31" t="str">
        <f>IF(LEN(_DB_Exercises!AH138)&gt;0,_DB_Exercises!AH138,"")</f>
        <v/>
      </c>
      <c r="N133" s="31" t="str">
        <f>IF(LEN(_DB_Exercises!AI138)&gt;0,_DB_Exercises!AI138,"")</f>
        <v/>
      </c>
      <c r="O133" s="31" t="str">
        <f>IF(LEN(_DB_Exercises!AJ138)&gt;0,_DB_Exercises!AJ138,"")</f>
        <v/>
      </c>
      <c r="P133" s="31" t="str">
        <f>IF(LEN(_DB_Exercises!AK138)&gt;0,_DB_Exercises!AK138,"")</f>
        <v/>
      </c>
      <c r="Q133" s="31" t="str">
        <f>IF(LEN(_DB_Exercises!AL138)&gt;0,_DB_Exercises!AL138,"")</f>
        <v/>
      </c>
      <c r="R133" s="31" t="str">
        <f>IF(LEN(_DB_Exercises!AM138)&gt;0,_DB_Exercises!AM138,"")</f>
        <v/>
      </c>
      <c r="S133" s="31" t="str">
        <f>IF(LEN(_DB_Exercises!AN138)&gt;0,_DB_Exercises!AN138,"")</f>
        <v/>
      </c>
      <c r="T133" s="31" t="str">
        <f>IF(LEN(_DB_Exercises!AO138)&gt;0,_DB_Exercises!AO138,"")</f>
        <v/>
      </c>
      <c r="U133" s="31" t="str">
        <f>IF(LEN(_DB_Exercises!AP138)&gt;0,_DB_Exercises!AP138,"")</f>
        <v/>
      </c>
      <c r="V133" s="31" t="str">
        <f>IF(LEN(_DB_Exercises!AQ138)&gt;0,_DB_Exercises!AQ138,"")</f>
        <v/>
      </c>
      <c r="W133" s="31" t="str">
        <f>IF(LEN(_DB_Exercises!AR138)&gt;0,_DB_Exercises!AR138,"")</f>
        <v/>
      </c>
      <c r="X133" s="31" t="str">
        <f>IF(LEN(_DB_Exercises!AS138)&gt;0,_DB_Exercises!AS138,"")</f>
        <v/>
      </c>
      <c r="Y133" s="31" t="str">
        <f>IF(LEN(_DB_Exercises!AT138)&gt;0,_DB_Exercises!AT138,"")</f>
        <v/>
      </c>
      <c r="Z133" s="31" t="str">
        <f>IF(LEN(_DB_Exercises!AU138)&gt;0,_DB_Exercises!AU138,"")</f>
        <v/>
      </c>
      <c r="AA133" s="31" t="str">
        <f>IF(LEN(_DB_Exercises!AV138)&gt;0,_DB_Exercises!AV138,"")</f>
        <v/>
      </c>
      <c r="AB133" s="31" t="str">
        <f>IF(LEN(_DB_Exercises!AW138)&gt;0,_DB_Exercises!AW138,"")</f>
        <v/>
      </c>
      <c r="AC133" s="31" t="str">
        <f>IF(LEN(_DB_Exercises!AX138)&gt;0,_DB_Exercises!AX138,"")</f>
        <v/>
      </c>
      <c r="AD133" s="31" t="str">
        <f>IF(LEN(_DB_Exercises!AY138)&gt;0,_DB_Exercises!AY138,"")</f>
        <v/>
      </c>
      <c r="AE133" s="31" t="str">
        <f>IF(LEN(_DB_Exercises!AZ138)&gt;0,_DB_Exercises!AZ138,"")</f>
        <v/>
      </c>
      <c r="AF133" s="31" t="str">
        <f>IF(LEN(_DB_Exercises!BA138)&gt;0,_DB_Exercises!BA138,"")</f>
        <v/>
      </c>
      <c r="AG133" s="31" t="str">
        <f>IF(LEN(_DB_Exercises!BB138)&gt;0,_DB_Exercises!BB138,"")</f>
        <v/>
      </c>
      <c r="AH133" s="31" t="str">
        <f>IF(LEN(_DB_Exercises!BC138)&gt;0,_DB_Exercises!BC138,"")</f>
        <v/>
      </c>
      <c r="AI133" s="31" t="str">
        <f>IF(LEN(_DB_Exercises!BD138)&gt;0,_DB_Exercises!BD138,"")</f>
        <v/>
      </c>
      <c r="AJ133" s="31" t="str">
        <f>IF(LEN(_DB_Exercises!BE138)&gt;0,_DB_Exercises!BE138,"")</f>
        <v/>
      </c>
      <c r="AK133" s="31" t="str">
        <f>IF(LEN(_DB_Exercises!BF138)&gt;0,_DB_Exercises!BF138,"")</f>
        <v/>
      </c>
      <c r="AL133" s="31" t="str">
        <f>IF(LEN(_DB_Exercises!BG138)&gt;0,_DB_Exercises!BG138,"")</f>
        <v/>
      </c>
      <c r="AM133" s="31" t="str">
        <f>IF(LEN(_DB_Exercises!BH138)&gt;0,_DB_Exercises!BH138,"")</f>
        <v/>
      </c>
      <c r="AN133" s="31" t="str">
        <f>IF(LEN(_DB_Exercises!BI138)&gt;0,_DB_Exercises!BI138,"")</f>
        <v/>
      </c>
      <c r="AO133" s="31" t="str">
        <f>IF(LEN(_DB_Exercises!BJ138)&gt;0,_DB_Exercises!BJ138,"")</f>
        <v/>
      </c>
      <c r="AP133" s="31" t="str">
        <f>IF(LEN(_DB_Exercises!BK138)&gt;0,_DB_Exercises!BK138,"")</f>
        <v/>
      </c>
      <c r="AQ133" s="31" t="str">
        <f>IF(LEN(_DB_Exercises!BL138)&gt;0,_DB_Exercises!BL138,"")</f>
        <v/>
      </c>
      <c r="AR133" s="31" t="str">
        <f>IF(LEN(_DB_Exercises!BM138)&gt;0,_DB_Exercises!BM138,"")</f>
        <v/>
      </c>
    </row>
    <row r="134" spans="1:44" x14ac:dyDescent="0.25">
      <c r="A134" s="11">
        <f>IF(LEN(_DB_Exercises!A139)&gt;0,_DB_Exercises!A139,"")</f>
        <v>2127</v>
      </c>
      <c r="B134" s="14" t="str">
        <f>IF(LEN(_DB_Exercises!K139)&gt;0,_DB_Exercises!K139,"")</f>
        <v>WORST Ball Putting #5</v>
      </c>
      <c r="C134" s="31" t="str">
        <f>IF(LEN(_DB_Exercises!X139)&gt;0,_DB_Exercises!X139,"")</f>
        <v/>
      </c>
      <c r="D134" s="31" t="str">
        <f>IF(LEN(_DB_Exercises!Y139)&gt;0,_DB_Exercises!Y139,"")</f>
        <v/>
      </c>
      <c r="E134" s="31" t="str">
        <f>IF(LEN(_DB_Exercises!Z139)&gt;0,_DB_Exercises!Z139,"")</f>
        <v/>
      </c>
      <c r="F134" s="31" t="str">
        <f>IF(LEN(_DB_Exercises!AA139)&gt;0,_DB_Exercises!AA139,"")</f>
        <v/>
      </c>
      <c r="G134" s="31" t="str">
        <f>IF(LEN(_DB_Exercises!AB139)&gt;0,_DB_Exercises!AB139,"")</f>
        <v/>
      </c>
      <c r="H134" s="31" t="str">
        <f>IF(LEN(_DB_Exercises!AC139)&gt;0,_DB_Exercises!AC139,"")</f>
        <v/>
      </c>
      <c r="I134" s="31" t="str">
        <f>IF(LEN(_DB_Exercises!AD139)&gt;0,_DB_Exercises!AD139,"")</f>
        <v/>
      </c>
      <c r="J134" s="31" t="str">
        <f>IF(LEN(_DB_Exercises!AE139)&gt;0,_DB_Exercises!AE139,"")</f>
        <v/>
      </c>
      <c r="K134" s="31" t="str">
        <f>IF(LEN(_DB_Exercises!AF139)&gt;0,_DB_Exercises!AF139,"")</f>
        <v/>
      </c>
      <c r="L134" s="31" t="str">
        <f>IF(LEN(_DB_Exercises!AG139)&gt;0,_DB_Exercises!AG139,"")</f>
        <v/>
      </c>
      <c r="M134" s="31" t="str">
        <f>IF(LEN(_DB_Exercises!AH139)&gt;0,_DB_Exercises!AH139,"")</f>
        <v/>
      </c>
      <c r="N134" s="31" t="str">
        <f>IF(LEN(_DB_Exercises!AI139)&gt;0,_DB_Exercises!AI139,"")</f>
        <v/>
      </c>
      <c r="O134" s="31" t="str">
        <f>IF(LEN(_DB_Exercises!AJ139)&gt;0,_DB_Exercises!AJ139,"")</f>
        <v/>
      </c>
      <c r="P134" s="31" t="str">
        <f>IF(LEN(_DB_Exercises!AK139)&gt;0,_DB_Exercises!AK139,"")</f>
        <v/>
      </c>
      <c r="Q134" s="31" t="str">
        <f>IF(LEN(_DB_Exercises!AL139)&gt;0,_DB_Exercises!AL139,"")</f>
        <v/>
      </c>
      <c r="R134" s="31" t="str">
        <f>IF(LEN(_DB_Exercises!AM139)&gt;0,_DB_Exercises!AM139,"")</f>
        <v/>
      </c>
      <c r="S134" s="31" t="str">
        <f>IF(LEN(_DB_Exercises!AN139)&gt;0,_DB_Exercises!AN139,"")</f>
        <v/>
      </c>
      <c r="T134" s="31" t="str">
        <f>IF(LEN(_DB_Exercises!AO139)&gt;0,_DB_Exercises!AO139,"")</f>
        <v/>
      </c>
      <c r="U134" s="31" t="str">
        <f>IF(LEN(_DB_Exercises!AP139)&gt;0,_DB_Exercises!AP139,"")</f>
        <v/>
      </c>
      <c r="V134" s="31" t="str">
        <f>IF(LEN(_DB_Exercises!AQ139)&gt;0,_DB_Exercises!AQ139,"")</f>
        <v/>
      </c>
      <c r="W134" s="31" t="str">
        <f>IF(LEN(_DB_Exercises!AR139)&gt;0,_DB_Exercises!AR139,"")</f>
        <v/>
      </c>
      <c r="X134" s="31" t="str">
        <f>IF(LEN(_DB_Exercises!AS139)&gt;0,_DB_Exercises!AS139,"")</f>
        <v/>
      </c>
      <c r="Y134" s="31" t="str">
        <f>IF(LEN(_DB_Exercises!AT139)&gt;0,_DB_Exercises!AT139,"")</f>
        <v/>
      </c>
      <c r="Z134" s="31" t="str">
        <f>IF(LEN(_DB_Exercises!AU139)&gt;0,_DB_Exercises!AU139,"")</f>
        <v/>
      </c>
      <c r="AA134" s="31" t="str">
        <f>IF(LEN(_DB_Exercises!AV139)&gt;0,_DB_Exercises!AV139,"")</f>
        <v/>
      </c>
      <c r="AB134" s="31" t="str">
        <f>IF(LEN(_DB_Exercises!AW139)&gt;0,_DB_Exercises!AW139,"")</f>
        <v/>
      </c>
      <c r="AC134" s="31" t="str">
        <f>IF(LEN(_DB_Exercises!AX139)&gt;0,_DB_Exercises!AX139,"")</f>
        <v/>
      </c>
      <c r="AD134" s="31" t="str">
        <f>IF(LEN(_DB_Exercises!AY139)&gt;0,_DB_Exercises!AY139,"")</f>
        <v/>
      </c>
      <c r="AE134" s="31" t="str">
        <f>IF(LEN(_DB_Exercises!AZ139)&gt;0,_DB_Exercises!AZ139,"")</f>
        <v/>
      </c>
      <c r="AF134" s="31" t="str">
        <f>IF(LEN(_DB_Exercises!BA139)&gt;0,_DB_Exercises!BA139,"")</f>
        <v/>
      </c>
      <c r="AG134" s="31" t="str">
        <f>IF(LEN(_DB_Exercises!BB139)&gt;0,_DB_Exercises!BB139,"")</f>
        <v/>
      </c>
      <c r="AH134" s="31" t="str">
        <f>IF(LEN(_DB_Exercises!BC139)&gt;0,_DB_Exercises!BC139,"")</f>
        <v/>
      </c>
      <c r="AI134" s="31" t="str">
        <f>IF(LEN(_DB_Exercises!BD139)&gt;0,_DB_Exercises!BD139,"")</f>
        <v/>
      </c>
      <c r="AJ134" s="31" t="str">
        <f>IF(LEN(_DB_Exercises!BE139)&gt;0,_DB_Exercises!BE139,"")</f>
        <v/>
      </c>
      <c r="AK134" s="31" t="str">
        <f>IF(LEN(_DB_Exercises!BF139)&gt;0,_DB_Exercises!BF139,"")</f>
        <v/>
      </c>
      <c r="AL134" s="31" t="str">
        <f>IF(LEN(_DB_Exercises!BG139)&gt;0,_DB_Exercises!BG139,"")</f>
        <v/>
      </c>
      <c r="AM134" s="31" t="str">
        <f>IF(LEN(_DB_Exercises!BH139)&gt;0,_DB_Exercises!BH139,"")</f>
        <v/>
      </c>
      <c r="AN134" s="31" t="str">
        <f>IF(LEN(_DB_Exercises!BI139)&gt;0,_DB_Exercises!BI139,"")</f>
        <v/>
      </c>
      <c r="AO134" s="31" t="str">
        <f>IF(LEN(_DB_Exercises!BJ139)&gt;0,_DB_Exercises!BJ139,"")</f>
        <v/>
      </c>
      <c r="AP134" s="31" t="str">
        <f>IF(LEN(_DB_Exercises!BK139)&gt;0,_DB_Exercises!BK139,"")</f>
        <v/>
      </c>
      <c r="AQ134" s="31" t="str">
        <f>IF(LEN(_DB_Exercises!BL139)&gt;0,_DB_Exercises!BL139,"")</f>
        <v/>
      </c>
      <c r="AR134" s="31" t="str">
        <f>IF(LEN(_DB_Exercises!BM139)&gt;0,_DB_Exercises!BM139,"")</f>
        <v/>
      </c>
    </row>
    <row r="135" spans="1:44" x14ac:dyDescent="0.25">
      <c r="A135" s="11">
        <f>IF(LEN(_DB_Exercises!A140)&gt;0,_DB_Exercises!A140,"")</f>
        <v>2128</v>
      </c>
      <c r="B135" s="14" t="str">
        <f>IF(LEN(_DB_Exercises!K140)&gt;0,_DB_Exercises!K140,"")</f>
        <v>WORST Ball Putting #6</v>
      </c>
      <c r="C135" s="31" t="str">
        <f>IF(LEN(_DB_Exercises!X140)&gt;0,_DB_Exercises!X140,"")</f>
        <v/>
      </c>
      <c r="D135" s="31" t="str">
        <f>IF(LEN(_DB_Exercises!Y140)&gt;0,_DB_Exercises!Y140,"")</f>
        <v/>
      </c>
      <c r="E135" s="31" t="str">
        <f>IF(LEN(_DB_Exercises!Z140)&gt;0,_DB_Exercises!Z140,"")</f>
        <v/>
      </c>
      <c r="F135" s="31" t="str">
        <f>IF(LEN(_DB_Exercises!AA140)&gt;0,_DB_Exercises!AA140,"")</f>
        <v/>
      </c>
      <c r="G135" s="31" t="str">
        <f>IF(LEN(_DB_Exercises!AB140)&gt;0,_DB_Exercises!AB140,"")</f>
        <v/>
      </c>
      <c r="H135" s="31" t="str">
        <f>IF(LEN(_DB_Exercises!AC140)&gt;0,_DB_Exercises!AC140,"")</f>
        <v/>
      </c>
      <c r="I135" s="31" t="str">
        <f>IF(LEN(_DB_Exercises!AD140)&gt;0,_DB_Exercises!AD140,"")</f>
        <v/>
      </c>
      <c r="J135" s="31" t="str">
        <f>IF(LEN(_DB_Exercises!AE140)&gt;0,_DB_Exercises!AE140,"")</f>
        <v/>
      </c>
      <c r="K135" s="31" t="str">
        <f>IF(LEN(_DB_Exercises!AF140)&gt;0,_DB_Exercises!AF140,"")</f>
        <v/>
      </c>
      <c r="L135" s="31" t="str">
        <f>IF(LEN(_DB_Exercises!AG140)&gt;0,_DB_Exercises!AG140,"")</f>
        <v/>
      </c>
      <c r="M135" s="31" t="str">
        <f>IF(LEN(_DB_Exercises!AH140)&gt;0,_DB_Exercises!AH140,"")</f>
        <v/>
      </c>
      <c r="N135" s="31" t="str">
        <f>IF(LEN(_DB_Exercises!AI140)&gt;0,_DB_Exercises!AI140,"")</f>
        <v/>
      </c>
      <c r="O135" s="31" t="str">
        <f>IF(LEN(_DB_Exercises!AJ140)&gt;0,_DB_Exercises!AJ140,"")</f>
        <v/>
      </c>
      <c r="P135" s="31" t="str">
        <f>IF(LEN(_DB_Exercises!AK140)&gt;0,_DB_Exercises!AK140,"")</f>
        <v/>
      </c>
      <c r="Q135" s="31" t="str">
        <f>IF(LEN(_DB_Exercises!AL140)&gt;0,_DB_Exercises!AL140,"")</f>
        <v/>
      </c>
      <c r="R135" s="31" t="str">
        <f>IF(LEN(_DB_Exercises!AM140)&gt;0,_DB_Exercises!AM140,"")</f>
        <v/>
      </c>
      <c r="S135" s="31" t="str">
        <f>IF(LEN(_DB_Exercises!AN140)&gt;0,_DB_Exercises!AN140,"")</f>
        <v/>
      </c>
      <c r="T135" s="31" t="str">
        <f>IF(LEN(_DB_Exercises!AO140)&gt;0,_DB_Exercises!AO140,"")</f>
        <v/>
      </c>
      <c r="U135" s="31" t="str">
        <f>IF(LEN(_DB_Exercises!AP140)&gt;0,_DB_Exercises!AP140,"")</f>
        <v/>
      </c>
      <c r="V135" s="31" t="str">
        <f>IF(LEN(_DB_Exercises!AQ140)&gt;0,_DB_Exercises!AQ140,"")</f>
        <v/>
      </c>
      <c r="W135" s="31" t="str">
        <f>IF(LEN(_DB_Exercises!AR140)&gt;0,_DB_Exercises!AR140,"")</f>
        <v/>
      </c>
      <c r="X135" s="31" t="str">
        <f>IF(LEN(_DB_Exercises!AS140)&gt;0,_DB_Exercises!AS140,"")</f>
        <v/>
      </c>
      <c r="Y135" s="31" t="str">
        <f>IF(LEN(_DB_Exercises!AT140)&gt;0,_DB_Exercises!AT140,"")</f>
        <v/>
      </c>
      <c r="Z135" s="31" t="str">
        <f>IF(LEN(_DB_Exercises!AU140)&gt;0,_DB_Exercises!AU140,"")</f>
        <v/>
      </c>
      <c r="AA135" s="31" t="str">
        <f>IF(LEN(_DB_Exercises!AV140)&gt;0,_DB_Exercises!AV140,"")</f>
        <v/>
      </c>
      <c r="AB135" s="31" t="str">
        <f>IF(LEN(_DB_Exercises!AW140)&gt;0,_DB_Exercises!AW140,"")</f>
        <v/>
      </c>
      <c r="AC135" s="31" t="str">
        <f>IF(LEN(_DB_Exercises!AX140)&gt;0,_DB_Exercises!AX140,"")</f>
        <v/>
      </c>
      <c r="AD135" s="31" t="str">
        <f>IF(LEN(_DB_Exercises!AY140)&gt;0,_DB_Exercises!AY140,"")</f>
        <v/>
      </c>
      <c r="AE135" s="31" t="str">
        <f>IF(LEN(_DB_Exercises!AZ140)&gt;0,_DB_Exercises!AZ140,"")</f>
        <v/>
      </c>
      <c r="AF135" s="31" t="str">
        <f>IF(LEN(_DB_Exercises!BA140)&gt;0,_DB_Exercises!BA140,"")</f>
        <v/>
      </c>
      <c r="AG135" s="31" t="str">
        <f>IF(LEN(_DB_Exercises!BB140)&gt;0,_DB_Exercises!BB140,"")</f>
        <v/>
      </c>
      <c r="AH135" s="31" t="str">
        <f>IF(LEN(_DB_Exercises!BC140)&gt;0,_DB_Exercises!BC140,"")</f>
        <v/>
      </c>
      <c r="AI135" s="31" t="str">
        <f>IF(LEN(_DB_Exercises!BD140)&gt;0,_DB_Exercises!BD140,"")</f>
        <v/>
      </c>
      <c r="AJ135" s="31" t="str">
        <f>IF(LEN(_DB_Exercises!BE140)&gt;0,_DB_Exercises!BE140,"")</f>
        <v/>
      </c>
      <c r="AK135" s="31" t="str">
        <f>IF(LEN(_DB_Exercises!BF140)&gt;0,_DB_Exercises!BF140,"")</f>
        <v/>
      </c>
      <c r="AL135" s="31" t="str">
        <f>IF(LEN(_DB_Exercises!BG140)&gt;0,_DB_Exercises!BG140,"")</f>
        <v/>
      </c>
      <c r="AM135" s="31" t="str">
        <f>IF(LEN(_DB_Exercises!BH140)&gt;0,_DB_Exercises!BH140,"")</f>
        <v/>
      </c>
      <c r="AN135" s="31" t="str">
        <f>IF(LEN(_DB_Exercises!BI140)&gt;0,_DB_Exercises!BI140,"")</f>
        <v/>
      </c>
      <c r="AO135" s="31" t="str">
        <f>IF(LEN(_DB_Exercises!BJ140)&gt;0,_DB_Exercises!BJ140,"")</f>
        <v/>
      </c>
      <c r="AP135" s="31" t="str">
        <f>IF(LEN(_DB_Exercises!BK140)&gt;0,_DB_Exercises!BK140,"")</f>
        <v/>
      </c>
      <c r="AQ135" s="31" t="str">
        <f>IF(LEN(_DB_Exercises!BL140)&gt;0,_DB_Exercises!BL140,"")</f>
        <v/>
      </c>
      <c r="AR135" s="31" t="str">
        <f>IF(LEN(_DB_Exercises!BM140)&gt;0,_DB_Exercises!BM140,"")</f>
        <v/>
      </c>
    </row>
    <row r="136" spans="1:44" x14ac:dyDescent="0.25">
      <c r="A136" s="11">
        <f>IF(LEN(_DB_Exercises!A141)&gt;0,_DB_Exercises!A141,"")</f>
        <v>2129</v>
      </c>
      <c r="B136" s="14" t="str">
        <f>IF(LEN(_DB_Exercises!K141)&gt;0,_DB_Exercises!K141,"")</f>
        <v>Best of 10 : Worst  vs. Best Ball Putting 10m</v>
      </c>
      <c r="C136" s="31" t="str">
        <f>IF(LEN(_DB_Exercises!X141)&gt;0,_DB_Exercises!X141,"")</f>
        <v/>
      </c>
      <c r="D136" s="31" t="str">
        <f>IF(LEN(_DB_Exercises!Y141)&gt;0,_DB_Exercises!Y141,"")</f>
        <v/>
      </c>
      <c r="E136" s="31" t="str">
        <f>IF(LEN(_DB_Exercises!Z141)&gt;0,_DB_Exercises!Z141,"")</f>
        <v/>
      </c>
      <c r="F136" s="31" t="str">
        <f>IF(LEN(_DB_Exercises!AA141)&gt;0,_DB_Exercises!AA141,"")</f>
        <v/>
      </c>
      <c r="G136" s="31" t="str">
        <f>IF(LEN(_DB_Exercises!AB141)&gt;0,_DB_Exercises!AB141,"")</f>
        <v/>
      </c>
      <c r="H136" s="31" t="str">
        <f>IF(LEN(_DB_Exercises!AC141)&gt;0,_DB_Exercises!AC141,"")</f>
        <v/>
      </c>
      <c r="I136" s="31" t="str">
        <f>IF(LEN(_DB_Exercises!AD141)&gt;0,_DB_Exercises!AD141,"")</f>
        <v/>
      </c>
      <c r="J136" s="31" t="str">
        <f>IF(LEN(_DB_Exercises!AE141)&gt;0,_DB_Exercises!AE141,"")</f>
        <v/>
      </c>
      <c r="K136" s="31" t="str">
        <f>IF(LEN(_DB_Exercises!AF141)&gt;0,_DB_Exercises!AF141,"")</f>
        <v/>
      </c>
      <c r="L136" s="31" t="str">
        <f>IF(LEN(_DB_Exercises!AG141)&gt;0,_DB_Exercises!AG141,"")</f>
        <v/>
      </c>
      <c r="M136" s="31" t="str">
        <f>IF(LEN(_DB_Exercises!AH141)&gt;0,_DB_Exercises!AH141,"")</f>
        <v/>
      </c>
      <c r="N136" s="31" t="str">
        <f>IF(LEN(_DB_Exercises!AI141)&gt;0,_DB_Exercises!AI141,"")</f>
        <v/>
      </c>
      <c r="O136" s="31" t="str">
        <f>IF(LEN(_DB_Exercises!AJ141)&gt;0,_DB_Exercises!AJ141,"")</f>
        <v/>
      </c>
      <c r="P136" s="31" t="str">
        <f>IF(LEN(_DB_Exercises!AK141)&gt;0,_DB_Exercises!AK141,"")</f>
        <v/>
      </c>
      <c r="Q136" s="31" t="str">
        <f>IF(LEN(_DB_Exercises!AL141)&gt;0,_DB_Exercises!AL141,"")</f>
        <v/>
      </c>
      <c r="R136" s="31" t="str">
        <f>IF(LEN(_DB_Exercises!AM141)&gt;0,_DB_Exercises!AM141,"")</f>
        <v/>
      </c>
      <c r="S136" s="31" t="str">
        <f>IF(LEN(_DB_Exercises!AN141)&gt;0,_DB_Exercises!AN141,"")</f>
        <v/>
      </c>
      <c r="T136" s="31" t="str">
        <f>IF(LEN(_DB_Exercises!AO141)&gt;0,_DB_Exercises!AO141,"")</f>
        <v/>
      </c>
      <c r="U136" s="31" t="str">
        <f>IF(LEN(_DB_Exercises!AP141)&gt;0,_DB_Exercises!AP141,"")</f>
        <v/>
      </c>
      <c r="V136" s="31" t="str">
        <f>IF(LEN(_DB_Exercises!AQ141)&gt;0,_DB_Exercises!AQ141,"")</f>
        <v/>
      </c>
      <c r="W136" s="31" t="str">
        <f>IF(LEN(_DB_Exercises!AR141)&gt;0,_DB_Exercises!AR141,"")</f>
        <v/>
      </c>
      <c r="X136" s="31" t="str">
        <f>IF(LEN(_DB_Exercises!AS141)&gt;0,_DB_Exercises!AS141,"")</f>
        <v/>
      </c>
      <c r="Y136" s="31" t="str">
        <f>IF(LEN(_DB_Exercises!AT141)&gt;0,_DB_Exercises!AT141,"")</f>
        <v/>
      </c>
      <c r="Z136" s="31" t="str">
        <f>IF(LEN(_DB_Exercises!AU141)&gt;0,_DB_Exercises!AU141,"")</f>
        <v/>
      </c>
      <c r="AA136" s="31" t="str">
        <f>IF(LEN(_DB_Exercises!AV141)&gt;0,_DB_Exercises!AV141,"")</f>
        <v/>
      </c>
      <c r="AB136" s="31" t="str">
        <f>IF(LEN(_DB_Exercises!AW141)&gt;0,_DB_Exercises!AW141,"")</f>
        <v/>
      </c>
      <c r="AC136" s="31" t="str">
        <f>IF(LEN(_DB_Exercises!AX141)&gt;0,_DB_Exercises!AX141,"")</f>
        <v/>
      </c>
      <c r="AD136" s="31" t="str">
        <f>IF(LEN(_DB_Exercises!AY141)&gt;0,_DB_Exercises!AY141,"")</f>
        <v/>
      </c>
      <c r="AE136" s="31" t="str">
        <f>IF(LEN(_DB_Exercises!AZ141)&gt;0,_DB_Exercises!AZ141,"")</f>
        <v/>
      </c>
      <c r="AF136" s="31" t="str">
        <f>IF(LEN(_DB_Exercises!BA141)&gt;0,_DB_Exercises!BA141,"")</f>
        <v/>
      </c>
      <c r="AG136" s="31" t="str">
        <f>IF(LEN(_DB_Exercises!BB141)&gt;0,_DB_Exercises!BB141,"")</f>
        <v/>
      </c>
      <c r="AH136" s="31" t="str">
        <f>IF(LEN(_DB_Exercises!BC141)&gt;0,_DB_Exercises!BC141,"")</f>
        <v/>
      </c>
      <c r="AI136" s="31" t="str">
        <f>IF(LEN(_DB_Exercises!BD141)&gt;0,_DB_Exercises!BD141,"")</f>
        <v/>
      </c>
      <c r="AJ136" s="31" t="str">
        <f>IF(LEN(_DB_Exercises!BE141)&gt;0,_DB_Exercises!BE141,"")</f>
        <v/>
      </c>
      <c r="AK136" s="31" t="str">
        <f>IF(LEN(_DB_Exercises!BF141)&gt;0,_DB_Exercises!BF141,"")</f>
        <v/>
      </c>
      <c r="AL136" s="31" t="str">
        <f>IF(LEN(_DB_Exercises!BG141)&gt;0,_DB_Exercises!BG141,"")</f>
        <v/>
      </c>
      <c r="AM136" s="31" t="str">
        <f>IF(LEN(_DB_Exercises!BH141)&gt;0,_DB_Exercises!BH141,"")</f>
        <v/>
      </c>
      <c r="AN136" s="31" t="str">
        <f>IF(LEN(_DB_Exercises!BI141)&gt;0,_DB_Exercises!BI141,"")</f>
        <v/>
      </c>
      <c r="AO136" s="31" t="str">
        <f>IF(LEN(_DB_Exercises!BJ141)&gt;0,_DB_Exercises!BJ141,"")</f>
        <v/>
      </c>
      <c r="AP136" s="31" t="str">
        <f>IF(LEN(_DB_Exercises!BK141)&gt;0,_DB_Exercises!BK141,"")</f>
        <v/>
      </c>
      <c r="AQ136" s="31" t="str">
        <f>IF(LEN(_DB_Exercises!BL141)&gt;0,_DB_Exercises!BL141,"")</f>
        <v/>
      </c>
      <c r="AR136" s="31" t="str">
        <f>IF(LEN(_DB_Exercises!BM141)&gt;0,_DB_Exercises!BM141,"")</f>
        <v/>
      </c>
    </row>
    <row r="137" spans="1:44" x14ac:dyDescent="0.25">
      <c r="A137" s="11">
        <f>IF(LEN(_DB_Exercises!A142)&gt;0,_DB_Exercises!A142,"")</f>
        <v>2130</v>
      </c>
      <c r="B137" s="14" t="str">
        <f>IF(LEN(_DB_Exercises!K142)&gt;0,_DB_Exercises!K142,"")</f>
        <v>Best of 10 : Worst  vs. Best Ball Putting 7m</v>
      </c>
      <c r="C137" s="31" t="str">
        <f>IF(LEN(_DB_Exercises!X142)&gt;0,_DB_Exercises!X142,"")</f>
        <v/>
      </c>
      <c r="D137" s="31" t="str">
        <f>IF(LEN(_DB_Exercises!Y142)&gt;0,_DB_Exercises!Y142,"")</f>
        <v/>
      </c>
      <c r="E137" s="31" t="str">
        <f>IF(LEN(_DB_Exercises!Z142)&gt;0,_DB_Exercises!Z142,"")</f>
        <v/>
      </c>
      <c r="F137" s="31" t="str">
        <f>IF(LEN(_DB_Exercises!AA142)&gt;0,_DB_Exercises!AA142,"")</f>
        <v/>
      </c>
      <c r="G137" s="31" t="str">
        <f>IF(LEN(_DB_Exercises!AB142)&gt;0,_DB_Exercises!AB142,"")</f>
        <v/>
      </c>
      <c r="H137" s="31" t="str">
        <f>IF(LEN(_DB_Exercises!AC142)&gt;0,_DB_Exercises!AC142,"")</f>
        <v/>
      </c>
      <c r="I137" s="31" t="str">
        <f>IF(LEN(_DB_Exercises!AD142)&gt;0,_DB_Exercises!AD142,"")</f>
        <v/>
      </c>
      <c r="J137" s="31" t="str">
        <f>IF(LEN(_DB_Exercises!AE142)&gt;0,_DB_Exercises!AE142,"")</f>
        <v/>
      </c>
      <c r="K137" s="31" t="str">
        <f>IF(LEN(_DB_Exercises!AF142)&gt;0,_DB_Exercises!AF142,"")</f>
        <v/>
      </c>
      <c r="L137" s="31" t="str">
        <f>IF(LEN(_DB_Exercises!AG142)&gt;0,_DB_Exercises!AG142,"")</f>
        <v/>
      </c>
      <c r="M137" s="31" t="str">
        <f>IF(LEN(_DB_Exercises!AH142)&gt;0,_DB_Exercises!AH142,"")</f>
        <v/>
      </c>
      <c r="N137" s="31" t="str">
        <f>IF(LEN(_DB_Exercises!AI142)&gt;0,_DB_Exercises!AI142,"")</f>
        <v/>
      </c>
      <c r="O137" s="31" t="str">
        <f>IF(LEN(_DB_Exercises!AJ142)&gt;0,_DB_Exercises!AJ142,"")</f>
        <v/>
      </c>
      <c r="P137" s="31" t="str">
        <f>IF(LEN(_DB_Exercises!AK142)&gt;0,_DB_Exercises!AK142,"")</f>
        <v/>
      </c>
      <c r="Q137" s="31" t="str">
        <f>IF(LEN(_DB_Exercises!AL142)&gt;0,_DB_Exercises!AL142,"")</f>
        <v/>
      </c>
      <c r="R137" s="31" t="str">
        <f>IF(LEN(_DB_Exercises!AM142)&gt;0,_DB_Exercises!AM142,"")</f>
        <v/>
      </c>
      <c r="S137" s="31" t="str">
        <f>IF(LEN(_DB_Exercises!AN142)&gt;0,_DB_Exercises!AN142,"")</f>
        <v/>
      </c>
      <c r="T137" s="31" t="str">
        <f>IF(LEN(_DB_Exercises!AO142)&gt;0,_DB_Exercises!AO142,"")</f>
        <v/>
      </c>
      <c r="U137" s="31" t="str">
        <f>IF(LEN(_DB_Exercises!AP142)&gt;0,_DB_Exercises!AP142,"")</f>
        <v/>
      </c>
      <c r="V137" s="31" t="str">
        <f>IF(LEN(_DB_Exercises!AQ142)&gt;0,_DB_Exercises!AQ142,"")</f>
        <v/>
      </c>
      <c r="W137" s="31" t="str">
        <f>IF(LEN(_DB_Exercises!AR142)&gt;0,_DB_Exercises!AR142,"")</f>
        <v/>
      </c>
      <c r="X137" s="31" t="str">
        <f>IF(LEN(_DB_Exercises!AS142)&gt;0,_DB_Exercises!AS142,"")</f>
        <v/>
      </c>
      <c r="Y137" s="31" t="str">
        <f>IF(LEN(_DB_Exercises!AT142)&gt;0,_DB_Exercises!AT142,"")</f>
        <v/>
      </c>
      <c r="Z137" s="31" t="str">
        <f>IF(LEN(_DB_Exercises!AU142)&gt;0,_DB_Exercises!AU142,"")</f>
        <v/>
      </c>
      <c r="AA137" s="31" t="str">
        <f>IF(LEN(_DB_Exercises!AV142)&gt;0,_DB_Exercises!AV142,"")</f>
        <v/>
      </c>
      <c r="AB137" s="31" t="str">
        <f>IF(LEN(_DB_Exercises!AW142)&gt;0,_DB_Exercises!AW142,"")</f>
        <v/>
      </c>
      <c r="AC137" s="31" t="str">
        <f>IF(LEN(_DB_Exercises!AX142)&gt;0,_DB_Exercises!AX142,"")</f>
        <v/>
      </c>
      <c r="AD137" s="31" t="str">
        <f>IF(LEN(_DB_Exercises!AY142)&gt;0,_DB_Exercises!AY142,"")</f>
        <v/>
      </c>
      <c r="AE137" s="31" t="str">
        <f>IF(LEN(_DB_Exercises!AZ142)&gt;0,_DB_Exercises!AZ142,"")</f>
        <v/>
      </c>
      <c r="AF137" s="31" t="str">
        <f>IF(LEN(_DB_Exercises!BA142)&gt;0,_DB_Exercises!BA142,"")</f>
        <v/>
      </c>
      <c r="AG137" s="31" t="str">
        <f>IF(LEN(_DB_Exercises!BB142)&gt;0,_DB_Exercises!BB142,"")</f>
        <v/>
      </c>
      <c r="AH137" s="31" t="str">
        <f>IF(LEN(_DB_Exercises!BC142)&gt;0,_DB_Exercises!BC142,"")</f>
        <v/>
      </c>
      <c r="AI137" s="31" t="str">
        <f>IF(LEN(_DB_Exercises!BD142)&gt;0,_DB_Exercises!BD142,"")</f>
        <v/>
      </c>
      <c r="AJ137" s="31" t="str">
        <f>IF(LEN(_DB_Exercises!BE142)&gt;0,_DB_Exercises!BE142,"")</f>
        <v/>
      </c>
      <c r="AK137" s="31" t="str">
        <f>IF(LEN(_DB_Exercises!BF142)&gt;0,_DB_Exercises!BF142,"")</f>
        <v/>
      </c>
      <c r="AL137" s="31" t="str">
        <f>IF(LEN(_DB_Exercises!BG142)&gt;0,_DB_Exercises!BG142,"")</f>
        <v/>
      </c>
      <c r="AM137" s="31" t="str">
        <f>IF(LEN(_DB_Exercises!BH142)&gt;0,_DB_Exercises!BH142,"")</f>
        <v/>
      </c>
      <c r="AN137" s="31" t="str">
        <f>IF(LEN(_DB_Exercises!BI142)&gt;0,_DB_Exercises!BI142,"")</f>
        <v/>
      </c>
      <c r="AO137" s="31" t="str">
        <f>IF(LEN(_DB_Exercises!BJ142)&gt;0,_DB_Exercises!BJ142,"")</f>
        <v/>
      </c>
      <c r="AP137" s="31" t="str">
        <f>IF(LEN(_DB_Exercises!BK142)&gt;0,_DB_Exercises!BK142,"")</f>
        <v/>
      </c>
      <c r="AQ137" s="31" t="str">
        <f>IF(LEN(_DB_Exercises!BL142)&gt;0,_DB_Exercises!BL142,"")</f>
        <v/>
      </c>
      <c r="AR137" s="31" t="str">
        <f>IF(LEN(_DB_Exercises!BM142)&gt;0,_DB_Exercises!BM142,"")</f>
        <v/>
      </c>
    </row>
    <row r="138" spans="1:44" x14ac:dyDescent="0.25">
      <c r="A138" s="11">
        <f>IF(LEN(_DB_Exercises!A143)&gt;0,_DB_Exercises!A143,"")</f>
        <v>2131</v>
      </c>
      <c r="B138" s="14" t="str">
        <f>IF(LEN(_DB_Exercises!K143)&gt;0,_DB_Exercises!K143,"")</f>
        <v>Best of 10 : Worst  vs. Best Ball Putting 4m</v>
      </c>
      <c r="C138" s="31" t="str">
        <f>IF(LEN(_DB_Exercises!X143)&gt;0,_DB_Exercises!X143,"")</f>
        <v/>
      </c>
      <c r="D138" s="31" t="str">
        <f>IF(LEN(_DB_Exercises!Y143)&gt;0,_DB_Exercises!Y143,"")</f>
        <v/>
      </c>
      <c r="E138" s="31" t="str">
        <f>IF(LEN(_DB_Exercises!Z143)&gt;0,_DB_Exercises!Z143,"")</f>
        <v/>
      </c>
      <c r="F138" s="31" t="str">
        <f>IF(LEN(_DB_Exercises!AA143)&gt;0,_DB_Exercises!AA143,"")</f>
        <v/>
      </c>
      <c r="G138" s="31" t="str">
        <f>IF(LEN(_DB_Exercises!AB143)&gt;0,_DB_Exercises!AB143,"")</f>
        <v/>
      </c>
      <c r="H138" s="31" t="str">
        <f>IF(LEN(_DB_Exercises!AC143)&gt;0,_DB_Exercises!AC143,"")</f>
        <v/>
      </c>
      <c r="I138" s="31" t="str">
        <f>IF(LEN(_DB_Exercises!AD143)&gt;0,_DB_Exercises!AD143,"")</f>
        <v/>
      </c>
      <c r="J138" s="31" t="str">
        <f>IF(LEN(_DB_Exercises!AE143)&gt;0,_DB_Exercises!AE143,"")</f>
        <v/>
      </c>
      <c r="K138" s="31" t="str">
        <f>IF(LEN(_DB_Exercises!AF143)&gt;0,_DB_Exercises!AF143,"")</f>
        <v/>
      </c>
      <c r="L138" s="31" t="str">
        <f>IF(LEN(_DB_Exercises!AG143)&gt;0,_DB_Exercises!AG143,"")</f>
        <v/>
      </c>
      <c r="M138" s="31" t="str">
        <f>IF(LEN(_DB_Exercises!AH143)&gt;0,_DB_Exercises!AH143,"")</f>
        <v/>
      </c>
      <c r="N138" s="31" t="str">
        <f>IF(LEN(_DB_Exercises!AI143)&gt;0,_DB_Exercises!AI143,"")</f>
        <v/>
      </c>
      <c r="O138" s="31" t="str">
        <f>IF(LEN(_DB_Exercises!AJ143)&gt;0,_DB_Exercises!AJ143,"")</f>
        <v/>
      </c>
      <c r="P138" s="31" t="str">
        <f>IF(LEN(_DB_Exercises!AK143)&gt;0,_DB_Exercises!AK143,"")</f>
        <v/>
      </c>
      <c r="Q138" s="31" t="str">
        <f>IF(LEN(_DB_Exercises!AL143)&gt;0,_DB_Exercises!AL143,"")</f>
        <v/>
      </c>
      <c r="R138" s="31" t="str">
        <f>IF(LEN(_DB_Exercises!AM143)&gt;0,_DB_Exercises!AM143,"")</f>
        <v/>
      </c>
      <c r="S138" s="31" t="str">
        <f>IF(LEN(_DB_Exercises!AN143)&gt;0,_DB_Exercises!AN143,"")</f>
        <v/>
      </c>
      <c r="T138" s="31" t="str">
        <f>IF(LEN(_DB_Exercises!AO143)&gt;0,_DB_Exercises!AO143,"")</f>
        <v/>
      </c>
      <c r="U138" s="31" t="str">
        <f>IF(LEN(_DB_Exercises!AP143)&gt;0,_DB_Exercises!AP143,"")</f>
        <v/>
      </c>
      <c r="V138" s="31" t="str">
        <f>IF(LEN(_DB_Exercises!AQ143)&gt;0,_DB_Exercises!AQ143,"")</f>
        <v/>
      </c>
      <c r="W138" s="31" t="str">
        <f>IF(LEN(_DB_Exercises!AR143)&gt;0,_DB_Exercises!AR143,"")</f>
        <v/>
      </c>
      <c r="X138" s="31" t="str">
        <f>IF(LEN(_DB_Exercises!AS143)&gt;0,_DB_Exercises!AS143,"")</f>
        <v/>
      </c>
      <c r="Y138" s="31" t="str">
        <f>IF(LEN(_DB_Exercises!AT143)&gt;0,_DB_Exercises!AT143,"")</f>
        <v/>
      </c>
      <c r="Z138" s="31" t="str">
        <f>IF(LEN(_DB_Exercises!AU143)&gt;0,_DB_Exercises!AU143,"")</f>
        <v/>
      </c>
      <c r="AA138" s="31" t="str">
        <f>IF(LEN(_DB_Exercises!AV143)&gt;0,_DB_Exercises!AV143,"")</f>
        <v/>
      </c>
      <c r="AB138" s="31" t="str">
        <f>IF(LEN(_DB_Exercises!AW143)&gt;0,_DB_Exercises!AW143,"")</f>
        <v/>
      </c>
      <c r="AC138" s="31" t="str">
        <f>IF(LEN(_DB_Exercises!AX143)&gt;0,_DB_Exercises!AX143,"")</f>
        <v/>
      </c>
      <c r="AD138" s="31" t="str">
        <f>IF(LEN(_DB_Exercises!AY143)&gt;0,_DB_Exercises!AY143,"")</f>
        <v/>
      </c>
      <c r="AE138" s="31" t="str">
        <f>IF(LEN(_DB_Exercises!AZ143)&gt;0,_DB_Exercises!AZ143,"")</f>
        <v/>
      </c>
      <c r="AF138" s="31" t="str">
        <f>IF(LEN(_DB_Exercises!BA143)&gt;0,_DB_Exercises!BA143,"")</f>
        <v/>
      </c>
      <c r="AG138" s="31" t="str">
        <f>IF(LEN(_DB_Exercises!BB143)&gt;0,_DB_Exercises!BB143,"")</f>
        <v/>
      </c>
      <c r="AH138" s="31" t="str">
        <f>IF(LEN(_DB_Exercises!BC143)&gt;0,_DB_Exercises!BC143,"")</f>
        <v/>
      </c>
      <c r="AI138" s="31" t="str">
        <f>IF(LEN(_DB_Exercises!BD143)&gt;0,_DB_Exercises!BD143,"")</f>
        <v/>
      </c>
      <c r="AJ138" s="31" t="str">
        <f>IF(LEN(_DB_Exercises!BE143)&gt;0,_DB_Exercises!BE143,"")</f>
        <v/>
      </c>
      <c r="AK138" s="31" t="str">
        <f>IF(LEN(_DB_Exercises!BF143)&gt;0,_DB_Exercises!BF143,"")</f>
        <v/>
      </c>
      <c r="AL138" s="31" t="str">
        <f>IF(LEN(_DB_Exercises!BG143)&gt;0,_DB_Exercises!BG143,"")</f>
        <v/>
      </c>
      <c r="AM138" s="31" t="str">
        <f>IF(LEN(_DB_Exercises!BH143)&gt;0,_DB_Exercises!BH143,"")</f>
        <v/>
      </c>
      <c r="AN138" s="31" t="str">
        <f>IF(LEN(_DB_Exercises!BI143)&gt;0,_DB_Exercises!BI143,"")</f>
        <v/>
      </c>
      <c r="AO138" s="31" t="str">
        <f>IF(LEN(_DB_Exercises!BJ143)&gt;0,_DB_Exercises!BJ143,"")</f>
        <v/>
      </c>
      <c r="AP138" s="31" t="str">
        <f>IF(LEN(_DB_Exercises!BK143)&gt;0,_DB_Exercises!BK143,"")</f>
        <v/>
      </c>
      <c r="AQ138" s="31" t="str">
        <f>IF(LEN(_DB_Exercises!BL143)&gt;0,_DB_Exercises!BL143,"")</f>
        <v/>
      </c>
      <c r="AR138" s="31" t="str">
        <f>IF(LEN(_DB_Exercises!BM143)&gt;0,_DB_Exercises!BM143,"")</f>
        <v/>
      </c>
    </row>
    <row r="139" spans="1:44" x14ac:dyDescent="0.25">
      <c r="A139" s="11">
        <f>IF(LEN(_DB_Exercises!A144)&gt;0,_DB_Exercises!A144,"")</f>
        <v>3000</v>
      </c>
      <c r="B139" s="14" t="str">
        <f>IF(LEN(_DB_Exercises!K144)&gt;0,_DB_Exercises!K144,"")</f>
        <v>Chipping Ladder Gambling</v>
      </c>
      <c r="C139" s="31" t="str">
        <f>IF(LEN(_DB_Exercises!X144)&gt;0,_DB_Exercises!X144,"")</f>
        <v/>
      </c>
      <c r="D139" s="31" t="str">
        <f>IF(LEN(_DB_Exercises!Y144)&gt;0,_DB_Exercises!Y144,"")</f>
        <v/>
      </c>
      <c r="E139" s="31" t="str">
        <f>IF(LEN(_DB_Exercises!Z144)&gt;0,_DB_Exercises!Z144,"")</f>
        <v/>
      </c>
      <c r="F139" s="31" t="str">
        <f>IF(LEN(_DB_Exercises!AA144)&gt;0,_DB_Exercises!AA144,"")</f>
        <v/>
      </c>
      <c r="G139" s="31" t="str">
        <f>IF(LEN(_DB_Exercises!AB144)&gt;0,_DB_Exercises!AB144,"")</f>
        <v/>
      </c>
      <c r="H139" s="31" t="str">
        <f>IF(LEN(_DB_Exercises!AC144)&gt;0,_DB_Exercises!AC144,"")</f>
        <v/>
      </c>
      <c r="I139" s="31" t="str">
        <f>IF(LEN(_DB_Exercises!AD144)&gt;0,_DB_Exercises!AD144,"")</f>
        <v/>
      </c>
      <c r="J139" s="31" t="str">
        <f>IF(LEN(_DB_Exercises!AE144)&gt;0,_DB_Exercises!AE144,"")</f>
        <v/>
      </c>
      <c r="K139" s="31" t="str">
        <f>IF(LEN(_DB_Exercises!AF144)&gt;0,_DB_Exercises!AF144,"")</f>
        <v/>
      </c>
      <c r="L139" s="31" t="str">
        <f>IF(LEN(_DB_Exercises!AG144)&gt;0,_DB_Exercises!AG144,"")</f>
        <v/>
      </c>
      <c r="M139" s="31" t="str">
        <f>IF(LEN(_DB_Exercises!AH144)&gt;0,_DB_Exercises!AH144,"")</f>
        <v/>
      </c>
      <c r="N139" s="31" t="str">
        <f>IF(LEN(_DB_Exercises!AI144)&gt;0,_DB_Exercises!AI144,"")</f>
        <v/>
      </c>
      <c r="O139" s="31" t="str">
        <f>IF(LEN(_DB_Exercises!AJ144)&gt;0,_DB_Exercises!AJ144,"")</f>
        <v/>
      </c>
      <c r="P139" s="31" t="str">
        <f>IF(LEN(_DB_Exercises!AK144)&gt;0,_DB_Exercises!AK144,"")</f>
        <v/>
      </c>
      <c r="Q139" s="31" t="str">
        <f>IF(LEN(_DB_Exercises!AL144)&gt;0,_DB_Exercises!AL144,"")</f>
        <v/>
      </c>
      <c r="R139" s="31" t="str">
        <f>IF(LEN(_DB_Exercises!AM144)&gt;0,_DB_Exercises!AM144,"")</f>
        <v/>
      </c>
      <c r="S139" s="31" t="str">
        <f>IF(LEN(_DB_Exercises!AN144)&gt;0,_DB_Exercises!AN144,"")</f>
        <v/>
      </c>
      <c r="T139" s="31" t="str">
        <f>IF(LEN(_DB_Exercises!AO144)&gt;0,_DB_Exercises!AO144,"")</f>
        <v/>
      </c>
      <c r="U139" s="31" t="str">
        <f>IF(LEN(_DB_Exercises!AP144)&gt;0,_DB_Exercises!AP144,"")</f>
        <v/>
      </c>
      <c r="V139" s="31" t="str">
        <f>IF(LEN(_DB_Exercises!AQ144)&gt;0,_DB_Exercises!AQ144,"")</f>
        <v/>
      </c>
      <c r="W139" s="31" t="str">
        <f>IF(LEN(_DB_Exercises!AR144)&gt;0,_DB_Exercises!AR144,"")</f>
        <v/>
      </c>
      <c r="X139" s="31" t="str">
        <f>IF(LEN(_DB_Exercises!AS144)&gt;0,_DB_Exercises!AS144,"")</f>
        <v/>
      </c>
      <c r="Y139" s="31" t="str">
        <f>IF(LEN(_DB_Exercises!AT144)&gt;0,_DB_Exercises!AT144,"")</f>
        <v/>
      </c>
      <c r="Z139" s="31" t="str">
        <f>IF(LEN(_DB_Exercises!AU144)&gt;0,_DB_Exercises!AU144,"")</f>
        <v/>
      </c>
      <c r="AA139" s="31" t="str">
        <f>IF(LEN(_DB_Exercises!AV144)&gt;0,_DB_Exercises!AV144,"")</f>
        <v/>
      </c>
      <c r="AB139" s="31" t="str">
        <f>IF(LEN(_DB_Exercises!AW144)&gt;0,_DB_Exercises!AW144,"")</f>
        <v/>
      </c>
      <c r="AC139" s="31" t="str">
        <f>IF(LEN(_DB_Exercises!AX144)&gt;0,_DB_Exercises!AX144,"")</f>
        <v/>
      </c>
      <c r="AD139" s="31" t="str">
        <f>IF(LEN(_DB_Exercises!AY144)&gt;0,_DB_Exercises!AY144,"")</f>
        <v/>
      </c>
      <c r="AE139" s="31" t="str">
        <f>IF(LEN(_DB_Exercises!AZ144)&gt;0,_DB_Exercises!AZ144,"")</f>
        <v/>
      </c>
      <c r="AF139" s="31" t="str">
        <f>IF(LEN(_DB_Exercises!BA144)&gt;0,_DB_Exercises!BA144,"")</f>
        <v/>
      </c>
      <c r="AG139" s="31" t="str">
        <f>IF(LEN(_DB_Exercises!BB144)&gt;0,_DB_Exercises!BB144,"")</f>
        <v/>
      </c>
      <c r="AH139" s="31" t="str">
        <f>IF(LEN(_DB_Exercises!BC144)&gt;0,_DB_Exercises!BC144,"")</f>
        <v/>
      </c>
      <c r="AI139" s="31" t="str">
        <f>IF(LEN(_DB_Exercises!BD144)&gt;0,_DB_Exercises!BD144,"")</f>
        <v/>
      </c>
      <c r="AJ139" s="31" t="str">
        <f>IF(LEN(_DB_Exercises!BE144)&gt;0,_DB_Exercises!BE144,"")</f>
        <v/>
      </c>
      <c r="AK139" s="31" t="str">
        <f>IF(LEN(_DB_Exercises!BF144)&gt;0,_DB_Exercises!BF144,"")</f>
        <v/>
      </c>
      <c r="AL139" s="31" t="str">
        <f>IF(LEN(_DB_Exercises!BG144)&gt;0,_DB_Exercises!BG144,"")</f>
        <v/>
      </c>
      <c r="AM139" s="31" t="str">
        <f>IF(LEN(_DB_Exercises!BH144)&gt;0,_DB_Exercises!BH144,"")</f>
        <v/>
      </c>
      <c r="AN139" s="31" t="str">
        <f>IF(LEN(_DB_Exercises!BI144)&gt;0,_DB_Exercises!BI144,"")</f>
        <v/>
      </c>
      <c r="AO139" s="31" t="str">
        <f>IF(LEN(_DB_Exercises!BJ144)&gt;0,_DB_Exercises!BJ144,"")</f>
        <v/>
      </c>
      <c r="AP139" s="31" t="str">
        <f>IF(LEN(_DB_Exercises!BK144)&gt;0,_DB_Exercises!BK144,"")</f>
        <v/>
      </c>
      <c r="AQ139" s="31" t="str">
        <f>IF(LEN(_DB_Exercises!BL144)&gt;0,_DB_Exercises!BL144,"")</f>
        <v/>
      </c>
      <c r="AR139" s="31" t="str">
        <f>IF(LEN(_DB_Exercises!BM144)&gt;0,_DB_Exercises!BM144,"")</f>
        <v/>
      </c>
    </row>
    <row r="140" spans="1:44" x14ac:dyDescent="0.25">
      <c r="A140" s="11">
        <f>IF(LEN(_DB_Exercises!A145)&gt;0,_DB_Exercises!A145,"")</f>
        <v>3001</v>
      </c>
      <c r="B140" s="14" t="str">
        <f>IF(LEN(_DB_Exercises!K145)&gt;0,_DB_Exercises!K145,"")</f>
        <v>Chipping Ladder Gambling</v>
      </c>
      <c r="C140" s="31">
        <f>IF(LEN(_DB_Exercises!X145)&gt;0,_DB_Exercises!X145,"")</f>
        <v>12</v>
      </c>
      <c r="D140" s="31">
        <f>IF(LEN(_DB_Exercises!Y145)&gt;0,_DB_Exercises!Y145,"")</f>
        <v>11</v>
      </c>
      <c r="E140" s="31">
        <f>IF(LEN(_DB_Exercises!Z145)&gt;0,_DB_Exercises!Z145,"")</f>
        <v>11</v>
      </c>
      <c r="F140" s="31">
        <f>IF(LEN(_DB_Exercises!AA145)&gt;0,_DB_Exercises!AA145,"")</f>
        <v>11</v>
      </c>
      <c r="G140" s="31">
        <f>IF(LEN(_DB_Exercises!AB145)&gt;0,_DB_Exercises!AB145,"")</f>
        <v>10</v>
      </c>
      <c r="H140" s="31">
        <f>IF(LEN(_DB_Exercises!AC145)&gt;0,_DB_Exercises!AC145,"")</f>
        <v>10</v>
      </c>
      <c r="I140" s="31">
        <f>IF(LEN(_DB_Exercises!AD145)&gt;0,_DB_Exercises!AD145,"")</f>
        <v>10</v>
      </c>
      <c r="J140" s="31">
        <f>IF(LEN(_DB_Exercises!AE145)&gt;0,_DB_Exercises!AE145,"")</f>
        <v>9</v>
      </c>
      <c r="K140" s="31">
        <f>IF(LEN(_DB_Exercises!AF145)&gt;0,_DB_Exercises!AF145,"")</f>
        <v>9</v>
      </c>
      <c r="L140" s="31">
        <f>IF(LEN(_DB_Exercises!AG145)&gt;0,_DB_Exercises!AG145,"")</f>
        <v>9</v>
      </c>
      <c r="M140" s="31">
        <f>IF(LEN(_DB_Exercises!AH145)&gt;0,_DB_Exercises!AH145,"")</f>
        <v>8</v>
      </c>
      <c r="N140" s="31">
        <f>IF(LEN(_DB_Exercises!AI145)&gt;0,_DB_Exercises!AI145,"")</f>
        <v>8</v>
      </c>
      <c r="O140" s="31">
        <f>IF(LEN(_DB_Exercises!AJ145)&gt;0,_DB_Exercises!AJ145,"")</f>
        <v>8</v>
      </c>
      <c r="P140" s="31">
        <f>IF(LEN(_DB_Exercises!AK145)&gt;0,_DB_Exercises!AK145,"")</f>
        <v>7</v>
      </c>
      <c r="Q140" s="31">
        <f>IF(LEN(_DB_Exercises!AL145)&gt;0,_DB_Exercises!AL145,"")</f>
        <v>7</v>
      </c>
      <c r="R140" s="31">
        <f>IF(LEN(_DB_Exercises!AM145)&gt;0,_DB_Exercises!AM145,"")</f>
        <v>7</v>
      </c>
      <c r="S140" s="31">
        <f>IF(LEN(_DB_Exercises!AN145)&gt;0,_DB_Exercises!AN145,"")</f>
        <v>7</v>
      </c>
      <c r="T140" s="31">
        <f>IF(LEN(_DB_Exercises!AO145)&gt;0,_DB_Exercises!AO145,"")</f>
        <v>6</v>
      </c>
      <c r="U140" s="31">
        <f>IF(LEN(_DB_Exercises!AP145)&gt;0,_DB_Exercises!AP145,"")</f>
        <v>6</v>
      </c>
      <c r="V140" s="31">
        <f>IF(LEN(_DB_Exercises!AQ145)&gt;0,_DB_Exercises!AQ145,"")</f>
        <v>6</v>
      </c>
      <c r="W140" s="31">
        <f>IF(LEN(_DB_Exercises!AR145)&gt;0,_DB_Exercises!AR145,"")</f>
        <v>6</v>
      </c>
      <c r="X140" s="31">
        <f>IF(LEN(_DB_Exercises!AS145)&gt;0,_DB_Exercises!AS145,"")</f>
        <v>6</v>
      </c>
      <c r="Y140" s="31">
        <f>IF(LEN(_DB_Exercises!AT145)&gt;0,_DB_Exercises!AT145,"")</f>
        <v>5</v>
      </c>
      <c r="Z140" s="31">
        <f>IF(LEN(_DB_Exercises!AU145)&gt;0,_DB_Exercises!AU145,"")</f>
        <v>5</v>
      </c>
      <c r="AA140" s="31">
        <f>IF(LEN(_DB_Exercises!AV145)&gt;0,_DB_Exercises!AV145,"")</f>
        <v>5</v>
      </c>
      <c r="AB140" s="31">
        <f>IF(LEN(_DB_Exercises!AW145)&gt;0,_DB_Exercises!AW145,"")</f>
        <v>5</v>
      </c>
      <c r="AC140" s="31">
        <f>IF(LEN(_DB_Exercises!AX145)&gt;0,_DB_Exercises!AX145,"")</f>
        <v>5</v>
      </c>
      <c r="AD140" s="31">
        <f>IF(LEN(_DB_Exercises!AY145)&gt;0,_DB_Exercises!AY145,"")</f>
        <v>4</v>
      </c>
      <c r="AE140" s="31">
        <f>IF(LEN(_DB_Exercises!AZ145)&gt;0,_DB_Exercises!AZ145,"")</f>
        <v>4</v>
      </c>
      <c r="AF140" s="31">
        <f>IF(LEN(_DB_Exercises!BA145)&gt;0,_DB_Exercises!BA145,"")</f>
        <v>4</v>
      </c>
      <c r="AG140" s="31">
        <f>IF(LEN(_DB_Exercises!BB145)&gt;0,_DB_Exercises!BB145,"")</f>
        <v>4</v>
      </c>
      <c r="AH140" s="31">
        <f>IF(LEN(_DB_Exercises!BC145)&gt;0,_DB_Exercises!BC145,"")</f>
        <v>4</v>
      </c>
      <c r="AI140" s="31">
        <f>IF(LEN(_DB_Exercises!BD145)&gt;0,_DB_Exercises!BD145,"")</f>
        <v>4</v>
      </c>
      <c r="AJ140" s="31">
        <f>IF(LEN(_DB_Exercises!BE145)&gt;0,_DB_Exercises!BE145,"")</f>
        <v>3</v>
      </c>
      <c r="AK140" s="31">
        <f>IF(LEN(_DB_Exercises!BF145)&gt;0,_DB_Exercises!BF145,"")</f>
        <v>3</v>
      </c>
      <c r="AL140" s="31">
        <f>IF(LEN(_DB_Exercises!BG145)&gt;0,_DB_Exercises!BG145,"")</f>
        <v>3</v>
      </c>
      <c r="AM140" s="31">
        <f>IF(LEN(_DB_Exercises!BH145)&gt;0,_DB_Exercises!BH145,"")</f>
        <v>3</v>
      </c>
      <c r="AN140" s="31">
        <f>IF(LEN(_DB_Exercises!BI145)&gt;0,_DB_Exercises!BI145,"")</f>
        <v>3</v>
      </c>
      <c r="AO140" s="31">
        <f>IF(LEN(_DB_Exercises!BJ145)&gt;0,_DB_Exercises!BJ145,"")</f>
        <v>3</v>
      </c>
      <c r="AP140" s="31">
        <f>IF(LEN(_DB_Exercises!BK145)&gt;0,_DB_Exercises!BK145,"")</f>
        <v>3</v>
      </c>
      <c r="AQ140" s="31">
        <f>IF(LEN(_DB_Exercises!BL145)&gt;0,_DB_Exercises!BL145,"")</f>
        <v>2</v>
      </c>
      <c r="AR140" s="31">
        <f>IF(LEN(_DB_Exercises!BM145)&gt;0,_DB_Exercises!BM145,"")</f>
        <v>2</v>
      </c>
    </row>
    <row r="141" spans="1:44" x14ac:dyDescent="0.25">
      <c r="A141" s="11">
        <f>IF(LEN(_DB_Exercises!A146)&gt;0,_DB_Exercises!A146,"")</f>
        <v>3002</v>
      </c>
      <c r="B141" s="14" t="str">
        <f>IF(LEN(_DB_Exercises!K146)&gt;0,_DB_Exercises!K146,"")</f>
        <v>Nearest to the line  Shoot out</v>
      </c>
      <c r="C141" s="31" t="str">
        <f>IF(LEN(_DB_Exercises!X146)&gt;0,_DB_Exercises!X146,"")</f>
        <v/>
      </c>
      <c r="D141" s="31" t="str">
        <f>IF(LEN(_DB_Exercises!Y146)&gt;0,_DB_Exercises!Y146,"")</f>
        <v/>
      </c>
      <c r="E141" s="31" t="str">
        <f>IF(LEN(_DB_Exercises!Z146)&gt;0,_DB_Exercises!Z146,"")</f>
        <v/>
      </c>
      <c r="F141" s="31" t="str">
        <f>IF(LEN(_DB_Exercises!AA146)&gt;0,_DB_Exercises!AA146,"")</f>
        <v/>
      </c>
      <c r="G141" s="31" t="str">
        <f>IF(LEN(_DB_Exercises!AB146)&gt;0,_DB_Exercises!AB146,"")</f>
        <v/>
      </c>
      <c r="H141" s="31" t="str">
        <f>IF(LEN(_DB_Exercises!AC146)&gt;0,_DB_Exercises!AC146,"")</f>
        <v/>
      </c>
      <c r="I141" s="31" t="str">
        <f>IF(LEN(_DB_Exercises!AD146)&gt;0,_DB_Exercises!AD146,"")</f>
        <v/>
      </c>
      <c r="J141" s="31" t="str">
        <f>IF(LEN(_DB_Exercises!AE146)&gt;0,_DB_Exercises!AE146,"")</f>
        <v/>
      </c>
      <c r="K141" s="31" t="str">
        <f>IF(LEN(_DB_Exercises!AF146)&gt;0,_DB_Exercises!AF146,"")</f>
        <v/>
      </c>
      <c r="L141" s="31" t="str">
        <f>IF(LEN(_DB_Exercises!AG146)&gt;0,_DB_Exercises!AG146,"")</f>
        <v/>
      </c>
      <c r="M141" s="31" t="str">
        <f>IF(LEN(_DB_Exercises!AH146)&gt;0,_DB_Exercises!AH146,"")</f>
        <v/>
      </c>
      <c r="N141" s="31" t="str">
        <f>IF(LEN(_DB_Exercises!AI146)&gt;0,_DB_Exercises!AI146,"")</f>
        <v/>
      </c>
      <c r="O141" s="31" t="str">
        <f>IF(LEN(_DB_Exercises!AJ146)&gt;0,_DB_Exercises!AJ146,"")</f>
        <v/>
      </c>
      <c r="P141" s="31" t="str">
        <f>IF(LEN(_DB_Exercises!AK146)&gt;0,_DB_Exercises!AK146,"")</f>
        <v/>
      </c>
      <c r="Q141" s="31" t="str">
        <f>IF(LEN(_DB_Exercises!AL146)&gt;0,_DB_Exercises!AL146,"")</f>
        <v/>
      </c>
      <c r="R141" s="31" t="str">
        <f>IF(LEN(_DB_Exercises!AM146)&gt;0,_DB_Exercises!AM146,"")</f>
        <v/>
      </c>
      <c r="S141" s="31" t="str">
        <f>IF(LEN(_DB_Exercises!AN146)&gt;0,_DB_Exercises!AN146,"")</f>
        <v/>
      </c>
      <c r="T141" s="31" t="str">
        <f>IF(LEN(_DB_Exercises!AO146)&gt;0,_DB_Exercises!AO146,"")</f>
        <v/>
      </c>
      <c r="U141" s="31" t="str">
        <f>IF(LEN(_DB_Exercises!AP146)&gt;0,_DB_Exercises!AP146,"")</f>
        <v/>
      </c>
      <c r="V141" s="31" t="str">
        <f>IF(LEN(_DB_Exercises!AQ146)&gt;0,_DB_Exercises!AQ146,"")</f>
        <v/>
      </c>
      <c r="W141" s="31" t="str">
        <f>IF(LEN(_DB_Exercises!AR146)&gt;0,_DB_Exercises!AR146,"")</f>
        <v/>
      </c>
      <c r="X141" s="31" t="str">
        <f>IF(LEN(_DB_Exercises!AS146)&gt;0,_DB_Exercises!AS146,"")</f>
        <v/>
      </c>
      <c r="Y141" s="31" t="str">
        <f>IF(LEN(_DB_Exercises!AT146)&gt;0,_DB_Exercises!AT146,"")</f>
        <v/>
      </c>
      <c r="Z141" s="31" t="str">
        <f>IF(LEN(_DB_Exercises!AU146)&gt;0,_DB_Exercises!AU146,"")</f>
        <v/>
      </c>
      <c r="AA141" s="31" t="str">
        <f>IF(LEN(_DB_Exercises!AV146)&gt;0,_DB_Exercises!AV146,"")</f>
        <v/>
      </c>
      <c r="AB141" s="31" t="str">
        <f>IF(LEN(_DB_Exercises!AW146)&gt;0,_DB_Exercises!AW146,"")</f>
        <v/>
      </c>
      <c r="AC141" s="31" t="str">
        <f>IF(LEN(_DB_Exercises!AX146)&gt;0,_DB_Exercises!AX146,"")</f>
        <v/>
      </c>
      <c r="AD141" s="31" t="str">
        <f>IF(LEN(_DB_Exercises!AY146)&gt;0,_DB_Exercises!AY146,"")</f>
        <v/>
      </c>
      <c r="AE141" s="31" t="str">
        <f>IF(LEN(_DB_Exercises!AZ146)&gt;0,_DB_Exercises!AZ146,"")</f>
        <v/>
      </c>
      <c r="AF141" s="31" t="str">
        <f>IF(LEN(_DB_Exercises!BA146)&gt;0,_DB_Exercises!BA146,"")</f>
        <v/>
      </c>
      <c r="AG141" s="31" t="str">
        <f>IF(LEN(_DB_Exercises!BB146)&gt;0,_DB_Exercises!BB146,"")</f>
        <v/>
      </c>
      <c r="AH141" s="31" t="str">
        <f>IF(LEN(_DB_Exercises!BC146)&gt;0,_DB_Exercises!BC146,"")</f>
        <v/>
      </c>
      <c r="AI141" s="31" t="str">
        <f>IF(LEN(_DB_Exercises!BD146)&gt;0,_DB_Exercises!BD146,"")</f>
        <v/>
      </c>
      <c r="AJ141" s="31" t="str">
        <f>IF(LEN(_DB_Exercises!BE146)&gt;0,_DB_Exercises!BE146,"")</f>
        <v/>
      </c>
      <c r="AK141" s="31" t="str">
        <f>IF(LEN(_DB_Exercises!BF146)&gt;0,_DB_Exercises!BF146,"")</f>
        <v/>
      </c>
      <c r="AL141" s="31" t="str">
        <f>IF(LEN(_DB_Exercises!BG146)&gt;0,_DB_Exercises!BG146,"")</f>
        <v/>
      </c>
      <c r="AM141" s="31" t="str">
        <f>IF(LEN(_DB_Exercises!BH146)&gt;0,_DB_Exercises!BH146,"")</f>
        <v/>
      </c>
      <c r="AN141" s="31" t="str">
        <f>IF(LEN(_DB_Exercises!BI146)&gt;0,_DB_Exercises!BI146,"")</f>
        <v/>
      </c>
      <c r="AO141" s="31" t="str">
        <f>IF(LEN(_DB_Exercises!BJ146)&gt;0,_DB_Exercises!BJ146,"")</f>
        <v/>
      </c>
      <c r="AP141" s="31" t="str">
        <f>IF(LEN(_DB_Exercises!BK146)&gt;0,_DB_Exercises!BK146,"")</f>
        <v/>
      </c>
      <c r="AQ141" s="31" t="str">
        <f>IF(LEN(_DB_Exercises!BL146)&gt;0,_DB_Exercises!BL146,"")</f>
        <v/>
      </c>
      <c r="AR141" s="31" t="str">
        <f>IF(LEN(_DB_Exercises!BM146)&gt;0,_DB_Exercises!BM146,"")</f>
        <v/>
      </c>
    </row>
    <row r="142" spans="1:44" x14ac:dyDescent="0.25">
      <c r="A142" s="11" t="e">
        <f>IF(LEN(_DB_Exercises!#REF!)&gt;0,_DB_Exercises!#REF!,"")</f>
        <v>#REF!</v>
      </c>
      <c r="B142" s="14" t="e">
        <f>IF(LEN(_DB_Exercises!#REF!)&gt;0,_DB_Exercises!#REF!,"")</f>
        <v>#REF!</v>
      </c>
      <c r="C142" s="31" t="e">
        <f>IF(LEN(_DB_Exercises!#REF!)&gt;0,_DB_Exercises!#REF!,"")</f>
        <v>#REF!</v>
      </c>
      <c r="D142" s="31" t="e">
        <f>IF(LEN(_DB_Exercises!#REF!)&gt;0,_DB_Exercises!#REF!,"")</f>
        <v>#REF!</v>
      </c>
      <c r="E142" s="31" t="e">
        <f>IF(LEN(_DB_Exercises!#REF!)&gt;0,_DB_Exercises!#REF!,"")</f>
        <v>#REF!</v>
      </c>
      <c r="F142" s="31" t="e">
        <f>IF(LEN(_DB_Exercises!#REF!)&gt;0,_DB_Exercises!#REF!,"")</f>
        <v>#REF!</v>
      </c>
      <c r="G142" s="31" t="e">
        <f>IF(LEN(_DB_Exercises!#REF!)&gt;0,_DB_Exercises!#REF!,"")</f>
        <v>#REF!</v>
      </c>
      <c r="H142" s="31" t="e">
        <f>IF(LEN(_DB_Exercises!#REF!)&gt;0,_DB_Exercises!#REF!,"")</f>
        <v>#REF!</v>
      </c>
      <c r="I142" s="31" t="e">
        <f>IF(LEN(_DB_Exercises!#REF!)&gt;0,_DB_Exercises!#REF!,"")</f>
        <v>#REF!</v>
      </c>
      <c r="J142" s="31" t="e">
        <f>IF(LEN(_DB_Exercises!#REF!)&gt;0,_DB_Exercises!#REF!,"")</f>
        <v>#REF!</v>
      </c>
      <c r="K142" s="31" t="e">
        <f>IF(LEN(_DB_Exercises!#REF!)&gt;0,_DB_Exercises!#REF!,"")</f>
        <v>#REF!</v>
      </c>
      <c r="L142" s="31" t="e">
        <f>IF(LEN(_DB_Exercises!#REF!)&gt;0,_DB_Exercises!#REF!,"")</f>
        <v>#REF!</v>
      </c>
      <c r="M142" s="31" t="e">
        <f>IF(LEN(_DB_Exercises!#REF!)&gt;0,_DB_Exercises!#REF!,"")</f>
        <v>#REF!</v>
      </c>
      <c r="N142" s="31" t="e">
        <f>IF(LEN(_DB_Exercises!#REF!)&gt;0,_DB_Exercises!#REF!,"")</f>
        <v>#REF!</v>
      </c>
      <c r="O142" s="31" t="e">
        <f>IF(LEN(_DB_Exercises!#REF!)&gt;0,_DB_Exercises!#REF!,"")</f>
        <v>#REF!</v>
      </c>
      <c r="P142" s="31" t="e">
        <f>IF(LEN(_DB_Exercises!#REF!)&gt;0,_DB_Exercises!#REF!,"")</f>
        <v>#REF!</v>
      </c>
      <c r="Q142" s="31" t="e">
        <f>IF(LEN(_DB_Exercises!#REF!)&gt;0,_DB_Exercises!#REF!,"")</f>
        <v>#REF!</v>
      </c>
      <c r="R142" s="31" t="e">
        <f>IF(LEN(_DB_Exercises!#REF!)&gt;0,_DB_Exercises!#REF!,"")</f>
        <v>#REF!</v>
      </c>
      <c r="S142" s="31" t="e">
        <f>IF(LEN(_DB_Exercises!#REF!)&gt;0,_DB_Exercises!#REF!,"")</f>
        <v>#REF!</v>
      </c>
      <c r="T142" s="31" t="e">
        <f>IF(LEN(_DB_Exercises!#REF!)&gt;0,_DB_Exercises!#REF!,"")</f>
        <v>#REF!</v>
      </c>
      <c r="U142" s="31" t="e">
        <f>IF(LEN(_DB_Exercises!#REF!)&gt;0,_DB_Exercises!#REF!,"")</f>
        <v>#REF!</v>
      </c>
      <c r="V142" s="31" t="e">
        <f>IF(LEN(_DB_Exercises!#REF!)&gt;0,_DB_Exercises!#REF!,"")</f>
        <v>#REF!</v>
      </c>
      <c r="W142" s="31" t="e">
        <f>IF(LEN(_DB_Exercises!#REF!)&gt;0,_DB_Exercises!#REF!,"")</f>
        <v>#REF!</v>
      </c>
      <c r="X142" s="31" t="e">
        <f>IF(LEN(_DB_Exercises!#REF!)&gt;0,_DB_Exercises!#REF!,"")</f>
        <v>#REF!</v>
      </c>
      <c r="Y142" s="31" t="e">
        <f>IF(LEN(_DB_Exercises!#REF!)&gt;0,_DB_Exercises!#REF!,"")</f>
        <v>#REF!</v>
      </c>
      <c r="Z142" s="31" t="e">
        <f>IF(LEN(_DB_Exercises!#REF!)&gt;0,_DB_Exercises!#REF!,"")</f>
        <v>#REF!</v>
      </c>
      <c r="AA142" s="31" t="e">
        <f>IF(LEN(_DB_Exercises!#REF!)&gt;0,_DB_Exercises!#REF!,"")</f>
        <v>#REF!</v>
      </c>
      <c r="AB142" s="31" t="e">
        <f>IF(LEN(_DB_Exercises!#REF!)&gt;0,_DB_Exercises!#REF!,"")</f>
        <v>#REF!</v>
      </c>
      <c r="AC142" s="31" t="e">
        <f>IF(LEN(_DB_Exercises!#REF!)&gt;0,_DB_Exercises!#REF!,"")</f>
        <v>#REF!</v>
      </c>
      <c r="AD142" s="31" t="e">
        <f>IF(LEN(_DB_Exercises!#REF!)&gt;0,_DB_Exercises!#REF!,"")</f>
        <v>#REF!</v>
      </c>
      <c r="AE142" s="31" t="e">
        <f>IF(LEN(_DB_Exercises!#REF!)&gt;0,_DB_Exercises!#REF!,"")</f>
        <v>#REF!</v>
      </c>
      <c r="AF142" s="31" t="e">
        <f>IF(LEN(_DB_Exercises!#REF!)&gt;0,_DB_Exercises!#REF!,"")</f>
        <v>#REF!</v>
      </c>
      <c r="AG142" s="31" t="e">
        <f>IF(LEN(_DB_Exercises!#REF!)&gt;0,_DB_Exercises!#REF!,"")</f>
        <v>#REF!</v>
      </c>
      <c r="AH142" s="31" t="e">
        <f>IF(LEN(_DB_Exercises!#REF!)&gt;0,_DB_Exercises!#REF!,"")</f>
        <v>#REF!</v>
      </c>
      <c r="AI142" s="31" t="e">
        <f>IF(LEN(_DB_Exercises!#REF!)&gt;0,_DB_Exercises!#REF!,"")</f>
        <v>#REF!</v>
      </c>
      <c r="AJ142" s="31" t="e">
        <f>IF(LEN(_DB_Exercises!#REF!)&gt;0,_DB_Exercises!#REF!,"")</f>
        <v>#REF!</v>
      </c>
      <c r="AK142" s="31" t="e">
        <f>IF(LEN(_DB_Exercises!#REF!)&gt;0,_DB_Exercises!#REF!,"")</f>
        <v>#REF!</v>
      </c>
      <c r="AL142" s="31" t="e">
        <f>IF(LEN(_DB_Exercises!#REF!)&gt;0,_DB_Exercises!#REF!,"")</f>
        <v>#REF!</v>
      </c>
      <c r="AM142" s="31" t="e">
        <f>IF(LEN(_DB_Exercises!#REF!)&gt;0,_DB_Exercises!#REF!,"")</f>
        <v>#REF!</v>
      </c>
      <c r="AN142" s="31" t="e">
        <f>IF(LEN(_DB_Exercises!#REF!)&gt;0,_DB_Exercises!#REF!,"")</f>
        <v>#REF!</v>
      </c>
      <c r="AO142" s="31" t="e">
        <f>IF(LEN(_DB_Exercises!#REF!)&gt;0,_DB_Exercises!#REF!,"")</f>
        <v>#REF!</v>
      </c>
      <c r="AP142" s="31" t="e">
        <f>IF(LEN(_DB_Exercises!#REF!)&gt;0,_DB_Exercises!#REF!,"")</f>
        <v>#REF!</v>
      </c>
      <c r="AQ142" s="31" t="e">
        <f>IF(LEN(_DB_Exercises!#REF!)&gt;0,_DB_Exercises!#REF!,"")</f>
        <v>#REF!</v>
      </c>
      <c r="AR142" s="31" t="e">
        <f>IF(LEN(_DB_Exercises!#REF!)&gt;0,_DB_Exercises!#REF!,"")</f>
        <v>#REF!</v>
      </c>
    </row>
    <row r="143" spans="1:44" x14ac:dyDescent="0.25">
      <c r="A143" s="11" t="e">
        <f>IF(LEN(_DB_Exercises!#REF!)&gt;0,_DB_Exercises!#REF!,"")</f>
        <v>#REF!</v>
      </c>
      <c r="B143" s="14" t="e">
        <f>IF(LEN(_DB_Exercises!#REF!)&gt;0,_DB_Exercises!#REF!,"")</f>
        <v>#REF!</v>
      </c>
      <c r="C143" s="31" t="e">
        <f>IF(LEN(_DB_Exercises!#REF!)&gt;0,_DB_Exercises!#REF!,"")</f>
        <v>#REF!</v>
      </c>
      <c r="D143" s="31" t="e">
        <f>IF(LEN(_DB_Exercises!#REF!)&gt;0,_DB_Exercises!#REF!,"")</f>
        <v>#REF!</v>
      </c>
      <c r="E143" s="31" t="e">
        <f>IF(LEN(_DB_Exercises!#REF!)&gt;0,_DB_Exercises!#REF!,"")</f>
        <v>#REF!</v>
      </c>
      <c r="F143" s="31" t="e">
        <f>IF(LEN(_DB_Exercises!#REF!)&gt;0,_DB_Exercises!#REF!,"")</f>
        <v>#REF!</v>
      </c>
      <c r="G143" s="31" t="e">
        <f>IF(LEN(_DB_Exercises!#REF!)&gt;0,_DB_Exercises!#REF!,"")</f>
        <v>#REF!</v>
      </c>
      <c r="H143" s="31" t="e">
        <f>IF(LEN(_DB_Exercises!#REF!)&gt;0,_DB_Exercises!#REF!,"")</f>
        <v>#REF!</v>
      </c>
      <c r="I143" s="31" t="e">
        <f>IF(LEN(_DB_Exercises!#REF!)&gt;0,_DB_Exercises!#REF!,"")</f>
        <v>#REF!</v>
      </c>
      <c r="J143" s="31" t="e">
        <f>IF(LEN(_DB_Exercises!#REF!)&gt;0,_DB_Exercises!#REF!,"")</f>
        <v>#REF!</v>
      </c>
      <c r="K143" s="31" t="e">
        <f>IF(LEN(_DB_Exercises!#REF!)&gt;0,_DB_Exercises!#REF!,"")</f>
        <v>#REF!</v>
      </c>
      <c r="L143" s="31" t="e">
        <f>IF(LEN(_DB_Exercises!#REF!)&gt;0,_DB_Exercises!#REF!,"")</f>
        <v>#REF!</v>
      </c>
      <c r="M143" s="31" t="e">
        <f>IF(LEN(_DB_Exercises!#REF!)&gt;0,_DB_Exercises!#REF!,"")</f>
        <v>#REF!</v>
      </c>
      <c r="N143" s="31" t="e">
        <f>IF(LEN(_DB_Exercises!#REF!)&gt;0,_DB_Exercises!#REF!,"")</f>
        <v>#REF!</v>
      </c>
      <c r="O143" s="31" t="e">
        <f>IF(LEN(_DB_Exercises!#REF!)&gt;0,_DB_Exercises!#REF!,"")</f>
        <v>#REF!</v>
      </c>
      <c r="P143" s="31" t="e">
        <f>IF(LEN(_DB_Exercises!#REF!)&gt;0,_DB_Exercises!#REF!,"")</f>
        <v>#REF!</v>
      </c>
      <c r="Q143" s="31" t="e">
        <f>IF(LEN(_DB_Exercises!#REF!)&gt;0,_DB_Exercises!#REF!,"")</f>
        <v>#REF!</v>
      </c>
      <c r="R143" s="31" t="e">
        <f>IF(LEN(_DB_Exercises!#REF!)&gt;0,_DB_Exercises!#REF!,"")</f>
        <v>#REF!</v>
      </c>
      <c r="S143" s="31" t="e">
        <f>IF(LEN(_DB_Exercises!#REF!)&gt;0,_DB_Exercises!#REF!,"")</f>
        <v>#REF!</v>
      </c>
      <c r="T143" s="31" t="e">
        <f>IF(LEN(_DB_Exercises!#REF!)&gt;0,_DB_Exercises!#REF!,"")</f>
        <v>#REF!</v>
      </c>
      <c r="U143" s="31" t="e">
        <f>IF(LEN(_DB_Exercises!#REF!)&gt;0,_DB_Exercises!#REF!,"")</f>
        <v>#REF!</v>
      </c>
      <c r="V143" s="31" t="e">
        <f>IF(LEN(_DB_Exercises!#REF!)&gt;0,_DB_Exercises!#REF!,"")</f>
        <v>#REF!</v>
      </c>
      <c r="W143" s="31" t="e">
        <f>IF(LEN(_DB_Exercises!#REF!)&gt;0,_DB_Exercises!#REF!,"")</f>
        <v>#REF!</v>
      </c>
      <c r="X143" s="31" t="e">
        <f>IF(LEN(_DB_Exercises!#REF!)&gt;0,_DB_Exercises!#REF!,"")</f>
        <v>#REF!</v>
      </c>
      <c r="Y143" s="31" t="e">
        <f>IF(LEN(_DB_Exercises!#REF!)&gt;0,_DB_Exercises!#REF!,"")</f>
        <v>#REF!</v>
      </c>
      <c r="Z143" s="31" t="e">
        <f>IF(LEN(_DB_Exercises!#REF!)&gt;0,_DB_Exercises!#REF!,"")</f>
        <v>#REF!</v>
      </c>
      <c r="AA143" s="31" t="e">
        <f>IF(LEN(_DB_Exercises!#REF!)&gt;0,_DB_Exercises!#REF!,"")</f>
        <v>#REF!</v>
      </c>
      <c r="AB143" s="31" t="e">
        <f>IF(LEN(_DB_Exercises!#REF!)&gt;0,_DB_Exercises!#REF!,"")</f>
        <v>#REF!</v>
      </c>
      <c r="AC143" s="31" t="e">
        <f>IF(LEN(_DB_Exercises!#REF!)&gt;0,_DB_Exercises!#REF!,"")</f>
        <v>#REF!</v>
      </c>
      <c r="AD143" s="31" t="e">
        <f>IF(LEN(_DB_Exercises!#REF!)&gt;0,_DB_Exercises!#REF!,"")</f>
        <v>#REF!</v>
      </c>
      <c r="AE143" s="31" t="e">
        <f>IF(LEN(_DB_Exercises!#REF!)&gt;0,_DB_Exercises!#REF!,"")</f>
        <v>#REF!</v>
      </c>
      <c r="AF143" s="31" t="e">
        <f>IF(LEN(_DB_Exercises!#REF!)&gt;0,_DB_Exercises!#REF!,"")</f>
        <v>#REF!</v>
      </c>
      <c r="AG143" s="31" t="e">
        <f>IF(LEN(_DB_Exercises!#REF!)&gt;0,_DB_Exercises!#REF!,"")</f>
        <v>#REF!</v>
      </c>
      <c r="AH143" s="31" t="e">
        <f>IF(LEN(_DB_Exercises!#REF!)&gt;0,_DB_Exercises!#REF!,"")</f>
        <v>#REF!</v>
      </c>
      <c r="AI143" s="31" t="e">
        <f>IF(LEN(_DB_Exercises!#REF!)&gt;0,_DB_Exercises!#REF!,"")</f>
        <v>#REF!</v>
      </c>
      <c r="AJ143" s="31" t="e">
        <f>IF(LEN(_DB_Exercises!#REF!)&gt;0,_DB_Exercises!#REF!,"")</f>
        <v>#REF!</v>
      </c>
      <c r="AK143" s="31" t="e">
        <f>IF(LEN(_DB_Exercises!#REF!)&gt;0,_DB_Exercises!#REF!,"")</f>
        <v>#REF!</v>
      </c>
      <c r="AL143" s="31" t="e">
        <f>IF(LEN(_DB_Exercises!#REF!)&gt;0,_DB_Exercises!#REF!,"")</f>
        <v>#REF!</v>
      </c>
      <c r="AM143" s="31" t="e">
        <f>IF(LEN(_DB_Exercises!#REF!)&gt;0,_DB_Exercises!#REF!,"")</f>
        <v>#REF!</v>
      </c>
      <c r="AN143" s="31" t="e">
        <f>IF(LEN(_DB_Exercises!#REF!)&gt;0,_DB_Exercises!#REF!,"")</f>
        <v>#REF!</v>
      </c>
      <c r="AO143" s="31" t="e">
        <f>IF(LEN(_DB_Exercises!#REF!)&gt;0,_DB_Exercises!#REF!,"")</f>
        <v>#REF!</v>
      </c>
      <c r="AP143" s="31" t="e">
        <f>IF(LEN(_DB_Exercises!#REF!)&gt;0,_DB_Exercises!#REF!,"")</f>
        <v>#REF!</v>
      </c>
      <c r="AQ143" s="31" t="e">
        <f>IF(LEN(_DB_Exercises!#REF!)&gt;0,_DB_Exercises!#REF!,"")</f>
        <v>#REF!</v>
      </c>
      <c r="AR143" s="31" t="e">
        <f>IF(LEN(_DB_Exercises!#REF!)&gt;0,_DB_Exercises!#REF!,"")</f>
        <v>#REF!</v>
      </c>
    </row>
    <row r="144" spans="1:44" x14ac:dyDescent="0.25">
      <c r="A144" s="11" t="e">
        <f>IF(LEN(_DB_Exercises!#REF!)&gt;0,_DB_Exercises!#REF!,"")</f>
        <v>#REF!</v>
      </c>
      <c r="B144" s="14" t="e">
        <f>IF(LEN(_DB_Exercises!#REF!)&gt;0,_DB_Exercises!#REF!,"")</f>
        <v>#REF!</v>
      </c>
      <c r="C144" s="31" t="e">
        <f>IF(LEN(_DB_Exercises!#REF!)&gt;0,_DB_Exercises!#REF!,"")</f>
        <v>#REF!</v>
      </c>
      <c r="D144" s="31" t="e">
        <f>IF(LEN(_DB_Exercises!#REF!)&gt;0,_DB_Exercises!#REF!,"")</f>
        <v>#REF!</v>
      </c>
      <c r="E144" s="31" t="e">
        <f>IF(LEN(_DB_Exercises!#REF!)&gt;0,_DB_Exercises!#REF!,"")</f>
        <v>#REF!</v>
      </c>
      <c r="F144" s="31" t="e">
        <f>IF(LEN(_DB_Exercises!#REF!)&gt;0,_DB_Exercises!#REF!,"")</f>
        <v>#REF!</v>
      </c>
      <c r="G144" s="31" t="e">
        <f>IF(LEN(_DB_Exercises!#REF!)&gt;0,_DB_Exercises!#REF!,"")</f>
        <v>#REF!</v>
      </c>
      <c r="H144" s="31" t="e">
        <f>IF(LEN(_DB_Exercises!#REF!)&gt;0,_DB_Exercises!#REF!,"")</f>
        <v>#REF!</v>
      </c>
      <c r="I144" s="31" t="e">
        <f>IF(LEN(_DB_Exercises!#REF!)&gt;0,_DB_Exercises!#REF!,"")</f>
        <v>#REF!</v>
      </c>
      <c r="J144" s="31" t="e">
        <f>IF(LEN(_DB_Exercises!#REF!)&gt;0,_DB_Exercises!#REF!,"")</f>
        <v>#REF!</v>
      </c>
      <c r="K144" s="31" t="e">
        <f>IF(LEN(_DB_Exercises!#REF!)&gt;0,_DB_Exercises!#REF!,"")</f>
        <v>#REF!</v>
      </c>
      <c r="L144" s="31" t="e">
        <f>IF(LEN(_DB_Exercises!#REF!)&gt;0,_DB_Exercises!#REF!,"")</f>
        <v>#REF!</v>
      </c>
      <c r="M144" s="31" t="e">
        <f>IF(LEN(_DB_Exercises!#REF!)&gt;0,_DB_Exercises!#REF!,"")</f>
        <v>#REF!</v>
      </c>
      <c r="N144" s="31" t="e">
        <f>IF(LEN(_DB_Exercises!#REF!)&gt;0,_DB_Exercises!#REF!,"")</f>
        <v>#REF!</v>
      </c>
      <c r="O144" s="31" t="e">
        <f>IF(LEN(_DB_Exercises!#REF!)&gt;0,_DB_Exercises!#REF!,"")</f>
        <v>#REF!</v>
      </c>
      <c r="P144" s="31" t="e">
        <f>IF(LEN(_DB_Exercises!#REF!)&gt;0,_DB_Exercises!#REF!,"")</f>
        <v>#REF!</v>
      </c>
      <c r="Q144" s="31" t="e">
        <f>IF(LEN(_DB_Exercises!#REF!)&gt;0,_DB_Exercises!#REF!,"")</f>
        <v>#REF!</v>
      </c>
      <c r="R144" s="31" t="e">
        <f>IF(LEN(_DB_Exercises!#REF!)&gt;0,_DB_Exercises!#REF!,"")</f>
        <v>#REF!</v>
      </c>
      <c r="S144" s="31" t="e">
        <f>IF(LEN(_DB_Exercises!#REF!)&gt;0,_DB_Exercises!#REF!,"")</f>
        <v>#REF!</v>
      </c>
      <c r="T144" s="31" t="e">
        <f>IF(LEN(_DB_Exercises!#REF!)&gt;0,_DB_Exercises!#REF!,"")</f>
        <v>#REF!</v>
      </c>
      <c r="U144" s="31" t="e">
        <f>IF(LEN(_DB_Exercises!#REF!)&gt;0,_DB_Exercises!#REF!,"")</f>
        <v>#REF!</v>
      </c>
      <c r="V144" s="31" t="e">
        <f>IF(LEN(_DB_Exercises!#REF!)&gt;0,_DB_Exercises!#REF!,"")</f>
        <v>#REF!</v>
      </c>
      <c r="W144" s="31" t="e">
        <f>IF(LEN(_DB_Exercises!#REF!)&gt;0,_DB_Exercises!#REF!,"")</f>
        <v>#REF!</v>
      </c>
      <c r="X144" s="31" t="e">
        <f>IF(LEN(_DB_Exercises!#REF!)&gt;0,_DB_Exercises!#REF!,"")</f>
        <v>#REF!</v>
      </c>
      <c r="Y144" s="31" t="e">
        <f>IF(LEN(_DB_Exercises!#REF!)&gt;0,_DB_Exercises!#REF!,"")</f>
        <v>#REF!</v>
      </c>
      <c r="Z144" s="31" t="e">
        <f>IF(LEN(_DB_Exercises!#REF!)&gt;0,_DB_Exercises!#REF!,"")</f>
        <v>#REF!</v>
      </c>
      <c r="AA144" s="31" t="e">
        <f>IF(LEN(_DB_Exercises!#REF!)&gt;0,_DB_Exercises!#REF!,"")</f>
        <v>#REF!</v>
      </c>
      <c r="AB144" s="31" t="e">
        <f>IF(LEN(_DB_Exercises!#REF!)&gt;0,_DB_Exercises!#REF!,"")</f>
        <v>#REF!</v>
      </c>
      <c r="AC144" s="31" t="e">
        <f>IF(LEN(_DB_Exercises!#REF!)&gt;0,_DB_Exercises!#REF!,"")</f>
        <v>#REF!</v>
      </c>
      <c r="AD144" s="31" t="e">
        <f>IF(LEN(_DB_Exercises!#REF!)&gt;0,_DB_Exercises!#REF!,"")</f>
        <v>#REF!</v>
      </c>
      <c r="AE144" s="31" t="e">
        <f>IF(LEN(_DB_Exercises!#REF!)&gt;0,_DB_Exercises!#REF!,"")</f>
        <v>#REF!</v>
      </c>
      <c r="AF144" s="31" t="e">
        <f>IF(LEN(_DB_Exercises!#REF!)&gt;0,_DB_Exercises!#REF!,"")</f>
        <v>#REF!</v>
      </c>
      <c r="AG144" s="31" t="e">
        <f>IF(LEN(_DB_Exercises!#REF!)&gt;0,_DB_Exercises!#REF!,"")</f>
        <v>#REF!</v>
      </c>
      <c r="AH144" s="31" t="e">
        <f>IF(LEN(_DB_Exercises!#REF!)&gt;0,_DB_Exercises!#REF!,"")</f>
        <v>#REF!</v>
      </c>
      <c r="AI144" s="31" t="e">
        <f>IF(LEN(_DB_Exercises!#REF!)&gt;0,_DB_Exercises!#REF!,"")</f>
        <v>#REF!</v>
      </c>
      <c r="AJ144" s="31" t="e">
        <f>IF(LEN(_DB_Exercises!#REF!)&gt;0,_DB_Exercises!#REF!,"")</f>
        <v>#REF!</v>
      </c>
      <c r="AK144" s="31" t="e">
        <f>IF(LEN(_DB_Exercises!#REF!)&gt;0,_DB_Exercises!#REF!,"")</f>
        <v>#REF!</v>
      </c>
      <c r="AL144" s="31" t="e">
        <f>IF(LEN(_DB_Exercises!#REF!)&gt;0,_DB_Exercises!#REF!,"")</f>
        <v>#REF!</v>
      </c>
      <c r="AM144" s="31" t="e">
        <f>IF(LEN(_DB_Exercises!#REF!)&gt;0,_DB_Exercises!#REF!,"")</f>
        <v>#REF!</v>
      </c>
      <c r="AN144" s="31" t="e">
        <f>IF(LEN(_DB_Exercises!#REF!)&gt;0,_DB_Exercises!#REF!,"")</f>
        <v>#REF!</v>
      </c>
      <c r="AO144" s="31" t="e">
        <f>IF(LEN(_DB_Exercises!#REF!)&gt;0,_DB_Exercises!#REF!,"")</f>
        <v>#REF!</v>
      </c>
      <c r="AP144" s="31" t="e">
        <f>IF(LEN(_DB_Exercises!#REF!)&gt;0,_DB_Exercises!#REF!,"")</f>
        <v>#REF!</v>
      </c>
      <c r="AQ144" s="31" t="e">
        <f>IF(LEN(_DB_Exercises!#REF!)&gt;0,_DB_Exercises!#REF!,"")</f>
        <v>#REF!</v>
      </c>
      <c r="AR144" s="31" t="e">
        <f>IF(LEN(_DB_Exercises!#REF!)&gt;0,_DB_Exercises!#REF!,"")</f>
        <v>#REF!</v>
      </c>
    </row>
    <row r="145" spans="1:44" x14ac:dyDescent="0.25">
      <c r="A145" s="11" t="e">
        <f>IF(LEN(_DB_Exercises!#REF!)&gt;0,_DB_Exercises!#REF!,"")</f>
        <v>#REF!</v>
      </c>
      <c r="B145" s="14" t="e">
        <f>IF(LEN(_DB_Exercises!#REF!)&gt;0,_DB_Exercises!#REF!,"")</f>
        <v>#REF!</v>
      </c>
      <c r="C145" s="31" t="e">
        <f>IF(LEN(_DB_Exercises!#REF!)&gt;0,_DB_Exercises!#REF!,"")</f>
        <v>#REF!</v>
      </c>
      <c r="D145" s="31" t="e">
        <f>IF(LEN(_DB_Exercises!#REF!)&gt;0,_DB_Exercises!#REF!,"")</f>
        <v>#REF!</v>
      </c>
      <c r="E145" s="31" t="e">
        <f>IF(LEN(_DB_Exercises!#REF!)&gt;0,_DB_Exercises!#REF!,"")</f>
        <v>#REF!</v>
      </c>
      <c r="F145" s="31" t="e">
        <f>IF(LEN(_DB_Exercises!#REF!)&gt;0,_DB_Exercises!#REF!,"")</f>
        <v>#REF!</v>
      </c>
      <c r="G145" s="31" t="e">
        <f>IF(LEN(_DB_Exercises!#REF!)&gt;0,_DB_Exercises!#REF!,"")</f>
        <v>#REF!</v>
      </c>
      <c r="H145" s="31" t="e">
        <f>IF(LEN(_DB_Exercises!#REF!)&gt;0,_DB_Exercises!#REF!,"")</f>
        <v>#REF!</v>
      </c>
      <c r="I145" s="31" t="e">
        <f>IF(LEN(_DB_Exercises!#REF!)&gt;0,_DB_Exercises!#REF!,"")</f>
        <v>#REF!</v>
      </c>
      <c r="J145" s="31" t="e">
        <f>IF(LEN(_DB_Exercises!#REF!)&gt;0,_DB_Exercises!#REF!,"")</f>
        <v>#REF!</v>
      </c>
      <c r="K145" s="31" t="e">
        <f>IF(LEN(_DB_Exercises!#REF!)&gt;0,_DB_Exercises!#REF!,"")</f>
        <v>#REF!</v>
      </c>
      <c r="L145" s="31" t="e">
        <f>IF(LEN(_DB_Exercises!#REF!)&gt;0,_DB_Exercises!#REF!,"")</f>
        <v>#REF!</v>
      </c>
      <c r="M145" s="31" t="e">
        <f>IF(LEN(_DB_Exercises!#REF!)&gt;0,_DB_Exercises!#REF!,"")</f>
        <v>#REF!</v>
      </c>
      <c r="N145" s="31" t="e">
        <f>IF(LEN(_DB_Exercises!#REF!)&gt;0,_DB_Exercises!#REF!,"")</f>
        <v>#REF!</v>
      </c>
      <c r="O145" s="31" t="e">
        <f>IF(LEN(_DB_Exercises!#REF!)&gt;0,_DB_Exercises!#REF!,"")</f>
        <v>#REF!</v>
      </c>
      <c r="P145" s="31" t="e">
        <f>IF(LEN(_DB_Exercises!#REF!)&gt;0,_DB_Exercises!#REF!,"")</f>
        <v>#REF!</v>
      </c>
      <c r="Q145" s="31" t="e">
        <f>IF(LEN(_DB_Exercises!#REF!)&gt;0,_DB_Exercises!#REF!,"")</f>
        <v>#REF!</v>
      </c>
      <c r="R145" s="31" t="e">
        <f>IF(LEN(_DB_Exercises!#REF!)&gt;0,_DB_Exercises!#REF!,"")</f>
        <v>#REF!</v>
      </c>
      <c r="S145" s="31" t="e">
        <f>IF(LEN(_DB_Exercises!#REF!)&gt;0,_DB_Exercises!#REF!,"")</f>
        <v>#REF!</v>
      </c>
      <c r="T145" s="31" t="e">
        <f>IF(LEN(_DB_Exercises!#REF!)&gt;0,_DB_Exercises!#REF!,"")</f>
        <v>#REF!</v>
      </c>
      <c r="U145" s="31" t="e">
        <f>IF(LEN(_DB_Exercises!#REF!)&gt;0,_DB_Exercises!#REF!,"")</f>
        <v>#REF!</v>
      </c>
      <c r="V145" s="31" t="e">
        <f>IF(LEN(_DB_Exercises!#REF!)&gt;0,_DB_Exercises!#REF!,"")</f>
        <v>#REF!</v>
      </c>
      <c r="W145" s="31" t="e">
        <f>IF(LEN(_DB_Exercises!#REF!)&gt;0,_DB_Exercises!#REF!,"")</f>
        <v>#REF!</v>
      </c>
      <c r="X145" s="31" t="e">
        <f>IF(LEN(_DB_Exercises!#REF!)&gt;0,_DB_Exercises!#REF!,"")</f>
        <v>#REF!</v>
      </c>
      <c r="Y145" s="31" t="e">
        <f>IF(LEN(_DB_Exercises!#REF!)&gt;0,_DB_Exercises!#REF!,"")</f>
        <v>#REF!</v>
      </c>
      <c r="Z145" s="31" t="e">
        <f>IF(LEN(_DB_Exercises!#REF!)&gt;0,_DB_Exercises!#REF!,"")</f>
        <v>#REF!</v>
      </c>
      <c r="AA145" s="31" t="e">
        <f>IF(LEN(_DB_Exercises!#REF!)&gt;0,_DB_Exercises!#REF!,"")</f>
        <v>#REF!</v>
      </c>
      <c r="AB145" s="31" t="e">
        <f>IF(LEN(_DB_Exercises!#REF!)&gt;0,_DB_Exercises!#REF!,"")</f>
        <v>#REF!</v>
      </c>
      <c r="AC145" s="31" t="e">
        <f>IF(LEN(_DB_Exercises!#REF!)&gt;0,_DB_Exercises!#REF!,"")</f>
        <v>#REF!</v>
      </c>
      <c r="AD145" s="31" t="e">
        <f>IF(LEN(_DB_Exercises!#REF!)&gt;0,_DB_Exercises!#REF!,"")</f>
        <v>#REF!</v>
      </c>
      <c r="AE145" s="31" t="e">
        <f>IF(LEN(_DB_Exercises!#REF!)&gt;0,_DB_Exercises!#REF!,"")</f>
        <v>#REF!</v>
      </c>
      <c r="AF145" s="31" t="e">
        <f>IF(LEN(_DB_Exercises!#REF!)&gt;0,_DB_Exercises!#REF!,"")</f>
        <v>#REF!</v>
      </c>
      <c r="AG145" s="31" t="e">
        <f>IF(LEN(_DB_Exercises!#REF!)&gt;0,_DB_Exercises!#REF!,"")</f>
        <v>#REF!</v>
      </c>
      <c r="AH145" s="31" t="e">
        <f>IF(LEN(_DB_Exercises!#REF!)&gt;0,_DB_Exercises!#REF!,"")</f>
        <v>#REF!</v>
      </c>
      <c r="AI145" s="31" t="e">
        <f>IF(LEN(_DB_Exercises!#REF!)&gt;0,_DB_Exercises!#REF!,"")</f>
        <v>#REF!</v>
      </c>
      <c r="AJ145" s="31" t="e">
        <f>IF(LEN(_DB_Exercises!#REF!)&gt;0,_DB_Exercises!#REF!,"")</f>
        <v>#REF!</v>
      </c>
      <c r="AK145" s="31" t="e">
        <f>IF(LEN(_DB_Exercises!#REF!)&gt;0,_DB_Exercises!#REF!,"")</f>
        <v>#REF!</v>
      </c>
      <c r="AL145" s="31" t="e">
        <f>IF(LEN(_DB_Exercises!#REF!)&gt;0,_DB_Exercises!#REF!,"")</f>
        <v>#REF!</v>
      </c>
      <c r="AM145" s="31" t="e">
        <f>IF(LEN(_DB_Exercises!#REF!)&gt;0,_DB_Exercises!#REF!,"")</f>
        <v>#REF!</v>
      </c>
      <c r="AN145" s="31" t="e">
        <f>IF(LEN(_DB_Exercises!#REF!)&gt;0,_DB_Exercises!#REF!,"")</f>
        <v>#REF!</v>
      </c>
      <c r="AO145" s="31" t="e">
        <f>IF(LEN(_DB_Exercises!#REF!)&gt;0,_DB_Exercises!#REF!,"")</f>
        <v>#REF!</v>
      </c>
      <c r="AP145" s="31" t="e">
        <f>IF(LEN(_DB_Exercises!#REF!)&gt;0,_DB_Exercises!#REF!,"")</f>
        <v>#REF!</v>
      </c>
      <c r="AQ145" s="31" t="e">
        <f>IF(LEN(_DB_Exercises!#REF!)&gt;0,_DB_Exercises!#REF!,"")</f>
        <v>#REF!</v>
      </c>
      <c r="AR145" s="31" t="e">
        <f>IF(LEN(_DB_Exercises!#REF!)&gt;0,_DB_Exercises!#REF!,"")</f>
        <v>#REF!</v>
      </c>
    </row>
    <row r="146" spans="1:44" x14ac:dyDescent="0.25">
      <c r="A146" s="11" t="e">
        <f>IF(LEN(_DB_Exercises!#REF!)&gt;0,_DB_Exercises!#REF!,"")</f>
        <v>#REF!</v>
      </c>
      <c r="B146" s="14" t="e">
        <f>IF(LEN(_DB_Exercises!#REF!)&gt;0,_DB_Exercises!#REF!,"")</f>
        <v>#REF!</v>
      </c>
      <c r="C146" s="31" t="e">
        <f>IF(LEN(_DB_Exercises!#REF!)&gt;0,_DB_Exercises!#REF!,"")</f>
        <v>#REF!</v>
      </c>
      <c r="D146" s="31" t="e">
        <f>IF(LEN(_DB_Exercises!#REF!)&gt;0,_DB_Exercises!#REF!,"")</f>
        <v>#REF!</v>
      </c>
      <c r="E146" s="31" t="e">
        <f>IF(LEN(_DB_Exercises!#REF!)&gt;0,_DB_Exercises!#REF!,"")</f>
        <v>#REF!</v>
      </c>
      <c r="F146" s="31" t="e">
        <f>IF(LEN(_DB_Exercises!#REF!)&gt;0,_DB_Exercises!#REF!,"")</f>
        <v>#REF!</v>
      </c>
      <c r="G146" s="31" t="e">
        <f>IF(LEN(_DB_Exercises!#REF!)&gt;0,_DB_Exercises!#REF!,"")</f>
        <v>#REF!</v>
      </c>
      <c r="H146" s="31" t="e">
        <f>IF(LEN(_DB_Exercises!#REF!)&gt;0,_DB_Exercises!#REF!,"")</f>
        <v>#REF!</v>
      </c>
      <c r="I146" s="31" t="e">
        <f>IF(LEN(_DB_Exercises!#REF!)&gt;0,_DB_Exercises!#REF!,"")</f>
        <v>#REF!</v>
      </c>
      <c r="J146" s="31" t="e">
        <f>IF(LEN(_DB_Exercises!#REF!)&gt;0,_DB_Exercises!#REF!,"")</f>
        <v>#REF!</v>
      </c>
      <c r="K146" s="31" t="e">
        <f>IF(LEN(_DB_Exercises!#REF!)&gt;0,_DB_Exercises!#REF!,"")</f>
        <v>#REF!</v>
      </c>
      <c r="L146" s="31" t="e">
        <f>IF(LEN(_DB_Exercises!#REF!)&gt;0,_DB_Exercises!#REF!,"")</f>
        <v>#REF!</v>
      </c>
      <c r="M146" s="31" t="e">
        <f>IF(LEN(_DB_Exercises!#REF!)&gt;0,_DB_Exercises!#REF!,"")</f>
        <v>#REF!</v>
      </c>
      <c r="N146" s="31" t="e">
        <f>IF(LEN(_DB_Exercises!#REF!)&gt;0,_DB_Exercises!#REF!,"")</f>
        <v>#REF!</v>
      </c>
      <c r="O146" s="31" t="e">
        <f>IF(LEN(_DB_Exercises!#REF!)&gt;0,_DB_Exercises!#REF!,"")</f>
        <v>#REF!</v>
      </c>
      <c r="P146" s="31" t="e">
        <f>IF(LEN(_DB_Exercises!#REF!)&gt;0,_DB_Exercises!#REF!,"")</f>
        <v>#REF!</v>
      </c>
      <c r="Q146" s="31" t="e">
        <f>IF(LEN(_DB_Exercises!#REF!)&gt;0,_DB_Exercises!#REF!,"")</f>
        <v>#REF!</v>
      </c>
      <c r="R146" s="31" t="e">
        <f>IF(LEN(_DB_Exercises!#REF!)&gt;0,_DB_Exercises!#REF!,"")</f>
        <v>#REF!</v>
      </c>
      <c r="S146" s="31" t="e">
        <f>IF(LEN(_DB_Exercises!#REF!)&gt;0,_DB_Exercises!#REF!,"")</f>
        <v>#REF!</v>
      </c>
      <c r="T146" s="31" t="e">
        <f>IF(LEN(_DB_Exercises!#REF!)&gt;0,_DB_Exercises!#REF!,"")</f>
        <v>#REF!</v>
      </c>
      <c r="U146" s="31" t="e">
        <f>IF(LEN(_DB_Exercises!#REF!)&gt;0,_DB_Exercises!#REF!,"")</f>
        <v>#REF!</v>
      </c>
      <c r="V146" s="31" t="e">
        <f>IF(LEN(_DB_Exercises!#REF!)&gt;0,_DB_Exercises!#REF!,"")</f>
        <v>#REF!</v>
      </c>
      <c r="W146" s="31" t="e">
        <f>IF(LEN(_DB_Exercises!#REF!)&gt;0,_DB_Exercises!#REF!,"")</f>
        <v>#REF!</v>
      </c>
      <c r="X146" s="31" t="e">
        <f>IF(LEN(_DB_Exercises!#REF!)&gt;0,_DB_Exercises!#REF!,"")</f>
        <v>#REF!</v>
      </c>
      <c r="Y146" s="31" t="e">
        <f>IF(LEN(_DB_Exercises!#REF!)&gt;0,_DB_Exercises!#REF!,"")</f>
        <v>#REF!</v>
      </c>
      <c r="Z146" s="31" t="e">
        <f>IF(LEN(_DB_Exercises!#REF!)&gt;0,_DB_Exercises!#REF!,"")</f>
        <v>#REF!</v>
      </c>
      <c r="AA146" s="31" t="e">
        <f>IF(LEN(_DB_Exercises!#REF!)&gt;0,_DB_Exercises!#REF!,"")</f>
        <v>#REF!</v>
      </c>
      <c r="AB146" s="31" t="e">
        <f>IF(LEN(_DB_Exercises!#REF!)&gt;0,_DB_Exercises!#REF!,"")</f>
        <v>#REF!</v>
      </c>
      <c r="AC146" s="31" t="e">
        <f>IF(LEN(_DB_Exercises!#REF!)&gt;0,_DB_Exercises!#REF!,"")</f>
        <v>#REF!</v>
      </c>
      <c r="AD146" s="31" t="e">
        <f>IF(LEN(_DB_Exercises!#REF!)&gt;0,_DB_Exercises!#REF!,"")</f>
        <v>#REF!</v>
      </c>
      <c r="AE146" s="31" t="e">
        <f>IF(LEN(_DB_Exercises!#REF!)&gt;0,_DB_Exercises!#REF!,"")</f>
        <v>#REF!</v>
      </c>
      <c r="AF146" s="31" t="e">
        <f>IF(LEN(_DB_Exercises!#REF!)&gt;0,_DB_Exercises!#REF!,"")</f>
        <v>#REF!</v>
      </c>
      <c r="AG146" s="31" t="e">
        <f>IF(LEN(_DB_Exercises!#REF!)&gt;0,_DB_Exercises!#REF!,"")</f>
        <v>#REF!</v>
      </c>
      <c r="AH146" s="31" t="e">
        <f>IF(LEN(_DB_Exercises!#REF!)&gt;0,_DB_Exercises!#REF!,"")</f>
        <v>#REF!</v>
      </c>
      <c r="AI146" s="31" t="e">
        <f>IF(LEN(_DB_Exercises!#REF!)&gt;0,_DB_Exercises!#REF!,"")</f>
        <v>#REF!</v>
      </c>
      <c r="AJ146" s="31" t="e">
        <f>IF(LEN(_DB_Exercises!#REF!)&gt;0,_DB_Exercises!#REF!,"")</f>
        <v>#REF!</v>
      </c>
      <c r="AK146" s="31" t="e">
        <f>IF(LEN(_DB_Exercises!#REF!)&gt;0,_DB_Exercises!#REF!,"")</f>
        <v>#REF!</v>
      </c>
      <c r="AL146" s="31" t="e">
        <f>IF(LEN(_DB_Exercises!#REF!)&gt;0,_DB_Exercises!#REF!,"")</f>
        <v>#REF!</v>
      </c>
      <c r="AM146" s="31" t="e">
        <f>IF(LEN(_DB_Exercises!#REF!)&gt;0,_DB_Exercises!#REF!,"")</f>
        <v>#REF!</v>
      </c>
      <c r="AN146" s="31" t="e">
        <f>IF(LEN(_DB_Exercises!#REF!)&gt;0,_DB_Exercises!#REF!,"")</f>
        <v>#REF!</v>
      </c>
      <c r="AO146" s="31" t="e">
        <f>IF(LEN(_DB_Exercises!#REF!)&gt;0,_DB_Exercises!#REF!,"")</f>
        <v>#REF!</v>
      </c>
      <c r="AP146" s="31" t="e">
        <f>IF(LEN(_DB_Exercises!#REF!)&gt;0,_DB_Exercises!#REF!,"")</f>
        <v>#REF!</v>
      </c>
      <c r="AQ146" s="31" t="e">
        <f>IF(LEN(_DB_Exercises!#REF!)&gt;0,_DB_Exercises!#REF!,"")</f>
        <v>#REF!</v>
      </c>
      <c r="AR146" s="31" t="e">
        <f>IF(LEN(_DB_Exercises!#REF!)&gt;0,_DB_Exercises!#REF!,"")</f>
        <v>#REF!</v>
      </c>
    </row>
    <row r="147" spans="1:44" x14ac:dyDescent="0.25">
      <c r="A147" s="11" t="e">
        <f>IF(LEN(_DB_Exercises!#REF!)&gt;0,_DB_Exercises!#REF!,"")</f>
        <v>#REF!</v>
      </c>
      <c r="B147" s="14" t="e">
        <f>IF(LEN(_DB_Exercises!#REF!)&gt;0,_DB_Exercises!#REF!,"")</f>
        <v>#REF!</v>
      </c>
      <c r="C147" s="31" t="e">
        <f>IF(LEN(_DB_Exercises!#REF!)&gt;0,_DB_Exercises!#REF!,"")</f>
        <v>#REF!</v>
      </c>
      <c r="D147" s="31" t="e">
        <f>IF(LEN(_DB_Exercises!#REF!)&gt;0,_DB_Exercises!#REF!,"")</f>
        <v>#REF!</v>
      </c>
      <c r="E147" s="31" t="e">
        <f>IF(LEN(_DB_Exercises!#REF!)&gt;0,_DB_Exercises!#REF!,"")</f>
        <v>#REF!</v>
      </c>
      <c r="F147" s="31" t="e">
        <f>IF(LEN(_DB_Exercises!#REF!)&gt;0,_DB_Exercises!#REF!,"")</f>
        <v>#REF!</v>
      </c>
      <c r="G147" s="31" t="e">
        <f>IF(LEN(_DB_Exercises!#REF!)&gt;0,_DB_Exercises!#REF!,"")</f>
        <v>#REF!</v>
      </c>
      <c r="H147" s="31" t="e">
        <f>IF(LEN(_DB_Exercises!#REF!)&gt;0,_DB_Exercises!#REF!,"")</f>
        <v>#REF!</v>
      </c>
      <c r="I147" s="31" t="e">
        <f>IF(LEN(_DB_Exercises!#REF!)&gt;0,_DB_Exercises!#REF!,"")</f>
        <v>#REF!</v>
      </c>
      <c r="J147" s="31" t="e">
        <f>IF(LEN(_DB_Exercises!#REF!)&gt;0,_DB_Exercises!#REF!,"")</f>
        <v>#REF!</v>
      </c>
      <c r="K147" s="31" t="e">
        <f>IF(LEN(_DB_Exercises!#REF!)&gt;0,_DB_Exercises!#REF!,"")</f>
        <v>#REF!</v>
      </c>
      <c r="L147" s="31" t="e">
        <f>IF(LEN(_DB_Exercises!#REF!)&gt;0,_DB_Exercises!#REF!,"")</f>
        <v>#REF!</v>
      </c>
      <c r="M147" s="31" t="e">
        <f>IF(LEN(_DB_Exercises!#REF!)&gt;0,_DB_Exercises!#REF!,"")</f>
        <v>#REF!</v>
      </c>
      <c r="N147" s="31" t="e">
        <f>IF(LEN(_DB_Exercises!#REF!)&gt;0,_DB_Exercises!#REF!,"")</f>
        <v>#REF!</v>
      </c>
      <c r="O147" s="31" t="e">
        <f>IF(LEN(_DB_Exercises!#REF!)&gt;0,_DB_Exercises!#REF!,"")</f>
        <v>#REF!</v>
      </c>
      <c r="P147" s="31" t="e">
        <f>IF(LEN(_DB_Exercises!#REF!)&gt;0,_DB_Exercises!#REF!,"")</f>
        <v>#REF!</v>
      </c>
      <c r="Q147" s="31" t="e">
        <f>IF(LEN(_DB_Exercises!#REF!)&gt;0,_DB_Exercises!#REF!,"")</f>
        <v>#REF!</v>
      </c>
      <c r="R147" s="31" t="e">
        <f>IF(LEN(_DB_Exercises!#REF!)&gt;0,_DB_Exercises!#REF!,"")</f>
        <v>#REF!</v>
      </c>
      <c r="S147" s="31" t="e">
        <f>IF(LEN(_DB_Exercises!#REF!)&gt;0,_DB_Exercises!#REF!,"")</f>
        <v>#REF!</v>
      </c>
      <c r="T147" s="31" t="e">
        <f>IF(LEN(_DB_Exercises!#REF!)&gt;0,_DB_Exercises!#REF!,"")</f>
        <v>#REF!</v>
      </c>
      <c r="U147" s="31" t="e">
        <f>IF(LEN(_DB_Exercises!#REF!)&gt;0,_DB_Exercises!#REF!,"")</f>
        <v>#REF!</v>
      </c>
      <c r="V147" s="31" t="e">
        <f>IF(LEN(_DB_Exercises!#REF!)&gt;0,_DB_Exercises!#REF!,"")</f>
        <v>#REF!</v>
      </c>
      <c r="W147" s="31" t="e">
        <f>IF(LEN(_DB_Exercises!#REF!)&gt;0,_DB_Exercises!#REF!,"")</f>
        <v>#REF!</v>
      </c>
      <c r="X147" s="31" t="e">
        <f>IF(LEN(_DB_Exercises!#REF!)&gt;0,_DB_Exercises!#REF!,"")</f>
        <v>#REF!</v>
      </c>
      <c r="Y147" s="31" t="e">
        <f>IF(LEN(_DB_Exercises!#REF!)&gt;0,_DB_Exercises!#REF!,"")</f>
        <v>#REF!</v>
      </c>
      <c r="Z147" s="31" t="e">
        <f>IF(LEN(_DB_Exercises!#REF!)&gt;0,_DB_Exercises!#REF!,"")</f>
        <v>#REF!</v>
      </c>
      <c r="AA147" s="31" t="e">
        <f>IF(LEN(_DB_Exercises!#REF!)&gt;0,_DB_Exercises!#REF!,"")</f>
        <v>#REF!</v>
      </c>
      <c r="AB147" s="31" t="e">
        <f>IF(LEN(_DB_Exercises!#REF!)&gt;0,_DB_Exercises!#REF!,"")</f>
        <v>#REF!</v>
      </c>
      <c r="AC147" s="31" t="e">
        <f>IF(LEN(_DB_Exercises!#REF!)&gt;0,_DB_Exercises!#REF!,"")</f>
        <v>#REF!</v>
      </c>
      <c r="AD147" s="31" t="e">
        <f>IF(LEN(_DB_Exercises!#REF!)&gt;0,_DB_Exercises!#REF!,"")</f>
        <v>#REF!</v>
      </c>
      <c r="AE147" s="31" t="e">
        <f>IF(LEN(_DB_Exercises!#REF!)&gt;0,_DB_Exercises!#REF!,"")</f>
        <v>#REF!</v>
      </c>
      <c r="AF147" s="31" t="e">
        <f>IF(LEN(_DB_Exercises!#REF!)&gt;0,_DB_Exercises!#REF!,"")</f>
        <v>#REF!</v>
      </c>
      <c r="AG147" s="31" t="e">
        <f>IF(LEN(_DB_Exercises!#REF!)&gt;0,_DB_Exercises!#REF!,"")</f>
        <v>#REF!</v>
      </c>
      <c r="AH147" s="31" t="e">
        <f>IF(LEN(_DB_Exercises!#REF!)&gt;0,_DB_Exercises!#REF!,"")</f>
        <v>#REF!</v>
      </c>
      <c r="AI147" s="31" t="e">
        <f>IF(LEN(_DB_Exercises!#REF!)&gt;0,_DB_Exercises!#REF!,"")</f>
        <v>#REF!</v>
      </c>
      <c r="AJ147" s="31" t="e">
        <f>IF(LEN(_DB_Exercises!#REF!)&gt;0,_DB_Exercises!#REF!,"")</f>
        <v>#REF!</v>
      </c>
      <c r="AK147" s="31" t="e">
        <f>IF(LEN(_DB_Exercises!#REF!)&gt;0,_DB_Exercises!#REF!,"")</f>
        <v>#REF!</v>
      </c>
      <c r="AL147" s="31" t="e">
        <f>IF(LEN(_DB_Exercises!#REF!)&gt;0,_DB_Exercises!#REF!,"")</f>
        <v>#REF!</v>
      </c>
      <c r="AM147" s="31" t="e">
        <f>IF(LEN(_DB_Exercises!#REF!)&gt;0,_DB_Exercises!#REF!,"")</f>
        <v>#REF!</v>
      </c>
      <c r="AN147" s="31" t="e">
        <f>IF(LEN(_DB_Exercises!#REF!)&gt;0,_DB_Exercises!#REF!,"")</f>
        <v>#REF!</v>
      </c>
      <c r="AO147" s="31" t="e">
        <f>IF(LEN(_DB_Exercises!#REF!)&gt;0,_DB_Exercises!#REF!,"")</f>
        <v>#REF!</v>
      </c>
      <c r="AP147" s="31" t="e">
        <f>IF(LEN(_DB_Exercises!#REF!)&gt;0,_DB_Exercises!#REF!,"")</f>
        <v>#REF!</v>
      </c>
      <c r="AQ147" s="31" t="e">
        <f>IF(LEN(_DB_Exercises!#REF!)&gt;0,_DB_Exercises!#REF!,"")</f>
        <v>#REF!</v>
      </c>
      <c r="AR147" s="31" t="e">
        <f>IF(LEN(_DB_Exercises!#REF!)&gt;0,_DB_Exercises!#REF!,"")</f>
        <v>#REF!</v>
      </c>
    </row>
    <row r="148" spans="1:44" x14ac:dyDescent="0.25">
      <c r="A148" s="11" t="e">
        <f>IF(LEN(_DB_Exercises!#REF!)&gt;0,_DB_Exercises!#REF!,"")</f>
        <v>#REF!</v>
      </c>
      <c r="B148" s="14" t="e">
        <f>IF(LEN(_DB_Exercises!#REF!)&gt;0,_DB_Exercises!#REF!,"")</f>
        <v>#REF!</v>
      </c>
      <c r="C148" s="31" t="e">
        <f>IF(LEN(_DB_Exercises!#REF!)&gt;0,_DB_Exercises!#REF!,"")</f>
        <v>#REF!</v>
      </c>
      <c r="D148" s="31" t="e">
        <f>IF(LEN(_DB_Exercises!#REF!)&gt;0,_DB_Exercises!#REF!,"")</f>
        <v>#REF!</v>
      </c>
      <c r="E148" s="31" t="e">
        <f>IF(LEN(_DB_Exercises!#REF!)&gt;0,_DB_Exercises!#REF!,"")</f>
        <v>#REF!</v>
      </c>
      <c r="F148" s="31" t="e">
        <f>IF(LEN(_DB_Exercises!#REF!)&gt;0,_DB_Exercises!#REF!,"")</f>
        <v>#REF!</v>
      </c>
      <c r="G148" s="31" t="e">
        <f>IF(LEN(_DB_Exercises!#REF!)&gt;0,_DB_Exercises!#REF!,"")</f>
        <v>#REF!</v>
      </c>
      <c r="H148" s="31" t="e">
        <f>IF(LEN(_DB_Exercises!#REF!)&gt;0,_DB_Exercises!#REF!,"")</f>
        <v>#REF!</v>
      </c>
      <c r="I148" s="31" t="e">
        <f>IF(LEN(_DB_Exercises!#REF!)&gt;0,_DB_Exercises!#REF!,"")</f>
        <v>#REF!</v>
      </c>
      <c r="J148" s="31" t="e">
        <f>IF(LEN(_DB_Exercises!#REF!)&gt;0,_DB_Exercises!#REF!,"")</f>
        <v>#REF!</v>
      </c>
      <c r="K148" s="31" t="e">
        <f>IF(LEN(_DB_Exercises!#REF!)&gt;0,_DB_Exercises!#REF!,"")</f>
        <v>#REF!</v>
      </c>
      <c r="L148" s="31" t="e">
        <f>IF(LEN(_DB_Exercises!#REF!)&gt;0,_DB_Exercises!#REF!,"")</f>
        <v>#REF!</v>
      </c>
      <c r="M148" s="31" t="e">
        <f>IF(LEN(_DB_Exercises!#REF!)&gt;0,_DB_Exercises!#REF!,"")</f>
        <v>#REF!</v>
      </c>
      <c r="N148" s="31" t="e">
        <f>IF(LEN(_DB_Exercises!#REF!)&gt;0,_DB_Exercises!#REF!,"")</f>
        <v>#REF!</v>
      </c>
      <c r="O148" s="31" t="e">
        <f>IF(LEN(_DB_Exercises!#REF!)&gt;0,_DB_Exercises!#REF!,"")</f>
        <v>#REF!</v>
      </c>
      <c r="P148" s="31" t="e">
        <f>IF(LEN(_DB_Exercises!#REF!)&gt;0,_DB_Exercises!#REF!,"")</f>
        <v>#REF!</v>
      </c>
      <c r="Q148" s="31" t="e">
        <f>IF(LEN(_DB_Exercises!#REF!)&gt;0,_DB_Exercises!#REF!,"")</f>
        <v>#REF!</v>
      </c>
      <c r="R148" s="31" t="e">
        <f>IF(LEN(_DB_Exercises!#REF!)&gt;0,_DB_Exercises!#REF!,"")</f>
        <v>#REF!</v>
      </c>
      <c r="S148" s="31" t="e">
        <f>IF(LEN(_DB_Exercises!#REF!)&gt;0,_DB_Exercises!#REF!,"")</f>
        <v>#REF!</v>
      </c>
      <c r="T148" s="31" t="e">
        <f>IF(LEN(_DB_Exercises!#REF!)&gt;0,_DB_Exercises!#REF!,"")</f>
        <v>#REF!</v>
      </c>
      <c r="U148" s="31" t="e">
        <f>IF(LEN(_DB_Exercises!#REF!)&gt;0,_DB_Exercises!#REF!,"")</f>
        <v>#REF!</v>
      </c>
      <c r="V148" s="31" t="e">
        <f>IF(LEN(_DB_Exercises!#REF!)&gt;0,_DB_Exercises!#REF!,"")</f>
        <v>#REF!</v>
      </c>
      <c r="W148" s="31" t="e">
        <f>IF(LEN(_DB_Exercises!#REF!)&gt;0,_DB_Exercises!#REF!,"")</f>
        <v>#REF!</v>
      </c>
      <c r="X148" s="31" t="e">
        <f>IF(LEN(_DB_Exercises!#REF!)&gt;0,_DB_Exercises!#REF!,"")</f>
        <v>#REF!</v>
      </c>
      <c r="Y148" s="31" t="e">
        <f>IF(LEN(_DB_Exercises!#REF!)&gt;0,_DB_Exercises!#REF!,"")</f>
        <v>#REF!</v>
      </c>
      <c r="Z148" s="31" t="e">
        <f>IF(LEN(_DB_Exercises!#REF!)&gt;0,_DB_Exercises!#REF!,"")</f>
        <v>#REF!</v>
      </c>
      <c r="AA148" s="31" t="e">
        <f>IF(LEN(_DB_Exercises!#REF!)&gt;0,_DB_Exercises!#REF!,"")</f>
        <v>#REF!</v>
      </c>
      <c r="AB148" s="31" t="e">
        <f>IF(LEN(_DB_Exercises!#REF!)&gt;0,_DB_Exercises!#REF!,"")</f>
        <v>#REF!</v>
      </c>
      <c r="AC148" s="31" t="e">
        <f>IF(LEN(_DB_Exercises!#REF!)&gt;0,_DB_Exercises!#REF!,"")</f>
        <v>#REF!</v>
      </c>
      <c r="AD148" s="31" t="e">
        <f>IF(LEN(_DB_Exercises!#REF!)&gt;0,_DB_Exercises!#REF!,"")</f>
        <v>#REF!</v>
      </c>
      <c r="AE148" s="31" t="e">
        <f>IF(LEN(_DB_Exercises!#REF!)&gt;0,_DB_Exercises!#REF!,"")</f>
        <v>#REF!</v>
      </c>
      <c r="AF148" s="31" t="e">
        <f>IF(LEN(_DB_Exercises!#REF!)&gt;0,_DB_Exercises!#REF!,"")</f>
        <v>#REF!</v>
      </c>
      <c r="AG148" s="31" t="e">
        <f>IF(LEN(_DB_Exercises!#REF!)&gt;0,_DB_Exercises!#REF!,"")</f>
        <v>#REF!</v>
      </c>
      <c r="AH148" s="31" t="e">
        <f>IF(LEN(_DB_Exercises!#REF!)&gt;0,_DB_Exercises!#REF!,"")</f>
        <v>#REF!</v>
      </c>
      <c r="AI148" s="31" t="e">
        <f>IF(LEN(_DB_Exercises!#REF!)&gt;0,_DB_Exercises!#REF!,"")</f>
        <v>#REF!</v>
      </c>
      <c r="AJ148" s="31" t="e">
        <f>IF(LEN(_DB_Exercises!#REF!)&gt;0,_DB_Exercises!#REF!,"")</f>
        <v>#REF!</v>
      </c>
      <c r="AK148" s="31" t="e">
        <f>IF(LEN(_DB_Exercises!#REF!)&gt;0,_DB_Exercises!#REF!,"")</f>
        <v>#REF!</v>
      </c>
      <c r="AL148" s="31" t="e">
        <f>IF(LEN(_DB_Exercises!#REF!)&gt;0,_DB_Exercises!#REF!,"")</f>
        <v>#REF!</v>
      </c>
      <c r="AM148" s="31" t="e">
        <f>IF(LEN(_DB_Exercises!#REF!)&gt;0,_DB_Exercises!#REF!,"")</f>
        <v>#REF!</v>
      </c>
      <c r="AN148" s="31" t="e">
        <f>IF(LEN(_DB_Exercises!#REF!)&gt;0,_DB_Exercises!#REF!,"")</f>
        <v>#REF!</v>
      </c>
      <c r="AO148" s="31" t="e">
        <f>IF(LEN(_DB_Exercises!#REF!)&gt;0,_DB_Exercises!#REF!,"")</f>
        <v>#REF!</v>
      </c>
      <c r="AP148" s="31" t="e">
        <f>IF(LEN(_DB_Exercises!#REF!)&gt;0,_DB_Exercises!#REF!,"")</f>
        <v>#REF!</v>
      </c>
      <c r="AQ148" s="31" t="e">
        <f>IF(LEN(_DB_Exercises!#REF!)&gt;0,_DB_Exercises!#REF!,"")</f>
        <v>#REF!</v>
      </c>
      <c r="AR148" s="31" t="e">
        <f>IF(LEN(_DB_Exercises!#REF!)&gt;0,_DB_Exercises!#REF!,"")</f>
        <v>#REF!</v>
      </c>
    </row>
    <row r="149" spans="1:44" x14ac:dyDescent="0.25">
      <c r="A149" s="11" t="e">
        <f>IF(LEN(_DB_Exercises!#REF!)&gt;0,_DB_Exercises!#REF!,"")</f>
        <v>#REF!</v>
      </c>
      <c r="B149" s="14" t="e">
        <f>IF(LEN(_DB_Exercises!#REF!)&gt;0,_DB_Exercises!#REF!,"")</f>
        <v>#REF!</v>
      </c>
      <c r="C149" s="31" t="e">
        <f>IF(LEN(_DB_Exercises!#REF!)&gt;0,_DB_Exercises!#REF!,"")</f>
        <v>#REF!</v>
      </c>
      <c r="D149" s="31" t="e">
        <f>IF(LEN(_DB_Exercises!#REF!)&gt;0,_DB_Exercises!#REF!,"")</f>
        <v>#REF!</v>
      </c>
      <c r="E149" s="31" t="e">
        <f>IF(LEN(_DB_Exercises!#REF!)&gt;0,_DB_Exercises!#REF!,"")</f>
        <v>#REF!</v>
      </c>
      <c r="F149" s="31" t="e">
        <f>IF(LEN(_DB_Exercises!#REF!)&gt;0,_DB_Exercises!#REF!,"")</f>
        <v>#REF!</v>
      </c>
      <c r="G149" s="31" t="e">
        <f>IF(LEN(_DB_Exercises!#REF!)&gt;0,_DB_Exercises!#REF!,"")</f>
        <v>#REF!</v>
      </c>
      <c r="H149" s="31" t="e">
        <f>IF(LEN(_DB_Exercises!#REF!)&gt;0,_DB_Exercises!#REF!,"")</f>
        <v>#REF!</v>
      </c>
      <c r="I149" s="31" t="e">
        <f>IF(LEN(_DB_Exercises!#REF!)&gt;0,_DB_Exercises!#REF!,"")</f>
        <v>#REF!</v>
      </c>
      <c r="J149" s="31" t="e">
        <f>IF(LEN(_DB_Exercises!#REF!)&gt;0,_DB_Exercises!#REF!,"")</f>
        <v>#REF!</v>
      </c>
      <c r="K149" s="31" t="e">
        <f>IF(LEN(_DB_Exercises!#REF!)&gt;0,_DB_Exercises!#REF!,"")</f>
        <v>#REF!</v>
      </c>
      <c r="L149" s="31" t="e">
        <f>IF(LEN(_DB_Exercises!#REF!)&gt;0,_DB_Exercises!#REF!,"")</f>
        <v>#REF!</v>
      </c>
      <c r="M149" s="31" t="e">
        <f>IF(LEN(_DB_Exercises!#REF!)&gt;0,_DB_Exercises!#REF!,"")</f>
        <v>#REF!</v>
      </c>
      <c r="N149" s="31" t="e">
        <f>IF(LEN(_DB_Exercises!#REF!)&gt;0,_DB_Exercises!#REF!,"")</f>
        <v>#REF!</v>
      </c>
      <c r="O149" s="31" t="e">
        <f>IF(LEN(_DB_Exercises!#REF!)&gt;0,_DB_Exercises!#REF!,"")</f>
        <v>#REF!</v>
      </c>
      <c r="P149" s="31" t="e">
        <f>IF(LEN(_DB_Exercises!#REF!)&gt;0,_DB_Exercises!#REF!,"")</f>
        <v>#REF!</v>
      </c>
      <c r="Q149" s="31" t="e">
        <f>IF(LEN(_DB_Exercises!#REF!)&gt;0,_DB_Exercises!#REF!,"")</f>
        <v>#REF!</v>
      </c>
      <c r="R149" s="31" t="e">
        <f>IF(LEN(_DB_Exercises!#REF!)&gt;0,_DB_Exercises!#REF!,"")</f>
        <v>#REF!</v>
      </c>
      <c r="S149" s="31" t="e">
        <f>IF(LEN(_DB_Exercises!#REF!)&gt;0,_DB_Exercises!#REF!,"")</f>
        <v>#REF!</v>
      </c>
      <c r="T149" s="31" t="e">
        <f>IF(LEN(_DB_Exercises!#REF!)&gt;0,_DB_Exercises!#REF!,"")</f>
        <v>#REF!</v>
      </c>
      <c r="U149" s="31" t="e">
        <f>IF(LEN(_DB_Exercises!#REF!)&gt;0,_DB_Exercises!#REF!,"")</f>
        <v>#REF!</v>
      </c>
      <c r="V149" s="31" t="e">
        <f>IF(LEN(_DB_Exercises!#REF!)&gt;0,_DB_Exercises!#REF!,"")</f>
        <v>#REF!</v>
      </c>
      <c r="W149" s="31" t="e">
        <f>IF(LEN(_DB_Exercises!#REF!)&gt;0,_DB_Exercises!#REF!,"")</f>
        <v>#REF!</v>
      </c>
      <c r="X149" s="31" t="e">
        <f>IF(LEN(_DB_Exercises!#REF!)&gt;0,_DB_Exercises!#REF!,"")</f>
        <v>#REF!</v>
      </c>
      <c r="Y149" s="31" t="e">
        <f>IF(LEN(_DB_Exercises!#REF!)&gt;0,_DB_Exercises!#REF!,"")</f>
        <v>#REF!</v>
      </c>
      <c r="Z149" s="31" t="e">
        <f>IF(LEN(_DB_Exercises!#REF!)&gt;0,_DB_Exercises!#REF!,"")</f>
        <v>#REF!</v>
      </c>
      <c r="AA149" s="31" t="e">
        <f>IF(LEN(_DB_Exercises!#REF!)&gt;0,_DB_Exercises!#REF!,"")</f>
        <v>#REF!</v>
      </c>
      <c r="AB149" s="31" t="e">
        <f>IF(LEN(_DB_Exercises!#REF!)&gt;0,_DB_Exercises!#REF!,"")</f>
        <v>#REF!</v>
      </c>
      <c r="AC149" s="31" t="e">
        <f>IF(LEN(_DB_Exercises!#REF!)&gt;0,_DB_Exercises!#REF!,"")</f>
        <v>#REF!</v>
      </c>
      <c r="AD149" s="31" t="e">
        <f>IF(LEN(_DB_Exercises!#REF!)&gt;0,_DB_Exercises!#REF!,"")</f>
        <v>#REF!</v>
      </c>
      <c r="AE149" s="31" t="e">
        <f>IF(LEN(_DB_Exercises!#REF!)&gt;0,_DB_Exercises!#REF!,"")</f>
        <v>#REF!</v>
      </c>
      <c r="AF149" s="31" t="e">
        <f>IF(LEN(_DB_Exercises!#REF!)&gt;0,_DB_Exercises!#REF!,"")</f>
        <v>#REF!</v>
      </c>
      <c r="AG149" s="31" t="e">
        <f>IF(LEN(_DB_Exercises!#REF!)&gt;0,_DB_Exercises!#REF!,"")</f>
        <v>#REF!</v>
      </c>
      <c r="AH149" s="31" t="e">
        <f>IF(LEN(_DB_Exercises!#REF!)&gt;0,_DB_Exercises!#REF!,"")</f>
        <v>#REF!</v>
      </c>
      <c r="AI149" s="31" t="e">
        <f>IF(LEN(_DB_Exercises!#REF!)&gt;0,_DB_Exercises!#REF!,"")</f>
        <v>#REF!</v>
      </c>
      <c r="AJ149" s="31" t="e">
        <f>IF(LEN(_DB_Exercises!#REF!)&gt;0,_DB_Exercises!#REF!,"")</f>
        <v>#REF!</v>
      </c>
      <c r="AK149" s="31" t="e">
        <f>IF(LEN(_DB_Exercises!#REF!)&gt;0,_DB_Exercises!#REF!,"")</f>
        <v>#REF!</v>
      </c>
      <c r="AL149" s="31" t="e">
        <f>IF(LEN(_DB_Exercises!#REF!)&gt;0,_DB_Exercises!#REF!,"")</f>
        <v>#REF!</v>
      </c>
      <c r="AM149" s="31" t="e">
        <f>IF(LEN(_DB_Exercises!#REF!)&gt;0,_DB_Exercises!#REF!,"")</f>
        <v>#REF!</v>
      </c>
      <c r="AN149" s="31" t="e">
        <f>IF(LEN(_DB_Exercises!#REF!)&gt;0,_DB_Exercises!#REF!,"")</f>
        <v>#REF!</v>
      </c>
      <c r="AO149" s="31" t="e">
        <f>IF(LEN(_DB_Exercises!#REF!)&gt;0,_DB_Exercises!#REF!,"")</f>
        <v>#REF!</v>
      </c>
      <c r="AP149" s="31" t="e">
        <f>IF(LEN(_DB_Exercises!#REF!)&gt;0,_DB_Exercises!#REF!,"")</f>
        <v>#REF!</v>
      </c>
      <c r="AQ149" s="31" t="e">
        <f>IF(LEN(_DB_Exercises!#REF!)&gt;0,_DB_Exercises!#REF!,"")</f>
        <v>#REF!</v>
      </c>
      <c r="AR149" s="31" t="e">
        <f>IF(LEN(_DB_Exercises!#REF!)&gt;0,_DB_Exercises!#REF!,"")</f>
        <v>#REF!</v>
      </c>
    </row>
    <row r="150" spans="1:44" x14ac:dyDescent="0.25">
      <c r="A150" s="11" t="e">
        <f>IF(LEN(_DB_Exercises!#REF!)&gt;0,_DB_Exercises!#REF!,"")</f>
        <v>#REF!</v>
      </c>
      <c r="B150" s="14" t="e">
        <f>IF(LEN(_DB_Exercises!#REF!)&gt;0,_DB_Exercises!#REF!,"")</f>
        <v>#REF!</v>
      </c>
      <c r="C150" s="31" t="e">
        <f>IF(LEN(_DB_Exercises!#REF!)&gt;0,_DB_Exercises!#REF!,"")</f>
        <v>#REF!</v>
      </c>
      <c r="D150" s="31" t="e">
        <f>IF(LEN(_DB_Exercises!#REF!)&gt;0,_DB_Exercises!#REF!,"")</f>
        <v>#REF!</v>
      </c>
      <c r="E150" s="31" t="e">
        <f>IF(LEN(_DB_Exercises!#REF!)&gt;0,_DB_Exercises!#REF!,"")</f>
        <v>#REF!</v>
      </c>
      <c r="F150" s="31" t="e">
        <f>IF(LEN(_DB_Exercises!#REF!)&gt;0,_DB_Exercises!#REF!,"")</f>
        <v>#REF!</v>
      </c>
      <c r="G150" s="31" t="e">
        <f>IF(LEN(_DB_Exercises!#REF!)&gt;0,_DB_Exercises!#REF!,"")</f>
        <v>#REF!</v>
      </c>
      <c r="H150" s="31" t="e">
        <f>IF(LEN(_DB_Exercises!#REF!)&gt;0,_DB_Exercises!#REF!,"")</f>
        <v>#REF!</v>
      </c>
      <c r="I150" s="31" t="e">
        <f>IF(LEN(_DB_Exercises!#REF!)&gt;0,_DB_Exercises!#REF!,"")</f>
        <v>#REF!</v>
      </c>
      <c r="J150" s="31" t="e">
        <f>IF(LEN(_DB_Exercises!#REF!)&gt;0,_DB_Exercises!#REF!,"")</f>
        <v>#REF!</v>
      </c>
      <c r="K150" s="31" t="e">
        <f>IF(LEN(_DB_Exercises!#REF!)&gt;0,_DB_Exercises!#REF!,"")</f>
        <v>#REF!</v>
      </c>
      <c r="L150" s="31" t="e">
        <f>IF(LEN(_DB_Exercises!#REF!)&gt;0,_DB_Exercises!#REF!,"")</f>
        <v>#REF!</v>
      </c>
      <c r="M150" s="31" t="e">
        <f>IF(LEN(_DB_Exercises!#REF!)&gt;0,_DB_Exercises!#REF!,"")</f>
        <v>#REF!</v>
      </c>
      <c r="N150" s="31" t="e">
        <f>IF(LEN(_DB_Exercises!#REF!)&gt;0,_DB_Exercises!#REF!,"")</f>
        <v>#REF!</v>
      </c>
      <c r="O150" s="31" t="e">
        <f>IF(LEN(_DB_Exercises!#REF!)&gt;0,_DB_Exercises!#REF!,"")</f>
        <v>#REF!</v>
      </c>
      <c r="P150" s="31" t="e">
        <f>IF(LEN(_DB_Exercises!#REF!)&gt;0,_DB_Exercises!#REF!,"")</f>
        <v>#REF!</v>
      </c>
      <c r="Q150" s="31" t="e">
        <f>IF(LEN(_DB_Exercises!#REF!)&gt;0,_DB_Exercises!#REF!,"")</f>
        <v>#REF!</v>
      </c>
      <c r="R150" s="31" t="e">
        <f>IF(LEN(_DB_Exercises!#REF!)&gt;0,_DB_Exercises!#REF!,"")</f>
        <v>#REF!</v>
      </c>
      <c r="S150" s="31" t="e">
        <f>IF(LEN(_DB_Exercises!#REF!)&gt;0,_DB_Exercises!#REF!,"")</f>
        <v>#REF!</v>
      </c>
      <c r="T150" s="31" t="e">
        <f>IF(LEN(_DB_Exercises!#REF!)&gt;0,_DB_Exercises!#REF!,"")</f>
        <v>#REF!</v>
      </c>
      <c r="U150" s="31" t="e">
        <f>IF(LEN(_DB_Exercises!#REF!)&gt;0,_DB_Exercises!#REF!,"")</f>
        <v>#REF!</v>
      </c>
      <c r="V150" s="31" t="e">
        <f>IF(LEN(_DB_Exercises!#REF!)&gt;0,_DB_Exercises!#REF!,"")</f>
        <v>#REF!</v>
      </c>
      <c r="W150" s="31" t="e">
        <f>IF(LEN(_DB_Exercises!#REF!)&gt;0,_DB_Exercises!#REF!,"")</f>
        <v>#REF!</v>
      </c>
      <c r="X150" s="31" t="e">
        <f>IF(LEN(_DB_Exercises!#REF!)&gt;0,_DB_Exercises!#REF!,"")</f>
        <v>#REF!</v>
      </c>
      <c r="Y150" s="31" t="e">
        <f>IF(LEN(_DB_Exercises!#REF!)&gt;0,_DB_Exercises!#REF!,"")</f>
        <v>#REF!</v>
      </c>
      <c r="Z150" s="31" t="e">
        <f>IF(LEN(_DB_Exercises!#REF!)&gt;0,_DB_Exercises!#REF!,"")</f>
        <v>#REF!</v>
      </c>
      <c r="AA150" s="31" t="e">
        <f>IF(LEN(_DB_Exercises!#REF!)&gt;0,_DB_Exercises!#REF!,"")</f>
        <v>#REF!</v>
      </c>
      <c r="AB150" s="31" t="e">
        <f>IF(LEN(_DB_Exercises!#REF!)&gt;0,_DB_Exercises!#REF!,"")</f>
        <v>#REF!</v>
      </c>
      <c r="AC150" s="31" t="e">
        <f>IF(LEN(_DB_Exercises!#REF!)&gt;0,_DB_Exercises!#REF!,"")</f>
        <v>#REF!</v>
      </c>
      <c r="AD150" s="31" t="e">
        <f>IF(LEN(_DB_Exercises!#REF!)&gt;0,_DB_Exercises!#REF!,"")</f>
        <v>#REF!</v>
      </c>
      <c r="AE150" s="31" t="e">
        <f>IF(LEN(_DB_Exercises!#REF!)&gt;0,_DB_Exercises!#REF!,"")</f>
        <v>#REF!</v>
      </c>
      <c r="AF150" s="31" t="e">
        <f>IF(LEN(_DB_Exercises!#REF!)&gt;0,_DB_Exercises!#REF!,"")</f>
        <v>#REF!</v>
      </c>
      <c r="AG150" s="31" t="e">
        <f>IF(LEN(_DB_Exercises!#REF!)&gt;0,_DB_Exercises!#REF!,"")</f>
        <v>#REF!</v>
      </c>
      <c r="AH150" s="31" t="e">
        <f>IF(LEN(_DB_Exercises!#REF!)&gt;0,_DB_Exercises!#REF!,"")</f>
        <v>#REF!</v>
      </c>
      <c r="AI150" s="31" t="e">
        <f>IF(LEN(_DB_Exercises!#REF!)&gt;0,_DB_Exercises!#REF!,"")</f>
        <v>#REF!</v>
      </c>
      <c r="AJ150" s="31" t="e">
        <f>IF(LEN(_DB_Exercises!#REF!)&gt;0,_DB_Exercises!#REF!,"")</f>
        <v>#REF!</v>
      </c>
      <c r="AK150" s="31" t="e">
        <f>IF(LEN(_DB_Exercises!#REF!)&gt;0,_DB_Exercises!#REF!,"")</f>
        <v>#REF!</v>
      </c>
      <c r="AL150" s="31" t="e">
        <f>IF(LEN(_DB_Exercises!#REF!)&gt;0,_DB_Exercises!#REF!,"")</f>
        <v>#REF!</v>
      </c>
      <c r="AM150" s="31" t="e">
        <f>IF(LEN(_DB_Exercises!#REF!)&gt;0,_DB_Exercises!#REF!,"")</f>
        <v>#REF!</v>
      </c>
      <c r="AN150" s="31" t="e">
        <f>IF(LEN(_DB_Exercises!#REF!)&gt;0,_DB_Exercises!#REF!,"")</f>
        <v>#REF!</v>
      </c>
      <c r="AO150" s="31" t="e">
        <f>IF(LEN(_DB_Exercises!#REF!)&gt;0,_DB_Exercises!#REF!,"")</f>
        <v>#REF!</v>
      </c>
      <c r="AP150" s="31" t="e">
        <f>IF(LEN(_DB_Exercises!#REF!)&gt;0,_DB_Exercises!#REF!,"")</f>
        <v>#REF!</v>
      </c>
      <c r="AQ150" s="31" t="e">
        <f>IF(LEN(_DB_Exercises!#REF!)&gt;0,_DB_Exercises!#REF!,"")</f>
        <v>#REF!</v>
      </c>
      <c r="AR150" s="31" t="e">
        <f>IF(LEN(_DB_Exercises!#REF!)&gt;0,_DB_Exercises!#REF!,"")</f>
        <v>#REF!</v>
      </c>
    </row>
    <row r="151" spans="1:44" x14ac:dyDescent="0.25">
      <c r="A151" s="11" t="e">
        <f>IF(LEN(_DB_Exercises!#REF!)&gt;0,_DB_Exercises!#REF!,"")</f>
        <v>#REF!</v>
      </c>
      <c r="B151" s="14" t="e">
        <f>IF(LEN(_DB_Exercises!#REF!)&gt;0,_DB_Exercises!#REF!,"")</f>
        <v>#REF!</v>
      </c>
      <c r="C151" s="31" t="e">
        <f>IF(LEN(_DB_Exercises!#REF!)&gt;0,_DB_Exercises!#REF!,"")</f>
        <v>#REF!</v>
      </c>
      <c r="D151" s="31" t="e">
        <f>IF(LEN(_DB_Exercises!#REF!)&gt;0,_DB_Exercises!#REF!,"")</f>
        <v>#REF!</v>
      </c>
      <c r="E151" s="31" t="e">
        <f>IF(LEN(_DB_Exercises!#REF!)&gt;0,_DB_Exercises!#REF!,"")</f>
        <v>#REF!</v>
      </c>
      <c r="F151" s="31" t="e">
        <f>IF(LEN(_DB_Exercises!#REF!)&gt;0,_DB_Exercises!#REF!,"")</f>
        <v>#REF!</v>
      </c>
      <c r="G151" s="31" t="e">
        <f>IF(LEN(_DB_Exercises!#REF!)&gt;0,_DB_Exercises!#REF!,"")</f>
        <v>#REF!</v>
      </c>
      <c r="H151" s="31" t="e">
        <f>IF(LEN(_DB_Exercises!#REF!)&gt;0,_DB_Exercises!#REF!,"")</f>
        <v>#REF!</v>
      </c>
      <c r="I151" s="31" t="e">
        <f>IF(LEN(_DB_Exercises!#REF!)&gt;0,_DB_Exercises!#REF!,"")</f>
        <v>#REF!</v>
      </c>
      <c r="J151" s="31" t="e">
        <f>IF(LEN(_DB_Exercises!#REF!)&gt;0,_DB_Exercises!#REF!,"")</f>
        <v>#REF!</v>
      </c>
      <c r="K151" s="31" t="e">
        <f>IF(LEN(_DB_Exercises!#REF!)&gt;0,_DB_Exercises!#REF!,"")</f>
        <v>#REF!</v>
      </c>
      <c r="L151" s="31" t="e">
        <f>IF(LEN(_DB_Exercises!#REF!)&gt;0,_DB_Exercises!#REF!,"")</f>
        <v>#REF!</v>
      </c>
      <c r="M151" s="31" t="e">
        <f>IF(LEN(_DB_Exercises!#REF!)&gt;0,_DB_Exercises!#REF!,"")</f>
        <v>#REF!</v>
      </c>
      <c r="N151" s="31" t="e">
        <f>IF(LEN(_DB_Exercises!#REF!)&gt;0,_DB_Exercises!#REF!,"")</f>
        <v>#REF!</v>
      </c>
      <c r="O151" s="31" t="e">
        <f>IF(LEN(_DB_Exercises!#REF!)&gt;0,_DB_Exercises!#REF!,"")</f>
        <v>#REF!</v>
      </c>
      <c r="P151" s="31" t="e">
        <f>IF(LEN(_DB_Exercises!#REF!)&gt;0,_DB_Exercises!#REF!,"")</f>
        <v>#REF!</v>
      </c>
      <c r="Q151" s="31" t="e">
        <f>IF(LEN(_DB_Exercises!#REF!)&gt;0,_DB_Exercises!#REF!,"")</f>
        <v>#REF!</v>
      </c>
      <c r="R151" s="31" t="e">
        <f>IF(LEN(_DB_Exercises!#REF!)&gt;0,_DB_Exercises!#REF!,"")</f>
        <v>#REF!</v>
      </c>
      <c r="S151" s="31" t="e">
        <f>IF(LEN(_DB_Exercises!#REF!)&gt;0,_DB_Exercises!#REF!,"")</f>
        <v>#REF!</v>
      </c>
      <c r="T151" s="31" t="e">
        <f>IF(LEN(_DB_Exercises!#REF!)&gt;0,_DB_Exercises!#REF!,"")</f>
        <v>#REF!</v>
      </c>
      <c r="U151" s="31" t="e">
        <f>IF(LEN(_DB_Exercises!#REF!)&gt;0,_DB_Exercises!#REF!,"")</f>
        <v>#REF!</v>
      </c>
      <c r="V151" s="31" t="e">
        <f>IF(LEN(_DB_Exercises!#REF!)&gt;0,_DB_Exercises!#REF!,"")</f>
        <v>#REF!</v>
      </c>
      <c r="W151" s="31" t="e">
        <f>IF(LEN(_DB_Exercises!#REF!)&gt;0,_DB_Exercises!#REF!,"")</f>
        <v>#REF!</v>
      </c>
      <c r="X151" s="31" t="e">
        <f>IF(LEN(_DB_Exercises!#REF!)&gt;0,_DB_Exercises!#REF!,"")</f>
        <v>#REF!</v>
      </c>
      <c r="Y151" s="31" t="e">
        <f>IF(LEN(_DB_Exercises!#REF!)&gt;0,_DB_Exercises!#REF!,"")</f>
        <v>#REF!</v>
      </c>
      <c r="Z151" s="31" t="e">
        <f>IF(LEN(_DB_Exercises!#REF!)&gt;0,_DB_Exercises!#REF!,"")</f>
        <v>#REF!</v>
      </c>
      <c r="AA151" s="31" t="e">
        <f>IF(LEN(_DB_Exercises!#REF!)&gt;0,_DB_Exercises!#REF!,"")</f>
        <v>#REF!</v>
      </c>
      <c r="AB151" s="31" t="e">
        <f>IF(LEN(_DB_Exercises!#REF!)&gt;0,_DB_Exercises!#REF!,"")</f>
        <v>#REF!</v>
      </c>
      <c r="AC151" s="31" t="e">
        <f>IF(LEN(_DB_Exercises!#REF!)&gt;0,_DB_Exercises!#REF!,"")</f>
        <v>#REF!</v>
      </c>
      <c r="AD151" s="31" t="e">
        <f>IF(LEN(_DB_Exercises!#REF!)&gt;0,_DB_Exercises!#REF!,"")</f>
        <v>#REF!</v>
      </c>
      <c r="AE151" s="31" t="e">
        <f>IF(LEN(_DB_Exercises!#REF!)&gt;0,_DB_Exercises!#REF!,"")</f>
        <v>#REF!</v>
      </c>
      <c r="AF151" s="31" t="e">
        <f>IF(LEN(_DB_Exercises!#REF!)&gt;0,_DB_Exercises!#REF!,"")</f>
        <v>#REF!</v>
      </c>
      <c r="AG151" s="31" t="e">
        <f>IF(LEN(_DB_Exercises!#REF!)&gt;0,_DB_Exercises!#REF!,"")</f>
        <v>#REF!</v>
      </c>
      <c r="AH151" s="31" t="e">
        <f>IF(LEN(_DB_Exercises!#REF!)&gt;0,_DB_Exercises!#REF!,"")</f>
        <v>#REF!</v>
      </c>
      <c r="AI151" s="31" t="e">
        <f>IF(LEN(_DB_Exercises!#REF!)&gt;0,_DB_Exercises!#REF!,"")</f>
        <v>#REF!</v>
      </c>
      <c r="AJ151" s="31" t="e">
        <f>IF(LEN(_DB_Exercises!#REF!)&gt;0,_DB_Exercises!#REF!,"")</f>
        <v>#REF!</v>
      </c>
      <c r="AK151" s="31" t="e">
        <f>IF(LEN(_DB_Exercises!#REF!)&gt;0,_DB_Exercises!#REF!,"")</f>
        <v>#REF!</v>
      </c>
      <c r="AL151" s="31" t="e">
        <f>IF(LEN(_DB_Exercises!#REF!)&gt;0,_DB_Exercises!#REF!,"")</f>
        <v>#REF!</v>
      </c>
      <c r="AM151" s="31" t="e">
        <f>IF(LEN(_DB_Exercises!#REF!)&gt;0,_DB_Exercises!#REF!,"")</f>
        <v>#REF!</v>
      </c>
      <c r="AN151" s="31" t="e">
        <f>IF(LEN(_DB_Exercises!#REF!)&gt;0,_DB_Exercises!#REF!,"")</f>
        <v>#REF!</v>
      </c>
      <c r="AO151" s="31" t="e">
        <f>IF(LEN(_DB_Exercises!#REF!)&gt;0,_DB_Exercises!#REF!,"")</f>
        <v>#REF!</v>
      </c>
      <c r="AP151" s="31" t="e">
        <f>IF(LEN(_DB_Exercises!#REF!)&gt;0,_DB_Exercises!#REF!,"")</f>
        <v>#REF!</v>
      </c>
      <c r="AQ151" s="31" t="e">
        <f>IF(LEN(_DB_Exercises!#REF!)&gt;0,_DB_Exercises!#REF!,"")</f>
        <v>#REF!</v>
      </c>
      <c r="AR151" s="31" t="e">
        <f>IF(LEN(_DB_Exercises!#REF!)&gt;0,_DB_Exercises!#REF!,"")</f>
        <v>#REF!</v>
      </c>
    </row>
    <row r="152" spans="1:44" x14ac:dyDescent="0.25">
      <c r="A152" s="11" t="e">
        <f>IF(LEN(_DB_Exercises!#REF!)&gt;0,_DB_Exercises!#REF!,"")</f>
        <v>#REF!</v>
      </c>
      <c r="B152" s="14" t="e">
        <f>IF(LEN(_DB_Exercises!#REF!)&gt;0,_DB_Exercises!#REF!,"")</f>
        <v>#REF!</v>
      </c>
      <c r="C152" s="31" t="e">
        <f>IF(LEN(_DB_Exercises!#REF!)&gt;0,_DB_Exercises!#REF!,"")</f>
        <v>#REF!</v>
      </c>
      <c r="D152" s="31" t="e">
        <f>IF(LEN(_DB_Exercises!#REF!)&gt;0,_DB_Exercises!#REF!,"")</f>
        <v>#REF!</v>
      </c>
      <c r="E152" s="31" t="e">
        <f>IF(LEN(_DB_Exercises!#REF!)&gt;0,_DB_Exercises!#REF!,"")</f>
        <v>#REF!</v>
      </c>
      <c r="F152" s="31" t="e">
        <f>IF(LEN(_DB_Exercises!#REF!)&gt;0,_DB_Exercises!#REF!,"")</f>
        <v>#REF!</v>
      </c>
      <c r="G152" s="31" t="e">
        <f>IF(LEN(_DB_Exercises!#REF!)&gt;0,_DB_Exercises!#REF!,"")</f>
        <v>#REF!</v>
      </c>
      <c r="H152" s="31" t="e">
        <f>IF(LEN(_DB_Exercises!#REF!)&gt;0,_DB_Exercises!#REF!,"")</f>
        <v>#REF!</v>
      </c>
      <c r="I152" s="31" t="e">
        <f>IF(LEN(_DB_Exercises!#REF!)&gt;0,_DB_Exercises!#REF!,"")</f>
        <v>#REF!</v>
      </c>
      <c r="J152" s="31" t="e">
        <f>IF(LEN(_DB_Exercises!#REF!)&gt;0,_DB_Exercises!#REF!,"")</f>
        <v>#REF!</v>
      </c>
      <c r="K152" s="31" t="e">
        <f>IF(LEN(_DB_Exercises!#REF!)&gt;0,_DB_Exercises!#REF!,"")</f>
        <v>#REF!</v>
      </c>
      <c r="L152" s="31" t="e">
        <f>IF(LEN(_DB_Exercises!#REF!)&gt;0,_DB_Exercises!#REF!,"")</f>
        <v>#REF!</v>
      </c>
      <c r="M152" s="31" t="e">
        <f>IF(LEN(_DB_Exercises!#REF!)&gt;0,_DB_Exercises!#REF!,"")</f>
        <v>#REF!</v>
      </c>
      <c r="N152" s="31" t="e">
        <f>IF(LEN(_DB_Exercises!#REF!)&gt;0,_DB_Exercises!#REF!,"")</f>
        <v>#REF!</v>
      </c>
      <c r="O152" s="31" t="e">
        <f>IF(LEN(_DB_Exercises!#REF!)&gt;0,_DB_Exercises!#REF!,"")</f>
        <v>#REF!</v>
      </c>
      <c r="P152" s="31" t="e">
        <f>IF(LEN(_DB_Exercises!#REF!)&gt;0,_DB_Exercises!#REF!,"")</f>
        <v>#REF!</v>
      </c>
      <c r="Q152" s="31" t="e">
        <f>IF(LEN(_DB_Exercises!#REF!)&gt;0,_DB_Exercises!#REF!,"")</f>
        <v>#REF!</v>
      </c>
      <c r="R152" s="31" t="e">
        <f>IF(LEN(_DB_Exercises!#REF!)&gt;0,_DB_Exercises!#REF!,"")</f>
        <v>#REF!</v>
      </c>
      <c r="S152" s="31" t="e">
        <f>IF(LEN(_DB_Exercises!#REF!)&gt;0,_DB_Exercises!#REF!,"")</f>
        <v>#REF!</v>
      </c>
      <c r="T152" s="31" t="e">
        <f>IF(LEN(_DB_Exercises!#REF!)&gt;0,_DB_Exercises!#REF!,"")</f>
        <v>#REF!</v>
      </c>
      <c r="U152" s="31" t="e">
        <f>IF(LEN(_DB_Exercises!#REF!)&gt;0,_DB_Exercises!#REF!,"")</f>
        <v>#REF!</v>
      </c>
      <c r="V152" s="31" t="e">
        <f>IF(LEN(_DB_Exercises!#REF!)&gt;0,_DB_Exercises!#REF!,"")</f>
        <v>#REF!</v>
      </c>
      <c r="W152" s="31" t="e">
        <f>IF(LEN(_DB_Exercises!#REF!)&gt;0,_DB_Exercises!#REF!,"")</f>
        <v>#REF!</v>
      </c>
      <c r="X152" s="31" t="e">
        <f>IF(LEN(_DB_Exercises!#REF!)&gt;0,_DB_Exercises!#REF!,"")</f>
        <v>#REF!</v>
      </c>
      <c r="Y152" s="31" t="e">
        <f>IF(LEN(_DB_Exercises!#REF!)&gt;0,_DB_Exercises!#REF!,"")</f>
        <v>#REF!</v>
      </c>
      <c r="Z152" s="31" t="e">
        <f>IF(LEN(_DB_Exercises!#REF!)&gt;0,_DB_Exercises!#REF!,"")</f>
        <v>#REF!</v>
      </c>
      <c r="AA152" s="31" t="e">
        <f>IF(LEN(_DB_Exercises!#REF!)&gt;0,_DB_Exercises!#REF!,"")</f>
        <v>#REF!</v>
      </c>
      <c r="AB152" s="31" t="e">
        <f>IF(LEN(_DB_Exercises!#REF!)&gt;0,_DB_Exercises!#REF!,"")</f>
        <v>#REF!</v>
      </c>
      <c r="AC152" s="31" t="e">
        <f>IF(LEN(_DB_Exercises!#REF!)&gt;0,_DB_Exercises!#REF!,"")</f>
        <v>#REF!</v>
      </c>
      <c r="AD152" s="31" t="e">
        <f>IF(LEN(_DB_Exercises!#REF!)&gt;0,_DB_Exercises!#REF!,"")</f>
        <v>#REF!</v>
      </c>
      <c r="AE152" s="31" t="e">
        <f>IF(LEN(_DB_Exercises!#REF!)&gt;0,_DB_Exercises!#REF!,"")</f>
        <v>#REF!</v>
      </c>
      <c r="AF152" s="31" t="e">
        <f>IF(LEN(_DB_Exercises!#REF!)&gt;0,_DB_Exercises!#REF!,"")</f>
        <v>#REF!</v>
      </c>
      <c r="AG152" s="31" t="e">
        <f>IF(LEN(_DB_Exercises!#REF!)&gt;0,_DB_Exercises!#REF!,"")</f>
        <v>#REF!</v>
      </c>
      <c r="AH152" s="31" t="e">
        <f>IF(LEN(_DB_Exercises!#REF!)&gt;0,_DB_Exercises!#REF!,"")</f>
        <v>#REF!</v>
      </c>
      <c r="AI152" s="31" t="e">
        <f>IF(LEN(_DB_Exercises!#REF!)&gt;0,_DB_Exercises!#REF!,"")</f>
        <v>#REF!</v>
      </c>
      <c r="AJ152" s="31" t="e">
        <f>IF(LEN(_DB_Exercises!#REF!)&gt;0,_DB_Exercises!#REF!,"")</f>
        <v>#REF!</v>
      </c>
      <c r="AK152" s="31" t="e">
        <f>IF(LEN(_DB_Exercises!#REF!)&gt;0,_DB_Exercises!#REF!,"")</f>
        <v>#REF!</v>
      </c>
      <c r="AL152" s="31" t="e">
        <f>IF(LEN(_DB_Exercises!#REF!)&gt;0,_DB_Exercises!#REF!,"")</f>
        <v>#REF!</v>
      </c>
      <c r="AM152" s="31" t="e">
        <f>IF(LEN(_DB_Exercises!#REF!)&gt;0,_DB_Exercises!#REF!,"")</f>
        <v>#REF!</v>
      </c>
      <c r="AN152" s="31" t="e">
        <f>IF(LEN(_DB_Exercises!#REF!)&gt;0,_DB_Exercises!#REF!,"")</f>
        <v>#REF!</v>
      </c>
      <c r="AO152" s="31" t="e">
        <f>IF(LEN(_DB_Exercises!#REF!)&gt;0,_DB_Exercises!#REF!,"")</f>
        <v>#REF!</v>
      </c>
      <c r="AP152" s="31" t="e">
        <f>IF(LEN(_DB_Exercises!#REF!)&gt;0,_DB_Exercises!#REF!,"")</f>
        <v>#REF!</v>
      </c>
      <c r="AQ152" s="31" t="e">
        <f>IF(LEN(_DB_Exercises!#REF!)&gt;0,_DB_Exercises!#REF!,"")</f>
        <v>#REF!</v>
      </c>
      <c r="AR152" s="31" t="e">
        <f>IF(LEN(_DB_Exercises!#REF!)&gt;0,_DB_Exercises!#REF!,"")</f>
        <v>#REF!</v>
      </c>
    </row>
    <row r="153" spans="1:44" x14ac:dyDescent="0.25">
      <c r="A153" s="11" t="e">
        <f>IF(LEN(_DB_Exercises!#REF!)&gt;0,_DB_Exercises!#REF!,"")</f>
        <v>#REF!</v>
      </c>
      <c r="B153" s="14" t="e">
        <f>IF(LEN(_DB_Exercises!#REF!)&gt;0,_DB_Exercises!#REF!,"")</f>
        <v>#REF!</v>
      </c>
      <c r="C153" s="31" t="e">
        <f>IF(LEN(_DB_Exercises!#REF!)&gt;0,_DB_Exercises!#REF!,"")</f>
        <v>#REF!</v>
      </c>
      <c r="D153" s="31" t="e">
        <f>IF(LEN(_DB_Exercises!#REF!)&gt;0,_DB_Exercises!#REF!,"")</f>
        <v>#REF!</v>
      </c>
      <c r="E153" s="31" t="e">
        <f>IF(LEN(_DB_Exercises!#REF!)&gt;0,_DB_Exercises!#REF!,"")</f>
        <v>#REF!</v>
      </c>
      <c r="F153" s="31" t="e">
        <f>IF(LEN(_DB_Exercises!#REF!)&gt;0,_DB_Exercises!#REF!,"")</f>
        <v>#REF!</v>
      </c>
      <c r="G153" s="31" t="e">
        <f>IF(LEN(_DB_Exercises!#REF!)&gt;0,_DB_Exercises!#REF!,"")</f>
        <v>#REF!</v>
      </c>
      <c r="H153" s="31" t="e">
        <f>IF(LEN(_DB_Exercises!#REF!)&gt;0,_DB_Exercises!#REF!,"")</f>
        <v>#REF!</v>
      </c>
      <c r="I153" s="31" t="e">
        <f>IF(LEN(_DB_Exercises!#REF!)&gt;0,_DB_Exercises!#REF!,"")</f>
        <v>#REF!</v>
      </c>
      <c r="J153" s="31" t="e">
        <f>IF(LEN(_DB_Exercises!#REF!)&gt;0,_DB_Exercises!#REF!,"")</f>
        <v>#REF!</v>
      </c>
      <c r="K153" s="31" t="e">
        <f>IF(LEN(_DB_Exercises!#REF!)&gt;0,_DB_Exercises!#REF!,"")</f>
        <v>#REF!</v>
      </c>
      <c r="L153" s="31" t="e">
        <f>IF(LEN(_DB_Exercises!#REF!)&gt;0,_DB_Exercises!#REF!,"")</f>
        <v>#REF!</v>
      </c>
      <c r="M153" s="31" t="e">
        <f>IF(LEN(_DB_Exercises!#REF!)&gt;0,_DB_Exercises!#REF!,"")</f>
        <v>#REF!</v>
      </c>
      <c r="N153" s="31" t="e">
        <f>IF(LEN(_DB_Exercises!#REF!)&gt;0,_DB_Exercises!#REF!,"")</f>
        <v>#REF!</v>
      </c>
      <c r="O153" s="31" t="e">
        <f>IF(LEN(_DB_Exercises!#REF!)&gt;0,_DB_Exercises!#REF!,"")</f>
        <v>#REF!</v>
      </c>
      <c r="P153" s="31" t="e">
        <f>IF(LEN(_DB_Exercises!#REF!)&gt;0,_DB_Exercises!#REF!,"")</f>
        <v>#REF!</v>
      </c>
      <c r="Q153" s="31" t="e">
        <f>IF(LEN(_DB_Exercises!#REF!)&gt;0,_DB_Exercises!#REF!,"")</f>
        <v>#REF!</v>
      </c>
      <c r="R153" s="31" t="e">
        <f>IF(LEN(_DB_Exercises!#REF!)&gt;0,_DB_Exercises!#REF!,"")</f>
        <v>#REF!</v>
      </c>
      <c r="S153" s="31" t="e">
        <f>IF(LEN(_DB_Exercises!#REF!)&gt;0,_DB_Exercises!#REF!,"")</f>
        <v>#REF!</v>
      </c>
      <c r="T153" s="31" t="e">
        <f>IF(LEN(_DB_Exercises!#REF!)&gt;0,_DB_Exercises!#REF!,"")</f>
        <v>#REF!</v>
      </c>
      <c r="U153" s="31" t="e">
        <f>IF(LEN(_DB_Exercises!#REF!)&gt;0,_DB_Exercises!#REF!,"")</f>
        <v>#REF!</v>
      </c>
      <c r="V153" s="31" t="e">
        <f>IF(LEN(_DB_Exercises!#REF!)&gt;0,_DB_Exercises!#REF!,"")</f>
        <v>#REF!</v>
      </c>
      <c r="W153" s="31" t="e">
        <f>IF(LEN(_DB_Exercises!#REF!)&gt;0,_DB_Exercises!#REF!,"")</f>
        <v>#REF!</v>
      </c>
      <c r="X153" s="31" t="e">
        <f>IF(LEN(_DB_Exercises!#REF!)&gt;0,_DB_Exercises!#REF!,"")</f>
        <v>#REF!</v>
      </c>
      <c r="Y153" s="31" t="e">
        <f>IF(LEN(_DB_Exercises!#REF!)&gt;0,_DB_Exercises!#REF!,"")</f>
        <v>#REF!</v>
      </c>
      <c r="Z153" s="31" t="e">
        <f>IF(LEN(_DB_Exercises!#REF!)&gt;0,_DB_Exercises!#REF!,"")</f>
        <v>#REF!</v>
      </c>
      <c r="AA153" s="31" t="e">
        <f>IF(LEN(_DB_Exercises!#REF!)&gt;0,_DB_Exercises!#REF!,"")</f>
        <v>#REF!</v>
      </c>
      <c r="AB153" s="31" t="e">
        <f>IF(LEN(_DB_Exercises!#REF!)&gt;0,_DB_Exercises!#REF!,"")</f>
        <v>#REF!</v>
      </c>
      <c r="AC153" s="31" t="e">
        <f>IF(LEN(_DB_Exercises!#REF!)&gt;0,_DB_Exercises!#REF!,"")</f>
        <v>#REF!</v>
      </c>
      <c r="AD153" s="31" t="e">
        <f>IF(LEN(_DB_Exercises!#REF!)&gt;0,_DB_Exercises!#REF!,"")</f>
        <v>#REF!</v>
      </c>
      <c r="AE153" s="31" t="e">
        <f>IF(LEN(_DB_Exercises!#REF!)&gt;0,_DB_Exercises!#REF!,"")</f>
        <v>#REF!</v>
      </c>
      <c r="AF153" s="31" t="e">
        <f>IF(LEN(_DB_Exercises!#REF!)&gt;0,_DB_Exercises!#REF!,"")</f>
        <v>#REF!</v>
      </c>
      <c r="AG153" s="31" t="e">
        <f>IF(LEN(_DB_Exercises!#REF!)&gt;0,_DB_Exercises!#REF!,"")</f>
        <v>#REF!</v>
      </c>
      <c r="AH153" s="31" t="e">
        <f>IF(LEN(_DB_Exercises!#REF!)&gt;0,_DB_Exercises!#REF!,"")</f>
        <v>#REF!</v>
      </c>
      <c r="AI153" s="31" t="e">
        <f>IF(LEN(_DB_Exercises!#REF!)&gt;0,_DB_Exercises!#REF!,"")</f>
        <v>#REF!</v>
      </c>
      <c r="AJ153" s="31" t="e">
        <f>IF(LEN(_DB_Exercises!#REF!)&gt;0,_DB_Exercises!#REF!,"")</f>
        <v>#REF!</v>
      </c>
      <c r="AK153" s="31" t="e">
        <f>IF(LEN(_DB_Exercises!#REF!)&gt;0,_DB_Exercises!#REF!,"")</f>
        <v>#REF!</v>
      </c>
      <c r="AL153" s="31" t="e">
        <f>IF(LEN(_DB_Exercises!#REF!)&gt;0,_DB_Exercises!#REF!,"")</f>
        <v>#REF!</v>
      </c>
      <c r="AM153" s="31" t="e">
        <f>IF(LEN(_DB_Exercises!#REF!)&gt;0,_DB_Exercises!#REF!,"")</f>
        <v>#REF!</v>
      </c>
      <c r="AN153" s="31" t="e">
        <f>IF(LEN(_DB_Exercises!#REF!)&gt;0,_DB_Exercises!#REF!,"")</f>
        <v>#REF!</v>
      </c>
      <c r="AO153" s="31" t="e">
        <f>IF(LEN(_DB_Exercises!#REF!)&gt;0,_DB_Exercises!#REF!,"")</f>
        <v>#REF!</v>
      </c>
      <c r="AP153" s="31" t="e">
        <f>IF(LEN(_DB_Exercises!#REF!)&gt;0,_DB_Exercises!#REF!,"")</f>
        <v>#REF!</v>
      </c>
      <c r="AQ153" s="31" t="e">
        <f>IF(LEN(_DB_Exercises!#REF!)&gt;0,_DB_Exercises!#REF!,"")</f>
        <v>#REF!</v>
      </c>
      <c r="AR153" s="31" t="e">
        <f>IF(LEN(_DB_Exercises!#REF!)&gt;0,_DB_Exercises!#REF!,"")</f>
        <v>#REF!</v>
      </c>
    </row>
    <row r="154" spans="1:44" x14ac:dyDescent="0.25">
      <c r="A154" s="11" t="e">
        <f>IF(LEN(_DB_Exercises!#REF!)&gt;0,_DB_Exercises!#REF!,"")</f>
        <v>#REF!</v>
      </c>
      <c r="B154" s="14" t="e">
        <f>IF(LEN(_DB_Exercises!#REF!)&gt;0,_DB_Exercises!#REF!,"")</f>
        <v>#REF!</v>
      </c>
      <c r="C154" s="31" t="e">
        <f>IF(LEN(_DB_Exercises!#REF!)&gt;0,_DB_Exercises!#REF!,"")</f>
        <v>#REF!</v>
      </c>
      <c r="D154" s="31" t="e">
        <f>IF(LEN(_DB_Exercises!#REF!)&gt;0,_DB_Exercises!#REF!,"")</f>
        <v>#REF!</v>
      </c>
      <c r="E154" s="31" t="e">
        <f>IF(LEN(_DB_Exercises!#REF!)&gt;0,_DB_Exercises!#REF!,"")</f>
        <v>#REF!</v>
      </c>
      <c r="F154" s="31" t="e">
        <f>IF(LEN(_DB_Exercises!#REF!)&gt;0,_DB_Exercises!#REF!,"")</f>
        <v>#REF!</v>
      </c>
      <c r="G154" s="31" t="e">
        <f>IF(LEN(_DB_Exercises!#REF!)&gt;0,_DB_Exercises!#REF!,"")</f>
        <v>#REF!</v>
      </c>
      <c r="H154" s="31" t="e">
        <f>IF(LEN(_DB_Exercises!#REF!)&gt;0,_DB_Exercises!#REF!,"")</f>
        <v>#REF!</v>
      </c>
      <c r="I154" s="31" t="e">
        <f>IF(LEN(_DB_Exercises!#REF!)&gt;0,_DB_Exercises!#REF!,"")</f>
        <v>#REF!</v>
      </c>
      <c r="J154" s="31" t="e">
        <f>IF(LEN(_DB_Exercises!#REF!)&gt;0,_DB_Exercises!#REF!,"")</f>
        <v>#REF!</v>
      </c>
      <c r="K154" s="31" t="e">
        <f>IF(LEN(_DB_Exercises!#REF!)&gt;0,_DB_Exercises!#REF!,"")</f>
        <v>#REF!</v>
      </c>
      <c r="L154" s="31" t="e">
        <f>IF(LEN(_DB_Exercises!#REF!)&gt;0,_DB_Exercises!#REF!,"")</f>
        <v>#REF!</v>
      </c>
      <c r="M154" s="31" t="e">
        <f>IF(LEN(_DB_Exercises!#REF!)&gt;0,_DB_Exercises!#REF!,"")</f>
        <v>#REF!</v>
      </c>
      <c r="N154" s="31" t="e">
        <f>IF(LEN(_DB_Exercises!#REF!)&gt;0,_DB_Exercises!#REF!,"")</f>
        <v>#REF!</v>
      </c>
      <c r="O154" s="31" t="e">
        <f>IF(LEN(_DB_Exercises!#REF!)&gt;0,_DB_Exercises!#REF!,"")</f>
        <v>#REF!</v>
      </c>
      <c r="P154" s="31" t="e">
        <f>IF(LEN(_DB_Exercises!#REF!)&gt;0,_DB_Exercises!#REF!,"")</f>
        <v>#REF!</v>
      </c>
      <c r="Q154" s="31" t="e">
        <f>IF(LEN(_DB_Exercises!#REF!)&gt;0,_DB_Exercises!#REF!,"")</f>
        <v>#REF!</v>
      </c>
      <c r="R154" s="31" t="e">
        <f>IF(LEN(_DB_Exercises!#REF!)&gt;0,_DB_Exercises!#REF!,"")</f>
        <v>#REF!</v>
      </c>
      <c r="S154" s="31" t="e">
        <f>IF(LEN(_DB_Exercises!#REF!)&gt;0,_DB_Exercises!#REF!,"")</f>
        <v>#REF!</v>
      </c>
      <c r="T154" s="31" t="e">
        <f>IF(LEN(_DB_Exercises!#REF!)&gt;0,_DB_Exercises!#REF!,"")</f>
        <v>#REF!</v>
      </c>
      <c r="U154" s="31" t="e">
        <f>IF(LEN(_DB_Exercises!#REF!)&gt;0,_DB_Exercises!#REF!,"")</f>
        <v>#REF!</v>
      </c>
      <c r="V154" s="31" t="e">
        <f>IF(LEN(_DB_Exercises!#REF!)&gt;0,_DB_Exercises!#REF!,"")</f>
        <v>#REF!</v>
      </c>
      <c r="W154" s="31" t="e">
        <f>IF(LEN(_DB_Exercises!#REF!)&gt;0,_DB_Exercises!#REF!,"")</f>
        <v>#REF!</v>
      </c>
      <c r="X154" s="31" t="e">
        <f>IF(LEN(_DB_Exercises!#REF!)&gt;0,_DB_Exercises!#REF!,"")</f>
        <v>#REF!</v>
      </c>
      <c r="Y154" s="31" t="e">
        <f>IF(LEN(_DB_Exercises!#REF!)&gt;0,_DB_Exercises!#REF!,"")</f>
        <v>#REF!</v>
      </c>
      <c r="Z154" s="31" t="e">
        <f>IF(LEN(_DB_Exercises!#REF!)&gt;0,_DB_Exercises!#REF!,"")</f>
        <v>#REF!</v>
      </c>
      <c r="AA154" s="31" t="e">
        <f>IF(LEN(_DB_Exercises!#REF!)&gt;0,_DB_Exercises!#REF!,"")</f>
        <v>#REF!</v>
      </c>
      <c r="AB154" s="31" t="e">
        <f>IF(LEN(_DB_Exercises!#REF!)&gt;0,_DB_Exercises!#REF!,"")</f>
        <v>#REF!</v>
      </c>
      <c r="AC154" s="31" t="e">
        <f>IF(LEN(_DB_Exercises!#REF!)&gt;0,_DB_Exercises!#REF!,"")</f>
        <v>#REF!</v>
      </c>
      <c r="AD154" s="31" t="e">
        <f>IF(LEN(_DB_Exercises!#REF!)&gt;0,_DB_Exercises!#REF!,"")</f>
        <v>#REF!</v>
      </c>
      <c r="AE154" s="31" t="e">
        <f>IF(LEN(_DB_Exercises!#REF!)&gt;0,_DB_Exercises!#REF!,"")</f>
        <v>#REF!</v>
      </c>
      <c r="AF154" s="31" t="e">
        <f>IF(LEN(_DB_Exercises!#REF!)&gt;0,_DB_Exercises!#REF!,"")</f>
        <v>#REF!</v>
      </c>
      <c r="AG154" s="31" t="e">
        <f>IF(LEN(_DB_Exercises!#REF!)&gt;0,_DB_Exercises!#REF!,"")</f>
        <v>#REF!</v>
      </c>
      <c r="AH154" s="31" t="e">
        <f>IF(LEN(_DB_Exercises!#REF!)&gt;0,_DB_Exercises!#REF!,"")</f>
        <v>#REF!</v>
      </c>
      <c r="AI154" s="31" t="e">
        <f>IF(LEN(_DB_Exercises!#REF!)&gt;0,_DB_Exercises!#REF!,"")</f>
        <v>#REF!</v>
      </c>
      <c r="AJ154" s="31" t="e">
        <f>IF(LEN(_DB_Exercises!#REF!)&gt;0,_DB_Exercises!#REF!,"")</f>
        <v>#REF!</v>
      </c>
      <c r="AK154" s="31" t="e">
        <f>IF(LEN(_DB_Exercises!#REF!)&gt;0,_DB_Exercises!#REF!,"")</f>
        <v>#REF!</v>
      </c>
      <c r="AL154" s="31" t="e">
        <f>IF(LEN(_DB_Exercises!#REF!)&gt;0,_DB_Exercises!#REF!,"")</f>
        <v>#REF!</v>
      </c>
      <c r="AM154" s="31" t="e">
        <f>IF(LEN(_DB_Exercises!#REF!)&gt;0,_DB_Exercises!#REF!,"")</f>
        <v>#REF!</v>
      </c>
      <c r="AN154" s="31" t="e">
        <f>IF(LEN(_DB_Exercises!#REF!)&gt;0,_DB_Exercises!#REF!,"")</f>
        <v>#REF!</v>
      </c>
      <c r="AO154" s="31" t="e">
        <f>IF(LEN(_DB_Exercises!#REF!)&gt;0,_DB_Exercises!#REF!,"")</f>
        <v>#REF!</v>
      </c>
      <c r="AP154" s="31" t="e">
        <f>IF(LEN(_DB_Exercises!#REF!)&gt;0,_DB_Exercises!#REF!,"")</f>
        <v>#REF!</v>
      </c>
      <c r="AQ154" s="31" t="e">
        <f>IF(LEN(_DB_Exercises!#REF!)&gt;0,_DB_Exercises!#REF!,"")</f>
        <v>#REF!</v>
      </c>
      <c r="AR154" s="31" t="e">
        <f>IF(LEN(_DB_Exercises!#REF!)&gt;0,_DB_Exercises!#REF!,"")</f>
        <v>#REF!</v>
      </c>
    </row>
    <row r="155" spans="1:44" x14ac:dyDescent="0.25">
      <c r="A155" s="11" t="e">
        <f>IF(LEN(_DB_Exercises!#REF!)&gt;0,_DB_Exercises!#REF!,"")</f>
        <v>#REF!</v>
      </c>
      <c r="B155" s="14" t="e">
        <f>IF(LEN(_DB_Exercises!#REF!)&gt;0,_DB_Exercises!#REF!,"")</f>
        <v>#REF!</v>
      </c>
      <c r="C155" s="31" t="e">
        <f>IF(LEN(_DB_Exercises!#REF!)&gt;0,_DB_Exercises!#REF!,"")</f>
        <v>#REF!</v>
      </c>
      <c r="D155" s="31" t="e">
        <f>IF(LEN(_DB_Exercises!#REF!)&gt;0,_DB_Exercises!#REF!,"")</f>
        <v>#REF!</v>
      </c>
      <c r="E155" s="31" t="e">
        <f>IF(LEN(_DB_Exercises!#REF!)&gt;0,_DB_Exercises!#REF!,"")</f>
        <v>#REF!</v>
      </c>
      <c r="F155" s="31" t="e">
        <f>IF(LEN(_DB_Exercises!#REF!)&gt;0,_DB_Exercises!#REF!,"")</f>
        <v>#REF!</v>
      </c>
      <c r="G155" s="31" t="e">
        <f>IF(LEN(_DB_Exercises!#REF!)&gt;0,_DB_Exercises!#REF!,"")</f>
        <v>#REF!</v>
      </c>
      <c r="H155" s="31" t="e">
        <f>IF(LEN(_DB_Exercises!#REF!)&gt;0,_DB_Exercises!#REF!,"")</f>
        <v>#REF!</v>
      </c>
      <c r="I155" s="31" t="e">
        <f>IF(LEN(_DB_Exercises!#REF!)&gt;0,_DB_Exercises!#REF!,"")</f>
        <v>#REF!</v>
      </c>
      <c r="J155" s="31" t="e">
        <f>IF(LEN(_DB_Exercises!#REF!)&gt;0,_DB_Exercises!#REF!,"")</f>
        <v>#REF!</v>
      </c>
      <c r="K155" s="31" t="e">
        <f>IF(LEN(_DB_Exercises!#REF!)&gt;0,_DB_Exercises!#REF!,"")</f>
        <v>#REF!</v>
      </c>
      <c r="L155" s="31" t="e">
        <f>IF(LEN(_DB_Exercises!#REF!)&gt;0,_DB_Exercises!#REF!,"")</f>
        <v>#REF!</v>
      </c>
      <c r="M155" s="31" t="e">
        <f>IF(LEN(_DB_Exercises!#REF!)&gt;0,_DB_Exercises!#REF!,"")</f>
        <v>#REF!</v>
      </c>
      <c r="N155" s="31" t="e">
        <f>IF(LEN(_DB_Exercises!#REF!)&gt;0,_DB_Exercises!#REF!,"")</f>
        <v>#REF!</v>
      </c>
      <c r="O155" s="31" t="e">
        <f>IF(LEN(_DB_Exercises!#REF!)&gt;0,_DB_Exercises!#REF!,"")</f>
        <v>#REF!</v>
      </c>
      <c r="P155" s="31" t="e">
        <f>IF(LEN(_DB_Exercises!#REF!)&gt;0,_DB_Exercises!#REF!,"")</f>
        <v>#REF!</v>
      </c>
      <c r="Q155" s="31" t="e">
        <f>IF(LEN(_DB_Exercises!#REF!)&gt;0,_DB_Exercises!#REF!,"")</f>
        <v>#REF!</v>
      </c>
      <c r="R155" s="31" t="e">
        <f>IF(LEN(_DB_Exercises!#REF!)&gt;0,_DB_Exercises!#REF!,"")</f>
        <v>#REF!</v>
      </c>
      <c r="S155" s="31" t="e">
        <f>IF(LEN(_DB_Exercises!#REF!)&gt;0,_DB_Exercises!#REF!,"")</f>
        <v>#REF!</v>
      </c>
      <c r="T155" s="31" t="e">
        <f>IF(LEN(_DB_Exercises!#REF!)&gt;0,_DB_Exercises!#REF!,"")</f>
        <v>#REF!</v>
      </c>
      <c r="U155" s="31" t="e">
        <f>IF(LEN(_DB_Exercises!#REF!)&gt;0,_DB_Exercises!#REF!,"")</f>
        <v>#REF!</v>
      </c>
      <c r="V155" s="31" t="e">
        <f>IF(LEN(_DB_Exercises!#REF!)&gt;0,_DB_Exercises!#REF!,"")</f>
        <v>#REF!</v>
      </c>
      <c r="W155" s="31" t="e">
        <f>IF(LEN(_DB_Exercises!#REF!)&gt;0,_DB_Exercises!#REF!,"")</f>
        <v>#REF!</v>
      </c>
      <c r="X155" s="31" t="e">
        <f>IF(LEN(_DB_Exercises!#REF!)&gt;0,_DB_Exercises!#REF!,"")</f>
        <v>#REF!</v>
      </c>
      <c r="Y155" s="31" t="e">
        <f>IF(LEN(_DB_Exercises!#REF!)&gt;0,_DB_Exercises!#REF!,"")</f>
        <v>#REF!</v>
      </c>
      <c r="Z155" s="31" t="e">
        <f>IF(LEN(_DB_Exercises!#REF!)&gt;0,_DB_Exercises!#REF!,"")</f>
        <v>#REF!</v>
      </c>
      <c r="AA155" s="31" t="e">
        <f>IF(LEN(_DB_Exercises!#REF!)&gt;0,_DB_Exercises!#REF!,"")</f>
        <v>#REF!</v>
      </c>
      <c r="AB155" s="31" t="e">
        <f>IF(LEN(_DB_Exercises!#REF!)&gt;0,_DB_Exercises!#REF!,"")</f>
        <v>#REF!</v>
      </c>
      <c r="AC155" s="31" t="e">
        <f>IF(LEN(_DB_Exercises!#REF!)&gt;0,_DB_Exercises!#REF!,"")</f>
        <v>#REF!</v>
      </c>
      <c r="AD155" s="31" t="e">
        <f>IF(LEN(_DB_Exercises!#REF!)&gt;0,_DB_Exercises!#REF!,"")</f>
        <v>#REF!</v>
      </c>
      <c r="AE155" s="31" t="e">
        <f>IF(LEN(_DB_Exercises!#REF!)&gt;0,_DB_Exercises!#REF!,"")</f>
        <v>#REF!</v>
      </c>
      <c r="AF155" s="31" t="e">
        <f>IF(LEN(_DB_Exercises!#REF!)&gt;0,_DB_Exercises!#REF!,"")</f>
        <v>#REF!</v>
      </c>
      <c r="AG155" s="31" t="e">
        <f>IF(LEN(_DB_Exercises!#REF!)&gt;0,_DB_Exercises!#REF!,"")</f>
        <v>#REF!</v>
      </c>
      <c r="AH155" s="31" t="e">
        <f>IF(LEN(_DB_Exercises!#REF!)&gt;0,_DB_Exercises!#REF!,"")</f>
        <v>#REF!</v>
      </c>
      <c r="AI155" s="31" t="e">
        <f>IF(LEN(_DB_Exercises!#REF!)&gt;0,_DB_Exercises!#REF!,"")</f>
        <v>#REF!</v>
      </c>
      <c r="AJ155" s="31" t="e">
        <f>IF(LEN(_DB_Exercises!#REF!)&gt;0,_DB_Exercises!#REF!,"")</f>
        <v>#REF!</v>
      </c>
      <c r="AK155" s="31" t="e">
        <f>IF(LEN(_DB_Exercises!#REF!)&gt;0,_DB_Exercises!#REF!,"")</f>
        <v>#REF!</v>
      </c>
      <c r="AL155" s="31" t="e">
        <f>IF(LEN(_DB_Exercises!#REF!)&gt;0,_DB_Exercises!#REF!,"")</f>
        <v>#REF!</v>
      </c>
      <c r="AM155" s="31" t="e">
        <f>IF(LEN(_DB_Exercises!#REF!)&gt;0,_DB_Exercises!#REF!,"")</f>
        <v>#REF!</v>
      </c>
      <c r="AN155" s="31" t="e">
        <f>IF(LEN(_DB_Exercises!#REF!)&gt;0,_DB_Exercises!#REF!,"")</f>
        <v>#REF!</v>
      </c>
      <c r="AO155" s="31" t="e">
        <f>IF(LEN(_DB_Exercises!#REF!)&gt;0,_DB_Exercises!#REF!,"")</f>
        <v>#REF!</v>
      </c>
      <c r="AP155" s="31" t="e">
        <f>IF(LEN(_DB_Exercises!#REF!)&gt;0,_DB_Exercises!#REF!,"")</f>
        <v>#REF!</v>
      </c>
      <c r="AQ155" s="31" t="e">
        <f>IF(LEN(_DB_Exercises!#REF!)&gt;0,_DB_Exercises!#REF!,"")</f>
        <v>#REF!</v>
      </c>
      <c r="AR155" s="31" t="e">
        <f>IF(LEN(_DB_Exercises!#REF!)&gt;0,_DB_Exercises!#REF!,"")</f>
        <v>#REF!</v>
      </c>
    </row>
    <row r="156" spans="1:44" x14ac:dyDescent="0.25">
      <c r="A156" s="11" t="e">
        <f>IF(LEN(_DB_Exercises!#REF!)&gt;0,_DB_Exercises!#REF!,"")</f>
        <v>#REF!</v>
      </c>
      <c r="B156" s="14" t="e">
        <f>IF(LEN(_DB_Exercises!#REF!)&gt;0,_DB_Exercises!#REF!,"")</f>
        <v>#REF!</v>
      </c>
      <c r="C156" s="31" t="e">
        <f>IF(LEN(_DB_Exercises!#REF!)&gt;0,_DB_Exercises!#REF!,"")</f>
        <v>#REF!</v>
      </c>
      <c r="D156" s="31" t="e">
        <f>IF(LEN(_DB_Exercises!#REF!)&gt;0,_DB_Exercises!#REF!,"")</f>
        <v>#REF!</v>
      </c>
      <c r="E156" s="31" t="e">
        <f>IF(LEN(_DB_Exercises!#REF!)&gt;0,_DB_Exercises!#REF!,"")</f>
        <v>#REF!</v>
      </c>
      <c r="F156" s="31" t="e">
        <f>IF(LEN(_DB_Exercises!#REF!)&gt;0,_DB_Exercises!#REF!,"")</f>
        <v>#REF!</v>
      </c>
      <c r="G156" s="31" t="e">
        <f>IF(LEN(_DB_Exercises!#REF!)&gt;0,_DB_Exercises!#REF!,"")</f>
        <v>#REF!</v>
      </c>
      <c r="H156" s="31" t="e">
        <f>IF(LEN(_DB_Exercises!#REF!)&gt;0,_DB_Exercises!#REF!,"")</f>
        <v>#REF!</v>
      </c>
      <c r="I156" s="31" t="e">
        <f>IF(LEN(_DB_Exercises!#REF!)&gt;0,_DB_Exercises!#REF!,"")</f>
        <v>#REF!</v>
      </c>
      <c r="J156" s="31" t="e">
        <f>IF(LEN(_DB_Exercises!#REF!)&gt;0,_DB_Exercises!#REF!,"")</f>
        <v>#REF!</v>
      </c>
      <c r="K156" s="31" t="e">
        <f>IF(LEN(_DB_Exercises!#REF!)&gt;0,_DB_Exercises!#REF!,"")</f>
        <v>#REF!</v>
      </c>
      <c r="L156" s="31" t="e">
        <f>IF(LEN(_DB_Exercises!#REF!)&gt;0,_DB_Exercises!#REF!,"")</f>
        <v>#REF!</v>
      </c>
      <c r="M156" s="31" t="e">
        <f>IF(LEN(_DB_Exercises!#REF!)&gt;0,_DB_Exercises!#REF!,"")</f>
        <v>#REF!</v>
      </c>
      <c r="N156" s="31" t="e">
        <f>IF(LEN(_DB_Exercises!#REF!)&gt;0,_DB_Exercises!#REF!,"")</f>
        <v>#REF!</v>
      </c>
      <c r="O156" s="31" t="e">
        <f>IF(LEN(_DB_Exercises!#REF!)&gt;0,_DB_Exercises!#REF!,"")</f>
        <v>#REF!</v>
      </c>
      <c r="P156" s="31" t="e">
        <f>IF(LEN(_DB_Exercises!#REF!)&gt;0,_DB_Exercises!#REF!,"")</f>
        <v>#REF!</v>
      </c>
      <c r="Q156" s="31" t="e">
        <f>IF(LEN(_DB_Exercises!#REF!)&gt;0,_DB_Exercises!#REF!,"")</f>
        <v>#REF!</v>
      </c>
      <c r="R156" s="31" t="e">
        <f>IF(LEN(_DB_Exercises!#REF!)&gt;0,_DB_Exercises!#REF!,"")</f>
        <v>#REF!</v>
      </c>
      <c r="S156" s="31" t="e">
        <f>IF(LEN(_DB_Exercises!#REF!)&gt;0,_DB_Exercises!#REF!,"")</f>
        <v>#REF!</v>
      </c>
      <c r="T156" s="31" t="e">
        <f>IF(LEN(_DB_Exercises!#REF!)&gt;0,_DB_Exercises!#REF!,"")</f>
        <v>#REF!</v>
      </c>
      <c r="U156" s="31" t="e">
        <f>IF(LEN(_DB_Exercises!#REF!)&gt;0,_DB_Exercises!#REF!,"")</f>
        <v>#REF!</v>
      </c>
      <c r="V156" s="31" t="e">
        <f>IF(LEN(_DB_Exercises!#REF!)&gt;0,_DB_Exercises!#REF!,"")</f>
        <v>#REF!</v>
      </c>
      <c r="W156" s="31" t="e">
        <f>IF(LEN(_DB_Exercises!#REF!)&gt;0,_DB_Exercises!#REF!,"")</f>
        <v>#REF!</v>
      </c>
      <c r="X156" s="31" t="e">
        <f>IF(LEN(_DB_Exercises!#REF!)&gt;0,_DB_Exercises!#REF!,"")</f>
        <v>#REF!</v>
      </c>
      <c r="Y156" s="31" t="e">
        <f>IF(LEN(_DB_Exercises!#REF!)&gt;0,_DB_Exercises!#REF!,"")</f>
        <v>#REF!</v>
      </c>
      <c r="Z156" s="31" t="e">
        <f>IF(LEN(_DB_Exercises!#REF!)&gt;0,_DB_Exercises!#REF!,"")</f>
        <v>#REF!</v>
      </c>
      <c r="AA156" s="31" t="e">
        <f>IF(LEN(_DB_Exercises!#REF!)&gt;0,_DB_Exercises!#REF!,"")</f>
        <v>#REF!</v>
      </c>
      <c r="AB156" s="31" t="e">
        <f>IF(LEN(_DB_Exercises!#REF!)&gt;0,_DB_Exercises!#REF!,"")</f>
        <v>#REF!</v>
      </c>
      <c r="AC156" s="31" t="e">
        <f>IF(LEN(_DB_Exercises!#REF!)&gt;0,_DB_Exercises!#REF!,"")</f>
        <v>#REF!</v>
      </c>
      <c r="AD156" s="31" t="e">
        <f>IF(LEN(_DB_Exercises!#REF!)&gt;0,_DB_Exercises!#REF!,"")</f>
        <v>#REF!</v>
      </c>
      <c r="AE156" s="31" t="e">
        <f>IF(LEN(_DB_Exercises!#REF!)&gt;0,_DB_Exercises!#REF!,"")</f>
        <v>#REF!</v>
      </c>
      <c r="AF156" s="31" t="e">
        <f>IF(LEN(_DB_Exercises!#REF!)&gt;0,_DB_Exercises!#REF!,"")</f>
        <v>#REF!</v>
      </c>
      <c r="AG156" s="31" t="e">
        <f>IF(LEN(_DB_Exercises!#REF!)&gt;0,_DB_Exercises!#REF!,"")</f>
        <v>#REF!</v>
      </c>
      <c r="AH156" s="31" t="e">
        <f>IF(LEN(_DB_Exercises!#REF!)&gt;0,_DB_Exercises!#REF!,"")</f>
        <v>#REF!</v>
      </c>
      <c r="AI156" s="31" t="e">
        <f>IF(LEN(_DB_Exercises!#REF!)&gt;0,_DB_Exercises!#REF!,"")</f>
        <v>#REF!</v>
      </c>
      <c r="AJ156" s="31" t="e">
        <f>IF(LEN(_DB_Exercises!#REF!)&gt;0,_DB_Exercises!#REF!,"")</f>
        <v>#REF!</v>
      </c>
      <c r="AK156" s="31" t="e">
        <f>IF(LEN(_DB_Exercises!#REF!)&gt;0,_DB_Exercises!#REF!,"")</f>
        <v>#REF!</v>
      </c>
      <c r="AL156" s="31" t="e">
        <f>IF(LEN(_DB_Exercises!#REF!)&gt;0,_DB_Exercises!#REF!,"")</f>
        <v>#REF!</v>
      </c>
      <c r="AM156" s="31" t="e">
        <f>IF(LEN(_DB_Exercises!#REF!)&gt;0,_DB_Exercises!#REF!,"")</f>
        <v>#REF!</v>
      </c>
      <c r="AN156" s="31" t="e">
        <f>IF(LEN(_DB_Exercises!#REF!)&gt;0,_DB_Exercises!#REF!,"")</f>
        <v>#REF!</v>
      </c>
      <c r="AO156" s="31" t="e">
        <f>IF(LEN(_DB_Exercises!#REF!)&gt;0,_DB_Exercises!#REF!,"")</f>
        <v>#REF!</v>
      </c>
      <c r="AP156" s="31" t="e">
        <f>IF(LEN(_DB_Exercises!#REF!)&gt;0,_DB_Exercises!#REF!,"")</f>
        <v>#REF!</v>
      </c>
      <c r="AQ156" s="31" t="e">
        <f>IF(LEN(_DB_Exercises!#REF!)&gt;0,_DB_Exercises!#REF!,"")</f>
        <v>#REF!</v>
      </c>
      <c r="AR156" s="31" t="e">
        <f>IF(LEN(_DB_Exercises!#REF!)&gt;0,_DB_Exercises!#REF!,"")</f>
        <v>#REF!</v>
      </c>
    </row>
    <row r="157" spans="1:44" x14ac:dyDescent="0.25">
      <c r="A157" s="11" t="e">
        <f>IF(LEN(_DB_Exercises!#REF!)&gt;0,_DB_Exercises!#REF!,"")</f>
        <v>#REF!</v>
      </c>
      <c r="B157" s="14" t="e">
        <f>IF(LEN(_DB_Exercises!#REF!)&gt;0,_DB_Exercises!#REF!,"")</f>
        <v>#REF!</v>
      </c>
      <c r="C157" s="31" t="e">
        <f>IF(LEN(_DB_Exercises!#REF!)&gt;0,_DB_Exercises!#REF!,"")</f>
        <v>#REF!</v>
      </c>
      <c r="D157" s="31" t="e">
        <f>IF(LEN(_DB_Exercises!#REF!)&gt;0,_DB_Exercises!#REF!,"")</f>
        <v>#REF!</v>
      </c>
      <c r="E157" s="31" t="e">
        <f>IF(LEN(_DB_Exercises!#REF!)&gt;0,_DB_Exercises!#REF!,"")</f>
        <v>#REF!</v>
      </c>
      <c r="F157" s="31" t="e">
        <f>IF(LEN(_DB_Exercises!#REF!)&gt;0,_DB_Exercises!#REF!,"")</f>
        <v>#REF!</v>
      </c>
      <c r="G157" s="31" t="e">
        <f>IF(LEN(_DB_Exercises!#REF!)&gt;0,_DB_Exercises!#REF!,"")</f>
        <v>#REF!</v>
      </c>
      <c r="H157" s="31" t="e">
        <f>IF(LEN(_DB_Exercises!#REF!)&gt;0,_DB_Exercises!#REF!,"")</f>
        <v>#REF!</v>
      </c>
      <c r="I157" s="31" t="e">
        <f>IF(LEN(_DB_Exercises!#REF!)&gt;0,_DB_Exercises!#REF!,"")</f>
        <v>#REF!</v>
      </c>
      <c r="J157" s="31" t="e">
        <f>IF(LEN(_DB_Exercises!#REF!)&gt;0,_DB_Exercises!#REF!,"")</f>
        <v>#REF!</v>
      </c>
      <c r="K157" s="31" t="e">
        <f>IF(LEN(_DB_Exercises!#REF!)&gt;0,_DB_Exercises!#REF!,"")</f>
        <v>#REF!</v>
      </c>
      <c r="L157" s="31" t="e">
        <f>IF(LEN(_DB_Exercises!#REF!)&gt;0,_DB_Exercises!#REF!,"")</f>
        <v>#REF!</v>
      </c>
      <c r="M157" s="31" t="e">
        <f>IF(LEN(_DB_Exercises!#REF!)&gt;0,_DB_Exercises!#REF!,"")</f>
        <v>#REF!</v>
      </c>
      <c r="N157" s="31" t="e">
        <f>IF(LEN(_DB_Exercises!#REF!)&gt;0,_DB_Exercises!#REF!,"")</f>
        <v>#REF!</v>
      </c>
      <c r="O157" s="31" t="e">
        <f>IF(LEN(_DB_Exercises!#REF!)&gt;0,_DB_Exercises!#REF!,"")</f>
        <v>#REF!</v>
      </c>
      <c r="P157" s="31" t="e">
        <f>IF(LEN(_DB_Exercises!#REF!)&gt;0,_DB_Exercises!#REF!,"")</f>
        <v>#REF!</v>
      </c>
      <c r="Q157" s="31" t="e">
        <f>IF(LEN(_DB_Exercises!#REF!)&gt;0,_DB_Exercises!#REF!,"")</f>
        <v>#REF!</v>
      </c>
      <c r="R157" s="31" t="e">
        <f>IF(LEN(_DB_Exercises!#REF!)&gt;0,_DB_Exercises!#REF!,"")</f>
        <v>#REF!</v>
      </c>
      <c r="S157" s="31" t="e">
        <f>IF(LEN(_DB_Exercises!#REF!)&gt;0,_DB_Exercises!#REF!,"")</f>
        <v>#REF!</v>
      </c>
      <c r="T157" s="31" t="e">
        <f>IF(LEN(_DB_Exercises!#REF!)&gt;0,_DB_Exercises!#REF!,"")</f>
        <v>#REF!</v>
      </c>
      <c r="U157" s="31" t="e">
        <f>IF(LEN(_DB_Exercises!#REF!)&gt;0,_DB_Exercises!#REF!,"")</f>
        <v>#REF!</v>
      </c>
      <c r="V157" s="31" t="e">
        <f>IF(LEN(_DB_Exercises!#REF!)&gt;0,_DB_Exercises!#REF!,"")</f>
        <v>#REF!</v>
      </c>
      <c r="W157" s="31" t="e">
        <f>IF(LEN(_DB_Exercises!#REF!)&gt;0,_DB_Exercises!#REF!,"")</f>
        <v>#REF!</v>
      </c>
      <c r="X157" s="31" t="e">
        <f>IF(LEN(_DB_Exercises!#REF!)&gt;0,_DB_Exercises!#REF!,"")</f>
        <v>#REF!</v>
      </c>
      <c r="Y157" s="31" t="e">
        <f>IF(LEN(_DB_Exercises!#REF!)&gt;0,_DB_Exercises!#REF!,"")</f>
        <v>#REF!</v>
      </c>
      <c r="Z157" s="31" t="e">
        <f>IF(LEN(_DB_Exercises!#REF!)&gt;0,_DB_Exercises!#REF!,"")</f>
        <v>#REF!</v>
      </c>
      <c r="AA157" s="31" t="e">
        <f>IF(LEN(_DB_Exercises!#REF!)&gt;0,_DB_Exercises!#REF!,"")</f>
        <v>#REF!</v>
      </c>
      <c r="AB157" s="31" t="e">
        <f>IF(LEN(_DB_Exercises!#REF!)&gt;0,_DB_Exercises!#REF!,"")</f>
        <v>#REF!</v>
      </c>
      <c r="AC157" s="31" t="e">
        <f>IF(LEN(_DB_Exercises!#REF!)&gt;0,_DB_Exercises!#REF!,"")</f>
        <v>#REF!</v>
      </c>
      <c r="AD157" s="31" t="e">
        <f>IF(LEN(_DB_Exercises!#REF!)&gt;0,_DB_Exercises!#REF!,"")</f>
        <v>#REF!</v>
      </c>
      <c r="AE157" s="31" t="e">
        <f>IF(LEN(_DB_Exercises!#REF!)&gt;0,_DB_Exercises!#REF!,"")</f>
        <v>#REF!</v>
      </c>
      <c r="AF157" s="31" t="e">
        <f>IF(LEN(_DB_Exercises!#REF!)&gt;0,_DB_Exercises!#REF!,"")</f>
        <v>#REF!</v>
      </c>
      <c r="AG157" s="31" t="e">
        <f>IF(LEN(_DB_Exercises!#REF!)&gt;0,_DB_Exercises!#REF!,"")</f>
        <v>#REF!</v>
      </c>
      <c r="AH157" s="31" t="e">
        <f>IF(LEN(_DB_Exercises!#REF!)&gt;0,_DB_Exercises!#REF!,"")</f>
        <v>#REF!</v>
      </c>
      <c r="AI157" s="31" t="e">
        <f>IF(LEN(_DB_Exercises!#REF!)&gt;0,_DB_Exercises!#REF!,"")</f>
        <v>#REF!</v>
      </c>
      <c r="AJ157" s="31" t="e">
        <f>IF(LEN(_DB_Exercises!#REF!)&gt;0,_DB_Exercises!#REF!,"")</f>
        <v>#REF!</v>
      </c>
      <c r="AK157" s="31" t="e">
        <f>IF(LEN(_DB_Exercises!#REF!)&gt;0,_DB_Exercises!#REF!,"")</f>
        <v>#REF!</v>
      </c>
      <c r="AL157" s="31" t="e">
        <f>IF(LEN(_DB_Exercises!#REF!)&gt;0,_DB_Exercises!#REF!,"")</f>
        <v>#REF!</v>
      </c>
      <c r="AM157" s="31" t="e">
        <f>IF(LEN(_DB_Exercises!#REF!)&gt;0,_DB_Exercises!#REF!,"")</f>
        <v>#REF!</v>
      </c>
      <c r="AN157" s="31" t="e">
        <f>IF(LEN(_DB_Exercises!#REF!)&gt;0,_DB_Exercises!#REF!,"")</f>
        <v>#REF!</v>
      </c>
      <c r="AO157" s="31" t="e">
        <f>IF(LEN(_DB_Exercises!#REF!)&gt;0,_DB_Exercises!#REF!,"")</f>
        <v>#REF!</v>
      </c>
      <c r="AP157" s="31" t="e">
        <f>IF(LEN(_DB_Exercises!#REF!)&gt;0,_DB_Exercises!#REF!,"")</f>
        <v>#REF!</v>
      </c>
      <c r="AQ157" s="31" t="e">
        <f>IF(LEN(_DB_Exercises!#REF!)&gt;0,_DB_Exercises!#REF!,"")</f>
        <v>#REF!</v>
      </c>
      <c r="AR157" s="31" t="e">
        <f>IF(LEN(_DB_Exercises!#REF!)&gt;0,_DB_Exercises!#REF!,"")</f>
        <v>#REF!</v>
      </c>
    </row>
    <row r="158" spans="1:44" x14ac:dyDescent="0.25">
      <c r="A158" s="11" t="e">
        <f>IF(LEN(_DB_Exercises!#REF!)&gt;0,_DB_Exercises!#REF!,"")</f>
        <v>#REF!</v>
      </c>
      <c r="B158" s="14" t="e">
        <f>IF(LEN(_DB_Exercises!#REF!)&gt;0,_DB_Exercises!#REF!,"")</f>
        <v>#REF!</v>
      </c>
      <c r="C158" s="31" t="e">
        <f>IF(LEN(_DB_Exercises!#REF!)&gt;0,_DB_Exercises!#REF!,"")</f>
        <v>#REF!</v>
      </c>
      <c r="D158" s="31" t="e">
        <f>IF(LEN(_DB_Exercises!#REF!)&gt;0,_DB_Exercises!#REF!,"")</f>
        <v>#REF!</v>
      </c>
      <c r="E158" s="31" t="e">
        <f>IF(LEN(_DB_Exercises!#REF!)&gt;0,_DB_Exercises!#REF!,"")</f>
        <v>#REF!</v>
      </c>
      <c r="F158" s="31" t="e">
        <f>IF(LEN(_DB_Exercises!#REF!)&gt;0,_DB_Exercises!#REF!,"")</f>
        <v>#REF!</v>
      </c>
      <c r="G158" s="31" t="e">
        <f>IF(LEN(_DB_Exercises!#REF!)&gt;0,_DB_Exercises!#REF!,"")</f>
        <v>#REF!</v>
      </c>
      <c r="H158" s="31" t="e">
        <f>IF(LEN(_DB_Exercises!#REF!)&gt;0,_DB_Exercises!#REF!,"")</f>
        <v>#REF!</v>
      </c>
      <c r="I158" s="31" t="e">
        <f>IF(LEN(_DB_Exercises!#REF!)&gt;0,_DB_Exercises!#REF!,"")</f>
        <v>#REF!</v>
      </c>
      <c r="J158" s="31" t="e">
        <f>IF(LEN(_DB_Exercises!#REF!)&gt;0,_DB_Exercises!#REF!,"")</f>
        <v>#REF!</v>
      </c>
      <c r="K158" s="31" t="e">
        <f>IF(LEN(_DB_Exercises!#REF!)&gt;0,_DB_Exercises!#REF!,"")</f>
        <v>#REF!</v>
      </c>
      <c r="L158" s="31" t="e">
        <f>IF(LEN(_DB_Exercises!#REF!)&gt;0,_DB_Exercises!#REF!,"")</f>
        <v>#REF!</v>
      </c>
      <c r="M158" s="31" t="e">
        <f>IF(LEN(_DB_Exercises!#REF!)&gt;0,_DB_Exercises!#REF!,"")</f>
        <v>#REF!</v>
      </c>
      <c r="N158" s="31" t="e">
        <f>IF(LEN(_DB_Exercises!#REF!)&gt;0,_DB_Exercises!#REF!,"")</f>
        <v>#REF!</v>
      </c>
      <c r="O158" s="31" t="e">
        <f>IF(LEN(_DB_Exercises!#REF!)&gt;0,_DB_Exercises!#REF!,"")</f>
        <v>#REF!</v>
      </c>
      <c r="P158" s="31" t="e">
        <f>IF(LEN(_DB_Exercises!#REF!)&gt;0,_DB_Exercises!#REF!,"")</f>
        <v>#REF!</v>
      </c>
      <c r="Q158" s="31" t="e">
        <f>IF(LEN(_DB_Exercises!#REF!)&gt;0,_DB_Exercises!#REF!,"")</f>
        <v>#REF!</v>
      </c>
      <c r="R158" s="31" t="e">
        <f>IF(LEN(_DB_Exercises!#REF!)&gt;0,_DB_Exercises!#REF!,"")</f>
        <v>#REF!</v>
      </c>
      <c r="S158" s="31" t="e">
        <f>IF(LEN(_DB_Exercises!#REF!)&gt;0,_DB_Exercises!#REF!,"")</f>
        <v>#REF!</v>
      </c>
      <c r="T158" s="31" t="e">
        <f>IF(LEN(_DB_Exercises!#REF!)&gt;0,_DB_Exercises!#REF!,"")</f>
        <v>#REF!</v>
      </c>
      <c r="U158" s="31" t="e">
        <f>IF(LEN(_DB_Exercises!#REF!)&gt;0,_DB_Exercises!#REF!,"")</f>
        <v>#REF!</v>
      </c>
      <c r="V158" s="31" t="e">
        <f>IF(LEN(_DB_Exercises!#REF!)&gt;0,_DB_Exercises!#REF!,"")</f>
        <v>#REF!</v>
      </c>
      <c r="W158" s="31" t="e">
        <f>IF(LEN(_DB_Exercises!#REF!)&gt;0,_DB_Exercises!#REF!,"")</f>
        <v>#REF!</v>
      </c>
      <c r="X158" s="31" t="e">
        <f>IF(LEN(_DB_Exercises!#REF!)&gt;0,_DB_Exercises!#REF!,"")</f>
        <v>#REF!</v>
      </c>
      <c r="Y158" s="31" t="e">
        <f>IF(LEN(_DB_Exercises!#REF!)&gt;0,_DB_Exercises!#REF!,"")</f>
        <v>#REF!</v>
      </c>
      <c r="Z158" s="31" t="e">
        <f>IF(LEN(_DB_Exercises!#REF!)&gt;0,_DB_Exercises!#REF!,"")</f>
        <v>#REF!</v>
      </c>
      <c r="AA158" s="31" t="e">
        <f>IF(LEN(_DB_Exercises!#REF!)&gt;0,_DB_Exercises!#REF!,"")</f>
        <v>#REF!</v>
      </c>
      <c r="AB158" s="31" t="e">
        <f>IF(LEN(_DB_Exercises!#REF!)&gt;0,_DB_Exercises!#REF!,"")</f>
        <v>#REF!</v>
      </c>
      <c r="AC158" s="31" t="e">
        <f>IF(LEN(_DB_Exercises!#REF!)&gt;0,_DB_Exercises!#REF!,"")</f>
        <v>#REF!</v>
      </c>
      <c r="AD158" s="31" t="e">
        <f>IF(LEN(_DB_Exercises!#REF!)&gt;0,_DB_Exercises!#REF!,"")</f>
        <v>#REF!</v>
      </c>
      <c r="AE158" s="31" t="e">
        <f>IF(LEN(_DB_Exercises!#REF!)&gt;0,_DB_Exercises!#REF!,"")</f>
        <v>#REF!</v>
      </c>
      <c r="AF158" s="31" t="e">
        <f>IF(LEN(_DB_Exercises!#REF!)&gt;0,_DB_Exercises!#REF!,"")</f>
        <v>#REF!</v>
      </c>
      <c r="AG158" s="31" t="e">
        <f>IF(LEN(_DB_Exercises!#REF!)&gt;0,_DB_Exercises!#REF!,"")</f>
        <v>#REF!</v>
      </c>
      <c r="AH158" s="31" t="e">
        <f>IF(LEN(_DB_Exercises!#REF!)&gt;0,_DB_Exercises!#REF!,"")</f>
        <v>#REF!</v>
      </c>
      <c r="AI158" s="31" t="e">
        <f>IF(LEN(_DB_Exercises!#REF!)&gt;0,_DB_Exercises!#REF!,"")</f>
        <v>#REF!</v>
      </c>
      <c r="AJ158" s="31" t="e">
        <f>IF(LEN(_DB_Exercises!#REF!)&gt;0,_DB_Exercises!#REF!,"")</f>
        <v>#REF!</v>
      </c>
      <c r="AK158" s="31" t="e">
        <f>IF(LEN(_DB_Exercises!#REF!)&gt;0,_DB_Exercises!#REF!,"")</f>
        <v>#REF!</v>
      </c>
      <c r="AL158" s="31" t="e">
        <f>IF(LEN(_DB_Exercises!#REF!)&gt;0,_DB_Exercises!#REF!,"")</f>
        <v>#REF!</v>
      </c>
      <c r="AM158" s="31" t="e">
        <f>IF(LEN(_DB_Exercises!#REF!)&gt;0,_DB_Exercises!#REF!,"")</f>
        <v>#REF!</v>
      </c>
      <c r="AN158" s="31" t="e">
        <f>IF(LEN(_DB_Exercises!#REF!)&gt;0,_DB_Exercises!#REF!,"")</f>
        <v>#REF!</v>
      </c>
      <c r="AO158" s="31" t="e">
        <f>IF(LEN(_DB_Exercises!#REF!)&gt;0,_DB_Exercises!#REF!,"")</f>
        <v>#REF!</v>
      </c>
      <c r="AP158" s="31" t="e">
        <f>IF(LEN(_DB_Exercises!#REF!)&gt;0,_DB_Exercises!#REF!,"")</f>
        <v>#REF!</v>
      </c>
      <c r="AQ158" s="31" t="e">
        <f>IF(LEN(_DB_Exercises!#REF!)&gt;0,_DB_Exercises!#REF!,"")</f>
        <v>#REF!</v>
      </c>
      <c r="AR158" s="31" t="e">
        <f>IF(LEN(_DB_Exercises!#REF!)&gt;0,_DB_Exercises!#REF!,"")</f>
        <v>#REF!</v>
      </c>
    </row>
    <row r="159" spans="1:44" x14ac:dyDescent="0.25">
      <c r="A159" s="11" t="e">
        <f>IF(LEN(_DB_Exercises!#REF!)&gt;0,_DB_Exercises!#REF!,"")</f>
        <v>#REF!</v>
      </c>
      <c r="B159" s="14" t="e">
        <f>IF(LEN(_DB_Exercises!#REF!)&gt;0,_DB_Exercises!#REF!,"")</f>
        <v>#REF!</v>
      </c>
      <c r="C159" s="31" t="e">
        <f>IF(LEN(_DB_Exercises!#REF!)&gt;0,_DB_Exercises!#REF!,"")</f>
        <v>#REF!</v>
      </c>
      <c r="D159" s="31" t="e">
        <f>IF(LEN(_DB_Exercises!#REF!)&gt;0,_DB_Exercises!#REF!,"")</f>
        <v>#REF!</v>
      </c>
      <c r="E159" s="31" t="e">
        <f>IF(LEN(_DB_Exercises!#REF!)&gt;0,_DB_Exercises!#REF!,"")</f>
        <v>#REF!</v>
      </c>
      <c r="F159" s="31" t="e">
        <f>IF(LEN(_DB_Exercises!#REF!)&gt;0,_DB_Exercises!#REF!,"")</f>
        <v>#REF!</v>
      </c>
      <c r="G159" s="31" t="e">
        <f>IF(LEN(_DB_Exercises!#REF!)&gt;0,_DB_Exercises!#REF!,"")</f>
        <v>#REF!</v>
      </c>
      <c r="H159" s="31" t="e">
        <f>IF(LEN(_DB_Exercises!#REF!)&gt;0,_DB_Exercises!#REF!,"")</f>
        <v>#REF!</v>
      </c>
      <c r="I159" s="31" t="e">
        <f>IF(LEN(_DB_Exercises!#REF!)&gt;0,_DB_Exercises!#REF!,"")</f>
        <v>#REF!</v>
      </c>
      <c r="J159" s="31" t="e">
        <f>IF(LEN(_DB_Exercises!#REF!)&gt;0,_DB_Exercises!#REF!,"")</f>
        <v>#REF!</v>
      </c>
      <c r="K159" s="31" t="e">
        <f>IF(LEN(_DB_Exercises!#REF!)&gt;0,_DB_Exercises!#REF!,"")</f>
        <v>#REF!</v>
      </c>
      <c r="L159" s="31" t="e">
        <f>IF(LEN(_DB_Exercises!#REF!)&gt;0,_DB_Exercises!#REF!,"")</f>
        <v>#REF!</v>
      </c>
      <c r="M159" s="31" t="e">
        <f>IF(LEN(_DB_Exercises!#REF!)&gt;0,_DB_Exercises!#REF!,"")</f>
        <v>#REF!</v>
      </c>
      <c r="N159" s="31" t="e">
        <f>IF(LEN(_DB_Exercises!#REF!)&gt;0,_DB_Exercises!#REF!,"")</f>
        <v>#REF!</v>
      </c>
      <c r="O159" s="31" t="e">
        <f>IF(LEN(_DB_Exercises!#REF!)&gt;0,_DB_Exercises!#REF!,"")</f>
        <v>#REF!</v>
      </c>
      <c r="P159" s="31" t="e">
        <f>IF(LEN(_DB_Exercises!#REF!)&gt;0,_DB_Exercises!#REF!,"")</f>
        <v>#REF!</v>
      </c>
      <c r="Q159" s="31" t="e">
        <f>IF(LEN(_DB_Exercises!#REF!)&gt;0,_DB_Exercises!#REF!,"")</f>
        <v>#REF!</v>
      </c>
      <c r="R159" s="31" t="e">
        <f>IF(LEN(_DB_Exercises!#REF!)&gt;0,_DB_Exercises!#REF!,"")</f>
        <v>#REF!</v>
      </c>
      <c r="S159" s="31" t="e">
        <f>IF(LEN(_DB_Exercises!#REF!)&gt;0,_DB_Exercises!#REF!,"")</f>
        <v>#REF!</v>
      </c>
      <c r="T159" s="31" t="e">
        <f>IF(LEN(_DB_Exercises!#REF!)&gt;0,_DB_Exercises!#REF!,"")</f>
        <v>#REF!</v>
      </c>
      <c r="U159" s="31" t="e">
        <f>IF(LEN(_DB_Exercises!#REF!)&gt;0,_DB_Exercises!#REF!,"")</f>
        <v>#REF!</v>
      </c>
      <c r="V159" s="31" t="e">
        <f>IF(LEN(_DB_Exercises!#REF!)&gt;0,_DB_Exercises!#REF!,"")</f>
        <v>#REF!</v>
      </c>
      <c r="W159" s="31" t="e">
        <f>IF(LEN(_DB_Exercises!#REF!)&gt;0,_DB_Exercises!#REF!,"")</f>
        <v>#REF!</v>
      </c>
      <c r="X159" s="31" t="e">
        <f>IF(LEN(_DB_Exercises!#REF!)&gt;0,_DB_Exercises!#REF!,"")</f>
        <v>#REF!</v>
      </c>
      <c r="Y159" s="31" t="e">
        <f>IF(LEN(_DB_Exercises!#REF!)&gt;0,_DB_Exercises!#REF!,"")</f>
        <v>#REF!</v>
      </c>
      <c r="Z159" s="31" t="e">
        <f>IF(LEN(_DB_Exercises!#REF!)&gt;0,_DB_Exercises!#REF!,"")</f>
        <v>#REF!</v>
      </c>
      <c r="AA159" s="31" t="e">
        <f>IF(LEN(_DB_Exercises!#REF!)&gt;0,_DB_Exercises!#REF!,"")</f>
        <v>#REF!</v>
      </c>
      <c r="AB159" s="31" t="e">
        <f>IF(LEN(_DB_Exercises!#REF!)&gt;0,_DB_Exercises!#REF!,"")</f>
        <v>#REF!</v>
      </c>
      <c r="AC159" s="31" t="e">
        <f>IF(LEN(_DB_Exercises!#REF!)&gt;0,_DB_Exercises!#REF!,"")</f>
        <v>#REF!</v>
      </c>
      <c r="AD159" s="31" t="e">
        <f>IF(LEN(_DB_Exercises!#REF!)&gt;0,_DB_Exercises!#REF!,"")</f>
        <v>#REF!</v>
      </c>
      <c r="AE159" s="31" t="e">
        <f>IF(LEN(_DB_Exercises!#REF!)&gt;0,_DB_Exercises!#REF!,"")</f>
        <v>#REF!</v>
      </c>
      <c r="AF159" s="31" t="e">
        <f>IF(LEN(_DB_Exercises!#REF!)&gt;0,_DB_Exercises!#REF!,"")</f>
        <v>#REF!</v>
      </c>
      <c r="AG159" s="31" t="e">
        <f>IF(LEN(_DB_Exercises!#REF!)&gt;0,_DB_Exercises!#REF!,"")</f>
        <v>#REF!</v>
      </c>
      <c r="AH159" s="31" t="e">
        <f>IF(LEN(_DB_Exercises!#REF!)&gt;0,_DB_Exercises!#REF!,"")</f>
        <v>#REF!</v>
      </c>
      <c r="AI159" s="31" t="e">
        <f>IF(LEN(_DB_Exercises!#REF!)&gt;0,_DB_Exercises!#REF!,"")</f>
        <v>#REF!</v>
      </c>
      <c r="AJ159" s="31" t="e">
        <f>IF(LEN(_DB_Exercises!#REF!)&gt;0,_DB_Exercises!#REF!,"")</f>
        <v>#REF!</v>
      </c>
      <c r="AK159" s="31" t="e">
        <f>IF(LEN(_DB_Exercises!#REF!)&gt;0,_DB_Exercises!#REF!,"")</f>
        <v>#REF!</v>
      </c>
      <c r="AL159" s="31" t="e">
        <f>IF(LEN(_DB_Exercises!#REF!)&gt;0,_DB_Exercises!#REF!,"")</f>
        <v>#REF!</v>
      </c>
      <c r="AM159" s="31" t="e">
        <f>IF(LEN(_DB_Exercises!#REF!)&gt;0,_DB_Exercises!#REF!,"")</f>
        <v>#REF!</v>
      </c>
      <c r="AN159" s="31" t="e">
        <f>IF(LEN(_DB_Exercises!#REF!)&gt;0,_DB_Exercises!#REF!,"")</f>
        <v>#REF!</v>
      </c>
      <c r="AO159" s="31" t="e">
        <f>IF(LEN(_DB_Exercises!#REF!)&gt;0,_DB_Exercises!#REF!,"")</f>
        <v>#REF!</v>
      </c>
      <c r="AP159" s="31" t="e">
        <f>IF(LEN(_DB_Exercises!#REF!)&gt;0,_DB_Exercises!#REF!,"")</f>
        <v>#REF!</v>
      </c>
      <c r="AQ159" s="31" t="e">
        <f>IF(LEN(_DB_Exercises!#REF!)&gt;0,_DB_Exercises!#REF!,"")</f>
        <v>#REF!</v>
      </c>
      <c r="AR159" s="31" t="e">
        <f>IF(LEN(_DB_Exercises!#REF!)&gt;0,_DB_Exercises!#REF!,"")</f>
        <v>#REF!</v>
      </c>
    </row>
    <row r="160" spans="1:44" x14ac:dyDescent="0.25">
      <c r="A160" s="11" t="e">
        <f>IF(LEN(_DB_Exercises!#REF!)&gt;0,_DB_Exercises!#REF!,"")</f>
        <v>#REF!</v>
      </c>
      <c r="B160" s="14" t="e">
        <f>IF(LEN(_DB_Exercises!#REF!)&gt;0,_DB_Exercises!#REF!,"")</f>
        <v>#REF!</v>
      </c>
      <c r="C160" s="31" t="e">
        <f>IF(LEN(_DB_Exercises!#REF!)&gt;0,_DB_Exercises!#REF!,"")</f>
        <v>#REF!</v>
      </c>
      <c r="D160" s="31" t="e">
        <f>IF(LEN(_DB_Exercises!#REF!)&gt;0,_DB_Exercises!#REF!,"")</f>
        <v>#REF!</v>
      </c>
      <c r="E160" s="31" t="e">
        <f>IF(LEN(_DB_Exercises!#REF!)&gt;0,_DB_Exercises!#REF!,"")</f>
        <v>#REF!</v>
      </c>
      <c r="F160" s="31" t="e">
        <f>IF(LEN(_DB_Exercises!#REF!)&gt;0,_DB_Exercises!#REF!,"")</f>
        <v>#REF!</v>
      </c>
      <c r="G160" s="31" t="e">
        <f>IF(LEN(_DB_Exercises!#REF!)&gt;0,_DB_Exercises!#REF!,"")</f>
        <v>#REF!</v>
      </c>
      <c r="H160" s="31" t="e">
        <f>IF(LEN(_DB_Exercises!#REF!)&gt;0,_DB_Exercises!#REF!,"")</f>
        <v>#REF!</v>
      </c>
      <c r="I160" s="31" t="e">
        <f>IF(LEN(_DB_Exercises!#REF!)&gt;0,_DB_Exercises!#REF!,"")</f>
        <v>#REF!</v>
      </c>
      <c r="J160" s="31" t="e">
        <f>IF(LEN(_DB_Exercises!#REF!)&gt;0,_DB_Exercises!#REF!,"")</f>
        <v>#REF!</v>
      </c>
      <c r="K160" s="31" t="e">
        <f>IF(LEN(_DB_Exercises!#REF!)&gt;0,_DB_Exercises!#REF!,"")</f>
        <v>#REF!</v>
      </c>
      <c r="L160" s="31" t="e">
        <f>IF(LEN(_DB_Exercises!#REF!)&gt;0,_DB_Exercises!#REF!,"")</f>
        <v>#REF!</v>
      </c>
      <c r="M160" s="31" t="e">
        <f>IF(LEN(_DB_Exercises!#REF!)&gt;0,_DB_Exercises!#REF!,"")</f>
        <v>#REF!</v>
      </c>
      <c r="N160" s="31" t="e">
        <f>IF(LEN(_DB_Exercises!#REF!)&gt;0,_DB_Exercises!#REF!,"")</f>
        <v>#REF!</v>
      </c>
      <c r="O160" s="31" t="e">
        <f>IF(LEN(_DB_Exercises!#REF!)&gt;0,_DB_Exercises!#REF!,"")</f>
        <v>#REF!</v>
      </c>
      <c r="P160" s="31" t="e">
        <f>IF(LEN(_DB_Exercises!#REF!)&gt;0,_DB_Exercises!#REF!,"")</f>
        <v>#REF!</v>
      </c>
      <c r="Q160" s="31" t="e">
        <f>IF(LEN(_DB_Exercises!#REF!)&gt;0,_DB_Exercises!#REF!,"")</f>
        <v>#REF!</v>
      </c>
      <c r="R160" s="31" t="e">
        <f>IF(LEN(_DB_Exercises!#REF!)&gt;0,_DB_Exercises!#REF!,"")</f>
        <v>#REF!</v>
      </c>
      <c r="S160" s="31" t="e">
        <f>IF(LEN(_DB_Exercises!#REF!)&gt;0,_DB_Exercises!#REF!,"")</f>
        <v>#REF!</v>
      </c>
      <c r="T160" s="31" t="e">
        <f>IF(LEN(_DB_Exercises!#REF!)&gt;0,_DB_Exercises!#REF!,"")</f>
        <v>#REF!</v>
      </c>
      <c r="U160" s="31" t="e">
        <f>IF(LEN(_DB_Exercises!#REF!)&gt;0,_DB_Exercises!#REF!,"")</f>
        <v>#REF!</v>
      </c>
      <c r="V160" s="31" t="e">
        <f>IF(LEN(_DB_Exercises!#REF!)&gt;0,_DB_Exercises!#REF!,"")</f>
        <v>#REF!</v>
      </c>
      <c r="W160" s="31" t="e">
        <f>IF(LEN(_DB_Exercises!#REF!)&gt;0,_DB_Exercises!#REF!,"")</f>
        <v>#REF!</v>
      </c>
      <c r="X160" s="31" t="e">
        <f>IF(LEN(_DB_Exercises!#REF!)&gt;0,_DB_Exercises!#REF!,"")</f>
        <v>#REF!</v>
      </c>
      <c r="Y160" s="31" t="e">
        <f>IF(LEN(_DB_Exercises!#REF!)&gt;0,_DB_Exercises!#REF!,"")</f>
        <v>#REF!</v>
      </c>
      <c r="Z160" s="31" t="e">
        <f>IF(LEN(_DB_Exercises!#REF!)&gt;0,_DB_Exercises!#REF!,"")</f>
        <v>#REF!</v>
      </c>
      <c r="AA160" s="31" t="e">
        <f>IF(LEN(_DB_Exercises!#REF!)&gt;0,_DB_Exercises!#REF!,"")</f>
        <v>#REF!</v>
      </c>
      <c r="AB160" s="31" t="e">
        <f>IF(LEN(_DB_Exercises!#REF!)&gt;0,_DB_Exercises!#REF!,"")</f>
        <v>#REF!</v>
      </c>
      <c r="AC160" s="31" t="e">
        <f>IF(LEN(_DB_Exercises!#REF!)&gt;0,_DB_Exercises!#REF!,"")</f>
        <v>#REF!</v>
      </c>
      <c r="AD160" s="31" t="e">
        <f>IF(LEN(_DB_Exercises!#REF!)&gt;0,_DB_Exercises!#REF!,"")</f>
        <v>#REF!</v>
      </c>
      <c r="AE160" s="31" t="e">
        <f>IF(LEN(_DB_Exercises!#REF!)&gt;0,_DB_Exercises!#REF!,"")</f>
        <v>#REF!</v>
      </c>
      <c r="AF160" s="31" t="e">
        <f>IF(LEN(_DB_Exercises!#REF!)&gt;0,_DB_Exercises!#REF!,"")</f>
        <v>#REF!</v>
      </c>
      <c r="AG160" s="31" t="e">
        <f>IF(LEN(_DB_Exercises!#REF!)&gt;0,_DB_Exercises!#REF!,"")</f>
        <v>#REF!</v>
      </c>
      <c r="AH160" s="31" t="e">
        <f>IF(LEN(_DB_Exercises!#REF!)&gt;0,_DB_Exercises!#REF!,"")</f>
        <v>#REF!</v>
      </c>
      <c r="AI160" s="31" t="e">
        <f>IF(LEN(_DB_Exercises!#REF!)&gt;0,_DB_Exercises!#REF!,"")</f>
        <v>#REF!</v>
      </c>
      <c r="AJ160" s="31" t="e">
        <f>IF(LEN(_DB_Exercises!#REF!)&gt;0,_DB_Exercises!#REF!,"")</f>
        <v>#REF!</v>
      </c>
      <c r="AK160" s="31" t="e">
        <f>IF(LEN(_DB_Exercises!#REF!)&gt;0,_DB_Exercises!#REF!,"")</f>
        <v>#REF!</v>
      </c>
      <c r="AL160" s="31" t="e">
        <f>IF(LEN(_DB_Exercises!#REF!)&gt;0,_DB_Exercises!#REF!,"")</f>
        <v>#REF!</v>
      </c>
      <c r="AM160" s="31" t="e">
        <f>IF(LEN(_DB_Exercises!#REF!)&gt;0,_DB_Exercises!#REF!,"")</f>
        <v>#REF!</v>
      </c>
      <c r="AN160" s="31" t="e">
        <f>IF(LEN(_DB_Exercises!#REF!)&gt;0,_DB_Exercises!#REF!,"")</f>
        <v>#REF!</v>
      </c>
      <c r="AO160" s="31" t="e">
        <f>IF(LEN(_DB_Exercises!#REF!)&gt;0,_DB_Exercises!#REF!,"")</f>
        <v>#REF!</v>
      </c>
      <c r="AP160" s="31" t="e">
        <f>IF(LEN(_DB_Exercises!#REF!)&gt;0,_DB_Exercises!#REF!,"")</f>
        <v>#REF!</v>
      </c>
      <c r="AQ160" s="31" t="e">
        <f>IF(LEN(_DB_Exercises!#REF!)&gt;0,_DB_Exercises!#REF!,"")</f>
        <v>#REF!</v>
      </c>
      <c r="AR160" s="31" t="e">
        <f>IF(LEN(_DB_Exercises!#REF!)&gt;0,_DB_Exercises!#REF!,"")</f>
        <v>#REF!</v>
      </c>
    </row>
    <row r="161" spans="1:44" x14ac:dyDescent="0.25">
      <c r="A161" s="11" t="e">
        <f>IF(LEN(_DB_Exercises!#REF!)&gt;0,_DB_Exercises!#REF!,"")</f>
        <v>#REF!</v>
      </c>
      <c r="B161" s="14" t="e">
        <f>IF(LEN(_DB_Exercises!#REF!)&gt;0,_DB_Exercises!#REF!,"")</f>
        <v>#REF!</v>
      </c>
      <c r="C161" s="31" t="e">
        <f>IF(LEN(_DB_Exercises!#REF!)&gt;0,_DB_Exercises!#REF!,"")</f>
        <v>#REF!</v>
      </c>
      <c r="D161" s="31" t="e">
        <f>IF(LEN(_DB_Exercises!#REF!)&gt;0,_DB_Exercises!#REF!,"")</f>
        <v>#REF!</v>
      </c>
      <c r="E161" s="31" t="e">
        <f>IF(LEN(_DB_Exercises!#REF!)&gt;0,_DB_Exercises!#REF!,"")</f>
        <v>#REF!</v>
      </c>
      <c r="F161" s="31" t="e">
        <f>IF(LEN(_DB_Exercises!#REF!)&gt;0,_DB_Exercises!#REF!,"")</f>
        <v>#REF!</v>
      </c>
      <c r="G161" s="31" t="e">
        <f>IF(LEN(_DB_Exercises!#REF!)&gt;0,_DB_Exercises!#REF!,"")</f>
        <v>#REF!</v>
      </c>
      <c r="H161" s="31" t="e">
        <f>IF(LEN(_DB_Exercises!#REF!)&gt;0,_DB_Exercises!#REF!,"")</f>
        <v>#REF!</v>
      </c>
      <c r="I161" s="31" t="e">
        <f>IF(LEN(_DB_Exercises!#REF!)&gt;0,_DB_Exercises!#REF!,"")</f>
        <v>#REF!</v>
      </c>
      <c r="J161" s="31" t="e">
        <f>IF(LEN(_DB_Exercises!#REF!)&gt;0,_DB_Exercises!#REF!,"")</f>
        <v>#REF!</v>
      </c>
      <c r="K161" s="31" t="e">
        <f>IF(LEN(_DB_Exercises!#REF!)&gt;0,_DB_Exercises!#REF!,"")</f>
        <v>#REF!</v>
      </c>
      <c r="L161" s="31" t="e">
        <f>IF(LEN(_DB_Exercises!#REF!)&gt;0,_DB_Exercises!#REF!,"")</f>
        <v>#REF!</v>
      </c>
      <c r="M161" s="31" t="e">
        <f>IF(LEN(_DB_Exercises!#REF!)&gt;0,_DB_Exercises!#REF!,"")</f>
        <v>#REF!</v>
      </c>
      <c r="N161" s="31" t="e">
        <f>IF(LEN(_DB_Exercises!#REF!)&gt;0,_DB_Exercises!#REF!,"")</f>
        <v>#REF!</v>
      </c>
      <c r="O161" s="31" t="e">
        <f>IF(LEN(_DB_Exercises!#REF!)&gt;0,_DB_Exercises!#REF!,"")</f>
        <v>#REF!</v>
      </c>
      <c r="P161" s="31" t="e">
        <f>IF(LEN(_DB_Exercises!#REF!)&gt;0,_DB_Exercises!#REF!,"")</f>
        <v>#REF!</v>
      </c>
      <c r="Q161" s="31" t="e">
        <f>IF(LEN(_DB_Exercises!#REF!)&gt;0,_DB_Exercises!#REF!,"")</f>
        <v>#REF!</v>
      </c>
      <c r="R161" s="31" t="e">
        <f>IF(LEN(_DB_Exercises!#REF!)&gt;0,_DB_Exercises!#REF!,"")</f>
        <v>#REF!</v>
      </c>
      <c r="S161" s="31" t="e">
        <f>IF(LEN(_DB_Exercises!#REF!)&gt;0,_DB_Exercises!#REF!,"")</f>
        <v>#REF!</v>
      </c>
      <c r="T161" s="31" t="e">
        <f>IF(LEN(_DB_Exercises!#REF!)&gt;0,_DB_Exercises!#REF!,"")</f>
        <v>#REF!</v>
      </c>
      <c r="U161" s="31" t="e">
        <f>IF(LEN(_DB_Exercises!#REF!)&gt;0,_DB_Exercises!#REF!,"")</f>
        <v>#REF!</v>
      </c>
      <c r="V161" s="31" t="e">
        <f>IF(LEN(_DB_Exercises!#REF!)&gt;0,_DB_Exercises!#REF!,"")</f>
        <v>#REF!</v>
      </c>
      <c r="W161" s="31" t="e">
        <f>IF(LEN(_DB_Exercises!#REF!)&gt;0,_DB_Exercises!#REF!,"")</f>
        <v>#REF!</v>
      </c>
      <c r="X161" s="31" t="e">
        <f>IF(LEN(_DB_Exercises!#REF!)&gt;0,_DB_Exercises!#REF!,"")</f>
        <v>#REF!</v>
      </c>
      <c r="Y161" s="31" t="e">
        <f>IF(LEN(_DB_Exercises!#REF!)&gt;0,_DB_Exercises!#REF!,"")</f>
        <v>#REF!</v>
      </c>
      <c r="Z161" s="31" t="e">
        <f>IF(LEN(_DB_Exercises!#REF!)&gt;0,_DB_Exercises!#REF!,"")</f>
        <v>#REF!</v>
      </c>
      <c r="AA161" s="31" t="e">
        <f>IF(LEN(_DB_Exercises!#REF!)&gt;0,_DB_Exercises!#REF!,"")</f>
        <v>#REF!</v>
      </c>
      <c r="AB161" s="31" t="e">
        <f>IF(LEN(_DB_Exercises!#REF!)&gt;0,_DB_Exercises!#REF!,"")</f>
        <v>#REF!</v>
      </c>
      <c r="AC161" s="31" t="e">
        <f>IF(LEN(_DB_Exercises!#REF!)&gt;0,_DB_Exercises!#REF!,"")</f>
        <v>#REF!</v>
      </c>
      <c r="AD161" s="31" t="e">
        <f>IF(LEN(_DB_Exercises!#REF!)&gt;0,_DB_Exercises!#REF!,"")</f>
        <v>#REF!</v>
      </c>
      <c r="AE161" s="31" t="e">
        <f>IF(LEN(_DB_Exercises!#REF!)&gt;0,_DB_Exercises!#REF!,"")</f>
        <v>#REF!</v>
      </c>
      <c r="AF161" s="31" t="e">
        <f>IF(LEN(_DB_Exercises!#REF!)&gt;0,_DB_Exercises!#REF!,"")</f>
        <v>#REF!</v>
      </c>
      <c r="AG161" s="31" t="e">
        <f>IF(LEN(_DB_Exercises!#REF!)&gt;0,_DB_Exercises!#REF!,"")</f>
        <v>#REF!</v>
      </c>
      <c r="AH161" s="31" t="e">
        <f>IF(LEN(_DB_Exercises!#REF!)&gt;0,_DB_Exercises!#REF!,"")</f>
        <v>#REF!</v>
      </c>
      <c r="AI161" s="31" t="e">
        <f>IF(LEN(_DB_Exercises!#REF!)&gt;0,_DB_Exercises!#REF!,"")</f>
        <v>#REF!</v>
      </c>
      <c r="AJ161" s="31" t="e">
        <f>IF(LEN(_DB_Exercises!#REF!)&gt;0,_DB_Exercises!#REF!,"")</f>
        <v>#REF!</v>
      </c>
      <c r="AK161" s="31" t="e">
        <f>IF(LEN(_DB_Exercises!#REF!)&gt;0,_DB_Exercises!#REF!,"")</f>
        <v>#REF!</v>
      </c>
      <c r="AL161" s="31" t="e">
        <f>IF(LEN(_DB_Exercises!#REF!)&gt;0,_DB_Exercises!#REF!,"")</f>
        <v>#REF!</v>
      </c>
      <c r="AM161" s="31" t="e">
        <f>IF(LEN(_DB_Exercises!#REF!)&gt;0,_DB_Exercises!#REF!,"")</f>
        <v>#REF!</v>
      </c>
      <c r="AN161" s="31" t="e">
        <f>IF(LEN(_DB_Exercises!#REF!)&gt;0,_DB_Exercises!#REF!,"")</f>
        <v>#REF!</v>
      </c>
      <c r="AO161" s="31" t="e">
        <f>IF(LEN(_DB_Exercises!#REF!)&gt;0,_DB_Exercises!#REF!,"")</f>
        <v>#REF!</v>
      </c>
      <c r="AP161" s="31" t="e">
        <f>IF(LEN(_DB_Exercises!#REF!)&gt;0,_DB_Exercises!#REF!,"")</f>
        <v>#REF!</v>
      </c>
      <c r="AQ161" s="31" t="e">
        <f>IF(LEN(_DB_Exercises!#REF!)&gt;0,_DB_Exercises!#REF!,"")</f>
        <v>#REF!</v>
      </c>
      <c r="AR161" s="31" t="e">
        <f>IF(LEN(_DB_Exercises!#REF!)&gt;0,_DB_Exercises!#REF!,"")</f>
        <v>#REF!</v>
      </c>
    </row>
    <row r="162" spans="1:44" x14ac:dyDescent="0.25">
      <c r="A162" s="11" t="e">
        <f>IF(LEN(_DB_Exercises!#REF!)&gt;0,_DB_Exercises!#REF!,"")</f>
        <v>#REF!</v>
      </c>
      <c r="B162" s="14" t="e">
        <f>IF(LEN(_DB_Exercises!#REF!)&gt;0,_DB_Exercises!#REF!,"")</f>
        <v>#REF!</v>
      </c>
      <c r="C162" s="31" t="e">
        <f>IF(LEN(_DB_Exercises!#REF!)&gt;0,_DB_Exercises!#REF!,"")</f>
        <v>#REF!</v>
      </c>
      <c r="D162" s="31" t="e">
        <f>IF(LEN(_DB_Exercises!#REF!)&gt;0,_DB_Exercises!#REF!,"")</f>
        <v>#REF!</v>
      </c>
      <c r="E162" s="31" t="e">
        <f>IF(LEN(_DB_Exercises!#REF!)&gt;0,_DB_Exercises!#REF!,"")</f>
        <v>#REF!</v>
      </c>
      <c r="F162" s="31" t="e">
        <f>IF(LEN(_DB_Exercises!#REF!)&gt;0,_DB_Exercises!#REF!,"")</f>
        <v>#REF!</v>
      </c>
      <c r="G162" s="31" t="e">
        <f>IF(LEN(_DB_Exercises!#REF!)&gt;0,_DB_Exercises!#REF!,"")</f>
        <v>#REF!</v>
      </c>
      <c r="H162" s="31" t="e">
        <f>IF(LEN(_DB_Exercises!#REF!)&gt;0,_DB_Exercises!#REF!,"")</f>
        <v>#REF!</v>
      </c>
      <c r="I162" s="31" t="e">
        <f>IF(LEN(_DB_Exercises!#REF!)&gt;0,_DB_Exercises!#REF!,"")</f>
        <v>#REF!</v>
      </c>
      <c r="J162" s="31" t="e">
        <f>IF(LEN(_DB_Exercises!#REF!)&gt;0,_DB_Exercises!#REF!,"")</f>
        <v>#REF!</v>
      </c>
      <c r="K162" s="31" t="e">
        <f>IF(LEN(_DB_Exercises!#REF!)&gt;0,_DB_Exercises!#REF!,"")</f>
        <v>#REF!</v>
      </c>
      <c r="L162" s="31" t="e">
        <f>IF(LEN(_DB_Exercises!#REF!)&gt;0,_DB_Exercises!#REF!,"")</f>
        <v>#REF!</v>
      </c>
      <c r="M162" s="31" t="e">
        <f>IF(LEN(_DB_Exercises!#REF!)&gt;0,_DB_Exercises!#REF!,"")</f>
        <v>#REF!</v>
      </c>
      <c r="N162" s="31" t="e">
        <f>IF(LEN(_DB_Exercises!#REF!)&gt;0,_DB_Exercises!#REF!,"")</f>
        <v>#REF!</v>
      </c>
      <c r="O162" s="31" t="e">
        <f>IF(LEN(_DB_Exercises!#REF!)&gt;0,_DB_Exercises!#REF!,"")</f>
        <v>#REF!</v>
      </c>
      <c r="P162" s="31" t="e">
        <f>IF(LEN(_DB_Exercises!#REF!)&gt;0,_DB_Exercises!#REF!,"")</f>
        <v>#REF!</v>
      </c>
      <c r="Q162" s="31" t="e">
        <f>IF(LEN(_DB_Exercises!#REF!)&gt;0,_DB_Exercises!#REF!,"")</f>
        <v>#REF!</v>
      </c>
      <c r="R162" s="31" t="e">
        <f>IF(LEN(_DB_Exercises!#REF!)&gt;0,_DB_Exercises!#REF!,"")</f>
        <v>#REF!</v>
      </c>
      <c r="S162" s="31" t="e">
        <f>IF(LEN(_DB_Exercises!#REF!)&gt;0,_DB_Exercises!#REF!,"")</f>
        <v>#REF!</v>
      </c>
      <c r="T162" s="31" t="e">
        <f>IF(LEN(_DB_Exercises!#REF!)&gt;0,_DB_Exercises!#REF!,"")</f>
        <v>#REF!</v>
      </c>
      <c r="U162" s="31" t="e">
        <f>IF(LEN(_DB_Exercises!#REF!)&gt;0,_DB_Exercises!#REF!,"")</f>
        <v>#REF!</v>
      </c>
      <c r="V162" s="31" t="e">
        <f>IF(LEN(_DB_Exercises!#REF!)&gt;0,_DB_Exercises!#REF!,"")</f>
        <v>#REF!</v>
      </c>
      <c r="W162" s="31" t="e">
        <f>IF(LEN(_DB_Exercises!#REF!)&gt;0,_DB_Exercises!#REF!,"")</f>
        <v>#REF!</v>
      </c>
      <c r="X162" s="31" t="e">
        <f>IF(LEN(_DB_Exercises!#REF!)&gt;0,_DB_Exercises!#REF!,"")</f>
        <v>#REF!</v>
      </c>
      <c r="Y162" s="31" t="e">
        <f>IF(LEN(_DB_Exercises!#REF!)&gt;0,_DB_Exercises!#REF!,"")</f>
        <v>#REF!</v>
      </c>
      <c r="Z162" s="31" t="e">
        <f>IF(LEN(_DB_Exercises!#REF!)&gt;0,_DB_Exercises!#REF!,"")</f>
        <v>#REF!</v>
      </c>
      <c r="AA162" s="31" t="e">
        <f>IF(LEN(_DB_Exercises!#REF!)&gt;0,_DB_Exercises!#REF!,"")</f>
        <v>#REF!</v>
      </c>
      <c r="AB162" s="31" t="e">
        <f>IF(LEN(_DB_Exercises!#REF!)&gt;0,_DB_Exercises!#REF!,"")</f>
        <v>#REF!</v>
      </c>
      <c r="AC162" s="31" t="e">
        <f>IF(LEN(_DB_Exercises!#REF!)&gt;0,_DB_Exercises!#REF!,"")</f>
        <v>#REF!</v>
      </c>
      <c r="AD162" s="31" t="e">
        <f>IF(LEN(_DB_Exercises!#REF!)&gt;0,_DB_Exercises!#REF!,"")</f>
        <v>#REF!</v>
      </c>
      <c r="AE162" s="31" t="e">
        <f>IF(LEN(_DB_Exercises!#REF!)&gt;0,_DB_Exercises!#REF!,"")</f>
        <v>#REF!</v>
      </c>
      <c r="AF162" s="31" t="e">
        <f>IF(LEN(_DB_Exercises!#REF!)&gt;0,_DB_Exercises!#REF!,"")</f>
        <v>#REF!</v>
      </c>
      <c r="AG162" s="31" t="e">
        <f>IF(LEN(_DB_Exercises!#REF!)&gt;0,_DB_Exercises!#REF!,"")</f>
        <v>#REF!</v>
      </c>
      <c r="AH162" s="31" t="e">
        <f>IF(LEN(_DB_Exercises!#REF!)&gt;0,_DB_Exercises!#REF!,"")</f>
        <v>#REF!</v>
      </c>
      <c r="AI162" s="31" t="e">
        <f>IF(LEN(_DB_Exercises!#REF!)&gt;0,_DB_Exercises!#REF!,"")</f>
        <v>#REF!</v>
      </c>
      <c r="AJ162" s="31" t="e">
        <f>IF(LEN(_DB_Exercises!#REF!)&gt;0,_DB_Exercises!#REF!,"")</f>
        <v>#REF!</v>
      </c>
      <c r="AK162" s="31" t="e">
        <f>IF(LEN(_DB_Exercises!#REF!)&gt;0,_DB_Exercises!#REF!,"")</f>
        <v>#REF!</v>
      </c>
      <c r="AL162" s="31" t="e">
        <f>IF(LEN(_DB_Exercises!#REF!)&gt;0,_DB_Exercises!#REF!,"")</f>
        <v>#REF!</v>
      </c>
      <c r="AM162" s="31" t="e">
        <f>IF(LEN(_DB_Exercises!#REF!)&gt;0,_DB_Exercises!#REF!,"")</f>
        <v>#REF!</v>
      </c>
      <c r="AN162" s="31" t="e">
        <f>IF(LEN(_DB_Exercises!#REF!)&gt;0,_DB_Exercises!#REF!,"")</f>
        <v>#REF!</v>
      </c>
      <c r="AO162" s="31" t="e">
        <f>IF(LEN(_DB_Exercises!#REF!)&gt;0,_DB_Exercises!#REF!,"")</f>
        <v>#REF!</v>
      </c>
      <c r="AP162" s="31" t="e">
        <f>IF(LEN(_DB_Exercises!#REF!)&gt;0,_DB_Exercises!#REF!,"")</f>
        <v>#REF!</v>
      </c>
      <c r="AQ162" s="31" t="e">
        <f>IF(LEN(_DB_Exercises!#REF!)&gt;0,_DB_Exercises!#REF!,"")</f>
        <v>#REF!</v>
      </c>
      <c r="AR162" s="31" t="e">
        <f>IF(LEN(_DB_Exercises!#REF!)&gt;0,_DB_Exercises!#REF!,"")</f>
        <v>#REF!</v>
      </c>
    </row>
    <row r="163" spans="1:44" x14ac:dyDescent="0.25">
      <c r="A163" s="11" t="e">
        <f>IF(LEN(_DB_Exercises!#REF!)&gt;0,_DB_Exercises!#REF!,"")</f>
        <v>#REF!</v>
      </c>
      <c r="B163" s="14" t="e">
        <f>IF(LEN(_DB_Exercises!#REF!)&gt;0,_DB_Exercises!#REF!,"")</f>
        <v>#REF!</v>
      </c>
      <c r="C163" s="31" t="e">
        <f>IF(LEN(_DB_Exercises!#REF!)&gt;0,_DB_Exercises!#REF!,"")</f>
        <v>#REF!</v>
      </c>
      <c r="D163" s="31" t="e">
        <f>IF(LEN(_DB_Exercises!#REF!)&gt;0,_DB_Exercises!#REF!,"")</f>
        <v>#REF!</v>
      </c>
      <c r="E163" s="31" t="e">
        <f>IF(LEN(_DB_Exercises!#REF!)&gt;0,_DB_Exercises!#REF!,"")</f>
        <v>#REF!</v>
      </c>
      <c r="F163" s="31" t="e">
        <f>IF(LEN(_DB_Exercises!#REF!)&gt;0,_DB_Exercises!#REF!,"")</f>
        <v>#REF!</v>
      </c>
      <c r="G163" s="31" t="e">
        <f>IF(LEN(_DB_Exercises!#REF!)&gt;0,_DB_Exercises!#REF!,"")</f>
        <v>#REF!</v>
      </c>
      <c r="H163" s="31" t="e">
        <f>IF(LEN(_DB_Exercises!#REF!)&gt;0,_DB_Exercises!#REF!,"")</f>
        <v>#REF!</v>
      </c>
      <c r="I163" s="31" t="e">
        <f>IF(LEN(_DB_Exercises!#REF!)&gt;0,_DB_Exercises!#REF!,"")</f>
        <v>#REF!</v>
      </c>
      <c r="J163" s="31" t="e">
        <f>IF(LEN(_DB_Exercises!#REF!)&gt;0,_DB_Exercises!#REF!,"")</f>
        <v>#REF!</v>
      </c>
      <c r="K163" s="31" t="e">
        <f>IF(LEN(_DB_Exercises!#REF!)&gt;0,_DB_Exercises!#REF!,"")</f>
        <v>#REF!</v>
      </c>
      <c r="L163" s="31" t="e">
        <f>IF(LEN(_DB_Exercises!#REF!)&gt;0,_DB_Exercises!#REF!,"")</f>
        <v>#REF!</v>
      </c>
      <c r="M163" s="31" t="e">
        <f>IF(LEN(_DB_Exercises!#REF!)&gt;0,_DB_Exercises!#REF!,"")</f>
        <v>#REF!</v>
      </c>
      <c r="N163" s="31" t="e">
        <f>IF(LEN(_DB_Exercises!#REF!)&gt;0,_DB_Exercises!#REF!,"")</f>
        <v>#REF!</v>
      </c>
      <c r="O163" s="31" t="e">
        <f>IF(LEN(_DB_Exercises!#REF!)&gt;0,_DB_Exercises!#REF!,"")</f>
        <v>#REF!</v>
      </c>
      <c r="P163" s="31" t="e">
        <f>IF(LEN(_DB_Exercises!#REF!)&gt;0,_DB_Exercises!#REF!,"")</f>
        <v>#REF!</v>
      </c>
      <c r="Q163" s="31" t="e">
        <f>IF(LEN(_DB_Exercises!#REF!)&gt;0,_DB_Exercises!#REF!,"")</f>
        <v>#REF!</v>
      </c>
      <c r="R163" s="31" t="e">
        <f>IF(LEN(_DB_Exercises!#REF!)&gt;0,_DB_Exercises!#REF!,"")</f>
        <v>#REF!</v>
      </c>
      <c r="S163" s="31" t="e">
        <f>IF(LEN(_DB_Exercises!#REF!)&gt;0,_DB_Exercises!#REF!,"")</f>
        <v>#REF!</v>
      </c>
      <c r="T163" s="31" t="e">
        <f>IF(LEN(_DB_Exercises!#REF!)&gt;0,_DB_Exercises!#REF!,"")</f>
        <v>#REF!</v>
      </c>
      <c r="U163" s="31" t="e">
        <f>IF(LEN(_DB_Exercises!#REF!)&gt;0,_DB_Exercises!#REF!,"")</f>
        <v>#REF!</v>
      </c>
      <c r="V163" s="31" t="e">
        <f>IF(LEN(_DB_Exercises!#REF!)&gt;0,_DB_Exercises!#REF!,"")</f>
        <v>#REF!</v>
      </c>
      <c r="W163" s="31" t="e">
        <f>IF(LEN(_DB_Exercises!#REF!)&gt;0,_DB_Exercises!#REF!,"")</f>
        <v>#REF!</v>
      </c>
      <c r="X163" s="31" t="e">
        <f>IF(LEN(_DB_Exercises!#REF!)&gt;0,_DB_Exercises!#REF!,"")</f>
        <v>#REF!</v>
      </c>
      <c r="Y163" s="31" t="e">
        <f>IF(LEN(_DB_Exercises!#REF!)&gt;0,_DB_Exercises!#REF!,"")</f>
        <v>#REF!</v>
      </c>
      <c r="Z163" s="31" t="e">
        <f>IF(LEN(_DB_Exercises!#REF!)&gt;0,_DB_Exercises!#REF!,"")</f>
        <v>#REF!</v>
      </c>
      <c r="AA163" s="31" t="e">
        <f>IF(LEN(_DB_Exercises!#REF!)&gt;0,_DB_Exercises!#REF!,"")</f>
        <v>#REF!</v>
      </c>
      <c r="AB163" s="31" t="e">
        <f>IF(LEN(_DB_Exercises!#REF!)&gt;0,_DB_Exercises!#REF!,"")</f>
        <v>#REF!</v>
      </c>
      <c r="AC163" s="31" t="e">
        <f>IF(LEN(_DB_Exercises!#REF!)&gt;0,_DB_Exercises!#REF!,"")</f>
        <v>#REF!</v>
      </c>
      <c r="AD163" s="31" t="e">
        <f>IF(LEN(_DB_Exercises!#REF!)&gt;0,_DB_Exercises!#REF!,"")</f>
        <v>#REF!</v>
      </c>
      <c r="AE163" s="31" t="e">
        <f>IF(LEN(_DB_Exercises!#REF!)&gt;0,_DB_Exercises!#REF!,"")</f>
        <v>#REF!</v>
      </c>
      <c r="AF163" s="31" t="e">
        <f>IF(LEN(_DB_Exercises!#REF!)&gt;0,_DB_Exercises!#REF!,"")</f>
        <v>#REF!</v>
      </c>
      <c r="AG163" s="31" t="e">
        <f>IF(LEN(_DB_Exercises!#REF!)&gt;0,_DB_Exercises!#REF!,"")</f>
        <v>#REF!</v>
      </c>
      <c r="AH163" s="31" t="e">
        <f>IF(LEN(_DB_Exercises!#REF!)&gt;0,_DB_Exercises!#REF!,"")</f>
        <v>#REF!</v>
      </c>
      <c r="AI163" s="31" t="e">
        <f>IF(LEN(_DB_Exercises!#REF!)&gt;0,_DB_Exercises!#REF!,"")</f>
        <v>#REF!</v>
      </c>
      <c r="AJ163" s="31" t="e">
        <f>IF(LEN(_DB_Exercises!#REF!)&gt;0,_DB_Exercises!#REF!,"")</f>
        <v>#REF!</v>
      </c>
      <c r="AK163" s="31" t="e">
        <f>IF(LEN(_DB_Exercises!#REF!)&gt;0,_DB_Exercises!#REF!,"")</f>
        <v>#REF!</v>
      </c>
      <c r="AL163" s="31" t="e">
        <f>IF(LEN(_DB_Exercises!#REF!)&gt;0,_DB_Exercises!#REF!,"")</f>
        <v>#REF!</v>
      </c>
      <c r="AM163" s="31" t="e">
        <f>IF(LEN(_DB_Exercises!#REF!)&gt;0,_DB_Exercises!#REF!,"")</f>
        <v>#REF!</v>
      </c>
      <c r="AN163" s="31" t="e">
        <f>IF(LEN(_DB_Exercises!#REF!)&gt;0,_DB_Exercises!#REF!,"")</f>
        <v>#REF!</v>
      </c>
      <c r="AO163" s="31" t="e">
        <f>IF(LEN(_DB_Exercises!#REF!)&gt;0,_DB_Exercises!#REF!,"")</f>
        <v>#REF!</v>
      </c>
      <c r="AP163" s="31" t="e">
        <f>IF(LEN(_DB_Exercises!#REF!)&gt;0,_DB_Exercises!#REF!,"")</f>
        <v>#REF!</v>
      </c>
      <c r="AQ163" s="31" t="e">
        <f>IF(LEN(_DB_Exercises!#REF!)&gt;0,_DB_Exercises!#REF!,"")</f>
        <v>#REF!</v>
      </c>
      <c r="AR163" s="31" t="e">
        <f>IF(LEN(_DB_Exercises!#REF!)&gt;0,_DB_Exercises!#REF!,"")</f>
        <v>#REF!</v>
      </c>
    </row>
    <row r="164" spans="1:44" x14ac:dyDescent="0.25">
      <c r="A164" s="11" t="e">
        <f>IF(LEN(_DB_Exercises!#REF!)&gt;0,_DB_Exercises!#REF!,"")</f>
        <v>#REF!</v>
      </c>
      <c r="B164" s="14" t="e">
        <f>IF(LEN(_DB_Exercises!#REF!)&gt;0,_DB_Exercises!#REF!,"")</f>
        <v>#REF!</v>
      </c>
      <c r="C164" s="31" t="e">
        <f>IF(LEN(_DB_Exercises!#REF!)&gt;0,_DB_Exercises!#REF!,"")</f>
        <v>#REF!</v>
      </c>
      <c r="D164" s="31" t="e">
        <f>IF(LEN(_DB_Exercises!#REF!)&gt;0,_DB_Exercises!#REF!,"")</f>
        <v>#REF!</v>
      </c>
      <c r="E164" s="31" t="e">
        <f>IF(LEN(_DB_Exercises!#REF!)&gt;0,_DB_Exercises!#REF!,"")</f>
        <v>#REF!</v>
      </c>
      <c r="F164" s="31" t="e">
        <f>IF(LEN(_DB_Exercises!#REF!)&gt;0,_DB_Exercises!#REF!,"")</f>
        <v>#REF!</v>
      </c>
      <c r="G164" s="31" t="e">
        <f>IF(LEN(_DB_Exercises!#REF!)&gt;0,_DB_Exercises!#REF!,"")</f>
        <v>#REF!</v>
      </c>
      <c r="H164" s="31" t="e">
        <f>IF(LEN(_DB_Exercises!#REF!)&gt;0,_DB_Exercises!#REF!,"")</f>
        <v>#REF!</v>
      </c>
      <c r="I164" s="31" t="e">
        <f>IF(LEN(_DB_Exercises!#REF!)&gt;0,_DB_Exercises!#REF!,"")</f>
        <v>#REF!</v>
      </c>
      <c r="J164" s="31" t="e">
        <f>IF(LEN(_DB_Exercises!#REF!)&gt;0,_DB_Exercises!#REF!,"")</f>
        <v>#REF!</v>
      </c>
      <c r="K164" s="31" t="e">
        <f>IF(LEN(_DB_Exercises!#REF!)&gt;0,_DB_Exercises!#REF!,"")</f>
        <v>#REF!</v>
      </c>
      <c r="L164" s="31" t="e">
        <f>IF(LEN(_DB_Exercises!#REF!)&gt;0,_DB_Exercises!#REF!,"")</f>
        <v>#REF!</v>
      </c>
      <c r="M164" s="31" t="e">
        <f>IF(LEN(_DB_Exercises!#REF!)&gt;0,_DB_Exercises!#REF!,"")</f>
        <v>#REF!</v>
      </c>
      <c r="N164" s="31" t="e">
        <f>IF(LEN(_DB_Exercises!#REF!)&gt;0,_DB_Exercises!#REF!,"")</f>
        <v>#REF!</v>
      </c>
      <c r="O164" s="31" t="e">
        <f>IF(LEN(_DB_Exercises!#REF!)&gt;0,_DB_Exercises!#REF!,"")</f>
        <v>#REF!</v>
      </c>
      <c r="P164" s="31" t="e">
        <f>IF(LEN(_DB_Exercises!#REF!)&gt;0,_DB_Exercises!#REF!,"")</f>
        <v>#REF!</v>
      </c>
      <c r="Q164" s="31" t="e">
        <f>IF(LEN(_DB_Exercises!#REF!)&gt;0,_DB_Exercises!#REF!,"")</f>
        <v>#REF!</v>
      </c>
      <c r="R164" s="31" t="e">
        <f>IF(LEN(_DB_Exercises!#REF!)&gt;0,_DB_Exercises!#REF!,"")</f>
        <v>#REF!</v>
      </c>
      <c r="S164" s="31" t="e">
        <f>IF(LEN(_DB_Exercises!#REF!)&gt;0,_DB_Exercises!#REF!,"")</f>
        <v>#REF!</v>
      </c>
      <c r="T164" s="31" t="e">
        <f>IF(LEN(_DB_Exercises!#REF!)&gt;0,_DB_Exercises!#REF!,"")</f>
        <v>#REF!</v>
      </c>
      <c r="U164" s="31" t="e">
        <f>IF(LEN(_DB_Exercises!#REF!)&gt;0,_DB_Exercises!#REF!,"")</f>
        <v>#REF!</v>
      </c>
      <c r="V164" s="31" t="e">
        <f>IF(LEN(_DB_Exercises!#REF!)&gt;0,_DB_Exercises!#REF!,"")</f>
        <v>#REF!</v>
      </c>
      <c r="W164" s="31" t="e">
        <f>IF(LEN(_DB_Exercises!#REF!)&gt;0,_DB_Exercises!#REF!,"")</f>
        <v>#REF!</v>
      </c>
      <c r="X164" s="31" t="e">
        <f>IF(LEN(_DB_Exercises!#REF!)&gt;0,_DB_Exercises!#REF!,"")</f>
        <v>#REF!</v>
      </c>
      <c r="Y164" s="31" t="e">
        <f>IF(LEN(_DB_Exercises!#REF!)&gt;0,_DB_Exercises!#REF!,"")</f>
        <v>#REF!</v>
      </c>
      <c r="Z164" s="31" t="e">
        <f>IF(LEN(_DB_Exercises!#REF!)&gt;0,_DB_Exercises!#REF!,"")</f>
        <v>#REF!</v>
      </c>
      <c r="AA164" s="31" t="e">
        <f>IF(LEN(_DB_Exercises!#REF!)&gt;0,_DB_Exercises!#REF!,"")</f>
        <v>#REF!</v>
      </c>
      <c r="AB164" s="31" t="e">
        <f>IF(LEN(_DB_Exercises!#REF!)&gt;0,_DB_Exercises!#REF!,"")</f>
        <v>#REF!</v>
      </c>
      <c r="AC164" s="31" t="e">
        <f>IF(LEN(_DB_Exercises!#REF!)&gt;0,_DB_Exercises!#REF!,"")</f>
        <v>#REF!</v>
      </c>
      <c r="AD164" s="31" t="e">
        <f>IF(LEN(_DB_Exercises!#REF!)&gt;0,_DB_Exercises!#REF!,"")</f>
        <v>#REF!</v>
      </c>
      <c r="AE164" s="31" t="e">
        <f>IF(LEN(_DB_Exercises!#REF!)&gt;0,_DB_Exercises!#REF!,"")</f>
        <v>#REF!</v>
      </c>
      <c r="AF164" s="31" t="e">
        <f>IF(LEN(_DB_Exercises!#REF!)&gt;0,_DB_Exercises!#REF!,"")</f>
        <v>#REF!</v>
      </c>
      <c r="AG164" s="31" t="e">
        <f>IF(LEN(_DB_Exercises!#REF!)&gt;0,_DB_Exercises!#REF!,"")</f>
        <v>#REF!</v>
      </c>
      <c r="AH164" s="31" t="e">
        <f>IF(LEN(_DB_Exercises!#REF!)&gt;0,_DB_Exercises!#REF!,"")</f>
        <v>#REF!</v>
      </c>
      <c r="AI164" s="31" t="e">
        <f>IF(LEN(_DB_Exercises!#REF!)&gt;0,_DB_Exercises!#REF!,"")</f>
        <v>#REF!</v>
      </c>
      <c r="AJ164" s="31" t="e">
        <f>IF(LEN(_DB_Exercises!#REF!)&gt;0,_DB_Exercises!#REF!,"")</f>
        <v>#REF!</v>
      </c>
      <c r="AK164" s="31" t="e">
        <f>IF(LEN(_DB_Exercises!#REF!)&gt;0,_DB_Exercises!#REF!,"")</f>
        <v>#REF!</v>
      </c>
      <c r="AL164" s="31" t="e">
        <f>IF(LEN(_DB_Exercises!#REF!)&gt;0,_DB_Exercises!#REF!,"")</f>
        <v>#REF!</v>
      </c>
      <c r="AM164" s="31" t="e">
        <f>IF(LEN(_DB_Exercises!#REF!)&gt;0,_DB_Exercises!#REF!,"")</f>
        <v>#REF!</v>
      </c>
      <c r="AN164" s="31" t="e">
        <f>IF(LEN(_DB_Exercises!#REF!)&gt;0,_DB_Exercises!#REF!,"")</f>
        <v>#REF!</v>
      </c>
      <c r="AO164" s="31" t="e">
        <f>IF(LEN(_DB_Exercises!#REF!)&gt;0,_DB_Exercises!#REF!,"")</f>
        <v>#REF!</v>
      </c>
      <c r="AP164" s="31" t="e">
        <f>IF(LEN(_DB_Exercises!#REF!)&gt;0,_DB_Exercises!#REF!,"")</f>
        <v>#REF!</v>
      </c>
      <c r="AQ164" s="31" t="e">
        <f>IF(LEN(_DB_Exercises!#REF!)&gt;0,_DB_Exercises!#REF!,"")</f>
        <v>#REF!</v>
      </c>
      <c r="AR164" s="31" t="e">
        <f>IF(LEN(_DB_Exercises!#REF!)&gt;0,_DB_Exercises!#REF!,"")</f>
        <v>#REF!</v>
      </c>
    </row>
    <row r="165" spans="1:44" x14ac:dyDescent="0.25">
      <c r="A165" s="11" t="e">
        <f>IF(LEN(_DB_Exercises!#REF!)&gt;0,_DB_Exercises!#REF!,"")</f>
        <v>#REF!</v>
      </c>
      <c r="B165" s="14" t="e">
        <f>IF(LEN(_DB_Exercises!#REF!)&gt;0,_DB_Exercises!#REF!,"")</f>
        <v>#REF!</v>
      </c>
      <c r="C165" s="31" t="e">
        <f>IF(LEN(_DB_Exercises!#REF!)&gt;0,_DB_Exercises!#REF!,"")</f>
        <v>#REF!</v>
      </c>
      <c r="D165" s="31" t="e">
        <f>IF(LEN(_DB_Exercises!#REF!)&gt;0,_DB_Exercises!#REF!,"")</f>
        <v>#REF!</v>
      </c>
      <c r="E165" s="31" t="e">
        <f>IF(LEN(_DB_Exercises!#REF!)&gt;0,_DB_Exercises!#REF!,"")</f>
        <v>#REF!</v>
      </c>
      <c r="F165" s="31" t="e">
        <f>IF(LEN(_DB_Exercises!#REF!)&gt;0,_DB_Exercises!#REF!,"")</f>
        <v>#REF!</v>
      </c>
      <c r="G165" s="31" t="e">
        <f>IF(LEN(_DB_Exercises!#REF!)&gt;0,_DB_Exercises!#REF!,"")</f>
        <v>#REF!</v>
      </c>
      <c r="H165" s="31" t="e">
        <f>IF(LEN(_DB_Exercises!#REF!)&gt;0,_DB_Exercises!#REF!,"")</f>
        <v>#REF!</v>
      </c>
      <c r="I165" s="31" t="e">
        <f>IF(LEN(_DB_Exercises!#REF!)&gt;0,_DB_Exercises!#REF!,"")</f>
        <v>#REF!</v>
      </c>
      <c r="J165" s="31" t="e">
        <f>IF(LEN(_DB_Exercises!#REF!)&gt;0,_DB_Exercises!#REF!,"")</f>
        <v>#REF!</v>
      </c>
      <c r="K165" s="31" t="e">
        <f>IF(LEN(_DB_Exercises!#REF!)&gt;0,_DB_Exercises!#REF!,"")</f>
        <v>#REF!</v>
      </c>
      <c r="L165" s="31" t="e">
        <f>IF(LEN(_DB_Exercises!#REF!)&gt;0,_DB_Exercises!#REF!,"")</f>
        <v>#REF!</v>
      </c>
      <c r="M165" s="31" t="e">
        <f>IF(LEN(_DB_Exercises!#REF!)&gt;0,_DB_Exercises!#REF!,"")</f>
        <v>#REF!</v>
      </c>
      <c r="N165" s="31" t="e">
        <f>IF(LEN(_DB_Exercises!#REF!)&gt;0,_DB_Exercises!#REF!,"")</f>
        <v>#REF!</v>
      </c>
      <c r="O165" s="31" t="e">
        <f>IF(LEN(_DB_Exercises!#REF!)&gt;0,_DB_Exercises!#REF!,"")</f>
        <v>#REF!</v>
      </c>
      <c r="P165" s="31" t="e">
        <f>IF(LEN(_DB_Exercises!#REF!)&gt;0,_DB_Exercises!#REF!,"")</f>
        <v>#REF!</v>
      </c>
      <c r="Q165" s="31" t="e">
        <f>IF(LEN(_DB_Exercises!#REF!)&gt;0,_DB_Exercises!#REF!,"")</f>
        <v>#REF!</v>
      </c>
      <c r="R165" s="31" t="e">
        <f>IF(LEN(_DB_Exercises!#REF!)&gt;0,_DB_Exercises!#REF!,"")</f>
        <v>#REF!</v>
      </c>
      <c r="S165" s="31" t="e">
        <f>IF(LEN(_DB_Exercises!#REF!)&gt;0,_DB_Exercises!#REF!,"")</f>
        <v>#REF!</v>
      </c>
      <c r="T165" s="31" t="e">
        <f>IF(LEN(_DB_Exercises!#REF!)&gt;0,_DB_Exercises!#REF!,"")</f>
        <v>#REF!</v>
      </c>
      <c r="U165" s="31" t="e">
        <f>IF(LEN(_DB_Exercises!#REF!)&gt;0,_DB_Exercises!#REF!,"")</f>
        <v>#REF!</v>
      </c>
      <c r="V165" s="31" t="e">
        <f>IF(LEN(_DB_Exercises!#REF!)&gt;0,_DB_Exercises!#REF!,"")</f>
        <v>#REF!</v>
      </c>
      <c r="W165" s="31" t="e">
        <f>IF(LEN(_DB_Exercises!#REF!)&gt;0,_DB_Exercises!#REF!,"")</f>
        <v>#REF!</v>
      </c>
      <c r="X165" s="31" t="e">
        <f>IF(LEN(_DB_Exercises!#REF!)&gt;0,_DB_Exercises!#REF!,"")</f>
        <v>#REF!</v>
      </c>
      <c r="Y165" s="31" t="e">
        <f>IF(LEN(_DB_Exercises!#REF!)&gt;0,_DB_Exercises!#REF!,"")</f>
        <v>#REF!</v>
      </c>
      <c r="Z165" s="31" t="e">
        <f>IF(LEN(_DB_Exercises!#REF!)&gt;0,_DB_Exercises!#REF!,"")</f>
        <v>#REF!</v>
      </c>
      <c r="AA165" s="31" t="e">
        <f>IF(LEN(_DB_Exercises!#REF!)&gt;0,_DB_Exercises!#REF!,"")</f>
        <v>#REF!</v>
      </c>
      <c r="AB165" s="31" t="e">
        <f>IF(LEN(_DB_Exercises!#REF!)&gt;0,_DB_Exercises!#REF!,"")</f>
        <v>#REF!</v>
      </c>
      <c r="AC165" s="31" t="e">
        <f>IF(LEN(_DB_Exercises!#REF!)&gt;0,_DB_Exercises!#REF!,"")</f>
        <v>#REF!</v>
      </c>
      <c r="AD165" s="31" t="e">
        <f>IF(LEN(_DB_Exercises!#REF!)&gt;0,_DB_Exercises!#REF!,"")</f>
        <v>#REF!</v>
      </c>
      <c r="AE165" s="31" t="e">
        <f>IF(LEN(_DB_Exercises!#REF!)&gt;0,_DB_Exercises!#REF!,"")</f>
        <v>#REF!</v>
      </c>
      <c r="AF165" s="31" t="e">
        <f>IF(LEN(_DB_Exercises!#REF!)&gt;0,_DB_Exercises!#REF!,"")</f>
        <v>#REF!</v>
      </c>
      <c r="AG165" s="31" t="e">
        <f>IF(LEN(_DB_Exercises!#REF!)&gt;0,_DB_Exercises!#REF!,"")</f>
        <v>#REF!</v>
      </c>
      <c r="AH165" s="31" t="e">
        <f>IF(LEN(_DB_Exercises!#REF!)&gt;0,_DB_Exercises!#REF!,"")</f>
        <v>#REF!</v>
      </c>
      <c r="AI165" s="31" t="e">
        <f>IF(LEN(_DB_Exercises!#REF!)&gt;0,_DB_Exercises!#REF!,"")</f>
        <v>#REF!</v>
      </c>
      <c r="AJ165" s="31" t="e">
        <f>IF(LEN(_DB_Exercises!#REF!)&gt;0,_DB_Exercises!#REF!,"")</f>
        <v>#REF!</v>
      </c>
      <c r="AK165" s="31" t="e">
        <f>IF(LEN(_DB_Exercises!#REF!)&gt;0,_DB_Exercises!#REF!,"")</f>
        <v>#REF!</v>
      </c>
      <c r="AL165" s="31" t="e">
        <f>IF(LEN(_DB_Exercises!#REF!)&gt;0,_DB_Exercises!#REF!,"")</f>
        <v>#REF!</v>
      </c>
      <c r="AM165" s="31" t="e">
        <f>IF(LEN(_DB_Exercises!#REF!)&gt;0,_DB_Exercises!#REF!,"")</f>
        <v>#REF!</v>
      </c>
      <c r="AN165" s="31" t="e">
        <f>IF(LEN(_DB_Exercises!#REF!)&gt;0,_DB_Exercises!#REF!,"")</f>
        <v>#REF!</v>
      </c>
      <c r="AO165" s="31" t="e">
        <f>IF(LEN(_DB_Exercises!#REF!)&gt;0,_DB_Exercises!#REF!,"")</f>
        <v>#REF!</v>
      </c>
      <c r="AP165" s="31" t="e">
        <f>IF(LEN(_DB_Exercises!#REF!)&gt;0,_DB_Exercises!#REF!,"")</f>
        <v>#REF!</v>
      </c>
      <c r="AQ165" s="31" t="e">
        <f>IF(LEN(_DB_Exercises!#REF!)&gt;0,_DB_Exercises!#REF!,"")</f>
        <v>#REF!</v>
      </c>
      <c r="AR165" s="31" t="e">
        <f>IF(LEN(_DB_Exercises!#REF!)&gt;0,_DB_Exercises!#REF!,"")</f>
        <v>#REF!</v>
      </c>
    </row>
    <row r="166" spans="1:44" x14ac:dyDescent="0.25">
      <c r="A166" s="11" t="e">
        <f>IF(LEN(_DB_Exercises!#REF!)&gt;0,_DB_Exercises!#REF!,"")</f>
        <v>#REF!</v>
      </c>
      <c r="B166" s="14" t="e">
        <f>IF(LEN(_DB_Exercises!#REF!)&gt;0,_DB_Exercises!#REF!,"")</f>
        <v>#REF!</v>
      </c>
      <c r="C166" s="31" t="e">
        <f>IF(LEN(_DB_Exercises!#REF!)&gt;0,_DB_Exercises!#REF!,"")</f>
        <v>#REF!</v>
      </c>
      <c r="D166" s="31" t="e">
        <f>IF(LEN(_DB_Exercises!#REF!)&gt;0,_DB_Exercises!#REF!,"")</f>
        <v>#REF!</v>
      </c>
      <c r="E166" s="31" t="e">
        <f>IF(LEN(_DB_Exercises!#REF!)&gt;0,_DB_Exercises!#REF!,"")</f>
        <v>#REF!</v>
      </c>
      <c r="F166" s="31" t="e">
        <f>IF(LEN(_DB_Exercises!#REF!)&gt;0,_DB_Exercises!#REF!,"")</f>
        <v>#REF!</v>
      </c>
      <c r="G166" s="31" t="e">
        <f>IF(LEN(_DB_Exercises!#REF!)&gt;0,_DB_Exercises!#REF!,"")</f>
        <v>#REF!</v>
      </c>
      <c r="H166" s="31" t="e">
        <f>IF(LEN(_DB_Exercises!#REF!)&gt;0,_DB_Exercises!#REF!,"")</f>
        <v>#REF!</v>
      </c>
      <c r="I166" s="31" t="e">
        <f>IF(LEN(_DB_Exercises!#REF!)&gt;0,_DB_Exercises!#REF!,"")</f>
        <v>#REF!</v>
      </c>
      <c r="J166" s="31" t="e">
        <f>IF(LEN(_DB_Exercises!#REF!)&gt;0,_DB_Exercises!#REF!,"")</f>
        <v>#REF!</v>
      </c>
      <c r="K166" s="31" t="e">
        <f>IF(LEN(_DB_Exercises!#REF!)&gt;0,_DB_Exercises!#REF!,"")</f>
        <v>#REF!</v>
      </c>
      <c r="L166" s="31" t="e">
        <f>IF(LEN(_DB_Exercises!#REF!)&gt;0,_DB_Exercises!#REF!,"")</f>
        <v>#REF!</v>
      </c>
      <c r="M166" s="31" t="e">
        <f>IF(LEN(_DB_Exercises!#REF!)&gt;0,_DB_Exercises!#REF!,"")</f>
        <v>#REF!</v>
      </c>
      <c r="N166" s="31" t="e">
        <f>IF(LEN(_DB_Exercises!#REF!)&gt;0,_DB_Exercises!#REF!,"")</f>
        <v>#REF!</v>
      </c>
      <c r="O166" s="31" t="e">
        <f>IF(LEN(_DB_Exercises!#REF!)&gt;0,_DB_Exercises!#REF!,"")</f>
        <v>#REF!</v>
      </c>
      <c r="P166" s="31" t="e">
        <f>IF(LEN(_DB_Exercises!#REF!)&gt;0,_DB_Exercises!#REF!,"")</f>
        <v>#REF!</v>
      </c>
      <c r="Q166" s="31" t="e">
        <f>IF(LEN(_DB_Exercises!#REF!)&gt;0,_DB_Exercises!#REF!,"")</f>
        <v>#REF!</v>
      </c>
      <c r="R166" s="31" t="e">
        <f>IF(LEN(_DB_Exercises!#REF!)&gt;0,_DB_Exercises!#REF!,"")</f>
        <v>#REF!</v>
      </c>
      <c r="S166" s="31" t="e">
        <f>IF(LEN(_DB_Exercises!#REF!)&gt;0,_DB_Exercises!#REF!,"")</f>
        <v>#REF!</v>
      </c>
      <c r="T166" s="31" t="e">
        <f>IF(LEN(_DB_Exercises!#REF!)&gt;0,_DB_Exercises!#REF!,"")</f>
        <v>#REF!</v>
      </c>
      <c r="U166" s="31" t="e">
        <f>IF(LEN(_DB_Exercises!#REF!)&gt;0,_DB_Exercises!#REF!,"")</f>
        <v>#REF!</v>
      </c>
      <c r="V166" s="31" t="e">
        <f>IF(LEN(_DB_Exercises!#REF!)&gt;0,_DB_Exercises!#REF!,"")</f>
        <v>#REF!</v>
      </c>
      <c r="W166" s="31" t="e">
        <f>IF(LEN(_DB_Exercises!#REF!)&gt;0,_DB_Exercises!#REF!,"")</f>
        <v>#REF!</v>
      </c>
      <c r="X166" s="31" t="e">
        <f>IF(LEN(_DB_Exercises!#REF!)&gt;0,_DB_Exercises!#REF!,"")</f>
        <v>#REF!</v>
      </c>
      <c r="Y166" s="31" t="e">
        <f>IF(LEN(_DB_Exercises!#REF!)&gt;0,_DB_Exercises!#REF!,"")</f>
        <v>#REF!</v>
      </c>
      <c r="Z166" s="31" t="e">
        <f>IF(LEN(_DB_Exercises!#REF!)&gt;0,_DB_Exercises!#REF!,"")</f>
        <v>#REF!</v>
      </c>
      <c r="AA166" s="31" t="e">
        <f>IF(LEN(_DB_Exercises!#REF!)&gt;0,_DB_Exercises!#REF!,"")</f>
        <v>#REF!</v>
      </c>
      <c r="AB166" s="31" t="e">
        <f>IF(LEN(_DB_Exercises!#REF!)&gt;0,_DB_Exercises!#REF!,"")</f>
        <v>#REF!</v>
      </c>
      <c r="AC166" s="31" t="e">
        <f>IF(LEN(_DB_Exercises!#REF!)&gt;0,_DB_Exercises!#REF!,"")</f>
        <v>#REF!</v>
      </c>
      <c r="AD166" s="31" t="e">
        <f>IF(LEN(_DB_Exercises!#REF!)&gt;0,_DB_Exercises!#REF!,"")</f>
        <v>#REF!</v>
      </c>
      <c r="AE166" s="31" t="e">
        <f>IF(LEN(_DB_Exercises!#REF!)&gt;0,_DB_Exercises!#REF!,"")</f>
        <v>#REF!</v>
      </c>
      <c r="AF166" s="31" t="e">
        <f>IF(LEN(_DB_Exercises!#REF!)&gt;0,_DB_Exercises!#REF!,"")</f>
        <v>#REF!</v>
      </c>
      <c r="AG166" s="31" t="e">
        <f>IF(LEN(_DB_Exercises!#REF!)&gt;0,_DB_Exercises!#REF!,"")</f>
        <v>#REF!</v>
      </c>
      <c r="AH166" s="31" t="e">
        <f>IF(LEN(_DB_Exercises!#REF!)&gt;0,_DB_Exercises!#REF!,"")</f>
        <v>#REF!</v>
      </c>
      <c r="AI166" s="31" t="e">
        <f>IF(LEN(_DB_Exercises!#REF!)&gt;0,_DB_Exercises!#REF!,"")</f>
        <v>#REF!</v>
      </c>
      <c r="AJ166" s="31" t="e">
        <f>IF(LEN(_DB_Exercises!#REF!)&gt;0,_DB_Exercises!#REF!,"")</f>
        <v>#REF!</v>
      </c>
      <c r="AK166" s="31" t="e">
        <f>IF(LEN(_DB_Exercises!#REF!)&gt;0,_DB_Exercises!#REF!,"")</f>
        <v>#REF!</v>
      </c>
      <c r="AL166" s="31" t="e">
        <f>IF(LEN(_DB_Exercises!#REF!)&gt;0,_DB_Exercises!#REF!,"")</f>
        <v>#REF!</v>
      </c>
      <c r="AM166" s="31" t="e">
        <f>IF(LEN(_DB_Exercises!#REF!)&gt;0,_DB_Exercises!#REF!,"")</f>
        <v>#REF!</v>
      </c>
      <c r="AN166" s="31" t="e">
        <f>IF(LEN(_DB_Exercises!#REF!)&gt;0,_DB_Exercises!#REF!,"")</f>
        <v>#REF!</v>
      </c>
      <c r="AO166" s="31" t="e">
        <f>IF(LEN(_DB_Exercises!#REF!)&gt;0,_DB_Exercises!#REF!,"")</f>
        <v>#REF!</v>
      </c>
      <c r="AP166" s="31" t="e">
        <f>IF(LEN(_DB_Exercises!#REF!)&gt;0,_DB_Exercises!#REF!,"")</f>
        <v>#REF!</v>
      </c>
      <c r="AQ166" s="31" t="e">
        <f>IF(LEN(_DB_Exercises!#REF!)&gt;0,_DB_Exercises!#REF!,"")</f>
        <v>#REF!</v>
      </c>
      <c r="AR166" s="31" t="e">
        <f>IF(LEN(_DB_Exercises!#REF!)&gt;0,_DB_Exercises!#REF!,"")</f>
        <v>#REF!</v>
      </c>
    </row>
    <row r="167" spans="1:44" x14ac:dyDescent="0.25">
      <c r="A167" s="11" t="e">
        <f>IF(LEN(_DB_Exercises!#REF!)&gt;0,_DB_Exercises!#REF!,"")</f>
        <v>#REF!</v>
      </c>
      <c r="B167" s="14" t="e">
        <f>IF(LEN(_DB_Exercises!#REF!)&gt;0,_DB_Exercises!#REF!,"")</f>
        <v>#REF!</v>
      </c>
      <c r="C167" s="31" t="e">
        <f>IF(LEN(_DB_Exercises!#REF!)&gt;0,_DB_Exercises!#REF!,"")</f>
        <v>#REF!</v>
      </c>
      <c r="D167" s="31" t="e">
        <f>IF(LEN(_DB_Exercises!#REF!)&gt;0,_DB_Exercises!#REF!,"")</f>
        <v>#REF!</v>
      </c>
      <c r="E167" s="31" t="e">
        <f>IF(LEN(_DB_Exercises!#REF!)&gt;0,_DB_Exercises!#REF!,"")</f>
        <v>#REF!</v>
      </c>
      <c r="F167" s="31" t="e">
        <f>IF(LEN(_DB_Exercises!#REF!)&gt;0,_DB_Exercises!#REF!,"")</f>
        <v>#REF!</v>
      </c>
      <c r="G167" s="31" t="e">
        <f>IF(LEN(_DB_Exercises!#REF!)&gt;0,_DB_Exercises!#REF!,"")</f>
        <v>#REF!</v>
      </c>
      <c r="H167" s="31" t="e">
        <f>IF(LEN(_DB_Exercises!#REF!)&gt;0,_DB_Exercises!#REF!,"")</f>
        <v>#REF!</v>
      </c>
      <c r="I167" s="31" t="e">
        <f>IF(LEN(_DB_Exercises!#REF!)&gt;0,_DB_Exercises!#REF!,"")</f>
        <v>#REF!</v>
      </c>
      <c r="J167" s="31" t="e">
        <f>IF(LEN(_DB_Exercises!#REF!)&gt;0,_DB_Exercises!#REF!,"")</f>
        <v>#REF!</v>
      </c>
      <c r="K167" s="31" t="e">
        <f>IF(LEN(_DB_Exercises!#REF!)&gt;0,_DB_Exercises!#REF!,"")</f>
        <v>#REF!</v>
      </c>
      <c r="L167" s="31" t="e">
        <f>IF(LEN(_DB_Exercises!#REF!)&gt;0,_DB_Exercises!#REF!,"")</f>
        <v>#REF!</v>
      </c>
      <c r="M167" s="31" t="e">
        <f>IF(LEN(_DB_Exercises!#REF!)&gt;0,_DB_Exercises!#REF!,"")</f>
        <v>#REF!</v>
      </c>
      <c r="N167" s="31" t="e">
        <f>IF(LEN(_DB_Exercises!#REF!)&gt;0,_DB_Exercises!#REF!,"")</f>
        <v>#REF!</v>
      </c>
      <c r="O167" s="31" t="e">
        <f>IF(LEN(_DB_Exercises!#REF!)&gt;0,_DB_Exercises!#REF!,"")</f>
        <v>#REF!</v>
      </c>
      <c r="P167" s="31" t="e">
        <f>IF(LEN(_DB_Exercises!#REF!)&gt;0,_DB_Exercises!#REF!,"")</f>
        <v>#REF!</v>
      </c>
      <c r="Q167" s="31" t="e">
        <f>IF(LEN(_DB_Exercises!#REF!)&gt;0,_DB_Exercises!#REF!,"")</f>
        <v>#REF!</v>
      </c>
      <c r="R167" s="31" t="e">
        <f>IF(LEN(_DB_Exercises!#REF!)&gt;0,_DB_Exercises!#REF!,"")</f>
        <v>#REF!</v>
      </c>
      <c r="S167" s="31" t="e">
        <f>IF(LEN(_DB_Exercises!#REF!)&gt;0,_DB_Exercises!#REF!,"")</f>
        <v>#REF!</v>
      </c>
      <c r="T167" s="31" t="e">
        <f>IF(LEN(_DB_Exercises!#REF!)&gt;0,_DB_Exercises!#REF!,"")</f>
        <v>#REF!</v>
      </c>
      <c r="U167" s="31" t="e">
        <f>IF(LEN(_DB_Exercises!#REF!)&gt;0,_DB_Exercises!#REF!,"")</f>
        <v>#REF!</v>
      </c>
      <c r="V167" s="31" t="e">
        <f>IF(LEN(_DB_Exercises!#REF!)&gt;0,_DB_Exercises!#REF!,"")</f>
        <v>#REF!</v>
      </c>
      <c r="W167" s="31" t="e">
        <f>IF(LEN(_DB_Exercises!#REF!)&gt;0,_DB_Exercises!#REF!,"")</f>
        <v>#REF!</v>
      </c>
      <c r="X167" s="31" t="e">
        <f>IF(LEN(_DB_Exercises!#REF!)&gt;0,_DB_Exercises!#REF!,"")</f>
        <v>#REF!</v>
      </c>
      <c r="Y167" s="31" t="e">
        <f>IF(LEN(_DB_Exercises!#REF!)&gt;0,_DB_Exercises!#REF!,"")</f>
        <v>#REF!</v>
      </c>
      <c r="Z167" s="31" t="e">
        <f>IF(LEN(_DB_Exercises!#REF!)&gt;0,_DB_Exercises!#REF!,"")</f>
        <v>#REF!</v>
      </c>
      <c r="AA167" s="31" t="e">
        <f>IF(LEN(_DB_Exercises!#REF!)&gt;0,_DB_Exercises!#REF!,"")</f>
        <v>#REF!</v>
      </c>
      <c r="AB167" s="31" t="e">
        <f>IF(LEN(_DB_Exercises!#REF!)&gt;0,_DB_Exercises!#REF!,"")</f>
        <v>#REF!</v>
      </c>
      <c r="AC167" s="31" t="e">
        <f>IF(LEN(_DB_Exercises!#REF!)&gt;0,_DB_Exercises!#REF!,"")</f>
        <v>#REF!</v>
      </c>
      <c r="AD167" s="31" t="e">
        <f>IF(LEN(_DB_Exercises!#REF!)&gt;0,_DB_Exercises!#REF!,"")</f>
        <v>#REF!</v>
      </c>
      <c r="AE167" s="31" t="e">
        <f>IF(LEN(_DB_Exercises!#REF!)&gt;0,_DB_Exercises!#REF!,"")</f>
        <v>#REF!</v>
      </c>
      <c r="AF167" s="31" t="e">
        <f>IF(LEN(_DB_Exercises!#REF!)&gt;0,_DB_Exercises!#REF!,"")</f>
        <v>#REF!</v>
      </c>
      <c r="AG167" s="31" t="e">
        <f>IF(LEN(_DB_Exercises!#REF!)&gt;0,_DB_Exercises!#REF!,"")</f>
        <v>#REF!</v>
      </c>
      <c r="AH167" s="31" t="e">
        <f>IF(LEN(_DB_Exercises!#REF!)&gt;0,_DB_Exercises!#REF!,"")</f>
        <v>#REF!</v>
      </c>
      <c r="AI167" s="31" t="e">
        <f>IF(LEN(_DB_Exercises!#REF!)&gt;0,_DB_Exercises!#REF!,"")</f>
        <v>#REF!</v>
      </c>
      <c r="AJ167" s="31" t="e">
        <f>IF(LEN(_DB_Exercises!#REF!)&gt;0,_DB_Exercises!#REF!,"")</f>
        <v>#REF!</v>
      </c>
      <c r="AK167" s="31" t="e">
        <f>IF(LEN(_DB_Exercises!#REF!)&gt;0,_DB_Exercises!#REF!,"")</f>
        <v>#REF!</v>
      </c>
      <c r="AL167" s="31" t="e">
        <f>IF(LEN(_DB_Exercises!#REF!)&gt;0,_DB_Exercises!#REF!,"")</f>
        <v>#REF!</v>
      </c>
      <c r="AM167" s="31" t="e">
        <f>IF(LEN(_DB_Exercises!#REF!)&gt;0,_DB_Exercises!#REF!,"")</f>
        <v>#REF!</v>
      </c>
      <c r="AN167" s="31" t="e">
        <f>IF(LEN(_DB_Exercises!#REF!)&gt;0,_DB_Exercises!#REF!,"")</f>
        <v>#REF!</v>
      </c>
      <c r="AO167" s="31" t="e">
        <f>IF(LEN(_DB_Exercises!#REF!)&gt;0,_DB_Exercises!#REF!,"")</f>
        <v>#REF!</v>
      </c>
      <c r="AP167" s="31" t="e">
        <f>IF(LEN(_DB_Exercises!#REF!)&gt;0,_DB_Exercises!#REF!,"")</f>
        <v>#REF!</v>
      </c>
      <c r="AQ167" s="31" t="e">
        <f>IF(LEN(_DB_Exercises!#REF!)&gt;0,_DB_Exercises!#REF!,"")</f>
        <v>#REF!</v>
      </c>
      <c r="AR167" s="31" t="e">
        <f>IF(LEN(_DB_Exercises!#REF!)&gt;0,_DB_Exercises!#REF!,"")</f>
        <v>#REF!</v>
      </c>
    </row>
    <row r="168" spans="1:44" x14ac:dyDescent="0.25">
      <c r="A168" s="11" t="e">
        <f>IF(LEN(_DB_Exercises!#REF!)&gt;0,_DB_Exercises!#REF!,"")</f>
        <v>#REF!</v>
      </c>
      <c r="B168" s="14" t="e">
        <f>IF(LEN(_DB_Exercises!#REF!)&gt;0,_DB_Exercises!#REF!,"")</f>
        <v>#REF!</v>
      </c>
      <c r="C168" s="31" t="e">
        <f>IF(LEN(_DB_Exercises!#REF!)&gt;0,_DB_Exercises!#REF!,"")</f>
        <v>#REF!</v>
      </c>
      <c r="D168" s="31" t="e">
        <f>IF(LEN(_DB_Exercises!#REF!)&gt;0,_DB_Exercises!#REF!,"")</f>
        <v>#REF!</v>
      </c>
      <c r="E168" s="31" t="e">
        <f>IF(LEN(_DB_Exercises!#REF!)&gt;0,_DB_Exercises!#REF!,"")</f>
        <v>#REF!</v>
      </c>
      <c r="F168" s="31" t="e">
        <f>IF(LEN(_DB_Exercises!#REF!)&gt;0,_DB_Exercises!#REF!,"")</f>
        <v>#REF!</v>
      </c>
      <c r="G168" s="31" t="e">
        <f>IF(LEN(_DB_Exercises!#REF!)&gt;0,_DB_Exercises!#REF!,"")</f>
        <v>#REF!</v>
      </c>
      <c r="H168" s="31" t="e">
        <f>IF(LEN(_DB_Exercises!#REF!)&gt;0,_DB_Exercises!#REF!,"")</f>
        <v>#REF!</v>
      </c>
      <c r="I168" s="31" t="e">
        <f>IF(LEN(_DB_Exercises!#REF!)&gt;0,_DB_Exercises!#REF!,"")</f>
        <v>#REF!</v>
      </c>
      <c r="J168" s="31" t="e">
        <f>IF(LEN(_DB_Exercises!#REF!)&gt;0,_DB_Exercises!#REF!,"")</f>
        <v>#REF!</v>
      </c>
      <c r="K168" s="31" t="e">
        <f>IF(LEN(_DB_Exercises!#REF!)&gt;0,_DB_Exercises!#REF!,"")</f>
        <v>#REF!</v>
      </c>
      <c r="L168" s="31" t="e">
        <f>IF(LEN(_DB_Exercises!#REF!)&gt;0,_DB_Exercises!#REF!,"")</f>
        <v>#REF!</v>
      </c>
      <c r="M168" s="31" t="e">
        <f>IF(LEN(_DB_Exercises!#REF!)&gt;0,_DB_Exercises!#REF!,"")</f>
        <v>#REF!</v>
      </c>
      <c r="N168" s="31" t="e">
        <f>IF(LEN(_DB_Exercises!#REF!)&gt;0,_DB_Exercises!#REF!,"")</f>
        <v>#REF!</v>
      </c>
      <c r="O168" s="31" t="e">
        <f>IF(LEN(_DB_Exercises!#REF!)&gt;0,_DB_Exercises!#REF!,"")</f>
        <v>#REF!</v>
      </c>
      <c r="P168" s="31" t="e">
        <f>IF(LEN(_DB_Exercises!#REF!)&gt;0,_DB_Exercises!#REF!,"")</f>
        <v>#REF!</v>
      </c>
      <c r="Q168" s="31" t="e">
        <f>IF(LEN(_DB_Exercises!#REF!)&gt;0,_DB_Exercises!#REF!,"")</f>
        <v>#REF!</v>
      </c>
      <c r="R168" s="31" t="e">
        <f>IF(LEN(_DB_Exercises!#REF!)&gt;0,_DB_Exercises!#REF!,"")</f>
        <v>#REF!</v>
      </c>
      <c r="S168" s="31" t="e">
        <f>IF(LEN(_DB_Exercises!#REF!)&gt;0,_DB_Exercises!#REF!,"")</f>
        <v>#REF!</v>
      </c>
      <c r="T168" s="31" t="e">
        <f>IF(LEN(_DB_Exercises!#REF!)&gt;0,_DB_Exercises!#REF!,"")</f>
        <v>#REF!</v>
      </c>
      <c r="U168" s="31" t="e">
        <f>IF(LEN(_DB_Exercises!#REF!)&gt;0,_DB_Exercises!#REF!,"")</f>
        <v>#REF!</v>
      </c>
      <c r="V168" s="31" t="e">
        <f>IF(LEN(_DB_Exercises!#REF!)&gt;0,_DB_Exercises!#REF!,"")</f>
        <v>#REF!</v>
      </c>
      <c r="W168" s="31" t="e">
        <f>IF(LEN(_DB_Exercises!#REF!)&gt;0,_DB_Exercises!#REF!,"")</f>
        <v>#REF!</v>
      </c>
      <c r="X168" s="31" t="e">
        <f>IF(LEN(_DB_Exercises!#REF!)&gt;0,_DB_Exercises!#REF!,"")</f>
        <v>#REF!</v>
      </c>
      <c r="Y168" s="31" t="e">
        <f>IF(LEN(_DB_Exercises!#REF!)&gt;0,_DB_Exercises!#REF!,"")</f>
        <v>#REF!</v>
      </c>
      <c r="Z168" s="31" t="e">
        <f>IF(LEN(_DB_Exercises!#REF!)&gt;0,_DB_Exercises!#REF!,"")</f>
        <v>#REF!</v>
      </c>
      <c r="AA168" s="31" t="e">
        <f>IF(LEN(_DB_Exercises!#REF!)&gt;0,_DB_Exercises!#REF!,"")</f>
        <v>#REF!</v>
      </c>
      <c r="AB168" s="31" t="e">
        <f>IF(LEN(_DB_Exercises!#REF!)&gt;0,_DB_Exercises!#REF!,"")</f>
        <v>#REF!</v>
      </c>
      <c r="AC168" s="31" t="e">
        <f>IF(LEN(_DB_Exercises!#REF!)&gt;0,_DB_Exercises!#REF!,"")</f>
        <v>#REF!</v>
      </c>
      <c r="AD168" s="31" t="e">
        <f>IF(LEN(_DB_Exercises!#REF!)&gt;0,_DB_Exercises!#REF!,"")</f>
        <v>#REF!</v>
      </c>
      <c r="AE168" s="31" t="e">
        <f>IF(LEN(_DB_Exercises!#REF!)&gt;0,_DB_Exercises!#REF!,"")</f>
        <v>#REF!</v>
      </c>
      <c r="AF168" s="31" t="e">
        <f>IF(LEN(_DB_Exercises!#REF!)&gt;0,_DB_Exercises!#REF!,"")</f>
        <v>#REF!</v>
      </c>
      <c r="AG168" s="31" t="e">
        <f>IF(LEN(_DB_Exercises!#REF!)&gt;0,_DB_Exercises!#REF!,"")</f>
        <v>#REF!</v>
      </c>
      <c r="AH168" s="31" t="e">
        <f>IF(LEN(_DB_Exercises!#REF!)&gt;0,_DB_Exercises!#REF!,"")</f>
        <v>#REF!</v>
      </c>
      <c r="AI168" s="31" t="e">
        <f>IF(LEN(_DB_Exercises!#REF!)&gt;0,_DB_Exercises!#REF!,"")</f>
        <v>#REF!</v>
      </c>
      <c r="AJ168" s="31" t="e">
        <f>IF(LEN(_DB_Exercises!#REF!)&gt;0,_DB_Exercises!#REF!,"")</f>
        <v>#REF!</v>
      </c>
      <c r="AK168" s="31" t="e">
        <f>IF(LEN(_DB_Exercises!#REF!)&gt;0,_DB_Exercises!#REF!,"")</f>
        <v>#REF!</v>
      </c>
      <c r="AL168" s="31" t="e">
        <f>IF(LEN(_DB_Exercises!#REF!)&gt;0,_DB_Exercises!#REF!,"")</f>
        <v>#REF!</v>
      </c>
      <c r="AM168" s="31" t="e">
        <f>IF(LEN(_DB_Exercises!#REF!)&gt;0,_DB_Exercises!#REF!,"")</f>
        <v>#REF!</v>
      </c>
      <c r="AN168" s="31" t="e">
        <f>IF(LEN(_DB_Exercises!#REF!)&gt;0,_DB_Exercises!#REF!,"")</f>
        <v>#REF!</v>
      </c>
      <c r="AO168" s="31" t="e">
        <f>IF(LEN(_DB_Exercises!#REF!)&gt;0,_DB_Exercises!#REF!,"")</f>
        <v>#REF!</v>
      </c>
      <c r="AP168" s="31" t="e">
        <f>IF(LEN(_DB_Exercises!#REF!)&gt;0,_DB_Exercises!#REF!,"")</f>
        <v>#REF!</v>
      </c>
      <c r="AQ168" s="31" t="e">
        <f>IF(LEN(_DB_Exercises!#REF!)&gt;0,_DB_Exercises!#REF!,"")</f>
        <v>#REF!</v>
      </c>
      <c r="AR168" s="31" t="e">
        <f>IF(LEN(_DB_Exercises!#REF!)&gt;0,_DB_Exercises!#REF!,"")</f>
        <v>#REF!</v>
      </c>
    </row>
    <row r="169" spans="1:44" x14ac:dyDescent="0.25">
      <c r="A169" s="11" t="e">
        <f>IF(LEN(_DB_Exercises!#REF!)&gt;0,_DB_Exercises!#REF!,"")</f>
        <v>#REF!</v>
      </c>
      <c r="B169" s="14" t="e">
        <f>IF(LEN(_DB_Exercises!#REF!)&gt;0,_DB_Exercises!#REF!,"")</f>
        <v>#REF!</v>
      </c>
      <c r="C169" s="31" t="e">
        <f>IF(LEN(_DB_Exercises!#REF!)&gt;0,_DB_Exercises!#REF!,"")</f>
        <v>#REF!</v>
      </c>
      <c r="D169" s="31" t="e">
        <f>IF(LEN(_DB_Exercises!#REF!)&gt;0,_DB_Exercises!#REF!,"")</f>
        <v>#REF!</v>
      </c>
      <c r="E169" s="31" t="e">
        <f>IF(LEN(_DB_Exercises!#REF!)&gt;0,_DB_Exercises!#REF!,"")</f>
        <v>#REF!</v>
      </c>
      <c r="F169" s="31" t="e">
        <f>IF(LEN(_DB_Exercises!#REF!)&gt;0,_DB_Exercises!#REF!,"")</f>
        <v>#REF!</v>
      </c>
      <c r="G169" s="31" t="e">
        <f>IF(LEN(_DB_Exercises!#REF!)&gt;0,_DB_Exercises!#REF!,"")</f>
        <v>#REF!</v>
      </c>
      <c r="H169" s="31" t="e">
        <f>IF(LEN(_DB_Exercises!#REF!)&gt;0,_DB_Exercises!#REF!,"")</f>
        <v>#REF!</v>
      </c>
      <c r="I169" s="31" t="e">
        <f>IF(LEN(_DB_Exercises!#REF!)&gt;0,_DB_Exercises!#REF!,"")</f>
        <v>#REF!</v>
      </c>
      <c r="J169" s="31" t="e">
        <f>IF(LEN(_DB_Exercises!#REF!)&gt;0,_DB_Exercises!#REF!,"")</f>
        <v>#REF!</v>
      </c>
      <c r="K169" s="31" t="e">
        <f>IF(LEN(_DB_Exercises!#REF!)&gt;0,_DB_Exercises!#REF!,"")</f>
        <v>#REF!</v>
      </c>
      <c r="L169" s="31" t="e">
        <f>IF(LEN(_DB_Exercises!#REF!)&gt;0,_DB_Exercises!#REF!,"")</f>
        <v>#REF!</v>
      </c>
      <c r="M169" s="31" t="e">
        <f>IF(LEN(_DB_Exercises!#REF!)&gt;0,_DB_Exercises!#REF!,"")</f>
        <v>#REF!</v>
      </c>
      <c r="N169" s="31" t="e">
        <f>IF(LEN(_DB_Exercises!#REF!)&gt;0,_DB_Exercises!#REF!,"")</f>
        <v>#REF!</v>
      </c>
      <c r="O169" s="31" t="e">
        <f>IF(LEN(_DB_Exercises!#REF!)&gt;0,_DB_Exercises!#REF!,"")</f>
        <v>#REF!</v>
      </c>
      <c r="P169" s="31" t="e">
        <f>IF(LEN(_DB_Exercises!#REF!)&gt;0,_DB_Exercises!#REF!,"")</f>
        <v>#REF!</v>
      </c>
      <c r="Q169" s="31" t="e">
        <f>IF(LEN(_DB_Exercises!#REF!)&gt;0,_DB_Exercises!#REF!,"")</f>
        <v>#REF!</v>
      </c>
      <c r="R169" s="31" t="e">
        <f>IF(LEN(_DB_Exercises!#REF!)&gt;0,_DB_Exercises!#REF!,"")</f>
        <v>#REF!</v>
      </c>
      <c r="S169" s="31" t="e">
        <f>IF(LEN(_DB_Exercises!#REF!)&gt;0,_DB_Exercises!#REF!,"")</f>
        <v>#REF!</v>
      </c>
      <c r="T169" s="31" t="e">
        <f>IF(LEN(_DB_Exercises!#REF!)&gt;0,_DB_Exercises!#REF!,"")</f>
        <v>#REF!</v>
      </c>
      <c r="U169" s="31" t="e">
        <f>IF(LEN(_DB_Exercises!#REF!)&gt;0,_DB_Exercises!#REF!,"")</f>
        <v>#REF!</v>
      </c>
      <c r="V169" s="31" t="e">
        <f>IF(LEN(_DB_Exercises!#REF!)&gt;0,_DB_Exercises!#REF!,"")</f>
        <v>#REF!</v>
      </c>
      <c r="W169" s="31" t="e">
        <f>IF(LEN(_DB_Exercises!#REF!)&gt;0,_DB_Exercises!#REF!,"")</f>
        <v>#REF!</v>
      </c>
      <c r="X169" s="31" t="e">
        <f>IF(LEN(_DB_Exercises!#REF!)&gt;0,_DB_Exercises!#REF!,"")</f>
        <v>#REF!</v>
      </c>
      <c r="Y169" s="31" t="e">
        <f>IF(LEN(_DB_Exercises!#REF!)&gt;0,_DB_Exercises!#REF!,"")</f>
        <v>#REF!</v>
      </c>
      <c r="Z169" s="31" t="e">
        <f>IF(LEN(_DB_Exercises!#REF!)&gt;0,_DB_Exercises!#REF!,"")</f>
        <v>#REF!</v>
      </c>
      <c r="AA169" s="31" t="e">
        <f>IF(LEN(_DB_Exercises!#REF!)&gt;0,_DB_Exercises!#REF!,"")</f>
        <v>#REF!</v>
      </c>
      <c r="AB169" s="31" t="e">
        <f>IF(LEN(_DB_Exercises!#REF!)&gt;0,_DB_Exercises!#REF!,"")</f>
        <v>#REF!</v>
      </c>
      <c r="AC169" s="31" t="e">
        <f>IF(LEN(_DB_Exercises!#REF!)&gt;0,_DB_Exercises!#REF!,"")</f>
        <v>#REF!</v>
      </c>
      <c r="AD169" s="31" t="e">
        <f>IF(LEN(_DB_Exercises!#REF!)&gt;0,_DB_Exercises!#REF!,"")</f>
        <v>#REF!</v>
      </c>
      <c r="AE169" s="31" t="e">
        <f>IF(LEN(_DB_Exercises!#REF!)&gt;0,_DB_Exercises!#REF!,"")</f>
        <v>#REF!</v>
      </c>
      <c r="AF169" s="31" t="e">
        <f>IF(LEN(_DB_Exercises!#REF!)&gt;0,_DB_Exercises!#REF!,"")</f>
        <v>#REF!</v>
      </c>
      <c r="AG169" s="31" t="e">
        <f>IF(LEN(_DB_Exercises!#REF!)&gt;0,_DB_Exercises!#REF!,"")</f>
        <v>#REF!</v>
      </c>
      <c r="AH169" s="31" t="e">
        <f>IF(LEN(_DB_Exercises!#REF!)&gt;0,_DB_Exercises!#REF!,"")</f>
        <v>#REF!</v>
      </c>
      <c r="AI169" s="31" t="e">
        <f>IF(LEN(_DB_Exercises!#REF!)&gt;0,_DB_Exercises!#REF!,"")</f>
        <v>#REF!</v>
      </c>
      <c r="AJ169" s="31" t="e">
        <f>IF(LEN(_DB_Exercises!#REF!)&gt;0,_DB_Exercises!#REF!,"")</f>
        <v>#REF!</v>
      </c>
      <c r="AK169" s="31" t="e">
        <f>IF(LEN(_DB_Exercises!#REF!)&gt;0,_DB_Exercises!#REF!,"")</f>
        <v>#REF!</v>
      </c>
      <c r="AL169" s="31" t="e">
        <f>IF(LEN(_DB_Exercises!#REF!)&gt;0,_DB_Exercises!#REF!,"")</f>
        <v>#REF!</v>
      </c>
      <c r="AM169" s="31" t="e">
        <f>IF(LEN(_DB_Exercises!#REF!)&gt;0,_DB_Exercises!#REF!,"")</f>
        <v>#REF!</v>
      </c>
      <c r="AN169" s="31" t="e">
        <f>IF(LEN(_DB_Exercises!#REF!)&gt;0,_DB_Exercises!#REF!,"")</f>
        <v>#REF!</v>
      </c>
      <c r="AO169" s="31" t="e">
        <f>IF(LEN(_DB_Exercises!#REF!)&gt;0,_DB_Exercises!#REF!,"")</f>
        <v>#REF!</v>
      </c>
      <c r="AP169" s="31" t="e">
        <f>IF(LEN(_DB_Exercises!#REF!)&gt;0,_DB_Exercises!#REF!,"")</f>
        <v>#REF!</v>
      </c>
      <c r="AQ169" s="31" t="e">
        <f>IF(LEN(_DB_Exercises!#REF!)&gt;0,_DB_Exercises!#REF!,"")</f>
        <v>#REF!</v>
      </c>
      <c r="AR169" s="31" t="e">
        <f>IF(LEN(_DB_Exercises!#REF!)&gt;0,_DB_Exercises!#REF!,"")</f>
        <v>#REF!</v>
      </c>
    </row>
    <row r="170" spans="1:44" x14ac:dyDescent="0.25">
      <c r="A170" s="11">
        <f>IF(LEN(_DB_Exercises!A147)&gt;0,_DB_Exercises!A147,"")</f>
        <v>3003</v>
      </c>
      <c r="B170" s="14" t="str">
        <f>IF(LEN(_DB_Exercises!K147)&gt;0,_DB_Exercises!K147,"")</f>
        <v>Chipping Hero</v>
      </c>
      <c r="C170" s="31">
        <f>IF(LEN(_DB_Exercises!X147)&gt;0,_DB_Exercises!X147,"")</f>
        <v>30</v>
      </c>
      <c r="D170" s="31">
        <f>IF(LEN(_DB_Exercises!Y147)&gt;0,_DB_Exercises!Y147,"")</f>
        <v>28</v>
      </c>
      <c r="E170" s="31">
        <f>IF(LEN(_DB_Exercises!Z147)&gt;0,_DB_Exercises!Z147,"")</f>
        <v>26</v>
      </c>
      <c r="F170" s="31">
        <f>IF(LEN(_DB_Exercises!AA147)&gt;0,_DB_Exercises!AA147,"")</f>
        <v>24</v>
      </c>
      <c r="G170" s="31">
        <f>IF(LEN(_DB_Exercises!AB147)&gt;0,_DB_Exercises!AB147,"")</f>
        <v>22</v>
      </c>
      <c r="H170" s="31">
        <f>IF(LEN(_DB_Exercises!AC147)&gt;0,_DB_Exercises!AC147,"")</f>
        <v>20</v>
      </c>
      <c r="I170" s="31">
        <f>IF(LEN(_DB_Exercises!AD147)&gt;0,_DB_Exercises!AD147,"")</f>
        <v>19</v>
      </c>
      <c r="J170" s="31">
        <f>IF(LEN(_DB_Exercises!AE147)&gt;0,_DB_Exercises!AE147,"")</f>
        <v>18</v>
      </c>
      <c r="K170" s="31">
        <f>IF(LEN(_DB_Exercises!AF147)&gt;0,_DB_Exercises!AF147,"")</f>
        <v>17</v>
      </c>
      <c r="L170" s="31">
        <f>IF(LEN(_DB_Exercises!AG147)&gt;0,_DB_Exercises!AG147,"")</f>
        <v>16</v>
      </c>
      <c r="M170" s="31">
        <f>IF(LEN(_DB_Exercises!AH147)&gt;0,_DB_Exercises!AH147,"")</f>
        <v>15</v>
      </c>
      <c r="N170" s="31">
        <f>IF(LEN(_DB_Exercises!AI147)&gt;0,_DB_Exercises!AI147,"")</f>
        <v>14</v>
      </c>
      <c r="O170" s="31">
        <f>IF(LEN(_DB_Exercises!AJ147)&gt;0,_DB_Exercises!AJ147,"")</f>
        <v>13</v>
      </c>
      <c r="P170" s="31">
        <f>IF(LEN(_DB_Exercises!AK147)&gt;0,_DB_Exercises!AK147,"")</f>
        <v>12</v>
      </c>
      <c r="Q170" s="31">
        <f>IF(LEN(_DB_Exercises!AL147)&gt;0,_DB_Exercises!AL147,"")</f>
        <v>11</v>
      </c>
      <c r="R170" s="31">
        <f>IF(LEN(_DB_Exercises!AM147)&gt;0,_DB_Exercises!AM147,"")</f>
        <v>10</v>
      </c>
      <c r="S170" s="31">
        <f>IF(LEN(_DB_Exercises!AN147)&gt;0,_DB_Exercises!AN147,"")</f>
        <v>10</v>
      </c>
      <c r="T170" s="31">
        <f>IF(LEN(_DB_Exercises!AO147)&gt;0,_DB_Exercises!AO147,"")</f>
        <v>9</v>
      </c>
      <c r="U170" s="31">
        <f>IF(LEN(_DB_Exercises!AP147)&gt;0,_DB_Exercises!AP147,"")</f>
        <v>9</v>
      </c>
      <c r="V170" s="31">
        <f>IF(LEN(_DB_Exercises!AQ147)&gt;0,_DB_Exercises!AQ147,"")</f>
        <v>9</v>
      </c>
      <c r="W170" s="31">
        <f>IF(LEN(_DB_Exercises!AR147)&gt;0,_DB_Exercises!AR147,"")</f>
        <v>8</v>
      </c>
      <c r="X170" s="31">
        <f>IF(LEN(_DB_Exercises!AS147)&gt;0,_DB_Exercises!AS147,"")</f>
        <v>8</v>
      </c>
      <c r="Y170" s="31">
        <f>IF(LEN(_DB_Exercises!AT147)&gt;0,_DB_Exercises!AT147,"")</f>
        <v>8</v>
      </c>
      <c r="Z170" s="31">
        <f>IF(LEN(_DB_Exercises!AU147)&gt;0,_DB_Exercises!AU147,"")</f>
        <v>8</v>
      </c>
      <c r="AA170" s="31">
        <f>IF(LEN(_DB_Exercises!AV147)&gt;0,_DB_Exercises!AV147,"")</f>
        <v>8</v>
      </c>
      <c r="AB170" s="31">
        <f>IF(LEN(_DB_Exercises!AW147)&gt;0,_DB_Exercises!AW147,"")</f>
        <v>7</v>
      </c>
      <c r="AC170" s="31">
        <f>IF(LEN(_DB_Exercises!AX147)&gt;0,_DB_Exercises!AX147,"")</f>
        <v>7</v>
      </c>
      <c r="AD170" s="31">
        <f>IF(LEN(_DB_Exercises!AY147)&gt;0,_DB_Exercises!AY147,"")</f>
        <v>7</v>
      </c>
      <c r="AE170" s="31">
        <f>IF(LEN(_DB_Exercises!AZ147)&gt;0,_DB_Exercises!AZ147,"")</f>
        <v>7</v>
      </c>
      <c r="AF170" s="31">
        <f>IF(LEN(_DB_Exercises!BA147)&gt;0,_DB_Exercises!BA147,"")</f>
        <v>7</v>
      </c>
      <c r="AG170" s="31">
        <f>IF(LEN(_DB_Exercises!BB147)&gt;0,_DB_Exercises!BB147,"")</f>
        <v>7</v>
      </c>
      <c r="AH170" s="31">
        <f>IF(LEN(_DB_Exercises!BC147)&gt;0,_DB_Exercises!BC147,"")</f>
        <v>6</v>
      </c>
      <c r="AI170" s="31">
        <f>IF(LEN(_DB_Exercises!BD147)&gt;0,_DB_Exercises!BD147,"")</f>
        <v>6</v>
      </c>
      <c r="AJ170" s="31">
        <f>IF(LEN(_DB_Exercises!BE147)&gt;0,_DB_Exercises!BE147,"")</f>
        <v>6</v>
      </c>
      <c r="AK170" s="31">
        <f>IF(LEN(_DB_Exercises!BF147)&gt;0,_DB_Exercises!BF147,"")</f>
        <v>6</v>
      </c>
      <c r="AL170" s="31">
        <f>IF(LEN(_DB_Exercises!BG147)&gt;0,_DB_Exercises!BG147,"")</f>
        <v>6</v>
      </c>
      <c r="AM170" s="31">
        <f>IF(LEN(_DB_Exercises!BH147)&gt;0,_DB_Exercises!BH147,"")</f>
        <v>6</v>
      </c>
      <c r="AN170" s="31">
        <f>IF(LEN(_DB_Exercises!BI147)&gt;0,_DB_Exercises!BI147,"")</f>
        <v>6</v>
      </c>
      <c r="AO170" s="31">
        <f>IF(LEN(_DB_Exercises!BJ147)&gt;0,_DB_Exercises!BJ147,"")</f>
        <v>5</v>
      </c>
      <c r="AP170" s="31">
        <f>IF(LEN(_DB_Exercises!BK147)&gt;0,_DB_Exercises!BK147,"")</f>
        <v>5</v>
      </c>
      <c r="AQ170" s="31">
        <f>IF(LEN(_DB_Exercises!BL147)&gt;0,_DB_Exercises!BL147,"")</f>
        <v>5</v>
      </c>
      <c r="AR170" s="31">
        <f>IF(LEN(_DB_Exercises!BM147)&gt;0,_DB_Exercises!BM147,"")</f>
        <v>5</v>
      </c>
    </row>
    <row r="171" spans="1:44" x14ac:dyDescent="0.25">
      <c r="A171" s="11">
        <f>IF(LEN(_DB_Exercises!A148)&gt;0,_DB_Exercises!A148,"")</f>
        <v>3004</v>
      </c>
      <c r="B171" s="14" t="str">
        <f>IF(LEN(_DB_Exercises!K148)&gt;0,_DB_Exercises!K148,"")</f>
        <v>Chipping 18  Outside the Green</v>
      </c>
      <c r="C171" s="31" t="str">
        <f>IF(LEN(_DB_Exercises!X148)&gt;0,_DB_Exercises!X148,"")</f>
        <v/>
      </c>
      <c r="D171" s="31" t="str">
        <f>IF(LEN(_DB_Exercises!Y148)&gt;0,_DB_Exercises!Y148,"")</f>
        <v/>
      </c>
      <c r="E171" s="31" t="str">
        <f>IF(LEN(_DB_Exercises!Z148)&gt;0,_DB_Exercises!Z148,"")</f>
        <v/>
      </c>
      <c r="F171" s="31" t="str">
        <f>IF(LEN(_DB_Exercises!AA148)&gt;0,_DB_Exercises!AA148,"")</f>
        <v/>
      </c>
      <c r="G171" s="31" t="str">
        <f>IF(LEN(_DB_Exercises!AB148)&gt;0,_DB_Exercises!AB148,"")</f>
        <v/>
      </c>
      <c r="H171" s="31" t="str">
        <f>IF(LEN(_DB_Exercises!AC148)&gt;0,_DB_Exercises!AC148,"")</f>
        <v/>
      </c>
      <c r="I171" s="31" t="str">
        <f>IF(LEN(_DB_Exercises!AD148)&gt;0,_DB_Exercises!AD148,"")</f>
        <v/>
      </c>
      <c r="J171" s="31" t="str">
        <f>IF(LEN(_DB_Exercises!AE148)&gt;0,_DB_Exercises!AE148,"")</f>
        <v/>
      </c>
      <c r="K171" s="31" t="str">
        <f>IF(LEN(_DB_Exercises!AF148)&gt;0,_DB_Exercises!AF148,"")</f>
        <v/>
      </c>
      <c r="L171" s="31" t="str">
        <f>IF(LEN(_DB_Exercises!AG148)&gt;0,_DB_Exercises!AG148,"")</f>
        <v/>
      </c>
      <c r="M171" s="31" t="str">
        <f>IF(LEN(_DB_Exercises!AH148)&gt;0,_DB_Exercises!AH148,"")</f>
        <v/>
      </c>
      <c r="N171" s="31" t="str">
        <f>IF(LEN(_DB_Exercises!AI148)&gt;0,_DB_Exercises!AI148,"")</f>
        <v/>
      </c>
      <c r="O171" s="31" t="str">
        <f>IF(LEN(_DB_Exercises!AJ148)&gt;0,_DB_Exercises!AJ148,"")</f>
        <v/>
      </c>
      <c r="P171" s="31" t="str">
        <f>IF(LEN(_DB_Exercises!AK148)&gt;0,_DB_Exercises!AK148,"")</f>
        <v/>
      </c>
      <c r="Q171" s="31" t="str">
        <f>IF(LEN(_DB_Exercises!AL148)&gt;0,_DB_Exercises!AL148,"")</f>
        <v/>
      </c>
      <c r="R171" s="31" t="str">
        <f>IF(LEN(_DB_Exercises!AM148)&gt;0,_DB_Exercises!AM148,"")</f>
        <v/>
      </c>
      <c r="S171" s="31" t="str">
        <f>IF(LEN(_DB_Exercises!AN148)&gt;0,_DB_Exercises!AN148,"")</f>
        <v/>
      </c>
      <c r="T171" s="31" t="str">
        <f>IF(LEN(_DB_Exercises!AO148)&gt;0,_DB_Exercises!AO148,"")</f>
        <v/>
      </c>
      <c r="U171" s="31" t="str">
        <f>IF(LEN(_DB_Exercises!AP148)&gt;0,_DB_Exercises!AP148,"")</f>
        <v/>
      </c>
      <c r="V171" s="31" t="str">
        <f>IF(LEN(_DB_Exercises!AQ148)&gt;0,_DB_Exercises!AQ148,"")</f>
        <v/>
      </c>
      <c r="W171" s="31" t="str">
        <f>IF(LEN(_DB_Exercises!AR148)&gt;0,_DB_Exercises!AR148,"")</f>
        <v/>
      </c>
      <c r="X171" s="31" t="str">
        <f>IF(LEN(_DB_Exercises!AS148)&gt;0,_DB_Exercises!AS148,"")</f>
        <v/>
      </c>
      <c r="Y171" s="31" t="str">
        <f>IF(LEN(_DB_Exercises!AT148)&gt;0,_DB_Exercises!AT148,"")</f>
        <v/>
      </c>
      <c r="Z171" s="31" t="str">
        <f>IF(LEN(_DB_Exercises!AU148)&gt;0,_DB_Exercises!AU148,"")</f>
        <v/>
      </c>
      <c r="AA171" s="31" t="str">
        <f>IF(LEN(_DB_Exercises!AV148)&gt;0,_DB_Exercises!AV148,"")</f>
        <v/>
      </c>
      <c r="AB171" s="31" t="str">
        <f>IF(LEN(_DB_Exercises!AW148)&gt;0,_DB_Exercises!AW148,"")</f>
        <v/>
      </c>
      <c r="AC171" s="31" t="str">
        <f>IF(LEN(_DB_Exercises!AX148)&gt;0,_DB_Exercises!AX148,"")</f>
        <v/>
      </c>
      <c r="AD171" s="31" t="str">
        <f>IF(LEN(_DB_Exercises!AY148)&gt;0,_DB_Exercises!AY148,"")</f>
        <v/>
      </c>
      <c r="AE171" s="31" t="str">
        <f>IF(LEN(_DB_Exercises!AZ148)&gt;0,_DB_Exercises!AZ148,"")</f>
        <v/>
      </c>
      <c r="AF171" s="31" t="str">
        <f>IF(LEN(_DB_Exercises!BA148)&gt;0,_DB_Exercises!BA148,"")</f>
        <v/>
      </c>
      <c r="AG171" s="31" t="str">
        <f>IF(LEN(_DB_Exercises!BB148)&gt;0,_DB_Exercises!BB148,"")</f>
        <v/>
      </c>
      <c r="AH171" s="31" t="str">
        <f>IF(LEN(_DB_Exercises!BC148)&gt;0,_DB_Exercises!BC148,"")</f>
        <v/>
      </c>
      <c r="AI171" s="31" t="str">
        <f>IF(LEN(_DB_Exercises!BD148)&gt;0,_DB_Exercises!BD148,"")</f>
        <v/>
      </c>
      <c r="AJ171" s="31" t="str">
        <f>IF(LEN(_DB_Exercises!BE148)&gt;0,_DB_Exercises!BE148,"")</f>
        <v/>
      </c>
      <c r="AK171" s="31" t="str">
        <f>IF(LEN(_DB_Exercises!BF148)&gt;0,_DB_Exercises!BF148,"")</f>
        <v/>
      </c>
      <c r="AL171" s="31" t="str">
        <f>IF(LEN(_DB_Exercises!BG148)&gt;0,_DB_Exercises!BG148,"")</f>
        <v/>
      </c>
      <c r="AM171" s="31" t="str">
        <f>IF(LEN(_DB_Exercises!BH148)&gt;0,_DB_Exercises!BH148,"")</f>
        <v/>
      </c>
      <c r="AN171" s="31" t="str">
        <f>IF(LEN(_DB_Exercises!BI148)&gt;0,_DB_Exercises!BI148,"")</f>
        <v/>
      </c>
      <c r="AO171" s="31" t="str">
        <f>IF(LEN(_DB_Exercises!BJ148)&gt;0,_DB_Exercises!BJ148,"")</f>
        <v/>
      </c>
      <c r="AP171" s="31" t="str">
        <f>IF(LEN(_DB_Exercises!BK148)&gt;0,_DB_Exercises!BK148,"")</f>
        <v/>
      </c>
      <c r="AQ171" s="31" t="str">
        <f>IF(LEN(_DB_Exercises!BL148)&gt;0,_DB_Exercises!BL148,"")</f>
        <v/>
      </c>
      <c r="AR171" s="31" t="str">
        <f>IF(LEN(_DB_Exercises!BM148)&gt;0,_DB_Exercises!BM148,"")</f>
        <v/>
      </c>
    </row>
    <row r="172" spans="1:44" x14ac:dyDescent="0.25">
      <c r="A172" s="11" t="e">
        <f>IF(LEN(_DB_Exercises!#REF!)&gt;0,_DB_Exercises!#REF!,"")</f>
        <v>#REF!</v>
      </c>
      <c r="B172" s="14" t="e">
        <f>IF(LEN(_DB_Exercises!#REF!)&gt;0,_DB_Exercises!#REF!,"")</f>
        <v>#REF!</v>
      </c>
      <c r="C172" s="31" t="e">
        <f>IF(LEN(_DB_Exercises!#REF!)&gt;0,_DB_Exercises!#REF!,"")</f>
        <v>#REF!</v>
      </c>
      <c r="D172" s="31" t="e">
        <f>IF(LEN(_DB_Exercises!#REF!)&gt;0,_DB_Exercises!#REF!,"")</f>
        <v>#REF!</v>
      </c>
      <c r="E172" s="31" t="e">
        <f>IF(LEN(_DB_Exercises!#REF!)&gt;0,_DB_Exercises!#REF!,"")</f>
        <v>#REF!</v>
      </c>
      <c r="F172" s="31" t="e">
        <f>IF(LEN(_DB_Exercises!#REF!)&gt;0,_DB_Exercises!#REF!,"")</f>
        <v>#REF!</v>
      </c>
      <c r="G172" s="31" t="e">
        <f>IF(LEN(_DB_Exercises!#REF!)&gt;0,_DB_Exercises!#REF!,"")</f>
        <v>#REF!</v>
      </c>
      <c r="H172" s="31" t="e">
        <f>IF(LEN(_DB_Exercises!#REF!)&gt;0,_DB_Exercises!#REF!,"")</f>
        <v>#REF!</v>
      </c>
      <c r="I172" s="31" t="e">
        <f>IF(LEN(_DB_Exercises!#REF!)&gt;0,_DB_Exercises!#REF!,"")</f>
        <v>#REF!</v>
      </c>
      <c r="J172" s="31" t="e">
        <f>IF(LEN(_DB_Exercises!#REF!)&gt;0,_DB_Exercises!#REF!,"")</f>
        <v>#REF!</v>
      </c>
      <c r="K172" s="31" t="e">
        <f>IF(LEN(_DB_Exercises!#REF!)&gt;0,_DB_Exercises!#REF!,"")</f>
        <v>#REF!</v>
      </c>
      <c r="L172" s="31" t="e">
        <f>IF(LEN(_DB_Exercises!#REF!)&gt;0,_DB_Exercises!#REF!,"")</f>
        <v>#REF!</v>
      </c>
      <c r="M172" s="31" t="e">
        <f>IF(LEN(_DB_Exercises!#REF!)&gt;0,_DB_Exercises!#REF!,"")</f>
        <v>#REF!</v>
      </c>
      <c r="N172" s="31" t="e">
        <f>IF(LEN(_DB_Exercises!#REF!)&gt;0,_DB_Exercises!#REF!,"")</f>
        <v>#REF!</v>
      </c>
      <c r="O172" s="31" t="e">
        <f>IF(LEN(_DB_Exercises!#REF!)&gt;0,_DB_Exercises!#REF!,"")</f>
        <v>#REF!</v>
      </c>
      <c r="P172" s="31" t="e">
        <f>IF(LEN(_DB_Exercises!#REF!)&gt;0,_DB_Exercises!#REF!,"")</f>
        <v>#REF!</v>
      </c>
      <c r="Q172" s="31" t="e">
        <f>IF(LEN(_DB_Exercises!#REF!)&gt;0,_DB_Exercises!#REF!,"")</f>
        <v>#REF!</v>
      </c>
      <c r="R172" s="31" t="e">
        <f>IF(LEN(_DB_Exercises!#REF!)&gt;0,_DB_Exercises!#REF!,"")</f>
        <v>#REF!</v>
      </c>
      <c r="S172" s="31" t="e">
        <f>IF(LEN(_DB_Exercises!#REF!)&gt;0,_DB_Exercises!#REF!,"")</f>
        <v>#REF!</v>
      </c>
      <c r="T172" s="31" t="e">
        <f>IF(LEN(_DB_Exercises!#REF!)&gt;0,_DB_Exercises!#REF!,"")</f>
        <v>#REF!</v>
      </c>
      <c r="U172" s="31" t="e">
        <f>IF(LEN(_DB_Exercises!#REF!)&gt;0,_DB_Exercises!#REF!,"")</f>
        <v>#REF!</v>
      </c>
      <c r="V172" s="31" t="e">
        <f>IF(LEN(_DB_Exercises!#REF!)&gt;0,_DB_Exercises!#REF!,"")</f>
        <v>#REF!</v>
      </c>
      <c r="W172" s="31" t="e">
        <f>IF(LEN(_DB_Exercises!#REF!)&gt;0,_DB_Exercises!#REF!,"")</f>
        <v>#REF!</v>
      </c>
      <c r="X172" s="31" t="e">
        <f>IF(LEN(_DB_Exercises!#REF!)&gt;0,_DB_Exercises!#REF!,"")</f>
        <v>#REF!</v>
      </c>
      <c r="Y172" s="31" t="e">
        <f>IF(LEN(_DB_Exercises!#REF!)&gt;0,_DB_Exercises!#REF!,"")</f>
        <v>#REF!</v>
      </c>
      <c r="Z172" s="31" t="e">
        <f>IF(LEN(_DB_Exercises!#REF!)&gt;0,_DB_Exercises!#REF!,"")</f>
        <v>#REF!</v>
      </c>
      <c r="AA172" s="31" t="e">
        <f>IF(LEN(_DB_Exercises!#REF!)&gt;0,_DB_Exercises!#REF!,"")</f>
        <v>#REF!</v>
      </c>
      <c r="AB172" s="31" t="e">
        <f>IF(LEN(_DB_Exercises!#REF!)&gt;0,_DB_Exercises!#REF!,"")</f>
        <v>#REF!</v>
      </c>
      <c r="AC172" s="31" t="e">
        <f>IF(LEN(_DB_Exercises!#REF!)&gt;0,_DB_Exercises!#REF!,"")</f>
        <v>#REF!</v>
      </c>
      <c r="AD172" s="31" t="e">
        <f>IF(LEN(_DB_Exercises!#REF!)&gt;0,_DB_Exercises!#REF!,"")</f>
        <v>#REF!</v>
      </c>
      <c r="AE172" s="31" t="e">
        <f>IF(LEN(_DB_Exercises!#REF!)&gt;0,_DB_Exercises!#REF!,"")</f>
        <v>#REF!</v>
      </c>
      <c r="AF172" s="31" t="e">
        <f>IF(LEN(_DB_Exercises!#REF!)&gt;0,_DB_Exercises!#REF!,"")</f>
        <v>#REF!</v>
      </c>
      <c r="AG172" s="31" t="e">
        <f>IF(LEN(_DB_Exercises!#REF!)&gt;0,_DB_Exercises!#REF!,"")</f>
        <v>#REF!</v>
      </c>
      <c r="AH172" s="31" t="e">
        <f>IF(LEN(_DB_Exercises!#REF!)&gt;0,_DB_Exercises!#REF!,"")</f>
        <v>#REF!</v>
      </c>
      <c r="AI172" s="31" t="e">
        <f>IF(LEN(_DB_Exercises!#REF!)&gt;0,_DB_Exercises!#REF!,"")</f>
        <v>#REF!</v>
      </c>
      <c r="AJ172" s="31" t="e">
        <f>IF(LEN(_DB_Exercises!#REF!)&gt;0,_DB_Exercises!#REF!,"")</f>
        <v>#REF!</v>
      </c>
      <c r="AK172" s="31" t="e">
        <f>IF(LEN(_DB_Exercises!#REF!)&gt;0,_DB_Exercises!#REF!,"")</f>
        <v>#REF!</v>
      </c>
      <c r="AL172" s="31" t="e">
        <f>IF(LEN(_DB_Exercises!#REF!)&gt;0,_DB_Exercises!#REF!,"")</f>
        <v>#REF!</v>
      </c>
      <c r="AM172" s="31" t="e">
        <f>IF(LEN(_DB_Exercises!#REF!)&gt;0,_DB_Exercises!#REF!,"")</f>
        <v>#REF!</v>
      </c>
      <c r="AN172" s="31" t="e">
        <f>IF(LEN(_DB_Exercises!#REF!)&gt;0,_DB_Exercises!#REF!,"")</f>
        <v>#REF!</v>
      </c>
      <c r="AO172" s="31" t="e">
        <f>IF(LEN(_DB_Exercises!#REF!)&gt;0,_DB_Exercises!#REF!,"")</f>
        <v>#REF!</v>
      </c>
      <c r="AP172" s="31" t="e">
        <f>IF(LEN(_DB_Exercises!#REF!)&gt;0,_DB_Exercises!#REF!,"")</f>
        <v>#REF!</v>
      </c>
      <c r="AQ172" s="31" t="e">
        <f>IF(LEN(_DB_Exercises!#REF!)&gt;0,_DB_Exercises!#REF!,"")</f>
        <v>#REF!</v>
      </c>
      <c r="AR172" s="31" t="e">
        <f>IF(LEN(_DB_Exercises!#REF!)&gt;0,_DB_Exercises!#REF!,"")</f>
        <v>#REF!</v>
      </c>
    </row>
    <row r="173" spans="1:44" x14ac:dyDescent="0.25">
      <c r="A173" s="11">
        <f>IF(LEN(_DB_Exercises!A149)&gt;0,_DB_Exercises!A149,"")</f>
        <v>3005</v>
      </c>
      <c r="B173" s="14" t="str">
        <f>IF(LEN(_DB_Exercises!K149)&gt;0,_DB_Exercises!K149,"")</f>
        <v>Chipping 9  Outside the Green</v>
      </c>
      <c r="C173" s="31" t="str">
        <f>IF(LEN(_DB_Exercises!X149)&gt;0,_DB_Exercises!X149,"")</f>
        <v/>
      </c>
      <c r="D173" s="31" t="str">
        <f>IF(LEN(_DB_Exercises!Y149)&gt;0,_DB_Exercises!Y149,"")</f>
        <v/>
      </c>
      <c r="E173" s="31" t="str">
        <f>IF(LEN(_DB_Exercises!Z149)&gt;0,_DB_Exercises!Z149,"")</f>
        <v/>
      </c>
      <c r="F173" s="31" t="str">
        <f>IF(LEN(_DB_Exercises!AA149)&gt;0,_DB_Exercises!AA149,"")</f>
        <v/>
      </c>
      <c r="G173" s="31" t="str">
        <f>IF(LEN(_DB_Exercises!AB149)&gt;0,_DB_Exercises!AB149,"")</f>
        <v/>
      </c>
      <c r="H173" s="31" t="str">
        <f>IF(LEN(_DB_Exercises!AC149)&gt;0,_DB_Exercises!AC149,"")</f>
        <v/>
      </c>
      <c r="I173" s="31" t="str">
        <f>IF(LEN(_DB_Exercises!AD149)&gt;0,_DB_Exercises!AD149,"")</f>
        <v/>
      </c>
      <c r="J173" s="31" t="str">
        <f>IF(LEN(_DB_Exercises!AE149)&gt;0,_DB_Exercises!AE149,"")</f>
        <v/>
      </c>
      <c r="K173" s="31" t="str">
        <f>IF(LEN(_DB_Exercises!AF149)&gt;0,_DB_Exercises!AF149,"")</f>
        <v/>
      </c>
      <c r="L173" s="31" t="str">
        <f>IF(LEN(_DB_Exercises!AG149)&gt;0,_DB_Exercises!AG149,"")</f>
        <v/>
      </c>
      <c r="M173" s="31" t="str">
        <f>IF(LEN(_DB_Exercises!AH149)&gt;0,_DB_Exercises!AH149,"")</f>
        <v/>
      </c>
      <c r="N173" s="31" t="str">
        <f>IF(LEN(_DB_Exercises!AI149)&gt;0,_DB_Exercises!AI149,"")</f>
        <v/>
      </c>
      <c r="O173" s="31" t="str">
        <f>IF(LEN(_DB_Exercises!AJ149)&gt;0,_DB_Exercises!AJ149,"")</f>
        <v/>
      </c>
      <c r="P173" s="31" t="str">
        <f>IF(LEN(_DB_Exercises!AK149)&gt;0,_DB_Exercises!AK149,"")</f>
        <v/>
      </c>
      <c r="Q173" s="31" t="str">
        <f>IF(LEN(_DB_Exercises!AL149)&gt;0,_DB_Exercises!AL149,"")</f>
        <v/>
      </c>
      <c r="R173" s="31" t="str">
        <f>IF(LEN(_DB_Exercises!AM149)&gt;0,_DB_Exercises!AM149,"")</f>
        <v/>
      </c>
      <c r="S173" s="31" t="str">
        <f>IF(LEN(_DB_Exercises!AN149)&gt;0,_DB_Exercises!AN149,"")</f>
        <v/>
      </c>
      <c r="T173" s="31" t="str">
        <f>IF(LEN(_DB_Exercises!AO149)&gt;0,_DB_Exercises!AO149,"")</f>
        <v/>
      </c>
      <c r="U173" s="31" t="str">
        <f>IF(LEN(_DB_Exercises!AP149)&gt;0,_DB_Exercises!AP149,"")</f>
        <v/>
      </c>
      <c r="V173" s="31" t="str">
        <f>IF(LEN(_DB_Exercises!AQ149)&gt;0,_DB_Exercises!AQ149,"")</f>
        <v/>
      </c>
      <c r="W173" s="31" t="str">
        <f>IF(LEN(_DB_Exercises!AR149)&gt;0,_DB_Exercises!AR149,"")</f>
        <v/>
      </c>
      <c r="X173" s="31" t="str">
        <f>IF(LEN(_DB_Exercises!AS149)&gt;0,_DB_Exercises!AS149,"")</f>
        <v/>
      </c>
      <c r="Y173" s="31" t="str">
        <f>IF(LEN(_DB_Exercises!AT149)&gt;0,_DB_Exercises!AT149,"")</f>
        <v/>
      </c>
      <c r="Z173" s="31" t="str">
        <f>IF(LEN(_DB_Exercises!AU149)&gt;0,_DB_Exercises!AU149,"")</f>
        <v/>
      </c>
      <c r="AA173" s="31" t="str">
        <f>IF(LEN(_DB_Exercises!AV149)&gt;0,_DB_Exercises!AV149,"")</f>
        <v/>
      </c>
      <c r="AB173" s="31" t="str">
        <f>IF(LEN(_DB_Exercises!AW149)&gt;0,_DB_Exercises!AW149,"")</f>
        <v/>
      </c>
      <c r="AC173" s="31" t="str">
        <f>IF(LEN(_DB_Exercises!AX149)&gt;0,_DB_Exercises!AX149,"")</f>
        <v/>
      </c>
      <c r="AD173" s="31" t="str">
        <f>IF(LEN(_DB_Exercises!AY149)&gt;0,_DB_Exercises!AY149,"")</f>
        <v/>
      </c>
      <c r="AE173" s="31" t="str">
        <f>IF(LEN(_DB_Exercises!AZ149)&gt;0,_DB_Exercises!AZ149,"")</f>
        <v/>
      </c>
      <c r="AF173" s="31" t="str">
        <f>IF(LEN(_DB_Exercises!BA149)&gt;0,_DB_Exercises!BA149,"")</f>
        <v/>
      </c>
      <c r="AG173" s="31" t="str">
        <f>IF(LEN(_DB_Exercises!BB149)&gt;0,_DB_Exercises!BB149,"")</f>
        <v/>
      </c>
      <c r="AH173" s="31" t="str">
        <f>IF(LEN(_DB_Exercises!BC149)&gt;0,_DB_Exercises!BC149,"")</f>
        <v/>
      </c>
      <c r="AI173" s="31" t="str">
        <f>IF(LEN(_DB_Exercises!BD149)&gt;0,_DB_Exercises!BD149,"")</f>
        <v/>
      </c>
      <c r="AJ173" s="31" t="str">
        <f>IF(LEN(_DB_Exercises!BE149)&gt;0,_DB_Exercises!BE149,"")</f>
        <v/>
      </c>
      <c r="AK173" s="31" t="str">
        <f>IF(LEN(_DB_Exercises!BF149)&gt;0,_DB_Exercises!BF149,"")</f>
        <v/>
      </c>
      <c r="AL173" s="31" t="str">
        <f>IF(LEN(_DB_Exercises!BG149)&gt;0,_DB_Exercises!BG149,"")</f>
        <v/>
      </c>
      <c r="AM173" s="31" t="str">
        <f>IF(LEN(_DB_Exercises!BH149)&gt;0,_DB_Exercises!BH149,"")</f>
        <v/>
      </c>
      <c r="AN173" s="31" t="str">
        <f>IF(LEN(_DB_Exercises!BI149)&gt;0,_DB_Exercises!BI149,"")</f>
        <v/>
      </c>
      <c r="AO173" s="31" t="str">
        <f>IF(LEN(_DB_Exercises!BJ149)&gt;0,_DB_Exercises!BJ149,"")</f>
        <v/>
      </c>
      <c r="AP173" s="31" t="str">
        <f>IF(LEN(_DB_Exercises!BK149)&gt;0,_DB_Exercises!BK149,"")</f>
        <v/>
      </c>
      <c r="AQ173" s="31" t="str">
        <f>IF(LEN(_DB_Exercises!BL149)&gt;0,_DB_Exercises!BL149,"")</f>
        <v/>
      </c>
      <c r="AR173" s="31" t="str">
        <f>IF(LEN(_DB_Exercises!BM149)&gt;0,_DB_Exercises!BM149,"")</f>
        <v/>
      </c>
    </row>
    <row r="174" spans="1:44" x14ac:dyDescent="0.25">
      <c r="A174" s="11">
        <f>IF(LEN(_DB_Exercises!A150)&gt;0,_DB_Exercises!A150,"")</f>
        <v>3006</v>
      </c>
      <c r="B174" s="14" t="str">
        <f>IF(LEN(_DB_Exercises!K150)&gt;0,_DB_Exercises!K150,"")</f>
        <v>TOP 40  Can you beat them</v>
      </c>
      <c r="C174" s="31" t="str">
        <f>IF(LEN(_DB_Exercises!X150)&gt;0,_DB_Exercises!X150,"")</f>
        <v/>
      </c>
      <c r="D174" s="31" t="str">
        <f>IF(LEN(_DB_Exercises!Y150)&gt;0,_DB_Exercises!Y150,"")</f>
        <v/>
      </c>
      <c r="E174" s="31" t="str">
        <f>IF(LEN(_DB_Exercises!Z150)&gt;0,_DB_Exercises!Z150,"")</f>
        <v/>
      </c>
      <c r="F174" s="31" t="str">
        <f>IF(LEN(_DB_Exercises!AA150)&gt;0,_DB_Exercises!AA150,"")</f>
        <v/>
      </c>
      <c r="G174" s="31" t="str">
        <f>IF(LEN(_DB_Exercises!AB150)&gt;0,_DB_Exercises!AB150,"")</f>
        <v/>
      </c>
      <c r="H174" s="31" t="str">
        <f>IF(LEN(_DB_Exercises!AC150)&gt;0,_DB_Exercises!AC150,"")</f>
        <v/>
      </c>
      <c r="I174" s="31" t="str">
        <f>IF(LEN(_DB_Exercises!AD150)&gt;0,_DB_Exercises!AD150,"")</f>
        <v/>
      </c>
      <c r="J174" s="31" t="str">
        <f>IF(LEN(_DB_Exercises!AE150)&gt;0,_DB_Exercises!AE150,"")</f>
        <v/>
      </c>
      <c r="K174" s="31" t="str">
        <f>IF(LEN(_DB_Exercises!AF150)&gt;0,_DB_Exercises!AF150,"")</f>
        <v/>
      </c>
      <c r="L174" s="31" t="str">
        <f>IF(LEN(_DB_Exercises!AG150)&gt;0,_DB_Exercises!AG150,"")</f>
        <v/>
      </c>
      <c r="M174" s="31" t="str">
        <f>IF(LEN(_DB_Exercises!AH150)&gt;0,_DB_Exercises!AH150,"")</f>
        <v/>
      </c>
      <c r="N174" s="31" t="str">
        <f>IF(LEN(_DB_Exercises!AI150)&gt;0,_DB_Exercises!AI150,"")</f>
        <v/>
      </c>
      <c r="O174" s="31" t="str">
        <f>IF(LEN(_DB_Exercises!AJ150)&gt;0,_DB_Exercises!AJ150,"")</f>
        <v/>
      </c>
      <c r="P174" s="31" t="str">
        <f>IF(LEN(_DB_Exercises!AK150)&gt;0,_DB_Exercises!AK150,"")</f>
        <v/>
      </c>
      <c r="Q174" s="31" t="str">
        <f>IF(LEN(_DB_Exercises!AL150)&gt;0,_DB_Exercises!AL150,"")</f>
        <v/>
      </c>
      <c r="R174" s="31" t="str">
        <f>IF(LEN(_DB_Exercises!AM150)&gt;0,_DB_Exercises!AM150,"")</f>
        <v/>
      </c>
      <c r="S174" s="31" t="str">
        <f>IF(LEN(_DB_Exercises!AN150)&gt;0,_DB_Exercises!AN150,"")</f>
        <v/>
      </c>
      <c r="T174" s="31" t="str">
        <f>IF(LEN(_DB_Exercises!AO150)&gt;0,_DB_Exercises!AO150,"")</f>
        <v/>
      </c>
      <c r="U174" s="31" t="str">
        <f>IF(LEN(_DB_Exercises!AP150)&gt;0,_DB_Exercises!AP150,"")</f>
        <v/>
      </c>
      <c r="V174" s="31" t="str">
        <f>IF(LEN(_DB_Exercises!AQ150)&gt;0,_DB_Exercises!AQ150,"")</f>
        <v/>
      </c>
      <c r="W174" s="31" t="str">
        <f>IF(LEN(_DB_Exercises!AR150)&gt;0,_DB_Exercises!AR150,"")</f>
        <v/>
      </c>
      <c r="X174" s="31" t="str">
        <f>IF(LEN(_DB_Exercises!AS150)&gt;0,_DB_Exercises!AS150,"")</f>
        <v/>
      </c>
      <c r="Y174" s="31" t="str">
        <f>IF(LEN(_DB_Exercises!AT150)&gt;0,_DB_Exercises!AT150,"")</f>
        <v/>
      </c>
      <c r="Z174" s="31" t="str">
        <f>IF(LEN(_DB_Exercises!AU150)&gt;0,_DB_Exercises!AU150,"")</f>
        <v/>
      </c>
      <c r="AA174" s="31" t="str">
        <f>IF(LEN(_DB_Exercises!AV150)&gt;0,_DB_Exercises!AV150,"")</f>
        <v/>
      </c>
      <c r="AB174" s="31" t="str">
        <f>IF(LEN(_DB_Exercises!AW150)&gt;0,_DB_Exercises!AW150,"")</f>
        <v/>
      </c>
      <c r="AC174" s="31" t="str">
        <f>IF(LEN(_DB_Exercises!AX150)&gt;0,_DB_Exercises!AX150,"")</f>
        <v/>
      </c>
      <c r="AD174" s="31" t="str">
        <f>IF(LEN(_DB_Exercises!AY150)&gt;0,_DB_Exercises!AY150,"")</f>
        <v/>
      </c>
      <c r="AE174" s="31" t="str">
        <f>IF(LEN(_DB_Exercises!AZ150)&gt;0,_DB_Exercises!AZ150,"")</f>
        <v/>
      </c>
      <c r="AF174" s="31" t="str">
        <f>IF(LEN(_DB_Exercises!BA150)&gt;0,_DB_Exercises!BA150,"")</f>
        <v/>
      </c>
      <c r="AG174" s="31" t="str">
        <f>IF(LEN(_DB_Exercises!BB150)&gt;0,_DB_Exercises!BB150,"")</f>
        <v/>
      </c>
      <c r="AH174" s="31" t="str">
        <f>IF(LEN(_DB_Exercises!BC150)&gt;0,_DB_Exercises!BC150,"")</f>
        <v/>
      </c>
      <c r="AI174" s="31" t="str">
        <f>IF(LEN(_DB_Exercises!BD150)&gt;0,_DB_Exercises!BD150,"")</f>
        <v/>
      </c>
      <c r="AJ174" s="31" t="str">
        <f>IF(LEN(_DB_Exercises!BE150)&gt;0,_DB_Exercises!BE150,"")</f>
        <v/>
      </c>
      <c r="AK174" s="31" t="str">
        <f>IF(LEN(_DB_Exercises!BF150)&gt;0,_DB_Exercises!BF150,"")</f>
        <v/>
      </c>
      <c r="AL174" s="31" t="str">
        <f>IF(LEN(_DB_Exercises!BG150)&gt;0,_DB_Exercises!BG150,"")</f>
        <v/>
      </c>
      <c r="AM174" s="31" t="str">
        <f>IF(LEN(_DB_Exercises!BH150)&gt;0,_DB_Exercises!BH150,"")</f>
        <v/>
      </c>
      <c r="AN174" s="31" t="str">
        <f>IF(LEN(_DB_Exercises!BI150)&gt;0,_DB_Exercises!BI150,"")</f>
        <v/>
      </c>
      <c r="AO174" s="31" t="str">
        <f>IF(LEN(_DB_Exercises!BJ150)&gt;0,_DB_Exercises!BJ150,"")</f>
        <v/>
      </c>
      <c r="AP174" s="31" t="str">
        <f>IF(LEN(_DB_Exercises!BK150)&gt;0,_DB_Exercises!BK150,"")</f>
        <v/>
      </c>
      <c r="AQ174" s="31" t="str">
        <f>IF(LEN(_DB_Exercises!BL150)&gt;0,_DB_Exercises!BL150,"")</f>
        <v/>
      </c>
      <c r="AR174" s="31" t="str">
        <f>IF(LEN(_DB_Exercises!BM150)&gt;0,_DB_Exercises!BM150,"")</f>
        <v/>
      </c>
    </row>
    <row r="175" spans="1:44" x14ac:dyDescent="0.25">
      <c r="A175" s="11">
        <f>IF(LEN(_DB_Exercises!A151)&gt;0,_DB_Exercises!A151,"")</f>
        <v>3007</v>
      </c>
      <c r="B175" s="14" t="str">
        <f>IF(LEN(_DB_Exercises!K151)&gt;0,_DB_Exercises!K151,"")</f>
        <v>Chipping 18  10m off the green</v>
      </c>
      <c r="C175" s="31" t="str">
        <f>IF(LEN(_DB_Exercises!X151)&gt;0,_DB_Exercises!X151,"")</f>
        <v/>
      </c>
      <c r="D175" s="31" t="str">
        <f>IF(LEN(_DB_Exercises!Y151)&gt;0,_DB_Exercises!Y151,"")</f>
        <v/>
      </c>
      <c r="E175" s="31" t="str">
        <f>IF(LEN(_DB_Exercises!Z151)&gt;0,_DB_Exercises!Z151,"")</f>
        <v/>
      </c>
      <c r="F175" s="31" t="str">
        <f>IF(LEN(_DB_Exercises!AA151)&gt;0,_DB_Exercises!AA151,"")</f>
        <v/>
      </c>
      <c r="G175" s="31" t="str">
        <f>IF(LEN(_DB_Exercises!AB151)&gt;0,_DB_Exercises!AB151,"")</f>
        <v/>
      </c>
      <c r="H175" s="31" t="str">
        <f>IF(LEN(_DB_Exercises!AC151)&gt;0,_DB_Exercises!AC151,"")</f>
        <v/>
      </c>
      <c r="I175" s="31" t="str">
        <f>IF(LEN(_DB_Exercises!AD151)&gt;0,_DB_Exercises!AD151,"")</f>
        <v/>
      </c>
      <c r="J175" s="31" t="str">
        <f>IF(LEN(_DB_Exercises!AE151)&gt;0,_DB_Exercises!AE151,"")</f>
        <v/>
      </c>
      <c r="K175" s="31" t="str">
        <f>IF(LEN(_DB_Exercises!AF151)&gt;0,_DB_Exercises!AF151,"")</f>
        <v/>
      </c>
      <c r="L175" s="31" t="str">
        <f>IF(LEN(_DB_Exercises!AG151)&gt;0,_DB_Exercises!AG151,"")</f>
        <v/>
      </c>
      <c r="M175" s="31" t="str">
        <f>IF(LEN(_DB_Exercises!AH151)&gt;0,_DB_Exercises!AH151,"")</f>
        <v/>
      </c>
      <c r="N175" s="31" t="str">
        <f>IF(LEN(_DB_Exercises!AI151)&gt;0,_DB_Exercises!AI151,"")</f>
        <v/>
      </c>
      <c r="O175" s="31" t="str">
        <f>IF(LEN(_DB_Exercises!AJ151)&gt;0,_DB_Exercises!AJ151,"")</f>
        <v/>
      </c>
      <c r="P175" s="31" t="str">
        <f>IF(LEN(_DB_Exercises!AK151)&gt;0,_DB_Exercises!AK151,"")</f>
        <v/>
      </c>
      <c r="Q175" s="31" t="str">
        <f>IF(LEN(_DB_Exercises!AL151)&gt;0,_DB_Exercises!AL151,"")</f>
        <v/>
      </c>
      <c r="R175" s="31" t="str">
        <f>IF(LEN(_DB_Exercises!AM151)&gt;0,_DB_Exercises!AM151,"")</f>
        <v/>
      </c>
      <c r="S175" s="31" t="str">
        <f>IF(LEN(_DB_Exercises!AN151)&gt;0,_DB_Exercises!AN151,"")</f>
        <v/>
      </c>
      <c r="T175" s="31" t="str">
        <f>IF(LEN(_DB_Exercises!AO151)&gt;0,_DB_Exercises!AO151,"")</f>
        <v/>
      </c>
      <c r="U175" s="31" t="str">
        <f>IF(LEN(_DB_Exercises!AP151)&gt;0,_DB_Exercises!AP151,"")</f>
        <v/>
      </c>
      <c r="V175" s="31" t="str">
        <f>IF(LEN(_DB_Exercises!AQ151)&gt;0,_DB_Exercises!AQ151,"")</f>
        <v/>
      </c>
      <c r="W175" s="31" t="str">
        <f>IF(LEN(_DB_Exercises!AR151)&gt;0,_DB_Exercises!AR151,"")</f>
        <v/>
      </c>
      <c r="X175" s="31" t="str">
        <f>IF(LEN(_DB_Exercises!AS151)&gt;0,_DB_Exercises!AS151,"")</f>
        <v/>
      </c>
      <c r="Y175" s="31" t="str">
        <f>IF(LEN(_DB_Exercises!AT151)&gt;0,_DB_Exercises!AT151,"")</f>
        <v/>
      </c>
      <c r="Z175" s="31" t="str">
        <f>IF(LEN(_DB_Exercises!AU151)&gt;0,_DB_Exercises!AU151,"")</f>
        <v/>
      </c>
      <c r="AA175" s="31" t="str">
        <f>IF(LEN(_DB_Exercises!AV151)&gt;0,_DB_Exercises!AV151,"")</f>
        <v/>
      </c>
      <c r="AB175" s="31" t="str">
        <f>IF(LEN(_DB_Exercises!AW151)&gt;0,_DB_Exercises!AW151,"")</f>
        <v/>
      </c>
      <c r="AC175" s="31" t="str">
        <f>IF(LEN(_DB_Exercises!AX151)&gt;0,_DB_Exercises!AX151,"")</f>
        <v/>
      </c>
      <c r="AD175" s="31" t="str">
        <f>IF(LEN(_DB_Exercises!AY151)&gt;0,_DB_Exercises!AY151,"")</f>
        <v/>
      </c>
      <c r="AE175" s="31" t="str">
        <f>IF(LEN(_DB_Exercises!AZ151)&gt;0,_DB_Exercises!AZ151,"")</f>
        <v/>
      </c>
      <c r="AF175" s="31" t="str">
        <f>IF(LEN(_DB_Exercises!BA151)&gt;0,_DB_Exercises!BA151,"")</f>
        <v/>
      </c>
      <c r="AG175" s="31" t="str">
        <f>IF(LEN(_DB_Exercises!BB151)&gt;0,_DB_Exercises!BB151,"")</f>
        <v/>
      </c>
      <c r="AH175" s="31" t="str">
        <f>IF(LEN(_DB_Exercises!BC151)&gt;0,_DB_Exercises!BC151,"")</f>
        <v/>
      </c>
      <c r="AI175" s="31" t="str">
        <f>IF(LEN(_DB_Exercises!BD151)&gt;0,_DB_Exercises!BD151,"")</f>
        <v/>
      </c>
      <c r="AJ175" s="31" t="str">
        <f>IF(LEN(_DB_Exercises!BE151)&gt;0,_DB_Exercises!BE151,"")</f>
        <v/>
      </c>
      <c r="AK175" s="31" t="str">
        <f>IF(LEN(_DB_Exercises!BF151)&gt;0,_DB_Exercises!BF151,"")</f>
        <v/>
      </c>
      <c r="AL175" s="31" t="str">
        <f>IF(LEN(_DB_Exercises!BG151)&gt;0,_DB_Exercises!BG151,"")</f>
        <v/>
      </c>
      <c r="AM175" s="31" t="str">
        <f>IF(LEN(_DB_Exercises!BH151)&gt;0,_DB_Exercises!BH151,"")</f>
        <v/>
      </c>
      <c r="AN175" s="31" t="str">
        <f>IF(LEN(_DB_Exercises!BI151)&gt;0,_DB_Exercises!BI151,"")</f>
        <v/>
      </c>
      <c r="AO175" s="31" t="str">
        <f>IF(LEN(_DB_Exercises!BJ151)&gt;0,_DB_Exercises!BJ151,"")</f>
        <v/>
      </c>
      <c r="AP175" s="31" t="str">
        <f>IF(LEN(_DB_Exercises!BK151)&gt;0,_DB_Exercises!BK151,"")</f>
        <v/>
      </c>
      <c r="AQ175" s="31" t="str">
        <f>IF(LEN(_DB_Exercises!BL151)&gt;0,_DB_Exercises!BL151,"")</f>
        <v/>
      </c>
      <c r="AR175" s="31" t="str">
        <f>IF(LEN(_DB_Exercises!BM151)&gt;0,_DB_Exercises!BM151,"")</f>
        <v/>
      </c>
    </row>
    <row r="176" spans="1:44" x14ac:dyDescent="0.25">
      <c r="A176" s="11">
        <f>IF(LEN(_DB_Exercises!A152)&gt;0,_DB_Exercises!A152,"")</f>
        <v>3008</v>
      </c>
      <c r="B176" s="14" t="str">
        <f>IF(LEN(_DB_Exercises!K152)&gt;0,_DB_Exercises!K152,"")</f>
        <v>Chipping 9  10m off the green</v>
      </c>
      <c r="C176" s="31" t="str">
        <f>IF(LEN(_DB_Exercises!X152)&gt;0,_DB_Exercises!X152,"")</f>
        <v/>
      </c>
      <c r="D176" s="31" t="str">
        <f>IF(LEN(_DB_Exercises!Y152)&gt;0,_DB_Exercises!Y152,"")</f>
        <v/>
      </c>
      <c r="E176" s="31" t="str">
        <f>IF(LEN(_DB_Exercises!Z152)&gt;0,_DB_Exercises!Z152,"")</f>
        <v/>
      </c>
      <c r="F176" s="31" t="str">
        <f>IF(LEN(_DB_Exercises!AA152)&gt;0,_DB_Exercises!AA152,"")</f>
        <v/>
      </c>
      <c r="G176" s="31" t="str">
        <f>IF(LEN(_DB_Exercises!AB152)&gt;0,_DB_Exercises!AB152,"")</f>
        <v/>
      </c>
      <c r="H176" s="31" t="str">
        <f>IF(LEN(_DB_Exercises!AC152)&gt;0,_DB_Exercises!AC152,"")</f>
        <v/>
      </c>
      <c r="I176" s="31" t="str">
        <f>IF(LEN(_DB_Exercises!AD152)&gt;0,_DB_Exercises!AD152,"")</f>
        <v/>
      </c>
      <c r="J176" s="31" t="str">
        <f>IF(LEN(_DB_Exercises!AE152)&gt;0,_DB_Exercises!AE152,"")</f>
        <v/>
      </c>
      <c r="K176" s="31" t="str">
        <f>IF(LEN(_DB_Exercises!AF152)&gt;0,_DB_Exercises!AF152,"")</f>
        <v/>
      </c>
      <c r="L176" s="31" t="str">
        <f>IF(LEN(_DB_Exercises!AG152)&gt;0,_DB_Exercises!AG152,"")</f>
        <v/>
      </c>
      <c r="M176" s="31" t="str">
        <f>IF(LEN(_DB_Exercises!AH152)&gt;0,_DB_Exercises!AH152,"")</f>
        <v/>
      </c>
      <c r="N176" s="31" t="str">
        <f>IF(LEN(_DB_Exercises!AI152)&gt;0,_DB_Exercises!AI152,"")</f>
        <v/>
      </c>
      <c r="O176" s="31" t="str">
        <f>IF(LEN(_DB_Exercises!AJ152)&gt;0,_DB_Exercises!AJ152,"")</f>
        <v/>
      </c>
      <c r="P176" s="31" t="str">
        <f>IF(LEN(_DB_Exercises!AK152)&gt;0,_DB_Exercises!AK152,"")</f>
        <v/>
      </c>
      <c r="Q176" s="31" t="str">
        <f>IF(LEN(_DB_Exercises!AL152)&gt;0,_DB_Exercises!AL152,"")</f>
        <v/>
      </c>
      <c r="R176" s="31" t="str">
        <f>IF(LEN(_DB_Exercises!AM152)&gt;0,_DB_Exercises!AM152,"")</f>
        <v/>
      </c>
      <c r="S176" s="31" t="str">
        <f>IF(LEN(_DB_Exercises!AN152)&gt;0,_DB_Exercises!AN152,"")</f>
        <v/>
      </c>
      <c r="T176" s="31" t="str">
        <f>IF(LEN(_DB_Exercises!AO152)&gt;0,_DB_Exercises!AO152,"")</f>
        <v/>
      </c>
      <c r="U176" s="31" t="str">
        <f>IF(LEN(_DB_Exercises!AP152)&gt;0,_DB_Exercises!AP152,"")</f>
        <v/>
      </c>
      <c r="V176" s="31" t="str">
        <f>IF(LEN(_DB_Exercises!AQ152)&gt;0,_DB_Exercises!AQ152,"")</f>
        <v/>
      </c>
      <c r="W176" s="31" t="str">
        <f>IF(LEN(_DB_Exercises!AR152)&gt;0,_DB_Exercises!AR152,"")</f>
        <v/>
      </c>
      <c r="X176" s="31" t="str">
        <f>IF(LEN(_DB_Exercises!AS152)&gt;0,_DB_Exercises!AS152,"")</f>
        <v/>
      </c>
      <c r="Y176" s="31" t="str">
        <f>IF(LEN(_DB_Exercises!AT152)&gt;0,_DB_Exercises!AT152,"")</f>
        <v/>
      </c>
      <c r="Z176" s="31" t="str">
        <f>IF(LEN(_DB_Exercises!AU152)&gt;0,_DB_Exercises!AU152,"")</f>
        <v/>
      </c>
      <c r="AA176" s="31" t="str">
        <f>IF(LEN(_DB_Exercises!AV152)&gt;0,_DB_Exercises!AV152,"")</f>
        <v/>
      </c>
      <c r="AB176" s="31" t="str">
        <f>IF(LEN(_DB_Exercises!AW152)&gt;0,_DB_Exercises!AW152,"")</f>
        <v/>
      </c>
      <c r="AC176" s="31" t="str">
        <f>IF(LEN(_DB_Exercises!AX152)&gt;0,_DB_Exercises!AX152,"")</f>
        <v/>
      </c>
      <c r="AD176" s="31" t="str">
        <f>IF(LEN(_DB_Exercises!AY152)&gt;0,_DB_Exercises!AY152,"")</f>
        <v/>
      </c>
      <c r="AE176" s="31" t="str">
        <f>IF(LEN(_DB_Exercises!AZ152)&gt;0,_DB_Exercises!AZ152,"")</f>
        <v/>
      </c>
      <c r="AF176" s="31" t="str">
        <f>IF(LEN(_DB_Exercises!BA152)&gt;0,_DB_Exercises!BA152,"")</f>
        <v/>
      </c>
      <c r="AG176" s="31" t="str">
        <f>IF(LEN(_DB_Exercises!BB152)&gt;0,_DB_Exercises!BB152,"")</f>
        <v/>
      </c>
      <c r="AH176" s="31" t="str">
        <f>IF(LEN(_DB_Exercises!BC152)&gt;0,_DB_Exercises!BC152,"")</f>
        <v/>
      </c>
      <c r="AI176" s="31" t="str">
        <f>IF(LEN(_DB_Exercises!BD152)&gt;0,_DB_Exercises!BD152,"")</f>
        <v/>
      </c>
      <c r="AJ176" s="31" t="str">
        <f>IF(LEN(_DB_Exercises!BE152)&gt;0,_DB_Exercises!BE152,"")</f>
        <v/>
      </c>
      <c r="AK176" s="31" t="str">
        <f>IF(LEN(_DB_Exercises!BF152)&gt;0,_DB_Exercises!BF152,"")</f>
        <v/>
      </c>
      <c r="AL176" s="31" t="str">
        <f>IF(LEN(_DB_Exercises!BG152)&gt;0,_DB_Exercises!BG152,"")</f>
        <v/>
      </c>
      <c r="AM176" s="31" t="str">
        <f>IF(LEN(_DB_Exercises!BH152)&gt;0,_DB_Exercises!BH152,"")</f>
        <v/>
      </c>
      <c r="AN176" s="31" t="str">
        <f>IF(LEN(_DB_Exercises!BI152)&gt;0,_DB_Exercises!BI152,"")</f>
        <v/>
      </c>
      <c r="AO176" s="31" t="str">
        <f>IF(LEN(_DB_Exercises!BJ152)&gt;0,_DB_Exercises!BJ152,"")</f>
        <v/>
      </c>
      <c r="AP176" s="31" t="str">
        <f>IF(LEN(_DB_Exercises!BK152)&gt;0,_DB_Exercises!BK152,"")</f>
        <v/>
      </c>
      <c r="AQ176" s="31" t="str">
        <f>IF(LEN(_DB_Exercises!BL152)&gt;0,_DB_Exercises!BL152,"")</f>
        <v/>
      </c>
      <c r="AR176" s="31" t="str">
        <f>IF(LEN(_DB_Exercises!BM152)&gt;0,_DB_Exercises!BM152,"")</f>
        <v/>
      </c>
    </row>
    <row r="177" spans="1:44" ht="30" x14ac:dyDescent="0.25">
      <c r="A177" s="11">
        <f>IF(LEN(_DB_Exercises!A153)&gt;0,_DB_Exercises!A153,"")</f>
        <v>3009</v>
      </c>
      <c r="B177" s="14" t="str">
        <f>IF(LEN(_DB_Exercises!K153)&gt;0,_DB_Exercises!K153,"")</f>
        <v>Scrambling   Outside the green  Beginner Mode</v>
      </c>
      <c r="C177" s="31">
        <f>IF(LEN(_DB_Exercises!X153)&gt;0,_DB_Exercises!X153,"")</f>
        <v>10</v>
      </c>
      <c r="D177" s="31">
        <f>IF(LEN(_DB_Exercises!Y153)&gt;0,_DB_Exercises!Y153,"")</f>
        <v>10</v>
      </c>
      <c r="E177" s="31">
        <f>IF(LEN(_DB_Exercises!Z153)&gt;0,_DB_Exercises!Z153,"")</f>
        <v>9</v>
      </c>
      <c r="F177" s="31">
        <f>IF(LEN(_DB_Exercises!AA153)&gt;0,_DB_Exercises!AA153,"")</f>
        <v>9</v>
      </c>
      <c r="G177" s="31">
        <f>IF(LEN(_DB_Exercises!AB153)&gt;0,_DB_Exercises!AB153,"")</f>
        <v>8</v>
      </c>
      <c r="H177" s="31">
        <f>IF(LEN(_DB_Exercises!AC153)&gt;0,_DB_Exercises!AC153,"")</f>
        <v>8</v>
      </c>
      <c r="I177" s="31">
        <f>IF(LEN(_DB_Exercises!AD153)&gt;0,_DB_Exercises!AD153,"")</f>
        <v>8</v>
      </c>
      <c r="J177" s="31">
        <f>IF(LEN(_DB_Exercises!AE153)&gt;0,_DB_Exercises!AE153,"")</f>
        <v>7</v>
      </c>
      <c r="K177" s="31">
        <f>IF(LEN(_DB_Exercises!AF153)&gt;0,_DB_Exercises!AF153,"")</f>
        <v>7</v>
      </c>
      <c r="L177" s="31">
        <f>IF(LEN(_DB_Exercises!AG153)&gt;0,_DB_Exercises!AG153,"")</f>
        <v>7</v>
      </c>
      <c r="M177" s="31">
        <f>IF(LEN(_DB_Exercises!AH153)&gt;0,_DB_Exercises!AH153,"")</f>
        <v>6</v>
      </c>
      <c r="N177" s="31">
        <f>IF(LEN(_DB_Exercises!AI153)&gt;0,_DB_Exercises!AI153,"")</f>
        <v>6</v>
      </c>
      <c r="O177" s="31">
        <f>IF(LEN(_DB_Exercises!AJ153)&gt;0,_DB_Exercises!AJ153,"")</f>
        <v>6</v>
      </c>
      <c r="P177" s="31">
        <f>IF(LEN(_DB_Exercises!AK153)&gt;0,_DB_Exercises!AK153,"")</f>
        <v>6</v>
      </c>
      <c r="Q177" s="31">
        <f>IF(LEN(_DB_Exercises!AL153)&gt;0,_DB_Exercises!AL153,"")</f>
        <v>6</v>
      </c>
      <c r="R177" s="31">
        <f>IF(LEN(_DB_Exercises!AM153)&gt;0,_DB_Exercises!AM153,"")</f>
        <v>6</v>
      </c>
      <c r="S177" s="31">
        <f>IF(LEN(_DB_Exercises!AN153)&gt;0,_DB_Exercises!AN153,"")</f>
        <v>5</v>
      </c>
      <c r="T177" s="31">
        <f>IF(LEN(_DB_Exercises!AO153)&gt;0,_DB_Exercises!AO153,"")</f>
        <v>5</v>
      </c>
      <c r="U177" s="31">
        <f>IF(LEN(_DB_Exercises!AP153)&gt;0,_DB_Exercises!AP153,"")</f>
        <v>5</v>
      </c>
      <c r="V177" s="31">
        <f>IF(LEN(_DB_Exercises!AQ153)&gt;0,_DB_Exercises!AQ153,"")</f>
        <v>5</v>
      </c>
      <c r="W177" s="31">
        <f>IF(LEN(_DB_Exercises!AR153)&gt;0,_DB_Exercises!AR153,"")</f>
        <v>5</v>
      </c>
      <c r="X177" s="31">
        <f>IF(LEN(_DB_Exercises!AS153)&gt;0,_DB_Exercises!AS153,"")</f>
        <v>5</v>
      </c>
      <c r="Y177" s="31">
        <f>IF(LEN(_DB_Exercises!AT153)&gt;0,_DB_Exercises!AT153,"")</f>
        <v>4</v>
      </c>
      <c r="Z177" s="31">
        <f>IF(LEN(_DB_Exercises!AU153)&gt;0,_DB_Exercises!AU153,"")</f>
        <v>4</v>
      </c>
      <c r="AA177" s="31">
        <f>IF(LEN(_DB_Exercises!AV153)&gt;0,_DB_Exercises!AV153,"")</f>
        <v>4</v>
      </c>
      <c r="AB177" s="31">
        <f>IF(LEN(_DB_Exercises!AW153)&gt;0,_DB_Exercises!AW153,"")</f>
        <v>4</v>
      </c>
      <c r="AC177" s="31">
        <f>IF(LEN(_DB_Exercises!AX153)&gt;0,_DB_Exercises!AX153,"")</f>
        <v>4</v>
      </c>
      <c r="AD177" s="31">
        <f>IF(LEN(_DB_Exercises!AY153)&gt;0,_DB_Exercises!AY153,"")</f>
        <v>4</v>
      </c>
      <c r="AE177" s="31">
        <f>IF(LEN(_DB_Exercises!AZ153)&gt;0,_DB_Exercises!AZ153,"")</f>
        <v>4</v>
      </c>
      <c r="AF177" s="31">
        <f>IF(LEN(_DB_Exercises!BA153)&gt;0,_DB_Exercises!BA153,"")</f>
        <v>3</v>
      </c>
      <c r="AG177" s="31">
        <f>IF(LEN(_DB_Exercises!BB153)&gt;0,_DB_Exercises!BB153,"")</f>
        <v>3</v>
      </c>
      <c r="AH177" s="31">
        <f>IF(LEN(_DB_Exercises!BC153)&gt;0,_DB_Exercises!BC153,"")</f>
        <v>3</v>
      </c>
      <c r="AI177" s="31">
        <f>IF(LEN(_DB_Exercises!BD153)&gt;0,_DB_Exercises!BD153,"")</f>
        <v>3</v>
      </c>
      <c r="AJ177" s="31">
        <f>IF(LEN(_DB_Exercises!BE153)&gt;0,_DB_Exercises!BE153,"")</f>
        <v>3</v>
      </c>
      <c r="AK177" s="31">
        <f>IF(LEN(_DB_Exercises!BF153)&gt;0,_DB_Exercises!BF153,"")</f>
        <v>3</v>
      </c>
      <c r="AL177" s="31">
        <f>IF(LEN(_DB_Exercises!BG153)&gt;0,_DB_Exercises!BG153,"")</f>
        <v>3</v>
      </c>
      <c r="AM177" s="31">
        <f>IF(LEN(_DB_Exercises!BH153)&gt;0,_DB_Exercises!BH153,"")</f>
        <v>3</v>
      </c>
      <c r="AN177" s="31">
        <f>IF(LEN(_DB_Exercises!BI153)&gt;0,_DB_Exercises!BI153,"")</f>
        <v>2</v>
      </c>
      <c r="AO177" s="31">
        <f>IF(LEN(_DB_Exercises!BJ153)&gt;0,_DB_Exercises!BJ153,"")</f>
        <v>2</v>
      </c>
      <c r="AP177" s="31">
        <f>IF(LEN(_DB_Exercises!BK153)&gt;0,_DB_Exercises!BK153,"")</f>
        <v>2</v>
      </c>
      <c r="AQ177" s="31">
        <f>IF(LEN(_DB_Exercises!BL153)&gt;0,_DB_Exercises!BL153,"")</f>
        <v>2</v>
      </c>
      <c r="AR177" s="31">
        <f>IF(LEN(_DB_Exercises!BM153)&gt;0,_DB_Exercises!BM153,"")</f>
        <v>2</v>
      </c>
    </row>
    <row r="178" spans="1:44" x14ac:dyDescent="0.25">
      <c r="A178" s="11">
        <f>IF(LEN(_DB_Exercises!A154)&gt;0,_DB_Exercises!A154,"")</f>
        <v>3010</v>
      </c>
      <c r="B178" s="14" t="str">
        <f>IF(LEN(_DB_Exercises!K154)&gt;0,_DB_Exercises!K154,"")</f>
        <v>Scrambling   Outside the green  Expert Mode</v>
      </c>
      <c r="C178" s="31">
        <f>IF(LEN(_DB_Exercises!X154)&gt;0,_DB_Exercises!X154,"")</f>
        <v>10</v>
      </c>
      <c r="D178" s="31">
        <f>IF(LEN(_DB_Exercises!Y154)&gt;0,_DB_Exercises!Y154,"")</f>
        <v>10</v>
      </c>
      <c r="E178" s="31">
        <f>IF(LEN(_DB_Exercises!Z154)&gt;0,_DB_Exercises!Z154,"")</f>
        <v>9</v>
      </c>
      <c r="F178" s="31">
        <f>IF(LEN(_DB_Exercises!AA154)&gt;0,_DB_Exercises!AA154,"")</f>
        <v>9</v>
      </c>
      <c r="G178" s="31">
        <f>IF(LEN(_DB_Exercises!AB154)&gt;0,_DB_Exercises!AB154,"")</f>
        <v>8</v>
      </c>
      <c r="H178" s="31">
        <f>IF(LEN(_DB_Exercises!AC154)&gt;0,_DB_Exercises!AC154,"")</f>
        <v>8</v>
      </c>
      <c r="I178" s="31">
        <f>IF(LEN(_DB_Exercises!AD154)&gt;0,_DB_Exercises!AD154,"")</f>
        <v>8</v>
      </c>
      <c r="J178" s="31">
        <f>IF(LEN(_DB_Exercises!AE154)&gt;0,_DB_Exercises!AE154,"")</f>
        <v>7</v>
      </c>
      <c r="K178" s="31">
        <f>IF(LEN(_DB_Exercises!AF154)&gt;0,_DB_Exercises!AF154,"")</f>
        <v>7</v>
      </c>
      <c r="L178" s="31">
        <f>IF(LEN(_DB_Exercises!AG154)&gt;0,_DB_Exercises!AG154,"")</f>
        <v>7</v>
      </c>
      <c r="M178" s="31">
        <f>IF(LEN(_DB_Exercises!AH154)&gt;0,_DB_Exercises!AH154,"")</f>
        <v>6</v>
      </c>
      <c r="N178" s="31">
        <f>IF(LEN(_DB_Exercises!AI154)&gt;0,_DB_Exercises!AI154,"")</f>
        <v>6</v>
      </c>
      <c r="O178" s="31">
        <f>IF(LEN(_DB_Exercises!AJ154)&gt;0,_DB_Exercises!AJ154,"")</f>
        <v>6</v>
      </c>
      <c r="P178" s="31">
        <f>IF(LEN(_DB_Exercises!AK154)&gt;0,_DB_Exercises!AK154,"")</f>
        <v>6</v>
      </c>
      <c r="Q178" s="31">
        <f>IF(LEN(_DB_Exercises!AL154)&gt;0,_DB_Exercises!AL154,"")</f>
        <v>6</v>
      </c>
      <c r="R178" s="31">
        <f>IF(LEN(_DB_Exercises!AM154)&gt;0,_DB_Exercises!AM154,"")</f>
        <v>6</v>
      </c>
      <c r="S178" s="31">
        <f>IF(LEN(_DB_Exercises!AN154)&gt;0,_DB_Exercises!AN154,"")</f>
        <v>5</v>
      </c>
      <c r="T178" s="31">
        <f>IF(LEN(_DB_Exercises!AO154)&gt;0,_DB_Exercises!AO154,"")</f>
        <v>5</v>
      </c>
      <c r="U178" s="31">
        <f>IF(LEN(_DB_Exercises!AP154)&gt;0,_DB_Exercises!AP154,"")</f>
        <v>5</v>
      </c>
      <c r="V178" s="31">
        <f>IF(LEN(_DB_Exercises!AQ154)&gt;0,_DB_Exercises!AQ154,"")</f>
        <v>5</v>
      </c>
      <c r="W178" s="31">
        <f>IF(LEN(_DB_Exercises!AR154)&gt;0,_DB_Exercises!AR154,"")</f>
        <v>5</v>
      </c>
      <c r="X178" s="31">
        <f>IF(LEN(_DB_Exercises!AS154)&gt;0,_DB_Exercises!AS154,"")</f>
        <v>5</v>
      </c>
      <c r="Y178" s="31">
        <f>IF(LEN(_DB_Exercises!AT154)&gt;0,_DB_Exercises!AT154,"")</f>
        <v>4</v>
      </c>
      <c r="Z178" s="31">
        <f>IF(LEN(_DB_Exercises!AU154)&gt;0,_DB_Exercises!AU154,"")</f>
        <v>4</v>
      </c>
      <c r="AA178" s="31">
        <f>IF(LEN(_DB_Exercises!AV154)&gt;0,_DB_Exercises!AV154,"")</f>
        <v>4</v>
      </c>
      <c r="AB178" s="31">
        <f>IF(LEN(_DB_Exercises!AW154)&gt;0,_DB_Exercises!AW154,"")</f>
        <v>4</v>
      </c>
      <c r="AC178" s="31">
        <f>IF(LEN(_DB_Exercises!AX154)&gt;0,_DB_Exercises!AX154,"")</f>
        <v>4</v>
      </c>
      <c r="AD178" s="31">
        <f>IF(LEN(_DB_Exercises!AY154)&gt;0,_DB_Exercises!AY154,"")</f>
        <v>4</v>
      </c>
      <c r="AE178" s="31">
        <f>IF(LEN(_DB_Exercises!AZ154)&gt;0,_DB_Exercises!AZ154,"")</f>
        <v>4</v>
      </c>
      <c r="AF178" s="31">
        <f>IF(LEN(_DB_Exercises!BA154)&gt;0,_DB_Exercises!BA154,"")</f>
        <v>3</v>
      </c>
      <c r="AG178" s="31">
        <f>IF(LEN(_DB_Exercises!BB154)&gt;0,_DB_Exercises!BB154,"")</f>
        <v>3</v>
      </c>
      <c r="AH178" s="31">
        <f>IF(LEN(_DB_Exercises!BC154)&gt;0,_DB_Exercises!BC154,"")</f>
        <v>3</v>
      </c>
      <c r="AI178" s="31">
        <f>IF(LEN(_DB_Exercises!BD154)&gt;0,_DB_Exercises!BD154,"")</f>
        <v>3</v>
      </c>
      <c r="AJ178" s="31">
        <f>IF(LEN(_DB_Exercises!BE154)&gt;0,_DB_Exercises!BE154,"")</f>
        <v>3</v>
      </c>
      <c r="AK178" s="31">
        <f>IF(LEN(_DB_Exercises!BF154)&gt;0,_DB_Exercises!BF154,"")</f>
        <v>3</v>
      </c>
      <c r="AL178" s="31">
        <f>IF(LEN(_DB_Exercises!BG154)&gt;0,_DB_Exercises!BG154,"")</f>
        <v>3</v>
      </c>
      <c r="AM178" s="31">
        <f>IF(LEN(_DB_Exercises!BH154)&gt;0,_DB_Exercises!BH154,"")</f>
        <v>3</v>
      </c>
      <c r="AN178" s="31">
        <f>IF(LEN(_DB_Exercises!BI154)&gt;0,_DB_Exercises!BI154,"")</f>
        <v>2</v>
      </c>
      <c r="AO178" s="31">
        <f>IF(LEN(_DB_Exercises!BJ154)&gt;0,_DB_Exercises!BJ154,"")</f>
        <v>2</v>
      </c>
      <c r="AP178" s="31">
        <f>IF(LEN(_DB_Exercises!BK154)&gt;0,_DB_Exercises!BK154,"")</f>
        <v>2</v>
      </c>
      <c r="AQ178" s="31">
        <f>IF(LEN(_DB_Exercises!BL154)&gt;0,_DB_Exercises!BL154,"")</f>
        <v>2</v>
      </c>
      <c r="AR178" s="31">
        <f>IF(LEN(_DB_Exercises!BM154)&gt;0,_DB_Exercises!BM154,"")</f>
        <v>2</v>
      </c>
    </row>
    <row r="179" spans="1:44" x14ac:dyDescent="0.25">
      <c r="A179" s="11">
        <f>IF(LEN(_DB_Exercises!A155)&gt;0,_DB_Exercises!A155,"")</f>
        <v>3011</v>
      </c>
      <c r="B179" s="14" t="str">
        <f>IF(LEN(_DB_Exercises!K155)&gt;0,_DB_Exercises!K155,"")</f>
        <v>Scrambling   Outside the green  Ultra Mode</v>
      </c>
      <c r="C179" s="31">
        <f>IF(LEN(_DB_Exercises!X155)&gt;0,_DB_Exercises!X155,"")</f>
        <v>10</v>
      </c>
      <c r="D179" s="31">
        <f>IF(LEN(_DB_Exercises!Y155)&gt;0,_DB_Exercises!Y155,"")</f>
        <v>10</v>
      </c>
      <c r="E179" s="31">
        <f>IF(LEN(_DB_Exercises!Z155)&gt;0,_DB_Exercises!Z155,"")</f>
        <v>9</v>
      </c>
      <c r="F179" s="31">
        <f>IF(LEN(_DB_Exercises!AA155)&gt;0,_DB_Exercises!AA155,"")</f>
        <v>9</v>
      </c>
      <c r="G179" s="31">
        <f>IF(LEN(_DB_Exercises!AB155)&gt;0,_DB_Exercises!AB155,"")</f>
        <v>8</v>
      </c>
      <c r="H179" s="31">
        <f>IF(LEN(_DB_Exercises!AC155)&gt;0,_DB_Exercises!AC155,"")</f>
        <v>8</v>
      </c>
      <c r="I179" s="31">
        <f>IF(LEN(_DB_Exercises!AD155)&gt;0,_DB_Exercises!AD155,"")</f>
        <v>8</v>
      </c>
      <c r="J179" s="31">
        <f>IF(LEN(_DB_Exercises!AE155)&gt;0,_DB_Exercises!AE155,"")</f>
        <v>7</v>
      </c>
      <c r="K179" s="31">
        <f>IF(LEN(_DB_Exercises!AF155)&gt;0,_DB_Exercises!AF155,"")</f>
        <v>7</v>
      </c>
      <c r="L179" s="31">
        <f>IF(LEN(_DB_Exercises!AG155)&gt;0,_DB_Exercises!AG155,"")</f>
        <v>7</v>
      </c>
      <c r="M179" s="31">
        <f>IF(LEN(_DB_Exercises!AH155)&gt;0,_DB_Exercises!AH155,"")</f>
        <v>6</v>
      </c>
      <c r="N179" s="31">
        <f>IF(LEN(_DB_Exercises!AI155)&gt;0,_DB_Exercises!AI155,"")</f>
        <v>6</v>
      </c>
      <c r="O179" s="31">
        <f>IF(LEN(_DB_Exercises!AJ155)&gt;0,_DB_Exercises!AJ155,"")</f>
        <v>6</v>
      </c>
      <c r="P179" s="31">
        <f>IF(LEN(_DB_Exercises!AK155)&gt;0,_DB_Exercises!AK155,"")</f>
        <v>6</v>
      </c>
      <c r="Q179" s="31">
        <f>IF(LEN(_DB_Exercises!AL155)&gt;0,_DB_Exercises!AL155,"")</f>
        <v>6</v>
      </c>
      <c r="R179" s="31">
        <f>IF(LEN(_DB_Exercises!AM155)&gt;0,_DB_Exercises!AM155,"")</f>
        <v>6</v>
      </c>
      <c r="S179" s="31">
        <f>IF(LEN(_DB_Exercises!AN155)&gt;0,_DB_Exercises!AN155,"")</f>
        <v>5</v>
      </c>
      <c r="T179" s="31">
        <f>IF(LEN(_DB_Exercises!AO155)&gt;0,_DB_Exercises!AO155,"")</f>
        <v>5</v>
      </c>
      <c r="U179" s="31">
        <f>IF(LEN(_DB_Exercises!AP155)&gt;0,_DB_Exercises!AP155,"")</f>
        <v>5</v>
      </c>
      <c r="V179" s="31">
        <f>IF(LEN(_DB_Exercises!AQ155)&gt;0,_DB_Exercises!AQ155,"")</f>
        <v>5</v>
      </c>
      <c r="W179" s="31">
        <f>IF(LEN(_DB_Exercises!AR155)&gt;0,_DB_Exercises!AR155,"")</f>
        <v>5</v>
      </c>
      <c r="X179" s="31">
        <f>IF(LEN(_DB_Exercises!AS155)&gt;0,_DB_Exercises!AS155,"")</f>
        <v>5</v>
      </c>
      <c r="Y179" s="31">
        <f>IF(LEN(_DB_Exercises!AT155)&gt;0,_DB_Exercises!AT155,"")</f>
        <v>4</v>
      </c>
      <c r="Z179" s="31">
        <f>IF(LEN(_DB_Exercises!AU155)&gt;0,_DB_Exercises!AU155,"")</f>
        <v>4</v>
      </c>
      <c r="AA179" s="31">
        <f>IF(LEN(_DB_Exercises!AV155)&gt;0,_DB_Exercises!AV155,"")</f>
        <v>4</v>
      </c>
      <c r="AB179" s="31">
        <f>IF(LEN(_DB_Exercises!AW155)&gt;0,_DB_Exercises!AW155,"")</f>
        <v>4</v>
      </c>
      <c r="AC179" s="31">
        <f>IF(LEN(_DB_Exercises!AX155)&gt;0,_DB_Exercises!AX155,"")</f>
        <v>4</v>
      </c>
      <c r="AD179" s="31">
        <f>IF(LEN(_DB_Exercises!AY155)&gt;0,_DB_Exercises!AY155,"")</f>
        <v>4</v>
      </c>
      <c r="AE179" s="31">
        <f>IF(LEN(_DB_Exercises!AZ155)&gt;0,_DB_Exercises!AZ155,"")</f>
        <v>4</v>
      </c>
      <c r="AF179" s="31">
        <f>IF(LEN(_DB_Exercises!BA155)&gt;0,_DB_Exercises!BA155,"")</f>
        <v>3</v>
      </c>
      <c r="AG179" s="31">
        <f>IF(LEN(_DB_Exercises!BB155)&gt;0,_DB_Exercises!BB155,"")</f>
        <v>3</v>
      </c>
      <c r="AH179" s="31">
        <f>IF(LEN(_DB_Exercises!BC155)&gt;0,_DB_Exercises!BC155,"")</f>
        <v>3</v>
      </c>
      <c r="AI179" s="31">
        <f>IF(LEN(_DB_Exercises!BD155)&gt;0,_DB_Exercises!BD155,"")</f>
        <v>3</v>
      </c>
      <c r="AJ179" s="31">
        <f>IF(LEN(_DB_Exercises!BE155)&gt;0,_DB_Exercises!BE155,"")</f>
        <v>3</v>
      </c>
      <c r="AK179" s="31">
        <f>IF(LEN(_DB_Exercises!BF155)&gt;0,_DB_Exercises!BF155,"")</f>
        <v>3</v>
      </c>
      <c r="AL179" s="31">
        <f>IF(LEN(_DB_Exercises!BG155)&gt;0,_DB_Exercises!BG155,"")</f>
        <v>3</v>
      </c>
      <c r="AM179" s="31">
        <f>IF(LEN(_DB_Exercises!BH155)&gt;0,_DB_Exercises!BH155,"")</f>
        <v>3</v>
      </c>
      <c r="AN179" s="31">
        <f>IF(LEN(_DB_Exercises!BI155)&gt;0,_DB_Exercises!BI155,"")</f>
        <v>2</v>
      </c>
      <c r="AO179" s="31">
        <f>IF(LEN(_DB_Exercises!BJ155)&gt;0,_DB_Exercises!BJ155,"")</f>
        <v>2</v>
      </c>
      <c r="AP179" s="31">
        <f>IF(LEN(_DB_Exercises!BK155)&gt;0,_DB_Exercises!BK155,"")</f>
        <v>2</v>
      </c>
      <c r="AQ179" s="31">
        <f>IF(LEN(_DB_Exercises!BL155)&gt;0,_DB_Exercises!BL155,"")</f>
        <v>2</v>
      </c>
      <c r="AR179" s="31">
        <f>IF(LEN(_DB_Exercises!BM155)&gt;0,_DB_Exercises!BM155,"")</f>
        <v>2</v>
      </c>
    </row>
    <row r="180" spans="1:44" ht="30" x14ac:dyDescent="0.25">
      <c r="A180" s="11">
        <f>IF(LEN(_DB_Exercises!A156)&gt;0,_DB_Exercises!A156,"")</f>
        <v>3012</v>
      </c>
      <c r="B180" s="14" t="str">
        <f>IF(LEN(_DB_Exercises!K156)&gt;0,_DB_Exercises!K156,"")</f>
        <v>Scrambling   10m off the green  Beginner Mode</v>
      </c>
      <c r="C180" s="31">
        <f>IF(LEN(_DB_Exercises!X156)&gt;0,_DB_Exercises!X156,"")</f>
        <v>8</v>
      </c>
      <c r="D180" s="31">
        <f>IF(LEN(_DB_Exercises!Y156)&gt;0,_DB_Exercises!Y156,"")</f>
        <v>8</v>
      </c>
      <c r="E180" s="31">
        <f>IF(LEN(_DB_Exercises!Z156)&gt;0,_DB_Exercises!Z156,"")</f>
        <v>8</v>
      </c>
      <c r="F180" s="31">
        <f>IF(LEN(_DB_Exercises!AA156)&gt;0,_DB_Exercises!AA156,"")</f>
        <v>7</v>
      </c>
      <c r="G180" s="31">
        <f>IF(LEN(_DB_Exercises!AB156)&gt;0,_DB_Exercises!AB156,"")</f>
        <v>7</v>
      </c>
      <c r="H180" s="31">
        <f>IF(LEN(_DB_Exercises!AC156)&gt;0,_DB_Exercises!AC156,"")</f>
        <v>7</v>
      </c>
      <c r="I180" s="31">
        <f>IF(LEN(_DB_Exercises!AD156)&gt;0,_DB_Exercises!AD156,"")</f>
        <v>6</v>
      </c>
      <c r="J180" s="31">
        <f>IF(LEN(_DB_Exercises!AE156)&gt;0,_DB_Exercises!AE156,"")</f>
        <v>6</v>
      </c>
      <c r="K180" s="31">
        <f>IF(LEN(_DB_Exercises!AF156)&gt;0,_DB_Exercises!AF156,"")</f>
        <v>6</v>
      </c>
      <c r="L180" s="31">
        <f>IF(LEN(_DB_Exercises!AG156)&gt;0,_DB_Exercises!AG156,"")</f>
        <v>6</v>
      </c>
      <c r="M180" s="31">
        <f>IF(LEN(_DB_Exercises!AH156)&gt;0,_DB_Exercises!AH156,"")</f>
        <v>5</v>
      </c>
      <c r="N180" s="31">
        <f>IF(LEN(_DB_Exercises!AI156)&gt;0,_DB_Exercises!AI156,"")</f>
        <v>5</v>
      </c>
      <c r="O180" s="31">
        <f>IF(LEN(_DB_Exercises!AJ156)&gt;0,_DB_Exercises!AJ156,"")</f>
        <v>5</v>
      </c>
      <c r="P180" s="31">
        <f>IF(LEN(_DB_Exercises!AK156)&gt;0,_DB_Exercises!AK156,"")</f>
        <v>5</v>
      </c>
      <c r="Q180" s="31">
        <f>IF(LEN(_DB_Exercises!AL156)&gt;0,_DB_Exercises!AL156,"")</f>
        <v>5</v>
      </c>
      <c r="R180" s="31">
        <f>IF(LEN(_DB_Exercises!AM156)&gt;0,_DB_Exercises!AM156,"")</f>
        <v>5</v>
      </c>
      <c r="S180" s="31">
        <f>IF(LEN(_DB_Exercises!AN156)&gt;0,_DB_Exercises!AN156,"")</f>
        <v>4</v>
      </c>
      <c r="T180" s="31">
        <f>IF(LEN(_DB_Exercises!AO156)&gt;0,_DB_Exercises!AO156,"")</f>
        <v>4</v>
      </c>
      <c r="U180" s="31">
        <f>IF(LEN(_DB_Exercises!AP156)&gt;0,_DB_Exercises!AP156,"")</f>
        <v>4</v>
      </c>
      <c r="V180" s="31">
        <f>IF(LEN(_DB_Exercises!AQ156)&gt;0,_DB_Exercises!AQ156,"")</f>
        <v>4</v>
      </c>
      <c r="W180" s="31">
        <f>IF(LEN(_DB_Exercises!AR156)&gt;0,_DB_Exercises!AR156,"")</f>
        <v>4</v>
      </c>
      <c r="X180" s="31">
        <f>IF(LEN(_DB_Exercises!AS156)&gt;0,_DB_Exercises!AS156,"")</f>
        <v>4</v>
      </c>
      <c r="Y180" s="31">
        <f>IF(LEN(_DB_Exercises!AT156)&gt;0,_DB_Exercises!AT156,"")</f>
        <v>3</v>
      </c>
      <c r="Z180" s="31">
        <f>IF(LEN(_DB_Exercises!AU156)&gt;0,_DB_Exercises!AU156,"")</f>
        <v>3</v>
      </c>
      <c r="AA180" s="31">
        <f>IF(LEN(_DB_Exercises!AV156)&gt;0,_DB_Exercises!AV156,"")</f>
        <v>3</v>
      </c>
      <c r="AB180" s="31">
        <f>IF(LEN(_DB_Exercises!AW156)&gt;0,_DB_Exercises!AW156,"")</f>
        <v>3</v>
      </c>
      <c r="AC180" s="31">
        <f>IF(LEN(_DB_Exercises!AX156)&gt;0,_DB_Exercises!AX156,"")</f>
        <v>3</v>
      </c>
      <c r="AD180" s="31">
        <f>IF(LEN(_DB_Exercises!AY156)&gt;0,_DB_Exercises!AY156,"")</f>
        <v>3</v>
      </c>
      <c r="AE180" s="31">
        <f>IF(LEN(_DB_Exercises!AZ156)&gt;0,_DB_Exercises!AZ156,"")</f>
        <v>3</v>
      </c>
      <c r="AF180" s="31">
        <f>IF(LEN(_DB_Exercises!BA156)&gt;0,_DB_Exercises!BA156,"")</f>
        <v>3</v>
      </c>
      <c r="AG180" s="31">
        <f>IF(LEN(_DB_Exercises!BB156)&gt;0,_DB_Exercises!BB156,"")</f>
        <v>3</v>
      </c>
      <c r="AH180" s="31">
        <f>IF(LEN(_DB_Exercises!BC156)&gt;0,_DB_Exercises!BC156,"")</f>
        <v>2</v>
      </c>
      <c r="AI180" s="31">
        <f>IF(LEN(_DB_Exercises!BD156)&gt;0,_DB_Exercises!BD156,"")</f>
        <v>2</v>
      </c>
      <c r="AJ180" s="31">
        <f>IF(LEN(_DB_Exercises!BE156)&gt;0,_DB_Exercises!BE156,"")</f>
        <v>2</v>
      </c>
      <c r="AK180" s="31">
        <f>IF(LEN(_DB_Exercises!BF156)&gt;0,_DB_Exercises!BF156,"")</f>
        <v>2</v>
      </c>
      <c r="AL180" s="31">
        <f>IF(LEN(_DB_Exercises!BG156)&gt;0,_DB_Exercises!BG156,"")</f>
        <v>2</v>
      </c>
      <c r="AM180" s="31">
        <f>IF(LEN(_DB_Exercises!BH156)&gt;0,_DB_Exercises!BH156,"")</f>
        <v>2</v>
      </c>
      <c r="AN180" s="31">
        <f>IF(LEN(_DB_Exercises!BI156)&gt;0,_DB_Exercises!BI156,"")</f>
        <v>2</v>
      </c>
      <c r="AO180" s="31">
        <f>IF(LEN(_DB_Exercises!BJ156)&gt;0,_DB_Exercises!BJ156,"")</f>
        <v>2</v>
      </c>
      <c r="AP180" s="31">
        <f>IF(LEN(_DB_Exercises!BK156)&gt;0,_DB_Exercises!BK156,"")</f>
        <v>2</v>
      </c>
      <c r="AQ180" s="31">
        <f>IF(LEN(_DB_Exercises!BL156)&gt;0,_DB_Exercises!BL156,"")</f>
        <v>2</v>
      </c>
      <c r="AR180" s="31">
        <f>IF(LEN(_DB_Exercises!BM156)&gt;0,_DB_Exercises!BM156,"")</f>
        <v>2</v>
      </c>
    </row>
    <row r="181" spans="1:44" x14ac:dyDescent="0.25">
      <c r="A181" s="11">
        <f>IF(LEN(_DB_Exercises!A157)&gt;0,_DB_Exercises!A157,"")</f>
        <v>3013</v>
      </c>
      <c r="B181" s="14" t="str">
        <f>IF(LEN(_DB_Exercises!K157)&gt;0,_DB_Exercises!K157,"")</f>
        <v>Scrambling   10m off the green  Expert Mode</v>
      </c>
      <c r="C181" s="31">
        <f>IF(LEN(_DB_Exercises!X157)&gt;0,_DB_Exercises!X157,"")</f>
        <v>8</v>
      </c>
      <c r="D181" s="31">
        <f>IF(LEN(_DB_Exercises!Y157)&gt;0,_DB_Exercises!Y157,"")</f>
        <v>8</v>
      </c>
      <c r="E181" s="31">
        <f>IF(LEN(_DB_Exercises!Z157)&gt;0,_DB_Exercises!Z157,"")</f>
        <v>8</v>
      </c>
      <c r="F181" s="31">
        <f>IF(LEN(_DB_Exercises!AA157)&gt;0,_DB_Exercises!AA157,"")</f>
        <v>7</v>
      </c>
      <c r="G181" s="31">
        <f>IF(LEN(_DB_Exercises!AB157)&gt;0,_DB_Exercises!AB157,"")</f>
        <v>7</v>
      </c>
      <c r="H181" s="31">
        <f>IF(LEN(_DB_Exercises!AC157)&gt;0,_DB_Exercises!AC157,"")</f>
        <v>7</v>
      </c>
      <c r="I181" s="31">
        <f>IF(LEN(_DB_Exercises!AD157)&gt;0,_DB_Exercises!AD157,"")</f>
        <v>6</v>
      </c>
      <c r="J181" s="31">
        <f>IF(LEN(_DB_Exercises!AE157)&gt;0,_DB_Exercises!AE157,"")</f>
        <v>6</v>
      </c>
      <c r="K181" s="31">
        <f>IF(LEN(_DB_Exercises!AF157)&gt;0,_DB_Exercises!AF157,"")</f>
        <v>6</v>
      </c>
      <c r="L181" s="31">
        <f>IF(LEN(_DB_Exercises!AG157)&gt;0,_DB_Exercises!AG157,"")</f>
        <v>6</v>
      </c>
      <c r="M181" s="31">
        <f>IF(LEN(_DB_Exercises!AH157)&gt;0,_DB_Exercises!AH157,"")</f>
        <v>5</v>
      </c>
      <c r="N181" s="31">
        <f>IF(LEN(_DB_Exercises!AI157)&gt;0,_DB_Exercises!AI157,"")</f>
        <v>5</v>
      </c>
      <c r="O181" s="31">
        <f>IF(LEN(_DB_Exercises!AJ157)&gt;0,_DB_Exercises!AJ157,"")</f>
        <v>5</v>
      </c>
      <c r="P181" s="31">
        <f>IF(LEN(_DB_Exercises!AK157)&gt;0,_DB_Exercises!AK157,"")</f>
        <v>5</v>
      </c>
      <c r="Q181" s="31">
        <f>IF(LEN(_DB_Exercises!AL157)&gt;0,_DB_Exercises!AL157,"")</f>
        <v>5</v>
      </c>
      <c r="R181" s="31">
        <f>IF(LEN(_DB_Exercises!AM157)&gt;0,_DB_Exercises!AM157,"")</f>
        <v>5</v>
      </c>
      <c r="S181" s="31">
        <f>IF(LEN(_DB_Exercises!AN157)&gt;0,_DB_Exercises!AN157,"")</f>
        <v>4</v>
      </c>
      <c r="T181" s="31">
        <f>IF(LEN(_DB_Exercises!AO157)&gt;0,_DB_Exercises!AO157,"")</f>
        <v>4</v>
      </c>
      <c r="U181" s="31">
        <f>IF(LEN(_DB_Exercises!AP157)&gt;0,_DB_Exercises!AP157,"")</f>
        <v>4</v>
      </c>
      <c r="V181" s="31">
        <f>IF(LEN(_DB_Exercises!AQ157)&gt;0,_DB_Exercises!AQ157,"")</f>
        <v>4</v>
      </c>
      <c r="W181" s="31">
        <f>IF(LEN(_DB_Exercises!AR157)&gt;0,_DB_Exercises!AR157,"")</f>
        <v>4</v>
      </c>
      <c r="X181" s="31">
        <f>IF(LEN(_DB_Exercises!AS157)&gt;0,_DB_Exercises!AS157,"")</f>
        <v>4</v>
      </c>
      <c r="Y181" s="31">
        <f>IF(LEN(_DB_Exercises!AT157)&gt;0,_DB_Exercises!AT157,"")</f>
        <v>3</v>
      </c>
      <c r="Z181" s="31">
        <f>IF(LEN(_DB_Exercises!AU157)&gt;0,_DB_Exercises!AU157,"")</f>
        <v>3</v>
      </c>
      <c r="AA181" s="31">
        <f>IF(LEN(_DB_Exercises!AV157)&gt;0,_DB_Exercises!AV157,"")</f>
        <v>3</v>
      </c>
      <c r="AB181" s="31">
        <f>IF(LEN(_DB_Exercises!AW157)&gt;0,_DB_Exercises!AW157,"")</f>
        <v>3</v>
      </c>
      <c r="AC181" s="31">
        <f>IF(LEN(_DB_Exercises!AX157)&gt;0,_DB_Exercises!AX157,"")</f>
        <v>3</v>
      </c>
      <c r="AD181" s="31">
        <f>IF(LEN(_DB_Exercises!AY157)&gt;0,_DB_Exercises!AY157,"")</f>
        <v>3</v>
      </c>
      <c r="AE181" s="31">
        <f>IF(LEN(_DB_Exercises!AZ157)&gt;0,_DB_Exercises!AZ157,"")</f>
        <v>3</v>
      </c>
      <c r="AF181" s="31">
        <f>IF(LEN(_DB_Exercises!BA157)&gt;0,_DB_Exercises!BA157,"")</f>
        <v>3</v>
      </c>
      <c r="AG181" s="31">
        <f>IF(LEN(_DB_Exercises!BB157)&gt;0,_DB_Exercises!BB157,"")</f>
        <v>3</v>
      </c>
      <c r="AH181" s="31">
        <f>IF(LEN(_DB_Exercises!BC157)&gt;0,_DB_Exercises!BC157,"")</f>
        <v>2</v>
      </c>
      <c r="AI181" s="31">
        <f>IF(LEN(_DB_Exercises!BD157)&gt;0,_DB_Exercises!BD157,"")</f>
        <v>2</v>
      </c>
      <c r="AJ181" s="31">
        <f>IF(LEN(_DB_Exercises!BE157)&gt;0,_DB_Exercises!BE157,"")</f>
        <v>2</v>
      </c>
      <c r="AK181" s="31">
        <f>IF(LEN(_DB_Exercises!BF157)&gt;0,_DB_Exercises!BF157,"")</f>
        <v>2</v>
      </c>
      <c r="AL181" s="31">
        <f>IF(LEN(_DB_Exercises!BG157)&gt;0,_DB_Exercises!BG157,"")</f>
        <v>2</v>
      </c>
      <c r="AM181" s="31">
        <f>IF(LEN(_DB_Exercises!BH157)&gt;0,_DB_Exercises!BH157,"")</f>
        <v>2</v>
      </c>
      <c r="AN181" s="31">
        <f>IF(LEN(_DB_Exercises!BI157)&gt;0,_DB_Exercises!BI157,"")</f>
        <v>2</v>
      </c>
      <c r="AO181" s="31">
        <f>IF(LEN(_DB_Exercises!BJ157)&gt;0,_DB_Exercises!BJ157,"")</f>
        <v>2</v>
      </c>
      <c r="AP181" s="31">
        <f>IF(LEN(_DB_Exercises!BK157)&gt;0,_DB_Exercises!BK157,"")</f>
        <v>2</v>
      </c>
      <c r="AQ181" s="31">
        <f>IF(LEN(_DB_Exercises!BL157)&gt;0,_DB_Exercises!BL157,"")</f>
        <v>2</v>
      </c>
      <c r="AR181" s="31">
        <f>IF(LEN(_DB_Exercises!BM157)&gt;0,_DB_Exercises!BM157,"")</f>
        <v>2</v>
      </c>
    </row>
    <row r="182" spans="1:44" x14ac:dyDescent="0.25">
      <c r="A182" s="11">
        <f>IF(LEN(_DB_Exercises!A158)&gt;0,_DB_Exercises!A158,"")</f>
        <v>3014</v>
      </c>
      <c r="B182" s="14" t="str">
        <f>IF(LEN(_DB_Exercises!K158)&gt;0,_DB_Exercises!K158,"")</f>
        <v>Scrambling   10m off the green  Ultra Mode</v>
      </c>
      <c r="C182" s="31">
        <f>IF(LEN(_DB_Exercises!X158)&gt;0,_DB_Exercises!X158,"")</f>
        <v>8</v>
      </c>
      <c r="D182" s="31">
        <f>IF(LEN(_DB_Exercises!Y158)&gt;0,_DB_Exercises!Y158,"")</f>
        <v>8</v>
      </c>
      <c r="E182" s="31">
        <f>IF(LEN(_DB_Exercises!Z158)&gt;0,_DB_Exercises!Z158,"")</f>
        <v>8</v>
      </c>
      <c r="F182" s="31">
        <f>IF(LEN(_DB_Exercises!AA158)&gt;0,_DB_Exercises!AA158,"")</f>
        <v>7</v>
      </c>
      <c r="G182" s="31">
        <f>IF(LEN(_DB_Exercises!AB158)&gt;0,_DB_Exercises!AB158,"")</f>
        <v>7</v>
      </c>
      <c r="H182" s="31">
        <f>IF(LEN(_DB_Exercises!AC158)&gt;0,_DB_Exercises!AC158,"")</f>
        <v>7</v>
      </c>
      <c r="I182" s="31">
        <f>IF(LEN(_DB_Exercises!AD158)&gt;0,_DB_Exercises!AD158,"")</f>
        <v>6</v>
      </c>
      <c r="J182" s="31">
        <f>IF(LEN(_DB_Exercises!AE158)&gt;0,_DB_Exercises!AE158,"")</f>
        <v>6</v>
      </c>
      <c r="K182" s="31">
        <f>IF(LEN(_DB_Exercises!AF158)&gt;0,_DB_Exercises!AF158,"")</f>
        <v>6</v>
      </c>
      <c r="L182" s="31">
        <f>IF(LEN(_DB_Exercises!AG158)&gt;0,_DB_Exercises!AG158,"")</f>
        <v>6</v>
      </c>
      <c r="M182" s="31">
        <f>IF(LEN(_DB_Exercises!AH158)&gt;0,_DB_Exercises!AH158,"")</f>
        <v>5</v>
      </c>
      <c r="N182" s="31">
        <f>IF(LEN(_DB_Exercises!AI158)&gt;0,_DB_Exercises!AI158,"")</f>
        <v>5</v>
      </c>
      <c r="O182" s="31">
        <f>IF(LEN(_DB_Exercises!AJ158)&gt;0,_DB_Exercises!AJ158,"")</f>
        <v>5</v>
      </c>
      <c r="P182" s="31">
        <f>IF(LEN(_DB_Exercises!AK158)&gt;0,_DB_Exercises!AK158,"")</f>
        <v>5</v>
      </c>
      <c r="Q182" s="31">
        <f>IF(LEN(_DB_Exercises!AL158)&gt;0,_DB_Exercises!AL158,"")</f>
        <v>5</v>
      </c>
      <c r="R182" s="31">
        <f>IF(LEN(_DB_Exercises!AM158)&gt;0,_DB_Exercises!AM158,"")</f>
        <v>5</v>
      </c>
      <c r="S182" s="31">
        <f>IF(LEN(_DB_Exercises!AN158)&gt;0,_DB_Exercises!AN158,"")</f>
        <v>4</v>
      </c>
      <c r="T182" s="31">
        <f>IF(LEN(_DB_Exercises!AO158)&gt;0,_DB_Exercises!AO158,"")</f>
        <v>4</v>
      </c>
      <c r="U182" s="31">
        <f>IF(LEN(_DB_Exercises!AP158)&gt;0,_DB_Exercises!AP158,"")</f>
        <v>4</v>
      </c>
      <c r="V182" s="31">
        <f>IF(LEN(_DB_Exercises!AQ158)&gt;0,_DB_Exercises!AQ158,"")</f>
        <v>4</v>
      </c>
      <c r="W182" s="31">
        <f>IF(LEN(_DB_Exercises!AR158)&gt;0,_DB_Exercises!AR158,"")</f>
        <v>4</v>
      </c>
      <c r="X182" s="31">
        <f>IF(LEN(_DB_Exercises!AS158)&gt;0,_DB_Exercises!AS158,"")</f>
        <v>4</v>
      </c>
      <c r="Y182" s="31">
        <f>IF(LEN(_DB_Exercises!AT158)&gt;0,_DB_Exercises!AT158,"")</f>
        <v>3</v>
      </c>
      <c r="Z182" s="31">
        <f>IF(LEN(_DB_Exercises!AU158)&gt;0,_DB_Exercises!AU158,"")</f>
        <v>3</v>
      </c>
      <c r="AA182" s="31">
        <f>IF(LEN(_DB_Exercises!AV158)&gt;0,_DB_Exercises!AV158,"")</f>
        <v>3</v>
      </c>
      <c r="AB182" s="31">
        <f>IF(LEN(_DB_Exercises!AW158)&gt;0,_DB_Exercises!AW158,"")</f>
        <v>3</v>
      </c>
      <c r="AC182" s="31">
        <f>IF(LEN(_DB_Exercises!AX158)&gt;0,_DB_Exercises!AX158,"")</f>
        <v>3</v>
      </c>
      <c r="AD182" s="31">
        <f>IF(LEN(_DB_Exercises!AY158)&gt;0,_DB_Exercises!AY158,"")</f>
        <v>3</v>
      </c>
      <c r="AE182" s="31">
        <f>IF(LEN(_DB_Exercises!AZ158)&gt;0,_DB_Exercises!AZ158,"")</f>
        <v>3</v>
      </c>
      <c r="AF182" s="31">
        <f>IF(LEN(_DB_Exercises!BA158)&gt;0,_DB_Exercises!BA158,"")</f>
        <v>3</v>
      </c>
      <c r="AG182" s="31">
        <f>IF(LEN(_DB_Exercises!BB158)&gt;0,_DB_Exercises!BB158,"")</f>
        <v>3</v>
      </c>
      <c r="AH182" s="31">
        <f>IF(LEN(_DB_Exercises!BC158)&gt;0,_DB_Exercises!BC158,"")</f>
        <v>2</v>
      </c>
      <c r="AI182" s="31">
        <f>IF(LEN(_DB_Exercises!BD158)&gt;0,_DB_Exercises!BD158,"")</f>
        <v>2</v>
      </c>
      <c r="AJ182" s="31">
        <f>IF(LEN(_DB_Exercises!BE158)&gt;0,_DB_Exercises!BE158,"")</f>
        <v>2</v>
      </c>
      <c r="AK182" s="31">
        <f>IF(LEN(_DB_Exercises!BF158)&gt;0,_DB_Exercises!BF158,"")</f>
        <v>2</v>
      </c>
      <c r="AL182" s="31">
        <f>IF(LEN(_DB_Exercises!BG158)&gt;0,_DB_Exercises!BG158,"")</f>
        <v>2</v>
      </c>
      <c r="AM182" s="31">
        <f>IF(LEN(_DB_Exercises!BH158)&gt;0,_DB_Exercises!BH158,"")</f>
        <v>2</v>
      </c>
      <c r="AN182" s="31">
        <f>IF(LEN(_DB_Exercises!BI158)&gt;0,_DB_Exercises!BI158,"")</f>
        <v>2</v>
      </c>
      <c r="AO182" s="31">
        <f>IF(LEN(_DB_Exercises!BJ158)&gt;0,_DB_Exercises!BJ158,"")</f>
        <v>2</v>
      </c>
      <c r="AP182" s="31">
        <f>IF(LEN(_DB_Exercises!BK158)&gt;0,_DB_Exercises!BK158,"")</f>
        <v>2</v>
      </c>
      <c r="AQ182" s="31">
        <f>IF(LEN(_DB_Exercises!BL158)&gt;0,_DB_Exercises!BL158,"")</f>
        <v>2</v>
      </c>
      <c r="AR182" s="31">
        <f>IF(LEN(_DB_Exercises!BM158)&gt;0,_DB_Exercises!BM158,"")</f>
        <v>2</v>
      </c>
    </row>
    <row r="183" spans="1:44" x14ac:dyDescent="0.25">
      <c r="A183" s="11">
        <f>IF(LEN(_DB_Exercises!A159)&gt;0,_DB_Exercises!A159,"")</f>
        <v>3015</v>
      </c>
      <c r="B183" s="14" t="str">
        <f>IF(LEN(_DB_Exercises!K159)&gt;0,_DB_Exercises!K159,"")</f>
        <v>Nearest to the hole  Shoot out</v>
      </c>
      <c r="C183" s="31" t="str">
        <f>IF(LEN(_DB_Exercises!X159)&gt;0,_DB_Exercises!X159,"")</f>
        <v/>
      </c>
      <c r="D183" s="31" t="str">
        <f>IF(LEN(_DB_Exercises!Y159)&gt;0,_DB_Exercises!Y159,"")</f>
        <v/>
      </c>
      <c r="E183" s="31" t="str">
        <f>IF(LEN(_DB_Exercises!Z159)&gt;0,_DB_Exercises!Z159,"")</f>
        <v/>
      </c>
      <c r="F183" s="31" t="str">
        <f>IF(LEN(_DB_Exercises!AA159)&gt;0,_DB_Exercises!AA159,"")</f>
        <v/>
      </c>
      <c r="G183" s="31" t="str">
        <f>IF(LEN(_DB_Exercises!AB159)&gt;0,_DB_Exercises!AB159,"")</f>
        <v/>
      </c>
      <c r="H183" s="31" t="str">
        <f>IF(LEN(_DB_Exercises!AC159)&gt;0,_DB_Exercises!AC159,"")</f>
        <v/>
      </c>
      <c r="I183" s="31" t="str">
        <f>IF(LEN(_DB_Exercises!AD159)&gt;0,_DB_Exercises!AD159,"")</f>
        <v/>
      </c>
      <c r="J183" s="31" t="str">
        <f>IF(LEN(_DB_Exercises!AE159)&gt;0,_DB_Exercises!AE159,"")</f>
        <v/>
      </c>
      <c r="K183" s="31" t="str">
        <f>IF(LEN(_DB_Exercises!AF159)&gt;0,_DB_Exercises!AF159,"")</f>
        <v/>
      </c>
      <c r="L183" s="31" t="str">
        <f>IF(LEN(_DB_Exercises!AG159)&gt;0,_DB_Exercises!AG159,"")</f>
        <v/>
      </c>
      <c r="M183" s="31" t="str">
        <f>IF(LEN(_DB_Exercises!AH159)&gt;0,_DB_Exercises!AH159,"")</f>
        <v/>
      </c>
      <c r="N183" s="31" t="str">
        <f>IF(LEN(_DB_Exercises!AI159)&gt;0,_DB_Exercises!AI159,"")</f>
        <v/>
      </c>
      <c r="O183" s="31" t="str">
        <f>IF(LEN(_DB_Exercises!AJ159)&gt;0,_DB_Exercises!AJ159,"")</f>
        <v/>
      </c>
      <c r="P183" s="31" t="str">
        <f>IF(LEN(_DB_Exercises!AK159)&gt;0,_DB_Exercises!AK159,"")</f>
        <v/>
      </c>
      <c r="Q183" s="31" t="str">
        <f>IF(LEN(_DB_Exercises!AL159)&gt;0,_DB_Exercises!AL159,"")</f>
        <v/>
      </c>
      <c r="R183" s="31" t="str">
        <f>IF(LEN(_DB_Exercises!AM159)&gt;0,_DB_Exercises!AM159,"")</f>
        <v/>
      </c>
      <c r="S183" s="31" t="str">
        <f>IF(LEN(_DB_Exercises!AN159)&gt;0,_DB_Exercises!AN159,"")</f>
        <v/>
      </c>
      <c r="T183" s="31" t="str">
        <f>IF(LEN(_DB_Exercises!AO159)&gt;0,_DB_Exercises!AO159,"")</f>
        <v/>
      </c>
      <c r="U183" s="31" t="str">
        <f>IF(LEN(_DB_Exercises!AP159)&gt;0,_DB_Exercises!AP159,"")</f>
        <v/>
      </c>
      <c r="V183" s="31" t="str">
        <f>IF(LEN(_DB_Exercises!AQ159)&gt;0,_DB_Exercises!AQ159,"")</f>
        <v/>
      </c>
      <c r="W183" s="31" t="str">
        <f>IF(LEN(_DB_Exercises!AR159)&gt;0,_DB_Exercises!AR159,"")</f>
        <v/>
      </c>
      <c r="X183" s="31" t="str">
        <f>IF(LEN(_DB_Exercises!AS159)&gt;0,_DB_Exercises!AS159,"")</f>
        <v/>
      </c>
      <c r="Y183" s="31" t="str">
        <f>IF(LEN(_DB_Exercises!AT159)&gt;0,_DB_Exercises!AT159,"")</f>
        <v/>
      </c>
      <c r="Z183" s="31" t="str">
        <f>IF(LEN(_DB_Exercises!AU159)&gt;0,_DB_Exercises!AU159,"")</f>
        <v/>
      </c>
      <c r="AA183" s="31" t="str">
        <f>IF(LEN(_DB_Exercises!AV159)&gt;0,_DB_Exercises!AV159,"")</f>
        <v/>
      </c>
      <c r="AB183" s="31" t="str">
        <f>IF(LEN(_DB_Exercises!AW159)&gt;0,_DB_Exercises!AW159,"")</f>
        <v/>
      </c>
      <c r="AC183" s="31" t="str">
        <f>IF(LEN(_DB_Exercises!AX159)&gt;0,_DB_Exercises!AX159,"")</f>
        <v/>
      </c>
      <c r="AD183" s="31" t="str">
        <f>IF(LEN(_DB_Exercises!AY159)&gt;0,_DB_Exercises!AY159,"")</f>
        <v/>
      </c>
      <c r="AE183" s="31" t="str">
        <f>IF(LEN(_DB_Exercises!AZ159)&gt;0,_DB_Exercises!AZ159,"")</f>
        <v/>
      </c>
      <c r="AF183" s="31" t="str">
        <f>IF(LEN(_DB_Exercises!BA159)&gt;0,_DB_Exercises!BA159,"")</f>
        <v/>
      </c>
      <c r="AG183" s="31" t="str">
        <f>IF(LEN(_DB_Exercises!BB159)&gt;0,_DB_Exercises!BB159,"")</f>
        <v/>
      </c>
      <c r="AH183" s="31" t="str">
        <f>IF(LEN(_DB_Exercises!BC159)&gt;0,_DB_Exercises!BC159,"")</f>
        <v/>
      </c>
      <c r="AI183" s="31" t="str">
        <f>IF(LEN(_DB_Exercises!BD159)&gt;0,_DB_Exercises!BD159,"")</f>
        <v/>
      </c>
      <c r="AJ183" s="31" t="str">
        <f>IF(LEN(_DB_Exercises!BE159)&gt;0,_DB_Exercises!BE159,"")</f>
        <v/>
      </c>
      <c r="AK183" s="31" t="str">
        <f>IF(LEN(_DB_Exercises!BF159)&gt;0,_DB_Exercises!BF159,"")</f>
        <v/>
      </c>
      <c r="AL183" s="31" t="str">
        <f>IF(LEN(_DB_Exercises!BG159)&gt;0,_DB_Exercises!BG159,"")</f>
        <v/>
      </c>
      <c r="AM183" s="31" t="str">
        <f>IF(LEN(_DB_Exercises!BH159)&gt;0,_DB_Exercises!BH159,"")</f>
        <v/>
      </c>
      <c r="AN183" s="31" t="str">
        <f>IF(LEN(_DB_Exercises!BI159)&gt;0,_DB_Exercises!BI159,"")</f>
        <v/>
      </c>
      <c r="AO183" s="31" t="str">
        <f>IF(LEN(_DB_Exercises!BJ159)&gt;0,_DB_Exercises!BJ159,"")</f>
        <v/>
      </c>
      <c r="AP183" s="31" t="str">
        <f>IF(LEN(_DB_Exercises!BK159)&gt;0,_DB_Exercises!BK159,"")</f>
        <v/>
      </c>
      <c r="AQ183" s="31" t="str">
        <f>IF(LEN(_DB_Exercises!BL159)&gt;0,_DB_Exercises!BL159,"")</f>
        <v/>
      </c>
      <c r="AR183" s="31" t="str">
        <f>IF(LEN(_DB_Exercises!BM159)&gt;0,_DB_Exercises!BM159,"")</f>
        <v/>
      </c>
    </row>
    <row r="184" spans="1:44" x14ac:dyDescent="0.25">
      <c r="A184" s="11">
        <f>IF(LEN(_DB_Exercises!A160)&gt;0,_DB_Exercises!A160,"")</f>
        <v>3017</v>
      </c>
      <c r="B184" s="14" t="str">
        <f>IF(LEN(_DB_Exercises!K160)&gt;0,_DB_Exercises!K160,"")</f>
        <v>Ballmarker links neben Ball</v>
      </c>
      <c r="C184" s="31" t="str">
        <f>IF(LEN(_DB_Exercises!X160)&gt;0,_DB_Exercises!X160,"")</f>
        <v/>
      </c>
      <c r="D184" s="31" t="str">
        <f>IF(LEN(_DB_Exercises!Y160)&gt;0,_DB_Exercises!Y160,"")</f>
        <v/>
      </c>
      <c r="E184" s="31" t="str">
        <f>IF(LEN(_DB_Exercises!Z160)&gt;0,_DB_Exercises!Z160,"")</f>
        <v/>
      </c>
      <c r="F184" s="31" t="str">
        <f>IF(LEN(_DB_Exercises!AA160)&gt;0,_DB_Exercises!AA160,"")</f>
        <v/>
      </c>
      <c r="G184" s="31" t="str">
        <f>IF(LEN(_DB_Exercises!AB160)&gt;0,_DB_Exercises!AB160,"")</f>
        <v/>
      </c>
      <c r="H184" s="31" t="str">
        <f>IF(LEN(_DB_Exercises!AC160)&gt;0,_DB_Exercises!AC160,"")</f>
        <v/>
      </c>
      <c r="I184" s="31" t="str">
        <f>IF(LEN(_DB_Exercises!AD160)&gt;0,_DB_Exercises!AD160,"")</f>
        <v/>
      </c>
      <c r="J184" s="31" t="str">
        <f>IF(LEN(_DB_Exercises!AE160)&gt;0,_DB_Exercises!AE160,"")</f>
        <v/>
      </c>
      <c r="K184" s="31" t="str">
        <f>IF(LEN(_DB_Exercises!AF160)&gt;0,_DB_Exercises!AF160,"")</f>
        <v/>
      </c>
      <c r="L184" s="31" t="str">
        <f>IF(LEN(_DB_Exercises!AG160)&gt;0,_DB_Exercises!AG160,"")</f>
        <v/>
      </c>
      <c r="M184" s="31" t="str">
        <f>IF(LEN(_DB_Exercises!AH160)&gt;0,_DB_Exercises!AH160,"")</f>
        <v/>
      </c>
      <c r="N184" s="31" t="str">
        <f>IF(LEN(_DB_Exercises!AI160)&gt;0,_DB_Exercises!AI160,"")</f>
        <v/>
      </c>
      <c r="O184" s="31" t="str">
        <f>IF(LEN(_DB_Exercises!AJ160)&gt;0,_DB_Exercises!AJ160,"")</f>
        <v/>
      </c>
      <c r="P184" s="31" t="str">
        <f>IF(LEN(_DB_Exercises!AK160)&gt;0,_DB_Exercises!AK160,"")</f>
        <v/>
      </c>
      <c r="Q184" s="31" t="str">
        <f>IF(LEN(_DB_Exercises!AL160)&gt;0,_DB_Exercises!AL160,"")</f>
        <v/>
      </c>
      <c r="R184" s="31" t="str">
        <f>IF(LEN(_DB_Exercises!AM160)&gt;0,_DB_Exercises!AM160,"")</f>
        <v/>
      </c>
      <c r="S184" s="31" t="str">
        <f>IF(LEN(_DB_Exercises!AN160)&gt;0,_DB_Exercises!AN160,"")</f>
        <v/>
      </c>
      <c r="T184" s="31" t="str">
        <f>IF(LEN(_DB_Exercises!AO160)&gt;0,_DB_Exercises!AO160,"")</f>
        <v/>
      </c>
      <c r="U184" s="31" t="str">
        <f>IF(LEN(_DB_Exercises!AP160)&gt;0,_DB_Exercises!AP160,"")</f>
        <v/>
      </c>
      <c r="V184" s="31" t="str">
        <f>IF(LEN(_DB_Exercises!AQ160)&gt;0,_DB_Exercises!AQ160,"")</f>
        <v/>
      </c>
      <c r="W184" s="31" t="str">
        <f>IF(LEN(_DB_Exercises!AR160)&gt;0,_DB_Exercises!AR160,"")</f>
        <v/>
      </c>
      <c r="X184" s="31" t="str">
        <f>IF(LEN(_DB_Exercises!AS160)&gt;0,_DB_Exercises!AS160,"")</f>
        <v/>
      </c>
      <c r="Y184" s="31" t="str">
        <f>IF(LEN(_DB_Exercises!AT160)&gt;0,_DB_Exercises!AT160,"")</f>
        <v/>
      </c>
      <c r="Z184" s="31" t="str">
        <f>IF(LEN(_DB_Exercises!AU160)&gt;0,_DB_Exercises!AU160,"")</f>
        <v/>
      </c>
      <c r="AA184" s="31" t="str">
        <f>IF(LEN(_DB_Exercises!AV160)&gt;0,_DB_Exercises!AV160,"")</f>
        <v/>
      </c>
      <c r="AB184" s="31" t="str">
        <f>IF(LEN(_DB_Exercises!AW160)&gt;0,_DB_Exercises!AW160,"")</f>
        <v/>
      </c>
      <c r="AC184" s="31" t="str">
        <f>IF(LEN(_DB_Exercises!AX160)&gt;0,_DB_Exercises!AX160,"")</f>
        <v/>
      </c>
      <c r="AD184" s="31" t="str">
        <f>IF(LEN(_DB_Exercises!AY160)&gt;0,_DB_Exercises!AY160,"")</f>
        <v/>
      </c>
      <c r="AE184" s="31" t="str">
        <f>IF(LEN(_DB_Exercises!AZ160)&gt;0,_DB_Exercises!AZ160,"")</f>
        <v/>
      </c>
      <c r="AF184" s="31" t="str">
        <f>IF(LEN(_DB_Exercises!BA160)&gt;0,_DB_Exercises!BA160,"")</f>
        <v/>
      </c>
      <c r="AG184" s="31" t="str">
        <f>IF(LEN(_DB_Exercises!BB160)&gt;0,_DB_Exercises!BB160,"")</f>
        <v/>
      </c>
      <c r="AH184" s="31" t="str">
        <f>IF(LEN(_DB_Exercises!BC160)&gt;0,_DB_Exercises!BC160,"")</f>
        <v/>
      </c>
      <c r="AI184" s="31" t="str">
        <f>IF(LEN(_DB_Exercises!BD160)&gt;0,_DB_Exercises!BD160,"")</f>
        <v/>
      </c>
      <c r="AJ184" s="31" t="str">
        <f>IF(LEN(_DB_Exercises!BE160)&gt;0,_DB_Exercises!BE160,"")</f>
        <v/>
      </c>
      <c r="AK184" s="31" t="str">
        <f>IF(LEN(_DB_Exercises!BF160)&gt;0,_DB_Exercises!BF160,"")</f>
        <v/>
      </c>
      <c r="AL184" s="31" t="str">
        <f>IF(LEN(_DB_Exercises!BG160)&gt;0,_DB_Exercises!BG160,"")</f>
        <v/>
      </c>
      <c r="AM184" s="31" t="str">
        <f>IF(LEN(_DB_Exercises!BH160)&gt;0,_DB_Exercises!BH160,"")</f>
        <v/>
      </c>
      <c r="AN184" s="31" t="str">
        <f>IF(LEN(_DB_Exercises!BI160)&gt;0,_DB_Exercises!BI160,"")</f>
        <v/>
      </c>
      <c r="AO184" s="31" t="str">
        <f>IF(LEN(_DB_Exercises!BJ160)&gt;0,_DB_Exercises!BJ160,"")</f>
        <v/>
      </c>
      <c r="AP184" s="31" t="str">
        <f>IF(LEN(_DB_Exercises!BK160)&gt;0,_DB_Exercises!BK160,"")</f>
        <v/>
      </c>
      <c r="AQ184" s="31" t="str">
        <f>IF(LEN(_DB_Exercises!BL160)&gt;0,_DB_Exercises!BL160,"")</f>
        <v/>
      </c>
      <c r="AR184" s="31" t="str">
        <f>IF(LEN(_DB_Exercises!BM160)&gt;0,_DB_Exercises!BM160,"")</f>
        <v/>
      </c>
    </row>
    <row r="185" spans="1:44" x14ac:dyDescent="0.25">
      <c r="A185" s="11">
        <f>IF(LEN(_DB_Exercises!A161)&gt;0,_DB_Exercises!A161,"")</f>
        <v>3018</v>
      </c>
      <c r="B185" s="14" t="str">
        <f>IF(LEN(_DB_Exercises!K161)&gt;0,_DB_Exercises!K161,"")</f>
        <v>Steal the ball</v>
      </c>
      <c r="C185" s="31" t="str">
        <f>IF(LEN(_DB_Exercises!X161)&gt;0,_DB_Exercises!X161,"")</f>
        <v/>
      </c>
      <c r="D185" s="31" t="str">
        <f>IF(LEN(_DB_Exercises!Y161)&gt;0,_DB_Exercises!Y161,"")</f>
        <v/>
      </c>
      <c r="E185" s="31" t="str">
        <f>IF(LEN(_DB_Exercises!Z161)&gt;0,_DB_Exercises!Z161,"")</f>
        <v/>
      </c>
      <c r="F185" s="31" t="str">
        <f>IF(LEN(_DB_Exercises!AA161)&gt;0,_DB_Exercises!AA161,"")</f>
        <v/>
      </c>
      <c r="G185" s="31" t="str">
        <f>IF(LEN(_DB_Exercises!AB161)&gt;0,_DB_Exercises!AB161,"")</f>
        <v/>
      </c>
      <c r="H185" s="31" t="str">
        <f>IF(LEN(_DB_Exercises!AC161)&gt;0,_DB_Exercises!AC161,"")</f>
        <v/>
      </c>
      <c r="I185" s="31" t="str">
        <f>IF(LEN(_DB_Exercises!AD161)&gt;0,_DB_Exercises!AD161,"")</f>
        <v/>
      </c>
      <c r="J185" s="31" t="str">
        <f>IF(LEN(_DB_Exercises!AE161)&gt;0,_DB_Exercises!AE161,"")</f>
        <v/>
      </c>
      <c r="K185" s="31" t="str">
        <f>IF(LEN(_DB_Exercises!AF161)&gt;0,_DB_Exercises!AF161,"")</f>
        <v/>
      </c>
      <c r="L185" s="31" t="str">
        <f>IF(LEN(_DB_Exercises!AG161)&gt;0,_DB_Exercises!AG161,"")</f>
        <v/>
      </c>
      <c r="M185" s="31" t="str">
        <f>IF(LEN(_DB_Exercises!AH161)&gt;0,_DB_Exercises!AH161,"")</f>
        <v/>
      </c>
      <c r="N185" s="31" t="str">
        <f>IF(LEN(_DB_Exercises!AI161)&gt;0,_DB_Exercises!AI161,"")</f>
        <v/>
      </c>
      <c r="O185" s="31" t="str">
        <f>IF(LEN(_DB_Exercises!AJ161)&gt;0,_DB_Exercises!AJ161,"")</f>
        <v/>
      </c>
      <c r="P185" s="31" t="str">
        <f>IF(LEN(_DB_Exercises!AK161)&gt;0,_DB_Exercises!AK161,"")</f>
        <v/>
      </c>
      <c r="Q185" s="31" t="str">
        <f>IF(LEN(_DB_Exercises!AL161)&gt;0,_DB_Exercises!AL161,"")</f>
        <v/>
      </c>
      <c r="R185" s="31" t="str">
        <f>IF(LEN(_DB_Exercises!AM161)&gt;0,_DB_Exercises!AM161,"")</f>
        <v/>
      </c>
      <c r="S185" s="31" t="str">
        <f>IF(LEN(_DB_Exercises!AN161)&gt;0,_DB_Exercises!AN161,"")</f>
        <v/>
      </c>
      <c r="T185" s="31" t="str">
        <f>IF(LEN(_DB_Exercises!AO161)&gt;0,_DB_Exercises!AO161,"")</f>
        <v/>
      </c>
      <c r="U185" s="31" t="str">
        <f>IF(LEN(_DB_Exercises!AP161)&gt;0,_DB_Exercises!AP161,"")</f>
        <v/>
      </c>
      <c r="V185" s="31" t="str">
        <f>IF(LEN(_DB_Exercises!AQ161)&gt;0,_DB_Exercises!AQ161,"")</f>
        <v/>
      </c>
      <c r="W185" s="31" t="str">
        <f>IF(LEN(_DB_Exercises!AR161)&gt;0,_DB_Exercises!AR161,"")</f>
        <v/>
      </c>
      <c r="X185" s="31" t="str">
        <f>IF(LEN(_DB_Exercises!AS161)&gt;0,_DB_Exercises!AS161,"")</f>
        <v/>
      </c>
      <c r="Y185" s="31" t="str">
        <f>IF(LEN(_DB_Exercises!AT161)&gt;0,_DB_Exercises!AT161,"")</f>
        <v/>
      </c>
      <c r="Z185" s="31" t="str">
        <f>IF(LEN(_DB_Exercises!AU161)&gt;0,_DB_Exercises!AU161,"")</f>
        <v/>
      </c>
      <c r="AA185" s="31" t="str">
        <f>IF(LEN(_DB_Exercises!AV161)&gt;0,_DB_Exercises!AV161,"")</f>
        <v/>
      </c>
      <c r="AB185" s="31" t="str">
        <f>IF(LEN(_DB_Exercises!AW161)&gt;0,_DB_Exercises!AW161,"")</f>
        <v/>
      </c>
      <c r="AC185" s="31" t="str">
        <f>IF(LEN(_DB_Exercises!AX161)&gt;0,_DB_Exercises!AX161,"")</f>
        <v/>
      </c>
      <c r="AD185" s="31" t="str">
        <f>IF(LEN(_DB_Exercises!AY161)&gt;0,_DB_Exercises!AY161,"")</f>
        <v/>
      </c>
      <c r="AE185" s="31" t="str">
        <f>IF(LEN(_DB_Exercises!AZ161)&gt;0,_DB_Exercises!AZ161,"")</f>
        <v/>
      </c>
      <c r="AF185" s="31" t="str">
        <f>IF(LEN(_DB_Exercises!BA161)&gt;0,_DB_Exercises!BA161,"")</f>
        <v/>
      </c>
      <c r="AG185" s="31" t="str">
        <f>IF(LEN(_DB_Exercises!BB161)&gt;0,_DB_Exercises!BB161,"")</f>
        <v/>
      </c>
      <c r="AH185" s="31" t="str">
        <f>IF(LEN(_DB_Exercises!BC161)&gt;0,_DB_Exercises!BC161,"")</f>
        <v/>
      </c>
      <c r="AI185" s="31" t="str">
        <f>IF(LEN(_DB_Exercises!BD161)&gt;0,_DB_Exercises!BD161,"")</f>
        <v/>
      </c>
      <c r="AJ185" s="31" t="str">
        <f>IF(LEN(_DB_Exercises!BE161)&gt;0,_DB_Exercises!BE161,"")</f>
        <v/>
      </c>
      <c r="AK185" s="31" t="str">
        <f>IF(LEN(_DB_Exercises!BF161)&gt;0,_DB_Exercises!BF161,"")</f>
        <v/>
      </c>
      <c r="AL185" s="31" t="str">
        <f>IF(LEN(_DB_Exercises!BG161)&gt;0,_DB_Exercises!BG161,"")</f>
        <v/>
      </c>
      <c r="AM185" s="31" t="str">
        <f>IF(LEN(_DB_Exercises!BH161)&gt;0,_DB_Exercises!BH161,"")</f>
        <v/>
      </c>
      <c r="AN185" s="31" t="str">
        <f>IF(LEN(_DB_Exercises!BI161)&gt;0,_DB_Exercises!BI161,"")</f>
        <v/>
      </c>
      <c r="AO185" s="31" t="str">
        <f>IF(LEN(_DB_Exercises!BJ161)&gt;0,_DB_Exercises!BJ161,"")</f>
        <v/>
      </c>
      <c r="AP185" s="31" t="str">
        <f>IF(LEN(_DB_Exercises!BK161)&gt;0,_DB_Exercises!BK161,"")</f>
        <v/>
      </c>
      <c r="AQ185" s="31" t="str">
        <f>IF(LEN(_DB_Exercises!BL161)&gt;0,_DB_Exercises!BL161,"")</f>
        <v/>
      </c>
      <c r="AR185" s="31" t="str">
        <f>IF(LEN(_DB_Exercises!BM161)&gt;0,_DB_Exercises!BM161,"")</f>
        <v/>
      </c>
    </row>
    <row r="186" spans="1:44" x14ac:dyDescent="0.25">
      <c r="A186" s="11">
        <f>IF(LEN(_DB_Exercises!A162)&gt;0,_DB_Exercises!A162,"")</f>
        <v>3019</v>
      </c>
      <c r="B186" s="14" t="str">
        <f>IF(LEN(_DB_Exercises!K162)&gt;0,_DB_Exercises!K162,"")</f>
        <v>Ballmaschine</v>
      </c>
      <c r="C186" s="31" t="str">
        <f>IF(LEN(_DB_Exercises!X162)&gt;0,_DB_Exercises!X162,"")</f>
        <v/>
      </c>
      <c r="D186" s="31" t="str">
        <f>IF(LEN(_DB_Exercises!Y162)&gt;0,_DB_Exercises!Y162,"")</f>
        <v/>
      </c>
      <c r="E186" s="31" t="str">
        <f>IF(LEN(_DB_Exercises!Z162)&gt;0,_DB_Exercises!Z162,"")</f>
        <v/>
      </c>
      <c r="F186" s="31" t="str">
        <f>IF(LEN(_DB_Exercises!AA162)&gt;0,_DB_Exercises!AA162,"")</f>
        <v/>
      </c>
      <c r="G186" s="31" t="str">
        <f>IF(LEN(_DB_Exercises!AB162)&gt;0,_DB_Exercises!AB162,"")</f>
        <v/>
      </c>
      <c r="H186" s="31" t="str">
        <f>IF(LEN(_DB_Exercises!AC162)&gt;0,_DB_Exercises!AC162,"")</f>
        <v/>
      </c>
      <c r="I186" s="31" t="str">
        <f>IF(LEN(_DB_Exercises!AD162)&gt;0,_DB_Exercises!AD162,"")</f>
        <v/>
      </c>
      <c r="J186" s="31" t="str">
        <f>IF(LEN(_DB_Exercises!AE162)&gt;0,_DB_Exercises!AE162,"")</f>
        <v/>
      </c>
      <c r="K186" s="31" t="str">
        <f>IF(LEN(_DB_Exercises!AF162)&gt;0,_DB_Exercises!AF162,"")</f>
        <v/>
      </c>
      <c r="L186" s="31" t="str">
        <f>IF(LEN(_DB_Exercises!AG162)&gt;0,_DB_Exercises!AG162,"")</f>
        <v/>
      </c>
      <c r="M186" s="31" t="str">
        <f>IF(LEN(_DB_Exercises!AH162)&gt;0,_DB_Exercises!AH162,"")</f>
        <v/>
      </c>
      <c r="N186" s="31" t="str">
        <f>IF(LEN(_DB_Exercises!AI162)&gt;0,_DB_Exercises!AI162,"")</f>
        <v/>
      </c>
      <c r="O186" s="31" t="str">
        <f>IF(LEN(_DB_Exercises!AJ162)&gt;0,_DB_Exercises!AJ162,"")</f>
        <v/>
      </c>
      <c r="P186" s="31" t="str">
        <f>IF(LEN(_DB_Exercises!AK162)&gt;0,_DB_Exercises!AK162,"")</f>
        <v/>
      </c>
      <c r="Q186" s="31" t="str">
        <f>IF(LEN(_DB_Exercises!AL162)&gt;0,_DB_Exercises!AL162,"")</f>
        <v/>
      </c>
      <c r="R186" s="31" t="str">
        <f>IF(LEN(_DB_Exercises!AM162)&gt;0,_DB_Exercises!AM162,"")</f>
        <v/>
      </c>
      <c r="S186" s="31" t="str">
        <f>IF(LEN(_DB_Exercises!AN162)&gt;0,_DB_Exercises!AN162,"")</f>
        <v/>
      </c>
      <c r="T186" s="31" t="str">
        <f>IF(LEN(_DB_Exercises!AO162)&gt;0,_DB_Exercises!AO162,"")</f>
        <v/>
      </c>
      <c r="U186" s="31" t="str">
        <f>IF(LEN(_DB_Exercises!AP162)&gt;0,_DB_Exercises!AP162,"")</f>
        <v/>
      </c>
      <c r="V186" s="31" t="str">
        <f>IF(LEN(_DB_Exercises!AQ162)&gt;0,_DB_Exercises!AQ162,"")</f>
        <v/>
      </c>
      <c r="W186" s="31" t="str">
        <f>IF(LEN(_DB_Exercises!AR162)&gt;0,_DB_Exercises!AR162,"")</f>
        <v/>
      </c>
      <c r="X186" s="31" t="str">
        <f>IF(LEN(_DB_Exercises!AS162)&gt;0,_DB_Exercises!AS162,"")</f>
        <v/>
      </c>
      <c r="Y186" s="31" t="str">
        <f>IF(LEN(_DB_Exercises!AT162)&gt;0,_DB_Exercises!AT162,"")</f>
        <v/>
      </c>
      <c r="Z186" s="31" t="str">
        <f>IF(LEN(_DB_Exercises!AU162)&gt;0,_DB_Exercises!AU162,"")</f>
        <v/>
      </c>
      <c r="AA186" s="31" t="str">
        <f>IF(LEN(_DB_Exercises!AV162)&gt;0,_DB_Exercises!AV162,"")</f>
        <v/>
      </c>
      <c r="AB186" s="31" t="str">
        <f>IF(LEN(_DB_Exercises!AW162)&gt;0,_DB_Exercises!AW162,"")</f>
        <v/>
      </c>
      <c r="AC186" s="31" t="str">
        <f>IF(LEN(_DB_Exercises!AX162)&gt;0,_DB_Exercises!AX162,"")</f>
        <v/>
      </c>
      <c r="AD186" s="31" t="str">
        <f>IF(LEN(_DB_Exercises!AY162)&gt;0,_DB_Exercises!AY162,"")</f>
        <v/>
      </c>
      <c r="AE186" s="31" t="str">
        <f>IF(LEN(_DB_Exercises!AZ162)&gt;0,_DB_Exercises!AZ162,"")</f>
        <v/>
      </c>
      <c r="AF186" s="31" t="str">
        <f>IF(LEN(_DB_Exercises!BA162)&gt;0,_DB_Exercises!BA162,"")</f>
        <v/>
      </c>
      <c r="AG186" s="31" t="str">
        <f>IF(LEN(_DB_Exercises!BB162)&gt;0,_DB_Exercises!BB162,"")</f>
        <v/>
      </c>
      <c r="AH186" s="31" t="str">
        <f>IF(LEN(_DB_Exercises!BC162)&gt;0,_DB_Exercises!BC162,"")</f>
        <v/>
      </c>
      <c r="AI186" s="31" t="str">
        <f>IF(LEN(_DB_Exercises!BD162)&gt;0,_DB_Exercises!BD162,"")</f>
        <v/>
      </c>
      <c r="AJ186" s="31" t="str">
        <f>IF(LEN(_DB_Exercises!BE162)&gt;0,_DB_Exercises!BE162,"")</f>
        <v/>
      </c>
      <c r="AK186" s="31" t="str">
        <f>IF(LEN(_DB_Exercises!BF162)&gt;0,_DB_Exercises!BF162,"")</f>
        <v/>
      </c>
      <c r="AL186" s="31" t="str">
        <f>IF(LEN(_DB_Exercises!BG162)&gt;0,_DB_Exercises!BG162,"")</f>
        <v/>
      </c>
      <c r="AM186" s="31" t="str">
        <f>IF(LEN(_DB_Exercises!BH162)&gt;0,_DB_Exercises!BH162,"")</f>
        <v/>
      </c>
      <c r="AN186" s="31" t="str">
        <f>IF(LEN(_DB_Exercises!BI162)&gt;0,_DB_Exercises!BI162,"")</f>
        <v/>
      </c>
      <c r="AO186" s="31" t="str">
        <f>IF(LEN(_DB_Exercises!BJ162)&gt;0,_DB_Exercises!BJ162,"")</f>
        <v/>
      </c>
      <c r="AP186" s="31" t="str">
        <f>IF(LEN(_DB_Exercises!BK162)&gt;0,_DB_Exercises!BK162,"")</f>
        <v/>
      </c>
      <c r="AQ186" s="31" t="str">
        <f>IF(LEN(_DB_Exercises!BL162)&gt;0,_DB_Exercises!BL162,"")</f>
        <v/>
      </c>
      <c r="AR186" s="31" t="str">
        <f>IF(LEN(_DB_Exercises!BM162)&gt;0,_DB_Exercises!BM162,"")</f>
        <v/>
      </c>
    </row>
    <row r="187" spans="1:44" x14ac:dyDescent="0.25">
      <c r="A187" s="11">
        <f>IF(LEN(_DB_Exercises!A274)&gt;0,_DB_Exercises!A274,"")</f>
        <v>5018</v>
      </c>
      <c r="B187" s="14" t="str">
        <f>IF(LEN(_DB_Exercises!K274)&gt;0,_DB_Exercises!K274,"")</f>
        <v>49 Shot Challenge</v>
      </c>
      <c r="C187" s="31">
        <f>IF(LEN(_DB_Exercises!X274)&gt;0,_DB_Exercises!X274,"")</f>
        <v>49</v>
      </c>
      <c r="D187" s="31">
        <f>IF(LEN(_DB_Exercises!Y274)&gt;0,_DB_Exercises!Y274,"")</f>
        <v>48</v>
      </c>
      <c r="E187" s="31">
        <f>IF(LEN(_DB_Exercises!Z274)&gt;0,_DB_Exercises!Z274,"")</f>
        <v>47</v>
      </c>
      <c r="F187" s="31">
        <f>IF(LEN(_DB_Exercises!AA274)&gt;0,_DB_Exercises!AA274,"")</f>
        <v>46</v>
      </c>
      <c r="G187" s="31">
        <f>IF(LEN(_DB_Exercises!AB274)&gt;0,_DB_Exercises!AB274,"")</f>
        <v>45</v>
      </c>
      <c r="H187" s="31">
        <f>IF(LEN(_DB_Exercises!AC274)&gt;0,_DB_Exercises!AC274,"")</f>
        <v>44</v>
      </c>
      <c r="I187" s="31">
        <f>IF(LEN(_DB_Exercises!AD274)&gt;0,_DB_Exercises!AD274,"")</f>
        <v>43</v>
      </c>
      <c r="J187" s="31">
        <f>IF(LEN(_DB_Exercises!AE274)&gt;0,_DB_Exercises!AE274,"")</f>
        <v>42</v>
      </c>
      <c r="K187" s="31">
        <f>IF(LEN(_DB_Exercises!AF274)&gt;0,_DB_Exercises!AF274,"")</f>
        <v>41</v>
      </c>
      <c r="L187" s="31">
        <f>IF(LEN(_DB_Exercises!AG274)&gt;0,_DB_Exercises!AG274,"")</f>
        <v>40</v>
      </c>
      <c r="M187" s="31">
        <f>IF(LEN(_DB_Exercises!AH274)&gt;0,_DB_Exercises!AH274,"")</f>
        <v>39</v>
      </c>
      <c r="N187" s="31">
        <f>IF(LEN(_DB_Exercises!AI274)&gt;0,_DB_Exercises!AI274,"")</f>
        <v>38</v>
      </c>
      <c r="O187" s="31">
        <f>IF(LEN(_DB_Exercises!AJ274)&gt;0,_DB_Exercises!AJ274,"")</f>
        <v>37</v>
      </c>
      <c r="P187" s="31">
        <f>IF(LEN(_DB_Exercises!AK274)&gt;0,_DB_Exercises!AK274,"")</f>
        <v>36</v>
      </c>
      <c r="Q187" s="31">
        <f>IF(LEN(_DB_Exercises!AL274)&gt;0,_DB_Exercises!AL274,"")</f>
        <v>35</v>
      </c>
      <c r="R187" s="31">
        <f>IF(LEN(_DB_Exercises!AM274)&gt;0,_DB_Exercises!AM274,"")</f>
        <v>34</v>
      </c>
      <c r="S187" s="31">
        <f>IF(LEN(_DB_Exercises!AN274)&gt;0,_DB_Exercises!AN274,"")</f>
        <v>33</v>
      </c>
      <c r="T187" s="31">
        <f>IF(LEN(_DB_Exercises!AO274)&gt;0,_DB_Exercises!AO274,"")</f>
        <v>32</v>
      </c>
      <c r="U187" s="31">
        <f>IF(LEN(_DB_Exercises!AP274)&gt;0,_DB_Exercises!AP274,"")</f>
        <v>31</v>
      </c>
      <c r="V187" s="31">
        <f>IF(LEN(_DB_Exercises!AQ274)&gt;0,_DB_Exercises!AQ274,"")</f>
        <v>30</v>
      </c>
      <c r="W187" s="31">
        <f>IF(LEN(_DB_Exercises!AR274)&gt;0,_DB_Exercises!AR274,"")</f>
        <v>29</v>
      </c>
      <c r="X187" s="31">
        <f>IF(LEN(_DB_Exercises!AS274)&gt;0,_DB_Exercises!AS274,"")</f>
        <v>28</v>
      </c>
      <c r="Y187" s="31">
        <f>IF(LEN(_DB_Exercises!AT274)&gt;0,_DB_Exercises!AT274,"")</f>
        <v>27</v>
      </c>
      <c r="Z187" s="31">
        <f>IF(LEN(_DB_Exercises!AU274)&gt;0,_DB_Exercises!AU274,"")</f>
        <v>26</v>
      </c>
      <c r="AA187" s="31">
        <f>IF(LEN(_DB_Exercises!AV274)&gt;0,_DB_Exercises!AV274,"")</f>
        <v>25</v>
      </c>
      <c r="AB187" s="31">
        <f>IF(LEN(_DB_Exercises!AW274)&gt;0,_DB_Exercises!AW274,"")</f>
        <v>24</v>
      </c>
      <c r="AC187" s="31">
        <f>IF(LEN(_DB_Exercises!AX274)&gt;0,_DB_Exercises!AX274,"")</f>
        <v>23</v>
      </c>
      <c r="AD187" s="31">
        <f>IF(LEN(_DB_Exercises!AY274)&gt;0,_DB_Exercises!AY274,"")</f>
        <v>22</v>
      </c>
      <c r="AE187" s="31">
        <f>IF(LEN(_DB_Exercises!AZ274)&gt;0,_DB_Exercises!AZ274,"")</f>
        <v>21</v>
      </c>
      <c r="AF187" s="31">
        <f>IF(LEN(_DB_Exercises!BA274)&gt;0,_DB_Exercises!BA274,"")</f>
        <v>20</v>
      </c>
      <c r="AG187" s="31">
        <f>IF(LEN(_DB_Exercises!BB274)&gt;0,_DB_Exercises!BB274,"")</f>
        <v>19</v>
      </c>
      <c r="AH187" s="31">
        <f>IF(LEN(_DB_Exercises!BC274)&gt;0,_DB_Exercises!BC274,"")</f>
        <v>18</v>
      </c>
      <c r="AI187" s="31">
        <f>IF(LEN(_DB_Exercises!BD274)&gt;0,_DB_Exercises!BD274,"")</f>
        <v>17</v>
      </c>
      <c r="AJ187" s="31">
        <f>IF(LEN(_DB_Exercises!BE274)&gt;0,_DB_Exercises!BE274,"")</f>
        <v>16</v>
      </c>
      <c r="AK187" s="31">
        <f>IF(LEN(_DB_Exercises!BF274)&gt;0,_DB_Exercises!BF274,"")</f>
        <v>15</v>
      </c>
      <c r="AL187" s="31">
        <f>IF(LEN(_DB_Exercises!BG274)&gt;0,_DB_Exercises!BG274,"")</f>
        <v>14</v>
      </c>
      <c r="AM187" s="31">
        <f>IF(LEN(_DB_Exercises!BH274)&gt;0,_DB_Exercises!BH274,"")</f>
        <v>13</v>
      </c>
      <c r="AN187" s="31">
        <f>IF(LEN(_DB_Exercises!BI274)&gt;0,_DB_Exercises!BI274,"")</f>
        <v>12</v>
      </c>
      <c r="AO187" s="31">
        <f>IF(LEN(_DB_Exercises!BJ274)&gt;0,_DB_Exercises!BJ274,"")</f>
        <v>11</v>
      </c>
      <c r="AP187" s="31">
        <f>IF(LEN(_DB_Exercises!BK274)&gt;0,_DB_Exercises!BK274,"")</f>
        <v>10</v>
      </c>
      <c r="AQ187" s="31">
        <f>IF(LEN(_DB_Exercises!BL274)&gt;0,_DB_Exercises!BL274,"")</f>
        <v>9</v>
      </c>
      <c r="AR187" s="31">
        <f>IF(LEN(_DB_Exercises!BM274)&gt;0,_DB_Exercises!BM274,"")</f>
        <v>8</v>
      </c>
    </row>
    <row r="188" spans="1:44" x14ac:dyDescent="0.25">
      <c r="A188" s="11">
        <f>IF(LEN(_DB_Exercises!A275)&gt;0,_DB_Exercises!A275,"")</f>
        <v>5019</v>
      </c>
      <c r="B188" s="14" t="str">
        <f>IF(LEN(_DB_Exercises!K275)&gt;0,_DB_Exercises!K275,"")</f>
        <v>Schwungbahn begrenzen</v>
      </c>
      <c r="C188" s="31" t="str">
        <f>IF(LEN(_DB_Exercises!X275)&gt;0,_DB_Exercises!X275,"")</f>
        <v/>
      </c>
      <c r="D188" s="31" t="str">
        <f>IF(LEN(_DB_Exercises!Y275)&gt;0,_DB_Exercises!Y275,"")</f>
        <v/>
      </c>
      <c r="E188" s="31" t="str">
        <f>IF(LEN(_DB_Exercises!Z275)&gt;0,_DB_Exercises!Z275,"")</f>
        <v/>
      </c>
      <c r="F188" s="31" t="str">
        <f>IF(LEN(_DB_Exercises!AA275)&gt;0,_DB_Exercises!AA275,"")</f>
        <v/>
      </c>
      <c r="G188" s="31" t="str">
        <f>IF(LEN(_DB_Exercises!AB275)&gt;0,_DB_Exercises!AB275,"")</f>
        <v/>
      </c>
      <c r="H188" s="31" t="str">
        <f>IF(LEN(_DB_Exercises!AC275)&gt;0,_DB_Exercises!AC275,"")</f>
        <v/>
      </c>
      <c r="I188" s="31" t="str">
        <f>IF(LEN(_DB_Exercises!AD275)&gt;0,_DB_Exercises!AD275,"")</f>
        <v/>
      </c>
      <c r="J188" s="31" t="str">
        <f>IF(LEN(_DB_Exercises!AE275)&gt;0,_DB_Exercises!AE275,"")</f>
        <v/>
      </c>
      <c r="K188" s="31" t="str">
        <f>IF(LEN(_DB_Exercises!AF275)&gt;0,_DB_Exercises!AF275,"")</f>
        <v/>
      </c>
      <c r="L188" s="31" t="str">
        <f>IF(LEN(_DB_Exercises!AG275)&gt;0,_DB_Exercises!AG275,"")</f>
        <v/>
      </c>
      <c r="M188" s="31" t="str">
        <f>IF(LEN(_DB_Exercises!AH275)&gt;0,_DB_Exercises!AH275,"")</f>
        <v/>
      </c>
      <c r="N188" s="31" t="str">
        <f>IF(LEN(_DB_Exercises!AI275)&gt;0,_DB_Exercises!AI275,"")</f>
        <v/>
      </c>
      <c r="O188" s="31" t="str">
        <f>IF(LEN(_DB_Exercises!AJ275)&gt;0,_DB_Exercises!AJ275,"")</f>
        <v/>
      </c>
      <c r="P188" s="31" t="str">
        <f>IF(LEN(_DB_Exercises!AK275)&gt;0,_DB_Exercises!AK275,"")</f>
        <v/>
      </c>
      <c r="Q188" s="31" t="str">
        <f>IF(LEN(_DB_Exercises!AL275)&gt;0,_DB_Exercises!AL275,"")</f>
        <v/>
      </c>
      <c r="R188" s="31" t="str">
        <f>IF(LEN(_DB_Exercises!AM275)&gt;0,_DB_Exercises!AM275,"")</f>
        <v/>
      </c>
      <c r="S188" s="31" t="str">
        <f>IF(LEN(_DB_Exercises!AN275)&gt;0,_DB_Exercises!AN275,"")</f>
        <v/>
      </c>
      <c r="T188" s="31" t="str">
        <f>IF(LEN(_DB_Exercises!AO275)&gt;0,_DB_Exercises!AO275,"")</f>
        <v/>
      </c>
      <c r="U188" s="31" t="str">
        <f>IF(LEN(_DB_Exercises!AP275)&gt;0,_DB_Exercises!AP275,"")</f>
        <v/>
      </c>
      <c r="V188" s="31" t="str">
        <f>IF(LEN(_DB_Exercises!AQ275)&gt;0,_DB_Exercises!AQ275,"")</f>
        <v/>
      </c>
      <c r="W188" s="31" t="str">
        <f>IF(LEN(_DB_Exercises!AR275)&gt;0,_DB_Exercises!AR275,"")</f>
        <v/>
      </c>
      <c r="X188" s="31" t="str">
        <f>IF(LEN(_DB_Exercises!AS275)&gt;0,_DB_Exercises!AS275,"")</f>
        <v/>
      </c>
      <c r="Y188" s="31" t="str">
        <f>IF(LEN(_DB_Exercises!AT275)&gt;0,_DB_Exercises!AT275,"")</f>
        <v/>
      </c>
      <c r="Z188" s="31" t="str">
        <f>IF(LEN(_DB_Exercises!AU275)&gt;0,_DB_Exercises!AU275,"")</f>
        <v/>
      </c>
      <c r="AA188" s="31" t="str">
        <f>IF(LEN(_DB_Exercises!AV275)&gt;0,_DB_Exercises!AV275,"")</f>
        <v/>
      </c>
      <c r="AB188" s="31" t="str">
        <f>IF(LEN(_DB_Exercises!AW275)&gt;0,_DB_Exercises!AW275,"")</f>
        <v/>
      </c>
      <c r="AC188" s="31" t="str">
        <f>IF(LEN(_DB_Exercises!AX275)&gt;0,_DB_Exercises!AX275,"")</f>
        <v/>
      </c>
      <c r="AD188" s="31" t="str">
        <f>IF(LEN(_DB_Exercises!AY275)&gt;0,_DB_Exercises!AY275,"")</f>
        <v/>
      </c>
      <c r="AE188" s="31" t="str">
        <f>IF(LEN(_DB_Exercises!AZ275)&gt;0,_DB_Exercises!AZ275,"")</f>
        <v/>
      </c>
      <c r="AF188" s="31" t="str">
        <f>IF(LEN(_DB_Exercises!BA275)&gt;0,_DB_Exercises!BA275,"")</f>
        <v/>
      </c>
      <c r="AG188" s="31" t="str">
        <f>IF(LEN(_DB_Exercises!BB275)&gt;0,_DB_Exercises!BB275,"")</f>
        <v/>
      </c>
      <c r="AH188" s="31" t="str">
        <f>IF(LEN(_DB_Exercises!BC275)&gt;0,_DB_Exercises!BC275,"")</f>
        <v/>
      </c>
      <c r="AI188" s="31" t="str">
        <f>IF(LEN(_DB_Exercises!BD275)&gt;0,_DB_Exercises!BD275,"")</f>
        <v/>
      </c>
      <c r="AJ188" s="31" t="str">
        <f>IF(LEN(_DB_Exercises!BE275)&gt;0,_DB_Exercises!BE275,"")</f>
        <v/>
      </c>
      <c r="AK188" s="31" t="str">
        <f>IF(LEN(_DB_Exercises!BF275)&gt;0,_DB_Exercises!BF275,"")</f>
        <v/>
      </c>
      <c r="AL188" s="31" t="str">
        <f>IF(LEN(_DB_Exercises!BG275)&gt;0,_DB_Exercises!BG275,"")</f>
        <v/>
      </c>
      <c r="AM188" s="31" t="str">
        <f>IF(LEN(_DB_Exercises!BH275)&gt;0,_DB_Exercises!BH275,"")</f>
        <v/>
      </c>
      <c r="AN188" s="31" t="str">
        <f>IF(LEN(_DB_Exercises!BI275)&gt;0,_DB_Exercises!BI275,"")</f>
        <v/>
      </c>
      <c r="AO188" s="31" t="str">
        <f>IF(LEN(_DB_Exercises!BJ275)&gt;0,_DB_Exercises!BJ275,"")</f>
        <v/>
      </c>
      <c r="AP188" s="31" t="str">
        <f>IF(LEN(_DB_Exercises!BK275)&gt;0,_DB_Exercises!BK275,"")</f>
        <v/>
      </c>
      <c r="AQ188" s="31" t="str">
        <f>IF(LEN(_DB_Exercises!BL275)&gt;0,_DB_Exercises!BL275,"")</f>
        <v/>
      </c>
      <c r="AR188" s="31" t="str">
        <f>IF(LEN(_DB_Exercises!BM275)&gt;0,_DB_Exercises!BM275,"")</f>
        <v/>
      </c>
    </row>
    <row r="189" spans="1:44" x14ac:dyDescent="0.25">
      <c r="A189" s="11">
        <f>IF(LEN(_DB_Exercises!A276)&gt;0,_DB_Exercises!A276,"")</f>
        <v>5020</v>
      </c>
      <c r="B189" s="14" t="str">
        <f>IF(LEN(_DB_Exercises!K276)&gt;0,_DB_Exercises!K276,"")</f>
        <v>Einbeinschlag</v>
      </c>
      <c r="C189" s="31" t="str">
        <f>IF(LEN(_DB_Exercises!X276)&gt;0,_DB_Exercises!X276,"")</f>
        <v/>
      </c>
      <c r="D189" s="31" t="str">
        <f>IF(LEN(_DB_Exercises!Y276)&gt;0,_DB_Exercises!Y276,"")</f>
        <v/>
      </c>
      <c r="E189" s="31" t="str">
        <f>IF(LEN(_DB_Exercises!Z276)&gt;0,_DB_Exercises!Z276,"")</f>
        <v/>
      </c>
      <c r="F189" s="31" t="str">
        <f>IF(LEN(_DB_Exercises!AA276)&gt;0,_DB_Exercises!AA276,"")</f>
        <v/>
      </c>
      <c r="G189" s="31" t="str">
        <f>IF(LEN(_DB_Exercises!AB276)&gt;0,_DB_Exercises!AB276,"")</f>
        <v/>
      </c>
      <c r="H189" s="31" t="str">
        <f>IF(LEN(_DB_Exercises!AC276)&gt;0,_DB_Exercises!AC276,"")</f>
        <v/>
      </c>
      <c r="I189" s="31" t="str">
        <f>IF(LEN(_DB_Exercises!AD276)&gt;0,_DB_Exercises!AD276,"")</f>
        <v/>
      </c>
      <c r="J189" s="31" t="str">
        <f>IF(LEN(_DB_Exercises!AE276)&gt;0,_DB_Exercises!AE276,"")</f>
        <v/>
      </c>
      <c r="K189" s="31" t="str">
        <f>IF(LEN(_DB_Exercises!AF276)&gt;0,_DB_Exercises!AF276,"")</f>
        <v/>
      </c>
      <c r="L189" s="31" t="str">
        <f>IF(LEN(_DB_Exercises!AG276)&gt;0,_DB_Exercises!AG276,"")</f>
        <v/>
      </c>
      <c r="M189" s="31" t="str">
        <f>IF(LEN(_DB_Exercises!AH276)&gt;0,_DB_Exercises!AH276,"")</f>
        <v/>
      </c>
      <c r="N189" s="31" t="str">
        <f>IF(LEN(_DB_Exercises!AI276)&gt;0,_DB_Exercises!AI276,"")</f>
        <v/>
      </c>
      <c r="O189" s="31" t="str">
        <f>IF(LEN(_DB_Exercises!AJ276)&gt;0,_DB_Exercises!AJ276,"")</f>
        <v/>
      </c>
      <c r="P189" s="31" t="str">
        <f>IF(LEN(_DB_Exercises!AK276)&gt;0,_DB_Exercises!AK276,"")</f>
        <v/>
      </c>
      <c r="Q189" s="31" t="str">
        <f>IF(LEN(_DB_Exercises!AL276)&gt;0,_DB_Exercises!AL276,"")</f>
        <v/>
      </c>
      <c r="R189" s="31" t="str">
        <f>IF(LEN(_DB_Exercises!AM276)&gt;0,_DB_Exercises!AM276,"")</f>
        <v/>
      </c>
      <c r="S189" s="31" t="str">
        <f>IF(LEN(_DB_Exercises!AN276)&gt;0,_DB_Exercises!AN276,"")</f>
        <v/>
      </c>
      <c r="T189" s="31" t="str">
        <f>IF(LEN(_DB_Exercises!AO276)&gt;0,_DB_Exercises!AO276,"")</f>
        <v/>
      </c>
      <c r="U189" s="31" t="str">
        <f>IF(LEN(_DB_Exercises!AP276)&gt;0,_DB_Exercises!AP276,"")</f>
        <v/>
      </c>
      <c r="V189" s="31" t="str">
        <f>IF(LEN(_DB_Exercises!AQ276)&gt;0,_DB_Exercises!AQ276,"")</f>
        <v/>
      </c>
      <c r="W189" s="31" t="str">
        <f>IF(LEN(_DB_Exercises!AR276)&gt;0,_DB_Exercises!AR276,"")</f>
        <v/>
      </c>
      <c r="X189" s="31" t="str">
        <f>IF(LEN(_DB_Exercises!AS276)&gt;0,_DB_Exercises!AS276,"")</f>
        <v/>
      </c>
      <c r="Y189" s="31" t="str">
        <f>IF(LEN(_DB_Exercises!AT276)&gt;0,_DB_Exercises!AT276,"")</f>
        <v/>
      </c>
      <c r="Z189" s="31" t="str">
        <f>IF(LEN(_DB_Exercises!AU276)&gt;0,_DB_Exercises!AU276,"")</f>
        <v/>
      </c>
      <c r="AA189" s="31" t="str">
        <f>IF(LEN(_DB_Exercises!AV276)&gt;0,_DB_Exercises!AV276,"")</f>
        <v/>
      </c>
      <c r="AB189" s="31" t="str">
        <f>IF(LEN(_DB_Exercises!AW276)&gt;0,_DB_Exercises!AW276,"")</f>
        <v/>
      </c>
      <c r="AC189" s="31" t="str">
        <f>IF(LEN(_DB_Exercises!AX276)&gt;0,_DB_Exercises!AX276,"")</f>
        <v/>
      </c>
      <c r="AD189" s="31" t="str">
        <f>IF(LEN(_DB_Exercises!AY276)&gt;0,_DB_Exercises!AY276,"")</f>
        <v/>
      </c>
      <c r="AE189" s="31" t="str">
        <f>IF(LEN(_DB_Exercises!AZ276)&gt;0,_DB_Exercises!AZ276,"")</f>
        <v/>
      </c>
      <c r="AF189" s="31" t="str">
        <f>IF(LEN(_DB_Exercises!BA276)&gt;0,_DB_Exercises!BA276,"")</f>
        <v/>
      </c>
      <c r="AG189" s="31" t="str">
        <f>IF(LEN(_DB_Exercises!BB276)&gt;0,_DB_Exercises!BB276,"")</f>
        <v/>
      </c>
      <c r="AH189" s="31" t="str">
        <f>IF(LEN(_DB_Exercises!BC276)&gt;0,_DB_Exercises!BC276,"")</f>
        <v/>
      </c>
      <c r="AI189" s="31" t="str">
        <f>IF(LEN(_DB_Exercises!BD276)&gt;0,_DB_Exercises!BD276,"")</f>
        <v/>
      </c>
      <c r="AJ189" s="31" t="str">
        <f>IF(LEN(_DB_Exercises!BE276)&gt;0,_DB_Exercises!BE276,"")</f>
        <v/>
      </c>
      <c r="AK189" s="31" t="str">
        <f>IF(LEN(_DB_Exercises!BF276)&gt;0,_DB_Exercises!BF276,"")</f>
        <v/>
      </c>
      <c r="AL189" s="31" t="str">
        <f>IF(LEN(_DB_Exercises!BG276)&gt;0,_DB_Exercises!BG276,"")</f>
        <v/>
      </c>
      <c r="AM189" s="31" t="str">
        <f>IF(LEN(_DB_Exercises!BH276)&gt;0,_DB_Exercises!BH276,"")</f>
        <v/>
      </c>
      <c r="AN189" s="31" t="str">
        <f>IF(LEN(_DB_Exercises!BI276)&gt;0,_DB_Exercises!BI276,"")</f>
        <v/>
      </c>
      <c r="AO189" s="31" t="str">
        <f>IF(LEN(_DB_Exercises!BJ276)&gt;0,_DB_Exercises!BJ276,"")</f>
        <v/>
      </c>
      <c r="AP189" s="31" t="str">
        <f>IF(LEN(_DB_Exercises!BK276)&gt;0,_DB_Exercises!BK276,"")</f>
        <v/>
      </c>
      <c r="AQ189" s="31" t="str">
        <f>IF(LEN(_DB_Exercises!BL276)&gt;0,_DB_Exercises!BL276,"")</f>
        <v/>
      </c>
      <c r="AR189" s="31" t="str">
        <f>IF(LEN(_DB_Exercises!BM276)&gt;0,_DB_Exercises!BM276,"")</f>
        <v/>
      </c>
    </row>
    <row r="190" spans="1:44" x14ac:dyDescent="0.25">
      <c r="A190" s="11">
        <f>IF(LEN(_DB_Exercises!A277)&gt;0,_DB_Exercises!A277,"")</f>
        <v>7000</v>
      </c>
      <c r="B190" s="14" t="str">
        <f>IF(LEN(_DB_Exercises!K277)&gt;0,_DB_Exercises!K277,"")</f>
        <v>Swish Drill</v>
      </c>
      <c r="C190" s="31" t="str">
        <f>IF(LEN(_DB_Exercises!X277)&gt;0,_DB_Exercises!X277,"")</f>
        <v/>
      </c>
      <c r="D190" s="31" t="str">
        <f>IF(LEN(_DB_Exercises!Y277)&gt;0,_DB_Exercises!Y277,"")</f>
        <v/>
      </c>
      <c r="E190" s="31" t="str">
        <f>IF(LEN(_DB_Exercises!Z277)&gt;0,_DB_Exercises!Z277,"")</f>
        <v/>
      </c>
      <c r="F190" s="31" t="str">
        <f>IF(LEN(_DB_Exercises!AA277)&gt;0,_DB_Exercises!AA277,"")</f>
        <v/>
      </c>
      <c r="G190" s="31" t="str">
        <f>IF(LEN(_DB_Exercises!AB277)&gt;0,_DB_Exercises!AB277,"")</f>
        <v/>
      </c>
      <c r="H190" s="31" t="str">
        <f>IF(LEN(_DB_Exercises!AC277)&gt;0,_DB_Exercises!AC277,"")</f>
        <v/>
      </c>
      <c r="I190" s="31" t="str">
        <f>IF(LEN(_DB_Exercises!AD277)&gt;0,_DB_Exercises!AD277,"")</f>
        <v/>
      </c>
      <c r="J190" s="31" t="str">
        <f>IF(LEN(_DB_Exercises!AE277)&gt;0,_DB_Exercises!AE277,"")</f>
        <v/>
      </c>
      <c r="K190" s="31" t="str">
        <f>IF(LEN(_DB_Exercises!AF277)&gt;0,_DB_Exercises!AF277,"")</f>
        <v/>
      </c>
      <c r="L190" s="31" t="str">
        <f>IF(LEN(_DB_Exercises!AG277)&gt;0,_DB_Exercises!AG277,"")</f>
        <v/>
      </c>
      <c r="M190" s="31" t="str">
        <f>IF(LEN(_DB_Exercises!AH277)&gt;0,_DB_Exercises!AH277,"")</f>
        <v/>
      </c>
      <c r="N190" s="31" t="str">
        <f>IF(LEN(_DB_Exercises!AI277)&gt;0,_DB_Exercises!AI277,"")</f>
        <v/>
      </c>
      <c r="O190" s="31" t="str">
        <f>IF(LEN(_DB_Exercises!AJ277)&gt;0,_DB_Exercises!AJ277,"")</f>
        <v/>
      </c>
      <c r="P190" s="31" t="str">
        <f>IF(LEN(_DB_Exercises!AK277)&gt;0,_DB_Exercises!AK277,"")</f>
        <v/>
      </c>
      <c r="Q190" s="31" t="str">
        <f>IF(LEN(_DB_Exercises!AL277)&gt;0,_DB_Exercises!AL277,"")</f>
        <v/>
      </c>
      <c r="R190" s="31" t="str">
        <f>IF(LEN(_DB_Exercises!AM277)&gt;0,_DB_Exercises!AM277,"")</f>
        <v/>
      </c>
      <c r="S190" s="31" t="str">
        <f>IF(LEN(_DB_Exercises!AN277)&gt;0,_DB_Exercises!AN277,"")</f>
        <v/>
      </c>
      <c r="T190" s="31" t="str">
        <f>IF(LEN(_DB_Exercises!AO277)&gt;0,_DB_Exercises!AO277,"")</f>
        <v/>
      </c>
      <c r="U190" s="31" t="str">
        <f>IF(LEN(_DB_Exercises!AP277)&gt;0,_DB_Exercises!AP277,"")</f>
        <v/>
      </c>
      <c r="V190" s="31" t="str">
        <f>IF(LEN(_DB_Exercises!AQ277)&gt;0,_DB_Exercises!AQ277,"")</f>
        <v/>
      </c>
      <c r="W190" s="31" t="str">
        <f>IF(LEN(_DB_Exercises!AR277)&gt;0,_DB_Exercises!AR277,"")</f>
        <v/>
      </c>
      <c r="X190" s="31" t="str">
        <f>IF(LEN(_DB_Exercises!AS277)&gt;0,_DB_Exercises!AS277,"")</f>
        <v/>
      </c>
      <c r="Y190" s="31" t="str">
        <f>IF(LEN(_DB_Exercises!AT277)&gt;0,_DB_Exercises!AT277,"")</f>
        <v/>
      </c>
      <c r="Z190" s="31" t="str">
        <f>IF(LEN(_DB_Exercises!AU277)&gt;0,_DB_Exercises!AU277,"")</f>
        <v/>
      </c>
      <c r="AA190" s="31" t="str">
        <f>IF(LEN(_DB_Exercises!AV277)&gt;0,_DB_Exercises!AV277,"")</f>
        <v/>
      </c>
      <c r="AB190" s="31" t="str">
        <f>IF(LEN(_DB_Exercises!AW277)&gt;0,_DB_Exercises!AW277,"")</f>
        <v/>
      </c>
      <c r="AC190" s="31" t="str">
        <f>IF(LEN(_DB_Exercises!AX277)&gt;0,_DB_Exercises!AX277,"")</f>
        <v/>
      </c>
      <c r="AD190" s="31" t="str">
        <f>IF(LEN(_DB_Exercises!AY277)&gt;0,_DB_Exercises!AY277,"")</f>
        <v/>
      </c>
      <c r="AE190" s="31" t="str">
        <f>IF(LEN(_DB_Exercises!AZ277)&gt;0,_DB_Exercises!AZ277,"")</f>
        <v/>
      </c>
      <c r="AF190" s="31" t="str">
        <f>IF(LEN(_DB_Exercises!BA277)&gt;0,_DB_Exercises!BA277,"")</f>
        <v/>
      </c>
      <c r="AG190" s="31" t="str">
        <f>IF(LEN(_DB_Exercises!BB277)&gt;0,_DB_Exercises!BB277,"")</f>
        <v/>
      </c>
      <c r="AH190" s="31" t="str">
        <f>IF(LEN(_DB_Exercises!BC277)&gt;0,_DB_Exercises!BC277,"")</f>
        <v/>
      </c>
      <c r="AI190" s="31" t="str">
        <f>IF(LEN(_DB_Exercises!BD277)&gt;0,_DB_Exercises!BD277,"")</f>
        <v/>
      </c>
      <c r="AJ190" s="31" t="str">
        <f>IF(LEN(_DB_Exercises!BE277)&gt;0,_DB_Exercises!BE277,"")</f>
        <v/>
      </c>
      <c r="AK190" s="31" t="str">
        <f>IF(LEN(_DB_Exercises!BF277)&gt;0,_DB_Exercises!BF277,"")</f>
        <v/>
      </c>
      <c r="AL190" s="31" t="str">
        <f>IF(LEN(_DB_Exercises!BG277)&gt;0,_DB_Exercises!BG277,"")</f>
        <v/>
      </c>
      <c r="AM190" s="31" t="str">
        <f>IF(LEN(_DB_Exercises!BH277)&gt;0,_DB_Exercises!BH277,"")</f>
        <v/>
      </c>
      <c r="AN190" s="31" t="str">
        <f>IF(LEN(_DB_Exercises!BI277)&gt;0,_DB_Exercises!BI277,"")</f>
        <v/>
      </c>
      <c r="AO190" s="31" t="str">
        <f>IF(LEN(_DB_Exercises!BJ277)&gt;0,_DB_Exercises!BJ277,"")</f>
        <v/>
      </c>
      <c r="AP190" s="31" t="str">
        <f>IF(LEN(_DB_Exercises!BK277)&gt;0,_DB_Exercises!BK277,"")</f>
        <v/>
      </c>
      <c r="AQ190" s="31" t="str">
        <f>IF(LEN(_DB_Exercises!BL277)&gt;0,_DB_Exercises!BL277,"")</f>
        <v/>
      </c>
      <c r="AR190" s="31" t="str">
        <f>IF(LEN(_DB_Exercises!BM277)&gt;0,_DB_Exercises!BM277,"")</f>
        <v/>
      </c>
    </row>
    <row r="191" spans="1:44" x14ac:dyDescent="0.25">
      <c r="A191" s="11">
        <f>IF(LEN(_DB_Exercises!A278)&gt;0,_DB_Exercises!A278,"")</f>
        <v>8000</v>
      </c>
      <c r="B191" s="14" t="str">
        <f>IF(LEN(_DB_Exercises!K278)&gt;0,_DB_Exercises!K278,"")</f>
        <v>TOP 20  Can you beat them</v>
      </c>
      <c r="C191" s="31" t="str">
        <f>IF(LEN(_DB_Exercises!X278)&gt;0,_DB_Exercises!X278,"")</f>
        <v/>
      </c>
      <c r="D191" s="31" t="str">
        <f>IF(LEN(_DB_Exercises!Y278)&gt;0,_DB_Exercises!Y278,"")</f>
        <v/>
      </c>
      <c r="E191" s="31" t="str">
        <f>IF(LEN(_DB_Exercises!Z278)&gt;0,_DB_Exercises!Z278,"")</f>
        <v/>
      </c>
      <c r="F191" s="31" t="str">
        <f>IF(LEN(_DB_Exercises!AA278)&gt;0,_DB_Exercises!AA278,"")</f>
        <v/>
      </c>
      <c r="G191" s="31" t="str">
        <f>IF(LEN(_DB_Exercises!AB278)&gt;0,_DB_Exercises!AB278,"")</f>
        <v/>
      </c>
      <c r="H191" s="31" t="str">
        <f>IF(LEN(_DB_Exercises!AC278)&gt;0,_DB_Exercises!AC278,"")</f>
        <v/>
      </c>
      <c r="I191" s="31" t="str">
        <f>IF(LEN(_DB_Exercises!AD278)&gt;0,_DB_Exercises!AD278,"")</f>
        <v/>
      </c>
      <c r="J191" s="31" t="str">
        <f>IF(LEN(_DB_Exercises!AE278)&gt;0,_DB_Exercises!AE278,"")</f>
        <v/>
      </c>
      <c r="K191" s="31" t="str">
        <f>IF(LEN(_DB_Exercises!AF278)&gt;0,_DB_Exercises!AF278,"")</f>
        <v/>
      </c>
      <c r="L191" s="31" t="str">
        <f>IF(LEN(_DB_Exercises!AG278)&gt;0,_DB_Exercises!AG278,"")</f>
        <v/>
      </c>
      <c r="M191" s="31" t="str">
        <f>IF(LEN(_DB_Exercises!AH278)&gt;0,_DB_Exercises!AH278,"")</f>
        <v/>
      </c>
      <c r="N191" s="31" t="str">
        <f>IF(LEN(_DB_Exercises!AI278)&gt;0,_DB_Exercises!AI278,"")</f>
        <v/>
      </c>
      <c r="O191" s="31" t="str">
        <f>IF(LEN(_DB_Exercises!AJ278)&gt;0,_DB_Exercises!AJ278,"")</f>
        <v/>
      </c>
      <c r="P191" s="31" t="str">
        <f>IF(LEN(_DB_Exercises!AK278)&gt;0,_DB_Exercises!AK278,"")</f>
        <v/>
      </c>
      <c r="Q191" s="31" t="str">
        <f>IF(LEN(_DB_Exercises!AL278)&gt;0,_DB_Exercises!AL278,"")</f>
        <v/>
      </c>
      <c r="R191" s="31" t="str">
        <f>IF(LEN(_DB_Exercises!AM278)&gt;0,_DB_Exercises!AM278,"")</f>
        <v/>
      </c>
      <c r="S191" s="31" t="str">
        <f>IF(LEN(_DB_Exercises!AN278)&gt;0,_DB_Exercises!AN278,"")</f>
        <v/>
      </c>
      <c r="T191" s="31" t="str">
        <f>IF(LEN(_DB_Exercises!AO278)&gt;0,_DB_Exercises!AO278,"")</f>
        <v/>
      </c>
      <c r="U191" s="31" t="str">
        <f>IF(LEN(_DB_Exercises!AP278)&gt;0,_DB_Exercises!AP278,"")</f>
        <v/>
      </c>
      <c r="V191" s="31" t="str">
        <f>IF(LEN(_DB_Exercises!AQ278)&gt;0,_DB_Exercises!AQ278,"")</f>
        <v/>
      </c>
      <c r="W191" s="31" t="str">
        <f>IF(LEN(_DB_Exercises!AR278)&gt;0,_DB_Exercises!AR278,"")</f>
        <v/>
      </c>
      <c r="X191" s="31" t="str">
        <f>IF(LEN(_DB_Exercises!AS278)&gt;0,_DB_Exercises!AS278,"")</f>
        <v/>
      </c>
      <c r="Y191" s="31" t="str">
        <f>IF(LEN(_DB_Exercises!AT278)&gt;0,_DB_Exercises!AT278,"")</f>
        <v/>
      </c>
      <c r="Z191" s="31" t="str">
        <f>IF(LEN(_DB_Exercises!AU278)&gt;0,_DB_Exercises!AU278,"")</f>
        <v/>
      </c>
      <c r="AA191" s="31" t="str">
        <f>IF(LEN(_DB_Exercises!AV278)&gt;0,_DB_Exercises!AV278,"")</f>
        <v/>
      </c>
      <c r="AB191" s="31" t="str">
        <f>IF(LEN(_DB_Exercises!AW278)&gt;0,_DB_Exercises!AW278,"")</f>
        <v/>
      </c>
      <c r="AC191" s="31" t="str">
        <f>IF(LEN(_DB_Exercises!AX278)&gt;0,_DB_Exercises!AX278,"")</f>
        <v/>
      </c>
      <c r="AD191" s="31" t="str">
        <f>IF(LEN(_DB_Exercises!AY278)&gt;0,_DB_Exercises!AY278,"")</f>
        <v/>
      </c>
      <c r="AE191" s="31" t="str">
        <f>IF(LEN(_DB_Exercises!AZ278)&gt;0,_DB_Exercises!AZ278,"")</f>
        <v/>
      </c>
      <c r="AF191" s="31" t="str">
        <f>IF(LEN(_DB_Exercises!BA278)&gt;0,_DB_Exercises!BA278,"")</f>
        <v/>
      </c>
      <c r="AG191" s="31" t="str">
        <f>IF(LEN(_DB_Exercises!BB278)&gt;0,_DB_Exercises!BB278,"")</f>
        <v/>
      </c>
      <c r="AH191" s="31" t="str">
        <f>IF(LEN(_DB_Exercises!BC278)&gt;0,_DB_Exercises!BC278,"")</f>
        <v/>
      </c>
      <c r="AI191" s="31" t="str">
        <f>IF(LEN(_DB_Exercises!BD278)&gt;0,_DB_Exercises!BD278,"")</f>
        <v/>
      </c>
      <c r="AJ191" s="31" t="str">
        <f>IF(LEN(_DB_Exercises!BE278)&gt;0,_DB_Exercises!BE278,"")</f>
        <v/>
      </c>
      <c r="AK191" s="31" t="str">
        <f>IF(LEN(_DB_Exercises!BF278)&gt;0,_DB_Exercises!BF278,"")</f>
        <v/>
      </c>
      <c r="AL191" s="31" t="str">
        <f>IF(LEN(_DB_Exercises!BG278)&gt;0,_DB_Exercises!BG278,"")</f>
        <v/>
      </c>
      <c r="AM191" s="31" t="str">
        <f>IF(LEN(_DB_Exercises!BH278)&gt;0,_DB_Exercises!BH278,"")</f>
        <v/>
      </c>
      <c r="AN191" s="31" t="str">
        <f>IF(LEN(_DB_Exercises!BI278)&gt;0,_DB_Exercises!BI278,"")</f>
        <v/>
      </c>
      <c r="AO191" s="31" t="str">
        <f>IF(LEN(_DB_Exercises!BJ278)&gt;0,_DB_Exercises!BJ278,"")</f>
        <v/>
      </c>
      <c r="AP191" s="31" t="str">
        <f>IF(LEN(_DB_Exercises!BK278)&gt;0,_DB_Exercises!BK278,"")</f>
        <v/>
      </c>
      <c r="AQ191" s="31" t="str">
        <f>IF(LEN(_DB_Exercises!BL278)&gt;0,_DB_Exercises!BL278,"")</f>
        <v/>
      </c>
      <c r="AR191" s="31" t="str">
        <f>IF(LEN(_DB_Exercises!BM278)&gt;0,_DB_Exercises!BM278,"")</f>
        <v/>
      </c>
    </row>
    <row r="192" spans="1:44" x14ac:dyDescent="0.25">
      <c r="A192" s="11">
        <f>IF(LEN(_DB_Exercises!A279)&gt;0,_DB_Exercises!A279,"")</f>
        <v>8001</v>
      </c>
      <c r="B192" s="14" t="str">
        <f>IF(LEN(_DB_Exercises!K279)&gt;0,_DB_Exercises!K279,"")</f>
        <v>TOP 20  Can you beat them</v>
      </c>
      <c r="C192" s="31" t="str">
        <f>IF(LEN(_DB_Exercises!X279)&gt;0,_DB_Exercises!X279,"")</f>
        <v/>
      </c>
      <c r="D192" s="31" t="str">
        <f>IF(LEN(_DB_Exercises!Y279)&gt;0,_DB_Exercises!Y279,"")</f>
        <v/>
      </c>
      <c r="E192" s="31" t="str">
        <f>IF(LEN(_DB_Exercises!Z279)&gt;0,_DB_Exercises!Z279,"")</f>
        <v/>
      </c>
      <c r="F192" s="31" t="str">
        <f>IF(LEN(_DB_Exercises!AA279)&gt;0,_DB_Exercises!AA279,"")</f>
        <v/>
      </c>
      <c r="G192" s="31" t="str">
        <f>IF(LEN(_DB_Exercises!AB279)&gt;0,_DB_Exercises!AB279,"")</f>
        <v/>
      </c>
      <c r="H192" s="31" t="str">
        <f>IF(LEN(_DB_Exercises!AC279)&gt;0,_DB_Exercises!AC279,"")</f>
        <v/>
      </c>
      <c r="I192" s="31" t="str">
        <f>IF(LEN(_DB_Exercises!AD279)&gt;0,_DB_Exercises!AD279,"")</f>
        <v/>
      </c>
      <c r="J192" s="31" t="str">
        <f>IF(LEN(_DB_Exercises!AE279)&gt;0,_DB_Exercises!AE279,"")</f>
        <v/>
      </c>
      <c r="K192" s="31" t="str">
        <f>IF(LEN(_DB_Exercises!AF279)&gt;0,_DB_Exercises!AF279,"")</f>
        <v/>
      </c>
      <c r="L192" s="31" t="str">
        <f>IF(LEN(_DB_Exercises!AG279)&gt;0,_DB_Exercises!AG279,"")</f>
        <v/>
      </c>
      <c r="M192" s="31" t="str">
        <f>IF(LEN(_DB_Exercises!AH279)&gt;0,_DB_Exercises!AH279,"")</f>
        <v/>
      </c>
      <c r="N192" s="31" t="str">
        <f>IF(LEN(_DB_Exercises!AI279)&gt;0,_DB_Exercises!AI279,"")</f>
        <v/>
      </c>
      <c r="O192" s="31" t="str">
        <f>IF(LEN(_DB_Exercises!AJ279)&gt;0,_DB_Exercises!AJ279,"")</f>
        <v/>
      </c>
      <c r="P192" s="31" t="str">
        <f>IF(LEN(_DB_Exercises!AK279)&gt;0,_DB_Exercises!AK279,"")</f>
        <v/>
      </c>
      <c r="Q192" s="31" t="str">
        <f>IF(LEN(_DB_Exercises!AL279)&gt;0,_DB_Exercises!AL279,"")</f>
        <v/>
      </c>
      <c r="R192" s="31" t="str">
        <f>IF(LEN(_DB_Exercises!AM279)&gt;0,_DB_Exercises!AM279,"")</f>
        <v/>
      </c>
      <c r="S192" s="31" t="str">
        <f>IF(LEN(_DB_Exercises!AN279)&gt;0,_DB_Exercises!AN279,"")</f>
        <v/>
      </c>
      <c r="T192" s="31" t="str">
        <f>IF(LEN(_DB_Exercises!AO279)&gt;0,_DB_Exercises!AO279,"")</f>
        <v/>
      </c>
      <c r="U192" s="31" t="str">
        <f>IF(LEN(_DB_Exercises!AP279)&gt;0,_DB_Exercises!AP279,"")</f>
        <v/>
      </c>
      <c r="V192" s="31" t="str">
        <f>IF(LEN(_DB_Exercises!AQ279)&gt;0,_DB_Exercises!AQ279,"")</f>
        <v/>
      </c>
      <c r="W192" s="31" t="str">
        <f>IF(LEN(_DB_Exercises!AR279)&gt;0,_DB_Exercises!AR279,"")</f>
        <v/>
      </c>
      <c r="X192" s="31" t="str">
        <f>IF(LEN(_DB_Exercises!AS279)&gt;0,_DB_Exercises!AS279,"")</f>
        <v/>
      </c>
      <c r="Y192" s="31" t="str">
        <f>IF(LEN(_DB_Exercises!AT279)&gt;0,_DB_Exercises!AT279,"")</f>
        <v/>
      </c>
      <c r="Z192" s="31" t="str">
        <f>IF(LEN(_DB_Exercises!AU279)&gt;0,_DB_Exercises!AU279,"")</f>
        <v/>
      </c>
      <c r="AA192" s="31" t="str">
        <f>IF(LEN(_DB_Exercises!AV279)&gt;0,_DB_Exercises!AV279,"")</f>
        <v/>
      </c>
      <c r="AB192" s="31" t="str">
        <f>IF(LEN(_DB_Exercises!AW279)&gt;0,_DB_Exercises!AW279,"")</f>
        <v/>
      </c>
      <c r="AC192" s="31" t="str">
        <f>IF(LEN(_DB_Exercises!AX279)&gt;0,_DB_Exercises!AX279,"")</f>
        <v/>
      </c>
      <c r="AD192" s="31" t="str">
        <f>IF(LEN(_DB_Exercises!AY279)&gt;0,_DB_Exercises!AY279,"")</f>
        <v/>
      </c>
      <c r="AE192" s="31" t="str">
        <f>IF(LEN(_DB_Exercises!AZ279)&gt;0,_DB_Exercises!AZ279,"")</f>
        <v/>
      </c>
      <c r="AF192" s="31" t="str">
        <f>IF(LEN(_DB_Exercises!BA279)&gt;0,_DB_Exercises!BA279,"")</f>
        <v/>
      </c>
      <c r="AG192" s="31" t="str">
        <f>IF(LEN(_DB_Exercises!BB279)&gt;0,_DB_Exercises!BB279,"")</f>
        <v/>
      </c>
      <c r="AH192" s="31" t="str">
        <f>IF(LEN(_DB_Exercises!BC279)&gt;0,_DB_Exercises!BC279,"")</f>
        <v/>
      </c>
      <c r="AI192" s="31" t="str">
        <f>IF(LEN(_DB_Exercises!BD279)&gt;0,_DB_Exercises!BD279,"")</f>
        <v/>
      </c>
      <c r="AJ192" s="31" t="str">
        <f>IF(LEN(_DB_Exercises!BE279)&gt;0,_DB_Exercises!BE279,"")</f>
        <v/>
      </c>
      <c r="AK192" s="31" t="str">
        <f>IF(LEN(_DB_Exercises!BF279)&gt;0,_DB_Exercises!BF279,"")</f>
        <v/>
      </c>
      <c r="AL192" s="31" t="str">
        <f>IF(LEN(_DB_Exercises!BG279)&gt;0,_DB_Exercises!BG279,"")</f>
        <v/>
      </c>
      <c r="AM192" s="31" t="str">
        <f>IF(LEN(_DB_Exercises!BH279)&gt;0,_DB_Exercises!BH279,"")</f>
        <v/>
      </c>
      <c r="AN192" s="31" t="str">
        <f>IF(LEN(_DB_Exercises!BI279)&gt;0,_DB_Exercises!BI279,"")</f>
        <v/>
      </c>
      <c r="AO192" s="31" t="str">
        <f>IF(LEN(_DB_Exercises!BJ279)&gt;0,_DB_Exercises!BJ279,"")</f>
        <v/>
      </c>
      <c r="AP192" s="31" t="str">
        <f>IF(LEN(_DB_Exercises!BK279)&gt;0,_DB_Exercises!BK279,"")</f>
        <v/>
      </c>
      <c r="AQ192" s="31" t="str">
        <f>IF(LEN(_DB_Exercises!BL279)&gt;0,_DB_Exercises!BL279,"")</f>
        <v/>
      </c>
      <c r="AR192" s="31" t="str">
        <f>IF(LEN(_DB_Exercises!BM279)&gt;0,_DB_Exercises!BM279,"")</f>
        <v/>
      </c>
    </row>
    <row r="193" spans="1:44" x14ac:dyDescent="0.25">
      <c r="A193" s="11">
        <f>IF(LEN(_DB_Exercises!A280)&gt;0,_DB_Exercises!A280,"")</f>
        <v>8002</v>
      </c>
      <c r="B193" s="14" t="str">
        <f>IF(LEN(_DB_Exercises!K280)&gt;0,_DB_Exercises!K280,"")</f>
        <v>3 in a row  Intermediate</v>
      </c>
      <c r="C193" s="31" t="str">
        <f>IF(LEN(_DB_Exercises!X280)&gt;0,_DB_Exercises!X280,"")</f>
        <v/>
      </c>
      <c r="D193" s="31" t="str">
        <f>IF(LEN(_DB_Exercises!Y280)&gt;0,_DB_Exercises!Y280,"")</f>
        <v/>
      </c>
      <c r="E193" s="31" t="str">
        <f>IF(LEN(_DB_Exercises!Z280)&gt;0,_DB_Exercises!Z280,"")</f>
        <v/>
      </c>
      <c r="F193" s="31" t="str">
        <f>IF(LEN(_DB_Exercises!AA280)&gt;0,_DB_Exercises!AA280,"")</f>
        <v/>
      </c>
      <c r="G193" s="31" t="str">
        <f>IF(LEN(_DB_Exercises!AB280)&gt;0,_DB_Exercises!AB280,"")</f>
        <v/>
      </c>
      <c r="H193" s="31" t="str">
        <f>IF(LEN(_DB_Exercises!AC280)&gt;0,_DB_Exercises!AC280,"")</f>
        <v/>
      </c>
      <c r="I193" s="31" t="str">
        <f>IF(LEN(_DB_Exercises!AD280)&gt;0,_DB_Exercises!AD280,"")</f>
        <v/>
      </c>
      <c r="J193" s="31" t="str">
        <f>IF(LEN(_DB_Exercises!AE280)&gt;0,_DB_Exercises!AE280,"")</f>
        <v/>
      </c>
      <c r="K193" s="31" t="str">
        <f>IF(LEN(_DB_Exercises!AF280)&gt;0,_DB_Exercises!AF280,"")</f>
        <v/>
      </c>
      <c r="L193" s="31" t="str">
        <f>IF(LEN(_DB_Exercises!AG280)&gt;0,_DB_Exercises!AG280,"")</f>
        <v/>
      </c>
      <c r="M193" s="31" t="str">
        <f>IF(LEN(_DB_Exercises!AH280)&gt;0,_DB_Exercises!AH280,"")</f>
        <v/>
      </c>
      <c r="N193" s="31" t="str">
        <f>IF(LEN(_DB_Exercises!AI280)&gt;0,_DB_Exercises!AI280,"")</f>
        <v/>
      </c>
      <c r="O193" s="31" t="str">
        <f>IF(LEN(_DB_Exercises!AJ280)&gt;0,_DB_Exercises!AJ280,"")</f>
        <v/>
      </c>
      <c r="P193" s="31" t="str">
        <f>IF(LEN(_DB_Exercises!AK280)&gt;0,_DB_Exercises!AK280,"")</f>
        <v/>
      </c>
      <c r="Q193" s="31" t="str">
        <f>IF(LEN(_DB_Exercises!AL280)&gt;0,_DB_Exercises!AL280,"")</f>
        <v/>
      </c>
      <c r="R193" s="31" t="str">
        <f>IF(LEN(_DB_Exercises!AM280)&gt;0,_DB_Exercises!AM280,"")</f>
        <v/>
      </c>
      <c r="S193" s="31" t="str">
        <f>IF(LEN(_DB_Exercises!AN280)&gt;0,_DB_Exercises!AN280,"")</f>
        <v/>
      </c>
      <c r="T193" s="31" t="str">
        <f>IF(LEN(_DB_Exercises!AO280)&gt;0,_DB_Exercises!AO280,"")</f>
        <v/>
      </c>
      <c r="U193" s="31" t="str">
        <f>IF(LEN(_DB_Exercises!AP280)&gt;0,_DB_Exercises!AP280,"")</f>
        <v/>
      </c>
      <c r="V193" s="31" t="str">
        <f>IF(LEN(_DB_Exercises!AQ280)&gt;0,_DB_Exercises!AQ280,"")</f>
        <v/>
      </c>
      <c r="W193" s="31" t="str">
        <f>IF(LEN(_DB_Exercises!AR280)&gt;0,_DB_Exercises!AR280,"")</f>
        <v/>
      </c>
      <c r="X193" s="31" t="str">
        <f>IF(LEN(_DB_Exercises!AS280)&gt;0,_DB_Exercises!AS280,"")</f>
        <v/>
      </c>
      <c r="Y193" s="31" t="str">
        <f>IF(LEN(_DB_Exercises!AT280)&gt;0,_DB_Exercises!AT280,"")</f>
        <v/>
      </c>
      <c r="Z193" s="31" t="str">
        <f>IF(LEN(_DB_Exercises!AU280)&gt;0,_DB_Exercises!AU280,"")</f>
        <v/>
      </c>
      <c r="AA193" s="31" t="str">
        <f>IF(LEN(_DB_Exercises!AV280)&gt;0,_DB_Exercises!AV280,"")</f>
        <v/>
      </c>
      <c r="AB193" s="31" t="str">
        <f>IF(LEN(_DB_Exercises!AW280)&gt;0,_DB_Exercises!AW280,"")</f>
        <v/>
      </c>
      <c r="AC193" s="31" t="str">
        <f>IF(LEN(_DB_Exercises!AX280)&gt;0,_DB_Exercises!AX280,"")</f>
        <v/>
      </c>
      <c r="AD193" s="31" t="str">
        <f>IF(LEN(_DB_Exercises!AY280)&gt;0,_DB_Exercises!AY280,"")</f>
        <v/>
      </c>
      <c r="AE193" s="31" t="str">
        <f>IF(LEN(_DB_Exercises!AZ280)&gt;0,_DB_Exercises!AZ280,"")</f>
        <v/>
      </c>
      <c r="AF193" s="31" t="str">
        <f>IF(LEN(_DB_Exercises!BA280)&gt;0,_DB_Exercises!BA280,"")</f>
        <v/>
      </c>
      <c r="AG193" s="31" t="str">
        <f>IF(LEN(_DB_Exercises!BB280)&gt;0,_DB_Exercises!BB280,"")</f>
        <v/>
      </c>
      <c r="AH193" s="31" t="str">
        <f>IF(LEN(_DB_Exercises!BC280)&gt;0,_DB_Exercises!BC280,"")</f>
        <v/>
      </c>
      <c r="AI193" s="31" t="str">
        <f>IF(LEN(_DB_Exercises!BD280)&gt;0,_DB_Exercises!BD280,"")</f>
        <v/>
      </c>
      <c r="AJ193" s="31" t="str">
        <f>IF(LEN(_DB_Exercises!BE280)&gt;0,_DB_Exercises!BE280,"")</f>
        <v/>
      </c>
      <c r="AK193" s="31" t="str">
        <f>IF(LEN(_DB_Exercises!BF280)&gt;0,_DB_Exercises!BF280,"")</f>
        <v/>
      </c>
      <c r="AL193" s="31" t="str">
        <f>IF(LEN(_DB_Exercises!BG280)&gt;0,_DB_Exercises!BG280,"")</f>
        <v/>
      </c>
      <c r="AM193" s="31" t="str">
        <f>IF(LEN(_DB_Exercises!BH280)&gt;0,_DB_Exercises!BH280,"")</f>
        <v/>
      </c>
      <c r="AN193" s="31" t="str">
        <f>IF(LEN(_DB_Exercises!BI280)&gt;0,_DB_Exercises!BI280,"")</f>
        <v/>
      </c>
      <c r="AO193" s="31" t="str">
        <f>IF(LEN(_DB_Exercises!BJ280)&gt;0,_DB_Exercises!BJ280,"")</f>
        <v/>
      </c>
      <c r="AP193" s="31" t="str">
        <f>IF(LEN(_DB_Exercises!BK280)&gt;0,_DB_Exercises!BK280,"")</f>
        <v/>
      </c>
      <c r="AQ193" s="31" t="str">
        <f>IF(LEN(_DB_Exercises!BL280)&gt;0,_DB_Exercises!BL280,"")</f>
        <v/>
      </c>
      <c r="AR193" s="31" t="str">
        <f>IF(LEN(_DB_Exercises!BM280)&gt;0,_DB_Exercises!BM280,"")</f>
        <v/>
      </c>
    </row>
    <row r="194" spans="1:44" x14ac:dyDescent="0.25">
      <c r="A194" s="11">
        <f>IF(LEN(_DB_Exercises!A281)&gt;0,_DB_Exercises!A281,"")</f>
        <v>8003</v>
      </c>
      <c r="B194" s="14" t="str">
        <f>IF(LEN(_DB_Exercises!K281)&gt;0,_DB_Exercises!K281,"")</f>
        <v>3 in a row  Expert</v>
      </c>
      <c r="C194" s="31" t="str">
        <f>IF(LEN(_DB_Exercises!X281)&gt;0,_DB_Exercises!X281,"")</f>
        <v/>
      </c>
      <c r="D194" s="31" t="str">
        <f>IF(LEN(_DB_Exercises!Y281)&gt;0,_DB_Exercises!Y281,"")</f>
        <v/>
      </c>
      <c r="E194" s="31" t="str">
        <f>IF(LEN(_DB_Exercises!Z281)&gt;0,_DB_Exercises!Z281,"")</f>
        <v/>
      </c>
      <c r="F194" s="31" t="str">
        <f>IF(LEN(_DB_Exercises!AA281)&gt;0,_DB_Exercises!AA281,"")</f>
        <v/>
      </c>
      <c r="G194" s="31" t="str">
        <f>IF(LEN(_DB_Exercises!AB281)&gt;0,_DB_Exercises!AB281,"")</f>
        <v/>
      </c>
      <c r="H194" s="31" t="str">
        <f>IF(LEN(_DB_Exercises!AC281)&gt;0,_DB_Exercises!AC281,"")</f>
        <v/>
      </c>
      <c r="I194" s="31" t="str">
        <f>IF(LEN(_DB_Exercises!AD281)&gt;0,_DB_Exercises!AD281,"")</f>
        <v/>
      </c>
      <c r="J194" s="31" t="str">
        <f>IF(LEN(_DB_Exercises!AE281)&gt;0,_DB_Exercises!AE281,"")</f>
        <v/>
      </c>
      <c r="K194" s="31" t="str">
        <f>IF(LEN(_DB_Exercises!AF281)&gt;0,_DB_Exercises!AF281,"")</f>
        <v/>
      </c>
      <c r="L194" s="31" t="str">
        <f>IF(LEN(_DB_Exercises!AG281)&gt;0,_DB_Exercises!AG281,"")</f>
        <v/>
      </c>
      <c r="M194" s="31" t="str">
        <f>IF(LEN(_DB_Exercises!AH281)&gt;0,_DB_Exercises!AH281,"")</f>
        <v/>
      </c>
      <c r="N194" s="31" t="str">
        <f>IF(LEN(_DB_Exercises!AI281)&gt;0,_DB_Exercises!AI281,"")</f>
        <v/>
      </c>
      <c r="O194" s="31" t="str">
        <f>IF(LEN(_DB_Exercises!AJ281)&gt;0,_DB_Exercises!AJ281,"")</f>
        <v/>
      </c>
      <c r="P194" s="31" t="str">
        <f>IF(LEN(_DB_Exercises!AK281)&gt;0,_DB_Exercises!AK281,"")</f>
        <v/>
      </c>
      <c r="Q194" s="31" t="str">
        <f>IF(LEN(_DB_Exercises!AL281)&gt;0,_DB_Exercises!AL281,"")</f>
        <v/>
      </c>
      <c r="R194" s="31" t="str">
        <f>IF(LEN(_DB_Exercises!AM281)&gt;0,_DB_Exercises!AM281,"")</f>
        <v/>
      </c>
      <c r="S194" s="31" t="str">
        <f>IF(LEN(_DB_Exercises!AN281)&gt;0,_DB_Exercises!AN281,"")</f>
        <v/>
      </c>
      <c r="T194" s="31" t="str">
        <f>IF(LEN(_DB_Exercises!AO281)&gt;0,_DB_Exercises!AO281,"")</f>
        <v/>
      </c>
      <c r="U194" s="31" t="str">
        <f>IF(LEN(_DB_Exercises!AP281)&gt;0,_DB_Exercises!AP281,"")</f>
        <v/>
      </c>
      <c r="V194" s="31" t="str">
        <f>IF(LEN(_DB_Exercises!AQ281)&gt;0,_DB_Exercises!AQ281,"")</f>
        <v/>
      </c>
      <c r="W194" s="31" t="str">
        <f>IF(LEN(_DB_Exercises!AR281)&gt;0,_DB_Exercises!AR281,"")</f>
        <v/>
      </c>
      <c r="X194" s="31" t="str">
        <f>IF(LEN(_DB_Exercises!AS281)&gt;0,_DB_Exercises!AS281,"")</f>
        <v/>
      </c>
      <c r="Y194" s="31" t="str">
        <f>IF(LEN(_DB_Exercises!AT281)&gt;0,_DB_Exercises!AT281,"")</f>
        <v/>
      </c>
      <c r="Z194" s="31" t="str">
        <f>IF(LEN(_DB_Exercises!AU281)&gt;0,_DB_Exercises!AU281,"")</f>
        <v/>
      </c>
      <c r="AA194" s="31" t="str">
        <f>IF(LEN(_DB_Exercises!AV281)&gt;0,_DB_Exercises!AV281,"")</f>
        <v/>
      </c>
      <c r="AB194" s="31" t="str">
        <f>IF(LEN(_DB_Exercises!AW281)&gt;0,_DB_Exercises!AW281,"")</f>
        <v/>
      </c>
      <c r="AC194" s="31" t="str">
        <f>IF(LEN(_DB_Exercises!AX281)&gt;0,_DB_Exercises!AX281,"")</f>
        <v/>
      </c>
      <c r="AD194" s="31" t="str">
        <f>IF(LEN(_DB_Exercises!AY281)&gt;0,_DB_Exercises!AY281,"")</f>
        <v/>
      </c>
      <c r="AE194" s="31" t="str">
        <f>IF(LEN(_DB_Exercises!AZ281)&gt;0,_DB_Exercises!AZ281,"")</f>
        <v/>
      </c>
      <c r="AF194" s="31" t="str">
        <f>IF(LEN(_DB_Exercises!BA281)&gt;0,_DB_Exercises!BA281,"")</f>
        <v/>
      </c>
      <c r="AG194" s="31" t="str">
        <f>IF(LEN(_DB_Exercises!BB281)&gt;0,_DB_Exercises!BB281,"")</f>
        <v/>
      </c>
      <c r="AH194" s="31" t="str">
        <f>IF(LEN(_DB_Exercises!BC281)&gt;0,_DB_Exercises!BC281,"")</f>
        <v/>
      </c>
      <c r="AI194" s="31" t="str">
        <f>IF(LEN(_DB_Exercises!BD281)&gt;0,_DB_Exercises!BD281,"")</f>
        <v/>
      </c>
      <c r="AJ194" s="31" t="str">
        <f>IF(LEN(_DB_Exercises!BE281)&gt;0,_DB_Exercises!BE281,"")</f>
        <v/>
      </c>
      <c r="AK194" s="31" t="str">
        <f>IF(LEN(_DB_Exercises!BF281)&gt;0,_DB_Exercises!BF281,"")</f>
        <v/>
      </c>
      <c r="AL194" s="31" t="str">
        <f>IF(LEN(_DB_Exercises!BG281)&gt;0,_DB_Exercises!BG281,"")</f>
        <v/>
      </c>
      <c r="AM194" s="31" t="str">
        <f>IF(LEN(_DB_Exercises!BH281)&gt;0,_DB_Exercises!BH281,"")</f>
        <v/>
      </c>
      <c r="AN194" s="31" t="str">
        <f>IF(LEN(_DB_Exercises!BI281)&gt;0,_DB_Exercises!BI281,"")</f>
        <v/>
      </c>
      <c r="AO194" s="31" t="str">
        <f>IF(LEN(_DB_Exercises!BJ281)&gt;0,_DB_Exercises!BJ281,"")</f>
        <v/>
      </c>
      <c r="AP194" s="31" t="str">
        <f>IF(LEN(_DB_Exercises!BK281)&gt;0,_DB_Exercises!BK281,"")</f>
        <v/>
      </c>
      <c r="AQ194" s="31" t="str">
        <f>IF(LEN(_DB_Exercises!BL281)&gt;0,_DB_Exercises!BL281,"")</f>
        <v/>
      </c>
      <c r="AR194" s="31" t="str">
        <f>IF(LEN(_DB_Exercises!BM281)&gt;0,_DB_Exercises!BM281,"")</f>
        <v/>
      </c>
    </row>
    <row r="195" spans="1:44" x14ac:dyDescent="0.25">
      <c r="A195" s="11">
        <f>IF(LEN(_DB_Exercises!A282)&gt;0,_DB_Exercises!A282,"")</f>
        <v>8004</v>
      </c>
      <c r="B195" s="14" t="str">
        <f>IF(LEN(_DB_Exercises!K282)&gt;0,_DB_Exercises!K282,"")</f>
        <v>3 in a row  Ultra Mode</v>
      </c>
      <c r="C195" s="31" t="str">
        <f>IF(LEN(_DB_Exercises!X282)&gt;0,_DB_Exercises!X282,"")</f>
        <v/>
      </c>
      <c r="D195" s="31" t="str">
        <f>IF(LEN(_DB_Exercises!Y282)&gt;0,_DB_Exercises!Y282,"")</f>
        <v/>
      </c>
      <c r="E195" s="31" t="str">
        <f>IF(LEN(_DB_Exercises!Z282)&gt;0,_DB_Exercises!Z282,"")</f>
        <v/>
      </c>
      <c r="F195" s="31" t="str">
        <f>IF(LEN(_DB_Exercises!AA282)&gt;0,_DB_Exercises!AA282,"")</f>
        <v/>
      </c>
      <c r="G195" s="31" t="str">
        <f>IF(LEN(_DB_Exercises!AB282)&gt;0,_DB_Exercises!AB282,"")</f>
        <v/>
      </c>
      <c r="H195" s="31" t="str">
        <f>IF(LEN(_DB_Exercises!AC282)&gt;0,_DB_Exercises!AC282,"")</f>
        <v/>
      </c>
      <c r="I195" s="31" t="str">
        <f>IF(LEN(_DB_Exercises!AD282)&gt;0,_DB_Exercises!AD282,"")</f>
        <v/>
      </c>
      <c r="J195" s="31" t="str">
        <f>IF(LEN(_DB_Exercises!AE282)&gt;0,_DB_Exercises!AE282,"")</f>
        <v/>
      </c>
      <c r="K195" s="31" t="str">
        <f>IF(LEN(_DB_Exercises!AF282)&gt;0,_DB_Exercises!AF282,"")</f>
        <v/>
      </c>
      <c r="L195" s="31" t="str">
        <f>IF(LEN(_DB_Exercises!AG282)&gt;0,_DB_Exercises!AG282,"")</f>
        <v/>
      </c>
      <c r="M195" s="31" t="str">
        <f>IF(LEN(_DB_Exercises!AH282)&gt;0,_DB_Exercises!AH282,"")</f>
        <v/>
      </c>
      <c r="N195" s="31" t="str">
        <f>IF(LEN(_DB_Exercises!AI282)&gt;0,_DB_Exercises!AI282,"")</f>
        <v/>
      </c>
      <c r="O195" s="31" t="str">
        <f>IF(LEN(_DB_Exercises!AJ282)&gt;0,_DB_Exercises!AJ282,"")</f>
        <v/>
      </c>
      <c r="P195" s="31" t="str">
        <f>IF(LEN(_DB_Exercises!AK282)&gt;0,_DB_Exercises!AK282,"")</f>
        <v/>
      </c>
      <c r="Q195" s="31" t="str">
        <f>IF(LEN(_DB_Exercises!AL282)&gt;0,_DB_Exercises!AL282,"")</f>
        <v/>
      </c>
      <c r="R195" s="31" t="str">
        <f>IF(LEN(_DB_Exercises!AM282)&gt;0,_DB_Exercises!AM282,"")</f>
        <v/>
      </c>
      <c r="S195" s="31" t="str">
        <f>IF(LEN(_DB_Exercises!AN282)&gt;0,_DB_Exercises!AN282,"")</f>
        <v/>
      </c>
      <c r="T195" s="31" t="str">
        <f>IF(LEN(_DB_Exercises!AO282)&gt;0,_DB_Exercises!AO282,"")</f>
        <v/>
      </c>
      <c r="U195" s="31" t="str">
        <f>IF(LEN(_DB_Exercises!AP282)&gt;0,_DB_Exercises!AP282,"")</f>
        <v/>
      </c>
      <c r="V195" s="31" t="str">
        <f>IF(LEN(_DB_Exercises!AQ282)&gt;0,_DB_Exercises!AQ282,"")</f>
        <v/>
      </c>
      <c r="W195" s="31" t="str">
        <f>IF(LEN(_DB_Exercises!AR282)&gt;0,_DB_Exercises!AR282,"")</f>
        <v/>
      </c>
      <c r="X195" s="31" t="str">
        <f>IF(LEN(_DB_Exercises!AS282)&gt;0,_DB_Exercises!AS282,"")</f>
        <v/>
      </c>
      <c r="Y195" s="31" t="str">
        <f>IF(LEN(_DB_Exercises!AT282)&gt;0,_DB_Exercises!AT282,"")</f>
        <v/>
      </c>
      <c r="Z195" s="31" t="str">
        <f>IF(LEN(_DB_Exercises!AU282)&gt;0,_DB_Exercises!AU282,"")</f>
        <v/>
      </c>
      <c r="AA195" s="31" t="str">
        <f>IF(LEN(_DB_Exercises!AV282)&gt;0,_DB_Exercises!AV282,"")</f>
        <v/>
      </c>
      <c r="AB195" s="31" t="str">
        <f>IF(LEN(_DB_Exercises!AW282)&gt;0,_DB_Exercises!AW282,"")</f>
        <v/>
      </c>
      <c r="AC195" s="31" t="str">
        <f>IF(LEN(_DB_Exercises!AX282)&gt;0,_DB_Exercises!AX282,"")</f>
        <v/>
      </c>
      <c r="AD195" s="31" t="str">
        <f>IF(LEN(_DB_Exercises!AY282)&gt;0,_DB_Exercises!AY282,"")</f>
        <v/>
      </c>
      <c r="AE195" s="31" t="str">
        <f>IF(LEN(_DB_Exercises!AZ282)&gt;0,_DB_Exercises!AZ282,"")</f>
        <v/>
      </c>
      <c r="AF195" s="31" t="str">
        <f>IF(LEN(_DB_Exercises!BA282)&gt;0,_DB_Exercises!BA282,"")</f>
        <v/>
      </c>
      <c r="AG195" s="31" t="str">
        <f>IF(LEN(_DB_Exercises!BB282)&gt;0,_DB_Exercises!BB282,"")</f>
        <v/>
      </c>
      <c r="AH195" s="31" t="str">
        <f>IF(LEN(_DB_Exercises!BC282)&gt;0,_DB_Exercises!BC282,"")</f>
        <v/>
      </c>
      <c r="AI195" s="31" t="str">
        <f>IF(LEN(_DB_Exercises!BD282)&gt;0,_DB_Exercises!BD282,"")</f>
        <v/>
      </c>
      <c r="AJ195" s="31" t="str">
        <f>IF(LEN(_DB_Exercises!BE282)&gt;0,_DB_Exercises!BE282,"")</f>
        <v/>
      </c>
      <c r="AK195" s="31" t="str">
        <f>IF(LEN(_DB_Exercises!BF282)&gt;0,_DB_Exercises!BF282,"")</f>
        <v/>
      </c>
      <c r="AL195" s="31" t="str">
        <f>IF(LEN(_DB_Exercises!BG282)&gt;0,_DB_Exercises!BG282,"")</f>
        <v/>
      </c>
      <c r="AM195" s="31" t="str">
        <f>IF(LEN(_DB_Exercises!BH282)&gt;0,_DB_Exercises!BH282,"")</f>
        <v/>
      </c>
      <c r="AN195" s="31" t="str">
        <f>IF(LEN(_DB_Exercises!BI282)&gt;0,_DB_Exercises!BI282,"")</f>
        <v/>
      </c>
      <c r="AO195" s="31" t="str">
        <f>IF(LEN(_DB_Exercises!BJ282)&gt;0,_DB_Exercises!BJ282,"")</f>
        <v/>
      </c>
      <c r="AP195" s="31" t="str">
        <f>IF(LEN(_DB_Exercises!BK282)&gt;0,_DB_Exercises!BK282,"")</f>
        <v/>
      </c>
      <c r="AQ195" s="31" t="str">
        <f>IF(LEN(_DB_Exercises!BL282)&gt;0,_DB_Exercises!BL282,"")</f>
        <v/>
      </c>
      <c r="AR195" s="31" t="str">
        <f>IF(LEN(_DB_Exercises!BM282)&gt;0,_DB_Exercises!BM282,"")</f>
        <v/>
      </c>
    </row>
    <row r="196" spans="1:44" x14ac:dyDescent="0.25">
      <c r="A196" s="11">
        <f>IF(LEN(_DB_Exercises!A283)&gt;0,_DB_Exercises!A283,"")</f>
        <v>8005</v>
      </c>
      <c r="B196" s="14" t="str">
        <f>IF(LEN(_DB_Exercises!K283)&gt;0,_DB_Exercises!K283,"")</f>
        <v>Stepping back the ladder  Beginner</v>
      </c>
      <c r="C196" s="31" t="str">
        <f>IF(LEN(_DB_Exercises!X283)&gt;0,_DB_Exercises!X283,"")</f>
        <v/>
      </c>
      <c r="D196" s="31" t="str">
        <f>IF(LEN(_DB_Exercises!Y283)&gt;0,_DB_Exercises!Y283,"")</f>
        <v/>
      </c>
      <c r="E196" s="31" t="str">
        <f>IF(LEN(_DB_Exercises!Z283)&gt;0,_DB_Exercises!Z283,"")</f>
        <v/>
      </c>
      <c r="F196" s="31" t="str">
        <f>IF(LEN(_DB_Exercises!AA283)&gt;0,_DB_Exercises!AA283,"")</f>
        <v/>
      </c>
      <c r="G196" s="31" t="str">
        <f>IF(LEN(_DB_Exercises!AB283)&gt;0,_DB_Exercises!AB283,"")</f>
        <v/>
      </c>
      <c r="H196" s="31" t="str">
        <f>IF(LEN(_DB_Exercises!AC283)&gt;0,_DB_Exercises!AC283,"")</f>
        <v/>
      </c>
      <c r="I196" s="31" t="str">
        <f>IF(LEN(_DB_Exercises!AD283)&gt;0,_DB_Exercises!AD283,"")</f>
        <v/>
      </c>
      <c r="J196" s="31" t="str">
        <f>IF(LEN(_DB_Exercises!AE283)&gt;0,_DB_Exercises!AE283,"")</f>
        <v/>
      </c>
      <c r="K196" s="31" t="str">
        <f>IF(LEN(_DB_Exercises!AF283)&gt;0,_DB_Exercises!AF283,"")</f>
        <v/>
      </c>
      <c r="L196" s="31" t="str">
        <f>IF(LEN(_DB_Exercises!AG283)&gt;0,_DB_Exercises!AG283,"")</f>
        <v/>
      </c>
      <c r="M196" s="31" t="str">
        <f>IF(LEN(_DB_Exercises!AH283)&gt;0,_DB_Exercises!AH283,"")</f>
        <v/>
      </c>
      <c r="N196" s="31" t="str">
        <f>IF(LEN(_DB_Exercises!AI283)&gt;0,_DB_Exercises!AI283,"")</f>
        <v/>
      </c>
      <c r="O196" s="31" t="str">
        <f>IF(LEN(_DB_Exercises!AJ283)&gt;0,_DB_Exercises!AJ283,"")</f>
        <v/>
      </c>
      <c r="P196" s="31" t="str">
        <f>IF(LEN(_DB_Exercises!AK283)&gt;0,_DB_Exercises!AK283,"")</f>
        <v/>
      </c>
      <c r="Q196" s="31" t="str">
        <f>IF(LEN(_DB_Exercises!AL283)&gt;0,_DB_Exercises!AL283,"")</f>
        <v/>
      </c>
      <c r="R196" s="31" t="str">
        <f>IF(LEN(_DB_Exercises!AM283)&gt;0,_DB_Exercises!AM283,"")</f>
        <v/>
      </c>
      <c r="S196" s="31" t="str">
        <f>IF(LEN(_DB_Exercises!AN283)&gt;0,_DB_Exercises!AN283,"")</f>
        <v/>
      </c>
      <c r="T196" s="31" t="str">
        <f>IF(LEN(_DB_Exercises!AO283)&gt;0,_DB_Exercises!AO283,"")</f>
        <v/>
      </c>
      <c r="U196" s="31" t="str">
        <f>IF(LEN(_DB_Exercises!AP283)&gt;0,_DB_Exercises!AP283,"")</f>
        <v/>
      </c>
      <c r="V196" s="31" t="str">
        <f>IF(LEN(_DB_Exercises!AQ283)&gt;0,_DB_Exercises!AQ283,"")</f>
        <v/>
      </c>
      <c r="W196" s="31" t="str">
        <f>IF(LEN(_DB_Exercises!AR283)&gt;0,_DB_Exercises!AR283,"")</f>
        <v/>
      </c>
      <c r="X196" s="31" t="str">
        <f>IF(LEN(_DB_Exercises!AS283)&gt;0,_DB_Exercises!AS283,"")</f>
        <v/>
      </c>
      <c r="Y196" s="31" t="str">
        <f>IF(LEN(_DB_Exercises!AT283)&gt;0,_DB_Exercises!AT283,"")</f>
        <v/>
      </c>
      <c r="Z196" s="31" t="str">
        <f>IF(LEN(_DB_Exercises!AU283)&gt;0,_DB_Exercises!AU283,"")</f>
        <v/>
      </c>
      <c r="AA196" s="31" t="str">
        <f>IF(LEN(_DB_Exercises!AV283)&gt;0,_DB_Exercises!AV283,"")</f>
        <v/>
      </c>
      <c r="AB196" s="31" t="str">
        <f>IF(LEN(_DB_Exercises!AW283)&gt;0,_DB_Exercises!AW283,"")</f>
        <v/>
      </c>
      <c r="AC196" s="31" t="str">
        <f>IF(LEN(_DB_Exercises!AX283)&gt;0,_DB_Exercises!AX283,"")</f>
        <v/>
      </c>
      <c r="AD196" s="31" t="str">
        <f>IF(LEN(_DB_Exercises!AY283)&gt;0,_DB_Exercises!AY283,"")</f>
        <v/>
      </c>
      <c r="AE196" s="31" t="str">
        <f>IF(LEN(_DB_Exercises!AZ283)&gt;0,_DB_Exercises!AZ283,"")</f>
        <v/>
      </c>
      <c r="AF196" s="31" t="str">
        <f>IF(LEN(_DB_Exercises!BA283)&gt;0,_DB_Exercises!BA283,"")</f>
        <v/>
      </c>
      <c r="AG196" s="31" t="str">
        <f>IF(LEN(_DB_Exercises!BB283)&gt;0,_DB_Exercises!BB283,"")</f>
        <v/>
      </c>
      <c r="AH196" s="31" t="str">
        <f>IF(LEN(_DB_Exercises!BC283)&gt;0,_DB_Exercises!BC283,"")</f>
        <v/>
      </c>
      <c r="AI196" s="31" t="str">
        <f>IF(LEN(_DB_Exercises!BD283)&gt;0,_DB_Exercises!BD283,"")</f>
        <v/>
      </c>
      <c r="AJ196" s="31" t="str">
        <f>IF(LEN(_DB_Exercises!BE283)&gt;0,_DB_Exercises!BE283,"")</f>
        <v/>
      </c>
      <c r="AK196" s="31" t="str">
        <f>IF(LEN(_DB_Exercises!BF283)&gt;0,_DB_Exercises!BF283,"")</f>
        <v/>
      </c>
      <c r="AL196" s="31" t="str">
        <f>IF(LEN(_DB_Exercises!BG283)&gt;0,_DB_Exercises!BG283,"")</f>
        <v/>
      </c>
      <c r="AM196" s="31" t="str">
        <f>IF(LEN(_DB_Exercises!BH283)&gt;0,_DB_Exercises!BH283,"")</f>
        <v/>
      </c>
      <c r="AN196" s="31" t="str">
        <f>IF(LEN(_DB_Exercises!BI283)&gt;0,_DB_Exercises!BI283,"")</f>
        <v/>
      </c>
      <c r="AO196" s="31" t="str">
        <f>IF(LEN(_DB_Exercises!BJ283)&gt;0,_DB_Exercises!BJ283,"")</f>
        <v/>
      </c>
      <c r="AP196" s="31" t="str">
        <f>IF(LEN(_DB_Exercises!BK283)&gt;0,_DB_Exercises!BK283,"")</f>
        <v/>
      </c>
      <c r="AQ196" s="31" t="str">
        <f>IF(LEN(_DB_Exercises!BL283)&gt;0,_DB_Exercises!BL283,"")</f>
        <v/>
      </c>
      <c r="AR196" s="31" t="str">
        <f>IF(LEN(_DB_Exercises!BM283)&gt;0,_DB_Exercises!BM283,"")</f>
        <v/>
      </c>
    </row>
    <row r="197" spans="1:44" x14ac:dyDescent="0.25">
      <c r="A197" s="11">
        <f>IF(LEN(_DB_Exercises!A284)&gt;0,_DB_Exercises!A284,"")</f>
        <v>8006</v>
      </c>
      <c r="B197" s="14" t="str">
        <f>IF(LEN(_DB_Exercises!K284)&gt;0,_DB_Exercises!K284,"")</f>
        <v>Stepping back the ladder  Intermediate</v>
      </c>
      <c r="C197" s="31" t="str">
        <f>IF(LEN(_DB_Exercises!X284)&gt;0,_DB_Exercises!X284,"")</f>
        <v/>
      </c>
      <c r="D197" s="31" t="str">
        <f>IF(LEN(_DB_Exercises!Y284)&gt;0,_DB_Exercises!Y284,"")</f>
        <v/>
      </c>
      <c r="E197" s="31" t="str">
        <f>IF(LEN(_DB_Exercises!Z284)&gt;0,_DB_Exercises!Z284,"")</f>
        <v/>
      </c>
      <c r="F197" s="31" t="str">
        <f>IF(LEN(_DB_Exercises!AA284)&gt;0,_DB_Exercises!AA284,"")</f>
        <v/>
      </c>
      <c r="G197" s="31" t="str">
        <f>IF(LEN(_DB_Exercises!AB284)&gt;0,_DB_Exercises!AB284,"")</f>
        <v/>
      </c>
      <c r="H197" s="31" t="str">
        <f>IF(LEN(_DB_Exercises!AC284)&gt;0,_DB_Exercises!AC284,"")</f>
        <v/>
      </c>
      <c r="I197" s="31" t="str">
        <f>IF(LEN(_DB_Exercises!AD284)&gt;0,_DB_Exercises!AD284,"")</f>
        <v/>
      </c>
      <c r="J197" s="31" t="str">
        <f>IF(LEN(_DB_Exercises!AE284)&gt;0,_DB_Exercises!AE284,"")</f>
        <v/>
      </c>
      <c r="K197" s="31" t="str">
        <f>IF(LEN(_DB_Exercises!AF284)&gt;0,_DB_Exercises!AF284,"")</f>
        <v/>
      </c>
      <c r="L197" s="31" t="str">
        <f>IF(LEN(_DB_Exercises!AG284)&gt;0,_DB_Exercises!AG284,"")</f>
        <v/>
      </c>
      <c r="M197" s="31" t="str">
        <f>IF(LEN(_DB_Exercises!AH284)&gt;0,_DB_Exercises!AH284,"")</f>
        <v/>
      </c>
      <c r="N197" s="31" t="str">
        <f>IF(LEN(_DB_Exercises!AI284)&gt;0,_DB_Exercises!AI284,"")</f>
        <v/>
      </c>
      <c r="O197" s="31" t="str">
        <f>IF(LEN(_DB_Exercises!AJ284)&gt;0,_DB_Exercises!AJ284,"")</f>
        <v/>
      </c>
      <c r="P197" s="31" t="str">
        <f>IF(LEN(_DB_Exercises!AK284)&gt;0,_DB_Exercises!AK284,"")</f>
        <v/>
      </c>
      <c r="Q197" s="31" t="str">
        <f>IF(LEN(_DB_Exercises!AL284)&gt;0,_DB_Exercises!AL284,"")</f>
        <v/>
      </c>
      <c r="R197" s="31" t="str">
        <f>IF(LEN(_DB_Exercises!AM284)&gt;0,_DB_Exercises!AM284,"")</f>
        <v/>
      </c>
      <c r="S197" s="31" t="str">
        <f>IF(LEN(_DB_Exercises!AN284)&gt;0,_DB_Exercises!AN284,"")</f>
        <v/>
      </c>
      <c r="T197" s="31" t="str">
        <f>IF(LEN(_DB_Exercises!AO284)&gt;0,_DB_Exercises!AO284,"")</f>
        <v/>
      </c>
      <c r="U197" s="31" t="str">
        <f>IF(LEN(_DB_Exercises!AP284)&gt;0,_DB_Exercises!AP284,"")</f>
        <v/>
      </c>
      <c r="V197" s="31" t="str">
        <f>IF(LEN(_DB_Exercises!AQ284)&gt;0,_DB_Exercises!AQ284,"")</f>
        <v/>
      </c>
      <c r="W197" s="31" t="str">
        <f>IF(LEN(_DB_Exercises!AR284)&gt;0,_DB_Exercises!AR284,"")</f>
        <v/>
      </c>
      <c r="X197" s="31" t="str">
        <f>IF(LEN(_DB_Exercises!AS284)&gt;0,_DB_Exercises!AS284,"")</f>
        <v/>
      </c>
      <c r="Y197" s="31" t="str">
        <f>IF(LEN(_DB_Exercises!AT284)&gt;0,_DB_Exercises!AT284,"")</f>
        <v/>
      </c>
      <c r="Z197" s="31" t="str">
        <f>IF(LEN(_DB_Exercises!AU284)&gt;0,_DB_Exercises!AU284,"")</f>
        <v/>
      </c>
      <c r="AA197" s="31" t="str">
        <f>IF(LEN(_DB_Exercises!AV284)&gt;0,_DB_Exercises!AV284,"")</f>
        <v/>
      </c>
      <c r="AB197" s="31" t="str">
        <f>IF(LEN(_DB_Exercises!AW284)&gt;0,_DB_Exercises!AW284,"")</f>
        <v/>
      </c>
      <c r="AC197" s="31" t="str">
        <f>IF(LEN(_DB_Exercises!AX284)&gt;0,_DB_Exercises!AX284,"")</f>
        <v/>
      </c>
      <c r="AD197" s="31" t="str">
        <f>IF(LEN(_DB_Exercises!AY284)&gt;0,_DB_Exercises!AY284,"")</f>
        <v/>
      </c>
      <c r="AE197" s="31" t="str">
        <f>IF(LEN(_DB_Exercises!AZ284)&gt;0,_DB_Exercises!AZ284,"")</f>
        <v/>
      </c>
      <c r="AF197" s="31" t="str">
        <f>IF(LEN(_DB_Exercises!BA284)&gt;0,_DB_Exercises!BA284,"")</f>
        <v/>
      </c>
      <c r="AG197" s="31" t="str">
        <f>IF(LEN(_DB_Exercises!BB284)&gt;0,_DB_Exercises!BB284,"")</f>
        <v/>
      </c>
      <c r="AH197" s="31" t="str">
        <f>IF(LEN(_DB_Exercises!BC284)&gt;0,_DB_Exercises!BC284,"")</f>
        <v/>
      </c>
      <c r="AI197" s="31" t="str">
        <f>IF(LEN(_DB_Exercises!BD284)&gt;0,_DB_Exercises!BD284,"")</f>
        <v/>
      </c>
      <c r="AJ197" s="31" t="str">
        <f>IF(LEN(_DB_Exercises!BE284)&gt;0,_DB_Exercises!BE284,"")</f>
        <v/>
      </c>
      <c r="AK197" s="31" t="str">
        <f>IF(LEN(_DB_Exercises!BF284)&gt;0,_DB_Exercises!BF284,"")</f>
        <v/>
      </c>
      <c r="AL197" s="31" t="str">
        <f>IF(LEN(_DB_Exercises!BG284)&gt;0,_DB_Exercises!BG284,"")</f>
        <v/>
      </c>
      <c r="AM197" s="31" t="str">
        <f>IF(LEN(_DB_Exercises!BH284)&gt;0,_DB_Exercises!BH284,"")</f>
        <v/>
      </c>
      <c r="AN197" s="31" t="str">
        <f>IF(LEN(_DB_Exercises!BI284)&gt;0,_DB_Exercises!BI284,"")</f>
        <v/>
      </c>
      <c r="AO197" s="31" t="str">
        <f>IF(LEN(_DB_Exercises!BJ284)&gt;0,_DB_Exercises!BJ284,"")</f>
        <v/>
      </c>
      <c r="AP197" s="31" t="str">
        <f>IF(LEN(_DB_Exercises!BK284)&gt;0,_DB_Exercises!BK284,"")</f>
        <v/>
      </c>
      <c r="AQ197" s="31" t="str">
        <f>IF(LEN(_DB_Exercises!BL284)&gt;0,_DB_Exercises!BL284,"")</f>
        <v/>
      </c>
      <c r="AR197" s="31" t="str">
        <f>IF(LEN(_DB_Exercises!BM284)&gt;0,_DB_Exercises!BM284,"")</f>
        <v/>
      </c>
    </row>
    <row r="198" spans="1:44" x14ac:dyDescent="0.25">
      <c r="A198" s="11">
        <f>IF(LEN(_DB_Exercises!A285)&gt;0,_DB_Exercises!A285,"")</f>
        <v>8007</v>
      </c>
      <c r="B198" s="14" t="str">
        <f>IF(LEN(_DB_Exercises!K285)&gt;0,_DB_Exercises!K285,"")</f>
        <v>Stepping back the ladder  Expert</v>
      </c>
      <c r="C198" s="31" t="str">
        <f>IF(LEN(_DB_Exercises!X285)&gt;0,_DB_Exercises!X285,"")</f>
        <v/>
      </c>
      <c r="D198" s="31" t="str">
        <f>IF(LEN(_DB_Exercises!Y285)&gt;0,_DB_Exercises!Y285,"")</f>
        <v/>
      </c>
      <c r="E198" s="31" t="str">
        <f>IF(LEN(_DB_Exercises!Z285)&gt;0,_DB_Exercises!Z285,"")</f>
        <v/>
      </c>
      <c r="F198" s="31" t="str">
        <f>IF(LEN(_DB_Exercises!AA285)&gt;0,_DB_Exercises!AA285,"")</f>
        <v/>
      </c>
      <c r="G198" s="31" t="str">
        <f>IF(LEN(_DB_Exercises!AB285)&gt;0,_DB_Exercises!AB285,"")</f>
        <v/>
      </c>
      <c r="H198" s="31" t="str">
        <f>IF(LEN(_DB_Exercises!AC285)&gt;0,_DB_Exercises!AC285,"")</f>
        <v/>
      </c>
      <c r="I198" s="31" t="str">
        <f>IF(LEN(_DB_Exercises!AD285)&gt;0,_DB_Exercises!AD285,"")</f>
        <v/>
      </c>
      <c r="J198" s="31" t="str">
        <f>IF(LEN(_DB_Exercises!AE285)&gt;0,_DB_Exercises!AE285,"")</f>
        <v/>
      </c>
      <c r="K198" s="31" t="str">
        <f>IF(LEN(_DB_Exercises!AF285)&gt;0,_DB_Exercises!AF285,"")</f>
        <v/>
      </c>
      <c r="L198" s="31" t="str">
        <f>IF(LEN(_DB_Exercises!AG285)&gt;0,_DB_Exercises!AG285,"")</f>
        <v/>
      </c>
      <c r="M198" s="31" t="str">
        <f>IF(LEN(_DB_Exercises!AH285)&gt;0,_DB_Exercises!AH285,"")</f>
        <v/>
      </c>
      <c r="N198" s="31" t="str">
        <f>IF(LEN(_DB_Exercises!AI285)&gt;0,_DB_Exercises!AI285,"")</f>
        <v/>
      </c>
      <c r="O198" s="31" t="str">
        <f>IF(LEN(_DB_Exercises!AJ285)&gt;0,_DB_Exercises!AJ285,"")</f>
        <v/>
      </c>
      <c r="P198" s="31" t="str">
        <f>IF(LEN(_DB_Exercises!AK285)&gt;0,_DB_Exercises!AK285,"")</f>
        <v/>
      </c>
      <c r="Q198" s="31" t="str">
        <f>IF(LEN(_DB_Exercises!AL285)&gt;0,_DB_Exercises!AL285,"")</f>
        <v/>
      </c>
      <c r="R198" s="31" t="str">
        <f>IF(LEN(_DB_Exercises!AM285)&gt;0,_DB_Exercises!AM285,"")</f>
        <v/>
      </c>
      <c r="S198" s="31" t="str">
        <f>IF(LEN(_DB_Exercises!AN285)&gt;0,_DB_Exercises!AN285,"")</f>
        <v/>
      </c>
      <c r="T198" s="31" t="str">
        <f>IF(LEN(_DB_Exercises!AO285)&gt;0,_DB_Exercises!AO285,"")</f>
        <v/>
      </c>
      <c r="U198" s="31" t="str">
        <f>IF(LEN(_DB_Exercises!AP285)&gt;0,_DB_Exercises!AP285,"")</f>
        <v/>
      </c>
      <c r="V198" s="31" t="str">
        <f>IF(LEN(_DB_Exercises!AQ285)&gt;0,_DB_Exercises!AQ285,"")</f>
        <v/>
      </c>
      <c r="W198" s="31" t="str">
        <f>IF(LEN(_DB_Exercises!AR285)&gt;0,_DB_Exercises!AR285,"")</f>
        <v/>
      </c>
      <c r="X198" s="31" t="str">
        <f>IF(LEN(_DB_Exercises!AS285)&gt;0,_DB_Exercises!AS285,"")</f>
        <v/>
      </c>
      <c r="Y198" s="31" t="str">
        <f>IF(LEN(_DB_Exercises!AT285)&gt;0,_DB_Exercises!AT285,"")</f>
        <v/>
      </c>
      <c r="Z198" s="31" t="str">
        <f>IF(LEN(_DB_Exercises!AU285)&gt;0,_DB_Exercises!AU285,"")</f>
        <v/>
      </c>
      <c r="AA198" s="31" t="str">
        <f>IF(LEN(_DB_Exercises!AV285)&gt;0,_DB_Exercises!AV285,"")</f>
        <v/>
      </c>
      <c r="AB198" s="31" t="str">
        <f>IF(LEN(_DB_Exercises!AW285)&gt;0,_DB_Exercises!AW285,"")</f>
        <v/>
      </c>
      <c r="AC198" s="31" t="str">
        <f>IF(LEN(_DB_Exercises!AX285)&gt;0,_DB_Exercises!AX285,"")</f>
        <v/>
      </c>
      <c r="AD198" s="31" t="str">
        <f>IF(LEN(_DB_Exercises!AY285)&gt;0,_DB_Exercises!AY285,"")</f>
        <v/>
      </c>
      <c r="AE198" s="31" t="str">
        <f>IF(LEN(_DB_Exercises!AZ285)&gt;0,_DB_Exercises!AZ285,"")</f>
        <v/>
      </c>
      <c r="AF198" s="31" t="str">
        <f>IF(LEN(_DB_Exercises!BA285)&gt;0,_DB_Exercises!BA285,"")</f>
        <v/>
      </c>
      <c r="AG198" s="31" t="str">
        <f>IF(LEN(_DB_Exercises!BB285)&gt;0,_DB_Exercises!BB285,"")</f>
        <v/>
      </c>
      <c r="AH198" s="31" t="str">
        <f>IF(LEN(_DB_Exercises!BC285)&gt;0,_DB_Exercises!BC285,"")</f>
        <v/>
      </c>
      <c r="AI198" s="31" t="str">
        <f>IF(LEN(_DB_Exercises!BD285)&gt;0,_DB_Exercises!BD285,"")</f>
        <v/>
      </c>
      <c r="AJ198" s="31" t="str">
        <f>IF(LEN(_DB_Exercises!BE285)&gt;0,_DB_Exercises!BE285,"")</f>
        <v/>
      </c>
      <c r="AK198" s="31" t="str">
        <f>IF(LEN(_DB_Exercises!BF285)&gt;0,_DB_Exercises!BF285,"")</f>
        <v/>
      </c>
      <c r="AL198" s="31" t="str">
        <f>IF(LEN(_DB_Exercises!BG285)&gt;0,_DB_Exercises!BG285,"")</f>
        <v/>
      </c>
      <c r="AM198" s="31" t="str">
        <f>IF(LEN(_DB_Exercises!BH285)&gt;0,_DB_Exercises!BH285,"")</f>
        <v/>
      </c>
      <c r="AN198" s="31" t="str">
        <f>IF(LEN(_DB_Exercises!BI285)&gt;0,_DB_Exercises!BI285,"")</f>
        <v/>
      </c>
      <c r="AO198" s="31" t="str">
        <f>IF(LEN(_DB_Exercises!BJ285)&gt;0,_DB_Exercises!BJ285,"")</f>
        <v/>
      </c>
      <c r="AP198" s="31" t="str">
        <f>IF(LEN(_DB_Exercises!BK285)&gt;0,_DB_Exercises!BK285,"")</f>
        <v/>
      </c>
      <c r="AQ198" s="31" t="str">
        <f>IF(LEN(_DB_Exercises!BL285)&gt;0,_DB_Exercises!BL285,"")</f>
        <v/>
      </c>
      <c r="AR198" s="31" t="str">
        <f>IF(LEN(_DB_Exercises!BM285)&gt;0,_DB_Exercises!BM285,"")</f>
        <v/>
      </c>
    </row>
    <row r="199" spans="1:44" x14ac:dyDescent="0.25">
      <c r="A199" s="11">
        <f>IF(LEN(_DB_Exercises!A286)&gt;0,_DB_Exercises!A286,"")</f>
        <v>8008</v>
      </c>
      <c r="B199" s="14" t="str">
        <f>IF(LEN(_DB_Exercises!K286)&gt;0,_DB_Exercises!K286,"")</f>
        <v>5 Shots Bunker 9m 10yds</v>
      </c>
      <c r="C199" s="31">
        <f>IF(LEN(_DB_Exercises!X286)&gt;0,_DB_Exercises!X286,"")</f>
        <v>4</v>
      </c>
      <c r="D199" s="31">
        <f>IF(LEN(_DB_Exercises!Y286)&gt;0,_DB_Exercises!Y286,"")</f>
        <v>4</v>
      </c>
      <c r="E199" s="31">
        <f>IF(LEN(_DB_Exercises!Z286)&gt;0,_DB_Exercises!Z286,"")</f>
        <v>4</v>
      </c>
      <c r="F199" s="31">
        <f>IF(LEN(_DB_Exercises!AA286)&gt;0,_DB_Exercises!AA286,"")</f>
        <v>3</v>
      </c>
      <c r="G199" s="31">
        <f>IF(LEN(_DB_Exercises!AB286)&gt;0,_DB_Exercises!AB286,"")</f>
        <v>3</v>
      </c>
      <c r="H199" s="31">
        <f>IF(LEN(_DB_Exercises!AC286)&gt;0,_DB_Exercises!AC286,"")</f>
        <v>3</v>
      </c>
      <c r="I199" s="31">
        <f>IF(LEN(_DB_Exercises!AD286)&gt;0,_DB_Exercises!AD286,"")</f>
        <v>3</v>
      </c>
      <c r="J199" s="31">
        <f>IF(LEN(_DB_Exercises!AE286)&gt;0,_DB_Exercises!AE286,"")</f>
        <v>2</v>
      </c>
      <c r="K199" s="31">
        <f>IF(LEN(_DB_Exercises!AF286)&gt;0,_DB_Exercises!AF286,"")</f>
        <v>2</v>
      </c>
      <c r="L199" s="31">
        <f>IF(LEN(_DB_Exercises!AG286)&gt;0,_DB_Exercises!AG286,"")</f>
        <v>2</v>
      </c>
      <c r="M199" s="31">
        <f>IF(LEN(_DB_Exercises!AH286)&gt;0,_DB_Exercises!AH286,"")</f>
        <v>2</v>
      </c>
      <c r="N199" s="31">
        <f>IF(LEN(_DB_Exercises!AI286)&gt;0,_DB_Exercises!AI286,"")</f>
        <v>1</v>
      </c>
      <c r="O199" s="31">
        <f>IF(LEN(_DB_Exercises!AJ286)&gt;0,_DB_Exercises!AJ286,"")</f>
        <v>1</v>
      </c>
      <c r="P199" s="31">
        <f>IF(LEN(_DB_Exercises!AK286)&gt;0,_DB_Exercises!AK286,"")</f>
        <v>1</v>
      </c>
      <c r="Q199" s="31">
        <f>IF(LEN(_DB_Exercises!AL286)&gt;0,_DB_Exercises!AL286,"")</f>
        <v>1</v>
      </c>
      <c r="R199" s="31">
        <f>IF(LEN(_DB_Exercises!AM286)&gt;0,_DB_Exercises!AM286,"")</f>
        <v>1</v>
      </c>
      <c r="S199" s="31">
        <f>IF(LEN(_DB_Exercises!AN286)&gt;0,_DB_Exercises!AN286,"")</f>
        <v>1</v>
      </c>
      <c r="T199" s="31">
        <f>IF(LEN(_DB_Exercises!AO286)&gt;0,_DB_Exercises!AO286,"")</f>
        <v>1</v>
      </c>
      <c r="U199" s="31">
        <f>IF(LEN(_DB_Exercises!AP286)&gt;0,_DB_Exercises!AP286,"")</f>
        <v>1</v>
      </c>
      <c r="V199" s="31">
        <f>IF(LEN(_DB_Exercises!AQ286)&gt;0,_DB_Exercises!AQ286,"")</f>
        <v>1</v>
      </c>
      <c r="W199" s="31">
        <f>IF(LEN(_DB_Exercises!AR286)&gt;0,_DB_Exercises!AR286,"")</f>
        <v>1</v>
      </c>
      <c r="X199" s="31">
        <f>IF(LEN(_DB_Exercises!AS286)&gt;0,_DB_Exercises!AS286,"")</f>
        <v>1</v>
      </c>
      <c r="Y199" s="31">
        <f>IF(LEN(_DB_Exercises!AT286)&gt;0,_DB_Exercises!AT286,"")</f>
        <v>1</v>
      </c>
      <c r="Z199" s="31">
        <f>IF(LEN(_DB_Exercises!AU286)&gt;0,_DB_Exercises!AU286,"")</f>
        <v>1</v>
      </c>
      <c r="AA199" s="31">
        <f>IF(LEN(_DB_Exercises!AV286)&gt;0,_DB_Exercises!AV286,"")</f>
        <v>1</v>
      </c>
      <c r="AB199" s="31">
        <f>IF(LEN(_DB_Exercises!AW286)&gt;0,_DB_Exercises!AW286,"")</f>
        <v>1</v>
      </c>
      <c r="AC199" s="31">
        <f>IF(LEN(_DB_Exercises!AX286)&gt;0,_DB_Exercises!AX286,"")</f>
        <v>1</v>
      </c>
      <c r="AD199" s="31">
        <f>IF(LEN(_DB_Exercises!AY286)&gt;0,_DB_Exercises!AY286,"")</f>
        <v>1</v>
      </c>
      <c r="AE199" s="31">
        <f>IF(LEN(_DB_Exercises!AZ286)&gt;0,_DB_Exercises!AZ286,"")</f>
        <v>0</v>
      </c>
      <c r="AF199" s="31">
        <f>IF(LEN(_DB_Exercises!BA286)&gt;0,_DB_Exercises!BA286,"")</f>
        <v>0</v>
      </c>
      <c r="AG199" s="31">
        <f>IF(LEN(_DB_Exercises!BB286)&gt;0,_DB_Exercises!BB286,"")</f>
        <v>0</v>
      </c>
      <c r="AH199" s="31">
        <f>IF(LEN(_DB_Exercises!BC286)&gt;0,_DB_Exercises!BC286,"")</f>
        <v>0</v>
      </c>
      <c r="AI199" s="31">
        <f>IF(LEN(_DB_Exercises!BD286)&gt;0,_DB_Exercises!BD286,"")</f>
        <v>0</v>
      </c>
      <c r="AJ199" s="31">
        <f>IF(LEN(_DB_Exercises!BE286)&gt;0,_DB_Exercises!BE286,"")</f>
        <v>0</v>
      </c>
      <c r="AK199" s="31">
        <f>IF(LEN(_DB_Exercises!BF286)&gt;0,_DB_Exercises!BF286,"")</f>
        <v>0</v>
      </c>
      <c r="AL199" s="31">
        <f>IF(LEN(_DB_Exercises!BG286)&gt;0,_DB_Exercises!BG286,"")</f>
        <v>-1</v>
      </c>
      <c r="AM199" s="31">
        <f>IF(LEN(_DB_Exercises!BH286)&gt;0,_DB_Exercises!BH286,"")</f>
        <v>-1</v>
      </c>
      <c r="AN199" s="31">
        <f>IF(LEN(_DB_Exercises!BI286)&gt;0,_DB_Exercises!BI286,"")</f>
        <v>-2</v>
      </c>
      <c r="AO199" s="31">
        <f>IF(LEN(_DB_Exercises!BJ286)&gt;0,_DB_Exercises!BJ286,"")</f>
        <v>-2</v>
      </c>
      <c r="AP199" s="31">
        <f>IF(LEN(_DB_Exercises!BK286)&gt;0,_DB_Exercises!BK286,"")</f>
        <v>-2</v>
      </c>
      <c r="AQ199" s="31">
        <f>IF(LEN(_DB_Exercises!BL286)&gt;0,_DB_Exercises!BL286,"")</f>
        <v>-3</v>
      </c>
      <c r="AR199" s="31">
        <f>IF(LEN(_DB_Exercises!BM286)&gt;0,_DB_Exercises!BM286,"")</f>
        <v>-3</v>
      </c>
    </row>
    <row r="200" spans="1:44" x14ac:dyDescent="0.25">
      <c r="A200" s="11">
        <f>IF(LEN(_DB_Exercises!A287)&gt;0,_DB_Exercises!A287,"")</f>
        <v>8009</v>
      </c>
      <c r="B200" s="14" t="str">
        <f>IF(LEN(_DB_Exercises!K287)&gt;0,_DB_Exercises!K287,"")</f>
        <v>5 Shots Bunker 18m 20 yds</v>
      </c>
      <c r="C200" s="31">
        <f>IF(LEN(_DB_Exercises!X287)&gt;0,_DB_Exercises!X287,"")</f>
        <v>4</v>
      </c>
      <c r="D200" s="31">
        <f>IF(LEN(_DB_Exercises!Y287)&gt;0,_DB_Exercises!Y287,"")</f>
        <v>4</v>
      </c>
      <c r="E200" s="31">
        <f>IF(LEN(_DB_Exercises!Z287)&gt;0,_DB_Exercises!Z287,"")</f>
        <v>4</v>
      </c>
      <c r="F200" s="31">
        <f>IF(LEN(_DB_Exercises!AA287)&gt;0,_DB_Exercises!AA287,"")</f>
        <v>3</v>
      </c>
      <c r="G200" s="31">
        <f>IF(LEN(_DB_Exercises!AB287)&gt;0,_DB_Exercises!AB287,"")</f>
        <v>3</v>
      </c>
      <c r="H200" s="31">
        <f>IF(LEN(_DB_Exercises!AC287)&gt;0,_DB_Exercises!AC287,"")</f>
        <v>3</v>
      </c>
      <c r="I200" s="31">
        <f>IF(LEN(_DB_Exercises!AD287)&gt;0,_DB_Exercises!AD287,"")</f>
        <v>3</v>
      </c>
      <c r="J200" s="31">
        <f>IF(LEN(_DB_Exercises!AE287)&gt;0,_DB_Exercises!AE287,"")</f>
        <v>2</v>
      </c>
      <c r="K200" s="31">
        <f>IF(LEN(_DB_Exercises!AF287)&gt;0,_DB_Exercises!AF287,"")</f>
        <v>2</v>
      </c>
      <c r="L200" s="31">
        <f>IF(LEN(_DB_Exercises!AG287)&gt;0,_DB_Exercises!AG287,"")</f>
        <v>2</v>
      </c>
      <c r="M200" s="31">
        <f>IF(LEN(_DB_Exercises!AH287)&gt;0,_DB_Exercises!AH287,"")</f>
        <v>2</v>
      </c>
      <c r="N200" s="31">
        <f>IF(LEN(_DB_Exercises!AI287)&gt;0,_DB_Exercises!AI287,"")</f>
        <v>1</v>
      </c>
      <c r="O200" s="31">
        <f>IF(LEN(_DB_Exercises!AJ287)&gt;0,_DB_Exercises!AJ287,"")</f>
        <v>1</v>
      </c>
      <c r="P200" s="31">
        <f>IF(LEN(_DB_Exercises!AK287)&gt;0,_DB_Exercises!AK287,"")</f>
        <v>1</v>
      </c>
      <c r="Q200" s="31">
        <f>IF(LEN(_DB_Exercises!AL287)&gt;0,_DB_Exercises!AL287,"")</f>
        <v>1</v>
      </c>
      <c r="R200" s="31">
        <f>IF(LEN(_DB_Exercises!AM287)&gt;0,_DB_Exercises!AM287,"")</f>
        <v>1</v>
      </c>
      <c r="S200" s="31">
        <f>IF(LEN(_DB_Exercises!AN287)&gt;0,_DB_Exercises!AN287,"")</f>
        <v>1</v>
      </c>
      <c r="T200" s="31">
        <f>IF(LEN(_DB_Exercises!AO287)&gt;0,_DB_Exercises!AO287,"")</f>
        <v>1</v>
      </c>
      <c r="U200" s="31">
        <f>IF(LEN(_DB_Exercises!AP287)&gt;0,_DB_Exercises!AP287,"")</f>
        <v>0</v>
      </c>
      <c r="V200" s="31">
        <f>IF(LEN(_DB_Exercises!AQ287)&gt;0,_DB_Exercises!AQ287,"")</f>
        <v>0</v>
      </c>
      <c r="W200" s="31">
        <f>IF(LEN(_DB_Exercises!AR287)&gt;0,_DB_Exercises!AR287,"")</f>
        <v>0</v>
      </c>
      <c r="X200" s="31">
        <f>IF(LEN(_DB_Exercises!AS287)&gt;0,_DB_Exercises!AS287,"")</f>
        <v>0</v>
      </c>
      <c r="Y200" s="31">
        <f>IF(LEN(_DB_Exercises!AT287)&gt;0,_DB_Exercises!AT287,"")</f>
        <v>0</v>
      </c>
      <c r="Z200" s="31">
        <f>IF(LEN(_DB_Exercises!AU287)&gt;0,_DB_Exercises!AU287,"")</f>
        <v>0</v>
      </c>
      <c r="AA200" s="31">
        <f>IF(LEN(_DB_Exercises!AV287)&gt;0,_DB_Exercises!AV287,"")</f>
        <v>0</v>
      </c>
      <c r="AB200" s="31">
        <f>IF(LEN(_DB_Exercises!AW287)&gt;0,_DB_Exercises!AW287,"")</f>
        <v>0</v>
      </c>
      <c r="AC200" s="31">
        <f>IF(LEN(_DB_Exercises!AX287)&gt;0,_DB_Exercises!AX287,"")</f>
        <v>0</v>
      </c>
      <c r="AD200" s="31">
        <f>IF(LEN(_DB_Exercises!AY287)&gt;0,_DB_Exercises!AY287,"")</f>
        <v>0</v>
      </c>
      <c r="AE200" s="31">
        <f>IF(LEN(_DB_Exercises!AZ287)&gt;0,_DB_Exercises!AZ287,"")</f>
        <v>0</v>
      </c>
      <c r="AF200" s="31">
        <f>IF(LEN(_DB_Exercises!BA287)&gt;0,_DB_Exercises!BA287,"")</f>
        <v>-1</v>
      </c>
      <c r="AG200" s="31">
        <f>IF(LEN(_DB_Exercises!BB287)&gt;0,_DB_Exercises!BB287,"")</f>
        <v>-1</v>
      </c>
      <c r="AH200" s="31">
        <f>IF(LEN(_DB_Exercises!BC287)&gt;0,_DB_Exercises!BC287,"")</f>
        <v>-1</v>
      </c>
      <c r="AI200" s="31">
        <f>IF(LEN(_DB_Exercises!BD287)&gt;0,_DB_Exercises!BD287,"")</f>
        <v>-1</v>
      </c>
      <c r="AJ200" s="31">
        <f>IF(LEN(_DB_Exercises!BE287)&gt;0,_DB_Exercises!BE287,"")</f>
        <v>-1</v>
      </c>
      <c r="AK200" s="31">
        <f>IF(LEN(_DB_Exercises!BF287)&gt;0,_DB_Exercises!BF287,"")</f>
        <v>-1</v>
      </c>
      <c r="AL200" s="31">
        <f>IF(LEN(_DB_Exercises!BG287)&gt;0,_DB_Exercises!BG287,"")</f>
        <v>-2</v>
      </c>
      <c r="AM200" s="31">
        <f>IF(LEN(_DB_Exercises!BH287)&gt;0,_DB_Exercises!BH287,"")</f>
        <v>-2</v>
      </c>
      <c r="AN200" s="31">
        <f>IF(LEN(_DB_Exercises!BI287)&gt;0,_DB_Exercises!BI287,"")</f>
        <v>-2</v>
      </c>
      <c r="AO200" s="31">
        <f>IF(LEN(_DB_Exercises!BJ287)&gt;0,_DB_Exercises!BJ287,"")</f>
        <v>-2</v>
      </c>
      <c r="AP200" s="31">
        <f>IF(LEN(_DB_Exercises!BK287)&gt;0,_DB_Exercises!BK287,"")</f>
        <v>-2</v>
      </c>
      <c r="AQ200" s="31">
        <f>IF(LEN(_DB_Exercises!BL287)&gt;0,_DB_Exercises!BL287,"")</f>
        <v>-3</v>
      </c>
      <c r="AR200" s="31">
        <f>IF(LEN(_DB_Exercises!BM287)&gt;0,_DB_Exercises!BM287,"")</f>
        <v>-3</v>
      </c>
    </row>
    <row r="201" spans="1:44" x14ac:dyDescent="0.25">
      <c r="A201" s="11">
        <f>IF(LEN(_DB_Exercises!A288)&gt;0,_DB_Exercises!A288,"")</f>
        <v>8010</v>
      </c>
      <c r="B201" s="14" t="str">
        <f>IF(LEN(_DB_Exercises!K288)&gt;0,_DB_Exercises!K288,"")</f>
        <v>5 Shots Bunker 27m 30 yds</v>
      </c>
      <c r="C201" s="31">
        <f>IF(LEN(_DB_Exercises!X288)&gt;0,_DB_Exercises!X288,"")</f>
        <v>3</v>
      </c>
      <c r="D201" s="31">
        <f>IF(LEN(_DB_Exercises!Y288)&gt;0,_DB_Exercises!Y288,"")</f>
        <v>3</v>
      </c>
      <c r="E201" s="31">
        <f>IF(LEN(_DB_Exercises!Z288)&gt;0,_DB_Exercises!Z288,"")</f>
        <v>3</v>
      </c>
      <c r="F201" s="31">
        <f>IF(LEN(_DB_Exercises!AA288)&gt;0,_DB_Exercises!AA288,"")</f>
        <v>3</v>
      </c>
      <c r="G201" s="31">
        <f>IF(LEN(_DB_Exercises!AB288)&gt;0,_DB_Exercises!AB288,"")</f>
        <v>2</v>
      </c>
      <c r="H201" s="31">
        <f>IF(LEN(_DB_Exercises!AC288)&gt;0,_DB_Exercises!AC288,"")</f>
        <v>2</v>
      </c>
      <c r="I201" s="31">
        <f>IF(LEN(_DB_Exercises!AD288)&gt;0,_DB_Exercises!AD288,"")</f>
        <v>2</v>
      </c>
      <c r="J201" s="31">
        <f>IF(LEN(_DB_Exercises!AE288)&gt;0,_DB_Exercises!AE288,"")</f>
        <v>2</v>
      </c>
      <c r="K201" s="31">
        <f>IF(LEN(_DB_Exercises!AF288)&gt;0,_DB_Exercises!AF288,"")</f>
        <v>2</v>
      </c>
      <c r="L201" s="31">
        <f>IF(LEN(_DB_Exercises!AG288)&gt;0,_DB_Exercises!AG288,"")</f>
        <v>2</v>
      </c>
      <c r="M201" s="31">
        <f>IF(LEN(_DB_Exercises!AH288)&gt;0,_DB_Exercises!AH288,"")</f>
        <v>1</v>
      </c>
      <c r="N201" s="31">
        <f>IF(LEN(_DB_Exercises!AI288)&gt;0,_DB_Exercises!AI288,"")</f>
        <v>1</v>
      </c>
      <c r="O201" s="31">
        <f>IF(LEN(_DB_Exercises!AJ288)&gt;0,_DB_Exercises!AJ288,"")</f>
        <v>1</v>
      </c>
      <c r="P201" s="31">
        <f>IF(LEN(_DB_Exercises!AK288)&gt;0,_DB_Exercises!AK288,"")</f>
        <v>1</v>
      </c>
      <c r="Q201" s="31">
        <f>IF(LEN(_DB_Exercises!AL288)&gt;0,_DB_Exercises!AL288,"")</f>
        <v>1</v>
      </c>
      <c r="R201" s="31">
        <f>IF(LEN(_DB_Exercises!AM288)&gt;0,_DB_Exercises!AM288,"")</f>
        <v>1</v>
      </c>
      <c r="S201" s="31">
        <f>IF(LEN(_DB_Exercises!AN288)&gt;0,_DB_Exercises!AN288,"")</f>
        <v>0</v>
      </c>
      <c r="T201" s="31">
        <f>IF(LEN(_DB_Exercises!AO288)&gt;0,_DB_Exercises!AO288,"")</f>
        <v>0</v>
      </c>
      <c r="U201" s="31">
        <f>IF(LEN(_DB_Exercises!AP288)&gt;0,_DB_Exercises!AP288,"")</f>
        <v>0</v>
      </c>
      <c r="V201" s="31">
        <f>IF(LEN(_DB_Exercises!AQ288)&gt;0,_DB_Exercises!AQ288,"")</f>
        <v>0</v>
      </c>
      <c r="W201" s="31">
        <f>IF(LEN(_DB_Exercises!AR288)&gt;0,_DB_Exercises!AR288,"")</f>
        <v>0</v>
      </c>
      <c r="X201" s="31">
        <f>IF(LEN(_DB_Exercises!AS288)&gt;0,_DB_Exercises!AS288,"")</f>
        <v>-1</v>
      </c>
      <c r="Y201" s="31">
        <f>IF(LEN(_DB_Exercises!AT288)&gt;0,_DB_Exercises!AT288,"")</f>
        <v>-1</v>
      </c>
      <c r="Z201" s="31">
        <f>IF(LEN(_DB_Exercises!AU288)&gt;0,_DB_Exercises!AU288,"")</f>
        <v>-1</v>
      </c>
      <c r="AA201" s="31">
        <f>IF(LEN(_DB_Exercises!AV288)&gt;0,_DB_Exercises!AV288,"")</f>
        <v>-1</v>
      </c>
      <c r="AB201" s="31">
        <f>IF(LEN(_DB_Exercises!AW288)&gt;0,_DB_Exercises!AW288,"")</f>
        <v>-1</v>
      </c>
      <c r="AC201" s="31">
        <f>IF(LEN(_DB_Exercises!AX288)&gt;0,_DB_Exercises!AX288,"")</f>
        <v>-1</v>
      </c>
      <c r="AD201" s="31">
        <f>IF(LEN(_DB_Exercises!AY288)&gt;0,_DB_Exercises!AY288,"")</f>
        <v>-1</v>
      </c>
      <c r="AE201" s="31">
        <f>IF(LEN(_DB_Exercises!AZ288)&gt;0,_DB_Exercises!AZ288,"")</f>
        <v>-2</v>
      </c>
      <c r="AF201" s="31">
        <f>IF(LEN(_DB_Exercises!BA288)&gt;0,_DB_Exercises!BA288,"")</f>
        <v>-2</v>
      </c>
      <c r="AG201" s="31">
        <f>IF(LEN(_DB_Exercises!BB288)&gt;0,_DB_Exercises!BB288,"")</f>
        <v>-2</v>
      </c>
      <c r="AH201" s="31">
        <f>IF(LEN(_DB_Exercises!BC288)&gt;0,_DB_Exercises!BC288,"")</f>
        <v>-2</v>
      </c>
      <c r="AI201" s="31">
        <f>IF(LEN(_DB_Exercises!BD288)&gt;0,_DB_Exercises!BD288,"")</f>
        <v>-2</v>
      </c>
      <c r="AJ201" s="31">
        <f>IF(LEN(_DB_Exercises!BE288)&gt;0,_DB_Exercises!BE288,"")</f>
        <v>-2</v>
      </c>
      <c r="AK201" s="31">
        <f>IF(LEN(_DB_Exercises!BF288)&gt;0,_DB_Exercises!BF288,"")</f>
        <v>-2</v>
      </c>
      <c r="AL201" s="31">
        <f>IF(LEN(_DB_Exercises!BG288)&gt;0,_DB_Exercises!BG288,"")</f>
        <v>-2</v>
      </c>
      <c r="AM201" s="31">
        <f>IF(LEN(_DB_Exercises!BH288)&gt;0,_DB_Exercises!BH288,"")</f>
        <v>-3</v>
      </c>
      <c r="AN201" s="31">
        <f>IF(LEN(_DB_Exercises!BI288)&gt;0,_DB_Exercises!BI288,"")</f>
        <v>-3</v>
      </c>
      <c r="AO201" s="31">
        <f>IF(LEN(_DB_Exercises!BJ288)&gt;0,_DB_Exercises!BJ288,"")</f>
        <v>-3</v>
      </c>
      <c r="AP201" s="31">
        <f>IF(LEN(_DB_Exercises!BK288)&gt;0,_DB_Exercises!BK288,"")</f>
        <v>-4</v>
      </c>
      <c r="AQ201" s="31">
        <f>IF(LEN(_DB_Exercises!BL288)&gt;0,_DB_Exercises!BL288,"")</f>
        <v>-4</v>
      </c>
      <c r="AR201" s="31">
        <f>IF(LEN(_DB_Exercises!BM288)&gt;0,_DB_Exercises!BM288,"")</f>
        <v>-4</v>
      </c>
    </row>
    <row r="202" spans="1:44" x14ac:dyDescent="0.25">
      <c r="A202" s="11">
        <f>IF(LEN(_DB_Exercises!A289)&gt;0,_DB_Exercises!A289,"")</f>
        <v>8011</v>
      </c>
      <c r="B202" s="14" t="str">
        <f>IF(LEN(_DB_Exercises!K289)&gt;0,_DB_Exercises!K289,"")</f>
        <v>5 Shots Bunker 37m 40 yds</v>
      </c>
      <c r="C202" s="31">
        <f>IF(LEN(_DB_Exercises!X289)&gt;0,_DB_Exercises!X289,"")</f>
        <v>1</v>
      </c>
      <c r="D202" s="31">
        <f>IF(LEN(_DB_Exercises!Y289)&gt;0,_DB_Exercises!Y289,"")</f>
        <v>1</v>
      </c>
      <c r="E202" s="31">
        <f>IF(LEN(_DB_Exercises!Z289)&gt;0,_DB_Exercises!Z289,"")</f>
        <v>1</v>
      </c>
      <c r="F202" s="31">
        <f>IF(LEN(_DB_Exercises!AA289)&gt;0,_DB_Exercises!AA289,"")</f>
        <v>1</v>
      </c>
      <c r="G202" s="31">
        <f>IF(LEN(_DB_Exercises!AB289)&gt;0,_DB_Exercises!AB289,"")</f>
        <v>1</v>
      </c>
      <c r="H202" s="31">
        <f>IF(LEN(_DB_Exercises!AC289)&gt;0,_DB_Exercises!AC289,"")</f>
        <v>1</v>
      </c>
      <c r="I202" s="31">
        <f>IF(LEN(_DB_Exercises!AD289)&gt;0,_DB_Exercises!AD289,"")</f>
        <v>1</v>
      </c>
      <c r="J202" s="31">
        <f>IF(LEN(_DB_Exercises!AE289)&gt;0,_DB_Exercises!AE289,"")</f>
        <v>0</v>
      </c>
      <c r="K202" s="31">
        <f>IF(LEN(_DB_Exercises!AF289)&gt;0,_DB_Exercises!AF289,"")</f>
        <v>0</v>
      </c>
      <c r="L202" s="31">
        <f>IF(LEN(_DB_Exercises!AG289)&gt;0,_DB_Exercises!AG289,"")</f>
        <v>0</v>
      </c>
      <c r="M202" s="31">
        <f>IF(LEN(_DB_Exercises!AH289)&gt;0,_DB_Exercises!AH289,"")</f>
        <v>0</v>
      </c>
      <c r="N202" s="31">
        <f>IF(LEN(_DB_Exercises!AI289)&gt;0,_DB_Exercises!AI289,"")</f>
        <v>0</v>
      </c>
      <c r="O202" s="31">
        <f>IF(LEN(_DB_Exercises!AJ289)&gt;0,_DB_Exercises!AJ289,"")</f>
        <v>0</v>
      </c>
      <c r="P202" s="31">
        <f>IF(LEN(_DB_Exercises!AK289)&gt;0,_DB_Exercises!AK289,"")</f>
        <v>0</v>
      </c>
      <c r="Q202" s="31">
        <f>IF(LEN(_DB_Exercises!AL289)&gt;0,_DB_Exercises!AL289,"")</f>
        <v>0</v>
      </c>
      <c r="R202" s="31">
        <f>IF(LEN(_DB_Exercises!AM289)&gt;0,_DB_Exercises!AM289,"")</f>
        <v>0</v>
      </c>
      <c r="S202" s="31">
        <f>IF(LEN(_DB_Exercises!AN289)&gt;0,_DB_Exercises!AN289,"")</f>
        <v>-1</v>
      </c>
      <c r="T202" s="31">
        <f>IF(LEN(_DB_Exercises!AO289)&gt;0,_DB_Exercises!AO289,"")</f>
        <v>-1</v>
      </c>
      <c r="U202" s="31">
        <f>IF(LEN(_DB_Exercises!AP289)&gt;0,_DB_Exercises!AP289,"")</f>
        <v>-1</v>
      </c>
      <c r="V202" s="31">
        <f>IF(LEN(_DB_Exercises!AQ289)&gt;0,_DB_Exercises!AQ289,"")</f>
        <v>-1</v>
      </c>
      <c r="W202" s="31">
        <f>IF(LEN(_DB_Exercises!AR289)&gt;0,_DB_Exercises!AR289,"")</f>
        <v>-1</v>
      </c>
      <c r="X202" s="31">
        <f>IF(LEN(_DB_Exercises!AS289)&gt;0,_DB_Exercises!AS289,"")</f>
        <v>-2</v>
      </c>
      <c r="Y202" s="31">
        <f>IF(LEN(_DB_Exercises!AT289)&gt;0,_DB_Exercises!AT289,"")</f>
        <v>-2</v>
      </c>
      <c r="Z202" s="31">
        <f>IF(LEN(_DB_Exercises!AU289)&gt;0,_DB_Exercises!AU289,"")</f>
        <v>-2</v>
      </c>
      <c r="AA202" s="31">
        <f>IF(LEN(_DB_Exercises!AV289)&gt;0,_DB_Exercises!AV289,"")</f>
        <v>-2</v>
      </c>
      <c r="AB202" s="31">
        <f>IF(LEN(_DB_Exercises!AW289)&gt;0,_DB_Exercises!AW289,"")</f>
        <v>-2</v>
      </c>
      <c r="AC202" s="31">
        <f>IF(LEN(_DB_Exercises!AX289)&gt;0,_DB_Exercises!AX289,"")</f>
        <v>-2</v>
      </c>
      <c r="AD202" s="31">
        <f>IF(LEN(_DB_Exercises!AY289)&gt;0,_DB_Exercises!AY289,"")</f>
        <v>-2</v>
      </c>
      <c r="AE202" s="31">
        <f>IF(LEN(_DB_Exercises!AZ289)&gt;0,_DB_Exercises!AZ289,"")</f>
        <v>-2</v>
      </c>
      <c r="AF202" s="31">
        <f>IF(LEN(_DB_Exercises!BA289)&gt;0,_DB_Exercises!BA289,"")</f>
        <v>-3</v>
      </c>
      <c r="AG202" s="31">
        <f>IF(LEN(_DB_Exercises!BB289)&gt;0,_DB_Exercises!BB289,"")</f>
        <v>-3</v>
      </c>
      <c r="AH202" s="31">
        <f>IF(LEN(_DB_Exercises!BC289)&gt;0,_DB_Exercises!BC289,"")</f>
        <v>-3</v>
      </c>
      <c r="AI202" s="31">
        <f>IF(LEN(_DB_Exercises!BD289)&gt;0,_DB_Exercises!BD289,"")</f>
        <v>-3</v>
      </c>
      <c r="AJ202" s="31">
        <f>IF(LEN(_DB_Exercises!BE289)&gt;0,_DB_Exercises!BE289,"")</f>
        <v>-3</v>
      </c>
      <c r="AK202" s="31">
        <f>IF(LEN(_DB_Exercises!BF289)&gt;0,_DB_Exercises!BF289,"")</f>
        <v>-3</v>
      </c>
      <c r="AL202" s="31">
        <f>IF(LEN(_DB_Exercises!BG289)&gt;0,_DB_Exercises!BG289,"")</f>
        <v>-4</v>
      </c>
      <c r="AM202" s="31">
        <f>IF(LEN(_DB_Exercises!BH289)&gt;0,_DB_Exercises!BH289,"")</f>
        <v>-4</v>
      </c>
      <c r="AN202" s="31">
        <f>IF(LEN(_DB_Exercises!BI289)&gt;0,_DB_Exercises!BI289,"")</f>
        <v>-4</v>
      </c>
      <c r="AO202" s="31">
        <f>IF(LEN(_DB_Exercises!BJ289)&gt;0,_DB_Exercises!BJ289,"")</f>
        <v>-4</v>
      </c>
      <c r="AP202" s="31">
        <f>IF(LEN(_DB_Exercises!BK289)&gt;0,_DB_Exercises!BK289,"")</f>
        <v>-4</v>
      </c>
      <c r="AQ202" s="31">
        <f>IF(LEN(_DB_Exercises!BL289)&gt;0,_DB_Exercises!BL289,"")</f>
        <v>-5</v>
      </c>
      <c r="AR202" s="31">
        <f>IF(LEN(_DB_Exercises!BM289)&gt;0,_DB_Exercises!BM289,"")</f>
        <v>-5</v>
      </c>
    </row>
    <row r="203" spans="1:44" x14ac:dyDescent="0.25">
      <c r="A203" s="11">
        <f>IF(LEN(_DB_Exercises!A290)&gt;0,_DB_Exercises!A290,"")</f>
        <v>8012</v>
      </c>
      <c r="B203" s="14" t="str">
        <f>IF(LEN(_DB_Exercises!K290)&gt;0,_DB_Exercises!K290,"")</f>
        <v>Drei ist Trumpf im Grünbunker</v>
      </c>
      <c r="C203" s="31" t="str">
        <f>IF(LEN(_DB_Exercises!X290)&gt;0,_DB_Exercises!X290,"")</f>
        <v/>
      </c>
      <c r="D203" s="31" t="str">
        <f>IF(LEN(_DB_Exercises!Y290)&gt;0,_DB_Exercises!Y290,"")</f>
        <v/>
      </c>
      <c r="E203" s="31" t="str">
        <f>IF(LEN(_DB_Exercises!Z290)&gt;0,_DB_Exercises!Z290,"")</f>
        <v/>
      </c>
      <c r="F203" s="31" t="str">
        <f>IF(LEN(_DB_Exercises!AA290)&gt;0,_DB_Exercises!AA290,"")</f>
        <v/>
      </c>
      <c r="G203" s="31" t="str">
        <f>IF(LEN(_DB_Exercises!AB290)&gt;0,_DB_Exercises!AB290,"")</f>
        <v/>
      </c>
      <c r="H203" s="31" t="str">
        <f>IF(LEN(_DB_Exercises!AC290)&gt;0,_DB_Exercises!AC290,"")</f>
        <v/>
      </c>
      <c r="I203" s="31" t="str">
        <f>IF(LEN(_DB_Exercises!AD290)&gt;0,_DB_Exercises!AD290,"")</f>
        <v/>
      </c>
      <c r="J203" s="31" t="str">
        <f>IF(LEN(_DB_Exercises!AE290)&gt;0,_DB_Exercises!AE290,"")</f>
        <v/>
      </c>
      <c r="K203" s="31" t="str">
        <f>IF(LEN(_DB_Exercises!AF290)&gt;0,_DB_Exercises!AF290,"")</f>
        <v/>
      </c>
      <c r="L203" s="31" t="str">
        <f>IF(LEN(_DB_Exercises!AG290)&gt;0,_DB_Exercises!AG290,"")</f>
        <v/>
      </c>
      <c r="M203" s="31" t="str">
        <f>IF(LEN(_DB_Exercises!AH290)&gt;0,_DB_Exercises!AH290,"")</f>
        <v/>
      </c>
      <c r="N203" s="31" t="str">
        <f>IF(LEN(_DB_Exercises!AI290)&gt;0,_DB_Exercises!AI290,"")</f>
        <v/>
      </c>
      <c r="O203" s="31" t="str">
        <f>IF(LEN(_DB_Exercises!AJ290)&gt;0,_DB_Exercises!AJ290,"")</f>
        <v/>
      </c>
      <c r="P203" s="31" t="str">
        <f>IF(LEN(_DB_Exercises!AK290)&gt;0,_DB_Exercises!AK290,"")</f>
        <v/>
      </c>
      <c r="Q203" s="31" t="str">
        <f>IF(LEN(_DB_Exercises!AL290)&gt;0,_DB_Exercises!AL290,"")</f>
        <v/>
      </c>
      <c r="R203" s="31" t="str">
        <f>IF(LEN(_DB_Exercises!AM290)&gt;0,_DB_Exercises!AM290,"")</f>
        <v/>
      </c>
      <c r="S203" s="31" t="str">
        <f>IF(LEN(_DB_Exercises!AN290)&gt;0,_DB_Exercises!AN290,"")</f>
        <v/>
      </c>
      <c r="T203" s="31" t="str">
        <f>IF(LEN(_DB_Exercises!AO290)&gt;0,_DB_Exercises!AO290,"")</f>
        <v/>
      </c>
      <c r="U203" s="31" t="str">
        <f>IF(LEN(_DB_Exercises!AP290)&gt;0,_DB_Exercises!AP290,"")</f>
        <v/>
      </c>
      <c r="V203" s="31" t="str">
        <f>IF(LEN(_DB_Exercises!AQ290)&gt;0,_DB_Exercises!AQ290,"")</f>
        <v/>
      </c>
      <c r="W203" s="31" t="str">
        <f>IF(LEN(_DB_Exercises!AR290)&gt;0,_DB_Exercises!AR290,"")</f>
        <v/>
      </c>
      <c r="X203" s="31" t="str">
        <f>IF(LEN(_DB_Exercises!AS290)&gt;0,_DB_Exercises!AS290,"")</f>
        <v/>
      </c>
      <c r="Y203" s="31" t="str">
        <f>IF(LEN(_DB_Exercises!AT290)&gt;0,_DB_Exercises!AT290,"")</f>
        <v/>
      </c>
      <c r="Z203" s="31" t="str">
        <f>IF(LEN(_DB_Exercises!AU290)&gt;0,_DB_Exercises!AU290,"")</f>
        <v/>
      </c>
      <c r="AA203" s="31" t="str">
        <f>IF(LEN(_DB_Exercises!AV290)&gt;0,_DB_Exercises!AV290,"")</f>
        <v/>
      </c>
      <c r="AB203" s="31" t="str">
        <f>IF(LEN(_DB_Exercises!AW290)&gt;0,_DB_Exercises!AW290,"")</f>
        <v/>
      </c>
      <c r="AC203" s="31" t="str">
        <f>IF(LEN(_DB_Exercises!AX290)&gt;0,_DB_Exercises!AX290,"")</f>
        <v/>
      </c>
      <c r="AD203" s="31" t="str">
        <f>IF(LEN(_DB_Exercises!AY290)&gt;0,_DB_Exercises!AY290,"")</f>
        <v/>
      </c>
      <c r="AE203" s="31" t="str">
        <f>IF(LEN(_DB_Exercises!AZ290)&gt;0,_DB_Exercises!AZ290,"")</f>
        <v/>
      </c>
      <c r="AF203" s="31" t="str">
        <f>IF(LEN(_DB_Exercises!BA290)&gt;0,_DB_Exercises!BA290,"")</f>
        <v/>
      </c>
      <c r="AG203" s="31" t="str">
        <f>IF(LEN(_DB_Exercises!BB290)&gt;0,_DB_Exercises!BB290,"")</f>
        <v/>
      </c>
      <c r="AH203" s="31" t="str">
        <f>IF(LEN(_DB_Exercises!BC290)&gt;0,_DB_Exercises!BC290,"")</f>
        <v/>
      </c>
      <c r="AI203" s="31" t="str">
        <f>IF(LEN(_DB_Exercises!BD290)&gt;0,_DB_Exercises!BD290,"")</f>
        <v/>
      </c>
      <c r="AJ203" s="31" t="str">
        <f>IF(LEN(_DB_Exercises!BE290)&gt;0,_DB_Exercises!BE290,"")</f>
        <v/>
      </c>
      <c r="AK203" s="31" t="str">
        <f>IF(LEN(_DB_Exercises!BF290)&gt;0,_DB_Exercises!BF290,"")</f>
        <v/>
      </c>
      <c r="AL203" s="31" t="str">
        <f>IF(LEN(_DB_Exercises!BG290)&gt;0,_DB_Exercises!BG290,"")</f>
        <v/>
      </c>
      <c r="AM203" s="31" t="str">
        <f>IF(LEN(_DB_Exercises!BH290)&gt;0,_DB_Exercises!BH290,"")</f>
        <v/>
      </c>
      <c r="AN203" s="31" t="str">
        <f>IF(LEN(_DB_Exercises!BI290)&gt;0,_DB_Exercises!BI290,"")</f>
        <v/>
      </c>
      <c r="AO203" s="31" t="str">
        <f>IF(LEN(_DB_Exercises!BJ290)&gt;0,_DB_Exercises!BJ290,"")</f>
        <v/>
      </c>
      <c r="AP203" s="31" t="str">
        <f>IF(LEN(_DB_Exercises!BK290)&gt;0,_DB_Exercises!BK290,"")</f>
        <v/>
      </c>
      <c r="AQ203" s="31" t="str">
        <f>IF(LEN(_DB_Exercises!BL290)&gt;0,_DB_Exercises!BL290,"")</f>
        <v/>
      </c>
      <c r="AR203" s="31" t="str">
        <f>IF(LEN(_DB_Exercises!BM290)&gt;0,_DB_Exercises!BM290,"")</f>
        <v/>
      </c>
    </row>
    <row r="204" spans="1:44" x14ac:dyDescent="0.25">
      <c r="A204" s="11">
        <f>IF(LEN(_DB_Exercises!A291)&gt;0,_DB_Exercises!A291,"")</f>
        <v>8013</v>
      </c>
      <c r="B204" s="14" t="str">
        <f>IF(LEN(_DB_Exercises!K291)&gt;0,_DB_Exercises!K291,"")</f>
        <v>Drei ist Trumpf im Grünbunker</v>
      </c>
      <c r="C204" s="31" t="str">
        <f>IF(LEN(_DB_Exercises!X291)&gt;0,_DB_Exercises!X291,"")</f>
        <v/>
      </c>
      <c r="D204" s="31" t="str">
        <f>IF(LEN(_DB_Exercises!Y291)&gt;0,_DB_Exercises!Y291,"")</f>
        <v/>
      </c>
      <c r="E204" s="31" t="str">
        <f>IF(LEN(_DB_Exercises!Z291)&gt;0,_DB_Exercises!Z291,"")</f>
        <v/>
      </c>
      <c r="F204" s="31" t="str">
        <f>IF(LEN(_DB_Exercises!AA291)&gt;0,_DB_Exercises!AA291,"")</f>
        <v/>
      </c>
      <c r="G204" s="31" t="str">
        <f>IF(LEN(_DB_Exercises!AB291)&gt;0,_DB_Exercises!AB291,"")</f>
        <v/>
      </c>
      <c r="H204" s="31" t="str">
        <f>IF(LEN(_DB_Exercises!AC291)&gt;0,_DB_Exercises!AC291,"")</f>
        <v/>
      </c>
      <c r="I204" s="31" t="str">
        <f>IF(LEN(_DB_Exercises!AD291)&gt;0,_DB_Exercises!AD291,"")</f>
        <v/>
      </c>
      <c r="J204" s="31" t="str">
        <f>IF(LEN(_DB_Exercises!AE291)&gt;0,_DB_Exercises!AE291,"")</f>
        <v/>
      </c>
      <c r="K204" s="31" t="str">
        <f>IF(LEN(_DB_Exercises!AF291)&gt;0,_DB_Exercises!AF291,"")</f>
        <v/>
      </c>
      <c r="L204" s="31" t="str">
        <f>IF(LEN(_DB_Exercises!AG291)&gt;0,_DB_Exercises!AG291,"")</f>
        <v/>
      </c>
      <c r="M204" s="31" t="str">
        <f>IF(LEN(_DB_Exercises!AH291)&gt;0,_DB_Exercises!AH291,"")</f>
        <v/>
      </c>
      <c r="N204" s="31" t="str">
        <f>IF(LEN(_DB_Exercises!AI291)&gt;0,_DB_Exercises!AI291,"")</f>
        <v/>
      </c>
      <c r="O204" s="31" t="str">
        <f>IF(LEN(_DB_Exercises!AJ291)&gt;0,_DB_Exercises!AJ291,"")</f>
        <v/>
      </c>
      <c r="P204" s="31" t="str">
        <f>IF(LEN(_DB_Exercises!AK291)&gt;0,_DB_Exercises!AK291,"")</f>
        <v/>
      </c>
      <c r="Q204" s="31" t="str">
        <f>IF(LEN(_DB_Exercises!AL291)&gt;0,_DB_Exercises!AL291,"")</f>
        <v/>
      </c>
      <c r="R204" s="31" t="str">
        <f>IF(LEN(_DB_Exercises!AM291)&gt;0,_DB_Exercises!AM291,"")</f>
        <v/>
      </c>
      <c r="S204" s="31" t="str">
        <f>IF(LEN(_DB_Exercises!AN291)&gt;0,_DB_Exercises!AN291,"")</f>
        <v/>
      </c>
      <c r="T204" s="31" t="str">
        <f>IF(LEN(_DB_Exercises!AO291)&gt;0,_DB_Exercises!AO291,"")</f>
        <v/>
      </c>
      <c r="U204" s="31" t="str">
        <f>IF(LEN(_DB_Exercises!AP291)&gt;0,_DB_Exercises!AP291,"")</f>
        <v/>
      </c>
      <c r="V204" s="31" t="str">
        <f>IF(LEN(_DB_Exercises!AQ291)&gt;0,_DB_Exercises!AQ291,"")</f>
        <v/>
      </c>
      <c r="W204" s="31" t="str">
        <f>IF(LEN(_DB_Exercises!AR291)&gt;0,_DB_Exercises!AR291,"")</f>
        <v/>
      </c>
      <c r="X204" s="31" t="str">
        <f>IF(LEN(_DB_Exercises!AS291)&gt;0,_DB_Exercises!AS291,"")</f>
        <v/>
      </c>
      <c r="Y204" s="31" t="str">
        <f>IF(LEN(_DB_Exercises!AT291)&gt;0,_DB_Exercises!AT291,"")</f>
        <v/>
      </c>
      <c r="Z204" s="31" t="str">
        <f>IF(LEN(_DB_Exercises!AU291)&gt;0,_DB_Exercises!AU291,"")</f>
        <v/>
      </c>
      <c r="AA204" s="31" t="str">
        <f>IF(LEN(_DB_Exercises!AV291)&gt;0,_DB_Exercises!AV291,"")</f>
        <v/>
      </c>
      <c r="AB204" s="31" t="str">
        <f>IF(LEN(_DB_Exercises!AW291)&gt;0,_DB_Exercises!AW291,"")</f>
        <v/>
      </c>
      <c r="AC204" s="31" t="str">
        <f>IF(LEN(_DB_Exercises!AX291)&gt;0,_DB_Exercises!AX291,"")</f>
        <v/>
      </c>
      <c r="AD204" s="31" t="str">
        <f>IF(LEN(_DB_Exercises!AY291)&gt;0,_DB_Exercises!AY291,"")</f>
        <v/>
      </c>
      <c r="AE204" s="31" t="str">
        <f>IF(LEN(_DB_Exercises!AZ291)&gt;0,_DB_Exercises!AZ291,"")</f>
        <v/>
      </c>
      <c r="AF204" s="31" t="str">
        <f>IF(LEN(_DB_Exercises!BA291)&gt;0,_DB_Exercises!BA291,"")</f>
        <v/>
      </c>
      <c r="AG204" s="31" t="str">
        <f>IF(LEN(_DB_Exercises!BB291)&gt;0,_DB_Exercises!BB291,"")</f>
        <v/>
      </c>
      <c r="AH204" s="31" t="str">
        <f>IF(LEN(_DB_Exercises!BC291)&gt;0,_DB_Exercises!BC291,"")</f>
        <v/>
      </c>
      <c r="AI204" s="31" t="str">
        <f>IF(LEN(_DB_Exercises!BD291)&gt;0,_DB_Exercises!BD291,"")</f>
        <v/>
      </c>
      <c r="AJ204" s="31" t="str">
        <f>IF(LEN(_DB_Exercises!BE291)&gt;0,_DB_Exercises!BE291,"")</f>
        <v/>
      </c>
      <c r="AK204" s="31" t="str">
        <f>IF(LEN(_DB_Exercises!BF291)&gt;0,_DB_Exercises!BF291,"")</f>
        <v/>
      </c>
      <c r="AL204" s="31" t="str">
        <f>IF(LEN(_DB_Exercises!BG291)&gt;0,_DB_Exercises!BG291,"")</f>
        <v/>
      </c>
      <c r="AM204" s="31" t="str">
        <f>IF(LEN(_DB_Exercises!BH291)&gt;0,_DB_Exercises!BH291,"")</f>
        <v/>
      </c>
      <c r="AN204" s="31" t="str">
        <f>IF(LEN(_DB_Exercises!BI291)&gt;0,_DB_Exercises!BI291,"")</f>
        <v/>
      </c>
      <c r="AO204" s="31" t="str">
        <f>IF(LEN(_DB_Exercises!BJ291)&gt;0,_DB_Exercises!BJ291,"")</f>
        <v/>
      </c>
      <c r="AP204" s="31" t="str">
        <f>IF(LEN(_DB_Exercises!BK291)&gt;0,_DB_Exercises!BK291,"")</f>
        <v/>
      </c>
      <c r="AQ204" s="31" t="str">
        <f>IF(LEN(_DB_Exercises!BL291)&gt;0,_DB_Exercises!BL291,"")</f>
        <v/>
      </c>
      <c r="AR204" s="31" t="str">
        <f>IF(LEN(_DB_Exercises!BM291)&gt;0,_DB_Exercises!BM291,"")</f>
        <v/>
      </c>
    </row>
    <row r="205" spans="1:44" x14ac:dyDescent="0.25">
      <c r="A205" s="11">
        <f>IF(LEN(_DB_Exercises!A296)&gt;0,_DB_Exercises!A296,"")</f>
        <v>8500</v>
      </c>
      <c r="B205" s="14" t="str">
        <f>IF(LEN(_DB_Exercises!K296)&gt;0,_DB_Exercises!K296,"")</f>
        <v>Normal 18 Holes</v>
      </c>
      <c r="C205" s="31" t="str">
        <f>IF(LEN(_DB_Exercises!X296)&gt;0,_DB_Exercises!X296,"")</f>
        <v/>
      </c>
      <c r="D205" s="31" t="str">
        <f>IF(LEN(_DB_Exercises!Y296)&gt;0,_DB_Exercises!Y296,"")</f>
        <v/>
      </c>
      <c r="E205" s="31" t="str">
        <f>IF(LEN(_DB_Exercises!Z296)&gt;0,_DB_Exercises!Z296,"")</f>
        <v/>
      </c>
      <c r="F205" s="31" t="str">
        <f>IF(LEN(_DB_Exercises!AA296)&gt;0,_DB_Exercises!AA296,"")</f>
        <v/>
      </c>
      <c r="G205" s="31" t="str">
        <f>IF(LEN(_DB_Exercises!AB296)&gt;0,_DB_Exercises!AB296,"")</f>
        <v/>
      </c>
      <c r="H205" s="31" t="str">
        <f>IF(LEN(_DB_Exercises!AC296)&gt;0,_DB_Exercises!AC296,"")</f>
        <v/>
      </c>
      <c r="I205" s="31" t="str">
        <f>IF(LEN(_DB_Exercises!AD296)&gt;0,_DB_Exercises!AD296,"")</f>
        <v/>
      </c>
      <c r="J205" s="31" t="str">
        <f>IF(LEN(_DB_Exercises!AE296)&gt;0,_DB_Exercises!AE296,"")</f>
        <v/>
      </c>
      <c r="K205" s="31" t="str">
        <f>IF(LEN(_DB_Exercises!AF296)&gt;0,_DB_Exercises!AF296,"")</f>
        <v/>
      </c>
      <c r="L205" s="31" t="str">
        <f>IF(LEN(_DB_Exercises!AG296)&gt;0,_DB_Exercises!AG296,"")</f>
        <v/>
      </c>
      <c r="M205" s="31" t="str">
        <f>IF(LEN(_DB_Exercises!AH296)&gt;0,_DB_Exercises!AH296,"")</f>
        <v/>
      </c>
      <c r="N205" s="31" t="str">
        <f>IF(LEN(_DB_Exercises!AI296)&gt;0,_DB_Exercises!AI296,"")</f>
        <v/>
      </c>
      <c r="O205" s="31" t="str">
        <f>IF(LEN(_DB_Exercises!AJ296)&gt;0,_DB_Exercises!AJ296,"")</f>
        <v/>
      </c>
      <c r="P205" s="31" t="str">
        <f>IF(LEN(_DB_Exercises!AK296)&gt;0,_DB_Exercises!AK296,"")</f>
        <v/>
      </c>
      <c r="Q205" s="31" t="str">
        <f>IF(LEN(_DB_Exercises!AL296)&gt;0,_DB_Exercises!AL296,"")</f>
        <v/>
      </c>
      <c r="R205" s="31" t="str">
        <f>IF(LEN(_DB_Exercises!AM296)&gt;0,_DB_Exercises!AM296,"")</f>
        <v/>
      </c>
      <c r="S205" s="31" t="str">
        <f>IF(LEN(_DB_Exercises!AN296)&gt;0,_DB_Exercises!AN296,"")</f>
        <v/>
      </c>
      <c r="T205" s="31" t="str">
        <f>IF(LEN(_DB_Exercises!AO296)&gt;0,_DB_Exercises!AO296,"")</f>
        <v/>
      </c>
      <c r="U205" s="31" t="str">
        <f>IF(LEN(_DB_Exercises!AP296)&gt;0,_DB_Exercises!AP296,"")</f>
        <v/>
      </c>
      <c r="V205" s="31" t="str">
        <f>IF(LEN(_DB_Exercises!AQ296)&gt;0,_DB_Exercises!AQ296,"")</f>
        <v/>
      </c>
      <c r="W205" s="31" t="str">
        <f>IF(LEN(_DB_Exercises!AR296)&gt;0,_DB_Exercises!AR296,"")</f>
        <v/>
      </c>
      <c r="X205" s="31" t="str">
        <f>IF(LEN(_DB_Exercises!AS296)&gt;0,_DB_Exercises!AS296,"")</f>
        <v/>
      </c>
      <c r="Y205" s="31" t="str">
        <f>IF(LEN(_DB_Exercises!AT296)&gt;0,_DB_Exercises!AT296,"")</f>
        <v/>
      </c>
      <c r="Z205" s="31" t="str">
        <f>IF(LEN(_DB_Exercises!AU296)&gt;0,_DB_Exercises!AU296,"")</f>
        <v/>
      </c>
      <c r="AA205" s="31" t="str">
        <f>IF(LEN(_DB_Exercises!AV296)&gt;0,_DB_Exercises!AV296,"")</f>
        <v/>
      </c>
      <c r="AB205" s="31" t="str">
        <f>IF(LEN(_DB_Exercises!AW296)&gt;0,_DB_Exercises!AW296,"")</f>
        <v/>
      </c>
      <c r="AC205" s="31" t="str">
        <f>IF(LEN(_DB_Exercises!AX296)&gt;0,_DB_Exercises!AX296,"")</f>
        <v/>
      </c>
      <c r="AD205" s="31" t="str">
        <f>IF(LEN(_DB_Exercises!AY296)&gt;0,_DB_Exercises!AY296,"")</f>
        <v/>
      </c>
      <c r="AE205" s="31" t="str">
        <f>IF(LEN(_DB_Exercises!AZ296)&gt;0,_DB_Exercises!AZ296,"")</f>
        <v/>
      </c>
      <c r="AF205" s="31" t="str">
        <f>IF(LEN(_DB_Exercises!BA296)&gt;0,_DB_Exercises!BA296,"")</f>
        <v/>
      </c>
      <c r="AG205" s="31" t="str">
        <f>IF(LEN(_DB_Exercises!BB296)&gt;0,_DB_Exercises!BB296,"")</f>
        <v/>
      </c>
      <c r="AH205" s="31" t="str">
        <f>IF(LEN(_DB_Exercises!BC296)&gt;0,_DB_Exercises!BC296,"")</f>
        <v/>
      </c>
      <c r="AI205" s="31" t="str">
        <f>IF(LEN(_DB_Exercises!BD296)&gt;0,_DB_Exercises!BD296,"")</f>
        <v/>
      </c>
      <c r="AJ205" s="31" t="str">
        <f>IF(LEN(_DB_Exercises!BE296)&gt;0,_DB_Exercises!BE296,"")</f>
        <v/>
      </c>
      <c r="AK205" s="31" t="str">
        <f>IF(LEN(_DB_Exercises!BF296)&gt;0,_DB_Exercises!BF296,"")</f>
        <v/>
      </c>
      <c r="AL205" s="31" t="str">
        <f>IF(LEN(_DB_Exercises!BG296)&gt;0,_DB_Exercises!BG296,"")</f>
        <v/>
      </c>
      <c r="AM205" s="31" t="str">
        <f>IF(LEN(_DB_Exercises!BH296)&gt;0,_DB_Exercises!BH296,"")</f>
        <v/>
      </c>
      <c r="AN205" s="31" t="str">
        <f>IF(LEN(_DB_Exercises!BI296)&gt;0,_DB_Exercises!BI296,"")</f>
        <v/>
      </c>
      <c r="AO205" s="31" t="str">
        <f>IF(LEN(_DB_Exercises!BJ296)&gt;0,_DB_Exercises!BJ296,"")</f>
        <v/>
      </c>
      <c r="AP205" s="31" t="str">
        <f>IF(LEN(_DB_Exercises!BK296)&gt;0,_DB_Exercises!BK296,"")</f>
        <v/>
      </c>
      <c r="AQ205" s="31" t="str">
        <f>IF(LEN(_DB_Exercises!BL296)&gt;0,_DB_Exercises!BL296,"")</f>
        <v/>
      </c>
      <c r="AR205" s="31" t="str">
        <f>IF(LEN(_DB_Exercises!BM296)&gt;0,_DB_Exercises!BM296,"")</f>
        <v/>
      </c>
    </row>
    <row r="206" spans="1:44" x14ac:dyDescent="0.25">
      <c r="A206" s="11">
        <f>IF(LEN(_DB_Exercises!A320)&gt;0,_DB_Exercises!A320,"")</f>
        <v>9502</v>
      </c>
      <c r="B206" s="14" t="str">
        <f>IF(LEN(_DB_Exercises!K320)&gt;0,_DB_Exercises!K320,"")</f>
        <v/>
      </c>
      <c r="C206" s="31" t="str">
        <f>IF(LEN(_DB_Exercises!X320)&gt;0,_DB_Exercises!X320,"")</f>
        <v/>
      </c>
      <c r="D206" s="31" t="str">
        <f>IF(LEN(_DB_Exercises!Y320)&gt;0,_DB_Exercises!Y320,"")</f>
        <v/>
      </c>
      <c r="E206" s="31" t="str">
        <f>IF(LEN(_DB_Exercises!Z320)&gt;0,_DB_Exercises!Z320,"")</f>
        <v/>
      </c>
      <c r="F206" s="31" t="str">
        <f>IF(LEN(_DB_Exercises!AA320)&gt;0,_DB_Exercises!AA320,"")</f>
        <v/>
      </c>
      <c r="G206" s="31" t="str">
        <f>IF(LEN(_DB_Exercises!AB320)&gt;0,_DB_Exercises!AB320,"")</f>
        <v/>
      </c>
      <c r="H206" s="31" t="str">
        <f>IF(LEN(_DB_Exercises!AC320)&gt;0,_DB_Exercises!AC320,"")</f>
        <v/>
      </c>
      <c r="I206" s="31" t="str">
        <f>IF(LEN(_DB_Exercises!AD320)&gt;0,_DB_Exercises!AD320,"")</f>
        <v/>
      </c>
      <c r="J206" s="31" t="str">
        <f>IF(LEN(_DB_Exercises!AE320)&gt;0,_DB_Exercises!AE320,"")</f>
        <v/>
      </c>
      <c r="K206" s="31" t="str">
        <f>IF(LEN(_DB_Exercises!AF320)&gt;0,_DB_Exercises!AF320,"")</f>
        <v/>
      </c>
      <c r="L206" s="31" t="str">
        <f>IF(LEN(_DB_Exercises!AG320)&gt;0,_DB_Exercises!AG320,"")</f>
        <v/>
      </c>
      <c r="M206" s="31" t="str">
        <f>IF(LEN(_DB_Exercises!AH320)&gt;0,_DB_Exercises!AH320,"")</f>
        <v/>
      </c>
      <c r="N206" s="31" t="str">
        <f>IF(LEN(_DB_Exercises!AI320)&gt;0,_DB_Exercises!AI320,"")</f>
        <v/>
      </c>
      <c r="O206" s="31" t="str">
        <f>IF(LEN(_DB_Exercises!AJ320)&gt;0,_DB_Exercises!AJ320,"")</f>
        <v/>
      </c>
      <c r="P206" s="31" t="str">
        <f>IF(LEN(_DB_Exercises!AK320)&gt;0,_DB_Exercises!AK320,"")</f>
        <v/>
      </c>
      <c r="Q206" s="31" t="str">
        <f>IF(LEN(_DB_Exercises!AL320)&gt;0,_DB_Exercises!AL320,"")</f>
        <v/>
      </c>
      <c r="R206" s="31" t="str">
        <f>IF(LEN(_DB_Exercises!AM320)&gt;0,_DB_Exercises!AM320,"")</f>
        <v/>
      </c>
      <c r="S206" s="31" t="str">
        <f>IF(LEN(_DB_Exercises!AN320)&gt;0,_DB_Exercises!AN320,"")</f>
        <v/>
      </c>
      <c r="T206" s="31" t="str">
        <f>IF(LEN(_DB_Exercises!AO320)&gt;0,_DB_Exercises!AO320,"")</f>
        <v/>
      </c>
      <c r="U206" s="31" t="str">
        <f>IF(LEN(_DB_Exercises!AP320)&gt;0,_DB_Exercises!AP320,"")</f>
        <v/>
      </c>
      <c r="V206" s="31" t="str">
        <f>IF(LEN(_DB_Exercises!AQ320)&gt;0,_DB_Exercises!AQ320,"")</f>
        <v/>
      </c>
      <c r="W206" s="31" t="str">
        <f>IF(LEN(_DB_Exercises!AR320)&gt;0,_DB_Exercises!AR320,"")</f>
        <v/>
      </c>
      <c r="X206" s="31" t="str">
        <f>IF(LEN(_DB_Exercises!AS320)&gt;0,_DB_Exercises!AS320,"")</f>
        <v/>
      </c>
      <c r="Y206" s="31" t="str">
        <f>IF(LEN(_DB_Exercises!AT320)&gt;0,_DB_Exercises!AT320,"")</f>
        <v/>
      </c>
      <c r="Z206" s="31" t="str">
        <f>IF(LEN(_DB_Exercises!AU320)&gt;0,_DB_Exercises!AU320,"")</f>
        <v/>
      </c>
      <c r="AA206" s="31" t="str">
        <f>IF(LEN(_DB_Exercises!AV320)&gt;0,_DB_Exercises!AV320,"")</f>
        <v/>
      </c>
      <c r="AB206" s="31" t="str">
        <f>IF(LEN(_DB_Exercises!AW320)&gt;0,_DB_Exercises!AW320,"")</f>
        <v/>
      </c>
      <c r="AC206" s="31" t="str">
        <f>IF(LEN(_DB_Exercises!AX320)&gt;0,_DB_Exercises!AX320,"")</f>
        <v/>
      </c>
      <c r="AD206" s="31" t="str">
        <f>IF(LEN(_DB_Exercises!AY320)&gt;0,_DB_Exercises!AY320,"")</f>
        <v/>
      </c>
      <c r="AE206" s="31" t="str">
        <f>IF(LEN(_DB_Exercises!AZ320)&gt;0,_DB_Exercises!AZ320,"")</f>
        <v/>
      </c>
      <c r="AF206" s="31" t="str">
        <f>IF(LEN(_DB_Exercises!BA320)&gt;0,_DB_Exercises!BA320,"")</f>
        <v/>
      </c>
      <c r="AG206" s="31" t="str">
        <f>IF(LEN(_DB_Exercises!BB320)&gt;0,_DB_Exercises!BB320,"")</f>
        <v/>
      </c>
      <c r="AH206" s="31" t="str">
        <f>IF(LEN(_DB_Exercises!BC320)&gt;0,_DB_Exercises!BC320,"")</f>
        <v/>
      </c>
      <c r="AI206" s="31" t="str">
        <f>IF(LEN(_DB_Exercises!BD320)&gt;0,_DB_Exercises!BD320,"")</f>
        <v/>
      </c>
      <c r="AJ206" s="31" t="str">
        <f>IF(LEN(_DB_Exercises!BE320)&gt;0,_DB_Exercises!BE320,"")</f>
        <v/>
      </c>
      <c r="AK206" s="31" t="str">
        <f>IF(LEN(_DB_Exercises!BF320)&gt;0,_DB_Exercises!BF320,"")</f>
        <v/>
      </c>
      <c r="AL206" s="31" t="str">
        <f>IF(LEN(_DB_Exercises!BG320)&gt;0,_DB_Exercises!BG320,"")</f>
        <v/>
      </c>
      <c r="AM206" s="31" t="str">
        <f>IF(LEN(_DB_Exercises!BH320)&gt;0,_DB_Exercises!BH320,"")</f>
        <v/>
      </c>
      <c r="AN206" s="31" t="str">
        <f>IF(LEN(_DB_Exercises!BI320)&gt;0,_DB_Exercises!BI320,"")</f>
        <v/>
      </c>
      <c r="AO206" s="31" t="str">
        <f>IF(LEN(_DB_Exercises!BJ320)&gt;0,_DB_Exercises!BJ320,"")</f>
        <v/>
      </c>
      <c r="AP206" s="31" t="str">
        <f>IF(LEN(_DB_Exercises!BK320)&gt;0,_DB_Exercises!BK320,"")</f>
        <v/>
      </c>
      <c r="AQ206" s="31" t="str">
        <f>IF(LEN(_DB_Exercises!BL320)&gt;0,_DB_Exercises!BL320,"")</f>
        <v/>
      </c>
      <c r="AR206" s="31" t="str">
        <f>IF(LEN(_DB_Exercises!BM320)&gt;0,_DB_Exercises!BM320,"")</f>
        <v/>
      </c>
    </row>
    <row r="207" spans="1:44" x14ac:dyDescent="0.25">
      <c r="A207" s="11">
        <f>IF(LEN(_DB_Exercises!A321)&gt;0,_DB_Exercises!A321,"")</f>
        <v>9800</v>
      </c>
      <c r="B207" s="14" t="str">
        <f>IF(LEN(_DB_Exercises!K321)&gt;0,_DB_Exercises!K321,"")</f>
        <v>Deckenball</v>
      </c>
      <c r="C207" s="31" t="str">
        <f>IF(LEN(_DB_Exercises!X321)&gt;0,_DB_Exercises!X321,"")</f>
        <v/>
      </c>
      <c r="D207" s="31" t="str">
        <f>IF(LEN(_DB_Exercises!Y321)&gt;0,_DB_Exercises!Y321,"")</f>
        <v/>
      </c>
      <c r="E207" s="31" t="str">
        <f>IF(LEN(_DB_Exercises!Z321)&gt;0,_DB_Exercises!Z321,"")</f>
        <v/>
      </c>
      <c r="F207" s="31" t="str">
        <f>IF(LEN(_DB_Exercises!AA321)&gt;0,_DB_Exercises!AA321,"")</f>
        <v/>
      </c>
      <c r="G207" s="31" t="str">
        <f>IF(LEN(_DB_Exercises!AB321)&gt;0,_DB_Exercises!AB321,"")</f>
        <v/>
      </c>
      <c r="H207" s="31" t="str">
        <f>IF(LEN(_DB_Exercises!AC321)&gt;0,_DB_Exercises!AC321,"")</f>
        <v/>
      </c>
      <c r="I207" s="31" t="str">
        <f>IF(LEN(_DB_Exercises!AD321)&gt;0,_DB_Exercises!AD321,"")</f>
        <v/>
      </c>
      <c r="J207" s="31" t="str">
        <f>IF(LEN(_DB_Exercises!AE321)&gt;0,_DB_Exercises!AE321,"")</f>
        <v/>
      </c>
      <c r="K207" s="31" t="str">
        <f>IF(LEN(_DB_Exercises!AF321)&gt;0,_DB_Exercises!AF321,"")</f>
        <v/>
      </c>
      <c r="L207" s="31" t="str">
        <f>IF(LEN(_DB_Exercises!AG321)&gt;0,_DB_Exercises!AG321,"")</f>
        <v/>
      </c>
      <c r="M207" s="31" t="str">
        <f>IF(LEN(_DB_Exercises!AH321)&gt;0,_DB_Exercises!AH321,"")</f>
        <v/>
      </c>
      <c r="N207" s="31" t="str">
        <f>IF(LEN(_DB_Exercises!AI321)&gt;0,_DB_Exercises!AI321,"")</f>
        <v/>
      </c>
      <c r="O207" s="31" t="str">
        <f>IF(LEN(_DB_Exercises!AJ321)&gt;0,_DB_Exercises!AJ321,"")</f>
        <v/>
      </c>
      <c r="P207" s="31" t="str">
        <f>IF(LEN(_DB_Exercises!AK321)&gt;0,_DB_Exercises!AK321,"")</f>
        <v/>
      </c>
      <c r="Q207" s="31" t="str">
        <f>IF(LEN(_DB_Exercises!AL321)&gt;0,_DB_Exercises!AL321,"")</f>
        <v/>
      </c>
      <c r="R207" s="31" t="str">
        <f>IF(LEN(_DB_Exercises!AM321)&gt;0,_DB_Exercises!AM321,"")</f>
        <v/>
      </c>
      <c r="S207" s="31" t="str">
        <f>IF(LEN(_DB_Exercises!AN321)&gt;0,_DB_Exercises!AN321,"")</f>
        <v/>
      </c>
      <c r="T207" s="31" t="str">
        <f>IF(LEN(_DB_Exercises!AO321)&gt;0,_DB_Exercises!AO321,"")</f>
        <v/>
      </c>
      <c r="U207" s="31" t="str">
        <f>IF(LEN(_DB_Exercises!AP321)&gt;0,_DB_Exercises!AP321,"")</f>
        <v/>
      </c>
      <c r="V207" s="31" t="str">
        <f>IF(LEN(_DB_Exercises!AQ321)&gt;0,_DB_Exercises!AQ321,"")</f>
        <v/>
      </c>
      <c r="W207" s="31" t="str">
        <f>IF(LEN(_DB_Exercises!AR321)&gt;0,_DB_Exercises!AR321,"")</f>
        <v/>
      </c>
      <c r="X207" s="31" t="str">
        <f>IF(LEN(_DB_Exercises!AS321)&gt;0,_DB_Exercises!AS321,"")</f>
        <v/>
      </c>
      <c r="Y207" s="31" t="str">
        <f>IF(LEN(_DB_Exercises!AT321)&gt;0,_DB_Exercises!AT321,"")</f>
        <v/>
      </c>
      <c r="Z207" s="31" t="str">
        <f>IF(LEN(_DB_Exercises!AU321)&gt;0,_DB_Exercises!AU321,"")</f>
        <v/>
      </c>
      <c r="AA207" s="31" t="str">
        <f>IF(LEN(_DB_Exercises!AV321)&gt;0,_DB_Exercises!AV321,"")</f>
        <v/>
      </c>
      <c r="AB207" s="31" t="str">
        <f>IF(LEN(_DB_Exercises!AW321)&gt;0,_DB_Exercises!AW321,"")</f>
        <v/>
      </c>
      <c r="AC207" s="31" t="str">
        <f>IF(LEN(_DB_Exercises!AX321)&gt;0,_DB_Exercises!AX321,"")</f>
        <v/>
      </c>
      <c r="AD207" s="31" t="str">
        <f>IF(LEN(_DB_Exercises!AY321)&gt;0,_DB_Exercises!AY321,"")</f>
        <v/>
      </c>
      <c r="AE207" s="31" t="str">
        <f>IF(LEN(_DB_Exercises!AZ321)&gt;0,_DB_Exercises!AZ321,"")</f>
        <v/>
      </c>
      <c r="AF207" s="31" t="str">
        <f>IF(LEN(_DB_Exercises!BA321)&gt;0,_DB_Exercises!BA321,"")</f>
        <v/>
      </c>
      <c r="AG207" s="31" t="str">
        <f>IF(LEN(_DB_Exercises!BB321)&gt;0,_DB_Exercises!BB321,"")</f>
        <v/>
      </c>
      <c r="AH207" s="31" t="str">
        <f>IF(LEN(_DB_Exercises!BC321)&gt;0,_DB_Exercises!BC321,"")</f>
        <v/>
      </c>
      <c r="AI207" s="31" t="str">
        <f>IF(LEN(_DB_Exercises!BD321)&gt;0,_DB_Exercises!BD321,"")</f>
        <v/>
      </c>
      <c r="AJ207" s="31" t="str">
        <f>IF(LEN(_DB_Exercises!BE321)&gt;0,_DB_Exercises!BE321,"")</f>
        <v/>
      </c>
      <c r="AK207" s="31" t="str">
        <f>IF(LEN(_DB_Exercises!BF321)&gt;0,_DB_Exercises!BF321,"")</f>
        <v/>
      </c>
      <c r="AL207" s="31" t="str">
        <f>IF(LEN(_DB_Exercises!BG321)&gt;0,_DB_Exercises!BG321,"")</f>
        <v/>
      </c>
      <c r="AM207" s="31" t="str">
        <f>IF(LEN(_DB_Exercises!BH321)&gt;0,_DB_Exercises!BH321,"")</f>
        <v/>
      </c>
      <c r="AN207" s="31" t="str">
        <f>IF(LEN(_DB_Exercises!BI321)&gt;0,_DB_Exercises!BI321,"")</f>
        <v/>
      </c>
      <c r="AO207" s="31" t="str">
        <f>IF(LEN(_DB_Exercises!BJ321)&gt;0,_DB_Exercises!BJ321,"")</f>
        <v/>
      </c>
      <c r="AP207" s="31" t="str">
        <f>IF(LEN(_DB_Exercises!BK321)&gt;0,_DB_Exercises!BK321,"")</f>
        <v/>
      </c>
      <c r="AQ207" s="31" t="str">
        <f>IF(LEN(_DB_Exercises!BL321)&gt;0,_DB_Exercises!BL321,"")</f>
        <v/>
      </c>
      <c r="AR207" s="31" t="str">
        <f>IF(LEN(_DB_Exercises!BM321)&gt;0,_DB_Exercises!BM321,"")</f>
        <v/>
      </c>
    </row>
    <row r="208" spans="1:44" x14ac:dyDescent="0.25">
      <c r="A208" s="11" t="str">
        <f>IF(LEN(_DB_Exercises!A322)&gt;0,_DB_Exercises!A322,"")</f>
        <v/>
      </c>
      <c r="B208" s="14" t="str">
        <f>IF(LEN(_DB_Exercises!K322)&gt;0,_DB_Exercises!K322,"")</f>
        <v/>
      </c>
      <c r="C208" s="31" t="str">
        <f>IF(LEN(_DB_Exercises!X322)&gt;0,_DB_Exercises!X322,"")</f>
        <v/>
      </c>
      <c r="D208" s="31" t="str">
        <f>IF(LEN(_DB_Exercises!Y322)&gt;0,_DB_Exercises!Y322,"")</f>
        <v/>
      </c>
      <c r="E208" s="31" t="str">
        <f>IF(LEN(_DB_Exercises!Z322)&gt;0,_DB_Exercises!Z322,"")</f>
        <v/>
      </c>
      <c r="F208" s="31" t="str">
        <f>IF(LEN(_DB_Exercises!AA322)&gt;0,_DB_Exercises!AA322,"")</f>
        <v/>
      </c>
      <c r="G208" s="31" t="str">
        <f>IF(LEN(_DB_Exercises!AB322)&gt;0,_DB_Exercises!AB322,"")</f>
        <v/>
      </c>
      <c r="H208" s="31" t="str">
        <f>IF(LEN(_DB_Exercises!AC322)&gt;0,_DB_Exercises!AC322,"")</f>
        <v/>
      </c>
      <c r="I208" s="31" t="str">
        <f>IF(LEN(_DB_Exercises!AD322)&gt;0,_DB_Exercises!AD322,"")</f>
        <v/>
      </c>
      <c r="J208" s="31" t="str">
        <f>IF(LEN(_DB_Exercises!AE322)&gt;0,_DB_Exercises!AE322,"")</f>
        <v/>
      </c>
      <c r="K208" s="31" t="str">
        <f>IF(LEN(_DB_Exercises!AF322)&gt;0,_DB_Exercises!AF322,"")</f>
        <v/>
      </c>
      <c r="L208" s="31" t="str">
        <f>IF(LEN(_DB_Exercises!AG322)&gt;0,_DB_Exercises!AG322,"")</f>
        <v/>
      </c>
      <c r="M208" s="31" t="str">
        <f>IF(LEN(_DB_Exercises!AH322)&gt;0,_DB_Exercises!AH322,"")</f>
        <v/>
      </c>
      <c r="N208" s="31" t="str">
        <f>IF(LEN(_DB_Exercises!AI322)&gt;0,_DB_Exercises!AI322,"")</f>
        <v/>
      </c>
      <c r="O208" s="31" t="str">
        <f>IF(LEN(_DB_Exercises!AJ322)&gt;0,_DB_Exercises!AJ322,"")</f>
        <v/>
      </c>
      <c r="P208" s="31" t="str">
        <f>IF(LEN(_DB_Exercises!AK322)&gt;0,_DB_Exercises!AK322,"")</f>
        <v/>
      </c>
      <c r="Q208" s="31" t="str">
        <f>IF(LEN(_DB_Exercises!AL322)&gt;0,_DB_Exercises!AL322,"")</f>
        <v/>
      </c>
      <c r="R208" s="31" t="str">
        <f>IF(LEN(_DB_Exercises!AM322)&gt;0,_DB_Exercises!AM322,"")</f>
        <v/>
      </c>
      <c r="S208" s="31" t="str">
        <f>IF(LEN(_DB_Exercises!AN322)&gt;0,_DB_Exercises!AN322,"")</f>
        <v/>
      </c>
      <c r="T208" s="31" t="str">
        <f>IF(LEN(_DB_Exercises!AO322)&gt;0,_DB_Exercises!AO322,"")</f>
        <v/>
      </c>
      <c r="U208" s="31" t="str">
        <f>IF(LEN(_DB_Exercises!AP322)&gt;0,_DB_Exercises!AP322,"")</f>
        <v/>
      </c>
      <c r="V208" s="31" t="str">
        <f>IF(LEN(_DB_Exercises!AQ322)&gt;0,_DB_Exercises!AQ322,"")</f>
        <v/>
      </c>
      <c r="W208" s="31" t="str">
        <f>IF(LEN(_DB_Exercises!AR322)&gt;0,_DB_Exercises!AR322,"")</f>
        <v/>
      </c>
      <c r="X208" s="31" t="str">
        <f>IF(LEN(_DB_Exercises!AS322)&gt;0,_DB_Exercises!AS322,"")</f>
        <v/>
      </c>
      <c r="Y208" s="31" t="str">
        <f>IF(LEN(_DB_Exercises!AT322)&gt;0,_DB_Exercises!AT322,"")</f>
        <v/>
      </c>
      <c r="Z208" s="31" t="str">
        <f>IF(LEN(_DB_Exercises!AU322)&gt;0,_DB_Exercises!AU322,"")</f>
        <v/>
      </c>
      <c r="AA208" s="31" t="str">
        <f>IF(LEN(_DB_Exercises!AV322)&gt;0,_DB_Exercises!AV322,"")</f>
        <v/>
      </c>
      <c r="AB208" s="31" t="str">
        <f>IF(LEN(_DB_Exercises!AW322)&gt;0,_DB_Exercises!AW322,"")</f>
        <v/>
      </c>
      <c r="AC208" s="31" t="str">
        <f>IF(LEN(_DB_Exercises!AX322)&gt;0,_DB_Exercises!AX322,"")</f>
        <v/>
      </c>
      <c r="AD208" s="31" t="str">
        <f>IF(LEN(_DB_Exercises!AY322)&gt;0,_DB_Exercises!AY322,"")</f>
        <v/>
      </c>
      <c r="AE208" s="31" t="str">
        <f>IF(LEN(_DB_Exercises!AZ322)&gt;0,_DB_Exercises!AZ322,"")</f>
        <v/>
      </c>
      <c r="AF208" s="31" t="str">
        <f>IF(LEN(_DB_Exercises!BA322)&gt;0,_DB_Exercises!BA322,"")</f>
        <v/>
      </c>
      <c r="AG208" s="31" t="str">
        <f>IF(LEN(_DB_Exercises!BB322)&gt;0,_DB_Exercises!BB322,"")</f>
        <v/>
      </c>
      <c r="AH208" s="31" t="str">
        <f>IF(LEN(_DB_Exercises!BC322)&gt;0,_DB_Exercises!BC322,"")</f>
        <v/>
      </c>
      <c r="AI208" s="31" t="str">
        <f>IF(LEN(_DB_Exercises!BD322)&gt;0,_DB_Exercises!BD322,"")</f>
        <v/>
      </c>
      <c r="AJ208" s="31" t="str">
        <f>IF(LEN(_DB_Exercises!BE322)&gt;0,_DB_Exercises!BE322,"")</f>
        <v/>
      </c>
      <c r="AK208" s="31" t="str">
        <f>IF(LEN(_DB_Exercises!BF322)&gt;0,_DB_Exercises!BF322,"")</f>
        <v/>
      </c>
      <c r="AL208" s="31" t="str">
        <f>IF(LEN(_DB_Exercises!BG322)&gt;0,_DB_Exercises!BG322,"")</f>
        <v/>
      </c>
      <c r="AM208" s="31" t="str">
        <f>IF(LEN(_DB_Exercises!BH322)&gt;0,_DB_Exercises!BH322,"")</f>
        <v/>
      </c>
      <c r="AN208" s="31" t="str">
        <f>IF(LEN(_DB_Exercises!BI322)&gt;0,_DB_Exercises!BI322,"")</f>
        <v/>
      </c>
      <c r="AO208" s="31" t="str">
        <f>IF(LEN(_DB_Exercises!BJ322)&gt;0,_DB_Exercises!BJ322,"")</f>
        <v/>
      </c>
      <c r="AP208" s="31" t="str">
        <f>IF(LEN(_DB_Exercises!BK322)&gt;0,_DB_Exercises!BK322,"")</f>
        <v/>
      </c>
      <c r="AQ208" s="31" t="str">
        <f>IF(LEN(_DB_Exercises!BL322)&gt;0,_DB_Exercises!BL322,"")</f>
        <v/>
      </c>
      <c r="AR208" s="31" t="str">
        <f>IF(LEN(_DB_Exercises!BM322)&gt;0,_DB_Exercises!BM322,"")</f>
        <v/>
      </c>
    </row>
    <row r="209" spans="1:44" x14ac:dyDescent="0.25">
      <c r="A209" s="11" t="str">
        <f>IF(LEN(_DB_Exercises!A323)&gt;0,_DB_Exercises!A323,"")</f>
        <v/>
      </c>
      <c r="B209" s="14" t="str">
        <f>IF(LEN(_DB_Exercises!K323)&gt;0,_DB_Exercises!K323,"")</f>
        <v/>
      </c>
      <c r="C209" s="31" t="str">
        <f>IF(LEN(_DB_Exercises!X323)&gt;0,_DB_Exercises!X323,"")</f>
        <v/>
      </c>
      <c r="D209" s="31" t="str">
        <f>IF(LEN(_DB_Exercises!Y323)&gt;0,_DB_Exercises!Y323,"")</f>
        <v/>
      </c>
      <c r="E209" s="31" t="str">
        <f>IF(LEN(_DB_Exercises!Z323)&gt;0,_DB_Exercises!Z323,"")</f>
        <v/>
      </c>
      <c r="F209" s="31" t="str">
        <f>IF(LEN(_DB_Exercises!AA323)&gt;0,_DB_Exercises!AA323,"")</f>
        <v/>
      </c>
      <c r="G209" s="31" t="str">
        <f>IF(LEN(_DB_Exercises!AB323)&gt;0,_DB_Exercises!AB323,"")</f>
        <v/>
      </c>
      <c r="H209" s="31" t="str">
        <f>IF(LEN(_DB_Exercises!AC323)&gt;0,_DB_Exercises!AC323,"")</f>
        <v/>
      </c>
      <c r="I209" s="31" t="str">
        <f>IF(LEN(_DB_Exercises!AD323)&gt;0,_DB_Exercises!AD323,"")</f>
        <v/>
      </c>
      <c r="J209" s="31" t="str">
        <f>IF(LEN(_DB_Exercises!AE323)&gt;0,_DB_Exercises!AE323,"")</f>
        <v/>
      </c>
      <c r="K209" s="31" t="str">
        <f>IF(LEN(_DB_Exercises!AF323)&gt;0,_DB_Exercises!AF323,"")</f>
        <v/>
      </c>
      <c r="L209" s="31" t="str">
        <f>IF(LEN(_DB_Exercises!AG323)&gt;0,_DB_Exercises!AG323,"")</f>
        <v/>
      </c>
      <c r="M209" s="31" t="str">
        <f>IF(LEN(_DB_Exercises!AH323)&gt;0,_DB_Exercises!AH323,"")</f>
        <v/>
      </c>
      <c r="N209" s="31" t="str">
        <f>IF(LEN(_DB_Exercises!AI323)&gt;0,_DB_Exercises!AI323,"")</f>
        <v/>
      </c>
      <c r="O209" s="31" t="str">
        <f>IF(LEN(_DB_Exercises!AJ323)&gt;0,_DB_Exercises!AJ323,"")</f>
        <v/>
      </c>
      <c r="P209" s="31" t="str">
        <f>IF(LEN(_DB_Exercises!AK323)&gt;0,_DB_Exercises!AK323,"")</f>
        <v/>
      </c>
      <c r="Q209" s="31" t="str">
        <f>IF(LEN(_DB_Exercises!AL323)&gt;0,_DB_Exercises!AL323,"")</f>
        <v/>
      </c>
      <c r="R209" s="31" t="str">
        <f>IF(LEN(_DB_Exercises!AM323)&gt;0,_DB_Exercises!AM323,"")</f>
        <v/>
      </c>
      <c r="S209" s="31" t="str">
        <f>IF(LEN(_DB_Exercises!AN323)&gt;0,_DB_Exercises!AN323,"")</f>
        <v/>
      </c>
      <c r="T209" s="31" t="str">
        <f>IF(LEN(_DB_Exercises!AO323)&gt;0,_DB_Exercises!AO323,"")</f>
        <v/>
      </c>
      <c r="U209" s="31" t="str">
        <f>IF(LEN(_DB_Exercises!AP323)&gt;0,_DB_Exercises!AP323,"")</f>
        <v/>
      </c>
      <c r="V209" s="31" t="str">
        <f>IF(LEN(_DB_Exercises!AQ323)&gt;0,_DB_Exercises!AQ323,"")</f>
        <v/>
      </c>
      <c r="W209" s="31" t="str">
        <f>IF(LEN(_DB_Exercises!AR323)&gt;0,_DB_Exercises!AR323,"")</f>
        <v/>
      </c>
      <c r="X209" s="31" t="str">
        <f>IF(LEN(_DB_Exercises!AS323)&gt;0,_DB_Exercises!AS323,"")</f>
        <v/>
      </c>
      <c r="Y209" s="31" t="str">
        <f>IF(LEN(_DB_Exercises!AT323)&gt;0,_DB_Exercises!AT323,"")</f>
        <v/>
      </c>
      <c r="Z209" s="31" t="str">
        <f>IF(LEN(_DB_Exercises!AU323)&gt;0,_DB_Exercises!AU323,"")</f>
        <v/>
      </c>
      <c r="AA209" s="31" t="str">
        <f>IF(LEN(_DB_Exercises!AV323)&gt;0,_DB_Exercises!AV323,"")</f>
        <v/>
      </c>
      <c r="AB209" s="31" t="str">
        <f>IF(LEN(_DB_Exercises!AW323)&gt;0,_DB_Exercises!AW323,"")</f>
        <v/>
      </c>
      <c r="AC209" s="31" t="str">
        <f>IF(LEN(_DB_Exercises!AX323)&gt;0,_DB_Exercises!AX323,"")</f>
        <v/>
      </c>
      <c r="AD209" s="31" t="str">
        <f>IF(LEN(_DB_Exercises!AY323)&gt;0,_DB_Exercises!AY323,"")</f>
        <v/>
      </c>
      <c r="AE209" s="31" t="str">
        <f>IF(LEN(_DB_Exercises!AZ323)&gt;0,_DB_Exercises!AZ323,"")</f>
        <v/>
      </c>
      <c r="AF209" s="31" t="str">
        <f>IF(LEN(_DB_Exercises!BA323)&gt;0,_DB_Exercises!BA323,"")</f>
        <v/>
      </c>
      <c r="AG209" s="31" t="str">
        <f>IF(LEN(_DB_Exercises!BB323)&gt;0,_DB_Exercises!BB323,"")</f>
        <v/>
      </c>
      <c r="AH209" s="31" t="str">
        <f>IF(LEN(_DB_Exercises!BC323)&gt;0,_DB_Exercises!BC323,"")</f>
        <v/>
      </c>
      <c r="AI209" s="31" t="str">
        <f>IF(LEN(_DB_Exercises!BD323)&gt;0,_DB_Exercises!BD323,"")</f>
        <v/>
      </c>
      <c r="AJ209" s="31" t="str">
        <f>IF(LEN(_DB_Exercises!BE323)&gt;0,_DB_Exercises!BE323,"")</f>
        <v/>
      </c>
      <c r="AK209" s="31" t="str">
        <f>IF(LEN(_DB_Exercises!BF323)&gt;0,_DB_Exercises!BF323,"")</f>
        <v/>
      </c>
      <c r="AL209" s="31" t="str">
        <f>IF(LEN(_DB_Exercises!BG323)&gt;0,_DB_Exercises!BG323,"")</f>
        <v/>
      </c>
      <c r="AM209" s="31" t="str">
        <f>IF(LEN(_DB_Exercises!BH323)&gt;0,_DB_Exercises!BH323,"")</f>
        <v/>
      </c>
      <c r="AN209" s="31" t="str">
        <f>IF(LEN(_DB_Exercises!BI323)&gt;0,_DB_Exercises!BI323,"")</f>
        <v/>
      </c>
      <c r="AO209" s="31" t="str">
        <f>IF(LEN(_DB_Exercises!BJ323)&gt;0,_DB_Exercises!BJ323,"")</f>
        <v/>
      </c>
      <c r="AP209" s="31" t="str">
        <f>IF(LEN(_DB_Exercises!BK323)&gt;0,_DB_Exercises!BK323,"")</f>
        <v/>
      </c>
      <c r="AQ209" s="31" t="str">
        <f>IF(LEN(_DB_Exercises!BL323)&gt;0,_DB_Exercises!BL323,"")</f>
        <v/>
      </c>
      <c r="AR209" s="31" t="str">
        <f>IF(LEN(_DB_Exercises!BM323)&gt;0,_DB_Exercises!BM323,"")</f>
        <v/>
      </c>
    </row>
    <row r="210" spans="1:44" x14ac:dyDescent="0.25">
      <c r="A210" s="11" t="str">
        <f>IF(LEN(_DB_Exercises!A324)&gt;0,_DB_Exercises!A324,"")</f>
        <v/>
      </c>
      <c r="B210" s="14" t="str">
        <f>IF(LEN(_DB_Exercises!K324)&gt;0,_DB_Exercises!K324,"")</f>
        <v/>
      </c>
      <c r="C210" s="31" t="str">
        <f>IF(LEN(_DB_Exercises!X324)&gt;0,_DB_Exercises!X324,"")</f>
        <v/>
      </c>
      <c r="D210" s="31" t="str">
        <f>IF(LEN(_DB_Exercises!Y324)&gt;0,_DB_Exercises!Y324,"")</f>
        <v/>
      </c>
      <c r="E210" s="31" t="str">
        <f>IF(LEN(_DB_Exercises!Z324)&gt;0,_DB_Exercises!Z324,"")</f>
        <v/>
      </c>
      <c r="F210" s="31" t="str">
        <f>IF(LEN(_DB_Exercises!AA324)&gt;0,_DB_Exercises!AA324,"")</f>
        <v/>
      </c>
      <c r="G210" s="31" t="str">
        <f>IF(LEN(_DB_Exercises!AB324)&gt;0,_DB_Exercises!AB324,"")</f>
        <v/>
      </c>
      <c r="H210" s="31" t="str">
        <f>IF(LEN(_DB_Exercises!AC324)&gt;0,_DB_Exercises!AC324,"")</f>
        <v/>
      </c>
      <c r="I210" s="31" t="str">
        <f>IF(LEN(_DB_Exercises!AD324)&gt;0,_DB_Exercises!AD324,"")</f>
        <v/>
      </c>
      <c r="J210" s="31" t="str">
        <f>IF(LEN(_DB_Exercises!AE324)&gt;0,_DB_Exercises!AE324,"")</f>
        <v/>
      </c>
      <c r="K210" s="31" t="str">
        <f>IF(LEN(_DB_Exercises!AF324)&gt;0,_DB_Exercises!AF324,"")</f>
        <v/>
      </c>
      <c r="L210" s="31" t="str">
        <f>IF(LEN(_DB_Exercises!AG324)&gt;0,_DB_Exercises!AG324,"")</f>
        <v/>
      </c>
      <c r="M210" s="31" t="str">
        <f>IF(LEN(_DB_Exercises!AH324)&gt;0,_DB_Exercises!AH324,"")</f>
        <v/>
      </c>
      <c r="N210" s="31" t="str">
        <f>IF(LEN(_DB_Exercises!AI324)&gt;0,_DB_Exercises!AI324,"")</f>
        <v/>
      </c>
      <c r="O210" s="31" t="str">
        <f>IF(LEN(_DB_Exercises!AJ324)&gt;0,_DB_Exercises!AJ324,"")</f>
        <v/>
      </c>
      <c r="P210" s="31" t="str">
        <f>IF(LEN(_DB_Exercises!AK324)&gt;0,_DB_Exercises!AK324,"")</f>
        <v/>
      </c>
      <c r="Q210" s="31" t="str">
        <f>IF(LEN(_DB_Exercises!AL324)&gt;0,_DB_Exercises!AL324,"")</f>
        <v/>
      </c>
      <c r="R210" s="31" t="str">
        <f>IF(LEN(_DB_Exercises!AM324)&gt;0,_DB_Exercises!AM324,"")</f>
        <v/>
      </c>
      <c r="S210" s="31" t="str">
        <f>IF(LEN(_DB_Exercises!AN324)&gt;0,_DB_Exercises!AN324,"")</f>
        <v/>
      </c>
      <c r="T210" s="31" t="str">
        <f>IF(LEN(_DB_Exercises!AO324)&gt;0,_DB_Exercises!AO324,"")</f>
        <v/>
      </c>
      <c r="U210" s="31" t="str">
        <f>IF(LEN(_DB_Exercises!AP324)&gt;0,_DB_Exercises!AP324,"")</f>
        <v/>
      </c>
      <c r="V210" s="31" t="str">
        <f>IF(LEN(_DB_Exercises!AQ324)&gt;0,_DB_Exercises!AQ324,"")</f>
        <v/>
      </c>
      <c r="W210" s="31" t="str">
        <f>IF(LEN(_DB_Exercises!AR324)&gt;0,_DB_Exercises!AR324,"")</f>
        <v/>
      </c>
      <c r="X210" s="31" t="str">
        <f>IF(LEN(_DB_Exercises!AS324)&gt;0,_DB_Exercises!AS324,"")</f>
        <v/>
      </c>
      <c r="Y210" s="31" t="str">
        <f>IF(LEN(_DB_Exercises!AT324)&gt;0,_DB_Exercises!AT324,"")</f>
        <v/>
      </c>
      <c r="Z210" s="31" t="str">
        <f>IF(LEN(_DB_Exercises!AU324)&gt;0,_DB_Exercises!AU324,"")</f>
        <v/>
      </c>
      <c r="AA210" s="31" t="str">
        <f>IF(LEN(_DB_Exercises!AV324)&gt;0,_DB_Exercises!AV324,"")</f>
        <v/>
      </c>
      <c r="AB210" s="31" t="str">
        <f>IF(LEN(_DB_Exercises!AW324)&gt;0,_DB_Exercises!AW324,"")</f>
        <v/>
      </c>
      <c r="AC210" s="31" t="str">
        <f>IF(LEN(_DB_Exercises!AX324)&gt;0,_DB_Exercises!AX324,"")</f>
        <v/>
      </c>
      <c r="AD210" s="31" t="str">
        <f>IF(LEN(_DB_Exercises!AY324)&gt;0,_DB_Exercises!AY324,"")</f>
        <v/>
      </c>
      <c r="AE210" s="31" t="str">
        <f>IF(LEN(_DB_Exercises!AZ324)&gt;0,_DB_Exercises!AZ324,"")</f>
        <v/>
      </c>
      <c r="AF210" s="31" t="str">
        <f>IF(LEN(_DB_Exercises!BA324)&gt;0,_DB_Exercises!BA324,"")</f>
        <v/>
      </c>
      <c r="AG210" s="31" t="str">
        <f>IF(LEN(_DB_Exercises!BB324)&gt;0,_DB_Exercises!BB324,"")</f>
        <v/>
      </c>
      <c r="AH210" s="31" t="str">
        <f>IF(LEN(_DB_Exercises!BC324)&gt;0,_DB_Exercises!BC324,"")</f>
        <v/>
      </c>
      <c r="AI210" s="31" t="str">
        <f>IF(LEN(_DB_Exercises!BD324)&gt;0,_DB_Exercises!BD324,"")</f>
        <v/>
      </c>
      <c r="AJ210" s="31" t="str">
        <f>IF(LEN(_DB_Exercises!BE324)&gt;0,_DB_Exercises!BE324,"")</f>
        <v/>
      </c>
      <c r="AK210" s="31" t="str">
        <f>IF(LEN(_DB_Exercises!BF324)&gt;0,_DB_Exercises!BF324,"")</f>
        <v/>
      </c>
      <c r="AL210" s="31" t="str">
        <f>IF(LEN(_DB_Exercises!BG324)&gt;0,_DB_Exercises!BG324,"")</f>
        <v/>
      </c>
      <c r="AM210" s="31" t="str">
        <f>IF(LEN(_DB_Exercises!BH324)&gt;0,_DB_Exercises!BH324,"")</f>
        <v/>
      </c>
      <c r="AN210" s="31" t="str">
        <f>IF(LEN(_DB_Exercises!BI324)&gt;0,_DB_Exercises!BI324,"")</f>
        <v/>
      </c>
      <c r="AO210" s="31" t="str">
        <f>IF(LEN(_DB_Exercises!BJ324)&gt;0,_DB_Exercises!BJ324,"")</f>
        <v/>
      </c>
      <c r="AP210" s="31" t="str">
        <f>IF(LEN(_DB_Exercises!BK324)&gt;0,_DB_Exercises!BK324,"")</f>
        <v/>
      </c>
      <c r="AQ210" s="31" t="str">
        <f>IF(LEN(_DB_Exercises!BL324)&gt;0,_DB_Exercises!BL324,"")</f>
        <v/>
      </c>
      <c r="AR210" s="31" t="str">
        <f>IF(LEN(_DB_Exercises!BM324)&gt;0,_DB_Exercises!BM324,"")</f>
        <v/>
      </c>
    </row>
    <row r="211" spans="1:44" x14ac:dyDescent="0.25">
      <c r="A211" s="11" t="str">
        <f>IF(LEN(_DB_Exercises!A325)&gt;0,_DB_Exercises!A325,"")</f>
        <v/>
      </c>
      <c r="B211" s="14" t="str">
        <f>IF(LEN(_DB_Exercises!K325)&gt;0,_DB_Exercises!K325,"")</f>
        <v/>
      </c>
      <c r="C211" s="31" t="str">
        <f>IF(LEN(_DB_Exercises!X325)&gt;0,_DB_Exercises!X325,"")</f>
        <v/>
      </c>
      <c r="D211" s="31" t="str">
        <f>IF(LEN(_DB_Exercises!Y325)&gt;0,_DB_Exercises!Y325,"")</f>
        <v/>
      </c>
      <c r="E211" s="31" t="str">
        <f>IF(LEN(_DB_Exercises!Z325)&gt;0,_DB_Exercises!Z325,"")</f>
        <v/>
      </c>
      <c r="F211" s="31" t="str">
        <f>IF(LEN(_DB_Exercises!AA325)&gt;0,_DB_Exercises!AA325,"")</f>
        <v/>
      </c>
      <c r="G211" s="31" t="str">
        <f>IF(LEN(_DB_Exercises!AB325)&gt;0,_DB_Exercises!AB325,"")</f>
        <v/>
      </c>
      <c r="H211" s="31" t="str">
        <f>IF(LEN(_DB_Exercises!AC325)&gt;0,_DB_Exercises!AC325,"")</f>
        <v/>
      </c>
      <c r="I211" s="31" t="str">
        <f>IF(LEN(_DB_Exercises!AD325)&gt;0,_DB_Exercises!AD325,"")</f>
        <v/>
      </c>
      <c r="J211" s="31" t="str">
        <f>IF(LEN(_DB_Exercises!AE325)&gt;0,_DB_Exercises!AE325,"")</f>
        <v/>
      </c>
      <c r="K211" s="31" t="str">
        <f>IF(LEN(_DB_Exercises!AF325)&gt;0,_DB_Exercises!AF325,"")</f>
        <v/>
      </c>
      <c r="L211" s="31" t="str">
        <f>IF(LEN(_DB_Exercises!AG325)&gt;0,_DB_Exercises!AG325,"")</f>
        <v/>
      </c>
      <c r="M211" s="31" t="str">
        <f>IF(LEN(_DB_Exercises!AH325)&gt;0,_DB_Exercises!AH325,"")</f>
        <v/>
      </c>
      <c r="N211" s="31" t="str">
        <f>IF(LEN(_DB_Exercises!AI325)&gt;0,_DB_Exercises!AI325,"")</f>
        <v/>
      </c>
      <c r="O211" s="31" t="str">
        <f>IF(LEN(_DB_Exercises!AJ325)&gt;0,_DB_Exercises!AJ325,"")</f>
        <v/>
      </c>
      <c r="P211" s="31" t="str">
        <f>IF(LEN(_DB_Exercises!AK325)&gt;0,_DB_Exercises!AK325,"")</f>
        <v/>
      </c>
      <c r="Q211" s="31" t="str">
        <f>IF(LEN(_DB_Exercises!AL325)&gt;0,_DB_Exercises!AL325,"")</f>
        <v/>
      </c>
      <c r="R211" s="31" t="str">
        <f>IF(LEN(_DB_Exercises!AM325)&gt;0,_DB_Exercises!AM325,"")</f>
        <v/>
      </c>
      <c r="S211" s="31" t="str">
        <f>IF(LEN(_DB_Exercises!AN325)&gt;0,_DB_Exercises!AN325,"")</f>
        <v/>
      </c>
      <c r="T211" s="31" t="str">
        <f>IF(LEN(_DB_Exercises!AO325)&gt;0,_DB_Exercises!AO325,"")</f>
        <v/>
      </c>
      <c r="U211" s="31" t="str">
        <f>IF(LEN(_DB_Exercises!AP325)&gt;0,_DB_Exercises!AP325,"")</f>
        <v/>
      </c>
      <c r="V211" s="31" t="str">
        <f>IF(LEN(_DB_Exercises!AQ325)&gt;0,_DB_Exercises!AQ325,"")</f>
        <v/>
      </c>
      <c r="W211" s="31" t="str">
        <f>IF(LEN(_DB_Exercises!AR325)&gt;0,_DB_Exercises!AR325,"")</f>
        <v/>
      </c>
      <c r="X211" s="31" t="str">
        <f>IF(LEN(_DB_Exercises!AS325)&gt;0,_DB_Exercises!AS325,"")</f>
        <v/>
      </c>
      <c r="Y211" s="31" t="str">
        <f>IF(LEN(_DB_Exercises!AT325)&gt;0,_DB_Exercises!AT325,"")</f>
        <v/>
      </c>
      <c r="Z211" s="31" t="str">
        <f>IF(LEN(_DB_Exercises!AU325)&gt;0,_DB_Exercises!AU325,"")</f>
        <v/>
      </c>
      <c r="AA211" s="31" t="str">
        <f>IF(LEN(_DB_Exercises!AV325)&gt;0,_DB_Exercises!AV325,"")</f>
        <v/>
      </c>
      <c r="AB211" s="31" t="str">
        <f>IF(LEN(_DB_Exercises!AW325)&gt;0,_DB_Exercises!AW325,"")</f>
        <v/>
      </c>
      <c r="AC211" s="31" t="str">
        <f>IF(LEN(_DB_Exercises!AX325)&gt;0,_DB_Exercises!AX325,"")</f>
        <v/>
      </c>
      <c r="AD211" s="31" t="str">
        <f>IF(LEN(_DB_Exercises!AY325)&gt;0,_DB_Exercises!AY325,"")</f>
        <v/>
      </c>
      <c r="AE211" s="31" t="str">
        <f>IF(LEN(_DB_Exercises!AZ325)&gt;0,_DB_Exercises!AZ325,"")</f>
        <v/>
      </c>
      <c r="AF211" s="31" t="str">
        <f>IF(LEN(_DB_Exercises!BA325)&gt;0,_DB_Exercises!BA325,"")</f>
        <v/>
      </c>
      <c r="AG211" s="31" t="str">
        <f>IF(LEN(_DB_Exercises!BB325)&gt;0,_DB_Exercises!BB325,"")</f>
        <v/>
      </c>
      <c r="AH211" s="31" t="str">
        <f>IF(LEN(_DB_Exercises!BC325)&gt;0,_DB_Exercises!BC325,"")</f>
        <v/>
      </c>
      <c r="AI211" s="31" t="str">
        <f>IF(LEN(_DB_Exercises!BD325)&gt;0,_DB_Exercises!BD325,"")</f>
        <v/>
      </c>
      <c r="AJ211" s="31" t="str">
        <f>IF(LEN(_DB_Exercises!BE325)&gt;0,_DB_Exercises!BE325,"")</f>
        <v/>
      </c>
      <c r="AK211" s="31" t="str">
        <f>IF(LEN(_DB_Exercises!BF325)&gt;0,_DB_Exercises!BF325,"")</f>
        <v/>
      </c>
      <c r="AL211" s="31" t="str">
        <f>IF(LEN(_DB_Exercises!BG325)&gt;0,_DB_Exercises!BG325,"")</f>
        <v/>
      </c>
      <c r="AM211" s="31" t="str">
        <f>IF(LEN(_DB_Exercises!BH325)&gt;0,_DB_Exercises!BH325,"")</f>
        <v/>
      </c>
      <c r="AN211" s="31" t="str">
        <f>IF(LEN(_DB_Exercises!BI325)&gt;0,_DB_Exercises!BI325,"")</f>
        <v/>
      </c>
      <c r="AO211" s="31" t="str">
        <f>IF(LEN(_DB_Exercises!BJ325)&gt;0,_DB_Exercises!BJ325,"")</f>
        <v/>
      </c>
      <c r="AP211" s="31" t="str">
        <f>IF(LEN(_DB_Exercises!BK325)&gt;0,_DB_Exercises!BK325,"")</f>
        <v/>
      </c>
      <c r="AQ211" s="31" t="str">
        <f>IF(LEN(_DB_Exercises!BL325)&gt;0,_DB_Exercises!BL325,"")</f>
        <v/>
      </c>
      <c r="AR211" s="31" t="str">
        <f>IF(LEN(_DB_Exercises!BM325)&gt;0,_DB_Exercises!BM325,"")</f>
        <v/>
      </c>
    </row>
    <row r="212" spans="1:44" x14ac:dyDescent="0.25">
      <c r="A212" s="11" t="str">
        <f>IF(LEN(_DB_Exercises!A326)&gt;0,_DB_Exercises!A326,"")</f>
        <v/>
      </c>
      <c r="B212" s="14" t="str">
        <f>IF(LEN(_DB_Exercises!K326)&gt;0,_DB_Exercises!K326,"")</f>
        <v/>
      </c>
      <c r="C212" s="31" t="str">
        <f>IF(LEN(_DB_Exercises!X326)&gt;0,_DB_Exercises!X326,"")</f>
        <v/>
      </c>
      <c r="D212" s="31" t="str">
        <f>IF(LEN(_DB_Exercises!Y326)&gt;0,_DB_Exercises!Y326,"")</f>
        <v/>
      </c>
      <c r="E212" s="31" t="str">
        <f>IF(LEN(_DB_Exercises!Z326)&gt;0,_DB_Exercises!Z326,"")</f>
        <v/>
      </c>
      <c r="F212" s="31" t="str">
        <f>IF(LEN(_DB_Exercises!AA326)&gt;0,_DB_Exercises!AA326,"")</f>
        <v/>
      </c>
      <c r="G212" s="31" t="str">
        <f>IF(LEN(_DB_Exercises!AB326)&gt;0,_DB_Exercises!AB326,"")</f>
        <v/>
      </c>
      <c r="H212" s="31" t="str">
        <f>IF(LEN(_DB_Exercises!AC326)&gt;0,_DB_Exercises!AC326,"")</f>
        <v/>
      </c>
      <c r="I212" s="31" t="str">
        <f>IF(LEN(_DB_Exercises!AD326)&gt;0,_DB_Exercises!AD326,"")</f>
        <v/>
      </c>
      <c r="J212" s="31" t="str">
        <f>IF(LEN(_DB_Exercises!AE326)&gt;0,_DB_Exercises!AE326,"")</f>
        <v/>
      </c>
      <c r="K212" s="31" t="str">
        <f>IF(LEN(_DB_Exercises!AF326)&gt;0,_DB_Exercises!AF326,"")</f>
        <v/>
      </c>
      <c r="L212" s="31" t="str">
        <f>IF(LEN(_DB_Exercises!AG326)&gt;0,_DB_Exercises!AG326,"")</f>
        <v/>
      </c>
      <c r="M212" s="31" t="str">
        <f>IF(LEN(_DB_Exercises!AH326)&gt;0,_DB_Exercises!AH326,"")</f>
        <v/>
      </c>
      <c r="N212" s="31" t="str">
        <f>IF(LEN(_DB_Exercises!AI326)&gt;0,_DB_Exercises!AI326,"")</f>
        <v/>
      </c>
      <c r="O212" s="31" t="str">
        <f>IF(LEN(_DB_Exercises!AJ326)&gt;0,_DB_Exercises!AJ326,"")</f>
        <v/>
      </c>
      <c r="P212" s="31" t="str">
        <f>IF(LEN(_DB_Exercises!AK326)&gt;0,_DB_Exercises!AK326,"")</f>
        <v/>
      </c>
      <c r="Q212" s="31" t="str">
        <f>IF(LEN(_DB_Exercises!AL326)&gt;0,_DB_Exercises!AL326,"")</f>
        <v/>
      </c>
      <c r="R212" s="31" t="str">
        <f>IF(LEN(_DB_Exercises!AM326)&gt;0,_DB_Exercises!AM326,"")</f>
        <v/>
      </c>
      <c r="S212" s="31" t="str">
        <f>IF(LEN(_DB_Exercises!AN326)&gt;0,_DB_Exercises!AN326,"")</f>
        <v/>
      </c>
      <c r="T212" s="31" t="str">
        <f>IF(LEN(_DB_Exercises!AO326)&gt;0,_DB_Exercises!AO326,"")</f>
        <v/>
      </c>
      <c r="U212" s="31" t="str">
        <f>IF(LEN(_DB_Exercises!AP326)&gt;0,_DB_Exercises!AP326,"")</f>
        <v/>
      </c>
      <c r="V212" s="31" t="str">
        <f>IF(LEN(_DB_Exercises!AQ326)&gt;0,_DB_Exercises!AQ326,"")</f>
        <v/>
      </c>
      <c r="W212" s="31" t="str">
        <f>IF(LEN(_DB_Exercises!AR326)&gt;0,_DB_Exercises!AR326,"")</f>
        <v/>
      </c>
      <c r="X212" s="31" t="str">
        <f>IF(LEN(_DB_Exercises!AS326)&gt;0,_DB_Exercises!AS326,"")</f>
        <v/>
      </c>
      <c r="Y212" s="31" t="str">
        <f>IF(LEN(_DB_Exercises!AT326)&gt;0,_DB_Exercises!AT326,"")</f>
        <v/>
      </c>
      <c r="Z212" s="31" t="str">
        <f>IF(LEN(_DB_Exercises!AU326)&gt;0,_DB_Exercises!AU326,"")</f>
        <v/>
      </c>
      <c r="AA212" s="31" t="str">
        <f>IF(LEN(_DB_Exercises!AV326)&gt;0,_DB_Exercises!AV326,"")</f>
        <v/>
      </c>
      <c r="AB212" s="31" t="str">
        <f>IF(LEN(_DB_Exercises!AW326)&gt;0,_DB_Exercises!AW326,"")</f>
        <v/>
      </c>
      <c r="AC212" s="31" t="str">
        <f>IF(LEN(_DB_Exercises!AX326)&gt;0,_DB_Exercises!AX326,"")</f>
        <v/>
      </c>
      <c r="AD212" s="31" t="str">
        <f>IF(LEN(_DB_Exercises!AY326)&gt;0,_DB_Exercises!AY326,"")</f>
        <v/>
      </c>
      <c r="AE212" s="31" t="str">
        <f>IF(LEN(_DB_Exercises!AZ326)&gt;0,_DB_Exercises!AZ326,"")</f>
        <v/>
      </c>
      <c r="AF212" s="31" t="str">
        <f>IF(LEN(_DB_Exercises!BA326)&gt;0,_DB_Exercises!BA326,"")</f>
        <v/>
      </c>
      <c r="AG212" s="31" t="str">
        <f>IF(LEN(_DB_Exercises!BB326)&gt;0,_DB_Exercises!BB326,"")</f>
        <v/>
      </c>
      <c r="AH212" s="31" t="str">
        <f>IF(LEN(_DB_Exercises!BC326)&gt;0,_DB_Exercises!BC326,"")</f>
        <v/>
      </c>
      <c r="AI212" s="31" t="str">
        <f>IF(LEN(_DB_Exercises!BD326)&gt;0,_DB_Exercises!BD326,"")</f>
        <v/>
      </c>
      <c r="AJ212" s="31" t="str">
        <f>IF(LEN(_DB_Exercises!BE326)&gt;0,_DB_Exercises!BE326,"")</f>
        <v/>
      </c>
      <c r="AK212" s="31" t="str">
        <f>IF(LEN(_DB_Exercises!BF326)&gt;0,_DB_Exercises!BF326,"")</f>
        <v/>
      </c>
      <c r="AL212" s="31" t="str">
        <f>IF(LEN(_DB_Exercises!BG326)&gt;0,_DB_Exercises!BG326,"")</f>
        <v/>
      </c>
      <c r="AM212" s="31" t="str">
        <f>IF(LEN(_DB_Exercises!BH326)&gt;0,_DB_Exercises!BH326,"")</f>
        <v/>
      </c>
      <c r="AN212" s="31" t="str">
        <f>IF(LEN(_DB_Exercises!BI326)&gt;0,_DB_Exercises!BI326,"")</f>
        <v/>
      </c>
      <c r="AO212" s="31" t="str">
        <f>IF(LEN(_DB_Exercises!BJ326)&gt;0,_DB_Exercises!BJ326,"")</f>
        <v/>
      </c>
      <c r="AP212" s="31" t="str">
        <f>IF(LEN(_DB_Exercises!BK326)&gt;0,_DB_Exercises!BK326,"")</f>
        <v/>
      </c>
      <c r="AQ212" s="31" t="str">
        <f>IF(LEN(_DB_Exercises!BL326)&gt;0,_DB_Exercises!BL326,"")</f>
        <v/>
      </c>
      <c r="AR212" s="31" t="str">
        <f>IF(LEN(_DB_Exercises!BM326)&gt;0,_DB_Exercises!BM326,"")</f>
        <v/>
      </c>
    </row>
    <row r="213" spans="1:44" x14ac:dyDescent="0.25">
      <c r="A213" s="11" t="str">
        <f>IF(LEN(_DB_Exercises!A327)&gt;0,_DB_Exercises!A327,"")</f>
        <v/>
      </c>
      <c r="B213" s="14" t="str">
        <f>IF(LEN(_DB_Exercises!K327)&gt;0,_DB_Exercises!K327,"")</f>
        <v/>
      </c>
      <c r="C213" s="31" t="str">
        <f>IF(LEN(_DB_Exercises!X327)&gt;0,_DB_Exercises!X327,"")</f>
        <v/>
      </c>
      <c r="D213" s="31" t="str">
        <f>IF(LEN(_DB_Exercises!Y327)&gt;0,_DB_Exercises!Y327,"")</f>
        <v/>
      </c>
      <c r="E213" s="31" t="str">
        <f>IF(LEN(_DB_Exercises!Z327)&gt;0,_DB_Exercises!Z327,"")</f>
        <v/>
      </c>
      <c r="F213" s="31" t="str">
        <f>IF(LEN(_DB_Exercises!AA327)&gt;0,_DB_Exercises!AA327,"")</f>
        <v/>
      </c>
      <c r="G213" s="31" t="str">
        <f>IF(LEN(_DB_Exercises!AB327)&gt;0,_DB_Exercises!AB327,"")</f>
        <v/>
      </c>
      <c r="H213" s="31" t="str">
        <f>IF(LEN(_DB_Exercises!AC327)&gt;0,_DB_Exercises!AC327,"")</f>
        <v/>
      </c>
      <c r="I213" s="31" t="str">
        <f>IF(LEN(_DB_Exercises!AD327)&gt;0,_DB_Exercises!AD327,"")</f>
        <v/>
      </c>
      <c r="J213" s="31" t="str">
        <f>IF(LEN(_DB_Exercises!AE327)&gt;0,_DB_Exercises!AE327,"")</f>
        <v/>
      </c>
      <c r="K213" s="31" t="str">
        <f>IF(LEN(_DB_Exercises!AF327)&gt;0,_DB_Exercises!AF327,"")</f>
        <v/>
      </c>
      <c r="L213" s="31" t="str">
        <f>IF(LEN(_DB_Exercises!AG327)&gt;0,_DB_Exercises!AG327,"")</f>
        <v/>
      </c>
      <c r="M213" s="31" t="str">
        <f>IF(LEN(_DB_Exercises!AH327)&gt;0,_DB_Exercises!AH327,"")</f>
        <v/>
      </c>
      <c r="N213" s="31" t="str">
        <f>IF(LEN(_DB_Exercises!AI327)&gt;0,_DB_Exercises!AI327,"")</f>
        <v/>
      </c>
      <c r="O213" s="31" t="str">
        <f>IF(LEN(_DB_Exercises!AJ327)&gt;0,_DB_Exercises!AJ327,"")</f>
        <v/>
      </c>
      <c r="P213" s="31" t="str">
        <f>IF(LEN(_DB_Exercises!AK327)&gt;0,_DB_Exercises!AK327,"")</f>
        <v/>
      </c>
      <c r="Q213" s="31" t="str">
        <f>IF(LEN(_DB_Exercises!AL327)&gt;0,_DB_Exercises!AL327,"")</f>
        <v/>
      </c>
      <c r="R213" s="31" t="str">
        <f>IF(LEN(_DB_Exercises!AM327)&gt;0,_DB_Exercises!AM327,"")</f>
        <v/>
      </c>
      <c r="S213" s="31" t="str">
        <f>IF(LEN(_DB_Exercises!AN327)&gt;0,_DB_Exercises!AN327,"")</f>
        <v/>
      </c>
      <c r="T213" s="31" t="str">
        <f>IF(LEN(_DB_Exercises!AO327)&gt;0,_DB_Exercises!AO327,"")</f>
        <v/>
      </c>
      <c r="U213" s="31" t="str">
        <f>IF(LEN(_DB_Exercises!AP327)&gt;0,_DB_Exercises!AP327,"")</f>
        <v/>
      </c>
      <c r="V213" s="31" t="str">
        <f>IF(LEN(_DB_Exercises!AQ327)&gt;0,_DB_Exercises!AQ327,"")</f>
        <v/>
      </c>
      <c r="W213" s="31" t="str">
        <f>IF(LEN(_DB_Exercises!AR327)&gt;0,_DB_Exercises!AR327,"")</f>
        <v/>
      </c>
      <c r="X213" s="31" t="str">
        <f>IF(LEN(_DB_Exercises!AS327)&gt;0,_DB_Exercises!AS327,"")</f>
        <v/>
      </c>
      <c r="Y213" s="31" t="str">
        <f>IF(LEN(_DB_Exercises!AT327)&gt;0,_DB_Exercises!AT327,"")</f>
        <v/>
      </c>
      <c r="Z213" s="31" t="str">
        <f>IF(LEN(_DB_Exercises!AU327)&gt;0,_DB_Exercises!AU327,"")</f>
        <v/>
      </c>
      <c r="AA213" s="31" t="str">
        <f>IF(LEN(_DB_Exercises!AV327)&gt;0,_DB_Exercises!AV327,"")</f>
        <v/>
      </c>
      <c r="AB213" s="31" t="str">
        <f>IF(LEN(_DB_Exercises!AW327)&gt;0,_DB_Exercises!AW327,"")</f>
        <v/>
      </c>
      <c r="AC213" s="31" t="str">
        <f>IF(LEN(_DB_Exercises!AX327)&gt;0,_DB_Exercises!AX327,"")</f>
        <v/>
      </c>
      <c r="AD213" s="31" t="str">
        <f>IF(LEN(_DB_Exercises!AY327)&gt;0,_DB_Exercises!AY327,"")</f>
        <v/>
      </c>
      <c r="AE213" s="31" t="str">
        <f>IF(LEN(_DB_Exercises!AZ327)&gt;0,_DB_Exercises!AZ327,"")</f>
        <v/>
      </c>
      <c r="AF213" s="31" t="str">
        <f>IF(LEN(_DB_Exercises!BA327)&gt;0,_DB_Exercises!BA327,"")</f>
        <v/>
      </c>
      <c r="AG213" s="31" t="str">
        <f>IF(LEN(_DB_Exercises!BB327)&gt;0,_DB_Exercises!BB327,"")</f>
        <v/>
      </c>
      <c r="AH213" s="31" t="str">
        <f>IF(LEN(_DB_Exercises!BC327)&gt;0,_DB_Exercises!BC327,"")</f>
        <v/>
      </c>
      <c r="AI213" s="31" t="str">
        <f>IF(LEN(_DB_Exercises!BD327)&gt;0,_DB_Exercises!BD327,"")</f>
        <v/>
      </c>
      <c r="AJ213" s="31" t="str">
        <f>IF(LEN(_DB_Exercises!BE327)&gt;0,_DB_Exercises!BE327,"")</f>
        <v/>
      </c>
      <c r="AK213" s="31" t="str">
        <f>IF(LEN(_DB_Exercises!BF327)&gt;0,_DB_Exercises!BF327,"")</f>
        <v/>
      </c>
      <c r="AL213" s="31" t="str">
        <f>IF(LEN(_DB_Exercises!BG327)&gt;0,_DB_Exercises!BG327,"")</f>
        <v/>
      </c>
      <c r="AM213" s="31" t="str">
        <f>IF(LEN(_DB_Exercises!BH327)&gt;0,_DB_Exercises!BH327,"")</f>
        <v/>
      </c>
      <c r="AN213" s="31" t="str">
        <f>IF(LEN(_DB_Exercises!BI327)&gt;0,_DB_Exercises!BI327,"")</f>
        <v/>
      </c>
      <c r="AO213" s="31" t="str">
        <f>IF(LEN(_DB_Exercises!BJ327)&gt;0,_DB_Exercises!BJ327,"")</f>
        <v/>
      </c>
      <c r="AP213" s="31" t="str">
        <f>IF(LEN(_DB_Exercises!BK327)&gt;0,_DB_Exercises!BK327,"")</f>
        <v/>
      </c>
      <c r="AQ213" s="31" t="str">
        <f>IF(LEN(_DB_Exercises!BL327)&gt;0,_DB_Exercises!BL327,"")</f>
        <v/>
      </c>
      <c r="AR213" s="31" t="str">
        <f>IF(LEN(_DB_Exercises!BM327)&gt;0,_DB_Exercises!BM327,"")</f>
        <v/>
      </c>
    </row>
    <row r="214" spans="1:44" x14ac:dyDescent="0.25">
      <c r="A214" s="11" t="str">
        <f>IF(LEN(_DB_Exercises!A328)&gt;0,_DB_Exercises!A328,"")</f>
        <v/>
      </c>
      <c r="B214" s="14" t="str">
        <f>IF(LEN(_DB_Exercises!K328)&gt;0,_DB_Exercises!K328,"")</f>
        <v/>
      </c>
      <c r="C214" s="31" t="str">
        <f>IF(LEN(_DB_Exercises!X328)&gt;0,_DB_Exercises!X328,"")</f>
        <v/>
      </c>
      <c r="D214" s="31" t="str">
        <f>IF(LEN(_DB_Exercises!Y328)&gt;0,_DB_Exercises!Y328,"")</f>
        <v/>
      </c>
      <c r="E214" s="31" t="str">
        <f>IF(LEN(_DB_Exercises!Z328)&gt;0,_DB_Exercises!Z328,"")</f>
        <v/>
      </c>
      <c r="F214" s="31" t="str">
        <f>IF(LEN(_DB_Exercises!AA328)&gt;0,_DB_Exercises!AA328,"")</f>
        <v/>
      </c>
      <c r="G214" s="31" t="str">
        <f>IF(LEN(_DB_Exercises!AB328)&gt;0,_DB_Exercises!AB328,"")</f>
        <v/>
      </c>
      <c r="H214" s="31" t="str">
        <f>IF(LEN(_DB_Exercises!AC328)&gt;0,_DB_Exercises!AC328,"")</f>
        <v/>
      </c>
      <c r="I214" s="31" t="str">
        <f>IF(LEN(_DB_Exercises!AD328)&gt;0,_DB_Exercises!AD328,"")</f>
        <v/>
      </c>
      <c r="J214" s="31" t="str">
        <f>IF(LEN(_DB_Exercises!AE328)&gt;0,_DB_Exercises!AE328,"")</f>
        <v/>
      </c>
      <c r="K214" s="31" t="str">
        <f>IF(LEN(_DB_Exercises!AF328)&gt;0,_DB_Exercises!AF328,"")</f>
        <v/>
      </c>
      <c r="L214" s="31" t="str">
        <f>IF(LEN(_DB_Exercises!AG328)&gt;0,_DB_Exercises!AG328,"")</f>
        <v/>
      </c>
      <c r="M214" s="31" t="str">
        <f>IF(LEN(_DB_Exercises!AH328)&gt;0,_DB_Exercises!AH328,"")</f>
        <v/>
      </c>
      <c r="N214" s="31" t="str">
        <f>IF(LEN(_DB_Exercises!AI328)&gt;0,_DB_Exercises!AI328,"")</f>
        <v/>
      </c>
      <c r="O214" s="31" t="str">
        <f>IF(LEN(_DB_Exercises!AJ328)&gt;0,_DB_Exercises!AJ328,"")</f>
        <v/>
      </c>
      <c r="P214" s="31" t="str">
        <f>IF(LEN(_DB_Exercises!AK328)&gt;0,_DB_Exercises!AK328,"")</f>
        <v/>
      </c>
      <c r="Q214" s="31" t="str">
        <f>IF(LEN(_DB_Exercises!AL328)&gt;0,_DB_Exercises!AL328,"")</f>
        <v/>
      </c>
      <c r="R214" s="31" t="str">
        <f>IF(LEN(_DB_Exercises!AM328)&gt;0,_DB_Exercises!AM328,"")</f>
        <v/>
      </c>
      <c r="S214" s="31" t="str">
        <f>IF(LEN(_DB_Exercises!AN328)&gt;0,_DB_Exercises!AN328,"")</f>
        <v/>
      </c>
      <c r="T214" s="31" t="str">
        <f>IF(LEN(_DB_Exercises!AO328)&gt;0,_DB_Exercises!AO328,"")</f>
        <v/>
      </c>
      <c r="U214" s="31" t="str">
        <f>IF(LEN(_DB_Exercises!AP328)&gt;0,_DB_Exercises!AP328,"")</f>
        <v/>
      </c>
      <c r="V214" s="31" t="str">
        <f>IF(LEN(_DB_Exercises!AQ328)&gt;0,_DB_Exercises!AQ328,"")</f>
        <v/>
      </c>
      <c r="W214" s="31" t="str">
        <f>IF(LEN(_DB_Exercises!AR328)&gt;0,_DB_Exercises!AR328,"")</f>
        <v/>
      </c>
      <c r="X214" s="31" t="str">
        <f>IF(LEN(_DB_Exercises!AS328)&gt;0,_DB_Exercises!AS328,"")</f>
        <v/>
      </c>
      <c r="Y214" s="31" t="str">
        <f>IF(LEN(_DB_Exercises!AT328)&gt;0,_DB_Exercises!AT328,"")</f>
        <v/>
      </c>
      <c r="Z214" s="31" t="str">
        <f>IF(LEN(_DB_Exercises!AU328)&gt;0,_DB_Exercises!AU328,"")</f>
        <v/>
      </c>
      <c r="AA214" s="31" t="str">
        <f>IF(LEN(_DB_Exercises!AV328)&gt;0,_DB_Exercises!AV328,"")</f>
        <v/>
      </c>
      <c r="AB214" s="31" t="str">
        <f>IF(LEN(_DB_Exercises!AW328)&gt;0,_DB_Exercises!AW328,"")</f>
        <v/>
      </c>
      <c r="AC214" s="31" t="str">
        <f>IF(LEN(_DB_Exercises!AX328)&gt;0,_DB_Exercises!AX328,"")</f>
        <v/>
      </c>
      <c r="AD214" s="31" t="str">
        <f>IF(LEN(_DB_Exercises!AY328)&gt;0,_DB_Exercises!AY328,"")</f>
        <v/>
      </c>
      <c r="AE214" s="31" t="str">
        <f>IF(LEN(_DB_Exercises!AZ328)&gt;0,_DB_Exercises!AZ328,"")</f>
        <v/>
      </c>
      <c r="AF214" s="31" t="str">
        <f>IF(LEN(_DB_Exercises!BA328)&gt;0,_DB_Exercises!BA328,"")</f>
        <v/>
      </c>
      <c r="AG214" s="31" t="str">
        <f>IF(LEN(_DB_Exercises!BB328)&gt;0,_DB_Exercises!BB328,"")</f>
        <v/>
      </c>
      <c r="AH214" s="31" t="str">
        <f>IF(LEN(_DB_Exercises!BC328)&gt;0,_DB_Exercises!BC328,"")</f>
        <v/>
      </c>
      <c r="AI214" s="31" t="str">
        <f>IF(LEN(_DB_Exercises!BD328)&gt;0,_DB_Exercises!BD328,"")</f>
        <v/>
      </c>
      <c r="AJ214" s="31" t="str">
        <f>IF(LEN(_DB_Exercises!BE328)&gt;0,_DB_Exercises!BE328,"")</f>
        <v/>
      </c>
      <c r="AK214" s="31" t="str">
        <f>IF(LEN(_DB_Exercises!BF328)&gt;0,_DB_Exercises!BF328,"")</f>
        <v/>
      </c>
      <c r="AL214" s="31" t="str">
        <f>IF(LEN(_DB_Exercises!BG328)&gt;0,_DB_Exercises!BG328,"")</f>
        <v/>
      </c>
      <c r="AM214" s="31" t="str">
        <f>IF(LEN(_DB_Exercises!BH328)&gt;0,_DB_Exercises!BH328,"")</f>
        <v/>
      </c>
      <c r="AN214" s="31" t="str">
        <f>IF(LEN(_DB_Exercises!BI328)&gt;0,_DB_Exercises!BI328,"")</f>
        <v/>
      </c>
      <c r="AO214" s="31" t="str">
        <f>IF(LEN(_DB_Exercises!BJ328)&gt;0,_DB_Exercises!BJ328,"")</f>
        <v/>
      </c>
      <c r="AP214" s="31" t="str">
        <f>IF(LEN(_DB_Exercises!BK328)&gt;0,_DB_Exercises!BK328,"")</f>
        <v/>
      </c>
      <c r="AQ214" s="31" t="str">
        <f>IF(LEN(_DB_Exercises!BL328)&gt;0,_DB_Exercises!BL328,"")</f>
        <v/>
      </c>
      <c r="AR214" s="31" t="str">
        <f>IF(LEN(_DB_Exercises!BM328)&gt;0,_DB_Exercises!BM328,"")</f>
        <v/>
      </c>
    </row>
    <row r="215" spans="1:44" x14ac:dyDescent="0.25">
      <c r="A215" s="11" t="str">
        <f>IF(LEN(_DB_Exercises!A329)&gt;0,_DB_Exercises!A329,"")</f>
        <v/>
      </c>
      <c r="B215" s="14" t="str">
        <f>IF(LEN(_DB_Exercises!K329)&gt;0,_DB_Exercises!K329,"")</f>
        <v/>
      </c>
      <c r="C215" s="31" t="str">
        <f>IF(LEN(_DB_Exercises!X329)&gt;0,_DB_Exercises!X329,"")</f>
        <v/>
      </c>
      <c r="D215" s="31" t="str">
        <f>IF(LEN(_DB_Exercises!Y329)&gt;0,_DB_Exercises!Y329,"")</f>
        <v/>
      </c>
      <c r="E215" s="31" t="str">
        <f>IF(LEN(_DB_Exercises!Z329)&gt;0,_DB_Exercises!Z329,"")</f>
        <v/>
      </c>
      <c r="F215" s="31" t="str">
        <f>IF(LEN(_DB_Exercises!AA329)&gt;0,_DB_Exercises!AA329,"")</f>
        <v/>
      </c>
      <c r="G215" s="31" t="str">
        <f>IF(LEN(_DB_Exercises!AB329)&gt;0,_DB_Exercises!AB329,"")</f>
        <v/>
      </c>
      <c r="H215" s="31" t="str">
        <f>IF(LEN(_DB_Exercises!AC329)&gt;0,_DB_Exercises!AC329,"")</f>
        <v/>
      </c>
      <c r="I215" s="31" t="str">
        <f>IF(LEN(_DB_Exercises!AD329)&gt;0,_DB_Exercises!AD329,"")</f>
        <v/>
      </c>
      <c r="J215" s="31" t="str">
        <f>IF(LEN(_DB_Exercises!AE329)&gt;0,_DB_Exercises!AE329,"")</f>
        <v/>
      </c>
      <c r="K215" s="31" t="str">
        <f>IF(LEN(_DB_Exercises!AF329)&gt;0,_DB_Exercises!AF329,"")</f>
        <v/>
      </c>
      <c r="L215" s="31" t="str">
        <f>IF(LEN(_DB_Exercises!AG329)&gt;0,_DB_Exercises!AG329,"")</f>
        <v/>
      </c>
      <c r="M215" s="31" t="str">
        <f>IF(LEN(_DB_Exercises!AH329)&gt;0,_DB_Exercises!AH329,"")</f>
        <v/>
      </c>
      <c r="N215" s="31" t="str">
        <f>IF(LEN(_DB_Exercises!AI329)&gt;0,_DB_Exercises!AI329,"")</f>
        <v/>
      </c>
      <c r="O215" s="31" t="str">
        <f>IF(LEN(_DB_Exercises!AJ329)&gt;0,_DB_Exercises!AJ329,"")</f>
        <v/>
      </c>
      <c r="P215" s="31" t="str">
        <f>IF(LEN(_DB_Exercises!AK329)&gt;0,_DB_Exercises!AK329,"")</f>
        <v/>
      </c>
      <c r="Q215" s="31" t="str">
        <f>IF(LEN(_DB_Exercises!AL329)&gt;0,_DB_Exercises!AL329,"")</f>
        <v/>
      </c>
      <c r="R215" s="31" t="str">
        <f>IF(LEN(_DB_Exercises!AM329)&gt;0,_DB_Exercises!AM329,"")</f>
        <v/>
      </c>
      <c r="S215" s="31" t="str">
        <f>IF(LEN(_DB_Exercises!AN329)&gt;0,_DB_Exercises!AN329,"")</f>
        <v/>
      </c>
      <c r="T215" s="31" t="str">
        <f>IF(LEN(_DB_Exercises!AO329)&gt;0,_DB_Exercises!AO329,"")</f>
        <v/>
      </c>
      <c r="U215" s="31" t="str">
        <f>IF(LEN(_DB_Exercises!AP329)&gt;0,_DB_Exercises!AP329,"")</f>
        <v/>
      </c>
      <c r="V215" s="31" t="str">
        <f>IF(LEN(_DB_Exercises!AQ329)&gt;0,_DB_Exercises!AQ329,"")</f>
        <v/>
      </c>
      <c r="W215" s="31" t="str">
        <f>IF(LEN(_DB_Exercises!AR329)&gt;0,_DB_Exercises!AR329,"")</f>
        <v/>
      </c>
      <c r="X215" s="31" t="str">
        <f>IF(LEN(_DB_Exercises!AS329)&gt;0,_DB_Exercises!AS329,"")</f>
        <v/>
      </c>
      <c r="Y215" s="31" t="str">
        <f>IF(LEN(_DB_Exercises!AT329)&gt;0,_DB_Exercises!AT329,"")</f>
        <v/>
      </c>
      <c r="Z215" s="31" t="str">
        <f>IF(LEN(_DB_Exercises!AU329)&gt;0,_DB_Exercises!AU329,"")</f>
        <v/>
      </c>
      <c r="AA215" s="31" t="str">
        <f>IF(LEN(_DB_Exercises!AV329)&gt;0,_DB_Exercises!AV329,"")</f>
        <v/>
      </c>
      <c r="AB215" s="31" t="str">
        <f>IF(LEN(_DB_Exercises!AW329)&gt;0,_DB_Exercises!AW329,"")</f>
        <v/>
      </c>
      <c r="AC215" s="31" t="str">
        <f>IF(LEN(_DB_Exercises!AX329)&gt;0,_DB_Exercises!AX329,"")</f>
        <v/>
      </c>
      <c r="AD215" s="31" t="str">
        <f>IF(LEN(_DB_Exercises!AY329)&gt;0,_DB_Exercises!AY329,"")</f>
        <v/>
      </c>
      <c r="AE215" s="31" t="str">
        <f>IF(LEN(_DB_Exercises!AZ329)&gt;0,_DB_Exercises!AZ329,"")</f>
        <v/>
      </c>
      <c r="AF215" s="31" t="str">
        <f>IF(LEN(_DB_Exercises!BA329)&gt;0,_DB_Exercises!BA329,"")</f>
        <v/>
      </c>
      <c r="AG215" s="31" t="str">
        <f>IF(LEN(_DB_Exercises!BB329)&gt;0,_DB_Exercises!BB329,"")</f>
        <v/>
      </c>
      <c r="AH215" s="31" t="str">
        <f>IF(LEN(_DB_Exercises!BC329)&gt;0,_DB_Exercises!BC329,"")</f>
        <v/>
      </c>
      <c r="AI215" s="31" t="str">
        <f>IF(LEN(_DB_Exercises!BD329)&gt;0,_DB_Exercises!BD329,"")</f>
        <v/>
      </c>
      <c r="AJ215" s="31" t="str">
        <f>IF(LEN(_DB_Exercises!BE329)&gt;0,_DB_Exercises!BE329,"")</f>
        <v/>
      </c>
      <c r="AK215" s="31" t="str">
        <f>IF(LEN(_DB_Exercises!BF329)&gt;0,_DB_Exercises!BF329,"")</f>
        <v/>
      </c>
      <c r="AL215" s="31" t="str">
        <f>IF(LEN(_DB_Exercises!BG329)&gt;0,_DB_Exercises!BG329,"")</f>
        <v/>
      </c>
      <c r="AM215" s="31" t="str">
        <f>IF(LEN(_DB_Exercises!BH329)&gt;0,_DB_Exercises!BH329,"")</f>
        <v/>
      </c>
      <c r="AN215" s="31" t="str">
        <f>IF(LEN(_DB_Exercises!BI329)&gt;0,_DB_Exercises!BI329,"")</f>
        <v/>
      </c>
      <c r="AO215" s="31" t="str">
        <f>IF(LEN(_DB_Exercises!BJ329)&gt;0,_DB_Exercises!BJ329,"")</f>
        <v/>
      </c>
      <c r="AP215" s="31" t="str">
        <f>IF(LEN(_DB_Exercises!BK329)&gt;0,_DB_Exercises!BK329,"")</f>
        <v/>
      </c>
      <c r="AQ215" s="31" t="str">
        <f>IF(LEN(_DB_Exercises!BL329)&gt;0,_DB_Exercises!BL329,"")</f>
        <v/>
      </c>
      <c r="AR215" s="31" t="str">
        <f>IF(LEN(_DB_Exercises!BM329)&gt;0,_DB_Exercises!BM329,"")</f>
        <v/>
      </c>
    </row>
    <row r="216" spans="1:44" x14ac:dyDescent="0.25">
      <c r="A216" s="11" t="str">
        <f>IF(LEN(_DB_Exercises!A330)&gt;0,_DB_Exercises!A330,"")</f>
        <v/>
      </c>
      <c r="B216" s="14" t="str">
        <f>IF(LEN(_DB_Exercises!K330)&gt;0,_DB_Exercises!K330,"")</f>
        <v/>
      </c>
      <c r="C216" s="31" t="str">
        <f>IF(LEN(_DB_Exercises!X330)&gt;0,_DB_Exercises!X330,"")</f>
        <v/>
      </c>
      <c r="D216" s="31" t="str">
        <f>IF(LEN(_DB_Exercises!Y330)&gt;0,_DB_Exercises!Y330,"")</f>
        <v/>
      </c>
      <c r="E216" s="31" t="str">
        <f>IF(LEN(_DB_Exercises!Z330)&gt;0,_DB_Exercises!Z330,"")</f>
        <v/>
      </c>
      <c r="F216" s="31" t="str">
        <f>IF(LEN(_DB_Exercises!AA330)&gt;0,_DB_Exercises!AA330,"")</f>
        <v/>
      </c>
      <c r="G216" s="31" t="str">
        <f>IF(LEN(_DB_Exercises!AB330)&gt;0,_DB_Exercises!AB330,"")</f>
        <v/>
      </c>
      <c r="H216" s="31" t="str">
        <f>IF(LEN(_DB_Exercises!AC330)&gt;0,_DB_Exercises!AC330,"")</f>
        <v/>
      </c>
      <c r="I216" s="31" t="str">
        <f>IF(LEN(_DB_Exercises!AD330)&gt;0,_DB_Exercises!AD330,"")</f>
        <v/>
      </c>
      <c r="J216" s="31" t="str">
        <f>IF(LEN(_DB_Exercises!AE330)&gt;0,_DB_Exercises!AE330,"")</f>
        <v/>
      </c>
      <c r="K216" s="31" t="str">
        <f>IF(LEN(_DB_Exercises!AF330)&gt;0,_DB_Exercises!AF330,"")</f>
        <v/>
      </c>
      <c r="L216" s="31" t="str">
        <f>IF(LEN(_DB_Exercises!AG330)&gt;0,_DB_Exercises!AG330,"")</f>
        <v/>
      </c>
      <c r="M216" s="31" t="str">
        <f>IF(LEN(_DB_Exercises!AH330)&gt;0,_DB_Exercises!AH330,"")</f>
        <v/>
      </c>
      <c r="N216" s="31" t="str">
        <f>IF(LEN(_DB_Exercises!AI330)&gt;0,_DB_Exercises!AI330,"")</f>
        <v/>
      </c>
      <c r="O216" s="31" t="str">
        <f>IF(LEN(_DB_Exercises!AJ330)&gt;0,_DB_Exercises!AJ330,"")</f>
        <v/>
      </c>
      <c r="P216" s="31" t="str">
        <f>IF(LEN(_DB_Exercises!AK330)&gt;0,_DB_Exercises!AK330,"")</f>
        <v/>
      </c>
      <c r="Q216" s="31" t="str">
        <f>IF(LEN(_DB_Exercises!AL330)&gt;0,_DB_Exercises!AL330,"")</f>
        <v/>
      </c>
      <c r="R216" s="31" t="str">
        <f>IF(LEN(_DB_Exercises!AM330)&gt;0,_DB_Exercises!AM330,"")</f>
        <v/>
      </c>
      <c r="S216" s="31" t="str">
        <f>IF(LEN(_DB_Exercises!AN330)&gt;0,_DB_Exercises!AN330,"")</f>
        <v/>
      </c>
      <c r="T216" s="31" t="str">
        <f>IF(LEN(_DB_Exercises!AO330)&gt;0,_DB_Exercises!AO330,"")</f>
        <v/>
      </c>
      <c r="U216" s="31" t="str">
        <f>IF(LEN(_DB_Exercises!AP330)&gt;0,_DB_Exercises!AP330,"")</f>
        <v/>
      </c>
      <c r="V216" s="31" t="str">
        <f>IF(LEN(_DB_Exercises!AQ330)&gt;0,_DB_Exercises!AQ330,"")</f>
        <v/>
      </c>
      <c r="W216" s="31" t="str">
        <f>IF(LEN(_DB_Exercises!AR330)&gt;0,_DB_Exercises!AR330,"")</f>
        <v/>
      </c>
      <c r="X216" s="31" t="str">
        <f>IF(LEN(_DB_Exercises!AS330)&gt;0,_DB_Exercises!AS330,"")</f>
        <v/>
      </c>
      <c r="Y216" s="31" t="str">
        <f>IF(LEN(_DB_Exercises!AT330)&gt;0,_DB_Exercises!AT330,"")</f>
        <v/>
      </c>
      <c r="Z216" s="31" t="str">
        <f>IF(LEN(_DB_Exercises!AU330)&gt;0,_DB_Exercises!AU330,"")</f>
        <v/>
      </c>
      <c r="AA216" s="31" t="str">
        <f>IF(LEN(_DB_Exercises!AV330)&gt;0,_DB_Exercises!AV330,"")</f>
        <v/>
      </c>
      <c r="AB216" s="31" t="str">
        <f>IF(LEN(_DB_Exercises!AW330)&gt;0,_DB_Exercises!AW330,"")</f>
        <v/>
      </c>
      <c r="AC216" s="31" t="str">
        <f>IF(LEN(_DB_Exercises!AX330)&gt;0,_DB_Exercises!AX330,"")</f>
        <v/>
      </c>
      <c r="AD216" s="31" t="str">
        <f>IF(LEN(_DB_Exercises!AY330)&gt;0,_DB_Exercises!AY330,"")</f>
        <v/>
      </c>
      <c r="AE216" s="31" t="str">
        <f>IF(LEN(_DB_Exercises!AZ330)&gt;0,_DB_Exercises!AZ330,"")</f>
        <v/>
      </c>
      <c r="AF216" s="31" t="str">
        <f>IF(LEN(_DB_Exercises!BA330)&gt;0,_DB_Exercises!BA330,"")</f>
        <v/>
      </c>
      <c r="AG216" s="31" t="str">
        <f>IF(LEN(_DB_Exercises!BB330)&gt;0,_DB_Exercises!BB330,"")</f>
        <v/>
      </c>
      <c r="AH216" s="31" t="str">
        <f>IF(LEN(_DB_Exercises!BC330)&gt;0,_DB_Exercises!BC330,"")</f>
        <v/>
      </c>
      <c r="AI216" s="31" t="str">
        <f>IF(LEN(_DB_Exercises!BD330)&gt;0,_DB_Exercises!BD330,"")</f>
        <v/>
      </c>
      <c r="AJ216" s="31" t="str">
        <f>IF(LEN(_DB_Exercises!BE330)&gt;0,_DB_Exercises!BE330,"")</f>
        <v/>
      </c>
      <c r="AK216" s="31" t="str">
        <f>IF(LEN(_DB_Exercises!BF330)&gt;0,_DB_Exercises!BF330,"")</f>
        <v/>
      </c>
      <c r="AL216" s="31" t="str">
        <f>IF(LEN(_DB_Exercises!BG330)&gt;0,_DB_Exercises!BG330,"")</f>
        <v/>
      </c>
      <c r="AM216" s="31" t="str">
        <f>IF(LEN(_DB_Exercises!BH330)&gt;0,_DB_Exercises!BH330,"")</f>
        <v/>
      </c>
      <c r="AN216" s="31" t="str">
        <f>IF(LEN(_DB_Exercises!BI330)&gt;0,_DB_Exercises!BI330,"")</f>
        <v/>
      </c>
      <c r="AO216" s="31" t="str">
        <f>IF(LEN(_DB_Exercises!BJ330)&gt;0,_DB_Exercises!BJ330,"")</f>
        <v/>
      </c>
      <c r="AP216" s="31" t="str">
        <f>IF(LEN(_DB_Exercises!BK330)&gt;0,_DB_Exercises!BK330,"")</f>
        <v/>
      </c>
      <c r="AQ216" s="31" t="str">
        <f>IF(LEN(_DB_Exercises!BL330)&gt;0,_DB_Exercises!BL330,"")</f>
        <v/>
      </c>
      <c r="AR216" s="31" t="str">
        <f>IF(LEN(_DB_Exercises!BM330)&gt;0,_DB_Exercises!BM330,"")</f>
        <v/>
      </c>
    </row>
    <row r="217" spans="1:44" x14ac:dyDescent="0.25">
      <c r="A217" s="11" t="str">
        <f>IF(LEN(_DB_Exercises!A331)&gt;0,_DB_Exercises!A331,"")</f>
        <v/>
      </c>
      <c r="B217" s="14" t="str">
        <f>IF(LEN(_DB_Exercises!K331)&gt;0,_DB_Exercises!K331,"")</f>
        <v/>
      </c>
      <c r="C217" s="31" t="str">
        <f>IF(LEN(_DB_Exercises!X331)&gt;0,_DB_Exercises!X331,"")</f>
        <v/>
      </c>
      <c r="D217" s="31" t="str">
        <f>IF(LEN(_DB_Exercises!Y331)&gt;0,_DB_Exercises!Y331,"")</f>
        <v/>
      </c>
      <c r="E217" s="31" t="str">
        <f>IF(LEN(_DB_Exercises!Z331)&gt;0,_DB_Exercises!Z331,"")</f>
        <v/>
      </c>
      <c r="F217" s="31" t="str">
        <f>IF(LEN(_DB_Exercises!AA331)&gt;0,_DB_Exercises!AA331,"")</f>
        <v/>
      </c>
      <c r="G217" s="31" t="str">
        <f>IF(LEN(_DB_Exercises!AB331)&gt;0,_DB_Exercises!AB331,"")</f>
        <v/>
      </c>
      <c r="H217" s="31" t="str">
        <f>IF(LEN(_DB_Exercises!AC331)&gt;0,_DB_Exercises!AC331,"")</f>
        <v/>
      </c>
      <c r="I217" s="31" t="str">
        <f>IF(LEN(_DB_Exercises!AD331)&gt;0,_DB_Exercises!AD331,"")</f>
        <v/>
      </c>
      <c r="J217" s="31" t="str">
        <f>IF(LEN(_DB_Exercises!AE331)&gt;0,_DB_Exercises!AE331,"")</f>
        <v/>
      </c>
      <c r="K217" s="31" t="str">
        <f>IF(LEN(_DB_Exercises!AF331)&gt;0,_DB_Exercises!AF331,"")</f>
        <v/>
      </c>
      <c r="L217" s="31" t="str">
        <f>IF(LEN(_DB_Exercises!AG331)&gt;0,_DB_Exercises!AG331,"")</f>
        <v/>
      </c>
      <c r="M217" s="31" t="str">
        <f>IF(LEN(_DB_Exercises!AH331)&gt;0,_DB_Exercises!AH331,"")</f>
        <v/>
      </c>
      <c r="N217" s="31" t="str">
        <f>IF(LEN(_DB_Exercises!AI331)&gt;0,_DB_Exercises!AI331,"")</f>
        <v/>
      </c>
      <c r="O217" s="31" t="str">
        <f>IF(LEN(_DB_Exercises!AJ331)&gt;0,_DB_Exercises!AJ331,"")</f>
        <v/>
      </c>
      <c r="P217" s="31" t="str">
        <f>IF(LEN(_DB_Exercises!AK331)&gt;0,_DB_Exercises!AK331,"")</f>
        <v/>
      </c>
      <c r="Q217" s="31" t="str">
        <f>IF(LEN(_DB_Exercises!AL331)&gt;0,_DB_Exercises!AL331,"")</f>
        <v/>
      </c>
      <c r="R217" s="31" t="str">
        <f>IF(LEN(_DB_Exercises!AM331)&gt;0,_DB_Exercises!AM331,"")</f>
        <v/>
      </c>
      <c r="S217" s="31" t="str">
        <f>IF(LEN(_DB_Exercises!AN331)&gt;0,_DB_Exercises!AN331,"")</f>
        <v/>
      </c>
      <c r="T217" s="31" t="str">
        <f>IF(LEN(_DB_Exercises!AO331)&gt;0,_DB_Exercises!AO331,"")</f>
        <v/>
      </c>
      <c r="U217" s="31" t="str">
        <f>IF(LEN(_DB_Exercises!AP331)&gt;0,_DB_Exercises!AP331,"")</f>
        <v/>
      </c>
      <c r="V217" s="31" t="str">
        <f>IF(LEN(_DB_Exercises!AQ331)&gt;0,_DB_Exercises!AQ331,"")</f>
        <v/>
      </c>
      <c r="W217" s="31" t="str">
        <f>IF(LEN(_DB_Exercises!AR331)&gt;0,_DB_Exercises!AR331,"")</f>
        <v/>
      </c>
      <c r="X217" s="31" t="str">
        <f>IF(LEN(_DB_Exercises!AS331)&gt;0,_DB_Exercises!AS331,"")</f>
        <v/>
      </c>
      <c r="Y217" s="31" t="str">
        <f>IF(LEN(_DB_Exercises!AT331)&gt;0,_DB_Exercises!AT331,"")</f>
        <v/>
      </c>
      <c r="Z217" s="31" t="str">
        <f>IF(LEN(_DB_Exercises!AU331)&gt;0,_DB_Exercises!AU331,"")</f>
        <v/>
      </c>
      <c r="AA217" s="31" t="str">
        <f>IF(LEN(_DB_Exercises!AV331)&gt;0,_DB_Exercises!AV331,"")</f>
        <v/>
      </c>
      <c r="AB217" s="31" t="str">
        <f>IF(LEN(_DB_Exercises!AW331)&gt;0,_DB_Exercises!AW331,"")</f>
        <v/>
      </c>
      <c r="AC217" s="31" t="str">
        <f>IF(LEN(_DB_Exercises!AX331)&gt;0,_DB_Exercises!AX331,"")</f>
        <v/>
      </c>
      <c r="AD217" s="31" t="str">
        <f>IF(LEN(_DB_Exercises!AY331)&gt;0,_DB_Exercises!AY331,"")</f>
        <v/>
      </c>
      <c r="AE217" s="31" t="str">
        <f>IF(LEN(_DB_Exercises!AZ331)&gt;0,_DB_Exercises!AZ331,"")</f>
        <v/>
      </c>
      <c r="AF217" s="31" t="str">
        <f>IF(LEN(_DB_Exercises!BA331)&gt;0,_DB_Exercises!BA331,"")</f>
        <v/>
      </c>
      <c r="AG217" s="31" t="str">
        <f>IF(LEN(_DB_Exercises!BB331)&gt;0,_DB_Exercises!BB331,"")</f>
        <v/>
      </c>
      <c r="AH217" s="31" t="str">
        <f>IF(LEN(_DB_Exercises!BC331)&gt;0,_DB_Exercises!BC331,"")</f>
        <v/>
      </c>
      <c r="AI217" s="31" t="str">
        <f>IF(LEN(_DB_Exercises!BD331)&gt;0,_DB_Exercises!BD331,"")</f>
        <v/>
      </c>
      <c r="AJ217" s="31" t="str">
        <f>IF(LEN(_DB_Exercises!BE331)&gt;0,_DB_Exercises!BE331,"")</f>
        <v/>
      </c>
      <c r="AK217" s="31" t="str">
        <f>IF(LEN(_DB_Exercises!BF331)&gt;0,_DB_Exercises!BF331,"")</f>
        <v/>
      </c>
      <c r="AL217" s="31" t="str">
        <f>IF(LEN(_DB_Exercises!BG331)&gt;0,_DB_Exercises!BG331,"")</f>
        <v/>
      </c>
      <c r="AM217" s="31" t="str">
        <f>IF(LEN(_DB_Exercises!BH331)&gt;0,_DB_Exercises!BH331,"")</f>
        <v/>
      </c>
      <c r="AN217" s="31" t="str">
        <f>IF(LEN(_DB_Exercises!BI331)&gt;0,_DB_Exercises!BI331,"")</f>
        <v/>
      </c>
      <c r="AO217" s="31" t="str">
        <f>IF(LEN(_DB_Exercises!BJ331)&gt;0,_DB_Exercises!BJ331,"")</f>
        <v/>
      </c>
      <c r="AP217" s="31" t="str">
        <f>IF(LEN(_DB_Exercises!BK331)&gt;0,_DB_Exercises!BK331,"")</f>
        <v/>
      </c>
      <c r="AQ217" s="31" t="str">
        <f>IF(LEN(_DB_Exercises!BL331)&gt;0,_DB_Exercises!BL331,"")</f>
        <v/>
      </c>
      <c r="AR217" s="31" t="str">
        <f>IF(LEN(_DB_Exercises!BM331)&gt;0,_DB_Exercises!BM331,"")</f>
        <v/>
      </c>
    </row>
    <row r="218" spans="1:44" x14ac:dyDescent="0.25">
      <c r="A218" s="11" t="str">
        <f>IF(LEN(_DB_Exercises!A332)&gt;0,_DB_Exercises!A332,"")</f>
        <v/>
      </c>
      <c r="B218" s="14" t="str">
        <f>IF(LEN(_DB_Exercises!K332)&gt;0,_DB_Exercises!K332,"")</f>
        <v/>
      </c>
      <c r="C218" s="31" t="str">
        <f>IF(LEN(_DB_Exercises!X332)&gt;0,_DB_Exercises!X332,"")</f>
        <v/>
      </c>
      <c r="D218" s="31" t="str">
        <f>IF(LEN(_DB_Exercises!Y332)&gt;0,_DB_Exercises!Y332,"")</f>
        <v/>
      </c>
      <c r="E218" s="31" t="str">
        <f>IF(LEN(_DB_Exercises!Z332)&gt;0,_DB_Exercises!Z332,"")</f>
        <v/>
      </c>
      <c r="F218" s="31" t="str">
        <f>IF(LEN(_DB_Exercises!AA332)&gt;0,_DB_Exercises!AA332,"")</f>
        <v/>
      </c>
      <c r="G218" s="31" t="str">
        <f>IF(LEN(_DB_Exercises!AB332)&gt;0,_DB_Exercises!AB332,"")</f>
        <v/>
      </c>
      <c r="H218" s="31" t="str">
        <f>IF(LEN(_DB_Exercises!AC332)&gt;0,_DB_Exercises!AC332,"")</f>
        <v/>
      </c>
      <c r="I218" s="31" t="str">
        <f>IF(LEN(_DB_Exercises!AD332)&gt;0,_DB_Exercises!AD332,"")</f>
        <v/>
      </c>
      <c r="J218" s="31" t="str">
        <f>IF(LEN(_DB_Exercises!AE332)&gt;0,_DB_Exercises!AE332,"")</f>
        <v/>
      </c>
      <c r="K218" s="31" t="str">
        <f>IF(LEN(_DB_Exercises!AF332)&gt;0,_DB_Exercises!AF332,"")</f>
        <v/>
      </c>
      <c r="L218" s="31" t="str">
        <f>IF(LEN(_DB_Exercises!AG332)&gt;0,_DB_Exercises!AG332,"")</f>
        <v/>
      </c>
      <c r="M218" s="31" t="str">
        <f>IF(LEN(_DB_Exercises!AH332)&gt;0,_DB_Exercises!AH332,"")</f>
        <v/>
      </c>
      <c r="N218" s="31" t="str">
        <f>IF(LEN(_DB_Exercises!AI332)&gt;0,_DB_Exercises!AI332,"")</f>
        <v/>
      </c>
      <c r="O218" s="31" t="str">
        <f>IF(LEN(_DB_Exercises!AJ332)&gt;0,_DB_Exercises!AJ332,"")</f>
        <v/>
      </c>
      <c r="P218" s="31" t="str">
        <f>IF(LEN(_DB_Exercises!AK332)&gt;0,_DB_Exercises!AK332,"")</f>
        <v/>
      </c>
      <c r="Q218" s="31" t="str">
        <f>IF(LEN(_DB_Exercises!AL332)&gt;0,_DB_Exercises!AL332,"")</f>
        <v/>
      </c>
      <c r="R218" s="31" t="str">
        <f>IF(LEN(_DB_Exercises!AM332)&gt;0,_DB_Exercises!AM332,"")</f>
        <v/>
      </c>
      <c r="S218" s="31" t="str">
        <f>IF(LEN(_DB_Exercises!AN332)&gt;0,_DB_Exercises!AN332,"")</f>
        <v/>
      </c>
      <c r="T218" s="31" t="str">
        <f>IF(LEN(_DB_Exercises!AO332)&gt;0,_DB_Exercises!AO332,"")</f>
        <v/>
      </c>
      <c r="U218" s="31" t="str">
        <f>IF(LEN(_DB_Exercises!AP332)&gt;0,_DB_Exercises!AP332,"")</f>
        <v/>
      </c>
      <c r="V218" s="31" t="str">
        <f>IF(LEN(_DB_Exercises!AQ332)&gt;0,_DB_Exercises!AQ332,"")</f>
        <v/>
      </c>
      <c r="W218" s="31" t="str">
        <f>IF(LEN(_DB_Exercises!AR332)&gt;0,_DB_Exercises!AR332,"")</f>
        <v/>
      </c>
      <c r="X218" s="31" t="str">
        <f>IF(LEN(_DB_Exercises!AS332)&gt;0,_DB_Exercises!AS332,"")</f>
        <v/>
      </c>
      <c r="Y218" s="31" t="str">
        <f>IF(LEN(_DB_Exercises!AT332)&gt;0,_DB_Exercises!AT332,"")</f>
        <v/>
      </c>
      <c r="Z218" s="31" t="str">
        <f>IF(LEN(_DB_Exercises!AU332)&gt;0,_DB_Exercises!AU332,"")</f>
        <v/>
      </c>
      <c r="AA218" s="31" t="str">
        <f>IF(LEN(_DB_Exercises!AV332)&gt;0,_DB_Exercises!AV332,"")</f>
        <v/>
      </c>
      <c r="AB218" s="31" t="str">
        <f>IF(LEN(_DB_Exercises!AW332)&gt;0,_DB_Exercises!AW332,"")</f>
        <v/>
      </c>
      <c r="AC218" s="31" t="str">
        <f>IF(LEN(_DB_Exercises!AX332)&gt;0,_DB_Exercises!AX332,"")</f>
        <v/>
      </c>
      <c r="AD218" s="31" t="str">
        <f>IF(LEN(_DB_Exercises!AY332)&gt;0,_DB_Exercises!AY332,"")</f>
        <v/>
      </c>
      <c r="AE218" s="31" t="str">
        <f>IF(LEN(_DB_Exercises!AZ332)&gt;0,_DB_Exercises!AZ332,"")</f>
        <v/>
      </c>
      <c r="AF218" s="31" t="str">
        <f>IF(LEN(_DB_Exercises!BA332)&gt;0,_DB_Exercises!BA332,"")</f>
        <v/>
      </c>
      <c r="AG218" s="31" t="str">
        <f>IF(LEN(_DB_Exercises!BB332)&gt;0,_DB_Exercises!BB332,"")</f>
        <v/>
      </c>
      <c r="AH218" s="31" t="str">
        <f>IF(LEN(_DB_Exercises!BC332)&gt;0,_DB_Exercises!BC332,"")</f>
        <v/>
      </c>
      <c r="AI218" s="31" t="str">
        <f>IF(LEN(_DB_Exercises!BD332)&gt;0,_DB_Exercises!BD332,"")</f>
        <v/>
      </c>
      <c r="AJ218" s="31" t="str">
        <f>IF(LEN(_DB_Exercises!BE332)&gt;0,_DB_Exercises!BE332,"")</f>
        <v/>
      </c>
      <c r="AK218" s="31" t="str">
        <f>IF(LEN(_DB_Exercises!BF332)&gt;0,_DB_Exercises!BF332,"")</f>
        <v/>
      </c>
      <c r="AL218" s="31" t="str">
        <f>IF(LEN(_DB_Exercises!BG332)&gt;0,_DB_Exercises!BG332,"")</f>
        <v/>
      </c>
      <c r="AM218" s="31" t="str">
        <f>IF(LEN(_DB_Exercises!BH332)&gt;0,_DB_Exercises!BH332,"")</f>
        <v/>
      </c>
      <c r="AN218" s="31" t="str">
        <f>IF(LEN(_DB_Exercises!BI332)&gt;0,_DB_Exercises!BI332,"")</f>
        <v/>
      </c>
      <c r="AO218" s="31" t="str">
        <f>IF(LEN(_DB_Exercises!BJ332)&gt;0,_DB_Exercises!BJ332,"")</f>
        <v/>
      </c>
      <c r="AP218" s="31" t="str">
        <f>IF(LEN(_DB_Exercises!BK332)&gt;0,_DB_Exercises!BK332,"")</f>
        <v/>
      </c>
      <c r="AQ218" s="31" t="str">
        <f>IF(LEN(_DB_Exercises!BL332)&gt;0,_DB_Exercises!BL332,"")</f>
        <v/>
      </c>
      <c r="AR218" s="31" t="str">
        <f>IF(LEN(_DB_Exercises!BM332)&gt;0,_DB_Exercises!BM332,"")</f>
        <v/>
      </c>
    </row>
    <row r="219" spans="1:44" x14ac:dyDescent="0.25">
      <c r="A219" s="11" t="str">
        <f>IF(LEN(_DB_Exercises!A333)&gt;0,_DB_Exercises!A333,"")</f>
        <v/>
      </c>
      <c r="B219" s="14" t="str">
        <f>IF(LEN(_DB_Exercises!K333)&gt;0,_DB_Exercises!K333,"")</f>
        <v/>
      </c>
      <c r="C219" s="31" t="str">
        <f>IF(LEN(_DB_Exercises!X333)&gt;0,_DB_Exercises!X333,"")</f>
        <v/>
      </c>
      <c r="D219" s="31" t="str">
        <f>IF(LEN(_DB_Exercises!Y333)&gt;0,_DB_Exercises!Y333,"")</f>
        <v/>
      </c>
      <c r="E219" s="31" t="str">
        <f>IF(LEN(_DB_Exercises!Z333)&gt;0,_DB_Exercises!Z333,"")</f>
        <v/>
      </c>
      <c r="F219" s="31" t="str">
        <f>IF(LEN(_DB_Exercises!AA333)&gt;0,_DB_Exercises!AA333,"")</f>
        <v/>
      </c>
      <c r="G219" s="31" t="str">
        <f>IF(LEN(_DB_Exercises!AB333)&gt;0,_DB_Exercises!AB333,"")</f>
        <v/>
      </c>
      <c r="H219" s="31" t="str">
        <f>IF(LEN(_DB_Exercises!AC333)&gt;0,_DB_Exercises!AC333,"")</f>
        <v/>
      </c>
      <c r="I219" s="31" t="str">
        <f>IF(LEN(_DB_Exercises!AD333)&gt;0,_DB_Exercises!AD333,"")</f>
        <v/>
      </c>
      <c r="J219" s="31" t="str">
        <f>IF(LEN(_DB_Exercises!AE333)&gt;0,_DB_Exercises!AE333,"")</f>
        <v/>
      </c>
      <c r="K219" s="31" t="str">
        <f>IF(LEN(_DB_Exercises!AF333)&gt;0,_DB_Exercises!AF333,"")</f>
        <v/>
      </c>
      <c r="L219" s="31" t="str">
        <f>IF(LEN(_DB_Exercises!AG333)&gt;0,_DB_Exercises!AG333,"")</f>
        <v/>
      </c>
      <c r="M219" s="31" t="str">
        <f>IF(LEN(_DB_Exercises!AH333)&gt;0,_DB_Exercises!AH333,"")</f>
        <v/>
      </c>
      <c r="N219" s="31" t="str">
        <f>IF(LEN(_DB_Exercises!AI333)&gt;0,_DB_Exercises!AI333,"")</f>
        <v/>
      </c>
      <c r="O219" s="31" t="str">
        <f>IF(LEN(_DB_Exercises!AJ333)&gt;0,_DB_Exercises!AJ333,"")</f>
        <v/>
      </c>
      <c r="P219" s="31" t="str">
        <f>IF(LEN(_DB_Exercises!AK333)&gt;0,_DB_Exercises!AK333,"")</f>
        <v/>
      </c>
      <c r="Q219" s="31" t="str">
        <f>IF(LEN(_DB_Exercises!AL333)&gt;0,_DB_Exercises!AL333,"")</f>
        <v/>
      </c>
      <c r="R219" s="31" t="str">
        <f>IF(LEN(_DB_Exercises!AM333)&gt;0,_DB_Exercises!AM333,"")</f>
        <v/>
      </c>
      <c r="S219" s="31" t="str">
        <f>IF(LEN(_DB_Exercises!AN333)&gt;0,_DB_Exercises!AN333,"")</f>
        <v/>
      </c>
      <c r="T219" s="31" t="str">
        <f>IF(LEN(_DB_Exercises!AO333)&gt;0,_DB_Exercises!AO333,"")</f>
        <v/>
      </c>
      <c r="U219" s="31" t="str">
        <f>IF(LEN(_DB_Exercises!AP333)&gt;0,_DB_Exercises!AP333,"")</f>
        <v/>
      </c>
      <c r="V219" s="31" t="str">
        <f>IF(LEN(_DB_Exercises!AQ333)&gt;0,_DB_Exercises!AQ333,"")</f>
        <v/>
      </c>
      <c r="W219" s="31" t="str">
        <f>IF(LEN(_DB_Exercises!AR333)&gt;0,_DB_Exercises!AR333,"")</f>
        <v/>
      </c>
      <c r="X219" s="31" t="str">
        <f>IF(LEN(_DB_Exercises!AS333)&gt;0,_DB_Exercises!AS333,"")</f>
        <v/>
      </c>
      <c r="Y219" s="31" t="str">
        <f>IF(LEN(_DB_Exercises!AT333)&gt;0,_DB_Exercises!AT333,"")</f>
        <v/>
      </c>
      <c r="Z219" s="31" t="str">
        <f>IF(LEN(_DB_Exercises!AU333)&gt;0,_DB_Exercises!AU333,"")</f>
        <v/>
      </c>
      <c r="AA219" s="31" t="str">
        <f>IF(LEN(_DB_Exercises!AV333)&gt;0,_DB_Exercises!AV333,"")</f>
        <v/>
      </c>
      <c r="AB219" s="31" t="str">
        <f>IF(LEN(_DB_Exercises!AW333)&gt;0,_DB_Exercises!AW333,"")</f>
        <v/>
      </c>
      <c r="AC219" s="31" t="str">
        <f>IF(LEN(_DB_Exercises!AX333)&gt;0,_DB_Exercises!AX333,"")</f>
        <v/>
      </c>
      <c r="AD219" s="31" t="str">
        <f>IF(LEN(_DB_Exercises!AY333)&gt;0,_DB_Exercises!AY333,"")</f>
        <v/>
      </c>
      <c r="AE219" s="31" t="str">
        <f>IF(LEN(_DB_Exercises!AZ333)&gt;0,_DB_Exercises!AZ333,"")</f>
        <v/>
      </c>
      <c r="AF219" s="31" t="str">
        <f>IF(LEN(_DB_Exercises!BA333)&gt;0,_DB_Exercises!BA333,"")</f>
        <v/>
      </c>
      <c r="AG219" s="31" t="str">
        <f>IF(LEN(_DB_Exercises!BB333)&gt;0,_DB_Exercises!BB333,"")</f>
        <v/>
      </c>
      <c r="AH219" s="31" t="str">
        <f>IF(LEN(_DB_Exercises!BC333)&gt;0,_DB_Exercises!BC333,"")</f>
        <v/>
      </c>
      <c r="AI219" s="31" t="str">
        <f>IF(LEN(_DB_Exercises!BD333)&gt;0,_DB_Exercises!BD333,"")</f>
        <v/>
      </c>
      <c r="AJ219" s="31" t="str">
        <f>IF(LEN(_DB_Exercises!BE333)&gt;0,_DB_Exercises!BE333,"")</f>
        <v/>
      </c>
      <c r="AK219" s="31" t="str">
        <f>IF(LEN(_DB_Exercises!BF333)&gt;0,_DB_Exercises!BF333,"")</f>
        <v/>
      </c>
      <c r="AL219" s="31" t="str">
        <f>IF(LEN(_DB_Exercises!BG333)&gt;0,_DB_Exercises!BG333,"")</f>
        <v/>
      </c>
      <c r="AM219" s="31" t="str">
        <f>IF(LEN(_DB_Exercises!BH333)&gt;0,_DB_Exercises!BH333,"")</f>
        <v/>
      </c>
      <c r="AN219" s="31" t="str">
        <f>IF(LEN(_DB_Exercises!BI333)&gt;0,_DB_Exercises!BI333,"")</f>
        <v/>
      </c>
      <c r="AO219" s="31" t="str">
        <f>IF(LEN(_DB_Exercises!BJ333)&gt;0,_DB_Exercises!BJ333,"")</f>
        <v/>
      </c>
      <c r="AP219" s="31" t="str">
        <f>IF(LEN(_DB_Exercises!BK333)&gt;0,_DB_Exercises!BK333,"")</f>
        <v/>
      </c>
      <c r="AQ219" s="31" t="str">
        <f>IF(LEN(_DB_Exercises!BL333)&gt;0,_DB_Exercises!BL333,"")</f>
        <v/>
      </c>
      <c r="AR219" s="31" t="str">
        <f>IF(LEN(_DB_Exercises!BM333)&gt;0,_DB_Exercises!BM333,"")</f>
        <v/>
      </c>
    </row>
    <row r="220" spans="1:44" x14ac:dyDescent="0.25">
      <c r="A220" s="11" t="str">
        <f>IF(LEN(_DB_Exercises!A334)&gt;0,_DB_Exercises!A334,"")</f>
        <v/>
      </c>
      <c r="B220" s="14" t="str">
        <f>IF(LEN(_DB_Exercises!K334)&gt;0,_DB_Exercises!K334,"")</f>
        <v/>
      </c>
      <c r="C220" s="31" t="str">
        <f>IF(LEN(_DB_Exercises!X334)&gt;0,_DB_Exercises!X334,"")</f>
        <v/>
      </c>
      <c r="D220" s="31" t="str">
        <f>IF(LEN(_DB_Exercises!Y334)&gt;0,_DB_Exercises!Y334,"")</f>
        <v/>
      </c>
      <c r="E220" s="31" t="str">
        <f>IF(LEN(_DB_Exercises!Z334)&gt;0,_DB_Exercises!Z334,"")</f>
        <v/>
      </c>
      <c r="F220" s="31" t="str">
        <f>IF(LEN(_DB_Exercises!AA334)&gt;0,_DB_Exercises!AA334,"")</f>
        <v/>
      </c>
      <c r="G220" s="31" t="str">
        <f>IF(LEN(_DB_Exercises!AB334)&gt;0,_DB_Exercises!AB334,"")</f>
        <v/>
      </c>
      <c r="H220" s="31" t="str">
        <f>IF(LEN(_DB_Exercises!AC334)&gt;0,_DB_Exercises!AC334,"")</f>
        <v/>
      </c>
      <c r="I220" s="31" t="str">
        <f>IF(LEN(_DB_Exercises!AD334)&gt;0,_DB_Exercises!AD334,"")</f>
        <v/>
      </c>
      <c r="J220" s="31" t="str">
        <f>IF(LEN(_DB_Exercises!AE334)&gt;0,_DB_Exercises!AE334,"")</f>
        <v/>
      </c>
      <c r="K220" s="31" t="str">
        <f>IF(LEN(_DB_Exercises!AF334)&gt;0,_DB_Exercises!AF334,"")</f>
        <v/>
      </c>
      <c r="L220" s="31" t="str">
        <f>IF(LEN(_DB_Exercises!AG334)&gt;0,_DB_Exercises!AG334,"")</f>
        <v/>
      </c>
      <c r="M220" s="31" t="str">
        <f>IF(LEN(_DB_Exercises!AH334)&gt;0,_DB_Exercises!AH334,"")</f>
        <v/>
      </c>
      <c r="N220" s="31" t="str">
        <f>IF(LEN(_DB_Exercises!AI334)&gt;0,_DB_Exercises!AI334,"")</f>
        <v/>
      </c>
      <c r="O220" s="31" t="str">
        <f>IF(LEN(_DB_Exercises!AJ334)&gt;0,_DB_Exercises!AJ334,"")</f>
        <v/>
      </c>
      <c r="P220" s="31" t="str">
        <f>IF(LEN(_DB_Exercises!AK334)&gt;0,_DB_Exercises!AK334,"")</f>
        <v/>
      </c>
      <c r="Q220" s="31" t="str">
        <f>IF(LEN(_DB_Exercises!AL334)&gt;0,_DB_Exercises!AL334,"")</f>
        <v/>
      </c>
      <c r="R220" s="31" t="str">
        <f>IF(LEN(_DB_Exercises!AM334)&gt;0,_DB_Exercises!AM334,"")</f>
        <v/>
      </c>
      <c r="S220" s="31" t="str">
        <f>IF(LEN(_DB_Exercises!AN334)&gt;0,_DB_Exercises!AN334,"")</f>
        <v/>
      </c>
      <c r="T220" s="31" t="str">
        <f>IF(LEN(_DB_Exercises!AO334)&gt;0,_DB_Exercises!AO334,"")</f>
        <v/>
      </c>
      <c r="U220" s="31" t="str">
        <f>IF(LEN(_DB_Exercises!AP334)&gt;0,_DB_Exercises!AP334,"")</f>
        <v/>
      </c>
      <c r="V220" s="31" t="str">
        <f>IF(LEN(_DB_Exercises!AQ334)&gt;0,_DB_Exercises!AQ334,"")</f>
        <v/>
      </c>
      <c r="W220" s="31" t="str">
        <f>IF(LEN(_DB_Exercises!AR334)&gt;0,_DB_Exercises!AR334,"")</f>
        <v/>
      </c>
      <c r="X220" s="31" t="str">
        <f>IF(LEN(_DB_Exercises!AS334)&gt;0,_DB_Exercises!AS334,"")</f>
        <v/>
      </c>
      <c r="Y220" s="31" t="str">
        <f>IF(LEN(_DB_Exercises!AT334)&gt;0,_DB_Exercises!AT334,"")</f>
        <v/>
      </c>
      <c r="Z220" s="31" t="str">
        <f>IF(LEN(_DB_Exercises!AU334)&gt;0,_DB_Exercises!AU334,"")</f>
        <v/>
      </c>
      <c r="AA220" s="31" t="str">
        <f>IF(LEN(_DB_Exercises!AV334)&gt;0,_DB_Exercises!AV334,"")</f>
        <v/>
      </c>
      <c r="AB220" s="31" t="str">
        <f>IF(LEN(_DB_Exercises!AW334)&gt;0,_DB_Exercises!AW334,"")</f>
        <v/>
      </c>
      <c r="AC220" s="31" t="str">
        <f>IF(LEN(_DB_Exercises!AX334)&gt;0,_DB_Exercises!AX334,"")</f>
        <v/>
      </c>
      <c r="AD220" s="31" t="str">
        <f>IF(LEN(_DB_Exercises!AY334)&gt;0,_DB_Exercises!AY334,"")</f>
        <v/>
      </c>
      <c r="AE220" s="31" t="str">
        <f>IF(LEN(_DB_Exercises!AZ334)&gt;0,_DB_Exercises!AZ334,"")</f>
        <v/>
      </c>
      <c r="AF220" s="31" t="str">
        <f>IF(LEN(_DB_Exercises!BA334)&gt;0,_DB_Exercises!BA334,"")</f>
        <v/>
      </c>
      <c r="AG220" s="31" t="str">
        <f>IF(LEN(_DB_Exercises!BB334)&gt;0,_DB_Exercises!BB334,"")</f>
        <v/>
      </c>
      <c r="AH220" s="31" t="str">
        <f>IF(LEN(_DB_Exercises!BC334)&gt;0,_DB_Exercises!BC334,"")</f>
        <v/>
      </c>
      <c r="AI220" s="31" t="str">
        <f>IF(LEN(_DB_Exercises!BD334)&gt;0,_DB_Exercises!BD334,"")</f>
        <v/>
      </c>
      <c r="AJ220" s="31" t="str">
        <f>IF(LEN(_DB_Exercises!BE334)&gt;0,_DB_Exercises!BE334,"")</f>
        <v/>
      </c>
      <c r="AK220" s="31" t="str">
        <f>IF(LEN(_DB_Exercises!BF334)&gt;0,_DB_Exercises!BF334,"")</f>
        <v/>
      </c>
      <c r="AL220" s="31" t="str">
        <f>IF(LEN(_DB_Exercises!BG334)&gt;0,_DB_Exercises!BG334,"")</f>
        <v/>
      </c>
      <c r="AM220" s="31" t="str">
        <f>IF(LEN(_DB_Exercises!BH334)&gt;0,_DB_Exercises!BH334,"")</f>
        <v/>
      </c>
      <c r="AN220" s="31" t="str">
        <f>IF(LEN(_DB_Exercises!BI334)&gt;0,_DB_Exercises!BI334,"")</f>
        <v/>
      </c>
      <c r="AO220" s="31" t="str">
        <f>IF(LEN(_DB_Exercises!BJ334)&gt;0,_DB_Exercises!BJ334,"")</f>
        <v/>
      </c>
      <c r="AP220" s="31" t="str">
        <f>IF(LEN(_DB_Exercises!BK334)&gt;0,_DB_Exercises!BK334,"")</f>
        <v/>
      </c>
      <c r="AQ220" s="31" t="str">
        <f>IF(LEN(_DB_Exercises!BL334)&gt;0,_DB_Exercises!BL334,"")</f>
        <v/>
      </c>
      <c r="AR220" s="31" t="str">
        <f>IF(LEN(_DB_Exercises!BM334)&gt;0,_DB_Exercises!BM334,"")</f>
        <v/>
      </c>
    </row>
    <row r="221" spans="1:44" x14ac:dyDescent="0.25">
      <c r="A221" s="11" t="str">
        <f>IF(LEN(_DB_Exercises!A335)&gt;0,_DB_Exercises!A335,"")</f>
        <v/>
      </c>
      <c r="B221" s="14" t="str">
        <f>IF(LEN(_DB_Exercises!K335)&gt;0,_DB_Exercises!K335,"")</f>
        <v/>
      </c>
      <c r="C221" s="31" t="str">
        <f>IF(LEN(_DB_Exercises!X335)&gt;0,_DB_Exercises!X335,"")</f>
        <v/>
      </c>
      <c r="D221" s="31" t="str">
        <f>IF(LEN(_DB_Exercises!Y335)&gt;0,_DB_Exercises!Y335,"")</f>
        <v/>
      </c>
      <c r="E221" s="31" t="str">
        <f>IF(LEN(_DB_Exercises!Z335)&gt;0,_DB_Exercises!Z335,"")</f>
        <v/>
      </c>
      <c r="F221" s="31" t="str">
        <f>IF(LEN(_DB_Exercises!AA335)&gt;0,_DB_Exercises!AA335,"")</f>
        <v/>
      </c>
      <c r="G221" s="31" t="str">
        <f>IF(LEN(_DB_Exercises!AB335)&gt;0,_DB_Exercises!AB335,"")</f>
        <v/>
      </c>
      <c r="H221" s="31" t="str">
        <f>IF(LEN(_DB_Exercises!AC335)&gt;0,_DB_Exercises!AC335,"")</f>
        <v/>
      </c>
      <c r="I221" s="31" t="str">
        <f>IF(LEN(_DB_Exercises!AD335)&gt;0,_DB_Exercises!AD335,"")</f>
        <v/>
      </c>
      <c r="J221" s="31" t="str">
        <f>IF(LEN(_DB_Exercises!AE335)&gt;0,_DB_Exercises!AE335,"")</f>
        <v/>
      </c>
      <c r="K221" s="31" t="str">
        <f>IF(LEN(_DB_Exercises!AF335)&gt;0,_DB_Exercises!AF335,"")</f>
        <v/>
      </c>
      <c r="L221" s="31" t="str">
        <f>IF(LEN(_DB_Exercises!AG335)&gt;0,_DB_Exercises!AG335,"")</f>
        <v/>
      </c>
      <c r="M221" s="31" t="str">
        <f>IF(LEN(_DB_Exercises!AH335)&gt;0,_DB_Exercises!AH335,"")</f>
        <v/>
      </c>
      <c r="N221" s="31" t="str">
        <f>IF(LEN(_DB_Exercises!AI335)&gt;0,_DB_Exercises!AI335,"")</f>
        <v/>
      </c>
      <c r="O221" s="31" t="str">
        <f>IF(LEN(_DB_Exercises!AJ335)&gt;0,_DB_Exercises!AJ335,"")</f>
        <v/>
      </c>
      <c r="P221" s="31" t="str">
        <f>IF(LEN(_DB_Exercises!AK335)&gt;0,_DB_Exercises!AK335,"")</f>
        <v/>
      </c>
      <c r="Q221" s="31" t="str">
        <f>IF(LEN(_DB_Exercises!AL335)&gt;0,_DB_Exercises!AL335,"")</f>
        <v/>
      </c>
      <c r="R221" s="31" t="str">
        <f>IF(LEN(_DB_Exercises!AM335)&gt;0,_DB_Exercises!AM335,"")</f>
        <v/>
      </c>
      <c r="S221" s="31" t="str">
        <f>IF(LEN(_DB_Exercises!AN335)&gt;0,_DB_Exercises!AN335,"")</f>
        <v/>
      </c>
      <c r="T221" s="31" t="str">
        <f>IF(LEN(_DB_Exercises!AO335)&gt;0,_DB_Exercises!AO335,"")</f>
        <v/>
      </c>
      <c r="U221" s="31" t="str">
        <f>IF(LEN(_DB_Exercises!AP335)&gt;0,_DB_Exercises!AP335,"")</f>
        <v/>
      </c>
      <c r="V221" s="31" t="str">
        <f>IF(LEN(_DB_Exercises!AQ335)&gt;0,_DB_Exercises!AQ335,"")</f>
        <v/>
      </c>
      <c r="W221" s="31" t="str">
        <f>IF(LEN(_DB_Exercises!AR335)&gt;0,_DB_Exercises!AR335,"")</f>
        <v/>
      </c>
      <c r="X221" s="31" t="str">
        <f>IF(LEN(_DB_Exercises!AS335)&gt;0,_DB_Exercises!AS335,"")</f>
        <v/>
      </c>
      <c r="Y221" s="31" t="str">
        <f>IF(LEN(_DB_Exercises!AT335)&gt;0,_DB_Exercises!AT335,"")</f>
        <v/>
      </c>
      <c r="Z221" s="31" t="str">
        <f>IF(LEN(_DB_Exercises!AU335)&gt;0,_DB_Exercises!AU335,"")</f>
        <v/>
      </c>
      <c r="AA221" s="31" t="str">
        <f>IF(LEN(_DB_Exercises!AV335)&gt;0,_DB_Exercises!AV335,"")</f>
        <v/>
      </c>
      <c r="AB221" s="31" t="str">
        <f>IF(LEN(_DB_Exercises!AW335)&gt;0,_DB_Exercises!AW335,"")</f>
        <v/>
      </c>
      <c r="AC221" s="31" t="str">
        <f>IF(LEN(_DB_Exercises!AX335)&gt;0,_DB_Exercises!AX335,"")</f>
        <v/>
      </c>
      <c r="AD221" s="31" t="str">
        <f>IF(LEN(_DB_Exercises!AY335)&gt;0,_DB_Exercises!AY335,"")</f>
        <v/>
      </c>
      <c r="AE221" s="31" t="str">
        <f>IF(LEN(_DB_Exercises!AZ335)&gt;0,_DB_Exercises!AZ335,"")</f>
        <v/>
      </c>
      <c r="AF221" s="31" t="str">
        <f>IF(LEN(_DB_Exercises!BA335)&gt;0,_DB_Exercises!BA335,"")</f>
        <v/>
      </c>
      <c r="AG221" s="31" t="str">
        <f>IF(LEN(_DB_Exercises!BB335)&gt;0,_DB_Exercises!BB335,"")</f>
        <v/>
      </c>
      <c r="AH221" s="31" t="str">
        <f>IF(LEN(_DB_Exercises!BC335)&gt;0,_DB_Exercises!BC335,"")</f>
        <v/>
      </c>
      <c r="AI221" s="31" t="str">
        <f>IF(LEN(_DB_Exercises!BD335)&gt;0,_DB_Exercises!BD335,"")</f>
        <v/>
      </c>
      <c r="AJ221" s="31" t="str">
        <f>IF(LEN(_DB_Exercises!BE335)&gt;0,_DB_Exercises!BE335,"")</f>
        <v/>
      </c>
      <c r="AK221" s="31" t="str">
        <f>IF(LEN(_DB_Exercises!BF335)&gt;0,_DB_Exercises!BF335,"")</f>
        <v/>
      </c>
      <c r="AL221" s="31" t="str">
        <f>IF(LEN(_DB_Exercises!BG335)&gt;0,_DB_Exercises!BG335,"")</f>
        <v/>
      </c>
      <c r="AM221" s="31" t="str">
        <f>IF(LEN(_DB_Exercises!BH335)&gt;0,_DB_Exercises!BH335,"")</f>
        <v/>
      </c>
      <c r="AN221" s="31" t="str">
        <f>IF(LEN(_DB_Exercises!BI335)&gt;0,_DB_Exercises!BI335,"")</f>
        <v/>
      </c>
      <c r="AO221" s="31" t="str">
        <f>IF(LEN(_DB_Exercises!BJ335)&gt;0,_DB_Exercises!BJ335,"")</f>
        <v/>
      </c>
      <c r="AP221" s="31" t="str">
        <f>IF(LEN(_DB_Exercises!BK335)&gt;0,_DB_Exercises!BK335,"")</f>
        <v/>
      </c>
      <c r="AQ221" s="31" t="str">
        <f>IF(LEN(_DB_Exercises!BL335)&gt;0,_DB_Exercises!BL335,"")</f>
        <v/>
      </c>
      <c r="AR221" s="31" t="str">
        <f>IF(LEN(_DB_Exercises!BM335)&gt;0,_DB_Exercises!BM335,"")</f>
        <v/>
      </c>
    </row>
    <row r="222" spans="1:44" x14ac:dyDescent="0.25">
      <c r="A222" s="11" t="str">
        <f>IF(LEN(_DB_Exercises!A336)&gt;0,_DB_Exercises!A336,"")</f>
        <v/>
      </c>
      <c r="B222" s="14" t="str">
        <f>IF(LEN(_DB_Exercises!K336)&gt;0,_DB_Exercises!K336,"")</f>
        <v/>
      </c>
      <c r="C222" s="31" t="str">
        <f>IF(LEN(_DB_Exercises!X336)&gt;0,_DB_Exercises!X336,"")</f>
        <v/>
      </c>
      <c r="D222" s="31" t="str">
        <f>IF(LEN(_DB_Exercises!Y336)&gt;0,_DB_Exercises!Y336,"")</f>
        <v/>
      </c>
      <c r="E222" s="31" t="str">
        <f>IF(LEN(_DB_Exercises!Z336)&gt;0,_DB_Exercises!Z336,"")</f>
        <v/>
      </c>
      <c r="F222" s="31" t="str">
        <f>IF(LEN(_DB_Exercises!AA336)&gt;0,_DB_Exercises!AA336,"")</f>
        <v/>
      </c>
      <c r="G222" s="31" t="str">
        <f>IF(LEN(_DB_Exercises!AB336)&gt;0,_DB_Exercises!AB336,"")</f>
        <v/>
      </c>
      <c r="H222" s="31" t="str">
        <f>IF(LEN(_DB_Exercises!AC336)&gt;0,_DB_Exercises!AC336,"")</f>
        <v/>
      </c>
      <c r="I222" s="31" t="str">
        <f>IF(LEN(_DB_Exercises!AD336)&gt;0,_DB_Exercises!AD336,"")</f>
        <v/>
      </c>
      <c r="J222" s="31" t="str">
        <f>IF(LEN(_DB_Exercises!AE336)&gt;0,_DB_Exercises!AE336,"")</f>
        <v/>
      </c>
      <c r="K222" s="31" t="str">
        <f>IF(LEN(_DB_Exercises!AF336)&gt;0,_DB_Exercises!AF336,"")</f>
        <v/>
      </c>
      <c r="L222" s="31" t="str">
        <f>IF(LEN(_DB_Exercises!AG336)&gt;0,_DB_Exercises!AG336,"")</f>
        <v/>
      </c>
      <c r="M222" s="31" t="str">
        <f>IF(LEN(_DB_Exercises!AH336)&gt;0,_DB_Exercises!AH336,"")</f>
        <v/>
      </c>
      <c r="N222" s="31" t="str">
        <f>IF(LEN(_DB_Exercises!AI336)&gt;0,_DB_Exercises!AI336,"")</f>
        <v/>
      </c>
      <c r="O222" s="31" t="str">
        <f>IF(LEN(_DB_Exercises!AJ336)&gt;0,_DB_Exercises!AJ336,"")</f>
        <v/>
      </c>
      <c r="P222" s="31" t="str">
        <f>IF(LEN(_DB_Exercises!AK336)&gt;0,_DB_Exercises!AK336,"")</f>
        <v/>
      </c>
      <c r="Q222" s="31" t="str">
        <f>IF(LEN(_DB_Exercises!AL336)&gt;0,_DB_Exercises!AL336,"")</f>
        <v/>
      </c>
      <c r="R222" s="31" t="str">
        <f>IF(LEN(_DB_Exercises!AM336)&gt;0,_DB_Exercises!AM336,"")</f>
        <v/>
      </c>
      <c r="S222" s="31" t="str">
        <f>IF(LEN(_DB_Exercises!AN336)&gt;0,_DB_Exercises!AN336,"")</f>
        <v/>
      </c>
      <c r="T222" s="31" t="str">
        <f>IF(LEN(_DB_Exercises!AO336)&gt;0,_DB_Exercises!AO336,"")</f>
        <v/>
      </c>
      <c r="U222" s="31" t="str">
        <f>IF(LEN(_DB_Exercises!AP336)&gt;0,_DB_Exercises!AP336,"")</f>
        <v/>
      </c>
      <c r="V222" s="31" t="str">
        <f>IF(LEN(_DB_Exercises!AQ336)&gt;0,_DB_Exercises!AQ336,"")</f>
        <v/>
      </c>
      <c r="W222" s="31" t="str">
        <f>IF(LEN(_DB_Exercises!AR336)&gt;0,_DB_Exercises!AR336,"")</f>
        <v/>
      </c>
      <c r="X222" s="31" t="str">
        <f>IF(LEN(_DB_Exercises!AS336)&gt;0,_DB_Exercises!AS336,"")</f>
        <v/>
      </c>
      <c r="Y222" s="31" t="str">
        <f>IF(LEN(_DB_Exercises!AT336)&gt;0,_DB_Exercises!AT336,"")</f>
        <v/>
      </c>
      <c r="Z222" s="31" t="str">
        <f>IF(LEN(_DB_Exercises!AU336)&gt;0,_DB_Exercises!AU336,"")</f>
        <v/>
      </c>
      <c r="AA222" s="31" t="str">
        <f>IF(LEN(_DB_Exercises!AV336)&gt;0,_DB_Exercises!AV336,"")</f>
        <v/>
      </c>
      <c r="AB222" s="31" t="str">
        <f>IF(LEN(_DB_Exercises!AW336)&gt;0,_DB_Exercises!AW336,"")</f>
        <v/>
      </c>
      <c r="AC222" s="31" t="str">
        <f>IF(LEN(_DB_Exercises!AX336)&gt;0,_DB_Exercises!AX336,"")</f>
        <v/>
      </c>
      <c r="AD222" s="31" t="str">
        <f>IF(LEN(_DB_Exercises!AY336)&gt;0,_DB_Exercises!AY336,"")</f>
        <v/>
      </c>
      <c r="AE222" s="31" t="str">
        <f>IF(LEN(_DB_Exercises!AZ336)&gt;0,_DB_Exercises!AZ336,"")</f>
        <v/>
      </c>
      <c r="AF222" s="31" t="str">
        <f>IF(LEN(_DB_Exercises!BA336)&gt;0,_DB_Exercises!BA336,"")</f>
        <v/>
      </c>
      <c r="AG222" s="31" t="str">
        <f>IF(LEN(_DB_Exercises!BB336)&gt;0,_DB_Exercises!BB336,"")</f>
        <v/>
      </c>
      <c r="AH222" s="31" t="str">
        <f>IF(LEN(_DB_Exercises!BC336)&gt;0,_DB_Exercises!BC336,"")</f>
        <v/>
      </c>
      <c r="AI222" s="31" t="str">
        <f>IF(LEN(_DB_Exercises!BD336)&gt;0,_DB_Exercises!BD336,"")</f>
        <v/>
      </c>
      <c r="AJ222" s="31" t="str">
        <f>IF(LEN(_DB_Exercises!BE336)&gt;0,_DB_Exercises!BE336,"")</f>
        <v/>
      </c>
      <c r="AK222" s="31" t="str">
        <f>IF(LEN(_DB_Exercises!BF336)&gt;0,_DB_Exercises!BF336,"")</f>
        <v/>
      </c>
      <c r="AL222" s="31" t="str">
        <f>IF(LEN(_DB_Exercises!BG336)&gt;0,_DB_Exercises!BG336,"")</f>
        <v/>
      </c>
      <c r="AM222" s="31" t="str">
        <f>IF(LEN(_DB_Exercises!BH336)&gt;0,_DB_Exercises!BH336,"")</f>
        <v/>
      </c>
      <c r="AN222" s="31" t="str">
        <f>IF(LEN(_DB_Exercises!BI336)&gt;0,_DB_Exercises!BI336,"")</f>
        <v/>
      </c>
      <c r="AO222" s="31" t="str">
        <f>IF(LEN(_DB_Exercises!BJ336)&gt;0,_DB_Exercises!BJ336,"")</f>
        <v/>
      </c>
      <c r="AP222" s="31" t="str">
        <f>IF(LEN(_DB_Exercises!BK336)&gt;0,_DB_Exercises!BK336,"")</f>
        <v/>
      </c>
      <c r="AQ222" s="31" t="str">
        <f>IF(LEN(_DB_Exercises!BL336)&gt;0,_DB_Exercises!BL336,"")</f>
        <v/>
      </c>
      <c r="AR222" s="31" t="str">
        <f>IF(LEN(_DB_Exercises!BM336)&gt;0,_DB_Exercises!BM336,"")</f>
        <v/>
      </c>
    </row>
    <row r="223" spans="1:44" x14ac:dyDescent="0.25">
      <c r="A223" s="11" t="str">
        <f>IF(LEN(_DB_Exercises!A337)&gt;0,_DB_Exercises!A337,"")</f>
        <v/>
      </c>
      <c r="B223" s="14" t="str">
        <f>IF(LEN(_DB_Exercises!K337)&gt;0,_DB_Exercises!K337,"")</f>
        <v/>
      </c>
      <c r="C223" s="31" t="str">
        <f>IF(LEN(_DB_Exercises!X337)&gt;0,_DB_Exercises!X337,"")</f>
        <v/>
      </c>
      <c r="D223" s="31" t="str">
        <f>IF(LEN(_DB_Exercises!Y337)&gt;0,_DB_Exercises!Y337,"")</f>
        <v/>
      </c>
      <c r="E223" s="31" t="str">
        <f>IF(LEN(_DB_Exercises!Z337)&gt;0,_DB_Exercises!Z337,"")</f>
        <v/>
      </c>
      <c r="F223" s="31" t="str">
        <f>IF(LEN(_DB_Exercises!AA337)&gt;0,_DB_Exercises!AA337,"")</f>
        <v/>
      </c>
      <c r="G223" s="31" t="str">
        <f>IF(LEN(_DB_Exercises!AB337)&gt;0,_DB_Exercises!AB337,"")</f>
        <v/>
      </c>
      <c r="H223" s="31" t="str">
        <f>IF(LEN(_DB_Exercises!AC337)&gt;0,_DB_Exercises!AC337,"")</f>
        <v/>
      </c>
      <c r="I223" s="31" t="str">
        <f>IF(LEN(_DB_Exercises!AD337)&gt;0,_DB_Exercises!AD337,"")</f>
        <v/>
      </c>
      <c r="J223" s="31" t="str">
        <f>IF(LEN(_DB_Exercises!AE337)&gt;0,_DB_Exercises!AE337,"")</f>
        <v/>
      </c>
      <c r="K223" s="31" t="str">
        <f>IF(LEN(_DB_Exercises!AF337)&gt;0,_DB_Exercises!AF337,"")</f>
        <v/>
      </c>
      <c r="L223" s="31" t="str">
        <f>IF(LEN(_DB_Exercises!AG337)&gt;0,_DB_Exercises!AG337,"")</f>
        <v/>
      </c>
      <c r="M223" s="31" t="str">
        <f>IF(LEN(_DB_Exercises!AH337)&gt;0,_DB_Exercises!AH337,"")</f>
        <v/>
      </c>
      <c r="N223" s="31" t="str">
        <f>IF(LEN(_DB_Exercises!AI337)&gt;0,_DB_Exercises!AI337,"")</f>
        <v/>
      </c>
      <c r="O223" s="31" t="str">
        <f>IF(LEN(_DB_Exercises!AJ337)&gt;0,_DB_Exercises!AJ337,"")</f>
        <v/>
      </c>
      <c r="P223" s="31" t="str">
        <f>IF(LEN(_DB_Exercises!AK337)&gt;0,_DB_Exercises!AK337,"")</f>
        <v/>
      </c>
      <c r="Q223" s="31" t="str">
        <f>IF(LEN(_DB_Exercises!AL337)&gt;0,_DB_Exercises!AL337,"")</f>
        <v/>
      </c>
      <c r="R223" s="31" t="str">
        <f>IF(LEN(_DB_Exercises!AM337)&gt;0,_DB_Exercises!AM337,"")</f>
        <v/>
      </c>
      <c r="S223" s="31" t="str">
        <f>IF(LEN(_DB_Exercises!AN337)&gt;0,_DB_Exercises!AN337,"")</f>
        <v/>
      </c>
      <c r="T223" s="31" t="str">
        <f>IF(LEN(_DB_Exercises!AO337)&gt;0,_DB_Exercises!AO337,"")</f>
        <v/>
      </c>
      <c r="U223" s="31" t="str">
        <f>IF(LEN(_DB_Exercises!AP337)&gt;0,_DB_Exercises!AP337,"")</f>
        <v/>
      </c>
      <c r="V223" s="31" t="str">
        <f>IF(LEN(_DB_Exercises!AQ337)&gt;0,_DB_Exercises!AQ337,"")</f>
        <v/>
      </c>
      <c r="W223" s="31" t="str">
        <f>IF(LEN(_DB_Exercises!AR337)&gt;0,_DB_Exercises!AR337,"")</f>
        <v/>
      </c>
      <c r="X223" s="31" t="str">
        <f>IF(LEN(_DB_Exercises!AS337)&gt;0,_DB_Exercises!AS337,"")</f>
        <v/>
      </c>
      <c r="Y223" s="31" t="str">
        <f>IF(LEN(_DB_Exercises!AT337)&gt;0,_DB_Exercises!AT337,"")</f>
        <v/>
      </c>
      <c r="Z223" s="31" t="str">
        <f>IF(LEN(_DB_Exercises!AU337)&gt;0,_DB_Exercises!AU337,"")</f>
        <v/>
      </c>
      <c r="AA223" s="31" t="str">
        <f>IF(LEN(_DB_Exercises!AV337)&gt;0,_DB_Exercises!AV337,"")</f>
        <v/>
      </c>
      <c r="AB223" s="31" t="str">
        <f>IF(LEN(_DB_Exercises!AW337)&gt;0,_DB_Exercises!AW337,"")</f>
        <v/>
      </c>
      <c r="AC223" s="31" t="str">
        <f>IF(LEN(_DB_Exercises!AX337)&gt;0,_DB_Exercises!AX337,"")</f>
        <v/>
      </c>
      <c r="AD223" s="31" t="str">
        <f>IF(LEN(_DB_Exercises!AY337)&gt;0,_DB_Exercises!AY337,"")</f>
        <v/>
      </c>
      <c r="AE223" s="31" t="str">
        <f>IF(LEN(_DB_Exercises!AZ337)&gt;0,_DB_Exercises!AZ337,"")</f>
        <v/>
      </c>
      <c r="AF223" s="31" t="str">
        <f>IF(LEN(_DB_Exercises!BA337)&gt;0,_DB_Exercises!BA337,"")</f>
        <v/>
      </c>
      <c r="AG223" s="31" t="str">
        <f>IF(LEN(_DB_Exercises!BB337)&gt;0,_DB_Exercises!BB337,"")</f>
        <v/>
      </c>
      <c r="AH223" s="31" t="str">
        <f>IF(LEN(_DB_Exercises!BC337)&gt;0,_DB_Exercises!BC337,"")</f>
        <v/>
      </c>
      <c r="AI223" s="31" t="str">
        <f>IF(LEN(_DB_Exercises!BD337)&gt;0,_DB_Exercises!BD337,"")</f>
        <v/>
      </c>
      <c r="AJ223" s="31" t="str">
        <f>IF(LEN(_DB_Exercises!BE337)&gt;0,_DB_Exercises!BE337,"")</f>
        <v/>
      </c>
      <c r="AK223" s="31" t="str">
        <f>IF(LEN(_DB_Exercises!BF337)&gt;0,_DB_Exercises!BF337,"")</f>
        <v/>
      </c>
      <c r="AL223" s="31" t="str">
        <f>IF(LEN(_DB_Exercises!BG337)&gt;0,_DB_Exercises!BG337,"")</f>
        <v/>
      </c>
      <c r="AM223" s="31" t="str">
        <f>IF(LEN(_DB_Exercises!BH337)&gt;0,_DB_Exercises!BH337,"")</f>
        <v/>
      </c>
      <c r="AN223" s="31" t="str">
        <f>IF(LEN(_DB_Exercises!BI337)&gt;0,_DB_Exercises!BI337,"")</f>
        <v/>
      </c>
      <c r="AO223" s="31" t="str">
        <f>IF(LEN(_DB_Exercises!BJ337)&gt;0,_DB_Exercises!BJ337,"")</f>
        <v/>
      </c>
      <c r="AP223" s="31" t="str">
        <f>IF(LEN(_DB_Exercises!BK337)&gt;0,_DB_Exercises!BK337,"")</f>
        <v/>
      </c>
      <c r="AQ223" s="31" t="str">
        <f>IF(LEN(_DB_Exercises!BL337)&gt;0,_DB_Exercises!BL337,"")</f>
        <v/>
      </c>
      <c r="AR223" s="31" t="str">
        <f>IF(LEN(_DB_Exercises!BM337)&gt;0,_DB_Exercises!BM337,"")</f>
        <v/>
      </c>
    </row>
    <row r="224" spans="1:44" x14ac:dyDescent="0.25">
      <c r="A224" s="11" t="str">
        <f>IF(LEN(_DB_Exercises!A338)&gt;0,_DB_Exercises!A338,"")</f>
        <v/>
      </c>
      <c r="B224" s="14" t="str">
        <f>IF(LEN(_DB_Exercises!K338)&gt;0,_DB_Exercises!K338,"")</f>
        <v/>
      </c>
      <c r="C224" s="31" t="str">
        <f>IF(LEN(_DB_Exercises!X338)&gt;0,_DB_Exercises!X338,"")</f>
        <v/>
      </c>
      <c r="D224" s="31" t="str">
        <f>IF(LEN(_DB_Exercises!Y338)&gt;0,_DB_Exercises!Y338,"")</f>
        <v/>
      </c>
      <c r="E224" s="31" t="str">
        <f>IF(LEN(_DB_Exercises!Z338)&gt;0,_DB_Exercises!Z338,"")</f>
        <v/>
      </c>
      <c r="F224" s="31" t="str">
        <f>IF(LEN(_DB_Exercises!AA338)&gt;0,_DB_Exercises!AA338,"")</f>
        <v/>
      </c>
      <c r="G224" s="31" t="str">
        <f>IF(LEN(_DB_Exercises!AB338)&gt;0,_DB_Exercises!AB338,"")</f>
        <v/>
      </c>
      <c r="H224" s="31" t="str">
        <f>IF(LEN(_DB_Exercises!AC338)&gt;0,_DB_Exercises!AC338,"")</f>
        <v/>
      </c>
      <c r="I224" s="31" t="str">
        <f>IF(LEN(_DB_Exercises!AD338)&gt;0,_DB_Exercises!AD338,"")</f>
        <v/>
      </c>
      <c r="J224" s="31" t="str">
        <f>IF(LEN(_DB_Exercises!AE338)&gt;0,_DB_Exercises!AE338,"")</f>
        <v/>
      </c>
      <c r="K224" s="31" t="str">
        <f>IF(LEN(_DB_Exercises!AF338)&gt;0,_DB_Exercises!AF338,"")</f>
        <v/>
      </c>
      <c r="L224" s="31" t="str">
        <f>IF(LEN(_DB_Exercises!AG338)&gt;0,_DB_Exercises!AG338,"")</f>
        <v/>
      </c>
      <c r="M224" s="31" t="str">
        <f>IF(LEN(_DB_Exercises!AH338)&gt;0,_DB_Exercises!AH338,"")</f>
        <v/>
      </c>
      <c r="N224" s="31" t="str">
        <f>IF(LEN(_DB_Exercises!AI338)&gt;0,_DB_Exercises!AI338,"")</f>
        <v/>
      </c>
      <c r="O224" s="31" t="str">
        <f>IF(LEN(_DB_Exercises!AJ338)&gt;0,_DB_Exercises!AJ338,"")</f>
        <v/>
      </c>
      <c r="P224" s="31" t="str">
        <f>IF(LEN(_DB_Exercises!AK338)&gt;0,_DB_Exercises!AK338,"")</f>
        <v/>
      </c>
      <c r="Q224" s="31" t="str">
        <f>IF(LEN(_DB_Exercises!AL338)&gt;0,_DB_Exercises!AL338,"")</f>
        <v/>
      </c>
      <c r="R224" s="31" t="str">
        <f>IF(LEN(_DB_Exercises!AM338)&gt;0,_DB_Exercises!AM338,"")</f>
        <v/>
      </c>
      <c r="S224" s="31" t="str">
        <f>IF(LEN(_DB_Exercises!AN338)&gt;0,_DB_Exercises!AN338,"")</f>
        <v/>
      </c>
      <c r="T224" s="31" t="str">
        <f>IF(LEN(_DB_Exercises!AO338)&gt;0,_DB_Exercises!AO338,"")</f>
        <v/>
      </c>
      <c r="U224" s="31" t="str">
        <f>IF(LEN(_DB_Exercises!AP338)&gt;0,_DB_Exercises!AP338,"")</f>
        <v/>
      </c>
      <c r="V224" s="31" t="str">
        <f>IF(LEN(_DB_Exercises!AQ338)&gt;0,_DB_Exercises!AQ338,"")</f>
        <v/>
      </c>
      <c r="W224" s="31" t="str">
        <f>IF(LEN(_DB_Exercises!AR338)&gt;0,_DB_Exercises!AR338,"")</f>
        <v/>
      </c>
      <c r="X224" s="31" t="str">
        <f>IF(LEN(_DB_Exercises!AS338)&gt;0,_DB_Exercises!AS338,"")</f>
        <v/>
      </c>
      <c r="Y224" s="31" t="str">
        <f>IF(LEN(_DB_Exercises!AT338)&gt;0,_DB_Exercises!AT338,"")</f>
        <v/>
      </c>
      <c r="Z224" s="31" t="str">
        <f>IF(LEN(_DB_Exercises!AU338)&gt;0,_DB_Exercises!AU338,"")</f>
        <v/>
      </c>
      <c r="AA224" s="31" t="str">
        <f>IF(LEN(_DB_Exercises!AV338)&gt;0,_DB_Exercises!AV338,"")</f>
        <v/>
      </c>
      <c r="AB224" s="31" t="str">
        <f>IF(LEN(_DB_Exercises!AW338)&gt;0,_DB_Exercises!AW338,"")</f>
        <v/>
      </c>
      <c r="AC224" s="31" t="str">
        <f>IF(LEN(_DB_Exercises!AX338)&gt;0,_DB_Exercises!AX338,"")</f>
        <v/>
      </c>
      <c r="AD224" s="31" t="str">
        <f>IF(LEN(_DB_Exercises!AY338)&gt;0,_DB_Exercises!AY338,"")</f>
        <v/>
      </c>
      <c r="AE224" s="31" t="str">
        <f>IF(LEN(_DB_Exercises!AZ338)&gt;0,_DB_Exercises!AZ338,"")</f>
        <v/>
      </c>
      <c r="AF224" s="31" t="str">
        <f>IF(LEN(_DB_Exercises!BA338)&gt;0,_DB_Exercises!BA338,"")</f>
        <v/>
      </c>
      <c r="AG224" s="31" t="str">
        <f>IF(LEN(_DB_Exercises!BB338)&gt;0,_DB_Exercises!BB338,"")</f>
        <v/>
      </c>
      <c r="AH224" s="31" t="str">
        <f>IF(LEN(_DB_Exercises!BC338)&gt;0,_DB_Exercises!BC338,"")</f>
        <v/>
      </c>
      <c r="AI224" s="31" t="str">
        <f>IF(LEN(_DB_Exercises!BD338)&gt;0,_DB_Exercises!BD338,"")</f>
        <v/>
      </c>
      <c r="AJ224" s="31" t="str">
        <f>IF(LEN(_DB_Exercises!BE338)&gt;0,_DB_Exercises!BE338,"")</f>
        <v/>
      </c>
      <c r="AK224" s="31" t="str">
        <f>IF(LEN(_DB_Exercises!BF338)&gt;0,_DB_Exercises!BF338,"")</f>
        <v/>
      </c>
      <c r="AL224" s="31" t="str">
        <f>IF(LEN(_DB_Exercises!BG338)&gt;0,_DB_Exercises!BG338,"")</f>
        <v/>
      </c>
      <c r="AM224" s="31" t="str">
        <f>IF(LEN(_DB_Exercises!BH338)&gt;0,_DB_Exercises!BH338,"")</f>
        <v/>
      </c>
      <c r="AN224" s="31" t="str">
        <f>IF(LEN(_DB_Exercises!BI338)&gt;0,_DB_Exercises!BI338,"")</f>
        <v/>
      </c>
      <c r="AO224" s="31" t="str">
        <f>IF(LEN(_DB_Exercises!BJ338)&gt;0,_DB_Exercises!BJ338,"")</f>
        <v/>
      </c>
      <c r="AP224" s="31" t="str">
        <f>IF(LEN(_DB_Exercises!BK338)&gt;0,_DB_Exercises!BK338,"")</f>
        <v/>
      </c>
      <c r="AQ224" s="31" t="str">
        <f>IF(LEN(_DB_Exercises!BL338)&gt;0,_DB_Exercises!BL338,"")</f>
        <v/>
      </c>
      <c r="AR224" s="31" t="str">
        <f>IF(LEN(_DB_Exercises!BM338)&gt;0,_DB_Exercises!BM338,"")</f>
        <v/>
      </c>
    </row>
    <row r="225" spans="1:44" x14ac:dyDescent="0.25">
      <c r="A225" s="11" t="str">
        <f>IF(LEN(_DB_Exercises!A339)&gt;0,_DB_Exercises!A339,"")</f>
        <v/>
      </c>
      <c r="B225" s="14" t="str">
        <f>IF(LEN(_DB_Exercises!K339)&gt;0,_DB_Exercises!K339,"")</f>
        <v/>
      </c>
      <c r="C225" s="31" t="str">
        <f>IF(LEN(_DB_Exercises!X339)&gt;0,_DB_Exercises!X339,"")</f>
        <v/>
      </c>
      <c r="D225" s="31" t="str">
        <f>IF(LEN(_DB_Exercises!Y339)&gt;0,_DB_Exercises!Y339,"")</f>
        <v/>
      </c>
      <c r="E225" s="31" t="str">
        <f>IF(LEN(_DB_Exercises!Z339)&gt;0,_DB_Exercises!Z339,"")</f>
        <v/>
      </c>
      <c r="F225" s="31" t="str">
        <f>IF(LEN(_DB_Exercises!AA339)&gt;0,_DB_Exercises!AA339,"")</f>
        <v/>
      </c>
      <c r="G225" s="31" t="str">
        <f>IF(LEN(_DB_Exercises!AB339)&gt;0,_DB_Exercises!AB339,"")</f>
        <v/>
      </c>
      <c r="H225" s="31" t="str">
        <f>IF(LEN(_DB_Exercises!AC339)&gt;0,_DB_Exercises!AC339,"")</f>
        <v/>
      </c>
      <c r="I225" s="31" t="str">
        <f>IF(LEN(_DB_Exercises!AD339)&gt;0,_DB_Exercises!AD339,"")</f>
        <v/>
      </c>
      <c r="J225" s="31" t="str">
        <f>IF(LEN(_DB_Exercises!AE339)&gt;0,_DB_Exercises!AE339,"")</f>
        <v/>
      </c>
      <c r="K225" s="31" t="str">
        <f>IF(LEN(_DB_Exercises!AF339)&gt;0,_DB_Exercises!AF339,"")</f>
        <v/>
      </c>
      <c r="L225" s="31" t="str">
        <f>IF(LEN(_DB_Exercises!AG339)&gt;0,_DB_Exercises!AG339,"")</f>
        <v/>
      </c>
      <c r="M225" s="31" t="str">
        <f>IF(LEN(_DB_Exercises!AH339)&gt;0,_DB_Exercises!AH339,"")</f>
        <v/>
      </c>
      <c r="N225" s="31" t="str">
        <f>IF(LEN(_DB_Exercises!AI339)&gt;0,_DB_Exercises!AI339,"")</f>
        <v/>
      </c>
      <c r="O225" s="31" t="str">
        <f>IF(LEN(_DB_Exercises!AJ339)&gt;0,_DB_Exercises!AJ339,"")</f>
        <v/>
      </c>
      <c r="P225" s="31" t="str">
        <f>IF(LEN(_DB_Exercises!AK339)&gt;0,_DB_Exercises!AK339,"")</f>
        <v/>
      </c>
      <c r="Q225" s="31" t="str">
        <f>IF(LEN(_DB_Exercises!AL339)&gt;0,_DB_Exercises!AL339,"")</f>
        <v/>
      </c>
      <c r="R225" s="31" t="str">
        <f>IF(LEN(_DB_Exercises!AM339)&gt;0,_DB_Exercises!AM339,"")</f>
        <v/>
      </c>
      <c r="S225" s="31" t="str">
        <f>IF(LEN(_DB_Exercises!AN339)&gt;0,_DB_Exercises!AN339,"")</f>
        <v/>
      </c>
      <c r="T225" s="31" t="str">
        <f>IF(LEN(_DB_Exercises!AO339)&gt;0,_DB_Exercises!AO339,"")</f>
        <v/>
      </c>
      <c r="U225" s="31" t="str">
        <f>IF(LEN(_DB_Exercises!AP339)&gt;0,_DB_Exercises!AP339,"")</f>
        <v/>
      </c>
      <c r="V225" s="31" t="str">
        <f>IF(LEN(_DB_Exercises!AQ339)&gt;0,_DB_Exercises!AQ339,"")</f>
        <v/>
      </c>
      <c r="W225" s="31" t="str">
        <f>IF(LEN(_DB_Exercises!AR339)&gt;0,_DB_Exercises!AR339,"")</f>
        <v/>
      </c>
      <c r="X225" s="31" t="str">
        <f>IF(LEN(_DB_Exercises!AS339)&gt;0,_DB_Exercises!AS339,"")</f>
        <v/>
      </c>
      <c r="Y225" s="31" t="str">
        <f>IF(LEN(_DB_Exercises!AT339)&gt;0,_DB_Exercises!AT339,"")</f>
        <v/>
      </c>
      <c r="Z225" s="31" t="str">
        <f>IF(LEN(_DB_Exercises!AU339)&gt;0,_DB_Exercises!AU339,"")</f>
        <v/>
      </c>
      <c r="AA225" s="31" t="str">
        <f>IF(LEN(_DB_Exercises!AV339)&gt;0,_DB_Exercises!AV339,"")</f>
        <v/>
      </c>
      <c r="AB225" s="31" t="str">
        <f>IF(LEN(_DB_Exercises!AW339)&gt;0,_DB_Exercises!AW339,"")</f>
        <v/>
      </c>
      <c r="AC225" s="31" t="str">
        <f>IF(LEN(_DB_Exercises!AX339)&gt;0,_DB_Exercises!AX339,"")</f>
        <v/>
      </c>
      <c r="AD225" s="31" t="str">
        <f>IF(LEN(_DB_Exercises!AY339)&gt;0,_DB_Exercises!AY339,"")</f>
        <v/>
      </c>
      <c r="AE225" s="31" t="str">
        <f>IF(LEN(_DB_Exercises!AZ339)&gt;0,_DB_Exercises!AZ339,"")</f>
        <v/>
      </c>
      <c r="AF225" s="31" t="str">
        <f>IF(LEN(_DB_Exercises!BA339)&gt;0,_DB_Exercises!BA339,"")</f>
        <v/>
      </c>
      <c r="AG225" s="31" t="str">
        <f>IF(LEN(_DB_Exercises!BB339)&gt;0,_DB_Exercises!BB339,"")</f>
        <v/>
      </c>
      <c r="AH225" s="31" t="str">
        <f>IF(LEN(_DB_Exercises!BC339)&gt;0,_DB_Exercises!BC339,"")</f>
        <v/>
      </c>
      <c r="AI225" s="31" t="str">
        <f>IF(LEN(_DB_Exercises!BD339)&gt;0,_DB_Exercises!BD339,"")</f>
        <v/>
      </c>
      <c r="AJ225" s="31" t="str">
        <f>IF(LEN(_DB_Exercises!BE339)&gt;0,_DB_Exercises!BE339,"")</f>
        <v/>
      </c>
      <c r="AK225" s="31" t="str">
        <f>IF(LEN(_DB_Exercises!BF339)&gt;0,_DB_Exercises!BF339,"")</f>
        <v/>
      </c>
      <c r="AL225" s="31" t="str">
        <f>IF(LEN(_DB_Exercises!BG339)&gt;0,_DB_Exercises!BG339,"")</f>
        <v/>
      </c>
      <c r="AM225" s="31" t="str">
        <f>IF(LEN(_DB_Exercises!BH339)&gt;0,_DB_Exercises!BH339,"")</f>
        <v/>
      </c>
      <c r="AN225" s="31" t="str">
        <f>IF(LEN(_DB_Exercises!BI339)&gt;0,_DB_Exercises!BI339,"")</f>
        <v/>
      </c>
      <c r="AO225" s="31" t="str">
        <f>IF(LEN(_DB_Exercises!BJ339)&gt;0,_DB_Exercises!BJ339,"")</f>
        <v/>
      </c>
      <c r="AP225" s="31" t="str">
        <f>IF(LEN(_DB_Exercises!BK339)&gt;0,_DB_Exercises!BK339,"")</f>
        <v/>
      </c>
      <c r="AQ225" s="31" t="str">
        <f>IF(LEN(_DB_Exercises!BL339)&gt;0,_DB_Exercises!BL339,"")</f>
        <v/>
      </c>
      <c r="AR225" s="31" t="str">
        <f>IF(LEN(_DB_Exercises!BM339)&gt;0,_DB_Exercises!BM339,"")</f>
        <v/>
      </c>
    </row>
    <row r="226" spans="1:44" x14ac:dyDescent="0.25">
      <c r="A226" s="11" t="str">
        <f>IF(LEN(_DB_Exercises!A340)&gt;0,_DB_Exercises!A340,"")</f>
        <v/>
      </c>
      <c r="B226" s="14" t="str">
        <f>IF(LEN(_DB_Exercises!K340)&gt;0,_DB_Exercises!K340,"")</f>
        <v/>
      </c>
      <c r="C226" s="31" t="str">
        <f>IF(LEN(_DB_Exercises!X340)&gt;0,_DB_Exercises!X340,"")</f>
        <v/>
      </c>
      <c r="D226" s="31" t="str">
        <f>IF(LEN(_DB_Exercises!Y340)&gt;0,_DB_Exercises!Y340,"")</f>
        <v/>
      </c>
      <c r="E226" s="31" t="str">
        <f>IF(LEN(_DB_Exercises!Z340)&gt;0,_DB_Exercises!Z340,"")</f>
        <v/>
      </c>
      <c r="F226" s="31" t="str">
        <f>IF(LEN(_DB_Exercises!AA340)&gt;0,_DB_Exercises!AA340,"")</f>
        <v/>
      </c>
      <c r="G226" s="31" t="str">
        <f>IF(LEN(_DB_Exercises!AB340)&gt;0,_DB_Exercises!AB340,"")</f>
        <v/>
      </c>
      <c r="H226" s="31" t="str">
        <f>IF(LEN(_DB_Exercises!AC340)&gt;0,_DB_Exercises!AC340,"")</f>
        <v/>
      </c>
      <c r="I226" s="31" t="str">
        <f>IF(LEN(_DB_Exercises!AD340)&gt;0,_DB_Exercises!AD340,"")</f>
        <v/>
      </c>
      <c r="J226" s="31" t="str">
        <f>IF(LEN(_DB_Exercises!AE340)&gt;0,_DB_Exercises!AE340,"")</f>
        <v/>
      </c>
      <c r="K226" s="31" t="str">
        <f>IF(LEN(_DB_Exercises!AF340)&gt;0,_DB_Exercises!AF340,"")</f>
        <v/>
      </c>
      <c r="L226" s="31" t="str">
        <f>IF(LEN(_DB_Exercises!AG340)&gt;0,_DB_Exercises!AG340,"")</f>
        <v/>
      </c>
      <c r="M226" s="31" t="str">
        <f>IF(LEN(_DB_Exercises!AH340)&gt;0,_DB_Exercises!AH340,"")</f>
        <v/>
      </c>
      <c r="N226" s="31" t="str">
        <f>IF(LEN(_DB_Exercises!AI340)&gt;0,_DB_Exercises!AI340,"")</f>
        <v/>
      </c>
      <c r="O226" s="31" t="str">
        <f>IF(LEN(_DB_Exercises!AJ340)&gt;0,_DB_Exercises!AJ340,"")</f>
        <v/>
      </c>
      <c r="P226" s="31" t="str">
        <f>IF(LEN(_DB_Exercises!AK340)&gt;0,_DB_Exercises!AK340,"")</f>
        <v/>
      </c>
      <c r="Q226" s="31" t="str">
        <f>IF(LEN(_DB_Exercises!AL340)&gt;0,_DB_Exercises!AL340,"")</f>
        <v/>
      </c>
      <c r="R226" s="31" t="str">
        <f>IF(LEN(_DB_Exercises!AM340)&gt;0,_DB_Exercises!AM340,"")</f>
        <v/>
      </c>
      <c r="S226" s="31" t="str">
        <f>IF(LEN(_DB_Exercises!AN340)&gt;0,_DB_Exercises!AN340,"")</f>
        <v/>
      </c>
      <c r="T226" s="31" t="str">
        <f>IF(LEN(_DB_Exercises!AO340)&gt;0,_DB_Exercises!AO340,"")</f>
        <v/>
      </c>
      <c r="U226" s="31" t="str">
        <f>IF(LEN(_DB_Exercises!AP340)&gt;0,_DB_Exercises!AP340,"")</f>
        <v/>
      </c>
      <c r="V226" s="31" t="str">
        <f>IF(LEN(_DB_Exercises!AQ340)&gt;0,_DB_Exercises!AQ340,"")</f>
        <v/>
      </c>
      <c r="W226" s="31" t="str">
        <f>IF(LEN(_DB_Exercises!AR340)&gt;0,_DB_Exercises!AR340,"")</f>
        <v/>
      </c>
      <c r="X226" s="31" t="str">
        <f>IF(LEN(_DB_Exercises!AS340)&gt;0,_DB_Exercises!AS340,"")</f>
        <v/>
      </c>
      <c r="Y226" s="31" t="str">
        <f>IF(LEN(_DB_Exercises!AT340)&gt;0,_DB_Exercises!AT340,"")</f>
        <v/>
      </c>
      <c r="Z226" s="31" t="str">
        <f>IF(LEN(_DB_Exercises!AU340)&gt;0,_DB_Exercises!AU340,"")</f>
        <v/>
      </c>
      <c r="AA226" s="31" t="str">
        <f>IF(LEN(_DB_Exercises!AV340)&gt;0,_DB_Exercises!AV340,"")</f>
        <v/>
      </c>
      <c r="AB226" s="31" t="str">
        <f>IF(LEN(_DB_Exercises!AW340)&gt;0,_DB_Exercises!AW340,"")</f>
        <v/>
      </c>
      <c r="AC226" s="31" t="str">
        <f>IF(LEN(_DB_Exercises!AX340)&gt;0,_DB_Exercises!AX340,"")</f>
        <v/>
      </c>
      <c r="AD226" s="31" t="str">
        <f>IF(LEN(_DB_Exercises!AY340)&gt;0,_DB_Exercises!AY340,"")</f>
        <v/>
      </c>
      <c r="AE226" s="31" t="str">
        <f>IF(LEN(_DB_Exercises!AZ340)&gt;0,_DB_Exercises!AZ340,"")</f>
        <v/>
      </c>
      <c r="AF226" s="31" t="str">
        <f>IF(LEN(_DB_Exercises!BA340)&gt;0,_DB_Exercises!BA340,"")</f>
        <v/>
      </c>
      <c r="AG226" s="31" t="str">
        <f>IF(LEN(_DB_Exercises!BB340)&gt;0,_DB_Exercises!BB340,"")</f>
        <v/>
      </c>
      <c r="AH226" s="31" t="str">
        <f>IF(LEN(_DB_Exercises!BC340)&gt;0,_DB_Exercises!BC340,"")</f>
        <v/>
      </c>
      <c r="AI226" s="31" t="str">
        <f>IF(LEN(_DB_Exercises!BD340)&gt;0,_DB_Exercises!BD340,"")</f>
        <v/>
      </c>
      <c r="AJ226" s="31" t="str">
        <f>IF(LEN(_DB_Exercises!BE340)&gt;0,_DB_Exercises!BE340,"")</f>
        <v/>
      </c>
      <c r="AK226" s="31" t="str">
        <f>IF(LEN(_DB_Exercises!BF340)&gt;0,_DB_Exercises!BF340,"")</f>
        <v/>
      </c>
      <c r="AL226" s="31" t="str">
        <f>IF(LEN(_DB_Exercises!BG340)&gt;0,_DB_Exercises!BG340,"")</f>
        <v/>
      </c>
      <c r="AM226" s="31" t="str">
        <f>IF(LEN(_DB_Exercises!BH340)&gt;0,_DB_Exercises!BH340,"")</f>
        <v/>
      </c>
      <c r="AN226" s="31" t="str">
        <f>IF(LEN(_DB_Exercises!BI340)&gt;0,_DB_Exercises!BI340,"")</f>
        <v/>
      </c>
      <c r="AO226" s="31" t="str">
        <f>IF(LEN(_DB_Exercises!BJ340)&gt;0,_DB_Exercises!BJ340,"")</f>
        <v/>
      </c>
      <c r="AP226" s="31" t="str">
        <f>IF(LEN(_DB_Exercises!BK340)&gt;0,_DB_Exercises!BK340,"")</f>
        <v/>
      </c>
      <c r="AQ226" s="31" t="str">
        <f>IF(LEN(_DB_Exercises!BL340)&gt;0,_DB_Exercises!BL340,"")</f>
        <v/>
      </c>
      <c r="AR226" s="31" t="str">
        <f>IF(LEN(_DB_Exercises!BM340)&gt;0,_DB_Exercises!BM340,"")</f>
        <v/>
      </c>
    </row>
    <row r="227" spans="1:44" x14ac:dyDescent="0.25">
      <c r="A227" s="11" t="str">
        <f>IF(LEN(_DB_Exercises!A341)&gt;0,_DB_Exercises!A341,"")</f>
        <v/>
      </c>
      <c r="B227" s="14" t="str">
        <f>IF(LEN(_DB_Exercises!K341)&gt;0,_DB_Exercises!K341,"")</f>
        <v/>
      </c>
      <c r="C227" s="31" t="str">
        <f>IF(LEN(_DB_Exercises!X341)&gt;0,_DB_Exercises!X341,"")</f>
        <v/>
      </c>
      <c r="D227" s="31" t="str">
        <f>IF(LEN(_DB_Exercises!Y341)&gt;0,_DB_Exercises!Y341,"")</f>
        <v/>
      </c>
      <c r="E227" s="31" t="str">
        <f>IF(LEN(_DB_Exercises!Z341)&gt;0,_DB_Exercises!Z341,"")</f>
        <v/>
      </c>
      <c r="F227" s="31" t="str">
        <f>IF(LEN(_DB_Exercises!AA341)&gt;0,_DB_Exercises!AA341,"")</f>
        <v/>
      </c>
      <c r="G227" s="31" t="str">
        <f>IF(LEN(_DB_Exercises!AB341)&gt;0,_DB_Exercises!AB341,"")</f>
        <v/>
      </c>
      <c r="H227" s="31" t="str">
        <f>IF(LEN(_DB_Exercises!AC341)&gt;0,_DB_Exercises!AC341,"")</f>
        <v/>
      </c>
      <c r="I227" s="31" t="str">
        <f>IF(LEN(_DB_Exercises!AD341)&gt;0,_DB_Exercises!AD341,"")</f>
        <v/>
      </c>
      <c r="J227" s="31" t="str">
        <f>IF(LEN(_DB_Exercises!AE341)&gt;0,_DB_Exercises!AE341,"")</f>
        <v/>
      </c>
      <c r="K227" s="31" t="str">
        <f>IF(LEN(_DB_Exercises!AF341)&gt;0,_DB_Exercises!AF341,"")</f>
        <v/>
      </c>
      <c r="L227" s="31" t="str">
        <f>IF(LEN(_DB_Exercises!AG341)&gt;0,_DB_Exercises!AG341,"")</f>
        <v/>
      </c>
      <c r="M227" s="31" t="str">
        <f>IF(LEN(_DB_Exercises!AH341)&gt;0,_DB_Exercises!AH341,"")</f>
        <v/>
      </c>
      <c r="N227" s="31" t="str">
        <f>IF(LEN(_DB_Exercises!AI341)&gt;0,_DB_Exercises!AI341,"")</f>
        <v/>
      </c>
      <c r="O227" s="31" t="str">
        <f>IF(LEN(_DB_Exercises!AJ341)&gt;0,_DB_Exercises!AJ341,"")</f>
        <v/>
      </c>
      <c r="P227" s="31" t="str">
        <f>IF(LEN(_DB_Exercises!AK341)&gt;0,_DB_Exercises!AK341,"")</f>
        <v/>
      </c>
      <c r="Q227" s="31" t="str">
        <f>IF(LEN(_DB_Exercises!AL341)&gt;0,_DB_Exercises!AL341,"")</f>
        <v/>
      </c>
      <c r="R227" s="31" t="str">
        <f>IF(LEN(_DB_Exercises!AM341)&gt;0,_DB_Exercises!AM341,"")</f>
        <v/>
      </c>
      <c r="S227" s="31" t="str">
        <f>IF(LEN(_DB_Exercises!AN341)&gt;0,_DB_Exercises!AN341,"")</f>
        <v/>
      </c>
      <c r="T227" s="31" t="str">
        <f>IF(LEN(_DB_Exercises!AO341)&gt;0,_DB_Exercises!AO341,"")</f>
        <v/>
      </c>
      <c r="U227" s="31" t="str">
        <f>IF(LEN(_DB_Exercises!AP341)&gt;0,_DB_Exercises!AP341,"")</f>
        <v/>
      </c>
      <c r="V227" s="31" t="str">
        <f>IF(LEN(_DB_Exercises!AQ341)&gt;0,_DB_Exercises!AQ341,"")</f>
        <v/>
      </c>
      <c r="W227" s="31" t="str">
        <f>IF(LEN(_DB_Exercises!AR341)&gt;0,_DB_Exercises!AR341,"")</f>
        <v/>
      </c>
      <c r="X227" s="31" t="str">
        <f>IF(LEN(_DB_Exercises!AS341)&gt;0,_DB_Exercises!AS341,"")</f>
        <v/>
      </c>
      <c r="Y227" s="31" t="str">
        <f>IF(LEN(_DB_Exercises!AT341)&gt;0,_DB_Exercises!AT341,"")</f>
        <v/>
      </c>
      <c r="Z227" s="31" t="str">
        <f>IF(LEN(_DB_Exercises!AU341)&gt;0,_DB_Exercises!AU341,"")</f>
        <v/>
      </c>
      <c r="AA227" s="31" t="str">
        <f>IF(LEN(_DB_Exercises!AV341)&gt;0,_DB_Exercises!AV341,"")</f>
        <v/>
      </c>
      <c r="AB227" s="31" t="str">
        <f>IF(LEN(_DB_Exercises!AW341)&gt;0,_DB_Exercises!AW341,"")</f>
        <v/>
      </c>
      <c r="AC227" s="31" t="str">
        <f>IF(LEN(_DB_Exercises!AX341)&gt;0,_DB_Exercises!AX341,"")</f>
        <v/>
      </c>
      <c r="AD227" s="31" t="str">
        <f>IF(LEN(_DB_Exercises!AY341)&gt;0,_DB_Exercises!AY341,"")</f>
        <v/>
      </c>
      <c r="AE227" s="31" t="str">
        <f>IF(LEN(_DB_Exercises!AZ341)&gt;0,_DB_Exercises!AZ341,"")</f>
        <v/>
      </c>
      <c r="AF227" s="31" t="str">
        <f>IF(LEN(_DB_Exercises!BA341)&gt;0,_DB_Exercises!BA341,"")</f>
        <v/>
      </c>
      <c r="AG227" s="31" t="str">
        <f>IF(LEN(_DB_Exercises!BB341)&gt;0,_DB_Exercises!BB341,"")</f>
        <v/>
      </c>
      <c r="AH227" s="31" t="str">
        <f>IF(LEN(_DB_Exercises!BC341)&gt;0,_DB_Exercises!BC341,"")</f>
        <v/>
      </c>
      <c r="AI227" s="31" t="str">
        <f>IF(LEN(_DB_Exercises!BD341)&gt;0,_DB_Exercises!BD341,"")</f>
        <v/>
      </c>
      <c r="AJ227" s="31" t="str">
        <f>IF(LEN(_DB_Exercises!BE341)&gt;0,_DB_Exercises!BE341,"")</f>
        <v/>
      </c>
      <c r="AK227" s="31" t="str">
        <f>IF(LEN(_DB_Exercises!BF341)&gt;0,_DB_Exercises!BF341,"")</f>
        <v/>
      </c>
      <c r="AL227" s="31" t="str">
        <f>IF(LEN(_DB_Exercises!BG341)&gt;0,_DB_Exercises!BG341,"")</f>
        <v/>
      </c>
      <c r="AM227" s="31" t="str">
        <f>IF(LEN(_DB_Exercises!BH341)&gt;0,_DB_Exercises!BH341,"")</f>
        <v/>
      </c>
      <c r="AN227" s="31" t="str">
        <f>IF(LEN(_DB_Exercises!BI341)&gt;0,_DB_Exercises!BI341,"")</f>
        <v/>
      </c>
      <c r="AO227" s="31" t="str">
        <f>IF(LEN(_DB_Exercises!BJ341)&gt;0,_DB_Exercises!BJ341,"")</f>
        <v/>
      </c>
      <c r="AP227" s="31" t="str">
        <f>IF(LEN(_DB_Exercises!BK341)&gt;0,_DB_Exercises!BK341,"")</f>
        <v/>
      </c>
      <c r="AQ227" s="31" t="str">
        <f>IF(LEN(_DB_Exercises!BL341)&gt;0,_DB_Exercises!BL341,"")</f>
        <v/>
      </c>
      <c r="AR227" s="31" t="str">
        <f>IF(LEN(_DB_Exercises!BM341)&gt;0,_DB_Exercises!BM341,"")</f>
        <v/>
      </c>
    </row>
    <row r="228" spans="1:44" x14ac:dyDescent="0.25">
      <c r="A228" s="11" t="str">
        <f>IF(LEN(_DB_Exercises!A342)&gt;0,_DB_Exercises!A342,"")</f>
        <v/>
      </c>
      <c r="B228" s="14" t="str">
        <f>IF(LEN(_DB_Exercises!K342)&gt;0,_DB_Exercises!K342,"")</f>
        <v/>
      </c>
      <c r="C228" s="31" t="str">
        <f>IF(LEN(_DB_Exercises!X342)&gt;0,_DB_Exercises!X342,"")</f>
        <v/>
      </c>
      <c r="D228" s="31" t="str">
        <f>IF(LEN(_DB_Exercises!Y342)&gt;0,_DB_Exercises!Y342,"")</f>
        <v/>
      </c>
      <c r="E228" s="31" t="str">
        <f>IF(LEN(_DB_Exercises!Z342)&gt;0,_DB_Exercises!Z342,"")</f>
        <v/>
      </c>
      <c r="F228" s="31" t="str">
        <f>IF(LEN(_DB_Exercises!AA342)&gt;0,_DB_Exercises!AA342,"")</f>
        <v/>
      </c>
      <c r="G228" s="31" t="str">
        <f>IF(LEN(_DB_Exercises!AB342)&gt;0,_DB_Exercises!AB342,"")</f>
        <v/>
      </c>
      <c r="H228" s="31" t="str">
        <f>IF(LEN(_DB_Exercises!AC342)&gt;0,_DB_Exercises!AC342,"")</f>
        <v/>
      </c>
      <c r="I228" s="31" t="str">
        <f>IF(LEN(_DB_Exercises!AD342)&gt;0,_DB_Exercises!AD342,"")</f>
        <v/>
      </c>
      <c r="J228" s="31" t="str">
        <f>IF(LEN(_DB_Exercises!AE342)&gt;0,_DB_Exercises!AE342,"")</f>
        <v/>
      </c>
      <c r="K228" s="31" t="str">
        <f>IF(LEN(_DB_Exercises!AF342)&gt;0,_DB_Exercises!AF342,"")</f>
        <v/>
      </c>
      <c r="L228" s="31" t="str">
        <f>IF(LEN(_DB_Exercises!AG342)&gt;0,_DB_Exercises!AG342,"")</f>
        <v/>
      </c>
      <c r="M228" s="31" t="str">
        <f>IF(LEN(_DB_Exercises!AH342)&gt;0,_DB_Exercises!AH342,"")</f>
        <v/>
      </c>
      <c r="N228" s="31" t="str">
        <f>IF(LEN(_DB_Exercises!AI342)&gt;0,_DB_Exercises!AI342,"")</f>
        <v/>
      </c>
      <c r="O228" s="31" t="str">
        <f>IF(LEN(_DB_Exercises!AJ342)&gt;0,_DB_Exercises!AJ342,"")</f>
        <v/>
      </c>
      <c r="P228" s="31" t="str">
        <f>IF(LEN(_DB_Exercises!AK342)&gt;0,_DB_Exercises!AK342,"")</f>
        <v/>
      </c>
      <c r="Q228" s="31" t="str">
        <f>IF(LEN(_DB_Exercises!AL342)&gt;0,_DB_Exercises!AL342,"")</f>
        <v/>
      </c>
      <c r="R228" s="31" t="str">
        <f>IF(LEN(_DB_Exercises!AM342)&gt;0,_DB_Exercises!AM342,"")</f>
        <v/>
      </c>
      <c r="S228" s="31" t="str">
        <f>IF(LEN(_DB_Exercises!AN342)&gt;0,_DB_Exercises!AN342,"")</f>
        <v/>
      </c>
      <c r="T228" s="31" t="str">
        <f>IF(LEN(_DB_Exercises!AO342)&gt;0,_DB_Exercises!AO342,"")</f>
        <v/>
      </c>
      <c r="U228" s="31" t="str">
        <f>IF(LEN(_DB_Exercises!AP342)&gt;0,_DB_Exercises!AP342,"")</f>
        <v/>
      </c>
      <c r="V228" s="31" t="str">
        <f>IF(LEN(_DB_Exercises!AQ342)&gt;0,_DB_Exercises!AQ342,"")</f>
        <v/>
      </c>
      <c r="W228" s="31" t="str">
        <f>IF(LEN(_DB_Exercises!AR342)&gt;0,_DB_Exercises!AR342,"")</f>
        <v/>
      </c>
      <c r="X228" s="31" t="str">
        <f>IF(LEN(_DB_Exercises!AS342)&gt;0,_DB_Exercises!AS342,"")</f>
        <v/>
      </c>
      <c r="Y228" s="31" t="str">
        <f>IF(LEN(_DB_Exercises!AT342)&gt;0,_DB_Exercises!AT342,"")</f>
        <v/>
      </c>
      <c r="Z228" s="31" t="str">
        <f>IF(LEN(_DB_Exercises!AU342)&gt;0,_DB_Exercises!AU342,"")</f>
        <v/>
      </c>
      <c r="AA228" s="31" t="str">
        <f>IF(LEN(_DB_Exercises!AV342)&gt;0,_DB_Exercises!AV342,"")</f>
        <v/>
      </c>
      <c r="AB228" s="31" t="str">
        <f>IF(LEN(_DB_Exercises!AW342)&gt;0,_DB_Exercises!AW342,"")</f>
        <v/>
      </c>
      <c r="AC228" s="31" t="str">
        <f>IF(LEN(_DB_Exercises!AX342)&gt;0,_DB_Exercises!AX342,"")</f>
        <v/>
      </c>
      <c r="AD228" s="31" t="str">
        <f>IF(LEN(_DB_Exercises!AY342)&gt;0,_DB_Exercises!AY342,"")</f>
        <v/>
      </c>
      <c r="AE228" s="31" t="str">
        <f>IF(LEN(_DB_Exercises!AZ342)&gt;0,_DB_Exercises!AZ342,"")</f>
        <v/>
      </c>
      <c r="AF228" s="31" t="str">
        <f>IF(LEN(_DB_Exercises!BA342)&gt;0,_DB_Exercises!BA342,"")</f>
        <v/>
      </c>
      <c r="AG228" s="31" t="str">
        <f>IF(LEN(_DB_Exercises!BB342)&gt;0,_DB_Exercises!BB342,"")</f>
        <v/>
      </c>
      <c r="AH228" s="31" t="str">
        <f>IF(LEN(_DB_Exercises!BC342)&gt;0,_DB_Exercises!BC342,"")</f>
        <v/>
      </c>
      <c r="AI228" s="31" t="str">
        <f>IF(LEN(_DB_Exercises!BD342)&gt;0,_DB_Exercises!BD342,"")</f>
        <v/>
      </c>
      <c r="AJ228" s="31" t="str">
        <f>IF(LEN(_DB_Exercises!BE342)&gt;0,_DB_Exercises!BE342,"")</f>
        <v/>
      </c>
      <c r="AK228" s="31" t="str">
        <f>IF(LEN(_DB_Exercises!BF342)&gt;0,_DB_Exercises!BF342,"")</f>
        <v/>
      </c>
      <c r="AL228" s="31" t="str">
        <f>IF(LEN(_DB_Exercises!BG342)&gt;0,_DB_Exercises!BG342,"")</f>
        <v/>
      </c>
      <c r="AM228" s="31" t="str">
        <f>IF(LEN(_DB_Exercises!BH342)&gt;0,_DB_Exercises!BH342,"")</f>
        <v/>
      </c>
      <c r="AN228" s="31" t="str">
        <f>IF(LEN(_DB_Exercises!BI342)&gt;0,_DB_Exercises!BI342,"")</f>
        <v/>
      </c>
      <c r="AO228" s="31" t="str">
        <f>IF(LEN(_DB_Exercises!BJ342)&gt;0,_DB_Exercises!BJ342,"")</f>
        <v/>
      </c>
      <c r="AP228" s="31" t="str">
        <f>IF(LEN(_DB_Exercises!BK342)&gt;0,_DB_Exercises!BK342,"")</f>
        <v/>
      </c>
      <c r="AQ228" s="31" t="str">
        <f>IF(LEN(_DB_Exercises!BL342)&gt;0,_DB_Exercises!BL342,"")</f>
        <v/>
      </c>
      <c r="AR228" s="31" t="str">
        <f>IF(LEN(_DB_Exercises!BM342)&gt;0,_DB_Exercises!BM342,"")</f>
        <v/>
      </c>
    </row>
    <row r="229" spans="1:44" x14ac:dyDescent="0.25">
      <c r="A229" s="11" t="str">
        <f>IF(LEN(_DB_Exercises!A343)&gt;0,_DB_Exercises!A343,"")</f>
        <v/>
      </c>
      <c r="B229" s="14" t="str">
        <f>IF(LEN(_DB_Exercises!K343)&gt;0,_DB_Exercises!K343,"")</f>
        <v/>
      </c>
      <c r="C229" s="31" t="str">
        <f>IF(LEN(_DB_Exercises!X343)&gt;0,_DB_Exercises!X343,"")</f>
        <v/>
      </c>
      <c r="D229" s="31" t="str">
        <f>IF(LEN(_DB_Exercises!Y343)&gt;0,_DB_Exercises!Y343,"")</f>
        <v/>
      </c>
      <c r="E229" s="31" t="str">
        <f>IF(LEN(_DB_Exercises!Z343)&gt;0,_DB_Exercises!Z343,"")</f>
        <v/>
      </c>
      <c r="F229" s="31" t="str">
        <f>IF(LEN(_DB_Exercises!AA343)&gt;0,_DB_Exercises!AA343,"")</f>
        <v/>
      </c>
      <c r="G229" s="31" t="str">
        <f>IF(LEN(_DB_Exercises!AB343)&gt;0,_DB_Exercises!AB343,"")</f>
        <v/>
      </c>
      <c r="H229" s="31" t="str">
        <f>IF(LEN(_DB_Exercises!AC343)&gt;0,_DB_Exercises!AC343,"")</f>
        <v/>
      </c>
      <c r="I229" s="31" t="str">
        <f>IF(LEN(_DB_Exercises!AD343)&gt;0,_DB_Exercises!AD343,"")</f>
        <v/>
      </c>
      <c r="J229" s="31" t="str">
        <f>IF(LEN(_DB_Exercises!AE343)&gt;0,_DB_Exercises!AE343,"")</f>
        <v/>
      </c>
      <c r="K229" s="31" t="str">
        <f>IF(LEN(_DB_Exercises!AF343)&gt;0,_DB_Exercises!AF343,"")</f>
        <v/>
      </c>
      <c r="L229" s="31" t="str">
        <f>IF(LEN(_DB_Exercises!AG343)&gt;0,_DB_Exercises!AG343,"")</f>
        <v/>
      </c>
      <c r="M229" s="31" t="str">
        <f>IF(LEN(_DB_Exercises!AH343)&gt;0,_DB_Exercises!AH343,"")</f>
        <v/>
      </c>
      <c r="N229" s="31" t="str">
        <f>IF(LEN(_DB_Exercises!AI343)&gt;0,_DB_Exercises!AI343,"")</f>
        <v/>
      </c>
      <c r="O229" s="31" t="str">
        <f>IF(LEN(_DB_Exercises!AJ343)&gt;0,_DB_Exercises!AJ343,"")</f>
        <v/>
      </c>
      <c r="P229" s="31" t="str">
        <f>IF(LEN(_DB_Exercises!AK343)&gt;0,_DB_Exercises!AK343,"")</f>
        <v/>
      </c>
      <c r="Q229" s="31" t="str">
        <f>IF(LEN(_DB_Exercises!AL343)&gt;0,_DB_Exercises!AL343,"")</f>
        <v/>
      </c>
      <c r="R229" s="31" t="str">
        <f>IF(LEN(_DB_Exercises!AM343)&gt;0,_DB_Exercises!AM343,"")</f>
        <v/>
      </c>
      <c r="S229" s="31" t="str">
        <f>IF(LEN(_DB_Exercises!AN343)&gt;0,_DB_Exercises!AN343,"")</f>
        <v/>
      </c>
      <c r="T229" s="31" t="str">
        <f>IF(LEN(_DB_Exercises!AO343)&gt;0,_DB_Exercises!AO343,"")</f>
        <v/>
      </c>
      <c r="U229" s="31" t="str">
        <f>IF(LEN(_DB_Exercises!AP343)&gt;0,_DB_Exercises!AP343,"")</f>
        <v/>
      </c>
      <c r="V229" s="31" t="str">
        <f>IF(LEN(_DB_Exercises!AQ343)&gt;0,_DB_Exercises!AQ343,"")</f>
        <v/>
      </c>
      <c r="W229" s="31" t="str">
        <f>IF(LEN(_DB_Exercises!AR343)&gt;0,_DB_Exercises!AR343,"")</f>
        <v/>
      </c>
      <c r="X229" s="31" t="str">
        <f>IF(LEN(_DB_Exercises!AS343)&gt;0,_DB_Exercises!AS343,"")</f>
        <v/>
      </c>
      <c r="Y229" s="31" t="str">
        <f>IF(LEN(_DB_Exercises!AT343)&gt;0,_DB_Exercises!AT343,"")</f>
        <v/>
      </c>
      <c r="Z229" s="31" t="str">
        <f>IF(LEN(_DB_Exercises!AU343)&gt;0,_DB_Exercises!AU343,"")</f>
        <v/>
      </c>
      <c r="AA229" s="31" t="str">
        <f>IF(LEN(_DB_Exercises!AV343)&gt;0,_DB_Exercises!AV343,"")</f>
        <v/>
      </c>
      <c r="AB229" s="31" t="str">
        <f>IF(LEN(_DB_Exercises!AW343)&gt;0,_DB_Exercises!AW343,"")</f>
        <v/>
      </c>
      <c r="AC229" s="31" t="str">
        <f>IF(LEN(_DB_Exercises!AX343)&gt;0,_DB_Exercises!AX343,"")</f>
        <v/>
      </c>
      <c r="AD229" s="31" t="str">
        <f>IF(LEN(_DB_Exercises!AY343)&gt;0,_DB_Exercises!AY343,"")</f>
        <v/>
      </c>
      <c r="AE229" s="31" t="str">
        <f>IF(LEN(_DB_Exercises!AZ343)&gt;0,_DB_Exercises!AZ343,"")</f>
        <v/>
      </c>
      <c r="AF229" s="31" t="str">
        <f>IF(LEN(_DB_Exercises!BA343)&gt;0,_DB_Exercises!BA343,"")</f>
        <v/>
      </c>
      <c r="AG229" s="31" t="str">
        <f>IF(LEN(_DB_Exercises!BB343)&gt;0,_DB_Exercises!BB343,"")</f>
        <v/>
      </c>
      <c r="AH229" s="31" t="str">
        <f>IF(LEN(_DB_Exercises!BC343)&gt;0,_DB_Exercises!BC343,"")</f>
        <v/>
      </c>
      <c r="AI229" s="31" t="str">
        <f>IF(LEN(_DB_Exercises!BD343)&gt;0,_DB_Exercises!BD343,"")</f>
        <v/>
      </c>
      <c r="AJ229" s="31" t="str">
        <f>IF(LEN(_DB_Exercises!BE343)&gt;0,_DB_Exercises!BE343,"")</f>
        <v/>
      </c>
      <c r="AK229" s="31" t="str">
        <f>IF(LEN(_DB_Exercises!BF343)&gt;0,_DB_Exercises!BF343,"")</f>
        <v/>
      </c>
      <c r="AL229" s="31" t="str">
        <f>IF(LEN(_DB_Exercises!BG343)&gt;0,_DB_Exercises!BG343,"")</f>
        <v/>
      </c>
      <c r="AM229" s="31" t="str">
        <f>IF(LEN(_DB_Exercises!BH343)&gt;0,_DB_Exercises!BH343,"")</f>
        <v/>
      </c>
      <c r="AN229" s="31" t="str">
        <f>IF(LEN(_DB_Exercises!BI343)&gt;0,_DB_Exercises!BI343,"")</f>
        <v/>
      </c>
      <c r="AO229" s="31" t="str">
        <f>IF(LEN(_DB_Exercises!BJ343)&gt;0,_DB_Exercises!BJ343,"")</f>
        <v/>
      </c>
      <c r="AP229" s="31" t="str">
        <f>IF(LEN(_DB_Exercises!BK343)&gt;0,_DB_Exercises!BK343,"")</f>
        <v/>
      </c>
      <c r="AQ229" s="31" t="str">
        <f>IF(LEN(_DB_Exercises!BL343)&gt;0,_DB_Exercises!BL343,"")</f>
        <v/>
      </c>
      <c r="AR229" s="31" t="str">
        <f>IF(LEN(_DB_Exercises!BM343)&gt;0,_DB_Exercises!BM343,"")</f>
        <v/>
      </c>
    </row>
    <row r="230" spans="1:44" x14ac:dyDescent="0.25">
      <c r="A230" s="11" t="str">
        <f>IF(LEN(_DB_Exercises!A344)&gt;0,_DB_Exercises!A344,"")</f>
        <v/>
      </c>
      <c r="B230" s="14" t="str">
        <f>IF(LEN(_DB_Exercises!K344)&gt;0,_DB_Exercises!K344,"")</f>
        <v/>
      </c>
      <c r="C230" s="31" t="str">
        <f>IF(LEN(_DB_Exercises!X344)&gt;0,_DB_Exercises!X344,"")</f>
        <v/>
      </c>
      <c r="D230" s="31" t="str">
        <f>IF(LEN(_DB_Exercises!Y344)&gt;0,_DB_Exercises!Y344,"")</f>
        <v/>
      </c>
      <c r="E230" s="31" t="str">
        <f>IF(LEN(_DB_Exercises!Z344)&gt;0,_DB_Exercises!Z344,"")</f>
        <v/>
      </c>
      <c r="F230" s="31" t="str">
        <f>IF(LEN(_DB_Exercises!AA344)&gt;0,_DB_Exercises!AA344,"")</f>
        <v/>
      </c>
      <c r="G230" s="31" t="str">
        <f>IF(LEN(_DB_Exercises!AB344)&gt;0,_DB_Exercises!AB344,"")</f>
        <v/>
      </c>
      <c r="H230" s="31" t="str">
        <f>IF(LEN(_DB_Exercises!AC344)&gt;0,_DB_Exercises!AC344,"")</f>
        <v/>
      </c>
      <c r="I230" s="31" t="str">
        <f>IF(LEN(_DB_Exercises!AD344)&gt;0,_DB_Exercises!AD344,"")</f>
        <v/>
      </c>
      <c r="J230" s="31" t="str">
        <f>IF(LEN(_DB_Exercises!AE344)&gt;0,_DB_Exercises!AE344,"")</f>
        <v/>
      </c>
      <c r="K230" s="31" t="str">
        <f>IF(LEN(_DB_Exercises!AF344)&gt;0,_DB_Exercises!AF344,"")</f>
        <v/>
      </c>
      <c r="L230" s="31" t="str">
        <f>IF(LEN(_DB_Exercises!AG344)&gt;0,_DB_Exercises!AG344,"")</f>
        <v/>
      </c>
      <c r="M230" s="31" t="str">
        <f>IF(LEN(_DB_Exercises!AH344)&gt;0,_DB_Exercises!AH344,"")</f>
        <v/>
      </c>
      <c r="N230" s="31" t="str">
        <f>IF(LEN(_DB_Exercises!AI344)&gt;0,_DB_Exercises!AI344,"")</f>
        <v/>
      </c>
      <c r="O230" s="31" t="str">
        <f>IF(LEN(_DB_Exercises!AJ344)&gt;0,_DB_Exercises!AJ344,"")</f>
        <v/>
      </c>
      <c r="P230" s="31" t="str">
        <f>IF(LEN(_DB_Exercises!AK344)&gt;0,_DB_Exercises!AK344,"")</f>
        <v/>
      </c>
      <c r="Q230" s="31" t="str">
        <f>IF(LEN(_DB_Exercises!AL344)&gt;0,_DB_Exercises!AL344,"")</f>
        <v/>
      </c>
      <c r="R230" s="31" t="str">
        <f>IF(LEN(_DB_Exercises!AM344)&gt;0,_DB_Exercises!AM344,"")</f>
        <v/>
      </c>
      <c r="S230" s="31" t="str">
        <f>IF(LEN(_DB_Exercises!AN344)&gt;0,_DB_Exercises!AN344,"")</f>
        <v/>
      </c>
      <c r="T230" s="31" t="str">
        <f>IF(LEN(_DB_Exercises!AO344)&gt;0,_DB_Exercises!AO344,"")</f>
        <v/>
      </c>
      <c r="U230" s="31" t="str">
        <f>IF(LEN(_DB_Exercises!AP344)&gt;0,_DB_Exercises!AP344,"")</f>
        <v/>
      </c>
      <c r="V230" s="31" t="str">
        <f>IF(LEN(_DB_Exercises!AQ344)&gt;0,_DB_Exercises!AQ344,"")</f>
        <v/>
      </c>
      <c r="W230" s="31" t="str">
        <f>IF(LEN(_DB_Exercises!AR344)&gt;0,_DB_Exercises!AR344,"")</f>
        <v/>
      </c>
      <c r="X230" s="31" t="str">
        <f>IF(LEN(_DB_Exercises!AS344)&gt;0,_DB_Exercises!AS344,"")</f>
        <v/>
      </c>
      <c r="Y230" s="31" t="str">
        <f>IF(LEN(_DB_Exercises!AT344)&gt;0,_DB_Exercises!AT344,"")</f>
        <v/>
      </c>
      <c r="Z230" s="31" t="str">
        <f>IF(LEN(_DB_Exercises!AU344)&gt;0,_DB_Exercises!AU344,"")</f>
        <v/>
      </c>
      <c r="AA230" s="31" t="str">
        <f>IF(LEN(_DB_Exercises!AV344)&gt;0,_DB_Exercises!AV344,"")</f>
        <v/>
      </c>
      <c r="AB230" s="31" t="str">
        <f>IF(LEN(_DB_Exercises!AW344)&gt;0,_DB_Exercises!AW344,"")</f>
        <v/>
      </c>
      <c r="AC230" s="31" t="str">
        <f>IF(LEN(_DB_Exercises!AX344)&gt;0,_DB_Exercises!AX344,"")</f>
        <v/>
      </c>
      <c r="AD230" s="31" t="str">
        <f>IF(LEN(_DB_Exercises!AY344)&gt;0,_DB_Exercises!AY344,"")</f>
        <v/>
      </c>
      <c r="AE230" s="31" t="str">
        <f>IF(LEN(_DB_Exercises!AZ344)&gt;0,_DB_Exercises!AZ344,"")</f>
        <v/>
      </c>
      <c r="AF230" s="31" t="str">
        <f>IF(LEN(_DB_Exercises!BA344)&gt;0,_DB_Exercises!BA344,"")</f>
        <v/>
      </c>
      <c r="AG230" s="31" t="str">
        <f>IF(LEN(_DB_Exercises!BB344)&gt;0,_DB_Exercises!BB344,"")</f>
        <v/>
      </c>
      <c r="AH230" s="31" t="str">
        <f>IF(LEN(_DB_Exercises!BC344)&gt;0,_DB_Exercises!BC344,"")</f>
        <v/>
      </c>
      <c r="AI230" s="31" t="str">
        <f>IF(LEN(_DB_Exercises!BD344)&gt;0,_DB_Exercises!BD344,"")</f>
        <v/>
      </c>
      <c r="AJ230" s="31" t="str">
        <f>IF(LEN(_DB_Exercises!BE344)&gt;0,_DB_Exercises!BE344,"")</f>
        <v/>
      </c>
      <c r="AK230" s="31" t="str">
        <f>IF(LEN(_DB_Exercises!BF344)&gt;0,_DB_Exercises!BF344,"")</f>
        <v/>
      </c>
      <c r="AL230" s="31" t="str">
        <f>IF(LEN(_DB_Exercises!BG344)&gt;0,_DB_Exercises!BG344,"")</f>
        <v/>
      </c>
      <c r="AM230" s="31" t="str">
        <f>IF(LEN(_DB_Exercises!BH344)&gt;0,_DB_Exercises!BH344,"")</f>
        <v/>
      </c>
      <c r="AN230" s="31" t="str">
        <f>IF(LEN(_DB_Exercises!BI344)&gt;0,_DB_Exercises!BI344,"")</f>
        <v/>
      </c>
      <c r="AO230" s="31" t="str">
        <f>IF(LEN(_DB_Exercises!BJ344)&gt;0,_DB_Exercises!BJ344,"")</f>
        <v/>
      </c>
      <c r="AP230" s="31" t="str">
        <f>IF(LEN(_DB_Exercises!BK344)&gt;0,_DB_Exercises!BK344,"")</f>
        <v/>
      </c>
      <c r="AQ230" s="31" t="str">
        <f>IF(LEN(_DB_Exercises!BL344)&gt;0,_DB_Exercises!BL344,"")</f>
        <v/>
      </c>
      <c r="AR230" s="31" t="str">
        <f>IF(LEN(_DB_Exercises!BM344)&gt;0,_DB_Exercises!BM344,"")</f>
        <v/>
      </c>
    </row>
    <row r="231" spans="1:44" x14ac:dyDescent="0.25">
      <c r="A231" s="11" t="str">
        <f>IF(LEN(_DB_Exercises!A345)&gt;0,_DB_Exercises!A345,"")</f>
        <v/>
      </c>
      <c r="B231" s="14" t="str">
        <f>IF(LEN(_DB_Exercises!K345)&gt;0,_DB_Exercises!K345,"")</f>
        <v/>
      </c>
      <c r="C231" s="31" t="str">
        <f>IF(LEN(_DB_Exercises!X345)&gt;0,_DB_Exercises!X345,"")</f>
        <v/>
      </c>
      <c r="D231" s="31" t="str">
        <f>IF(LEN(_DB_Exercises!Y345)&gt;0,_DB_Exercises!Y345,"")</f>
        <v/>
      </c>
      <c r="E231" s="31" t="str">
        <f>IF(LEN(_DB_Exercises!Z345)&gt;0,_DB_Exercises!Z345,"")</f>
        <v/>
      </c>
      <c r="F231" s="31" t="str">
        <f>IF(LEN(_DB_Exercises!AA345)&gt;0,_DB_Exercises!AA345,"")</f>
        <v/>
      </c>
      <c r="G231" s="31" t="str">
        <f>IF(LEN(_DB_Exercises!AB345)&gt;0,_DB_Exercises!AB345,"")</f>
        <v/>
      </c>
      <c r="H231" s="31" t="str">
        <f>IF(LEN(_DB_Exercises!AC345)&gt;0,_DB_Exercises!AC345,"")</f>
        <v/>
      </c>
      <c r="I231" s="31" t="str">
        <f>IF(LEN(_DB_Exercises!AD345)&gt;0,_DB_Exercises!AD345,"")</f>
        <v/>
      </c>
      <c r="J231" s="31" t="str">
        <f>IF(LEN(_DB_Exercises!AE345)&gt;0,_DB_Exercises!AE345,"")</f>
        <v/>
      </c>
      <c r="K231" s="31" t="str">
        <f>IF(LEN(_DB_Exercises!AF345)&gt;0,_DB_Exercises!AF345,"")</f>
        <v/>
      </c>
      <c r="L231" s="31" t="str">
        <f>IF(LEN(_DB_Exercises!AG345)&gt;0,_DB_Exercises!AG345,"")</f>
        <v/>
      </c>
      <c r="M231" s="31" t="str">
        <f>IF(LEN(_DB_Exercises!AH345)&gt;0,_DB_Exercises!AH345,"")</f>
        <v/>
      </c>
      <c r="N231" s="31" t="str">
        <f>IF(LEN(_DB_Exercises!AI345)&gt;0,_DB_Exercises!AI345,"")</f>
        <v/>
      </c>
      <c r="O231" s="31" t="str">
        <f>IF(LEN(_DB_Exercises!AJ345)&gt;0,_DB_Exercises!AJ345,"")</f>
        <v/>
      </c>
      <c r="P231" s="31" t="str">
        <f>IF(LEN(_DB_Exercises!AK345)&gt;0,_DB_Exercises!AK345,"")</f>
        <v/>
      </c>
      <c r="Q231" s="31" t="str">
        <f>IF(LEN(_DB_Exercises!AL345)&gt;0,_DB_Exercises!AL345,"")</f>
        <v/>
      </c>
      <c r="R231" s="31" t="str">
        <f>IF(LEN(_DB_Exercises!AM345)&gt;0,_DB_Exercises!AM345,"")</f>
        <v/>
      </c>
      <c r="S231" s="31" t="str">
        <f>IF(LEN(_DB_Exercises!AN345)&gt;0,_DB_Exercises!AN345,"")</f>
        <v/>
      </c>
      <c r="T231" s="31" t="str">
        <f>IF(LEN(_DB_Exercises!AO345)&gt;0,_DB_Exercises!AO345,"")</f>
        <v/>
      </c>
      <c r="U231" s="31" t="str">
        <f>IF(LEN(_DB_Exercises!AP345)&gt;0,_DB_Exercises!AP345,"")</f>
        <v/>
      </c>
      <c r="V231" s="31" t="str">
        <f>IF(LEN(_DB_Exercises!AQ345)&gt;0,_DB_Exercises!AQ345,"")</f>
        <v/>
      </c>
      <c r="W231" s="31" t="str">
        <f>IF(LEN(_DB_Exercises!AR345)&gt;0,_DB_Exercises!AR345,"")</f>
        <v/>
      </c>
      <c r="X231" s="31" t="str">
        <f>IF(LEN(_DB_Exercises!AS345)&gt;0,_DB_Exercises!AS345,"")</f>
        <v/>
      </c>
      <c r="Y231" s="31" t="str">
        <f>IF(LEN(_DB_Exercises!AT345)&gt;0,_DB_Exercises!AT345,"")</f>
        <v/>
      </c>
      <c r="Z231" s="31" t="str">
        <f>IF(LEN(_DB_Exercises!AU345)&gt;0,_DB_Exercises!AU345,"")</f>
        <v/>
      </c>
      <c r="AA231" s="31" t="str">
        <f>IF(LEN(_DB_Exercises!AV345)&gt;0,_DB_Exercises!AV345,"")</f>
        <v/>
      </c>
      <c r="AB231" s="31" t="str">
        <f>IF(LEN(_DB_Exercises!AW345)&gt;0,_DB_Exercises!AW345,"")</f>
        <v/>
      </c>
      <c r="AC231" s="31" t="str">
        <f>IF(LEN(_DB_Exercises!AX345)&gt;0,_DB_Exercises!AX345,"")</f>
        <v/>
      </c>
      <c r="AD231" s="31" t="str">
        <f>IF(LEN(_DB_Exercises!AY345)&gt;0,_DB_Exercises!AY345,"")</f>
        <v/>
      </c>
      <c r="AE231" s="31" t="str">
        <f>IF(LEN(_DB_Exercises!AZ345)&gt;0,_DB_Exercises!AZ345,"")</f>
        <v/>
      </c>
      <c r="AF231" s="31" t="str">
        <f>IF(LEN(_DB_Exercises!BA345)&gt;0,_DB_Exercises!BA345,"")</f>
        <v/>
      </c>
      <c r="AG231" s="31" t="str">
        <f>IF(LEN(_DB_Exercises!BB345)&gt;0,_DB_Exercises!BB345,"")</f>
        <v/>
      </c>
      <c r="AH231" s="31" t="str">
        <f>IF(LEN(_DB_Exercises!BC345)&gt;0,_DB_Exercises!BC345,"")</f>
        <v/>
      </c>
      <c r="AI231" s="31" t="str">
        <f>IF(LEN(_DB_Exercises!BD345)&gt;0,_DB_Exercises!BD345,"")</f>
        <v/>
      </c>
      <c r="AJ231" s="31" t="str">
        <f>IF(LEN(_DB_Exercises!BE345)&gt;0,_DB_Exercises!BE345,"")</f>
        <v/>
      </c>
      <c r="AK231" s="31" t="str">
        <f>IF(LEN(_DB_Exercises!BF345)&gt;0,_DB_Exercises!BF345,"")</f>
        <v/>
      </c>
      <c r="AL231" s="31" t="str">
        <f>IF(LEN(_DB_Exercises!BG345)&gt;0,_DB_Exercises!BG345,"")</f>
        <v/>
      </c>
      <c r="AM231" s="31" t="str">
        <f>IF(LEN(_DB_Exercises!BH345)&gt;0,_DB_Exercises!BH345,"")</f>
        <v/>
      </c>
      <c r="AN231" s="31" t="str">
        <f>IF(LEN(_DB_Exercises!BI345)&gt;0,_DB_Exercises!BI345,"")</f>
        <v/>
      </c>
      <c r="AO231" s="31" t="str">
        <f>IF(LEN(_DB_Exercises!BJ345)&gt;0,_DB_Exercises!BJ345,"")</f>
        <v/>
      </c>
      <c r="AP231" s="31" t="str">
        <f>IF(LEN(_DB_Exercises!BK345)&gt;0,_DB_Exercises!BK345,"")</f>
        <v/>
      </c>
      <c r="AQ231" s="31" t="str">
        <f>IF(LEN(_DB_Exercises!BL345)&gt;0,_DB_Exercises!BL345,"")</f>
        <v/>
      </c>
      <c r="AR231" s="31" t="str">
        <f>IF(LEN(_DB_Exercises!BM345)&gt;0,_DB_Exercises!BM345,"")</f>
        <v/>
      </c>
    </row>
    <row r="232" spans="1:44" x14ac:dyDescent="0.25">
      <c r="A232" s="11" t="str">
        <f>IF(LEN(_DB_Exercises!A346)&gt;0,_DB_Exercises!A346,"")</f>
        <v/>
      </c>
      <c r="B232" s="14" t="str">
        <f>IF(LEN(_DB_Exercises!K346)&gt;0,_DB_Exercises!K346,"")</f>
        <v/>
      </c>
      <c r="C232" s="31" t="str">
        <f>IF(LEN(_DB_Exercises!X346)&gt;0,_DB_Exercises!X346,"")</f>
        <v/>
      </c>
      <c r="D232" s="31" t="str">
        <f>IF(LEN(_DB_Exercises!Y346)&gt;0,_DB_Exercises!Y346,"")</f>
        <v/>
      </c>
      <c r="E232" s="31" t="str">
        <f>IF(LEN(_DB_Exercises!Z346)&gt;0,_DB_Exercises!Z346,"")</f>
        <v/>
      </c>
      <c r="F232" s="31" t="str">
        <f>IF(LEN(_DB_Exercises!AA346)&gt;0,_DB_Exercises!AA346,"")</f>
        <v/>
      </c>
      <c r="G232" s="31" t="str">
        <f>IF(LEN(_DB_Exercises!AB346)&gt;0,_DB_Exercises!AB346,"")</f>
        <v/>
      </c>
      <c r="H232" s="31" t="str">
        <f>IF(LEN(_DB_Exercises!AC346)&gt;0,_DB_Exercises!AC346,"")</f>
        <v/>
      </c>
      <c r="I232" s="31" t="str">
        <f>IF(LEN(_DB_Exercises!AD346)&gt;0,_DB_Exercises!AD346,"")</f>
        <v/>
      </c>
      <c r="J232" s="31" t="str">
        <f>IF(LEN(_DB_Exercises!AE346)&gt;0,_DB_Exercises!AE346,"")</f>
        <v/>
      </c>
      <c r="K232" s="31" t="str">
        <f>IF(LEN(_DB_Exercises!AF346)&gt;0,_DB_Exercises!AF346,"")</f>
        <v/>
      </c>
      <c r="L232" s="31" t="str">
        <f>IF(LEN(_DB_Exercises!AG346)&gt;0,_DB_Exercises!AG346,"")</f>
        <v/>
      </c>
      <c r="M232" s="31" t="str">
        <f>IF(LEN(_DB_Exercises!AH346)&gt;0,_DB_Exercises!AH346,"")</f>
        <v/>
      </c>
      <c r="N232" s="31" t="str">
        <f>IF(LEN(_DB_Exercises!AI346)&gt;0,_DB_Exercises!AI346,"")</f>
        <v/>
      </c>
      <c r="O232" s="31" t="str">
        <f>IF(LEN(_DB_Exercises!AJ346)&gt;0,_DB_Exercises!AJ346,"")</f>
        <v/>
      </c>
      <c r="P232" s="31" t="str">
        <f>IF(LEN(_DB_Exercises!AK346)&gt;0,_DB_Exercises!AK346,"")</f>
        <v/>
      </c>
      <c r="Q232" s="31" t="str">
        <f>IF(LEN(_DB_Exercises!AL346)&gt;0,_DB_Exercises!AL346,"")</f>
        <v/>
      </c>
      <c r="R232" s="31" t="str">
        <f>IF(LEN(_DB_Exercises!AM346)&gt;0,_DB_Exercises!AM346,"")</f>
        <v/>
      </c>
      <c r="S232" s="31" t="str">
        <f>IF(LEN(_DB_Exercises!AN346)&gt;0,_DB_Exercises!AN346,"")</f>
        <v/>
      </c>
      <c r="T232" s="31" t="str">
        <f>IF(LEN(_DB_Exercises!AO346)&gt;0,_DB_Exercises!AO346,"")</f>
        <v/>
      </c>
      <c r="U232" s="31" t="str">
        <f>IF(LEN(_DB_Exercises!AP346)&gt;0,_DB_Exercises!AP346,"")</f>
        <v/>
      </c>
      <c r="V232" s="31" t="str">
        <f>IF(LEN(_DB_Exercises!AQ346)&gt;0,_DB_Exercises!AQ346,"")</f>
        <v/>
      </c>
      <c r="W232" s="31" t="str">
        <f>IF(LEN(_DB_Exercises!AR346)&gt;0,_DB_Exercises!AR346,"")</f>
        <v/>
      </c>
      <c r="X232" s="31" t="str">
        <f>IF(LEN(_DB_Exercises!AS346)&gt;0,_DB_Exercises!AS346,"")</f>
        <v/>
      </c>
      <c r="Y232" s="31" t="str">
        <f>IF(LEN(_DB_Exercises!AT346)&gt;0,_DB_Exercises!AT346,"")</f>
        <v/>
      </c>
      <c r="Z232" s="31" t="str">
        <f>IF(LEN(_DB_Exercises!AU346)&gt;0,_DB_Exercises!AU346,"")</f>
        <v/>
      </c>
      <c r="AA232" s="31" t="str">
        <f>IF(LEN(_DB_Exercises!AV346)&gt;0,_DB_Exercises!AV346,"")</f>
        <v/>
      </c>
      <c r="AB232" s="31" t="str">
        <f>IF(LEN(_DB_Exercises!AW346)&gt;0,_DB_Exercises!AW346,"")</f>
        <v/>
      </c>
      <c r="AC232" s="31" t="str">
        <f>IF(LEN(_DB_Exercises!AX346)&gt;0,_DB_Exercises!AX346,"")</f>
        <v/>
      </c>
      <c r="AD232" s="31" t="str">
        <f>IF(LEN(_DB_Exercises!AY346)&gt;0,_DB_Exercises!AY346,"")</f>
        <v/>
      </c>
      <c r="AE232" s="31" t="str">
        <f>IF(LEN(_DB_Exercises!AZ346)&gt;0,_DB_Exercises!AZ346,"")</f>
        <v/>
      </c>
      <c r="AF232" s="31" t="str">
        <f>IF(LEN(_DB_Exercises!BA346)&gt;0,_DB_Exercises!BA346,"")</f>
        <v/>
      </c>
      <c r="AG232" s="31" t="str">
        <f>IF(LEN(_DB_Exercises!BB346)&gt;0,_DB_Exercises!BB346,"")</f>
        <v/>
      </c>
      <c r="AH232" s="31" t="str">
        <f>IF(LEN(_DB_Exercises!BC346)&gt;0,_DB_Exercises!BC346,"")</f>
        <v/>
      </c>
      <c r="AI232" s="31" t="str">
        <f>IF(LEN(_DB_Exercises!BD346)&gt;0,_DB_Exercises!BD346,"")</f>
        <v/>
      </c>
      <c r="AJ232" s="31" t="str">
        <f>IF(LEN(_DB_Exercises!BE346)&gt;0,_DB_Exercises!BE346,"")</f>
        <v/>
      </c>
      <c r="AK232" s="31" t="str">
        <f>IF(LEN(_DB_Exercises!BF346)&gt;0,_DB_Exercises!BF346,"")</f>
        <v/>
      </c>
      <c r="AL232" s="31" t="str">
        <f>IF(LEN(_DB_Exercises!BG346)&gt;0,_DB_Exercises!BG346,"")</f>
        <v/>
      </c>
      <c r="AM232" s="31" t="str">
        <f>IF(LEN(_DB_Exercises!BH346)&gt;0,_DB_Exercises!BH346,"")</f>
        <v/>
      </c>
      <c r="AN232" s="31" t="str">
        <f>IF(LEN(_DB_Exercises!BI346)&gt;0,_DB_Exercises!BI346,"")</f>
        <v/>
      </c>
      <c r="AO232" s="31" t="str">
        <f>IF(LEN(_DB_Exercises!BJ346)&gt;0,_DB_Exercises!BJ346,"")</f>
        <v/>
      </c>
      <c r="AP232" s="31" t="str">
        <f>IF(LEN(_DB_Exercises!BK346)&gt;0,_DB_Exercises!BK346,"")</f>
        <v/>
      </c>
      <c r="AQ232" s="31" t="str">
        <f>IF(LEN(_DB_Exercises!BL346)&gt;0,_DB_Exercises!BL346,"")</f>
        <v/>
      </c>
      <c r="AR232" s="31" t="str">
        <f>IF(LEN(_DB_Exercises!BM346)&gt;0,_DB_Exercises!BM346,"")</f>
        <v/>
      </c>
    </row>
    <row r="233" spans="1:44" x14ac:dyDescent="0.25">
      <c r="A233" s="11" t="str">
        <f>IF(LEN(_DB_Exercises!A347)&gt;0,_DB_Exercises!A347,"")</f>
        <v/>
      </c>
      <c r="B233" s="14" t="str">
        <f>IF(LEN(_DB_Exercises!K347)&gt;0,_DB_Exercises!K347,"")</f>
        <v/>
      </c>
      <c r="C233" s="31" t="str">
        <f>IF(LEN(_DB_Exercises!X347)&gt;0,_DB_Exercises!X347,"")</f>
        <v/>
      </c>
      <c r="D233" s="31" t="str">
        <f>IF(LEN(_DB_Exercises!Y347)&gt;0,_DB_Exercises!Y347,"")</f>
        <v/>
      </c>
      <c r="E233" s="31" t="str">
        <f>IF(LEN(_DB_Exercises!Z347)&gt;0,_DB_Exercises!Z347,"")</f>
        <v/>
      </c>
      <c r="F233" s="31" t="str">
        <f>IF(LEN(_DB_Exercises!AA347)&gt;0,_DB_Exercises!AA347,"")</f>
        <v/>
      </c>
      <c r="G233" s="31" t="str">
        <f>IF(LEN(_DB_Exercises!AB347)&gt;0,_DB_Exercises!AB347,"")</f>
        <v/>
      </c>
      <c r="H233" s="31" t="str">
        <f>IF(LEN(_DB_Exercises!AC347)&gt;0,_DB_Exercises!AC347,"")</f>
        <v/>
      </c>
      <c r="I233" s="31" t="str">
        <f>IF(LEN(_DB_Exercises!AD347)&gt;0,_DB_Exercises!AD347,"")</f>
        <v/>
      </c>
      <c r="J233" s="31" t="str">
        <f>IF(LEN(_DB_Exercises!AE347)&gt;0,_DB_Exercises!AE347,"")</f>
        <v/>
      </c>
      <c r="K233" s="31" t="str">
        <f>IF(LEN(_DB_Exercises!AF347)&gt;0,_DB_Exercises!AF347,"")</f>
        <v/>
      </c>
      <c r="L233" s="31" t="str">
        <f>IF(LEN(_DB_Exercises!AG347)&gt;0,_DB_Exercises!AG347,"")</f>
        <v/>
      </c>
      <c r="M233" s="31" t="str">
        <f>IF(LEN(_DB_Exercises!AH347)&gt;0,_DB_Exercises!AH347,"")</f>
        <v/>
      </c>
      <c r="N233" s="31" t="str">
        <f>IF(LEN(_DB_Exercises!AI347)&gt;0,_DB_Exercises!AI347,"")</f>
        <v/>
      </c>
      <c r="O233" s="31" t="str">
        <f>IF(LEN(_DB_Exercises!AJ347)&gt;0,_DB_Exercises!AJ347,"")</f>
        <v/>
      </c>
      <c r="P233" s="31" t="str">
        <f>IF(LEN(_DB_Exercises!AK347)&gt;0,_DB_Exercises!AK347,"")</f>
        <v/>
      </c>
      <c r="Q233" s="31" t="str">
        <f>IF(LEN(_DB_Exercises!AL347)&gt;0,_DB_Exercises!AL347,"")</f>
        <v/>
      </c>
      <c r="R233" s="31" t="str">
        <f>IF(LEN(_DB_Exercises!AM347)&gt;0,_DB_Exercises!AM347,"")</f>
        <v/>
      </c>
      <c r="S233" s="31" t="str">
        <f>IF(LEN(_DB_Exercises!AN347)&gt;0,_DB_Exercises!AN347,"")</f>
        <v/>
      </c>
      <c r="T233" s="31" t="str">
        <f>IF(LEN(_DB_Exercises!AO347)&gt;0,_DB_Exercises!AO347,"")</f>
        <v/>
      </c>
      <c r="U233" s="31" t="str">
        <f>IF(LEN(_DB_Exercises!AP347)&gt;0,_DB_Exercises!AP347,"")</f>
        <v/>
      </c>
      <c r="V233" s="31" t="str">
        <f>IF(LEN(_DB_Exercises!AQ347)&gt;0,_DB_Exercises!AQ347,"")</f>
        <v/>
      </c>
      <c r="W233" s="31" t="str">
        <f>IF(LEN(_DB_Exercises!AR347)&gt;0,_DB_Exercises!AR347,"")</f>
        <v/>
      </c>
      <c r="X233" s="31" t="str">
        <f>IF(LEN(_DB_Exercises!AS347)&gt;0,_DB_Exercises!AS347,"")</f>
        <v/>
      </c>
      <c r="Y233" s="31" t="str">
        <f>IF(LEN(_DB_Exercises!AT347)&gt;0,_DB_Exercises!AT347,"")</f>
        <v/>
      </c>
      <c r="Z233" s="31" t="str">
        <f>IF(LEN(_DB_Exercises!AU347)&gt;0,_DB_Exercises!AU347,"")</f>
        <v/>
      </c>
      <c r="AA233" s="31" t="str">
        <f>IF(LEN(_DB_Exercises!AV347)&gt;0,_DB_Exercises!AV347,"")</f>
        <v/>
      </c>
      <c r="AB233" s="31" t="str">
        <f>IF(LEN(_DB_Exercises!AW347)&gt;0,_DB_Exercises!AW347,"")</f>
        <v/>
      </c>
      <c r="AC233" s="31" t="str">
        <f>IF(LEN(_DB_Exercises!AX347)&gt;0,_DB_Exercises!AX347,"")</f>
        <v/>
      </c>
      <c r="AD233" s="31" t="str">
        <f>IF(LEN(_DB_Exercises!AY347)&gt;0,_DB_Exercises!AY347,"")</f>
        <v/>
      </c>
      <c r="AE233" s="31" t="str">
        <f>IF(LEN(_DB_Exercises!AZ347)&gt;0,_DB_Exercises!AZ347,"")</f>
        <v/>
      </c>
      <c r="AF233" s="31" t="str">
        <f>IF(LEN(_DB_Exercises!BA347)&gt;0,_DB_Exercises!BA347,"")</f>
        <v/>
      </c>
      <c r="AG233" s="31" t="str">
        <f>IF(LEN(_DB_Exercises!BB347)&gt;0,_DB_Exercises!BB347,"")</f>
        <v/>
      </c>
      <c r="AH233" s="31" t="str">
        <f>IF(LEN(_DB_Exercises!BC347)&gt;0,_DB_Exercises!BC347,"")</f>
        <v/>
      </c>
      <c r="AI233" s="31" t="str">
        <f>IF(LEN(_DB_Exercises!BD347)&gt;0,_DB_Exercises!BD347,"")</f>
        <v/>
      </c>
      <c r="AJ233" s="31" t="str">
        <f>IF(LEN(_DB_Exercises!BE347)&gt;0,_DB_Exercises!BE347,"")</f>
        <v/>
      </c>
      <c r="AK233" s="31" t="str">
        <f>IF(LEN(_DB_Exercises!BF347)&gt;0,_DB_Exercises!BF347,"")</f>
        <v/>
      </c>
      <c r="AL233" s="31" t="str">
        <f>IF(LEN(_DB_Exercises!BG347)&gt;0,_DB_Exercises!BG347,"")</f>
        <v/>
      </c>
      <c r="AM233" s="31" t="str">
        <f>IF(LEN(_DB_Exercises!BH347)&gt;0,_DB_Exercises!BH347,"")</f>
        <v/>
      </c>
      <c r="AN233" s="31" t="str">
        <f>IF(LEN(_DB_Exercises!BI347)&gt;0,_DB_Exercises!BI347,"")</f>
        <v/>
      </c>
      <c r="AO233" s="31" t="str">
        <f>IF(LEN(_DB_Exercises!BJ347)&gt;0,_DB_Exercises!BJ347,"")</f>
        <v/>
      </c>
      <c r="AP233" s="31" t="str">
        <f>IF(LEN(_DB_Exercises!BK347)&gt;0,_DB_Exercises!BK347,"")</f>
        <v/>
      </c>
      <c r="AQ233" s="31" t="str">
        <f>IF(LEN(_DB_Exercises!BL347)&gt;0,_DB_Exercises!BL347,"")</f>
        <v/>
      </c>
      <c r="AR233" s="31" t="str">
        <f>IF(LEN(_DB_Exercises!BM347)&gt;0,_DB_Exercises!BM347,"")</f>
        <v/>
      </c>
    </row>
    <row r="234" spans="1:44" x14ac:dyDescent="0.25">
      <c r="A234" s="11" t="str">
        <f>IF(LEN(_DB_Exercises!A348)&gt;0,_DB_Exercises!A348,"")</f>
        <v/>
      </c>
      <c r="B234" s="14" t="str">
        <f>IF(LEN(_DB_Exercises!K348)&gt;0,_DB_Exercises!K348,"")</f>
        <v/>
      </c>
      <c r="C234" s="31" t="str">
        <f>IF(LEN(_DB_Exercises!X348)&gt;0,_DB_Exercises!X348,"")</f>
        <v/>
      </c>
      <c r="D234" s="31" t="str">
        <f>IF(LEN(_DB_Exercises!Y348)&gt;0,_DB_Exercises!Y348,"")</f>
        <v/>
      </c>
      <c r="E234" s="31" t="str">
        <f>IF(LEN(_DB_Exercises!Z348)&gt;0,_DB_Exercises!Z348,"")</f>
        <v/>
      </c>
      <c r="F234" s="31" t="str">
        <f>IF(LEN(_DB_Exercises!AA348)&gt;0,_DB_Exercises!AA348,"")</f>
        <v/>
      </c>
      <c r="G234" s="31" t="str">
        <f>IF(LEN(_DB_Exercises!AB348)&gt;0,_DB_Exercises!AB348,"")</f>
        <v/>
      </c>
      <c r="H234" s="31" t="str">
        <f>IF(LEN(_DB_Exercises!AC348)&gt;0,_DB_Exercises!AC348,"")</f>
        <v/>
      </c>
      <c r="I234" s="31" t="str">
        <f>IF(LEN(_DB_Exercises!AD348)&gt;0,_DB_Exercises!AD348,"")</f>
        <v/>
      </c>
      <c r="J234" s="31" t="str">
        <f>IF(LEN(_DB_Exercises!AE348)&gt;0,_DB_Exercises!AE348,"")</f>
        <v/>
      </c>
      <c r="K234" s="31" t="str">
        <f>IF(LEN(_DB_Exercises!AF348)&gt;0,_DB_Exercises!AF348,"")</f>
        <v/>
      </c>
      <c r="L234" s="31" t="str">
        <f>IF(LEN(_DB_Exercises!AG348)&gt;0,_DB_Exercises!AG348,"")</f>
        <v/>
      </c>
      <c r="M234" s="31" t="str">
        <f>IF(LEN(_DB_Exercises!AH348)&gt;0,_DB_Exercises!AH348,"")</f>
        <v/>
      </c>
      <c r="N234" s="31" t="str">
        <f>IF(LEN(_DB_Exercises!AI348)&gt;0,_DB_Exercises!AI348,"")</f>
        <v/>
      </c>
      <c r="O234" s="31" t="str">
        <f>IF(LEN(_DB_Exercises!AJ348)&gt;0,_DB_Exercises!AJ348,"")</f>
        <v/>
      </c>
      <c r="P234" s="31" t="str">
        <f>IF(LEN(_DB_Exercises!AK348)&gt;0,_DB_Exercises!AK348,"")</f>
        <v/>
      </c>
      <c r="Q234" s="31" t="str">
        <f>IF(LEN(_DB_Exercises!AL348)&gt;0,_DB_Exercises!AL348,"")</f>
        <v/>
      </c>
      <c r="R234" s="31" t="str">
        <f>IF(LEN(_DB_Exercises!AM348)&gt;0,_DB_Exercises!AM348,"")</f>
        <v/>
      </c>
      <c r="S234" s="31" t="str">
        <f>IF(LEN(_DB_Exercises!AN348)&gt;0,_DB_Exercises!AN348,"")</f>
        <v/>
      </c>
      <c r="T234" s="31" t="str">
        <f>IF(LEN(_DB_Exercises!AO348)&gt;0,_DB_Exercises!AO348,"")</f>
        <v/>
      </c>
      <c r="U234" s="31" t="str">
        <f>IF(LEN(_DB_Exercises!AP348)&gt;0,_DB_Exercises!AP348,"")</f>
        <v/>
      </c>
      <c r="V234" s="31" t="str">
        <f>IF(LEN(_DB_Exercises!AQ348)&gt;0,_DB_Exercises!AQ348,"")</f>
        <v/>
      </c>
      <c r="W234" s="31" t="str">
        <f>IF(LEN(_DB_Exercises!AR348)&gt;0,_DB_Exercises!AR348,"")</f>
        <v/>
      </c>
      <c r="X234" s="31" t="str">
        <f>IF(LEN(_DB_Exercises!AS348)&gt;0,_DB_Exercises!AS348,"")</f>
        <v/>
      </c>
      <c r="Y234" s="31" t="str">
        <f>IF(LEN(_DB_Exercises!AT348)&gt;0,_DB_Exercises!AT348,"")</f>
        <v/>
      </c>
      <c r="Z234" s="31" t="str">
        <f>IF(LEN(_DB_Exercises!AU348)&gt;0,_DB_Exercises!AU348,"")</f>
        <v/>
      </c>
      <c r="AA234" s="31" t="str">
        <f>IF(LEN(_DB_Exercises!AV348)&gt;0,_DB_Exercises!AV348,"")</f>
        <v/>
      </c>
      <c r="AB234" s="31" t="str">
        <f>IF(LEN(_DB_Exercises!AW348)&gt;0,_DB_Exercises!AW348,"")</f>
        <v/>
      </c>
      <c r="AC234" s="31" t="str">
        <f>IF(LEN(_DB_Exercises!AX348)&gt;0,_DB_Exercises!AX348,"")</f>
        <v/>
      </c>
      <c r="AD234" s="31" t="str">
        <f>IF(LEN(_DB_Exercises!AY348)&gt;0,_DB_Exercises!AY348,"")</f>
        <v/>
      </c>
      <c r="AE234" s="31" t="str">
        <f>IF(LEN(_DB_Exercises!AZ348)&gt;0,_DB_Exercises!AZ348,"")</f>
        <v/>
      </c>
      <c r="AF234" s="31" t="str">
        <f>IF(LEN(_DB_Exercises!BA348)&gt;0,_DB_Exercises!BA348,"")</f>
        <v/>
      </c>
      <c r="AG234" s="31" t="str">
        <f>IF(LEN(_DB_Exercises!BB348)&gt;0,_DB_Exercises!BB348,"")</f>
        <v/>
      </c>
      <c r="AH234" s="31" t="str">
        <f>IF(LEN(_DB_Exercises!BC348)&gt;0,_DB_Exercises!BC348,"")</f>
        <v/>
      </c>
      <c r="AI234" s="31" t="str">
        <f>IF(LEN(_DB_Exercises!BD348)&gt;0,_DB_Exercises!BD348,"")</f>
        <v/>
      </c>
      <c r="AJ234" s="31" t="str">
        <f>IF(LEN(_DB_Exercises!BE348)&gt;0,_DB_Exercises!BE348,"")</f>
        <v/>
      </c>
      <c r="AK234" s="31" t="str">
        <f>IF(LEN(_DB_Exercises!BF348)&gt;0,_DB_Exercises!BF348,"")</f>
        <v/>
      </c>
      <c r="AL234" s="31" t="str">
        <f>IF(LEN(_DB_Exercises!BG348)&gt;0,_DB_Exercises!BG348,"")</f>
        <v/>
      </c>
      <c r="AM234" s="31" t="str">
        <f>IF(LEN(_DB_Exercises!BH348)&gt;0,_DB_Exercises!BH348,"")</f>
        <v/>
      </c>
      <c r="AN234" s="31" t="str">
        <f>IF(LEN(_DB_Exercises!BI348)&gt;0,_DB_Exercises!BI348,"")</f>
        <v/>
      </c>
      <c r="AO234" s="31" t="str">
        <f>IF(LEN(_DB_Exercises!BJ348)&gt;0,_DB_Exercises!BJ348,"")</f>
        <v/>
      </c>
      <c r="AP234" s="31" t="str">
        <f>IF(LEN(_DB_Exercises!BK348)&gt;0,_DB_Exercises!BK348,"")</f>
        <v/>
      </c>
      <c r="AQ234" s="31" t="str">
        <f>IF(LEN(_DB_Exercises!BL348)&gt;0,_DB_Exercises!BL348,"")</f>
        <v/>
      </c>
      <c r="AR234" s="31" t="str">
        <f>IF(LEN(_DB_Exercises!BM348)&gt;0,_DB_Exercises!BM348,"")</f>
        <v/>
      </c>
    </row>
    <row r="235" spans="1:44" x14ac:dyDescent="0.25">
      <c r="A235" s="11" t="str">
        <f>IF(LEN(_DB_Exercises!A349)&gt;0,_DB_Exercises!A349,"")</f>
        <v/>
      </c>
      <c r="B235" s="14" t="str">
        <f>IF(LEN(_DB_Exercises!K349)&gt;0,_DB_Exercises!K349,"")</f>
        <v/>
      </c>
      <c r="C235" s="31" t="str">
        <f>IF(LEN(_DB_Exercises!X349)&gt;0,_DB_Exercises!X349,"")</f>
        <v/>
      </c>
      <c r="D235" s="31" t="str">
        <f>IF(LEN(_DB_Exercises!Y349)&gt;0,_DB_Exercises!Y349,"")</f>
        <v/>
      </c>
      <c r="E235" s="31" t="str">
        <f>IF(LEN(_DB_Exercises!Z349)&gt;0,_DB_Exercises!Z349,"")</f>
        <v/>
      </c>
      <c r="F235" s="31" t="str">
        <f>IF(LEN(_DB_Exercises!AA349)&gt;0,_DB_Exercises!AA349,"")</f>
        <v/>
      </c>
      <c r="G235" s="31" t="str">
        <f>IF(LEN(_DB_Exercises!AB349)&gt;0,_DB_Exercises!AB349,"")</f>
        <v/>
      </c>
      <c r="H235" s="31" t="str">
        <f>IF(LEN(_DB_Exercises!AC349)&gt;0,_DB_Exercises!AC349,"")</f>
        <v/>
      </c>
      <c r="I235" s="31" t="str">
        <f>IF(LEN(_DB_Exercises!AD349)&gt;0,_DB_Exercises!AD349,"")</f>
        <v/>
      </c>
      <c r="J235" s="31" t="str">
        <f>IF(LEN(_DB_Exercises!AE349)&gt;0,_DB_Exercises!AE349,"")</f>
        <v/>
      </c>
      <c r="K235" s="31" t="str">
        <f>IF(LEN(_DB_Exercises!AF349)&gt;0,_DB_Exercises!AF349,"")</f>
        <v/>
      </c>
      <c r="L235" s="31" t="str">
        <f>IF(LEN(_DB_Exercises!AG349)&gt;0,_DB_Exercises!AG349,"")</f>
        <v/>
      </c>
      <c r="M235" s="31" t="str">
        <f>IF(LEN(_DB_Exercises!AH349)&gt;0,_DB_Exercises!AH349,"")</f>
        <v/>
      </c>
      <c r="N235" s="31" t="str">
        <f>IF(LEN(_DB_Exercises!AI349)&gt;0,_DB_Exercises!AI349,"")</f>
        <v/>
      </c>
      <c r="O235" s="31" t="str">
        <f>IF(LEN(_DB_Exercises!AJ349)&gt;0,_DB_Exercises!AJ349,"")</f>
        <v/>
      </c>
      <c r="P235" s="31" t="str">
        <f>IF(LEN(_DB_Exercises!AK349)&gt;0,_DB_Exercises!AK349,"")</f>
        <v/>
      </c>
      <c r="Q235" s="31" t="str">
        <f>IF(LEN(_DB_Exercises!AL349)&gt;0,_DB_Exercises!AL349,"")</f>
        <v/>
      </c>
      <c r="R235" s="31" t="str">
        <f>IF(LEN(_DB_Exercises!AM349)&gt;0,_DB_Exercises!AM349,"")</f>
        <v/>
      </c>
      <c r="S235" s="31" t="str">
        <f>IF(LEN(_DB_Exercises!AN349)&gt;0,_DB_Exercises!AN349,"")</f>
        <v/>
      </c>
      <c r="T235" s="31" t="str">
        <f>IF(LEN(_DB_Exercises!AO349)&gt;0,_DB_Exercises!AO349,"")</f>
        <v/>
      </c>
      <c r="U235" s="31" t="str">
        <f>IF(LEN(_DB_Exercises!AP349)&gt;0,_DB_Exercises!AP349,"")</f>
        <v/>
      </c>
      <c r="V235" s="31" t="str">
        <f>IF(LEN(_DB_Exercises!AQ349)&gt;0,_DB_Exercises!AQ349,"")</f>
        <v/>
      </c>
      <c r="W235" s="31" t="str">
        <f>IF(LEN(_DB_Exercises!AR349)&gt;0,_DB_Exercises!AR349,"")</f>
        <v/>
      </c>
      <c r="X235" s="31" t="str">
        <f>IF(LEN(_DB_Exercises!AS349)&gt;0,_DB_Exercises!AS349,"")</f>
        <v/>
      </c>
      <c r="Y235" s="31" t="str">
        <f>IF(LEN(_DB_Exercises!AT349)&gt;0,_DB_Exercises!AT349,"")</f>
        <v/>
      </c>
      <c r="Z235" s="31" t="str">
        <f>IF(LEN(_DB_Exercises!AU349)&gt;0,_DB_Exercises!AU349,"")</f>
        <v/>
      </c>
      <c r="AA235" s="31" t="str">
        <f>IF(LEN(_DB_Exercises!AV349)&gt;0,_DB_Exercises!AV349,"")</f>
        <v/>
      </c>
      <c r="AB235" s="31" t="str">
        <f>IF(LEN(_DB_Exercises!AW349)&gt;0,_DB_Exercises!AW349,"")</f>
        <v/>
      </c>
      <c r="AC235" s="31" t="str">
        <f>IF(LEN(_DB_Exercises!AX349)&gt;0,_DB_Exercises!AX349,"")</f>
        <v/>
      </c>
      <c r="AD235" s="31" t="str">
        <f>IF(LEN(_DB_Exercises!AY349)&gt;0,_DB_Exercises!AY349,"")</f>
        <v/>
      </c>
      <c r="AE235" s="31" t="str">
        <f>IF(LEN(_DB_Exercises!AZ349)&gt;0,_DB_Exercises!AZ349,"")</f>
        <v/>
      </c>
      <c r="AF235" s="31" t="str">
        <f>IF(LEN(_DB_Exercises!BA349)&gt;0,_DB_Exercises!BA349,"")</f>
        <v/>
      </c>
      <c r="AG235" s="31" t="str">
        <f>IF(LEN(_DB_Exercises!BB349)&gt;0,_DB_Exercises!BB349,"")</f>
        <v/>
      </c>
      <c r="AH235" s="31" t="str">
        <f>IF(LEN(_DB_Exercises!BC349)&gt;0,_DB_Exercises!BC349,"")</f>
        <v/>
      </c>
      <c r="AI235" s="31" t="str">
        <f>IF(LEN(_DB_Exercises!BD349)&gt;0,_DB_Exercises!BD349,"")</f>
        <v/>
      </c>
      <c r="AJ235" s="31" t="str">
        <f>IF(LEN(_DB_Exercises!BE349)&gt;0,_DB_Exercises!BE349,"")</f>
        <v/>
      </c>
      <c r="AK235" s="31" t="str">
        <f>IF(LEN(_DB_Exercises!BF349)&gt;0,_DB_Exercises!BF349,"")</f>
        <v/>
      </c>
      <c r="AL235" s="31" t="str">
        <f>IF(LEN(_DB_Exercises!BG349)&gt;0,_DB_Exercises!BG349,"")</f>
        <v/>
      </c>
      <c r="AM235" s="31" t="str">
        <f>IF(LEN(_DB_Exercises!BH349)&gt;0,_DB_Exercises!BH349,"")</f>
        <v/>
      </c>
      <c r="AN235" s="31" t="str">
        <f>IF(LEN(_DB_Exercises!BI349)&gt;0,_DB_Exercises!BI349,"")</f>
        <v/>
      </c>
      <c r="AO235" s="31" t="str">
        <f>IF(LEN(_DB_Exercises!BJ349)&gt;0,_DB_Exercises!BJ349,"")</f>
        <v/>
      </c>
      <c r="AP235" s="31" t="str">
        <f>IF(LEN(_DB_Exercises!BK349)&gt;0,_DB_Exercises!BK349,"")</f>
        <v/>
      </c>
      <c r="AQ235" s="31" t="str">
        <f>IF(LEN(_DB_Exercises!BL349)&gt;0,_DB_Exercises!BL349,"")</f>
        <v/>
      </c>
      <c r="AR235" s="31" t="str">
        <f>IF(LEN(_DB_Exercises!BM349)&gt;0,_DB_Exercises!BM349,"")</f>
        <v/>
      </c>
    </row>
    <row r="236" spans="1:44" x14ac:dyDescent="0.25">
      <c r="A236" s="11" t="str">
        <f>IF(LEN(_DB_Exercises!A350)&gt;0,_DB_Exercises!A350,"")</f>
        <v/>
      </c>
      <c r="B236" s="14" t="str">
        <f>IF(LEN(_DB_Exercises!K350)&gt;0,_DB_Exercises!K350,"")</f>
        <v/>
      </c>
      <c r="C236" s="31" t="str">
        <f>IF(LEN(_DB_Exercises!X350)&gt;0,_DB_Exercises!X350,"")</f>
        <v/>
      </c>
      <c r="D236" s="31" t="str">
        <f>IF(LEN(_DB_Exercises!Y350)&gt;0,_DB_Exercises!Y350,"")</f>
        <v/>
      </c>
      <c r="E236" s="31" t="str">
        <f>IF(LEN(_DB_Exercises!Z350)&gt;0,_DB_Exercises!Z350,"")</f>
        <v/>
      </c>
      <c r="F236" s="31" t="str">
        <f>IF(LEN(_DB_Exercises!AA350)&gt;0,_DB_Exercises!AA350,"")</f>
        <v/>
      </c>
      <c r="G236" s="31" t="str">
        <f>IF(LEN(_DB_Exercises!AB350)&gt;0,_DB_Exercises!AB350,"")</f>
        <v/>
      </c>
      <c r="H236" s="31" t="str">
        <f>IF(LEN(_DB_Exercises!AC350)&gt;0,_DB_Exercises!AC350,"")</f>
        <v/>
      </c>
      <c r="I236" s="31" t="str">
        <f>IF(LEN(_DB_Exercises!AD350)&gt;0,_DB_Exercises!AD350,"")</f>
        <v/>
      </c>
      <c r="J236" s="31" t="str">
        <f>IF(LEN(_DB_Exercises!AE350)&gt;0,_DB_Exercises!AE350,"")</f>
        <v/>
      </c>
      <c r="K236" s="31" t="str">
        <f>IF(LEN(_DB_Exercises!AF350)&gt;0,_DB_Exercises!AF350,"")</f>
        <v/>
      </c>
      <c r="L236" s="31" t="str">
        <f>IF(LEN(_DB_Exercises!AG350)&gt;0,_DB_Exercises!AG350,"")</f>
        <v/>
      </c>
      <c r="M236" s="31" t="str">
        <f>IF(LEN(_DB_Exercises!AH350)&gt;0,_DB_Exercises!AH350,"")</f>
        <v/>
      </c>
      <c r="N236" s="31" t="str">
        <f>IF(LEN(_DB_Exercises!AI350)&gt;0,_DB_Exercises!AI350,"")</f>
        <v/>
      </c>
      <c r="O236" s="31" t="str">
        <f>IF(LEN(_DB_Exercises!AJ350)&gt;0,_DB_Exercises!AJ350,"")</f>
        <v/>
      </c>
      <c r="P236" s="31" t="str">
        <f>IF(LEN(_DB_Exercises!AK350)&gt;0,_DB_Exercises!AK350,"")</f>
        <v/>
      </c>
      <c r="Q236" s="31" t="str">
        <f>IF(LEN(_DB_Exercises!AL350)&gt;0,_DB_Exercises!AL350,"")</f>
        <v/>
      </c>
      <c r="R236" s="31" t="str">
        <f>IF(LEN(_DB_Exercises!AM350)&gt;0,_DB_Exercises!AM350,"")</f>
        <v/>
      </c>
      <c r="S236" s="31" t="str">
        <f>IF(LEN(_DB_Exercises!AN350)&gt;0,_DB_Exercises!AN350,"")</f>
        <v/>
      </c>
      <c r="T236" s="31" t="str">
        <f>IF(LEN(_DB_Exercises!AO350)&gt;0,_DB_Exercises!AO350,"")</f>
        <v/>
      </c>
      <c r="U236" s="31" t="str">
        <f>IF(LEN(_DB_Exercises!AP350)&gt;0,_DB_Exercises!AP350,"")</f>
        <v/>
      </c>
      <c r="V236" s="31" t="str">
        <f>IF(LEN(_DB_Exercises!AQ350)&gt;0,_DB_Exercises!AQ350,"")</f>
        <v/>
      </c>
      <c r="W236" s="31" t="str">
        <f>IF(LEN(_DB_Exercises!AR350)&gt;0,_DB_Exercises!AR350,"")</f>
        <v/>
      </c>
      <c r="X236" s="31" t="str">
        <f>IF(LEN(_DB_Exercises!AS350)&gt;0,_DB_Exercises!AS350,"")</f>
        <v/>
      </c>
      <c r="Y236" s="31" t="str">
        <f>IF(LEN(_DB_Exercises!AT350)&gt;0,_DB_Exercises!AT350,"")</f>
        <v/>
      </c>
      <c r="Z236" s="31" t="str">
        <f>IF(LEN(_DB_Exercises!AU350)&gt;0,_DB_Exercises!AU350,"")</f>
        <v/>
      </c>
      <c r="AA236" s="31" t="str">
        <f>IF(LEN(_DB_Exercises!AV350)&gt;0,_DB_Exercises!AV350,"")</f>
        <v/>
      </c>
      <c r="AB236" s="31" t="str">
        <f>IF(LEN(_DB_Exercises!AW350)&gt;0,_DB_Exercises!AW350,"")</f>
        <v/>
      </c>
      <c r="AC236" s="31" t="str">
        <f>IF(LEN(_DB_Exercises!AX350)&gt;0,_DB_Exercises!AX350,"")</f>
        <v/>
      </c>
      <c r="AD236" s="31" t="str">
        <f>IF(LEN(_DB_Exercises!AY350)&gt;0,_DB_Exercises!AY350,"")</f>
        <v/>
      </c>
      <c r="AE236" s="31" t="str">
        <f>IF(LEN(_DB_Exercises!AZ350)&gt;0,_DB_Exercises!AZ350,"")</f>
        <v/>
      </c>
      <c r="AF236" s="31" t="str">
        <f>IF(LEN(_DB_Exercises!BA350)&gt;0,_DB_Exercises!BA350,"")</f>
        <v/>
      </c>
      <c r="AG236" s="31" t="str">
        <f>IF(LEN(_DB_Exercises!BB350)&gt;0,_DB_Exercises!BB350,"")</f>
        <v/>
      </c>
      <c r="AH236" s="31" t="str">
        <f>IF(LEN(_DB_Exercises!BC350)&gt;0,_DB_Exercises!BC350,"")</f>
        <v/>
      </c>
      <c r="AI236" s="31" t="str">
        <f>IF(LEN(_DB_Exercises!BD350)&gt;0,_DB_Exercises!BD350,"")</f>
        <v/>
      </c>
      <c r="AJ236" s="31" t="str">
        <f>IF(LEN(_DB_Exercises!BE350)&gt;0,_DB_Exercises!BE350,"")</f>
        <v/>
      </c>
      <c r="AK236" s="31" t="str">
        <f>IF(LEN(_DB_Exercises!BF350)&gt;0,_DB_Exercises!BF350,"")</f>
        <v/>
      </c>
      <c r="AL236" s="31" t="str">
        <f>IF(LEN(_DB_Exercises!BG350)&gt;0,_DB_Exercises!BG350,"")</f>
        <v/>
      </c>
      <c r="AM236" s="31" t="str">
        <f>IF(LEN(_DB_Exercises!BH350)&gt;0,_DB_Exercises!BH350,"")</f>
        <v/>
      </c>
      <c r="AN236" s="31" t="str">
        <f>IF(LEN(_DB_Exercises!BI350)&gt;0,_DB_Exercises!BI350,"")</f>
        <v/>
      </c>
      <c r="AO236" s="31" t="str">
        <f>IF(LEN(_DB_Exercises!BJ350)&gt;0,_DB_Exercises!BJ350,"")</f>
        <v/>
      </c>
      <c r="AP236" s="31" t="str">
        <f>IF(LEN(_DB_Exercises!BK350)&gt;0,_DB_Exercises!BK350,"")</f>
        <v/>
      </c>
      <c r="AQ236" s="31" t="str">
        <f>IF(LEN(_DB_Exercises!BL350)&gt;0,_DB_Exercises!BL350,"")</f>
        <v/>
      </c>
      <c r="AR236" s="31" t="str">
        <f>IF(LEN(_DB_Exercises!BM350)&gt;0,_DB_Exercises!BM350,"")</f>
        <v/>
      </c>
    </row>
    <row r="237" spans="1:44" x14ac:dyDescent="0.25">
      <c r="A237" s="11" t="str">
        <f>IF(LEN(_DB_Exercises!A351)&gt;0,_DB_Exercises!A351,"")</f>
        <v/>
      </c>
      <c r="B237" s="14" t="str">
        <f>IF(LEN(_DB_Exercises!K351)&gt;0,_DB_Exercises!K351,"")</f>
        <v/>
      </c>
      <c r="C237" s="31" t="str">
        <f>IF(LEN(_DB_Exercises!X351)&gt;0,_DB_Exercises!X351,"")</f>
        <v/>
      </c>
      <c r="D237" s="31" t="str">
        <f>IF(LEN(_DB_Exercises!Y351)&gt;0,_DB_Exercises!Y351,"")</f>
        <v/>
      </c>
      <c r="E237" s="31" t="str">
        <f>IF(LEN(_DB_Exercises!Z351)&gt;0,_DB_Exercises!Z351,"")</f>
        <v/>
      </c>
      <c r="F237" s="31" t="str">
        <f>IF(LEN(_DB_Exercises!AA351)&gt;0,_DB_Exercises!AA351,"")</f>
        <v/>
      </c>
      <c r="G237" s="31" t="str">
        <f>IF(LEN(_DB_Exercises!AB351)&gt;0,_DB_Exercises!AB351,"")</f>
        <v/>
      </c>
      <c r="H237" s="31" t="str">
        <f>IF(LEN(_DB_Exercises!AC351)&gt;0,_DB_Exercises!AC351,"")</f>
        <v/>
      </c>
      <c r="I237" s="31" t="str">
        <f>IF(LEN(_DB_Exercises!AD351)&gt;0,_DB_Exercises!AD351,"")</f>
        <v/>
      </c>
      <c r="J237" s="31" t="str">
        <f>IF(LEN(_DB_Exercises!AE351)&gt;0,_DB_Exercises!AE351,"")</f>
        <v/>
      </c>
      <c r="K237" s="31" t="str">
        <f>IF(LEN(_DB_Exercises!AF351)&gt;0,_DB_Exercises!AF351,"")</f>
        <v/>
      </c>
      <c r="L237" s="31" t="str">
        <f>IF(LEN(_DB_Exercises!AG351)&gt;0,_DB_Exercises!AG351,"")</f>
        <v/>
      </c>
      <c r="M237" s="31" t="str">
        <f>IF(LEN(_DB_Exercises!AH351)&gt;0,_DB_Exercises!AH351,"")</f>
        <v/>
      </c>
      <c r="N237" s="31" t="str">
        <f>IF(LEN(_DB_Exercises!AI351)&gt;0,_DB_Exercises!AI351,"")</f>
        <v/>
      </c>
      <c r="O237" s="31" t="str">
        <f>IF(LEN(_DB_Exercises!AJ351)&gt;0,_DB_Exercises!AJ351,"")</f>
        <v/>
      </c>
      <c r="P237" s="31" t="str">
        <f>IF(LEN(_DB_Exercises!AK351)&gt;0,_DB_Exercises!AK351,"")</f>
        <v/>
      </c>
      <c r="Q237" s="31" t="str">
        <f>IF(LEN(_DB_Exercises!AL351)&gt;0,_DB_Exercises!AL351,"")</f>
        <v/>
      </c>
      <c r="R237" s="31" t="str">
        <f>IF(LEN(_DB_Exercises!AM351)&gt;0,_DB_Exercises!AM351,"")</f>
        <v/>
      </c>
      <c r="S237" s="31" t="str">
        <f>IF(LEN(_DB_Exercises!AN351)&gt;0,_DB_Exercises!AN351,"")</f>
        <v/>
      </c>
      <c r="T237" s="31" t="str">
        <f>IF(LEN(_DB_Exercises!AO351)&gt;0,_DB_Exercises!AO351,"")</f>
        <v/>
      </c>
      <c r="U237" s="31" t="str">
        <f>IF(LEN(_DB_Exercises!AP351)&gt;0,_DB_Exercises!AP351,"")</f>
        <v/>
      </c>
      <c r="V237" s="31" t="str">
        <f>IF(LEN(_DB_Exercises!AQ351)&gt;0,_DB_Exercises!AQ351,"")</f>
        <v/>
      </c>
      <c r="W237" s="31" t="str">
        <f>IF(LEN(_DB_Exercises!AR351)&gt;0,_DB_Exercises!AR351,"")</f>
        <v/>
      </c>
      <c r="X237" s="31" t="str">
        <f>IF(LEN(_DB_Exercises!AS351)&gt;0,_DB_Exercises!AS351,"")</f>
        <v/>
      </c>
      <c r="Y237" s="31" t="str">
        <f>IF(LEN(_DB_Exercises!AT351)&gt;0,_DB_Exercises!AT351,"")</f>
        <v/>
      </c>
      <c r="Z237" s="31" t="str">
        <f>IF(LEN(_DB_Exercises!AU351)&gt;0,_DB_Exercises!AU351,"")</f>
        <v/>
      </c>
      <c r="AA237" s="31" t="str">
        <f>IF(LEN(_DB_Exercises!AV351)&gt;0,_DB_Exercises!AV351,"")</f>
        <v/>
      </c>
      <c r="AB237" s="31" t="str">
        <f>IF(LEN(_DB_Exercises!AW351)&gt;0,_DB_Exercises!AW351,"")</f>
        <v/>
      </c>
      <c r="AC237" s="31" t="str">
        <f>IF(LEN(_DB_Exercises!AX351)&gt;0,_DB_Exercises!AX351,"")</f>
        <v/>
      </c>
      <c r="AD237" s="31" t="str">
        <f>IF(LEN(_DB_Exercises!AY351)&gt;0,_DB_Exercises!AY351,"")</f>
        <v/>
      </c>
      <c r="AE237" s="31" t="str">
        <f>IF(LEN(_DB_Exercises!AZ351)&gt;0,_DB_Exercises!AZ351,"")</f>
        <v/>
      </c>
      <c r="AF237" s="31" t="str">
        <f>IF(LEN(_DB_Exercises!BA351)&gt;0,_DB_Exercises!BA351,"")</f>
        <v/>
      </c>
      <c r="AG237" s="31" t="str">
        <f>IF(LEN(_DB_Exercises!BB351)&gt;0,_DB_Exercises!BB351,"")</f>
        <v/>
      </c>
      <c r="AH237" s="31" t="str">
        <f>IF(LEN(_DB_Exercises!BC351)&gt;0,_DB_Exercises!BC351,"")</f>
        <v/>
      </c>
      <c r="AI237" s="31" t="str">
        <f>IF(LEN(_DB_Exercises!BD351)&gt;0,_DB_Exercises!BD351,"")</f>
        <v/>
      </c>
      <c r="AJ237" s="31" t="str">
        <f>IF(LEN(_DB_Exercises!BE351)&gt;0,_DB_Exercises!BE351,"")</f>
        <v/>
      </c>
      <c r="AK237" s="31" t="str">
        <f>IF(LEN(_DB_Exercises!BF351)&gt;0,_DB_Exercises!BF351,"")</f>
        <v/>
      </c>
      <c r="AL237" s="31" t="str">
        <f>IF(LEN(_DB_Exercises!BG351)&gt;0,_DB_Exercises!BG351,"")</f>
        <v/>
      </c>
      <c r="AM237" s="31" t="str">
        <f>IF(LEN(_DB_Exercises!BH351)&gt;0,_DB_Exercises!BH351,"")</f>
        <v/>
      </c>
      <c r="AN237" s="31" t="str">
        <f>IF(LEN(_DB_Exercises!BI351)&gt;0,_DB_Exercises!BI351,"")</f>
        <v/>
      </c>
      <c r="AO237" s="31" t="str">
        <f>IF(LEN(_DB_Exercises!BJ351)&gt;0,_DB_Exercises!BJ351,"")</f>
        <v/>
      </c>
      <c r="AP237" s="31" t="str">
        <f>IF(LEN(_DB_Exercises!BK351)&gt;0,_DB_Exercises!BK351,"")</f>
        <v/>
      </c>
      <c r="AQ237" s="31" t="str">
        <f>IF(LEN(_DB_Exercises!BL351)&gt;0,_DB_Exercises!BL351,"")</f>
        <v/>
      </c>
      <c r="AR237" s="31" t="str">
        <f>IF(LEN(_DB_Exercises!BM351)&gt;0,_DB_Exercises!BM351,"")</f>
        <v/>
      </c>
    </row>
    <row r="238" spans="1:44" x14ac:dyDescent="0.25">
      <c r="A238" s="11" t="str">
        <f>IF(LEN(_DB_Exercises!A352)&gt;0,_DB_Exercises!A352,"")</f>
        <v/>
      </c>
      <c r="B238" s="14" t="str">
        <f>IF(LEN(_DB_Exercises!K352)&gt;0,_DB_Exercises!K352,"")</f>
        <v/>
      </c>
      <c r="C238" s="31" t="str">
        <f>IF(LEN(_DB_Exercises!X352)&gt;0,_DB_Exercises!X352,"")</f>
        <v/>
      </c>
      <c r="D238" s="31" t="str">
        <f>IF(LEN(_DB_Exercises!Y352)&gt;0,_DB_Exercises!Y352,"")</f>
        <v/>
      </c>
      <c r="E238" s="31" t="str">
        <f>IF(LEN(_DB_Exercises!Z352)&gt;0,_DB_Exercises!Z352,"")</f>
        <v/>
      </c>
      <c r="F238" s="31" t="str">
        <f>IF(LEN(_DB_Exercises!AA352)&gt;0,_DB_Exercises!AA352,"")</f>
        <v/>
      </c>
      <c r="G238" s="31" t="str">
        <f>IF(LEN(_DB_Exercises!AB352)&gt;0,_DB_Exercises!AB352,"")</f>
        <v/>
      </c>
      <c r="H238" s="31" t="str">
        <f>IF(LEN(_DB_Exercises!AC352)&gt;0,_DB_Exercises!AC352,"")</f>
        <v/>
      </c>
      <c r="I238" s="31" t="str">
        <f>IF(LEN(_DB_Exercises!AD352)&gt;0,_DB_Exercises!AD352,"")</f>
        <v/>
      </c>
      <c r="J238" s="31" t="str">
        <f>IF(LEN(_DB_Exercises!AE352)&gt;0,_DB_Exercises!AE352,"")</f>
        <v/>
      </c>
      <c r="K238" s="31" t="str">
        <f>IF(LEN(_DB_Exercises!AF352)&gt;0,_DB_Exercises!AF352,"")</f>
        <v/>
      </c>
      <c r="L238" s="31" t="str">
        <f>IF(LEN(_DB_Exercises!AG352)&gt;0,_DB_Exercises!AG352,"")</f>
        <v/>
      </c>
      <c r="M238" s="31" t="str">
        <f>IF(LEN(_DB_Exercises!AH352)&gt;0,_DB_Exercises!AH352,"")</f>
        <v/>
      </c>
      <c r="N238" s="31" t="str">
        <f>IF(LEN(_DB_Exercises!AI352)&gt;0,_DB_Exercises!AI352,"")</f>
        <v/>
      </c>
      <c r="O238" s="31" t="str">
        <f>IF(LEN(_DB_Exercises!AJ352)&gt;0,_DB_Exercises!AJ352,"")</f>
        <v/>
      </c>
      <c r="P238" s="31" t="str">
        <f>IF(LEN(_DB_Exercises!AK352)&gt;0,_DB_Exercises!AK352,"")</f>
        <v/>
      </c>
      <c r="Q238" s="31" t="str">
        <f>IF(LEN(_DB_Exercises!AL352)&gt;0,_DB_Exercises!AL352,"")</f>
        <v/>
      </c>
      <c r="R238" s="31" t="str">
        <f>IF(LEN(_DB_Exercises!AM352)&gt;0,_DB_Exercises!AM352,"")</f>
        <v/>
      </c>
      <c r="S238" s="31" t="str">
        <f>IF(LEN(_DB_Exercises!AN352)&gt;0,_DB_Exercises!AN352,"")</f>
        <v/>
      </c>
      <c r="T238" s="31" t="str">
        <f>IF(LEN(_DB_Exercises!AO352)&gt;0,_DB_Exercises!AO352,"")</f>
        <v/>
      </c>
      <c r="U238" s="31" t="str">
        <f>IF(LEN(_DB_Exercises!AP352)&gt;0,_DB_Exercises!AP352,"")</f>
        <v/>
      </c>
      <c r="V238" s="31" t="str">
        <f>IF(LEN(_DB_Exercises!AQ352)&gt;0,_DB_Exercises!AQ352,"")</f>
        <v/>
      </c>
      <c r="W238" s="31" t="str">
        <f>IF(LEN(_DB_Exercises!AR352)&gt;0,_DB_Exercises!AR352,"")</f>
        <v/>
      </c>
      <c r="X238" s="31" t="str">
        <f>IF(LEN(_DB_Exercises!AS352)&gt;0,_DB_Exercises!AS352,"")</f>
        <v/>
      </c>
      <c r="Y238" s="31" t="str">
        <f>IF(LEN(_DB_Exercises!AT352)&gt;0,_DB_Exercises!AT352,"")</f>
        <v/>
      </c>
      <c r="Z238" s="31" t="str">
        <f>IF(LEN(_DB_Exercises!AU352)&gt;0,_DB_Exercises!AU352,"")</f>
        <v/>
      </c>
      <c r="AA238" s="31" t="str">
        <f>IF(LEN(_DB_Exercises!AV352)&gt;0,_DB_Exercises!AV352,"")</f>
        <v/>
      </c>
      <c r="AB238" s="31" t="str">
        <f>IF(LEN(_DB_Exercises!AW352)&gt;0,_DB_Exercises!AW352,"")</f>
        <v/>
      </c>
      <c r="AC238" s="31" t="str">
        <f>IF(LEN(_DB_Exercises!AX352)&gt;0,_DB_Exercises!AX352,"")</f>
        <v/>
      </c>
      <c r="AD238" s="31" t="str">
        <f>IF(LEN(_DB_Exercises!AY352)&gt;0,_DB_Exercises!AY352,"")</f>
        <v/>
      </c>
      <c r="AE238" s="31" t="str">
        <f>IF(LEN(_DB_Exercises!AZ352)&gt;0,_DB_Exercises!AZ352,"")</f>
        <v/>
      </c>
      <c r="AF238" s="31" t="str">
        <f>IF(LEN(_DB_Exercises!BA352)&gt;0,_DB_Exercises!BA352,"")</f>
        <v/>
      </c>
      <c r="AG238" s="31" t="str">
        <f>IF(LEN(_DB_Exercises!BB352)&gt;0,_DB_Exercises!BB352,"")</f>
        <v/>
      </c>
      <c r="AH238" s="31" t="str">
        <f>IF(LEN(_DB_Exercises!BC352)&gt;0,_DB_Exercises!BC352,"")</f>
        <v/>
      </c>
      <c r="AI238" s="31" t="str">
        <f>IF(LEN(_DB_Exercises!BD352)&gt;0,_DB_Exercises!BD352,"")</f>
        <v/>
      </c>
      <c r="AJ238" s="31" t="str">
        <f>IF(LEN(_DB_Exercises!BE352)&gt;0,_DB_Exercises!BE352,"")</f>
        <v/>
      </c>
      <c r="AK238" s="31" t="str">
        <f>IF(LEN(_DB_Exercises!BF352)&gt;0,_DB_Exercises!BF352,"")</f>
        <v/>
      </c>
      <c r="AL238" s="31" t="str">
        <f>IF(LEN(_DB_Exercises!BG352)&gt;0,_DB_Exercises!BG352,"")</f>
        <v/>
      </c>
      <c r="AM238" s="31" t="str">
        <f>IF(LEN(_DB_Exercises!BH352)&gt;0,_DB_Exercises!BH352,"")</f>
        <v/>
      </c>
      <c r="AN238" s="31" t="str">
        <f>IF(LEN(_DB_Exercises!BI352)&gt;0,_DB_Exercises!BI352,"")</f>
        <v/>
      </c>
      <c r="AO238" s="31" t="str">
        <f>IF(LEN(_DB_Exercises!BJ352)&gt;0,_DB_Exercises!BJ352,"")</f>
        <v/>
      </c>
      <c r="AP238" s="31" t="str">
        <f>IF(LEN(_DB_Exercises!BK352)&gt;0,_DB_Exercises!BK352,"")</f>
        <v/>
      </c>
      <c r="AQ238" s="31" t="str">
        <f>IF(LEN(_DB_Exercises!BL352)&gt;0,_DB_Exercises!BL352,"")</f>
        <v/>
      </c>
      <c r="AR238" s="31" t="str">
        <f>IF(LEN(_DB_Exercises!BM352)&gt;0,_DB_Exercises!BM352,"")</f>
        <v/>
      </c>
    </row>
    <row r="239" spans="1:44" x14ac:dyDescent="0.25">
      <c r="A239" s="11" t="str">
        <f>IF(LEN(_DB_Exercises!A353)&gt;0,_DB_Exercises!A353,"")</f>
        <v/>
      </c>
      <c r="B239" s="14" t="str">
        <f>IF(LEN(_DB_Exercises!K353)&gt;0,_DB_Exercises!K353,"")</f>
        <v/>
      </c>
      <c r="C239" s="31" t="str">
        <f>IF(LEN(_DB_Exercises!X353)&gt;0,_DB_Exercises!X353,"")</f>
        <v/>
      </c>
      <c r="D239" s="31" t="str">
        <f>IF(LEN(_DB_Exercises!Y353)&gt;0,_DB_Exercises!Y353,"")</f>
        <v/>
      </c>
      <c r="E239" s="31" t="str">
        <f>IF(LEN(_DB_Exercises!Z353)&gt;0,_DB_Exercises!Z353,"")</f>
        <v/>
      </c>
      <c r="F239" s="31" t="str">
        <f>IF(LEN(_DB_Exercises!AA353)&gt;0,_DB_Exercises!AA353,"")</f>
        <v/>
      </c>
      <c r="G239" s="31" t="str">
        <f>IF(LEN(_DB_Exercises!AB353)&gt;0,_DB_Exercises!AB353,"")</f>
        <v/>
      </c>
      <c r="H239" s="31" t="str">
        <f>IF(LEN(_DB_Exercises!AC353)&gt;0,_DB_Exercises!AC353,"")</f>
        <v/>
      </c>
      <c r="I239" s="31" t="str">
        <f>IF(LEN(_DB_Exercises!AD353)&gt;0,_DB_Exercises!AD353,"")</f>
        <v/>
      </c>
      <c r="J239" s="31" t="str">
        <f>IF(LEN(_DB_Exercises!AE353)&gt;0,_DB_Exercises!AE353,"")</f>
        <v/>
      </c>
      <c r="K239" s="31" t="str">
        <f>IF(LEN(_DB_Exercises!AF353)&gt;0,_DB_Exercises!AF353,"")</f>
        <v/>
      </c>
      <c r="L239" s="31" t="str">
        <f>IF(LEN(_DB_Exercises!AG353)&gt;0,_DB_Exercises!AG353,"")</f>
        <v/>
      </c>
      <c r="M239" s="31" t="str">
        <f>IF(LEN(_DB_Exercises!AH353)&gt;0,_DB_Exercises!AH353,"")</f>
        <v/>
      </c>
      <c r="N239" s="31" t="str">
        <f>IF(LEN(_DB_Exercises!AI353)&gt;0,_DB_Exercises!AI353,"")</f>
        <v/>
      </c>
      <c r="O239" s="31" t="str">
        <f>IF(LEN(_DB_Exercises!AJ353)&gt;0,_DB_Exercises!AJ353,"")</f>
        <v/>
      </c>
      <c r="P239" s="31" t="str">
        <f>IF(LEN(_DB_Exercises!AK353)&gt;0,_DB_Exercises!AK353,"")</f>
        <v/>
      </c>
      <c r="Q239" s="31" t="str">
        <f>IF(LEN(_DB_Exercises!AL353)&gt;0,_DB_Exercises!AL353,"")</f>
        <v/>
      </c>
      <c r="R239" s="31" t="str">
        <f>IF(LEN(_DB_Exercises!AM353)&gt;0,_DB_Exercises!AM353,"")</f>
        <v/>
      </c>
      <c r="S239" s="31" t="str">
        <f>IF(LEN(_DB_Exercises!AN353)&gt;0,_DB_Exercises!AN353,"")</f>
        <v/>
      </c>
      <c r="T239" s="31" t="str">
        <f>IF(LEN(_DB_Exercises!AO353)&gt;0,_DB_Exercises!AO353,"")</f>
        <v/>
      </c>
      <c r="U239" s="31" t="str">
        <f>IF(LEN(_DB_Exercises!AP353)&gt;0,_DB_Exercises!AP353,"")</f>
        <v/>
      </c>
      <c r="V239" s="31" t="str">
        <f>IF(LEN(_DB_Exercises!AQ353)&gt;0,_DB_Exercises!AQ353,"")</f>
        <v/>
      </c>
      <c r="W239" s="31" t="str">
        <f>IF(LEN(_DB_Exercises!AR353)&gt;0,_DB_Exercises!AR353,"")</f>
        <v/>
      </c>
      <c r="X239" s="31" t="str">
        <f>IF(LEN(_DB_Exercises!AS353)&gt;0,_DB_Exercises!AS353,"")</f>
        <v/>
      </c>
      <c r="Y239" s="31" t="str">
        <f>IF(LEN(_DB_Exercises!AT353)&gt;0,_DB_Exercises!AT353,"")</f>
        <v/>
      </c>
      <c r="Z239" s="31" t="str">
        <f>IF(LEN(_DB_Exercises!AU353)&gt;0,_DB_Exercises!AU353,"")</f>
        <v/>
      </c>
      <c r="AA239" s="31" t="str">
        <f>IF(LEN(_DB_Exercises!AV353)&gt;0,_DB_Exercises!AV353,"")</f>
        <v/>
      </c>
      <c r="AB239" s="31" t="str">
        <f>IF(LEN(_DB_Exercises!AW353)&gt;0,_DB_Exercises!AW353,"")</f>
        <v/>
      </c>
      <c r="AC239" s="31" t="str">
        <f>IF(LEN(_DB_Exercises!AX353)&gt;0,_DB_Exercises!AX353,"")</f>
        <v/>
      </c>
      <c r="AD239" s="31" t="str">
        <f>IF(LEN(_DB_Exercises!AY353)&gt;0,_DB_Exercises!AY353,"")</f>
        <v/>
      </c>
      <c r="AE239" s="31" t="str">
        <f>IF(LEN(_DB_Exercises!AZ353)&gt;0,_DB_Exercises!AZ353,"")</f>
        <v/>
      </c>
      <c r="AF239" s="31" t="str">
        <f>IF(LEN(_DB_Exercises!BA353)&gt;0,_DB_Exercises!BA353,"")</f>
        <v/>
      </c>
      <c r="AG239" s="31" t="str">
        <f>IF(LEN(_DB_Exercises!BB353)&gt;0,_DB_Exercises!BB353,"")</f>
        <v/>
      </c>
      <c r="AH239" s="31" t="str">
        <f>IF(LEN(_DB_Exercises!BC353)&gt;0,_DB_Exercises!BC353,"")</f>
        <v/>
      </c>
      <c r="AI239" s="31" t="str">
        <f>IF(LEN(_DB_Exercises!BD353)&gt;0,_DB_Exercises!BD353,"")</f>
        <v/>
      </c>
      <c r="AJ239" s="31" t="str">
        <f>IF(LEN(_DB_Exercises!BE353)&gt;0,_DB_Exercises!BE353,"")</f>
        <v/>
      </c>
      <c r="AK239" s="31" t="str">
        <f>IF(LEN(_DB_Exercises!BF353)&gt;0,_DB_Exercises!BF353,"")</f>
        <v/>
      </c>
      <c r="AL239" s="31" t="str">
        <f>IF(LEN(_DB_Exercises!BG353)&gt;0,_DB_Exercises!BG353,"")</f>
        <v/>
      </c>
      <c r="AM239" s="31" t="str">
        <f>IF(LEN(_DB_Exercises!BH353)&gt;0,_DB_Exercises!BH353,"")</f>
        <v/>
      </c>
      <c r="AN239" s="31" t="str">
        <f>IF(LEN(_DB_Exercises!BI353)&gt;0,_DB_Exercises!BI353,"")</f>
        <v/>
      </c>
      <c r="AO239" s="31" t="str">
        <f>IF(LEN(_DB_Exercises!BJ353)&gt;0,_DB_Exercises!BJ353,"")</f>
        <v/>
      </c>
      <c r="AP239" s="31" t="str">
        <f>IF(LEN(_DB_Exercises!BK353)&gt;0,_DB_Exercises!BK353,"")</f>
        <v/>
      </c>
      <c r="AQ239" s="31" t="str">
        <f>IF(LEN(_DB_Exercises!BL353)&gt;0,_DB_Exercises!BL353,"")</f>
        <v/>
      </c>
      <c r="AR239" s="31" t="str">
        <f>IF(LEN(_DB_Exercises!BM353)&gt;0,_DB_Exercises!BM353,"")</f>
        <v/>
      </c>
    </row>
    <row r="240" spans="1:44" x14ac:dyDescent="0.25">
      <c r="A240" s="11" t="str">
        <f>IF(LEN(_DB_Exercises!A354)&gt;0,_DB_Exercises!A354,"")</f>
        <v/>
      </c>
      <c r="B240" s="14" t="str">
        <f>IF(LEN(_DB_Exercises!K354)&gt;0,_DB_Exercises!K354,"")</f>
        <v/>
      </c>
      <c r="C240" s="31" t="str">
        <f>IF(LEN(_DB_Exercises!X354)&gt;0,_DB_Exercises!X354,"")</f>
        <v/>
      </c>
      <c r="D240" s="31" t="str">
        <f>IF(LEN(_DB_Exercises!Y354)&gt;0,_DB_Exercises!Y354,"")</f>
        <v/>
      </c>
      <c r="E240" s="31" t="str">
        <f>IF(LEN(_DB_Exercises!Z354)&gt;0,_DB_Exercises!Z354,"")</f>
        <v/>
      </c>
      <c r="F240" s="31" t="str">
        <f>IF(LEN(_DB_Exercises!AA354)&gt;0,_DB_Exercises!AA354,"")</f>
        <v/>
      </c>
      <c r="G240" s="31" t="str">
        <f>IF(LEN(_DB_Exercises!AB354)&gt;0,_DB_Exercises!AB354,"")</f>
        <v/>
      </c>
      <c r="H240" s="31" t="str">
        <f>IF(LEN(_DB_Exercises!AC354)&gt;0,_DB_Exercises!AC354,"")</f>
        <v/>
      </c>
      <c r="I240" s="31" t="str">
        <f>IF(LEN(_DB_Exercises!AD354)&gt;0,_DB_Exercises!AD354,"")</f>
        <v/>
      </c>
      <c r="J240" s="31" t="str">
        <f>IF(LEN(_DB_Exercises!AE354)&gt;0,_DB_Exercises!AE354,"")</f>
        <v/>
      </c>
      <c r="K240" s="31" t="str">
        <f>IF(LEN(_DB_Exercises!AF354)&gt;0,_DB_Exercises!AF354,"")</f>
        <v/>
      </c>
      <c r="L240" s="31" t="str">
        <f>IF(LEN(_DB_Exercises!AG354)&gt;0,_DB_Exercises!AG354,"")</f>
        <v/>
      </c>
      <c r="M240" s="31" t="str">
        <f>IF(LEN(_DB_Exercises!AH354)&gt;0,_DB_Exercises!AH354,"")</f>
        <v/>
      </c>
      <c r="N240" s="31" t="str">
        <f>IF(LEN(_DB_Exercises!AI354)&gt;0,_DB_Exercises!AI354,"")</f>
        <v/>
      </c>
      <c r="O240" s="31" t="str">
        <f>IF(LEN(_DB_Exercises!AJ354)&gt;0,_DB_Exercises!AJ354,"")</f>
        <v/>
      </c>
      <c r="P240" s="31" t="str">
        <f>IF(LEN(_DB_Exercises!AK354)&gt;0,_DB_Exercises!AK354,"")</f>
        <v/>
      </c>
      <c r="Q240" s="31" t="str">
        <f>IF(LEN(_DB_Exercises!AL354)&gt;0,_DB_Exercises!AL354,"")</f>
        <v/>
      </c>
      <c r="R240" s="31" t="str">
        <f>IF(LEN(_DB_Exercises!AM354)&gt;0,_DB_Exercises!AM354,"")</f>
        <v/>
      </c>
      <c r="S240" s="31" t="str">
        <f>IF(LEN(_DB_Exercises!AN354)&gt;0,_DB_Exercises!AN354,"")</f>
        <v/>
      </c>
      <c r="T240" s="31" t="str">
        <f>IF(LEN(_DB_Exercises!AO354)&gt;0,_DB_Exercises!AO354,"")</f>
        <v/>
      </c>
      <c r="U240" s="31" t="str">
        <f>IF(LEN(_DB_Exercises!AP354)&gt;0,_DB_Exercises!AP354,"")</f>
        <v/>
      </c>
      <c r="V240" s="31" t="str">
        <f>IF(LEN(_DB_Exercises!AQ354)&gt;0,_DB_Exercises!AQ354,"")</f>
        <v/>
      </c>
      <c r="W240" s="31" t="str">
        <f>IF(LEN(_DB_Exercises!AR354)&gt;0,_DB_Exercises!AR354,"")</f>
        <v/>
      </c>
      <c r="X240" s="31" t="str">
        <f>IF(LEN(_DB_Exercises!AS354)&gt;0,_DB_Exercises!AS354,"")</f>
        <v/>
      </c>
      <c r="Y240" s="31" t="str">
        <f>IF(LEN(_DB_Exercises!AT354)&gt;0,_DB_Exercises!AT354,"")</f>
        <v/>
      </c>
      <c r="Z240" s="31" t="str">
        <f>IF(LEN(_DB_Exercises!AU354)&gt;0,_DB_Exercises!AU354,"")</f>
        <v/>
      </c>
      <c r="AA240" s="31" t="str">
        <f>IF(LEN(_DB_Exercises!AV354)&gt;0,_DB_Exercises!AV354,"")</f>
        <v/>
      </c>
      <c r="AB240" s="31" t="str">
        <f>IF(LEN(_DB_Exercises!AW354)&gt;0,_DB_Exercises!AW354,"")</f>
        <v/>
      </c>
      <c r="AC240" s="31" t="str">
        <f>IF(LEN(_DB_Exercises!AX354)&gt;0,_DB_Exercises!AX354,"")</f>
        <v/>
      </c>
      <c r="AD240" s="31" t="str">
        <f>IF(LEN(_DB_Exercises!AY354)&gt;0,_DB_Exercises!AY354,"")</f>
        <v/>
      </c>
      <c r="AE240" s="31" t="str">
        <f>IF(LEN(_DB_Exercises!AZ354)&gt;0,_DB_Exercises!AZ354,"")</f>
        <v/>
      </c>
      <c r="AF240" s="31" t="str">
        <f>IF(LEN(_DB_Exercises!BA354)&gt;0,_DB_Exercises!BA354,"")</f>
        <v/>
      </c>
      <c r="AG240" s="31" t="str">
        <f>IF(LEN(_DB_Exercises!BB354)&gt;0,_DB_Exercises!BB354,"")</f>
        <v/>
      </c>
      <c r="AH240" s="31" t="str">
        <f>IF(LEN(_DB_Exercises!BC354)&gt;0,_DB_Exercises!BC354,"")</f>
        <v/>
      </c>
      <c r="AI240" s="31" t="str">
        <f>IF(LEN(_DB_Exercises!BD354)&gt;0,_DB_Exercises!BD354,"")</f>
        <v/>
      </c>
      <c r="AJ240" s="31" t="str">
        <f>IF(LEN(_DB_Exercises!BE354)&gt;0,_DB_Exercises!BE354,"")</f>
        <v/>
      </c>
      <c r="AK240" s="31" t="str">
        <f>IF(LEN(_DB_Exercises!BF354)&gt;0,_DB_Exercises!BF354,"")</f>
        <v/>
      </c>
      <c r="AL240" s="31" t="str">
        <f>IF(LEN(_DB_Exercises!BG354)&gt;0,_DB_Exercises!BG354,"")</f>
        <v/>
      </c>
      <c r="AM240" s="31" t="str">
        <f>IF(LEN(_DB_Exercises!BH354)&gt;0,_DB_Exercises!BH354,"")</f>
        <v/>
      </c>
      <c r="AN240" s="31" t="str">
        <f>IF(LEN(_DB_Exercises!BI354)&gt;0,_DB_Exercises!BI354,"")</f>
        <v/>
      </c>
      <c r="AO240" s="31" t="str">
        <f>IF(LEN(_DB_Exercises!BJ354)&gt;0,_DB_Exercises!BJ354,"")</f>
        <v/>
      </c>
      <c r="AP240" s="31" t="str">
        <f>IF(LEN(_DB_Exercises!BK354)&gt;0,_DB_Exercises!BK354,"")</f>
        <v/>
      </c>
      <c r="AQ240" s="31" t="str">
        <f>IF(LEN(_DB_Exercises!BL354)&gt;0,_DB_Exercises!BL354,"")</f>
        <v/>
      </c>
      <c r="AR240" s="31" t="str">
        <f>IF(LEN(_DB_Exercises!BM354)&gt;0,_DB_Exercises!BM354,"")</f>
        <v/>
      </c>
    </row>
    <row r="241" spans="1:44" x14ac:dyDescent="0.25">
      <c r="A241" s="11" t="str">
        <f>IF(LEN(_DB_Exercises!A355)&gt;0,_DB_Exercises!A355,"")</f>
        <v/>
      </c>
      <c r="B241" s="14" t="str">
        <f>IF(LEN(_DB_Exercises!K355)&gt;0,_DB_Exercises!K355,"")</f>
        <v/>
      </c>
      <c r="C241" s="31" t="str">
        <f>IF(LEN(_DB_Exercises!X355)&gt;0,_DB_Exercises!X355,"")</f>
        <v/>
      </c>
      <c r="D241" s="31" t="str">
        <f>IF(LEN(_DB_Exercises!Y355)&gt;0,_DB_Exercises!Y355,"")</f>
        <v/>
      </c>
      <c r="E241" s="31" t="str">
        <f>IF(LEN(_DB_Exercises!Z355)&gt;0,_DB_Exercises!Z355,"")</f>
        <v/>
      </c>
      <c r="F241" s="31" t="str">
        <f>IF(LEN(_DB_Exercises!AA355)&gt;0,_DB_Exercises!AA355,"")</f>
        <v/>
      </c>
      <c r="G241" s="31" t="str">
        <f>IF(LEN(_DB_Exercises!AB355)&gt;0,_DB_Exercises!AB355,"")</f>
        <v/>
      </c>
      <c r="H241" s="31" t="str">
        <f>IF(LEN(_DB_Exercises!AC355)&gt;0,_DB_Exercises!AC355,"")</f>
        <v/>
      </c>
      <c r="I241" s="31" t="str">
        <f>IF(LEN(_DB_Exercises!AD355)&gt;0,_DB_Exercises!AD355,"")</f>
        <v/>
      </c>
      <c r="J241" s="31" t="str">
        <f>IF(LEN(_DB_Exercises!AE355)&gt;0,_DB_Exercises!AE355,"")</f>
        <v/>
      </c>
      <c r="K241" s="31" t="str">
        <f>IF(LEN(_DB_Exercises!AF355)&gt;0,_DB_Exercises!AF355,"")</f>
        <v/>
      </c>
      <c r="L241" s="31" t="str">
        <f>IF(LEN(_DB_Exercises!AG355)&gt;0,_DB_Exercises!AG355,"")</f>
        <v/>
      </c>
      <c r="M241" s="31" t="str">
        <f>IF(LEN(_DB_Exercises!AH355)&gt;0,_DB_Exercises!AH355,"")</f>
        <v/>
      </c>
      <c r="N241" s="31" t="str">
        <f>IF(LEN(_DB_Exercises!AI355)&gt;0,_DB_Exercises!AI355,"")</f>
        <v/>
      </c>
      <c r="O241" s="31" t="str">
        <f>IF(LEN(_DB_Exercises!AJ355)&gt;0,_DB_Exercises!AJ355,"")</f>
        <v/>
      </c>
      <c r="P241" s="31" t="str">
        <f>IF(LEN(_DB_Exercises!AK355)&gt;0,_DB_Exercises!AK355,"")</f>
        <v/>
      </c>
      <c r="Q241" s="31" t="str">
        <f>IF(LEN(_DB_Exercises!AL355)&gt;0,_DB_Exercises!AL355,"")</f>
        <v/>
      </c>
      <c r="R241" s="31" t="str">
        <f>IF(LEN(_DB_Exercises!AM355)&gt;0,_DB_Exercises!AM355,"")</f>
        <v/>
      </c>
      <c r="S241" s="31" t="str">
        <f>IF(LEN(_DB_Exercises!AN355)&gt;0,_DB_Exercises!AN355,"")</f>
        <v/>
      </c>
      <c r="T241" s="31" t="str">
        <f>IF(LEN(_DB_Exercises!AO355)&gt;0,_DB_Exercises!AO355,"")</f>
        <v/>
      </c>
      <c r="U241" s="31" t="str">
        <f>IF(LEN(_DB_Exercises!AP355)&gt;0,_DB_Exercises!AP355,"")</f>
        <v/>
      </c>
      <c r="V241" s="31" t="str">
        <f>IF(LEN(_DB_Exercises!AQ355)&gt;0,_DB_Exercises!AQ355,"")</f>
        <v/>
      </c>
      <c r="W241" s="31" t="str">
        <f>IF(LEN(_DB_Exercises!AR355)&gt;0,_DB_Exercises!AR355,"")</f>
        <v/>
      </c>
      <c r="X241" s="31" t="str">
        <f>IF(LEN(_DB_Exercises!AS355)&gt;0,_DB_Exercises!AS355,"")</f>
        <v/>
      </c>
      <c r="Y241" s="31" t="str">
        <f>IF(LEN(_DB_Exercises!AT355)&gt;0,_DB_Exercises!AT355,"")</f>
        <v/>
      </c>
      <c r="Z241" s="31" t="str">
        <f>IF(LEN(_DB_Exercises!AU355)&gt;0,_DB_Exercises!AU355,"")</f>
        <v/>
      </c>
      <c r="AA241" s="31" t="str">
        <f>IF(LEN(_DB_Exercises!AV355)&gt;0,_DB_Exercises!AV355,"")</f>
        <v/>
      </c>
      <c r="AB241" s="31" t="str">
        <f>IF(LEN(_DB_Exercises!AW355)&gt;0,_DB_Exercises!AW355,"")</f>
        <v/>
      </c>
      <c r="AC241" s="31" t="str">
        <f>IF(LEN(_DB_Exercises!AX355)&gt;0,_DB_Exercises!AX355,"")</f>
        <v/>
      </c>
      <c r="AD241" s="31" t="str">
        <f>IF(LEN(_DB_Exercises!AY355)&gt;0,_DB_Exercises!AY355,"")</f>
        <v/>
      </c>
      <c r="AE241" s="31" t="str">
        <f>IF(LEN(_DB_Exercises!AZ355)&gt;0,_DB_Exercises!AZ355,"")</f>
        <v/>
      </c>
      <c r="AF241" s="31" t="str">
        <f>IF(LEN(_DB_Exercises!BA355)&gt;0,_DB_Exercises!BA355,"")</f>
        <v/>
      </c>
      <c r="AG241" s="31" t="str">
        <f>IF(LEN(_DB_Exercises!BB355)&gt;0,_DB_Exercises!BB355,"")</f>
        <v/>
      </c>
      <c r="AH241" s="31" t="str">
        <f>IF(LEN(_DB_Exercises!BC355)&gt;0,_DB_Exercises!BC355,"")</f>
        <v/>
      </c>
      <c r="AI241" s="31" t="str">
        <f>IF(LEN(_DB_Exercises!BD355)&gt;0,_DB_Exercises!BD355,"")</f>
        <v/>
      </c>
      <c r="AJ241" s="31" t="str">
        <f>IF(LEN(_DB_Exercises!BE355)&gt;0,_DB_Exercises!BE355,"")</f>
        <v/>
      </c>
      <c r="AK241" s="31" t="str">
        <f>IF(LEN(_DB_Exercises!BF355)&gt;0,_DB_Exercises!BF355,"")</f>
        <v/>
      </c>
      <c r="AL241" s="31" t="str">
        <f>IF(LEN(_DB_Exercises!BG355)&gt;0,_DB_Exercises!BG355,"")</f>
        <v/>
      </c>
      <c r="AM241" s="31" t="str">
        <f>IF(LEN(_DB_Exercises!BH355)&gt;0,_DB_Exercises!BH355,"")</f>
        <v/>
      </c>
      <c r="AN241" s="31" t="str">
        <f>IF(LEN(_DB_Exercises!BI355)&gt;0,_DB_Exercises!BI355,"")</f>
        <v/>
      </c>
      <c r="AO241" s="31" t="str">
        <f>IF(LEN(_DB_Exercises!BJ355)&gt;0,_DB_Exercises!BJ355,"")</f>
        <v/>
      </c>
      <c r="AP241" s="31" t="str">
        <f>IF(LEN(_DB_Exercises!BK355)&gt;0,_DB_Exercises!BK355,"")</f>
        <v/>
      </c>
      <c r="AQ241" s="31" t="str">
        <f>IF(LEN(_DB_Exercises!BL355)&gt;0,_DB_Exercises!BL355,"")</f>
        <v/>
      </c>
      <c r="AR241" s="31" t="str">
        <f>IF(LEN(_DB_Exercises!BM355)&gt;0,_DB_Exercises!BM355,"")</f>
        <v/>
      </c>
    </row>
    <row r="242" spans="1:44" x14ac:dyDescent="0.25">
      <c r="A242" s="11" t="str">
        <f>IF(LEN(_DB_Exercises!A356)&gt;0,_DB_Exercises!A356,"")</f>
        <v/>
      </c>
      <c r="B242" s="14" t="str">
        <f>IF(LEN(_DB_Exercises!K356)&gt;0,_DB_Exercises!K356,"")</f>
        <v/>
      </c>
      <c r="C242" s="31" t="str">
        <f>IF(LEN(_DB_Exercises!X356)&gt;0,_DB_Exercises!X356,"")</f>
        <v/>
      </c>
      <c r="D242" s="31" t="str">
        <f>IF(LEN(_DB_Exercises!Y356)&gt;0,_DB_Exercises!Y356,"")</f>
        <v/>
      </c>
      <c r="E242" s="31" t="str">
        <f>IF(LEN(_DB_Exercises!Z356)&gt;0,_DB_Exercises!Z356,"")</f>
        <v/>
      </c>
      <c r="F242" s="31" t="str">
        <f>IF(LEN(_DB_Exercises!AA356)&gt;0,_DB_Exercises!AA356,"")</f>
        <v/>
      </c>
      <c r="G242" s="31" t="str">
        <f>IF(LEN(_DB_Exercises!AB356)&gt;0,_DB_Exercises!AB356,"")</f>
        <v/>
      </c>
      <c r="H242" s="31" t="str">
        <f>IF(LEN(_DB_Exercises!AC356)&gt;0,_DB_Exercises!AC356,"")</f>
        <v/>
      </c>
      <c r="I242" s="31" t="str">
        <f>IF(LEN(_DB_Exercises!AD356)&gt;0,_DB_Exercises!AD356,"")</f>
        <v/>
      </c>
      <c r="J242" s="31" t="str">
        <f>IF(LEN(_DB_Exercises!AE356)&gt;0,_DB_Exercises!AE356,"")</f>
        <v/>
      </c>
      <c r="K242" s="31" t="str">
        <f>IF(LEN(_DB_Exercises!AF356)&gt;0,_DB_Exercises!AF356,"")</f>
        <v/>
      </c>
      <c r="L242" s="31" t="str">
        <f>IF(LEN(_DB_Exercises!AG356)&gt;0,_DB_Exercises!AG356,"")</f>
        <v/>
      </c>
      <c r="M242" s="31" t="str">
        <f>IF(LEN(_DB_Exercises!AH356)&gt;0,_DB_Exercises!AH356,"")</f>
        <v/>
      </c>
      <c r="N242" s="31" t="str">
        <f>IF(LEN(_DB_Exercises!AI356)&gt;0,_DB_Exercises!AI356,"")</f>
        <v/>
      </c>
      <c r="O242" s="31" t="str">
        <f>IF(LEN(_DB_Exercises!AJ356)&gt;0,_DB_Exercises!AJ356,"")</f>
        <v/>
      </c>
      <c r="P242" s="31" t="str">
        <f>IF(LEN(_DB_Exercises!AK356)&gt;0,_DB_Exercises!AK356,"")</f>
        <v/>
      </c>
      <c r="Q242" s="31" t="str">
        <f>IF(LEN(_DB_Exercises!AL356)&gt;0,_DB_Exercises!AL356,"")</f>
        <v/>
      </c>
      <c r="R242" s="31" t="str">
        <f>IF(LEN(_DB_Exercises!AM356)&gt;0,_DB_Exercises!AM356,"")</f>
        <v/>
      </c>
      <c r="S242" s="31" t="str">
        <f>IF(LEN(_DB_Exercises!AN356)&gt;0,_DB_Exercises!AN356,"")</f>
        <v/>
      </c>
      <c r="T242" s="31" t="str">
        <f>IF(LEN(_DB_Exercises!AO356)&gt;0,_DB_Exercises!AO356,"")</f>
        <v/>
      </c>
      <c r="U242" s="31" t="str">
        <f>IF(LEN(_DB_Exercises!AP356)&gt;0,_DB_Exercises!AP356,"")</f>
        <v/>
      </c>
      <c r="V242" s="31" t="str">
        <f>IF(LEN(_DB_Exercises!AQ356)&gt;0,_DB_Exercises!AQ356,"")</f>
        <v/>
      </c>
      <c r="W242" s="31" t="str">
        <f>IF(LEN(_DB_Exercises!AR356)&gt;0,_DB_Exercises!AR356,"")</f>
        <v/>
      </c>
      <c r="X242" s="31" t="str">
        <f>IF(LEN(_DB_Exercises!AS356)&gt;0,_DB_Exercises!AS356,"")</f>
        <v/>
      </c>
      <c r="Y242" s="31" t="str">
        <f>IF(LEN(_DB_Exercises!AT356)&gt;0,_DB_Exercises!AT356,"")</f>
        <v/>
      </c>
      <c r="Z242" s="31" t="str">
        <f>IF(LEN(_DB_Exercises!AU356)&gt;0,_DB_Exercises!AU356,"")</f>
        <v/>
      </c>
      <c r="AA242" s="31" t="str">
        <f>IF(LEN(_DB_Exercises!AV356)&gt;0,_DB_Exercises!AV356,"")</f>
        <v/>
      </c>
      <c r="AB242" s="31" t="str">
        <f>IF(LEN(_DB_Exercises!AW356)&gt;0,_DB_Exercises!AW356,"")</f>
        <v/>
      </c>
      <c r="AC242" s="31" t="str">
        <f>IF(LEN(_DB_Exercises!AX356)&gt;0,_DB_Exercises!AX356,"")</f>
        <v/>
      </c>
      <c r="AD242" s="31" t="str">
        <f>IF(LEN(_DB_Exercises!AY356)&gt;0,_DB_Exercises!AY356,"")</f>
        <v/>
      </c>
      <c r="AE242" s="31" t="str">
        <f>IF(LEN(_DB_Exercises!AZ356)&gt;0,_DB_Exercises!AZ356,"")</f>
        <v/>
      </c>
      <c r="AF242" s="31" t="str">
        <f>IF(LEN(_DB_Exercises!BA356)&gt;0,_DB_Exercises!BA356,"")</f>
        <v/>
      </c>
      <c r="AG242" s="31" t="str">
        <f>IF(LEN(_DB_Exercises!BB356)&gt;0,_DB_Exercises!BB356,"")</f>
        <v/>
      </c>
      <c r="AH242" s="31" t="str">
        <f>IF(LEN(_DB_Exercises!BC356)&gt;0,_DB_Exercises!BC356,"")</f>
        <v/>
      </c>
      <c r="AI242" s="31" t="str">
        <f>IF(LEN(_DB_Exercises!BD356)&gt;0,_DB_Exercises!BD356,"")</f>
        <v/>
      </c>
      <c r="AJ242" s="31" t="str">
        <f>IF(LEN(_DB_Exercises!BE356)&gt;0,_DB_Exercises!BE356,"")</f>
        <v/>
      </c>
      <c r="AK242" s="31" t="str">
        <f>IF(LEN(_DB_Exercises!BF356)&gt;0,_DB_Exercises!BF356,"")</f>
        <v/>
      </c>
      <c r="AL242" s="31" t="str">
        <f>IF(LEN(_DB_Exercises!BG356)&gt;0,_DB_Exercises!BG356,"")</f>
        <v/>
      </c>
      <c r="AM242" s="31" t="str">
        <f>IF(LEN(_DB_Exercises!BH356)&gt;0,_DB_Exercises!BH356,"")</f>
        <v/>
      </c>
      <c r="AN242" s="31" t="str">
        <f>IF(LEN(_DB_Exercises!BI356)&gt;0,_DB_Exercises!BI356,"")</f>
        <v/>
      </c>
      <c r="AO242" s="31" t="str">
        <f>IF(LEN(_DB_Exercises!BJ356)&gt;0,_DB_Exercises!BJ356,"")</f>
        <v/>
      </c>
      <c r="AP242" s="31" t="str">
        <f>IF(LEN(_DB_Exercises!BK356)&gt;0,_DB_Exercises!BK356,"")</f>
        <v/>
      </c>
      <c r="AQ242" s="31" t="str">
        <f>IF(LEN(_DB_Exercises!BL356)&gt;0,_DB_Exercises!BL356,"")</f>
        <v/>
      </c>
      <c r="AR242" s="31" t="str">
        <f>IF(LEN(_DB_Exercises!BM356)&gt;0,_DB_Exercises!BM356,"")</f>
        <v/>
      </c>
    </row>
    <row r="243" spans="1:44" x14ac:dyDescent="0.25">
      <c r="A243" s="11" t="str">
        <f>IF(LEN(_DB_Exercises!A357)&gt;0,_DB_Exercises!A357,"")</f>
        <v/>
      </c>
      <c r="B243" s="14" t="str">
        <f>IF(LEN(_DB_Exercises!K357)&gt;0,_DB_Exercises!K357,"")</f>
        <v/>
      </c>
      <c r="C243" s="31" t="str">
        <f>IF(LEN(_DB_Exercises!X357)&gt;0,_DB_Exercises!X357,"")</f>
        <v/>
      </c>
      <c r="D243" s="31" t="str">
        <f>IF(LEN(_DB_Exercises!Y357)&gt;0,_DB_Exercises!Y357,"")</f>
        <v/>
      </c>
      <c r="E243" s="31" t="str">
        <f>IF(LEN(_DB_Exercises!Z357)&gt;0,_DB_Exercises!Z357,"")</f>
        <v/>
      </c>
      <c r="F243" s="31" t="str">
        <f>IF(LEN(_DB_Exercises!AA357)&gt;0,_DB_Exercises!AA357,"")</f>
        <v/>
      </c>
      <c r="G243" s="31" t="str">
        <f>IF(LEN(_DB_Exercises!AB357)&gt;0,_DB_Exercises!AB357,"")</f>
        <v/>
      </c>
      <c r="H243" s="31" t="str">
        <f>IF(LEN(_DB_Exercises!AC357)&gt;0,_DB_Exercises!AC357,"")</f>
        <v/>
      </c>
      <c r="I243" s="31" t="str">
        <f>IF(LEN(_DB_Exercises!AD357)&gt;0,_DB_Exercises!AD357,"")</f>
        <v/>
      </c>
      <c r="J243" s="31" t="str">
        <f>IF(LEN(_DB_Exercises!AE357)&gt;0,_DB_Exercises!AE357,"")</f>
        <v/>
      </c>
      <c r="K243" s="31" t="str">
        <f>IF(LEN(_DB_Exercises!AF357)&gt;0,_DB_Exercises!AF357,"")</f>
        <v/>
      </c>
      <c r="L243" s="31" t="str">
        <f>IF(LEN(_DB_Exercises!AG357)&gt;0,_DB_Exercises!AG357,"")</f>
        <v/>
      </c>
      <c r="M243" s="31" t="str">
        <f>IF(LEN(_DB_Exercises!AH357)&gt;0,_DB_Exercises!AH357,"")</f>
        <v/>
      </c>
      <c r="N243" s="31" t="str">
        <f>IF(LEN(_DB_Exercises!AI357)&gt;0,_DB_Exercises!AI357,"")</f>
        <v/>
      </c>
      <c r="O243" s="31" t="str">
        <f>IF(LEN(_DB_Exercises!AJ357)&gt;0,_DB_Exercises!AJ357,"")</f>
        <v/>
      </c>
      <c r="P243" s="31" t="str">
        <f>IF(LEN(_DB_Exercises!AK357)&gt;0,_DB_Exercises!AK357,"")</f>
        <v/>
      </c>
      <c r="Q243" s="31" t="str">
        <f>IF(LEN(_DB_Exercises!AL357)&gt;0,_DB_Exercises!AL357,"")</f>
        <v/>
      </c>
      <c r="R243" s="31" t="str">
        <f>IF(LEN(_DB_Exercises!AM357)&gt;0,_DB_Exercises!AM357,"")</f>
        <v/>
      </c>
      <c r="S243" s="31" t="str">
        <f>IF(LEN(_DB_Exercises!AN357)&gt;0,_DB_Exercises!AN357,"")</f>
        <v/>
      </c>
      <c r="T243" s="31" t="str">
        <f>IF(LEN(_DB_Exercises!AO357)&gt;0,_DB_Exercises!AO357,"")</f>
        <v/>
      </c>
      <c r="U243" s="31" t="str">
        <f>IF(LEN(_DB_Exercises!AP357)&gt;0,_DB_Exercises!AP357,"")</f>
        <v/>
      </c>
      <c r="V243" s="31" t="str">
        <f>IF(LEN(_DB_Exercises!AQ357)&gt;0,_DB_Exercises!AQ357,"")</f>
        <v/>
      </c>
      <c r="W243" s="31" t="str">
        <f>IF(LEN(_DB_Exercises!AR357)&gt;0,_DB_Exercises!AR357,"")</f>
        <v/>
      </c>
      <c r="X243" s="31" t="str">
        <f>IF(LEN(_DB_Exercises!AS357)&gt;0,_DB_Exercises!AS357,"")</f>
        <v/>
      </c>
      <c r="Y243" s="31" t="str">
        <f>IF(LEN(_DB_Exercises!AT357)&gt;0,_DB_Exercises!AT357,"")</f>
        <v/>
      </c>
      <c r="Z243" s="31" t="str">
        <f>IF(LEN(_DB_Exercises!AU357)&gt;0,_DB_Exercises!AU357,"")</f>
        <v/>
      </c>
      <c r="AA243" s="31" t="str">
        <f>IF(LEN(_DB_Exercises!AV357)&gt;0,_DB_Exercises!AV357,"")</f>
        <v/>
      </c>
      <c r="AB243" s="31" t="str">
        <f>IF(LEN(_DB_Exercises!AW357)&gt;0,_DB_Exercises!AW357,"")</f>
        <v/>
      </c>
      <c r="AC243" s="31" t="str">
        <f>IF(LEN(_DB_Exercises!AX357)&gt;0,_DB_Exercises!AX357,"")</f>
        <v/>
      </c>
      <c r="AD243" s="31" t="str">
        <f>IF(LEN(_DB_Exercises!AY357)&gt;0,_DB_Exercises!AY357,"")</f>
        <v/>
      </c>
      <c r="AE243" s="31" t="str">
        <f>IF(LEN(_DB_Exercises!AZ357)&gt;0,_DB_Exercises!AZ357,"")</f>
        <v/>
      </c>
      <c r="AF243" s="31" t="str">
        <f>IF(LEN(_DB_Exercises!BA357)&gt;0,_DB_Exercises!BA357,"")</f>
        <v/>
      </c>
      <c r="AG243" s="31" t="str">
        <f>IF(LEN(_DB_Exercises!BB357)&gt;0,_DB_Exercises!BB357,"")</f>
        <v/>
      </c>
      <c r="AH243" s="31" t="str">
        <f>IF(LEN(_DB_Exercises!BC357)&gt;0,_DB_Exercises!BC357,"")</f>
        <v/>
      </c>
      <c r="AI243" s="31" t="str">
        <f>IF(LEN(_DB_Exercises!BD357)&gt;0,_DB_Exercises!BD357,"")</f>
        <v/>
      </c>
      <c r="AJ243" s="31" t="str">
        <f>IF(LEN(_DB_Exercises!BE357)&gt;0,_DB_Exercises!BE357,"")</f>
        <v/>
      </c>
      <c r="AK243" s="31" t="str">
        <f>IF(LEN(_DB_Exercises!BF357)&gt;0,_DB_Exercises!BF357,"")</f>
        <v/>
      </c>
      <c r="AL243" s="31" t="str">
        <f>IF(LEN(_DB_Exercises!BG357)&gt;0,_DB_Exercises!BG357,"")</f>
        <v/>
      </c>
      <c r="AM243" s="31" t="str">
        <f>IF(LEN(_DB_Exercises!BH357)&gt;0,_DB_Exercises!BH357,"")</f>
        <v/>
      </c>
      <c r="AN243" s="31" t="str">
        <f>IF(LEN(_DB_Exercises!BI357)&gt;0,_DB_Exercises!BI357,"")</f>
        <v/>
      </c>
      <c r="AO243" s="31" t="str">
        <f>IF(LEN(_DB_Exercises!BJ357)&gt;0,_DB_Exercises!BJ357,"")</f>
        <v/>
      </c>
      <c r="AP243" s="31" t="str">
        <f>IF(LEN(_DB_Exercises!BK357)&gt;0,_DB_Exercises!BK357,"")</f>
        <v/>
      </c>
      <c r="AQ243" s="31" t="str">
        <f>IF(LEN(_DB_Exercises!BL357)&gt;0,_DB_Exercises!BL357,"")</f>
        <v/>
      </c>
      <c r="AR243" s="31" t="str">
        <f>IF(LEN(_DB_Exercises!BM357)&gt;0,_DB_Exercises!BM357,"")</f>
        <v/>
      </c>
    </row>
    <row r="244" spans="1:44" x14ac:dyDescent="0.25">
      <c r="A244" s="11" t="str">
        <f>IF(LEN(_DB_Exercises!A358)&gt;0,_DB_Exercises!A358,"")</f>
        <v/>
      </c>
      <c r="B244" s="14" t="str">
        <f>IF(LEN(_DB_Exercises!K358)&gt;0,_DB_Exercises!K358,"")</f>
        <v/>
      </c>
      <c r="C244" s="31" t="str">
        <f>IF(LEN(_DB_Exercises!X358)&gt;0,_DB_Exercises!X358,"")</f>
        <v/>
      </c>
      <c r="D244" s="31" t="str">
        <f>IF(LEN(_DB_Exercises!Y358)&gt;0,_DB_Exercises!Y358,"")</f>
        <v/>
      </c>
      <c r="E244" s="31" t="str">
        <f>IF(LEN(_DB_Exercises!Z358)&gt;0,_DB_Exercises!Z358,"")</f>
        <v/>
      </c>
      <c r="F244" s="31" t="str">
        <f>IF(LEN(_DB_Exercises!AA358)&gt;0,_DB_Exercises!AA358,"")</f>
        <v/>
      </c>
      <c r="G244" s="31" t="str">
        <f>IF(LEN(_DB_Exercises!AB358)&gt;0,_DB_Exercises!AB358,"")</f>
        <v/>
      </c>
      <c r="H244" s="31" t="str">
        <f>IF(LEN(_DB_Exercises!AC358)&gt;0,_DB_Exercises!AC358,"")</f>
        <v/>
      </c>
      <c r="I244" s="31" t="str">
        <f>IF(LEN(_DB_Exercises!AD358)&gt;0,_DB_Exercises!AD358,"")</f>
        <v/>
      </c>
      <c r="J244" s="31" t="str">
        <f>IF(LEN(_DB_Exercises!AE358)&gt;0,_DB_Exercises!AE358,"")</f>
        <v/>
      </c>
      <c r="K244" s="31" t="str">
        <f>IF(LEN(_DB_Exercises!AF358)&gt;0,_DB_Exercises!AF358,"")</f>
        <v/>
      </c>
      <c r="L244" s="31" t="str">
        <f>IF(LEN(_DB_Exercises!AG358)&gt;0,_DB_Exercises!AG358,"")</f>
        <v/>
      </c>
      <c r="M244" s="31" t="str">
        <f>IF(LEN(_DB_Exercises!AH358)&gt;0,_DB_Exercises!AH358,"")</f>
        <v/>
      </c>
      <c r="N244" s="31" t="str">
        <f>IF(LEN(_DB_Exercises!AI358)&gt;0,_DB_Exercises!AI358,"")</f>
        <v/>
      </c>
      <c r="O244" s="31" t="str">
        <f>IF(LEN(_DB_Exercises!AJ358)&gt;0,_DB_Exercises!AJ358,"")</f>
        <v/>
      </c>
      <c r="P244" s="31" t="str">
        <f>IF(LEN(_DB_Exercises!AK358)&gt;0,_DB_Exercises!AK358,"")</f>
        <v/>
      </c>
      <c r="Q244" s="31" t="str">
        <f>IF(LEN(_DB_Exercises!AL358)&gt;0,_DB_Exercises!AL358,"")</f>
        <v/>
      </c>
      <c r="R244" s="31" t="str">
        <f>IF(LEN(_DB_Exercises!AM358)&gt;0,_DB_Exercises!AM358,"")</f>
        <v/>
      </c>
      <c r="S244" s="31" t="str">
        <f>IF(LEN(_DB_Exercises!AN358)&gt;0,_DB_Exercises!AN358,"")</f>
        <v/>
      </c>
      <c r="T244" s="31" t="str">
        <f>IF(LEN(_DB_Exercises!AO358)&gt;0,_DB_Exercises!AO358,"")</f>
        <v/>
      </c>
      <c r="U244" s="31" t="str">
        <f>IF(LEN(_DB_Exercises!AP358)&gt;0,_DB_Exercises!AP358,"")</f>
        <v/>
      </c>
      <c r="V244" s="31" t="str">
        <f>IF(LEN(_DB_Exercises!AQ358)&gt;0,_DB_Exercises!AQ358,"")</f>
        <v/>
      </c>
      <c r="W244" s="31" t="str">
        <f>IF(LEN(_DB_Exercises!AR358)&gt;0,_DB_Exercises!AR358,"")</f>
        <v/>
      </c>
      <c r="X244" s="31" t="str">
        <f>IF(LEN(_DB_Exercises!AS358)&gt;0,_DB_Exercises!AS358,"")</f>
        <v/>
      </c>
      <c r="Y244" s="31" t="str">
        <f>IF(LEN(_DB_Exercises!AT358)&gt;0,_DB_Exercises!AT358,"")</f>
        <v/>
      </c>
      <c r="Z244" s="31" t="str">
        <f>IF(LEN(_DB_Exercises!AU358)&gt;0,_DB_Exercises!AU358,"")</f>
        <v/>
      </c>
      <c r="AA244" s="31" t="str">
        <f>IF(LEN(_DB_Exercises!AV358)&gt;0,_DB_Exercises!AV358,"")</f>
        <v/>
      </c>
      <c r="AB244" s="31" t="str">
        <f>IF(LEN(_DB_Exercises!AW358)&gt;0,_DB_Exercises!AW358,"")</f>
        <v/>
      </c>
      <c r="AC244" s="31" t="str">
        <f>IF(LEN(_DB_Exercises!AX358)&gt;0,_DB_Exercises!AX358,"")</f>
        <v/>
      </c>
      <c r="AD244" s="31" t="str">
        <f>IF(LEN(_DB_Exercises!AY358)&gt;0,_DB_Exercises!AY358,"")</f>
        <v/>
      </c>
      <c r="AE244" s="31" t="str">
        <f>IF(LEN(_DB_Exercises!AZ358)&gt;0,_DB_Exercises!AZ358,"")</f>
        <v/>
      </c>
      <c r="AF244" s="31" t="str">
        <f>IF(LEN(_DB_Exercises!BA358)&gt;0,_DB_Exercises!BA358,"")</f>
        <v/>
      </c>
      <c r="AG244" s="31" t="str">
        <f>IF(LEN(_DB_Exercises!BB358)&gt;0,_DB_Exercises!BB358,"")</f>
        <v/>
      </c>
      <c r="AH244" s="31" t="str">
        <f>IF(LEN(_DB_Exercises!BC358)&gt;0,_DB_Exercises!BC358,"")</f>
        <v/>
      </c>
      <c r="AI244" s="31" t="str">
        <f>IF(LEN(_DB_Exercises!BD358)&gt;0,_DB_Exercises!BD358,"")</f>
        <v/>
      </c>
      <c r="AJ244" s="31" t="str">
        <f>IF(LEN(_DB_Exercises!BE358)&gt;0,_DB_Exercises!BE358,"")</f>
        <v/>
      </c>
      <c r="AK244" s="31" t="str">
        <f>IF(LEN(_DB_Exercises!BF358)&gt;0,_DB_Exercises!BF358,"")</f>
        <v/>
      </c>
      <c r="AL244" s="31" t="str">
        <f>IF(LEN(_DB_Exercises!BG358)&gt;0,_DB_Exercises!BG358,"")</f>
        <v/>
      </c>
      <c r="AM244" s="31" t="str">
        <f>IF(LEN(_DB_Exercises!BH358)&gt;0,_DB_Exercises!BH358,"")</f>
        <v/>
      </c>
      <c r="AN244" s="31" t="str">
        <f>IF(LEN(_DB_Exercises!BI358)&gt;0,_DB_Exercises!BI358,"")</f>
        <v/>
      </c>
      <c r="AO244" s="31" t="str">
        <f>IF(LEN(_DB_Exercises!BJ358)&gt;0,_DB_Exercises!BJ358,"")</f>
        <v/>
      </c>
      <c r="AP244" s="31" t="str">
        <f>IF(LEN(_DB_Exercises!BK358)&gt;0,_DB_Exercises!BK358,"")</f>
        <v/>
      </c>
      <c r="AQ244" s="31" t="str">
        <f>IF(LEN(_DB_Exercises!BL358)&gt;0,_DB_Exercises!BL358,"")</f>
        <v/>
      </c>
      <c r="AR244" s="31" t="str">
        <f>IF(LEN(_DB_Exercises!BM358)&gt;0,_DB_Exercises!BM358,"")</f>
        <v/>
      </c>
    </row>
    <row r="245" spans="1:44" x14ac:dyDescent="0.25">
      <c r="A245" s="11" t="str">
        <f>IF(LEN(_DB_Exercises!A359)&gt;0,_DB_Exercises!A359,"")</f>
        <v/>
      </c>
      <c r="B245" s="14" t="str">
        <f>IF(LEN(_DB_Exercises!K359)&gt;0,_DB_Exercises!K359,"")</f>
        <v/>
      </c>
      <c r="C245" s="31" t="str">
        <f>IF(LEN(_DB_Exercises!X359)&gt;0,_DB_Exercises!X359,"")</f>
        <v/>
      </c>
      <c r="D245" s="31" t="str">
        <f>IF(LEN(_DB_Exercises!Y359)&gt;0,_DB_Exercises!Y359,"")</f>
        <v/>
      </c>
      <c r="E245" s="31" t="str">
        <f>IF(LEN(_DB_Exercises!Z359)&gt;0,_DB_Exercises!Z359,"")</f>
        <v/>
      </c>
      <c r="F245" s="31" t="str">
        <f>IF(LEN(_DB_Exercises!AA359)&gt;0,_DB_Exercises!AA359,"")</f>
        <v/>
      </c>
      <c r="G245" s="31" t="str">
        <f>IF(LEN(_DB_Exercises!AB359)&gt;0,_DB_Exercises!AB359,"")</f>
        <v/>
      </c>
      <c r="H245" s="31" t="str">
        <f>IF(LEN(_DB_Exercises!AC359)&gt;0,_DB_Exercises!AC359,"")</f>
        <v/>
      </c>
      <c r="I245" s="31" t="str">
        <f>IF(LEN(_DB_Exercises!AD359)&gt;0,_DB_Exercises!AD359,"")</f>
        <v/>
      </c>
      <c r="J245" s="31" t="str">
        <f>IF(LEN(_DB_Exercises!AE359)&gt;0,_DB_Exercises!AE359,"")</f>
        <v/>
      </c>
      <c r="K245" s="31" t="str">
        <f>IF(LEN(_DB_Exercises!AF359)&gt;0,_DB_Exercises!AF359,"")</f>
        <v/>
      </c>
      <c r="L245" s="31" t="str">
        <f>IF(LEN(_DB_Exercises!AG359)&gt;0,_DB_Exercises!AG359,"")</f>
        <v/>
      </c>
      <c r="M245" s="31" t="str">
        <f>IF(LEN(_DB_Exercises!AH359)&gt;0,_DB_Exercises!AH359,"")</f>
        <v/>
      </c>
      <c r="N245" s="31" t="str">
        <f>IF(LEN(_DB_Exercises!AI359)&gt;0,_DB_Exercises!AI359,"")</f>
        <v/>
      </c>
      <c r="O245" s="31" t="str">
        <f>IF(LEN(_DB_Exercises!AJ359)&gt;0,_DB_Exercises!AJ359,"")</f>
        <v/>
      </c>
      <c r="P245" s="31" t="str">
        <f>IF(LEN(_DB_Exercises!AK359)&gt;0,_DB_Exercises!AK359,"")</f>
        <v/>
      </c>
      <c r="Q245" s="31" t="str">
        <f>IF(LEN(_DB_Exercises!AL359)&gt;0,_DB_Exercises!AL359,"")</f>
        <v/>
      </c>
      <c r="R245" s="31" t="str">
        <f>IF(LEN(_DB_Exercises!AM359)&gt;0,_DB_Exercises!AM359,"")</f>
        <v/>
      </c>
      <c r="S245" s="31" t="str">
        <f>IF(LEN(_DB_Exercises!AN359)&gt;0,_DB_Exercises!AN359,"")</f>
        <v/>
      </c>
      <c r="T245" s="31" t="str">
        <f>IF(LEN(_DB_Exercises!AO359)&gt;0,_DB_Exercises!AO359,"")</f>
        <v/>
      </c>
      <c r="U245" s="31" t="str">
        <f>IF(LEN(_DB_Exercises!AP359)&gt;0,_DB_Exercises!AP359,"")</f>
        <v/>
      </c>
      <c r="V245" s="31" t="str">
        <f>IF(LEN(_DB_Exercises!AQ359)&gt;0,_DB_Exercises!AQ359,"")</f>
        <v/>
      </c>
      <c r="W245" s="31" t="str">
        <f>IF(LEN(_DB_Exercises!AR359)&gt;0,_DB_Exercises!AR359,"")</f>
        <v/>
      </c>
      <c r="X245" s="31" t="str">
        <f>IF(LEN(_DB_Exercises!AS359)&gt;0,_DB_Exercises!AS359,"")</f>
        <v/>
      </c>
      <c r="Y245" s="31" t="str">
        <f>IF(LEN(_DB_Exercises!AT359)&gt;0,_DB_Exercises!AT359,"")</f>
        <v/>
      </c>
      <c r="Z245" s="31" t="str">
        <f>IF(LEN(_DB_Exercises!AU359)&gt;0,_DB_Exercises!AU359,"")</f>
        <v/>
      </c>
      <c r="AA245" s="31" t="str">
        <f>IF(LEN(_DB_Exercises!AV359)&gt;0,_DB_Exercises!AV359,"")</f>
        <v/>
      </c>
      <c r="AB245" s="31" t="str">
        <f>IF(LEN(_DB_Exercises!AW359)&gt;0,_DB_Exercises!AW359,"")</f>
        <v/>
      </c>
      <c r="AC245" s="31" t="str">
        <f>IF(LEN(_DB_Exercises!AX359)&gt;0,_DB_Exercises!AX359,"")</f>
        <v/>
      </c>
      <c r="AD245" s="31" t="str">
        <f>IF(LEN(_DB_Exercises!AY359)&gt;0,_DB_Exercises!AY359,"")</f>
        <v/>
      </c>
      <c r="AE245" s="31" t="str">
        <f>IF(LEN(_DB_Exercises!AZ359)&gt;0,_DB_Exercises!AZ359,"")</f>
        <v/>
      </c>
      <c r="AF245" s="31" t="str">
        <f>IF(LEN(_DB_Exercises!BA359)&gt;0,_DB_Exercises!BA359,"")</f>
        <v/>
      </c>
      <c r="AG245" s="31" t="str">
        <f>IF(LEN(_DB_Exercises!BB359)&gt;0,_DB_Exercises!BB359,"")</f>
        <v/>
      </c>
      <c r="AH245" s="31" t="str">
        <f>IF(LEN(_DB_Exercises!BC359)&gt;0,_DB_Exercises!BC359,"")</f>
        <v/>
      </c>
      <c r="AI245" s="31" t="str">
        <f>IF(LEN(_DB_Exercises!BD359)&gt;0,_DB_Exercises!BD359,"")</f>
        <v/>
      </c>
      <c r="AJ245" s="31" t="str">
        <f>IF(LEN(_DB_Exercises!BE359)&gt;0,_DB_Exercises!BE359,"")</f>
        <v/>
      </c>
      <c r="AK245" s="31" t="str">
        <f>IF(LEN(_DB_Exercises!BF359)&gt;0,_DB_Exercises!BF359,"")</f>
        <v/>
      </c>
      <c r="AL245" s="31" t="str">
        <f>IF(LEN(_DB_Exercises!BG359)&gt;0,_DB_Exercises!BG359,"")</f>
        <v/>
      </c>
      <c r="AM245" s="31" t="str">
        <f>IF(LEN(_DB_Exercises!BH359)&gt;0,_DB_Exercises!BH359,"")</f>
        <v/>
      </c>
      <c r="AN245" s="31" t="str">
        <f>IF(LEN(_DB_Exercises!BI359)&gt;0,_DB_Exercises!BI359,"")</f>
        <v/>
      </c>
      <c r="AO245" s="31" t="str">
        <f>IF(LEN(_DB_Exercises!BJ359)&gt;0,_DB_Exercises!BJ359,"")</f>
        <v/>
      </c>
      <c r="AP245" s="31" t="str">
        <f>IF(LEN(_DB_Exercises!BK359)&gt;0,_DB_Exercises!BK359,"")</f>
        <v/>
      </c>
      <c r="AQ245" s="31" t="str">
        <f>IF(LEN(_DB_Exercises!BL359)&gt;0,_DB_Exercises!BL359,"")</f>
        <v/>
      </c>
      <c r="AR245" s="31" t="str">
        <f>IF(LEN(_DB_Exercises!BM359)&gt;0,_DB_Exercises!BM359,"")</f>
        <v/>
      </c>
    </row>
    <row r="246" spans="1:44" x14ac:dyDescent="0.25">
      <c r="A246" s="11" t="str">
        <f>IF(LEN(_DB_Exercises!A360)&gt;0,_DB_Exercises!A360,"")</f>
        <v/>
      </c>
      <c r="B246" s="14" t="str">
        <f>IF(LEN(_DB_Exercises!K360)&gt;0,_DB_Exercises!K360,"")</f>
        <v/>
      </c>
      <c r="C246" s="31" t="str">
        <f>IF(LEN(_DB_Exercises!X360)&gt;0,_DB_Exercises!X360,"")</f>
        <v/>
      </c>
      <c r="D246" s="31" t="str">
        <f>IF(LEN(_DB_Exercises!Y360)&gt;0,_DB_Exercises!Y360,"")</f>
        <v/>
      </c>
      <c r="E246" s="31" t="str">
        <f>IF(LEN(_DB_Exercises!Z360)&gt;0,_DB_Exercises!Z360,"")</f>
        <v/>
      </c>
      <c r="F246" s="31" t="str">
        <f>IF(LEN(_DB_Exercises!AA360)&gt;0,_DB_Exercises!AA360,"")</f>
        <v/>
      </c>
      <c r="G246" s="31" t="str">
        <f>IF(LEN(_DB_Exercises!AB360)&gt;0,_DB_Exercises!AB360,"")</f>
        <v/>
      </c>
      <c r="H246" s="31" t="str">
        <f>IF(LEN(_DB_Exercises!AC360)&gt;0,_DB_Exercises!AC360,"")</f>
        <v/>
      </c>
      <c r="I246" s="31" t="str">
        <f>IF(LEN(_DB_Exercises!AD360)&gt;0,_DB_Exercises!AD360,"")</f>
        <v/>
      </c>
      <c r="J246" s="31" t="str">
        <f>IF(LEN(_DB_Exercises!AE360)&gt;0,_DB_Exercises!AE360,"")</f>
        <v/>
      </c>
      <c r="K246" s="31" t="str">
        <f>IF(LEN(_DB_Exercises!AF360)&gt;0,_DB_Exercises!AF360,"")</f>
        <v/>
      </c>
      <c r="L246" s="31" t="str">
        <f>IF(LEN(_DB_Exercises!AG360)&gt;0,_DB_Exercises!AG360,"")</f>
        <v/>
      </c>
      <c r="M246" s="31" t="str">
        <f>IF(LEN(_DB_Exercises!AH360)&gt;0,_DB_Exercises!AH360,"")</f>
        <v/>
      </c>
      <c r="N246" s="31" t="str">
        <f>IF(LEN(_DB_Exercises!AI360)&gt;0,_DB_Exercises!AI360,"")</f>
        <v/>
      </c>
      <c r="O246" s="31" t="str">
        <f>IF(LEN(_DB_Exercises!AJ360)&gt;0,_DB_Exercises!AJ360,"")</f>
        <v/>
      </c>
      <c r="P246" s="31" t="str">
        <f>IF(LEN(_DB_Exercises!AK360)&gt;0,_DB_Exercises!AK360,"")</f>
        <v/>
      </c>
      <c r="Q246" s="31" t="str">
        <f>IF(LEN(_DB_Exercises!AL360)&gt;0,_DB_Exercises!AL360,"")</f>
        <v/>
      </c>
      <c r="R246" s="31" t="str">
        <f>IF(LEN(_DB_Exercises!AM360)&gt;0,_DB_Exercises!AM360,"")</f>
        <v/>
      </c>
      <c r="S246" s="31" t="str">
        <f>IF(LEN(_DB_Exercises!AN360)&gt;0,_DB_Exercises!AN360,"")</f>
        <v/>
      </c>
      <c r="T246" s="31" t="str">
        <f>IF(LEN(_DB_Exercises!AO360)&gt;0,_DB_Exercises!AO360,"")</f>
        <v/>
      </c>
      <c r="U246" s="31" t="str">
        <f>IF(LEN(_DB_Exercises!AP360)&gt;0,_DB_Exercises!AP360,"")</f>
        <v/>
      </c>
      <c r="V246" s="31" t="str">
        <f>IF(LEN(_DB_Exercises!AQ360)&gt;0,_DB_Exercises!AQ360,"")</f>
        <v/>
      </c>
      <c r="W246" s="31" t="str">
        <f>IF(LEN(_DB_Exercises!AR360)&gt;0,_DB_Exercises!AR360,"")</f>
        <v/>
      </c>
      <c r="X246" s="31" t="str">
        <f>IF(LEN(_DB_Exercises!AS360)&gt;0,_DB_Exercises!AS360,"")</f>
        <v/>
      </c>
      <c r="Y246" s="31" t="str">
        <f>IF(LEN(_DB_Exercises!AT360)&gt;0,_DB_Exercises!AT360,"")</f>
        <v/>
      </c>
      <c r="Z246" s="31" t="str">
        <f>IF(LEN(_DB_Exercises!AU360)&gt;0,_DB_Exercises!AU360,"")</f>
        <v/>
      </c>
      <c r="AA246" s="31" t="str">
        <f>IF(LEN(_DB_Exercises!AV360)&gt;0,_DB_Exercises!AV360,"")</f>
        <v/>
      </c>
      <c r="AB246" s="31" t="str">
        <f>IF(LEN(_DB_Exercises!AW360)&gt;0,_DB_Exercises!AW360,"")</f>
        <v/>
      </c>
      <c r="AC246" s="31" t="str">
        <f>IF(LEN(_DB_Exercises!AX360)&gt;0,_DB_Exercises!AX360,"")</f>
        <v/>
      </c>
      <c r="AD246" s="31" t="str">
        <f>IF(LEN(_DB_Exercises!AY360)&gt;0,_DB_Exercises!AY360,"")</f>
        <v/>
      </c>
      <c r="AE246" s="31" t="str">
        <f>IF(LEN(_DB_Exercises!AZ360)&gt;0,_DB_Exercises!AZ360,"")</f>
        <v/>
      </c>
      <c r="AF246" s="31" t="str">
        <f>IF(LEN(_DB_Exercises!BA360)&gt;0,_DB_Exercises!BA360,"")</f>
        <v/>
      </c>
      <c r="AG246" s="31" t="str">
        <f>IF(LEN(_DB_Exercises!BB360)&gt;0,_DB_Exercises!BB360,"")</f>
        <v/>
      </c>
      <c r="AH246" s="31" t="str">
        <f>IF(LEN(_DB_Exercises!BC360)&gt;0,_DB_Exercises!BC360,"")</f>
        <v/>
      </c>
      <c r="AI246" s="31" t="str">
        <f>IF(LEN(_DB_Exercises!BD360)&gt;0,_DB_Exercises!BD360,"")</f>
        <v/>
      </c>
      <c r="AJ246" s="31" t="str">
        <f>IF(LEN(_DB_Exercises!BE360)&gt;0,_DB_Exercises!BE360,"")</f>
        <v/>
      </c>
      <c r="AK246" s="31" t="str">
        <f>IF(LEN(_DB_Exercises!BF360)&gt;0,_DB_Exercises!BF360,"")</f>
        <v/>
      </c>
      <c r="AL246" s="31" t="str">
        <f>IF(LEN(_DB_Exercises!BG360)&gt;0,_DB_Exercises!BG360,"")</f>
        <v/>
      </c>
      <c r="AM246" s="31" t="str">
        <f>IF(LEN(_DB_Exercises!BH360)&gt;0,_DB_Exercises!BH360,"")</f>
        <v/>
      </c>
      <c r="AN246" s="31" t="str">
        <f>IF(LEN(_DB_Exercises!BI360)&gt;0,_DB_Exercises!BI360,"")</f>
        <v/>
      </c>
      <c r="AO246" s="31" t="str">
        <f>IF(LEN(_DB_Exercises!BJ360)&gt;0,_DB_Exercises!BJ360,"")</f>
        <v/>
      </c>
      <c r="AP246" s="31" t="str">
        <f>IF(LEN(_DB_Exercises!BK360)&gt;0,_DB_Exercises!BK360,"")</f>
        <v/>
      </c>
      <c r="AQ246" s="31" t="str">
        <f>IF(LEN(_DB_Exercises!BL360)&gt;0,_DB_Exercises!BL360,"")</f>
        <v/>
      </c>
      <c r="AR246" s="31" t="str">
        <f>IF(LEN(_DB_Exercises!BM360)&gt;0,_DB_Exercises!BM360,"")</f>
        <v/>
      </c>
    </row>
    <row r="247" spans="1:44" x14ac:dyDescent="0.25">
      <c r="A247" s="11" t="str">
        <f>IF(LEN(_DB_Exercises!A361)&gt;0,_DB_Exercises!A361,"")</f>
        <v/>
      </c>
      <c r="B247" s="14" t="str">
        <f>IF(LEN(_DB_Exercises!K361)&gt;0,_DB_Exercises!K361,"")</f>
        <v/>
      </c>
      <c r="C247" s="31" t="str">
        <f>IF(LEN(_DB_Exercises!X361)&gt;0,_DB_Exercises!X361,"")</f>
        <v/>
      </c>
      <c r="D247" s="31" t="str">
        <f>IF(LEN(_DB_Exercises!Y361)&gt;0,_DB_Exercises!Y361,"")</f>
        <v/>
      </c>
      <c r="E247" s="31" t="str">
        <f>IF(LEN(_DB_Exercises!Z361)&gt;0,_DB_Exercises!Z361,"")</f>
        <v/>
      </c>
      <c r="F247" s="31" t="str">
        <f>IF(LEN(_DB_Exercises!AA361)&gt;0,_DB_Exercises!AA361,"")</f>
        <v/>
      </c>
      <c r="G247" s="31" t="str">
        <f>IF(LEN(_DB_Exercises!AB361)&gt;0,_DB_Exercises!AB361,"")</f>
        <v/>
      </c>
      <c r="H247" s="31" t="str">
        <f>IF(LEN(_DB_Exercises!AC361)&gt;0,_DB_Exercises!AC361,"")</f>
        <v/>
      </c>
      <c r="I247" s="31" t="str">
        <f>IF(LEN(_DB_Exercises!AD361)&gt;0,_DB_Exercises!AD361,"")</f>
        <v/>
      </c>
      <c r="J247" s="31" t="str">
        <f>IF(LEN(_DB_Exercises!AE361)&gt;0,_DB_Exercises!AE361,"")</f>
        <v/>
      </c>
      <c r="K247" s="31" t="str">
        <f>IF(LEN(_DB_Exercises!AF361)&gt;0,_DB_Exercises!AF361,"")</f>
        <v/>
      </c>
      <c r="L247" s="31" t="str">
        <f>IF(LEN(_DB_Exercises!AG361)&gt;0,_DB_Exercises!AG361,"")</f>
        <v/>
      </c>
      <c r="M247" s="31" t="str">
        <f>IF(LEN(_DB_Exercises!AH361)&gt;0,_DB_Exercises!AH361,"")</f>
        <v/>
      </c>
      <c r="N247" s="31" t="str">
        <f>IF(LEN(_DB_Exercises!AI361)&gt;0,_DB_Exercises!AI361,"")</f>
        <v/>
      </c>
      <c r="O247" s="31" t="str">
        <f>IF(LEN(_DB_Exercises!AJ361)&gt;0,_DB_Exercises!AJ361,"")</f>
        <v/>
      </c>
      <c r="P247" s="31" t="str">
        <f>IF(LEN(_DB_Exercises!AK361)&gt;0,_DB_Exercises!AK361,"")</f>
        <v/>
      </c>
      <c r="Q247" s="31" t="str">
        <f>IF(LEN(_DB_Exercises!AL361)&gt;0,_DB_Exercises!AL361,"")</f>
        <v/>
      </c>
      <c r="R247" s="31" t="str">
        <f>IF(LEN(_DB_Exercises!AM361)&gt;0,_DB_Exercises!AM361,"")</f>
        <v/>
      </c>
      <c r="S247" s="31" t="str">
        <f>IF(LEN(_DB_Exercises!AN361)&gt;0,_DB_Exercises!AN361,"")</f>
        <v/>
      </c>
      <c r="T247" s="31" t="str">
        <f>IF(LEN(_DB_Exercises!AO361)&gt;0,_DB_Exercises!AO361,"")</f>
        <v/>
      </c>
      <c r="U247" s="31" t="str">
        <f>IF(LEN(_DB_Exercises!AP361)&gt;0,_DB_Exercises!AP361,"")</f>
        <v/>
      </c>
      <c r="V247" s="31" t="str">
        <f>IF(LEN(_DB_Exercises!AQ361)&gt;0,_DB_Exercises!AQ361,"")</f>
        <v/>
      </c>
      <c r="W247" s="31" t="str">
        <f>IF(LEN(_DB_Exercises!AR361)&gt;0,_DB_Exercises!AR361,"")</f>
        <v/>
      </c>
      <c r="X247" s="31" t="str">
        <f>IF(LEN(_DB_Exercises!AS361)&gt;0,_DB_Exercises!AS361,"")</f>
        <v/>
      </c>
      <c r="Y247" s="31" t="str">
        <f>IF(LEN(_DB_Exercises!AT361)&gt;0,_DB_Exercises!AT361,"")</f>
        <v/>
      </c>
      <c r="Z247" s="31" t="str">
        <f>IF(LEN(_DB_Exercises!AU361)&gt;0,_DB_Exercises!AU361,"")</f>
        <v/>
      </c>
      <c r="AA247" s="31" t="str">
        <f>IF(LEN(_DB_Exercises!AV361)&gt;0,_DB_Exercises!AV361,"")</f>
        <v/>
      </c>
      <c r="AB247" s="31" t="str">
        <f>IF(LEN(_DB_Exercises!AW361)&gt;0,_DB_Exercises!AW361,"")</f>
        <v/>
      </c>
      <c r="AC247" s="31" t="str">
        <f>IF(LEN(_DB_Exercises!AX361)&gt;0,_DB_Exercises!AX361,"")</f>
        <v/>
      </c>
      <c r="AD247" s="31" t="str">
        <f>IF(LEN(_DB_Exercises!AY361)&gt;0,_DB_Exercises!AY361,"")</f>
        <v/>
      </c>
      <c r="AE247" s="31" t="str">
        <f>IF(LEN(_DB_Exercises!AZ361)&gt;0,_DB_Exercises!AZ361,"")</f>
        <v/>
      </c>
      <c r="AF247" s="31" t="str">
        <f>IF(LEN(_DB_Exercises!BA361)&gt;0,_DB_Exercises!BA361,"")</f>
        <v/>
      </c>
      <c r="AG247" s="31" t="str">
        <f>IF(LEN(_DB_Exercises!BB361)&gt;0,_DB_Exercises!BB361,"")</f>
        <v/>
      </c>
      <c r="AH247" s="31" t="str">
        <f>IF(LEN(_DB_Exercises!BC361)&gt;0,_DB_Exercises!BC361,"")</f>
        <v/>
      </c>
      <c r="AI247" s="31" t="str">
        <f>IF(LEN(_DB_Exercises!BD361)&gt;0,_DB_Exercises!BD361,"")</f>
        <v/>
      </c>
      <c r="AJ247" s="31" t="str">
        <f>IF(LEN(_DB_Exercises!BE361)&gt;0,_DB_Exercises!BE361,"")</f>
        <v/>
      </c>
      <c r="AK247" s="31" t="str">
        <f>IF(LEN(_DB_Exercises!BF361)&gt;0,_DB_Exercises!BF361,"")</f>
        <v/>
      </c>
      <c r="AL247" s="31" t="str">
        <f>IF(LEN(_DB_Exercises!BG361)&gt;0,_DB_Exercises!BG361,"")</f>
        <v/>
      </c>
      <c r="AM247" s="31" t="str">
        <f>IF(LEN(_DB_Exercises!BH361)&gt;0,_DB_Exercises!BH361,"")</f>
        <v/>
      </c>
      <c r="AN247" s="31" t="str">
        <f>IF(LEN(_DB_Exercises!BI361)&gt;0,_DB_Exercises!BI361,"")</f>
        <v/>
      </c>
      <c r="AO247" s="31" t="str">
        <f>IF(LEN(_DB_Exercises!BJ361)&gt;0,_DB_Exercises!BJ361,"")</f>
        <v/>
      </c>
      <c r="AP247" s="31" t="str">
        <f>IF(LEN(_DB_Exercises!BK361)&gt;0,_DB_Exercises!BK361,"")</f>
        <v/>
      </c>
      <c r="AQ247" s="31" t="str">
        <f>IF(LEN(_DB_Exercises!BL361)&gt;0,_DB_Exercises!BL361,"")</f>
        <v/>
      </c>
      <c r="AR247" s="31" t="str">
        <f>IF(LEN(_DB_Exercises!BM361)&gt;0,_DB_Exercises!BM361,"")</f>
        <v/>
      </c>
    </row>
    <row r="248" spans="1:44" x14ac:dyDescent="0.25">
      <c r="A248" s="11" t="str">
        <f>IF(LEN(_DB_Exercises!A362)&gt;0,_DB_Exercises!A362,"")</f>
        <v/>
      </c>
      <c r="B248" s="14" t="str">
        <f>IF(LEN(_DB_Exercises!K362)&gt;0,_DB_Exercises!K362,"")</f>
        <v/>
      </c>
      <c r="C248" s="31" t="str">
        <f>IF(LEN(_DB_Exercises!X362)&gt;0,_DB_Exercises!X362,"")</f>
        <v/>
      </c>
      <c r="D248" s="31" t="str">
        <f>IF(LEN(_DB_Exercises!Y362)&gt;0,_DB_Exercises!Y362,"")</f>
        <v/>
      </c>
      <c r="E248" s="31" t="str">
        <f>IF(LEN(_DB_Exercises!Z362)&gt;0,_DB_Exercises!Z362,"")</f>
        <v/>
      </c>
      <c r="F248" s="31" t="str">
        <f>IF(LEN(_DB_Exercises!AA362)&gt;0,_DB_Exercises!AA362,"")</f>
        <v/>
      </c>
      <c r="G248" s="31" t="str">
        <f>IF(LEN(_DB_Exercises!AB362)&gt;0,_DB_Exercises!AB362,"")</f>
        <v/>
      </c>
      <c r="H248" s="31" t="str">
        <f>IF(LEN(_DB_Exercises!AC362)&gt;0,_DB_Exercises!AC362,"")</f>
        <v/>
      </c>
      <c r="I248" s="31" t="str">
        <f>IF(LEN(_DB_Exercises!AD362)&gt;0,_DB_Exercises!AD362,"")</f>
        <v/>
      </c>
      <c r="J248" s="31" t="str">
        <f>IF(LEN(_DB_Exercises!AE362)&gt;0,_DB_Exercises!AE362,"")</f>
        <v/>
      </c>
      <c r="K248" s="31" t="str">
        <f>IF(LEN(_DB_Exercises!AF362)&gt;0,_DB_Exercises!AF362,"")</f>
        <v/>
      </c>
      <c r="L248" s="31" t="str">
        <f>IF(LEN(_DB_Exercises!AG362)&gt;0,_DB_Exercises!AG362,"")</f>
        <v/>
      </c>
      <c r="M248" s="31" t="str">
        <f>IF(LEN(_DB_Exercises!AH362)&gt;0,_DB_Exercises!AH362,"")</f>
        <v/>
      </c>
      <c r="N248" s="31" t="str">
        <f>IF(LEN(_DB_Exercises!AI362)&gt;0,_DB_Exercises!AI362,"")</f>
        <v/>
      </c>
      <c r="O248" s="31" t="str">
        <f>IF(LEN(_DB_Exercises!AJ362)&gt;0,_DB_Exercises!AJ362,"")</f>
        <v/>
      </c>
      <c r="P248" s="31" t="str">
        <f>IF(LEN(_DB_Exercises!AK362)&gt;0,_DB_Exercises!AK362,"")</f>
        <v/>
      </c>
      <c r="Q248" s="31" t="str">
        <f>IF(LEN(_DB_Exercises!AL362)&gt;0,_DB_Exercises!AL362,"")</f>
        <v/>
      </c>
      <c r="R248" s="31" t="str">
        <f>IF(LEN(_DB_Exercises!AM362)&gt;0,_DB_Exercises!AM362,"")</f>
        <v/>
      </c>
      <c r="S248" s="31" t="str">
        <f>IF(LEN(_DB_Exercises!AN362)&gt;0,_DB_Exercises!AN362,"")</f>
        <v/>
      </c>
      <c r="T248" s="31" t="str">
        <f>IF(LEN(_DB_Exercises!AO362)&gt;0,_DB_Exercises!AO362,"")</f>
        <v/>
      </c>
      <c r="U248" s="31" t="str">
        <f>IF(LEN(_DB_Exercises!AP362)&gt;0,_DB_Exercises!AP362,"")</f>
        <v/>
      </c>
      <c r="V248" s="31" t="str">
        <f>IF(LEN(_DB_Exercises!AQ362)&gt;0,_DB_Exercises!AQ362,"")</f>
        <v/>
      </c>
      <c r="W248" s="31" t="str">
        <f>IF(LEN(_DB_Exercises!AR362)&gt;0,_DB_Exercises!AR362,"")</f>
        <v/>
      </c>
      <c r="X248" s="31" t="str">
        <f>IF(LEN(_DB_Exercises!AS362)&gt;0,_DB_Exercises!AS362,"")</f>
        <v/>
      </c>
      <c r="Y248" s="31" t="str">
        <f>IF(LEN(_DB_Exercises!AT362)&gt;0,_DB_Exercises!AT362,"")</f>
        <v/>
      </c>
      <c r="Z248" s="31" t="str">
        <f>IF(LEN(_DB_Exercises!AU362)&gt;0,_DB_Exercises!AU362,"")</f>
        <v/>
      </c>
      <c r="AA248" s="31" t="str">
        <f>IF(LEN(_DB_Exercises!AV362)&gt;0,_DB_Exercises!AV362,"")</f>
        <v/>
      </c>
      <c r="AB248" s="31" t="str">
        <f>IF(LEN(_DB_Exercises!AW362)&gt;0,_DB_Exercises!AW362,"")</f>
        <v/>
      </c>
      <c r="AC248" s="31" t="str">
        <f>IF(LEN(_DB_Exercises!AX362)&gt;0,_DB_Exercises!AX362,"")</f>
        <v/>
      </c>
      <c r="AD248" s="31" t="str">
        <f>IF(LEN(_DB_Exercises!AY362)&gt;0,_DB_Exercises!AY362,"")</f>
        <v/>
      </c>
      <c r="AE248" s="31" t="str">
        <f>IF(LEN(_DB_Exercises!AZ362)&gt;0,_DB_Exercises!AZ362,"")</f>
        <v/>
      </c>
      <c r="AF248" s="31" t="str">
        <f>IF(LEN(_DB_Exercises!BA362)&gt;0,_DB_Exercises!BA362,"")</f>
        <v/>
      </c>
      <c r="AG248" s="31" t="str">
        <f>IF(LEN(_DB_Exercises!BB362)&gt;0,_DB_Exercises!BB362,"")</f>
        <v/>
      </c>
      <c r="AH248" s="31" t="str">
        <f>IF(LEN(_DB_Exercises!BC362)&gt;0,_DB_Exercises!BC362,"")</f>
        <v/>
      </c>
      <c r="AI248" s="31" t="str">
        <f>IF(LEN(_DB_Exercises!BD362)&gt;0,_DB_Exercises!BD362,"")</f>
        <v/>
      </c>
      <c r="AJ248" s="31" t="str">
        <f>IF(LEN(_DB_Exercises!BE362)&gt;0,_DB_Exercises!BE362,"")</f>
        <v/>
      </c>
      <c r="AK248" s="31" t="str">
        <f>IF(LEN(_DB_Exercises!BF362)&gt;0,_DB_Exercises!BF362,"")</f>
        <v/>
      </c>
      <c r="AL248" s="31" t="str">
        <f>IF(LEN(_DB_Exercises!BG362)&gt;0,_DB_Exercises!BG362,"")</f>
        <v/>
      </c>
      <c r="AM248" s="31" t="str">
        <f>IF(LEN(_DB_Exercises!BH362)&gt;0,_DB_Exercises!BH362,"")</f>
        <v/>
      </c>
      <c r="AN248" s="31" t="str">
        <f>IF(LEN(_DB_Exercises!BI362)&gt;0,_DB_Exercises!BI362,"")</f>
        <v/>
      </c>
      <c r="AO248" s="31" t="str">
        <f>IF(LEN(_DB_Exercises!BJ362)&gt;0,_DB_Exercises!BJ362,"")</f>
        <v/>
      </c>
      <c r="AP248" s="31" t="str">
        <f>IF(LEN(_DB_Exercises!BK362)&gt;0,_DB_Exercises!BK362,"")</f>
        <v/>
      </c>
      <c r="AQ248" s="31" t="str">
        <f>IF(LEN(_DB_Exercises!BL362)&gt;0,_DB_Exercises!BL362,"")</f>
        <v/>
      </c>
      <c r="AR248" s="31" t="str">
        <f>IF(LEN(_DB_Exercises!BM362)&gt;0,_DB_Exercises!BM362,"")</f>
        <v/>
      </c>
    </row>
    <row r="249" spans="1:44" x14ac:dyDescent="0.25">
      <c r="A249" s="11" t="str">
        <f>IF(LEN(_DB_Exercises!A363)&gt;0,_DB_Exercises!A363,"")</f>
        <v/>
      </c>
      <c r="B249" s="14" t="str">
        <f>IF(LEN(_DB_Exercises!K363)&gt;0,_DB_Exercises!K363,"")</f>
        <v/>
      </c>
      <c r="C249" s="31" t="str">
        <f>IF(LEN(_DB_Exercises!X363)&gt;0,_DB_Exercises!X363,"")</f>
        <v/>
      </c>
      <c r="D249" s="31" t="str">
        <f>IF(LEN(_DB_Exercises!Y363)&gt;0,_DB_Exercises!Y363,"")</f>
        <v/>
      </c>
      <c r="E249" s="31" t="str">
        <f>IF(LEN(_DB_Exercises!Z363)&gt;0,_DB_Exercises!Z363,"")</f>
        <v/>
      </c>
      <c r="F249" s="31" t="str">
        <f>IF(LEN(_DB_Exercises!AA363)&gt;0,_DB_Exercises!AA363,"")</f>
        <v/>
      </c>
      <c r="G249" s="31" t="str">
        <f>IF(LEN(_DB_Exercises!AB363)&gt;0,_DB_Exercises!AB363,"")</f>
        <v/>
      </c>
      <c r="H249" s="31" t="str">
        <f>IF(LEN(_DB_Exercises!AC363)&gt;0,_DB_Exercises!AC363,"")</f>
        <v/>
      </c>
      <c r="I249" s="31" t="str">
        <f>IF(LEN(_DB_Exercises!AD363)&gt;0,_DB_Exercises!AD363,"")</f>
        <v/>
      </c>
      <c r="J249" s="31" t="str">
        <f>IF(LEN(_DB_Exercises!AE363)&gt;0,_DB_Exercises!AE363,"")</f>
        <v/>
      </c>
      <c r="K249" s="31" t="str">
        <f>IF(LEN(_DB_Exercises!AF363)&gt;0,_DB_Exercises!AF363,"")</f>
        <v/>
      </c>
      <c r="L249" s="31" t="str">
        <f>IF(LEN(_DB_Exercises!AG363)&gt;0,_DB_Exercises!AG363,"")</f>
        <v/>
      </c>
      <c r="M249" s="31" t="str">
        <f>IF(LEN(_DB_Exercises!AH363)&gt;0,_DB_Exercises!AH363,"")</f>
        <v/>
      </c>
      <c r="N249" s="31" t="str">
        <f>IF(LEN(_DB_Exercises!AI363)&gt;0,_DB_Exercises!AI363,"")</f>
        <v/>
      </c>
      <c r="O249" s="31" t="str">
        <f>IF(LEN(_DB_Exercises!AJ363)&gt;0,_DB_Exercises!AJ363,"")</f>
        <v/>
      </c>
      <c r="P249" s="31" t="str">
        <f>IF(LEN(_DB_Exercises!AK363)&gt;0,_DB_Exercises!AK363,"")</f>
        <v/>
      </c>
      <c r="Q249" s="31" t="str">
        <f>IF(LEN(_DB_Exercises!AL363)&gt;0,_DB_Exercises!AL363,"")</f>
        <v/>
      </c>
      <c r="R249" s="31" t="str">
        <f>IF(LEN(_DB_Exercises!AM363)&gt;0,_DB_Exercises!AM363,"")</f>
        <v/>
      </c>
      <c r="S249" s="31" t="str">
        <f>IF(LEN(_DB_Exercises!AN363)&gt;0,_DB_Exercises!AN363,"")</f>
        <v/>
      </c>
      <c r="T249" s="31" t="str">
        <f>IF(LEN(_DB_Exercises!AO363)&gt;0,_DB_Exercises!AO363,"")</f>
        <v/>
      </c>
      <c r="U249" s="31" t="str">
        <f>IF(LEN(_DB_Exercises!AP363)&gt;0,_DB_Exercises!AP363,"")</f>
        <v/>
      </c>
      <c r="V249" s="31" t="str">
        <f>IF(LEN(_DB_Exercises!AQ363)&gt;0,_DB_Exercises!AQ363,"")</f>
        <v/>
      </c>
      <c r="W249" s="31" t="str">
        <f>IF(LEN(_DB_Exercises!AR363)&gt;0,_DB_Exercises!AR363,"")</f>
        <v/>
      </c>
      <c r="X249" s="31" t="str">
        <f>IF(LEN(_DB_Exercises!AS363)&gt;0,_DB_Exercises!AS363,"")</f>
        <v/>
      </c>
      <c r="Y249" s="31" t="str">
        <f>IF(LEN(_DB_Exercises!AT363)&gt;0,_DB_Exercises!AT363,"")</f>
        <v/>
      </c>
      <c r="Z249" s="31" t="str">
        <f>IF(LEN(_DB_Exercises!AU363)&gt;0,_DB_Exercises!AU363,"")</f>
        <v/>
      </c>
      <c r="AA249" s="31" t="str">
        <f>IF(LEN(_DB_Exercises!AV363)&gt;0,_DB_Exercises!AV363,"")</f>
        <v/>
      </c>
      <c r="AB249" s="31" t="str">
        <f>IF(LEN(_DB_Exercises!AW363)&gt;0,_DB_Exercises!AW363,"")</f>
        <v/>
      </c>
      <c r="AC249" s="31" t="str">
        <f>IF(LEN(_DB_Exercises!AX363)&gt;0,_DB_Exercises!AX363,"")</f>
        <v/>
      </c>
      <c r="AD249" s="31" t="str">
        <f>IF(LEN(_DB_Exercises!AY363)&gt;0,_DB_Exercises!AY363,"")</f>
        <v/>
      </c>
      <c r="AE249" s="31" t="str">
        <f>IF(LEN(_DB_Exercises!AZ363)&gt;0,_DB_Exercises!AZ363,"")</f>
        <v/>
      </c>
      <c r="AF249" s="31" t="str">
        <f>IF(LEN(_DB_Exercises!BA363)&gt;0,_DB_Exercises!BA363,"")</f>
        <v/>
      </c>
      <c r="AG249" s="31" t="str">
        <f>IF(LEN(_DB_Exercises!BB363)&gt;0,_DB_Exercises!BB363,"")</f>
        <v/>
      </c>
      <c r="AH249" s="31" t="str">
        <f>IF(LEN(_DB_Exercises!BC363)&gt;0,_DB_Exercises!BC363,"")</f>
        <v/>
      </c>
      <c r="AI249" s="31" t="str">
        <f>IF(LEN(_DB_Exercises!BD363)&gt;0,_DB_Exercises!BD363,"")</f>
        <v/>
      </c>
      <c r="AJ249" s="31" t="str">
        <f>IF(LEN(_DB_Exercises!BE363)&gt;0,_DB_Exercises!BE363,"")</f>
        <v/>
      </c>
      <c r="AK249" s="31" t="str">
        <f>IF(LEN(_DB_Exercises!BF363)&gt;0,_DB_Exercises!BF363,"")</f>
        <v/>
      </c>
      <c r="AL249" s="31" t="str">
        <f>IF(LEN(_DB_Exercises!BG363)&gt;0,_DB_Exercises!BG363,"")</f>
        <v/>
      </c>
      <c r="AM249" s="31" t="str">
        <f>IF(LEN(_DB_Exercises!BH363)&gt;0,_DB_Exercises!BH363,"")</f>
        <v/>
      </c>
      <c r="AN249" s="31" t="str">
        <f>IF(LEN(_DB_Exercises!BI363)&gt;0,_DB_Exercises!BI363,"")</f>
        <v/>
      </c>
      <c r="AO249" s="31" t="str">
        <f>IF(LEN(_DB_Exercises!BJ363)&gt;0,_DB_Exercises!BJ363,"")</f>
        <v/>
      </c>
      <c r="AP249" s="31" t="str">
        <f>IF(LEN(_DB_Exercises!BK363)&gt;0,_DB_Exercises!BK363,"")</f>
        <v/>
      </c>
      <c r="AQ249" s="31" t="str">
        <f>IF(LEN(_DB_Exercises!BL363)&gt;0,_DB_Exercises!BL363,"")</f>
        <v/>
      </c>
      <c r="AR249" s="31" t="str">
        <f>IF(LEN(_DB_Exercises!BM363)&gt;0,_DB_Exercises!BM363,"")</f>
        <v/>
      </c>
    </row>
    <row r="250" spans="1:44" x14ac:dyDescent="0.25">
      <c r="A250" s="11" t="str">
        <f>IF(LEN(_DB_Exercises!A364)&gt;0,_DB_Exercises!A364,"")</f>
        <v/>
      </c>
      <c r="B250" s="14" t="str">
        <f>IF(LEN(_DB_Exercises!K364)&gt;0,_DB_Exercises!K364,"")</f>
        <v/>
      </c>
      <c r="C250" s="31" t="str">
        <f>IF(LEN(_DB_Exercises!X364)&gt;0,_DB_Exercises!X364,"")</f>
        <v/>
      </c>
      <c r="D250" s="31" t="str">
        <f>IF(LEN(_DB_Exercises!Y364)&gt;0,_DB_Exercises!Y364,"")</f>
        <v/>
      </c>
      <c r="E250" s="31" t="str">
        <f>IF(LEN(_DB_Exercises!Z364)&gt;0,_DB_Exercises!Z364,"")</f>
        <v/>
      </c>
      <c r="F250" s="31" t="str">
        <f>IF(LEN(_DB_Exercises!AA364)&gt;0,_DB_Exercises!AA364,"")</f>
        <v/>
      </c>
      <c r="G250" s="31" t="str">
        <f>IF(LEN(_DB_Exercises!AB364)&gt;0,_DB_Exercises!AB364,"")</f>
        <v/>
      </c>
      <c r="H250" s="31" t="str">
        <f>IF(LEN(_DB_Exercises!AC364)&gt;0,_DB_Exercises!AC364,"")</f>
        <v/>
      </c>
      <c r="I250" s="31" t="str">
        <f>IF(LEN(_DB_Exercises!AD364)&gt;0,_DB_Exercises!AD364,"")</f>
        <v/>
      </c>
      <c r="J250" s="31" t="str">
        <f>IF(LEN(_DB_Exercises!AE364)&gt;0,_DB_Exercises!AE364,"")</f>
        <v/>
      </c>
      <c r="K250" s="31" t="str">
        <f>IF(LEN(_DB_Exercises!AF364)&gt;0,_DB_Exercises!AF364,"")</f>
        <v/>
      </c>
      <c r="L250" s="31" t="str">
        <f>IF(LEN(_DB_Exercises!AG364)&gt;0,_DB_Exercises!AG364,"")</f>
        <v/>
      </c>
      <c r="M250" s="31" t="str">
        <f>IF(LEN(_DB_Exercises!AH364)&gt;0,_DB_Exercises!AH364,"")</f>
        <v/>
      </c>
      <c r="N250" s="31" t="str">
        <f>IF(LEN(_DB_Exercises!AI364)&gt;0,_DB_Exercises!AI364,"")</f>
        <v/>
      </c>
      <c r="O250" s="31" t="str">
        <f>IF(LEN(_DB_Exercises!AJ364)&gt;0,_DB_Exercises!AJ364,"")</f>
        <v/>
      </c>
      <c r="P250" s="31" t="str">
        <f>IF(LEN(_DB_Exercises!AK364)&gt;0,_DB_Exercises!AK364,"")</f>
        <v/>
      </c>
      <c r="Q250" s="31" t="str">
        <f>IF(LEN(_DB_Exercises!AL364)&gt;0,_DB_Exercises!AL364,"")</f>
        <v/>
      </c>
      <c r="R250" s="31" t="str">
        <f>IF(LEN(_DB_Exercises!AM364)&gt;0,_DB_Exercises!AM364,"")</f>
        <v/>
      </c>
      <c r="S250" s="31" t="str">
        <f>IF(LEN(_DB_Exercises!AN364)&gt;0,_DB_Exercises!AN364,"")</f>
        <v/>
      </c>
      <c r="T250" s="31" t="str">
        <f>IF(LEN(_DB_Exercises!AO364)&gt;0,_DB_Exercises!AO364,"")</f>
        <v/>
      </c>
      <c r="U250" s="31" t="str">
        <f>IF(LEN(_DB_Exercises!AP364)&gt;0,_DB_Exercises!AP364,"")</f>
        <v/>
      </c>
      <c r="V250" s="31" t="str">
        <f>IF(LEN(_DB_Exercises!AQ364)&gt;0,_DB_Exercises!AQ364,"")</f>
        <v/>
      </c>
      <c r="W250" s="31" t="str">
        <f>IF(LEN(_DB_Exercises!AR364)&gt;0,_DB_Exercises!AR364,"")</f>
        <v/>
      </c>
      <c r="X250" s="31" t="str">
        <f>IF(LEN(_DB_Exercises!AS364)&gt;0,_DB_Exercises!AS364,"")</f>
        <v/>
      </c>
      <c r="Y250" s="31" t="str">
        <f>IF(LEN(_DB_Exercises!AT364)&gt;0,_DB_Exercises!AT364,"")</f>
        <v/>
      </c>
      <c r="Z250" s="31" t="str">
        <f>IF(LEN(_DB_Exercises!AU364)&gt;0,_DB_Exercises!AU364,"")</f>
        <v/>
      </c>
      <c r="AA250" s="31" t="str">
        <f>IF(LEN(_DB_Exercises!AV364)&gt;0,_DB_Exercises!AV364,"")</f>
        <v/>
      </c>
      <c r="AB250" s="31" t="str">
        <f>IF(LEN(_DB_Exercises!AW364)&gt;0,_DB_Exercises!AW364,"")</f>
        <v/>
      </c>
      <c r="AC250" s="31" t="str">
        <f>IF(LEN(_DB_Exercises!AX364)&gt;0,_DB_Exercises!AX364,"")</f>
        <v/>
      </c>
      <c r="AD250" s="31" t="str">
        <f>IF(LEN(_DB_Exercises!AY364)&gt;0,_DB_Exercises!AY364,"")</f>
        <v/>
      </c>
      <c r="AE250" s="31" t="str">
        <f>IF(LEN(_DB_Exercises!AZ364)&gt;0,_DB_Exercises!AZ364,"")</f>
        <v/>
      </c>
      <c r="AF250" s="31" t="str">
        <f>IF(LEN(_DB_Exercises!BA364)&gt;0,_DB_Exercises!BA364,"")</f>
        <v/>
      </c>
      <c r="AG250" s="31" t="str">
        <f>IF(LEN(_DB_Exercises!BB364)&gt;0,_DB_Exercises!BB364,"")</f>
        <v/>
      </c>
      <c r="AH250" s="31" t="str">
        <f>IF(LEN(_DB_Exercises!BC364)&gt;0,_DB_Exercises!BC364,"")</f>
        <v/>
      </c>
      <c r="AI250" s="31" t="str">
        <f>IF(LEN(_DB_Exercises!BD364)&gt;0,_DB_Exercises!BD364,"")</f>
        <v/>
      </c>
      <c r="AJ250" s="31" t="str">
        <f>IF(LEN(_DB_Exercises!BE364)&gt;0,_DB_Exercises!BE364,"")</f>
        <v/>
      </c>
      <c r="AK250" s="31" t="str">
        <f>IF(LEN(_DB_Exercises!BF364)&gt;0,_DB_Exercises!BF364,"")</f>
        <v/>
      </c>
      <c r="AL250" s="31" t="str">
        <f>IF(LEN(_DB_Exercises!BG364)&gt;0,_DB_Exercises!BG364,"")</f>
        <v/>
      </c>
      <c r="AM250" s="31" t="str">
        <f>IF(LEN(_DB_Exercises!BH364)&gt;0,_DB_Exercises!BH364,"")</f>
        <v/>
      </c>
      <c r="AN250" s="31" t="str">
        <f>IF(LEN(_DB_Exercises!BI364)&gt;0,_DB_Exercises!BI364,"")</f>
        <v/>
      </c>
      <c r="AO250" s="31" t="str">
        <f>IF(LEN(_DB_Exercises!BJ364)&gt;0,_DB_Exercises!BJ364,"")</f>
        <v/>
      </c>
      <c r="AP250" s="31" t="str">
        <f>IF(LEN(_DB_Exercises!BK364)&gt;0,_DB_Exercises!BK364,"")</f>
        <v/>
      </c>
      <c r="AQ250" s="31" t="str">
        <f>IF(LEN(_DB_Exercises!BL364)&gt;0,_DB_Exercises!BL364,"")</f>
        <v/>
      </c>
      <c r="AR250" s="31" t="str">
        <f>IF(LEN(_DB_Exercises!BM364)&gt;0,_DB_Exercises!BM364,"")</f>
        <v/>
      </c>
    </row>
    <row r="251" spans="1:44" x14ac:dyDescent="0.25">
      <c r="A251" s="11" t="str">
        <f>IF(LEN(_DB_Exercises!A365)&gt;0,_DB_Exercises!A365,"")</f>
        <v/>
      </c>
      <c r="B251" s="14" t="str">
        <f>IF(LEN(_DB_Exercises!K365)&gt;0,_DB_Exercises!K365,"")</f>
        <v/>
      </c>
      <c r="C251" s="31" t="str">
        <f>IF(LEN(_DB_Exercises!X365)&gt;0,_DB_Exercises!X365,"")</f>
        <v/>
      </c>
      <c r="D251" s="31" t="str">
        <f>IF(LEN(_DB_Exercises!Y365)&gt;0,_DB_Exercises!Y365,"")</f>
        <v/>
      </c>
      <c r="E251" s="31" t="str">
        <f>IF(LEN(_DB_Exercises!Z365)&gt;0,_DB_Exercises!Z365,"")</f>
        <v/>
      </c>
      <c r="F251" s="31" t="str">
        <f>IF(LEN(_DB_Exercises!AA365)&gt;0,_DB_Exercises!AA365,"")</f>
        <v/>
      </c>
      <c r="G251" s="31" t="str">
        <f>IF(LEN(_DB_Exercises!AB365)&gt;0,_DB_Exercises!AB365,"")</f>
        <v/>
      </c>
      <c r="H251" s="31" t="str">
        <f>IF(LEN(_DB_Exercises!AC365)&gt;0,_DB_Exercises!AC365,"")</f>
        <v/>
      </c>
      <c r="I251" s="31" t="str">
        <f>IF(LEN(_DB_Exercises!AD365)&gt;0,_DB_Exercises!AD365,"")</f>
        <v/>
      </c>
      <c r="J251" s="31" t="str">
        <f>IF(LEN(_DB_Exercises!AE365)&gt;0,_DB_Exercises!AE365,"")</f>
        <v/>
      </c>
      <c r="K251" s="31" t="str">
        <f>IF(LEN(_DB_Exercises!AF365)&gt;0,_DB_Exercises!AF365,"")</f>
        <v/>
      </c>
      <c r="L251" s="31" t="str">
        <f>IF(LEN(_DB_Exercises!AG365)&gt;0,_DB_Exercises!AG365,"")</f>
        <v/>
      </c>
      <c r="M251" s="31" t="str">
        <f>IF(LEN(_DB_Exercises!AH365)&gt;0,_DB_Exercises!AH365,"")</f>
        <v/>
      </c>
      <c r="N251" s="31" t="str">
        <f>IF(LEN(_DB_Exercises!AI365)&gt;0,_DB_Exercises!AI365,"")</f>
        <v/>
      </c>
      <c r="O251" s="31" t="str">
        <f>IF(LEN(_DB_Exercises!AJ365)&gt;0,_DB_Exercises!AJ365,"")</f>
        <v/>
      </c>
      <c r="P251" s="31" t="str">
        <f>IF(LEN(_DB_Exercises!AK365)&gt;0,_DB_Exercises!AK365,"")</f>
        <v/>
      </c>
      <c r="Q251" s="31" t="str">
        <f>IF(LEN(_DB_Exercises!AL365)&gt;0,_DB_Exercises!AL365,"")</f>
        <v/>
      </c>
      <c r="R251" s="31" t="str">
        <f>IF(LEN(_DB_Exercises!AM365)&gt;0,_DB_Exercises!AM365,"")</f>
        <v/>
      </c>
      <c r="S251" s="31" t="str">
        <f>IF(LEN(_DB_Exercises!AN365)&gt;0,_DB_Exercises!AN365,"")</f>
        <v/>
      </c>
      <c r="T251" s="31" t="str">
        <f>IF(LEN(_DB_Exercises!AO365)&gt;0,_DB_Exercises!AO365,"")</f>
        <v/>
      </c>
      <c r="U251" s="31" t="str">
        <f>IF(LEN(_DB_Exercises!AP365)&gt;0,_DB_Exercises!AP365,"")</f>
        <v/>
      </c>
      <c r="V251" s="31" t="str">
        <f>IF(LEN(_DB_Exercises!AQ365)&gt;0,_DB_Exercises!AQ365,"")</f>
        <v/>
      </c>
      <c r="W251" s="31" t="str">
        <f>IF(LEN(_DB_Exercises!AR365)&gt;0,_DB_Exercises!AR365,"")</f>
        <v/>
      </c>
      <c r="X251" s="31" t="str">
        <f>IF(LEN(_DB_Exercises!AS365)&gt;0,_DB_Exercises!AS365,"")</f>
        <v/>
      </c>
      <c r="Y251" s="31" t="str">
        <f>IF(LEN(_DB_Exercises!AT365)&gt;0,_DB_Exercises!AT365,"")</f>
        <v/>
      </c>
      <c r="Z251" s="31" t="str">
        <f>IF(LEN(_DB_Exercises!AU365)&gt;0,_DB_Exercises!AU365,"")</f>
        <v/>
      </c>
      <c r="AA251" s="31" t="str">
        <f>IF(LEN(_DB_Exercises!AV365)&gt;0,_DB_Exercises!AV365,"")</f>
        <v/>
      </c>
      <c r="AB251" s="31" t="str">
        <f>IF(LEN(_DB_Exercises!AW365)&gt;0,_DB_Exercises!AW365,"")</f>
        <v/>
      </c>
      <c r="AC251" s="31" t="str">
        <f>IF(LEN(_DB_Exercises!AX365)&gt;0,_DB_Exercises!AX365,"")</f>
        <v/>
      </c>
      <c r="AD251" s="31" t="str">
        <f>IF(LEN(_DB_Exercises!AY365)&gt;0,_DB_Exercises!AY365,"")</f>
        <v/>
      </c>
      <c r="AE251" s="31" t="str">
        <f>IF(LEN(_DB_Exercises!AZ365)&gt;0,_DB_Exercises!AZ365,"")</f>
        <v/>
      </c>
      <c r="AF251" s="31" t="str">
        <f>IF(LEN(_DB_Exercises!BA365)&gt;0,_DB_Exercises!BA365,"")</f>
        <v/>
      </c>
      <c r="AG251" s="31" t="str">
        <f>IF(LEN(_DB_Exercises!BB365)&gt;0,_DB_Exercises!BB365,"")</f>
        <v/>
      </c>
      <c r="AH251" s="31" t="str">
        <f>IF(LEN(_DB_Exercises!BC365)&gt;0,_DB_Exercises!BC365,"")</f>
        <v/>
      </c>
      <c r="AI251" s="31" t="str">
        <f>IF(LEN(_DB_Exercises!BD365)&gt;0,_DB_Exercises!BD365,"")</f>
        <v/>
      </c>
      <c r="AJ251" s="31" t="str">
        <f>IF(LEN(_DB_Exercises!BE365)&gt;0,_DB_Exercises!BE365,"")</f>
        <v/>
      </c>
      <c r="AK251" s="31" t="str">
        <f>IF(LEN(_DB_Exercises!BF365)&gt;0,_DB_Exercises!BF365,"")</f>
        <v/>
      </c>
      <c r="AL251" s="31" t="str">
        <f>IF(LEN(_DB_Exercises!BG365)&gt;0,_DB_Exercises!BG365,"")</f>
        <v/>
      </c>
      <c r="AM251" s="31" t="str">
        <f>IF(LEN(_DB_Exercises!BH365)&gt;0,_DB_Exercises!BH365,"")</f>
        <v/>
      </c>
      <c r="AN251" s="31" t="str">
        <f>IF(LEN(_DB_Exercises!BI365)&gt;0,_DB_Exercises!BI365,"")</f>
        <v/>
      </c>
      <c r="AO251" s="31" t="str">
        <f>IF(LEN(_DB_Exercises!BJ365)&gt;0,_DB_Exercises!BJ365,"")</f>
        <v/>
      </c>
      <c r="AP251" s="31" t="str">
        <f>IF(LEN(_DB_Exercises!BK365)&gt;0,_DB_Exercises!BK365,"")</f>
        <v/>
      </c>
      <c r="AQ251" s="31" t="str">
        <f>IF(LEN(_DB_Exercises!BL365)&gt;0,_DB_Exercises!BL365,"")</f>
        <v/>
      </c>
      <c r="AR251" s="31" t="str">
        <f>IF(LEN(_DB_Exercises!BM365)&gt;0,_DB_Exercises!BM365,"")</f>
        <v/>
      </c>
    </row>
    <row r="252" spans="1:44" x14ac:dyDescent="0.25">
      <c r="A252" s="11" t="str">
        <f>IF(LEN(_DB_Exercises!A366)&gt;0,_DB_Exercises!A366,"")</f>
        <v/>
      </c>
      <c r="B252" s="14" t="str">
        <f>IF(LEN(_DB_Exercises!K366)&gt;0,_DB_Exercises!K366,"")</f>
        <v/>
      </c>
      <c r="C252" s="31" t="str">
        <f>IF(LEN(_DB_Exercises!X366)&gt;0,_DB_Exercises!X366,"")</f>
        <v/>
      </c>
      <c r="D252" s="31" t="str">
        <f>IF(LEN(_DB_Exercises!Y366)&gt;0,_DB_Exercises!Y366,"")</f>
        <v/>
      </c>
      <c r="E252" s="31" t="str">
        <f>IF(LEN(_DB_Exercises!Z366)&gt;0,_DB_Exercises!Z366,"")</f>
        <v/>
      </c>
      <c r="F252" s="31" t="str">
        <f>IF(LEN(_DB_Exercises!AA366)&gt;0,_DB_Exercises!AA366,"")</f>
        <v/>
      </c>
      <c r="G252" s="31" t="str">
        <f>IF(LEN(_DB_Exercises!AB366)&gt;0,_DB_Exercises!AB366,"")</f>
        <v/>
      </c>
      <c r="H252" s="31" t="str">
        <f>IF(LEN(_DB_Exercises!AC366)&gt;0,_DB_Exercises!AC366,"")</f>
        <v/>
      </c>
      <c r="I252" s="31" t="str">
        <f>IF(LEN(_DB_Exercises!AD366)&gt;0,_DB_Exercises!AD366,"")</f>
        <v/>
      </c>
      <c r="J252" s="31" t="str">
        <f>IF(LEN(_DB_Exercises!AE366)&gt;0,_DB_Exercises!AE366,"")</f>
        <v/>
      </c>
      <c r="K252" s="31" t="str">
        <f>IF(LEN(_DB_Exercises!AF366)&gt;0,_DB_Exercises!AF366,"")</f>
        <v/>
      </c>
      <c r="L252" s="31" t="str">
        <f>IF(LEN(_DB_Exercises!AG366)&gt;0,_DB_Exercises!AG366,"")</f>
        <v/>
      </c>
      <c r="M252" s="31" t="str">
        <f>IF(LEN(_DB_Exercises!AH366)&gt;0,_DB_Exercises!AH366,"")</f>
        <v/>
      </c>
      <c r="N252" s="31" t="str">
        <f>IF(LEN(_DB_Exercises!AI366)&gt;0,_DB_Exercises!AI366,"")</f>
        <v/>
      </c>
      <c r="O252" s="31" t="str">
        <f>IF(LEN(_DB_Exercises!AJ366)&gt;0,_DB_Exercises!AJ366,"")</f>
        <v/>
      </c>
      <c r="P252" s="31" t="str">
        <f>IF(LEN(_DB_Exercises!AK366)&gt;0,_DB_Exercises!AK366,"")</f>
        <v/>
      </c>
      <c r="Q252" s="31" t="str">
        <f>IF(LEN(_DB_Exercises!AL366)&gt;0,_DB_Exercises!AL366,"")</f>
        <v/>
      </c>
      <c r="R252" s="31" t="str">
        <f>IF(LEN(_DB_Exercises!AM366)&gt;0,_DB_Exercises!AM366,"")</f>
        <v/>
      </c>
      <c r="S252" s="31" t="str">
        <f>IF(LEN(_DB_Exercises!AN366)&gt;0,_DB_Exercises!AN366,"")</f>
        <v/>
      </c>
      <c r="T252" s="31" t="str">
        <f>IF(LEN(_DB_Exercises!AO366)&gt;0,_DB_Exercises!AO366,"")</f>
        <v/>
      </c>
      <c r="U252" s="31" t="str">
        <f>IF(LEN(_DB_Exercises!AP366)&gt;0,_DB_Exercises!AP366,"")</f>
        <v/>
      </c>
      <c r="V252" s="31" t="str">
        <f>IF(LEN(_DB_Exercises!AQ366)&gt;0,_DB_Exercises!AQ366,"")</f>
        <v/>
      </c>
      <c r="W252" s="31" t="str">
        <f>IF(LEN(_DB_Exercises!AR366)&gt;0,_DB_Exercises!AR366,"")</f>
        <v/>
      </c>
      <c r="X252" s="31" t="str">
        <f>IF(LEN(_DB_Exercises!AS366)&gt;0,_DB_Exercises!AS366,"")</f>
        <v/>
      </c>
      <c r="Y252" s="31" t="str">
        <f>IF(LEN(_DB_Exercises!AT366)&gt;0,_DB_Exercises!AT366,"")</f>
        <v/>
      </c>
      <c r="Z252" s="31" t="str">
        <f>IF(LEN(_DB_Exercises!AU366)&gt;0,_DB_Exercises!AU366,"")</f>
        <v/>
      </c>
      <c r="AA252" s="31" t="str">
        <f>IF(LEN(_DB_Exercises!AV366)&gt;0,_DB_Exercises!AV366,"")</f>
        <v/>
      </c>
      <c r="AB252" s="31" t="str">
        <f>IF(LEN(_DB_Exercises!AW366)&gt;0,_DB_Exercises!AW366,"")</f>
        <v/>
      </c>
      <c r="AC252" s="31" t="str">
        <f>IF(LEN(_DB_Exercises!AX366)&gt;0,_DB_Exercises!AX366,"")</f>
        <v/>
      </c>
      <c r="AD252" s="31" t="str">
        <f>IF(LEN(_DB_Exercises!AY366)&gt;0,_DB_Exercises!AY366,"")</f>
        <v/>
      </c>
      <c r="AE252" s="31" t="str">
        <f>IF(LEN(_DB_Exercises!AZ366)&gt;0,_DB_Exercises!AZ366,"")</f>
        <v/>
      </c>
      <c r="AF252" s="31" t="str">
        <f>IF(LEN(_DB_Exercises!BA366)&gt;0,_DB_Exercises!BA366,"")</f>
        <v/>
      </c>
      <c r="AG252" s="31" t="str">
        <f>IF(LEN(_DB_Exercises!BB366)&gt;0,_DB_Exercises!BB366,"")</f>
        <v/>
      </c>
      <c r="AH252" s="31" t="str">
        <f>IF(LEN(_DB_Exercises!BC366)&gt;0,_DB_Exercises!BC366,"")</f>
        <v/>
      </c>
      <c r="AI252" s="31" t="str">
        <f>IF(LEN(_DB_Exercises!BD366)&gt;0,_DB_Exercises!BD366,"")</f>
        <v/>
      </c>
      <c r="AJ252" s="31" t="str">
        <f>IF(LEN(_DB_Exercises!BE366)&gt;0,_DB_Exercises!BE366,"")</f>
        <v/>
      </c>
      <c r="AK252" s="31" t="str">
        <f>IF(LEN(_DB_Exercises!BF366)&gt;0,_DB_Exercises!BF366,"")</f>
        <v/>
      </c>
      <c r="AL252" s="31" t="str">
        <f>IF(LEN(_DB_Exercises!BG366)&gt;0,_DB_Exercises!BG366,"")</f>
        <v/>
      </c>
      <c r="AM252" s="31" t="str">
        <f>IF(LEN(_DB_Exercises!BH366)&gt;0,_DB_Exercises!BH366,"")</f>
        <v/>
      </c>
      <c r="AN252" s="31" t="str">
        <f>IF(LEN(_DB_Exercises!BI366)&gt;0,_DB_Exercises!BI366,"")</f>
        <v/>
      </c>
      <c r="AO252" s="31" t="str">
        <f>IF(LEN(_DB_Exercises!BJ366)&gt;0,_DB_Exercises!BJ366,"")</f>
        <v/>
      </c>
      <c r="AP252" s="31" t="str">
        <f>IF(LEN(_DB_Exercises!BK366)&gt;0,_DB_Exercises!BK366,"")</f>
        <v/>
      </c>
      <c r="AQ252" s="31" t="str">
        <f>IF(LEN(_DB_Exercises!BL366)&gt;0,_DB_Exercises!BL366,"")</f>
        <v/>
      </c>
      <c r="AR252" s="31" t="str">
        <f>IF(LEN(_DB_Exercises!BM366)&gt;0,_DB_Exercises!BM366,"")</f>
        <v/>
      </c>
    </row>
    <row r="253" spans="1:44" x14ac:dyDescent="0.25">
      <c r="A253" s="11" t="str">
        <f>IF(LEN(_DB_Exercises!A367)&gt;0,_DB_Exercises!A367,"")</f>
        <v/>
      </c>
      <c r="B253" s="14" t="str">
        <f>IF(LEN(_DB_Exercises!K367)&gt;0,_DB_Exercises!K367,"")</f>
        <v/>
      </c>
      <c r="C253" s="31" t="str">
        <f>IF(LEN(_DB_Exercises!X367)&gt;0,_DB_Exercises!X367,"")</f>
        <v/>
      </c>
      <c r="D253" s="31" t="str">
        <f>IF(LEN(_DB_Exercises!Y367)&gt;0,_DB_Exercises!Y367,"")</f>
        <v/>
      </c>
      <c r="E253" s="31" t="str">
        <f>IF(LEN(_DB_Exercises!Z367)&gt;0,_DB_Exercises!Z367,"")</f>
        <v/>
      </c>
      <c r="F253" s="31" t="str">
        <f>IF(LEN(_DB_Exercises!AA367)&gt;0,_DB_Exercises!AA367,"")</f>
        <v/>
      </c>
      <c r="G253" s="31" t="str">
        <f>IF(LEN(_DB_Exercises!AB367)&gt;0,_DB_Exercises!AB367,"")</f>
        <v/>
      </c>
      <c r="H253" s="31" t="str">
        <f>IF(LEN(_DB_Exercises!AC367)&gt;0,_DB_Exercises!AC367,"")</f>
        <v/>
      </c>
      <c r="I253" s="31" t="str">
        <f>IF(LEN(_DB_Exercises!AD367)&gt;0,_DB_Exercises!AD367,"")</f>
        <v/>
      </c>
      <c r="J253" s="31" t="str">
        <f>IF(LEN(_DB_Exercises!AE367)&gt;0,_DB_Exercises!AE367,"")</f>
        <v/>
      </c>
      <c r="K253" s="31" t="str">
        <f>IF(LEN(_DB_Exercises!AF367)&gt;0,_DB_Exercises!AF367,"")</f>
        <v/>
      </c>
      <c r="L253" s="31" t="str">
        <f>IF(LEN(_DB_Exercises!AG367)&gt;0,_DB_Exercises!AG367,"")</f>
        <v/>
      </c>
      <c r="M253" s="31" t="str">
        <f>IF(LEN(_DB_Exercises!AH367)&gt;0,_DB_Exercises!AH367,"")</f>
        <v/>
      </c>
      <c r="N253" s="31" t="str">
        <f>IF(LEN(_DB_Exercises!AI367)&gt;0,_DB_Exercises!AI367,"")</f>
        <v/>
      </c>
      <c r="O253" s="31" t="str">
        <f>IF(LEN(_DB_Exercises!AJ367)&gt;0,_DB_Exercises!AJ367,"")</f>
        <v/>
      </c>
      <c r="P253" s="31" t="str">
        <f>IF(LEN(_DB_Exercises!AK367)&gt;0,_DB_Exercises!AK367,"")</f>
        <v/>
      </c>
      <c r="Q253" s="31" t="str">
        <f>IF(LEN(_DB_Exercises!AL367)&gt;0,_DB_Exercises!AL367,"")</f>
        <v/>
      </c>
      <c r="R253" s="31" t="str">
        <f>IF(LEN(_DB_Exercises!AM367)&gt;0,_DB_Exercises!AM367,"")</f>
        <v/>
      </c>
      <c r="S253" s="31" t="str">
        <f>IF(LEN(_DB_Exercises!AN367)&gt;0,_DB_Exercises!AN367,"")</f>
        <v/>
      </c>
      <c r="T253" s="31" t="str">
        <f>IF(LEN(_DB_Exercises!AO367)&gt;0,_DB_Exercises!AO367,"")</f>
        <v/>
      </c>
      <c r="U253" s="31" t="str">
        <f>IF(LEN(_DB_Exercises!AP367)&gt;0,_DB_Exercises!AP367,"")</f>
        <v/>
      </c>
      <c r="V253" s="31" t="str">
        <f>IF(LEN(_DB_Exercises!AQ367)&gt;0,_DB_Exercises!AQ367,"")</f>
        <v/>
      </c>
      <c r="W253" s="31" t="str">
        <f>IF(LEN(_DB_Exercises!AR367)&gt;0,_DB_Exercises!AR367,"")</f>
        <v/>
      </c>
      <c r="X253" s="31" t="str">
        <f>IF(LEN(_DB_Exercises!AS367)&gt;0,_DB_Exercises!AS367,"")</f>
        <v/>
      </c>
      <c r="Y253" s="31" t="str">
        <f>IF(LEN(_DB_Exercises!AT367)&gt;0,_DB_Exercises!AT367,"")</f>
        <v/>
      </c>
      <c r="Z253" s="31" t="str">
        <f>IF(LEN(_DB_Exercises!AU367)&gt;0,_DB_Exercises!AU367,"")</f>
        <v/>
      </c>
      <c r="AA253" s="31" t="str">
        <f>IF(LEN(_DB_Exercises!AV367)&gt;0,_DB_Exercises!AV367,"")</f>
        <v/>
      </c>
      <c r="AB253" s="31" t="str">
        <f>IF(LEN(_DB_Exercises!AW367)&gt;0,_DB_Exercises!AW367,"")</f>
        <v/>
      </c>
      <c r="AC253" s="31" t="str">
        <f>IF(LEN(_DB_Exercises!AX367)&gt;0,_DB_Exercises!AX367,"")</f>
        <v/>
      </c>
      <c r="AD253" s="31" t="str">
        <f>IF(LEN(_DB_Exercises!AY367)&gt;0,_DB_Exercises!AY367,"")</f>
        <v/>
      </c>
      <c r="AE253" s="31" t="str">
        <f>IF(LEN(_DB_Exercises!AZ367)&gt;0,_DB_Exercises!AZ367,"")</f>
        <v/>
      </c>
      <c r="AF253" s="31" t="str">
        <f>IF(LEN(_DB_Exercises!BA367)&gt;0,_DB_Exercises!BA367,"")</f>
        <v/>
      </c>
      <c r="AG253" s="31" t="str">
        <f>IF(LEN(_DB_Exercises!BB367)&gt;0,_DB_Exercises!BB367,"")</f>
        <v/>
      </c>
      <c r="AH253" s="31" t="str">
        <f>IF(LEN(_DB_Exercises!BC367)&gt;0,_DB_Exercises!BC367,"")</f>
        <v/>
      </c>
      <c r="AI253" s="31" t="str">
        <f>IF(LEN(_DB_Exercises!BD367)&gt;0,_DB_Exercises!BD367,"")</f>
        <v/>
      </c>
      <c r="AJ253" s="31" t="str">
        <f>IF(LEN(_DB_Exercises!BE367)&gt;0,_DB_Exercises!BE367,"")</f>
        <v/>
      </c>
      <c r="AK253" s="31" t="str">
        <f>IF(LEN(_DB_Exercises!BF367)&gt;0,_DB_Exercises!BF367,"")</f>
        <v/>
      </c>
      <c r="AL253" s="31" t="str">
        <f>IF(LEN(_DB_Exercises!BG367)&gt;0,_DB_Exercises!BG367,"")</f>
        <v/>
      </c>
      <c r="AM253" s="31" t="str">
        <f>IF(LEN(_DB_Exercises!BH367)&gt;0,_DB_Exercises!BH367,"")</f>
        <v/>
      </c>
      <c r="AN253" s="31" t="str">
        <f>IF(LEN(_DB_Exercises!BI367)&gt;0,_DB_Exercises!BI367,"")</f>
        <v/>
      </c>
      <c r="AO253" s="31" t="str">
        <f>IF(LEN(_DB_Exercises!BJ367)&gt;0,_DB_Exercises!BJ367,"")</f>
        <v/>
      </c>
      <c r="AP253" s="31" t="str">
        <f>IF(LEN(_DB_Exercises!BK367)&gt;0,_DB_Exercises!BK367,"")</f>
        <v/>
      </c>
      <c r="AQ253" s="31" t="str">
        <f>IF(LEN(_DB_Exercises!BL367)&gt;0,_DB_Exercises!BL367,"")</f>
        <v/>
      </c>
      <c r="AR253" s="31" t="str">
        <f>IF(LEN(_DB_Exercises!BM367)&gt;0,_DB_Exercises!BM367,"")</f>
        <v/>
      </c>
    </row>
    <row r="254" spans="1:44" x14ac:dyDescent="0.25">
      <c r="A254" s="11" t="str">
        <f>IF(LEN(_DB_Exercises!A368)&gt;0,_DB_Exercises!A368,"")</f>
        <v/>
      </c>
      <c r="B254" s="14" t="str">
        <f>IF(LEN(_DB_Exercises!K368)&gt;0,_DB_Exercises!K368,"")</f>
        <v/>
      </c>
      <c r="C254" s="31" t="str">
        <f>IF(LEN(_DB_Exercises!X368)&gt;0,_DB_Exercises!X368,"")</f>
        <v/>
      </c>
      <c r="D254" s="31" t="str">
        <f>IF(LEN(_DB_Exercises!Y368)&gt;0,_DB_Exercises!Y368,"")</f>
        <v/>
      </c>
      <c r="E254" s="31" t="str">
        <f>IF(LEN(_DB_Exercises!Z368)&gt;0,_DB_Exercises!Z368,"")</f>
        <v/>
      </c>
      <c r="F254" s="31" t="str">
        <f>IF(LEN(_DB_Exercises!AA368)&gt;0,_DB_Exercises!AA368,"")</f>
        <v/>
      </c>
      <c r="G254" s="31" t="str">
        <f>IF(LEN(_DB_Exercises!AB368)&gt;0,_DB_Exercises!AB368,"")</f>
        <v/>
      </c>
      <c r="H254" s="31" t="str">
        <f>IF(LEN(_DB_Exercises!AC368)&gt;0,_DB_Exercises!AC368,"")</f>
        <v/>
      </c>
      <c r="I254" s="31" t="str">
        <f>IF(LEN(_DB_Exercises!AD368)&gt;0,_DB_Exercises!AD368,"")</f>
        <v/>
      </c>
      <c r="J254" s="31" t="str">
        <f>IF(LEN(_DB_Exercises!AE368)&gt;0,_DB_Exercises!AE368,"")</f>
        <v/>
      </c>
      <c r="K254" s="31" t="str">
        <f>IF(LEN(_DB_Exercises!AF368)&gt;0,_DB_Exercises!AF368,"")</f>
        <v/>
      </c>
      <c r="L254" s="31" t="str">
        <f>IF(LEN(_DB_Exercises!AG368)&gt;0,_DB_Exercises!AG368,"")</f>
        <v/>
      </c>
      <c r="M254" s="31" t="str">
        <f>IF(LEN(_DB_Exercises!AH368)&gt;0,_DB_Exercises!AH368,"")</f>
        <v/>
      </c>
      <c r="N254" s="31" t="str">
        <f>IF(LEN(_DB_Exercises!AI368)&gt;0,_DB_Exercises!AI368,"")</f>
        <v/>
      </c>
      <c r="O254" s="31" t="str">
        <f>IF(LEN(_DB_Exercises!AJ368)&gt;0,_DB_Exercises!AJ368,"")</f>
        <v/>
      </c>
      <c r="P254" s="31" t="str">
        <f>IF(LEN(_DB_Exercises!AK368)&gt;0,_DB_Exercises!AK368,"")</f>
        <v/>
      </c>
      <c r="Q254" s="31" t="str">
        <f>IF(LEN(_DB_Exercises!AL368)&gt;0,_DB_Exercises!AL368,"")</f>
        <v/>
      </c>
      <c r="R254" s="31" t="str">
        <f>IF(LEN(_DB_Exercises!AM368)&gt;0,_DB_Exercises!AM368,"")</f>
        <v/>
      </c>
      <c r="S254" s="31" t="str">
        <f>IF(LEN(_DB_Exercises!AN368)&gt;0,_DB_Exercises!AN368,"")</f>
        <v/>
      </c>
      <c r="T254" s="31" t="str">
        <f>IF(LEN(_DB_Exercises!AO368)&gt;0,_DB_Exercises!AO368,"")</f>
        <v/>
      </c>
      <c r="U254" s="31" t="str">
        <f>IF(LEN(_DB_Exercises!AP368)&gt;0,_DB_Exercises!AP368,"")</f>
        <v/>
      </c>
      <c r="V254" s="31" t="str">
        <f>IF(LEN(_DB_Exercises!AQ368)&gt;0,_DB_Exercises!AQ368,"")</f>
        <v/>
      </c>
      <c r="W254" s="31" t="str">
        <f>IF(LEN(_DB_Exercises!AR368)&gt;0,_DB_Exercises!AR368,"")</f>
        <v/>
      </c>
      <c r="X254" s="31" t="str">
        <f>IF(LEN(_DB_Exercises!AS368)&gt;0,_DB_Exercises!AS368,"")</f>
        <v/>
      </c>
      <c r="Y254" s="31" t="str">
        <f>IF(LEN(_DB_Exercises!AT368)&gt;0,_DB_Exercises!AT368,"")</f>
        <v/>
      </c>
      <c r="Z254" s="31" t="str">
        <f>IF(LEN(_DB_Exercises!AU368)&gt;0,_DB_Exercises!AU368,"")</f>
        <v/>
      </c>
      <c r="AA254" s="31" t="str">
        <f>IF(LEN(_DB_Exercises!AV368)&gt;0,_DB_Exercises!AV368,"")</f>
        <v/>
      </c>
      <c r="AB254" s="31" t="str">
        <f>IF(LEN(_DB_Exercises!AW368)&gt;0,_DB_Exercises!AW368,"")</f>
        <v/>
      </c>
      <c r="AC254" s="31" t="str">
        <f>IF(LEN(_DB_Exercises!AX368)&gt;0,_DB_Exercises!AX368,"")</f>
        <v/>
      </c>
      <c r="AD254" s="31" t="str">
        <f>IF(LEN(_DB_Exercises!AY368)&gt;0,_DB_Exercises!AY368,"")</f>
        <v/>
      </c>
      <c r="AE254" s="31" t="str">
        <f>IF(LEN(_DB_Exercises!AZ368)&gt;0,_DB_Exercises!AZ368,"")</f>
        <v/>
      </c>
      <c r="AF254" s="31" t="str">
        <f>IF(LEN(_DB_Exercises!BA368)&gt;0,_DB_Exercises!BA368,"")</f>
        <v/>
      </c>
      <c r="AG254" s="31" t="str">
        <f>IF(LEN(_DB_Exercises!BB368)&gt;0,_DB_Exercises!BB368,"")</f>
        <v/>
      </c>
      <c r="AH254" s="31" t="str">
        <f>IF(LEN(_DB_Exercises!BC368)&gt;0,_DB_Exercises!BC368,"")</f>
        <v/>
      </c>
      <c r="AI254" s="31" t="str">
        <f>IF(LEN(_DB_Exercises!BD368)&gt;0,_DB_Exercises!BD368,"")</f>
        <v/>
      </c>
      <c r="AJ254" s="31" t="str">
        <f>IF(LEN(_DB_Exercises!BE368)&gt;0,_DB_Exercises!BE368,"")</f>
        <v/>
      </c>
      <c r="AK254" s="31" t="str">
        <f>IF(LEN(_DB_Exercises!BF368)&gt;0,_DB_Exercises!BF368,"")</f>
        <v/>
      </c>
      <c r="AL254" s="31" t="str">
        <f>IF(LEN(_DB_Exercises!BG368)&gt;0,_DB_Exercises!BG368,"")</f>
        <v/>
      </c>
      <c r="AM254" s="31" t="str">
        <f>IF(LEN(_DB_Exercises!BH368)&gt;0,_DB_Exercises!BH368,"")</f>
        <v/>
      </c>
      <c r="AN254" s="31" t="str">
        <f>IF(LEN(_DB_Exercises!BI368)&gt;0,_DB_Exercises!BI368,"")</f>
        <v/>
      </c>
      <c r="AO254" s="31" t="str">
        <f>IF(LEN(_DB_Exercises!BJ368)&gt;0,_DB_Exercises!BJ368,"")</f>
        <v/>
      </c>
      <c r="AP254" s="31" t="str">
        <f>IF(LEN(_DB_Exercises!BK368)&gt;0,_DB_Exercises!BK368,"")</f>
        <v/>
      </c>
      <c r="AQ254" s="31" t="str">
        <f>IF(LEN(_DB_Exercises!BL368)&gt;0,_DB_Exercises!BL368,"")</f>
        <v/>
      </c>
      <c r="AR254" s="31" t="str">
        <f>IF(LEN(_DB_Exercises!BM368)&gt;0,_DB_Exercises!BM368,"")</f>
        <v/>
      </c>
    </row>
    <row r="255" spans="1:44" x14ac:dyDescent="0.25">
      <c r="A255" s="11" t="str">
        <f>IF(LEN(_DB_Exercises!A369)&gt;0,_DB_Exercises!A369,"")</f>
        <v/>
      </c>
      <c r="B255" s="14" t="str">
        <f>IF(LEN(_DB_Exercises!K369)&gt;0,_DB_Exercises!K369,"")</f>
        <v/>
      </c>
      <c r="C255" s="31" t="str">
        <f>IF(LEN(_DB_Exercises!X369)&gt;0,_DB_Exercises!X369,"")</f>
        <v/>
      </c>
      <c r="D255" s="31" t="str">
        <f>IF(LEN(_DB_Exercises!Y369)&gt;0,_DB_Exercises!Y369,"")</f>
        <v/>
      </c>
      <c r="E255" s="31" t="str">
        <f>IF(LEN(_DB_Exercises!Z369)&gt;0,_DB_Exercises!Z369,"")</f>
        <v/>
      </c>
      <c r="F255" s="31" t="str">
        <f>IF(LEN(_DB_Exercises!AA369)&gt;0,_DB_Exercises!AA369,"")</f>
        <v/>
      </c>
      <c r="G255" s="31" t="str">
        <f>IF(LEN(_DB_Exercises!AB369)&gt;0,_DB_Exercises!AB369,"")</f>
        <v/>
      </c>
      <c r="H255" s="31" t="str">
        <f>IF(LEN(_DB_Exercises!AC369)&gt;0,_DB_Exercises!AC369,"")</f>
        <v/>
      </c>
      <c r="I255" s="31" t="str">
        <f>IF(LEN(_DB_Exercises!AD369)&gt;0,_DB_Exercises!AD369,"")</f>
        <v/>
      </c>
      <c r="J255" s="31" t="str">
        <f>IF(LEN(_DB_Exercises!AE369)&gt;0,_DB_Exercises!AE369,"")</f>
        <v/>
      </c>
      <c r="K255" s="31" t="str">
        <f>IF(LEN(_DB_Exercises!AF369)&gt;0,_DB_Exercises!AF369,"")</f>
        <v/>
      </c>
      <c r="L255" s="31" t="str">
        <f>IF(LEN(_DB_Exercises!AG369)&gt;0,_DB_Exercises!AG369,"")</f>
        <v/>
      </c>
      <c r="M255" s="31" t="str">
        <f>IF(LEN(_DB_Exercises!AH369)&gt;0,_DB_Exercises!AH369,"")</f>
        <v/>
      </c>
      <c r="N255" s="31" t="str">
        <f>IF(LEN(_DB_Exercises!AI369)&gt;0,_DB_Exercises!AI369,"")</f>
        <v/>
      </c>
      <c r="O255" s="31" t="str">
        <f>IF(LEN(_DB_Exercises!AJ369)&gt;0,_DB_Exercises!AJ369,"")</f>
        <v/>
      </c>
      <c r="P255" s="31" t="str">
        <f>IF(LEN(_DB_Exercises!AK369)&gt;0,_DB_Exercises!AK369,"")</f>
        <v/>
      </c>
      <c r="Q255" s="31" t="str">
        <f>IF(LEN(_DB_Exercises!AL369)&gt;0,_DB_Exercises!AL369,"")</f>
        <v/>
      </c>
      <c r="R255" s="31" t="str">
        <f>IF(LEN(_DB_Exercises!AM369)&gt;0,_DB_Exercises!AM369,"")</f>
        <v/>
      </c>
      <c r="S255" s="31" t="str">
        <f>IF(LEN(_DB_Exercises!AN369)&gt;0,_DB_Exercises!AN369,"")</f>
        <v/>
      </c>
      <c r="T255" s="31" t="str">
        <f>IF(LEN(_DB_Exercises!AO369)&gt;0,_DB_Exercises!AO369,"")</f>
        <v/>
      </c>
      <c r="U255" s="31" t="str">
        <f>IF(LEN(_DB_Exercises!AP369)&gt;0,_DB_Exercises!AP369,"")</f>
        <v/>
      </c>
      <c r="V255" s="31" t="str">
        <f>IF(LEN(_DB_Exercises!AQ369)&gt;0,_DB_Exercises!AQ369,"")</f>
        <v/>
      </c>
      <c r="W255" s="31" t="str">
        <f>IF(LEN(_DB_Exercises!AR369)&gt;0,_DB_Exercises!AR369,"")</f>
        <v/>
      </c>
      <c r="X255" s="31" t="str">
        <f>IF(LEN(_DB_Exercises!AS369)&gt;0,_DB_Exercises!AS369,"")</f>
        <v/>
      </c>
      <c r="Y255" s="31" t="str">
        <f>IF(LEN(_DB_Exercises!AT369)&gt;0,_DB_Exercises!AT369,"")</f>
        <v/>
      </c>
      <c r="Z255" s="31" t="str">
        <f>IF(LEN(_DB_Exercises!AU369)&gt;0,_DB_Exercises!AU369,"")</f>
        <v/>
      </c>
      <c r="AA255" s="31" t="str">
        <f>IF(LEN(_DB_Exercises!AV369)&gt;0,_DB_Exercises!AV369,"")</f>
        <v/>
      </c>
      <c r="AB255" s="31" t="str">
        <f>IF(LEN(_DB_Exercises!AW369)&gt;0,_DB_Exercises!AW369,"")</f>
        <v/>
      </c>
      <c r="AC255" s="31" t="str">
        <f>IF(LEN(_DB_Exercises!AX369)&gt;0,_DB_Exercises!AX369,"")</f>
        <v/>
      </c>
      <c r="AD255" s="31" t="str">
        <f>IF(LEN(_DB_Exercises!AY369)&gt;0,_DB_Exercises!AY369,"")</f>
        <v/>
      </c>
      <c r="AE255" s="31" t="str">
        <f>IF(LEN(_DB_Exercises!AZ369)&gt;0,_DB_Exercises!AZ369,"")</f>
        <v/>
      </c>
      <c r="AF255" s="31" t="str">
        <f>IF(LEN(_DB_Exercises!BA369)&gt;0,_DB_Exercises!BA369,"")</f>
        <v/>
      </c>
      <c r="AG255" s="31" t="str">
        <f>IF(LEN(_DB_Exercises!BB369)&gt;0,_DB_Exercises!BB369,"")</f>
        <v/>
      </c>
      <c r="AH255" s="31" t="str">
        <f>IF(LEN(_DB_Exercises!BC369)&gt;0,_DB_Exercises!BC369,"")</f>
        <v/>
      </c>
      <c r="AI255" s="31" t="str">
        <f>IF(LEN(_DB_Exercises!BD369)&gt;0,_DB_Exercises!BD369,"")</f>
        <v/>
      </c>
      <c r="AJ255" s="31" t="str">
        <f>IF(LEN(_DB_Exercises!BE369)&gt;0,_DB_Exercises!BE369,"")</f>
        <v/>
      </c>
      <c r="AK255" s="31" t="str">
        <f>IF(LEN(_DB_Exercises!BF369)&gt;0,_DB_Exercises!BF369,"")</f>
        <v/>
      </c>
      <c r="AL255" s="31" t="str">
        <f>IF(LEN(_DB_Exercises!BG369)&gt;0,_DB_Exercises!BG369,"")</f>
        <v/>
      </c>
      <c r="AM255" s="31" t="str">
        <f>IF(LEN(_DB_Exercises!BH369)&gt;0,_DB_Exercises!BH369,"")</f>
        <v/>
      </c>
      <c r="AN255" s="31" t="str">
        <f>IF(LEN(_DB_Exercises!BI369)&gt;0,_DB_Exercises!BI369,"")</f>
        <v/>
      </c>
      <c r="AO255" s="31" t="str">
        <f>IF(LEN(_DB_Exercises!BJ369)&gt;0,_DB_Exercises!BJ369,"")</f>
        <v/>
      </c>
      <c r="AP255" s="31" t="str">
        <f>IF(LEN(_DB_Exercises!BK369)&gt;0,_DB_Exercises!BK369,"")</f>
        <v/>
      </c>
      <c r="AQ255" s="31" t="str">
        <f>IF(LEN(_DB_Exercises!BL369)&gt;0,_DB_Exercises!BL369,"")</f>
        <v/>
      </c>
      <c r="AR255" s="31" t="str">
        <f>IF(LEN(_DB_Exercises!BM369)&gt;0,_DB_Exercises!BM369,"")</f>
        <v/>
      </c>
    </row>
    <row r="256" spans="1:44" x14ac:dyDescent="0.25">
      <c r="A256" s="11" t="str">
        <f>IF(LEN(_DB_Exercises!A370)&gt;0,_DB_Exercises!A370,"")</f>
        <v/>
      </c>
      <c r="B256" s="14" t="str">
        <f>IF(LEN(_DB_Exercises!K370)&gt;0,_DB_Exercises!K370,"")</f>
        <v/>
      </c>
      <c r="C256" s="31" t="str">
        <f>IF(LEN(_DB_Exercises!X370)&gt;0,_DB_Exercises!X370,"")</f>
        <v/>
      </c>
      <c r="D256" s="31" t="str">
        <f>IF(LEN(_DB_Exercises!Y370)&gt;0,_DB_Exercises!Y370,"")</f>
        <v/>
      </c>
      <c r="E256" s="31" t="str">
        <f>IF(LEN(_DB_Exercises!Z370)&gt;0,_DB_Exercises!Z370,"")</f>
        <v/>
      </c>
      <c r="F256" s="31" t="str">
        <f>IF(LEN(_DB_Exercises!AA370)&gt;0,_DB_Exercises!AA370,"")</f>
        <v/>
      </c>
      <c r="G256" s="31" t="str">
        <f>IF(LEN(_DB_Exercises!AB370)&gt;0,_DB_Exercises!AB370,"")</f>
        <v/>
      </c>
      <c r="H256" s="31" t="str">
        <f>IF(LEN(_DB_Exercises!AC370)&gt;0,_DB_Exercises!AC370,"")</f>
        <v/>
      </c>
      <c r="I256" s="31" t="str">
        <f>IF(LEN(_DB_Exercises!AD370)&gt;0,_DB_Exercises!AD370,"")</f>
        <v/>
      </c>
      <c r="J256" s="31" t="str">
        <f>IF(LEN(_DB_Exercises!AE370)&gt;0,_DB_Exercises!AE370,"")</f>
        <v/>
      </c>
      <c r="K256" s="31" t="str">
        <f>IF(LEN(_DB_Exercises!AF370)&gt;0,_DB_Exercises!AF370,"")</f>
        <v/>
      </c>
      <c r="L256" s="31" t="str">
        <f>IF(LEN(_DB_Exercises!AG370)&gt;0,_DB_Exercises!AG370,"")</f>
        <v/>
      </c>
      <c r="M256" s="31" t="str">
        <f>IF(LEN(_DB_Exercises!AH370)&gt;0,_DB_Exercises!AH370,"")</f>
        <v/>
      </c>
      <c r="N256" s="31" t="str">
        <f>IF(LEN(_DB_Exercises!AI370)&gt;0,_DB_Exercises!AI370,"")</f>
        <v/>
      </c>
      <c r="O256" s="31" t="str">
        <f>IF(LEN(_DB_Exercises!AJ370)&gt;0,_DB_Exercises!AJ370,"")</f>
        <v/>
      </c>
      <c r="P256" s="31" t="str">
        <f>IF(LEN(_DB_Exercises!AK370)&gt;0,_DB_Exercises!AK370,"")</f>
        <v/>
      </c>
      <c r="Q256" s="31" t="str">
        <f>IF(LEN(_DB_Exercises!AL370)&gt;0,_DB_Exercises!AL370,"")</f>
        <v/>
      </c>
      <c r="R256" s="31" t="str">
        <f>IF(LEN(_DB_Exercises!AM370)&gt;0,_DB_Exercises!AM370,"")</f>
        <v/>
      </c>
      <c r="S256" s="31" t="str">
        <f>IF(LEN(_DB_Exercises!AN370)&gt;0,_DB_Exercises!AN370,"")</f>
        <v/>
      </c>
      <c r="T256" s="31" t="str">
        <f>IF(LEN(_DB_Exercises!AO370)&gt;0,_DB_Exercises!AO370,"")</f>
        <v/>
      </c>
      <c r="U256" s="31" t="str">
        <f>IF(LEN(_DB_Exercises!AP370)&gt;0,_DB_Exercises!AP370,"")</f>
        <v/>
      </c>
      <c r="V256" s="31" t="str">
        <f>IF(LEN(_DB_Exercises!AQ370)&gt;0,_DB_Exercises!AQ370,"")</f>
        <v/>
      </c>
      <c r="W256" s="31" t="str">
        <f>IF(LEN(_DB_Exercises!AR370)&gt;0,_DB_Exercises!AR370,"")</f>
        <v/>
      </c>
      <c r="X256" s="31" t="str">
        <f>IF(LEN(_DB_Exercises!AS370)&gt;0,_DB_Exercises!AS370,"")</f>
        <v/>
      </c>
      <c r="Y256" s="31" t="str">
        <f>IF(LEN(_DB_Exercises!AT370)&gt;0,_DB_Exercises!AT370,"")</f>
        <v/>
      </c>
      <c r="Z256" s="31" t="str">
        <f>IF(LEN(_DB_Exercises!AU370)&gt;0,_DB_Exercises!AU370,"")</f>
        <v/>
      </c>
      <c r="AA256" s="31" t="str">
        <f>IF(LEN(_DB_Exercises!AV370)&gt;0,_DB_Exercises!AV370,"")</f>
        <v/>
      </c>
      <c r="AB256" s="31" t="str">
        <f>IF(LEN(_DB_Exercises!AW370)&gt;0,_DB_Exercises!AW370,"")</f>
        <v/>
      </c>
      <c r="AC256" s="31" t="str">
        <f>IF(LEN(_DB_Exercises!AX370)&gt;0,_DB_Exercises!AX370,"")</f>
        <v/>
      </c>
      <c r="AD256" s="31" t="str">
        <f>IF(LEN(_DB_Exercises!AY370)&gt;0,_DB_Exercises!AY370,"")</f>
        <v/>
      </c>
      <c r="AE256" s="31" t="str">
        <f>IF(LEN(_DB_Exercises!AZ370)&gt;0,_DB_Exercises!AZ370,"")</f>
        <v/>
      </c>
      <c r="AF256" s="31" t="str">
        <f>IF(LEN(_DB_Exercises!BA370)&gt;0,_DB_Exercises!BA370,"")</f>
        <v/>
      </c>
      <c r="AG256" s="31" t="str">
        <f>IF(LEN(_DB_Exercises!BB370)&gt;0,_DB_Exercises!BB370,"")</f>
        <v/>
      </c>
      <c r="AH256" s="31" t="str">
        <f>IF(LEN(_DB_Exercises!BC370)&gt;0,_DB_Exercises!BC370,"")</f>
        <v/>
      </c>
      <c r="AI256" s="31" t="str">
        <f>IF(LEN(_DB_Exercises!BD370)&gt;0,_DB_Exercises!BD370,"")</f>
        <v/>
      </c>
      <c r="AJ256" s="31" t="str">
        <f>IF(LEN(_DB_Exercises!BE370)&gt;0,_DB_Exercises!BE370,"")</f>
        <v/>
      </c>
      <c r="AK256" s="31" t="str">
        <f>IF(LEN(_DB_Exercises!BF370)&gt;0,_DB_Exercises!BF370,"")</f>
        <v/>
      </c>
      <c r="AL256" s="31" t="str">
        <f>IF(LEN(_DB_Exercises!BG370)&gt;0,_DB_Exercises!BG370,"")</f>
        <v/>
      </c>
      <c r="AM256" s="31" t="str">
        <f>IF(LEN(_DB_Exercises!BH370)&gt;0,_DB_Exercises!BH370,"")</f>
        <v/>
      </c>
      <c r="AN256" s="31" t="str">
        <f>IF(LEN(_DB_Exercises!BI370)&gt;0,_DB_Exercises!BI370,"")</f>
        <v/>
      </c>
      <c r="AO256" s="31" t="str">
        <f>IF(LEN(_DB_Exercises!BJ370)&gt;0,_DB_Exercises!BJ370,"")</f>
        <v/>
      </c>
      <c r="AP256" s="31" t="str">
        <f>IF(LEN(_DB_Exercises!BK370)&gt;0,_DB_Exercises!BK370,"")</f>
        <v/>
      </c>
      <c r="AQ256" s="31" t="str">
        <f>IF(LEN(_DB_Exercises!BL370)&gt;0,_DB_Exercises!BL370,"")</f>
        <v/>
      </c>
      <c r="AR256" s="31" t="str">
        <f>IF(LEN(_DB_Exercises!BM370)&gt;0,_DB_Exercises!BM370,"")</f>
        <v/>
      </c>
    </row>
    <row r="257" spans="1:44" x14ac:dyDescent="0.25">
      <c r="A257" s="11" t="str">
        <f>IF(LEN(_DB_Exercises!A371)&gt;0,_DB_Exercises!A371,"")</f>
        <v/>
      </c>
      <c r="B257" s="14" t="str">
        <f>IF(LEN(_DB_Exercises!K371)&gt;0,_DB_Exercises!K371,"")</f>
        <v/>
      </c>
      <c r="C257" s="31" t="str">
        <f>IF(LEN(_DB_Exercises!X371)&gt;0,_DB_Exercises!X371,"")</f>
        <v/>
      </c>
      <c r="D257" s="31" t="str">
        <f>IF(LEN(_DB_Exercises!Y371)&gt;0,_DB_Exercises!Y371,"")</f>
        <v/>
      </c>
      <c r="E257" s="31" t="str">
        <f>IF(LEN(_DB_Exercises!Z371)&gt;0,_DB_Exercises!Z371,"")</f>
        <v/>
      </c>
      <c r="F257" s="31" t="str">
        <f>IF(LEN(_DB_Exercises!AA371)&gt;0,_DB_Exercises!AA371,"")</f>
        <v/>
      </c>
      <c r="G257" s="31" t="str">
        <f>IF(LEN(_DB_Exercises!AB371)&gt;0,_DB_Exercises!AB371,"")</f>
        <v/>
      </c>
      <c r="H257" s="31" t="str">
        <f>IF(LEN(_DB_Exercises!AC371)&gt;0,_DB_Exercises!AC371,"")</f>
        <v/>
      </c>
      <c r="I257" s="31" t="str">
        <f>IF(LEN(_DB_Exercises!AD371)&gt;0,_DB_Exercises!AD371,"")</f>
        <v/>
      </c>
      <c r="J257" s="31" t="str">
        <f>IF(LEN(_DB_Exercises!AE371)&gt;0,_DB_Exercises!AE371,"")</f>
        <v/>
      </c>
      <c r="K257" s="31" t="str">
        <f>IF(LEN(_DB_Exercises!AF371)&gt;0,_DB_Exercises!AF371,"")</f>
        <v/>
      </c>
      <c r="L257" s="31" t="str">
        <f>IF(LEN(_DB_Exercises!AG371)&gt;0,_DB_Exercises!AG371,"")</f>
        <v/>
      </c>
      <c r="M257" s="31" t="str">
        <f>IF(LEN(_DB_Exercises!AH371)&gt;0,_DB_Exercises!AH371,"")</f>
        <v/>
      </c>
      <c r="N257" s="31" t="str">
        <f>IF(LEN(_DB_Exercises!AI371)&gt;0,_DB_Exercises!AI371,"")</f>
        <v/>
      </c>
      <c r="O257" s="31" t="str">
        <f>IF(LEN(_DB_Exercises!AJ371)&gt;0,_DB_Exercises!AJ371,"")</f>
        <v/>
      </c>
      <c r="P257" s="31" t="str">
        <f>IF(LEN(_DB_Exercises!AK371)&gt;0,_DB_Exercises!AK371,"")</f>
        <v/>
      </c>
      <c r="Q257" s="31" t="str">
        <f>IF(LEN(_DB_Exercises!AL371)&gt;0,_DB_Exercises!AL371,"")</f>
        <v/>
      </c>
      <c r="R257" s="31" t="str">
        <f>IF(LEN(_DB_Exercises!AM371)&gt;0,_DB_Exercises!AM371,"")</f>
        <v/>
      </c>
      <c r="S257" s="31" t="str">
        <f>IF(LEN(_DB_Exercises!AN371)&gt;0,_DB_Exercises!AN371,"")</f>
        <v/>
      </c>
      <c r="T257" s="31" t="str">
        <f>IF(LEN(_DB_Exercises!AO371)&gt;0,_DB_Exercises!AO371,"")</f>
        <v/>
      </c>
      <c r="U257" s="31" t="str">
        <f>IF(LEN(_DB_Exercises!AP371)&gt;0,_DB_Exercises!AP371,"")</f>
        <v/>
      </c>
      <c r="V257" s="31" t="str">
        <f>IF(LEN(_DB_Exercises!AQ371)&gt;0,_DB_Exercises!AQ371,"")</f>
        <v/>
      </c>
      <c r="W257" s="31" t="str">
        <f>IF(LEN(_DB_Exercises!AR371)&gt;0,_DB_Exercises!AR371,"")</f>
        <v/>
      </c>
      <c r="X257" s="31" t="str">
        <f>IF(LEN(_DB_Exercises!AS371)&gt;0,_DB_Exercises!AS371,"")</f>
        <v/>
      </c>
      <c r="Y257" s="31" t="str">
        <f>IF(LEN(_DB_Exercises!AT371)&gt;0,_DB_Exercises!AT371,"")</f>
        <v/>
      </c>
      <c r="Z257" s="31" t="str">
        <f>IF(LEN(_DB_Exercises!AU371)&gt;0,_DB_Exercises!AU371,"")</f>
        <v/>
      </c>
      <c r="AA257" s="31" t="str">
        <f>IF(LEN(_DB_Exercises!AV371)&gt;0,_DB_Exercises!AV371,"")</f>
        <v/>
      </c>
      <c r="AB257" s="31" t="str">
        <f>IF(LEN(_DB_Exercises!AW371)&gt;0,_DB_Exercises!AW371,"")</f>
        <v/>
      </c>
      <c r="AC257" s="31" t="str">
        <f>IF(LEN(_DB_Exercises!AX371)&gt;0,_DB_Exercises!AX371,"")</f>
        <v/>
      </c>
      <c r="AD257" s="31" t="str">
        <f>IF(LEN(_DB_Exercises!AY371)&gt;0,_DB_Exercises!AY371,"")</f>
        <v/>
      </c>
      <c r="AE257" s="31" t="str">
        <f>IF(LEN(_DB_Exercises!AZ371)&gt;0,_DB_Exercises!AZ371,"")</f>
        <v/>
      </c>
      <c r="AF257" s="31" t="str">
        <f>IF(LEN(_DB_Exercises!BA371)&gt;0,_DB_Exercises!BA371,"")</f>
        <v/>
      </c>
      <c r="AG257" s="31" t="str">
        <f>IF(LEN(_DB_Exercises!BB371)&gt;0,_DB_Exercises!BB371,"")</f>
        <v/>
      </c>
      <c r="AH257" s="31" t="str">
        <f>IF(LEN(_DB_Exercises!BC371)&gt;0,_DB_Exercises!BC371,"")</f>
        <v/>
      </c>
      <c r="AI257" s="31" t="str">
        <f>IF(LEN(_DB_Exercises!BD371)&gt;0,_DB_Exercises!BD371,"")</f>
        <v/>
      </c>
      <c r="AJ257" s="31" t="str">
        <f>IF(LEN(_DB_Exercises!BE371)&gt;0,_DB_Exercises!BE371,"")</f>
        <v/>
      </c>
      <c r="AK257" s="31" t="str">
        <f>IF(LEN(_DB_Exercises!BF371)&gt;0,_DB_Exercises!BF371,"")</f>
        <v/>
      </c>
      <c r="AL257" s="31" t="str">
        <f>IF(LEN(_DB_Exercises!BG371)&gt;0,_DB_Exercises!BG371,"")</f>
        <v/>
      </c>
      <c r="AM257" s="31" t="str">
        <f>IF(LEN(_DB_Exercises!BH371)&gt;0,_DB_Exercises!BH371,"")</f>
        <v/>
      </c>
      <c r="AN257" s="31" t="str">
        <f>IF(LEN(_DB_Exercises!BI371)&gt;0,_DB_Exercises!BI371,"")</f>
        <v/>
      </c>
      <c r="AO257" s="31" t="str">
        <f>IF(LEN(_DB_Exercises!BJ371)&gt;0,_DB_Exercises!BJ371,"")</f>
        <v/>
      </c>
      <c r="AP257" s="31" t="str">
        <f>IF(LEN(_DB_Exercises!BK371)&gt;0,_DB_Exercises!BK371,"")</f>
        <v/>
      </c>
      <c r="AQ257" s="31" t="str">
        <f>IF(LEN(_DB_Exercises!BL371)&gt;0,_DB_Exercises!BL371,"")</f>
        <v/>
      </c>
      <c r="AR257" s="31" t="str">
        <f>IF(LEN(_DB_Exercises!BM371)&gt;0,_DB_Exercises!BM371,"")</f>
        <v/>
      </c>
    </row>
    <row r="258" spans="1:44" x14ac:dyDescent="0.25">
      <c r="A258" s="11" t="str">
        <f>IF(LEN(_DB_Exercises!A372)&gt;0,_DB_Exercises!A372,"")</f>
        <v/>
      </c>
      <c r="B258" s="14" t="str">
        <f>IF(LEN(_DB_Exercises!K372)&gt;0,_DB_Exercises!K372,"")</f>
        <v/>
      </c>
      <c r="C258" s="31" t="str">
        <f>IF(LEN(_DB_Exercises!X372)&gt;0,_DB_Exercises!X372,"")</f>
        <v/>
      </c>
      <c r="D258" s="31" t="str">
        <f>IF(LEN(_DB_Exercises!Y372)&gt;0,_DB_Exercises!Y372,"")</f>
        <v/>
      </c>
      <c r="E258" s="31" t="str">
        <f>IF(LEN(_DB_Exercises!Z372)&gt;0,_DB_Exercises!Z372,"")</f>
        <v/>
      </c>
      <c r="F258" s="31" t="str">
        <f>IF(LEN(_DB_Exercises!AA372)&gt;0,_DB_Exercises!AA372,"")</f>
        <v/>
      </c>
      <c r="G258" s="31" t="str">
        <f>IF(LEN(_DB_Exercises!AB372)&gt;0,_DB_Exercises!AB372,"")</f>
        <v/>
      </c>
      <c r="H258" s="31" t="str">
        <f>IF(LEN(_DB_Exercises!AC372)&gt;0,_DB_Exercises!AC372,"")</f>
        <v/>
      </c>
      <c r="I258" s="31" t="str">
        <f>IF(LEN(_DB_Exercises!AD372)&gt;0,_DB_Exercises!AD372,"")</f>
        <v/>
      </c>
      <c r="J258" s="31" t="str">
        <f>IF(LEN(_DB_Exercises!AE372)&gt;0,_DB_Exercises!AE372,"")</f>
        <v/>
      </c>
      <c r="K258" s="31" t="str">
        <f>IF(LEN(_DB_Exercises!AF372)&gt;0,_DB_Exercises!AF372,"")</f>
        <v/>
      </c>
      <c r="L258" s="31" t="str">
        <f>IF(LEN(_DB_Exercises!AG372)&gt;0,_DB_Exercises!AG372,"")</f>
        <v/>
      </c>
      <c r="M258" s="31" t="str">
        <f>IF(LEN(_DB_Exercises!AH372)&gt;0,_DB_Exercises!AH372,"")</f>
        <v/>
      </c>
      <c r="N258" s="31" t="str">
        <f>IF(LEN(_DB_Exercises!AI372)&gt;0,_DB_Exercises!AI372,"")</f>
        <v/>
      </c>
      <c r="O258" s="31" t="str">
        <f>IF(LEN(_DB_Exercises!AJ372)&gt;0,_DB_Exercises!AJ372,"")</f>
        <v/>
      </c>
      <c r="P258" s="31" t="str">
        <f>IF(LEN(_DB_Exercises!AK372)&gt;0,_DB_Exercises!AK372,"")</f>
        <v/>
      </c>
      <c r="Q258" s="31" t="str">
        <f>IF(LEN(_DB_Exercises!AL372)&gt;0,_DB_Exercises!AL372,"")</f>
        <v/>
      </c>
      <c r="R258" s="31" t="str">
        <f>IF(LEN(_DB_Exercises!AM372)&gt;0,_DB_Exercises!AM372,"")</f>
        <v/>
      </c>
      <c r="S258" s="31" t="str">
        <f>IF(LEN(_DB_Exercises!AN372)&gt;0,_DB_Exercises!AN372,"")</f>
        <v/>
      </c>
      <c r="T258" s="31" t="str">
        <f>IF(LEN(_DB_Exercises!AO372)&gt;0,_DB_Exercises!AO372,"")</f>
        <v/>
      </c>
      <c r="U258" s="31" t="str">
        <f>IF(LEN(_DB_Exercises!AP372)&gt;0,_DB_Exercises!AP372,"")</f>
        <v/>
      </c>
      <c r="V258" s="31" t="str">
        <f>IF(LEN(_DB_Exercises!AQ372)&gt;0,_DB_Exercises!AQ372,"")</f>
        <v/>
      </c>
      <c r="W258" s="31" t="str">
        <f>IF(LEN(_DB_Exercises!AR372)&gt;0,_DB_Exercises!AR372,"")</f>
        <v/>
      </c>
      <c r="X258" s="31" t="str">
        <f>IF(LEN(_DB_Exercises!AS372)&gt;0,_DB_Exercises!AS372,"")</f>
        <v/>
      </c>
      <c r="Y258" s="31" t="str">
        <f>IF(LEN(_DB_Exercises!AT372)&gt;0,_DB_Exercises!AT372,"")</f>
        <v/>
      </c>
      <c r="Z258" s="31" t="str">
        <f>IF(LEN(_DB_Exercises!AU372)&gt;0,_DB_Exercises!AU372,"")</f>
        <v/>
      </c>
      <c r="AA258" s="31" t="str">
        <f>IF(LEN(_DB_Exercises!AV372)&gt;0,_DB_Exercises!AV372,"")</f>
        <v/>
      </c>
      <c r="AB258" s="31" t="str">
        <f>IF(LEN(_DB_Exercises!AW372)&gt;0,_DB_Exercises!AW372,"")</f>
        <v/>
      </c>
      <c r="AC258" s="31" t="str">
        <f>IF(LEN(_DB_Exercises!AX372)&gt;0,_DB_Exercises!AX372,"")</f>
        <v/>
      </c>
      <c r="AD258" s="31" t="str">
        <f>IF(LEN(_DB_Exercises!AY372)&gt;0,_DB_Exercises!AY372,"")</f>
        <v/>
      </c>
      <c r="AE258" s="31" t="str">
        <f>IF(LEN(_DB_Exercises!AZ372)&gt;0,_DB_Exercises!AZ372,"")</f>
        <v/>
      </c>
      <c r="AF258" s="31" t="str">
        <f>IF(LEN(_DB_Exercises!BA372)&gt;0,_DB_Exercises!BA372,"")</f>
        <v/>
      </c>
      <c r="AG258" s="31" t="str">
        <f>IF(LEN(_DB_Exercises!BB372)&gt;0,_DB_Exercises!BB372,"")</f>
        <v/>
      </c>
      <c r="AH258" s="31" t="str">
        <f>IF(LEN(_DB_Exercises!BC372)&gt;0,_DB_Exercises!BC372,"")</f>
        <v/>
      </c>
      <c r="AI258" s="31" t="str">
        <f>IF(LEN(_DB_Exercises!BD372)&gt;0,_DB_Exercises!BD372,"")</f>
        <v/>
      </c>
      <c r="AJ258" s="31" t="str">
        <f>IF(LEN(_DB_Exercises!BE372)&gt;0,_DB_Exercises!BE372,"")</f>
        <v/>
      </c>
      <c r="AK258" s="31" t="str">
        <f>IF(LEN(_DB_Exercises!BF372)&gt;0,_DB_Exercises!BF372,"")</f>
        <v/>
      </c>
      <c r="AL258" s="31" t="str">
        <f>IF(LEN(_DB_Exercises!BG372)&gt;0,_DB_Exercises!BG372,"")</f>
        <v/>
      </c>
      <c r="AM258" s="31" t="str">
        <f>IF(LEN(_DB_Exercises!BH372)&gt;0,_DB_Exercises!BH372,"")</f>
        <v/>
      </c>
      <c r="AN258" s="31" t="str">
        <f>IF(LEN(_DB_Exercises!BI372)&gt;0,_DB_Exercises!BI372,"")</f>
        <v/>
      </c>
      <c r="AO258" s="31" t="str">
        <f>IF(LEN(_DB_Exercises!BJ372)&gt;0,_DB_Exercises!BJ372,"")</f>
        <v/>
      </c>
      <c r="AP258" s="31" t="str">
        <f>IF(LEN(_DB_Exercises!BK372)&gt;0,_DB_Exercises!BK372,"")</f>
        <v/>
      </c>
      <c r="AQ258" s="31" t="str">
        <f>IF(LEN(_DB_Exercises!BL372)&gt;0,_DB_Exercises!BL372,"")</f>
        <v/>
      </c>
      <c r="AR258" s="31" t="str">
        <f>IF(LEN(_DB_Exercises!BM372)&gt;0,_DB_Exercises!BM372,"")</f>
        <v/>
      </c>
    </row>
    <row r="259" spans="1:44" x14ac:dyDescent="0.25">
      <c r="A259" s="11" t="str">
        <f>IF(LEN(_DB_Exercises!A373)&gt;0,_DB_Exercises!A373,"")</f>
        <v/>
      </c>
      <c r="B259" s="14" t="str">
        <f>IF(LEN(_DB_Exercises!K373)&gt;0,_DB_Exercises!K373,"")</f>
        <v/>
      </c>
      <c r="C259" s="31" t="str">
        <f>IF(LEN(_DB_Exercises!X373)&gt;0,_DB_Exercises!X373,"")</f>
        <v/>
      </c>
      <c r="D259" s="31" t="str">
        <f>IF(LEN(_DB_Exercises!Y373)&gt;0,_DB_Exercises!Y373,"")</f>
        <v/>
      </c>
      <c r="E259" s="31" t="str">
        <f>IF(LEN(_DB_Exercises!Z373)&gt;0,_DB_Exercises!Z373,"")</f>
        <v/>
      </c>
      <c r="F259" s="31" t="str">
        <f>IF(LEN(_DB_Exercises!AA373)&gt;0,_DB_Exercises!AA373,"")</f>
        <v/>
      </c>
      <c r="G259" s="31" t="str">
        <f>IF(LEN(_DB_Exercises!AB373)&gt;0,_DB_Exercises!AB373,"")</f>
        <v/>
      </c>
      <c r="H259" s="31" t="str">
        <f>IF(LEN(_DB_Exercises!AC373)&gt;0,_DB_Exercises!AC373,"")</f>
        <v/>
      </c>
      <c r="I259" s="31" t="str">
        <f>IF(LEN(_DB_Exercises!AD373)&gt;0,_DB_Exercises!AD373,"")</f>
        <v/>
      </c>
      <c r="J259" s="31" t="str">
        <f>IF(LEN(_DB_Exercises!AE373)&gt;0,_DB_Exercises!AE373,"")</f>
        <v/>
      </c>
      <c r="K259" s="31" t="str">
        <f>IF(LEN(_DB_Exercises!AF373)&gt;0,_DB_Exercises!AF373,"")</f>
        <v/>
      </c>
      <c r="L259" s="31" t="str">
        <f>IF(LEN(_DB_Exercises!AG373)&gt;0,_DB_Exercises!AG373,"")</f>
        <v/>
      </c>
      <c r="M259" s="31" t="str">
        <f>IF(LEN(_DB_Exercises!AH373)&gt;0,_DB_Exercises!AH373,"")</f>
        <v/>
      </c>
      <c r="N259" s="31" t="str">
        <f>IF(LEN(_DB_Exercises!AI373)&gt;0,_DB_Exercises!AI373,"")</f>
        <v/>
      </c>
      <c r="O259" s="31" t="str">
        <f>IF(LEN(_DB_Exercises!AJ373)&gt;0,_DB_Exercises!AJ373,"")</f>
        <v/>
      </c>
      <c r="P259" s="31" t="str">
        <f>IF(LEN(_DB_Exercises!AK373)&gt;0,_DB_Exercises!AK373,"")</f>
        <v/>
      </c>
      <c r="Q259" s="31" t="str">
        <f>IF(LEN(_DB_Exercises!AL373)&gt;0,_DB_Exercises!AL373,"")</f>
        <v/>
      </c>
      <c r="R259" s="31" t="str">
        <f>IF(LEN(_DB_Exercises!AM373)&gt;0,_DB_Exercises!AM373,"")</f>
        <v/>
      </c>
      <c r="S259" s="31" t="str">
        <f>IF(LEN(_DB_Exercises!AN373)&gt;0,_DB_Exercises!AN373,"")</f>
        <v/>
      </c>
      <c r="T259" s="31" t="str">
        <f>IF(LEN(_DB_Exercises!AO373)&gt;0,_DB_Exercises!AO373,"")</f>
        <v/>
      </c>
      <c r="U259" s="31" t="str">
        <f>IF(LEN(_DB_Exercises!AP373)&gt;0,_DB_Exercises!AP373,"")</f>
        <v/>
      </c>
      <c r="V259" s="31" t="str">
        <f>IF(LEN(_DB_Exercises!AQ373)&gt;0,_DB_Exercises!AQ373,"")</f>
        <v/>
      </c>
      <c r="W259" s="31" t="str">
        <f>IF(LEN(_DB_Exercises!AR373)&gt;0,_DB_Exercises!AR373,"")</f>
        <v/>
      </c>
      <c r="X259" s="31" t="str">
        <f>IF(LEN(_DB_Exercises!AS373)&gt;0,_DB_Exercises!AS373,"")</f>
        <v/>
      </c>
      <c r="Y259" s="31" t="str">
        <f>IF(LEN(_DB_Exercises!AT373)&gt;0,_DB_Exercises!AT373,"")</f>
        <v/>
      </c>
      <c r="Z259" s="31" t="str">
        <f>IF(LEN(_DB_Exercises!AU373)&gt;0,_DB_Exercises!AU373,"")</f>
        <v/>
      </c>
      <c r="AA259" s="31" t="str">
        <f>IF(LEN(_DB_Exercises!AV373)&gt;0,_DB_Exercises!AV373,"")</f>
        <v/>
      </c>
      <c r="AB259" s="31" t="str">
        <f>IF(LEN(_DB_Exercises!AW373)&gt;0,_DB_Exercises!AW373,"")</f>
        <v/>
      </c>
      <c r="AC259" s="31" t="str">
        <f>IF(LEN(_DB_Exercises!AX373)&gt;0,_DB_Exercises!AX373,"")</f>
        <v/>
      </c>
      <c r="AD259" s="31" t="str">
        <f>IF(LEN(_DB_Exercises!AY373)&gt;0,_DB_Exercises!AY373,"")</f>
        <v/>
      </c>
      <c r="AE259" s="31" t="str">
        <f>IF(LEN(_DB_Exercises!AZ373)&gt;0,_DB_Exercises!AZ373,"")</f>
        <v/>
      </c>
      <c r="AF259" s="31" t="str">
        <f>IF(LEN(_DB_Exercises!BA373)&gt;0,_DB_Exercises!BA373,"")</f>
        <v/>
      </c>
      <c r="AG259" s="31" t="str">
        <f>IF(LEN(_DB_Exercises!BB373)&gt;0,_DB_Exercises!BB373,"")</f>
        <v/>
      </c>
      <c r="AH259" s="31" t="str">
        <f>IF(LEN(_DB_Exercises!BC373)&gt;0,_DB_Exercises!BC373,"")</f>
        <v/>
      </c>
      <c r="AI259" s="31" t="str">
        <f>IF(LEN(_DB_Exercises!BD373)&gt;0,_DB_Exercises!BD373,"")</f>
        <v/>
      </c>
      <c r="AJ259" s="31" t="str">
        <f>IF(LEN(_DB_Exercises!BE373)&gt;0,_DB_Exercises!BE373,"")</f>
        <v/>
      </c>
      <c r="AK259" s="31" t="str">
        <f>IF(LEN(_DB_Exercises!BF373)&gt;0,_DB_Exercises!BF373,"")</f>
        <v/>
      </c>
      <c r="AL259" s="31" t="str">
        <f>IF(LEN(_DB_Exercises!BG373)&gt;0,_DB_Exercises!BG373,"")</f>
        <v/>
      </c>
      <c r="AM259" s="31" t="str">
        <f>IF(LEN(_DB_Exercises!BH373)&gt;0,_DB_Exercises!BH373,"")</f>
        <v/>
      </c>
      <c r="AN259" s="31" t="str">
        <f>IF(LEN(_DB_Exercises!BI373)&gt;0,_DB_Exercises!BI373,"")</f>
        <v/>
      </c>
      <c r="AO259" s="31" t="str">
        <f>IF(LEN(_DB_Exercises!BJ373)&gt;0,_DB_Exercises!BJ373,"")</f>
        <v/>
      </c>
      <c r="AP259" s="31" t="str">
        <f>IF(LEN(_DB_Exercises!BK373)&gt;0,_DB_Exercises!BK373,"")</f>
        <v/>
      </c>
      <c r="AQ259" s="31" t="str">
        <f>IF(LEN(_DB_Exercises!BL373)&gt;0,_DB_Exercises!BL373,"")</f>
        <v/>
      </c>
      <c r="AR259" s="31" t="str">
        <f>IF(LEN(_DB_Exercises!BM373)&gt;0,_DB_Exercises!BM373,"")</f>
        <v/>
      </c>
    </row>
    <row r="260" spans="1:44" x14ac:dyDescent="0.25">
      <c r="A260" s="11" t="str">
        <f>IF(LEN(_DB_Exercises!A374)&gt;0,_DB_Exercises!A374,"")</f>
        <v/>
      </c>
      <c r="B260" s="14" t="str">
        <f>IF(LEN(_DB_Exercises!K374)&gt;0,_DB_Exercises!K374,"")</f>
        <v/>
      </c>
      <c r="C260" s="31" t="str">
        <f>IF(LEN(_DB_Exercises!X374)&gt;0,_DB_Exercises!X374,"")</f>
        <v/>
      </c>
      <c r="D260" s="31" t="str">
        <f>IF(LEN(_DB_Exercises!Y374)&gt;0,_DB_Exercises!Y374,"")</f>
        <v/>
      </c>
      <c r="E260" s="31" t="str">
        <f>IF(LEN(_DB_Exercises!Z374)&gt;0,_DB_Exercises!Z374,"")</f>
        <v/>
      </c>
      <c r="F260" s="31" t="str">
        <f>IF(LEN(_DB_Exercises!AA374)&gt;0,_DB_Exercises!AA374,"")</f>
        <v/>
      </c>
      <c r="G260" s="31" t="str">
        <f>IF(LEN(_DB_Exercises!AB374)&gt;0,_DB_Exercises!AB374,"")</f>
        <v/>
      </c>
      <c r="H260" s="31" t="str">
        <f>IF(LEN(_DB_Exercises!AC374)&gt;0,_DB_Exercises!AC374,"")</f>
        <v/>
      </c>
      <c r="I260" s="31" t="str">
        <f>IF(LEN(_DB_Exercises!AD374)&gt;0,_DB_Exercises!AD374,"")</f>
        <v/>
      </c>
      <c r="J260" s="31" t="str">
        <f>IF(LEN(_DB_Exercises!AE374)&gt;0,_DB_Exercises!AE374,"")</f>
        <v/>
      </c>
      <c r="K260" s="31" t="str">
        <f>IF(LEN(_DB_Exercises!AF374)&gt;0,_DB_Exercises!AF374,"")</f>
        <v/>
      </c>
      <c r="L260" s="31" t="str">
        <f>IF(LEN(_DB_Exercises!AG374)&gt;0,_DB_Exercises!AG374,"")</f>
        <v/>
      </c>
      <c r="M260" s="31" t="str">
        <f>IF(LEN(_DB_Exercises!AH374)&gt;0,_DB_Exercises!AH374,"")</f>
        <v/>
      </c>
      <c r="N260" s="31" t="str">
        <f>IF(LEN(_DB_Exercises!AI374)&gt;0,_DB_Exercises!AI374,"")</f>
        <v/>
      </c>
      <c r="O260" s="31" t="str">
        <f>IF(LEN(_DB_Exercises!AJ374)&gt;0,_DB_Exercises!AJ374,"")</f>
        <v/>
      </c>
      <c r="P260" s="31" t="str">
        <f>IF(LEN(_DB_Exercises!AK374)&gt;0,_DB_Exercises!AK374,"")</f>
        <v/>
      </c>
      <c r="Q260" s="31" t="str">
        <f>IF(LEN(_DB_Exercises!AL374)&gt;0,_DB_Exercises!AL374,"")</f>
        <v/>
      </c>
      <c r="R260" s="31" t="str">
        <f>IF(LEN(_DB_Exercises!AM374)&gt;0,_DB_Exercises!AM374,"")</f>
        <v/>
      </c>
      <c r="S260" s="31" t="str">
        <f>IF(LEN(_DB_Exercises!AN374)&gt;0,_DB_Exercises!AN374,"")</f>
        <v/>
      </c>
      <c r="T260" s="31" t="str">
        <f>IF(LEN(_DB_Exercises!AO374)&gt;0,_DB_Exercises!AO374,"")</f>
        <v/>
      </c>
      <c r="U260" s="31" t="str">
        <f>IF(LEN(_DB_Exercises!AP374)&gt;0,_DB_Exercises!AP374,"")</f>
        <v/>
      </c>
      <c r="V260" s="31" t="str">
        <f>IF(LEN(_DB_Exercises!AQ374)&gt;0,_DB_Exercises!AQ374,"")</f>
        <v/>
      </c>
      <c r="W260" s="31" t="str">
        <f>IF(LEN(_DB_Exercises!AR374)&gt;0,_DB_Exercises!AR374,"")</f>
        <v/>
      </c>
      <c r="X260" s="31" t="str">
        <f>IF(LEN(_DB_Exercises!AS374)&gt;0,_DB_Exercises!AS374,"")</f>
        <v/>
      </c>
      <c r="Y260" s="31" t="str">
        <f>IF(LEN(_DB_Exercises!AT374)&gt;0,_DB_Exercises!AT374,"")</f>
        <v/>
      </c>
      <c r="Z260" s="31" t="str">
        <f>IF(LEN(_DB_Exercises!AU374)&gt;0,_DB_Exercises!AU374,"")</f>
        <v/>
      </c>
      <c r="AA260" s="31" t="str">
        <f>IF(LEN(_DB_Exercises!AV374)&gt;0,_DB_Exercises!AV374,"")</f>
        <v/>
      </c>
      <c r="AB260" s="31" t="str">
        <f>IF(LEN(_DB_Exercises!AW374)&gt;0,_DB_Exercises!AW374,"")</f>
        <v/>
      </c>
      <c r="AC260" s="31" t="str">
        <f>IF(LEN(_DB_Exercises!AX374)&gt;0,_DB_Exercises!AX374,"")</f>
        <v/>
      </c>
      <c r="AD260" s="31" t="str">
        <f>IF(LEN(_DB_Exercises!AY374)&gt;0,_DB_Exercises!AY374,"")</f>
        <v/>
      </c>
      <c r="AE260" s="31" t="str">
        <f>IF(LEN(_DB_Exercises!AZ374)&gt;0,_DB_Exercises!AZ374,"")</f>
        <v/>
      </c>
      <c r="AF260" s="31" t="str">
        <f>IF(LEN(_DB_Exercises!BA374)&gt;0,_DB_Exercises!BA374,"")</f>
        <v/>
      </c>
      <c r="AG260" s="31" t="str">
        <f>IF(LEN(_DB_Exercises!BB374)&gt;0,_DB_Exercises!BB374,"")</f>
        <v/>
      </c>
      <c r="AH260" s="31" t="str">
        <f>IF(LEN(_DB_Exercises!BC374)&gt;0,_DB_Exercises!BC374,"")</f>
        <v/>
      </c>
      <c r="AI260" s="31" t="str">
        <f>IF(LEN(_DB_Exercises!BD374)&gt;0,_DB_Exercises!BD374,"")</f>
        <v/>
      </c>
      <c r="AJ260" s="31" t="str">
        <f>IF(LEN(_DB_Exercises!BE374)&gt;0,_DB_Exercises!BE374,"")</f>
        <v/>
      </c>
      <c r="AK260" s="31" t="str">
        <f>IF(LEN(_DB_Exercises!BF374)&gt;0,_DB_Exercises!BF374,"")</f>
        <v/>
      </c>
      <c r="AL260" s="31" t="str">
        <f>IF(LEN(_DB_Exercises!BG374)&gt;0,_DB_Exercises!BG374,"")</f>
        <v/>
      </c>
      <c r="AM260" s="31" t="str">
        <f>IF(LEN(_DB_Exercises!BH374)&gt;0,_DB_Exercises!BH374,"")</f>
        <v/>
      </c>
      <c r="AN260" s="31" t="str">
        <f>IF(LEN(_DB_Exercises!BI374)&gt;0,_DB_Exercises!BI374,"")</f>
        <v/>
      </c>
      <c r="AO260" s="31" t="str">
        <f>IF(LEN(_DB_Exercises!BJ374)&gt;0,_DB_Exercises!BJ374,"")</f>
        <v/>
      </c>
      <c r="AP260" s="31" t="str">
        <f>IF(LEN(_DB_Exercises!BK374)&gt;0,_DB_Exercises!BK374,"")</f>
        <v/>
      </c>
      <c r="AQ260" s="31" t="str">
        <f>IF(LEN(_DB_Exercises!BL374)&gt;0,_DB_Exercises!BL374,"")</f>
        <v/>
      </c>
      <c r="AR260" s="31" t="str">
        <f>IF(LEN(_DB_Exercises!BM374)&gt;0,_DB_Exercises!BM374,"")</f>
        <v/>
      </c>
    </row>
    <row r="261" spans="1:44" x14ac:dyDescent="0.25">
      <c r="A261" s="11" t="str">
        <f>IF(LEN(_DB_Exercises!A375)&gt;0,_DB_Exercises!A375,"")</f>
        <v/>
      </c>
      <c r="B261" s="14" t="str">
        <f>IF(LEN(_DB_Exercises!K375)&gt;0,_DB_Exercises!K375,"")</f>
        <v/>
      </c>
      <c r="C261" s="31" t="str">
        <f>IF(LEN(_DB_Exercises!X375)&gt;0,_DB_Exercises!X375,"")</f>
        <v/>
      </c>
      <c r="D261" s="31" t="str">
        <f>IF(LEN(_DB_Exercises!Y375)&gt;0,_DB_Exercises!Y375,"")</f>
        <v/>
      </c>
      <c r="E261" s="31" t="str">
        <f>IF(LEN(_DB_Exercises!Z375)&gt;0,_DB_Exercises!Z375,"")</f>
        <v/>
      </c>
      <c r="F261" s="31" t="str">
        <f>IF(LEN(_DB_Exercises!AA375)&gt;0,_DB_Exercises!AA375,"")</f>
        <v/>
      </c>
      <c r="G261" s="31" t="str">
        <f>IF(LEN(_DB_Exercises!AB375)&gt;0,_DB_Exercises!AB375,"")</f>
        <v/>
      </c>
      <c r="H261" s="31" t="str">
        <f>IF(LEN(_DB_Exercises!AC375)&gt;0,_DB_Exercises!AC375,"")</f>
        <v/>
      </c>
      <c r="I261" s="31" t="str">
        <f>IF(LEN(_DB_Exercises!AD375)&gt;0,_DB_Exercises!AD375,"")</f>
        <v/>
      </c>
      <c r="J261" s="31" t="str">
        <f>IF(LEN(_DB_Exercises!AE375)&gt;0,_DB_Exercises!AE375,"")</f>
        <v/>
      </c>
      <c r="K261" s="31" t="str">
        <f>IF(LEN(_DB_Exercises!AF375)&gt;0,_DB_Exercises!AF375,"")</f>
        <v/>
      </c>
      <c r="L261" s="31" t="str">
        <f>IF(LEN(_DB_Exercises!AG375)&gt;0,_DB_Exercises!AG375,"")</f>
        <v/>
      </c>
      <c r="M261" s="31" t="str">
        <f>IF(LEN(_DB_Exercises!AH375)&gt;0,_DB_Exercises!AH375,"")</f>
        <v/>
      </c>
      <c r="N261" s="31" t="str">
        <f>IF(LEN(_DB_Exercises!AI375)&gt;0,_DB_Exercises!AI375,"")</f>
        <v/>
      </c>
      <c r="O261" s="31" t="str">
        <f>IF(LEN(_DB_Exercises!AJ375)&gt;0,_DB_Exercises!AJ375,"")</f>
        <v/>
      </c>
      <c r="P261" s="31" t="str">
        <f>IF(LEN(_DB_Exercises!AK375)&gt;0,_DB_Exercises!AK375,"")</f>
        <v/>
      </c>
      <c r="Q261" s="31" t="str">
        <f>IF(LEN(_DB_Exercises!AL375)&gt;0,_DB_Exercises!AL375,"")</f>
        <v/>
      </c>
      <c r="R261" s="31" t="str">
        <f>IF(LEN(_DB_Exercises!AM375)&gt;0,_DB_Exercises!AM375,"")</f>
        <v/>
      </c>
      <c r="S261" s="31" t="str">
        <f>IF(LEN(_DB_Exercises!AN375)&gt;0,_DB_Exercises!AN375,"")</f>
        <v/>
      </c>
      <c r="T261" s="31" t="str">
        <f>IF(LEN(_DB_Exercises!AO375)&gt;0,_DB_Exercises!AO375,"")</f>
        <v/>
      </c>
      <c r="U261" s="31" t="str">
        <f>IF(LEN(_DB_Exercises!AP375)&gt;0,_DB_Exercises!AP375,"")</f>
        <v/>
      </c>
      <c r="V261" s="31" t="str">
        <f>IF(LEN(_DB_Exercises!AQ375)&gt;0,_DB_Exercises!AQ375,"")</f>
        <v/>
      </c>
      <c r="W261" s="31" t="str">
        <f>IF(LEN(_DB_Exercises!AR375)&gt;0,_DB_Exercises!AR375,"")</f>
        <v/>
      </c>
      <c r="X261" s="31" t="str">
        <f>IF(LEN(_DB_Exercises!AS375)&gt;0,_DB_Exercises!AS375,"")</f>
        <v/>
      </c>
      <c r="Y261" s="31" t="str">
        <f>IF(LEN(_DB_Exercises!AT375)&gt;0,_DB_Exercises!AT375,"")</f>
        <v/>
      </c>
      <c r="Z261" s="31" t="str">
        <f>IF(LEN(_DB_Exercises!AU375)&gt;0,_DB_Exercises!AU375,"")</f>
        <v/>
      </c>
      <c r="AA261" s="31" t="str">
        <f>IF(LEN(_DB_Exercises!AV375)&gt;0,_DB_Exercises!AV375,"")</f>
        <v/>
      </c>
      <c r="AB261" s="31" t="str">
        <f>IF(LEN(_DB_Exercises!AW375)&gt;0,_DB_Exercises!AW375,"")</f>
        <v/>
      </c>
      <c r="AC261" s="31" t="str">
        <f>IF(LEN(_DB_Exercises!AX375)&gt;0,_DB_Exercises!AX375,"")</f>
        <v/>
      </c>
      <c r="AD261" s="31" t="str">
        <f>IF(LEN(_DB_Exercises!AY375)&gt;0,_DB_Exercises!AY375,"")</f>
        <v/>
      </c>
      <c r="AE261" s="31" t="str">
        <f>IF(LEN(_DB_Exercises!AZ375)&gt;0,_DB_Exercises!AZ375,"")</f>
        <v/>
      </c>
      <c r="AF261" s="31" t="str">
        <f>IF(LEN(_DB_Exercises!BA375)&gt;0,_DB_Exercises!BA375,"")</f>
        <v/>
      </c>
      <c r="AG261" s="31" t="str">
        <f>IF(LEN(_DB_Exercises!BB375)&gt;0,_DB_Exercises!BB375,"")</f>
        <v/>
      </c>
      <c r="AH261" s="31" t="str">
        <f>IF(LEN(_DB_Exercises!BC375)&gt;0,_DB_Exercises!BC375,"")</f>
        <v/>
      </c>
      <c r="AI261" s="31" t="str">
        <f>IF(LEN(_DB_Exercises!BD375)&gt;0,_DB_Exercises!BD375,"")</f>
        <v/>
      </c>
      <c r="AJ261" s="31" t="str">
        <f>IF(LEN(_DB_Exercises!BE375)&gt;0,_DB_Exercises!BE375,"")</f>
        <v/>
      </c>
      <c r="AK261" s="31" t="str">
        <f>IF(LEN(_DB_Exercises!BF375)&gt;0,_DB_Exercises!BF375,"")</f>
        <v/>
      </c>
      <c r="AL261" s="31" t="str">
        <f>IF(LEN(_DB_Exercises!BG375)&gt;0,_DB_Exercises!BG375,"")</f>
        <v/>
      </c>
      <c r="AM261" s="31" t="str">
        <f>IF(LEN(_DB_Exercises!BH375)&gt;0,_DB_Exercises!BH375,"")</f>
        <v/>
      </c>
      <c r="AN261" s="31" t="str">
        <f>IF(LEN(_DB_Exercises!BI375)&gt;0,_DB_Exercises!BI375,"")</f>
        <v/>
      </c>
      <c r="AO261" s="31" t="str">
        <f>IF(LEN(_DB_Exercises!BJ375)&gt;0,_DB_Exercises!BJ375,"")</f>
        <v/>
      </c>
      <c r="AP261" s="31" t="str">
        <f>IF(LEN(_DB_Exercises!BK375)&gt;0,_DB_Exercises!BK375,"")</f>
        <v/>
      </c>
      <c r="AQ261" s="31" t="str">
        <f>IF(LEN(_DB_Exercises!BL375)&gt;0,_DB_Exercises!BL375,"")</f>
        <v/>
      </c>
      <c r="AR261" s="31" t="str">
        <f>IF(LEN(_DB_Exercises!BM375)&gt;0,_DB_Exercises!BM375,"")</f>
        <v/>
      </c>
    </row>
    <row r="262" spans="1:44" x14ac:dyDescent="0.25">
      <c r="A262" s="11" t="str">
        <f>IF(LEN(_DB_Exercises!A376)&gt;0,_DB_Exercises!A376,"")</f>
        <v/>
      </c>
      <c r="B262" s="14" t="str">
        <f>IF(LEN(_DB_Exercises!K376)&gt;0,_DB_Exercises!K376,"")</f>
        <v/>
      </c>
      <c r="C262" s="31" t="str">
        <f>IF(LEN(_DB_Exercises!X376)&gt;0,_DB_Exercises!X376,"")</f>
        <v/>
      </c>
      <c r="D262" s="31" t="str">
        <f>IF(LEN(_DB_Exercises!Y376)&gt;0,_DB_Exercises!Y376,"")</f>
        <v/>
      </c>
      <c r="E262" s="31" t="str">
        <f>IF(LEN(_DB_Exercises!Z376)&gt;0,_DB_Exercises!Z376,"")</f>
        <v/>
      </c>
      <c r="F262" s="31" t="str">
        <f>IF(LEN(_DB_Exercises!AA376)&gt;0,_DB_Exercises!AA376,"")</f>
        <v/>
      </c>
      <c r="G262" s="31" t="str">
        <f>IF(LEN(_DB_Exercises!AB376)&gt;0,_DB_Exercises!AB376,"")</f>
        <v/>
      </c>
      <c r="H262" s="31" t="str">
        <f>IF(LEN(_DB_Exercises!AC376)&gt;0,_DB_Exercises!AC376,"")</f>
        <v/>
      </c>
      <c r="I262" s="31" t="str">
        <f>IF(LEN(_DB_Exercises!AD376)&gt;0,_DB_Exercises!AD376,"")</f>
        <v/>
      </c>
      <c r="J262" s="31" t="str">
        <f>IF(LEN(_DB_Exercises!AE376)&gt;0,_DB_Exercises!AE376,"")</f>
        <v/>
      </c>
      <c r="K262" s="31" t="str">
        <f>IF(LEN(_DB_Exercises!AF376)&gt;0,_DB_Exercises!AF376,"")</f>
        <v/>
      </c>
      <c r="L262" s="31" t="str">
        <f>IF(LEN(_DB_Exercises!AG376)&gt;0,_DB_Exercises!AG376,"")</f>
        <v/>
      </c>
      <c r="M262" s="31" t="str">
        <f>IF(LEN(_DB_Exercises!AH376)&gt;0,_DB_Exercises!AH376,"")</f>
        <v/>
      </c>
      <c r="N262" s="31" t="str">
        <f>IF(LEN(_DB_Exercises!AI376)&gt;0,_DB_Exercises!AI376,"")</f>
        <v/>
      </c>
      <c r="O262" s="31" t="str">
        <f>IF(LEN(_DB_Exercises!AJ376)&gt;0,_DB_Exercises!AJ376,"")</f>
        <v/>
      </c>
      <c r="P262" s="31" t="str">
        <f>IF(LEN(_DB_Exercises!AK376)&gt;0,_DB_Exercises!AK376,"")</f>
        <v/>
      </c>
      <c r="Q262" s="31" t="str">
        <f>IF(LEN(_DB_Exercises!AL376)&gt;0,_DB_Exercises!AL376,"")</f>
        <v/>
      </c>
      <c r="R262" s="31" t="str">
        <f>IF(LEN(_DB_Exercises!AM376)&gt;0,_DB_Exercises!AM376,"")</f>
        <v/>
      </c>
      <c r="S262" s="31" t="str">
        <f>IF(LEN(_DB_Exercises!AN376)&gt;0,_DB_Exercises!AN376,"")</f>
        <v/>
      </c>
      <c r="T262" s="31" t="str">
        <f>IF(LEN(_DB_Exercises!AO376)&gt;0,_DB_Exercises!AO376,"")</f>
        <v/>
      </c>
      <c r="U262" s="31" t="str">
        <f>IF(LEN(_DB_Exercises!AP376)&gt;0,_DB_Exercises!AP376,"")</f>
        <v/>
      </c>
      <c r="V262" s="31" t="str">
        <f>IF(LEN(_DB_Exercises!AQ376)&gt;0,_DB_Exercises!AQ376,"")</f>
        <v/>
      </c>
      <c r="W262" s="31" t="str">
        <f>IF(LEN(_DB_Exercises!AR376)&gt;0,_DB_Exercises!AR376,"")</f>
        <v/>
      </c>
      <c r="X262" s="31" t="str">
        <f>IF(LEN(_DB_Exercises!AS376)&gt;0,_DB_Exercises!AS376,"")</f>
        <v/>
      </c>
      <c r="Y262" s="31" t="str">
        <f>IF(LEN(_DB_Exercises!AT376)&gt;0,_DB_Exercises!AT376,"")</f>
        <v/>
      </c>
      <c r="Z262" s="31" t="str">
        <f>IF(LEN(_DB_Exercises!AU376)&gt;0,_DB_Exercises!AU376,"")</f>
        <v/>
      </c>
      <c r="AA262" s="31" t="str">
        <f>IF(LEN(_DB_Exercises!AV376)&gt;0,_DB_Exercises!AV376,"")</f>
        <v/>
      </c>
      <c r="AB262" s="31" t="str">
        <f>IF(LEN(_DB_Exercises!AW376)&gt;0,_DB_Exercises!AW376,"")</f>
        <v/>
      </c>
      <c r="AC262" s="31" t="str">
        <f>IF(LEN(_DB_Exercises!AX376)&gt;0,_DB_Exercises!AX376,"")</f>
        <v/>
      </c>
      <c r="AD262" s="31" t="str">
        <f>IF(LEN(_DB_Exercises!AY376)&gt;0,_DB_Exercises!AY376,"")</f>
        <v/>
      </c>
      <c r="AE262" s="31" t="str">
        <f>IF(LEN(_DB_Exercises!AZ376)&gt;0,_DB_Exercises!AZ376,"")</f>
        <v/>
      </c>
      <c r="AF262" s="31" t="str">
        <f>IF(LEN(_DB_Exercises!BA376)&gt;0,_DB_Exercises!BA376,"")</f>
        <v/>
      </c>
      <c r="AG262" s="31" t="str">
        <f>IF(LEN(_DB_Exercises!BB376)&gt;0,_DB_Exercises!BB376,"")</f>
        <v/>
      </c>
      <c r="AH262" s="31" t="str">
        <f>IF(LEN(_DB_Exercises!BC376)&gt;0,_DB_Exercises!BC376,"")</f>
        <v/>
      </c>
      <c r="AI262" s="31" t="str">
        <f>IF(LEN(_DB_Exercises!BD376)&gt;0,_DB_Exercises!BD376,"")</f>
        <v/>
      </c>
      <c r="AJ262" s="31" t="str">
        <f>IF(LEN(_DB_Exercises!BE376)&gt;0,_DB_Exercises!BE376,"")</f>
        <v/>
      </c>
      <c r="AK262" s="31" t="str">
        <f>IF(LEN(_DB_Exercises!BF376)&gt;0,_DB_Exercises!BF376,"")</f>
        <v/>
      </c>
      <c r="AL262" s="31" t="str">
        <f>IF(LEN(_DB_Exercises!BG376)&gt;0,_DB_Exercises!BG376,"")</f>
        <v/>
      </c>
      <c r="AM262" s="31" t="str">
        <f>IF(LEN(_DB_Exercises!BH376)&gt;0,_DB_Exercises!BH376,"")</f>
        <v/>
      </c>
      <c r="AN262" s="31" t="str">
        <f>IF(LEN(_DB_Exercises!BI376)&gt;0,_DB_Exercises!BI376,"")</f>
        <v/>
      </c>
      <c r="AO262" s="31" t="str">
        <f>IF(LEN(_DB_Exercises!BJ376)&gt;0,_DB_Exercises!BJ376,"")</f>
        <v/>
      </c>
      <c r="AP262" s="31" t="str">
        <f>IF(LEN(_DB_Exercises!BK376)&gt;0,_DB_Exercises!BK376,"")</f>
        <v/>
      </c>
      <c r="AQ262" s="31" t="str">
        <f>IF(LEN(_DB_Exercises!BL376)&gt;0,_DB_Exercises!BL376,"")</f>
        <v/>
      </c>
      <c r="AR262" s="31" t="str">
        <f>IF(LEN(_DB_Exercises!BM376)&gt;0,_DB_Exercises!BM376,"")</f>
        <v/>
      </c>
    </row>
    <row r="263" spans="1:44" x14ac:dyDescent="0.25">
      <c r="A263" s="11" t="str">
        <f>IF(LEN(_DB_Exercises!A377)&gt;0,_DB_Exercises!A377,"")</f>
        <v/>
      </c>
      <c r="B263" s="14" t="str">
        <f>IF(LEN(_DB_Exercises!K377)&gt;0,_DB_Exercises!K377,"")</f>
        <v/>
      </c>
      <c r="C263" s="31" t="str">
        <f>IF(LEN(_DB_Exercises!X377)&gt;0,_DB_Exercises!X377,"")</f>
        <v/>
      </c>
      <c r="D263" s="31" t="str">
        <f>IF(LEN(_DB_Exercises!Y377)&gt;0,_DB_Exercises!Y377,"")</f>
        <v/>
      </c>
      <c r="E263" s="31" t="str">
        <f>IF(LEN(_DB_Exercises!Z377)&gt;0,_DB_Exercises!Z377,"")</f>
        <v/>
      </c>
      <c r="F263" s="31" t="str">
        <f>IF(LEN(_DB_Exercises!AA377)&gt;0,_DB_Exercises!AA377,"")</f>
        <v/>
      </c>
      <c r="G263" s="31" t="str">
        <f>IF(LEN(_DB_Exercises!AB377)&gt;0,_DB_Exercises!AB377,"")</f>
        <v/>
      </c>
      <c r="H263" s="31" t="str">
        <f>IF(LEN(_DB_Exercises!AC377)&gt;0,_DB_Exercises!AC377,"")</f>
        <v/>
      </c>
      <c r="I263" s="31" t="str">
        <f>IF(LEN(_DB_Exercises!AD377)&gt;0,_DB_Exercises!AD377,"")</f>
        <v/>
      </c>
      <c r="J263" s="31" t="str">
        <f>IF(LEN(_DB_Exercises!AE377)&gt;0,_DB_Exercises!AE377,"")</f>
        <v/>
      </c>
      <c r="K263" s="31" t="str">
        <f>IF(LEN(_DB_Exercises!AF377)&gt;0,_DB_Exercises!AF377,"")</f>
        <v/>
      </c>
      <c r="L263" s="31" t="str">
        <f>IF(LEN(_DB_Exercises!AG377)&gt;0,_DB_Exercises!AG377,"")</f>
        <v/>
      </c>
      <c r="M263" s="31" t="str">
        <f>IF(LEN(_DB_Exercises!AH377)&gt;0,_DB_Exercises!AH377,"")</f>
        <v/>
      </c>
      <c r="N263" s="31" t="str">
        <f>IF(LEN(_DB_Exercises!AI377)&gt;0,_DB_Exercises!AI377,"")</f>
        <v/>
      </c>
      <c r="O263" s="31" t="str">
        <f>IF(LEN(_DB_Exercises!AJ377)&gt;0,_DB_Exercises!AJ377,"")</f>
        <v/>
      </c>
      <c r="P263" s="31" t="str">
        <f>IF(LEN(_DB_Exercises!AK377)&gt;0,_DB_Exercises!AK377,"")</f>
        <v/>
      </c>
      <c r="Q263" s="31" t="str">
        <f>IF(LEN(_DB_Exercises!AL377)&gt;0,_DB_Exercises!AL377,"")</f>
        <v/>
      </c>
      <c r="R263" s="31" t="str">
        <f>IF(LEN(_DB_Exercises!AM377)&gt;0,_DB_Exercises!AM377,"")</f>
        <v/>
      </c>
      <c r="S263" s="31" t="str">
        <f>IF(LEN(_DB_Exercises!AN377)&gt;0,_DB_Exercises!AN377,"")</f>
        <v/>
      </c>
      <c r="T263" s="31" t="str">
        <f>IF(LEN(_DB_Exercises!AO377)&gt;0,_DB_Exercises!AO377,"")</f>
        <v/>
      </c>
      <c r="U263" s="31" t="str">
        <f>IF(LEN(_DB_Exercises!AP377)&gt;0,_DB_Exercises!AP377,"")</f>
        <v/>
      </c>
      <c r="V263" s="31" t="str">
        <f>IF(LEN(_DB_Exercises!AQ377)&gt;0,_DB_Exercises!AQ377,"")</f>
        <v/>
      </c>
      <c r="W263" s="31" t="str">
        <f>IF(LEN(_DB_Exercises!AR377)&gt;0,_DB_Exercises!AR377,"")</f>
        <v/>
      </c>
      <c r="X263" s="31" t="str">
        <f>IF(LEN(_DB_Exercises!AS377)&gt;0,_DB_Exercises!AS377,"")</f>
        <v/>
      </c>
      <c r="Y263" s="31" t="str">
        <f>IF(LEN(_DB_Exercises!AT377)&gt;0,_DB_Exercises!AT377,"")</f>
        <v/>
      </c>
      <c r="Z263" s="31" t="str">
        <f>IF(LEN(_DB_Exercises!AU377)&gt;0,_DB_Exercises!AU377,"")</f>
        <v/>
      </c>
      <c r="AA263" s="31" t="str">
        <f>IF(LEN(_DB_Exercises!AV377)&gt;0,_DB_Exercises!AV377,"")</f>
        <v/>
      </c>
      <c r="AB263" s="31" t="str">
        <f>IF(LEN(_DB_Exercises!AW377)&gt;0,_DB_Exercises!AW377,"")</f>
        <v/>
      </c>
      <c r="AC263" s="31" t="str">
        <f>IF(LEN(_DB_Exercises!AX377)&gt;0,_DB_Exercises!AX377,"")</f>
        <v/>
      </c>
      <c r="AD263" s="31" t="str">
        <f>IF(LEN(_DB_Exercises!AY377)&gt;0,_DB_Exercises!AY377,"")</f>
        <v/>
      </c>
      <c r="AE263" s="31" t="str">
        <f>IF(LEN(_DB_Exercises!AZ377)&gt;0,_DB_Exercises!AZ377,"")</f>
        <v/>
      </c>
      <c r="AF263" s="31" t="str">
        <f>IF(LEN(_DB_Exercises!BA377)&gt;0,_DB_Exercises!BA377,"")</f>
        <v/>
      </c>
      <c r="AG263" s="31" t="str">
        <f>IF(LEN(_DB_Exercises!BB377)&gt;0,_DB_Exercises!BB377,"")</f>
        <v/>
      </c>
      <c r="AH263" s="31" t="str">
        <f>IF(LEN(_DB_Exercises!BC377)&gt;0,_DB_Exercises!BC377,"")</f>
        <v/>
      </c>
      <c r="AI263" s="31" t="str">
        <f>IF(LEN(_DB_Exercises!BD377)&gt;0,_DB_Exercises!BD377,"")</f>
        <v/>
      </c>
      <c r="AJ263" s="31" t="str">
        <f>IF(LEN(_DB_Exercises!BE377)&gt;0,_DB_Exercises!BE377,"")</f>
        <v/>
      </c>
      <c r="AK263" s="31" t="str">
        <f>IF(LEN(_DB_Exercises!BF377)&gt;0,_DB_Exercises!BF377,"")</f>
        <v/>
      </c>
      <c r="AL263" s="31" t="str">
        <f>IF(LEN(_DB_Exercises!BG377)&gt;0,_DB_Exercises!BG377,"")</f>
        <v/>
      </c>
      <c r="AM263" s="31" t="str">
        <f>IF(LEN(_DB_Exercises!BH377)&gt;0,_DB_Exercises!BH377,"")</f>
        <v/>
      </c>
      <c r="AN263" s="31" t="str">
        <f>IF(LEN(_DB_Exercises!BI377)&gt;0,_DB_Exercises!BI377,"")</f>
        <v/>
      </c>
      <c r="AO263" s="31" t="str">
        <f>IF(LEN(_DB_Exercises!BJ377)&gt;0,_DB_Exercises!BJ377,"")</f>
        <v/>
      </c>
      <c r="AP263" s="31" t="str">
        <f>IF(LEN(_DB_Exercises!BK377)&gt;0,_DB_Exercises!BK377,"")</f>
        <v/>
      </c>
      <c r="AQ263" s="31" t="str">
        <f>IF(LEN(_DB_Exercises!BL377)&gt;0,_DB_Exercises!BL377,"")</f>
        <v/>
      </c>
      <c r="AR263" s="31" t="str">
        <f>IF(LEN(_DB_Exercises!BM377)&gt;0,_DB_Exercises!BM377,"")</f>
        <v/>
      </c>
    </row>
    <row r="264" spans="1:44" x14ac:dyDescent="0.25">
      <c r="A264" s="11" t="str">
        <f>IF(LEN(_DB_Exercises!A378)&gt;0,_DB_Exercises!A378,"")</f>
        <v/>
      </c>
      <c r="B264" s="14" t="str">
        <f>IF(LEN(_DB_Exercises!K378)&gt;0,_DB_Exercises!K378,"")</f>
        <v/>
      </c>
      <c r="C264" s="31" t="str">
        <f>IF(LEN(_DB_Exercises!X378)&gt;0,_DB_Exercises!X378,"")</f>
        <v/>
      </c>
      <c r="D264" s="31" t="str">
        <f>IF(LEN(_DB_Exercises!Y378)&gt;0,_DB_Exercises!Y378,"")</f>
        <v/>
      </c>
      <c r="E264" s="31" t="str">
        <f>IF(LEN(_DB_Exercises!Z378)&gt;0,_DB_Exercises!Z378,"")</f>
        <v/>
      </c>
      <c r="F264" s="31" t="str">
        <f>IF(LEN(_DB_Exercises!AA378)&gt;0,_DB_Exercises!AA378,"")</f>
        <v/>
      </c>
      <c r="G264" s="31" t="str">
        <f>IF(LEN(_DB_Exercises!AB378)&gt;0,_DB_Exercises!AB378,"")</f>
        <v/>
      </c>
      <c r="H264" s="31" t="str">
        <f>IF(LEN(_DB_Exercises!AC378)&gt;0,_DB_Exercises!AC378,"")</f>
        <v/>
      </c>
      <c r="I264" s="31" t="str">
        <f>IF(LEN(_DB_Exercises!AD378)&gt;0,_DB_Exercises!AD378,"")</f>
        <v/>
      </c>
      <c r="J264" s="31" t="str">
        <f>IF(LEN(_DB_Exercises!AE378)&gt;0,_DB_Exercises!AE378,"")</f>
        <v/>
      </c>
      <c r="K264" s="31" t="str">
        <f>IF(LEN(_DB_Exercises!AF378)&gt;0,_DB_Exercises!AF378,"")</f>
        <v/>
      </c>
      <c r="L264" s="31" t="str">
        <f>IF(LEN(_DB_Exercises!AG378)&gt;0,_DB_Exercises!AG378,"")</f>
        <v/>
      </c>
      <c r="M264" s="31" t="str">
        <f>IF(LEN(_DB_Exercises!AH378)&gt;0,_DB_Exercises!AH378,"")</f>
        <v/>
      </c>
      <c r="N264" s="31" t="str">
        <f>IF(LEN(_DB_Exercises!AI378)&gt;0,_DB_Exercises!AI378,"")</f>
        <v/>
      </c>
      <c r="O264" s="31" t="str">
        <f>IF(LEN(_DB_Exercises!AJ378)&gt;0,_DB_Exercises!AJ378,"")</f>
        <v/>
      </c>
      <c r="P264" s="31" t="str">
        <f>IF(LEN(_DB_Exercises!AK378)&gt;0,_DB_Exercises!AK378,"")</f>
        <v/>
      </c>
      <c r="Q264" s="31" t="str">
        <f>IF(LEN(_DB_Exercises!AL378)&gt;0,_DB_Exercises!AL378,"")</f>
        <v/>
      </c>
      <c r="R264" s="31" t="str">
        <f>IF(LEN(_DB_Exercises!AM378)&gt;0,_DB_Exercises!AM378,"")</f>
        <v/>
      </c>
      <c r="S264" s="31" t="str">
        <f>IF(LEN(_DB_Exercises!AN378)&gt;0,_DB_Exercises!AN378,"")</f>
        <v/>
      </c>
      <c r="T264" s="31" t="str">
        <f>IF(LEN(_DB_Exercises!AO378)&gt;0,_DB_Exercises!AO378,"")</f>
        <v/>
      </c>
      <c r="U264" s="31" t="str">
        <f>IF(LEN(_DB_Exercises!AP378)&gt;0,_DB_Exercises!AP378,"")</f>
        <v/>
      </c>
      <c r="V264" s="31" t="str">
        <f>IF(LEN(_DB_Exercises!AQ378)&gt;0,_DB_Exercises!AQ378,"")</f>
        <v/>
      </c>
      <c r="W264" s="31" t="str">
        <f>IF(LEN(_DB_Exercises!AR378)&gt;0,_DB_Exercises!AR378,"")</f>
        <v/>
      </c>
      <c r="X264" s="31" t="str">
        <f>IF(LEN(_DB_Exercises!AS378)&gt;0,_DB_Exercises!AS378,"")</f>
        <v/>
      </c>
      <c r="Y264" s="31" t="str">
        <f>IF(LEN(_DB_Exercises!AT378)&gt;0,_DB_Exercises!AT378,"")</f>
        <v/>
      </c>
      <c r="Z264" s="31" t="str">
        <f>IF(LEN(_DB_Exercises!AU378)&gt;0,_DB_Exercises!AU378,"")</f>
        <v/>
      </c>
      <c r="AA264" s="31" t="str">
        <f>IF(LEN(_DB_Exercises!AV378)&gt;0,_DB_Exercises!AV378,"")</f>
        <v/>
      </c>
      <c r="AB264" s="31" t="str">
        <f>IF(LEN(_DB_Exercises!AW378)&gt;0,_DB_Exercises!AW378,"")</f>
        <v/>
      </c>
      <c r="AC264" s="31" t="str">
        <f>IF(LEN(_DB_Exercises!AX378)&gt;0,_DB_Exercises!AX378,"")</f>
        <v/>
      </c>
      <c r="AD264" s="31" t="str">
        <f>IF(LEN(_DB_Exercises!AY378)&gt;0,_DB_Exercises!AY378,"")</f>
        <v/>
      </c>
      <c r="AE264" s="31" t="str">
        <f>IF(LEN(_DB_Exercises!AZ378)&gt;0,_DB_Exercises!AZ378,"")</f>
        <v/>
      </c>
      <c r="AF264" s="31" t="str">
        <f>IF(LEN(_DB_Exercises!BA378)&gt;0,_DB_Exercises!BA378,"")</f>
        <v/>
      </c>
      <c r="AG264" s="31" t="str">
        <f>IF(LEN(_DB_Exercises!BB378)&gt;0,_DB_Exercises!BB378,"")</f>
        <v/>
      </c>
      <c r="AH264" s="31" t="str">
        <f>IF(LEN(_DB_Exercises!BC378)&gt;0,_DB_Exercises!BC378,"")</f>
        <v/>
      </c>
      <c r="AI264" s="31" t="str">
        <f>IF(LEN(_DB_Exercises!BD378)&gt;0,_DB_Exercises!BD378,"")</f>
        <v/>
      </c>
      <c r="AJ264" s="31" t="str">
        <f>IF(LEN(_DB_Exercises!BE378)&gt;0,_DB_Exercises!BE378,"")</f>
        <v/>
      </c>
      <c r="AK264" s="31" t="str">
        <f>IF(LEN(_DB_Exercises!BF378)&gt;0,_DB_Exercises!BF378,"")</f>
        <v/>
      </c>
      <c r="AL264" s="31" t="str">
        <f>IF(LEN(_DB_Exercises!BG378)&gt;0,_DB_Exercises!BG378,"")</f>
        <v/>
      </c>
      <c r="AM264" s="31" t="str">
        <f>IF(LEN(_DB_Exercises!BH378)&gt;0,_DB_Exercises!BH378,"")</f>
        <v/>
      </c>
      <c r="AN264" s="31" t="str">
        <f>IF(LEN(_DB_Exercises!BI378)&gt;0,_DB_Exercises!BI378,"")</f>
        <v/>
      </c>
      <c r="AO264" s="31" t="str">
        <f>IF(LEN(_DB_Exercises!BJ378)&gt;0,_DB_Exercises!BJ378,"")</f>
        <v/>
      </c>
      <c r="AP264" s="31" t="str">
        <f>IF(LEN(_DB_Exercises!BK378)&gt;0,_DB_Exercises!BK378,"")</f>
        <v/>
      </c>
      <c r="AQ264" s="31" t="str">
        <f>IF(LEN(_DB_Exercises!BL378)&gt;0,_DB_Exercises!BL378,"")</f>
        <v/>
      </c>
      <c r="AR264" s="31" t="str">
        <f>IF(LEN(_DB_Exercises!BM378)&gt;0,_DB_Exercises!BM378,"")</f>
        <v/>
      </c>
    </row>
    <row r="265" spans="1:44" x14ac:dyDescent="0.25">
      <c r="A265" s="11" t="str">
        <f>IF(LEN(_DB_Exercises!A379)&gt;0,_DB_Exercises!A379,"")</f>
        <v/>
      </c>
      <c r="B265" s="14" t="str">
        <f>IF(LEN(_DB_Exercises!K379)&gt;0,_DB_Exercises!K379,"")</f>
        <v/>
      </c>
      <c r="C265" s="31" t="str">
        <f>IF(LEN(_DB_Exercises!X379)&gt;0,_DB_Exercises!X379,"")</f>
        <v/>
      </c>
      <c r="D265" s="31" t="str">
        <f>IF(LEN(_DB_Exercises!Y379)&gt;0,_DB_Exercises!Y379,"")</f>
        <v/>
      </c>
      <c r="E265" s="31" t="str">
        <f>IF(LEN(_DB_Exercises!Z379)&gt;0,_DB_Exercises!Z379,"")</f>
        <v/>
      </c>
      <c r="F265" s="31" t="str">
        <f>IF(LEN(_DB_Exercises!AA379)&gt;0,_DB_Exercises!AA379,"")</f>
        <v/>
      </c>
      <c r="G265" s="31" t="str">
        <f>IF(LEN(_DB_Exercises!AB379)&gt;0,_DB_Exercises!AB379,"")</f>
        <v/>
      </c>
      <c r="H265" s="31" t="str">
        <f>IF(LEN(_DB_Exercises!AC379)&gt;0,_DB_Exercises!AC379,"")</f>
        <v/>
      </c>
      <c r="I265" s="31" t="str">
        <f>IF(LEN(_DB_Exercises!AD379)&gt;0,_DB_Exercises!AD379,"")</f>
        <v/>
      </c>
      <c r="J265" s="31" t="str">
        <f>IF(LEN(_DB_Exercises!AE379)&gt;0,_DB_Exercises!AE379,"")</f>
        <v/>
      </c>
      <c r="K265" s="31" t="str">
        <f>IF(LEN(_DB_Exercises!AF379)&gt;0,_DB_Exercises!AF379,"")</f>
        <v/>
      </c>
      <c r="L265" s="31" t="str">
        <f>IF(LEN(_DB_Exercises!AG379)&gt;0,_DB_Exercises!AG379,"")</f>
        <v/>
      </c>
      <c r="M265" s="31" t="str">
        <f>IF(LEN(_DB_Exercises!AH379)&gt;0,_DB_Exercises!AH379,"")</f>
        <v/>
      </c>
      <c r="N265" s="31" t="str">
        <f>IF(LEN(_DB_Exercises!AI379)&gt;0,_DB_Exercises!AI379,"")</f>
        <v/>
      </c>
      <c r="O265" s="31" t="str">
        <f>IF(LEN(_DB_Exercises!AJ379)&gt;0,_DB_Exercises!AJ379,"")</f>
        <v/>
      </c>
      <c r="P265" s="31" t="str">
        <f>IF(LEN(_DB_Exercises!AK379)&gt;0,_DB_Exercises!AK379,"")</f>
        <v/>
      </c>
      <c r="Q265" s="31" t="str">
        <f>IF(LEN(_DB_Exercises!AL379)&gt;0,_DB_Exercises!AL379,"")</f>
        <v/>
      </c>
      <c r="R265" s="31" t="str">
        <f>IF(LEN(_DB_Exercises!AM379)&gt;0,_DB_Exercises!AM379,"")</f>
        <v/>
      </c>
      <c r="S265" s="31" t="str">
        <f>IF(LEN(_DB_Exercises!AN379)&gt;0,_DB_Exercises!AN379,"")</f>
        <v/>
      </c>
      <c r="T265" s="31" t="str">
        <f>IF(LEN(_DB_Exercises!AO379)&gt;0,_DB_Exercises!AO379,"")</f>
        <v/>
      </c>
      <c r="U265" s="31" t="str">
        <f>IF(LEN(_DB_Exercises!AP379)&gt;0,_DB_Exercises!AP379,"")</f>
        <v/>
      </c>
      <c r="V265" s="31" t="str">
        <f>IF(LEN(_DB_Exercises!AQ379)&gt;0,_DB_Exercises!AQ379,"")</f>
        <v/>
      </c>
      <c r="W265" s="31" t="str">
        <f>IF(LEN(_DB_Exercises!AR379)&gt;0,_DB_Exercises!AR379,"")</f>
        <v/>
      </c>
      <c r="X265" s="31" t="str">
        <f>IF(LEN(_DB_Exercises!AS379)&gt;0,_DB_Exercises!AS379,"")</f>
        <v/>
      </c>
      <c r="Y265" s="31" t="str">
        <f>IF(LEN(_DB_Exercises!AT379)&gt;0,_DB_Exercises!AT379,"")</f>
        <v/>
      </c>
      <c r="Z265" s="31" t="str">
        <f>IF(LEN(_DB_Exercises!AU379)&gt;0,_DB_Exercises!AU379,"")</f>
        <v/>
      </c>
      <c r="AA265" s="31" t="str">
        <f>IF(LEN(_DB_Exercises!AV379)&gt;0,_DB_Exercises!AV379,"")</f>
        <v/>
      </c>
      <c r="AB265" s="31" t="str">
        <f>IF(LEN(_DB_Exercises!AW379)&gt;0,_DB_Exercises!AW379,"")</f>
        <v/>
      </c>
      <c r="AC265" s="31" t="str">
        <f>IF(LEN(_DB_Exercises!AX379)&gt;0,_DB_Exercises!AX379,"")</f>
        <v/>
      </c>
      <c r="AD265" s="31" t="str">
        <f>IF(LEN(_DB_Exercises!AY379)&gt;0,_DB_Exercises!AY379,"")</f>
        <v/>
      </c>
      <c r="AE265" s="31" t="str">
        <f>IF(LEN(_DB_Exercises!AZ379)&gt;0,_DB_Exercises!AZ379,"")</f>
        <v/>
      </c>
      <c r="AF265" s="31" t="str">
        <f>IF(LEN(_DB_Exercises!BA379)&gt;0,_DB_Exercises!BA379,"")</f>
        <v/>
      </c>
      <c r="AG265" s="31" t="str">
        <f>IF(LEN(_DB_Exercises!BB379)&gt;0,_DB_Exercises!BB379,"")</f>
        <v/>
      </c>
      <c r="AH265" s="31" t="str">
        <f>IF(LEN(_DB_Exercises!BC379)&gt;0,_DB_Exercises!BC379,"")</f>
        <v/>
      </c>
      <c r="AI265" s="31" t="str">
        <f>IF(LEN(_DB_Exercises!BD379)&gt;0,_DB_Exercises!BD379,"")</f>
        <v/>
      </c>
      <c r="AJ265" s="31" t="str">
        <f>IF(LEN(_DB_Exercises!BE379)&gt;0,_DB_Exercises!BE379,"")</f>
        <v/>
      </c>
      <c r="AK265" s="31" t="str">
        <f>IF(LEN(_DB_Exercises!BF379)&gt;0,_DB_Exercises!BF379,"")</f>
        <v/>
      </c>
      <c r="AL265" s="31" t="str">
        <f>IF(LEN(_DB_Exercises!BG379)&gt;0,_DB_Exercises!BG379,"")</f>
        <v/>
      </c>
      <c r="AM265" s="31" t="str">
        <f>IF(LEN(_DB_Exercises!BH379)&gt;0,_DB_Exercises!BH379,"")</f>
        <v/>
      </c>
      <c r="AN265" s="31" t="str">
        <f>IF(LEN(_DB_Exercises!BI379)&gt;0,_DB_Exercises!BI379,"")</f>
        <v/>
      </c>
      <c r="AO265" s="31" t="str">
        <f>IF(LEN(_DB_Exercises!BJ379)&gt;0,_DB_Exercises!BJ379,"")</f>
        <v/>
      </c>
      <c r="AP265" s="31" t="str">
        <f>IF(LEN(_DB_Exercises!BK379)&gt;0,_DB_Exercises!BK379,"")</f>
        <v/>
      </c>
      <c r="AQ265" s="31" t="str">
        <f>IF(LEN(_DB_Exercises!BL379)&gt;0,_DB_Exercises!BL379,"")</f>
        <v/>
      </c>
      <c r="AR265" s="31" t="str">
        <f>IF(LEN(_DB_Exercises!BM379)&gt;0,_DB_Exercises!BM379,"")</f>
        <v/>
      </c>
    </row>
    <row r="266" spans="1:44" x14ac:dyDescent="0.25">
      <c r="A266" s="11" t="str">
        <f>IF(LEN(_DB_Exercises!A380)&gt;0,_DB_Exercises!A380,"")</f>
        <v/>
      </c>
      <c r="B266" s="14" t="str">
        <f>IF(LEN(_DB_Exercises!K380)&gt;0,_DB_Exercises!K380,"")</f>
        <v/>
      </c>
      <c r="C266" s="31" t="str">
        <f>IF(LEN(_DB_Exercises!X380)&gt;0,_DB_Exercises!X380,"")</f>
        <v/>
      </c>
      <c r="D266" s="31" t="str">
        <f>IF(LEN(_DB_Exercises!Y380)&gt;0,_DB_Exercises!Y380,"")</f>
        <v/>
      </c>
      <c r="E266" s="31" t="str">
        <f>IF(LEN(_DB_Exercises!Z380)&gt;0,_DB_Exercises!Z380,"")</f>
        <v/>
      </c>
      <c r="F266" s="31" t="str">
        <f>IF(LEN(_DB_Exercises!AA380)&gt;0,_DB_Exercises!AA380,"")</f>
        <v/>
      </c>
      <c r="G266" s="31" t="str">
        <f>IF(LEN(_DB_Exercises!AB380)&gt;0,_DB_Exercises!AB380,"")</f>
        <v/>
      </c>
      <c r="H266" s="31" t="str">
        <f>IF(LEN(_DB_Exercises!AC380)&gt;0,_DB_Exercises!AC380,"")</f>
        <v/>
      </c>
      <c r="I266" s="31" t="str">
        <f>IF(LEN(_DB_Exercises!AD380)&gt;0,_DB_Exercises!AD380,"")</f>
        <v/>
      </c>
      <c r="J266" s="31" t="str">
        <f>IF(LEN(_DB_Exercises!AE380)&gt;0,_DB_Exercises!AE380,"")</f>
        <v/>
      </c>
      <c r="K266" s="31" t="str">
        <f>IF(LEN(_DB_Exercises!AF380)&gt;0,_DB_Exercises!AF380,"")</f>
        <v/>
      </c>
      <c r="L266" s="31" t="str">
        <f>IF(LEN(_DB_Exercises!AG380)&gt;0,_DB_Exercises!AG380,"")</f>
        <v/>
      </c>
      <c r="M266" s="31" t="str">
        <f>IF(LEN(_DB_Exercises!AH380)&gt;0,_DB_Exercises!AH380,"")</f>
        <v/>
      </c>
      <c r="N266" s="31" t="str">
        <f>IF(LEN(_DB_Exercises!AI380)&gt;0,_DB_Exercises!AI380,"")</f>
        <v/>
      </c>
      <c r="O266" s="31" t="str">
        <f>IF(LEN(_DB_Exercises!AJ380)&gt;0,_DB_Exercises!AJ380,"")</f>
        <v/>
      </c>
      <c r="P266" s="31" t="str">
        <f>IF(LEN(_DB_Exercises!AK380)&gt;0,_DB_Exercises!AK380,"")</f>
        <v/>
      </c>
      <c r="Q266" s="31" t="str">
        <f>IF(LEN(_DB_Exercises!AL380)&gt;0,_DB_Exercises!AL380,"")</f>
        <v/>
      </c>
      <c r="R266" s="31" t="str">
        <f>IF(LEN(_DB_Exercises!AM380)&gt;0,_DB_Exercises!AM380,"")</f>
        <v/>
      </c>
      <c r="S266" s="31" t="str">
        <f>IF(LEN(_DB_Exercises!AN380)&gt;0,_DB_Exercises!AN380,"")</f>
        <v/>
      </c>
      <c r="T266" s="31" t="str">
        <f>IF(LEN(_DB_Exercises!AO380)&gt;0,_DB_Exercises!AO380,"")</f>
        <v/>
      </c>
      <c r="U266" s="31" t="str">
        <f>IF(LEN(_DB_Exercises!AP380)&gt;0,_DB_Exercises!AP380,"")</f>
        <v/>
      </c>
      <c r="V266" s="31" t="str">
        <f>IF(LEN(_DB_Exercises!AQ380)&gt;0,_DB_Exercises!AQ380,"")</f>
        <v/>
      </c>
      <c r="W266" s="31" t="str">
        <f>IF(LEN(_DB_Exercises!AR380)&gt;0,_DB_Exercises!AR380,"")</f>
        <v/>
      </c>
      <c r="X266" s="31" t="str">
        <f>IF(LEN(_DB_Exercises!AS380)&gt;0,_DB_Exercises!AS380,"")</f>
        <v/>
      </c>
      <c r="Y266" s="31" t="str">
        <f>IF(LEN(_DB_Exercises!AT380)&gt;0,_DB_Exercises!AT380,"")</f>
        <v/>
      </c>
      <c r="Z266" s="31" t="str">
        <f>IF(LEN(_DB_Exercises!AU380)&gt;0,_DB_Exercises!AU380,"")</f>
        <v/>
      </c>
      <c r="AA266" s="31" t="str">
        <f>IF(LEN(_DB_Exercises!AV380)&gt;0,_DB_Exercises!AV380,"")</f>
        <v/>
      </c>
      <c r="AB266" s="31" t="str">
        <f>IF(LEN(_DB_Exercises!AW380)&gt;0,_DB_Exercises!AW380,"")</f>
        <v/>
      </c>
      <c r="AC266" s="31" t="str">
        <f>IF(LEN(_DB_Exercises!AX380)&gt;0,_DB_Exercises!AX380,"")</f>
        <v/>
      </c>
      <c r="AD266" s="31" t="str">
        <f>IF(LEN(_DB_Exercises!AY380)&gt;0,_DB_Exercises!AY380,"")</f>
        <v/>
      </c>
      <c r="AE266" s="31" t="str">
        <f>IF(LEN(_DB_Exercises!AZ380)&gt;0,_DB_Exercises!AZ380,"")</f>
        <v/>
      </c>
      <c r="AF266" s="31" t="str">
        <f>IF(LEN(_DB_Exercises!BA380)&gt;0,_DB_Exercises!BA380,"")</f>
        <v/>
      </c>
      <c r="AG266" s="31" t="str">
        <f>IF(LEN(_DB_Exercises!BB380)&gt;0,_DB_Exercises!BB380,"")</f>
        <v/>
      </c>
      <c r="AH266" s="31" t="str">
        <f>IF(LEN(_DB_Exercises!BC380)&gt;0,_DB_Exercises!BC380,"")</f>
        <v/>
      </c>
      <c r="AI266" s="31" t="str">
        <f>IF(LEN(_DB_Exercises!BD380)&gt;0,_DB_Exercises!BD380,"")</f>
        <v/>
      </c>
      <c r="AJ266" s="31" t="str">
        <f>IF(LEN(_DB_Exercises!BE380)&gt;0,_DB_Exercises!BE380,"")</f>
        <v/>
      </c>
      <c r="AK266" s="31" t="str">
        <f>IF(LEN(_DB_Exercises!BF380)&gt;0,_DB_Exercises!BF380,"")</f>
        <v/>
      </c>
      <c r="AL266" s="31" t="str">
        <f>IF(LEN(_DB_Exercises!BG380)&gt;0,_DB_Exercises!BG380,"")</f>
        <v/>
      </c>
      <c r="AM266" s="31" t="str">
        <f>IF(LEN(_DB_Exercises!BH380)&gt;0,_DB_Exercises!BH380,"")</f>
        <v/>
      </c>
      <c r="AN266" s="31" t="str">
        <f>IF(LEN(_DB_Exercises!BI380)&gt;0,_DB_Exercises!BI380,"")</f>
        <v/>
      </c>
      <c r="AO266" s="31" t="str">
        <f>IF(LEN(_DB_Exercises!BJ380)&gt;0,_DB_Exercises!BJ380,"")</f>
        <v/>
      </c>
      <c r="AP266" s="31" t="str">
        <f>IF(LEN(_DB_Exercises!BK380)&gt;0,_DB_Exercises!BK380,"")</f>
        <v/>
      </c>
      <c r="AQ266" s="31" t="str">
        <f>IF(LEN(_DB_Exercises!BL380)&gt;0,_DB_Exercises!BL380,"")</f>
        <v/>
      </c>
      <c r="AR266" s="31" t="str">
        <f>IF(LEN(_DB_Exercises!BM380)&gt;0,_DB_Exercises!BM380,"")</f>
        <v/>
      </c>
    </row>
    <row r="267" spans="1:44" x14ac:dyDescent="0.25">
      <c r="A267" s="11" t="str">
        <f>IF(LEN(_DB_Exercises!A381)&gt;0,_DB_Exercises!A381,"")</f>
        <v/>
      </c>
      <c r="B267" s="14" t="str">
        <f>IF(LEN(_DB_Exercises!K381)&gt;0,_DB_Exercises!K381,"")</f>
        <v/>
      </c>
      <c r="C267" s="31" t="str">
        <f>IF(LEN(_DB_Exercises!X381)&gt;0,_DB_Exercises!X381,"")</f>
        <v/>
      </c>
      <c r="D267" s="31" t="str">
        <f>IF(LEN(_DB_Exercises!Y381)&gt;0,_DB_Exercises!Y381,"")</f>
        <v/>
      </c>
      <c r="E267" s="31" t="str">
        <f>IF(LEN(_DB_Exercises!Z381)&gt;0,_DB_Exercises!Z381,"")</f>
        <v/>
      </c>
      <c r="F267" s="31" t="str">
        <f>IF(LEN(_DB_Exercises!AA381)&gt;0,_DB_Exercises!AA381,"")</f>
        <v/>
      </c>
      <c r="G267" s="31" t="str">
        <f>IF(LEN(_DB_Exercises!AB381)&gt;0,_DB_Exercises!AB381,"")</f>
        <v/>
      </c>
      <c r="H267" s="31" t="str">
        <f>IF(LEN(_DB_Exercises!AC381)&gt;0,_DB_Exercises!AC381,"")</f>
        <v/>
      </c>
      <c r="I267" s="31" t="str">
        <f>IF(LEN(_DB_Exercises!AD381)&gt;0,_DB_Exercises!AD381,"")</f>
        <v/>
      </c>
      <c r="J267" s="31" t="str">
        <f>IF(LEN(_DB_Exercises!AE381)&gt;0,_DB_Exercises!AE381,"")</f>
        <v/>
      </c>
      <c r="K267" s="31" t="str">
        <f>IF(LEN(_DB_Exercises!AF381)&gt;0,_DB_Exercises!AF381,"")</f>
        <v/>
      </c>
      <c r="L267" s="31" t="str">
        <f>IF(LEN(_DB_Exercises!AG381)&gt;0,_DB_Exercises!AG381,"")</f>
        <v/>
      </c>
      <c r="M267" s="31" t="str">
        <f>IF(LEN(_DB_Exercises!AH381)&gt;0,_DB_Exercises!AH381,"")</f>
        <v/>
      </c>
      <c r="N267" s="31" t="str">
        <f>IF(LEN(_DB_Exercises!AI381)&gt;0,_DB_Exercises!AI381,"")</f>
        <v/>
      </c>
      <c r="O267" s="31" t="str">
        <f>IF(LEN(_DB_Exercises!AJ381)&gt;0,_DB_Exercises!AJ381,"")</f>
        <v/>
      </c>
      <c r="P267" s="31" t="str">
        <f>IF(LEN(_DB_Exercises!AK381)&gt;0,_DB_Exercises!AK381,"")</f>
        <v/>
      </c>
      <c r="Q267" s="31" t="str">
        <f>IF(LEN(_DB_Exercises!AL381)&gt;0,_DB_Exercises!AL381,"")</f>
        <v/>
      </c>
      <c r="R267" s="31" t="str">
        <f>IF(LEN(_DB_Exercises!AM381)&gt;0,_DB_Exercises!AM381,"")</f>
        <v/>
      </c>
      <c r="S267" s="31" t="str">
        <f>IF(LEN(_DB_Exercises!AN381)&gt;0,_DB_Exercises!AN381,"")</f>
        <v/>
      </c>
      <c r="T267" s="31" t="str">
        <f>IF(LEN(_DB_Exercises!AO381)&gt;0,_DB_Exercises!AO381,"")</f>
        <v/>
      </c>
      <c r="U267" s="31" t="str">
        <f>IF(LEN(_DB_Exercises!AP381)&gt;0,_DB_Exercises!AP381,"")</f>
        <v/>
      </c>
      <c r="V267" s="31" t="str">
        <f>IF(LEN(_DB_Exercises!AQ381)&gt;0,_DB_Exercises!AQ381,"")</f>
        <v/>
      </c>
      <c r="W267" s="31" t="str">
        <f>IF(LEN(_DB_Exercises!AR381)&gt;0,_DB_Exercises!AR381,"")</f>
        <v/>
      </c>
      <c r="X267" s="31" t="str">
        <f>IF(LEN(_DB_Exercises!AS381)&gt;0,_DB_Exercises!AS381,"")</f>
        <v/>
      </c>
      <c r="Y267" s="31" t="str">
        <f>IF(LEN(_DB_Exercises!AT381)&gt;0,_DB_Exercises!AT381,"")</f>
        <v/>
      </c>
      <c r="Z267" s="31" t="str">
        <f>IF(LEN(_DB_Exercises!AU381)&gt;0,_DB_Exercises!AU381,"")</f>
        <v/>
      </c>
      <c r="AA267" s="31" t="str">
        <f>IF(LEN(_DB_Exercises!AV381)&gt;0,_DB_Exercises!AV381,"")</f>
        <v/>
      </c>
      <c r="AB267" s="31" t="str">
        <f>IF(LEN(_DB_Exercises!AW381)&gt;0,_DB_Exercises!AW381,"")</f>
        <v/>
      </c>
      <c r="AC267" s="31" t="str">
        <f>IF(LEN(_DB_Exercises!AX381)&gt;0,_DB_Exercises!AX381,"")</f>
        <v/>
      </c>
      <c r="AD267" s="31" t="str">
        <f>IF(LEN(_DB_Exercises!AY381)&gt;0,_DB_Exercises!AY381,"")</f>
        <v/>
      </c>
      <c r="AE267" s="31" t="str">
        <f>IF(LEN(_DB_Exercises!AZ381)&gt;0,_DB_Exercises!AZ381,"")</f>
        <v/>
      </c>
      <c r="AF267" s="31" t="str">
        <f>IF(LEN(_DB_Exercises!BA381)&gt;0,_DB_Exercises!BA381,"")</f>
        <v/>
      </c>
      <c r="AG267" s="31" t="str">
        <f>IF(LEN(_DB_Exercises!BB381)&gt;0,_DB_Exercises!BB381,"")</f>
        <v/>
      </c>
      <c r="AH267" s="31" t="str">
        <f>IF(LEN(_DB_Exercises!BC381)&gt;0,_DB_Exercises!BC381,"")</f>
        <v/>
      </c>
      <c r="AI267" s="31" t="str">
        <f>IF(LEN(_DB_Exercises!BD381)&gt;0,_DB_Exercises!BD381,"")</f>
        <v/>
      </c>
      <c r="AJ267" s="31" t="str">
        <f>IF(LEN(_DB_Exercises!BE381)&gt;0,_DB_Exercises!BE381,"")</f>
        <v/>
      </c>
      <c r="AK267" s="31" t="str">
        <f>IF(LEN(_DB_Exercises!BF381)&gt;0,_DB_Exercises!BF381,"")</f>
        <v/>
      </c>
      <c r="AL267" s="31" t="str">
        <f>IF(LEN(_DB_Exercises!BG381)&gt;0,_DB_Exercises!BG381,"")</f>
        <v/>
      </c>
      <c r="AM267" s="31" t="str">
        <f>IF(LEN(_DB_Exercises!BH381)&gt;0,_DB_Exercises!BH381,"")</f>
        <v/>
      </c>
      <c r="AN267" s="31" t="str">
        <f>IF(LEN(_DB_Exercises!BI381)&gt;0,_DB_Exercises!BI381,"")</f>
        <v/>
      </c>
      <c r="AO267" s="31" t="str">
        <f>IF(LEN(_DB_Exercises!BJ381)&gt;0,_DB_Exercises!BJ381,"")</f>
        <v/>
      </c>
      <c r="AP267" s="31" t="str">
        <f>IF(LEN(_DB_Exercises!BK381)&gt;0,_DB_Exercises!BK381,"")</f>
        <v/>
      </c>
      <c r="AQ267" s="31" t="str">
        <f>IF(LEN(_DB_Exercises!BL381)&gt;0,_DB_Exercises!BL381,"")</f>
        <v/>
      </c>
      <c r="AR267" s="31" t="str">
        <f>IF(LEN(_DB_Exercises!BM381)&gt;0,_DB_Exercises!BM381,"")</f>
        <v/>
      </c>
    </row>
    <row r="268" spans="1:44" x14ac:dyDescent="0.25">
      <c r="A268" s="11" t="str">
        <f>IF(LEN(_DB_Exercises!A382)&gt;0,_DB_Exercises!A382,"")</f>
        <v/>
      </c>
      <c r="B268" s="14" t="str">
        <f>IF(LEN(_DB_Exercises!K382)&gt;0,_DB_Exercises!K382,"")</f>
        <v/>
      </c>
      <c r="C268" s="31" t="str">
        <f>IF(LEN(_DB_Exercises!X382)&gt;0,_DB_Exercises!X382,"")</f>
        <v/>
      </c>
      <c r="D268" s="31" t="str">
        <f>IF(LEN(_DB_Exercises!Y382)&gt;0,_DB_Exercises!Y382,"")</f>
        <v/>
      </c>
      <c r="E268" s="31" t="str">
        <f>IF(LEN(_DB_Exercises!Z382)&gt;0,_DB_Exercises!Z382,"")</f>
        <v/>
      </c>
      <c r="F268" s="31" t="str">
        <f>IF(LEN(_DB_Exercises!AA382)&gt;0,_DB_Exercises!AA382,"")</f>
        <v/>
      </c>
      <c r="G268" s="31" t="str">
        <f>IF(LEN(_DB_Exercises!AB382)&gt;0,_DB_Exercises!AB382,"")</f>
        <v/>
      </c>
      <c r="H268" s="31" t="str">
        <f>IF(LEN(_DB_Exercises!AC382)&gt;0,_DB_Exercises!AC382,"")</f>
        <v/>
      </c>
      <c r="I268" s="31" t="str">
        <f>IF(LEN(_DB_Exercises!AD382)&gt;0,_DB_Exercises!AD382,"")</f>
        <v/>
      </c>
      <c r="J268" s="31" t="str">
        <f>IF(LEN(_DB_Exercises!AE382)&gt;0,_DB_Exercises!AE382,"")</f>
        <v/>
      </c>
      <c r="K268" s="31" t="str">
        <f>IF(LEN(_DB_Exercises!AF382)&gt;0,_DB_Exercises!AF382,"")</f>
        <v/>
      </c>
      <c r="L268" s="31" t="str">
        <f>IF(LEN(_DB_Exercises!AG382)&gt;0,_DB_Exercises!AG382,"")</f>
        <v/>
      </c>
      <c r="M268" s="31" t="str">
        <f>IF(LEN(_DB_Exercises!AH382)&gt;0,_DB_Exercises!AH382,"")</f>
        <v/>
      </c>
      <c r="N268" s="31" t="str">
        <f>IF(LEN(_DB_Exercises!AI382)&gt;0,_DB_Exercises!AI382,"")</f>
        <v/>
      </c>
      <c r="O268" s="31" t="str">
        <f>IF(LEN(_DB_Exercises!AJ382)&gt;0,_DB_Exercises!AJ382,"")</f>
        <v/>
      </c>
      <c r="P268" s="31" t="str">
        <f>IF(LEN(_DB_Exercises!AK382)&gt;0,_DB_Exercises!AK382,"")</f>
        <v/>
      </c>
      <c r="Q268" s="31" t="str">
        <f>IF(LEN(_DB_Exercises!AL382)&gt;0,_DB_Exercises!AL382,"")</f>
        <v/>
      </c>
      <c r="R268" s="31" t="str">
        <f>IF(LEN(_DB_Exercises!AM382)&gt;0,_DB_Exercises!AM382,"")</f>
        <v/>
      </c>
      <c r="S268" s="31" t="str">
        <f>IF(LEN(_DB_Exercises!AN382)&gt;0,_DB_Exercises!AN382,"")</f>
        <v/>
      </c>
      <c r="T268" s="31" t="str">
        <f>IF(LEN(_DB_Exercises!AO382)&gt;0,_DB_Exercises!AO382,"")</f>
        <v/>
      </c>
      <c r="U268" s="31" t="str">
        <f>IF(LEN(_DB_Exercises!AP382)&gt;0,_DB_Exercises!AP382,"")</f>
        <v/>
      </c>
      <c r="V268" s="31" t="str">
        <f>IF(LEN(_DB_Exercises!AQ382)&gt;0,_DB_Exercises!AQ382,"")</f>
        <v/>
      </c>
      <c r="W268" s="31" t="str">
        <f>IF(LEN(_DB_Exercises!AR382)&gt;0,_DB_Exercises!AR382,"")</f>
        <v/>
      </c>
      <c r="X268" s="31" t="str">
        <f>IF(LEN(_DB_Exercises!AS382)&gt;0,_DB_Exercises!AS382,"")</f>
        <v/>
      </c>
      <c r="Y268" s="31" t="str">
        <f>IF(LEN(_DB_Exercises!AT382)&gt;0,_DB_Exercises!AT382,"")</f>
        <v/>
      </c>
      <c r="Z268" s="31" t="str">
        <f>IF(LEN(_DB_Exercises!AU382)&gt;0,_DB_Exercises!AU382,"")</f>
        <v/>
      </c>
      <c r="AA268" s="31" t="str">
        <f>IF(LEN(_DB_Exercises!AV382)&gt;0,_DB_Exercises!AV382,"")</f>
        <v/>
      </c>
      <c r="AB268" s="31" t="str">
        <f>IF(LEN(_DB_Exercises!AW382)&gt;0,_DB_Exercises!AW382,"")</f>
        <v/>
      </c>
      <c r="AC268" s="31" t="str">
        <f>IF(LEN(_DB_Exercises!AX382)&gt;0,_DB_Exercises!AX382,"")</f>
        <v/>
      </c>
      <c r="AD268" s="31" t="str">
        <f>IF(LEN(_DB_Exercises!AY382)&gt;0,_DB_Exercises!AY382,"")</f>
        <v/>
      </c>
      <c r="AE268" s="31" t="str">
        <f>IF(LEN(_DB_Exercises!AZ382)&gt;0,_DB_Exercises!AZ382,"")</f>
        <v/>
      </c>
      <c r="AF268" s="31" t="str">
        <f>IF(LEN(_DB_Exercises!BA382)&gt;0,_DB_Exercises!BA382,"")</f>
        <v/>
      </c>
      <c r="AG268" s="31" t="str">
        <f>IF(LEN(_DB_Exercises!BB382)&gt;0,_DB_Exercises!BB382,"")</f>
        <v/>
      </c>
      <c r="AH268" s="31" t="str">
        <f>IF(LEN(_DB_Exercises!BC382)&gt;0,_DB_Exercises!BC382,"")</f>
        <v/>
      </c>
      <c r="AI268" s="31" t="str">
        <f>IF(LEN(_DB_Exercises!BD382)&gt;0,_DB_Exercises!BD382,"")</f>
        <v/>
      </c>
      <c r="AJ268" s="31" t="str">
        <f>IF(LEN(_DB_Exercises!BE382)&gt;0,_DB_Exercises!BE382,"")</f>
        <v/>
      </c>
      <c r="AK268" s="31" t="str">
        <f>IF(LEN(_DB_Exercises!BF382)&gt;0,_DB_Exercises!BF382,"")</f>
        <v/>
      </c>
      <c r="AL268" s="31" t="str">
        <f>IF(LEN(_DB_Exercises!BG382)&gt;0,_DB_Exercises!BG382,"")</f>
        <v/>
      </c>
      <c r="AM268" s="31" t="str">
        <f>IF(LEN(_DB_Exercises!BH382)&gt;0,_DB_Exercises!BH382,"")</f>
        <v/>
      </c>
      <c r="AN268" s="31" t="str">
        <f>IF(LEN(_DB_Exercises!BI382)&gt;0,_DB_Exercises!BI382,"")</f>
        <v/>
      </c>
      <c r="AO268" s="31" t="str">
        <f>IF(LEN(_DB_Exercises!BJ382)&gt;0,_DB_Exercises!BJ382,"")</f>
        <v/>
      </c>
      <c r="AP268" s="31" t="str">
        <f>IF(LEN(_DB_Exercises!BK382)&gt;0,_DB_Exercises!BK382,"")</f>
        <v/>
      </c>
      <c r="AQ268" s="31" t="str">
        <f>IF(LEN(_DB_Exercises!BL382)&gt;0,_DB_Exercises!BL382,"")</f>
        <v/>
      </c>
      <c r="AR268" s="31" t="str">
        <f>IF(LEN(_DB_Exercises!BM382)&gt;0,_DB_Exercises!BM382,"")</f>
        <v/>
      </c>
    </row>
    <row r="269" spans="1:44" x14ac:dyDescent="0.25">
      <c r="A269" s="11" t="str">
        <f>IF(LEN(_DB_Exercises!A383)&gt;0,_DB_Exercises!A383,"")</f>
        <v/>
      </c>
      <c r="B269" s="14" t="str">
        <f>IF(LEN(_DB_Exercises!K383)&gt;0,_DB_Exercises!K383,"")</f>
        <v/>
      </c>
      <c r="C269" s="31" t="str">
        <f>IF(LEN(_DB_Exercises!X383)&gt;0,_DB_Exercises!X383,"")</f>
        <v/>
      </c>
      <c r="D269" s="31" t="str">
        <f>IF(LEN(_DB_Exercises!Y383)&gt;0,_DB_Exercises!Y383,"")</f>
        <v/>
      </c>
      <c r="E269" s="31" t="str">
        <f>IF(LEN(_DB_Exercises!Z383)&gt;0,_DB_Exercises!Z383,"")</f>
        <v/>
      </c>
      <c r="F269" s="31" t="str">
        <f>IF(LEN(_DB_Exercises!AA383)&gt;0,_DB_Exercises!AA383,"")</f>
        <v/>
      </c>
      <c r="G269" s="31" t="str">
        <f>IF(LEN(_DB_Exercises!AB383)&gt;0,_DB_Exercises!AB383,"")</f>
        <v/>
      </c>
      <c r="H269" s="31" t="str">
        <f>IF(LEN(_DB_Exercises!AC383)&gt;0,_DB_Exercises!AC383,"")</f>
        <v/>
      </c>
      <c r="I269" s="31" t="str">
        <f>IF(LEN(_DB_Exercises!AD383)&gt;0,_DB_Exercises!AD383,"")</f>
        <v/>
      </c>
      <c r="J269" s="31" t="str">
        <f>IF(LEN(_DB_Exercises!AE383)&gt;0,_DB_Exercises!AE383,"")</f>
        <v/>
      </c>
      <c r="K269" s="31" t="str">
        <f>IF(LEN(_DB_Exercises!AF383)&gt;0,_DB_Exercises!AF383,"")</f>
        <v/>
      </c>
      <c r="L269" s="31" t="str">
        <f>IF(LEN(_DB_Exercises!AG383)&gt;0,_DB_Exercises!AG383,"")</f>
        <v/>
      </c>
      <c r="M269" s="31" t="str">
        <f>IF(LEN(_DB_Exercises!AH383)&gt;0,_DB_Exercises!AH383,"")</f>
        <v/>
      </c>
      <c r="N269" s="31" t="str">
        <f>IF(LEN(_DB_Exercises!AI383)&gt;0,_DB_Exercises!AI383,"")</f>
        <v/>
      </c>
      <c r="O269" s="31" t="str">
        <f>IF(LEN(_DB_Exercises!AJ383)&gt;0,_DB_Exercises!AJ383,"")</f>
        <v/>
      </c>
      <c r="P269" s="31" t="str">
        <f>IF(LEN(_DB_Exercises!AK383)&gt;0,_DB_Exercises!AK383,"")</f>
        <v/>
      </c>
      <c r="Q269" s="31" t="str">
        <f>IF(LEN(_DB_Exercises!AL383)&gt;0,_DB_Exercises!AL383,"")</f>
        <v/>
      </c>
      <c r="R269" s="31" t="str">
        <f>IF(LEN(_DB_Exercises!AM383)&gt;0,_DB_Exercises!AM383,"")</f>
        <v/>
      </c>
      <c r="S269" s="31" t="str">
        <f>IF(LEN(_DB_Exercises!AN383)&gt;0,_DB_Exercises!AN383,"")</f>
        <v/>
      </c>
      <c r="T269" s="31" t="str">
        <f>IF(LEN(_DB_Exercises!AO383)&gt;0,_DB_Exercises!AO383,"")</f>
        <v/>
      </c>
      <c r="U269" s="31" t="str">
        <f>IF(LEN(_DB_Exercises!AP383)&gt;0,_DB_Exercises!AP383,"")</f>
        <v/>
      </c>
      <c r="V269" s="31" t="str">
        <f>IF(LEN(_DB_Exercises!AQ383)&gt;0,_DB_Exercises!AQ383,"")</f>
        <v/>
      </c>
      <c r="W269" s="31" t="str">
        <f>IF(LEN(_DB_Exercises!AR383)&gt;0,_DB_Exercises!AR383,"")</f>
        <v/>
      </c>
      <c r="X269" s="31" t="str">
        <f>IF(LEN(_DB_Exercises!AS383)&gt;0,_DB_Exercises!AS383,"")</f>
        <v/>
      </c>
      <c r="Y269" s="31" t="str">
        <f>IF(LEN(_DB_Exercises!AT383)&gt;0,_DB_Exercises!AT383,"")</f>
        <v/>
      </c>
      <c r="Z269" s="31" t="str">
        <f>IF(LEN(_DB_Exercises!AU383)&gt;0,_DB_Exercises!AU383,"")</f>
        <v/>
      </c>
      <c r="AA269" s="31" t="str">
        <f>IF(LEN(_DB_Exercises!AV383)&gt;0,_DB_Exercises!AV383,"")</f>
        <v/>
      </c>
      <c r="AB269" s="31" t="str">
        <f>IF(LEN(_DB_Exercises!AW383)&gt;0,_DB_Exercises!AW383,"")</f>
        <v/>
      </c>
      <c r="AC269" s="31" t="str">
        <f>IF(LEN(_DB_Exercises!AX383)&gt;0,_DB_Exercises!AX383,"")</f>
        <v/>
      </c>
      <c r="AD269" s="31" t="str">
        <f>IF(LEN(_DB_Exercises!AY383)&gt;0,_DB_Exercises!AY383,"")</f>
        <v/>
      </c>
      <c r="AE269" s="31" t="str">
        <f>IF(LEN(_DB_Exercises!AZ383)&gt;0,_DB_Exercises!AZ383,"")</f>
        <v/>
      </c>
      <c r="AF269" s="31" t="str">
        <f>IF(LEN(_DB_Exercises!BA383)&gt;0,_DB_Exercises!BA383,"")</f>
        <v/>
      </c>
      <c r="AG269" s="31" t="str">
        <f>IF(LEN(_DB_Exercises!BB383)&gt;0,_DB_Exercises!BB383,"")</f>
        <v/>
      </c>
      <c r="AH269" s="31" t="str">
        <f>IF(LEN(_DB_Exercises!BC383)&gt;0,_DB_Exercises!BC383,"")</f>
        <v/>
      </c>
      <c r="AI269" s="31" t="str">
        <f>IF(LEN(_DB_Exercises!BD383)&gt;0,_DB_Exercises!BD383,"")</f>
        <v/>
      </c>
      <c r="AJ269" s="31" t="str">
        <f>IF(LEN(_DB_Exercises!BE383)&gt;0,_DB_Exercises!BE383,"")</f>
        <v/>
      </c>
      <c r="AK269" s="31" t="str">
        <f>IF(LEN(_DB_Exercises!BF383)&gt;0,_DB_Exercises!BF383,"")</f>
        <v/>
      </c>
      <c r="AL269" s="31" t="str">
        <f>IF(LEN(_DB_Exercises!BG383)&gt;0,_DB_Exercises!BG383,"")</f>
        <v/>
      </c>
      <c r="AM269" s="31" t="str">
        <f>IF(LEN(_DB_Exercises!BH383)&gt;0,_DB_Exercises!BH383,"")</f>
        <v/>
      </c>
      <c r="AN269" s="31" t="str">
        <f>IF(LEN(_DB_Exercises!BI383)&gt;0,_DB_Exercises!BI383,"")</f>
        <v/>
      </c>
      <c r="AO269" s="31" t="str">
        <f>IF(LEN(_DB_Exercises!BJ383)&gt;0,_DB_Exercises!BJ383,"")</f>
        <v/>
      </c>
      <c r="AP269" s="31" t="str">
        <f>IF(LEN(_DB_Exercises!BK383)&gt;0,_DB_Exercises!BK383,"")</f>
        <v/>
      </c>
      <c r="AQ269" s="31" t="str">
        <f>IF(LEN(_DB_Exercises!BL383)&gt;0,_DB_Exercises!BL383,"")</f>
        <v/>
      </c>
      <c r="AR269" s="31" t="str">
        <f>IF(LEN(_DB_Exercises!BM383)&gt;0,_DB_Exercises!BM383,"")</f>
        <v/>
      </c>
    </row>
    <row r="270" spans="1:44" x14ac:dyDescent="0.25">
      <c r="A270" s="11" t="str">
        <f>IF(LEN(_DB_Exercises!A384)&gt;0,_DB_Exercises!A384,"")</f>
        <v/>
      </c>
      <c r="B270" s="14" t="str">
        <f>IF(LEN(_DB_Exercises!K384)&gt;0,_DB_Exercises!K384,"")</f>
        <v/>
      </c>
      <c r="C270" s="31" t="str">
        <f>IF(LEN(_DB_Exercises!X384)&gt;0,_DB_Exercises!X384,"")</f>
        <v/>
      </c>
      <c r="D270" s="31" t="str">
        <f>IF(LEN(_DB_Exercises!Y384)&gt;0,_DB_Exercises!Y384,"")</f>
        <v/>
      </c>
      <c r="E270" s="31" t="str">
        <f>IF(LEN(_DB_Exercises!Z384)&gt;0,_DB_Exercises!Z384,"")</f>
        <v/>
      </c>
      <c r="F270" s="31" t="str">
        <f>IF(LEN(_DB_Exercises!AA384)&gt;0,_DB_Exercises!AA384,"")</f>
        <v/>
      </c>
      <c r="G270" s="31" t="str">
        <f>IF(LEN(_DB_Exercises!AB384)&gt;0,_DB_Exercises!AB384,"")</f>
        <v/>
      </c>
      <c r="H270" s="31" t="str">
        <f>IF(LEN(_DB_Exercises!AC384)&gt;0,_DB_Exercises!AC384,"")</f>
        <v/>
      </c>
      <c r="I270" s="31" t="str">
        <f>IF(LEN(_DB_Exercises!AD384)&gt;0,_DB_Exercises!AD384,"")</f>
        <v/>
      </c>
      <c r="J270" s="31" t="str">
        <f>IF(LEN(_DB_Exercises!AE384)&gt;0,_DB_Exercises!AE384,"")</f>
        <v/>
      </c>
      <c r="K270" s="31" t="str">
        <f>IF(LEN(_DB_Exercises!AF384)&gt;0,_DB_Exercises!AF384,"")</f>
        <v/>
      </c>
      <c r="L270" s="31" t="str">
        <f>IF(LEN(_DB_Exercises!AG384)&gt;0,_DB_Exercises!AG384,"")</f>
        <v/>
      </c>
      <c r="M270" s="31" t="str">
        <f>IF(LEN(_DB_Exercises!AH384)&gt;0,_DB_Exercises!AH384,"")</f>
        <v/>
      </c>
      <c r="N270" s="31" t="str">
        <f>IF(LEN(_DB_Exercises!AI384)&gt;0,_DB_Exercises!AI384,"")</f>
        <v/>
      </c>
      <c r="O270" s="31" t="str">
        <f>IF(LEN(_DB_Exercises!AJ384)&gt;0,_DB_Exercises!AJ384,"")</f>
        <v/>
      </c>
      <c r="P270" s="31" t="str">
        <f>IF(LEN(_DB_Exercises!AK384)&gt;0,_DB_Exercises!AK384,"")</f>
        <v/>
      </c>
      <c r="Q270" s="31" t="str">
        <f>IF(LEN(_DB_Exercises!AL384)&gt;0,_DB_Exercises!AL384,"")</f>
        <v/>
      </c>
      <c r="R270" s="31" t="str">
        <f>IF(LEN(_DB_Exercises!AM384)&gt;0,_DB_Exercises!AM384,"")</f>
        <v/>
      </c>
      <c r="S270" s="31" t="str">
        <f>IF(LEN(_DB_Exercises!AN384)&gt;0,_DB_Exercises!AN384,"")</f>
        <v/>
      </c>
      <c r="T270" s="31" t="str">
        <f>IF(LEN(_DB_Exercises!AO384)&gt;0,_DB_Exercises!AO384,"")</f>
        <v/>
      </c>
      <c r="U270" s="31" t="str">
        <f>IF(LEN(_DB_Exercises!AP384)&gt;0,_DB_Exercises!AP384,"")</f>
        <v/>
      </c>
      <c r="V270" s="31" t="str">
        <f>IF(LEN(_DB_Exercises!AQ384)&gt;0,_DB_Exercises!AQ384,"")</f>
        <v/>
      </c>
      <c r="W270" s="31" t="str">
        <f>IF(LEN(_DB_Exercises!AR384)&gt;0,_DB_Exercises!AR384,"")</f>
        <v/>
      </c>
      <c r="X270" s="31" t="str">
        <f>IF(LEN(_DB_Exercises!AS384)&gt;0,_DB_Exercises!AS384,"")</f>
        <v/>
      </c>
      <c r="Y270" s="31" t="str">
        <f>IF(LEN(_DB_Exercises!AT384)&gt;0,_DB_Exercises!AT384,"")</f>
        <v/>
      </c>
      <c r="Z270" s="31" t="str">
        <f>IF(LEN(_DB_Exercises!AU384)&gt;0,_DB_Exercises!AU384,"")</f>
        <v/>
      </c>
      <c r="AA270" s="31" t="str">
        <f>IF(LEN(_DB_Exercises!AV384)&gt;0,_DB_Exercises!AV384,"")</f>
        <v/>
      </c>
      <c r="AB270" s="31" t="str">
        <f>IF(LEN(_DB_Exercises!AW384)&gt;0,_DB_Exercises!AW384,"")</f>
        <v/>
      </c>
      <c r="AC270" s="31" t="str">
        <f>IF(LEN(_DB_Exercises!AX384)&gt;0,_DB_Exercises!AX384,"")</f>
        <v/>
      </c>
      <c r="AD270" s="31" t="str">
        <f>IF(LEN(_DB_Exercises!AY384)&gt;0,_DB_Exercises!AY384,"")</f>
        <v/>
      </c>
      <c r="AE270" s="31" t="str">
        <f>IF(LEN(_DB_Exercises!AZ384)&gt;0,_DB_Exercises!AZ384,"")</f>
        <v/>
      </c>
      <c r="AF270" s="31" t="str">
        <f>IF(LEN(_DB_Exercises!BA384)&gt;0,_DB_Exercises!BA384,"")</f>
        <v/>
      </c>
      <c r="AG270" s="31" t="str">
        <f>IF(LEN(_DB_Exercises!BB384)&gt;0,_DB_Exercises!BB384,"")</f>
        <v/>
      </c>
      <c r="AH270" s="31" t="str">
        <f>IF(LEN(_DB_Exercises!BC384)&gt;0,_DB_Exercises!BC384,"")</f>
        <v/>
      </c>
      <c r="AI270" s="31" t="str">
        <f>IF(LEN(_DB_Exercises!BD384)&gt;0,_DB_Exercises!BD384,"")</f>
        <v/>
      </c>
      <c r="AJ270" s="31" t="str">
        <f>IF(LEN(_DB_Exercises!BE384)&gt;0,_DB_Exercises!BE384,"")</f>
        <v/>
      </c>
      <c r="AK270" s="31" t="str">
        <f>IF(LEN(_DB_Exercises!BF384)&gt;0,_DB_Exercises!BF384,"")</f>
        <v/>
      </c>
      <c r="AL270" s="31" t="str">
        <f>IF(LEN(_DB_Exercises!BG384)&gt;0,_DB_Exercises!BG384,"")</f>
        <v/>
      </c>
      <c r="AM270" s="31" t="str">
        <f>IF(LEN(_DB_Exercises!BH384)&gt;0,_DB_Exercises!BH384,"")</f>
        <v/>
      </c>
      <c r="AN270" s="31" t="str">
        <f>IF(LEN(_DB_Exercises!BI384)&gt;0,_DB_Exercises!BI384,"")</f>
        <v/>
      </c>
      <c r="AO270" s="31" t="str">
        <f>IF(LEN(_DB_Exercises!BJ384)&gt;0,_DB_Exercises!BJ384,"")</f>
        <v/>
      </c>
      <c r="AP270" s="31" t="str">
        <f>IF(LEN(_DB_Exercises!BK384)&gt;0,_DB_Exercises!BK384,"")</f>
        <v/>
      </c>
      <c r="AQ270" s="31" t="str">
        <f>IF(LEN(_DB_Exercises!BL384)&gt;0,_DB_Exercises!BL384,"")</f>
        <v/>
      </c>
      <c r="AR270" s="31" t="str">
        <f>IF(LEN(_DB_Exercises!BM384)&gt;0,_DB_Exercises!BM384,"")</f>
        <v/>
      </c>
    </row>
    <row r="271" spans="1:44" x14ac:dyDescent="0.25">
      <c r="A271" s="11" t="str">
        <f>IF(LEN(_DB_Exercises!A385)&gt;0,_DB_Exercises!A385,"")</f>
        <v/>
      </c>
      <c r="B271" s="14" t="str">
        <f>IF(LEN(_DB_Exercises!K385)&gt;0,_DB_Exercises!K385,"")</f>
        <v/>
      </c>
      <c r="C271" s="31" t="str">
        <f>IF(LEN(_DB_Exercises!X385)&gt;0,_DB_Exercises!X385,"")</f>
        <v/>
      </c>
      <c r="D271" s="31" t="str">
        <f>IF(LEN(_DB_Exercises!Y385)&gt;0,_DB_Exercises!Y385,"")</f>
        <v/>
      </c>
      <c r="E271" s="31" t="str">
        <f>IF(LEN(_DB_Exercises!Z385)&gt;0,_DB_Exercises!Z385,"")</f>
        <v/>
      </c>
      <c r="F271" s="31" t="str">
        <f>IF(LEN(_DB_Exercises!AA385)&gt;0,_DB_Exercises!AA385,"")</f>
        <v/>
      </c>
      <c r="G271" s="31" t="str">
        <f>IF(LEN(_DB_Exercises!AB385)&gt;0,_DB_Exercises!AB385,"")</f>
        <v/>
      </c>
      <c r="H271" s="31" t="str">
        <f>IF(LEN(_DB_Exercises!AC385)&gt;0,_DB_Exercises!AC385,"")</f>
        <v/>
      </c>
      <c r="I271" s="31" t="str">
        <f>IF(LEN(_DB_Exercises!AD385)&gt;0,_DB_Exercises!AD385,"")</f>
        <v/>
      </c>
      <c r="J271" s="31" t="str">
        <f>IF(LEN(_DB_Exercises!AE385)&gt;0,_DB_Exercises!AE385,"")</f>
        <v/>
      </c>
      <c r="K271" s="31" t="str">
        <f>IF(LEN(_DB_Exercises!AF385)&gt;0,_DB_Exercises!AF385,"")</f>
        <v/>
      </c>
      <c r="L271" s="31" t="str">
        <f>IF(LEN(_DB_Exercises!AG385)&gt;0,_DB_Exercises!AG385,"")</f>
        <v/>
      </c>
      <c r="M271" s="31" t="str">
        <f>IF(LEN(_DB_Exercises!AH385)&gt;0,_DB_Exercises!AH385,"")</f>
        <v/>
      </c>
      <c r="N271" s="31" t="str">
        <f>IF(LEN(_DB_Exercises!AI385)&gt;0,_DB_Exercises!AI385,"")</f>
        <v/>
      </c>
      <c r="O271" s="31" t="str">
        <f>IF(LEN(_DB_Exercises!AJ385)&gt;0,_DB_Exercises!AJ385,"")</f>
        <v/>
      </c>
      <c r="P271" s="31" t="str">
        <f>IF(LEN(_DB_Exercises!AK385)&gt;0,_DB_Exercises!AK385,"")</f>
        <v/>
      </c>
      <c r="Q271" s="31" t="str">
        <f>IF(LEN(_DB_Exercises!AL385)&gt;0,_DB_Exercises!AL385,"")</f>
        <v/>
      </c>
      <c r="R271" s="31" t="str">
        <f>IF(LEN(_DB_Exercises!AM385)&gt;0,_DB_Exercises!AM385,"")</f>
        <v/>
      </c>
      <c r="S271" s="31" t="str">
        <f>IF(LEN(_DB_Exercises!AN385)&gt;0,_DB_Exercises!AN385,"")</f>
        <v/>
      </c>
      <c r="T271" s="31" t="str">
        <f>IF(LEN(_DB_Exercises!AO385)&gt;0,_DB_Exercises!AO385,"")</f>
        <v/>
      </c>
      <c r="U271" s="31" t="str">
        <f>IF(LEN(_DB_Exercises!AP385)&gt;0,_DB_Exercises!AP385,"")</f>
        <v/>
      </c>
      <c r="V271" s="31" t="str">
        <f>IF(LEN(_DB_Exercises!AQ385)&gt;0,_DB_Exercises!AQ385,"")</f>
        <v/>
      </c>
      <c r="W271" s="31" t="str">
        <f>IF(LEN(_DB_Exercises!AR385)&gt;0,_DB_Exercises!AR385,"")</f>
        <v/>
      </c>
      <c r="X271" s="31" t="str">
        <f>IF(LEN(_DB_Exercises!AS385)&gt;0,_DB_Exercises!AS385,"")</f>
        <v/>
      </c>
      <c r="Y271" s="31" t="str">
        <f>IF(LEN(_DB_Exercises!AT385)&gt;0,_DB_Exercises!AT385,"")</f>
        <v/>
      </c>
      <c r="Z271" s="31" t="str">
        <f>IF(LEN(_DB_Exercises!AU385)&gt;0,_DB_Exercises!AU385,"")</f>
        <v/>
      </c>
      <c r="AA271" s="31" t="str">
        <f>IF(LEN(_DB_Exercises!AV385)&gt;0,_DB_Exercises!AV385,"")</f>
        <v/>
      </c>
      <c r="AB271" s="31" t="str">
        <f>IF(LEN(_DB_Exercises!AW385)&gt;0,_DB_Exercises!AW385,"")</f>
        <v/>
      </c>
      <c r="AC271" s="31" t="str">
        <f>IF(LEN(_DB_Exercises!AX385)&gt;0,_DB_Exercises!AX385,"")</f>
        <v/>
      </c>
      <c r="AD271" s="31" t="str">
        <f>IF(LEN(_DB_Exercises!AY385)&gt;0,_DB_Exercises!AY385,"")</f>
        <v/>
      </c>
      <c r="AE271" s="31" t="str">
        <f>IF(LEN(_DB_Exercises!AZ385)&gt;0,_DB_Exercises!AZ385,"")</f>
        <v/>
      </c>
      <c r="AF271" s="31" t="str">
        <f>IF(LEN(_DB_Exercises!BA385)&gt;0,_DB_Exercises!BA385,"")</f>
        <v/>
      </c>
      <c r="AG271" s="31" t="str">
        <f>IF(LEN(_DB_Exercises!BB385)&gt;0,_DB_Exercises!BB385,"")</f>
        <v/>
      </c>
      <c r="AH271" s="31" t="str">
        <f>IF(LEN(_DB_Exercises!BC385)&gt;0,_DB_Exercises!BC385,"")</f>
        <v/>
      </c>
      <c r="AI271" s="31" t="str">
        <f>IF(LEN(_DB_Exercises!BD385)&gt;0,_DB_Exercises!BD385,"")</f>
        <v/>
      </c>
      <c r="AJ271" s="31" t="str">
        <f>IF(LEN(_DB_Exercises!BE385)&gt;0,_DB_Exercises!BE385,"")</f>
        <v/>
      </c>
      <c r="AK271" s="31" t="str">
        <f>IF(LEN(_DB_Exercises!BF385)&gt;0,_DB_Exercises!BF385,"")</f>
        <v/>
      </c>
      <c r="AL271" s="31" t="str">
        <f>IF(LEN(_DB_Exercises!BG385)&gt;0,_DB_Exercises!BG385,"")</f>
        <v/>
      </c>
      <c r="AM271" s="31" t="str">
        <f>IF(LEN(_DB_Exercises!BH385)&gt;0,_DB_Exercises!BH385,"")</f>
        <v/>
      </c>
      <c r="AN271" s="31" t="str">
        <f>IF(LEN(_DB_Exercises!BI385)&gt;0,_DB_Exercises!BI385,"")</f>
        <v/>
      </c>
      <c r="AO271" s="31" t="str">
        <f>IF(LEN(_DB_Exercises!BJ385)&gt;0,_DB_Exercises!BJ385,"")</f>
        <v/>
      </c>
      <c r="AP271" s="31" t="str">
        <f>IF(LEN(_DB_Exercises!BK385)&gt;0,_DB_Exercises!BK385,"")</f>
        <v/>
      </c>
      <c r="AQ271" s="31" t="str">
        <f>IF(LEN(_DB_Exercises!BL385)&gt;0,_DB_Exercises!BL385,"")</f>
        <v/>
      </c>
      <c r="AR271" s="31" t="str">
        <f>IF(LEN(_DB_Exercises!BM385)&gt;0,_DB_Exercises!BM385,"")</f>
        <v/>
      </c>
    </row>
    <row r="272" spans="1:44" x14ac:dyDescent="0.25">
      <c r="A272" s="11" t="str">
        <f>IF(LEN(_DB_Exercises!A386)&gt;0,_DB_Exercises!A386,"")</f>
        <v/>
      </c>
      <c r="B272" s="14" t="str">
        <f>IF(LEN(_DB_Exercises!K386)&gt;0,_DB_Exercises!K386,"")</f>
        <v/>
      </c>
      <c r="C272" s="31" t="str">
        <f>IF(LEN(_DB_Exercises!X386)&gt;0,_DB_Exercises!X386,"")</f>
        <v/>
      </c>
      <c r="D272" s="31" t="str">
        <f>IF(LEN(_DB_Exercises!Y386)&gt;0,_DB_Exercises!Y386,"")</f>
        <v/>
      </c>
      <c r="E272" s="31" t="str">
        <f>IF(LEN(_DB_Exercises!Z386)&gt;0,_DB_Exercises!Z386,"")</f>
        <v/>
      </c>
      <c r="F272" s="31" t="str">
        <f>IF(LEN(_DB_Exercises!AA386)&gt;0,_DB_Exercises!AA386,"")</f>
        <v/>
      </c>
      <c r="G272" s="31" t="str">
        <f>IF(LEN(_DB_Exercises!AB386)&gt;0,_DB_Exercises!AB386,"")</f>
        <v/>
      </c>
      <c r="H272" s="31" t="str">
        <f>IF(LEN(_DB_Exercises!AC386)&gt;0,_DB_Exercises!AC386,"")</f>
        <v/>
      </c>
      <c r="I272" s="31" t="str">
        <f>IF(LEN(_DB_Exercises!AD386)&gt;0,_DB_Exercises!AD386,"")</f>
        <v/>
      </c>
      <c r="J272" s="31" t="str">
        <f>IF(LEN(_DB_Exercises!AE386)&gt;0,_DB_Exercises!AE386,"")</f>
        <v/>
      </c>
      <c r="K272" s="31" t="str">
        <f>IF(LEN(_DB_Exercises!AF386)&gt;0,_DB_Exercises!AF386,"")</f>
        <v/>
      </c>
      <c r="L272" s="31" t="str">
        <f>IF(LEN(_DB_Exercises!AG386)&gt;0,_DB_Exercises!AG386,"")</f>
        <v/>
      </c>
      <c r="M272" s="31" t="str">
        <f>IF(LEN(_DB_Exercises!AH386)&gt;0,_DB_Exercises!AH386,"")</f>
        <v/>
      </c>
      <c r="N272" s="31" t="str">
        <f>IF(LEN(_DB_Exercises!AI386)&gt;0,_DB_Exercises!AI386,"")</f>
        <v/>
      </c>
      <c r="O272" s="31" t="str">
        <f>IF(LEN(_DB_Exercises!AJ386)&gt;0,_DB_Exercises!AJ386,"")</f>
        <v/>
      </c>
      <c r="P272" s="31" t="str">
        <f>IF(LEN(_DB_Exercises!AK386)&gt;0,_DB_Exercises!AK386,"")</f>
        <v/>
      </c>
      <c r="Q272" s="31" t="str">
        <f>IF(LEN(_DB_Exercises!AL386)&gt;0,_DB_Exercises!AL386,"")</f>
        <v/>
      </c>
      <c r="R272" s="31" t="str">
        <f>IF(LEN(_DB_Exercises!AM386)&gt;0,_DB_Exercises!AM386,"")</f>
        <v/>
      </c>
      <c r="S272" s="31" t="str">
        <f>IF(LEN(_DB_Exercises!AN386)&gt;0,_DB_Exercises!AN386,"")</f>
        <v/>
      </c>
      <c r="T272" s="31" t="str">
        <f>IF(LEN(_DB_Exercises!AO386)&gt;0,_DB_Exercises!AO386,"")</f>
        <v/>
      </c>
      <c r="U272" s="31" t="str">
        <f>IF(LEN(_DB_Exercises!AP386)&gt;0,_DB_Exercises!AP386,"")</f>
        <v/>
      </c>
      <c r="V272" s="31" t="str">
        <f>IF(LEN(_DB_Exercises!AQ386)&gt;0,_DB_Exercises!AQ386,"")</f>
        <v/>
      </c>
      <c r="W272" s="31" t="str">
        <f>IF(LEN(_DB_Exercises!AR386)&gt;0,_DB_Exercises!AR386,"")</f>
        <v/>
      </c>
      <c r="X272" s="31" t="str">
        <f>IF(LEN(_DB_Exercises!AS386)&gt;0,_DB_Exercises!AS386,"")</f>
        <v/>
      </c>
      <c r="Y272" s="31" t="str">
        <f>IF(LEN(_DB_Exercises!AT386)&gt;0,_DB_Exercises!AT386,"")</f>
        <v/>
      </c>
      <c r="Z272" s="31" t="str">
        <f>IF(LEN(_DB_Exercises!AU386)&gt;0,_DB_Exercises!AU386,"")</f>
        <v/>
      </c>
      <c r="AA272" s="31" t="str">
        <f>IF(LEN(_DB_Exercises!AV386)&gt;0,_DB_Exercises!AV386,"")</f>
        <v/>
      </c>
      <c r="AB272" s="31" t="str">
        <f>IF(LEN(_DB_Exercises!AW386)&gt;0,_DB_Exercises!AW386,"")</f>
        <v/>
      </c>
      <c r="AC272" s="31" t="str">
        <f>IF(LEN(_DB_Exercises!AX386)&gt;0,_DB_Exercises!AX386,"")</f>
        <v/>
      </c>
      <c r="AD272" s="31" t="str">
        <f>IF(LEN(_DB_Exercises!AY386)&gt;0,_DB_Exercises!AY386,"")</f>
        <v/>
      </c>
      <c r="AE272" s="31" t="str">
        <f>IF(LEN(_DB_Exercises!AZ386)&gt;0,_DB_Exercises!AZ386,"")</f>
        <v/>
      </c>
      <c r="AF272" s="31" t="str">
        <f>IF(LEN(_DB_Exercises!BA386)&gt;0,_DB_Exercises!BA386,"")</f>
        <v/>
      </c>
      <c r="AG272" s="31" t="str">
        <f>IF(LEN(_DB_Exercises!BB386)&gt;0,_DB_Exercises!BB386,"")</f>
        <v/>
      </c>
      <c r="AH272" s="31" t="str">
        <f>IF(LEN(_DB_Exercises!BC386)&gt;0,_DB_Exercises!BC386,"")</f>
        <v/>
      </c>
      <c r="AI272" s="31" t="str">
        <f>IF(LEN(_DB_Exercises!BD386)&gt;0,_DB_Exercises!BD386,"")</f>
        <v/>
      </c>
      <c r="AJ272" s="31" t="str">
        <f>IF(LEN(_DB_Exercises!BE386)&gt;0,_DB_Exercises!BE386,"")</f>
        <v/>
      </c>
      <c r="AK272" s="31" t="str">
        <f>IF(LEN(_DB_Exercises!BF386)&gt;0,_DB_Exercises!BF386,"")</f>
        <v/>
      </c>
      <c r="AL272" s="31" t="str">
        <f>IF(LEN(_DB_Exercises!BG386)&gt;0,_DB_Exercises!BG386,"")</f>
        <v/>
      </c>
      <c r="AM272" s="31" t="str">
        <f>IF(LEN(_DB_Exercises!BH386)&gt;0,_DB_Exercises!BH386,"")</f>
        <v/>
      </c>
      <c r="AN272" s="31" t="str">
        <f>IF(LEN(_DB_Exercises!BI386)&gt;0,_DB_Exercises!BI386,"")</f>
        <v/>
      </c>
      <c r="AO272" s="31" t="str">
        <f>IF(LEN(_DB_Exercises!BJ386)&gt;0,_DB_Exercises!BJ386,"")</f>
        <v/>
      </c>
      <c r="AP272" s="31" t="str">
        <f>IF(LEN(_DB_Exercises!BK386)&gt;0,_DB_Exercises!BK386,"")</f>
        <v/>
      </c>
      <c r="AQ272" s="31" t="str">
        <f>IF(LEN(_DB_Exercises!BL386)&gt;0,_DB_Exercises!BL386,"")</f>
        <v/>
      </c>
      <c r="AR272" s="31" t="str">
        <f>IF(LEN(_DB_Exercises!BM386)&gt;0,_DB_Exercises!BM386,"")</f>
        <v/>
      </c>
    </row>
    <row r="273" spans="1:44" x14ac:dyDescent="0.25">
      <c r="A273" s="11" t="str">
        <f>IF(LEN(_DB_Exercises!A387)&gt;0,_DB_Exercises!A387,"")</f>
        <v/>
      </c>
      <c r="B273" s="14" t="str">
        <f>IF(LEN(_DB_Exercises!K387)&gt;0,_DB_Exercises!K387,"")</f>
        <v/>
      </c>
      <c r="C273" s="31" t="str">
        <f>IF(LEN(_DB_Exercises!X387)&gt;0,_DB_Exercises!X387,"")</f>
        <v/>
      </c>
      <c r="D273" s="31" t="str">
        <f>IF(LEN(_DB_Exercises!Y387)&gt;0,_DB_Exercises!Y387,"")</f>
        <v/>
      </c>
      <c r="E273" s="31" t="str">
        <f>IF(LEN(_DB_Exercises!Z387)&gt;0,_DB_Exercises!Z387,"")</f>
        <v/>
      </c>
      <c r="F273" s="31" t="str">
        <f>IF(LEN(_DB_Exercises!AA387)&gt;0,_DB_Exercises!AA387,"")</f>
        <v/>
      </c>
      <c r="G273" s="31" t="str">
        <f>IF(LEN(_DB_Exercises!AB387)&gt;0,_DB_Exercises!AB387,"")</f>
        <v/>
      </c>
      <c r="H273" s="31" t="str">
        <f>IF(LEN(_DB_Exercises!AC387)&gt;0,_DB_Exercises!AC387,"")</f>
        <v/>
      </c>
      <c r="I273" s="31" t="str">
        <f>IF(LEN(_DB_Exercises!AD387)&gt;0,_DB_Exercises!AD387,"")</f>
        <v/>
      </c>
      <c r="J273" s="31" t="str">
        <f>IF(LEN(_DB_Exercises!AE387)&gt;0,_DB_Exercises!AE387,"")</f>
        <v/>
      </c>
      <c r="K273" s="31" t="str">
        <f>IF(LEN(_DB_Exercises!AF387)&gt;0,_DB_Exercises!AF387,"")</f>
        <v/>
      </c>
      <c r="L273" s="31" t="str">
        <f>IF(LEN(_DB_Exercises!AG387)&gt;0,_DB_Exercises!AG387,"")</f>
        <v/>
      </c>
      <c r="M273" s="31" t="str">
        <f>IF(LEN(_DB_Exercises!AH387)&gt;0,_DB_Exercises!AH387,"")</f>
        <v/>
      </c>
      <c r="N273" s="31" t="str">
        <f>IF(LEN(_DB_Exercises!AI387)&gt;0,_DB_Exercises!AI387,"")</f>
        <v/>
      </c>
      <c r="O273" s="31" t="str">
        <f>IF(LEN(_DB_Exercises!AJ387)&gt;0,_DB_Exercises!AJ387,"")</f>
        <v/>
      </c>
      <c r="P273" s="31" t="str">
        <f>IF(LEN(_DB_Exercises!AK387)&gt;0,_DB_Exercises!AK387,"")</f>
        <v/>
      </c>
      <c r="Q273" s="31" t="str">
        <f>IF(LEN(_DB_Exercises!AL387)&gt;0,_DB_Exercises!AL387,"")</f>
        <v/>
      </c>
      <c r="R273" s="31" t="str">
        <f>IF(LEN(_DB_Exercises!AM387)&gt;0,_DB_Exercises!AM387,"")</f>
        <v/>
      </c>
      <c r="S273" s="31" t="str">
        <f>IF(LEN(_DB_Exercises!AN387)&gt;0,_DB_Exercises!AN387,"")</f>
        <v/>
      </c>
      <c r="T273" s="31" t="str">
        <f>IF(LEN(_DB_Exercises!AO387)&gt;0,_DB_Exercises!AO387,"")</f>
        <v/>
      </c>
      <c r="U273" s="31" t="str">
        <f>IF(LEN(_DB_Exercises!AP387)&gt;0,_DB_Exercises!AP387,"")</f>
        <v/>
      </c>
      <c r="V273" s="31" t="str">
        <f>IF(LEN(_DB_Exercises!AQ387)&gt;0,_DB_Exercises!AQ387,"")</f>
        <v/>
      </c>
      <c r="W273" s="31" t="str">
        <f>IF(LEN(_DB_Exercises!AR387)&gt;0,_DB_Exercises!AR387,"")</f>
        <v/>
      </c>
      <c r="X273" s="31" t="str">
        <f>IF(LEN(_DB_Exercises!AS387)&gt;0,_DB_Exercises!AS387,"")</f>
        <v/>
      </c>
      <c r="Y273" s="31" t="str">
        <f>IF(LEN(_DB_Exercises!AT387)&gt;0,_DB_Exercises!AT387,"")</f>
        <v/>
      </c>
      <c r="Z273" s="31" t="str">
        <f>IF(LEN(_DB_Exercises!AU387)&gt;0,_DB_Exercises!AU387,"")</f>
        <v/>
      </c>
      <c r="AA273" s="31" t="str">
        <f>IF(LEN(_DB_Exercises!AV387)&gt;0,_DB_Exercises!AV387,"")</f>
        <v/>
      </c>
      <c r="AB273" s="31" t="str">
        <f>IF(LEN(_DB_Exercises!AW387)&gt;0,_DB_Exercises!AW387,"")</f>
        <v/>
      </c>
      <c r="AC273" s="31" t="str">
        <f>IF(LEN(_DB_Exercises!AX387)&gt;0,_DB_Exercises!AX387,"")</f>
        <v/>
      </c>
      <c r="AD273" s="31" t="str">
        <f>IF(LEN(_DB_Exercises!AY387)&gt;0,_DB_Exercises!AY387,"")</f>
        <v/>
      </c>
      <c r="AE273" s="31" t="str">
        <f>IF(LEN(_DB_Exercises!AZ387)&gt;0,_DB_Exercises!AZ387,"")</f>
        <v/>
      </c>
      <c r="AF273" s="31" t="str">
        <f>IF(LEN(_DB_Exercises!BA387)&gt;0,_DB_Exercises!BA387,"")</f>
        <v/>
      </c>
      <c r="AG273" s="31" t="str">
        <f>IF(LEN(_DB_Exercises!BB387)&gt;0,_DB_Exercises!BB387,"")</f>
        <v/>
      </c>
      <c r="AH273" s="31" t="str">
        <f>IF(LEN(_DB_Exercises!BC387)&gt;0,_DB_Exercises!BC387,"")</f>
        <v/>
      </c>
      <c r="AI273" s="31" t="str">
        <f>IF(LEN(_DB_Exercises!BD387)&gt;0,_DB_Exercises!BD387,"")</f>
        <v/>
      </c>
      <c r="AJ273" s="31" t="str">
        <f>IF(LEN(_DB_Exercises!BE387)&gt;0,_DB_Exercises!BE387,"")</f>
        <v/>
      </c>
      <c r="AK273" s="31" t="str">
        <f>IF(LEN(_DB_Exercises!BF387)&gt;0,_DB_Exercises!BF387,"")</f>
        <v/>
      </c>
      <c r="AL273" s="31" t="str">
        <f>IF(LEN(_DB_Exercises!BG387)&gt;0,_DB_Exercises!BG387,"")</f>
        <v/>
      </c>
      <c r="AM273" s="31" t="str">
        <f>IF(LEN(_DB_Exercises!BH387)&gt;0,_DB_Exercises!BH387,"")</f>
        <v/>
      </c>
      <c r="AN273" s="31" t="str">
        <f>IF(LEN(_DB_Exercises!BI387)&gt;0,_DB_Exercises!BI387,"")</f>
        <v/>
      </c>
      <c r="AO273" s="31" t="str">
        <f>IF(LEN(_DB_Exercises!BJ387)&gt;0,_DB_Exercises!BJ387,"")</f>
        <v/>
      </c>
      <c r="AP273" s="31" t="str">
        <f>IF(LEN(_DB_Exercises!BK387)&gt;0,_DB_Exercises!BK387,"")</f>
        <v/>
      </c>
      <c r="AQ273" s="31" t="str">
        <f>IF(LEN(_DB_Exercises!BL387)&gt;0,_DB_Exercises!BL387,"")</f>
        <v/>
      </c>
      <c r="AR273" s="31" t="str">
        <f>IF(LEN(_DB_Exercises!BM387)&gt;0,_DB_Exercises!BM387,"")</f>
        <v/>
      </c>
    </row>
    <row r="274" spans="1:44" x14ac:dyDescent="0.25">
      <c r="A274" s="11" t="str">
        <f>IF(LEN(_DB_Exercises!A388)&gt;0,_DB_Exercises!A388,"")</f>
        <v/>
      </c>
      <c r="B274" s="14" t="str">
        <f>IF(LEN(_DB_Exercises!K388)&gt;0,_DB_Exercises!K388,"")</f>
        <v/>
      </c>
      <c r="C274" s="31" t="str">
        <f>IF(LEN(_DB_Exercises!X388)&gt;0,_DB_Exercises!X388,"")</f>
        <v/>
      </c>
      <c r="D274" s="31" t="str">
        <f>IF(LEN(_DB_Exercises!Y388)&gt;0,_DB_Exercises!Y388,"")</f>
        <v/>
      </c>
      <c r="E274" s="31" t="str">
        <f>IF(LEN(_DB_Exercises!Z388)&gt;0,_DB_Exercises!Z388,"")</f>
        <v/>
      </c>
      <c r="F274" s="31" t="str">
        <f>IF(LEN(_DB_Exercises!AA388)&gt;0,_DB_Exercises!AA388,"")</f>
        <v/>
      </c>
      <c r="G274" s="31" t="str">
        <f>IF(LEN(_DB_Exercises!AB388)&gt;0,_DB_Exercises!AB388,"")</f>
        <v/>
      </c>
      <c r="H274" s="31" t="str">
        <f>IF(LEN(_DB_Exercises!AC388)&gt;0,_DB_Exercises!AC388,"")</f>
        <v/>
      </c>
      <c r="I274" s="31" t="str">
        <f>IF(LEN(_DB_Exercises!AD388)&gt;0,_DB_Exercises!AD388,"")</f>
        <v/>
      </c>
      <c r="J274" s="31" t="str">
        <f>IF(LEN(_DB_Exercises!AE388)&gt;0,_DB_Exercises!AE388,"")</f>
        <v/>
      </c>
      <c r="K274" s="31" t="str">
        <f>IF(LEN(_DB_Exercises!AF388)&gt;0,_DB_Exercises!AF388,"")</f>
        <v/>
      </c>
      <c r="L274" s="31" t="str">
        <f>IF(LEN(_DB_Exercises!AG388)&gt;0,_DB_Exercises!AG388,"")</f>
        <v/>
      </c>
      <c r="M274" s="31" t="str">
        <f>IF(LEN(_DB_Exercises!AH388)&gt;0,_DB_Exercises!AH388,"")</f>
        <v/>
      </c>
      <c r="N274" s="31" t="str">
        <f>IF(LEN(_DB_Exercises!AI388)&gt;0,_DB_Exercises!AI388,"")</f>
        <v/>
      </c>
      <c r="O274" s="31" t="str">
        <f>IF(LEN(_DB_Exercises!AJ388)&gt;0,_DB_Exercises!AJ388,"")</f>
        <v/>
      </c>
      <c r="P274" s="31" t="str">
        <f>IF(LEN(_DB_Exercises!AK388)&gt;0,_DB_Exercises!AK388,"")</f>
        <v/>
      </c>
      <c r="Q274" s="31" t="str">
        <f>IF(LEN(_DB_Exercises!AL388)&gt;0,_DB_Exercises!AL388,"")</f>
        <v/>
      </c>
      <c r="R274" s="31" t="str">
        <f>IF(LEN(_DB_Exercises!AM388)&gt;0,_DB_Exercises!AM388,"")</f>
        <v/>
      </c>
      <c r="S274" s="31" t="str">
        <f>IF(LEN(_DB_Exercises!AN388)&gt;0,_DB_Exercises!AN388,"")</f>
        <v/>
      </c>
      <c r="T274" s="31" t="str">
        <f>IF(LEN(_DB_Exercises!AO388)&gt;0,_DB_Exercises!AO388,"")</f>
        <v/>
      </c>
      <c r="U274" s="31" t="str">
        <f>IF(LEN(_DB_Exercises!AP388)&gt;0,_DB_Exercises!AP388,"")</f>
        <v/>
      </c>
      <c r="V274" s="31" t="str">
        <f>IF(LEN(_DB_Exercises!AQ388)&gt;0,_DB_Exercises!AQ388,"")</f>
        <v/>
      </c>
      <c r="W274" s="31" t="str">
        <f>IF(LEN(_DB_Exercises!AR388)&gt;0,_DB_Exercises!AR388,"")</f>
        <v/>
      </c>
      <c r="X274" s="31" t="str">
        <f>IF(LEN(_DB_Exercises!AS388)&gt;0,_DB_Exercises!AS388,"")</f>
        <v/>
      </c>
      <c r="Y274" s="31" t="str">
        <f>IF(LEN(_DB_Exercises!AT388)&gt;0,_DB_Exercises!AT388,"")</f>
        <v/>
      </c>
      <c r="Z274" s="31" t="str">
        <f>IF(LEN(_DB_Exercises!AU388)&gt;0,_DB_Exercises!AU388,"")</f>
        <v/>
      </c>
      <c r="AA274" s="31" t="str">
        <f>IF(LEN(_DB_Exercises!AV388)&gt;0,_DB_Exercises!AV388,"")</f>
        <v/>
      </c>
      <c r="AB274" s="31" t="str">
        <f>IF(LEN(_DB_Exercises!AW388)&gt;0,_DB_Exercises!AW388,"")</f>
        <v/>
      </c>
      <c r="AC274" s="31" t="str">
        <f>IF(LEN(_DB_Exercises!AX388)&gt;0,_DB_Exercises!AX388,"")</f>
        <v/>
      </c>
      <c r="AD274" s="31" t="str">
        <f>IF(LEN(_DB_Exercises!AY388)&gt;0,_DB_Exercises!AY388,"")</f>
        <v/>
      </c>
      <c r="AE274" s="31" t="str">
        <f>IF(LEN(_DB_Exercises!AZ388)&gt;0,_DB_Exercises!AZ388,"")</f>
        <v/>
      </c>
      <c r="AF274" s="31" t="str">
        <f>IF(LEN(_DB_Exercises!BA388)&gt;0,_DB_Exercises!BA388,"")</f>
        <v/>
      </c>
      <c r="AG274" s="31" t="str">
        <f>IF(LEN(_DB_Exercises!BB388)&gt;0,_DB_Exercises!BB388,"")</f>
        <v/>
      </c>
      <c r="AH274" s="31" t="str">
        <f>IF(LEN(_DB_Exercises!BC388)&gt;0,_DB_Exercises!BC388,"")</f>
        <v/>
      </c>
      <c r="AI274" s="31" t="str">
        <f>IF(LEN(_DB_Exercises!BD388)&gt;0,_DB_Exercises!BD388,"")</f>
        <v/>
      </c>
      <c r="AJ274" s="31" t="str">
        <f>IF(LEN(_DB_Exercises!BE388)&gt;0,_DB_Exercises!BE388,"")</f>
        <v/>
      </c>
      <c r="AK274" s="31" t="str">
        <f>IF(LEN(_DB_Exercises!BF388)&gt;0,_DB_Exercises!BF388,"")</f>
        <v/>
      </c>
      <c r="AL274" s="31" t="str">
        <f>IF(LEN(_DB_Exercises!BG388)&gt;0,_DB_Exercises!BG388,"")</f>
        <v/>
      </c>
      <c r="AM274" s="31" t="str">
        <f>IF(LEN(_DB_Exercises!BH388)&gt;0,_DB_Exercises!BH388,"")</f>
        <v/>
      </c>
      <c r="AN274" s="31" t="str">
        <f>IF(LEN(_DB_Exercises!BI388)&gt;0,_DB_Exercises!BI388,"")</f>
        <v/>
      </c>
      <c r="AO274" s="31" t="str">
        <f>IF(LEN(_DB_Exercises!BJ388)&gt;0,_DB_Exercises!BJ388,"")</f>
        <v/>
      </c>
      <c r="AP274" s="31" t="str">
        <f>IF(LEN(_DB_Exercises!BK388)&gt;0,_DB_Exercises!BK388,"")</f>
        <v/>
      </c>
      <c r="AQ274" s="31" t="str">
        <f>IF(LEN(_DB_Exercises!BL388)&gt;0,_DB_Exercises!BL388,"")</f>
        <v/>
      </c>
      <c r="AR274" s="31" t="str">
        <f>IF(LEN(_DB_Exercises!BM388)&gt;0,_DB_Exercises!BM388,"")</f>
        <v/>
      </c>
    </row>
    <row r="275" spans="1:44" x14ac:dyDescent="0.25">
      <c r="A275" s="11" t="str">
        <f>IF(LEN(_DB_Exercises!A389)&gt;0,_DB_Exercises!A389,"")</f>
        <v/>
      </c>
      <c r="B275" s="14" t="str">
        <f>IF(LEN(_DB_Exercises!K389)&gt;0,_DB_Exercises!K389,"")</f>
        <v/>
      </c>
      <c r="C275" s="31" t="str">
        <f>IF(LEN(_DB_Exercises!X389)&gt;0,_DB_Exercises!X389,"")</f>
        <v/>
      </c>
      <c r="D275" s="31" t="str">
        <f>IF(LEN(_DB_Exercises!Y389)&gt;0,_DB_Exercises!Y389,"")</f>
        <v/>
      </c>
      <c r="E275" s="31" t="str">
        <f>IF(LEN(_DB_Exercises!Z389)&gt;0,_DB_Exercises!Z389,"")</f>
        <v/>
      </c>
      <c r="F275" s="31" t="str">
        <f>IF(LEN(_DB_Exercises!AA389)&gt;0,_DB_Exercises!AA389,"")</f>
        <v/>
      </c>
      <c r="G275" s="31" t="str">
        <f>IF(LEN(_DB_Exercises!AB389)&gt;0,_DB_Exercises!AB389,"")</f>
        <v/>
      </c>
      <c r="H275" s="31" t="str">
        <f>IF(LEN(_DB_Exercises!AC389)&gt;0,_DB_Exercises!AC389,"")</f>
        <v/>
      </c>
      <c r="I275" s="31" t="str">
        <f>IF(LEN(_DB_Exercises!AD389)&gt;0,_DB_Exercises!AD389,"")</f>
        <v/>
      </c>
      <c r="J275" s="31" t="str">
        <f>IF(LEN(_DB_Exercises!AE389)&gt;0,_DB_Exercises!AE389,"")</f>
        <v/>
      </c>
      <c r="K275" s="31" t="str">
        <f>IF(LEN(_DB_Exercises!AF389)&gt;0,_DB_Exercises!AF389,"")</f>
        <v/>
      </c>
      <c r="L275" s="31" t="str">
        <f>IF(LEN(_DB_Exercises!AG389)&gt;0,_DB_Exercises!AG389,"")</f>
        <v/>
      </c>
      <c r="M275" s="31" t="str">
        <f>IF(LEN(_DB_Exercises!AH389)&gt;0,_DB_Exercises!AH389,"")</f>
        <v/>
      </c>
      <c r="N275" s="31" t="str">
        <f>IF(LEN(_DB_Exercises!AI389)&gt;0,_DB_Exercises!AI389,"")</f>
        <v/>
      </c>
      <c r="O275" s="31" t="str">
        <f>IF(LEN(_DB_Exercises!AJ389)&gt;0,_DB_Exercises!AJ389,"")</f>
        <v/>
      </c>
      <c r="P275" s="31" t="str">
        <f>IF(LEN(_DB_Exercises!AK389)&gt;0,_DB_Exercises!AK389,"")</f>
        <v/>
      </c>
      <c r="Q275" s="31" t="str">
        <f>IF(LEN(_DB_Exercises!AL389)&gt;0,_DB_Exercises!AL389,"")</f>
        <v/>
      </c>
      <c r="R275" s="31" t="str">
        <f>IF(LEN(_DB_Exercises!AM389)&gt;0,_DB_Exercises!AM389,"")</f>
        <v/>
      </c>
      <c r="S275" s="31" t="str">
        <f>IF(LEN(_DB_Exercises!AN389)&gt;0,_DB_Exercises!AN389,"")</f>
        <v/>
      </c>
      <c r="T275" s="31" t="str">
        <f>IF(LEN(_DB_Exercises!AO389)&gt;0,_DB_Exercises!AO389,"")</f>
        <v/>
      </c>
      <c r="U275" s="31" t="str">
        <f>IF(LEN(_DB_Exercises!AP389)&gt;0,_DB_Exercises!AP389,"")</f>
        <v/>
      </c>
      <c r="V275" s="31" t="str">
        <f>IF(LEN(_DB_Exercises!AQ389)&gt;0,_DB_Exercises!AQ389,"")</f>
        <v/>
      </c>
      <c r="W275" s="31" t="str">
        <f>IF(LEN(_DB_Exercises!AR389)&gt;0,_DB_Exercises!AR389,"")</f>
        <v/>
      </c>
      <c r="X275" s="31" t="str">
        <f>IF(LEN(_DB_Exercises!AS389)&gt;0,_DB_Exercises!AS389,"")</f>
        <v/>
      </c>
      <c r="Y275" s="31" t="str">
        <f>IF(LEN(_DB_Exercises!AT389)&gt;0,_DB_Exercises!AT389,"")</f>
        <v/>
      </c>
      <c r="Z275" s="31" t="str">
        <f>IF(LEN(_DB_Exercises!AU389)&gt;0,_DB_Exercises!AU389,"")</f>
        <v/>
      </c>
      <c r="AA275" s="31" t="str">
        <f>IF(LEN(_DB_Exercises!AV389)&gt;0,_DB_Exercises!AV389,"")</f>
        <v/>
      </c>
      <c r="AB275" s="31" t="str">
        <f>IF(LEN(_DB_Exercises!AW389)&gt;0,_DB_Exercises!AW389,"")</f>
        <v/>
      </c>
      <c r="AC275" s="31" t="str">
        <f>IF(LEN(_DB_Exercises!AX389)&gt;0,_DB_Exercises!AX389,"")</f>
        <v/>
      </c>
      <c r="AD275" s="31" t="str">
        <f>IF(LEN(_DB_Exercises!AY389)&gt;0,_DB_Exercises!AY389,"")</f>
        <v/>
      </c>
      <c r="AE275" s="31" t="str">
        <f>IF(LEN(_DB_Exercises!AZ389)&gt;0,_DB_Exercises!AZ389,"")</f>
        <v/>
      </c>
      <c r="AF275" s="31" t="str">
        <f>IF(LEN(_DB_Exercises!BA389)&gt;0,_DB_Exercises!BA389,"")</f>
        <v/>
      </c>
      <c r="AG275" s="31" t="str">
        <f>IF(LEN(_DB_Exercises!BB389)&gt;0,_DB_Exercises!BB389,"")</f>
        <v/>
      </c>
      <c r="AH275" s="31" t="str">
        <f>IF(LEN(_DB_Exercises!BC389)&gt;0,_DB_Exercises!BC389,"")</f>
        <v/>
      </c>
      <c r="AI275" s="31" t="str">
        <f>IF(LEN(_DB_Exercises!BD389)&gt;0,_DB_Exercises!BD389,"")</f>
        <v/>
      </c>
      <c r="AJ275" s="31" t="str">
        <f>IF(LEN(_DB_Exercises!BE389)&gt;0,_DB_Exercises!BE389,"")</f>
        <v/>
      </c>
      <c r="AK275" s="31" t="str">
        <f>IF(LEN(_DB_Exercises!BF389)&gt;0,_DB_Exercises!BF389,"")</f>
        <v/>
      </c>
      <c r="AL275" s="31" t="str">
        <f>IF(LEN(_DB_Exercises!BG389)&gt;0,_DB_Exercises!BG389,"")</f>
        <v/>
      </c>
      <c r="AM275" s="31" t="str">
        <f>IF(LEN(_DB_Exercises!BH389)&gt;0,_DB_Exercises!BH389,"")</f>
        <v/>
      </c>
      <c r="AN275" s="31" t="str">
        <f>IF(LEN(_DB_Exercises!BI389)&gt;0,_DB_Exercises!BI389,"")</f>
        <v/>
      </c>
      <c r="AO275" s="31" t="str">
        <f>IF(LEN(_DB_Exercises!BJ389)&gt;0,_DB_Exercises!BJ389,"")</f>
        <v/>
      </c>
      <c r="AP275" s="31" t="str">
        <f>IF(LEN(_DB_Exercises!BK389)&gt;0,_DB_Exercises!BK389,"")</f>
        <v/>
      </c>
      <c r="AQ275" s="31" t="str">
        <f>IF(LEN(_DB_Exercises!BL389)&gt;0,_DB_Exercises!BL389,"")</f>
        <v/>
      </c>
      <c r="AR275" s="31" t="str">
        <f>IF(LEN(_DB_Exercises!BM389)&gt;0,_DB_Exercises!BM389,"")</f>
        <v/>
      </c>
    </row>
    <row r="276" spans="1:44" x14ac:dyDescent="0.25">
      <c r="A276" s="11" t="str">
        <f>IF(LEN(_DB_Exercises!A390)&gt;0,_DB_Exercises!A390,"")</f>
        <v/>
      </c>
      <c r="B276" s="14" t="str">
        <f>IF(LEN(_DB_Exercises!K390)&gt;0,_DB_Exercises!K390,"")</f>
        <v/>
      </c>
      <c r="C276" s="31" t="str">
        <f>IF(LEN(_DB_Exercises!X390)&gt;0,_DB_Exercises!X390,"")</f>
        <v/>
      </c>
      <c r="D276" s="31" t="str">
        <f>IF(LEN(_DB_Exercises!Y390)&gt;0,_DB_Exercises!Y390,"")</f>
        <v/>
      </c>
      <c r="E276" s="31" t="str">
        <f>IF(LEN(_DB_Exercises!Z390)&gt;0,_DB_Exercises!Z390,"")</f>
        <v/>
      </c>
      <c r="F276" s="31" t="str">
        <f>IF(LEN(_DB_Exercises!AA390)&gt;0,_DB_Exercises!AA390,"")</f>
        <v/>
      </c>
      <c r="G276" s="31" t="str">
        <f>IF(LEN(_DB_Exercises!AB390)&gt;0,_DB_Exercises!AB390,"")</f>
        <v/>
      </c>
      <c r="H276" s="31" t="str">
        <f>IF(LEN(_DB_Exercises!AC390)&gt;0,_DB_Exercises!AC390,"")</f>
        <v/>
      </c>
      <c r="I276" s="31" t="str">
        <f>IF(LEN(_DB_Exercises!AD390)&gt;0,_DB_Exercises!AD390,"")</f>
        <v/>
      </c>
      <c r="J276" s="31" t="str">
        <f>IF(LEN(_DB_Exercises!AE390)&gt;0,_DB_Exercises!AE390,"")</f>
        <v/>
      </c>
      <c r="K276" s="31" t="str">
        <f>IF(LEN(_DB_Exercises!AF390)&gt;0,_DB_Exercises!AF390,"")</f>
        <v/>
      </c>
      <c r="L276" s="31" t="str">
        <f>IF(LEN(_DB_Exercises!AG390)&gt;0,_DB_Exercises!AG390,"")</f>
        <v/>
      </c>
      <c r="M276" s="31" t="str">
        <f>IF(LEN(_DB_Exercises!AH390)&gt;0,_DB_Exercises!AH390,"")</f>
        <v/>
      </c>
      <c r="N276" s="31" t="str">
        <f>IF(LEN(_DB_Exercises!AI390)&gt;0,_DB_Exercises!AI390,"")</f>
        <v/>
      </c>
      <c r="O276" s="31" t="str">
        <f>IF(LEN(_DB_Exercises!AJ390)&gt;0,_DB_Exercises!AJ390,"")</f>
        <v/>
      </c>
      <c r="P276" s="31" t="str">
        <f>IF(LEN(_DB_Exercises!AK390)&gt;0,_DB_Exercises!AK390,"")</f>
        <v/>
      </c>
      <c r="Q276" s="31" t="str">
        <f>IF(LEN(_DB_Exercises!AL390)&gt;0,_DB_Exercises!AL390,"")</f>
        <v/>
      </c>
      <c r="R276" s="31" t="str">
        <f>IF(LEN(_DB_Exercises!AM390)&gt;0,_DB_Exercises!AM390,"")</f>
        <v/>
      </c>
      <c r="S276" s="31" t="str">
        <f>IF(LEN(_DB_Exercises!AN390)&gt;0,_DB_Exercises!AN390,"")</f>
        <v/>
      </c>
      <c r="T276" s="31" t="str">
        <f>IF(LEN(_DB_Exercises!AO390)&gt;0,_DB_Exercises!AO390,"")</f>
        <v/>
      </c>
      <c r="U276" s="31" t="str">
        <f>IF(LEN(_DB_Exercises!AP390)&gt;0,_DB_Exercises!AP390,"")</f>
        <v/>
      </c>
      <c r="V276" s="31" t="str">
        <f>IF(LEN(_DB_Exercises!AQ390)&gt;0,_DB_Exercises!AQ390,"")</f>
        <v/>
      </c>
      <c r="W276" s="31" t="str">
        <f>IF(LEN(_DB_Exercises!AR390)&gt;0,_DB_Exercises!AR390,"")</f>
        <v/>
      </c>
      <c r="X276" s="31" t="str">
        <f>IF(LEN(_DB_Exercises!AS390)&gt;0,_DB_Exercises!AS390,"")</f>
        <v/>
      </c>
      <c r="Y276" s="31" t="str">
        <f>IF(LEN(_DB_Exercises!AT390)&gt;0,_DB_Exercises!AT390,"")</f>
        <v/>
      </c>
      <c r="Z276" s="31" t="str">
        <f>IF(LEN(_DB_Exercises!AU390)&gt;0,_DB_Exercises!AU390,"")</f>
        <v/>
      </c>
      <c r="AA276" s="31" t="str">
        <f>IF(LEN(_DB_Exercises!AV390)&gt;0,_DB_Exercises!AV390,"")</f>
        <v/>
      </c>
      <c r="AB276" s="31" t="str">
        <f>IF(LEN(_DB_Exercises!AW390)&gt;0,_DB_Exercises!AW390,"")</f>
        <v/>
      </c>
      <c r="AC276" s="31" t="str">
        <f>IF(LEN(_DB_Exercises!AX390)&gt;0,_DB_Exercises!AX390,"")</f>
        <v/>
      </c>
      <c r="AD276" s="31" t="str">
        <f>IF(LEN(_DB_Exercises!AY390)&gt;0,_DB_Exercises!AY390,"")</f>
        <v/>
      </c>
      <c r="AE276" s="31" t="str">
        <f>IF(LEN(_DB_Exercises!AZ390)&gt;0,_DB_Exercises!AZ390,"")</f>
        <v/>
      </c>
      <c r="AF276" s="31" t="str">
        <f>IF(LEN(_DB_Exercises!BA390)&gt;0,_DB_Exercises!BA390,"")</f>
        <v/>
      </c>
      <c r="AG276" s="31" t="str">
        <f>IF(LEN(_DB_Exercises!BB390)&gt;0,_DB_Exercises!BB390,"")</f>
        <v/>
      </c>
      <c r="AH276" s="31" t="str">
        <f>IF(LEN(_DB_Exercises!BC390)&gt;0,_DB_Exercises!BC390,"")</f>
        <v/>
      </c>
      <c r="AI276" s="31" t="str">
        <f>IF(LEN(_DB_Exercises!BD390)&gt;0,_DB_Exercises!BD390,"")</f>
        <v/>
      </c>
      <c r="AJ276" s="31" t="str">
        <f>IF(LEN(_DB_Exercises!BE390)&gt;0,_DB_Exercises!BE390,"")</f>
        <v/>
      </c>
      <c r="AK276" s="31" t="str">
        <f>IF(LEN(_DB_Exercises!BF390)&gt;0,_DB_Exercises!BF390,"")</f>
        <v/>
      </c>
      <c r="AL276" s="31" t="str">
        <f>IF(LEN(_DB_Exercises!BG390)&gt;0,_DB_Exercises!BG390,"")</f>
        <v/>
      </c>
      <c r="AM276" s="31" t="str">
        <f>IF(LEN(_DB_Exercises!BH390)&gt;0,_DB_Exercises!BH390,"")</f>
        <v/>
      </c>
      <c r="AN276" s="31" t="str">
        <f>IF(LEN(_DB_Exercises!BI390)&gt;0,_DB_Exercises!BI390,"")</f>
        <v/>
      </c>
      <c r="AO276" s="31" t="str">
        <f>IF(LEN(_DB_Exercises!BJ390)&gt;0,_DB_Exercises!BJ390,"")</f>
        <v/>
      </c>
      <c r="AP276" s="31" t="str">
        <f>IF(LEN(_DB_Exercises!BK390)&gt;0,_DB_Exercises!BK390,"")</f>
        <v/>
      </c>
      <c r="AQ276" s="31" t="str">
        <f>IF(LEN(_DB_Exercises!BL390)&gt;0,_DB_Exercises!BL390,"")</f>
        <v/>
      </c>
      <c r="AR276" s="31" t="str">
        <f>IF(LEN(_DB_Exercises!BM390)&gt;0,_DB_Exercises!BM390,"")</f>
        <v/>
      </c>
    </row>
    <row r="277" spans="1:44" x14ac:dyDescent="0.25">
      <c r="A277" s="11" t="str">
        <f>IF(LEN(_DB_Exercises!A391)&gt;0,_DB_Exercises!A391,"")</f>
        <v/>
      </c>
      <c r="B277" s="14" t="str">
        <f>IF(LEN(_DB_Exercises!K391)&gt;0,_DB_Exercises!K391,"")</f>
        <v/>
      </c>
      <c r="C277" s="31" t="str">
        <f>IF(LEN(_DB_Exercises!X391)&gt;0,_DB_Exercises!X391,"")</f>
        <v/>
      </c>
      <c r="D277" s="31" t="str">
        <f>IF(LEN(_DB_Exercises!Y391)&gt;0,_DB_Exercises!Y391,"")</f>
        <v/>
      </c>
      <c r="E277" s="31" t="str">
        <f>IF(LEN(_DB_Exercises!Z391)&gt;0,_DB_Exercises!Z391,"")</f>
        <v/>
      </c>
      <c r="F277" s="31" t="str">
        <f>IF(LEN(_DB_Exercises!AA391)&gt;0,_DB_Exercises!AA391,"")</f>
        <v/>
      </c>
      <c r="G277" s="31" t="str">
        <f>IF(LEN(_DB_Exercises!AB391)&gt;0,_DB_Exercises!AB391,"")</f>
        <v/>
      </c>
      <c r="H277" s="31" t="str">
        <f>IF(LEN(_DB_Exercises!AC391)&gt;0,_DB_Exercises!AC391,"")</f>
        <v/>
      </c>
      <c r="I277" s="31" t="str">
        <f>IF(LEN(_DB_Exercises!AD391)&gt;0,_DB_Exercises!AD391,"")</f>
        <v/>
      </c>
      <c r="J277" s="31" t="str">
        <f>IF(LEN(_DB_Exercises!AE391)&gt;0,_DB_Exercises!AE391,"")</f>
        <v/>
      </c>
      <c r="K277" s="31" t="str">
        <f>IF(LEN(_DB_Exercises!AF391)&gt;0,_DB_Exercises!AF391,"")</f>
        <v/>
      </c>
      <c r="L277" s="31" t="str">
        <f>IF(LEN(_DB_Exercises!AG391)&gt;0,_DB_Exercises!AG391,"")</f>
        <v/>
      </c>
      <c r="M277" s="31" t="str">
        <f>IF(LEN(_DB_Exercises!AH391)&gt;0,_DB_Exercises!AH391,"")</f>
        <v/>
      </c>
      <c r="N277" s="31" t="str">
        <f>IF(LEN(_DB_Exercises!AI391)&gt;0,_DB_Exercises!AI391,"")</f>
        <v/>
      </c>
      <c r="O277" s="31" t="str">
        <f>IF(LEN(_DB_Exercises!AJ391)&gt;0,_DB_Exercises!AJ391,"")</f>
        <v/>
      </c>
      <c r="P277" s="31" t="str">
        <f>IF(LEN(_DB_Exercises!AK391)&gt;0,_DB_Exercises!AK391,"")</f>
        <v/>
      </c>
      <c r="Q277" s="31" t="str">
        <f>IF(LEN(_DB_Exercises!AL391)&gt;0,_DB_Exercises!AL391,"")</f>
        <v/>
      </c>
      <c r="R277" s="31" t="str">
        <f>IF(LEN(_DB_Exercises!AM391)&gt;0,_DB_Exercises!AM391,"")</f>
        <v/>
      </c>
      <c r="S277" s="31" t="str">
        <f>IF(LEN(_DB_Exercises!AN391)&gt;0,_DB_Exercises!AN391,"")</f>
        <v/>
      </c>
      <c r="T277" s="31" t="str">
        <f>IF(LEN(_DB_Exercises!AO391)&gt;0,_DB_Exercises!AO391,"")</f>
        <v/>
      </c>
      <c r="U277" s="31" t="str">
        <f>IF(LEN(_DB_Exercises!AP391)&gt;0,_DB_Exercises!AP391,"")</f>
        <v/>
      </c>
      <c r="V277" s="31" t="str">
        <f>IF(LEN(_DB_Exercises!AQ391)&gt;0,_DB_Exercises!AQ391,"")</f>
        <v/>
      </c>
      <c r="W277" s="31" t="str">
        <f>IF(LEN(_DB_Exercises!AR391)&gt;0,_DB_Exercises!AR391,"")</f>
        <v/>
      </c>
      <c r="X277" s="31" t="str">
        <f>IF(LEN(_DB_Exercises!AS391)&gt;0,_DB_Exercises!AS391,"")</f>
        <v/>
      </c>
      <c r="Y277" s="31" t="str">
        <f>IF(LEN(_DB_Exercises!AT391)&gt;0,_DB_Exercises!AT391,"")</f>
        <v/>
      </c>
      <c r="Z277" s="31" t="str">
        <f>IF(LEN(_DB_Exercises!AU391)&gt;0,_DB_Exercises!AU391,"")</f>
        <v/>
      </c>
      <c r="AA277" s="31" t="str">
        <f>IF(LEN(_DB_Exercises!AV391)&gt;0,_DB_Exercises!AV391,"")</f>
        <v/>
      </c>
      <c r="AB277" s="31" t="str">
        <f>IF(LEN(_DB_Exercises!AW391)&gt;0,_DB_Exercises!AW391,"")</f>
        <v/>
      </c>
      <c r="AC277" s="31" t="str">
        <f>IF(LEN(_DB_Exercises!AX391)&gt;0,_DB_Exercises!AX391,"")</f>
        <v/>
      </c>
      <c r="AD277" s="31" t="str">
        <f>IF(LEN(_DB_Exercises!AY391)&gt;0,_DB_Exercises!AY391,"")</f>
        <v/>
      </c>
      <c r="AE277" s="31" t="str">
        <f>IF(LEN(_DB_Exercises!AZ391)&gt;0,_DB_Exercises!AZ391,"")</f>
        <v/>
      </c>
      <c r="AF277" s="31" t="str">
        <f>IF(LEN(_DB_Exercises!BA391)&gt;0,_DB_Exercises!BA391,"")</f>
        <v/>
      </c>
      <c r="AG277" s="31" t="str">
        <f>IF(LEN(_DB_Exercises!BB391)&gt;0,_DB_Exercises!BB391,"")</f>
        <v/>
      </c>
      <c r="AH277" s="31" t="str">
        <f>IF(LEN(_DB_Exercises!BC391)&gt;0,_DB_Exercises!BC391,"")</f>
        <v/>
      </c>
      <c r="AI277" s="31" t="str">
        <f>IF(LEN(_DB_Exercises!BD391)&gt;0,_DB_Exercises!BD391,"")</f>
        <v/>
      </c>
      <c r="AJ277" s="31" t="str">
        <f>IF(LEN(_DB_Exercises!BE391)&gt;0,_DB_Exercises!BE391,"")</f>
        <v/>
      </c>
      <c r="AK277" s="31" t="str">
        <f>IF(LEN(_DB_Exercises!BF391)&gt;0,_DB_Exercises!BF391,"")</f>
        <v/>
      </c>
      <c r="AL277" s="31" t="str">
        <f>IF(LEN(_DB_Exercises!BG391)&gt;0,_DB_Exercises!BG391,"")</f>
        <v/>
      </c>
      <c r="AM277" s="31" t="str">
        <f>IF(LEN(_DB_Exercises!BH391)&gt;0,_DB_Exercises!BH391,"")</f>
        <v/>
      </c>
      <c r="AN277" s="31" t="str">
        <f>IF(LEN(_DB_Exercises!BI391)&gt;0,_DB_Exercises!BI391,"")</f>
        <v/>
      </c>
      <c r="AO277" s="31" t="str">
        <f>IF(LEN(_DB_Exercises!BJ391)&gt;0,_DB_Exercises!BJ391,"")</f>
        <v/>
      </c>
      <c r="AP277" s="31" t="str">
        <f>IF(LEN(_DB_Exercises!BK391)&gt;0,_DB_Exercises!BK391,"")</f>
        <v/>
      </c>
      <c r="AQ277" s="31" t="str">
        <f>IF(LEN(_DB_Exercises!BL391)&gt;0,_DB_Exercises!BL391,"")</f>
        <v/>
      </c>
      <c r="AR277" s="31" t="str">
        <f>IF(LEN(_DB_Exercises!BM391)&gt;0,_DB_Exercises!BM391,"")</f>
        <v/>
      </c>
    </row>
    <row r="278" spans="1:44" x14ac:dyDescent="0.25">
      <c r="A278" s="11" t="str">
        <f>IF(LEN(_DB_Exercises!A392)&gt;0,_DB_Exercises!A392,"")</f>
        <v/>
      </c>
      <c r="B278" s="14" t="str">
        <f>IF(LEN(_DB_Exercises!K392)&gt;0,_DB_Exercises!K392,"")</f>
        <v/>
      </c>
      <c r="C278" s="31" t="str">
        <f>IF(LEN(_DB_Exercises!X392)&gt;0,_DB_Exercises!X392,"")</f>
        <v/>
      </c>
      <c r="D278" s="31" t="str">
        <f>IF(LEN(_DB_Exercises!Y392)&gt;0,_DB_Exercises!Y392,"")</f>
        <v/>
      </c>
      <c r="E278" s="31" t="str">
        <f>IF(LEN(_DB_Exercises!Z392)&gt;0,_DB_Exercises!Z392,"")</f>
        <v/>
      </c>
      <c r="F278" s="31" t="str">
        <f>IF(LEN(_DB_Exercises!AA392)&gt;0,_DB_Exercises!AA392,"")</f>
        <v/>
      </c>
      <c r="G278" s="31" t="str">
        <f>IF(LEN(_DB_Exercises!AB392)&gt;0,_DB_Exercises!AB392,"")</f>
        <v/>
      </c>
      <c r="H278" s="31" t="str">
        <f>IF(LEN(_DB_Exercises!AC392)&gt;0,_DB_Exercises!AC392,"")</f>
        <v/>
      </c>
      <c r="I278" s="31" t="str">
        <f>IF(LEN(_DB_Exercises!AD392)&gt;0,_DB_Exercises!AD392,"")</f>
        <v/>
      </c>
      <c r="J278" s="31" t="str">
        <f>IF(LEN(_DB_Exercises!AE392)&gt;0,_DB_Exercises!AE392,"")</f>
        <v/>
      </c>
      <c r="K278" s="31" t="str">
        <f>IF(LEN(_DB_Exercises!AF392)&gt;0,_DB_Exercises!AF392,"")</f>
        <v/>
      </c>
      <c r="L278" s="31" t="str">
        <f>IF(LEN(_DB_Exercises!AG392)&gt;0,_DB_Exercises!AG392,"")</f>
        <v/>
      </c>
      <c r="M278" s="31" t="str">
        <f>IF(LEN(_DB_Exercises!AH392)&gt;0,_DB_Exercises!AH392,"")</f>
        <v/>
      </c>
      <c r="N278" s="31" t="str">
        <f>IF(LEN(_DB_Exercises!AI392)&gt;0,_DB_Exercises!AI392,"")</f>
        <v/>
      </c>
      <c r="O278" s="31" t="str">
        <f>IF(LEN(_DB_Exercises!AJ392)&gt;0,_DB_Exercises!AJ392,"")</f>
        <v/>
      </c>
      <c r="P278" s="31" t="str">
        <f>IF(LEN(_DB_Exercises!AK392)&gt;0,_DB_Exercises!AK392,"")</f>
        <v/>
      </c>
      <c r="Q278" s="31" t="str">
        <f>IF(LEN(_DB_Exercises!AL392)&gt;0,_DB_Exercises!AL392,"")</f>
        <v/>
      </c>
      <c r="R278" s="31" t="str">
        <f>IF(LEN(_DB_Exercises!AM392)&gt;0,_DB_Exercises!AM392,"")</f>
        <v/>
      </c>
      <c r="S278" s="31" t="str">
        <f>IF(LEN(_DB_Exercises!AN392)&gt;0,_DB_Exercises!AN392,"")</f>
        <v/>
      </c>
      <c r="T278" s="31" t="str">
        <f>IF(LEN(_DB_Exercises!AO392)&gt;0,_DB_Exercises!AO392,"")</f>
        <v/>
      </c>
      <c r="U278" s="31" t="str">
        <f>IF(LEN(_DB_Exercises!AP392)&gt;0,_DB_Exercises!AP392,"")</f>
        <v/>
      </c>
      <c r="V278" s="31" t="str">
        <f>IF(LEN(_DB_Exercises!AQ392)&gt;0,_DB_Exercises!AQ392,"")</f>
        <v/>
      </c>
      <c r="W278" s="31" t="str">
        <f>IF(LEN(_DB_Exercises!AR392)&gt;0,_DB_Exercises!AR392,"")</f>
        <v/>
      </c>
      <c r="X278" s="31" t="str">
        <f>IF(LEN(_DB_Exercises!AS392)&gt;0,_DB_Exercises!AS392,"")</f>
        <v/>
      </c>
      <c r="Y278" s="31" t="str">
        <f>IF(LEN(_DB_Exercises!AT392)&gt;0,_DB_Exercises!AT392,"")</f>
        <v/>
      </c>
      <c r="Z278" s="31" t="str">
        <f>IF(LEN(_DB_Exercises!AU392)&gt;0,_DB_Exercises!AU392,"")</f>
        <v/>
      </c>
      <c r="AA278" s="31" t="str">
        <f>IF(LEN(_DB_Exercises!AV392)&gt;0,_DB_Exercises!AV392,"")</f>
        <v/>
      </c>
      <c r="AB278" s="31" t="str">
        <f>IF(LEN(_DB_Exercises!AW392)&gt;0,_DB_Exercises!AW392,"")</f>
        <v/>
      </c>
      <c r="AC278" s="31" t="str">
        <f>IF(LEN(_DB_Exercises!AX392)&gt;0,_DB_Exercises!AX392,"")</f>
        <v/>
      </c>
      <c r="AD278" s="31" t="str">
        <f>IF(LEN(_DB_Exercises!AY392)&gt;0,_DB_Exercises!AY392,"")</f>
        <v/>
      </c>
      <c r="AE278" s="31" t="str">
        <f>IF(LEN(_DB_Exercises!AZ392)&gt;0,_DB_Exercises!AZ392,"")</f>
        <v/>
      </c>
      <c r="AF278" s="31" t="str">
        <f>IF(LEN(_DB_Exercises!BA392)&gt;0,_DB_Exercises!BA392,"")</f>
        <v/>
      </c>
      <c r="AG278" s="31" t="str">
        <f>IF(LEN(_DB_Exercises!BB392)&gt;0,_DB_Exercises!BB392,"")</f>
        <v/>
      </c>
      <c r="AH278" s="31" t="str">
        <f>IF(LEN(_DB_Exercises!BC392)&gt;0,_DB_Exercises!BC392,"")</f>
        <v/>
      </c>
      <c r="AI278" s="31" t="str">
        <f>IF(LEN(_DB_Exercises!BD392)&gt;0,_DB_Exercises!BD392,"")</f>
        <v/>
      </c>
      <c r="AJ278" s="31" t="str">
        <f>IF(LEN(_DB_Exercises!BE392)&gt;0,_DB_Exercises!BE392,"")</f>
        <v/>
      </c>
      <c r="AK278" s="31" t="str">
        <f>IF(LEN(_DB_Exercises!BF392)&gt;0,_DB_Exercises!BF392,"")</f>
        <v/>
      </c>
      <c r="AL278" s="31" t="str">
        <f>IF(LEN(_DB_Exercises!BG392)&gt;0,_DB_Exercises!BG392,"")</f>
        <v/>
      </c>
      <c r="AM278" s="31" t="str">
        <f>IF(LEN(_DB_Exercises!BH392)&gt;0,_DB_Exercises!BH392,"")</f>
        <v/>
      </c>
      <c r="AN278" s="31" t="str">
        <f>IF(LEN(_DB_Exercises!BI392)&gt;0,_DB_Exercises!BI392,"")</f>
        <v/>
      </c>
      <c r="AO278" s="31" t="str">
        <f>IF(LEN(_DB_Exercises!BJ392)&gt;0,_DB_Exercises!BJ392,"")</f>
        <v/>
      </c>
      <c r="AP278" s="31" t="str">
        <f>IF(LEN(_DB_Exercises!BK392)&gt;0,_DB_Exercises!BK392,"")</f>
        <v/>
      </c>
      <c r="AQ278" s="31" t="str">
        <f>IF(LEN(_DB_Exercises!BL392)&gt;0,_DB_Exercises!BL392,"")</f>
        <v/>
      </c>
      <c r="AR278" s="31" t="str">
        <f>IF(LEN(_DB_Exercises!BM392)&gt;0,_DB_Exercises!BM392,"")</f>
        <v/>
      </c>
    </row>
    <row r="279" spans="1:44" x14ac:dyDescent="0.25">
      <c r="A279" s="11" t="str">
        <f>IF(LEN(_DB_Exercises!A393)&gt;0,_DB_Exercises!A393,"")</f>
        <v/>
      </c>
      <c r="B279" s="14" t="str">
        <f>IF(LEN(_DB_Exercises!K393)&gt;0,_DB_Exercises!K393,"")</f>
        <v/>
      </c>
      <c r="C279" s="31" t="str">
        <f>IF(LEN(_DB_Exercises!X393)&gt;0,_DB_Exercises!X393,"")</f>
        <v/>
      </c>
      <c r="D279" s="31" t="str">
        <f>IF(LEN(_DB_Exercises!Y393)&gt;0,_DB_Exercises!Y393,"")</f>
        <v/>
      </c>
      <c r="E279" s="31" t="str">
        <f>IF(LEN(_DB_Exercises!Z393)&gt;0,_DB_Exercises!Z393,"")</f>
        <v/>
      </c>
      <c r="F279" s="31" t="str">
        <f>IF(LEN(_DB_Exercises!AA393)&gt;0,_DB_Exercises!AA393,"")</f>
        <v/>
      </c>
      <c r="G279" s="31" t="str">
        <f>IF(LEN(_DB_Exercises!AB393)&gt;0,_DB_Exercises!AB393,"")</f>
        <v/>
      </c>
      <c r="H279" s="31" t="str">
        <f>IF(LEN(_DB_Exercises!AC393)&gt;0,_DB_Exercises!AC393,"")</f>
        <v/>
      </c>
      <c r="I279" s="31" t="str">
        <f>IF(LEN(_DB_Exercises!AD393)&gt;0,_DB_Exercises!AD393,"")</f>
        <v/>
      </c>
      <c r="J279" s="31" t="str">
        <f>IF(LEN(_DB_Exercises!AE393)&gt;0,_DB_Exercises!AE393,"")</f>
        <v/>
      </c>
      <c r="K279" s="31" t="str">
        <f>IF(LEN(_DB_Exercises!AF393)&gt;0,_DB_Exercises!AF393,"")</f>
        <v/>
      </c>
      <c r="L279" s="31" t="str">
        <f>IF(LEN(_DB_Exercises!AG393)&gt;0,_DB_Exercises!AG393,"")</f>
        <v/>
      </c>
      <c r="M279" s="31" t="str">
        <f>IF(LEN(_DB_Exercises!AH393)&gt;0,_DB_Exercises!AH393,"")</f>
        <v/>
      </c>
      <c r="N279" s="31" t="str">
        <f>IF(LEN(_DB_Exercises!AI393)&gt;0,_DB_Exercises!AI393,"")</f>
        <v/>
      </c>
      <c r="O279" s="31" t="str">
        <f>IF(LEN(_DB_Exercises!AJ393)&gt;0,_DB_Exercises!AJ393,"")</f>
        <v/>
      </c>
      <c r="P279" s="31" t="str">
        <f>IF(LEN(_DB_Exercises!AK393)&gt;0,_DB_Exercises!AK393,"")</f>
        <v/>
      </c>
      <c r="Q279" s="31" t="str">
        <f>IF(LEN(_DB_Exercises!AL393)&gt;0,_DB_Exercises!AL393,"")</f>
        <v/>
      </c>
      <c r="R279" s="31" t="str">
        <f>IF(LEN(_DB_Exercises!AM393)&gt;0,_DB_Exercises!AM393,"")</f>
        <v/>
      </c>
      <c r="S279" s="31" t="str">
        <f>IF(LEN(_DB_Exercises!AN393)&gt;0,_DB_Exercises!AN393,"")</f>
        <v/>
      </c>
      <c r="T279" s="31" t="str">
        <f>IF(LEN(_DB_Exercises!AO393)&gt;0,_DB_Exercises!AO393,"")</f>
        <v/>
      </c>
      <c r="U279" s="31" t="str">
        <f>IF(LEN(_DB_Exercises!AP393)&gt;0,_DB_Exercises!AP393,"")</f>
        <v/>
      </c>
      <c r="V279" s="31" t="str">
        <f>IF(LEN(_DB_Exercises!AQ393)&gt;0,_DB_Exercises!AQ393,"")</f>
        <v/>
      </c>
      <c r="W279" s="31" t="str">
        <f>IF(LEN(_DB_Exercises!AR393)&gt;0,_DB_Exercises!AR393,"")</f>
        <v/>
      </c>
      <c r="X279" s="31" t="str">
        <f>IF(LEN(_DB_Exercises!AS393)&gt;0,_DB_Exercises!AS393,"")</f>
        <v/>
      </c>
      <c r="Y279" s="31" t="str">
        <f>IF(LEN(_DB_Exercises!AT393)&gt;0,_DB_Exercises!AT393,"")</f>
        <v/>
      </c>
      <c r="Z279" s="31" t="str">
        <f>IF(LEN(_DB_Exercises!AU393)&gt;0,_DB_Exercises!AU393,"")</f>
        <v/>
      </c>
      <c r="AA279" s="31" t="str">
        <f>IF(LEN(_DB_Exercises!AV393)&gt;0,_DB_Exercises!AV393,"")</f>
        <v/>
      </c>
      <c r="AB279" s="31" t="str">
        <f>IF(LEN(_DB_Exercises!AW393)&gt;0,_DB_Exercises!AW393,"")</f>
        <v/>
      </c>
      <c r="AC279" s="31" t="str">
        <f>IF(LEN(_DB_Exercises!AX393)&gt;0,_DB_Exercises!AX393,"")</f>
        <v/>
      </c>
      <c r="AD279" s="31" t="str">
        <f>IF(LEN(_DB_Exercises!AY393)&gt;0,_DB_Exercises!AY393,"")</f>
        <v/>
      </c>
      <c r="AE279" s="31" t="str">
        <f>IF(LEN(_DB_Exercises!AZ393)&gt;0,_DB_Exercises!AZ393,"")</f>
        <v/>
      </c>
      <c r="AF279" s="31" t="str">
        <f>IF(LEN(_DB_Exercises!BA393)&gt;0,_DB_Exercises!BA393,"")</f>
        <v/>
      </c>
      <c r="AG279" s="31" t="str">
        <f>IF(LEN(_DB_Exercises!BB393)&gt;0,_DB_Exercises!BB393,"")</f>
        <v/>
      </c>
      <c r="AH279" s="31" t="str">
        <f>IF(LEN(_DB_Exercises!BC393)&gt;0,_DB_Exercises!BC393,"")</f>
        <v/>
      </c>
      <c r="AI279" s="31" t="str">
        <f>IF(LEN(_DB_Exercises!BD393)&gt;0,_DB_Exercises!BD393,"")</f>
        <v/>
      </c>
      <c r="AJ279" s="31" t="str">
        <f>IF(LEN(_DB_Exercises!BE393)&gt;0,_DB_Exercises!BE393,"")</f>
        <v/>
      </c>
      <c r="AK279" s="31" t="str">
        <f>IF(LEN(_DB_Exercises!BF393)&gt;0,_DB_Exercises!BF393,"")</f>
        <v/>
      </c>
      <c r="AL279" s="31" t="str">
        <f>IF(LEN(_DB_Exercises!BG393)&gt;0,_DB_Exercises!BG393,"")</f>
        <v/>
      </c>
      <c r="AM279" s="31" t="str">
        <f>IF(LEN(_DB_Exercises!BH393)&gt;0,_DB_Exercises!BH393,"")</f>
        <v/>
      </c>
      <c r="AN279" s="31" t="str">
        <f>IF(LEN(_DB_Exercises!BI393)&gt;0,_DB_Exercises!BI393,"")</f>
        <v/>
      </c>
      <c r="AO279" s="31" t="str">
        <f>IF(LEN(_DB_Exercises!BJ393)&gt;0,_DB_Exercises!BJ393,"")</f>
        <v/>
      </c>
      <c r="AP279" s="31" t="str">
        <f>IF(LEN(_DB_Exercises!BK393)&gt;0,_DB_Exercises!BK393,"")</f>
        <v/>
      </c>
      <c r="AQ279" s="31" t="str">
        <f>IF(LEN(_DB_Exercises!BL393)&gt;0,_DB_Exercises!BL393,"")</f>
        <v/>
      </c>
      <c r="AR279" s="31" t="str">
        <f>IF(LEN(_DB_Exercises!BM393)&gt;0,_DB_Exercises!BM393,"")</f>
        <v/>
      </c>
    </row>
    <row r="280" spans="1:44" x14ac:dyDescent="0.25">
      <c r="A280" s="11" t="str">
        <f>IF(LEN(_DB_Exercises!A394)&gt;0,_DB_Exercises!A394,"")</f>
        <v/>
      </c>
      <c r="B280" s="14" t="str">
        <f>IF(LEN(_DB_Exercises!K394)&gt;0,_DB_Exercises!K394,"")</f>
        <v/>
      </c>
      <c r="C280" s="31" t="str">
        <f>IF(LEN(_DB_Exercises!X394)&gt;0,_DB_Exercises!X394,"")</f>
        <v/>
      </c>
      <c r="D280" s="31" t="str">
        <f>IF(LEN(_DB_Exercises!Y394)&gt;0,_DB_Exercises!Y394,"")</f>
        <v/>
      </c>
      <c r="E280" s="31" t="str">
        <f>IF(LEN(_DB_Exercises!Z394)&gt;0,_DB_Exercises!Z394,"")</f>
        <v/>
      </c>
      <c r="F280" s="31" t="str">
        <f>IF(LEN(_DB_Exercises!AA394)&gt;0,_DB_Exercises!AA394,"")</f>
        <v/>
      </c>
      <c r="G280" s="31" t="str">
        <f>IF(LEN(_DB_Exercises!AB394)&gt;0,_DB_Exercises!AB394,"")</f>
        <v/>
      </c>
      <c r="H280" s="31" t="str">
        <f>IF(LEN(_DB_Exercises!AC394)&gt;0,_DB_Exercises!AC394,"")</f>
        <v/>
      </c>
      <c r="I280" s="31" t="str">
        <f>IF(LEN(_DB_Exercises!AD394)&gt;0,_DB_Exercises!AD394,"")</f>
        <v/>
      </c>
      <c r="J280" s="31" t="str">
        <f>IF(LEN(_DB_Exercises!AE394)&gt;0,_DB_Exercises!AE394,"")</f>
        <v/>
      </c>
      <c r="K280" s="31" t="str">
        <f>IF(LEN(_DB_Exercises!AF394)&gt;0,_DB_Exercises!AF394,"")</f>
        <v/>
      </c>
      <c r="L280" s="31" t="str">
        <f>IF(LEN(_DB_Exercises!AG394)&gt;0,_DB_Exercises!AG394,"")</f>
        <v/>
      </c>
      <c r="M280" s="31" t="str">
        <f>IF(LEN(_DB_Exercises!AH394)&gt;0,_DB_Exercises!AH394,"")</f>
        <v/>
      </c>
      <c r="N280" s="31" t="str">
        <f>IF(LEN(_DB_Exercises!AI394)&gt;0,_DB_Exercises!AI394,"")</f>
        <v/>
      </c>
      <c r="O280" s="31" t="str">
        <f>IF(LEN(_DB_Exercises!AJ394)&gt;0,_DB_Exercises!AJ394,"")</f>
        <v/>
      </c>
      <c r="P280" s="31" t="str">
        <f>IF(LEN(_DB_Exercises!AK394)&gt;0,_DB_Exercises!AK394,"")</f>
        <v/>
      </c>
      <c r="Q280" s="31" t="str">
        <f>IF(LEN(_DB_Exercises!AL394)&gt;0,_DB_Exercises!AL394,"")</f>
        <v/>
      </c>
      <c r="R280" s="31" t="str">
        <f>IF(LEN(_DB_Exercises!AM394)&gt;0,_DB_Exercises!AM394,"")</f>
        <v/>
      </c>
      <c r="S280" s="31" t="str">
        <f>IF(LEN(_DB_Exercises!AN394)&gt;0,_DB_Exercises!AN394,"")</f>
        <v/>
      </c>
      <c r="T280" s="31" t="str">
        <f>IF(LEN(_DB_Exercises!AO394)&gt;0,_DB_Exercises!AO394,"")</f>
        <v/>
      </c>
      <c r="U280" s="31" t="str">
        <f>IF(LEN(_DB_Exercises!AP394)&gt;0,_DB_Exercises!AP394,"")</f>
        <v/>
      </c>
      <c r="V280" s="31" t="str">
        <f>IF(LEN(_DB_Exercises!AQ394)&gt;0,_DB_Exercises!AQ394,"")</f>
        <v/>
      </c>
      <c r="W280" s="31" t="str">
        <f>IF(LEN(_DB_Exercises!AR394)&gt;0,_DB_Exercises!AR394,"")</f>
        <v/>
      </c>
      <c r="X280" s="31" t="str">
        <f>IF(LEN(_DB_Exercises!AS394)&gt;0,_DB_Exercises!AS394,"")</f>
        <v/>
      </c>
      <c r="Y280" s="31" t="str">
        <f>IF(LEN(_DB_Exercises!AT394)&gt;0,_DB_Exercises!AT394,"")</f>
        <v/>
      </c>
      <c r="Z280" s="31" t="str">
        <f>IF(LEN(_DB_Exercises!AU394)&gt;0,_DB_Exercises!AU394,"")</f>
        <v/>
      </c>
      <c r="AA280" s="31" t="str">
        <f>IF(LEN(_DB_Exercises!AV394)&gt;0,_DB_Exercises!AV394,"")</f>
        <v/>
      </c>
      <c r="AB280" s="31" t="str">
        <f>IF(LEN(_DB_Exercises!AW394)&gt;0,_DB_Exercises!AW394,"")</f>
        <v/>
      </c>
      <c r="AC280" s="31" t="str">
        <f>IF(LEN(_DB_Exercises!AX394)&gt;0,_DB_Exercises!AX394,"")</f>
        <v/>
      </c>
      <c r="AD280" s="31" t="str">
        <f>IF(LEN(_DB_Exercises!AY394)&gt;0,_DB_Exercises!AY394,"")</f>
        <v/>
      </c>
      <c r="AE280" s="31" t="str">
        <f>IF(LEN(_DB_Exercises!AZ394)&gt;0,_DB_Exercises!AZ394,"")</f>
        <v/>
      </c>
      <c r="AF280" s="31" t="str">
        <f>IF(LEN(_DB_Exercises!BA394)&gt;0,_DB_Exercises!BA394,"")</f>
        <v/>
      </c>
      <c r="AG280" s="31" t="str">
        <f>IF(LEN(_DB_Exercises!BB394)&gt;0,_DB_Exercises!BB394,"")</f>
        <v/>
      </c>
      <c r="AH280" s="31" t="str">
        <f>IF(LEN(_DB_Exercises!BC394)&gt;0,_DB_Exercises!BC394,"")</f>
        <v/>
      </c>
      <c r="AI280" s="31" t="str">
        <f>IF(LEN(_DB_Exercises!BD394)&gt;0,_DB_Exercises!BD394,"")</f>
        <v/>
      </c>
      <c r="AJ280" s="31" t="str">
        <f>IF(LEN(_DB_Exercises!BE394)&gt;0,_DB_Exercises!BE394,"")</f>
        <v/>
      </c>
      <c r="AK280" s="31" t="str">
        <f>IF(LEN(_DB_Exercises!BF394)&gt;0,_DB_Exercises!BF394,"")</f>
        <v/>
      </c>
      <c r="AL280" s="31" t="str">
        <f>IF(LEN(_DB_Exercises!BG394)&gt;0,_DB_Exercises!BG394,"")</f>
        <v/>
      </c>
      <c r="AM280" s="31" t="str">
        <f>IF(LEN(_DB_Exercises!BH394)&gt;0,_DB_Exercises!BH394,"")</f>
        <v/>
      </c>
      <c r="AN280" s="31" t="str">
        <f>IF(LEN(_DB_Exercises!BI394)&gt;0,_DB_Exercises!BI394,"")</f>
        <v/>
      </c>
      <c r="AO280" s="31" t="str">
        <f>IF(LEN(_DB_Exercises!BJ394)&gt;0,_DB_Exercises!BJ394,"")</f>
        <v/>
      </c>
      <c r="AP280" s="31" t="str">
        <f>IF(LEN(_DB_Exercises!BK394)&gt;0,_DB_Exercises!BK394,"")</f>
        <v/>
      </c>
      <c r="AQ280" s="31" t="str">
        <f>IF(LEN(_DB_Exercises!BL394)&gt;0,_DB_Exercises!BL394,"")</f>
        <v/>
      </c>
      <c r="AR280" s="31" t="str">
        <f>IF(LEN(_DB_Exercises!BM394)&gt;0,_DB_Exercises!BM394,"")</f>
        <v/>
      </c>
    </row>
    <row r="281" spans="1:44" x14ac:dyDescent="0.25">
      <c r="A281" s="11" t="str">
        <f>IF(LEN(_DB_Exercises!A395)&gt;0,_DB_Exercises!A395,"")</f>
        <v/>
      </c>
      <c r="B281" s="14" t="str">
        <f>IF(LEN(_DB_Exercises!K395)&gt;0,_DB_Exercises!K395,"")</f>
        <v/>
      </c>
      <c r="C281" s="31" t="str">
        <f>IF(LEN(_DB_Exercises!X395)&gt;0,_DB_Exercises!X395,"")</f>
        <v/>
      </c>
      <c r="D281" s="31" t="str">
        <f>IF(LEN(_DB_Exercises!Y395)&gt;0,_DB_Exercises!Y395,"")</f>
        <v/>
      </c>
      <c r="E281" s="31" t="str">
        <f>IF(LEN(_DB_Exercises!Z395)&gt;0,_DB_Exercises!Z395,"")</f>
        <v/>
      </c>
      <c r="F281" s="31" t="str">
        <f>IF(LEN(_DB_Exercises!AA395)&gt;0,_DB_Exercises!AA395,"")</f>
        <v/>
      </c>
      <c r="G281" s="31" t="str">
        <f>IF(LEN(_DB_Exercises!AB395)&gt;0,_DB_Exercises!AB395,"")</f>
        <v/>
      </c>
      <c r="H281" s="31" t="str">
        <f>IF(LEN(_DB_Exercises!AC395)&gt;0,_DB_Exercises!AC395,"")</f>
        <v/>
      </c>
      <c r="I281" s="31" t="str">
        <f>IF(LEN(_DB_Exercises!AD395)&gt;0,_DB_Exercises!AD395,"")</f>
        <v/>
      </c>
      <c r="J281" s="31" t="str">
        <f>IF(LEN(_DB_Exercises!AE395)&gt;0,_DB_Exercises!AE395,"")</f>
        <v/>
      </c>
      <c r="K281" s="31" t="str">
        <f>IF(LEN(_DB_Exercises!AF395)&gt;0,_DB_Exercises!AF395,"")</f>
        <v/>
      </c>
      <c r="L281" s="31" t="str">
        <f>IF(LEN(_DB_Exercises!AG395)&gt;0,_DB_Exercises!AG395,"")</f>
        <v/>
      </c>
      <c r="M281" s="31" t="str">
        <f>IF(LEN(_DB_Exercises!AH395)&gt;0,_DB_Exercises!AH395,"")</f>
        <v/>
      </c>
      <c r="N281" s="31" t="str">
        <f>IF(LEN(_DB_Exercises!AI395)&gt;0,_DB_Exercises!AI395,"")</f>
        <v/>
      </c>
      <c r="O281" s="31" t="str">
        <f>IF(LEN(_DB_Exercises!AJ395)&gt;0,_DB_Exercises!AJ395,"")</f>
        <v/>
      </c>
      <c r="P281" s="31" t="str">
        <f>IF(LEN(_DB_Exercises!AK395)&gt;0,_DB_Exercises!AK395,"")</f>
        <v/>
      </c>
      <c r="Q281" s="31" t="str">
        <f>IF(LEN(_DB_Exercises!AL395)&gt;0,_DB_Exercises!AL395,"")</f>
        <v/>
      </c>
      <c r="R281" s="31" t="str">
        <f>IF(LEN(_DB_Exercises!AM395)&gt;0,_DB_Exercises!AM395,"")</f>
        <v/>
      </c>
      <c r="S281" s="31" t="str">
        <f>IF(LEN(_DB_Exercises!AN395)&gt;0,_DB_Exercises!AN395,"")</f>
        <v/>
      </c>
      <c r="T281" s="31" t="str">
        <f>IF(LEN(_DB_Exercises!AO395)&gt;0,_DB_Exercises!AO395,"")</f>
        <v/>
      </c>
      <c r="U281" s="31" t="str">
        <f>IF(LEN(_DB_Exercises!AP395)&gt;0,_DB_Exercises!AP395,"")</f>
        <v/>
      </c>
      <c r="V281" s="31" t="str">
        <f>IF(LEN(_DB_Exercises!AQ395)&gt;0,_DB_Exercises!AQ395,"")</f>
        <v/>
      </c>
      <c r="W281" s="31" t="str">
        <f>IF(LEN(_DB_Exercises!AR395)&gt;0,_DB_Exercises!AR395,"")</f>
        <v/>
      </c>
      <c r="X281" s="31" t="str">
        <f>IF(LEN(_DB_Exercises!AS395)&gt;0,_DB_Exercises!AS395,"")</f>
        <v/>
      </c>
      <c r="Y281" s="31" t="str">
        <f>IF(LEN(_DB_Exercises!AT395)&gt;0,_DB_Exercises!AT395,"")</f>
        <v/>
      </c>
      <c r="Z281" s="31" t="str">
        <f>IF(LEN(_DB_Exercises!AU395)&gt;0,_DB_Exercises!AU395,"")</f>
        <v/>
      </c>
      <c r="AA281" s="31" t="str">
        <f>IF(LEN(_DB_Exercises!AV395)&gt;0,_DB_Exercises!AV395,"")</f>
        <v/>
      </c>
      <c r="AB281" s="31" t="str">
        <f>IF(LEN(_DB_Exercises!AW395)&gt;0,_DB_Exercises!AW395,"")</f>
        <v/>
      </c>
      <c r="AC281" s="31" t="str">
        <f>IF(LEN(_DB_Exercises!AX395)&gt;0,_DB_Exercises!AX395,"")</f>
        <v/>
      </c>
      <c r="AD281" s="31" t="str">
        <f>IF(LEN(_DB_Exercises!AY395)&gt;0,_DB_Exercises!AY395,"")</f>
        <v/>
      </c>
      <c r="AE281" s="31" t="str">
        <f>IF(LEN(_DB_Exercises!AZ395)&gt;0,_DB_Exercises!AZ395,"")</f>
        <v/>
      </c>
      <c r="AF281" s="31" t="str">
        <f>IF(LEN(_DB_Exercises!BA395)&gt;0,_DB_Exercises!BA395,"")</f>
        <v/>
      </c>
      <c r="AG281" s="31" t="str">
        <f>IF(LEN(_DB_Exercises!BB395)&gt;0,_DB_Exercises!BB395,"")</f>
        <v/>
      </c>
      <c r="AH281" s="31" t="str">
        <f>IF(LEN(_DB_Exercises!BC395)&gt;0,_DB_Exercises!BC395,"")</f>
        <v/>
      </c>
      <c r="AI281" s="31" t="str">
        <f>IF(LEN(_DB_Exercises!BD395)&gt;0,_DB_Exercises!BD395,"")</f>
        <v/>
      </c>
      <c r="AJ281" s="31" t="str">
        <f>IF(LEN(_DB_Exercises!BE395)&gt;0,_DB_Exercises!BE395,"")</f>
        <v/>
      </c>
      <c r="AK281" s="31" t="str">
        <f>IF(LEN(_DB_Exercises!BF395)&gt;0,_DB_Exercises!BF395,"")</f>
        <v/>
      </c>
      <c r="AL281" s="31" t="str">
        <f>IF(LEN(_DB_Exercises!BG395)&gt;0,_DB_Exercises!BG395,"")</f>
        <v/>
      </c>
      <c r="AM281" s="31" t="str">
        <f>IF(LEN(_DB_Exercises!BH395)&gt;0,_DB_Exercises!BH395,"")</f>
        <v/>
      </c>
      <c r="AN281" s="31" t="str">
        <f>IF(LEN(_DB_Exercises!BI395)&gt;0,_DB_Exercises!BI395,"")</f>
        <v/>
      </c>
      <c r="AO281" s="31" t="str">
        <f>IF(LEN(_DB_Exercises!BJ395)&gt;0,_DB_Exercises!BJ395,"")</f>
        <v/>
      </c>
      <c r="AP281" s="31" t="str">
        <f>IF(LEN(_DB_Exercises!BK395)&gt;0,_DB_Exercises!BK395,"")</f>
        <v/>
      </c>
      <c r="AQ281" s="31" t="str">
        <f>IF(LEN(_DB_Exercises!BL395)&gt;0,_DB_Exercises!BL395,"")</f>
        <v/>
      </c>
      <c r="AR281" s="31" t="str">
        <f>IF(LEN(_DB_Exercises!BM395)&gt;0,_DB_Exercises!BM395,"")</f>
        <v/>
      </c>
    </row>
    <row r="282" spans="1:44" x14ac:dyDescent="0.25">
      <c r="A282" s="11" t="str">
        <f>IF(LEN(_DB_Exercises!A396)&gt;0,_DB_Exercises!A396,"")</f>
        <v/>
      </c>
      <c r="B282" s="14" t="str">
        <f>IF(LEN(_DB_Exercises!K396)&gt;0,_DB_Exercises!K396,"")</f>
        <v/>
      </c>
      <c r="C282" s="31" t="str">
        <f>IF(LEN(_DB_Exercises!X396)&gt;0,_DB_Exercises!X396,"")</f>
        <v/>
      </c>
      <c r="D282" s="31" t="str">
        <f>IF(LEN(_DB_Exercises!Y396)&gt;0,_DB_Exercises!Y396,"")</f>
        <v/>
      </c>
      <c r="E282" s="31" t="str">
        <f>IF(LEN(_DB_Exercises!Z396)&gt;0,_DB_Exercises!Z396,"")</f>
        <v/>
      </c>
      <c r="F282" s="31" t="str">
        <f>IF(LEN(_DB_Exercises!AA396)&gt;0,_DB_Exercises!AA396,"")</f>
        <v/>
      </c>
      <c r="G282" s="31" t="str">
        <f>IF(LEN(_DB_Exercises!AB396)&gt;0,_DB_Exercises!AB396,"")</f>
        <v/>
      </c>
      <c r="H282" s="31" t="str">
        <f>IF(LEN(_DB_Exercises!AC396)&gt;0,_DB_Exercises!AC396,"")</f>
        <v/>
      </c>
      <c r="I282" s="31" t="str">
        <f>IF(LEN(_DB_Exercises!AD396)&gt;0,_DB_Exercises!AD396,"")</f>
        <v/>
      </c>
      <c r="J282" s="31" t="str">
        <f>IF(LEN(_DB_Exercises!AE396)&gt;0,_DB_Exercises!AE396,"")</f>
        <v/>
      </c>
      <c r="K282" s="31" t="str">
        <f>IF(LEN(_DB_Exercises!AF396)&gt;0,_DB_Exercises!AF396,"")</f>
        <v/>
      </c>
      <c r="L282" s="31" t="str">
        <f>IF(LEN(_DB_Exercises!AG396)&gt;0,_DB_Exercises!AG396,"")</f>
        <v/>
      </c>
      <c r="M282" s="31" t="str">
        <f>IF(LEN(_DB_Exercises!AH396)&gt;0,_DB_Exercises!AH396,"")</f>
        <v/>
      </c>
      <c r="N282" s="31" t="str">
        <f>IF(LEN(_DB_Exercises!AI396)&gt;0,_DB_Exercises!AI396,"")</f>
        <v/>
      </c>
      <c r="O282" s="31" t="str">
        <f>IF(LEN(_DB_Exercises!AJ396)&gt;0,_DB_Exercises!AJ396,"")</f>
        <v/>
      </c>
      <c r="P282" s="31" t="str">
        <f>IF(LEN(_DB_Exercises!AK396)&gt;0,_DB_Exercises!AK396,"")</f>
        <v/>
      </c>
      <c r="Q282" s="31" t="str">
        <f>IF(LEN(_DB_Exercises!AL396)&gt;0,_DB_Exercises!AL396,"")</f>
        <v/>
      </c>
      <c r="R282" s="31" t="str">
        <f>IF(LEN(_DB_Exercises!AM396)&gt;0,_DB_Exercises!AM396,"")</f>
        <v/>
      </c>
      <c r="S282" s="31" t="str">
        <f>IF(LEN(_DB_Exercises!AN396)&gt;0,_DB_Exercises!AN396,"")</f>
        <v/>
      </c>
      <c r="T282" s="31" t="str">
        <f>IF(LEN(_DB_Exercises!AO396)&gt;0,_DB_Exercises!AO396,"")</f>
        <v/>
      </c>
      <c r="U282" s="31" t="str">
        <f>IF(LEN(_DB_Exercises!AP396)&gt;0,_DB_Exercises!AP396,"")</f>
        <v/>
      </c>
      <c r="V282" s="31" t="str">
        <f>IF(LEN(_DB_Exercises!AQ396)&gt;0,_DB_Exercises!AQ396,"")</f>
        <v/>
      </c>
      <c r="W282" s="31" t="str">
        <f>IF(LEN(_DB_Exercises!AR396)&gt;0,_DB_Exercises!AR396,"")</f>
        <v/>
      </c>
      <c r="X282" s="31" t="str">
        <f>IF(LEN(_DB_Exercises!AS396)&gt;0,_DB_Exercises!AS396,"")</f>
        <v/>
      </c>
      <c r="Y282" s="31" t="str">
        <f>IF(LEN(_DB_Exercises!AT396)&gt;0,_DB_Exercises!AT396,"")</f>
        <v/>
      </c>
      <c r="Z282" s="31" t="str">
        <f>IF(LEN(_DB_Exercises!AU396)&gt;0,_DB_Exercises!AU396,"")</f>
        <v/>
      </c>
      <c r="AA282" s="31" t="str">
        <f>IF(LEN(_DB_Exercises!AV396)&gt;0,_DB_Exercises!AV396,"")</f>
        <v/>
      </c>
      <c r="AB282" s="31" t="str">
        <f>IF(LEN(_DB_Exercises!AW396)&gt;0,_DB_Exercises!AW396,"")</f>
        <v/>
      </c>
      <c r="AC282" s="31" t="str">
        <f>IF(LEN(_DB_Exercises!AX396)&gt;0,_DB_Exercises!AX396,"")</f>
        <v/>
      </c>
      <c r="AD282" s="31" t="str">
        <f>IF(LEN(_DB_Exercises!AY396)&gt;0,_DB_Exercises!AY396,"")</f>
        <v/>
      </c>
      <c r="AE282" s="31" t="str">
        <f>IF(LEN(_DB_Exercises!AZ396)&gt;0,_DB_Exercises!AZ396,"")</f>
        <v/>
      </c>
      <c r="AF282" s="31" t="str">
        <f>IF(LEN(_DB_Exercises!BA396)&gt;0,_DB_Exercises!BA396,"")</f>
        <v/>
      </c>
      <c r="AG282" s="31" t="str">
        <f>IF(LEN(_DB_Exercises!BB396)&gt;0,_DB_Exercises!BB396,"")</f>
        <v/>
      </c>
      <c r="AH282" s="31" t="str">
        <f>IF(LEN(_DB_Exercises!BC396)&gt;0,_DB_Exercises!BC396,"")</f>
        <v/>
      </c>
      <c r="AI282" s="31" t="str">
        <f>IF(LEN(_DB_Exercises!BD396)&gt;0,_DB_Exercises!BD396,"")</f>
        <v/>
      </c>
      <c r="AJ282" s="31" t="str">
        <f>IF(LEN(_DB_Exercises!BE396)&gt;0,_DB_Exercises!BE396,"")</f>
        <v/>
      </c>
      <c r="AK282" s="31" t="str">
        <f>IF(LEN(_DB_Exercises!BF396)&gt;0,_DB_Exercises!BF396,"")</f>
        <v/>
      </c>
      <c r="AL282" s="31" t="str">
        <f>IF(LEN(_DB_Exercises!BG396)&gt;0,_DB_Exercises!BG396,"")</f>
        <v/>
      </c>
      <c r="AM282" s="31" t="str">
        <f>IF(LEN(_DB_Exercises!BH396)&gt;0,_DB_Exercises!BH396,"")</f>
        <v/>
      </c>
      <c r="AN282" s="31" t="str">
        <f>IF(LEN(_DB_Exercises!BI396)&gt;0,_DB_Exercises!BI396,"")</f>
        <v/>
      </c>
      <c r="AO282" s="31" t="str">
        <f>IF(LEN(_DB_Exercises!BJ396)&gt;0,_DB_Exercises!BJ396,"")</f>
        <v/>
      </c>
      <c r="AP282" s="31" t="str">
        <f>IF(LEN(_DB_Exercises!BK396)&gt;0,_DB_Exercises!BK396,"")</f>
        <v/>
      </c>
      <c r="AQ282" s="31" t="str">
        <f>IF(LEN(_DB_Exercises!BL396)&gt;0,_DB_Exercises!BL396,"")</f>
        <v/>
      </c>
      <c r="AR282" s="31" t="str">
        <f>IF(LEN(_DB_Exercises!BM396)&gt;0,_DB_Exercises!BM396,"")</f>
        <v/>
      </c>
    </row>
    <row r="283" spans="1:44" x14ac:dyDescent="0.25">
      <c r="A283" s="11" t="str">
        <f>IF(LEN(_DB_Exercises!A397)&gt;0,_DB_Exercises!A397,"")</f>
        <v/>
      </c>
      <c r="B283" s="14" t="str">
        <f>IF(LEN(_DB_Exercises!K397)&gt;0,_DB_Exercises!K397,"")</f>
        <v/>
      </c>
      <c r="C283" s="31" t="str">
        <f>IF(LEN(_DB_Exercises!X397)&gt;0,_DB_Exercises!X397,"")</f>
        <v/>
      </c>
      <c r="D283" s="31" t="str">
        <f>IF(LEN(_DB_Exercises!Y397)&gt;0,_DB_Exercises!Y397,"")</f>
        <v/>
      </c>
      <c r="E283" s="31" t="str">
        <f>IF(LEN(_DB_Exercises!Z397)&gt;0,_DB_Exercises!Z397,"")</f>
        <v/>
      </c>
      <c r="F283" s="31" t="str">
        <f>IF(LEN(_DB_Exercises!AA397)&gt;0,_DB_Exercises!AA397,"")</f>
        <v/>
      </c>
      <c r="G283" s="31" t="str">
        <f>IF(LEN(_DB_Exercises!AB397)&gt;0,_DB_Exercises!AB397,"")</f>
        <v/>
      </c>
      <c r="H283" s="31" t="str">
        <f>IF(LEN(_DB_Exercises!AC397)&gt;0,_DB_Exercises!AC397,"")</f>
        <v/>
      </c>
      <c r="I283" s="31" t="str">
        <f>IF(LEN(_DB_Exercises!AD397)&gt;0,_DB_Exercises!AD397,"")</f>
        <v/>
      </c>
      <c r="J283" s="31" t="str">
        <f>IF(LEN(_DB_Exercises!AE397)&gt;0,_DB_Exercises!AE397,"")</f>
        <v/>
      </c>
      <c r="K283" s="31" t="str">
        <f>IF(LEN(_DB_Exercises!AF397)&gt;0,_DB_Exercises!AF397,"")</f>
        <v/>
      </c>
      <c r="L283" s="31" t="str">
        <f>IF(LEN(_DB_Exercises!AG397)&gt;0,_DB_Exercises!AG397,"")</f>
        <v/>
      </c>
      <c r="M283" s="31" t="str">
        <f>IF(LEN(_DB_Exercises!AH397)&gt;0,_DB_Exercises!AH397,"")</f>
        <v/>
      </c>
      <c r="N283" s="31" t="str">
        <f>IF(LEN(_DB_Exercises!AI397)&gt;0,_DB_Exercises!AI397,"")</f>
        <v/>
      </c>
      <c r="O283" s="31" t="str">
        <f>IF(LEN(_DB_Exercises!AJ397)&gt;0,_DB_Exercises!AJ397,"")</f>
        <v/>
      </c>
      <c r="P283" s="31" t="str">
        <f>IF(LEN(_DB_Exercises!AK397)&gt;0,_DB_Exercises!AK397,"")</f>
        <v/>
      </c>
      <c r="Q283" s="31" t="str">
        <f>IF(LEN(_DB_Exercises!AL397)&gt;0,_DB_Exercises!AL397,"")</f>
        <v/>
      </c>
      <c r="R283" s="31" t="str">
        <f>IF(LEN(_DB_Exercises!AM397)&gt;0,_DB_Exercises!AM397,"")</f>
        <v/>
      </c>
      <c r="S283" s="31" t="str">
        <f>IF(LEN(_DB_Exercises!AN397)&gt;0,_DB_Exercises!AN397,"")</f>
        <v/>
      </c>
      <c r="T283" s="31" t="str">
        <f>IF(LEN(_DB_Exercises!AO397)&gt;0,_DB_Exercises!AO397,"")</f>
        <v/>
      </c>
      <c r="U283" s="31" t="str">
        <f>IF(LEN(_DB_Exercises!AP397)&gt;0,_DB_Exercises!AP397,"")</f>
        <v/>
      </c>
      <c r="V283" s="31" t="str">
        <f>IF(LEN(_DB_Exercises!AQ397)&gt;0,_DB_Exercises!AQ397,"")</f>
        <v/>
      </c>
      <c r="W283" s="31" t="str">
        <f>IF(LEN(_DB_Exercises!AR397)&gt;0,_DB_Exercises!AR397,"")</f>
        <v/>
      </c>
      <c r="X283" s="31" t="str">
        <f>IF(LEN(_DB_Exercises!AS397)&gt;0,_DB_Exercises!AS397,"")</f>
        <v/>
      </c>
      <c r="Y283" s="31" t="str">
        <f>IF(LEN(_DB_Exercises!AT397)&gt;0,_DB_Exercises!AT397,"")</f>
        <v/>
      </c>
      <c r="Z283" s="31" t="str">
        <f>IF(LEN(_DB_Exercises!AU397)&gt;0,_DB_Exercises!AU397,"")</f>
        <v/>
      </c>
      <c r="AA283" s="31" t="str">
        <f>IF(LEN(_DB_Exercises!AV397)&gt;0,_DB_Exercises!AV397,"")</f>
        <v/>
      </c>
      <c r="AB283" s="31" t="str">
        <f>IF(LEN(_DB_Exercises!AW397)&gt;0,_DB_Exercises!AW397,"")</f>
        <v/>
      </c>
      <c r="AC283" s="31" t="str">
        <f>IF(LEN(_DB_Exercises!AX397)&gt;0,_DB_Exercises!AX397,"")</f>
        <v/>
      </c>
      <c r="AD283" s="31" t="str">
        <f>IF(LEN(_DB_Exercises!AY397)&gt;0,_DB_Exercises!AY397,"")</f>
        <v/>
      </c>
      <c r="AE283" s="31" t="str">
        <f>IF(LEN(_DB_Exercises!AZ397)&gt;0,_DB_Exercises!AZ397,"")</f>
        <v/>
      </c>
      <c r="AF283" s="31" t="str">
        <f>IF(LEN(_DB_Exercises!BA397)&gt;0,_DB_Exercises!BA397,"")</f>
        <v/>
      </c>
      <c r="AG283" s="31" t="str">
        <f>IF(LEN(_DB_Exercises!BB397)&gt;0,_DB_Exercises!BB397,"")</f>
        <v/>
      </c>
      <c r="AH283" s="31" t="str">
        <f>IF(LEN(_DB_Exercises!BC397)&gt;0,_DB_Exercises!BC397,"")</f>
        <v/>
      </c>
      <c r="AI283" s="31" t="str">
        <f>IF(LEN(_DB_Exercises!BD397)&gt;0,_DB_Exercises!BD397,"")</f>
        <v/>
      </c>
      <c r="AJ283" s="31" t="str">
        <f>IF(LEN(_DB_Exercises!BE397)&gt;0,_DB_Exercises!BE397,"")</f>
        <v/>
      </c>
      <c r="AK283" s="31" t="str">
        <f>IF(LEN(_DB_Exercises!BF397)&gt;0,_DB_Exercises!BF397,"")</f>
        <v/>
      </c>
      <c r="AL283" s="31" t="str">
        <f>IF(LEN(_DB_Exercises!BG397)&gt;0,_DB_Exercises!BG397,"")</f>
        <v/>
      </c>
      <c r="AM283" s="31" t="str">
        <f>IF(LEN(_DB_Exercises!BH397)&gt;0,_DB_Exercises!BH397,"")</f>
        <v/>
      </c>
      <c r="AN283" s="31" t="str">
        <f>IF(LEN(_DB_Exercises!BI397)&gt;0,_DB_Exercises!BI397,"")</f>
        <v/>
      </c>
      <c r="AO283" s="31" t="str">
        <f>IF(LEN(_DB_Exercises!BJ397)&gt;0,_DB_Exercises!BJ397,"")</f>
        <v/>
      </c>
      <c r="AP283" s="31" t="str">
        <f>IF(LEN(_DB_Exercises!BK397)&gt;0,_DB_Exercises!BK397,"")</f>
        <v/>
      </c>
      <c r="AQ283" s="31" t="str">
        <f>IF(LEN(_DB_Exercises!BL397)&gt;0,_DB_Exercises!BL397,"")</f>
        <v/>
      </c>
      <c r="AR283" s="31" t="str">
        <f>IF(LEN(_DB_Exercises!BM397)&gt;0,_DB_Exercises!BM397,"")</f>
        <v/>
      </c>
    </row>
    <row r="284" spans="1:44" x14ac:dyDescent="0.25">
      <c r="A284" s="11" t="str">
        <f>IF(LEN(_DB_Exercises!A398)&gt;0,_DB_Exercises!A398,"")</f>
        <v/>
      </c>
      <c r="B284" s="14" t="str">
        <f>IF(LEN(_DB_Exercises!K398)&gt;0,_DB_Exercises!K398,"")</f>
        <v/>
      </c>
      <c r="C284" s="31" t="str">
        <f>IF(LEN(_DB_Exercises!X398)&gt;0,_DB_Exercises!X398,"")</f>
        <v/>
      </c>
      <c r="D284" s="31" t="str">
        <f>IF(LEN(_DB_Exercises!Y398)&gt;0,_DB_Exercises!Y398,"")</f>
        <v/>
      </c>
      <c r="E284" s="31" t="str">
        <f>IF(LEN(_DB_Exercises!Z398)&gt;0,_DB_Exercises!Z398,"")</f>
        <v/>
      </c>
      <c r="F284" s="31" t="str">
        <f>IF(LEN(_DB_Exercises!AA398)&gt;0,_DB_Exercises!AA398,"")</f>
        <v/>
      </c>
      <c r="G284" s="31" t="str">
        <f>IF(LEN(_DB_Exercises!AB398)&gt;0,_DB_Exercises!AB398,"")</f>
        <v/>
      </c>
      <c r="H284" s="31" t="str">
        <f>IF(LEN(_DB_Exercises!AC398)&gt;0,_DB_Exercises!AC398,"")</f>
        <v/>
      </c>
      <c r="I284" s="31" t="str">
        <f>IF(LEN(_DB_Exercises!AD398)&gt;0,_DB_Exercises!AD398,"")</f>
        <v/>
      </c>
      <c r="J284" s="31" t="str">
        <f>IF(LEN(_DB_Exercises!AE398)&gt;0,_DB_Exercises!AE398,"")</f>
        <v/>
      </c>
      <c r="K284" s="31" t="str">
        <f>IF(LEN(_DB_Exercises!AF398)&gt;0,_DB_Exercises!AF398,"")</f>
        <v/>
      </c>
      <c r="L284" s="31" t="str">
        <f>IF(LEN(_DB_Exercises!AG398)&gt;0,_DB_Exercises!AG398,"")</f>
        <v/>
      </c>
      <c r="M284" s="31" t="str">
        <f>IF(LEN(_DB_Exercises!AH398)&gt;0,_DB_Exercises!AH398,"")</f>
        <v/>
      </c>
      <c r="N284" s="31" t="str">
        <f>IF(LEN(_DB_Exercises!AI398)&gt;0,_DB_Exercises!AI398,"")</f>
        <v/>
      </c>
      <c r="O284" s="31" t="str">
        <f>IF(LEN(_DB_Exercises!AJ398)&gt;0,_DB_Exercises!AJ398,"")</f>
        <v/>
      </c>
      <c r="P284" s="31" t="str">
        <f>IF(LEN(_DB_Exercises!AK398)&gt;0,_DB_Exercises!AK398,"")</f>
        <v/>
      </c>
      <c r="Q284" s="31" t="str">
        <f>IF(LEN(_DB_Exercises!AL398)&gt;0,_DB_Exercises!AL398,"")</f>
        <v/>
      </c>
      <c r="R284" s="31" t="str">
        <f>IF(LEN(_DB_Exercises!AM398)&gt;0,_DB_Exercises!AM398,"")</f>
        <v/>
      </c>
      <c r="S284" s="31" t="str">
        <f>IF(LEN(_DB_Exercises!AN398)&gt;0,_DB_Exercises!AN398,"")</f>
        <v/>
      </c>
      <c r="T284" s="31" t="str">
        <f>IF(LEN(_DB_Exercises!AO398)&gt;0,_DB_Exercises!AO398,"")</f>
        <v/>
      </c>
      <c r="U284" s="31" t="str">
        <f>IF(LEN(_DB_Exercises!AP398)&gt;0,_DB_Exercises!AP398,"")</f>
        <v/>
      </c>
      <c r="V284" s="31" t="str">
        <f>IF(LEN(_DB_Exercises!AQ398)&gt;0,_DB_Exercises!AQ398,"")</f>
        <v/>
      </c>
      <c r="W284" s="31" t="str">
        <f>IF(LEN(_DB_Exercises!AR398)&gt;0,_DB_Exercises!AR398,"")</f>
        <v/>
      </c>
      <c r="X284" s="31" t="str">
        <f>IF(LEN(_DB_Exercises!AS398)&gt;0,_DB_Exercises!AS398,"")</f>
        <v/>
      </c>
      <c r="Y284" s="31" t="str">
        <f>IF(LEN(_DB_Exercises!AT398)&gt;0,_DB_Exercises!AT398,"")</f>
        <v/>
      </c>
      <c r="Z284" s="31" t="str">
        <f>IF(LEN(_DB_Exercises!AU398)&gt;0,_DB_Exercises!AU398,"")</f>
        <v/>
      </c>
      <c r="AA284" s="31" t="str">
        <f>IF(LEN(_DB_Exercises!AV398)&gt;0,_DB_Exercises!AV398,"")</f>
        <v/>
      </c>
      <c r="AB284" s="31" t="str">
        <f>IF(LEN(_DB_Exercises!AW398)&gt;0,_DB_Exercises!AW398,"")</f>
        <v/>
      </c>
      <c r="AC284" s="31" t="str">
        <f>IF(LEN(_DB_Exercises!AX398)&gt;0,_DB_Exercises!AX398,"")</f>
        <v/>
      </c>
      <c r="AD284" s="31" t="str">
        <f>IF(LEN(_DB_Exercises!AY398)&gt;0,_DB_Exercises!AY398,"")</f>
        <v/>
      </c>
      <c r="AE284" s="31" t="str">
        <f>IF(LEN(_DB_Exercises!AZ398)&gt;0,_DB_Exercises!AZ398,"")</f>
        <v/>
      </c>
      <c r="AF284" s="31" t="str">
        <f>IF(LEN(_DB_Exercises!BA398)&gt;0,_DB_Exercises!BA398,"")</f>
        <v/>
      </c>
      <c r="AG284" s="31" t="str">
        <f>IF(LEN(_DB_Exercises!BB398)&gt;0,_DB_Exercises!BB398,"")</f>
        <v/>
      </c>
      <c r="AH284" s="31" t="str">
        <f>IF(LEN(_DB_Exercises!BC398)&gt;0,_DB_Exercises!BC398,"")</f>
        <v/>
      </c>
      <c r="AI284" s="31" t="str">
        <f>IF(LEN(_DB_Exercises!BD398)&gt;0,_DB_Exercises!BD398,"")</f>
        <v/>
      </c>
      <c r="AJ284" s="31" t="str">
        <f>IF(LEN(_DB_Exercises!BE398)&gt;0,_DB_Exercises!BE398,"")</f>
        <v/>
      </c>
      <c r="AK284" s="31" t="str">
        <f>IF(LEN(_DB_Exercises!BF398)&gt;0,_DB_Exercises!BF398,"")</f>
        <v/>
      </c>
      <c r="AL284" s="31" t="str">
        <f>IF(LEN(_DB_Exercises!BG398)&gt;0,_DB_Exercises!BG398,"")</f>
        <v/>
      </c>
      <c r="AM284" s="31" t="str">
        <f>IF(LEN(_DB_Exercises!BH398)&gt;0,_DB_Exercises!BH398,"")</f>
        <v/>
      </c>
      <c r="AN284" s="31" t="str">
        <f>IF(LEN(_DB_Exercises!BI398)&gt;0,_DB_Exercises!BI398,"")</f>
        <v/>
      </c>
      <c r="AO284" s="31" t="str">
        <f>IF(LEN(_DB_Exercises!BJ398)&gt;0,_DB_Exercises!BJ398,"")</f>
        <v/>
      </c>
      <c r="AP284" s="31" t="str">
        <f>IF(LEN(_DB_Exercises!BK398)&gt;0,_DB_Exercises!BK398,"")</f>
        <v/>
      </c>
      <c r="AQ284" s="31" t="str">
        <f>IF(LEN(_DB_Exercises!BL398)&gt;0,_DB_Exercises!BL398,"")</f>
        <v/>
      </c>
      <c r="AR284" s="31" t="str">
        <f>IF(LEN(_DB_Exercises!BM398)&gt;0,_DB_Exercises!BM398,"")</f>
        <v/>
      </c>
    </row>
    <row r="285" spans="1:44" x14ac:dyDescent="0.25">
      <c r="A285" s="11" t="str">
        <f>IF(LEN(_DB_Exercises!A399)&gt;0,_DB_Exercises!A399,"")</f>
        <v/>
      </c>
      <c r="B285" s="14" t="str">
        <f>IF(LEN(_DB_Exercises!K399)&gt;0,_DB_Exercises!K399,"")</f>
        <v/>
      </c>
      <c r="C285" s="31" t="str">
        <f>IF(LEN(_DB_Exercises!X399)&gt;0,_DB_Exercises!X399,"")</f>
        <v/>
      </c>
      <c r="D285" s="31" t="str">
        <f>IF(LEN(_DB_Exercises!Y399)&gt;0,_DB_Exercises!Y399,"")</f>
        <v/>
      </c>
      <c r="E285" s="31" t="str">
        <f>IF(LEN(_DB_Exercises!Z399)&gt;0,_DB_Exercises!Z399,"")</f>
        <v/>
      </c>
      <c r="F285" s="31" t="str">
        <f>IF(LEN(_DB_Exercises!AA399)&gt;0,_DB_Exercises!AA399,"")</f>
        <v/>
      </c>
      <c r="G285" s="31" t="str">
        <f>IF(LEN(_DB_Exercises!AB399)&gt;0,_DB_Exercises!AB399,"")</f>
        <v/>
      </c>
      <c r="H285" s="31" t="str">
        <f>IF(LEN(_DB_Exercises!AC399)&gt;0,_DB_Exercises!AC399,"")</f>
        <v/>
      </c>
      <c r="I285" s="31" t="str">
        <f>IF(LEN(_DB_Exercises!AD399)&gt;0,_DB_Exercises!AD399,"")</f>
        <v/>
      </c>
      <c r="J285" s="31" t="str">
        <f>IF(LEN(_DB_Exercises!AE399)&gt;0,_DB_Exercises!AE399,"")</f>
        <v/>
      </c>
      <c r="K285" s="31" t="str">
        <f>IF(LEN(_DB_Exercises!AF399)&gt;0,_DB_Exercises!AF399,"")</f>
        <v/>
      </c>
      <c r="L285" s="31" t="str">
        <f>IF(LEN(_DB_Exercises!AG399)&gt;0,_DB_Exercises!AG399,"")</f>
        <v/>
      </c>
      <c r="M285" s="31" t="str">
        <f>IF(LEN(_DB_Exercises!AH399)&gt;0,_DB_Exercises!AH399,"")</f>
        <v/>
      </c>
      <c r="N285" s="31" t="str">
        <f>IF(LEN(_DB_Exercises!AI399)&gt;0,_DB_Exercises!AI399,"")</f>
        <v/>
      </c>
      <c r="O285" s="31" t="str">
        <f>IF(LEN(_DB_Exercises!AJ399)&gt;0,_DB_Exercises!AJ399,"")</f>
        <v/>
      </c>
      <c r="P285" s="31" t="str">
        <f>IF(LEN(_DB_Exercises!AK399)&gt;0,_DB_Exercises!AK399,"")</f>
        <v/>
      </c>
      <c r="Q285" s="31" t="str">
        <f>IF(LEN(_DB_Exercises!AL399)&gt;0,_DB_Exercises!AL399,"")</f>
        <v/>
      </c>
      <c r="R285" s="31" t="str">
        <f>IF(LEN(_DB_Exercises!AM399)&gt;0,_DB_Exercises!AM399,"")</f>
        <v/>
      </c>
      <c r="S285" s="31" t="str">
        <f>IF(LEN(_DB_Exercises!AN399)&gt;0,_DB_Exercises!AN399,"")</f>
        <v/>
      </c>
      <c r="T285" s="31" t="str">
        <f>IF(LEN(_DB_Exercises!AO399)&gt;0,_DB_Exercises!AO399,"")</f>
        <v/>
      </c>
      <c r="U285" s="31" t="str">
        <f>IF(LEN(_DB_Exercises!AP399)&gt;0,_DB_Exercises!AP399,"")</f>
        <v/>
      </c>
      <c r="V285" s="31" t="str">
        <f>IF(LEN(_DB_Exercises!AQ399)&gt;0,_DB_Exercises!AQ399,"")</f>
        <v/>
      </c>
      <c r="W285" s="31" t="str">
        <f>IF(LEN(_DB_Exercises!AR399)&gt;0,_DB_Exercises!AR399,"")</f>
        <v/>
      </c>
      <c r="X285" s="31" t="str">
        <f>IF(LEN(_DB_Exercises!AS399)&gt;0,_DB_Exercises!AS399,"")</f>
        <v/>
      </c>
      <c r="Y285" s="31" t="str">
        <f>IF(LEN(_DB_Exercises!AT399)&gt;0,_DB_Exercises!AT399,"")</f>
        <v/>
      </c>
      <c r="Z285" s="31" t="str">
        <f>IF(LEN(_DB_Exercises!AU399)&gt;0,_DB_Exercises!AU399,"")</f>
        <v/>
      </c>
      <c r="AA285" s="31" t="str">
        <f>IF(LEN(_DB_Exercises!AV399)&gt;0,_DB_Exercises!AV399,"")</f>
        <v/>
      </c>
      <c r="AB285" s="31" t="str">
        <f>IF(LEN(_DB_Exercises!AW399)&gt;0,_DB_Exercises!AW399,"")</f>
        <v/>
      </c>
      <c r="AC285" s="31" t="str">
        <f>IF(LEN(_DB_Exercises!AX399)&gt;0,_DB_Exercises!AX399,"")</f>
        <v/>
      </c>
      <c r="AD285" s="31" t="str">
        <f>IF(LEN(_DB_Exercises!AY399)&gt;0,_DB_Exercises!AY399,"")</f>
        <v/>
      </c>
      <c r="AE285" s="31" t="str">
        <f>IF(LEN(_DB_Exercises!AZ399)&gt;0,_DB_Exercises!AZ399,"")</f>
        <v/>
      </c>
      <c r="AF285" s="31" t="str">
        <f>IF(LEN(_DB_Exercises!BA399)&gt;0,_DB_Exercises!BA399,"")</f>
        <v/>
      </c>
      <c r="AG285" s="31" t="str">
        <f>IF(LEN(_DB_Exercises!BB399)&gt;0,_DB_Exercises!BB399,"")</f>
        <v/>
      </c>
      <c r="AH285" s="31" t="str">
        <f>IF(LEN(_DB_Exercises!BC399)&gt;0,_DB_Exercises!BC399,"")</f>
        <v/>
      </c>
      <c r="AI285" s="31" t="str">
        <f>IF(LEN(_DB_Exercises!BD399)&gt;0,_DB_Exercises!BD399,"")</f>
        <v/>
      </c>
      <c r="AJ285" s="31" t="str">
        <f>IF(LEN(_DB_Exercises!BE399)&gt;0,_DB_Exercises!BE399,"")</f>
        <v/>
      </c>
      <c r="AK285" s="31" t="str">
        <f>IF(LEN(_DB_Exercises!BF399)&gt;0,_DB_Exercises!BF399,"")</f>
        <v/>
      </c>
      <c r="AL285" s="31" t="str">
        <f>IF(LEN(_DB_Exercises!BG399)&gt;0,_DB_Exercises!BG399,"")</f>
        <v/>
      </c>
      <c r="AM285" s="31" t="str">
        <f>IF(LEN(_DB_Exercises!BH399)&gt;0,_DB_Exercises!BH399,"")</f>
        <v/>
      </c>
      <c r="AN285" s="31" t="str">
        <f>IF(LEN(_DB_Exercises!BI399)&gt;0,_DB_Exercises!BI399,"")</f>
        <v/>
      </c>
      <c r="AO285" s="31" t="str">
        <f>IF(LEN(_DB_Exercises!BJ399)&gt;0,_DB_Exercises!BJ399,"")</f>
        <v/>
      </c>
      <c r="AP285" s="31" t="str">
        <f>IF(LEN(_DB_Exercises!BK399)&gt;0,_DB_Exercises!BK399,"")</f>
        <v/>
      </c>
      <c r="AQ285" s="31" t="str">
        <f>IF(LEN(_DB_Exercises!BL399)&gt;0,_DB_Exercises!BL399,"")</f>
        <v/>
      </c>
      <c r="AR285" s="31" t="str">
        <f>IF(LEN(_DB_Exercises!BM399)&gt;0,_DB_Exercises!BM399,"")</f>
        <v/>
      </c>
    </row>
    <row r="286" spans="1:44" x14ac:dyDescent="0.25">
      <c r="A286" s="11" t="str">
        <f>IF(LEN(_DB_Exercises!A400)&gt;0,_DB_Exercises!A400,"")</f>
        <v/>
      </c>
      <c r="B286" s="14" t="str">
        <f>IF(LEN(_DB_Exercises!K400)&gt;0,_DB_Exercises!K400,"")</f>
        <v/>
      </c>
      <c r="C286" s="31" t="str">
        <f>IF(LEN(_DB_Exercises!X400)&gt;0,_DB_Exercises!X400,"")</f>
        <v/>
      </c>
      <c r="D286" s="31" t="str">
        <f>IF(LEN(_DB_Exercises!Y400)&gt;0,_DB_Exercises!Y400,"")</f>
        <v/>
      </c>
      <c r="E286" s="31" t="str">
        <f>IF(LEN(_DB_Exercises!Z400)&gt;0,_DB_Exercises!Z400,"")</f>
        <v/>
      </c>
      <c r="F286" s="31" t="str">
        <f>IF(LEN(_DB_Exercises!AA400)&gt;0,_DB_Exercises!AA400,"")</f>
        <v/>
      </c>
      <c r="G286" s="31" t="str">
        <f>IF(LEN(_DB_Exercises!AB400)&gt;0,_DB_Exercises!AB400,"")</f>
        <v/>
      </c>
      <c r="H286" s="31" t="str">
        <f>IF(LEN(_DB_Exercises!AC400)&gt;0,_DB_Exercises!AC400,"")</f>
        <v/>
      </c>
      <c r="I286" s="31" t="str">
        <f>IF(LEN(_DB_Exercises!AD400)&gt;0,_DB_Exercises!AD400,"")</f>
        <v/>
      </c>
      <c r="J286" s="31" t="str">
        <f>IF(LEN(_DB_Exercises!AE400)&gt;0,_DB_Exercises!AE400,"")</f>
        <v/>
      </c>
      <c r="K286" s="31" t="str">
        <f>IF(LEN(_DB_Exercises!AF400)&gt;0,_DB_Exercises!AF400,"")</f>
        <v/>
      </c>
      <c r="L286" s="31" t="str">
        <f>IF(LEN(_DB_Exercises!AG400)&gt;0,_DB_Exercises!AG400,"")</f>
        <v/>
      </c>
      <c r="M286" s="31" t="str">
        <f>IF(LEN(_DB_Exercises!AH400)&gt;0,_DB_Exercises!AH400,"")</f>
        <v/>
      </c>
      <c r="N286" s="31" t="str">
        <f>IF(LEN(_DB_Exercises!AI400)&gt;0,_DB_Exercises!AI400,"")</f>
        <v/>
      </c>
      <c r="O286" s="31" t="str">
        <f>IF(LEN(_DB_Exercises!AJ400)&gt;0,_DB_Exercises!AJ400,"")</f>
        <v/>
      </c>
      <c r="P286" s="31" t="str">
        <f>IF(LEN(_DB_Exercises!AK400)&gt;0,_DB_Exercises!AK400,"")</f>
        <v/>
      </c>
      <c r="Q286" s="31" t="str">
        <f>IF(LEN(_DB_Exercises!AL400)&gt;0,_DB_Exercises!AL400,"")</f>
        <v/>
      </c>
      <c r="R286" s="31" t="str">
        <f>IF(LEN(_DB_Exercises!AM400)&gt;0,_DB_Exercises!AM400,"")</f>
        <v/>
      </c>
      <c r="S286" s="31" t="str">
        <f>IF(LEN(_DB_Exercises!AN400)&gt;0,_DB_Exercises!AN400,"")</f>
        <v/>
      </c>
      <c r="T286" s="31" t="str">
        <f>IF(LEN(_DB_Exercises!AO400)&gt;0,_DB_Exercises!AO400,"")</f>
        <v/>
      </c>
      <c r="U286" s="31" t="str">
        <f>IF(LEN(_DB_Exercises!AP400)&gt;0,_DB_Exercises!AP400,"")</f>
        <v/>
      </c>
      <c r="V286" s="31" t="str">
        <f>IF(LEN(_DB_Exercises!AQ400)&gt;0,_DB_Exercises!AQ400,"")</f>
        <v/>
      </c>
      <c r="W286" s="31" t="str">
        <f>IF(LEN(_DB_Exercises!AR400)&gt;0,_DB_Exercises!AR400,"")</f>
        <v/>
      </c>
      <c r="X286" s="31" t="str">
        <f>IF(LEN(_DB_Exercises!AS400)&gt;0,_DB_Exercises!AS400,"")</f>
        <v/>
      </c>
      <c r="Y286" s="31" t="str">
        <f>IF(LEN(_DB_Exercises!AT400)&gt;0,_DB_Exercises!AT400,"")</f>
        <v/>
      </c>
      <c r="Z286" s="31" t="str">
        <f>IF(LEN(_DB_Exercises!AU400)&gt;0,_DB_Exercises!AU400,"")</f>
        <v/>
      </c>
      <c r="AA286" s="31" t="str">
        <f>IF(LEN(_DB_Exercises!AV400)&gt;0,_DB_Exercises!AV400,"")</f>
        <v/>
      </c>
      <c r="AB286" s="31" t="str">
        <f>IF(LEN(_DB_Exercises!AW400)&gt;0,_DB_Exercises!AW400,"")</f>
        <v/>
      </c>
      <c r="AC286" s="31" t="str">
        <f>IF(LEN(_DB_Exercises!AX400)&gt;0,_DB_Exercises!AX400,"")</f>
        <v/>
      </c>
      <c r="AD286" s="31" t="str">
        <f>IF(LEN(_DB_Exercises!AY400)&gt;0,_DB_Exercises!AY400,"")</f>
        <v/>
      </c>
      <c r="AE286" s="31" t="str">
        <f>IF(LEN(_DB_Exercises!AZ400)&gt;0,_DB_Exercises!AZ400,"")</f>
        <v/>
      </c>
      <c r="AF286" s="31" t="str">
        <f>IF(LEN(_DB_Exercises!BA400)&gt;0,_DB_Exercises!BA400,"")</f>
        <v/>
      </c>
      <c r="AG286" s="31" t="str">
        <f>IF(LEN(_DB_Exercises!BB400)&gt;0,_DB_Exercises!BB400,"")</f>
        <v/>
      </c>
      <c r="AH286" s="31" t="str">
        <f>IF(LEN(_DB_Exercises!BC400)&gt;0,_DB_Exercises!BC400,"")</f>
        <v/>
      </c>
      <c r="AI286" s="31" t="str">
        <f>IF(LEN(_DB_Exercises!BD400)&gt;0,_DB_Exercises!BD400,"")</f>
        <v/>
      </c>
      <c r="AJ286" s="31" t="str">
        <f>IF(LEN(_DB_Exercises!BE400)&gt;0,_DB_Exercises!BE400,"")</f>
        <v/>
      </c>
      <c r="AK286" s="31" t="str">
        <f>IF(LEN(_DB_Exercises!BF400)&gt;0,_DB_Exercises!BF400,"")</f>
        <v/>
      </c>
      <c r="AL286" s="31" t="str">
        <f>IF(LEN(_DB_Exercises!BG400)&gt;0,_DB_Exercises!BG400,"")</f>
        <v/>
      </c>
      <c r="AM286" s="31" t="str">
        <f>IF(LEN(_DB_Exercises!BH400)&gt;0,_DB_Exercises!BH400,"")</f>
        <v/>
      </c>
      <c r="AN286" s="31" t="str">
        <f>IF(LEN(_DB_Exercises!BI400)&gt;0,_DB_Exercises!BI400,"")</f>
        <v/>
      </c>
      <c r="AO286" s="31" t="str">
        <f>IF(LEN(_DB_Exercises!BJ400)&gt;0,_DB_Exercises!BJ400,"")</f>
        <v/>
      </c>
      <c r="AP286" s="31" t="str">
        <f>IF(LEN(_DB_Exercises!BK400)&gt;0,_DB_Exercises!BK400,"")</f>
        <v/>
      </c>
      <c r="AQ286" s="31" t="str">
        <f>IF(LEN(_DB_Exercises!BL400)&gt;0,_DB_Exercises!BL400,"")</f>
        <v/>
      </c>
      <c r="AR286" s="31" t="str">
        <f>IF(LEN(_DB_Exercises!BM400)&gt;0,_DB_Exercises!BM400,"")</f>
        <v/>
      </c>
    </row>
    <row r="287" spans="1:44" x14ac:dyDescent="0.25">
      <c r="A287" s="11" t="str">
        <f>IF(LEN(_DB_Exercises!A401)&gt;0,_DB_Exercises!A401,"")</f>
        <v/>
      </c>
      <c r="B287" s="14" t="str">
        <f>IF(LEN(_DB_Exercises!K401)&gt;0,_DB_Exercises!K401,"")</f>
        <v/>
      </c>
      <c r="C287" s="31" t="str">
        <f>IF(LEN(_DB_Exercises!X401)&gt;0,_DB_Exercises!X401,"")</f>
        <v/>
      </c>
      <c r="D287" s="31" t="str">
        <f>IF(LEN(_DB_Exercises!Y401)&gt;0,_DB_Exercises!Y401,"")</f>
        <v/>
      </c>
      <c r="E287" s="31" t="str">
        <f>IF(LEN(_DB_Exercises!Z401)&gt;0,_DB_Exercises!Z401,"")</f>
        <v/>
      </c>
      <c r="F287" s="31" t="str">
        <f>IF(LEN(_DB_Exercises!AA401)&gt;0,_DB_Exercises!AA401,"")</f>
        <v/>
      </c>
      <c r="G287" s="31" t="str">
        <f>IF(LEN(_DB_Exercises!AB401)&gt;0,_DB_Exercises!AB401,"")</f>
        <v/>
      </c>
      <c r="H287" s="31" t="str">
        <f>IF(LEN(_DB_Exercises!AC401)&gt;0,_DB_Exercises!AC401,"")</f>
        <v/>
      </c>
      <c r="I287" s="31" t="str">
        <f>IF(LEN(_DB_Exercises!AD401)&gt;0,_DB_Exercises!AD401,"")</f>
        <v/>
      </c>
      <c r="J287" s="31" t="str">
        <f>IF(LEN(_DB_Exercises!AE401)&gt;0,_DB_Exercises!AE401,"")</f>
        <v/>
      </c>
      <c r="K287" s="31" t="str">
        <f>IF(LEN(_DB_Exercises!AF401)&gt;0,_DB_Exercises!AF401,"")</f>
        <v/>
      </c>
      <c r="L287" s="31" t="str">
        <f>IF(LEN(_DB_Exercises!AG401)&gt;0,_DB_Exercises!AG401,"")</f>
        <v/>
      </c>
      <c r="M287" s="31" t="str">
        <f>IF(LEN(_DB_Exercises!AH401)&gt;0,_DB_Exercises!AH401,"")</f>
        <v/>
      </c>
      <c r="N287" s="31" t="str">
        <f>IF(LEN(_DB_Exercises!AI401)&gt;0,_DB_Exercises!AI401,"")</f>
        <v/>
      </c>
      <c r="O287" s="31" t="str">
        <f>IF(LEN(_DB_Exercises!AJ401)&gt;0,_DB_Exercises!AJ401,"")</f>
        <v/>
      </c>
      <c r="P287" s="31" t="str">
        <f>IF(LEN(_DB_Exercises!AK401)&gt;0,_DB_Exercises!AK401,"")</f>
        <v/>
      </c>
      <c r="Q287" s="31" t="str">
        <f>IF(LEN(_DB_Exercises!AL401)&gt;0,_DB_Exercises!AL401,"")</f>
        <v/>
      </c>
      <c r="R287" s="31" t="str">
        <f>IF(LEN(_DB_Exercises!AM401)&gt;0,_DB_Exercises!AM401,"")</f>
        <v/>
      </c>
      <c r="S287" s="31" t="str">
        <f>IF(LEN(_DB_Exercises!AN401)&gt;0,_DB_Exercises!AN401,"")</f>
        <v/>
      </c>
      <c r="T287" s="31" t="str">
        <f>IF(LEN(_DB_Exercises!AO401)&gt;0,_DB_Exercises!AO401,"")</f>
        <v/>
      </c>
      <c r="U287" s="31" t="str">
        <f>IF(LEN(_DB_Exercises!AP401)&gt;0,_DB_Exercises!AP401,"")</f>
        <v/>
      </c>
      <c r="V287" s="31" t="str">
        <f>IF(LEN(_DB_Exercises!AQ401)&gt;0,_DB_Exercises!AQ401,"")</f>
        <v/>
      </c>
      <c r="W287" s="31" t="str">
        <f>IF(LEN(_DB_Exercises!AR401)&gt;0,_DB_Exercises!AR401,"")</f>
        <v/>
      </c>
      <c r="X287" s="31" t="str">
        <f>IF(LEN(_DB_Exercises!AS401)&gt;0,_DB_Exercises!AS401,"")</f>
        <v/>
      </c>
      <c r="Y287" s="31" t="str">
        <f>IF(LEN(_DB_Exercises!AT401)&gt;0,_DB_Exercises!AT401,"")</f>
        <v/>
      </c>
      <c r="Z287" s="31" t="str">
        <f>IF(LEN(_DB_Exercises!AU401)&gt;0,_DB_Exercises!AU401,"")</f>
        <v/>
      </c>
      <c r="AA287" s="31" t="str">
        <f>IF(LEN(_DB_Exercises!AV401)&gt;0,_DB_Exercises!AV401,"")</f>
        <v/>
      </c>
      <c r="AB287" s="31" t="str">
        <f>IF(LEN(_DB_Exercises!AW401)&gt;0,_DB_Exercises!AW401,"")</f>
        <v/>
      </c>
      <c r="AC287" s="31" t="str">
        <f>IF(LEN(_DB_Exercises!AX401)&gt;0,_DB_Exercises!AX401,"")</f>
        <v/>
      </c>
      <c r="AD287" s="31" t="str">
        <f>IF(LEN(_DB_Exercises!AY401)&gt;0,_DB_Exercises!AY401,"")</f>
        <v/>
      </c>
      <c r="AE287" s="31" t="str">
        <f>IF(LEN(_DB_Exercises!AZ401)&gt;0,_DB_Exercises!AZ401,"")</f>
        <v/>
      </c>
      <c r="AF287" s="31" t="str">
        <f>IF(LEN(_DB_Exercises!BA401)&gt;0,_DB_Exercises!BA401,"")</f>
        <v/>
      </c>
      <c r="AG287" s="31" t="str">
        <f>IF(LEN(_DB_Exercises!BB401)&gt;0,_DB_Exercises!BB401,"")</f>
        <v/>
      </c>
      <c r="AH287" s="31" t="str">
        <f>IF(LEN(_DB_Exercises!BC401)&gt;0,_DB_Exercises!BC401,"")</f>
        <v/>
      </c>
      <c r="AI287" s="31" t="str">
        <f>IF(LEN(_DB_Exercises!BD401)&gt;0,_DB_Exercises!BD401,"")</f>
        <v/>
      </c>
      <c r="AJ287" s="31" t="str">
        <f>IF(LEN(_DB_Exercises!BE401)&gt;0,_DB_Exercises!BE401,"")</f>
        <v/>
      </c>
      <c r="AK287" s="31" t="str">
        <f>IF(LEN(_DB_Exercises!BF401)&gt;0,_DB_Exercises!BF401,"")</f>
        <v/>
      </c>
      <c r="AL287" s="31" t="str">
        <f>IF(LEN(_DB_Exercises!BG401)&gt;0,_DB_Exercises!BG401,"")</f>
        <v/>
      </c>
      <c r="AM287" s="31" t="str">
        <f>IF(LEN(_DB_Exercises!BH401)&gt;0,_DB_Exercises!BH401,"")</f>
        <v/>
      </c>
      <c r="AN287" s="31" t="str">
        <f>IF(LEN(_DB_Exercises!BI401)&gt;0,_DB_Exercises!BI401,"")</f>
        <v/>
      </c>
      <c r="AO287" s="31" t="str">
        <f>IF(LEN(_DB_Exercises!BJ401)&gt;0,_DB_Exercises!BJ401,"")</f>
        <v/>
      </c>
      <c r="AP287" s="31" t="str">
        <f>IF(LEN(_DB_Exercises!BK401)&gt;0,_DB_Exercises!BK401,"")</f>
        <v/>
      </c>
      <c r="AQ287" s="31" t="str">
        <f>IF(LEN(_DB_Exercises!BL401)&gt;0,_DB_Exercises!BL401,"")</f>
        <v/>
      </c>
      <c r="AR287" s="31" t="str">
        <f>IF(LEN(_DB_Exercises!BM401)&gt;0,_DB_Exercises!BM401,"")</f>
        <v/>
      </c>
    </row>
    <row r="288" spans="1:44" x14ac:dyDescent="0.25">
      <c r="A288" s="11" t="str">
        <f>IF(LEN(_DB_Exercises!A402)&gt;0,_DB_Exercises!A402,"")</f>
        <v/>
      </c>
      <c r="B288" s="14" t="str">
        <f>IF(LEN(_DB_Exercises!K402)&gt;0,_DB_Exercises!K402,"")</f>
        <v/>
      </c>
      <c r="C288" s="31" t="str">
        <f>IF(LEN(_DB_Exercises!X402)&gt;0,_DB_Exercises!X402,"")</f>
        <v/>
      </c>
      <c r="D288" s="31" t="str">
        <f>IF(LEN(_DB_Exercises!Y402)&gt;0,_DB_Exercises!Y402,"")</f>
        <v/>
      </c>
      <c r="E288" s="31" t="str">
        <f>IF(LEN(_DB_Exercises!Z402)&gt;0,_DB_Exercises!Z402,"")</f>
        <v/>
      </c>
      <c r="F288" s="31" t="str">
        <f>IF(LEN(_DB_Exercises!AA402)&gt;0,_DB_Exercises!AA402,"")</f>
        <v/>
      </c>
      <c r="G288" s="31" t="str">
        <f>IF(LEN(_DB_Exercises!AB402)&gt;0,_DB_Exercises!AB402,"")</f>
        <v/>
      </c>
      <c r="H288" s="31" t="str">
        <f>IF(LEN(_DB_Exercises!AC402)&gt;0,_DB_Exercises!AC402,"")</f>
        <v/>
      </c>
      <c r="I288" s="31" t="str">
        <f>IF(LEN(_DB_Exercises!AD402)&gt;0,_DB_Exercises!AD402,"")</f>
        <v/>
      </c>
      <c r="J288" s="31" t="str">
        <f>IF(LEN(_DB_Exercises!AE402)&gt;0,_DB_Exercises!AE402,"")</f>
        <v/>
      </c>
      <c r="K288" s="31" t="str">
        <f>IF(LEN(_DB_Exercises!AF402)&gt;0,_DB_Exercises!AF402,"")</f>
        <v/>
      </c>
      <c r="L288" s="31" t="str">
        <f>IF(LEN(_DB_Exercises!AG402)&gt;0,_DB_Exercises!AG402,"")</f>
        <v/>
      </c>
      <c r="M288" s="31" t="str">
        <f>IF(LEN(_DB_Exercises!AH402)&gt;0,_DB_Exercises!AH402,"")</f>
        <v/>
      </c>
      <c r="N288" s="31" t="str">
        <f>IF(LEN(_DB_Exercises!AI402)&gt;0,_DB_Exercises!AI402,"")</f>
        <v/>
      </c>
      <c r="O288" s="31" t="str">
        <f>IF(LEN(_DB_Exercises!AJ402)&gt;0,_DB_Exercises!AJ402,"")</f>
        <v/>
      </c>
      <c r="P288" s="31" t="str">
        <f>IF(LEN(_DB_Exercises!AK402)&gt;0,_DB_Exercises!AK402,"")</f>
        <v/>
      </c>
      <c r="Q288" s="31" t="str">
        <f>IF(LEN(_DB_Exercises!AL402)&gt;0,_DB_Exercises!AL402,"")</f>
        <v/>
      </c>
      <c r="R288" s="31" t="str">
        <f>IF(LEN(_DB_Exercises!AM402)&gt;0,_DB_Exercises!AM402,"")</f>
        <v/>
      </c>
      <c r="S288" s="31" t="str">
        <f>IF(LEN(_DB_Exercises!AN402)&gt;0,_DB_Exercises!AN402,"")</f>
        <v/>
      </c>
      <c r="T288" s="31" t="str">
        <f>IF(LEN(_DB_Exercises!AO402)&gt;0,_DB_Exercises!AO402,"")</f>
        <v/>
      </c>
      <c r="U288" s="31" t="str">
        <f>IF(LEN(_DB_Exercises!AP402)&gt;0,_DB_Exercises!AP402,"")</f>
        <v/>
      </c>
      <c r="V288" s="31" t="str">
        <f>IF(LEN(_DB_Exercises!AQ402)&gt;0,_DB_Exercises!AQ402,"")</f>
        <v/>
      </c>
      <c r="W288" s="31" t="str">
        <f>IF(LEN(_DB_Exercises!AR402)&gt;0,_DB_Exercises!AR402,"")</f>
        <v/>
      </c>
      <c r="X288" s="31" t="str">
        <f>IF(LEN(_DB_Exercises!AS402)&gt;0,_DB_Exercises!AS402,"")</f>
        <v/>
      </c>
      <c r="Y288" s="31" t="str">
        <f>IF(LEN(_DB_Exercises!AT402)&gt;0,_DB_Exercises!AT402,"")</f>
        <v/>
      </c>
      <c r="Z288" s="31" t="str">
        <f>IF(LEN(_DB_Exercises!AU402)&gt;0,_DB_Exercises!AU402,"")</f>
        <v/>
      </c>
      <c r="AA288" s="31" t="str">
        <f>IF(LEN(_DB_Exercises!AV402)&gt;0,_DB_Exercises!AV402,"")</f>
        <v/>
      </c>
      <c r="AB288" s="31" t="str">
        <f>IF(LEN(_DB_Exercises!AW402)&gt;0,_DB_Exercises!AW402,"")</f>
        <v/>
      </c>
      <c r="AC288" s="31" t="str">
        <f>IF(LEN(_DB_Exercises!AX402)&gt;0,_DB_Exercises!AX402,"")</f>
        <v/>
      </c>
      <c r="AD288" s="31" t="str">
        <f>IF(LEN(_DB_Exercises!AY402)&gt;0,_DB_Exercises!AY402,"")</f>
        <v/>
      </c>
      <c r="AE288" s="31" t="str">
        <f>IF(LEN(_DB_Exercises!AZ402)&gt;0,_DB_Exercises!AZ402,"")</f>
        <v/>
      </c>
      <c r="AF288" s="31" t="str">
        <f>IF(LEN(_DB_Exercises!BA402)&gt;0,_DB_Exercises!BA402,"")</f>
        <v/>
      </c>
      <c r="AG288" s="31" t="str">
        <f>IF(LEN(_DB_Exercises!BB402)&gt;0,_DB_Exercises!BB402,"")</f>
        <v/>
      </c>
      <c r="AH288" s="31" t="str">
        <f>IF(LEN(_DB_Exercises!BC402)&gt;0,_DB_Exercises!BC402,"")</f>
        <v/>
      </c>
      <c r="AI288" s="31" t="str">
        <f>IF(LEN(_DB_Exercises!BD402)&gt;0,_DB_Exercises!BD402,"")</f>
        <v/>
      </c>
      <c r="AJ288" s="31" t="str">
        <f>IF(LEN(_DB_Exercises!BE402)&gt;0,_DB_Exercises!BE402,"")</f>
        <v/>
      </c>
      <c r="AK288" s="31" t="str">
        <f>IF(LEN(_DB_Exercises!BF402)&gt;0,_DB_Exercises!BF402,"")</f>
        <v/>
      </c>
      <c r="AL288" s="31" t="str">
        <f>IF(LEN(_DB_Exercises!BG402)&gt;0,_DB_Exercises!BG402,"")</f>
        <v/>
      </c>
      <c r="AM288" s="31" t="str">
        <f>IF(LEN(_DB_Exercises!BH402)&gt;0,_DB_Exercises!BH402,"")</f>
        <v/>
      </c>
      <c r="AN288" s="31" t="str">
        <f>IF(LEN(_DB_Exercises!BI402)&gt;0,_DB_Exercises!BI402,"")</f>
        <v/>
      </c>
      <c r="AO288" s="31" t="str">
        <f>IF(LEN(_DB_Exercises!BJ402)&gt;0,_DB_Exercises!BJ402,"")</f>
        <v/>
      </c>
      <c r="AP288" s="31" t="str">
        <f>IF(LEN(_DB_Exercises!BK402)&gt;0,_DB_Exercises!BK402,"")</f>
        <v/>
      </c>
      <c r="AQ288" s="31" t="str">
        <f>IF(LEN(_DB_Exercises!BL402)&gt;0,_DB_Exercises!BL402,"")</f>
        <v/>
      </c>
      <c r="AR288" s="31" t="str">
        <f>IF(LEN(_DB_Exercises!BM402)&gt;0,_DB_Exercises!BM402,"")</f>
        <v/>
      </c>
    </row>
    <row r="289" spans="1:44" x14ac:dyDescent="0.25">
      <c r="A289" s="11" t="str">
        <f>IF(LEN(_DB_Exercises!A403)&gt;0,_DB_Exercises!A403,"")</f>
        <v/>
      </c>
      <c r="B289" s="14" t="str">
        <f>IF(LEN(_DB_Exercises!K403)&gt;0,_DB_Exercises!K403,"")</f>
        <v/>
      </c>
      <c r="C289" s="31" t="str">
        <f>IF(LEN(_DB_Exercises!X403)&gt;0,_DB_Exercises!X403,"")</f>
        <v/>
      </c>
      <c r="D289" s="31" t="str">
        <f>IF(LEN(_DB_Exercises!Y403)&gt;0,_DB_Exercises!Y403,"")</f>
        <v/>
      </c>
      <c r="E289" s="31" t="str">
        <f>IF(LEN(_DB_Exercises!Z403)&gt;0,_DB_Exercises!Z403,"")</f>
        <v/>
      </c>
      <c r="F289" s="31" t="str">
        <f>IF(LEN(_DB_Exercises!AA403)&gt;0,_DB_Exercises!AA403,"")</f>
        <v/>
      </c>
      <c r="G289" s="31" t="str">
        <f>IF(LEN(_DB_Exercises!AB403)&gt;0,_DB_Exercises!AB403,"")</f>
        <v/>
      </c>
      <c r="H289" s="31" t="str">
        <f>IF(LEN(_DB_Exercises!AC403)&gt;0,_DB_Exercises!AC403,"")</f>
        <v/>
      </c>
      <c r="I289" s="31" t="str">
        <f>IF(LEN(_DB_Exercises!AD403)&gt;0,_DB_Exercises!AD403,"")</f>
        <v/>
      </c>
      <c r="J289" s="31" t="str">
        <f>IF(LEN(_DB_Exercises!AE403)&gt;0,_DB_Exercises!AE403,"")</f>
        <v/>
      </c>
      <c r="K289" s="31" t="str">
        <f>IF(LEN(_DB_Exercises!AF403)&gt;0,_DB_Exercises!AF403,"")</f>
        <v/>
      </c>
      <c r="L289" s="31" t="str">
        <f>IF(LEN(_DB_Exercises!AG403)&gt;0,_DB_Exercises!AG403,"")</f>
        <v/>
      </c>
      <c r="M289" s="31" t="str">
        <f>IF(LEN(_DB_Exercises!AH403)&gt;0,_DB_Exercises!AH403,"")</f>
        <v/>
      </c>
      <c r="N289" s="31" t="str">
        <f>IF(LEN(_DB_Exercises!AI403)&gt;0,_DB_Exercises!AI403,"")</f>
        <v/>
      </c>
      <c r="O289" s="31" t="str">
        <f>IF(LEN(_DB_Exercises!AJ403)&gt;0,_DB_Exercises!AJ403,"")</f>
        <v/>
      </c>
      <c r="P289" s="31" t="str">
        <f>IF(LEN(_DB_Exercises!AK403)&gt;0,_DB_Exercises!AK403,"")</f>
        <v/>
      </c>
      <c r="Q289" s="31" t="str">
        <f>IF(LEN(_DB_Exercises!AL403)&gt;0,_DB_Exercises!AL403,"")</f>
        <v/>
      </c>
      <c r="R289" s="31" t="str">
        <f>IF(LEN(_DB_Exercises!AM403)&gt;0,_DB_Exercises!AM403,"")</f>
        <v/>
      </c>
      <c r="S289" s="31" t="str">
        <f>IF(LEN(_DB_Exercises!AN403)&gt;0,_DB_Exercises!AN403,"")</f>
        <v/>
      </c>
      <c r="T289" s="31" t="str">
        <f>IF(LEN(_DB_Exercises!AO403)&gt;0,_DB_Exercises!AO403,"")</f>
        <v/>
      </c>
      <c r="U289" s="31" t="str">
        <f>IF(LEN(_DB_Exercises!AP403)&gt;0,_DB_Exercises!AP403,"")</f>
        <v/>
      </c>
      <c r="V289" s="31" t="str">
        <f>IF(LEN(_DB_Exercises!AQ403)&gt;0,_DB_Exercises!AQ403,"")</f>
        <v/>
      </c>
      <c r="W289" s="31" t="str">
        <f>IF(LEN(_DB_Exercises!AR403)&gt;0,_DB_Exercises!AR403,"")</f>
        <v/>
      </c>
      <c r="X289" s="31" t="str">
        <f>IF(LEN(_DB_Exercises!AS403)&gt;0,_DB_Exercises!AS403,"")</f>
        <v/>
      </c>
      <c r="Y289" s="31" t="str">
        <f>IF(LEN(_DB_Exercises!AT403)&gt;0,_DB_Exercises!AT403,"")</f>
        <v/>
      </c>
      <c r="Z289" s="31" t="str">
        <f>IF(LEN(_DB_Exercises!AU403)&gt;0,_DB_Exercises!AU403,"")</f>
        <v/>
      </c>
      <c r="AA289" s="31" t="str">
        <f>IF(LEN(_DB_Exercises!AV403)&gt;0,_DB_Exercises!AV403,"")</f>
        <v/>
      </c>
      <c r="AB289" s="31" t="str">
        <f>IF(LEN(_DB_Exercises!AW403)&gt;0,_DB_Exercises!AW403,"")</f>
        <v/>
      </c>
      <c r="AC289" s="31" t="str">
        <f>IF(LEN(_DB_Exercises!AX403)&gt;0,_DB_Exercises!AX403,"")</f>
        <v/>
      </c>
      <c r="AD289" s="31" t="str">
        <f>IF(LEN(_DB_Exercises!AY403)&gt;0,_DB_Exercises!AY403,"")</f>
        <v/>
      </c>
      <c r="AE289" s="31" t="str">
        <f>IF(LEN(_DB_Exercises!AZ403)&gt;0,_DB_Exercises!AZ403,"")</f>
        <v/>
      </c>
      <c r="AF289" s="31" t="str">
        <f>IF(LEN(_DB_Exercises!BA403)&gt;0,_DB_Exercises!BA403,"")</f>
        <v/>
      </c>
      <c r="AG289" s="31" t="str">
        <f>IF(LEN(_DB_Exercises!BB403)&gt;0,_DB_Exercises!BB403,"")</f>
        <v/>
      </c>
      <c r="AH289" s="31" t="str">
        <f>IF(LEN(_DB_Exercises!BC403)&gt;0,_DB_Exercises!BC403,"")</f>
        <v/>
      </c>
      <c r="AI289" s="31" t="str">
        <f>IF(LEN(_DB_Exercises!BD403)&gt;0,_DB_Exercises!BD403,"")</f>
        <v/>
      </c>
      <c r="AJ289" s="31" t="str">
        <f>IF(LEN(_DB_Exercises!BE403)&gt;0,_DB_Exercises!BE403,"")</f>
        <v/>
      </c>
      <c r="AK289" s="31" t="str">
        <f>IF(LEN(_DB_Exercises!BF403)&gt;0,_DB_Exercises!BF403,"")</f>
        <v/>
      </c>
      <c r="AL289" s="31" t="str">
        <f>IF(LEN(_DB_Exercises!BG403)&gt;0,_DB_Exercises!BG403,"")</f>
        <v/>
      </c>
      <c r="AM289" s="31" t="str">
        <f>IF(LEN(_DB_Exercises!BH403)&gt;0,_DB_Exercises!BH403,"")</f>
        <v/>
      </c>
      <c r="AN289" s="31" t="str">
        <f>IF(LEN(_DB_Exercises!BI403)&gt;0,_DB_Exercises!BI403,"")</f>
        <v/>
      </c>
      <c r="AO289" s="31" t="str">
        <f>IF(LEN(_DB_Exercises!BJ403)&gt;0,_DB_Exercises!BJ403,"")</f>
        <v/>
      </c>
      <c r="AP289" s="31" t="str">
        <f>IF(LEN(_DB_Exercises!BK403)&gt;0,_DB_Exercises!BK403,"")</f>
        <v/>
      </c>
      <c r="AQ289" s="31" t="str">
        <f>IF(LEN(_DB_Exercises!BL403)&gt;0,_DB_Exercises!BL403,"")</f>
        <v/>
      </c>
      <c r="AR289" s="31" t="str">
        <f>IF(LEN(_DB_Exercises!BM403)&gt;0,_DB_Exercises!BM403,"")</f>
        <v/>
      </c>
    </row>
    <row r="290" spans="1:44" x14ac:dyDescent="0.25">
      <c r="A290" s="11" t="str">
        <f>IF(LEN(_DB_Exercises!A404)&gt;0,_DB_Exercises!A404,"")</f>
        <v/>
      </c>
      <c r="B290" s="14" t="str">
        <f>IF(LEN(_DB_Exercises!K404)&gt;0,_DB_Exercises!K404,"")</f>
        <v/>
      </c>
      <c r="C290" s="31" t="str">
        <f>IF(LEN(_DB_Exercises!X404)&gt;0,_DB_Exercises!X404,"")</f>
        <v/>
      </c>
      <c r="D290" s="31" t="str">
        <f>IF(LEN(_DB_Exercises!Y404)&gt;0,_DB_Exercises!Y404,"")</f>
        <v/>
      </c>
      <c r="E290" s="31" t="str">
        <f>IF(LEN(_DB_Exercises!Z404)&gt;0,_DB_Exercises!Z404,"")</f>
        <v/>
      </c>
      <c r="F290" s="31" t="str">
        <f>IF(LEN(_DB_Exercises!AA404)&gt;0,_DB_Exercises!AA404,"")</f>
        <v/>
      </c>
      <c r="G290" s="31" t="str">
        <f>IF(LEN(_DB_Exercises!AB404)&gt;0,_DB_Exercises!AB404,"")</f>
        <v/>
      </c>
      <c r="H290" s="31" t="str">
        <f>IF(LEN(_DB_Exercises!AC404)&gt;0,_DB_Exercises!AC404,"")</f>
        <v/>
      </c>
      <c r="I290" s="31" t="str">
        <f>IF(LEN(_DB_Exercises!AD404)&gt;0,_DB_Exercises!AD404,"")</f>
        <v/>
      </c>
      <c r="J290" s="31" t="str">
        <f>IF(LEN(_DB_Exercises!AE404)&gt;0,_DB_Exercises!AE404,"")</f>
        <v/>
      </c>
      <c r="K290" s="31" t="str">
        <f>IF(LEN(_DB_Exercises!AF404)&gt;0,_DB_Exercises!AF404,"")</f>
        <v/>
      </c>
      <c r="L290" s="31" t="str">
        <f>IF(LEN(_DB_Exercises!AG404)&gt;0,_DB_Exercises!AG404,"")</f>
        <v/>
      </c>
      <c r="M290" s="31" t="str">
        <f>IF(LEN(_DB_Exercises!AH404)&gt;0,_DB_Exercises!AH404,"")</f>
        <v/>
      </c>
      <c r="N290" s="31" t="str">
        <f>IF(LEN(_DB_Exercises!AI404)&gt;0,_DB_Exercises!AI404,"")</f>
        <v/>
      </c>
      <c r="O290" s="31" t="str">
        <f>IF(LEN(_DB_Exercises!AJ404)&gt;0,_DB_Exercises!AJ404,"")</f>
        <v/>
      </c>
      <c r="P290" s="31" t="str">
        <f>IF(LEN(_DB_Exercises!AK404)&gt;0,_DB_Exercises!AK404,"")</f>
        <v/>
      </c>
      <c r="Q290" s="31" t="str">
        <f>IF(LEN(_DB_Exercises!AL404)&gt;0,_DB_Exercises!AL404,"")</f>
        <v/>
      </c>
      <c r="R290" s="31" t="str">
        <f>IF(LEN(_DB_Exercises!AM404)&gt;0,_DB_Exercises!AM404,"")</f>
        <v/>
      </c>
      <c r="S290" s="31" t="str">
        <f>IF(LEN(_DB_Exercises!AN404)&gt;0,_DB_Exercises!AN404,"")</f>
        <v/>
      </c>
      <c r="T290" s="31" t="str">
        <f>IF(LEN(_DB_Exercises!AO404)&gt;0,_DB_Exercises!AO404,"")</f>
        <v/>
      </c>
      <c r="U290" s="31" t="str">
        <f>IF(LEN(_DB_Exercises!AP404)&gt;0,_DB_Exercises!AP404,"")</f>
        <v/>
      </c>
      <c r="V290" s="31" t="str">
        <f>IF(LEN(_DB_Exercises!AQ404)&gt;0,_DB_Exercises!AQ404,"")</f>
        <v/>
      </c>
      <c r="W290" s="31" t="str">
        <f>IF(LEN(_DB_Exercises!AR404)&gt;0,_DB_Exercises!AR404,"")</f>
        <v/>
      </c>
      <c r="X290" s="31" t="str">
        <f>IF(LEN(_DB_Exercises!AS404)&gt;0,_DB_Exercises!AS404,"")</f>
        <v/>
      </c>
      <c r="Y290" s="31" t="str">
        <f>IF(LEN(_DB_Exercises!AT404)&gt;0,_DB_Exercises!AT404,"")</f>
        <v/>
      </c>
      <c r="Z290" s="31" t="str">
        <f>IF(LEN(_DB_Exercises!AU404)&gt;0,_DB_Exercises!AU404,"")</f>
        <v/>
      </c>
      <c r="AA290" s="31" t="str">
        <f>IF(LEN(_DB_Exercises!AV404)&gt;0,_DB_Exercises!AV404,"")</f>
        <v/>
      </c>
      <c r="AB290" s="31" t="str">
        <f>IF(LEN(_DB_Exercises!AW404)&gt;0,_DB_Exercises!AW404,"")</f>
        <v/>
      </c>
      <c r="AC290" s="31" t="str">
        <f>IF(LEN(_DB_Exercises!AX404)&gt;0,_DB_Exercises!AX404,"")</f>
        <v/>
      </c>
      <c r="AD290" s="31" t="str">
        <f>IF(LEN(_DB_Exercises!AY404)&gt;0,_DB_Exercises!AY404,"")</f>
        <v/>
      </c>
      <c r="AE290" s="31" t="str">
        <f>IF(LEN(_DB_Exercises!AZ404)&gt;0,_DB_Exercises!AZ404,"")</f>
        <v/>
      </c>
      <c r="AF290" s="31" t="str">
        <f>IF(LEN(_DB_Exercises!BA404)&gt;0,_DB_Exercises!BA404,"")</f>
        <v/>
      </c>
      <c r="AG290" s="31" t="str">
        <f>IF(LEN(_DB_Exercises!BB404)&gt;0,_DB_Exercises!BB404,"")</f>
        <v/>
      </c>
      <c r="AH290" s="31" t="str">
        <f>IF(LEN(_DB_Exercises!BC404)&gt;0,_DB_Exercises!BC404,"")</f>
        <v/>
      </c>
      <c r="AI290" s="31" t="str">
        <f>IF(LEN(_DB_Exercises!BD404)&gt;0,_DB_Exercises!BD404,"")</f>
        <v/>
      </c>
      <c r="AJ290" s="31" t="str">
        <f>IF(LEN(_DB_Exercises!BE404)&gt;0,_DB_Exercises!BE404,"")</f>
        <v/>
      </c>
      <c r="AK290" s="31" t="str">
        <f>IF(LEN(_DB_Exercises!BF404)&gt;0,_DB_Exercises!BF404,"")</f>
        <v/>
      </c>
      <c r="AL290" s="31" t="str">
        <f>IF(LEN(_DB_Exercises!BG404)&gt;0,_DB_Exercises!BG404,"")</f>
        <v/>
      </c>
      <c r="AM290" s="31" t="str">
        <f>IF(LEN(_DB_Exercises!BH404)&gt;0,_DB_Exercises!BH404,"")</f>
        <v/>
      </c>
      <c r="AN290" s="31" t="str">
        <f>IF(LEN(_DB_Exercises!BI404)&gt;0,_DB_Exercises!BI404,"")</f>
        <v/>
      </c>
      <c r="AO290" s="31" t="str">
        <f>IF(LEN(_DB_Exercises!BJ404)&gt;0,_DB_Exercises!BJ404,"")</f>
        <v/>
      </c>
      <c r="AP290" s="31" t="str">
        <f>IF(LEN(_DB_Exercises!BK404)&gt;0,_DB_Exercises!BK404,"")</f>
        <v/>
      </c>
      <c r="AQ290" s="31" t="str">
        <f>IF(LEN(_DB_Exercises!BL404)&gt;0,_DB_Exercises!BL404,"")</f>
        <v/>
      </c>
      <c r="AR290" s="31" t="str">
        <f>IF(LEN(_DB_Exercises!BM404)&gt;0,_DB_Exercises!BM404,"")</f>
        <v/>
      </c>
    </row>
    <row r="291" spans="1:44" x14ac:dyDescent="0.25">
      <c r="A291" s="11" t="str">
        <f>IF(LEN(_DB_Exercises!A405)&gt;0,_DB_Exercises!A405,"")</f>
        <v/>
      </c>
      <c r="B291" s="14" t="str">
        <f>IF(LEN(_DB_Exercises!K405)&gt;0,_DB_Exercises!K405,"")</f>
        <v/>
      </c>
      <c r="C291" s="31" t="str">
        <f>IF(LEN(_DB_Exercises!X405)&gt;0,_DB_Exercises!X405,"")</f>
        <v/>
      </c>
      <c r="D291" s="31" t="str">
        <f>IF(LEN(_DB_Exercises!Y405)&gt;0,_DB_Exercises!Y405,"")</f>
        <v/>
      </c>
      <c r="E291" s="31" t="str">
        <f>IF(LEN(_DB_Exercises!Z405)&gt;0,_DB_Exercises!Z405,"")</f>
        <v/>
      </c>
      <c r="F291" s="31" t="str">
        <f>IF(LEN(_DB_Exercises!AA405)&gt;0,_DB_Exercises!AA405,"")</f>
        <v/>
      </c>
      <c r="G291" s="31" t="str">
        <f>IF(LEN(_DB_Exercises!AB405)&gt;0,_DB_Exercises!AB405,"")</f>
        <v/>
      </c>
      <c r="H291" s="31" t="str">
        <f>IF(LEN(_DB_Exercises!AC405)&gt;0,_DB_Exercises!AC405,"")</f>
        <v/>
      </c>
      <c r="I291" s="31" t="str">
        <f>IF(LEN(_DB_Exercises!AD405)&gt;0,_DB_Exercises!AD405,"")</f>
        <v/>
      </c>
      <c r="J291" s="31" t="str">
        <f>IF(LEN(_DB_Exercises!AE405)&gt;0,_DB_Exercises!AE405,"")</f>
        <v/>
      </c>
      <c r="K291" s="31" t="str">
        <f>IF(LEN(_DB_Exercises!AF405)&gt;0,_DB_Exercises!AF405,"")</f>
        <v/>
      </c>
      <c r="L291" s="31" t="str">
        <f>IF(LEN(_DB_Exercises!AG405)&gt;0,_DB_Exercises!AG405,"")</f>
        <v/>
      </c>
      <c r="M291" s="31" t="str">
        <f>IF(LEN(_DB_Exercises!AH405)&gt;0,_DB_Exercises!AH405,"")</f>
        <v/>
      </c>
      <c r="N291" s="31" t="str">
        <f>IF(LEN(_DB_Exercises!AI405)&gt;0,_DB_Exercises!AI405,"")</f>
        <v/>
      </c>
      <c r="O291" s="31" t="str">
        <f>IF(LEN(_DB_Exercises!AJ405)&gt;0,_DB_Exercises!AJ405,"")</f>
        <v/>
      </c>
      <c r="P291" s="31" t="str">
        <f>IF(LEN(_DB_Exercises!AK405)&gt;0,_DB_Exercises!AK405,"")</f>
        <v/>
      </c>
      <c r="Q291" s="31" t="str">
        <f>IF(LEN(_DB_Exercises!AL405)&gt;0,_DB_Exercises!AL405,"")</f>
        <v/>
      </c>
      <c r="R291" s="31" t="str">
        <f>IF(LEN(_DB_Exercises!AM405)&gt;0,_DB_Exercises!AM405,"")</f>
        <v/>
      </c>
      <c r="S291" s="31" t="str">
        <f>IF(LEN(_DB_Exercises!AN405)&gt;0,_DB_Exercises!AN405,"")</f>
        <v/>
      </c>
      <c r="T291" s="31" t="str">
        <f>IF(LEN(_DB_Exercises!AO405)&gt;0,_DB_Exercises!AO405,"")</f>
        <v/>
      </c>
      <c r="U291" s="31" t="str">
        <f>IF(LEN(_DB_Exercises!AP405)&gt;0,_DB_Exercises!AP405,"")</f>
        <v/>
      </c>
      <c r="V291" s="31" t="str">
        <f>IF(LEN(_DB_Exercises!AQ405)&gt;0,_DB_Exercises!AQ405,"")</f>
        <v/>
      </c>
      <c r="W291" s="31" t="str">
        <f>IF(LEN(_DB_Exercises!AR405)&gt;0,_DB_Exercises!AR405,"")</f>
        <v/>
      </c>
      <c r="X291" s="31" t="str">
        <f>IF(LEN(_DB_Exercises!AS405)&gt;0,_DB_Exercises!AS405,"")</f>
        <v/>
      </c>
      <c r="Y291" s="31" t="str">
        <f>IF(LEN(_DB_Exercises!AT405)&gt;0,_DB_Exercises!AT405,"")</f>
        <v/>
      </c>
      <c r="Z291" s="31" t="str">
        <f>IF(LEN(_DB_Exercises!AU405)&gt;0,_DB_Exercises!AU405,"")</f>
        <v/>
      </c>
      <c r="AA291" s="31" t="str">
        <f>IF(LEN(_DB_Exercises!AV405)&gt;0,_DB_Exercises!AV405,"")</f>
        <v/>
      </c>
      <c r="AB291" s="31" t="str">
        <f>IF(LEN(_DB_Exercises!AW405)&gt;0,_DB_Exercises!AW405,"")</f>
        <v/>
      </c>
      <c r="AC291" s="31" t="str">
        <f>IF(LEN(_DB_Exercises!AX405)&gt;0,_DB_Exercises!AX405,"")</f>
        <v/>
      </c>
      <c r="AD291" s="31" t="str">
        <f>IF(LEN(_DB_Exercises!AY405)&gt;0,_DB_Exercises!AY405,"")</f>
        <v/>
      </c>
      <c r="AE291" s="31" t="str">
        <f>IF(LEN(_DB_Exercises!AZ405)&gt;0,_DB_Exercises!AZ405,"")</f>
        <v/>
      </c>
      <c r="AF291" s="31" t="str">
        <f>IF(LEN(_DB_Exercises!BA405)&gt;0,_DB_Exercises!BA405,"")</f>
        <v/>
      </c>
      <c r="AG291" s="31" t="str">
        <f>IF(LEN(_DB_Exercises!BB405)&gt;0,_DB_Exercises!BB405,"")</f>
        <v/>
      </c>
      <c r="AH291" s="31" t="str">
        <f>IF(LEN(_DB_Exercises!BC405)&gt;0,_DB_Exercises!BC405,"")</f>
        <v/>
      </c>
      <c r="AI291" s="31" t="str">
        <f>IF(LEN(_DB_Exercises!BD405)&gt;0,_DB_Exercises!BD405,"")</f>
        <v/>
      </c>
      <c r="AJ291" s="31" t="str">
        <f>IF(LEN(_DB_Exercises!BE405)&gt;0,_DB_Exercises!BE405,"")</f>
        <v/>
      </c>
      <c r="AK291" s="31" t="str">
        <f>IF(LEN(_DB_Exercises!BF405)&gt;0,_DB_Exercises!BF405,"")</f>
        <v/>
      </c>
      <c r="AL291" s="31" t="str">
        <f>IF(LEN(_DB_Exercises!BG405)&gt;0,_DB_Exercises!BG405,"")</f>
        <v/>
      </c>
      <c r="AM291" s="31" t="str">
        <f>IF(LEN(_DB_Exercises!BH405)&gt;0,_DB_Exercises!BH405,"")</f>
        <v/>
      </c>
      <c r="AN291" s="31" t="str">
        <f>IF(LEN(_DB_Exercises!BI405)&gt;0,_DB_Exercises!BI405,"")</f>
        <v/>
      </c>
      <c r="AO291" s="31" t="str">
        <f>IF(LEN(_DB_Exercises!BJ405)&gt;0,_DB_Exercises!BJ405,"")</f>
        <v/>
      </c>
      <c r="AP291" s="31" t="str">
        <f>IF(LEN(_DB_Exercises!BK405)&gt;0,_DB_Exercises!BK405,"")</f>
        <v/>
      </c>
      <c r="AQ291" s="31" t="str">
        <f>IF(LEN(_DB_Exercises!BL405)&gt;0,_DB_Exercises!BL405,"")</f>
        <v/>
      </c>
      <c r="AR291" s="31" t="str">
        <f>IF(LEN(_DB_Exercises!BM405)&gt;0,_DB_Exercises!BM405,"")</f>
        <v/>
      </c>
    </row>
    <row r="292" spans="1:44" x14ac:dyDescent="0.25">
      <c r="A292" s="11" t="str">
        <f>IF(LEN(_DB_Exercises!A406)&gt;0,_DB_Exercises!A406,"")</f>
        <v/>
      </c>
      <c r="B292" s="14" t="str">
        <f>IF(LEN(_DB_Exercises!K406)&gt;0,_DB_Exercises!K406,"")</f>
        <v/>
      </c>
      <c r="C292" s="31" t="str">
        <f>IF(LEN(_DB_Exercises!X406)&gt;0,_DB_Exercises!X406,"")</f>
        <v/>
      </c>
      <c r="D292" s="31" t="str">
        <f>IF(LEN(_DB_Exercises!Y406)&gt;0,_DB_Exercises!Y406,"")</f>
        <v/>
      </c>
      <c r="E292" s="31" t="str">
        <f>IF(LEN(_DB_Exercises!Z406)&gt;0,_DB_Exercises!Z406,"")</f>
        <v/>
      </c>
      <c r="F292" s="31" t="str">
        <f>IF(LEN(_DB_Exercises!AA406)&gt;0,_DB_Exercises!AA406,"")</f>
        <v/>
      </c>
      <c r="G292" s="31" t="str">
        <f>IF(LEN(_DB_Exercises!AB406)&gt;0,_DB_Exercises!AB406,"")</f>
        <v/>
      </c>
      <c r="H292" s="31" t="str">
        <f>IF(LEN(_DB_Exercises!AC406)&gt;0,_DB_Exercises!AC406,"")</f>
        <v/>
      </c>
      <c r="I292" s="31" t="str">
        <f>IF(LEN(_DB_Exercises!AD406)&gt;0,_DB_Exercises!AD406,"")</f>
        <v/>
      </c>
      <c r="J292" s="31" t="str">
        <f>IF(LEN(_DB_Exercises!AE406)&gt;0,_DB_Exercises!AE406,"")</f>
        <v/>
      </c>
      <c r="K292" s="31" t="str">
        <f>IF(LEN(_DB_Exercises!AF406)&gt;0,_DB_Exercises!AF406,"")</f>
        <v/>
      </c>
      <c r="L292" s="31" t="str">
        <f>IF(LEN(_DB_Exercises!AG406)&gt;0,_DB_Exercises!AG406,"")</f>
        <v/>
      </c>
      <c r="M292" s="31" t="str">
        <f>IF(LEN(_DB_Exercises!AH406)&gt;0,_DB_Exercises!AH406,"")</f>
        <v/>
      </c>
      <c r="N292" s="31" t="str">
        <f>IF(LEN(_DB_Exercises!AI406)&gt;0,_DB_Exercises!AI406,"")</f>
        <v/>
      </c>
      <c r="O292" s="31" t="str">
        <f>IF(LEN(_DB_Exercises!AJ406)&gt;0,_DB_Exercises!AJ406,"")</f>
        <v/>
      </c>
      <c r="P292" s="31" t="str">
        <f>IF(LEN(_DB_Exercises!AK406)&gt;0,_DB_Exercises!AK406,"")</f>
        <v/>
      </c>
      <c r="Q292" s="31" t="str">
        <f>IF(LEN(_DB_Exercises!AL406)&gt;0,_DB_Exercises!AL406,"")</f>
        <v/>
      </c>
      <c r="R292" s="31" t="str">
        <f>IF(LEN(_DB_Exercises!AM406)&gt;0,_DB_Exercises!AM406,"")</f>
        <v/>
      </c>
      <c r="S292" s="31" t="str">
        <f>IF(LEN(_DB_Exercises!AN406)&gt;0,_DB_Exercises!AN406,"")</f>
        <v/>
      </c>
      <c r="T292" s="31" t="str">
        <f>IF(LEN(_DB_Exercises!AO406)&gt;0,_DB_Exercises!AO406,"")</f>
        <v/>
      </c>
      <c r="U292" s="31" t="str">
        <f>IF(LEN(_DB_Exercises!AP406)&gt;0,_DB_Exercises!AP406,"")</f>
        <v/>
      </c>
      <c r="V292" s="31" t="str">
        <f>IF(LEN(_DB_Exercises!AQ406)&gt;0,_DB_Exercises!AQ406,"")</f>
        <v/>
      </c>
      <c r="W292" s="31" t="str">
        <f>IF(LEN(_DB_Exercises!AR406)&gt;0,_DB_Exercises!AR406,"")</f>
        <v/>
      </c>
      <c r="X292" s="31" t="str">
        <f>IF(LEN(_DB_Exercises!AS406)&gt;0,_DB_Exercises!AS406,"")</f>
        <v/>
      </c>
      <c r="Y292" s="31" t="str">
        <f>IF(LEN(_DB_Exercises!AT406)&gt;0,_DB_Exercises!AT406,"")</f>
        <v/>
      </c>
      <c r="Z292" s="31" t="str">
        <f>IF(LEN(_DB_Exercises!AU406)&gt;0,_DB_Exercises!AU406,"")</f>
        <v/>
      </c>
      <c r="AA292" s="31" t="str">
        <f>IF(LEN(_DB_Exercises!AV406)&gt;0,_DB_Exercises!AV406,"")</f>
        <v/>
      </c>
      <c r="AB292" s="31" t="str">
        <f>IF(LEN(_DB_Exercises!AW406)&gt;0,_DB_Exercises!AW406,"")</f>
        <v/>
      </c>
      <c r="AC292" s="31" t="str">
        <f>IF(LEN(_DB_Exercises!AX406)&gt;0,_DB_Exercises!AX406,"")</f>
        <v/>
      </c>
      <c r="AD292" s="31" t="str">
        <f>IF(LEN(_DB_Exercises!AY406)&gt;0,_DB_Exercises!AY406,"")</f>
        <v/>
      </c>
      <c r="AE292" s="31" t="str">
        <f>IF(LEN(_DB_Exercises!AZ406)&gt;0,_DB_Exercises!AZ406,"")</f>
        <v/>
      </c>
      <c r="AF292" s="31" t="str">
        <f>IF(LEN(_DB_Exercises!BA406)&gt;0,_DB_Exercises!BA406,"")</f>
        <v/>
      </c>
      <c r="AG292" s="31" t="str">
        <f>IF(LEN(_DB_Exercises!BB406)&gt;0,_DB_Exercises!BB406,"")</f>
        <v/>
      </c>
      <c r="AH292" s="31" t="str">
        <f>IF(LEN(_DB_Exercises!BC406)&gt;0,_DB_Exercises!BC406,"")</f>
        <v/>
      </c>
      <c r="AI292" s="31" t="str">
        <f>IF(LEN(_DB_Exercises!BD406)&gt;0,_DB_Exercises!BD406,"")</f>
        <v/>
      </c>
      <c r="AJ292" s="31" t="str">
        <f>IF(LEN(_DB_Exercises!BE406)&gt;0,_DB_Exercises!BE406,"")</f>
        <v/>
      </c>
      <c r="AK292" s="31" t="str">
        <f>IF(LEN(_DB_Exercises!BF406)&gt;0,_DB_Exercises!BF406,"")</f>
        <v/>
      </c>
      <c r="AL292" s="31" t="str">
        <f>IF(LEN(_DB_Exercises!BG406)&gt;0,_DB_Exercises!BG406,"")</f>
        <v/>
      </c>
      <c r="AM292" s="31" t="str">
        <f>IF(LEN(_DB_Exercises!BH406)&gt;0,_DB_Exercises!BH406,"")</f>
        <v/>
      </c>
      <c r="AN292" s="31" t="str">
        <f>IF(LEN(_DB_Exercises!BI406)&gt;0,_DB_Exercises!BI406,"")</f>
        <v/>
      </c>
      <c r="AO292" s="31" t="str">
        <f>IF(LEN(_DB_Exercises!BJ406)&gt;0,_DB_Exercises!BJ406,"")</f>
        <v/>
      </c>
      <c r="AP292" s="31" t="str">
        <f>IF(LEN(_DB_Exercises!BK406)&gt;0,_DB_Exercises!BK406,"")</f>
        <v/>
      </c>
      <c r="AQ292" s="31" t="str">
        <f>IF(LEN(_DB_Exercises!BL406)&gt;0,_DB_Exercises!BL406,"")</f>
        <v/>
      </c>
      <c r="AR292" s="31" t="str">
        <f>IF(LEN(_DB_Exercises!BM406)&gt;0,_DB_Exercises!BM406,"")</f>
        <v/>
      </c>
    </row>
    <row r="293" spans="1:44" x14ac:dyDescent="0.25">
      <c r="A293" s="11" t="str">
        <f>IF(LEN(_DB_Exercises!A407)&gt;0,_DB_Exercises!A407,"")</f>
        <v/>
      </c>
      <c r="B293" s="14" t="str">
        <f>IF(LEN(_DB_Exercises!K407)&gt;0,_DB_Exercises!K407,"")</f>
        <v/>
      </c>
      <c r="C293" s="31" t="str">
        <f>IF(LEN(_DB_Exercises!X407)&gt;0,_DB_Exercises!X407,"")</f>
        <v/>
      </c>
      <c r="D293" s="31" t="str">
        <f>IF(LEN(_DB_Exercises!Y407)&gt;0,_DB_Exercises!Y407,"")</f>
        <v/>
      </c>
      <c r="E293" s="31" t="str">
        <f>IF(LEN(_DB_Exercises!Z407)&gt;0,_DB_Exercises!Z407,"")</f>
        <v/>
      </c>
      <c r="F293" s="31" t="str">
        <f>IF(LEN(_DB_Exercises!AA407)&gt;0,_DB_Exercises!AA407,"")</f>
        <v/>
      </c>
      <c r="G293" s="31" t="str">
        <f>IF(LEN(_DB_Exercises!AB407)&gt;0,_DB_Exercises!AB407,"")</f>
        <v/>
      </c>
      <c r="H293" s="31" t="str">
        <f>IF(LEN(_DB_Exercises!AC407)&gt;0,_DB_Exercises!AC407,"")</f>
        <v/>
      </c>
      <c r="I293" s="31" t="str">
        <f>IF(LEN(_DB_Exercises!AD407)&gt;0,_DB_Exercises!AD407,"")</f>
        <v/>
      </c>
      <c r="J293" s="31" t="str">
        <f>IF(LEN(_DB_Exercises!AE407)&gt;0,_DB_Exercises!AE407,"")</f>
        <v/>
      </c>
      <c r="K293" s="31" t="str">
        <f>IF(LEN(_DB_Exercises!AF407)&gt;0,_DB_Exercises!AF407,"")</f>
        <v/>
      </c>
      <c r="L293" s="31" t="str">
        <f>IF(LEN(_DB_Exercises!AG407)&gt;0,_DB_Exercises!AG407,"")</f>
        <v/>
      </c>
      <c r="M293" s="31" t="str">
        <f>IF(LEN(_DB_Exercises!AH407)&gt;0,_DB_Exercises!AH407,"")</f>
        <v/>
      </c>
      <c r="N293" s="31" t="str">
        <f>IF(LEN(_DB_Exercises!AI407)&gt;0,_DB_Exercises!AI407,"")</f>
        <v/>
      </c>
      <c r="O293" s="31" t="str">
        <f>IF(LEN(_DB_Exercises!AJ407)&gt;0,_DB_Exercises!AJ407,"")</f>
        <v/>
      </c>
      <c r="P293" s="31" t="str">
        <f>IF(LEN(_DB_Exercises!AK407)&gt;0,_DB_Exercises!AK407,"")</f>
        <v/>
      </c>
      <c r="Q293" s="31" t="str">
        <f>IF(LEN(_DB_Exercises!AL407)&gt;0,_DB_Exercises!AL407,"")</f>
        <v/>
      </c>
      <c r="R293" s="31" t="str">
        <f>IF(LEN(_DB_Exercises!AM407)&gt;0,_DB_Exercises!AM407,"")</f>
        <v/>
      </c>
      <c r="S293" s="31" t="str">
        <f>IF(LEN(_DB_Exercises!AN407)&gt;0,_DB_Exercises!AN407,"")</f>
        <v/>
      </c>
      <c r="T293" s="31" t="str">
        <f>IF(LEN(_DB_Exercises!AO407)&gt;0,_DB_Exercises!AO407,"")</f>
        <v/>
      </c>
      <c r="U293" s="31" t="str">
        <f>IF(LEN(_DB_Exercises!AP407)&gt;0,_DB_Exercises!AP407,"")</f>
        <v/>
      </c>
      <c r="V293" s="31" t="str">
        <f>IF(LEN(_DB_Exercises!AQ407)&gt;0,_DB_Exercises!AQ407,"")</f>
        <v/>
      </c>
      <c r="W293" s="31" t="str">
        <f>IF(LEN(_DB_Exercises!AR407)&gt;0,_DB_Exercises!AR407,"")</f>
        <v/>
      </c>
      <c r="X293" s="31" t="str">
        <f>IF(LEN(_DB_Exercises!AS407)&gt;0,_DB_Exercises!AS407,"")</f>
        <v/>
      </c>
      <c r="Y293" s="31" t="str">
        <f>IF(LEN(_DB_Exercises!AT407)&gt;0,_DB_Exercises!AT407,"")</f>
        <v/>
      </c>
      <c r="Z293" s="31" t="str">
        <f>IF(LEN(_DB_Exercises!AU407)&gt;0,_DB_Exercises!AU407,"")</f>
        <v/>
      </c>
      <c r="AA293" s="31" t="str">
        <f>IF(LEN(_DB_Exercises!AV407)&gt;0,_DB_Exercises!AV407,"")</f>
        <v/>
      </c>
      <c r="AB293" s="31" t="str">
        <f>IF(LEN(_DB_Exercises!AW407)&gt;0,_DB_Exercises!AW407,"")</f>
        <v/>
      </c>
      <c r="AC293" s="31" t="str">
        <f>IF(LEN(_DB_Exercises!AX407)&gt;0,_DB_Exercises!AX407,"")</f>
        <v/>
      </c>
      <c r="AD293" s="31" t="str">
        <f>IF(LEN(_DB_Exercises!AY407)&gt;0,_DB_Exercises!AY407,"")</f>
        <v/>
      </c>
      <c r="AE293" s="31" t="str">
        <f>IF(LEN(_DB_Exercises!AZ407)&gt;0,_DB_Exercises!AZ407,"")</f>
        <v/>
      </c>
      <c r="AF293" s="31" t="str">
        <f>IF(LEN(_DB_Exercises!BA407)&gt;0,_DB_Exercises!BA407,"")</f>
        <v/>
      </c>
      <c r="AG293" s="31" t="str">
        <f>IF(LEN(_DB_Exercises!BB407)&gt;0,_DB_Exercises!BB407,"")</f>
        <v/>
      </c>
      <c r="AH293" s="31" t="str">
        <f>IF(LEN(_DB_Exercises!BC407)&gt;0,_DB_Exercises!BC407,"")</f>
        <v/>
      </c>
      <c r="AI293" s="31" t="str">
        <f>IF(LEN(_DB_Exercises!BD407)&gt;0,_DB_Exercises!BD407,"")</f>
        <v/>
      </c>
      <c r="AJ293" s="31" t="str">
        <f>IF(LEN(_DB_Exercises!BE407)&gt;0,_DB_Exercises!BE407,"")</f>
        <v/>
      </c>
      <c r="AK293" s="31" t="str">
        <f>IF(LEN(_DB_Exercises!BF407)&gt;0,_DB_Exercises!BF407,"")</f>
        <v/>
      </c>
      <c r="AL293" s="31" t="str">
        <f>IF(LEN(_DB_Exercises!BG407)&gt;0,_DB_Exercises!BG407,"")</f>
        <v/>
      </c>
      <c r="AM293" s="31" t="str">
        <f>IF(LEN(_DB_Exercises!BH407)&gt;0,_DB_Exercises!BH407,"")</f>
        <v/>
      </c>
      <c r="AN293" s="31" t="str">
        <f>IF(LEN(_DB_Exercises!BI407)&gt;0,_DB_Exercises!BI407,"")</f>
        <v/>
      </c>
      <c r="AO293" s="31" t="str">
        <f>IF(LEN(_DB_Exercises!BJ407)&gt;0,_DB_Exercises!BJ407,"")</f>
        <v/>
      </c>
      <c r="AP293" s="31" t="str">
        <f>IF(LEN(_DB_Exercises!BK407)&gt;0,_DB_Exercises!BK407,"")</f>
        <v/>
      </c>
      <c r="AQ293" s="31" t="str">
        <f>IF(LEN(_DB_Exercises!BL407)&gt;0,_DB_Exercises!BL407,"")</f>
        <v/>
      </c>
      <c r="AR293" s="31" t="str">
        <f>IF(LEN(_DB_Exercises!BM407)&gt;0,_DB_Exercises!BM407,"")</f>
        <v/>
      </c>
    </row>
    <row r="294" spans="1:44" x14ac:dyDescent="0.25">
      <c r="A294" s="11" t="str">
        <f>IF(LEN(_DB_Exercises!A408)&gt;0,_DB_Exercises!A408,"")</f>
        <v/>
      </c>
      <c r="B294" s="14" t="str">
        <f>IF(LEN(_DB_Exercises!K408)&gt;0,_DB_Exercises!K408,"")</f>
        <v/>
      </c>
      <c r="C294" s="31" t="str">
        <f>IF(LEN(_DB_Exercises!X408)&gt;0,_DB_Exercises!X408,"")</f>
        <v/>
      </c>
      <c r="D294" s="31" t="str">
        <f>IF(LEN(_DB_Exercises!Y408)&gt;0,_DB_Exercises!Y408,"")</f>
        <v/>
      </c>
      <c r="E294" s="31" t="str">
        <f>IF(LEN(_DB_Exercises!Z408)&gt;0,_DB_Exercises!Z408,"")</f>
        <v/>
      </c>
      <c r="F294" s="31" t="str">
        <f>IF(LEN(_DB_Exercises!AA408)&gt;0,_DB_Exercises!AA408,"")</f>
        <v/>
      </c>
      <c r="G294" s="31" t="str">
        <f>IF(LEN(_DB_Exercises!AB408)&gt;0,_DB_Exercises!AB408,"")</f>
        <v/>
      </c>
      <c r="H294" s="31" t="str">
        <f>IF(LEN(_DB_Exercises!AC408)&gt;0,_DB_Exercises!AC408,"")</f>
        <v/>
      </c>
      <c r="I294" s="31" t="str">
        <f>IF(LEN(_DB_Exercises!AD408)&gt;0,_DB_Exercises!AD408,"")</f>
        <v/>
      </c>
      <c r="J294" s="31" t="str">
        <f>IF(LEN(_DB_Exercises!AE408)&gt;0,_DB_Exercises!AE408,"")</f>
        <v/>
      </c>
      <c r="K294" s="31" t="str">
        <f>IF(LEN(_DB_Exercises!AF408)&gt;0,_DB_Exercises!AF408,"")</f>
        <v/>
      </c>
      <c r="L294" s="31" t="str">
        <f>IF(LEN(_DB_Exercises!AG408)&gt;0,_DB_Exercises!AG408,"")</f>
        <v/>
      </c>
      <c r="M294" s="31" t="str">
        <f>IF(LEN(_DB_Exercises!AH408)&gt;0,_DB_Exercises!AH408,"")</f>
        <v/>
      </c>
      <c r="N294" s="31" t="str">
        <f>IF(LEN(_DB_Exercises!AI408)&gt;0,_DB_Exercises!AI408,"")</f>
        <v/>
      </c>
      <c r="O294" s="31" t="str">
        <f>IF(LEN(_DB_Exercises!AJ408)&gt;0,_DB_Exercises!AJ408,"")</f>
        <v/>
      </c>
      <c r="P294" s="31" t="str">
        <f>IF(LEN(_DB_Exercises!AK408)&gt;0,_DB_Exercises!AK408,"")</f>
        <v/>
      </c>
      <c r="Q294" s="31" t="str">
        <f>IF(LEN(_DB_Exercises!AL408)&gt;0,_DB_Exercises!AL408,"")</f>
        <v/>
      </c>
      <c r="R294" s="31" t="str">
        <f>IF(LEN(_DB_Exercises!AM408)&gt;0,_DB_Exercises!AM408,"")</f>
        <v/>
      </c>
      <c r="S294" s="31" t="str">
        <f>IF(LEN(_DB_Exercises!AN408)&gt;0,_DB_Exercises!AN408,"")</f>
        <v/>
      </c>
      <c r="T294" s="31" t="str">
        <f>IF(LEN(_DB_Exercises!AO408)&gt;0,_DB_Exercises!AO408,"")</f>
        <v/>
      </c>
      <c r="U294" s="31" t="str">
        <f>IF(LEN(_DB_Exercises!AP408)&gt;0,_DB_Exercises!AP408,"")</f>
        <v/>
      </c>
      <c r="V294" s="31" t="str">
        <f>IF(LEN(_DB_Exercises!AQ408)&gt;0,_DB_Exercises!AQ408,"")</f>
        <v/>
      </c>
      <c r="W294" s="31" t="str">
        <f>IF(LEN(_DB_Exercises!AR408)&gt;0,_DB_Exercises!AR408,"")</f>
        <v/>
      </c>
      <c r="X294" s="31" t="str">
        <f>IF(LEN(_DB_Exercises!AS408)&gt;0,_DB_Exercises!AS408,"")</f>
        <v/>
      </c>
      <c r="Y294" s="31" t="str">
        <f>IF(LEN(_DB_Exercises!AT408)&gt;0,_DB_Exercises!AT408,"")</f>
        <v/>
      </c>
      <c r="Z294" s="31" t="str">
        <f>IF(LEN(_DB_Exercises!AU408)&gt;0,_DB_Exercises!AU408,"")</f>
        <v/>
      </c>
      <c r="AA294" s="31" t="str">
        <f>IF(LEN(_DB_Exercises!AV408)&gt;0,_DB_Exercises!AV408,"")</f>
        <v/>
      </c>
      <c r="AB294" s="31" t="str">
        <f>IF(LEN(_DB_Exercises!AW408)&gt;0,_DB_Exercises!AW408,"")</f>
        <v/>
      </c>
      <c r="AC294" s="31" t="str">
        <f>IF(LEN(_DB_Exercises!AX408)&gt;0,_DB_Exercises!AX408,"")</f>
        <v/>
      </c>
      <c r="AD294" s="31" t="str">
        <f>IF(LEN(_DB_Exercises!AY408)&gt;0,_DB_Exercises!AY408,"")</f>
        <v/>
      </c>
      <c r="AE294" s="31" t="str">
        <f>IF(LEN(_DB_Exercises!AZ408)&gt;0,_DB_Exercises!AZ408,"")</f>
        <v/>
      </c>
      <c r="AF294" s="31" t="str">
        <f>IF(LEN(_DB_Exercises!BA408)&gt;0,_DB_Exercises!BA408,"")</f>
        <v/>
      </c>
      <c r="AG294" s="31" t="str">
        <f>IF(LEN(_DB_Exercises!BB408)&gt;0,_DB_Exercises!BB408,"")</f>
        <v/>
      </c>
      <c r="AH294" s="31" t="str">
        <f>IF(LEN(_DB_Exercises!BC408)&gt;0,_DB_Exercises!BC408,"")</f>
        <v/>
      </c>
      <c r="AI294" s="31" t="str">
        <f>IF(LEN(_DB_Exercises!BD408)&gt;0,_DB_Exercises!BD408,"")</f>
        <v/>
      </c>
      <c r="AJ294" s="31" t="str">
        <f>IF(LEN(_DB_Exercises!BE408)&gt;0,_DB_Exercises!BE408,"")</f>
        <v/>
      </c>
      <c r="AK294" s="31" t="str">
        <f>IF(LEN(_DB_Exercises!BF408)&gt;0,_DB_Exercises!BF408,"")</f>
        <v/>
      </c>
      <c r="AL294" s="31" t="str">
        <f>IF(LEN(_DB_Exercises!BG408)&gt;0,_DB_Exercises!BG408,"")</f>
        <v/>
      </c>
      <c r="AM294" s="31" t="str">
        <f>IF(LEN(_DB_Exercises!BH408)&gt;0,_DB_Exercises!BH408,"")</f>
        <v/>
      </c>
      <c r="AN294" s="31" t="str">
        <f>IF(LEN(_DB_Exercises!BI408)&gt;0,_DB_Exercises!BI408,"")</f>
        <v/>
      </c>
      <c r="AO294" s="31" t="str">
        <f>IF(LEN(_DB_Exercises!BJ408)&gt;0,_DB_Exercises!BJ408,"")</f>
        <v/>
      </c>
      <c r="AP294" s="31" t="str">
        <f>IF(LEN(_DB_Exercises!BK408)&gt;0,_DB_Exercises!BK408,"")</f>
        <v/>
      </c>
      <c r="AQ294" s="31" t="str">
        <f>IF(LEN(_DB_Exercises!BL408)&gt;0,_DB_Exercises!BL408,"")</f>
        <v/>
      </c>
      <c r="AR294" s="31" t="str">
        <f>IF(LEN(_DB_Exercises!BM408)&gt;0,_DB_Exercises!BM408,"")</f>
        <v/>
      </c>
    </row>
    <row r="295" spans="1:44" x14ac:dyDescent="0.25">
      <c r="A295" s="11" t="str">
        <f>IF(LEN(_DB_Exercises!A409)&gt;0,_DB_Exercises!A409,"")</f>
        <v/>
      </c>
      <c r="B295" s="14" t="str">
        <f>IF(LEN(_DB_Exercises!K409)&gt;0,_DB_Exercises!K409,"")</f>
        <v/>
      </c>
      <c r="C295" s="31" t="str">
        <f>IF(LEN(_DB_Exercises!X409)&gt;0,_DB_Exercises!X409,"")</f>
        <v/>
      </c>
      <c r="D295" s="31" t="str">
        <f>IF(LEN(_DB_Exercises!Y409)&gt;0,_DB_Exercises!Y409,"")</f>
        <v/>
      </c>
      <c r="E295" s="31" t="str">
        <f>IF(LEN(_DB_Exercises!Z409)&gt;0,_DB_Exercises!Z409,"")</f>
        <v/>
      </c>
      <c r="F295" s="31" t="str">
        <f>IF(LEN(_DB_Exercises!AA409)&gt;0,_DB_Exercises!AA409,"")</f>
        <v/>
      </c>
      <c r="G295" s="31" t="str">
        <f>IF(LEN(_DB_Exercises!AB409)&gt;0,_DB_Exercises!AB409,"")</f>
        <v/>
      </c>
      <c r="H295" s="31" t="str">
        <f>IF(LEN(_DB_Exercises!AC409)&gt;0,_DB_Exercises!AC409,"")</f>
        <v/>
      </c>
      <c r="I295" s="31" t="str">
        <f>IF(LEN(_DB_Exercises!AD409)&gt;0,_DB_Exercises!AD409,"")</f>
        <v/>
      </c>
      <c r="J295" s="31" t="str">
        <f>IF(LEN(_DB_Exercises!AE409)&gt;0,_DB_Exercises!AE409,"")</f>
        <v/>
      </c>
      <c r="K295" s="31" t="str">
        <f>IF(LEN(_DB_Exercises!AF409)&gt;0,_DB_Exercises!AF409,"")</f>
        <v/>
      </c>
      <c r="L295" s="31" t="str">
        <f>IF(LEN(_DB_Exercises!AG409)&gt;0,_DB_Exercises!AG409,"")</f>
        <v/>
      </c>
      <c r="M295" s="31" t="str">
        <f>IF(LEN(_DB_Exercises!AH409)&gt;0,_DB_Exercises!AH409,"")</f>
        <v/>
      </c>
      <c r="N295" s="31" t="str">
        <f>IF(LEN(_DB_Exercises!AI409)&gt;0,_DB_Exercises!AI409,"")</f>
        <v/>
      </c>
      <c r="O295" s="31" t="str">
        <f>IF(LEN(_DB_Exercises!AJ409)&gt;0,_DB_Exercises!AJ409,"")</f>
        <v/>
      </c>
      <c r="P295" s="31" t="str">
        <f>IF(LEN(_DB_Exercises!AK409)&gt;0,_DB_Exercises!AK409,"")</f>
        <v/>
      </c>
      <c r="Q295" s="31" t="str">
        <f>IF(LEN(_DB_Exercises!AL409)&gt;0,_DB_Exercises!AL409,"")</f>
        <v/>
      </c>
      <c r="R295" s="31" t="str">
        <f>IF(LEN(_DB_Exercises!AM409)&gt;0,_DB_Exercises!AM409,"")</f>
        <v/>
      </c>
      <c r="S295" s="31" t="str">
        <f>IF(LEN(_DB_Exercises!AN409)&gt;0,_DB_Exercises!AN409,"")</f>
        <v/>
      </c>
      <c r="T295" s="31" t="str">
        <f>IF(LEN(_DB_Exercises!AO409)&gt;0,_DB_Exercises!AO409,"")</f>
        <v/>
      </c>
      <c r="U295" s="31" t="str">
        <f>IF(LEN(_DB_Exercises!AP409)&gt;0,_DB_Exercises!AP409,"")</f>
        <v/>
      </c>
      <c r="V295" s="31" t="str">
        <f>IF(LEN(_DB_Exercises!AQ409)&gt;0,_DB_Exercises!AQ409,"")</f>
        <v/>
      </c>
      <c r="W295" s="31" t="str">
        <f>IF(LEN(_DB_Exercises!AR409)&gt;0,_DB_Exercises!AR409,"")</f>
        <v/>
      </c>
      <c r="X295" s="31" t="str">
        <f>IF(LEN(_DB_Exercises!AS409)&gt;0,_DB_Exercises!AS409,"")</f>
        <v/>
      </c>
      <c r="Y295" s="31" t="str">
        <f>IF(LEN(_DB_Exercises!AT409)&gt;0,_DB_Exercises!AT409,"")</f>
        <v/>
      </c>
      <c r="Z295" s="31" t="str">
        <f>IF(LEN(_DB_Exercises!AU409)&gt;0,_DB_Exercises!AU409,"")</f>
        <v/>
      </c>
      <c r="AA295" s="31" t="str">
        <f>IF(LEN(_DB_Exercises!AV409)&gt;0,_DB_Exercises!AV409,"")</f>
        <v/>
      </c>
      <c r="AB295" s="31" t="str">
        <f>IF(LEN(_DB_Exercises!AW409)&gt;0,_DB_Exercises!AW409,"")</f>
        <v/>
      </c>
      <c r="AC295" s="31" t="str">
        <f>IF(LEN(_DB_Exercises!AX409)&gt;0,_DB_Exercises!AX409,"")</f>
        <v/>
      </c>
      <c r="AD295" s="31" t="str">
        <f>IF(LEN(_DB_Exercises!AY409)&gt;0,_DB_Exercises!AY409,"")</f>
        <v/>
      </c>
      <c r="AE295" s="31" t="str">
        <f>IF(LEN(_DB_Exercises!AZ409)&gt;0,_DB_Exercises!AZ409,"")</f>
        <v/>
      </c>
      <c r="AF295" s="31" t="str">
        <f>IF(LEN(_DB_Exercises!BA409)&gt;0,_DB_Exercises!BA409,"")</f>
        <v/>
      </c>
      <c r="AG295" s="31" t="str">
        <f>IF(LEN(_DB_Exercises!BB409)&gt;0,_DB_Exercises!BB409,"")</f>
        <v/>
      </c>
      <c r="AH295" s="31" t="str">
        <f>IF(LEN(_DB_Exercises!BC409)&gt;0,_DB_Exercises!BC409,"")</f>
        <v/>
      </c>
      <c r="AI295" s="31" t="str">
        <f>IF(LEN(_DB_Exercises!BD409)&gt;0,_DB_Exercises!BD409,"")</f>
        <v/>
      </c>
      <c r="AJ295" s="31" t="str">
        <f>IF(LEN(_DB_Exercises!BE409)&gt;0,_DB_Exercises!BE409,"")</f>
        <v/>
      </c>
      <c r="AK295" s="31" t="str">
        <f>IF(LEN(_DB_Exercises!BF409)&gt;0,_DB_Exercises!BF409,"")</f>
        <v/>
      </c>
      <c r="AL295" s="31" t="str">
        <f>IF(LEN(_DB_Exercises!BG409)&gt;0,_DB_Exercises!BG409,"")</f>
        <v/>
      </c>
      <c r="AM295" s="31" t="str">
        <f>IF(LEN(_DB_Exercises!BH409)&gt;0,_DB_Exercises!BH409,"")</f>
        <v/>
      </c>
      <c r="AN295" s="31" t="str">
        <f>IF(LEN(_DB_Exercises!BI409)&gt;0,_DB_Exercises!BI409,"")</f>
        <v/>
      </c>
      <c r="AO295" s="31" t="str">
        <f>IF(LEN(_DB_Exercises!BJ409)&gt;0,_DB_Exercises!BJ409,"")</f>
        <v/>
      </c>
      <c r="AP295" s="31" t="str">
        <f>IF(LEN(_DB_Exercises!BK409)&gt;0,_DB_Exercises!BK409,"")</f>
        <v/>
      </c>
      <c r="AQ295" s="31" t="str">
        <f>IF(LEN(_DB_Exercises!BL409)&gt;0,_DB_Exercises!BL409,"")</f>
        <v/>
      </c>
      <c r="AR295" s="31" t="str">
        <f>IF(LEN(_DB_Exercises!BM409)&gt;0,_DB_Exercises!BM409,"")</f>
        <v/>
      </c>
    </row>
    <row r="296" spans="1:44" x14ac:dyDescent="0.25">
      <c r="A296" s="11" t="str">
        <f>IF(LEN(_DB_Exercises!A410)&gt;0,_DB_Exercises!A410,"")</f>
        <v/>
      </c>
      <c r="B296" s="14" t="str">
        <f>IF(LEN(_DB_Exercises!K410)&gt;0,_DB_Exercises!K410,"")</f>
        <v/>
      </c>
      <c r="C296" s="31" t="str">
        <f>IF(LEN(_DB_Exercises!X410)&gt;0,_DB_Exercises!X410,"")</f>
        <v/>
      </c>
      <c r="D296" s="31" t="str">
        <f>IF(LEN(_DB_Exercises!Y410)&gt;0,_DB_Exercises!Y410,"")</f>
        <v/>
      </c>
      <c r="E296" s="31" t="str">
        <f>IF(LEN(_DB_Exercises!Z410)&gt;0,_DB_Exercises!Z410,"")</f>
        <v/>
      </c>
      <c r="F296" s="31" t="str">
        <f>IF(LEN(_DB_Exercises!AA410)&gt;0,_DB_Exercises!AA410,"")</f>
        <v/>
      </c>
      <c r="G296" s="31" t="str">
        <f>IF(LEN(_DB_Exercises!AB410)&gt;0,_DB_Exercises!AB410,"")</f>
        <v/>
      </c>
      <c r="H296" s="31" t="str">
        <f>IF(LEN(_DB_Exercises!AC410)&gt;0,_DB_Exercises!AC410,"")</f>
        <v/>
      </c>
      <c r="I296" s="31" t="str">
        <f>IF(LEN(_DB_Exercises!AD410)&gt;0,_DB_Exercises!AD410,"")</f>
        <v/>
      </c>
      <c r="J296" s="31" t="str">
        <f>IF(LEN(_DB_Exercises!AE410)&gt;0,_DB_Exercises!AE410,"")</f>
        <v/>
      </c>
      <c r="K296" s="31" t="str">
        <f>IF(LEN(_DB_Exercises!AF410)&gt;0,_DB_Exercises!AF410,"")</f>
        <v/>
      </c>
      <c r="L296" s="31" t="str">
        <f>IF(LEN(_DB_Exercises!AG410)&gt;0,_DB_Exercises!AG410,"")</f>
        <v/>
      </c>
      <c r="M296" s="31" t="str">
        <f>IF(LEN(_DB_Exercises!AH410)&gt;0,_DB_Exercises!AH410,"")</f>
        <v/>
      </c>
      <c r="N296" s="31" t="str">
        <f>IF(LEN(_DB_Exercises!AI410)&gt;0,_DB_Exercises!AI410,"")</f>
        <v/>
      </c>
      <c r="O296" s="31" t="str">
        <f>IF(LEN(_DB_Exercises!AJ410)&gt;0,_DB_Exercises!AJ410,"")</f>
        <v/>
      </c>
      <c r="P296" s="31" t="str">
        <f>IF(LEN(_DB_Exercises!AK410)&gt;0,_DB_Exercises!AK410,"")</f>
        <v/>
      </c>
      <c r="Q296" s="31" t="str">
        <f>IF(LEN(_DB_Exercises!AL410)&gt;0,_DB_Exercises!AL410,"")</f>
        <v/>
      </c>
      <c r="R296" s="31" t="str">
        <f>IF(LEN(_DB_Exercises!AM410)&gt;0,_DB_Exercises!AM410,"")</f>
        <v/>
      </c>
      <c r="S296" s="31" t="str">
        <f>IF(LEN(_DB_Exercises!AN410)&gt;0,_DB_Exercises!AN410,"")</f>
        <v/>
      </c>
      <c r="T296" s="31" t="str">
        <f>IF(LEN(_DB_Exercises!AO410)&gt;0,_DB_Exercises!AO410,"")</f>
        <v/>
      </c>
      <c r="U296" s="31" t="str">
        <f>IF(LEN(_DB_Exercises!AP410)&gt;0,_DB_Exercises!AP410,"")</f>
        <v/>
      </c>
      <c r="V296" s="31" t="str">
        <f>IF(LEN(_DB_Exercises!AQ410)&gt;0,_DB_Exercises!AQ410,"")</f>
        <v/>
      </c>
      <c r="W296" s="31" t="str">
        <f>IF(LEN(_DB_Exercises!AR410)&gt;0,_DB_Exercises!AR410,"")</f>
        <v/>
      </c>
      <c r="X296" s="31" t="str">
        <f>IF(LEN(_DB_Exercises!AS410)&gt;0,_DB_Exercises!AS410,"")</f>
        <v/>
      </c>
      <c r="Y296" s="31" t="str">
        <f>IF(LEN(_DB_Exercises!AT410)&gt;0,_DB_Exercises!AT410,"")</f>
        <v/>
      </c>
      <c r="Z296" s="31" t="str">
        <f>IF(LEN(_DB_Exercises!AU410)&gt;0,_DB_Exercises!AU410,"")</f>
        <v/>
      </c>
      <c r="AA296" s="31" t="str">
        <f>IF(LEN(_DB_Exercises!AV410)&gt;0,_DB_Exercises!AV410,"")</f>
        <v/>
      </c>
      <c r="AB296" s="31" t="str">
        <f>IF(LEN(_DB_Exercises!AW410)&gt;0,_DB_Exercises!AW410,"")</f>
        <v/>
      </c>
      <c r="AC296" s="31" t="str">
        <f>IF(LEN(_DB_Exercises!AX410)&gt;0,_DB_Exercises!AX410,"")</f>
        <v/>
      </c>
      <c r="AD296" s="31" t="str">
        <f>IF(LEN(_DB_Exercises!AY410)&gt;0,_DB_Exercises!AY410,"")</f>
        <v/>
      </c>
      <c r="AE296" s="31" t="str">
        <f>IF(LEN(_DB_Exercises!AZ410)&gt;0,_DB_Exercises!AZ410,"")</f>
        <v/>
      </c>
      <c r="AF296" s="31" t="str">
        <f>IF(LEN(_DB_Exercises!BA410)&gt;0,_DB_Exercises!BA410,"")</f>
        <v/>
      </c>
      <c r="AG296" s="31" t="str">
        <f>IF(LEN(_DB_Exercises!BB410)&gt;0,_DB_Exercises!BB410,"")</f>
        <v/>
      </c>
      <c r="AH296" s="31" t="str">
        <f>IF(LEN(_DB_Exercises!BC410)&gt;0,_DB_Exercises!BC410,"")</f>
        <v/>
      </c>
      <c r="AI296" s="31" t="str">
        <f>IF(LEN(_DB_Exercises!BD410)&gt;0,_DB_Exercises!BD410,"")</f>
        <v/>
      </c>
      <c r="AJ296" s="31" t="str">
        <f>IF(LEN(_DB_Exercises!BE410)&gt;0,_DB_Exercises!BE410,"")</f>
        <v/>
      </c>
      <c r="AK296" s="31" t="str">
        <f>IF(LEN(_DB_Exercises!BF410)&gt;0,_DB_Exercises!BF410,"")</f>
        <v/>
      </c>
      <c r="AL296" s="31" t="str">
        <f>IF(LEN(_DB_Exercises!BG410)&gt;0,_DB_Exercises!BG410,"")</f>
        <v/>
      </c>
      <c r="AM296" s="31" t="str">
        <f>IF(LEN(_DB_Exercises!BH410)&gt;0,_DB_Exercises!BH410,"")</f>
        <v/>
      </c>
      <c r="AN296" s="31" t="str">
        <f>IF(LEN(_DB_Exercises!BI410)&gt;0,_DB_Exercises!BI410,"")</f>
        <v/>
      </c>
      <c r="AO296" s="31" t="str">
        <f>IF(LEN(_DB_Exercises!BJ410)&gt;0,_DB_Exercises!BJ410,"")</f>
        <v/>
      </c>
      <c r="AP296" s="31" t="str">
        <f>IF(LEN(_DB_Exercises!BK410)&gt;0,_DB_Exercises!BK410,"")</f>
        <v/>
      </c>
      <c r="AQ296" s="31" t="str">
        <f>IF(LEN(_DB_Exercises!BL410)&gt;0,_DB_Exercises!BL410,"")</f>
        <v/>
      </c>
      <c r="AR296" s="31" t="str">
        <f>IF(LEN(_DB_Exercises!BM410)&gt;0,_DB_Exercises!BM410,"")</f>
        <v/>
      </c>
    </row>
    <row r="297" spans="1:44" x14ac:dyDescent="0.25">
      <c r="A297" s="11" t="str">
        <f>IF(LEN(_DB_Exercises!A411)&gt;0,_DB_Exercises!A411,"")</f>
        <v/>
      </c>
      <c r="B297" s="14" t="str">
        <f>IF(LEN(_DB_Exercises!K411)&gt;0,_DB_Exercises!K411,"")</f>
        <v/>
      </c>
      <c r="C297" s="31" t="str">
        <f>IF(LEN(_DB_Exercises!X411)&gt;0,_DB_Exercises!X411,"")</f>
        <v/>
      </c>
      <c r="D297" s="31" t="str">
        <f>IF(LEN(_DB_Exercises!Y411)&gt;0,_DB_Exercises!Y411,"")</f>
        <v/>
      </c>
      <c r="E297" s="31" t="str">
        <f>IF(LEN(_DB_Exercises!Z411)&gt;0,_DB_Exercises!Z411,"")</f>
        <v/>
      </c>
      <c r="F297" s="31" t="str">
        <f>IF(LEN(_DB_Exercises!AA411)&gt;0,_DB_Exercises!AA411,"")</f>
        <v/>
      </c>
      <c r="G297" s="31" t="str">
        <f>IF(LEN(_DB_Exercises!AB411)&gt;0,_DB_Exercises!AB411,"")</f>
        <v/>
      </c>
      <c r="H297" s="31" t="str">
        <f>IF(LEN(_DB_Exercises!AC411)&gt;0,_DB_Exercises!AC411,"")</f>
        <v/>
      </c>
      <c r="I297" s="31" t="str">
        <f>IF(LEN(_DB_Exercises!AD411)&gt;0,_DB_Exercises!AD411,"")</f>
        <v/>
      </c>
      <c r="J297" s="31" t="str">
        <f>IF(LEN(_DB_Exercises!AE411)&gt;0,_DB_Exercises!AE411,"")</f>
        <v/>
      </c>
      <c r="K297" s="31" t="str">
        <f>IF(LEN(_DB_Exercises!AF411)&gt;0,_DB_Exercises!AF411,"")</f>
        <v/>
      </c>
      <c r="L297" s="31" t="str">
        <f>IF(LEN(_DB_Exercises!AG411)&gt;0,_DB_Exercises!AG411,"")</f>
        <v/>
      </c>
      <c r="M297" s="31" t="str">
        <f>IF(LEN(_DB_Exercises!AH411)&gt;0,_DB_Exercises!AH411,"")</f>
        <v/>
      </c>
      <c r="N297" s="31" t="str">
        <f>IF(LEN(_DB_Exercises!AI411)&gt;0,_DB_Exercises!AI411,"")</f>
        <v/>
      </c>
      <c r="O297" s="31" t="str">
        <f>IF(LEN(_DB_Exercises!AJ411)&gt;0,_DB_Exercises!AJ411,"")</f>
        <v/>
      </c>
      <c r="P297" s="31" t="str">
        <f>IF(LEN(_DB_Exercises!AK411)&gt;0,_DB_Exercises!AK411,"")</f>
        <v/>
      </c>
      <c r="Q297" s="31" t="str">
        <f>IF(LEN(_DB_Exercises!AL411)&gt;0,_DB_Exercises!AL411,"")</f>
        <v/>
      </c>
      <c r="R297" s="31" t="str">
        <f>IF(LEN(_DB_Exercises!AM411)&gt;0,_DB_Exercises!AM411,"")</f>
        <v/>
      </c>
      <c r="S297" s="31" t="str">
        <f>IF(LEN(_DB_Exercises!AN411)&gt;0,_DB_Exercises!AN411,"")</f>
        <v/>
      </c>
      <c r="T297" s="31" t="str">
        <f>IF(LEN(_DB_Exercises!AO411)&gt;0,_DB_Exercises!AO411,"")</f>
        <v/>
      </c>
      <c r="U297" s="31" t="str">
        <f>IF(LEN(_DB_Exercises!AP411)&gt;0,_DB_Exercises!AP411,"")</f>
        <v/>
      </c>
      <c r="V297" s="31" t="str">
        <f>IF(LEN(_DB_Exercises!AQ411)&gt;0,_DB_Exercises!AQ411,"")</f>
        <v/>
      </c>
      <c r="W297" s="31" t="str">
        <f>IF(LEN(_DB_Exercises!AR411)&gt;0,_DB_Exercises!AR411,"")</f>
        <v/>
      </c>
      <c r="X297" s="31" t="str">
        <f>IF(LEN(_DB_Exercises!AS411)&gt;0,_DB_Exercises!AS411,"")</f>
        <v/>
      </c>
      <c r="Y297" s="31" t="str">
        <f>IF(LEN(_DB_Exercises!AT411)&gt;0,_DB_Exercises!AT411,"")</f>
        <v/>
      </c>
      <c r="Z297" s="31" t="str">
        <f>IF(LEN(_DB_Exercises!AU411)&gt;0,_DB_Exercises!AU411,"")</f>
        <v/>
      </c>
      <c r="AA297" s="31" t="str">
        <f>IF(LEN(_DB_Exercises!AV411)&gt;0,_DB_Exercises!AV411,"")</f>
        <v/>
      </c>
      <c r="AB297" s="31" t="str">
        <f>IF(LEN(_DB_Exercises!AW411)&gt;0,_DB_Exercises!AW411,"")</f>
        <v/>
      </c>
      <c r="AC297" s="31" t="str">
        <f>IF(LEN(_DB_Exercises!AX411)&gt;0,_DB_Exercises!AX411,"")</f>
        <v/>
      </c>
      <c r="AD297" s="31" t="str">
        <f>IF(LEN(_DB_Exercises!AY411)&gt;0,_DB_Exercises!AY411,"")</f>
        <v/>
      </c>
      <c r="AE297" s="31" t="str">
        <f>IF(LEN(_DB_Exercises!AZ411)&gt;0,_DB_Exercises!AZ411,"")</f>
        <v/>
      </c>
      <c r="AF297" s="31" t="str">
        <f>IF(LEN(_DB_Exercises!BA411)&gt;0,_DB_Exercises!BA411,"")</f>
        <v/>
      </c>
      <c r="AG297" s="31" t="str">
        <f>IF(LEN(_DB_Exercises!BB411)&gt;0,_DB_Exercises!BB411,"")</f>
        <v/>
      </c>
      <c r="AH297" s="31" t="str">
        <f>IF(LEN(_DB_Exercises!BC411)&gt;0,_DB_Exercises!BC411,"")</f>
        <v/>
      </c>
      <c r="AI297" s="31" t="str">
        <f>IF(LEN(_DB_Exercises!BD411)&gt;0,_DB_Exercises!BD411,"")</f>
        <v/>
      </c>
      <c r="AJ297" s="31" t="str">
        <f>IF(LEN(_DB_Exercises!BE411)&gt;0,_DB_Exercises!BE411,"")</f>
        <v/>
      </c>
      <c r="AK297" s="31" t="str">
        <f>IF(LEN(_DB_Exercises!BF411)&gt;0,_DB_Exercises!BF411,"")</f>
        <v/>
      </c>
      <c r="AL297" s="31" t="str">
        <f>IF(LEN(_DB_Exercises!BG411)&gt;0,_DB_Exercises!BG411,"")</f>
        <v/>
      </c>
      <c r="AM297" s="31" t="str">
        <f>IF(LEN(_DB_Exercises!BH411)&gt;0,_DB_Exercises!BH411,"")</f>
        <v/>
      </c>
      <c r="AN297" s="31" t="str">
        <f>IF(LEN(_DB_Exercises!BI411)&gt;0,_DB_Exercises!BI411,"")</f>
        <v/>
      </c>
      <c r="AO297" s="31" t="str">
        <f>IF(LEN(_DB_Exercises!BJ411)&gt;0,_DB_Exercises!BJ411,"")</f>
        <v/>
      </c>
      <c r="AP297" s="31" t="str">
        <f>IF(LEN(_DB_Exercises!BK411)&gt;0,_DB_Exercises!BK411,"")</f>
        <v/>
      </c>
      <c r="AQ297" s="31" t="str">
        <f>IF(LEN(_DB_Exercises!BL411)&gt;0,_DB_Exercises!BL411,"")</f>
        <v/>
      </c>
      <c r="AR297" s="31" t="str">
        <f>IF(LEN(_DB_Exercises!BM411)&gt;0,_DB_Exercises!BM411,"")</f>
        <v/>
      </c>
    </row>
    <row r="298" spans="1:44" x14ac:dyDescent="0.25">
      <c r="A298" s="11" t="str">
        <f>IF(LEN(_DB_Exercises!A412)&gt;0,_DB_Exercises!A412,"")</f>
        <v/>
      </c>
      <c r="B298" s="14" t="str">
        <f>IF(LEN(_DB_Exercises!K412)&gt;0,_DB_Exercises!K412,"")</f>
        <v/>
      </c>
      <c r="C298" s="31" t="str">
        <f>IF(LEN(_DB_Exercises!X412)&gt;0,_DB_Exercises!X412,"")</f>
        <v/>
      </c>
      <c r="D298" s="31" t="str">
        <f>IF(LEN(_DB_Exercises!Y412)&gt;0,_DB_Exercises!Y412,"")</f>
        <v/>
      </c>
      <c r="E298" s="31" t="str">
        <f>IF(LEN(_DB_Exercises!Z412)&gt;0,_DB_Exercises!Z412,"")</f>
        <v/>
      </c>
      <c r="F298" s="31" t="str">
        <f>IF(LEN(_DB_Exercises!AA412)&gt;0,_DB_Exercises!AA412,"")</f>
        <v/>
      </c>
      <c r="G298" s="31" t="str">
        <f>IF(LEN(_DB_Exercises!AB412)&gt;0,_DB_Exercises!AB412,"")</f>
        <v/>
      </c>
      <c r="H298" s="31" t="str">
        <f>IF(LEN(_DB_Exercises!AC412)&gt;0,_DB_Exercises!AC412,"")</f>
        <v/>
      </c>
      <c r="I298" s="31" t="str">
        <f>IF(LEN(_DB_Exercises!AD412)&gt;0,_DB_Exercises!AD412,"")</f>
        <v/>
      </c>
      <c r="J298" s="31" t="str">
        <f>IF(LEN(_DB_Exercises!AE412)&gt;0,_DB_Exercises!AE412,"")</f>
        <v/>
      </c>
      <c r="K298" s="31" t="str">
        <f>IF(LEN(_DB_Exercises!AF412)&gt;0,_DB_Exercises!AF412,"")</f>
        <v/>
      </c>
      <c r="L298" s="31" t="str">
        <f>IF(LEN(_DB_Exercises!AG412)&gt;0,_DB_Exercises!AG412,"")</f>
        <v/>
      </c>
      <c r="M298" s="31" t="str">
        <f>IF(LEN(_DB_Exercises!AH412)&gt;0,_DB_Exercises!AH412,"")</f>
        <v/>
      </c>
      <c r="N298" s="31" t="str">
        <f>IF(LEN(_DB_Exercises!AI412)&gt;0,_DB_Exercises!AI412,"")</f>
        <v/>
      </c>
      <c r="O298" s="31" t="str">
        <f>IF(LEN(_DB_Exercises!AJ412)&gt;0,_DB_Exercises!AJ412,"")</f>
        <v/>
      </c>
      <c r="P298" s="31" t="str">
        <f>IF(LEN(_DB_Exercises!AK412)&gt;0,_DB_Exercises!AK412,"")</f>
        <v/>
      </c>
      <c r="Q298" s="31" t="str">
        <f>IF(LEN(_DB_Exercises!AL412)&gt;0,_DB_Exercises!AL412,"")</f>
        <v/>
      </c>
      <c r="R298" s="31" t="str">
        <f>IF(LEN(_DB_Exercises!AM412)&gt;0,_DB_Exercises!AM412,"")</f>
        <v/>
      </c>
      <c r="S298" s="31" t="str">
        <f>IF(LEN(_DB_Exercises!AN412)&gt;0,_DB_Exercises!AN412,"")</f>
        <v/>
      </c>
      <c r="T298" s="31" t="str">
        <f>IF(LEN(_DB_Exercises!AO412)&gt;0,_DB_Exercises!AO412,"")</f>
        <v/>
      </c>
      <c r="U298" s="31" t="str">
        <f>IF(LEN(_DB_Exercises!AP412)&gt;0,_DB_Exercises!AP412,"")</f>
        <v/>
      </c>
      <c r="V298" s="31" t="str">
        <f>IF(LEN(_DB_Exercises!AQ412)&gt;0,_DB_Exercises!AQ412,"")</f>
        <v/>
      </c>
      <c r="W298" s="31" t="str">
        <f>IF(LEN(_DB_Exercises!AR412)&gt;0,_DB_Exercises!AR412,"")</f>
        <v/>
      </c>
      <c r="X298" s="31" t="str">
        <f>IF(LEN(_DB_Exercises!AS412)&gt;0,_DB_Exercises!AS412,"")</f>
        <v/>
      </c>
      <c r="Y298" s="31" t="str">
        <f>IF(LEN(_DB_Exercises!AT412)&gt;0,_DB_Exercises!AT412,"")</f>
        <v/>
      </c>
      <c r="Z298" s="31" t="str">
        <f>IF(LEN(_DB_Exercises!AU412)&gt;0,_DB_Exercises!AU412,"")</f>
        <v/>
      </c>
      <c r="AA298" s="31" t="str">
        <f>IF(LEN(_DB_Exercises!AV412)&gt;0,_DB_Exercises!AV412,"")</f>
        <v/>
      </c>
      <c r="AB298" s="31" t="str">
        <f>IF(LEN(_DB_Exercises!AW412)&gt;0,_DB_Exercises!AW412,"")</f>
        <v/>
      </c>
      <c r="AC298" s="31" t="str">
        <f>IF(LEN(_DB_Exercises!AX412)&gt;0,_DB_Exercises!AX412,"")</f>
        <v/>
      </c>
      <c r="AD298" s="31" t="str">
        <f>IF(LEN(_DB_Exercises!AY412)&gt;0,_DB_Exercises!AY412,"")</f>
        <v/>
      </c>
      <c r="AE298" s="31" t="str">
        <f>IF(LEN(_DB_Exercises!AZ412)&gt;0,_DB_Exercises!AZ412,"")</f>
        <v/>
      </c>
      <c r="AF298" s="31" t="str">
        <f>IF(LEN(_DB_Exercises!BA412)&gt;0,_DB_Exercises!BA412,"")</f>
        <v/>
      </c>
      <c r="AG298" s="31" t="str">
        <f>IF(LEN(_DB_Exercises!BB412)&gt;0,_DB_Exercises!BB412,"")</f>
        <v/>
      </c>
      <c r="AH298" s="31" t="str">
        <f>IF(LEN(_DB_Exercises!BC412)&gt;0,_DB_Exercises!BC412,"")</f>
        <v/>
      </c>
      <c r="AI298" s="31" t="str">
        <f>IF(LEN(_DB_Exercises!BD412)&gt;0,_DB_Exercises!BD412,"")</f>
        <v/>
      </c>
      <c r="AJ298" s="31" t="str">
        <f>IF(LEN(_DB_Exercises!BE412)&gt;0,_DB_Exercises!BE412,"")</f>
        <v/>
      </c>
      <c r="AK298" s="31" t="str">
        <f>IF(LEN(_DB_Exercises!BF412)&gt;0,_DB_Exercises!BF412,"")</f>
        <v/>
      </c>
      <c r="AL298" s="31" t="str">
        <f>IF(LEN(_DB_Exercises!BG412)&gt;0,_DB_Exercises!BG412,"")</f>
        <v/>
      </c>
      <c r="AM298" s="31" t="str">
        <f>IF(LEN(_DB_Exercises!BH412)&gt;0,_DB_Exercises!BH412,"")</f>
        <v/>
      </c>
      <c r="AN298" s="31" t="str">
        <f>IF(LEN(_DB_Exercises!BI412)&gt;0,_DB_Exercises!BI412,"")</f>
        <v/>
      </c>
      <c r="AO298" s="31" t="str">
        <f>IF(LEN(_DB_Exercises!BJ412)&gt;0,_DB_Exercises!BJ412,"")</f>
        <v/>
      </c>
      <c r="AP298" s="31" t="str">
        <f>IF(LEN(_DB_Exercises!BK412)&gt;0,_DB_Exercises!BK412,"")</f>
        <v/>
      </c>
      <c r="AQ298" s="31" t="str">
        <f>IF(LEN(_DB_Exercises!BL412)&gt;0,_DB_Exercises!BL412,"")</f>
        <v/>
      </c>
      <c r="AR298" s="31" t="str">
        <f>IF(LEN(_DB_Exercises!BM412)&gt;0,_DB_Exercises!BM412,"")</f>
        <v/>
      </c>
    </row>
    <row r="299" spans="1:44" x14ac:dyDescent="0.25">
      <c r="A299" s="11" t="str">
        <f>IF(LEN(_DB_Exercises!A413)&gt;0,_DB_Exercises!A413,"")</f>
        <v/>
      </c>
      <c r="B299" s="14" t="str">
        <f>IF(LEN(_DB_Exercises!K413)&gt;0,_DB_Exercises!K413,"")</f>
        <v/>
      </c>
      <c r="C299" s="31" t="str">
        <f>IF(LEN(_DB_Exercises!X413)&gt;0,_DB_Exercises!X413,"")</f>
        <v/>
      </c>
      <c r="D299" s="31" t="str">
        <f>IF(LEN(_DB_Exercises!Y413)&gt;0,_DB_Exercises!Y413,"")</f>
        <v/>
      </c>
      <c r="E299" s="31" t="str">
        <f>IF(LEN(_DB_Exercises!Z413)&gt;0,_DB_Exercises!Z413,"")</f>
        <v/>
      </c>
      <c r="F299" s="31" t="str">
        <f>IF(LEN(_DB_Exercises!AA413)&gt;0,_DB_Exercises!AA413,"")</f>
        <v/>
      </c>
      <c r="G299" s="31" t="str">
        <f>IF(LEN(_DB_Exercises!AB413)&gt;0,_DB_Exercises!AB413,"")</f>
        <v/>
      </c>
      <c r="H299" s="31" t="str">
        <f>IF(LEN(_DB_Exercises!AC413)&gt;0,_DB_Exercises!AC413,"")</f>
        <v/>
      </c>
      <c r="I299" s="31" t="str">
        <f>IF(LEN(_DB_Exercises!AD413)&gt;0,_DB_Exercises!AD413,"")</f>
        <v/>
      </c>
      <c r="J299" s="31" t="str">
        <f>IF(LEN(_DB_Exercises!AE413)&gt;0,_DB_Exercises!AE413,"")</f>
        <v/>
      </c>
      <c r="K299" s="31" t="str">
        <f>IF(LEN(_DB_Exercises!AF413)&gt;0,_DB_Exercises!AF413,"")</f>
        <v/>
      </c>
      <c r="L299" s="31" t="str">
        <f>IF(LEN(_DB_Exercises!AG413)&gt;0,_DB_Exercises!AG413,"")</f>
        <v/>
      </c>
      <c r="M299" s="31" t="str">
        <f>IF(LEN(_DB_Exercises!AH413)&gt;0,_DB_Exercises!AH413,"")</f>
        <v/>
      </c>
      <c r="N299" s="31" t="str">
        <f>IF(LEN(_DB_Exercises!AI413)&gt;0,_DB_Exercises!AI413,"")</f>
        <v/>
      </c>
      <c r="O299" s="31" t="str">
        <f>IF(LEN(_DB_Exercises!AJ413)&gt;0,_DB_Exercises!AJ413,"")</f>
        <v/>
      </c>
      <c r="P299" s="31" t="str">
        <f>IF(LEN(_DB_Exercises!AK413)&gt;0,_DB_Exercises!AK413,"")</f>
        <v/>
      </c>
      <c r="Q299" s="31" t="str">
        <f>IF(LEN(_DB_Exercises!AL413)&gt;0,_DB_Exercises!AL413,"")</f>
        <v/>
      </c>
      <c r="R299" s="31" t="str">
        <f>IF(LEN(_DB_Exercises!AM413)&gt;0,_DB_Exercises!AM413,"")</f>
        <v/>
      </c>
      <c r="S299" s="31" t="str">
        <f>IF(LEN(_DB_Exercises!AN413)&gt;0,_DB_Exercises!AN413,"")</f>
        <v/>
      </c>
      <c r="T299" s="31" t="str">
        <f>IF(LEN(_DB_Exercises!AO413)&gt;0,_DB_Exercises!AO413,"")</f>
        <v/>
      </c>
      <c r="U299" s="31" t="str">
        <f>IF(LEN(_DB_Exercises!AP413)&gt;0,_DB_Exercises!AP413,"")</f>
        <v/>
      </c>
      <c r="V299" s="31" t="str">
        <f>IF(LEN(_DB_Exercises!AQ413)&gt;0,_DB_Exercises!AQ413,"")</f>
        <v/>
      </c>
      <c r="W299" s="31" t="str">
        <f>IF(LEN(_DB_Exercises!AR413)&gt;0,_DB_Exercises!AR413,"")</f>
        <v/>
      </c>
      <c r="X299" s="31" t="str">
        <f>IF(LEN(_DB_Exercises!AS413)&gt;0,_DB_Exercises!AS413,"")</f>
        <v/>
      </c>
      <c r="Y299" s="31" t="str">
        <f>IF(LEN(_DB_Exercises!AT413)&gt;0,_DB_Exercises!AT413,"")</f>
        <v/>
      </c>
      <c r="Z299" s="31" t="str">
        <f>IF(LEN(_DB_Exercises!AU413)&gt;0,_DB_Exercises!AU413,"")</f>
        <v/>
      </c>
      <c r="AA299" s="31" t="str">
        <f>IF(LEN(_DB_Exercises!AV413)&gt;0,_DB_Exercises!AV413,"")</f>
        <v/>
      </c>
      <c r="AB299" s="31" t="str">
        <f>IF(LEN(_DB_Exercises!AW413)&gt;0,_DB_Exercises!AW413,"")</f>
        <v/>
      </c>
      <c r="AC299" s="31" t="str">
        <f>IF(LEN(_DB_Exercises!AX413)&gt;0,_DB_Exercises!AX413,"")</f>
        <v/>
      </c>
      <c r="AD299" s="31" t="str">
        <f>IF(LEN(_DB_Exercises!AY413)&gt;0,_DB_Exercises!AY413,"")</f>
        <v/>
      </c>
      <c r="AE299" s="31" t="str">
        <f>IF(LEN(_DB_Exercises!AZ413)&gt;0,_DB_Exercises!AZ413,"")</f>
        <v/>
      </c>
      <c r="AF299" s="31" t="str">
        <f>IF(LEN(_DB_Exercises!BA413)&gt;0,_DB_Exercises!BA413,"")</f>
        <v/>
      </c>
      <c r="AG299" s="31" t="str">
        <f>IF(LEN(_DB_Exercises!BB413)&gt;0,_DB_Exercises!BB413,"")</f>
        <v/>
      </c>
      <c r="AH299" s="31" t="str">
        <f>IF(LEN(_DB_Exercises!BC413)&gt;0,_DB_Exercises!BC413,"")</f>
        <v/>
      </c>
      <c r="AI299" s="31" t="str">
        <f>IF(LEN(_DB_Exercises!BD413)&gt;0,_DB_Exercises!BD413,"")</f>
        <v/>
      </c>
      <c r="AJ299" s="31" t="str">
        <f>IF(LEN(_DB_Exercises!BE413)&gt;0,_DB_Exercises!BE413,"")</f>
        <v/>
      </c>
      <c r="AK299" s="31" t="str">
        <f>IF(LEN(_DB_Exercises!BF413)&gt;0,_DB_Exercises!BF413,"")</f>
        <v/>
      </c>
      <c r="AL299" s="31" t="str">
        <f>IF(LEN(_DB_Exercises!BG413)&gt;0,_DB_Exercises!BG413,"")</f>
        <v/>
      </c>
      <c r="AM299" s="31" t="str">
        <f>IF(LEN(_DB_Exercises!BH413)&gt;0,_DB_Exercises!BH413,"")</f>
        <v/>
      </c>
      <c r="AN299" s="31" t="str">
        <f>IF(LEN(_DB_Exercises!BI413)&gt;0,_DB_Exercises!BI413,"")</f>
        <v/>
      </c>
      <c r="AO299" s="31" t="str">
        <f>IF(LEN(_DB_Exercises!BJ413)&gt;0,_DB_Exercises!BJ413,"")</f>
        <v/>
      </c>
      <c r="AP299" s="31" t="str">
        <f>IF(LEN(_DB_Exercises!BK413)&gt;0,_DB_Exercises!BK413,"")</f>
        <v/>
      </c>
      <c r="AQ299" s="31" t="str">
        <f>IF(LEN(_DB_Exercises!BL413)&gt;0,_DB_Exercises!BL413,"")</f>
        <v/>
      </c>
      <c r="AR299" s="31" t="str">
        <f>IF(LEN(_DB_Exercises!BM413)&gt;0,_DB_Exercises!BM413,"")</f>
        <v/>
      </c>
    </row>
    <row r="300" spans="1:44" x14ac:dyDescent="0.25">
      <c r="A300" s="11" t="str">
        <f>IF(LEN(_DB_Exercises!A414)&gt;0,_DB_Exercises!A414,"")</f>
        <v/>
      </c>
      <c r="B300" s="14" t="str">
        <f>IF(LEN(_DB_Exercises!K414)&gt;0,_DB_Exercises!K414,"")</f>
        <v/>
      </c>
      <c r="C300" s="31" t="str">
        <f>IF(LEN(_DB_Exercises!X414)&gt;0,_DB_Exercises!X414,"")</f>
        <v/>
      </c>
      <c r="D300" s="31" t="str">
        <f>IF(LEN(_DB_Exercises!Y414)&gt;0,_DB_Exercises!Y414,"")</f>
        <v/>
      </c>
      <c r="E300" s="31" t="str">
        <f>IF(LEN(_DB_Exercises!Z414)&gt;0,_DB_Exercises!Z414,"")</f>
        <v/>
      </c>
      <c r="F300" s="31" t="str">
        <f>IF(LEN(_DB_Exercises!AA414)&gt;0,_DB_Exercises!AA414,"")</f>
        <v/>
      </c>
      <c r="G300" s="31" t="str">
        <f>IF(LEN(_DB_Exercises!AB414)&gt;0,_DB_Exercises!AB414,"")</f>
        <v/>
      </c>
      <c r="H300" s="31" t="str">
        <f>IF(LEN(_DB_Exercises!AC414)&gt;0,_DB_Exercises!AC414,"")</f>
        <v/>
      </c>
      <c r="I300" s="31" t="str">
        <f>IF(LEN(_DB_Exercises!AD414)&gt;0,_DB_Exercises!AD414,"")</f>
        <v/>
      </c>
      <c r="J300" s="31" t="str">
        <f>IF(LEN(_DB_Exercises!AE414)&gt;0,_DB_Exercises!AE414,"")</f>
        <v/>
      </c>
      <c r="K300" s="31" t="str">
        <f>IF(LEN(_DB_Exercises!AF414)&gt;0,_DB_Exercises!AF414,"")</f>
        <v/>
      </c>
      <c r="L300" s="31" t="str">
        <f>IF(LEN(_DB_Exercises!AG414)&gt;0,_DB_Exercises!AG414,"")</f>
        <v/>
      </c>
      <c r="M300" s="31" t="str">
        <f>IF(LEN(_DB_Exercises!AH414)&gt;0,_DB_Exercises!AH414,"")</f>
        <v/>
      </c>
      <c r="N300" s="31" t="str">
        <f>IF(LEN(_DB_Exercises!AI414)&gt;0,_DB_Exercises!AI414,"")</f>
        <v/>
      </c>
      <c r="O300" s="31" t="str">
        <f>IF(LEN(_DB_Exercises!AJ414)&gt;0,_DB_Exercises!AJ414,"")</f>
        <v/>
      </c>
      <c r="P300" s="31" t="str">
        <f>IF(LEN(_DB_Exercises!AK414)&gt;0,_DB_Exercises!AK414,"")</f>
        <v/>
      </c>
      <c r="Q300" s="31" t="str">
        <f>IF(LEN(_DB_Exercises!AL414)&gt;0,_DB_Exercises!AL414,"")</f>
        <v/>
      </c>
      <c r="R300" s="31" t="str">
        <f>IF(LEN(_DB_Exercises!AM414)&gt;0,_DB_Exercises!AM414,"")</f>
        <v/>
      </c>
      <c r="S300" s="31" t="str">
        <f>IF(LEN(_DB_Exercises!AN414)&gt;0,_DB_Exercises!AN414,"")</f>
        <v/>
      </c>
      <c r="T300" s="31" t="str">
        <f>IF(LEN(_DB_Exercises!AO414)&gt;0,_DB_Exercises!AO414,"")</f>
        <v/>
      </c>
      <c r="U300" s="31" t="str">
        <f>IF(LEN(_DB_Exercises!AP414)&gt;0,_DB_Exercises!AP414,"")</f>
        <v/>
      </c>
      <c r="V300" s="31" t="str">
        <f>IF(LEN(_DB_Exercises!AQ414)&gt;0,_DB_Exercises!AQ414,"")</f>
        <v/>
      </c>
      <c r="W300" s="31" t="str">
        <f>IF(LEN(_DB_Exercises!AR414)&gt;0,_DB_Exercises!AR414,"")</f>
        <v/>
      </c>
      <c r="X300" s="31" t="str">
        <f>IF(LEN(_DB_Exercises!AS414)&gt;0,_DB_Exercises!AS414,"")</f>
        <v/>
      </c>
      <c r="Y300" s="31" t="str">
        <f>IF(LEN(_DB_Exercises!AT414)&gt;0,_DB_Exercises!AT414,"")</f>
        <v/>
      </c>
      <c r="Z300" s="31" t="str">
        <f>IF(LEN(_DB_Exercises!AU414)&gt;0,_DB_Exercises!AU414,"")</f>
        <v/>
      </c>
      <c r="AA300" s="31" t="str">
        <f>IF(LEN(_DB_Exercises!AV414)&gt;0,_DB_Exercises!AV414,"")</f>
        <v/>
      </c>
      <c r="AB300" s="31" t="str">
        <f>IF(LEN(_DB_Exercises!AW414)&gt;0,_DB_Exercises!AW414,"")</f>
        <v/>
      </c>
      <c r="AC300" s="31" t="str">
        <f>IF(LEN(_DB_Exercises!AX414)&gt;0,_DB_Exercises!AX414,"")</f>
        <v/>
      </c>
      <c r="AD300" s="31" t="str">
        <f>IF(LEN(_DB_Exercises!AY414)&gt;0,_DB_Exercises!AY414,"")</f>
        <v/>
      </c>
      <c r="AE300" s="31" t="str">
        <f>IF(LEN(_DB_Exercises!AZ414)&gt;0,_DB_Exercises!AZ414,"")</f>
        <v/>
      </c>
      <c r="AF300" s="31" t="str">
        <f>IF(LEN(_DB_Exercises!BA414)&gt;0,_DB_Exercises!BA414,"")</f>
        <v/>
      </c>
      <c r="AG300" s="31" t="str">
        <f>IF(LEN(_DB_Exercises!BB414)&gt;0,_DB_Exercises!BB414,"")</f>
        <v/>
      </c>
      <c r="AH300" s="31" t="str">
        <f>IF(LEN(_DB_Exercises!BC414)&gt;0,_DB_Exercises!BC414,"")</f>
        <v/>
      </c>
      <c r="AI300" s="31" t="str">
        <f>IF(LEN(_DB_Exercises!BD414)&gt;0,_DB_Exercises!BD414,"")</f>
        <v/>
      </c>
      <c r="AJ300" s="31" t="str">
        <f>IF(LEN(_DB_Exercises!BE414)&gt;0,_DB_Exercises!BE414,"")</f>
        <v/>
      </c>
      <c r="AK300" s="31" t="str">
        <f>IF(LEN(_DB_Exercises!BF414)&gt;0,_DB_Exercises!BF414,"")</f>
        <v/>
      </c>
      <c r="AL300" s="31" t="str">
        <f>IF(LEN(_DB_Exercises!BG414)&gt;0,_DB_Exercises!BG414,"")</f>
        <v/>
      </c>
      <c r="AM300" s="31" t="str">
        <f>IF(LEN(_DB_Exercises!BH414)&gt;0,_DB_Exercises!BH414,"")</f>
        <v/>
      </c>
      <c r="AN300" s="31" t="str">
        <f>IF(LEN(_DB_Exercises!BI414)&gt;0,_DB_Exercises!BI414,"")</f>
        <v/>
      </c>
      <c r="AO300" s="31" t="str">
        <f>IF(LEN(_DB_Exercises!BJ414)&gt;0,_DB_Exercises!BJ414,"")</f>
        <v/>
      </c>
      <c r="AP300" s="31" t="str">
        <f>IF(LEN(_DB_Exercises!BK414)&gt;0,_DB_Exercises!BK414,"")</f>
        <v/>
      </c>
      <c r="AQ300" s="31" t="str">
        <f>IF(LEN(_DB_Exercises!BL414)&gt;0,_DB_Exercises!BL414,"")</f>
        <v/>
      </c>
      <c r="AR300" s="31" t="str">
        <f>IF(LEN(_DB_Exercises!BM414)&gt;0,_DB_Exercises!BM414,"")</f>
        <v/>
      </c>
    </row>
    <row r="301" spans="1:44" x14ac:dyDescent="0.25">
      <c r="A301" s="11" t="str">
        <f>IF(LEN(_DB_Exercises!A415)&gt;0,_DB_Exercises!A415,"")</f>
        <v/>
      </c>
      <c r="B301" s="14" t="str">
        <f>IF(LEN(_DB_Exercises!K415)&gt;0,_DB_Exercises!K415,"")</f>
        <v/>
      </c>
      <c r="C301" s="31" t="str">
        <f>IF(LEN(_DB_Exercises!X415)&gt;0,_DB_Exercises!X415,"")</f>
        <v/>
      </c>
      <c r="D301" s="31" t="str">
        <f>IF(LEN(_DB_Exercises!Y415)&gt;0,_DB_Exercises!Y415,"")</f>
        <v/>
      </c>
      <c r="E301" s="31" t="str">
        <f>IF(LEN(_DB_Exercises!Z415)&gt;0,_DB_Exercises!Z415,"")</f>
        <v/>
      </c>
      <c r="F301" s="31" t="str">
        <f>IF(LEN(_DB_Exercises!AA415)&gt;0,_DB_Exercises!AA415,"")</f>
        <v/>
      </c>
      <c r="G301" s="31" t="str">
        <f>IF(LEN(_DB_Exercises!AB415)&gt;0,_DB_Exercises!AB415,"")</f>
        <v/>
      </c>
      <c r="H301" s="31" t="str">
        <f>IF(LEN(_DB_Exercises!AC415)&gt;0,_DB_Exercises!AC415,"")</f>
        <v/>
      </c>
      <c r="I301" s="31" t="str">
        <f>IF(LEN(_DB_Exercises!AD415)&gt;0,_DB_Exercises!AD415,"")</f>
        <v/>
      </c>
      <c r="J301" s="31" t="str">
        <f>IF(LEN(_DB_Exercises!AE415)&gt;0,_DB_Exercises!AE415,"")</f>
        <v/>
      </c>
      <c r="K301" s="31" t="str">
        <f>IF(LEN(_DB_Exercises!AF415)&gt;0,_DB_Exercises!AF415,"")</f>
        <v/>
      </c>
      <c r="L301" s="31" t="str">
        <f>IF(LEN(_DB_Exercises!AG415)&gt;0,_DB_Exercises!AG415,"")</f>
        <v/>
      </c>
      <c r="M301" s="31" t="str">
        <f>IF(LEN(_DB_Exercises!AH415)&gt;0,_DB_Exercises!AH415,"")</f>
        <v/>
      </c>
      <c r="N301" s="31" t="str">
        <f>IF(LEN(_DB_Exercises!AI415)&gt;0,_DB_Exercises!AI415,"")</f>
        <v/>
      </c>
      <c r="O301" s="31" t="str">
        <f>IF(LEN(_DB_Exercises!AJ415)&gt;0,_DB_Exercises!AJ415,"")</f>
        <v/>
      </c>
      <c r="P301" s="31" t="str">
        <f>IF(LEN(_DB_Exercises!AK415)&gt;0,_DB_Exercises!AK415,"")</f>
        <v/>
      </c>
      <c r="Q301" s="31" t="str">
        <f>IF(LEN(_DB_Exercises!AL415)&gt;0,_DB_Exercises!AL415,"")</f>
        <v/>
      </c>
      <c r="R301" s="31" t="str">
        <f>IF(LEN(_DB_Exercises!AM415)&gt;0,_DB_Exercises!AM415,"")</f>
        <v/>
      </c>
      <c r="S301" s="31" t="str">
        <f>IF(LEN(_DB_Exercises!AN415)&gt;0,_DB_Exercises!AN415,"")</f>
        <v/>
      </c>
      <c r="T301" s="31" t="str">
        <f>IF(LEN(_DB_Exercises!AO415)&gt;0,_DB_Exercises!AO415,"")</f>
        <v/>
      </c>
      <c r="U301" s="31" t="str">
        <f>IF(LEN(_DB_Exercises!AP415)&gt;0,_DB_Exercises!AP415,"")</f>
        <v/>
      </c>
      <c r="V301" s="31" t="str">
        <f>IF(LEN(_DB_Exercises!AQ415)&gt;0,_DB_Exercises!AQ415,"")</f>
        <v/>
      </c>
      <c r="W301" s="31" t="str">
        <f>IF(LEN(_DB_Exercises!AR415)&gt;0,_DB_Exercises!AR415,"")</f>
        <v/>
      </c>
      <c r="X301" s="31" t="str">
        <f>IF(LEN(_DB_Exercises!AS415)&gt;0,_DB_Exercises!AS415,"")</f>
        <v/>
      </c>
      <c r="Y301" s="31" t="str">
        <f>IF(LEN(_DB_Exercises!AT415)&gt;0,_DB_Exercises!AT415,"")</f>
        <v/>
      </c>
      <c r="Z301" s="31" t="str">
        <f>IF(LEN(_DB_Exercises!AU415)&gt;0,_DB_Exercises!AU415,"")</f>
        <v/>
      </c>
      <c r="AA301" s="31" t="str">
        <f>IF(LEN(_DB_Exercises!AV415)&gt;0,_DB_Exercises!AV415,"")</f>
        <v/>
      </c>
      <c r="AB301" s="31" t="str">
        <f>IF(LEN(_DB_Exercises!AW415)&gt;0,_DB_Exercises!AW415,"")</f>
        <v/>
      </c>
      <c r="AC301" s="31" t="str">
        <f>IF(LEN(_DB_Exercises!AX415)&gt;0,_DB_Exercises!AX415,"")</f>
        <v/>
      </c>
      <c r="AD301" s="31" t="str">
        <f>IF(LEN(_DB_Exercises!AY415)&gt;0,_DB_Exercises!AY415,"")</f>
        <v/>
      </c>
      <c r="AE301" s="31" t="str">
        <f>IF(LEN(_DB_Exercises!AZ415)&gt;0,_DB_Exercises!AZ415,"")</f>
        <v/>
      </c>
      <c r="AF301" s="31" t="str">
        <f>IF(LEN(_DB_Exercises!BA415)&gt;0,_DB_Exercises!BA415,"")</f>
        <v/>
      </c>
      <c r="AG301" s="31" t="str">
        <f>IF(LEN(_DB_Exercises!BB415)&gt;0,_DB_Exercises!BB415,"")</f>
        <v/>
      </c>
      <c r="AH301" s="31" t="str">
        <f>IF(LEN(_DB_Exercises!BC415)&gt;0,_DB_Exercises!BC415,"")</f>
        <v/>
      </c>
      <c r="AI301" s="31" t="str">
        <f>IF(LEN(_DB_Exercises!BD415)&gt;0,_DB_Exercises!BD415,"")</f>
        <v/>
      </c>
      <c r="AJ301" s="31" t="str">
        <f>IF(LEN(_DB_Exercises!BE415)&gt;0,_DB_Exercises!BE415,"")</f>
        <v/>
      </c>
      <c r="AK301" s="31" t="str">
        <f>IF(LEN(_DB_Exercises!BF415)&gt;0,_DB_Exercises!BF415,"")</f>
        <v/>
      </c>
      <c r="AL301" s="31" t="str">
        <f>IF(LEN(_DB_Exercises!BG415)&gt;0,_DB_Exercises!BG415,"")</f>
        <v/>
      </c>
      <c r="AM301" s="31" t="str">
        <f>IF(LEN(_DB_Exercises!BH415)&gt;0,_DB_Exercises!BH415,"")</f>
        <v/>
      </c>
      <c r="AN301" s="31" t="str">
        <f>IF(LEN(_DB_Exercises!BI415)&gt;0,_DB_Exercises!BI415,"")</f>
        <v/>
      </c>
      <c r="AO301" s="31" t="str">
        <f>IF(LEN(_DB_Exercises!BJ415)&gt;0,_DB_Exercises!BJ415,"")</f>
        <v/>
      </c>
      <c r="AP301" s="31" t="str">
        <f>IF(LEN(_DB_Exercises!BK415)&gt;0,_DB_Exercises!BK415,"")</f>
        <v/>
      </c>
      <c r="AQ301" s="31" t="str">
        <f>IF(LEN(_DB_Exercises!BL415)&gt;0,_DB_Exercises!BL415,"")</f>
        <v/>
      </c>
      <c r="AR301" s="31" t="str">
        <f>IF(LEN(_DB_Exercises!BM415)&gt;0,_DB_Exercises!BM415,"")</f>
        <v/>
      </c>
    </row>
    <row r="302" spans="1:44" x14ac:dyDescent="0.25">
      <c r="A302" s="11" t="str">
        <f>IF(LEN(_DB_Exercises!A416)&gt;0,_DB_Exercises!A416,"")</f>
        <v/>
      </c>
      <c r="B302" s="14" t="str">
        <f>IF(LEN(_DB_Exercises!K416)&gt;0,_DB_Exercises!K416,"")</f>
        <v/>
      </c>
      <c r="C302" s="31" t="str">
        <f>IF(LEN(_DB_Exercises!X416)&gt;0,_DB_Exercises!X416,"")</f>
        <v/>
      </c>
      <c r="D302" s="31" t="str">
        <f>IF(LEN(_DB_Exercises!Y416)&gt;0,_DB_Exercises!Y416,"")</f>
        <v/>
      </c>
      <c r="E302" s="31" t="str">
        <f>IF(LEN(_DB_Exercises!Z416)&gt;0,_DB_Exercises!Z416,"")</f>
        <v/>
      </c>
      <c r="F302" s="31" t="str">
        <f>IF(LEN(_DB_Exercises!AA416)&gt;0,_DB_Exercises!AA416,"")</f>
        <v/>
      </c>
      <c r="G302" s="31" t="str">
        <f>IF(LEN(_DB_Exercises!AB416)&gt;0,_DB_Exercises!AB416,"")</f>
        <v/>
      </c>
      <c r="H302" s="31" t="str">
        <f>IF(LEN(_DB_Exercises!AC416)&gt;0,_DB_Exercises!AC416,"")</f>
        <v/>
      </c>
      <c r="I302" s="31" t="str">
        <f>IF(LEN(_DB_Exercises!AD416)&gt;0,_DB_Exercises!AD416,"")</f>
        <v/>
      </c>
      <c r="J302" s="31" t="str">
        <f>IF(LEN(_DB_Exercises!AE416)&gt;0,_DB_Exercises!AE416,"")</f>
        <v/>
      </c>
      <c r="K302" s="31" t="str">
        <f>IF(LEN(_DB_Exercises!AF416)&gt;0,_DB_Exercises!AF416,"")</f>
        <v/>
      </c>
      <c r="L302" s="31" t="str">
        <f>IF(LEN(_DB_Exercises!AG416)&gt;0,_DB_Exercises!AG416,"")</f>
        <v/>
      </c>
      <c r="M302" s="31" t="str">
        <f>IF(LEN(_DB_Exercises!AH416)&gt;0,_DB_Exercises!AH416,"")</f>
        <v/>
      </c>
      <c r="N302" s="31" t="str">
        <f>IF(LEN(_DB_Exercises!AI416)&gt;0,_DB_Exercises!AI416,"")</f>
        <v/>
      </c>
      <c r="O302" s="31" t="str">
        <f>IF(LEN(_DB_Exercises!AJ416)&gt;0,_DB_Exercises!AJ416,"")</f>
        <v/>
      </c>
      <c r="P302" s="31" t="str">
        <f>IF(LEN(_DB_Exercises!AK416)&gt;0,_DB_Exercises!AK416,"")</f>
        <v/>
      </c>
      <c r="Q302" s="31" t="str">
        <f>IF(LEN(_DB_Exercises!AL416)&gt;0,_DB_Exercises!AL416,"")</f>
        <v/>
      </c>
      <c r="R302" s="31" t="str">
        <f>IF(LEN(_DB_Exercises!AM416)&gt;0,_DB_Exercises!AM416,"")</f>
        <v/>
      </c>
      <c r="S302" s="31" t="str">
        <f>IF(LEN(_DB_Exercises!AN416)&gt;0,_DB_Exercises!AN416,"")</f>
        <v/>
      </c>
      <c r="T302" s="31" t="str">
        <f>IF(LEN(_DB_Exercises!AO416)&gt;0,_DB_Exercises!AO416,"")</f>
        <v/>
      </c>
      <c r="U302" s="31" t="str">
        <f>IF(LEN(_DB_Exercises!AP416)&gt;0,_DB_Exercises!AP416,"")</f>
        <v/>
      </c>
      <c r="V302" s="31" t="str">
        <f>IF(LEN(_DB_Exercises!AQ416)&gt;0,_DB_Exercises!AQ416,"")</f>
        <v/>
      </c>
      <c r="W302" s="31" t="str">
        <f>IF(LEN(_DB_Exercises!AR416)&gt;0,_DB_Exercises!AR416,"")</f>
        <v/>
      </c>
      <c r="X302" s="31" t="str">
        <f>IF(LEN(_DB_Exercises!AS416)&gt;0,_DB_Exercises!AS416,"")</f>
        <v/>
      </c>
      <c r="Y302" s="31" t="str">
        <f>IF(LEN(_DB_Exercises!AT416)&gt;0,_DB_Exercises!AT416,"")</f>
        <v/>
      </c>
      <c r="Z302" s="31" t="str">
        <f>IF(LEN(_DB_Exercises!AU416)&gt;0,_DB_Exercises!AU416,"")</f>
        <v/>
      </c>
      <c r="AA302" s="31" t="str">
        <f>IF(LEN(_DB_Exercises!AV416)&gt;0,_DB_Exercises!AV416,"")</f>
        <v/>
      </c>
      <c r="AB302" s="31" t="str">
        <f>IF(LEN(_DB_Exercises!AW416)&gt;0,_DB_Exercises!AW416,"")</f>
        <v/>
      </c>
      <c r="AC302" s="31" t="str">
        <f>IF(LEN(_DB_Exercises!AX416)&gt;0,_DB_Exercises!AX416,"")</f>
        <v/>
      </c>
      <c r="AD302" s="31" t="str">
        <f>IF(LEN(_DB_Exercises!AY416)&gt;0,_DB_Exercises!AY416,"")</f>
        <v/>
      </c>
      <c r="AE302" s="31" t="str">
        <f>IF(LEN(_DB_Exercises!AZ416)&gt;0,_DB_Exercises!AZ416,"")</f>
        <v/>
      </c>
      <c r="AF302" s="31" t="str">
        <f>IF(LEN(_DB_Exercises!BA416)&gt;0,_DB_Exercises!BA416,"")</f>
        <v/>
      </c>
      <c r="AG302" s="31" t="str">
        <f>IF(LEN(_DB_Exercises!BB416)&gt;0,_DB_Exercises!BB416,"")</f>
        <v/>
      </c>
      <c r="AH302" s="31" t="str">
        <f>IF(LEN(_DB_Exercises!BC416)&gt;0,_DB_Exercises!BC416,"")</f>
        <v/>
      </c>
      <c r="AI302" s="31" t="str">
        <f>IF(LEN(_DB_Exercises!BD416)&gt;0,_DB_Exercises!BD416,"")</f>
        <v/>
      </c>
      <c r="AJ302" s="31" t="str">
        <f>IF(LEN(_DB_Exercises!BE416)&gt;0,_DB_Exercises!BE416,"")</f>
        <v/>
      </c>
      <c r="AK302" s="31" t="str">
        <f>IF(LEN(_DB_Exercises!BF416)&gt;0,_DB_Exercises!BF416,"")</f>
        <v/>
      </c>
      <c r="AL302" s="31" t="str">
        <f>IF(LEN(_DB_Exercises!BG416)&gt;0,_DB_Exercises!BG416,"")</f>
        <v/>
      </c>
      <c r="AM302" s="31" t="str">
        <f>IF(LEN(_DB_Exercises!BH416)&gt;0,_DB_Exercises!BH416,"")</f>
        <v/>
      </c>
      <c r="AN302" s="31" t="str">
        <f>IF(LEN(_DB_Exercises!BI416)&gt;0,_DB_Exercises!BI416,"")</f>
        <v/>
      </c>
      <c r="AO302" s="31" t="str">
        <f>IF(LEN(_DB_Exercises!BJ416)&gt;0,_DB_Exercises!BJ416,"")</f>
        <v/>
      </c>
      <c r="AP302" s="31" t="str">
        <f>IF(LEN(_DB_Exercises!BK416)&gt;0,_DB_Exercises!BK416,"")</f>
        <v/>
      </c>
      <c r="AQ302" s="31" t="str">
        <f>IF(LEN(_DB_Exercises!BL416)&gt;0,_DB_Exercises!BL416,"")</f>
        <v/>
      </c>
      <c r="AR302" s="31" t="str">
        <f>IF(LEN(_DB_Exercises!BM416)&gt;0,_DB_Exercises!BM416,"")</f>
        <v/>
      </c>
    </row>
    <row r="303" spans="1:44" x14ac:dyDescent="0.25">
      <c r="A303" s="11" t="str">
        <f>IF(LEN(_DB_Exercises!A417)&gt;0,_DB_Exercises!A417,"")</f>
        <v/>
      </c>
      <c r="B303" s="14" t="str">
        <f>IF(LEN(_DB_Exercises!K417)&gt;0,_DB_Exercises!K417,"")</f>
        <v/>
      </c>
      <c r="C303" s="31" t="str">
        <f>IF(LEN(_DB_Exercises!X417)&gt;0,_DB_Exercises!X417,"")</f>
        <v/>
      </c>
      <c r="D303" s="31" t="str">
        <f>IF(LEN(_DB_Exercises!Y417)&gt;0,_DB_Exercises!Y417,"")</f>
        <v/>
      </c>
      <c r="E303" s="31" t="str">
        <f>IF(LEN(_DB_Exercises!Z417)&gt;0,_DB_Exercises!Z417,"")</f>
        <v/>
      </c>
      <c r="F303" s="31" t="str">
        <f>IF(LEN(_DB_Exercises!AA417)&gt;0,_DB_Exercises!AA417,"")</f>
        <v/>
      </c>
      <c r="G303" s="31" t="str">
        <f>IF(LEN(_DB_Exercises!AB417)&gt;0,_DB_Exercises!AB417,"")</f>
        <v/>
      </c>
      <c r="H303" s="31" t="str">
        <f>IF(LEN(_DB_Exercises!AC417)&gt;0,_DB_Exercises!AC417,"")</f>
        <v/>
      </c>
      <c r="I303" s="31" t="str">
        <f>IF(LEN(_DB_Exercises!AD417)&gt;0,_DB_Exercises!AD417,"")</f>
        <v/>
      </c>
      <c r="J303" s="31" t="str">
        <f>IF(LEN(_DB_Exercises!AE417)&gt;0,_DB_Exercises!AE417,"")</f>
        <v/>
      </c>
      <c r="K303" s="31" t="str">
        <f>IF(LEN(_DB_Exercises!AF417)&gt;0,_DB_Exercises!AF417,"")</f>
        <v/>
      </c>
      <c r="L303" s="31" t="str">
        <f>IF(LEN(_DB_Exercises!AG417)&gt;0,_DB_Exercises!AG417,"")</f>
        <v/>
      </c>
      <c r="M303" s="31" t="str">
        <f>IF(LEN(_DB_Exercises!AH417)&gt;0,_DB_Exercises!AH417,"")</f>
        <v/>
      </c>
      <c r="N303" s="31" t="str">
        <f>IF(LEN(_DB_Exercises!AI417)&gt;0,_DB_Exercises!AI417,"")</f>
        <v/>
      </c>
      <c r="O303" s="31" t="str">
        <f>IF(LEN(_DB_Exercises!AJ417)&gt;0,_DB_Exercises!AJ417,"")</f>
        <v/>
      </c>
      <c r="P303" s="31" t="str">
        <f>IF(LEN(_DB_Exercises!AK417)&gt;0,_DB_Exercises!AK417,"")</f>
        <v/>
      </c>
      <c r="Q303" s="31" t="str">
        <f>IF(LEN(_DB_Exercises!AL417)&gt;0,_DB_Exercises!AL417,"")</f>
        <v/>
      </c>
      <c r="R303" s="31" t="str">
        <f>IF(LEN(_DB_Exercises!AM417)&gt;0,_DB_Exercises!AM417,"")</f>
        <v/>
      </c>
      <c r="S303" s="31" t="str">
        <f>IF(LEN(_DB_Exercises!AN417)&gt;0,_DB_Exercises!AN417,"")</f>
        <v/>
      </c>
      <c r="T303" s="31" t="str">
        <f>IF(LEN(_DB_Exercises!AO417)&gt;0,_DB_Exercises!AO417,"")</f>
        <v/>
      </c>
      <c r="U303" s="31" t="str">
        <f>IF(LEN(_DB_Exercises!AP417)&gt;0,_DB_Exercises!AP417,"")</f>
        <v/>
      </c>
      <c r="V303" s="31" t="str">
        <f>IF(LEN(_DB_Exercises!AQ417)&gt;0,_DB_Exercises!AQ417,"")</f>
        <v/>
      </c>
      <c r="W303" s="31" t="str">
        <f>IF(LEN(_DB_Exercises!AR417)&gt;0,_DB_Exercises!AR417,"")</f>
        <v/>
      </c>
      <c r="X303" s="31" t="str">
        <f>IF(LEN(_DB_Exercises!AS417)&gt;0,_DB_Exercises!AS417,"")</f>
        <v/>
      </c>
      <c r="Y303" s="31" t="str">
        <f>IF(LEN(_DB_Exercises!AT417)&gt;0,_DB_Exercises!AT417,"")</f>
        <v/>
      </c>
      <c r="Z303" s="31" t="str">
        <f>IF(LEN(_DB_Exercises!AU417)&gt;0,_DB_Exercises!AU417,"")</f>
        <v/>
      </c>
      <c r="AA303" s="31" t="str">
        <f>IF(LEN(_DB_Exercises!AV417)&gt;0,_DB_Exercises!AV417,"")</f>
        <v/>
      </c>
      <c r="AB303" s="31" t="str">
        <f>IF(LEN(_DB_Exercises!AW417)&gt;0,_DB_Exercises!AW417,"")</f>
        <v/>
      </c>
      <c r="AC303" s="31" t="str">
        <f>IF(LEN(_DB_Exercises!AX417)&gt;0,_DB_Exercises!AX417,"")</f>
        <v/>
      </c>
      <c r="AD303" s="31" t="str">
        <f>IF(LEN(_DB_Exercises!AY417)&gt;0,_DB_Exercises!AY417,"")</f>
        <v/>
      </c>
      <c r="AE303" s="31" t="str">
        <f>IF(LEN(_DB_Exercises!AZ417)&gt;0,_DB_Exercises!AZ417,"")</f>
        <v/>
      </c>
      <c r="AF303" s="31" t="str">
        <f>IF(LEN(_DB_Exercises!BA417)&gt;0,_DB_Exercises!BA417,"")</f>
        <v/>
      </c>
      <c r="AG303" s="31" t="str">
        <f>IF(LEN(_DB_Exercises!BB417)&gt;0,_DB_Exercises!BB417,"")</f>
        <v/>
      </c>
      <c r="AH303" s="31" t="str">
        <f>IF(LEN(_DB_Exercises!BC417)&gt;0,_DB_Exercises!BC417,"")</f>
        <v/>
      </c>
      <c r="AI303" s="31" t="str">
        <f>IF(LEN(_DB_Exercises!BD417)&gt;0,_DB_Exercises!BD417,"")</f>
        <v/>
      </c>
      <c r="AJ303" s="31" t="str">
        <f>IF(LEN(_DB_Exercises!BE417)&gt;0,_DB_Exercises!BE417,"")</f>
        <v/>
      </c>
      <c r="AK303" s="31" t="str">
        <f>IF(LEN(_DB_Exercises!BF417)&gt;0,_DB_Exercises!BF417,"")</f>
        <v/>
      </c>
      <c r="AL303" s="31" t="str">
        <f>IF(LEN(_DB_Exercises!BG417)&gt;0,_DB_Exercises!BG417,"")</f>
        <v/>
      </c>
      <c r="AM303" s="31" t="str">
        <f>IF(LEN(_DB_Exercises!BH417)&gt;0,_DB_Exercises!BH417,"")</f>
        <v/>
      </c>
      <c r="AN303" s="31" t="str">
        <f>IF(LEN(_DB_Exercises!BI417)&gt;0,_DB_Exercises!BI417,"")</f>
        <v/>
      </c>
      <c r="AO303" s="31" t="str">
        <f>IF(LEN(_DB_Exercises!BJ417)&gt;0,_DB_Exercises!BJ417,"")</f>
        <v/>
      </c>
      <c r="AP303" s="31" t="str">
        <f>IF(LEN(_DB_Exercises!BK417)&gt;0,_DB_Exercises!BK417,"")</f>
        <v/>
      </c>
      <c r="AQ303" s="31" t="str">
        <f>IF(LEN(_DB_Exercises!BL417)&gt;0,_DB_Exercises!BL417,"")</f>
        <v/>
      </c>
      <c r="AR303" s="31" t="str">
        <f>IF(LEN(_DB_Exercises!BM417)&gt;0,_DB_Exercises!BM417,"")</f>
        <v/>
      </c>
    </row>
    <row r="304" spans="1:44" x14ac:dyDescent="0.25">
      <c r="A304" s="11" t="str">
        <f>IF(LEN(_DB_Exercises!A418)&gt;0,_DB_Exercises!A418,"")</f>
        <v/>
      </c>
      <c r="B304" s="14" t="str">
        <f>IF(LEN(_DB_Exercises!K418)&gt;0,_DB_Exercises!K418,"")</f>
        <v/>
      </c>
      <c r="C304" s="31" t="str">
        <f>IF(LEN(_DB_Exercises!X418)&gt;0,_DB_Exercises!X418,"")</f>
        <v/>
      </c>
      <c r="D304" s="31" t="str">
        <f>IF(LEN(_DB_Exercises!Y418)&gt;0,_DB_Exercises!Y418,"")</f>
        <v/>
      </c>
      <c r="E304" s="31" t="str">
        <f>IF(LEN(_DB_Exercises!Z418)&gt;0,_DB_Exercises!Z418,"")</f>
        <v/>
      </c>
      <c r="F304" s="31" t="str">
        <f>IF(LEN(_DB_Exercises!AA418)&gt;0,_DB_Exercises!AA418,"")</f>
        <v/>
      </c>
      <c r="G304" s="31" t="str">
        <f>IF(LEN(_DB_Exercises!AB418)&gt;0,_DB_Exercises!AB418,"")</f>
        <v/>
      </c>
      <c r="H304" s="31" t="str">
        <f>IF(LEN(_DB_Exercises!AC418)&gt;0,_DB_Exercises!AC418,"")</f>
        <v/>
      </c>
      <c r="I304" s="31" t="str">
        <f>IF(LEN(_DB_Exercises!AD418)&gt;0,_DB_Exercises!AD418,"")</f>
        <v/>
      </c>
      <c r="J304" s="31" t="str">
        <f>IF(LEN(_DB_Exercises!AE418)&gt;0,_DB_Exercises!AE418,"")</f>
        <v/>
      </c>
      <c r="K304" s="31" t="str">
        <f>IF(LEN(_DB_Exercises!AF418)&gt;0,_DB_Exercises!AF418,"")</f>
        <v/>
      </c>
      <c r="L304" s="31" t="str">
        <f>IF(LEN(_DB_Exercises!AG418)&gt;0,_DB_Exercises!AG418,"")</f>
        <v/>
      </c>
      <c r="M304" s="31" t="str">
        <f>IF(LEN(_DB_Exercises!AH418)&gt;0,_DB_Exercises!AH418,"")</f>
        <v/>
      </c>
      <c r="N304" s="31" t="str">
        <f>IF(LEN(_DB_Exercises!AI418)&gt;0,_DB_Exercises!AI418,"")</f>
        <v/>
      </c>
      <c r="O304" s="31" t="str">
        <f>IF(LEN(_DB_Exercises!AJ418)&gt;0,_DB_Exercises!AJ418,"")</f>
        <v/>
      </c>
      <c r="P304" s="31" t="str">
        <f>IF(LEN(_DB_Exercises!AK418)&gt;0,_DB_Exercises!AK418,"")</f>
        <v/>
      </c>
      <c r="Q304" s="31" t="str">
        <f>IF(LEN(_DB_Exercises!AL418)&gt;0,_DB_Exercises!AL418,"")</f>
        <v/>
      </c>
      <c r="R304" s="31" t="str">
        <f>IF(LEN(_DB_Exercises!AM418)&gt;0,_DB_Exercises!AM418,"")</f>
        <v/>
      </c>
      <c r="S304" s="31" t="str">
        <f>IF(LEN(_DB_Exercises!AN418)&gt;0,_DB_Exercises!AN418,"")</f>
        <v/>
      </c>
      <c r="T304" s="31" t="str">
        <f>IF(LEN(_DB_Exercises!AO418)&gt;0,_DB_Exercises!AO418,"")</f>
        <v/>
      </c>
      <c r="U304" s="31" t="str">
        <f>IF(LEN(_DB_Exercises!AP418)&gt;0,_DB_Exercises!AP418,"")</f>
        <v/>
      </c>
      <c r="V304" s="31" t="str">
        <f>IF(LEN(_DB_Exercises!AQ418)&gt;0,_DB_Exercises!AQ418,"")</f>
        <v/>
      </c>
      <c r="W304" s="31" t="str">
        <f>IF(LEN(_DB_Exercises!AR418)&gt;0,_DB_Exercises!AR418,"")</f>
        <v/>
      </c>
      <c r="X304" s="31" t="str">
        <f>IF(LEN(_DB_Exercises!AS418)&gt;0,_DB_Exercises!AS418,"")</f>
        <v/>
      </c>
      <c r="Y304" s="31" t="str">
        <f>IF(LEN(_DB_Exercises!AT418)&gt;0,_DB_Exercises!AT418,"")</f>
        <v/>
      </c>
      <c r="Z304" s="31" t="str">
        <f>IF(LEN(_DB_Exercises!AU418)&gt;0,_DB_Exercises!AU418,"")</f>
        <v/>
      </c>
      <c r="AA304" s="31" t="str">
        <f>IF(LEN(_DB_Exercises!AV418)&gt;0,_DB_Exercises!AV418,"")</f>
        <v/>
      </c>
      <c r="AB304" s="31" t="str">
        <f>IF(LEN(_DB_Exercises!AW418)&gt;0,_DB_Exercises!AW418,"")</f>
        <v/>
      </c>
      <c r="AC304" s="31" t="str">
        <f>IF(LEN(_DB_Exercises!AX418)&gt;0,_DB_Exercises!AX418,"")</f>
        <v/>
      </c>
      <c r="AD304" s="31" t="str">
        <f>IF(LEN(_DB_Exercises!AY418)&gt;0,_DB_Exercises!AY418,"")</f>
        <v/>
      </c>
      <c r="AE304" s="31" t="str">
        <f>IF(LEN(_DB_Exercises!AZ418)&gt;0,_DB_Exercises!AZ418,"")</f>
        <v/>
      </c>
      <c r="AF304" s="31" t="str">
        <f>IF(LEN(_DB_Exercises!BA418)&gt;0,_DB_Exercises!BA418,"")</f>
        <v/>
      </c>
      <c r="AG304" s="31" t="str">
        <f>IF(LEN(_DB_Exercises!BB418)&gt;0,_DB_Exercises!BB418,"")</f>
        <v/>
      </c>
      <c r="AH304" s="31" t="str">
        <f>IF(LEN(_DB_Exercises!BC418)&gt;0,_DB_Exercises!BC418,"")</f>
        <v/>
      </c>
      <c r="AI304" s="31" t="str">
        <f>IF(LEN(_DB_Exercises!BD418)&gt;0,_DB_Exercises!BD418,"")</f>
        <v/>
      </c>
      <c r="AJ304" s="31" t="str">
        <f>IF(LEN(_DB_Exercises!BE418)&gt;0,_DB_Exercises!BE418,"")</f>
        <v/>
      </c>
      <c r="AK304" s="31" t="str">
        <f>IF(LEN(_DB_Exercises!BF418)&gt;0,_DB_Exercises!BF418,"")</f>
        <v/>
      </c>
      <c r="AL304" s="31" t="str">
        <f>IF(LEN(_DB_Exercises!BG418)&gt;0,_DB_Exercises!BG418,"")</f>
        <v/>
      </c>
      <c r="AM304" s="31" t="str">
        <f>IF(LEN(_DB_Exercises!BH418)&gt;0,_DB_Exercises!BH418,"")</f>
        <v/>
      </c>
      <c r="AN304" s="31" t="str">
        <f>IF(LEN(_DB_Exercises!BI418)&gt;0,_DB_Exercises!BI418,"")</f>
        <v/>
      </c>
      <c r="AO304" s="31" t="str">
        <f>IF(LEN(_DB_Exercises!BJ418)&gt;0,_DB_Exercises!BJ418,"")</f>
        <v/>
      </c>
      <c r="AP304" s="31" t="str">
        <f>IF(LEN(_DB_Exercises!BK418)&gt;0,_DB_Exercises!BK418,"")</f>
        <v/>
      </c>
      <c r="AQ304" s="31" t="str">
        <f>IF(LEN(_DB_Exercises!BL418)&gt;0,_DB_Exercises!BL418,"")</f>
        <v/>
      </c>
      <c r="AR304" s="31" t="str">
        <f>IF(LEN(_DB_Exercises!BM418)&gt;0,_DB_Exercises!BM418,"")</f>
        <v/>
      </c>
    </row>
    <row r="305" spans="1:44" x14ac:dyDescent="0.25">
      <c r="A305" s="11" t="str">
        <f>IF(LEN(_DB_Exercises!A419)&gt;0,_DB_Exercises!A419,"")</f>
        <v/>
      </c>
      <c r="B305" s="14" t="str">
        <f>IF(LEN(_DB_Exercises!K419)&gt;0,_DB_Exercises!K419,"")</f>
        <v/>
      </c>
      <c r="C305" s="31" t="str">
        <f>IF(LEN(_DB_Exercises!X419)&gt;0,_DB_Exercises!X419,"")</f>
        <v/>
      </c>
      <c r="D305" s="31" t="str">
        <f>IF(LEN(_DB_Exercises!Y419)&gt;0,_DB_Exercises!Y419,"")</f>
        <v/>
      </c>
      <c r="E305" s="31" t="str">
        <f>IF(LEN(_DB_Exercises!Z419)&gt;0,_DB_Exercises!Z419,"")</f>
        <v/>
      </c>
      <c r="F305" s="31" t="str">
        <f>IF(LEN(_DB_Exercises!AA419)&gt;0,_DB_Exercises!AA419,"")</f>
        <v/>
      </c>
      <c r="G305" s="31" t="str">
        <f>IF(LEN(_DB_Exercises!AB419)&gt;0,_DB_Exercises!AB419,"")</f>
        <v/>
      </c>
      <c r="H305" s="31" t="str">
        <f>IF(LEN(_DB_Exercises!AC419)&gt;0,_DB_Exercises!AC419,"")</f>
        <v/>
      </c>
      <c r="I305" s="31" t="str">
        <f>IF(LEN(_DB_Exercises!AD419)&gt;0,_DB_Exercises!AD419,"")</f>
        <v/>
      </c>
      <c r="J305" s="31" t="str">
        <f>IF(LEN(_DB_Exercises!AE419)&gt;0,_DB_Exercises!AE419,"")</f>
        <v/>
      </c>
      <c r="K305" s="31" t="str">
        <f>IF(LEN(_DB_Exercises!AF419)&gt;0,_DB_Exercises!AF419,"")</f>
        <v/>
      </c>
      <c r="L305" s="31" t="str">
        <f>IF(LEN(_DB_Exercises!AG419)&gt;0,_DB_Exercises!AG419,"")</f>
        <v/>
      </c>
      <c r="M305" s="31" t="str">
        <f>IF(LEN(_DB_Exercises!AH419)&gt;0,_DB_Exercises!AH419,"")</f>
        <v/>
      </c>
      <c r="N305" s="31" t="str">
        <f>IF(LEN(_DB_Exercises!AI419)&gt;0,_DB_Exercises!AI419,"")</f>
        <v/>
      </c>
      <c r="O305" s="31" t="str">
        <f>IF(LEN(_DB_Exercises!AJ419)&gt;0,_DB_Exercises!AJ419,"")</f>
        <v/>
      </c>
      <c r="P305" s="31" t="str">
        <f>IF(LEN(_DB_Exercises!AK419)&gt;0,_DB_Exercises!AK419,"")</f>
        <v/>
      </c>
      <c r="Q305" s="31" t="str">
        <f>IF(LEN(_DB_Exercises!AL419)&gt;0,_DB_Exercises!AL419,"")</f>
        <v/>
      </c>
      <c r="R305" s="31" t="str">
        <f>IF(LEN(_DB_Exercises!AM419)&gt;0,_DB_Exercises!AM419,"")</f>
        <v/>
      </c>
      <c r="S305" s="31" t="str">
        <f>IF(LEN(_DB_Exercises!AN419)&gt;0,_DB_Exercises!AN419,"")</f>
        <v/>
      </c>
      <c r="T305" s="31" t="str">
        <f>IF(LEN(_DB_Exercises!AO419)&gt;0,_DB_Exercises!AO419,"")</f>
        <v/>
      </c>
      <c r="U305" s="31" t="str">
        <f>IF(LEN(_DB_Exercises!AP419)&gt;0,_DB_Exercises!AP419,"")</f>
        <v/>
      </c>
      <c r="V305" s="31" t="str">
        <f>IF(LEN(_DB_Exercises!AQ419)&gt;0,_DB_Exercises!AQ419,"")</f>
        <v/>
      </c>
      <c r="W305" s="31" t="str">
        <f>IF(LEN(_DB_Exercises!AR419)&gt;0,_DB_Exercises!AR419,"")</f>
        <v/>
      </c>
      <c r="X305" s="31" t="str">
        <f>IF(LEN(_DB_Exercises!AS419)&gt;0,_DB_Exercises!AS419,"")</f>
        <v/>
      </c>
      <c r="Y305" s="31" t="str">
        <f>IF(LEN(_DB_Exercises!AT419)&gt;0,_DB_Exercises!AT419,"")</f>
        <v/>
      </c>
      <c r="Z305" s="31" t="str">
        <f>IF(LEN(_DB_Exercises!AU419)&gt;0,_DB_Exercises!AU419,"")</f>
        <v/>
      </c>
      <c r="AA305" s="31" t="str">
        <f>IF(LEN(_DB_Exercises!AV419)&gt;0,_DB_Exercises!AV419,"")</f>
        <v/>
      </c>
      <c r="AB305" s="31" t="str">
        <f>IF(LEN(_DB_Exercises!AW419)&gt;0,_DB_Exercises!AW419,"")</f>
        <v/>
      </c>
      <c r="AC305" s="31" t="str">
        <f>IF(LEN(_DB_Exercises!AX419)&gt;0,_DB_Exercises!AX419,"")</f>
        <v/>
      </c>
      <c r="AD305" s="31" t="str">
        <f>IF(LEN(_DB_Exercises!AY419)&gt;0,_DB_Exercises!AY419,"")</f>
        <v/>
      </c>
      <c r="AE305" s="31" t="str">
        <f>IF(LEN(_DB_Exercises!AZ419)&gt;0,_DB_Exercises!AZ419,"")</f>
        <v/>
      </c>
      <c r="AF305" s="31" t="str">
        <f>IF(LEN(_DB_Exercises!BA419)&gt;0,_DB_Exercises!BA419,"")</f>
        <v/>
      </c>
      <c r="AG305" s="31" t="str">
        <f>IF(LEN(_DB_Exercises!BB419)&gt;0,_DB_Exercises!BB419,"")</f>
        <v/>
      </c>
      <c r="AH305" s="31" t="str">
        <f>IF(LEN(_DB_Exercises!BC419)&gt;0,_DB_Exercises!BC419,"")</f>
        <v/>
      </c>
      <c r="AI305" s="31" t="str">
        <f>IF(LEN(_DB_Exercises!BD419)&gt;0,_DB_Exercises!BD419,"")</f>
        <v/>
      </c>
      <c r="AJ305" s="31" t="str">
        <f>IF(LEN(_DB_Exercises!BE419)&gt;0,_DB_Exercises!BE419,"")</f>
        <v/>
      </c>
      <c r="AK305" s="31" t="str">
        <f>IF(LEN(_DB_Exercises!BF419)&gt;0,_DB_Exercises!BF419,"")</f>
        <v/>
      </c>
      <c r="AL305" s="31" t="str">
        <f>IF(LEN(_DB_Exercises!BG419)&gt;0,_DB_Exercises!BG419,"")</f>
        <v/>
      </c>
      <c r="AM305" s="31" t="str">
        <f>IF(LEN(_DB_Exercises!BH419)&gt;0,_DB_Exercises!BH419,"")</f>
        <v/>
      </c>
      <c r="AN305" s="31" t="str">
        <f>IF(LEN(_DB_Exercises!BI419)&gt;0,_DB_Exercises!BI419,"")</f>
        <v/>
      </c>
      <c r="AO305" s="31" t="str">
        <f>IF(LEN(_DB_Exercises!BJ419)&gt;0,_DB_Exercises!BJ419,"")</f>
        <v/>
      </c>
      <c r="AP305" s="31" t="str">
        <f>IF(LEN(_DB_Exercises!BK419)&gt;0,_DB_Exercises!BK419,"")</f>
        <v/>
      </c>
      <c r="AQ305" s="31" t="str">
        <f>IF(LEN(_DB_Exercises!BL419)&gt;0,_DB_Exercises!BL419,"")</f>
        <v/>
      </c>
      <c r="AR305" s="31" t="str">
        <f>IF(LEN(_DB_Exercises!BM419)&gt;0,_DB_Exercises!BM419,"")</f>
        <v/>
      </c>
    </row>
    <row r="306" spans="1:44" x14ac:dyDescent="0.25">
      <c r="A306" s="11" t="str">
        <f>IF(LEN(_DB_Exercises!A420)&gt;0,_DB_Exercises!A420,"")</f>
        <v/>
      </c>
      <c r="B306" s="14" t="str">
        <f>IF(LEN(_DB_Exercises!K420)&gt;0,_DB_Exercises!K420,"")</f>
        <v/>
      </c>
      <c r="C306" s="31" t="str">
        <f>IF(LEN(_DB_Exercises!X420)&gt;0,_DB_Exercises!X420,"")</f>
        <v/>
      </c>
      <c r="D306" s="31" t="str">
        <f>IF(LEN(_DB_Exercises!Y420)&gt;0,_DB_Exercises!Y420,"")</f>
        <v/>
      </c>
      <c r="E306" s="31" t="str">
        <f>IF(LEN(_DB_Exercises!Z420)&gt;0,_DB_Exercises!Z420,"")</f>
        <v/>
      </c>
      <c r="F306" s="31" t="str">
        <f>IF(LEN(_DB_Exercises!AA420)&gt;0,_DB_Exercises!AA420,"")</f>
        <v/>
      </c>
      <c r="G306" s="31" t="str">
        <f>IF(LEN(_DB_Exercises!AB420)&gt;0,_DB_Exercises!AB420,"")</f>
        <v/>
      </c>
      <c r="H306" s="31" t="str">
        <f>IF(LEN(_DB_Exercises!AC420)&gt;0,_DB_Exercises!AC420,"")</f>
        <v/>
      </c>
      <c r="I306" s="31" t="str">
        <f>IF(LEN(_DB_Exercises!AD420)&gt;0,_DB_Exercises!AD420,"")</f>
        <v/>
      </c>
      <c r="J306" s="31" t="str">
        <f>IF(LEN(_DB_Exercises!AE420)&gt;0,_DB_Exercises!AE420,"")</f>
        <v/>
      </c>
      <c r="K306" s="31" t="str">
        <f>IF(LEN(_DB_Exercises!AF420)&gt;0,_DB_Exercises!AF420,"")</f>
        <v/>
      </c>
      <c r="L306" s="31" t="str">
        <f>IF(LEN(_DB_Exercises!AG420)&gt;0,_DB_Exercises!AG420,"")</f>
        <v/>
      </c>
      <c r="M306" s="31" t="str">
        <f>IF(LEN(_DB_Exercises!AH420)&gt;0,_DB_Exercises!AH420,"")</f>
        <v/>
      </c>
      <c r="N306" s="31" t="str">
        <f>IF(LEN(_DB_Exercises!AI420)&gt;0,_DB_Exercises!AI420,"")</f>
        <v/>
      </c>
      <c r="O306" s="31" t="str">
        <f>IF(LEN(_DB_Exercises!AJ420)&gt;0,_DB_Exercises!AJ420,"")</f>
        <v/>
      </c>
      <c r="P306" s="31" t="str">
        <f>IF(LEN(_DB_Exercises!AK420)&gt;0,_DB_Exercises!AK420,"")</f>
        <v/>
      </c>
      <c r="Q306" s="31" t="str">
        <f>IF(LEN(_DB_Exercises!AL420)&gt;0,_DB_Exercises!AL420,"")</f>
        <v/>
      </c>
      <c r="R306" s="31" t="str">
        <f>IF(LEN(_DB_Exercises!AM420)&gt;0,_DB_Exercises!AM420,"")</f>
        <v/>
      </c>
      <c r="S306" s="31" t="str">
        <f>IF(LEN(_DB_Exercises!AN420)&gt;0,_DB_Exercises!AN420,"")</f>
        <v/>
      </c>
      <c r="T306" s="31" t="str">
        <f>IF(LEN(_DB_Exercises!AO420)&gt;0,_DB_Exercises!AO420,"")</f>
        <v/>
      </c>
      <c r="U306" s="31" t="str">
        <f>IF(LEN(_DB_Exercises!AP420)&gt;0,_DB_Exercises!AP420,"")</f>
        <v/>
      </c>
      <c r="V306" s="31" t="str">
        <f>IF(LEN(_DB_Exercises!AQ420)&gt;0,_DB_Exercises!AQ420,"")</f>
        <v/>
      </c>
      <c r="W306" s="31" t="str">
        <f>IF(LEN(_DB_Exercises!AR420)&gt;0,_DB_Exercises!AR420,"")</f>
        <v/>
      </c>
      <c r="X306" s="31" t="str">
        <f>IF(LEN(_DB_Exercises!AS420)&gt;0,_DB_Exercises!AS420,"")</f>
        <v/>
      </c>
      <c r="Y306" s="31" t="str">
        <f>IF(LEN(_DB_Exercises!AT420)&gt;0,_DB_Exercises!AT420,"")</f>
        <v/>
      </c>
      <c r="Z306" s="31" t="str">
        <f>IF(LEN(_DB_Exercises!AU420)&gt;0,_DB_Exercises!AU420,"")</f>
        <v/>
      </c>
      <c r="AA306" s="31" t="str">
        <f>IF(LEN(_DB_Exercises!AV420)&gt;0,_DB_Exercises!AV420,"")</f>
        <v/>
      </c>
      <c r="AB306" s="31" t="str">
        <f>IF(LEN(_DB_Exercises!AW420)&gt;0,_DB_Exercises!AW420,"")</f>
        <v/>
      </c>
      <c r="AC306" s="31" t="str">
        <f>IF(LEN(_DB_Exercises!AX420)&gt;0,_DB_Exercises!AX420,"")</f>
        <v/>
      </c>
      <c r="AD306" s="31" t="str">
        <f>IF(LEN(_DB_Exercises!AY420)&gt;0,_DB_Exercises!AY420,"")</f>
        <v/>
      </c>
      <c r="AE306" s="31" t="str">
        <f>IF(LEN(_DB_Exercises!AZ420)&gt;0,_DB_Exercises!AZ420,"")</f>
        <v/>
      </c>
      <c r="AF306" s="31" t="str">
        <f>IF(LEN(_DB_Exercises!BA420)&gt;0,_DB_Exercises!BA420,"")</f>
        <v/>
      </c>
      <c r="AG306" s="31" t="str">
        <f>IF(LEN(_DB_Exercises!BB420)&gt;0,_DB_Exercises!BB420,"")</f>
        <v/>
      </c>
      <c r="AH306" s="31" t="str">
        <f>IF(LEN(_DB_Exercises!BC420)&gt;0,_DB_Exercises!BC420,"")</f>
        <v/>
      </c>
      <c r="AI306" s="31" t="str">
        <f>IF(LEN(_DB_Exercises!BD420)&gt;0,_DB_Exercises!BD420,"")</f>
        <v/>
      </c>
      <c r="AJ306" s="31" t="str">
        <f>IF(LEN(_DB_Exercises!BE420)&gt;0,_DB_Exercises!BE420,"")</f>
        <v/>
      </c>
      <c r="AK306" s="31" t="str">
        <f>IF(LEN(_DB_Exercises!BF420)&gt;0,_DB_Exercises!BF420,"")</f>
        <v/>
      </c>
      <c r="AL306" s="31" t="str">
        <f>IF(LEN(_DB_Exercises!BG420)&gt;0,_DB_Exercises!BG420,"")</f>
        <v/>
      </c>
      <c r="AM306" s="31" t="str">
        <f>IF(LEN(_DB_Exercises!BH420)&gt;0,_DB_Exercises!BH420,"")</f>
        <v/>
      </c>
      <c r="AN306" s="31" t="str">
        <f>IF(LEN(_DB_Exercises!BI420)&gt;0,_DB_Exercises!BI420,"")</f>
        <v/>
      </c>
      <c r="AO306" s="31" t="str">
        <f>IF(LEN(_DB_Exercises!BJ420)&gt;0,_DB_Exercises!BJ420,"")</f>
        <v/>
      </c>
      <c r="AP306" s="31" t="str">
        <f>IF(LEN(_DB_Exercises!BK420)&gt;0,_DB_Exercises!BK420,"")</f>
        <v/>
      </c>
      <c r="AQ306" s="31" t="str">
        <f>IF(LEN(_DB_Exercises!BL420)&gt;0,_DB_Exercises!BL420,"")</f>
        <v/>
      </c>
      <c r="AR306" s="31" t="str">
        <f>IF(LEN(_DB_Exercises!BM420)&gt;0,_DB_Exercises!BM420,"")</f>
        <v/>
      </c>
    </row>
    <row r="307" spans="1:44" x14ac:dyDescent="0.25">
      <c r="A307" s="11" t="str">
        <f>IF(LEN(_DB_Exercises!A421)&gt;0,_DB_Exercises!A421,"")</f>
        <v/>
      </c>
      <c r="B307" s="14" t="str">
        <f>IF(LEN(_DB_Exercises!K421)&gt;0,_DB_Exercises!K421,"")</f>
        <v/>
      </c>
      <c r="C307" s="31" t="str">
        <f>IF(LEN(_DB_Exercises!X421)&gt;0,_DB_Exercises!X421,"")</f>
        <v/>
      </c>
      <c r="D307" s="31" t="str">
        <f>IF(LEN(_DB_Exercises!Y421)&gt;0,_DB_Exercises!Y421,"")</f>
        <v/>
      </c>
      <c r="E307" s="31" t="str">
        <f>IF(LEN(_DB_Exercises!Z421)&gt;0,_DB_Exercises!Z421,"")</f>
        <v/>
      </c>
      <c r="F307" s="31" t="str">
        <f>IF(LEN(_DB_Exercises!AA421)&gt;0,_DB_Exercises!AA421,"")</f>
        <v/>
      </c>
      <c r="G307" s="31" t="str">
        <f>IF(LEN(_DB_Exercises!AB421)&gt;0,_DB_Exercises!AB421,"")</f>
        <v/>
      </c>
      <c r="H307" s="31" t="str">
        <f>IF(LEN(_DB_Exercises!AC421)&gt;0,_DB_Exercises!AC421,"")</f>
        <v/>
      </c>
      <c r="I307" s="31" t="str">
        <f>IF(LEN(_DB_Exercises!AD421)&gt;0,_DB_Exercises!AD421,"")</f>
        <v/>
      </c>
      <c r="J307" s="31" t="str">
        <f>IF(LEN(_DB_Exercises!AE421)&gt;0,_DB_Exercises!AE421,"")</f>
        <v/>
      </c>
      <c r="K307" s="31" t="str">
        <f>IF(LEN(_DB_Exercises!AF421)&gt;0,_DB_Exercises!AF421,"")</f>
        <v/>
      </c>
      <c r="L307" s="31" t="str">
        <f>IF(LEN(_DB_Exercises!AG421)&gt;0,_DB_Exercises!AG421,"")</f>
        <v/>
      </c>
      <c r="M307" s="31" t="str">
        <f>IF(LEN(_DB_Exercises!AH421)&gt;0,_DB_Exercises!AH421,"")</f>
        <v/>
      </c>
      <c r="N307" s="31" t="str">
        <f>IF(LEN(_DB_Exercises!AI421)&gt;0,_DB_Exercises!AI421,"")</f>
        <v/>
      </c>
      <c r="O307" s="31" t="str">
        <f>IF(LEN(_DB_Exercises!AJ421)&gt;0,_DB_Exercises!AJ421,"")</f>
        <v/>
      </c>
      <c r="P307" s="31" t="str">
        <f>IF(LEN(_DB_Exercises!AK421)&gt;0,_DB_Exercises!AK421,"")</f>
        <v/>
      </c>
      <c r="Q307" s="31" t="str">
        <f>IF(LEN(_DB_Exercises!AL421)&gt;0,_DB_Exercises!AL421,"")</f>
        <v/>
      </c>
      <c r="R307" s="31" t="str">
        <f>IF(LEN(_DB_Exercises!AM421)&gt;0,_DB_Exercises!AM421,"")</f>
        <v/>
      </c>
      <c r="S307" s="31" t="str">
        <f>IF(LEN(_DB_Exercises!AN421)&gt;0,_DB_Exercises!AN421,"")</f>
        <v/>
      </c>
      <c r="T307" s="31" t="str">
        <f>IF(LEN(_DB_Exercises!AO421)&gt;0,_DB_Exercises!AO421,"")</f>
        <v/>
      </c>
      <c r="U307" s="31" t="str">
        <f>IF(LEN(_DB_Exercises!AP421)&gt;0,_DB_Exercises!AP421,"")</f>
        <v/>
      </c>
      <c r="V307" s="31" t="str">
        <f>IF(LEN(_DB_Exercises!AQ421)&gt;0,_DB_Exercises!AQ421,"")</f>
        <v/>
      </c>
      <c r="W307" s="31" t="str">
        <f>IF(LEN(_DB_Exercises!AR421)&gt;0,_DB_Exercises!AR421,"")</f>
        <v/>
      </c>
      <c r="X307" s="31" t="str">
        <f>IF(LEN(_DB_Exercises!AS421)&gt;0,_DB_Exercises!AS421,"")</f>
        <v/>
      </c>
      <c r="Y307" s="31" t="str">
        <f>IF(LEN(_DB_Exercises!AT421)&gt;0,_DB_Exercises!AT421,"")</f>
        <v/>
      </c>
      <c r="Z307" s="31" t="str">
        <f>IF(LEN(_DB_Exercises!AU421)&gt;0,_DB_Exercises!AU421,"")</f>
        <v/>
      </c>
      <c r="AA307" s="31" t="str">
        <f>IF(LEN(_DB_Exercises!AV421)&gt;0,_DB_Exercises!AV421,"")</f>
        <v/>
      </c>
      <c r="AB307" s="31" t="str">
        <f>IF(LEN(_DB_Exercises!AW421)&gt;0,_DB_Exercises!AW421,"")</f>
        <v/>
      </c>
      <c r="AC307" s="31" t="str">
        <f>IF(LEN(_DB_Exercises!AX421)&gt;0,_DB_Exercises!AX421,"")</f>
        <v/>
      </c>
      <c r="AD307" s="31" t="str">
        <f>IF(LEN(_DB_Exercises!AY421)&gt;0,_DB_Exercises!AY421,"")</f>
        <v/>
      </c>
      <c r="AE307" s="31" t="str">
        <f>IF(LEN(_DB_Exercises!AZ421)&gt;0,_DB_Exercises!AZ421,"")</f>
        <v/>
      </c>
      <c r="AF307" s="31" t="str">
        <f>IF(LEN(_DB_Exercises!BA421)&gt;0,_DB_Exercises!BA421,"")</f>
        <v/>
      </c>
      <c r="AG307" s="31" t="str">
        <f>IF(LEN(_DB_Exercises!BB421)&gt;0,_DB_Exercises!BB421,"")</f>
        <v/>
      </c>
      <c r="AH307" s="31" t="str">
        <f>IF(LEN(_DB_Exercises!BC421)&gt;0,_DB_Exercises!BC421,"")</f>
        <v/>
      </c>
      <c r="AI307" s="31" t="str">
        <f>IF(LEN(_DB_Exercises!BD421)&gt;0,_DB_Exercises!BD421,"")</f>
        <v/>
      </c>
      <c r="AJ307" s="31" t="str">
        <f>IF(LEN(_DB_Exercises!BE421)&gt;0,_DB_Exercises!BE421,"")</f>
        <v/>
      </c>
      <c r="AK307" s="31" t="str">
        <f>IF(LEN(_DB_Exercises!BF421)&gt;0,_DB_Exercises!BF421,"")</f>
        <v/>
      </c>
      <c r="AL307" s="31" t="str">
        <f>IF(LEN(_DB_Exercises!BG421)&gt;0,_DB_Exercises!BG421,"")</f>
        <v/>
      </c>
      <c r="AM307" s="31" t="str">
        <f>IF(LEN(_DB_Exercises!BH421)&gt;0,_DB_Exercises!BH421,"")</f>
        <v/>
      </c>
      <c r="AN307" s="31" t="str">
        <f>IF(LEN(_DB_Exercises!BI421)&gt;0,_DB_Exercises!BI421,"")</f>
        <v/>
      </c>
      <c r="AO307" s="31" t="str">
        <f>IF(LEN(_DB_Exercises!BJ421)&gt;0,_DB_Exercises!BJ421,"")</f>
        <v/>
      </c>
      <c r="AP307" s="31" t="str">
        <f>IF(LEN(_DB_Exercises!BK421)&gt;0,_DB_Exercises!BK421,"")</f>
        <v/>
      </c>
      <c r="AQ307" s="31" t="str">
        <f>IF(LEN(_DB_Exercises!BL421)&gt;0,_DB_Exercises!BL421,"")</f>
        <v/>
      </c>
      <c r="AR307" s="31" t="str">
        <f>IF(LEN(_DB_Exercises!BM421)&gt;0,_DB_Exercises!BM421,"")</f>
        <v/>
      </c>
    </row>
    <row r="308" spans="1:44" x14ac:dyDescent="0.25">
      <c r="A308" s="11" t="str">
        <f>IF(LEN(_DB_Exercises!A422)&gt;0,_DB_Exercises!A422,"")</f>
        <v/>
      </c>
      <c r="B308" s="14" t="str">
        <f>IF(LEN(_DB_Exercises!K422)&gt;0,_DB_Exercises!K422,"")</f>
        <v/>
      </c>
      <c r="C308" s="31" t="str">
        <f>IF(LEN(_DB_Exercises!X422)&gt;0,_DB_Exercises!X422,"")</f>
        <v/>
      </c>
      <c r="D308" s="31" t="str">
        <f>IF(LEN(_DB_Exercises!Y422)&gt;0,_DB_Exercises!Y422,"")</f>
        <v/>
      </c>
      <c r="E308" s="31" t="str">
        <f>IF(LEN(_DB_Exercises!Z422)&gt;0,_DB_Exercises!Z422,"")</f>
        <v/>
      </c>
      <c r="F308" s="31" t="str">
        <f>IF(LEN(_DB_Exercises!AA422)&gt;0,_DB_Exercises!AA422,"")</f>
        <v/>
      </c>
      <c r="G308" s="31" t="str">
        <f>IF(LEN(_DB_Exercises!AB422)&gt;0,_DB_Exercises!AB422,"")</f>
        <v/>
      </c>
      <c r="H308" s="31" t="str">
        <f>IF(LEN(_DB_Exercises!AC422)&gt;0,_DB_Exercises!AC422,"")</f>
        <v/>
      </c>
      <c r="I308" s="31" t="str">
        <f>IF(LEN(_DB_Exercises!AD422)&gt;0,_DB_Exercises!AD422,"")</f>
        <v/>
      </c>
      <c r="J308" s="31" t="str">
        <f>IF(LEN(_DB_Exercises!AE422)&gt;0,_DB_Exercises!AE422,"")</f>
        <v/>
      </c>
      <c r="K308" s="31" t="str">
        <f>IF(LEN(_DB_Exercises!AF422)&gt;0,_DB_Exercises!AF422,"")</f>
        <v/>
      </c>
      <c r="L308" s="31" t="str">
        <f>IF(LEN(_DB_Exercises!AG422)&gt;0,_DB_Exercises!AG422,"")</f>
        <v/>
      </c>
      <c r="M308" s="31" t="str">
        <f>IF(LEN(_DB_Exercises!AH422)&gt;0,_DB_Exercises!AH422,"")</f>
        <v/>
      </c>
      <c r="N308" s="31" t="str">
        <f>IF(LEN(_DB_Exercises!AI422)&gt;0,_DB_Exercises!AI422,"")</f>
        <v/>
      </c>
      <c r="O308" s="31" t="str">
        <f>IF(LEN(_DB_Exercises!AJ422)&gt;0,_DB_Exercises!AJ422,"")</f>
        <v/>
      </c>
      <c r="P308" s="31" t="str">
        <f>IF(LEN(_DB_Exercises!AK422)&gt;0,_DB_Exercises!AK422,"")</f>
        <v/>
      </c>
      <c r="Q308" s="31" t="str">
        <f>IF(LEN(_DB_Exercises!AL422)&gt;0,_DB_Exercises!AL422,"")</f>
        <v/>
      </c>
      <c r="R308" s="31" t="str">
        <f>IF(LEN(_DB_Exercises!AM422)&gt;0,_DB_Exercises!AM422,"")</f>
        <v/>
      </c>
      <c r="S308" s="31" t="str">
        <f>IF(LEN(_DB_Exercises!AN422)&gt;0,_DB_Exercises!AN422,"")</f>
        <v/>
      </c>
      <c r="T308" s="31" t="str">
        <f>IF(LEN(_DB_Exercises!AO422)&gt;0,_DB_Exercises!AO422,"")</f>
        <v/>
      </c>
      <c r="U308" s="31" t="str">
        <f>IF(LEN(_DB_Exercises!AP422)&gt;0,_DB_Exercises!AP422,"")</f>
        <v/>
      </c>
      <c r="V308" s="31" t="str">
        <f>IF(LEN(_DB_Exercises!AQ422)&gt;0,_DB_Exercises!AQ422,"")</f>
        <v/>
      </c>
      <c r="W308" s="31" t="str">
        <f>IF(LEN(_DB_Exercises!AR422)&gt;0,_DB_Exercises!AR422,"")</f>
        <v/>
      </c>
      <c r="X308" s="31" t="str">
        <f>IF(LEN(_DB_Exercises!AS422)&gt;0,_DB_Exercises!AS422,"")</f>
        <v/>
      </c>
      <c r="Y308" s="31" t="str">
        <f>IF(LEN(_DB_Exercises!AT422)&gt;0,_DB_Exercises!AT422,"")</f>
        <v/>
      </c>
      <c r="Z308" s="31" t="str">
        <f>IF(LEN(_DB_Exercises!AU422)&gt;0,_DB_Exercises!AU422,"")</f>
        <v/>
      </c>
      <c r="AA308" s="31" t="str">
        <f>IF(LEN(_DB_Exercises!AV422)&gt;0,_DB_Exercises!AV422,"")</f>
        <v/>
      </c>
      <c r="AB308" s="31" t="str">
        <f>IF(LEN(_DB_Exercises!AW422)&gt;0,_DB_Exercises!AW422,"")</f>
        <v/>
      </c>
      <c r="AC308" s="31" t="str">
        <f>IF(LEN(_DB_Exercises!AX422)&gt;0,_DB_Exercises!AX422,"")</f>
        <v/>
      </c>
      <c r="AD308" s="31" t="str">
        <f>IF(LEN(_DB_Exercises!AY422)&gt;0,_DB_Exercises!AY422,"")</f>
        <v/>
      </c>
      <c r="AE308" s="31" t="str">
        <f>IF(LEN(_DB_Exercises!AZ422)&gt;0,_DB_Exercises!AZ422,"")</f>
        <v/>
      </c>
      <c r="AF308" s="31" t="str">
        <f>IF(LEN(_DB_Exercises!BA422)&gt;0,_DB_Exercises!BA422,"")</f>
        <v/>
      </c>
      <c r="AG308" s="31" t="str">
        <f>IF(LEN(_DB_Exercises!BB422)&gt;0,_DB_Exercises!BB422,"")</f>
        <v/>
      </c>
      <c r="AH308" s="31" t="str">
        <f>IF(LEN(_DB_Exercises!BC422)&gt;0,_DB_Exercises!BC422,"")</f>
        <v/>
      </c>
      <c r="AI308" s="31" t="str">
        <f>IF(LEN(_DB_Exercises!BD422)&gt;0,_DB_Exercises!BD422,"")</f>
        <v/>
      </c>
      <c r="AJ308" s="31" t="str">
        <f>IF(LEN(_DB_Exercises!BE422)&gt;0,_DB_Exercises!BE422,"")</f>
        <v/>
      </c>
      <c r="AK308" s="31" t="str">
        <f>IF(LEN(_DB_Exercises!BF422)&gt;0,_DB_Exercises!BF422,"")</f>
        <v/>
      </c>
      <c r="AL308" s="31" t="str">
        <f>IF(LEN(_DB_Exercises!BG422)&gt;0,_DB_Exercises!BG422,"")</f>
        <v/>
      </c>
      <c r="AM308" s="31" t="str">
        <f>IF(LEN(_DB_Exercises!BH422)&gt;0,_DB_Exercises!BH422,"")</f>
        <v/>
      </c>
      <c r="AN308" s="31" t="str">
        <f>IF(LEN(_DB_Exercises!BI422)&gt;0,_DB_Exercises!BI422,"")</f>
        <v/>
      </c>
      <c r="AO308" s="31" t="str">
        <f>IF(LEN(_DB_Exercises!BJ422)&gt;0,_DB_Exercises!BJ422,"")</f>
        <v/>
      </c>
      <c r="AP308" s="31" t="str">
        <f>IF(LEN(_DB_Exercises!BK422)&gt;0,_DB_Exercises!BK422,"")</f>
        <v/>
      </c>
      <c r="AQ308" s="31" t="str">
        <f>IF(LEN(_DB_Exercises!BL422)&gt;0,_DB_Exercises!BL422,"")</f>
        <v/>
      </c>
      <c r="AR308" s="31" t="str">
        <f>IF(LEN(_DB_Exercises!BM422)&gt;0,_DB_Exercises!BM422,"")</f>
        <v/>
      </c>
    </row>
    <row r="309" spans="1:44" x14ac:dyDescent="0.25">
      <c r="A309" s="11" t="str">
        <f>IF(LEN(_DB_Exercises!A423)&gt;0,_DB_Exercises!A423,"")</f>
        <v/>
      </c>
      <c r="B309" s="14" t="str">
        <f>IF(LEN(_DB_Exercises!K423)&gt;0,_DB_Exercises!K423,"")</f>
        <v/>
      </c>
      <c r="C309" s="31" t="str">
        <f>IF(LEN(_DB_Exercises!X423)&gt;0,_DB_Exercises!X423,"")</f>
        <v/>
      </c>
      <c r="D309" s="31" t="str">
        <f>IF(LEN(_DB_Exercises!Y423)&gt;0,_DB_Exercises!Y423,"")</f>
        <v/>
      </c>
      <c r="E309" s="31" t="str">
        <f>IF(LEN(_DB_Exercises!Z423)&gt;0,_DB_Exercises!Z423,"")</f>
        <v/>
      </c>
      <c r="F309" s="31" t="str">
        <f>IF(LEN(_DB_Exercises!AA423)&gt;0,_DB_Exercises!AA423,"")</f>
        <v/>
      </c>
      <c r="G309" s="31" t="str">
        <f>IF(LEN(_DB_Exercises!AB423)&gt;0,_DB_Exercises!AB423,"")</f>
        <v/>
      </c>
      <c r="H309" s="31" t="str">
        <f>IF(LEN(_DB_Exercises!AC423)&gt;0,_DB_Exercises!AC423,"")</f>
        <v/>
      </c>
      <c r="I309" s="31" t="str">
        <f>IF(LEN(_DB_Exercises!AD423)&gt;0,_DB_Exercises!AD423,"")</f>
        <v/>
      </c>
      <c r="J309" s="31" t="str">
        <f>IF(LEN(_DB_Exercises!AE423)&gt;0,_DB_Exercises!AE423,"")</f>
        <v/>
      </c>
      <c r="K309" s="31" t="str">
        <f>IF(LEN(_DB_Exercises!AF423)&gt;0,_DB_Exercises!AF423,"")</f>
        <v/>
      </c>
      <c r="L309" s="31" t="str">
        <f>IF(LEN(_DB_Exercises!AG423)&gt;0,_DB_Exercises!AG423,"")</f>
        <v/>
      </c>
      <c r="M309" s="31" t="str">
        <f>IF(LEN(_DB_Exercises!AH423)&gt;0,_DB_Exercises!AH423,"")</f>
        <v/>
      </c>
      <c r="N309" s="31" t="str">
        <f>IF(LEN(_DB_Exercises!AI423)&gt;0,_DB_Exercises!AI423,"")</f>
        <v/>
      </c>
      <c r="O309" s="31" t="str">
        <f>IF(LEN(_DB_Exercises!AJ423)&gt;0,_DB_Exercises!AJ423,"")</f>
        <v/>
      </c>
      <c r="P309" s="31" t="str">
        <f>IF(LEN(_DB_Exercises!AK423)&gt;0,_DB_Exercises!AK423,"")</f>
        <v/>
      </c>
      <c r="Q309" s="31" t="str">
        <f>IF(LEN(_DB_Exercises!AL423)&gt;0,_DB_Exercises!AL423,"")</f>
        <v/>
      </c>
      <c r="R309" s="31" t="str">
        <f>IF(LEN(_DB_Exercises!AM423)&gt;0,_DB_Exercises!AM423,"")</f>
        <v/>
      </c>
      <c r="S309" s="31" t="str">
        <f>IF(LEN(_DB_Exercises!AN423)&gt;0,_DB_Exercises!AN423,"")</f>
        <v/>
      </c>
      <c r="T309" s="31" t="str">
        <f>IF(LEN(_DB_Exercises!AO423)&gt;0,_DB_Exercises!AO423,"")</f>
        <v/>
      </c>
      <c r="U309" s="31" t="str">
        <f>IF(LEN(_DB_Exercises!AP423)&gt;0,_DB_Exercises!AP423,"")</f>
        <v/>
      </c>
      <c r="V309" s="31" t="str">
        <f>IF(LEN(_DB_Exercises!AQ423)&gt;0,_DB_Exercises!AQ423,"")</f>
        <v/>
      </c>
      <c r="W309" s="31" t="str">
        <f>IF(LEN(_DB_Exercises!AR423)&gt;0,_DB_Exercises!AR423,"")</f>
        <v/>
      </c>
      <c r="X309" s="31" t="str">
        <f>IF(LEN(_DB_Exercises!AS423)&gt;0,_DB_Exercises!AS423,"")</f>
        <v/>
      </c>
      <c r="Y309" s="31" t="str">
        <f>IF(LEN(_DB_Exercises!AT423)&gt;0,_DB_Exercises!AT423,"")</f>
        <v/>
      </c>
      <c r="Z309" s="31" t="str">
        <f>IF(LEN(_DB_Exercises!AU423)&gt;0,_DB_Exercises!AU423,"")</f>
        <v/>
      </c>
      <c r="AA309" s="31" t="str">
        <f>IF(LEN(_DB_Exercises!AV423)&gt;0,_DB_Exercises!AV423,"")</f>
        <v/>
      </c>
      <c r="AB309" s="31" t="str">
        <f>IF(LEN(_DB_Exercises!AW423)&gt;0,_DB_Exercises!AW423,"")</f>
        <v/>
      </c>
      <c r="AC309" s="31" t="str">
        <f>IF(LEN(_DB_Exercises!AX423)&gt;0,_DB_Exercises!AX423,"")</f>
        <v/>
      </c>
      <c r="AD309" s="31" t="str">
        <f>IF(LEN(_DB_Exercises!AY423)&gt;0,_DB_Exercises!AY423,"")</f>
        <v/>
      </c>
      <c r="AE309" s="31" t="str">
        <f>IF(LEN(_DB_Exercises!AZ423)&gt;0,_DB_Exercises!AZ423,"")</f>
        <v/>
      </c>
      <c r="AF309" s="31" t="str">
        <f>IF(LEN(_DB_Exercises!BA423)&gt;0,_DB_Exercises!BA423,"")</f>
        <v/>
      </c>
      <c r="AG309" s="31" t="str">
        <f>IF(LEN(_DB_Exercises!BB423)&gt;0,_DB_Exercises!BB423,"")</f>
        <v/>
      </c>
      <c r="AH309" s="31" t="str">
        <f>IF(LEN(_DB_Exercises!BC423)&gt;0,_DB_Exercises!BC423,"")</f>
        <v/>
      </c>
      <c r="AI309" s="31" t="str">
        <f>IF(LEN(_DB_Exercises!BD423)&gt;0,_DB_Exercises!BD423,"")</f>
        <v/>
      </c>
      <c r="AJ309" s="31" t="str">
        <f>IF(LEN(_DB_Exercises!BE423)&gt;0,_DB_Exercises!BE423,"")</f>
        <v/>
      </c>
      <c r="AK309" s="31" t="str">
        <f>IF(LEN(_DB_Exercises!BF423)&gt;0,_DB_Exercises!BF423,"")</f>
        <v/>
      </c>
      <c r="AL309" s="31" t="str">
        <f>IF(LEN(_DB_Exercises!BG423)&gt;0,_DB_Exercises!BG423,"")</f>
        <v/>
      </c>
      <c r="AM309" s="31" t="str">
        <f>IF(LEN(_DB_Exercises!BH423)&gt;0,_DB_Exercises!BH423,"")</f>
        <v/>
      </c>
      <c r="AN309" s="31" t="str">
        <f>IF(LEN(_DB_Exercises!BI423)&gt;0,_DB_Exercises!BI423,"")</f>
        <v/>
      </c>
      <c r="AO309" s="31" t="str">
        <f>IF(LEN(_DB_Exercises!BJ423)&gt;0,_DB_Exercises!BJ423,"")</f>
        <v/>
      </c>
      <c r="AP309" s="31" t="str">
        <f>IF(LEN(_DB_Exercises!BK423)&gt;0,_DB_Exercises!BK423,"")</f>
        <v/>
      </c>
      <c r="AQ309" s="31" t="str">
        <f>IF(LEN(_DB_Exercises!BL423)&gt;0,_DB_Exercises!BL423,"")</f>
        <v/>
      </c>
      <c r="AR309" s="31" t="str">
        <f>IF(LEN(_DB_Exercises!BM423)&gt;0,_DB_Exercises!BM423,"")</f>
        <v/>
      </c>
    </row>
    <row r="310" spans="1:44" x14ac:dyDescent="0.25">
      <c r="A310" s="11" t="str">
        <f>IF(LEN(_DB_Exercises!A424)&gt;0,_DB_Exercises!A424,"")</f>
        <v/>
      </c>
      <c r="B310" s="14" t="str">
        <f>IF(LEN(_DB_Exercises!K424)&gt;0,_DB_Exercises!K424,"")</f>
        <v/>
      </c>
      <c r="C310" s="31" t="str">
        <f>IF(LEN(_DB_Exercises!X424)&gt;0,_DB_Exercises!X424,"")</f>
        <v/>
      </c>
      <c r="D310" s="31" t="str">
        <f>IF(LEN(_DB_Exercises!Y424)&gt;0,_DB_Exercises!Y424,"")</f>
        <v/>
      </c>
      <c r="E310" s="31" t="str">
        <f>IF(LEN(_DB_Exercises!Z424)&gt;0,_DB_Exercises!Z424,"")</f>
        <v/>
      </c>
      <c r="F310" s="31" t="str">
        <f>IF(LEN(_DB_Exercises!AA424)&gt;0,_DB_Exercises!AA424,"")</f>
        <v/>
      </c>
      <c r="G310" s="31" t="str">
        <f>IF(LEN(_DB_Exercises!AB424)&gt;0,_DB_Exercises!AB424,"")</f>
        <v/>
      </c>
      <c r="H310" s="31" t="str">
        <f>IF(LEN(_DB_Exercises!AC424)&gt;0,_DB_Exercises!AC424,"")</f>
        <v/>
      </c>
      <c r="I310" s="31" t="str">
        <f>IF(LEN(_DB_Exercises!AD424)&gt;0,_DB_Exercises!AD424,"")</f>
        <v/>
      </c>
      <c r="J310" s="31" t="str">
        <f>IF(LEN(_DB_Exercises!AE424)&gt;0,_DB_Exercises!AE424,"")</f>
        <v/>
      </c>
      <c r="K310" s="31" t="str">
        <f>IF(LEN(_DB_Exercises!AF424)&gt;0,_DB_Exercises!AF424,"")</f>
        <v/>
      </c>
      <c r="L310" s="31" t="str">
        <f>IF(LEN(_DB_Exercises!AG424)&gt;0,_DB_Exercises!AG424,"")</f>
        <v/>
      </c>
      <c r="M310" s="31" t="str">
        <f>IF(LEN(_DB_Exercises!AH424)&gt;0,_DB_Exercises!AH424,"")</f>
        <v/>
      </c>
      <c r="N310" s="31" t="str">
        <f>IF(LEN(_DB_Exercises!AI424)&gt;0,_DB_Exercises!AI424,"")</f>
        <v/>
      </c>
      <c r="O310" s="31" t="str">
        <f>IF(LEN(_DB_Exercises!AJ424)&gt;0,_DB_Exercises!AJ424,"")</f>
        <v/>
      </c>
      <c r="P310" s="31" t="str">
        <f>IF(LEN(_DB_Exercises!AK424)&gt;0,_DB_Exercises!AK424,"")</f>
        <v/>
      </c>
      <c r="Q310" s="31" t="str">
        <f>IF(LEN(_DB_Exercises!AL424)&gt;0,_DB_Exercises!AL424,"")</f>
        <v/>
      </c>
      <c r="R310" s="31" t="str">
        <f>IF(LEN(_DB_Exercises!AM424)&gt;0,_DB_Exercises!AM424,"")</f>
        <v/>
      </c>
      <c r="S310" s="31" t="str">
        <f>IF(LEN(_DB_Exercises!AN424)&gt;0,_DB_Exercises!AN424,"")</f>
        <v/>
      </c>
      <c r="T310" s="31" t="str">
        <f>IF(LEN(_DB_Exercises!AO424)&gt;0,_DB_Exercises!AO424,"")</f>
        <v/>
      </c>
      <c r="U310" s="31" t="str">
        <f>IF(LEN(_DB_Exercises!AP424)&gt;0,_DB_Exercises!AP424,"")</f>
        <v/>
      </c>
      <c r="V310" s="31" t="str">
        <f>IF(LEN(_DB_Exercises!AQ424)&gt;0,_DB_Exercises!AQ424,"")</f>
        <v/>
      </c>
      <c r="W310" s="31" t="str">
        <f>IF(LEN(_DB_Exercises!AR424)&gt;0,_DB_Exercises!AR424,"")</f>
        <v/>
      </c>
      <c r="X310" s="31" t="str">
        <f>IF(LEN(_DB_Exercises!AS424)&gt;0,_DB_Exercises!AS424,"")</f>
        <v/>
      </c>
      <c r="Y310" s="31" t="str">
        <f>IF(LEN(_DB_Exercises!AT424)&gt;0,_DB_Exercises!AT424,"")</f>
        <v/>
      </c>
      <c r="Z310" s="31" t="str">
        <f>IF(LEN(_DB_Exercises!AU424)&gt;0,_DB_Exercises!AU424,"")</f>
        <v/>
      </c>
      <c r="AA310" s="31" t="str">
        <f>IF(LEN(_DB_Exercises!AV424)&gt;0,_DB_Exercises!AV424,"")</f>
        <v/>
      </c>
      <c r="AB310" s="31" t="str">
        <f>IF(LEN(_DB_Exercises!AW424)&gt;0,_DB_Exercises!AW424,"")</f>
        <v/>
      </c>
      <c r="AC310" s="31" t="str">
        <f>IF(LEN(_DB_Exercises!AX424)&gt;0,_DB_Exercises!AX424,"")</f>
        <v/>
      </c>
      <c r="AD310" s="31" t="str">
        <f>IF(LEN(_DB_Exercises!AY424)&gt;0,_DB_Exercises!AY424,"")</f>
        <v/>
      </c>
      <c r="AE310" s="31" t="str">
        <f>IF(LEN(_DB_Exercises!AZ424)&gt;0,_DB_Exercises!AZ424,"")</f>
        <v/>
      </c>
      <c r="AF310" s="31" t="str">
        <f>IF(LEN(_DB_Exercises!BA424)&gt;0,_DB_Exercises!BA424,"")</f>
        <v/>
      </c>
      <c r="AG310" s="31" t="str">
        <f>IF(LEN(_DB_Exercises!BB424)&gt;0,_DB_Exercises!BB424,"")</f>
        <v/>
      </c>
      <c r="AH310" s="31" t="str">
        <f>IF(LEN(_DB_Exercises!BC424)&gt;0,_DB_Exercises!BC424,"")</f>
        <v/>
      </c>
      <c r="AI310" s="31" t="str">
        <f>IF(LEN(_DB_Exercises!BD424)&gt;0,_DB_Exercises!BD424,"")</f>
        <v/>
      </c>
      <c r="AJ310" s="31" t="str">
        <f>IF(LEN(_DB_Exercises!BE424)&gt;0,_DB_Exercises!BE424,"")</f>
        <v/>
      </c>
      <c r="AK310" s="31" t="str">
        <f>IF(LEN(_DB_Exercises!BF424)&gt;0,_DB_Exercises!BF424,"")</f>
        <v/>
      </c>
      <c r="AL310" s="31" t="str">
        <f>IF(LEN(_DB_Exercises!BG424)&gt;0,_DB_Exercises!BG424,"")</f>
        <v/>
      </c>
      <c r="AM310" s="31" t="str">
        <f>IF(LEN(_DB_Exercises!BH424)&gt;0,_DB_Exercises!BH424,"")</f>
        <v/>
      </c>
      <c r="AN310" s="31" t="str">
        <f>IF(LEN(_DB_Exercises!BI424)&gt;0,_DB_Exercises!BI424,"")</f>
        <v/>
      </c>
      <c r="AO310" s="31" t="str">
        <f>IF(LEN(_DB_Exercises!BJ424)&gt;0,_DB_Exercises!BJ424,"")</f>
        <v/>
      </c>
      <c r="AP310" s="31" t="str">
        <f>IF(LEN(_DB_Exercises!BK424)&gt;0,_DB_Exercises!BK424,"")</f>
        <v/>
      </c>
      <c r="AQ310" s="31" t="str">
        <f>IF(LEN(_DB_Exercises!BL424)&gt;0,_DB_Exercises!BL424,"")</f>
        <v/>
      </c>
      <c r="AR310" s="31" t="str">
        <f>IF(LEN(_DB_Exercises!BM424)&gt;0,_DB_Exercises!BM424,"")</f>
        <v/>
      </c>
    </row>
    <row r="311" spans="1:44" x14ac:dyDescent="0.25">
      <c r="A311" s="11" t="str">
        <f>IF(LEN(_DB_Exercises!A425)&gt;0,_DB_Exercises!A425,"")</f>
        <v/>
      </c>
      <c r="B311" s="14" t="str">
        <f>IF(LEN(_DB_Exercises!K425)&gt;0,_DB_Exercises!K425,"")</f>
        <v/>
      </c>
      <c r="C311" s="31" t="str">
        <f>IF(LEN(_DB_Exercises!X425)&gt;0,_DB_Exercises!X425,"")</f>
        <v/>
      </c>
      <c r="D311" s="31" t="str">
        <f>IF(LEN(_DB_Exercises!Y425)&gt;0,_DB_Exercises!Y425,"")</f>
        <v/>
      </c>
      <c r="E311" s="31" t="str">
        <f>IF(LEN(_DB_Exercises!Z425)&gt;0,_DB_Exercises!Z425,"")</f>
        <v/>
      </c>
      <c r="F311" s="31" t="str">
        <f>IF(LEN(_DB_Exercises!AA425)&gt;0,_DB_Exercises!AA425,"")</f>
        <v/>
      </c>
      <c r="G311" s="31" t="str">
        <f>IF(LEN(_DB_Exercises!AB425)&gt;0,_DB_Exercises!AB425,"")</f>
        <v/>
      </c>
      <c r="H311" s="31" t="str">
        <f>IF(LEN(_DB_Exercises!AC425)&gt;0,_DB_Exercises!AC425,"")</f>
        <v/>
      </c>
      <c r="I311" s="31" t="str">
        <f>IF(LEN(_DB_Exercises!AD425)&gt;0,_DB_Exercises!AD425,"")</f>
        <v/>
      </c>
      <c r="J311" s="31" t="str">
        <f>IF(LEN(_DB_Exercises!AE425)&gt;0,_DB_Exercises!AE425,"")</f>
        <v/>
      </c>
      <c r="K311" s="31" t="str">
        <f>IF(LEN(_DB_Exercises!AF425)&gt;0,_DB_Exercises!AF425,"")</f>
        <v/>
      </c>
      <c r="L311" s="31" t="str">
        <f>IF(LEN(_DB_Exercises!AG425)&gt;0,_DB_Exercises!AG425,"")</f>
        <v/>
      </c>
      <c r="M311" s="31" t="str">
        <f>IF(LEN(_DB_Exercises!AH425)&gt;0,_DB_Exercises!AH425,"")</f>
        <v/>
      </c>
      <c r="N311" s="31" t="str">
        <f>IF(LEN(_DB_Exercises!AI425)&gt;0,_DB_Exercises!AI425,"")</f>
        <v/>
      </c>
      <c r="O311" s="31" t="str">
        <f>IF(LEN(_DB_Exercises!AJ425)&gt;0,_DB_Exercises!AJ425,"")</f>
        <v/>
      </c>
      <c r="P311" s="31" t="str">
        <f>IF(LEN(_DB_Exercises!AK425)&gt;0,_DB_Exercises!AK425,"")</f>
        <v/>
      </c>
      <c r="Q311" s="31" t="str">
        <f>IF(LEN(_DB_Exercises!AL425)&gt;0,_DB_Exercises!AL425,"")</f>
        <v/>
      </c>
      <c r="R311" s="31" t="str">
        <f>IF(LEN(_DB_Exercises!AM425)&gt;0,_DB_Exercises!AM425,"")</f>
        <v/>
      </c>
      <c r="S311" s="31" t="str">
        <f>IF(LEN(_DB_Exercises!AN425)&gt;0,_DB_Exercises!AN425,"")</f>
        <v/>
      </c>
      <c r="T311" s="31" t="str">
        <f>IF(LEN(_DB_Exercises!AO425)&gt;0,_DB_Exercises!AO425,"")</f>
        <v/>
      </c>
      <c r="U311" s="31" t="str">
        <f>IF(LEN(_DB_Exercises!AP425)&gt;0,_DB_Exercises!AP425,"")</f>
        <v/>
      </c>
      <c r="V311" s="31" t="str">
        <f>IF(LEN(_DB_Exercises!AQ425)&gt;0,_DB_Exercises!AQ425,"")</f>
        <v/>
      </c>
      <c r="W311" s="31" t="str">
        <f>IF(LEN(_DB_Exercises!AR425)&gt;0,_DB_Exercises!AR425,"")</f>
        <v/>
      </c>
      <c r="X311" s="31" t="str">
        <f>IF(LEN(_DB_Exercises!AS425)&gt;0,_DB_Exercises!AS425,"")</f>
        <v/>
      </c>
      <c r="Y311" s="31" t="str">
        <f>IF(LEN(_DB_Exercises!AT425)&gt;0,_DB_Exercises!AT425,"")</f>
        <v/>
      </c>
      <c r="Z311" s="31" t="str">
        <f>IF(LEN(_DB_Exercises!AU425)&gt;0,_DB_Exercises!AU425,"")</f>
        <v/>
      </c>
      <c r="AA311" s="31" t="str">
        <f>IF(LEN(_DB_Exercises!AV425)&gt;0,_DB_Exercises!AV425,"")</f>
        <v/>
      </c>
      <c r="AB311" s="31" t="str">
        <f>IF(LEN(_DB_Exercises!AW425)&gt;0,_DB_Exercises!AW425,"")</f>
        <v/>
      </c>
      <c r="AC311" s="31" t="str">
        <f>IF(LEN(_DB_Exercises!AX425)&gt;0,_DB_Exercises!AX425,"")</f>
        <v/>
      </c>
      <c r="AD311" s="31" t="str">
        <f>IF(LEN(_DB_Exercises!AY425)&gt;0,_DB_Exercises!AY425,"")</f>
        <v/>
      </c>
      <c r="AE311" s="31" t="str">
        <f>IF(LEN(_DB_Exercises!AZ425)&gt;0,_DB_Exercises!AZ425,"")</f>
        <v/>
      </c>
      <c r="AF311" s="31" t="str">
        <f>IF(LEN(_DB_Exercises!BA425)&gt;0,_DB_Exercises!BA425,"")</f>
        <v/>
      </c>
      <c r="AG311" s="31" t="str">
        <f>IF(LEN(_DB_Exercises!BB425)&gt;0,_DB_Exercises!BB425,"")</f>
        <v/>
      </c>
      <c r="AH311" s="31" t="str">
        <f>IF(LEN(_DB_Exercises!BC425)&gt;0,_DB_Exercises!BC425,"")</f>
        <v/>
      </c>
      <c r="AI311" s="31" t="str">
        <f>IF(LEN(_DB_Exercises!BD425)&gt;0,_DB_Exercises!BD425,"")</f>
        <v/>
      </c>
      <c r="AJ311" s="31" t="str">
        <f>IF(LEN(_DB_Exercises!BE425)&gt;0,_DB_Exercises!BE425,"")</f>
        <v/>
      </c>
      <c r="AK311" s="31" t="str">
        <f>IF(LEN(_DB_Exercises!BF425)&gt;0,_DB_Exercises!BF425,"")</f>
        <v/>
      </c>
      <c r="AL311" s="31" t="str">
        <f>IF(LEN(_DB_Exercises!BG425)&gt;0,_DB_Exercises!BG425,"")</f>
        <v/>
      </c>
      <c r="AM311" s="31" t="str">
        <f>IF(LEN(_DB_Exercises!BH425)&gt;0,_DB_Exercises!BH425,"")</f>
        <v/>
      </c>
      <c r="AN311" s="31" t="str">
        <f>IF(LEN(_DB_Exercises!BI425)&gt;0,_DB_Exercises!BI425,"")</f>
        <v/>
      </c>
      <c r="AO311" s="31" t="str">
        <f>IF(LEN(_DB_Exercises!BJ425)&gt;0,_DB_Exercises!BJ425,"")</f>
        <v/>
      </c>
      <c r="AP311" s="31" t="str">
        <f>IF(LEN(_DB_Exercises!BK425)&gt;0,_DB_Exercises!BK425,"")</f>
        <v/>
      </c>
      <c r="AQ311" s="31" t="str">
        <f>IF(LEN(_DB_Exercises!BL425)&gt;0,_DB_Exercises!BL425,"")</f>
        <v/>
      </c>
      <c r="AR311" s="31" t="str">
        <f>IF(LEN(_DB_Exercises!BM425)&gt;0,_DB_Exercises!BM425,"")</f>
        <v/>
      </c>
    </row>
    <row r="312" spans="1:44" x14ac:dyDescent="0.25">
      <c r="A312" s="11" t="str">
        <f>IF(LEN(_DB_Exercises!A426)&gt;0,_DB_Exercises!A426,"")</f>
        <v/>
      </c>
      <c r="B312" s="14" t="str">
        <f>IF(LEN(_DB_Exercises!K426)&gt;0,_DB_Exercises!K426,"")</f>
        <v/>
      </c>
      <c r="C312" s="31" t="str">
        <f>IF(LEN(_DB_Exercises!X426)&gt;0,_DB_Exercises!X426,"")</f>
        <v/>
      </c>
      <c r="D312" s="31" t="str">
        <f>IF(LEN(_DB_Exercises!Y426)&gt;0,_DB_Exercises!Y426,"")</f>
        <v/>
      </c>
      <c r="E312" s="31" t="str">
        <f>IF(LEN(_DB_Exercises!Z426)&gt;0,_DB_Exercises!Z426,"")</f>
        <v/>
      </c>
      <c r="F312" s="31" t="str">
        <f>IF(LEN(_DB_Exercises!AA426)&gt;0,_DB_Exercises!AA426,"")</f>
        <v/>
      </c>
      <c r="G312" s="31" t="str">
        <f>IF(LEN(_DB_Exercises!AB426)&gt;0,_DB_Exercises!AB426,"")</f>
        <v/>
      </c>
      <c r="H312" s="31" t="str">
        <f>IF(LEN(_DB_Exercises!AC426)&gt;0,_DB_Exercises!AC426,"")</f>
        <v/>
      </c>
      <c r="I312" s="31" t="str">
        <f>IF(LEN(_DB_Exercises!AD426)&gt;0,_DB_Exercises!AD426,"")</f>
        <v/>
      </c>
      <c r="J312" s="31" t="str">
        <f>IF(LEN(_DB_Exercises!AE426)&gt;0,_DB_Exercises!AE426,"")</f>
        <v/>
      </c>
      <c r="K312" s="31" t="str">
        <f>IF(LEN(_DB_Exercises!AF426)&gt;0,_DB_Exercises!AF426,"")</f>
        <v/>
      </c>
      <c r="L312" s="31" t="str">
        <f>IF(LEN(_DB_Exercises!AG426)&gt;0,_DB_Exercises!AG426,"")</f>
        <v/>
      </c>
      <c r="M312" s="31" t="str">
        <f>IF(LEN(_DB_Exercises!AH426)&gt;0,_DB_Exercises!AH426,"")</f>
        <v/>
      </c>
      <c r="N312" s="31" t="str">
        <f>IF(LEN(_DB_Exercises!AI426)&gt;0,_DB_Exercises!AI426,"")</f>
        <v/>
      </c>
      <c r="O312" s="31" t="str">
        <f>IF(LEN(_DB_Exercises!AJ426)&gt;0,_DB_Exercises!AJ426,"")</f>
        <v/>
      </c>
      <c r="P312" s="31" t="str">
        <f>IF(LEN(_DB_Exercises!AK426)&gt;0,_DB_Exercises!AK426,"")</f>
        <v/>
      </c>
      <c r="Q312" s="31" t="str">
        <f>IF(LEN(_DB_Exercises!AL426)&gt;0,_DB_Exercises!AL426,"")</f>
        <v/>
      </c>
      <c r="R312" s="31" t="str">
        <f>IF(LEN(_DB_Exercises!AM426)&gt;0,_DB_Exercises!AM426,"")</f>
        <v/>
      </c>
      <c r="S312" s="31" t="str">
        <f>IF(LEN(_DB_Exercises!AN426)&gt;0,_DB_Exercises!AN426,"")</f>
        <v/>
      </c>
      <c r="T312" s="31" t="str">
        <f>IF(LEN(_DB_Exercises!AO426)&gt;0,_DB_Exercises!AO426,"")</f>
        <v/>
      </c>
      <c r="U312" s="31" t="str">
        <f>IF(LEN(_DB_Exercises!AP426)&gt;0,_DB_Exercises!AP426,"")</f>
        <v/>
      </c>
      <c r="V312" s="31" t="str">
        <f>IF(LEN(_DB_Exercises!AQ426)&gt;0,_DB_Exercises!AQ426,"")</f>
        <v/>
      </c>
      <c r="W312" s="31" t="str">
        <f>IF(LEN(_DB_Exercises!AR426)&gt;0,_DB_Exercises!AR426,"")</f>
        <v/>
      </c>
      <c r="X312" s="31" t="str">
        <f>IF(LEN(_DB_Exercises!AS426)&gt;0,_DB_Exercises!AS426,"")</f>
        <v/>
      </c>
      <c r="Y312" s="31" t="str">
        <f>IF(LEN(_DB_Exercises!AT426)&gt;0,_DB_Exercises!AT426,"")</f>
        <v/>
      </c>
      <c r="Z312" s="31" t="str">
        <f>IF(LEN(_DB_Exercises!AU426)&gt;0,_DB_Exercises!AU426,"")</f>
        <v/>
      </c>
      <c r="AA312" s="31" t="str">
        <f>IF(LEN(_DB_Exercises!AV426)&gt;0,_DB_Exercises!AV426,"")</f>
        <v/>
      </c>
      <c r="AB312" s="31" t="str">
        <f>IF(LEN(_DB_Exercises!AW426)&gt;0,_DB_Exercises!AW426,"")</f>
        <v/>
      </c>
      <c r="AC312" s="31" t="str">
        <f>IF(LEN(_DB_Exercises!AX426)&gt;0,_DB_Exercises!AX426,"")</f>
        <v/>
      </c>
      <c r="AD312" s="31" t="str">
        <f>IF(LEN(_DB_Exercises!AY426)&gt;0,_DB_Exercises!AY426,"")</f>
        <v/>
      </c>
      <c r="AE312" s="31" t="str">
        <f>IF(LEN(_DB_Exercises!AZ426)&gt;0,_DB_Exercises!AZ426,"")</f>
        <v/>
      </c>
      <c r="AF312" s="31" t="str">
        <f>IF(LEN(_DB_Exercises!BA426)&gt;0,_DB_Exercises!BA426,"")</f>
        <v/>
      </c>
      <c r="AG312" s="31" t="str">
        <f>IF(LEN(_DB_Exercises!BB426)&gt;0,_DB_Exercises!BB426,"")</f>
        <v/>
      </c>
      <c r="AH312" s="31" t="str">
        <f>IF(LEN(_DB_Exercises!BC426)&gt;0,_DB_Exercises!BC426,"")</f>
        <v/>
      </c>
      <c r="AI312" s="31" t="str">
        <f>IF(LEN(_DB_Exercises!BD426)&gt;0,_DB_Exercises!BD426,"")</f>
        <v/>
      </c>
      <c r="AJ312" s="31" t="str">
        <f>IF(LEN(_DB_Exercises!BE426)&gt;0,_DB_Exercises!BE426,"")</f>
        <v/>
      </c>
      <c r="AK312" s="31" t="str">
        <f>IF(LEN(_DB_Exercises!BF426)&gt;0,_DB_Exercises!BF426,"")</f>
        <v/>
      </c>
      <c r="AL312" s="31" t="str">
        <f>IF(LEN(_DB_Exercises!BG426)&gt;0,_DB_Exercises!BG426,"")</f>
        <v/>
      </c>
      <c r="AM312" s="31" t="str">
        <f>IF(LEN(_DB_Exercises!BH426)&gt;0,_DB_Exercises!BH426,"")</f>
        <v/>
      </c>
      <c r="AN312" s="31" t="str">
        <f>IF(LEN(_DB_Exercises!BI426)&gt;0,_DB_Exercises!BI426,"")</f>
        <v/>
      </c>
      <c r="AO312" s="31" t="str">
        <f>IF(LEN(_DB_Exercises!BJ426)&gt;0,_DB_Exercises!BJ426,"")</f>
        <v/>
      </c>
      <c r="AP312" s="31" t="str">
        <f>IF(LEN(_DB_Exercises!BK426)&gt;0,_DB_Exercises!BK426,"")</f>
        <v/>
      </c>
      <c r="AQ312" s="31" t="str">
        <f>IF(LEN(_DB_Exercises!BL426)&gt;0,_DB_Exercises!BL426,"")</f>
        <v/>
      </c>
      <c r="AR312" s="31" t="str">
        <f>IF(LEN(_DB_Exercises!BM426)&gt;0,_DB_Exercises!BM426,"")</f>
        <v/>
      </c>
    </row>
    <row r="313" spans="1:44" x14ac:dyDescent="0.25">
      <c r="A313" s="11" t="str">
        <f>IF(LEN(_DB_Exercises!A427)&gt;0,_DB_Exercises!A427,"")</f>
        <v/>
      </c>
      <c r="B313" s="14" t="str">
        <f>IF(LEN(_DB_Exercises!K427)&gt;0,_DB_Exercises!K427,"")</f>
        <v/>
      </c>
      <c r="C313" s="31" t="str">
        <f>IF(LEN(_DB_Exercises!X427)&gt;0,_DB_Exercises!X427,"")</f>
        <v/>
      </c>
      <c r="D313" s="31" t="str">
        <f>IF(LEN(_DB_Exercises!Y427)&gt;0,_DB_Exercises!Y427,"")</f>
        <v/>
      </c>
      <c r="E313" s="31" t="str">
        <f>IF(LEN(_DB_Exercises!Z427)&gt;0,_DB_Exercises!Z427,"")</f>
        <v/>
      </c>
      <c r="F313" s="31" t="str">
        <f>IF(LEN(_DB_Exercises!AA427)&gt;0,_DB_Exercises!AA427,"")</f>
        <v/>
      </c>
      <c r="G313" s="31" t="str">
        <f>IF(LEN(_DB_Exercises!AB427)&gt;0,_DB_Exercises!AB427,"")</f>
        <v/>
      </c>
      <c r="H313" s="31" t="str">
        <f>IF(LEN(_DB_Exercises!AC427)&gt;0,_DB_Exercises!AC427,"")</f>
        <v/>
      </c>
      <c r="I313" s="31" t="str">
        <f>IF(LEN(_DB_Exercises!AD427)&gt;0,_DB_Exercises!AD427,"")</f>
        <v/>
      </c>
      <c r="J313" s="31" t="str">
        <f>IF(LEN(_DB_Exercises!AE427)&gt;0,_DB_Exercises!AE427,"")</f>
        <v/>
      </c>
      <c r="K313" s="31" t="str">
        <f>IF(LEN(_DB_Exercises!AF427)&gt;0,_DB_Exercises!AF427,"")</f>
        <v/>
      </c>
      <c r="L313" s="31" t="str">
        <f>IF(LEN(_DB_Exercises!AG427)&gt;0,_DB_Exercises!AG427,"")</f>
        <v/>
      </c>
      <c r="M313" s="31" t="str">
        <f>IF(LEN(_DB_Exercises!AH427)&gt;0,_DB_Exercises!AH427,"")</f>
        <v/>
      </c>
      <c r="N313" s="31" t="str">
        <f>IF(LEN(_DB_Exercises!AI427)&gt;0,_DB_Exercises!AI427,"")</f>
        <v/>
      </c>
      <c r="O313" s="31" t="str">
        <f>IF(LEN(_DB_Exercises!AJ427)&gt;0,_DB_Exercises!AJ427,"")</f>
        <v/>
      </c>
      <c r="P313" s="31" t="str">
        <f>IF(LEN(_DB_Exercises!AK427)&gt;0,_DB_Exercises!AK427,"")</f>
        <v/>
      </c>
      <c r="Q313" s="31" t="str">
        <f>IF(LEN(_DB_Exercises!AL427)&gt;0,_DB_Exercises!AL427,"")</f>
        <v/>
      </c>
      <c r="R313" s="31" t="str">
        <f>IF(LEN(_DB_Exercises!AM427)&gt;0,_DB_Exercises!AM427,"")</f>
        <v/>
      </c>
      <c r="S313" s="31" t="str">
        <f>IF(LEN(_DB_Exercises!AN427)&gt;0,_DB_Exercises!AN427,"")</f>
        <v/>
      </c>
      <c r="T313" s="31" t="str">
        <f>IF(LEN(_DB_Exercises!AO427)&gt;0,_DB_Exercises!AO427,"")</f>
        <v/>
      </c>
      <c r="U313" s="31" t="str">
        <f>IF(LEN(_DB_Exercises!AP427)&gt;0,_DB_Exercises!AP427,"")</f>
        <v/>
      </c>
      <c r="V313" s="31" t="str">
        <f>IF(LEN(_DB_Exercises!AQ427)&gt;0,_DB_Exercises!AQ427,"")</f>
        <v/>
      </c>
      <c r="W313" s="31" t="str">
        <f>IF(LEN(_DB_Exercises!AR427)&gt;0,_DB_Exercises!AR427,"")</f>
        <v/>
      </c>
      <c r="X313" s="31" t="str">
        <f>IF(LEN(_DB_Exercises!AS427)&gt;0,_DB_Exercises!AS427,"")</f>
        <v/>
      </c>
      <c r="Y313" s="31" t="str">
        <f>IF(LEN(_DB_Exercises!AT427)&gt;0,_DB_Exercises!AT427,"")</f>
        <v/>
      </c>
      <c r="Z313" s="31" t="str">
        <f>IF(LEN(_DB_Exercises!AU427)&gt;0,_DB_Exercises!AU427,"")</f>
        <v/>
      </c>
      <c r="AA313" s="31" t="str">
        <f>IF(LEN(_DB_Exercises!AV427)&gt;0,_DB_Exercises!AV427,"")</f>
        <v/>
      </c>
      <c r="AB313" s="31" t="str">
        <f>IF(LEN(_DB_Exercises!AW427)&gt;0,_DB_Exercises!AW427,"")</f>
        <v/>
      </c>
      <c r="AC313" s="31" t="str">
        <f>IF(LEN(_DB_Exercises!AX427)&gt;0,_DB_Exercises!AX427,"")</f>
        <v/>
      </c>
      <c r="AD313" s="31" t="str">
        <f>IF(LEN(_DB_Exercises!AY427)&gt;0,_DB_Exercises!AY427,"")</f>
        <v/>
      </c>
      <c r="AE313" s="31" t="str">
        <f>IF(LEN(_DB_Exercises!AZ427)&gt;0,_DB_Exercises!AZ427,"")</f>
        <v/>
      </c>
      <c r="AF313" s="31" t="str">
        <f>IF(LEN(_DB_Exercises!BA427)&gt;0,_DB_Exercises!BA427,"")</f>
        <v/>
      </c>
      <c r="AG313" s="31" t="str">
        <f>IF(LEN(_DB_Exercises!BB427)&gt;0,_DB_Exercises!BB427,"")</f>
        <v/>
      </c>
      <c r="AH313" s="31" t="str">
        <f>IF(LEN(_DB_Exercises!BC427)&gt;0,_DB_Exercises!BC427,"")</f>
        <v/>
      </c>
      <c r="AI313" s="31" t="str">
        <f>IF(LEN(_DB_Exercises!BD427)&gt;0,_DB_Exercises!BD427,"")</f>
        <v/>
      </c>
      <c r="AJ313" s="31" t="str">
        <f>IF(LEN(_DB_Exercises!BE427)&gt;0,_DB_Exercises!BE427,"")</f>
        <v/>
      </c>
      <c r="AK313" s="31" t="str">
        <f>IF(LEN(_DB_Exercises!BF427)&gt;0,_DB_Exercises!BF427,"")</f>
        <v/>
      </c>
      <c r="AL313" s="31" t="str">
        <f>IF(LEN(_DB_Exercises!BG427)&gt;0,_DB_Exercises!BG427,"")</f>
        <v/>
      </c>
      <c r="AM313" s="31" t="str">
        <f>IF(LEN(_DB_Exercises!BH427)&gt;0,_DB_Exercises!BH427,"")</f>
        <v/>
      </c>
      <c r="AN313" s="31" t="str">
        <f>IF(LEN(_DB_Exercises!BI427)&gt;0,_DB_Exercises!BI427,"")</f>
        <v/>
      </c>
      <c r="AO313" s="31" t="str">
        <f>IF(LEN(_DB_Exercises!BJ427)&gt;0,_DB_Exercises!BJ427,"")</f>
        <v/>
      </c>
      <c r="AP313" s="31" t="str">
        <f>IF(LEN(_DB_Exercises!BK427)&gt;0,_DB_Exercises!BK427,"")</f>
        <v/>
      </c>
      <c r="AQ313" s="31" t="str">
        <f>IF(LEN(_DB_Exercises!BL427)&gt;0,_DB_Exercises!BL427,"")</f>
        <v/>
      </c>
      <c r="AR313" s="31" t="str">
        <f>IF(LEN(_DB_Exercises!BM427)&gt;0,_DB_Exercises!BM427,"")</f>
        <v/>
      </c>
    </row>
    <row r="314" spans="1:44" x14ac:dyDescent="0.25">
      <c r="A314" s="11" t="str">
        <f>IF(LEN(_DB_Exercises!A428)&gt;0,_DB_Exercises!A428,"")</f>
        <v/>
      </c>
      <c r="B314" s="14" t="str">
        <f>IF(LEN(_DB_Exercises!K428)&gt;0,_DB_Exercises!K428,"")</f>
        <v/>
      </c>
      <c r="C314" s="31" t="str">
        <f>IF(LEN(_DB_Exercises!X428)&gt;0,_DB_Exercises!X428,"")</f>
        <v/>
      </c>
      <c r="D314" s="31" t="str">
        <f>IF(LEN(_DB_Exercises!Y428)&gt;0,_DB_Exercises!Y428,"")</f>
        <v/>
      </c>
      <c r="E314" s="31" t="str">
        <f>IF(LEN(_DB_Exercises!Z428)&gt;0,_DB_Exercises!Z428,"")</f>
        <v/>
      </c>
      <c r="F314" s="31" t="str">
        <f>IF(LEN(_DB_Exercises!AA428)&gt;0,_DB_Exercises!AA428,"")</f>
        <v/>
      </c>
      <c r="G314" s="31" t="str">
        <f>IF(LEN(_DB_Exercises!AB428)&gt;0,_DB_Exercises!AB428,"")</f>
        <v/>
      </c>
      <c r="H314" s="31" t="str">
        <f>IF(LEN(_DB_Exercises!AC428)&gt;0,_DB_Exercises!AC428,"")</f>
        <v/>
      </c>
      <c r="I314" s="31" t="str">
        <f>IF(LEN(_DB_Exercises!AD428)&gt;0,_DB_Exercises!AD428,"")</f>
        <v/>
      </c>
      <c r="J314" s="31" t="str">
        <f>IF(LEN(_DB_Exercises!AE428)&gt;0,_DB_Exercises!AE428,"")</f>
        <v/>
      </c>
      <c r="K314" s="31" t="str">
        <f>IF(LEN(_DB_Exercises!AF428)&gt;0,_DB_Exercises!AF428,"")</f>
        <v/>
      </c>
      <c r="L314" s="31" t="str">
        <f>IF(LEN(_DB_Exercises!AG428)&gt;0,_DB_Exercises!AG428,"")</f>
        <v/>
      </c>
      <c r="M314" s="31" t="str">
        <f>IF(LEN(_DB_Exercises!AH428)&gt;0,_DB_Exercises!AH428,"")</f>
        <v/>
      </c>
      <c r="N314" s="31" t="str">
        <f>IF(LEN(_DB_Exercises!AI428)&gt;0,_DB_Exercises!AI428,"")</f>
        <v/>
      </c>
      <c r="O314" s="31" t="str">
        <f>IF(LEN(_DB_Exercises!AJ428)&gt;0,_DB_Exercises!AJ428,"")</f>
        <v/>
      </c>
      <c r="P314" s="31" t="str">
        <f>IF(LEN(_DB_Exercises!AK428)&gt;0,_DB_Exercises!AK428,"")</f>
        <v/>
      </c>
      <c r="Q314" s="31" t="str">
        <f>IF(LEN(_DB_Exercises!AL428)&gt;0,_DB_Exercises!AL428,"")</f>
        <v/>
      </c>
      <c r="R314" s="31" t="str">
        <f>IF(LEN(_DB_Exercises!AM428)&gt;0,_DB_Exercises!AM428,"")</f>
        <v/>
      </c>
      <c r="S314" s="31" t="str">
        <f>IF(LEN(_DB_Exercises!AN428)&gt;0,_DB_Exercises!AN428,"")</f>
        <v/>
      </c>
      <c r="T314" s="31" t="str">
        <f>IF(LEN(_DB_Exercises!AO428)&gt;0,_DB_Exercises!AO428,"")</f>
        <v/>
      </c>
      <c r="U314" s="31" t="str">
        <f>IF(LEN(_DB_Exercises!AP428)&gt;0,_DB_Exercises!AP428,"")</f>
        <v/>
      </c>
      <c r="V314" s="31" t="str">
        <f>IF(LEN(_DB_Exercises!AQ428)&gt;0,_DB_Exercises!AQ428,"")</f>
        <v/>
      </c>
      <c r="W314" s="31" t="str">
        <f>IF(LEN(_DB_Exercises!AR428)&gt;0,_DB_Exercises!AR428,"")</f>
        <v/>
      </c>
      <c r="X314" s="31" t="str">
        <f>IF(LEN(_DB_Exercises!AS428)&gt;0,_DB_Exercises!AS428,"")</f>
        <v/>
      </c>
      <c r="Y314" s="31" t="str">
        <f>IF(LEN(_DB_Exercises!AT428)&gt;0,_DB_Exercises!AT428,"")</f>
        <v/>
      </c>
      <c r="Z314" s="31" t="str">
        <f>IF(LEN(_DB_Exercises!AU428)&gt;0,_DB_Exercises!AU428,"")</f>
        <v/>
      </c>
      <c r="AA314" s="31" t="str">
        <f>IF(LEN(_DB_Exercises!AV428)&gt;0,_DB_Exercises!AV428,"")</f>
        <v/>
      </c>
      <c r="AB314" s="31" t="str">
        <f>IF(LEN(_DB_Exercises!AW428)&gt;0,_DB_Exercises!AW428,"")</f>
        <v/>
      </c>
      <c r="AC314" s="31" t="str">
        <f>IF(LEN(_DB_Exercises!AX428)&gt;0,_DB_Exercises!AX428,"")</f>
        <v/>
      </c>
      <c r="AD314" s="31" t="str">
        <f>IF(LEN(_DB_Exercises!AY428)&gt;0,_DB_Exercises!AY428,"")</f>
        <v/>
      </c>
      <c r="AE314" s="31" t="str">
        <f>IF(LEN(_DB_Exercises!AZ428)&gt;0,_DB_Exercises!AZ428,"")</f>
        <v/>
      </c>
      <c r="AF314" s="31" t="str">
        <f>IF(LEN(_DB_Exercises!BA428)&gt;0,_DB_Exercises!BA428,"")</f>
        <v/>
      </c>
      <c r="AG314" s="31" t="str">
        <f>IF(LEN(_DB_Exercises!BB428)&gt;0,_DB_Exercises!BB428,"")</f>
        <v/>
      </c>
      <c r="AH314" s="31" t="str">
        <f>IF(LEN(_DB_Exercises!BC428)&gt;0,_DB_Exercises!BC428,"")</f>
        <v/>
      </c>
      <c r="AI314" s="31" t="str">
        <f>IF(LEN(_DB_Exercises!BD428)&gt;0,_DB_Exercises!BD428,"")</f>
        <v/>
      </c>
      <c r="AJ314" s="31" t="str">
        <f>IF(LEN(_DB_Exercises!BE428)&gt;0,_DB_Exercises!BE428,"")</f>
        <v/>
      </c>
      <c r="AK314" s="31" t="str">
        <f>IF(LEN(_DB_Exercises!BF428)&gt;0,_DB_Exercises!BF428,"")</f>
        <v/>
      </c>
      <c r="AL314" s="31" t="str">
        <f>IF(LEN(_DB_Exercises!BG428)&gt;0,_DB_Exercises!BG428,"")</f>
        <v/>
      </c>
      <c r="AM314" s="31" t="str">
        <f>IF(LEN(_DB_Exercises!BH428)&gt;0,_DB_Exercises!BH428,"")</f>
        <v/>
      </c>
      <c r="AN314" s="31" t="str">
        <f>IF(LEN(_DB_Exercises!BI428)&gt;0,_DB_Exercises!BI428,"")</f>
        <v/>
      </c>
      <c r="AO314" s="31" t="str">
        <f>IF(LEN(_DB_Exercises!BJ428)&gt;0,_DB_Exercises!BJ428,"")</f>
        <v/>
      </c>
      <c r="AP314" s="31" t="str">
        <f>IF(LEN(_DB_Exercises!BK428)&gt;0,_DB_Exercises!BK428,"")</f>
        <v/>
      </c>
      <c r="AQ314" s="31" t="str">
        <f>IF(LEN(_DB_Exercises!BL428)&gt;0,_DB_Exercises!BL428,"")</f>
        <v/>
      </c>
      <c r="AR314" s="31" t="str">
        <f>IF(LEN(_DB_Exercises!BM428)&gt;0,_DB_Exercises!BM428,"")</f>
        <v/>
      </c>
    </row>
    <row r="315" spans="1:44" x14ac:dyDescent="0.25">
      <c r="A315" s="11" t="str">
        <f>IF(LEN(_DB_Exercises!A429)&gt;0,_DB_Exercises!A429,"")</f>
        <v/>
      </c>
      <c r="B315" s="14" t="str">
        <f>IF(LEN(_DB_Exercises!K429)&gt;0,_DB_Exercises!K429,"")</f>
        <v/>
      </c>
      <c r="C315" s="31" t="str">
        <f>IF(LEN(_DB_Exercises!X429)&gt;0,_DB_Exercises!X429,"")</f>
        <v/>
      </c>
      <c r="D315" s="31" t="str">
        <f>IF(LEN(_DB_Exercises!Y429)&gt;0,_DB_Exercises!Y429,"")</f>
        <v/>
      </c>
      <c r="E315" s="31" t="str">
        <f>IF(LEN(_DB_Exercises!Z429)&gt;0,_DB_Exercises!Z429,"")</f>
        <v/>
      </c>
      <c r="F315" s="31" t="str">
        <f>IF(LEN(_DB_Exercises!AA429)&gt;0,_DB_Exercises!AA429,"")</f>
        <v/>
      </c>
      <c r="G315" s="31" t="str">
        <f>IF(LEN(_DB_Exercises!AB429)&gt;0,_DB_Exercises!AB429,"")</f>
        <v/>
      </c>
      <c r="H315" s="31" t="str">
        <f>IF(LEN(_DB_Exercises!AC429)&gt;0,_DB_Exercises!AC429,"")</f>
        <v/>
      </c>
      <c r="I315" s="31" t="str">
        <f>IF(LEN(_DB_Exercises!AD429)&gt;0,_DB_Exercises!AD429,"")</f>
        <v/>
      </c>
      <c r="J315" s="31" t="str">
        <f>IF(LEN(_DB_Exercises!AE429)&gt;0,_DB_Exercises!AE429,"")</f>
        <v/>
      </c>
      <c r="K315" s="31" t="str">
        <f>IF(LEN(_DB_Exercises!AF429)&gt;0,_DB_Exercises!AF429,"")</f>
        <v/>
      </c>
      <c r="L315" s="31" t="str">
        <f>IF(LEN(_DB_Exercises!AG429)&gt;0,_DB_Exercises!AG429,"")</f>
        <v/>
      </c>
      <c r="M315" s="31" t="str">
        <f>IF(LEN(_DB_Exercises!AH429)&gt;0,_DB_Exercises!AH429,"")</f>
        <v/>
      </c>
      <c r="N315" s="31" t="str">
        <f>IF(LEN(_DB_Exercises!AI429)&gt;0,_DB_Exercises!AI429,"")</f>
        <v/>
      </c>
      <c r="O315" s="31" t="str">
        <f>IF(LEN(_DB_Exercises!AJ429)&gt;0,_DB_Exercises!AJ429,"")</f>
        <v/>
      </c>
      <c r="P315" s="31" t="str">
        <f>IF(LEN(_DB_Exercises!AK429)&gt;0,_DB_Exercises!AK429,"")</f>
        <v/>
      </c>
      <c r="Q315" s="31" t="str">
        <f>IF(LEN(_DB_Exercises!AL429)&gt;0,_DB_Exercises!AL429,"")</f>
        <v/>
      </c>
      <c r="R315" s="31" t="str">
        <f>IF(LEN(_DB_Exercises!AM429)&gt;0,_DB_Exercises!AM429,"")</f>
        <v/>
      </c>
      <c r="S315" s="31" t="str">
        <f>IF(LEN(_DB_Exercises!AN429)&gt;0,_DB_Exercises!AN429,"")</f>
        <v/>
      </c>
      <c r="T315" s="31" t="str">
        <f>IF(LEN(_DB_Exercises!AO429)&gt;0,_DB_Exercises!AO429,"")</f>
        <v/>
      </c>
      <c r="U315" s="31" t="str">
        <f>IF(LEN(_DB_Exercises!AP429)&gt;0,_DB_Exercises!AP429,"")</f>
        <v/>
      </c>
      <c r="V315" s="31" t="str">
        <f>IF(LEN(_DB_Exercises!AQ429)&gt;0,_DB_Exercises!AQ429,"")</f>
        <v/>
      </c>
      <c r="W315" s="31" t="str">
        <f>IF(LEN(_DB_Exercises!AR429)&gt;0,_DB_Exercises!AR429,"")</f>
        <v/>
      </c>
      <c r="X315" s="31" t="str">
        <f>IF(LEN(_DB_Exercises!AS429)&gt;0,_DB_Exercises!AS429,"")</f>
        <v/>
      </c>
      <c r="Y315" s="31" t="str">
        <f>IF(LEN(_DB_Exercises!AT429)&gt;0,_DB_Exercises!AT429,"")</f>
        <v/>
      </c>
      <c r="Z315" s="31" t="str">
        <f>IF(LEN(_DB_Exercises!AU429)&gt;0,_DB_Exercises!AU429,"")</f>
        <v/>
      </c>
      <c r="AA315" s="31" t="str">
        <f>IF(LEN(_DB_Exercises!AV429)&gt;0,_DB_Exercises!AV429,"")</f>
        <v/>
      </c>
      <c r="AB315" s="31" t="str">
        <f>IF(LEN(_DB_Exercises!AW429)&gt;0,_DB_Exercises!AW429,"")</f>
        <v/>
      </c>
      <c r="AC315" s="31" t="str">
        <f>IF(LEN(_DB_Exercises!AX429)&gt;0,_DB_Exercises!AX429,"")</f>
        <v/>
      </c>
      <c r="AD315" s="31" t="str">
        <f>IF(LEN(_DB_Exercises!AY429)&gt;0,_DB_Exercises!AY429,"")</f>
        <v/>
      </c>
      <c r="AE315" s="31" t="str">
        <f>IF(LEN(_DB_Exercises!AZ429)&gt;0,_DB_Exercises!AZ429,"")</f>
        <v/>
      </c>
      <c r="AF315" s="31" t="str">
        <f>IF(LEN(_DB_Exercises!BA429)&gt;0,_DB_Exercises!BA429,"")</f>
        <v/>
      </c>
      <c r="AG315" s="31" t="str">
        <f>IF(LEN(_DB_Exercises!BB429)&gt;0,_DB_Exercises!BB429,"")</f>
        <v/>
      </c>
      <c r="AH315" s="31" t="str">
        <f>IF(LEN(_DB_Exercises!BC429)&gt;0,_DB_Exercises!BC429,"")</f>
        <v/>
      </c>
      <c r="AI315" s="31" t="str">
        <f>IF(LEN(_DB_Exercises!BD429)&gt;0,_DB_Exercises!BD429,"")</f>
        <v/>
      </c>
      <c r="AJ315" s="31" t="str">
        <f>IF(LEN(_DB_Exercises!BE429)&gt;0,_DB_Exercises!BE429,"")</f>
        <v/>
      </c>
      <c r="AK315" s="31" t="str">
        <f>IF(LEN(_DB_Exercises!BF429)&gt;0,_DB_Exercises!BF429,"")</f>
        <v/>
      </c>
      <c r="AL315" s="31" t="str">
        <f>IF(LEN(_DB_Exercises!BG429)&gt;0,_DB_Exercises!BG429,"")</f>
        <v/>
      </c>
      <c r="AM315" s="31" t="str">
        <f>IF(LEN(_DB_Exercises!BH429)&gt;0,_DB_Exercises!BH429,"")</f>
        <v/>
      </c>
      <c r="AN315" s="31" t="str">
        <f>IF(LEN(_DB_Exercises!BI429)&gt;0,_DB_Exercises!BI429,"")</f>
        <v/>
      </c>
      <c r="AO315" s="31" t="str">
        <f>IF(LEN(_DB_Exercises!BJ429)&gt;0,_DB_Exercises!BJ429,"")</f>
        <v/>
      </c>
      <c r="AP315" s="31" t="str">
        <f>IF(LEN(_DB_Exercises!BK429)&gt;0,_DB_Exercises!BK429,"")</f>
        <v/>
      </c>
      <c r="AQ315" s="31" t="str">
        <f>IF(LEN(_DB_Exercises!BL429)&gt;0,_DB_Exercises!BL429,"")</f>
        <v/>
      </c>
      <c r="AR315" s="31" t="str">
        <f>IF(LEN(_DB_Exercises!BM429)&gt;0,_DB_Exercises!BM429,"")</f>
        <v/>
      </c>
    </row>
    <row r="316" spans="1:44" x14ac:dyDescent="0.25">
      <c r="A316" s="11" t="str">
        <f>IF(LEN(_DB_Exercises!A430)&gt;0,_DB_Exercises!A430,"")</f>
        <v/>
      </c>
      <c r="B316" s="14" t="str">
        <f>IF(LEN(_DB_Exercises!K430)&gt;0,_DB_Exercises!K430,"")</f>
        <v/>
      </c>
      <c r="C316" s="31" t="str">
        <f>IF(LEN(_DB_Exercises!X430)&gt;0,_DB_Exercises!X430,"")</f>
        <v/>
      </c>
      <c r="D316" s="31" t="str">
        <f>IF(LEN(_DB_Exercises!Y430)&gt;0,_DB_Exercises!Y430,"")</f>
        <v/>
      </c>
      <c r="E316" s="31" t="str">
        <f>IF(LEN(_DB_Exercises!Z430)&gt;0,_DB_Exercises!Z430,"")</f>
        <v/>
      </c>
      <c r="F316" s="31" t="str">
        <f>IF(LEN(_DB_Exercises!AA430)&gt;0,_DB_Exercises!AA430,"")</f>
        <v/>
      </c>
      <c r="G316" s="31" t="str">
        <f>IF(LEN(_DB_Exercises!AB430)&gt;0,_DB_Exercises!AB430,"")</f>
        <v/>
      </c>
      <c r="H316" s="31" t="str">
        <f>IF(LEN(_DB_Exercises!AC430)&gt;0,_DB_Exercises!AC430,"")</f>
        <v/>
      </c>
      <c r="I316" s="31" t="str">
        <f>IF(LEN(_DB_Exercises!AD430)&gt;0,_DB_Exercises!AD430,"")</f>
        <v/>
      </c>
      <c r="J316" s="31" t="str">
        <f>IF(LEN(_DB_Exercises!AE430)&gt;0,_DB_Exercises!AE430,"")</f>
        <v/>
      </c>
      <c r="K316" s="31" t="str">
        <f>IF(LEN(_DB_Exercises!AF430)&gt;0,_DB_Exercises!AF430,"")</f>
        <v/>
      </c>
      <c r="L316" s="31" t="str">
        <f>IF(LEN(_DB_Exercises!AG430)&gt;0,_DB_Exercises!AG430,"")</f>
        <v/>
      </c>
      <c r="M316" s="31" t="str">
        <f>IF(LEN(_DB_Exercises!AH430)&gt;0,_DB_Exercises!AH430,"")</f>
        <v/>
      </c>
      <c r="N316" s="31" t="str">
        <f>IF(LEN(_DB_Exercises!AI430)&gt;0,_DB_Exercises!AI430,"")</f>
        <v/>
      </c>
      <c r="O316" s="31" t="str">
        <f>IF(LEN(_DB_Exercises!AJ430)&gt;0,_DB_Exercises!AJ430,"")</f>
        <v/>
      </c>
      <c r="P316" s="31" t="str">
        <f>IF(LEN(_DB_Exercises!AK430)&gt;0,_DB_Exercises!AK430,"")</f>
        <v/>
      </c>
      <c r="Q316" s="31" t="str">
        <f>IF(LEN(_DB_Exercises!AL430)&gt;0,_DB_Exercises!AL430,"")</f>
        <v/>
      </c>
      <c r="R316" s="31" t="str">
        <f>IF(LEN(_DB_Exercises!AM430)&gt;0,_DB_Exercises!AM430,"")</f>
        <v/>
      </c>
      <c r="S316" s="31" t="str">
        <f>IF(LEN(_DB_Exercises!AN430)&gt;0,_DB_Exercises!AN430,"")</f>
        <v/>
      </c>
      <c r="T316" s="31" t="str">
        <f>IF(LEN(_DB_Exercises!AO430)&gt;0,_DB_Exercises!AO430,"")</f>
        <v/>
      </c>
      <c r="U316" s="31" t="str">
        <f>IF(LEN(_DB_Exercises!AP430)&gt;0,_DB_Exercises!AP430,"")</f>
        <v/>
      </c>
      <c r="V316" s="31" t="str">
        <f>IF(LEN(_DB_Exercises!AQ430)&gt;0,_DB_Exercises!AQ430,"")</f>
        <v/>
      </c>
      <c r="W316" s="31" t="str">
        <f>IF(LEN(_DB_Exercises!AR430)&gt;0,_DB_Exercises!AR430,"")</f>
        <v/>
      </c>
      <c r="X316" s="31" t="str">
        <f>IF(LEN(_DB_Exercises!AS430)&gt;0,_DB_Exercises!AS430,"")</f>
        <v/>
      </c>
      <c r="Y316" s="31" t="str">
        <f>IF(LEN(_DB_Exercises!AT430)&gt;0,_DB_Exercises!AT430,"")</f>
        <v/>
      </c>
      <c r="Z316" s="31" t="str">
        <f>IF(LEN(_DB_Exercises!AU430)&gt;0,_DB_Exercises!AU430,"")</f>
        <v/>
      </c>
      <c r="AA316" s="31" t="str">
        <f>IF(LEN(_DB_Exercises!AV430)&gt;0,_DB_Exercises!AV430,"")</f>
        <v/>
      </c>
      <c r="AB316" s="31" t="str">
        <f>IF(LEN(_DB_Exercises!AW430)&gt;0,_DB_Exercises!AW430,"")</f>
        <v/>
      </c>
      <c r="AC316" s="31" t="str">
        <f>IF(LEN(_DB_Exercises!AX430)&gt;0,_DB_Exercises!AX430,"")</f>
        <v/>
      </c>
      <c r="AD316" s="31" t="str">
        <f>IF(LEN(_DB_Exercises!AY430)&gt;0,_DB_Exercises!AY430,"")</f>
        <v/>
      </c>
      <c r="AE316" s="31" t="str">
        <f>IF(LEN(_DB_Exercises!AZ430)&gt;0,_DB_Exercises!AZ430,"")</f>
        <v/>
      </c>
      <c r="AF316" s="31" t="str">
        <f>IF(LEN(_DB_Exercises!BA430)&gt;0,_DB_Exercises!BA430,"")</f>
        <v/>
      </c>
      <c r="AG316" s="31" t="str">
        <f>IF(LEN(_DB_Exercises!BB430)&gt;0,_DB_Exercises!BB430,"")</f>
        <v/>
      </c>
      <c r="AH316" s="31" t="str">
        <f>IF(LEN(_DB_Exercises!BC430)&gt;0,_DB_Exercises!BC430,"")</f>
        <v/>
      </c>
      <c r="AI316" s="31" t="str">
        <f>IF(LEN(_DB_Exercises!BD430)&gt;0,_DB_Exercises!BD430,"")</f>
        <v/>
      </c>
      <c r="AJ316" s="31" t="str">
        <f>IF(LEN(_DB_Exercises!BE430)&gt;0,_DB_Exercises!BE430,"")</f>
        <v/>
      </c>
      <c r="AK316" s="31" t="str">
        <f>IF(LEN(_DB_Exercises!BF430)&gt;0,_DB_Exercises!BF430,"")</f>
        <v/>
      </c>
      <c r="AL316" s="31" t="str">
        <f>IF(LEN(_DB_Exercises!BG430)&gt;0,_DB_Exercises!BG430,"")</f>
        <v/>
      </c>
      <c r="AM316" s="31" t="str">
        <f>IF(LEN(_DB_Exercises!BH430)&gt;0,_DB_Exercises!BH430,"")</f>
        <v/>
      </c>
      <c r="AN316" s="31" t="str">
        <f>IF(LEN(_DB_Exercises!BI430)&gt;0,_DB_Exercises!BI430,"")</f>
        <v/>
      </c>
      <c r="AO316" s="31" t="str">
        <f>IF(LEN(_DB_Exercises!BJ430)&gt;0,_DB_Exercises!BJ430,"")</f>
        <v/>
      </c>
      <c r="AP316" s="31" t="str">
        <f>IF(LEN(_DB_Exercises!BK430)&gt;0,_DB_Exercises!BK430,"")</f>
        <v/>
      </c>
      <c r="AQ316" s="31" t="str">
        <f>IF(LEN(_DB_Exercises!BL430)&gt;0,_DB_Exercises!BL430,"")</f>
        <v/>
      </c>
      <c r="AR316" s="31" t="str">
        <f>IF(LEN(_DB_Exercises!BM430)&gt;0,_DB_Exercises!BM430,"")</f>
        <v/>
      </c>
    </row>
    <row r="317" spans="1:44" x14ac:dyDescent="0.25">
      <c r="A317" s="11" t="str">
        <f>IF(LEN(_DB_Exercises!A431)&gt;0,_DB_Exercises!A431,"")</f>
        <v/>
      </c>
      <c r="B317" s="14" t="str">
        <f>IF(LEN(_DB_Exercises!K431)&gt;0,_DB_Exercises!K431,"")</f>
        <v/>
      </c>
      <c r="C317" s="31" t="str">
        <f>IF(LEN(_DB_Exercises!X431)&gt;0,_DB_Exercises!X431,"")</f>
        <v/>
      </c>
      <c r="D317" s="31" t="str">
        <f>IF(LEN(_DB_Exercises!Y431)&gt;0,_DB_Exercises!Y431,"")</f>
        <v/>
      </c>
      <c r="E317" s="31" t="str">
        <f>IF(LEN(_DB_Exercises!Z431)&gt;0,_DB_Exercises!Z431,"")</f>
        <v/>
      </c>
      <c r="F317" s="31" t="str">
        <f>IF(LEN(_DB_Exercises!AA431)&gt;0,_DB_Exercises!AA431,"")</f>
        <v/>
      </c>
      <c r="G317" s="31" t="str">
        <f>IF(LEN(_DB_Exercises!AB431)&gt;0,_DB_Exercises!AB431,"")</f>
        <v/>
      </c>
      <c r="H317" s="31" t="str">
        <f>IF(LEN(_DB_Exercises!AC431)&gt;0,_DB_Exercises!AC431,"")</f>
        <v/>
      </c>
      <c r="I317" s="31" t="str">
        <f>IF(LEN(_DB_Exercises!AD431)&gt;0,_DB_Exercises!AD431,"")</f>
        <v/>
      </c>
      <c r="J317" s="31" t="str">
        <f>IF(LEN(_DB_Exercises!AE431)&gt;0,_DB_Exercises!AE431,"")</f>
        <v/>
      </c>
      <c r="K317" s="31" t="str">
        <f>IF(LEN(_DB_Exercises!AF431)&gt;0,_DB_Exercises!AF431,"")</f>
        <v/>
      </c>
      <c r="L317" s="31" t="str">
        <f>IF(LEN(_DB_Exercises!AG431)&gt;0,_DB_Exercises!AG431,"")</f>
        <v/>
      </c>
      <c r="M317" s="31" t="str">
        <f>IF(LEN(_DB_Exercises!AH431)&gt;0,_DB_Exercises!AH431,"")</f>
        <v/>
      </c>
      <c r="N317" s="31" t="str">
        <f>IF(LEN(_DB_Exercises!AI431)&gt;0,_DB_Exercises!AI431,"")</f>
        <v/>
      </c>
      <c r="O317" s="31" t="str">
        <f>IF(LEN(_DB_Exercises!AJ431)&gt;0,_DB_Exercises!AJ431,"")</f>
        <v/>
      </c>
      <c r="P317" s="31" t="str">
        <f>IF(LEN(_DB_Exercises!AK431)&gt;0,_DB_Exercises!AK431,"")</f>
        <v/>
      </c>
      <c r="Q317" s="31" t="str">
        <f>IF(LEN(_DB_Exercises!AL431)&gt;0,_DB_Exercises!AL431,"")</f>
        <v/>
      </c>
      <c r="R317" s="31" t="str">
        <f>IF(LEN(_DB_Exercises!AM431)&gt;0,_DB_Exercises!AM431,"")</f>
        <v/>
      </c>
      <c r="S317" s="31" t="str">
        <f>IF(LEN(_DB_Exercises!AN431)&gt;0,_DB_Exercises!AN431,"")</f>
        <v/>
      </c>
      <c r="T317" s="31" t="str">
        <f>IF(LEN(_DB_Exercises!AO431)&gt;0,_DB_Exercises!AO431,"")</f>
        <v/>
      </c>
      <c r="U317" s="31" t="str">
        <f>IF(LEN(_DB_Exercises!AP431)&gt;0,_DB_Exercises!AP431,"")</f>
        <v/>
      </c>
      <c r="V317" s="31" t="str">
        <f>IF(LEN(_DB_Exercises!AQ431)&gt;0,_DB_Exercises!AQ431,"")</f>
        <v/>
      </c>
      <c r="W317" s="31" t="str">
        <f>IF(LEN(_DB_Exercises!AR431)&gt;0,_DB_Exercises!AR431,"")</f>
        <v/>
      </c>
      <c r="X317" s="31" t="str">
        <f>IF(LEN(_DB_Exercises!AS431)&gt;0,_DB_Exercises!AS431,"")</f>
        <v/>
      </c>
      <c r="Y317" s="31" t="str">
        <f>IF(LEN(_DB_Exercises!AT431)&gt;0,_DB_Exercises!AT431,"")</f>
        <v/>
      </c>
      <c r="Z317" s="31" t="str">
        <f>IF(LEN(_DB_Exercises!AU431)&gt;0,_DB_Exercises!AU431,"")</f>
        <v/>
      </c>
      <c r="AA317" s="31" t="str">
        <f>IF(LEN(_DB_Exercises!AV431)&gt;0,_DB_Exercises!AV431,"")</f>
        <v/>
      </c>
      <c r="AB317" s="31" t="str">
        <f>IF(LEN(_DB_Exercises!AW431)&gt;0,_DB_Exercises!AW431,"")</f>
        <v/>
      </c>
      <c r="AC317" s="31" t="str">
        <f>IF(LEN(_DB_Exercises!AX431)&gt;0,_DB_Exercises!AX431,"")</f>
        <v/>
      </c>
      <c r="AD317" s="31" t="str">
        <f>IF(LEN(_DB_Exercises!AY431)&gt;0,_DB_Exercises!AY431,"")</f>
        <v/>
      </c>
      <c r="AE317" s="31" t="str">
        <f>IF(LEN(_DB_Exercises!AZ431)&gt;0,_DB_Exercises!AZ431,"")</f>
        <v/>
      </c>
      <c r="AF317" s="31" t="str">
        <f>IF(LEN(_DB_Exercises!BA431)&gt;0,_DB_Exercises!BA431,"")</f>
        <v/>
      </c>
      <c r="AG317" s="31" t="str">
        <f>IF(LEN(_DB_Exercises!BB431)&gt;0,_DB_Exercises!BB431,"")</f>
        <v/>
      </c>
      <c r="AH317" s="31" t="str">
        <f>IF(LEN(_DB_Exercises!BC431)&gt;0,_DB_Exercises!BC431,"")</f>
        <v/>
      </c>
      <c r="AI317" s="31" t="str">
        <f>IF(LEN(_DB_Exercises!BD431)&gt;0,_DB_Exercises!BD431,"")</f>
        <v/>
      </c>
      <c r="AJ317" s="31" t="str">
        <f>IF(LEN(_DB_Exercises!BE431)&gt;0,_DB_Exercises!BE431,"")</f>
        <v/>
      </c>
      <c r="AK317" s="31" t="str">
        <f>IF(LEN(_DB_Exercises!BF431)&gt;0,_DB_Exercises!BF431,"")</f>
        <v/>
      </c>
      <c r="AL317" s="31" t="str">
        <f>IF(LEN(_DB_Exercises!BG431)&gt;0,_DB_Exercises!BG431,"")</f>
        <v/>
      </c>
      <c r="AM317" s="31" t="str">
        <f>IF(LEN(_DB_Exercises!BH431)&gt;0,_DB_Exercises!BH431,"")</f>
        <v/>
      </c>
      <c r="AN317" s="31" t="str">
        <f>IF(LEN(_DB_Exercises!BI431)&gt;0,_DB_Exercises!BI431,"")</f>
        <v/>
      </c>
      <c r="AO317" s="31" t="str">
        <f>IF(LEN(_DB_Exercises!BJ431)&gt;0,_DB_Exercises!BJ431,"")</f>
        <v/>
      </c>
      <c r="AP317" s="31" t="str">
        <f>IF(LEN(_DB_Exercises!BK431)&gt;0,_DB_Exercises!BK431,"")</f>
        <v/>
      </c>
      <c r="AQ317" s="31" t="str">
        <f>IF(LEN(_DB_Exercises!BL431)&gt;0,_DB_Exercises!BL431,"")</f>
        <v/>
      </c>
      <c r="AR317" s="31" t="str">
        <f>IF(LEN(_DB_Exercises!BM431)&gt;0,_DB_Exercises!BM431,"")</f>
        <v/>
      </c>
    </row>
    <row r="318" spans="1:44" x14ac:dyDescent="0.25">
      <c r="A318" s="11" t="str">
        <f>IF(LEN(_DB_Exercises!A432)&gt;0,_DB_Exercises!A432,"")</f>
        <v/>
      </c>
      <c r="B318" s="14" t="str">
        <f>IF(LEN(_DB_Exercises!K432)&gt;0,_DB_Exercises!K432,"")</f>
        <v/>
      </c>
      <c r="C318" s="31" t="str">
        <f>IF(LEN(_DB_Exercises!X432)&gt;0,_DB_Exercises!X432,"")</f>
        <v/>
      </c>
      <c r="D318" s="31" t="str">
        <f>IF(LEN(_DB_Exercises!Y432)&gt;0,_DB_Exercises!Y432,"")</f>
        <v/>
      </c>
      <c r="E318" s="31" t="str">
        <f>IF(LEN(_DB_Exercises!Z432)&gt;0,_DB_Exercises!Z432,"")</f>
        <v/>
      </c>
      <c r="F318" s="31" t="str">
        <f>IF(LEN(_DB_Exercises!AA432)&gt;0,_DB_Exercises!AA432,"")</f>
        <v/>
      </c>
      <c r="G318" s="31" t="str">
        <f>IF(LEN(_DB_Exercises!AB432)&gt;0,_DB_Exercises!AB432,"")</f>
        <v/>
      </c>
      <c r="H318" s="31" t="str">
        <f>IF(LEN(_DB_Exercises!AC432)&gt;0,_DB_Exercises!AC432,"")</f>
        <v/>
      </c>
      <c r="I318" s="31" t="str">
        <f>IF(LEN(_DB_Exercises!AD432)&gt;0,_DB_Exercises!AD432,"")</f>
        <v/>
      </c>
      <c r="J318" s="31" t="str">
        <f>IF(LEN(_DB_Exercises!AE432)&gt;0,_DB_Exercises!AE432,"")</f>
        <v/>
      </c>
      <c r="K318" s="31" t="str">
        <f>IF(LEN(_DB_Exercises!AF432)&gt;0,_DB_Exercises!AF432,"")</f>
        <v/>
      </c>
      <c r="L318" s="31" t="str">
        <f>IF(LEN(_DB_Exercises!AG432)&gt;0,_DB_Exercises!AG432,"")</f>
        <v/>
      </c>
      <c r="M318" s="31" t="str">
        <f>IF(LEN(_DB_Exercises!AH432)&gt;0,_DB_Exercises!AH432,"")</f>
        <v/>
      </c>
      <c r="N318" s="31" t="str">
        <f>IF(LEN(_DB_Exercises!AI432)&gt;0,_DB_Exercises!AI432,"")</f>
        <v/>
      </c>
      <c r="O318" s="31" t="str">
        <f>IF(LEN(_DB_Exercises!AJ432)&gt;0,_DB_Exercises!AJ432,"")</f>
        <v/>
      </c>
      <c r="P318" s="31" t="str">
        <f>IF(LEN(_DB_Exercises!AK432)&gt;0,_DB_Exercises!AK432,"")</f>
        <v/>
      </c>
      <c r="Q318" s="31" t="str">
        <f>IF(LEN(_DB_Exercises!AL432)&gt;0,_DB_Exercises!AL432,"")</f>
        <v/>
      </c>
      <c r="R318" s="31" t="str">
        <f>IF(LEN(_DB_Exercises!AM432)&gt;0,_DB_Exercises!AM432,"")</f>
        <v/>
      </c>
      <c r="S318" s="31" t="str">
        <f>IF(LEN(_DB_Exercises!AN432)&gt;0,_DB_Exercises!AN432,"")</f>
        <v/>
      </c>
      <c r="T318" s="31" t="str">
        <f>IF(LEN(_DB_Exercises!AO432)&gt;0,_DB_Exercises!AO432,"")</f>
        <v/>
      </c>
      <c r="U318" s="31" t="str">
        <f>IF(LEN(_DB_Exercises!AP432)&gt;0,_DB_Exercises!AP432,"")</f>
        <v/>
      </c>
      <c r="V318" s="31" t="str">
        <f>IF(LEN(_DB_Exercises!AQ432)&gt;0,_DB_Exercises!AQ432,"")</f>
        <v/>
      </c>
      <c r="W318" s="31" t="str">
        <f>IF(LEN(_DB_Exercises!AR432)&gt;0,_DB_Exercises!AR432,"")</f>
        <v/>
      </c>
      <c r="X318" s="31" t="str">
        <f>IF(LEN(_DB_Exercises!AS432)&gt;0,_DB_Exercises!AS432,"")</f>
        <v/>
      </c>
      <c r="Y318" s="31" t="str">
        <f>IF(LEN(_DB_Exercises!AT432)&gt;0,_DB_Exercises!AT432,"")</f>
        <v/>
      </c>
      <c r="Z318" s="31" t="str">
        <f>IF(LEN(_DB_Exercises!AU432)&gt;0,_DB_Exercises!AU432,"")</f>
        <v/>
      </c>
      <c r="AA318" s="31" t="str">
        <f>IF(LEN(_DB_Exercises!AV432)&gt;0,_DB_Exercises!AV432,"")</f>
        <v/>
      </c>
      <c r="AB318" s="31" t="str">
        <f>IF(LEN(_DB_Exercises!AW432)&gt;0,_DB_Exercises!AW432,"")</f>
        <v/>
      </c>
      <c r="AC318" s="31" t="str">
        <f>IF(LEN(_DB_Exercises!AX432)&gt;0,_DB_Exercises!AX432,"")</f>
        <v/>
      </c>
      <c r="AD318" s="31" t="str">
        <f>IF(LEN(_DB_Exercises!AY432)&gt;0,_DB_Exercises!AY432,"")</f>
        <v/>
      </c>
      <c r="AE318" s="31" t="str">
        <f>IF(LEN(_DB_Exercises!AZ432)&gt;0,_DB_Exercises!AZ432,"")</f>
        <v/>
      </c>
      <c r="AF318" s="31" t="str">
        <f>IF(LEN(_DB_Exercises!BA432)&gt;0,_DB_Exercises!BA432,"")</f>
        <v/>
      </c>
      <c r="AG318" s="31" t="str">
        <f>IF(LEN(_DB_Exercises!BB432)&gt;0,_DB_Exercises!BB432,"")</f>
        <v/>
      </c>
      <c r="AH318" s="31" t="str">
        <f>IF(LEN(_DB_Exercises!BC432)&gt;0,_DB_Exercises!BC432,"")</f>
        <v/>
      </c>
      <c r="AI318" s="31" t="str">
        <f>IF(LEN(_DB_Exercises!BD432)&gt;0,_DB_Exercises!BD432,"")</f>
        <v/>
      </c>
      <c r="AJ318" s="31" t="str">
        <f>IF(LEN(_DB_Exercises!BE432)&gt;0,_DB_Exercises!BE432,"")</f>
        <v/>
      </c>
      <c r="AK318" s="31" t="str">
        <f>IF(LEN(_DB_Exercises!BF432)&gt;0,_DB_Exercises!BF432,"")</f>
        <v/>
      </c>
      <c r="AL318" s="31" t="str">
        <f>IF(LEN(_DB_Exercises!BG432)&gt;0,_DB_Exercises!BG432,"")</f>
        <v/>
      </c>
      <c r="AM318" s="31" t="str">
        <f>IF(LEN(_DB_Exercises!BH432)&gt;0,_DB_Exercises!BH432,"")</f>
        <v/>
      </c>
      <c r="AN318" s="31" t="str">
        <f>IF(LEN(_DB_Exercises!BI432)&gt;0,_DB_Exercises!BI432,"")</f>
        <v/>
      </c>
      <c r="AO318" s="31" t="str">
        <f>IF(LEN(_DB_Exercises!BJ432)&gt;0,_DB_Exercises!BJ432,"")</f>
        <v/>
      </c>
      <c r="AP318" s="31" t="str">
        <f>IF(LEN(_DB_Exercises!BK432)&gt;0,_DB_Exercises!BK432,"")</f>
        <v/>
      </c>
      <c r="AQ318" s="31" t="str">
        <f>IF(LEN(_DB_Exercises!BL432)&gt;0,_DB_Exercises!BL432,"")</f>
        <v/>
      </c>
      <c r="AR318" s="31" t="str">
        <f>IF(LEN(_DB_Exercises!BM432)&gt;0,_DB_Exercises!BM432,"")</f>
        <v/>
      </c>
    </row>
    <row r="319" spans="1:44" x14ac:dyDescent="0.25">
      <c r="A319" s="11" t="str">
        <f>IF(LEN(_DB_Exercises!A433)&gt;0,_DB_Exercises!A433,"")</f>
        <v/>
      </c>
      <c r="B319" s="14" t="str">
        <f>IF(LEN(_DB_Exercises!K433)&gt;0,_DB_Exercises!K433,"")</f>
        <v/>
      </c>
      <c r="C319" s="31" t="str">
        <f>IF(LEN(_DB_Exercises!X433)&gt;0,_DB_Exercises!X433,"")</f>
        <v/>
      </c>
      <c r="D319" s="31" t="str">
        <f>IF(LEN(_DB_Exercises!Y433)&gt;0,_DB_Exercises!Y433,"")</f>
        <v/>
      </c>
      <c r="E319" s="31" t="str">
        <f>IF(LEN(_DB_Exercises!Z433)&gt;0,_DB_Exercises!Z433,"")</f>
        <v/>
      </c>
      <c r="F319" s="31" t="str">
        <f>IF(LEN(_DB_Exercises!AA433)&gt;0,_DB_Exercises!AA433,"")</f>
        <v/>
      </c>
      <c r="G319" s="31" t="str">
        <f>IF(LEN(_DB_Exercises!AB433)&gt;0,_DB_Exercises!AB433,"")</f>
        <v/>
      </c>
      <c r="H319" s="31" t="str">
        <f>IF(LEN(_DB_Exercises!AC433)&gt;0,_DB_Exercises!AC433,"")</f>
        <v/>
      </c>
      <c r="I319" s="31" t="str">
        <f>IF(LEN(_DB_Exercises!AD433)&gt;0,_DB_Exercises!AD433,"")</f>
        <v/>
      </c>
      <c r="J319" s="31" t="str">
        <f>IF(LEN(_DB_Exercises!AE433)&gt;0,_DB_Exercises!AE433,"")</f>
        <v/>
      </c>
      <c r="K319" s="31" t="str">
        <f>IF(LEN(_DB_Exercises!AF433)&gt;0,_DB_Exercises!AF433,"")</f>
        <v/>
      </c>
      <c r="L319" s="31" t="str">
        <f>IF(LEN(_DB_Exercises!AG433)&gt;0,_DB_Exercises!AG433,"")</f>
        <v/>
      </c>
      <c r="M319" s="31" t="str">
        <f>IF(LEN(_DB_Exercises!AH433)&gt;0,_DB_Exercises!AH433,"")</f>
        <v/>
      </c>
      <c r="N319" s="31" t="str">
        <f>IF(LEN(_DB_Exercises!AI433)&gt;0,_DB_Exercises!AI433,"")</f>
        <v/>
      </c>
      <c r="O319" s="31" t="str">
        <f>IF(LEN(_DB_Exercises!AJ433)&gt;0,_DB_Exercises!AJ433,"")</f>
        <v/>
      </c>
      <c r="P319" s="31" t="str">
        <f>IF(LEN(_DB_Exercises!AK433)&gt;0,_DB_Exercises!AK433,"")</f>
        <v/>
      </c>
      <c r="Q319" s="31" t="str">
        <f>IF(LEN(_DB_Exercises!AL433)&gt;0,_DB_Exercises!AL433,"")</f>
        <v/>
      </c>
      <c r="R319" s="31" t="str">
        <f>IF(LEN(_DB_Exercises!AM433)&gt;0,_DB_Exercises!AM433,"")</f>
        <v/>
      </c>
      <c r="S319" s="31" t="str">
        <f>IF(LEN(_DB_Exercises!AN433)&gt;0,_DB_Exercises!AN433,"")</f>
        <v/>
      </c>
      <c r="T319" s="31" t="str">
        <f>IF(LEN(_DB_Exercises!AO433)&gt;0,_DB_Exercises!AO433,"")</f>
        <v/>
      </c>
      <c r="U319" s="31" t="str">
        <f>IF(LEN(_DB_Exercises!AP433)&gt;0,_DB_Exercises!AP433,"")</f>
        <v/>
      </c>
      <c r="V319" s="31" t="str">
        <f>IF(LEN(_DB_Exercises!AQ433)&gt;0,_DB_Exercises!AQ433,"")</f>
        <v/>
      </c>
      <c r="W319" s="31" t="str">
        <f>IF(LEN(_DB_Exercises!AR433)&gt;0,_DB_Exercises!AR433,"")</f>
        <v/>
      </c>
      <c r="X319" s="31" t="str">
        <f>IF(LEN(_DB_Exercises!AS433)&gt;0,_DB_Exercises!AS433,"")</f>
        <v/>
      </c>
      <c r="Y319" s="31" t="str">
        <f>IF(LEN(_DB_Exercises!AT433)&gt;0,_DB_Exercises!AT433,"")</f>
        <v/>
      </c>
      <c r="Z319" s="31" t="str">
        <f>IF(LEN(_DB_Exercises!AU433)&gt;0,_DB_Exercises!AU433,"")</f>
        <v/>
      </c>
      <c r="AA319" s="31" t="str">
        <f>IF(LEN(_DB_Exercises!AV433)&gt;0,_DB_Exercises!AV433,"")</f>
        <v/>
      </c>
      <c r="AB319" s="31" t="str">
        <f>IF(LEN(_DB_Exercises!AW433)&gt;0,_DB_Exercises!AW433,"")</f>
        <v/>
      </c>
      <c r="AC319" s="31" t="str">
        <f>IF(LEN(_DB_Exercises!AX433)&gt;0,_DB_Exercises!AX433,"")</f>
        <v/>
      </c>
      <c r="AD319" s="31" t="str">
        <f>IF(LEN(_DB_Exercises!AY433)&gt;0,_DB_Exercises!AY433,"")</f>
        <v/>
      </c>
      <c r="AE319" s="31" t="str">
        <f>IF(LEN(_DB_Exercises!AZ433)&gt;0,_DB_Exercises!AZ433,"")</f>
        <v/>
      </c>
      <c r="AF319" s="31" t="str">
        <f>IF(LEN(_DB_Exercises!BA433)&gt;0,_DB_Exercises!BA433,"")</f>
        <v/>
      </c>
      <c r="AG319" s="31" t="str">
        <f>IF(LEN(_DB_Exercises!BB433)&gt;0,_DB_Exercises!BB433,"")</f>
        <v/>
      </c>
      <c r="AH319" s="31" t="str">
        <f>IF(LEN(_DB_Exercises!BC433)&gt;0,_DB_Exercises!BC433,"")</f>
        <v/>
      </c>
      <c r="AI319" s="31" t="str">
        <f>IF(LEN(_DB_Exercises!BD433)&gt;0,_DB_Exercises!BD433,"")</f>
        <v/>
      </c>
      <c r="AJ319" s="31" t="str">
        <f>IF(LEN(_DB_Exercises!BE433)&gt;0,_DB_Exercises!BE433,"")</f>
        <v/>
      </c>
      <c r="AK319" s="31" t="str">
        <f>IF(LEN(_DB_Exercises!BF433)&gt;0,_DB_Exercises!BF433,"")</f>
        <v/>
      </c>
      <c r="AL319" s="31" t="str">
        <f>IF(LEN(_DB_Exercises!BG433)&gt;0,_DB_Exercises!BG433,"")</f>
        <v/>
      </c>
      <c r="AM319" s="31" t="str">
        <f>IF(LEN(_DB_Exercises!BH433)&gt;0,_DB_Exercises!BH433,"")</f>
        <v/>
      </c>
      <c r="AN319" s="31" t="str">
        <f>IF(LEN(_DB_Exercises!BI433)&gt;0,_DB_Exercises!BI433,"")</f>
        <v/>
      </c>
      <c r="AO319" s="31" t="str">
        <f>IF(LEN(_DB_Exercises!BJ433)&gt;0,_DB_Exercises!BJ433,"")</f>
        <v/>
      </c>
      <c r="AP319" s="31" t="str">
        <f>IF(LEN(_DB_Exercises!BK433)&gt;0,_DB_Exercises!BK433,"")</f>
        <v/>
      </c>
      <c r="AQ319" s="31" t="str">
        <f>IF(LEN(_DB_Exercises!BL433)&gt;0,_DB_Exercises!BL433,"")</f>
        <v/>
      </c>
      <c r="AR319" s="31" t="str">
        <f>IF(LEN(_DB_Exercises!BM433)&gt;0,_DB_Exercises!BM433,"")</f>
        <v/>
      </c>
    </row>
    <row r="320" spans="1:44" x14ac:dyDescent="0.25">
      <c r="A320" s="11" t="str">
        <f>IF(LEN(_DB_Exercises!A434)&gt;0,_DB_Exercises!A434,"")</f>
        <v/>
      </c>
      <c r="B320" s="14" t="str">
        <f>IF(LEN(_DB_Exercises!K434)&gt;0,_DB_Exercises!K434,"")</f>
        <v/>
      </c>
      <c r="C320" s="31" t="str">
        <f>IF(LEN(_DB_Exercises!X434)&gt;0,_DB_Exercises!X434,"")</f>
        <v/>
      </c>
      <c r="D320" s="31" t="str">
        <f>IF(LEN(_DB_Exercises!Y434)&gt;0,_DB_Exercises!Y434,"")</f>
        <v/>
      </c>
      <c r="E320" s="31" t="str">
        <f>IF(LEN(_DB_Exercises!Z434)&gt;0,_DB_Exercises!Z434,"")</f>
        <v/>
      </c>
      <c r="F320" s="31" t="str">
        <f>IF(LEN(_DB_Exercises!AA434)&gt;0,_DB_Exercises!AA434,"")</f>
        <v/>
      </c>
      <c r="G320" s="31" t="str">
        <f>IF(LEN(_DB_Exercises!AB434)&gt;0,_DB_Exercises!AB434,"")</f>
        <v/>
      </c>
      <c r="H320" s="31" t="str">
        <f>IF(LEN(_DB_Exercises!AC434)&gt;0,_DB_Exercises!AC434,"")</f>
        <v/>
      </c>
      <c r="I320" s="31" t="str">
        <f>IF(LEN(_DB_Exercises!AD434)&gt;0,_DB_Exercises!AD434,"")</f>
        <v/>
      </c>
      <c r="J320" s="31" t="str">
        <f>IF(LEN(_DB_Exercises!AE434)&gt;0,_DB_Exercises!AE434,"")</f>
        <v/>
      </c>
      <c r="K320" s="31" t="str">
        <f>IF(LEN(_DB_Exercises!AF434)&gt;0,_DB_Exercises!AF434,"")</f>
        <v/>
      </c>
      <c r="L320" s="31" t="str">
        <f>IF(LEN(_DB_Exercises!AG434)&gt;0,_DB_Exercises!AG434,"")</f>
        <v/>
      </c>
      <c r="M320" s="31" t="str">
        <f>IF(LEN(_DB_Exercises!AH434)&gt;0,_DB_Exercises!AH434,"")</f>
        <v/>
      </c>
      <c r="N320" s="31" t="str">
        <f>IF(LEN(_DB_Exercises!AI434)&gt;0,_DB_Exercises!AI434,"")</f>
        <v/>
      </c>
      <c r="O320" s="31" t="str">
        <f>IF(LEN(_DB_Exercises!AJ434)&gt;0,_DB_Exercises!AJ434,"")</f>
        <v/>
      </c>
      <c r="P320" s="31" t="str">
        <f>IF(LEN(_DB_Exercises!AK434)&gt;0,_DB_Exercises!AK434,"")</f>
        <v/>
      </c>
      <c r="Q320" s="31" t="str">
        <f>IF(LEN(_DB_Exercises!AL434)&gt;0,_DB_Exercises!AL434,"")</f>
        <v/>
      </c>
      <c r="R320" s="31" t="str">
        <f>IF(LEN(_DB_Exercises!AM434)&gt;0,_DB_Exercises!AM434,"")</f>
        <v/>
      </c>
      <c r="S320" s="31" t="str">
        <f>IF(LEN(_DB_Exercises!AN434)&gt;0,_DB_Exercises!AN434,"")</f>
        <v/>
      </c>
      <c r="T320" s="31" t="str">
        <f>IF(LEN(_DB_Exercises!AO434)&gt;0,_DB_Exercises!AO434,"")</f>
        <v/>
      </c>
      <c r="U320" s="31" t="str">
        <f>IF(LEN(_DB_Exercises!AP434)&gt;0,_DB_Exercises!AP434,"")</f>
        <v/>
      </c>
      <c r="V320" s="31" t="str">
        <f>IF(LEN(_DB_Exercises!AQ434)&gt;0,_DB_Exercises!AQ434,"")</f>
        <v/>
      </c>
      <c r="W320" s="31" t="str">
        <f>IF(LEN(_DB_Exercises!AR434)&gt;0,_DB_Exercises!AR434,"")</f>
        <v/>
      </c>
      <c r="X320" s="31" t="str">
        <f>IF(LEN(_DB_Exercises!AS434)&gt;0,_DB_Exercises!AS434,"")</f>
        <v/>
      </c>
      <c r="Y320" s="31" t="str">
        <f>IF(LEN(_DB_Exercises!AT434)&gt;0,_DB_Exercises!AT434,"")</f>
        <v/>
      </c>
      <c r="Z320" s="31" t="str">
        <f>IF(LEN(_DB_Exercises!AU434)&gt;0,_DB_Exercises!AU434,"")</f>
        <v/>
      </c>
      <c r="AA320" s="31" t="str">
        <f>IF(LEN(_DB_Exercises!AV434)&gt;0,_DB_Exercises!AV434,"")</f>
        <v/>
      </c>
      <c r="AB320" s="31" t="str">
        <f>IF(LEN(_DB_Exercises!AW434)&gt;0,_DB_Exercises!AW434,"")</f>
        <v/>
      </c>
      <c r="AC320" s="31" t="str">
        <f>IF(LEN(_DB_Exercises!AX434)&gt;0,_DB_Exercises!AX434,"")</f>
        <v/>
      </c>
      <c r="AD320" s="31" t="str">
        <f>IF(LEN(_DB_Exercises!AY434)&gt;0,_DB_Exercises!AY434,"")</f>
        <v/>
      </c>
      <c r="AE320" s="31" t="str">
        <f>IF(LEN(_DB_Exercises!AZ434)&gt;0,_DB_Exercises!AZ434,"")</f>
        <v/>
      </c>
      <c r="AF320" s="31" t="str">
        <f>IF(LEN(_DB_Exercises!BA434)&gt;0,_DB_Exercises!BA434,"")</f>
        <v/>
      </c>
      <c r="AG320" s="31" t="str">
        <f>IF(LEN(_DB_Exercises!BB434)&gt;0,_DB_Exercises!BB434,"")</f>
        <v/>
      </c>
      <c r="AH320" s="31" t="str">
        <f>IF(LEN(_DB_Exercises!BC434)&gt;0,_DB_Exercises!BC434,"")</f>
        <v/>
      </c>
      <c r="AI320" s="31" t="str">
        <f>IF(LEN(_DB_Exercises!BD434)&gt;0,_DB_Exercises!BD434,"")</f>
        <v/>
      </c>
      <c r="AJ320" s="31" t="str">
        <f>IF(LEN(_DB_Exercises!BE434)&gt;0,_DB_Exercises!BE434,"")</f>
        <v/>
      </c>
      <c r="AK320" s="31" t="str">
        <f>IF(LEN(_DB_Exercises!BF434)&gt;0,_DB_Exercises!BF434,"")</f>
        <v/>
      </c>
      <c r="AL320" s="31" t="str">
        <f>IF(LEN(_DB_Exercises!BG434)&gt;0,_DB_Exercises!BG434,"")</f>
        <v/>
      </c>
      <c r="AM320" s="31" t="str">
        <f>IF(LEN(_DB_Exercises!BH434)&gt;0,_DB_Exercises!BH434,"")</f>
        <v/>
      </c>
      <c r="AN320" s="31" t="str">
        <f>IF(LEN(_DB_Exercises!BI434)&gt;0,_DB_Exercises!BI434,"")</f>
        <v/>
      </c>
      <c r="AO320" s="31" t="str">
        <f>IF(LEN(_DB_Exercises!BJ434)&gt;0,_DB_Exercises!BJ434,"")</f>
        <v/>
      </c>
      <c r="AP320" s="31" t="str">
        <f>IF(LEN(_DB_Exercises!BK434)&gt;0,_DB_Exercises!BK434,"")</f>
        <v/>
      </c>
      <c r="AQ320" s="31" t="str">
        <f>IF(LEN(_DB_Exercises!BL434)&gt;0,_DB_Exercises!BL434,"")</f>
        <v/>
      </c>
      <c r="AR320" s="31" t="str">
        <f>IF(LEN(_DB_Exercises!BM434)&gt;0,_DB_Exercises!BM434,"")</f>
        <v/>
      </c>
    </row>
    <row r="321" spans="1:44" x14ac:dyDescent="0.25">
      <c r="A321" s="11" t="str">
        <f>IF(LEN(_DB_Exercises!A435)&gt;0,_DB_Exercises!A435,"")</f>
        <v/>
      </c>
      <c r="B321" s="14" t="str">
        <f>IF(LEN(_DB_Exercises!K435)&gt;0,_DB_Exercises!K435,"")</f>
        <v/>
      </c>
      <c r="C321" s="31" t="str">
        <f>IF(LEN(_DB_Exercises!X435)&gt;0,_DB_Exercises!X435,"")</f>
        <v/>
      </c>
      <c r="D321" s="31" t="str">
        <f>IF(LEN(_DB_Exercises!Y435)&gt;0,_DB_Exercises!Y435,"")</f>
        <v/>
      </c>
      <c r="E321" s="31" t="str">
        <f>IF(LEN(_DB_Exercises!Z435)&gt;0,_DB_Exercises!Z435,"")</f>
        <v/>
      </c>
      <c r="F321" s="31" t="str">
        <f>IF(LEN(_DB_Exercises!AA435)&gt;0,_DB_Exercises!AA435,"")</f>
        <v/>
      </c>
      <c r="G321" s="31" t="str">
        <f>IF(LEN(_DB_Exercises!AB435)&gt;0,_DB_Exercises!AB435,"")</f>
        <v/>
      </c>
      <c r="H321" s="31" t="str">
        <f>IF(LEN(_DB_Exercises!AC435)&gt;0,_DB_Exercises!AC435,"")</f>
        <v/>
      </c>
      <c r="I321" s="31" t="str">
        <f>IF(LEN(_DB_Exercises!AD435)&gt;0,_DB_Exercises!AD435,"")</f>
        <v/>
      </c>
      <c r="J321" s="31" t="str">
        <f>IF(LEN(_DB_Exercises!AE435)&gt;0,_DB_Exercises!AE435,"")</f>
        <v/>
      </c>
      <c r="K321" s="31" t="str">
        <f>IF(LEN(_DB_Exercises!AF435)&gt;0,_DB_Exercises!AF435,"")</f>
        <v/>
      </c>
      <c r="L321" s="31" t="str">
        <f>IF(LEN(_DB_Exercises!AG435)&gt;0,_DB_Exercises!AG435,"")</f>
        <v/>
      </c>
      <c r="M321" s="31" t="str">
        <f>IF(LEN(_DB_Exercises!AH435)&gt;0,_DB_Exercises!AH435,"")</f>
        <v/>
      </c>
      <c r="N321" s="31" t="str">
        <f>IF(LEN(_DB_Exercises!AI435)&gt;0,_DB_Exercises!AI435,"")</f>
        <v/>
      </c>
      <c r="O321" s="31" t="str">
        <f>IF(LEN(_DB_Exercises!AJ435)&gt;0,_DB_Exercises!AJ435,"")</f>
        <v/>
      </c>
      <c r="P321" s="31" t="str">
        <f>IF(LEN(_DB_Exercises!AK435)&gt;0,_DB_Exercises!AK435,"")</f>
        <v/>
      </c>
      <c r="Q321" s="31" t="str">
        <f>IF(LEN(_DB_Exercises!AL435)&gt;0,_DB_Exercises!AL435,"")</f>
        <v/>
      </c>
      <c r="R321" s="31" t="str">
        <f>IF(LEN(_DB_Exercises!AM435)&gt;0,_DB_Exercises!AM435,"")</f>
        <v/>
      </c>
      <c r="S321" s="31" t="str">
        <f>IF(LEN(_DB_Exercises!AN435)&gt;0,_DB_Exercises!AN435,"")</f>
        <v/>
      </c>
      <c r="T321" s="31" t="str">
        <f>IF(LEN(_DB_Exercises!AO435)&gt;0,_DB_Exercises!AO435,"")</f>
        <v/>
      </c>
      <c r="U321" s="31" t="str">
        <f>IF(LEN(_DB_Exercises!AP435)&gt;0,_DB_Exercises!AP435,"")</f>
        <v/>
      </c>
      <c r="V321" s="31" t="str">
        <f>IF(LEN(_DB_Exercises!AQ435)&gt;0,_DB_Exercises!AQ435,"")</f>
        <v/>
      </c>
      <c r="W321" s="31" t="str">
        <f>IF(LEN(_DB_Exercises!AR435)&gt;0,_DB_Exercises!AR435,"")</f>
        <v/>
      </c>
      <c r="X321" s="31" t="str">
        <f>IF(LEN(_DB_Exercises!AS435)&gt;0,_DB_Exercises!AS435,"")</f>
        <v/>
      </c>
      <c r="Y321" s="31" t="str">
        <f>IF(LEN(_DB_Exercises!AT435)&gt;0,_DB_Exercises!AT435,"")</f>
        <v/>
      </c>
      <c r="Z321" s="31" t="str">
        <f>IF(LEN(_DB_Exercises!AU435)&gt;0,_DB_Exercises!AU435,"")</f>
        <v/>
      </c>
      <c r="AA321" s="31" t="str">
        <f>IF(LEN(_DB_Exercises!AV435)&gt;0,_DB_Exercises!AV435,"")</f>
        <v/>
      </c>
      <c r="AB321" s="31" t="str">
        <f>IF(LEN(_DB_Exercises!AW435)&gt;0,_DB_Exercises!AW435,"")</f>
        <v/>
      </c>
      <c r="AC321" s="31" t="str">
        <f>IF(LEN(_DB_Exercises!AX435)&gt;0,_DB_Exercises!AX435,"")</f>
        <v/>
      </c>
      <c r="AD321" s="31" t="str">
        <f>IF(LEN(_DB_Exercises!AY435)&gt;0,_DB_Exercises!AY435,"")</f>
        <v/>
      </c>
      <c r="AE321" s="31" t="str">
        <f>IF(LEN(_DB_Exercises!AZ435)&gt;0,_DB_Exercises!AZ435,"")</f>
        <v/>
      </c>
      <c r="AF321" s="31" t="str">
        <f>IF(LEN(_DB_Exercises!BA435)&gt;0,_DB_Exercises!BA435,"")</f>
        <v/>
      </c>
      <c r="AG321" s="31" t="str">
        <f>IF(LEN(_DB_Exercises!BB435)&gt;0,_DB_Exercises!BB435,"")</f>
        <v/>
      </c>
      <c r="AH321" s="31" t="str">
        <f>IF(LEN(_DB_Exercises!BC435)&gt;0,_DB_Exercises!BC435,"")</f>
        <v/>
      </c>
      <c r="AI321" s="31" t="str">
        <f>IF(LEN(_DB_Exercises!BD435)&gt;0,_DB_Exercises!BD435,"")</f>
        <v/>
      </c>
      <c r="AJ321" s="31" t="str">
        <f>IF(LEN(_DB_Exercises!BE435)&gt;0,_DB_Exercises!BE435,"")</f>
        <v/>
      </c>
      <c r="AK321" s="31" t="str">
        <f>IF(LEN(_DB_Exercises!BF435)&gt;0,_DB_Exercises!BF435,"")</f>
        <v/>
      </c>
      <c r="AL321" s="31" t="str">
        <f>IF(LEN(_DB_Exercises!BG435)&gt;0,_DB_Exercises!BG435,"")</f>
        <v/>
      </c>
      <c r="AM321" s="31" t="str">
        <f>IF(LEN(_DB_Exercises!BH435)&gt;0,_DB_Exercises!BH435,"")</f>
        <v/>
      </c>
      <c r="AN321" s="31" t="str">
        <f>IF(LEN(_DB_Exercises!BI435)&gt;0,_DB_Exercises!BI435,"")</f>
        <v/>
      </c>
      <c r="AO321" s="31" t="str">
        <f>IF(LEN(_DB_Exercises!BJ435)&gt;0,_DB_Exercises!BJ435,"")</f>
        <v/>
      </c>
      <c r="AP321" s="31" t="str">
        <f>IF(LEN(_DB_Exercises!BK435)&gt;0,_DB_Exercises!BK435,"")</f>
        <v/>
      </c>
      <c r="AQ321" s="31" t="str">
        <f>IF(LEN(_DB_Exercises!BL435)&gt;0,_DB_Exercises!BL435,"")</f>
        <v/>
      </c>
      <c r="AR321" s="31" t="str">
        <f>IF(LEN(_DB_Exercises!BM435)&gt;0,_DB_Exercises!BM435,"")</f>
        <v/>
      </c>
    </row>
    <row r="322" spans="1:44" x14ac:dyDescent="0.25">
      <c r="A322" s="11" t="str">
        <f>IF(LEN(_DB_Exercises!A436)&gt;0,_DB_Exercises!A436,"")</f>
        <v/>
      </c>
      <c r="B322" s="14" t="str">
        <f>IF(LEN(_DB_Exercises!K436)&gt;0,_DB_Exercises!K436,"")</f>
        <v/>
      </c>
      <c r="C322" s="31" t="str">
        <f>IF(LEN(_DB_Exercises!X436)&gt;0,_DB_Exercises!X436,"")</f>
        <v/>
      </c>
      <c r="D322" s="31" t="str">
        <f>IF(LEN(_DB_Exercises!Y436)&gt;0,_DB_Exercises!Y436,"")</f>
        <v/>
      </c>
      <c r="E322" s="31" t="str">
        <f>IF(LEN(_DB_Exercises!Z436)&gt;0,_DB_Exercises!Z436,"")</f>
        <v/>
      </c>
      <c r="F322" s="31" t="str">
        <f>IF(LEN(_DB_Exercises!AA436)&gt;0,_DB_Exercises!AA436,"")</f>
        <v/>
      </c>
      <c r="G322" s="31" t="str">
        <f>IF(LEN(_DB_Exercises!AB436)&gt;0,_DB_Exercises!AB436,"")</f>
        <v/>
      </c>
      <c r="H322" s="31" t="str">
        <f>IF(LEN(_DB_Exercises!AC436)&gt;0,_DB_Exercises!AC436,"")</f>
        <v/>
      </c>
      <c r="I322" s="31" t="str">
        <f>IF(LEN(_DB_Exercises!AD436)&gt;0,_DB_Exercises!AD436,"")</f>
        <v/>
      </c>
      <c r="J322" s="31" t="str">
        <f>IF(LEN(_DB_Exercises!AE436)&gt;0,_DB_Exercises!AE436,"")</f>
        <v/>
      </c>
      <c r="K322" s="31" t="str">
        <f>IF(LEN(_DB_Exercises!AF436)&gt;0,_DB_Exercises!AF436,"")</f>
        <v/>
      </c>
      <c r="L322" s="31" t="str">
        <f>IF(LEN(_DB_Exercises!AG436)&gt;0,_DB_Exercises!AG436,"")</f>
        <v/>
      </c>
      <c r="M322" s="31" t="str">
        <f>IF(LEN(_DB_Exercises!AH436)&gt;0,_DB_Exercises!AH436,"")</f>
        <v/>
      </c>
      <c r="N322" s="31" t="str">
        <f>IF(LEN(_DB_Exercises!AI436)&gt;0,_DB_Exercises!AI436,"")</f>
        <v/>
      </c>
      <c r="O322" s="31" t="str">
        <f>IF(LEN(_DB_Exercises!AJ436)&gt;0,_DB_Exercises!AJ436,"")</f>
        <v/>
      </c>
      <c r="P322" s="31" t="str">
        <f>IF(LEN(_DB_Exercises!AK436)&gt;0,_DB_Exercises!AK436,"")</f>
        <v/>
      </c>
      <c r="Q322" s="31" t="str">
        <f>IF(LEN(_DB_Exercises!AL436)&gt;0,_DB_Exercises!AL436,"")</f>
        <v/>
      </c>
      <c r="R322" s="31" t="str">
        <f>IF(LEN(_DB_Exercises!AM436)&gt;0,_DB_Exercises!AM436,"")</f>
        <v/>
      </c>
      <c r="S322" s="31" t="str">
        <f>IF(LEN(_DB_Exercises!AN436)&gt;0,_DB_Exercises!AN436,"")</f>
        <v/>
      </c>
      <c r="T322" s="31" t="str">
        <f>IF(LEN(_DB_Exercises!AO436)&gt;0,_DB_Exercises!AO436,"")</f>
        <v/>
      </c>
      <c r="U322" s="31" t="str">
        <f>IF(LEN(_DB_Exercises!AP436)&gt;0,_DB_Exercises!AP436,"")</f>
        <v/>
      </c>
      <c r="V322" s="31" t="str">
        <f>IF(LEN(_DB_Exercises!AQ436)&gt;0,_DB_Exercises!AQ436,"")</f>
        <v/>
      </c>
      <c r="W322" s="31" t="str">
        <f>IF(LEN(_DB_Exercises!AR436)&gt;0,_DB_Exercises!AR436,"")</f>
        <v/>
      </c>
      <c r="X322" s="31" t="str">
        <f>IF(LEN(_DB_Exercises!AS436)&gt;0,_DB_Exercises!AS436,"")</f>
        <v/>
      </c>
      <c r="Y322" s="31" t="str">
        <f>IF(LEN(_DB_Exercises!AT436)&gt;0,_DB_Exercises!AT436,"")</f>
        <v/>
      </c>
      <c r="Z322" s="31" t="str">
        <f>IF(LEN(_DB_Exercises!AU436)&gt;0,_DB_Exercises!AU436,"")</f>
        <v/>
      </c>
      <c r="AA322" s="31" t="str">
        <f>IF(LEN(_DB_Exercises!AV436)&gt;0,_DB_Exercises!AV436,"")</f>
        <v/>
      </c>
      <c r="AB322" s="31" t="str">
        <f>IF(LEN(_DB_Exercises!AW436)&gt;0,_DB_Exercises!AW436,"")</f>
        <v/>
      </c>
      <c r="AC322" s="31" t="str">
        <f>IF(LEN(_DB_Exercises!AX436)&gt;0,_DB_Exercises!AX436,"")</f>
        <v/>
      </c>
      <c r="AD322" s="31" t="str">
        <f>IF(LEN(_DB_Exercises!AY436)&gt;0,_DB_Exercises!AY436,"")</f>
        <v/>
      </c>
      <c r="AE322" s="31" t="str">
        <f>IF(LEN(_DB_Exercises!AZ436)&gt;0,_DB_Exercises!AZ436,"")</f>
        <v/>
      </c>
      <c r="AF322" s="31" t="str">
        <f>IF(LEN(_DB_Exercises!BA436)&gt;0,_DB_Exercises!BA436,"")</f>
        <v/>
      </c>
      <c r="AG322" s="31" t="str">
        <f>IF(LEN(_DB_Exercises!BB436)&gt;0,_DB_Exercises!BB436,"")</f>
        <v/>
      </c>
      <c r="AH322" s="31" t="str">
        <f>IF(LEN(_DB_Exercises!BC436)&gt;0,_DB_Exercises!BC436,"")</f>
        <v/>
      </c>
      <c r="AI322" s="31" t="str">
        <f>IF(LEN(_DB_Exercises!BD436)&gt;0,_DB_Exercises!BD436,"")</f>
        <v/>
      </c>
      <c r="AJ322" s="31" t="str">
        <f>IF(LEN(_DB_Exercises!BE436)&gt;0,_DB_Exercises!BE436,"")</f>
        <v/>
      </c>
      <c r="AK322" s="31" t="str">
        <f>IF(LEN(_DB_Exercises!BF436)&gt;0,_DB_Exercises!BF436,"")</f>
        <v/>
      </c>
      <c r="AL322" s="31" t="str">
        <f>IF(LEN(_DB_Exercises!BG436)&gt;0,_DB_Exercises!BG436,"")</f>
        <v/>
      </c>
      <c r="AM322" s="31" t="str">
        <f>IF(LEN(_DB_Exercises!BH436)&gt;0,_DB_Exercises!BH436,"")</f>
        <v/>
      </c>
      <c r="AN322" s="31" t="str">
        <f>IF(LEN(_DB_Exercises!BI436)&gt;0,_DB_Exercises!BI436,"")</f>
        <v/>
      </c>
      <c r="AO322" s="31" t="str">
        <f>IF(LEN(_DB_Exercises!BJ436)&gt;0,_DB_Exercises!BJ436,"")</f>
        <v/>
      </c>
      <c r="AP322" s="31" t="str">
        <f>IF(LEN(_DB_Exercises!BK436)&gt;0,_DB_Exercises!BK436,"")</f>
        <v/>
      </c>
      <c r="AQ322" s="31" t="str">
        <f>IF(LEN(_DB_Exercises!BL436)&gt;0,_DB_Exercises!BL436,"")</f>
        <v/>
      </c>
      <c r="AR322" s="31" t="str">
        <f>IF(LEN(_DB_Exercises!BM436)&gt;0,_DB_Exercises!BM436,"")</f>
        <v/>
      </c>
    </row>
    <row r="323" spans="1:44" x14ac:dyDescent="0.25">
      <c r="A323" s="11" t="str">
        <f>IF(LEN(_DB_Exercises!A437)&gt;0,_DB_Exercises!A437,"")</f>
        <v/>
      </c>
      <c r="B323" s="14" t="str">
        <f>IF(LEN(_DB_Exercises!K437)&gt;0,_DB_Exercises!K437,"")</f>
        <v/>
      </c>
      <c r="C323" s="31" t="str">
        <f>IF(LEN(_DB_Exercises!X437)&gt;0,_DB_Exercises!X437,"")</f>
        <v/>
      </c>
      <c r="D323" s="31" t="str">
        <f>IF(LEN(_DB_Exercises!Y437)&gt;0,_DB_Exercises!Y437,"")</f>
        <v/>
      </c>
      <c r="E323" s="31" t="str">
        <f>IF(LEN(_DB_Exercises!Z437)&gt;0,_DB_Exercises!Z437,"")</f>
        <v/>
      </c>
      <c r="F323" s="31" t="str">
        <f>IF(LEN(_DB_Exercises!AA437)&gt;0,_DB_Exercises!AA437,"")</f>
        <v/>
      </c>
      <c r="G323" s="31" t="str">
        <f>IF(LEN(_DB_Exercises!AB437)&gt;0,_DB_Exercises!AB437,"")</f>
        <v/>
      </c>
      <c r="H323" s="31" t="str">
        <f>IF(LEN(_DB_Exercises!AC437)&gt;0,_DB_Exercises!AC437,"")</f>
        <v/>
      </c>
      <c r="I323" s="31" t="str">
        <f>IF(LEN(_DB_Exercises!AD437)&gt;0,_DB_Exercises!AD437,"")</f>
        <v/>
      </c>
      <c r="J323" s="31" t="str">
        <f>IF(LEN(_DB_Exercises!AE437)&gt;0,_DB_Exercises!AE437,"")</f>
        <v/>
      </c>
      <c r="K323" s="31" t="str">
        <f>IF(LEN(_DB_Exercises!AF437)&gt;0,_DB_Exercises!AF437,"")</f>
        <v/>
      </c>
      <c r="L323" s="31" t="str">
        <f>IF(LEN(_DB_Exercises!AG437)&gt;0,_DB_Exercises!AG437,"")</f>
        <v/>
      </c>
      <c r="M323" s="31" t="str">
        <f>IF(LEN(_DB_Exercises!AH437)&gt;0,_DB_Exercises!AH437,"")</f>
        <v/>
      </c>
      <c r="N323" s="31" t="str">
        <f>IF(LEN(_DB_Exercises!AI437)&gt;0,_DB_Exercises!AI437,"")</f>
        <v/>
      </c>
      <c r="O323" s="31" t="str">
        <f>IF(LEN(_DB_Exercises!AJ437)&gt;0,_DB_Exercises!AJ437,"")</f>
        <v/>
      </c>
      <c r="P323" s="31" t="str">
        <f>IF(LEN(_DB_Exercises!AK437)&gt;0,_DB_Exercises!AK437,"")</f>
        <v/>
      </c>
      <c r="Q323" s="31" t="str">
        <f>IF(LEN(_DB_Exercises!AL437)&gt;0,_DB_Exercises!AL437,"")</f>
        <v/>
      </c>
      <c r="R323" s="31" t="str">
        <f>IF(LEN(_DB_Exercises!AM437)&gt;0,_DB_Exercises!AM437,"")</f>
        <v/>
      </c>
      <c r="S323" s="31" t="str">
        <f>IF(LEN(_DB_Exercises!AN437)&gt;0,_DB_Exercises!AN437,"")</f>
        <v/>
      </c>
      <c r="T323" s="31" t="str">
        <f>IF(LEN(_DB_Exercises!AO437)&gt;0,_DB_Exercises!AO437,"")</f>
        <v/>
      </c>
      <c r="U323" s="31" t="str">
        <f>IF(LEN(_DB_Exercises!AP437)&gt;0,_DB_Exercises!AP437,"")</f>
        <v/>
      </c>
      <c r="V323" s="31" t="str">
        <f>IF(LEN(_DB_Exercises!AQ437)&gt;0,_DB_Exercises!AQ437,"")</f>
        <v/>
      </c>
      <c r="W323" s="31" t="str">
        <f>IF(LEN(_DB_Exercises!AR437)&gt;0,_DB_Exercises!AR437,"")</f>
        <v/>
      </c>
      <c r="X323" s="31" t="str">
        <f>IF(LEN(_DB_Exercises!AS437)&gt;0,_DB_Exercises!AS437,"")</f>
        <v/>
      </c>
      <c r="Y323" s="31" t="str">
        <f>IF(LEN(_DB_Exercises!AT437)&gt;0,_DB_Exercises!AT437,"")</f>
        <v/>
      </c>
      <c r="Z323" s="31" t="str">
        <f>IF(LEN(_DB_Exercises!AU437)&gt;0,_DB_Exercises!AU437,"")</f>
        <v/>
      </c>
      <c r="AA323" s="31" t="str">
        <f>IF(LEN(_DB_Exercises!AV437)&gt;0,_DB_Exercises!AV437,"")</f>
        <v/>
      </c>
      <c r="AB323" s="31" t="str">
        <f>IF(LEN(_DB_Exercises!AW437)&gt;0,_DB_Exercises!AW437,"")</f>
        <v/>
      </c>
      <c r="AC323" s="31" t="str">
        <f>IF(LEN(_DB_Exercises!AX437)&gt;0,_DB_Exercises!AX437,"")</f>
        <v/>
      </c>
      <c r="AD323" s="31" t="str">
        <f>IF(LEN(_DB_Exercises!AY437)&gt;0,_DB_Exercises!AY437,"")</f>
        <v/>
      </c>
      <c r="AE323" s="31" t="str">
        <f>IF(LEN(_DB_Exercises!AZ437)&gt;0,_DB_Exercises!AZ437,"")</f>
        <v/>
      </c>
      <c r="AF323" s="31" t="str">
        <f>IF(LEN(_DB_Exercises!BA437)&gt;0,_DB_Exercises!BA437,"")</f>
        <v/>
      </c>
      <c r="AG323" s="31" t="str">
        <f>IF(LEN(_DB_Exercises!BB437)&gt;0,_DB_Exercises!BB437,"")</f>
        <v/>
      </c>
      <c r="AH323" s="31" t="str">
        <f>IF(LEN(_DB_Exercises!BC437)&gt;0,_DB_Exercises!BC437,"")</f>
        <v/>
      </c>
      <c r="AI323" s="31" t="str">
        <f>IF(LEN(_DB_Exercises!BD437)&gt;0,_DB_Exercises!BD437,"")</f>
        <v/>
      </c>
      <c r="AJ323" s="31" t="str">
        <f>IF(LEN(_DB_Exercises!BE437)&gt;0,_DB_Exercises!BE437,"")</f>
        <v/>
      </c>
      <c r="AK323" s="31" t="str">
        <f>IF(LEN(_DB_Exercises!BF437)&gt;0,_DB_Exercises!BF437,"")</f>
        <v/>
      </c>
      <c r="AL323" s="31" t="str">
        <f>IF(LEN(_DB_Exercises!BG437)&gt;0,_DB_Exercises!BG437,"")</f>
        <v/>
      </c>
      <c r="AM323" s="31" t="str">
        <f>IF(LEN(_DB_Exercises!BH437)&gt;0,_DB_Exercises!BH437,"")</f>
        <v/>
      </c>
      <c r="AN323" s="31" t="str">
        <f>IF(LEN(_DB_Exercises!BI437)&gt;0,_DB_Exercises!BI437,"")</f>
        <v/>
      </c>
      <c r="AO323" s="31" t="str">
        <f>IF(LEN(_DB_Exercises!BJ437)&gt;0,_DB_Exercises!BJ437,"")</f>
        <v/>
      </c>
      <c r="AP323" s="31" t="str">
        <f>IF(LEN(_DB_Exercises!BK437)&gt;0,_DB_Exercises!BK437,"")</f>
        <v/>
      </c>
      <c r="AQ323" s="31" t="str">
        <f>IF(LEN(_DB_Exercises!BL437)&gt;0,_DB_Exercises!BL437,"")</f>
        <v/>
      </c>
      <c r="AR323" s="31" t="str">
        <f>IF(LEN(_DB_Exercises!BM437)&gt;0,_DB_Exercises!BM437,"")</f>
        <v/>
      </c>
    </row>
  </sheetData>
  <conditionalFormatting sqref="C5:AR323">
    <cfRule type="expression" dxfId="7" priority="1">
      <formula>COLUMN(C5)/2/INT(COLUMN(C5)/2)</formula>
    </cfRule>
  </conditionalFormatting>
  <pageMargins left="0.7" right="0.7" top="0.78740157499999996" bottom="0.78740157499999996"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dimension ref="A1:H510"/>
  <sheetViews>
    <sheetView showFormulas="1" topLeftCell="B1" workbookViewId="0">
      <pane ySplit="3" topLeftCell="A19" activePane="bottomLeft" state="frozen"/>
      <selection pane="bottomLeft" activeCell="C30" sqref="C30"/>
    </sheetView>
  </sheetViews>
  <sheetFormatPr baseColWidth="10" defaultRowHeight="15" x14ac:dyDescent="0.25"/>
  <cols>
    <col min="1" max="1" width="3.42578125" customWidth="1"/>
    <col min="2" max="2" width="20.5703125" customWidth="1"/>
    <col min="3" max="3" width="45.7109375" customWidth="1"/>
    <col min="4" max="4" width="20.5703125" customWidth="1"/>
    <col min="5" max="5" width="3.85546875" customWidth="1"/>
    <col min="6" max="6" width="20.5703125" customWidth="1"/>
    <col min="7" max="7" width="4.5703125" customWidth="1"/>
    <col min="8" max="8" width="4.7109375" customWidth="1"/>
  </cols>
  <sheetData>
    <row r="1" spans="1:8" x14ac:dyDescent="0.25">
      <c r="A1" s="28" t="s">
        <v>68</v>
      </c>
      <c r="B1" s="28"/>
      <c r="C1" s="28"/>
      <c r="D1" s="28"/>
      <c r="E1" s="28"/>
      <c r="F1" s="28"/>
      <c r="G1" s="28"/>
      <c r="H1" s="28"/>
    </row>
    <row r="2" spans="1:8" x14ac:dyDescent="0.25">
      <c r="A2" s="28"/>
      <c r="B2" s="28"/>
      <c r="C2" s="28"/>
      <c r="D2" s="28"/>
      <c r="E2" s="28"/>
      <c r="F2" s="28"/>
      <c r="G2" s="28"/>
      <c r="H2" s="28"/>
    </row>
    <row r="3" spans="1:8" ht="30.75" customHeight="1" x14ac:dyDescent="0.25">
      <c r="A3" s="29" t="s">
        <v>70</v>
      </c>
      <c r="B3" s="29" t="s">
        <v>69</v>
      </c>
      <c r="C3" s="29" t="s">
        <v>50</v>
      </c>
      <c r="D3" s="29" t="s">
        <v>71</v>
      </c>
      <c r="E3" s="29" t="s">
        <v>72</v>
      </c>
      <c r="F3" s="29" t="s">
        <v>81</v>
      </c>
      <c r="G3" s="29" t="s">
        <v>79</v>
      </c>
      <c r="H3" s="32" t="s">
        <v>82</v>
      </c>
    </row>
    <row r="4" spans="1:8" x14ac:dyDescent="0.25">
      <c r="A4" s="31">
        <v>4</v>
      </c>
      <c r="B4" s="33" t="s">
        <v>119</v>
      </c>
      <c r="C4" s="46" t="e">
        <f ca="1">OFFSET(_DB_Exercises!#REF!,0,0,DBE_COUNT,1)</f>
        <v>#REF!</v>
      </c>
      <c r="D4" s="34"/>
      <c r="E4" s="11" t="b">
        <v>1</v>
      </c>
      <c r="F4" s="33"/>
      <c r="G4" s="11"/>
      <c r="H4" s="11"/>
    </row>
    <row r="5" spans="1:8" x14ac:dyDescent="0.25">
      <c r="A5" s="31">
        <v>5</v>
      </c>
      <c r="B5" s="33" t="s">
        <v>120</v>
      </c>
      <c r="C5" s="46" t="e">
        <f ca="1">OFFSET(_DB_Exercises!#REF!,0,0,DBE_COUNT,1)</f>
        <v>#REF!</v>
      </c>
      <c r="D5" s="34"/>
      <c r="E5" s="11" t="b">
        <v>1</v>
      </c>
      <c r="F5" s="33"/>
      <c r="G5" s="11"/>
      <c r="H5" s="11"/>
    </row>
    <row r="6" spans="1:8" x14ac:dyDescent="0.25">
      <c r="A6" s="31">
        <v>6</v>
      </c>
      <c r="B6" s="33" t="s">
        <v>121</v>
      </c>
      <c r="C6" s="46" t="e">
        <f ca="1">OFFSET(_DB_Exercises!#REF!,0,0,DBE_COUNT,1)</f>
        <v>#REF!</v>
      </c>
      <c r="D6" s="34"/>
      <c r="E6" s="11" t="b">
        <v>1</v>
      </c>
      <c r="F6" s="33"/>
      <c r="G6" s="11"/>
      <c r="H6" s="11"/>
    </row>
    <row r="7" spans="1:8" x14ac:dyDescent="0.25">
      <c r="A7" s="31">
        <v>7</v>
      </c>
      <c r="B7" s="33" t="s">
        <v>122</v>
      </c>
      <c r="C7" s="46" t="e">
        <f ca="1">OFFSET(_DB_Exercises!#REF!,0,0,DBE_COUNT,1)</f>
        <v>#REF!</v>
      </c>
      <c r="D7" s="34"/>
      <c r="E7" s="11" t="b">
        <v>1</v>
      </c>
      <c r="F7" s="33"/>
      <c r="G7" s="11"/>
      <c r="H7" s="11"/>
    </row>
    <row r="8" spans="1:8" x14ac:dyDescent="0.25">
      <c r="A8" s="31">
        <v>8</v>
      </c>
      <c r="B8" s="43" t="s">
        <v>275</v>
      </c>
      <c r="C8" s="46">
        <f ca="1">MATCH(MUI_DBE_T_EX_Duration,DBE_LANG_TITLES,0)</f>
        <v>8</v>
      </c>
      <c r="D8" s="34"/>
      <c r="E8" s="11" t="b">
        <v>1</v>
      </c>
      <c r="F8" s="33"/>
      <c r="G8" s="11"/>
      <c r="H8" s="11"/>
    </row>
    <row r="9" spans="1:8" x14ac:dyDescent="0.25">
      <c r="A9" s="31">
        <v>9</v>
      </c>
      <c r="B9" s="43" t="s">
        <v>198</v>
      </c>
      <c r="C9" s="46" t="e">
        <f ca="1">MATCH(MUI_DBE_T_EX_Group,DBE_LANG_TITLES,0)</f>
        <v>#NAME?</v>
      </c>
      <c r="D9" s="34"/>
      <c r="E9" s="11" t="b">
        <v>1</v>
      </c>
      <c r="F9" s="33"/>
      <c r="G9" s="11"/>
      <c r="H9" s="11"/>
    </row>
    <row r="10" spans="1:8" x14ac:dyDescent="0.25">
      <c r="A10" s="31">
        <v>10</v>
      </c>
      <c r="B10" s="43" t="s">
        <v>276</v>
      </c>
      <c r="C10" s="46">
        <f ca="1">MATCH(MUI_DBE_T_EX_ID,DBE_LANG_TITLES,0)</f>
        <v>1</v>
      </c>
      <c r="D10" s="34"/>
      <c r="E10" s="11" t="b">
        <v>1</v>
      </c>
      <c r="F10" s="33"/>
      <c r="G10" s="11"/>
      <c r="H10" s="11"/>
    </row>
    <row r="11" spans="1:8" x14ac:dyDescent="0.25">
      <c r="A11" s="31">
        <v>11</v>
      </c>
      <c r="B11" s="33" t="s">
        <v>199</v>
      </c>
      <c r="C11" s="46">
        <f ca="1">MATCH(MUI_DBE_T_EX_Type,DBE_LANG_TITLES,0)</f>
        <v>4</v>
      </c>
      <c r="D11" s="34"/>
      <c r="E11" s="11" t="b">
        <v>1</v>
      </c>
      <c r="F11" s="33"/>
      <c r="G11" s="11"/>
      <c r="H11" s="11"/>
    </row>
    <row r="12" spans="1:8" x14ac:dyDescent="0.25">
      <c r="A12" s="31">
        <v>12</v>
      </c>
      <c r="B12" s="33" t="s">
        <v>277</v>
      </c>
      <c r="C12" s="46" t="e">
        <f ca="1">MATCH(MUI_DBE_T_EX_LongDesc,DBE_LANG_TITLES,0)</f>
        <v>#NAME?</v>
      </c>
      <c r="D12" s="34"/>
      <c r="E12" s="11" t="b">
        <v>1</v>
      </c>
      <c r="F12" s="33"/>
      <c r="G12" s="11"/>
      <c r="H12" s="11"/>
    </row>
    <row r="13" spans="1:8" x14ac:dyDescent="0.25">
      <c r="A13" s="31">
        <v>13</v>
      </c>
      <c r="B13" s="33" t="s">
        <v>278</v>
      </c>
      <c r="C13" s="46" t="e">
        <f ca="1">MATCH(MUI_DBE_T_EX_LongDescImage,DBE_LANG_TITLES,0)</f>
        <v>#NAME?</v>
      </c>
      <c r="D13" s="34"/>
      <c r="E13" s="11" t="b">
        <v>1</v>
      </c>
      <c r="F13" s="33"/>
      <c r="G13" s="11"/>
      <c r="H13" s="11"/>
    </row>
    <row r="14" spans="1:8" x14ac:dyDescent="0.25">
      <c r="A14" s="31">
        <v>14</v>
      </c>
      <c r="B14" s="33" t="s">
        <v>279</v>
      </c>
      <c r="C14" s="46">
        <f ca="1">MATCH(MUI_DBE_T_EX_Material,DBE_LANG_TITLES,0)</f>
        <v>15</v>
      </c>
      <c r="D14" s="34"/>
      <c r="E14" s="11" t="b">
        <v>1</v>
      </c>
      <c r="F14" s="33"/>
      <c r="G14" s="11"/>
      <c r="H14" s="11"/>
    </row>
    <row r="15" spans="1:8" x14ac:dyDescent="0.25">
      <c r="A15" s="31">
        <v>15</v>
      </c>
      <c r="B15" s="33" t="s">
        <v>280</v>
      </c>
      <c r="C15" s="46">
        <f ca="1">MATCH(MUI_DBE_T_EX_Correction,DBE_LANG_TITLES,0)</f>
        <v>14</v>
      </c>
      <c r="D15" s="44"/>
      <c r="E15" s="11" t="b">
        <v>1</v>
      </c>
      <c r="F15" s="33"/>
      <c r="G15" s="11"/>
      <c r="H15" s="11"/>
    </row>
    <row r="16" spans="1:8" x14ac:dyDescent="0.25">
      <c r="A16" s="31">
        <v>16</v>
      </c>
      <c r="B16" s="33" t="s">
        <v>281</v>
      </c>
      <c r="C16" s="46" t="e">
        <f ca="1">MATCH(MUI_DBE_T_EX_ShortDescImage,DBE_LANG_TITLES,0)</f>
        <v>#NAME?</v>
      </c>
      <c r="D16" s="44"/>
      <c r="E16" s="11" t="b">
        <v>1</v>
      </c>
      <c r="F16" s="33"/>
      <c r="G16" s="11"/>
      <c r="H16" s="11"/>
    </row>
    <row r="17" spans="1:8" x14ac:dyDescent="0.25">
      <c r="A17" s="31">
        <v>17</v>
      </c>
      <c r="B17" s="33" t="s">
        <v>282</v>
      </c>
      <c r="C17" s="46">
        <f ca="1">MATCH(MUI_SEL_LANG,OFFSET(DBE_START,0,0,1,DBE_COLUMNS),0)</f>
        <v>11</v>
      </c>
      <c r="D17" s="34"/>
      <c r="E17" s="11" t="b">
        <v>1</v>
      </c>
      <c r="F17" s="33"/>
      <c r="G17" s="11"/>
      <c r="H17" s="11"/>
    </row>
    <row r="18" spans="1:8" x14ac:dyDescent="0.25">
      <c r="A18" s="31">
        <v>18</v>
      </c>
      <c r="B18" s="33" t="s">
        <v>283</v>
      </c>
      <c r="C18" s="46">
        <f ca="1">MATCH(MUI_DBE_T_EX_Target,DBE_LANG_TITLES,0)</f>
        <v>21</v>
      </c>
      <c r="D18" s="34"/>
      <c r="E18" s="11" t="b">
        <v>1</v>
      </c>
      <c r="F18" s="33"/>
      <c r="G18" s="11"/>
      <c r="H18" s="11"/>
    </row>
    <row r="19" spans="1:8" x14ac:dyDescent="0.25">
      <c r="A19" s="31">
        <v>19</v>
      </c>
      <c r="B19" s="33" t="s">
        <v>284</v>
      </c>
      <c r="C19" s="46">
        <f ca="1">MATCH(MUI_DBE_T_EX_Title,DBE_LANG_TITLES,0)</f>
        <v>11</v>
      </c>
      <c r="D19" s="34"/>
      <c r="E19" s="11" t="b">
        <v>1</v>
      </c>
      <c r="F19" s="33"/>
      <c r="G19" s="11"/>
      <c r="H19" s="11"/>
    </row>
    <row r="20" spans="1:8" x14ac:dyDescent="0.25">
      <c r="A20" s="31">
        <v>20</v>
      </c>
      <c r="B20" s="33" t="s">
        <v>162</v>
      </c>
      <c r="C20" s="46">
        <f>COUNTA(_DB_Exercises!$5:$5)</f>
        <v>65</v>
      </c>
      <c r="D20" s="44"/>
      <c r="E20" s="11" t="b">
        <v>1</v>
      </c>
      <c r="F20" s="33"/>
      <c r="G20" s="11"/>
      <c r="H20" s="11"/>
    </row>
    <row r="21" spans="1:8" x14ac:dyDescent="0.25">
      <c r="A21" s="31">
        <v>21</v>
      </c>
      <c r="B21" s="33" t="s">
        <v>123</v>
      </c>
      <c r="C21" s="46">
        <f>_DB_Exercises!$A$4</f>
        <v>316</v>
      </c>
      <c r="D21" s="34"/>
      <c r="E21" s="11" t="b">
        <v>1</v>
      </c>
      <c r="F21" s="33"/>
      <c r="G21" s="11"/>
      <c r="H21" s="11"/>
    </row>
    <row r="22" spans="1:8" x14ac:dyDescent="0.25">
      <c r="A22" s="31">
        <v>22</v>
      </c>
      <c r="B22" s="33" t="s">
        <v>285</v>
      </c>
      <c r="C22" s="46">
        <f ca="1">OFFSET(DBE_START,DBE_START_ROWID_DATA-1,DBE_COLID_ExPlannedDuration-1,DBE_COUNT,1)</f>
        <v>10</v>
      </c>
      <c r="D22" s="34"/>
      <c r="E22" s="11" t="b">
        <v>1</v>
      </c>
      <c r="F22" s="33"/>
      <c r="G22" s="11"/>
      <c r="H22" s="11"/>
    </row>
    <row r="23" spans="1:8" x14ac:dyDescent="0.25">
      <c r="A23" s="31">
        <v>23</v>
      </c>
      <c r="B23" s="33" t="s">
        <v>114</v>
      </c>
      <c r="C23" s="46" t="e">
        <f ca="1">OFFSET(DBE_START,DBE_START_ROWID_DATA-1,DBE_COLID_ExGroup-1,DBE_COUNT,1)</f>
        <v>#NAME?</v>
      </c>
      <c r="D23" s="34"/>
      <c r="E23" s="11" t="b">
        <v>1</v>
      </c>
      <c r="F23" s="33"/>
      <c r="G23" s="11"/>
      <c r="H23" s="11"/>
    </row>
    <row r="24" spans="1:8" x14ac:dyDescent="0.25">
      <c r="A24" s="31">
        <v>24</v>
      </c>
      <c r="B24" s="33" t="s">
        <v>286</v>
      </c>
      <c r="C24" s="46">
        <f ca="1">OFFSET(DBE_START,DBE_START_ROWID_DATA-1,DBE_COLID_ExID-1,DBE_COUNT,1)</f>
        <v>2010</v>
      </c>
      <c r="D24" s="34"/>
      <c r="E24" s="11" t="b">
        <v>1</v>
      </c>
      <c r="F24" s="33"/>
      <c r="G24" s="11"/>
      <c r="H24" s="11"/>
    </row>
    <row r="25" spans="1:8" x14ac:dyDescent="0.25">
      <c r="A25" s="31">
        <v>25</v>
      </c>
      <c r="B25" s="33" t="s">
        <v>115</v>
      </c>
      <c r="C25" s="46" t="str">
        <f ca="1">OFFSET(DBE_START,DBE_START_ROWID_DATA-1,DBE_COLID_ExType-1,DBE_COUNT,1)</f>
        <v>Challenge</v>
      </c>
      <c r="D25" s="44"/>
      <c r="E25" s="11" t="b">
        <v>1</v>
      </c>
      <c r="F25" s="33"/>
      <c r="G25" s="11"/>
      <c r="H25" s="11"/>
    </row>
    <row r="26" spans="1:8" x14ac:dyDescent="0.25">
      <c r="A26" s="31">
        <v>26</v>
      </c>
      <c r="B26" s="33" t="s">
        <v>200</v>
      </c>
      <c r="C26" s="46" t="str">
        <f ca="1">OFFSET(DBE_START,DBE_START_ROWID_DATA-2,0,1,DBE_Header_LENGTH)</f>
        <v>ExTopic</v>
      </c>
      <c r="D26" s="44"/>
      <c r="E26" s="11" t="b">
        <v>1</v>
      </c>
      <c r="F26" s="33"/>
      <c r="G26" s="11"/>
      <c r="H26" s="11"/>
    </row>
    <row r="27" spans="1:8" x14ac:dyDescent="0.25">
      <c r="A27" s="31">
        <v>27</v>
      </c>
      <c r="B27" s="33" t="s">
        <v>201</v>
      </c>
      <c r="C27" s="46">
        <f>40</f>
        <v>40</v>
      </c>
      <c r="D27" s="34"/>
      <c r="E27" s="11" t="b">
        <v>1</v>
      </c>
      <c r="F27" s="33"/>
      <c r="G27" s="11"/>
      <c r="H27" s="11"/>
    </row>
    <row r="28" spans="1:8" x14ac:dyDescent="0.25">
      <c r="A28" s="31">
        <v>28</v>
      </c>
      <c r="B28" s="33" t="s">
        <v>202</v>
      </c>
      <c r="C28" s="46" t="e">
        <f>_DB_Exercises!#REF!</f>
        <v>#REF!</v>
      </c>
      <c r="D28" s="34"/>
      <c r="E28" s="11" t="b">
        <v>1</v>
      </c>
      <c r="F28" s="33"/>
      <c r="G28" s="11"/>
      <c r="H28" s="11"/>
    </row>
    <row r="29" spans="1:8" x14ac:dyDescent="0.25">
      <c r="A29" s="31">
        <v>29</v>
      </c>
      <c r="B29" s="33" t="s">
        <v>163</v>
      </c>
      <c r="C29" s="46" t="str">
        <f>_DB_Exercises!$A$5</f>
        <v>ID</v>
      </c>
      <c r="D29" s="34"/>
      <c r="E29" s="11" t="b">
        <v>1</v>
      </c>
      <c r="F29" s="33"/>
      <c r="G29" s="11"/>
      <c r="H29" s="11"/>
    </row>
    <row r="30" spans="1:8" x14ac:dyDescent="0.25">
      <c r="A30" s="31">
        <v>30</v>
      </c>
      <c r="B30" s="33" t="s">
        <v>164</v>
      </c>
      <c r="C30" s="46" t="str">
        <f ca="1">OFFSET(DBE_LANG_START,0,0,1,DBE_COLUMNS)</f>
        <v>ExTopic</v>
      </c>
      <c r="D30" s="34"/>
      <c r="E30" s="11" t="b">
        <v>1</v>
      </c>
      <c r="F30" s="33"/>
      <c r="G30" s="11"/>
      <c r="H30" s="11"/>
    </row>
    <row r="31" spans="1:8" x14ac:dyDescent="0.25">
      <c r="A31" s="31">
        <v>31</v>
      </c>
      <c r="B31" s="33" t="s">
        <v>165</v>
      </c>
      <c r="C31" s="46" t="str">
        <f ca="1">OFFSET(DBE_START,DBE_START_ROWID_DATA-1,DBE_COLID_ExDesc-1,DBE_COUNT,1)</f>
        <v>Each ball shall be played from a different location around several holes on the putting green.
For each holed ball you get 1 point. 
For each 2+ putt you get -3 points.
You are not allowed to stop before you have reached the target number.</v>
      </c>
      <c r="D31" s="34"/>
      <c r="E31" s="11" t="b">
        <v>1</v>
      </c>
      <c r="F31" s="33"/>
      <c r="G31" s="11"/>
      <c r="H31" s="11"/>
    </row>
    <row r="32" spans="1:8" x14ac:dyDescent="0.25">
      <c r="A32" s="31">
        <v>32</v>
      </c>
      <c r="B32" s="33" t="s">
        <v>166</v>
      </c>
      <c r="C32" s="46">
        <f ca="1">OFFSET(DBE_START,DBE_START_ROWID_DATA-1,DBE_COLID_ExImage-1,DBE_COUNT,1)</f>
        <v>0</v>
      </c>
      <c r="D32" s="34"/>
      <c r="E32" s="11" t="b">
        <v>1</v>
      </c>
      <c r="F32" s="33"/>
      <c r="G32" s="11"/>
      <c r="H32" s="11"/>
    </row>
    <row r="33" spans="1:8" x14ac:dyDescent="0.25">
      <c r="A33" s="31">
        <v>33</v>
      </c>
      <c r="B33" s="33" t="s">
        <v>287</v>
      </c>
      <c r="C33" s="46">
        <f ca="1">OFFSET(DBE_START,DBE_START_ROWID_DATA-1,DBE_COLID_ExMaterial-1,DBE_COUNT,1)</f>
        <v>0</v>
      </c>
      <c r="D33" s="34"/>
      <c r="E33" s="11" t="b">
        <v>1</v>
      </c>
      <c r="F33" s="33"/>
      <c r="G33" s="11"/>
      <c r="H33" s="11"/>
    </row>
    <row r="34" spans="1:8" x14ac:dyDescent="0.25">
      <c r="A34" s="31">
        <v>34</v>
      </c>
      <c r="B34" s="33" t="s">
        <v>124</v>
      </c>
      <c r="C34" s="46" t="e">
        <f>_DB_Exercises!$I$6:$I$23</f>
        <v>#VALUE!</v>
      </c>
      <c r="D34" s="34"/>
      <c r="E34" s="11" t="b">
        <v>1</v>
      </c>
      <c r="F34" s="33"/>
      <c r="G34" s="11"/>
      <c r="H34" s="11"/>
    </row>
    <row r="35" spans="1:8" x14ac:dyDescent="0.25">
      <c r="A35" s="31">
        <v>35</v>
      </c>
      <c r="B35" s="33" t="s">
        <v>288</v>
      </c>
      <c r="C35" s="46">
        <f ca="1">OFFSET(DBEA_ExPlannedDuration,DBEI_ROWID-1,0,1,1)</f>
        <v>5</v>
      </c>
      <c r="D35" s="34"/>
      <c r="E35" s="11" t="b">
        <v>1</v>
      </c>
      <c r="F35" s="33"/>
      <c r="G35" s="11"/>
      <c r="H35" s="11"/>
    </row>
    <row r="36" spans="1:8" x14ac:dyDescent="0.25">
      <c r="A36" s="31">
        <v>36</v>
      </c>
      <c r="B36" s="33" t="s">
        <v>289</v>
      </c>
      <c r="C36" s="46" t="e">
        <f ca="1">OFFSET(DBEA_ExGroup,DBEI_ROWID-1,0,1,1)</f>
        <v>#NAME?</v>
      </c>
      <c r="D36" s="34"/>
      <c r="E36" s="11" t="b">
        <v>1</v>
      </c>
      <c r="F36" s="33"/>
      <c r="G36" s="11"/>
      <c r="H36" s="11"/>
    </row>
    <row r="37" spans="1:8" x14ac:dyDescent="0.25">
      <c r="A37" s="31">
        <v>37</v>
      </c>
      <c r="B37" s="33" t="s">
        <v>290</v>
      </c>
      <c r="C37" s="46">
        <f ca="1">OFFSET(DBEA_ExID,DBEI_ROWID-1,0,1,1)</f>
        <v>2019</v>
      </c>
      <c r="D37" s="34"/>
      <c r="E37" s="11" t="b">
        <v>1</v>
      </c>
      <c r="F37" s="33"/>
      <c r="G37" s="11"/>
      <c r="H37" s="11"/>
    </row>
    <row r="38" spans="1:8" x14ac:dyDescent="0.25">
      <c r="A38" s="31">
        <v>38</v>
      </c>
      <c r="B38" s="33" t="s">
        <v>291</v>
      </c>
      <c r="C38" s="46" t="str">
        <f ca="1">OFFSET(DBEA_ExType,DBEI_ROWID-1,0,1,1)</f>
        <v>Drill</v>
      </c>
      <c r="D38" s="34"/>
      <c r="E38" s="11" t="b">
        <v>1</v>
      </c>
      <c r="F38" s="33"/>
      <c r="G38" s="11"/>
      <c r="H38" s="11"/>
    </row>
    <row r="39" spans="1:8" x14ac:dyDescent="0.25">
      <c r="A39" s="31">
        <v>39</v>
      </c>
      <c r="B39" s="43" t="s">
        <v>292</v>
      </c>
      <c r="C39" s="46" t="str">
        <f ca="1">OFFSET(DBEA_ExDesc,DBEI_ROWID-1,0,1,1)</f>
        <v>Place 10 balls with a distance of app. 1m each on the assumed putting line with a break to the right.
Cumulated the number of holed balls and compare them to the target.</v>
      </c>
      <c r="D39" s="34"/>
      <c r="E39" s="11" t="b">
        <v>1</v>
      </c>
      <c r="F39" s="33"/>
      <c r="G39" s="11"/>
      <c r="H39" s="11"/>
    </row>
    <row r="40" spans="1:8" x14ac:dyDescent="0.25">
      <c r="A40" s="31">
        <v>40</v>
      </c>
      <c r="B40" s="43" t="s">
        <v>293</v>
      </c>
      <c r="C40" s="46">
        <f ca="1">OFFSET(DBEA_ExImage,DBEI_ROWID-1,0,1,1)</f>
        <v>0</v>
      </c>
      <c r="D40" s="34"/>
      <c r="E40" s="11" t="b">
        <v>1</v>
      </c>
      <c r="F40" s="33"/>
      <c r="G40" s="11"/>
      <c r="H40" s="11"/>
    </row>
    <row r="41" spans="1:8" x14ac:dyDescent="0.25">
      <c r="A41" s="31">
        <v>41</v>
      </c>
      <c r="B41" s="33" t="s">
        <v>294</v>
      </c>
      <c r="C41" s="46">
        <f ca="1">OFFSET(DBEA_ExMaterial,DBEI_ROWID-1,0,1,1)</f>
        <v>0</v>
      </c>
      <c r="D41" s="34"/>
      <c r="E41" s="11" t="b">
        <v>1</v>
      </c>
      <c r="F41" s="33"/>
      <c r="G41" s="11"/>
      <c r="H41" s="11"/>
    </row>
    <row r="42" spans="1:8" x14ac:dyDescent="0.25">
      <c r="A42" s="31">
        <v>42</v>
      </c>
      <c r="B42" s="33" t="s">
        <v>295</v>
      </c>
      <c r="C42" s="46">
        <f ca="1">OFFSET(DBE_NrOfPlayers,DBEI_ROWID-1,0,1,1)</f>
        <v>1</v>
      </c>
      <c r="D42" s="34"/>
      <c r="E42" s="11" t="b">
        <v>1</v>
      </c>
      <c r="F42" s="33"/>
      <c r="G42" s="11"/>
      <c r="H42" s="11"/>
    </row>
    <row r="43" spans="1:8" x14ac:dyDescent="0.25">
      <c r="A43" s="31">
        <v>43</v>
      </c>
      <c r="B43" s="33" t="s">
        <v>167</v>
      </c>
      <c r="C43" s="46" t="e">
        <f>MATCH(SEL_Title,DBE_ADJ_Title,0)</f>
        <v>#NAME?</v>
      </c>
      <c r="D43" s="34"/>
      <c r="E43" s="11" t="b">
        <v>1</v>
      </c>
      <c r="F43" s="33"/>
      <c r="G43" s="11"/>
      <c r="H43" s="11"/>
    </row>
    <row r="44" spans="1:8" x14ac:dyDescent="0.25">
      <c r="A44" s="31">
        <v>44</v>
      </c>
      <c r="B44" s="33" t="s">
        <v>296</v>
      </c>
      <c r="C44" s="46">
        <f ca="1">OFFSET(DBEA_ExTarget,DBEI_ROWID-1,0,1,1)</f>
        <v>1</v>
      </c>
      <c r="D44" s="34"/>
      <c r="E44" s="11" t="b">
        <v>1</v>
      </c>
      <c r="F44" s="33"/>
      <c r="G44" s="11"/>
      <c r="H44" s="11"/>
    </row>
    <row r="45" spans="1:8" x14ac:dyDescent="0.25">
      <c r="A45" s="31">
        <v>45</v>
      </c>
      <c r="B45" s="33" t="s">
        <v>297</v>
      </c>
      <c r="C45" s="46" t="str">
        <f ca="1">OFFSET(DBEA_ExTitle,DBEI_ROWID-1,0,1,1)</f>
        <v>Putting Break to the right</v>
      </c>
      <c r="D45" s="34"/>
      <c r="E45" s="11" t="b">
        <v>1</v>
      </c>
      <c r="F45" s="33"/>
      <c r="G45" s="11"/>
      <c r="H45" s="11"/>
    </row>
    <row r="46" spans="1:8" x14ac:dyDescent="0.25">
      <c r="A46" s="31">
        <v>46</v>
      </c>
      <c r="B46" s="33" t="s">
        <v>168</v>
      </c>
      <c r="C46" s="46">
        <f ca="1">OFFSET(DBE_START,DBE_START_ROWID_DATA-1,MATCH(MUI_DBE_T_EX_Correction,DBE_LANG_TITLES,0)-1,DBE_COUNT,1)</f>
        <v>0</v>
      </c>
      <c r="D46" s="34"/>
      <c r="E46" s="11" t="b">
        <v>1</v>
      </c>
      <c r="F46" s="33"/>
      <c r="G46" s="11"/>
      <c r="H46" s="11"/>
    </row>
    <row r="47" spans="1:8" x14ac:dyDescent="0.25">
      <c r="A47" s="31">
        <v>47</v>
      </c>
      <c r="B47" s="33" t="s">
        <v>169</v>
      </c>
      <c r="C47" s="46" t="e">
        <f ca="1">OFFSET(DBE_START,DBE_START_ROWID_DATA-1,DBE_COLID_ShortDescImage-1,DBE_COUNT,1)</f>
        <v>#NAME?</v>
      </c>
      <c r="D47" s="34"/>
      <c r="E47" s="11" t="b">
        <v>1</v>
      </c>
      <c r="F47" s="33"/>
      <c r="G47" s="11"/>
      <c r="H47" s="11"/>
    </row>
    <row r="48" spans="1:8" x14ac:dyDescent="0.25">
      <c r="A48" s="31">
        <v>48</v>
      </c>
      <c r="B48" s="33" t="s">
        <v>170</v>
      </c>
      <c r="C48" s="46" t="str">
        <f>_DB_Exercises!$A$1</f>
        <v>Golf Workplan Manager</v>
      </c>
      <c r="D48" s="34"/>
      <c r="E48" s="11" t="b">
        <v>1</v>
      </c>
      <c r="F48" s="33"/>
      <c r="G48" s="11"/>
      <c r="H48" s="11"/>
    </row>
    <row r="49" spans="1:8" x14ac:dyDescent="0.25">
      <c r="A49" s="31">
        <v>49</v>
      </c>
      <c r="B49" s="33" t="s">
        <v>171</v>
      </c>
      <c r="C49" s="46">
        <f>ROW(_DB_Exercises!$A$6)</f>
        <v>6</v>
      </c>
      <c r="D49" s="34"/>
      <c r="E49" s="11" t="b">
        <v>1</v>
      </c>
      <c r="F49" s="33"/>
      <c r="G49" s="11"/>
      <c r="H49" s="11"/>
    </row>
    <row r="50" spans="1:8" x14ac:dyDescent="0.25">
      <c r="A50" s="31">
        <v>50</v>
      </c>
      <c r="B50" s="33" t="s">
        <v>298</v>
      </c>
      <c r="C50" s="46" t="str">
        <f ca="1">OFFSET(DBE_START,DBE_START_ROWID_DATA-1,DBE_COLID_ExTarget-1,DBE_COUNT,1)</f>
        <v/>
      </c>
      <c r="D50" s="34"/>
      <c r="E50" s="11" t="b">
        <v>1</v>
      </c>
      <c r="F50" s="33"/>
      <c r="G50" s="11"/>
      <c r="H50" s="11"/>
    </row>
    <row r="51" spans="1:8" x14ac:dyDescent="0.25">
      <c r="A51" s="31">
        <v>51</v>
      </c>
      <c r="B51" s="33" t="s">
        <v>125</v>
      </c>
      <c r="C51" s="46" t="str">
        <f ca="1">OFFSET(DBE_START,DBE_START_ROWID_DATA-1,DBE_COLID_ExTitle-1,DBE_COUNT,1)</f>
        <v>Fix Hands</v>
      </c>
      <c r="D51" s="34"/>
      <c r="E51" s="11" t="b">
        <v>1</v>
      </c>
      <c r="F51" s="33"/>
      <c r="G51" s="11"/>
      <c r="H51" s="11"/>
    </row>
    <row r="52" spans="1:8" x14ac:dyDescent="0.25">
      <c r="A52" s="31">
        <v>52</v>
      </c>
      <c r="B52" s="33" t="s">
        <v>299</v>
      </c>
      <c r="C52" s="46" t="e">
        <f ca="1">OFFSET(DBEA_ExPlannedDuration,DBEL_ID-1,0,1,1)</f>
        <v>#NAME?</v>
      </c>
      <c r="D52" s="34"/>
      <c r="E52" s="11" t="b">
        <v>1</v>
      </c>
      <c r="F52" s="33"/>
      <c r="G52" s="11"/>
      <c r="H52" s="11"/>
    </row>
    <row r="53" spans="1:8" x14ac:dyDescent="0.25">
      <c r="A53" s="31">
        <v>53</v>
      </c>
      <c r="B53" s="33" t="s">
        <v>300</v>
      </c>
      <c r="C53" s="46" t="e">
        <f ca="1">OFFSET(DBEA_ExGroup,DBEL_ID-1,0,1,1)</f>
        <v>#NAME?</v>
      </c>
      <c r="D53" s="34"/>
      <c r="E53" s="11" t="b">
        <v>1</v>
      </c>
      <c r="F53" s="33"/>
      <c r="G53" s="11"/>
      <c r="H53" s="11"/>
    </row>
    <row r="54" spans="1:8" x14ac:dyDescent="0.25">
      <c r="A54" s="31">
        <v>54</v>
      </c>
      <c r="B54" s="33" t="s">
        <v>301</v>
      </c>
      <c r="C54" s="46" t="e">
        <f ca="1">OFFSET(DBEA_ExID,DBEL_ID-1,0,1,1)</f>
        <v>#NAME?</v>
      </c>
      <c r="D54" s="34"/>
      <c r="E54" s="11" t="b">
        <v>1</v>
      </c>
      <c r="F54" s="33"/>
      <c r="G54" s="11"/>
      <c r="H54" s="11"/>
    </row>
    <row r="55" spans="1:8" x14ac:dyDescent="0.25">
      <c r="A55" s="31">
        <v>55</v>
      </c>
      <c r="B55" s="33" t="s">
        <v>302</v>
      </c>
      <c r="C55" s="46" t="e">
        <f ca="1">OFFSET(DBEA_ExType,DBEL_ID-1,0,1,1)</f>
        <v>#NAME?</v>
      </c>
      <c r="D55" s="34"/>
      <c r="E55" s="11" t="b">
        <v>1</v>
      </c>
      <c r="F55" s="33"/>
      <c r="G55" s="11"/>
      <c r="H55" s="11"/>
    </row>
    <row r="56" spans="1:8" x14ac:dyDescent="0.25">
      <c r="A56" s="31">
        <v>56</v>
      </c>
      <c r="B56" s="33" t="s">
        <v>303</v>
      </c>
      <c r="C56" s="46">
        <f>0</f>
        <v>0</v>
      </c>
      <c r="D56" s="34"/>
      <c r="E56" s="11" t="b">
        <v>1</v>
      </c>
      <c r="F56" s="33"/>
      <c r="G56" s="11"/>
      <c r="H56" s="11"/>
    </row>
    <row r="57" spans="1:8" x14ac:dyDescent="0.25">
      <c r="A57" s="31">
        <v>57</v>
      </c>
      <c r="B57" s="33" t="s">
        <v>304</v>
      </c>
      <c r="C57" s="46" t="e">
        <f ca="1">OFFSET(DBEA_ExImage,DBEL_ID-1,0,1,1)</f>
        <v>#NAME?</v>
      </c>
      <c r="D57" s="34"/>
      <c r="E57" s="11" t="b">
        <v>1</v>
      </c>
      <c r="F57" s="33"/>
      <c r="G57" s="11"/>
      <c r="H57" s="11"/>
    </row>
    <row r="58" spans="1:8" x14ac:dyDescent="0.25">
      <c r="A58" s="31">
        <v>58</v>
      </c>
      <c r="B58" s="33" t="s">
        <v>305</v>
      </c>
      <c r="C58" s="46" t="e">
        <f ca="1">OFFSET(DBEA_ExDesc,DBEL_ID-1,0,1,1)</f>
        <v>#NAME?</v>
      </c>
      <c r="D58" s="34"/>
      <c r="E58" s="11" t="b">
        <v>1</v>
      </c>
      <c r="F58" s="33"/>
      <c r="G58" s="11"/>
      <c r="H58" s="11"/>
    </row>
    <row r="59" spans="1:8" x14ac:dyDescent="0.25">
      <c r="A59" s="31">
        <v>59</v>
      </c>
      <c r="B59" s="33" t="s">
        <v>306</v>
      </c>
      <c r="C59" s="46" t="e">
        <f ca="1">OFFSET(DBEA_ExMaterial,DBEL_ID-1,0,1,1)</f>
        <v>#NAME?</v>
      </c>
      <c r="D59" s="34"/>
      <c r="E59" s="11" t="b">
        <v>1</v>
      </c>
      <c r="F59" s="33"/>
      <c r="G59" s="11"/>
      <c r="H59" s="11"/>
    </row>
    <row r="60" spans="1:8" x14ac:dyDescent="0.25">
      <c r="A60" s="31">
        <v>60</v>
      </c>
      <c r="B60" s="33" t="s">
        <v>307</v>
      </c>
      <c r="C60" s="46" t="e">
        <f ca="1">OFFSET(DBE_NrOfPlayers,DBEL_ID-1,0,1,1)</f>
        <v>#NAME?</v>
      </c>
      <c r="D60" s="34"/>
      <c r="E60" s="11" t="b">
        <v>1</v>
      </c>
      <c r="F60" s="33"/>
      <c r="G60" s="11"/>
      <c r="H60" s="11"/>
    </row>
    <row r="61" spans="1:8" x14ac:dyDescent="0.25">
      <c r="A61" s="31">
        <v>61</v>
      </c>
      <c r="B61" s="33" t="s">
        <v>308</v>
      </c>
      <c r="C61" s="46" t="e">
        <f ca="1">OFFSET(DBEA_ExTarget,DBEL_ID-1,0,1,1)</f>
        <v>#NAME?</v>
      </c>
      <c r="D61" s="34"/>
      <c r="E61" s="11" t="b">
        <v>1</v>
      </c>
      <c r="F61" s="33"/>
      <c r="G61" s="11"/>
      <c r="H61" s="11"/>
    </row>
    <row r="62" spans="1:8" x14ac:dyDescent="0.25">
      <c r="A62" s="31">
        <v>62</v>
      </c>
      <c r="B62" s="33" t="s">
        <v>309</v>
      </c>
      <c r="C62" s="46" t="e">
        <f ca="1">OFFSET(DBEA_ExTitle,DBEL_ID-1,0,1,1)</f>
        <v>#NAME?</v>
      </c>
      <c r="D62" s="34"/>
      <c r="E62" s="11" t="b">
        <v>1</v>
      </c>
      <c r="F62" s="33"/>
      <c r="G62" s="11"/>
      <c r="H62" s="11"/>
    </row>
    <row r="63" spans="1:8" x14ac:dyDescent="0.25">
      <c r="A63" s="31">
        <v>63</v>
      </c>
      <c r="B63" s="33" t="s">
        <v>310</v>
      </c>
      <c r="C63" s="46" t="e">
        <f ca="1">MATCH(MUI_DBR_T_PlayerWorkoutDate,DBR_Titles,0)</f>
        <v>#NAME?</v>
      </c>
      <c r="D63" s="34"/>
      <c r="E63" s="11" t="b">
        <v>1</v>
      </c>
      <c r="F63" s="33"/>
      <c r="G63" s="11"/>
      <c r="H63" s="11"/>
    </row>
    <row r="64" spans="1:8" x14ac:dyDescent="0.25">
      <c r="A64" s="31">
        <v>64</v>
      </c>
      <c r="B64" s="33" t="s">
        <v>311</v>
      </c>
      <c r="C64" s="46" t="e">
        <f ca="1">MATCH(MUI_DBR_P_ExIDs_Planned,DBR_Titles,0)</f>
        <v>#N/A</v>
      </c>
      <c r="D64" s="34"/>
      <c r="E64" s="11" t="b">
        <v>1</v>
      </c>
      <c r="F64" s="33"/>
      <c r="G64" s="11"/>
      <c r="H64" s="11"/>
    </row>
    <row r="65" spans="1:8" x14ac:dyDescent="0.25">
      <c r="A65" s="31">
        <v>65</v>
      </c>
      <c r="B65" s="33" t="s">
        <v>312</v>
      </c>
      <c r="C65" s="46" t="e">
        <f ca="1">MATCH(MUI_DBR_P_ExIDs_ResultHCP,DBR_Titles,0)</f>
        <v>#N/A</v>
      </c>
      <c r="D65" s="34"/>
      <c r="E65" s="11" t="b">
        <v>1</v>
      </c>
      <c r="F65" s="33"/>
      <c r="G65" s="11"/>
      <c r="H65" s="11"/>
    </row>
    <row r="66" spans="1:8" x14ac:dyDescent="0.25">
      <c r="A66" s="31">
        <v>66</v>
      </c>
      <c r="B66" s="33" t="s">
        <v>313</v>
      </c>
      <c r="C66" s="46" t="e">
        <f ca="1">MATCH(MUI_DBR_P_ExIDs_Result,DBR_Titles,0)</f>
        <v>#N/A</v>
      </c>
      <c r="D66" s="34"/>
      <c r="E66" s="11" t="b">
        <v>1</v>
      </c>
      <c r="F66" s="33"/>
      <c r="G66" s="11"/>
      <c r="H66" s="11"/>
    </row>
    <row r="67" spans="1:8" x14ac:dyDescent="0.25">
      <c r="A67" s="31">
        <v>67</v>
      </c>
      <c r="B67" s="33" t="s">
        <v>314</v>
      </c>
      <c r="C67" s="46">
        <f ca="1">MATCH(MUI_DBR_T_PlayerHCP,DBR_Titles,0)</f>
        <v>6</v>
      </c>
      <c r="D67" s="34"/>
      <c r="E67" s="11" t="b">
        <v>1</v>
      </c>
      <c r="F67" s="33"/>
      <c r="G67" s="11"/>
      <c r="H67" s="11"/>
    </row>
    <row r="68" spans="1:8" x14ac:dyDescent="0.25">
      <c r="A68" s="31">
        <v>68</v>
      </c>
      <c r="B68" s="33" t="s">
        <v>315</v>
      </c>
      <c r="C68" s="46">
        <f ca="1">MATCH(MUI_DBR_T_PlayerID,DBR_Titles,0)</f>
        <v>4</v>
      </c>
      <c r="D68" s="34"/>
      <c r="E68" s="11" t="b">
        <v>1</v>
      </c>
      <c r="F68" s="33"/>
      <c r="G68" s="11"/>
      <c r="H68" s="11"/>
    </row>
    <row r="69" spans="1:8" x14ac:dyDescent="0.25">
      <c r="A69" s="31">
        <v>69</v>
      </c>
      <c r="B69" s="33" t="s">
        <v>316</v>
      </c>
      <c r="C69" s="46">
        <f ca="1">MATCH(MUI_DBR_T_PlayerName,DBR_Titles,0)</f>
        <v>5</v>
      </c>
      <c r="D69" s="34"/>
      <c r="E69" s="11" t="b">
        <v>1</v>
      </c>
      <c r="F69" s="33"/>
      <c r="G69" s="11"/>
      <c r="H69" s="11"/>
    </row>
    <row r="70" spans="1:8" x14ac:dyDescent="0.25">
      <c r="A70" s="31">
        <v>70</v>
      </c>
      <c r="B70" s="33" t="s">
        <v>317</v>
      </c>
      <c r="C70" s="46">
        <f ca="1">MATCH(MUI_DBR_T_PlayerResultHCP,DBR_Titles,0)</f>
        <v>8</v>
      </c>
      <c r="D70" s="34"/>
      <c r="E70" s="11" t="b">
        <v>1</v>
      </c>
      <c r="F70" s="33"/>
      <c r="G70" s="11"/>
      <c r="H70" s="11"/>
    </row>
    <row r="71" spans="1:8" x14ac:dyDescent="0.25">
      <c r="A71" s="31">
        <v>71</v>
      </c>
      <c r="B71" s="33" t="s">
        <v>318</v>
      </c>
      <c r="C71" s="46">
        <f ca="1">MATCH(MUI_DBR_T_PlayerRoundedHCP,DBR_Titles,0)</f>
        <v>7</v>
      </c>
      <c r="D71" s="34"/>
      <c r="E71" s="11" t="b">
        <v>1</v>
      </c>
      <c r="F71" s="33"/>
      <c r="G71" s="11"/>
      <c r="H71" s="11"/>
    </row>
    <row r="72" spans="1:8" x14ac:dyDescent="0.25">
      <c r="A72" s="31">
        <v>72</v>
      </c>
      <c r="B72" s="33" t="s">
        <v>319</v>
      </c>
      <c r="C72" s="46" t="e">
        <f ca="1">MATCH(MUI_DBR_T_PlayerWorkoutID,DBR_Titles,0)</f>
        <v>#NAME?</v>
      </c>
      <c r="D72" s="34"/>
      <c r="E72" s="11" t="b">
        <v>1</v>
      </c>
      <c r="F72" s="33"/>
      <c r="G72" s="11"/>
      <c r="H72" s="11"/>
    </row>
    <row r="73" spans="1:8" x14ac:dyDescent="0.25">
      <c r="A73" s="31">
        <v>73</v>
      </c>
      <c r="B73" s="33" t="s">
        <v>320</v>
      </c>
      <c r="C73" s="46">
        <f ca="1">MATCH(MUI_DBR_T_WorkplanUID,DBR_Titles,0)</f>
        <v>1</v>
      </c>
      <c r="D73" s="34"/>
      <c r="E73" s="11" t="b">
        <v>1</v>
      </c>
      <c r="F73" s="33"/>
      <c r="G73" s="11"/>
      <c r="H73" s="11"/>
    </row>
    <row r="74" spans="1:8" x14ac:dyDescent="0.25">
      <c r="A74" s="31">
        <v>74</v>
      </c>
      <c r="B74" s="33" t="s">
        <v>321</v>
      </c>
      <c r="C74" s="46" t="e">
        <f ca="1">MATCH(MUI_DBR_T_TotalDuration,DBR_Titles,0)</f>
        <v>#N/A</v>
      </c>
      <c r="D74" s="34"/>
      <c r="E74" s="11" t="b">
        <v>1</v>
      </c>
      <c r="F74" s="33"/>
      <c r="G74" s="11"/>
      <c r="H74" s="11"/>
    </row>
    <row r="75" spans="1:8" x14ac:dyDescent="0.25">
      <c r="A75" s="31">
        <v>75</v>
      </c>
      <c r="B75" s="33" t="s">
        <v>322</v>
      </c>
      <c r="C75" s="46">
        <f>COUNTA(_DB_Results!$6:$6)</f>
        <v>184</v>
      </c>
      <c r="D75" s="34"/>
      <c r="E75" s="11" t="b">
        <v>1</v>
      </c>
      <c r="F75" s="33"/>
      <c r="G75" s="11"/>
      <c r="H75" s="11"/>
    </row>
    <row r="76" spans="1:8" x14ac:dyDescent="0.25">
      <c r="A76" s="31">
        <v>76</v>
      </c>
      <c r="B76" s="33" t="s">
        <v>323</v>
      </c>
      <c r="C76" s="46">
        <f>COUNTA(_DB_Results!$A$7:$A$19073)</f>
        <v>29</v>
      </c>
      <c r="D76" s="34"/>
      <c r="E76" s="11" t="b">
        <v>1</v>
      </c>
      <c r="F76" s="33" t="s">
        <v>86</v>
      </c>
      <c r="G76" s="11"/>
      <c r="H76" s="11"/>
    </row>
    <row r="77" spans="1:8" x14ac:dyDescent="0.25">
      <c r="A77" s="31">
        <v>77</v>
      </c>
      <c r="B77" s="33" t="s">
        <v>324</v>
      </c>
      <c r="C77" s="46" t="e">
        <f ca="1">OFFSET(DBR_START,DBR_START_ROWID_DATA-1,DBR_COLID_WorkplanDate-1,DBR_COUNT,1)</f>
        <v>#VALUE!</v>
      </c>
      <c r="D77" s="34"/>
      <c r="E77" s="11" t="b">
        <v>1</v>
      </c>
      <c r="F77" s="33"/>
      <c r="G77" s="11"/>
      <c r="H77" s="11"/>
    </row>
    <row r="78" spans="1:8" x14ac:dyDescent="0.25">
      <c r="A78" s="31">
        <v>78</v>
      </c>
      <c r="B78" s="33" t="s">
        <v>325</v>
      </c>
      <c r="C78" s="46" t="e">
        <f ca="1">OFFSET(DBR_START,DBR_START_ROWID_DATA-1,DBR_COLID_ExIDs_Planned_Start-1,DBR_COUNT,1)</f>
        <v>#VALUE!</v>
      </c>
      <c r="D78" s="34"/>
      <c r="E78" s="11" t="b">
        <v>1</v>
      </c>
      <c r="F78" s="33"/>
      <c r="G78" s="11"/>
      <c r="H78" s="11"/>
    </row>
    <row r="79" spans="1:8" x14ac:dyDescent="0.25">
      <c r="A79" s="31">
        <v>79</v>
      </c>
      <c r="B79" s="33" t="s">
        <v>326</v>
      </c>
      <c r="C79" s="46" t="e">
        <f ca="1">OFFSET(DBR_START,DBR_START_ROWID_DATA-1,DBR_COLID_ExIDs_ResultHCP_Start-1,DBR_COUNT,1)</f>
        <v>#VALUE!</v>
      </c>
      <c r="D79" s="34"/>
      <c r="E79" s="11" t="b">
        <v>1</v>
      </c>
      <c r="F79" s="33"/>
      <c r="G79" s="11"/>
      <c r="H79" s="11"/>
    </row>
    <row r="80" spans="1:8" x14ac:dyDescent="0.25">
      <c r="A80" s="31">
        <v>80</v>
      </c>
      <c r="B80" s="33" t="s">
        <v>327</v>
      </c>
      <c r="C80" s="46" t="e">
        <f ca="1">OFFSET(DBR_START,DBR_START_ROWID_DATA-1,DBR_COLID_ExIDs_Result_Start-1,DBR_COUNT,1)</f>
        <v>#VALUE!</v>
      </c>
      <c r="D80" s="34"/>
      <c r="E80" s="11" t="b">
        <v>1</v>
      </c>
      <c r="F80" s="33"/>
      <c r="G80" s="11"/>
      <c r="H80" s="11"/>
    </row>
    <row r="81" spans="1:8" x14ac:dyDescent="0.25">
      <c r="A81" s="31">
        <v>81</v>
      </c>
      <c r="B81" s="33" t="s">
        <v>73</v>
      </c>
      <c r="C81" s="46">
        <f>0</f>
        <v>0</v>
      </c>
      <c r="D81" s="34"/>
      <c r="E81" s="11" t="b">
        <v>1</v>
      </c>
      <c r="F81" s="33" t="s">
        <v>86</v>
      </c>
      <c r="G81" s="11"/>
      <c r="H81" s="11"/>
    </row>
    <row r="82" spans="1:8" x14ac:dyDescent="0.25">
      <c r="A82" s="31">
        <v>82</v>
      </c>
      <c r="B82" s="33" t="s">
        <v>328</v>
      </c>
      <c r="C82" s="46" t="e">
        <f ca="1">OFFSET(DBR_START,DBR_START_ROWID_DATA-1,DBR_COLID_PlayerHCP-1,DBR_COUNT,1)</f>
        <v>#VALUE!</v>
      </c>
      <c r="D82" s="34"/>
      <c r="E82" s="11" t="b">
        <v>1</v>
      </c>
      <c r="F82" s="33"/>
      <c r="G82" s="11"/>
      <c r="H82" s="11"/>
    </row>
    <row r="83" spans="1:8" x14ac:dyDescent="0.25">
      <c r="A83" s="31">
        <v>83</v>
      </c>
      <c r="B83" s="33" t="s">
        <v>329</v>
      </c>
      <c r="C83" s="46" t="e">
        <f ca="1">OFFSET(DBR_START,DBR_START_ROWID_DATA-1,DBR_COLID_PlayerID-1,DBR_COUNT,1)</f>
        <v>#VALUE!</v>
      </c>
      <c r="D83" s="34"/>
      <c r="E83" s="11" t="b">
        <v>1</v>
      </c>
      <c r="F83" s="33"/>
      <c r="G83" s="11"/>
      <c r="H83" s="11"/>
    </row>
    <row r="84" spans="1:8" x14ac:dyDescent="0.25">
      <c r="A84" s="31">
        <v>84</v>
      </c>
      <c r="B84" s="33" t="s">
        <v>330</v>
      </c>
      <c r="C84" s="46" t="e">
        <f ca="1">OFFSET(DBR_START,DBR_START_ROWID_DATA-1,DBR_COLID_PlayerName-1,DBR_COUNT,1)</f>
        <v>#VALUE!</v>
      </c>
      <c r="D84" s="34"/>
      <c r="E84" s="11" t="b">
        <v>1</v>
      </c>
      <c r="F84" s="33"/>
      <c r="G84" s="11"/>
      <c r="H84" s="11"/>
    </row>
    <row r="85" spans="1:8" x14ac:dyDescent="0.25">
      <c r="A85" s="31">
        <v>85</v>
      </c>
      <c r="B85" s="33" t="s">
        <v>331</v>
      </c>
      <c r="C85" s="46" t="e">
        <f ca="1">OFFSET(DBR_START,DBR_START_ROWID_DATA-1,DBR_COLID_PlayerResultHCP-1,DBR_COUNT,1)</f>
        <v>#VALUE!</v>
      </c>
      <c r="D85" s="34"/>
      <c r="E85" s="11" t="b">
        <v>1</v>
      </c>
      <c r="F85" s="33"/>
      <c r="G85" s="11"/>
      <c r="H85" s="11"/>
    </row>
    <row r="86" spans="1:8" x14ac:dyDescent="0.25">
      <c r="A86" s="31">
        <v>86</v>
      </c>
      <c r="B86" s="33" t="s">
        <v>332</v>
      </c>
      <c r="C86" s="46" t="e">
        <f ca="1">OFFSET(DBR_START,DBR_START_ROWID_DATA-1,DBR_COLID_PlayerRoundedHCP-1,DBR_COUNT,1)</f>
        <v>#VALUE!</v>
      </c>
      <c r="D86" s="34"/>
      <c r="E86" s="11" t="b">
        <v>1</v>
      </c>
      <c r="F86" s="33"/>
      <c r="G86" s="11"/>
      <c r="H86" s="11"/>
    </row>
    <row r="87" spans="1:8" x14ac:dyDescent="0.25">
      <c r="A87" s="31">
        <v>87</v>
      </c>
      <c r="B87" s="33" t="s">
        <v>333</v>
      </c>
      <c r="C87" s="46" t="e">
        <f ca="1">OFFSET(DBR_START,DBR_START_ROWID_DATA-1,DBR_COLID_WorkplanID-1,DBR_COUNT,1)</f>
        <v>#VALUE!</v>
      </c>
      <c r="D87" s="34"/>
      <c r="E87" s="11" t="b">
        <v>1</v>
      </c>
      <c r="F87" s="33"/>
      <c r="G87" s="11"/>
      <c r="H87" s="11"/>
    </row>
    <row r="88" spans="1:8" x14ac:dyDescent="0.25">
      <c r="A88" s="31">
        <v>88</v>
      </c>
      <c r="B88" s="33" t="s">
        <v>334</v>
      </c>
      <c r="C88" s="46" t="e">
        <f ca="1">OFFSET(DBR_START,DBR_START_ROWID_DATA-1,DBR_COLID_WorkplanUID-1,DBR_COUNT,1)</f>
        <v>#VALUE!</v>
      </c>
      <c r="D88" s="34"/>
      <c r="E88" s="11" t="b">
        <v>1</v>
      </c>
      <c r="F88" s="33"/>
      <c r="G88" s="11"/>
      <c r="H88" s="11"/>
    </row>
    <row r="89" spans="1:8" x14ac:dyDescent="0.25">
      <c r="A89" s="31">
        <v>89</v>
      </c>
      <c r="B89" s="33" t="s">
        <v>335</v>
      </c>
      <c r="C89" s="46" t="str">
        <f>_DB_Results!$A$1</f>
        <v>Golf Workplan Manager</v>
      </c>
      <c r="D89" s="34"/>
      <c r="E89" s="11" t="b">
        <v>1</v>
      </c>
      <c r="F89" s="33"/>
      <c r="G89" s="11"/>
      <c r="H89" s="11"/>
    </row>
    <row r="90" spans="1:8" x14ac:dyDescent="0.25">
      <c r="A90" s="31">
        <v>90</v>
      </c>
      <c r="B90" s="33" t="s">
        <v>336</v>
      </c>
      <c r="C90" s="46" t="e">
        <f>ROW(_DB_Results!#REF!)</f>
        <v>#REF!</v>
      </c>
      <c r="D90" s="34"/>
      <c r="E90" s="11" t="b">
        <v>1</v>
      </c>
      <c r="F90" s="33"/>
      <c r="G90" s="11"/>
      <c r="H90" s="11"/>
    </row>
    <row r="91" spans="1:8" x14ac:dyDescent="0.25">
      <c r="A91" s="31">
        <v>91</v>
      </c>
      <c r="B91" s="33" t="s">
        <v>337</v>
      </c>
      <c r="C91" s="46" t="str">
        <f ca="1">OFFSET(DBR_Titles_Start,0,0,1,DBR_Columns)</f>
        <v>WPID</v>
      </c>
      <c r="D91" s="34"/>
      <c r="E91" s="11" t="b">
        <v>1</v>
      </c>
      <c r="F91" s="33"/>
      <c r="G91" s="11"/>
      <c r="H91" s="11"/>
    </row>
    <row r="92" spans="1:8" x14ac:dyDescent="0.25">
      <c r="A92" s="31">
        <v>92</v>
      </c>
      <c r="B92" s="33" t="s">
        <v>338</v>
      </c>
      <c r="C92" s="46" t="str">
        <f>_DB_Results!$A$6</f>
        <v>WorkplanUID</v>
      </c>
      <c r="D92" s="34"/>
      <c r="E92" s="11" t="b">
        <v>1</v>
      </c>
      <c r="F92" s="33"/>
      <c r="G92" s="11"/>
      <c r="H92" s="11"/>
    </row>
    <row r="93" spans="1:8" x14ac:dyDescent="0.25">
      <c r="A93" s="31">
        <v>93</v>
      </c>
      <c r="B93" s="33" t="s">
        <v>339</v>
      </c>
      <c r="C93" s="46" t="e">
        <f ca="1">OFFSET(DBR_START,DBR_START_ROWID_DATA-1,DBR_COLID_WPTotalDuration-1,DBR_COUNT,1)</f>
        <v>#N/A</v>
      </c>
      <c r="D93" s="34"/>
      <c r="E93" s="11" t="b">
        <v>1</v>
      </c>
      <c r="F93" s="33"/>
      <c r="G93" s="11"/>
      <c r="H93" s="11"/>
    </row>
    <row r="94" spans="1:8" x14ac:dyDescent="0.25">
      <c r="A94" s="31">
        <v>94</v>
      </c>
      <c r="B94" s="33" t="s">
        <v>404</v>
      </c>
      <c r="C94" s="46">
        <f>_DB_Results!$B$5</f>
        <v>0</v>
      </c>
      <c r="D94" s="34"/>
      <c r="E94" s="11" t="b">
        <v>1</v>
      </c>
      <c r="F94" s="33"/>
      <c r="G94" s="11"/>
      <c r="H94" s="11"/>
    </row>
    <row r="95" spans="1:8" x14ac:dyDescent="0.25">
      <c r="A95" s="31">
        <v>95</v>
      </c>
      <c r="B95" s="33" t="s">
        <v>974</v>
      </c>
      <c r="C95" s="46" t="str">
        <f ca="1">OFFSET(DBRA_WorkplanDate,DBRI_ID-1,0,1,1)</f>
        <v>18.04.2015</v>
      </c>
      <c r="D95" s="34"/>
      <c r="E95" s="11" t="b">
        <v>1</v>
      </c>
      <c r="F95" s="33"/>
      <c r="G95" s="11"/>
      <c r="H95" s="11"/>
    </row>
    <row r="96" spans="1:8" x14ac:dyDescent="0.25">
      <c r="A96" s="31">
        <v>96</v>
      </c>
      <c r="B96" s="33" t="s">
        <v>975</v>
      </c>
      <c r="C96" s="46">
        <f ca="1">OFFSET(DBRA_ExIDs_Planned_Start,DBRI_ID-1,0,1,1)</f>
        <v>1005</v>
      </c>
      <c r="D96" s="34"/>
      <c r="E96" s="11" t="b">
        <v>1</v>
      </c>
      <c r="F96" s="33"/>
      <c r="G96" s="11"/>
      <c r="H96" s="11"/>
    </row>
    <row r="97" spans="1:8" x14ac:dyDescent="0.25">
      <c r="A97" s="31">
        <v>97</v>
      </c>
      <c r="B97" s="33" t="s">
        <v>976</v>
      </c>
      <c r="C97" s="46">
        <f ca="1">OFFSET(DBRA_ExIDs_ResultHCP_Start,DBRI_ID-1,0,1,1)</f>
        <v>-2</v>
      </c>
      <c r="D97" s="34"/>
      <c r="E97" s="11" t="b">
        <v>1</v>
      </c>
      <c r="F97" s="33"/>
      <c r="G97" s="11"/>
      <c r="H97" s="11"/>
    </row>
    <row r="98" spans="1:8" x14ac:dyDescent="0.25">
      <c r="A98" s="31">
        <v>98</v>
      </c>
      <c r="B98" s="33" t="s">
        <v>977</v>
      </c>
      <c r="C98" s="46">
        <f ca="1">OFFSET(DBRA_ExIDs_Result_Start,DBRI_ID-1,0,1,1)</f>
        <v>11</v>
      </c>
      <c r="D98" s="34"/>
      <c r="E98" s="11" t="b">
        <v>1</v>
      </c>
      <c r="F98" s="33"/>
      <c r="G98" s="11"/>
      <c r="H98" s="11"/>
    </row>
    <row r="99" spans="1:8" x14ac:dyDescent="0.25">
      <c r="A99" s="31">
        <v>99</v>
      </c>
      <c r="B99" s="33" t="s">
        <v>973</v>
      </c>
      <c r="C99" s="46">
        <f>DBR_COUNT+1</f>
        <v>30</v>
      </c>
      <c r="D99" s="34"/>
      <c r="E99" s="11" t="b">
        <v>1</v>
      </c>
      <c r="F99" s="33"/>
      <c r="G99" s="11"/>
      <c r="H99" s="11"/>
    </row>
    <row r="100" spans="1:8" x14ac:dyDescent="0.25">
      <c r="A100" s="31">
        <v>100</v>
      </c>
      <c r="B100" s="33" t="s">
        <v>978</v>
      </c>
      <c r="C100" s="46" t="str">
        <f ca="1">OFFSET(DBRA_PlayerID,DBRI_ID-1,0,1,1)</f>
        <v>0049-8881-007</v>
      </c>
      <c r="D100" s="34"/>
      <c r="E100" s="11" t="b">
        <v>1</v>
      </c>
      <c r="F100" s="33"/>
      <c r="G100" s="11"/>
      <c r="H100" s="11"/>
    </row>
    <row r="101" spans="1:8" x14ac:dyDescent="0.25">
      <c r="A101" s="31">
        <v>101</v>
      </c>
      <c r="B101" s="33" t="s">
        <v>979</v>
      </c>
      <c r="C101" s="46" t="str">
        <f ca="1">OFFSET(DBRA_PlayerName,DBRI_ID-1,0,1,1)</f>
        <v>Max Mustermann</v>
      </c>
      <c r="D101" s="34"/>
      <c r="E101" s="11" t="b">
        <v>1</v>
      </c>
      <c r="F101" s="33"/>
      <c r="G101" s="11"/>
      <c r="H101" s="11"/>
    </row>
    <row r="102" spans="1:8" x14ac:dyDescent="0.25">
      <c r="A102" s="31">
        <v>102</v>
      </c>
      <c r="B102" s="33" t="s">
        <v>980</v>
      </c>
      <c r="C102" s="46" t="str">
        <f ca="1">OFFSET(DBRA_PlayerResultHCP,DBRI_ID-1,0,1,1)</f>
        <v>Not supported</v>
      </c>
      <c r="D102" s="34"/>
      <c r="E102" s="11" t="b">
        <v>1</v>
      </c>
      <c r="F102" s="33"/>
      <c r="G102" s="11"/>
      <c r="H102" s="11"/>
    </row>
    <row r="103" spans="1:8" x14ac:dyDescent="0.25">
      <c r="A103" s="31">
        <v>103</v>
      </c>
      <c r="B103" s="33" t="s">
        <v>981</v>
      </c>
      <c r="C103" s="46">
        <f ca="1">OFFSET(DBRA_PlayerRoundedHCP,DBRI_ID-1,0,1,1)</f>
        <v>-6</v>
      </c>
      <c r="D103" s="34"/>
      <c r="E103" s="11" t="b">
        <v>1</v>
      </c>
      <c r="F103" s="33"/>
      <c r="G103" s="11"/>
      <c r="H103" s="11"/>
    </row>
    <row r="104" spans="1:8" x14ac:dyDescent="0.25">
      <c r="A104" s="31">
        <v>104</v>
      </c>
      <c r="B104" s="33" t="s">
        <v>982</v>
      </c>
      <c r="C104" s="46">
        <f ca="1">OFFSET(DBRA_WorkplanID,DBRI_ID-1,0,1,1)</f>
        <v>12</v>
      </c>
      <c r="D104" s="34"/>
      <c r="E104" s="11" t="b">
        <v>1</v>
      </c>
      <c r="F104" s="33"/>
      <c r="G104" s="11"/>
      <c r="H104" s="11"/>
    </row>
    <row r="105" spans="1:8" x14ac:dyDescent="0.25">
      <c r="A105" s="31">
        <v>105</v>
      </c>
      <c r="B105" s="33" t="s">
        <v>983</v>
      </c>
      <c r="C105" s="46" t="str">
        <f ca="1">OFFSET(DBRA_WorkplanUID,DBRI_ID-1,0,1,1)</f>
        <v>3A2610B5F7F846C584E6F237C8530750</v>
      </c>
      <c r="D105" s="34"/>
      <c r="E105" s="11" t="b">
        <v>1</v>
      </c>
      <c r="F105" s="33"/>
      <c r="G105" s="11"/>
      <c r="H105" s="11"/>
    </row>
    <row r="106" spans="1:8" x14ac:dyDescent="0.25">
      <c r="A106" s="31">
        <v>106</v>
      </c>
      <c r="B106" s="33" t="s">
        <v>984</v>
      </c>
      <c r="C106" s="46" t="e">
        <f ca="1">OFFSET(DBRA_WPTotalDuration,DBRI_ID-1,0,1,1)</f>
        <v>#N/A</v>
      </c>
      <c r="D106" s="34"/>
      <c r="E106" s="11" t="b">
        <v>1</v>
      </c>
      <c r="F106" s="33"/>
      <c r="G106" s="11"/>
      <c r="H106" s="11"/>
    </row>
    <row r="107" spans="1:8" x14ac:dyDescent="0.25">
      <c r="A107" s="31">
        <v>107</v>
      </c>
      <c r="B107" s="33" t="s">
        <v>340</v>
      </c>
      <c r="C107" s="46" t="e">
        <f>#REF!</f>
        <v>#REF!</v>
      </c>
      <c r="D107" s="34"/>
      <c r="E107" s="11" t="b">
        <v>1</v>
      </c>
      <c r="F107" s="33"/>
      <c r="G107" s="11"/>
      <c r="H107" s="11"/>
    </row>
    <row r="108" spans="1:8" x14ac:dyDescent="0.25">
      <c r="A108" s="31">
        <v>108</v>
      </c>
      <c r="B108" s="33" t="s">
        <v>341</v>
      </c>
      <c r="C108" s="46" t="e">
        <f>#REF!</f>
        <v>#REF!</v>
      </c>
      <c r="D108" s="34"/>
      <c r="E108" s="11" t="b">
        <v>1</v>
      </c>
      <c r="F108" s="33"/>
      <c r="G108" s="11"/>
      <c r="H108" s="11"/>
    </row>
    <row r="109" spans="1:8" x14ac:dyDescent="0.25">
      <c r="A109" s="31">
        <v>109</v>
      </c>
      <c r="B109" s="33" t="s">
        <v>126</v>
      </c>
      <c r="C109" s="46" t="e">
        <f>#REF!</f>
        <v>#REF!</v>
      </c>
      <c r="D109" s="34"/>
      <c r="E109" s="11" t="b">
        <v>1</v>
      </c>
      <c r="F109" s="33"/>
      <c r="G109" s="11"/>
      <c r="H109" s="11"/>
    </row>
    <row r="110" spans="1:8" x14ac:dyDescent="0.25">
      <c r="A110" s="31">
        <v>110</v>
      </c>
      <c r="B110" s="33" t="s">
        <v>127</v>
      </c>
      <c r="C110" s="46" t="e">
        <f ca="1">OFFSET(DL_START,DL_DATA_STARTLINE-1,DL_COL_DL_ExGroup-1,DL_ROWS_ExGroup,1)</f>
        <v>#NAME?</v>
      </c>
      <c r="D110" s="34"/>
      <c r="E110" s="11" t="b">
        <v>1</v>
      </c>
      <c r="F110" s="33"/>
      <c r="G110" s="11"/>
      <c r="H110" s="11"/>
    </row>
    <row r="111" spans="1:8" x14ac:dyDescent="0.25">
      <c r="A111" s="31">
        <v>111</v>
      </c>
      <c r="B111" s="33" t="s">
        <v>128</v>
      </c>
      <c r="C111" s="46" t="e">
        <f ca="1">OFFSET(DL_START,DL_DATA_STARTLINE-1,DL_COL_DL_ExType-1,DL_ROWS_ExType,1)</f>
        <v>#NAME?</v>
      </c>
      <c r="D111" s="34"/>
      <c r="E111" s="11" t="b">
        <v>1</v>
      </c>
      <c r="F111" s="33"/>
      <c r="G111" s="11"/>
      <c r="H111" s="11"/>
    </row>
    <row r="112" spans="1:8" x14ac:dyDescent="0.25">
      <c r="A112" s="31">
        <v>112</v>
      </c>
      <c r="B112" s="33" t="s">
        <v>129</v>
      </c>
      <c r="C112" s="46" t="e">
        <f ca="1">OFFSET(DL_START,DL_DATA_STARTLINE-1,DL_COL_DL_NrOfPlayers-1,DL_ROWS_NrOfPlayers,1)</f>
        <v>#NAME?</v>
      </c>
      <c r="D112" s="34"/>
      <c r="E112" s="11" t="b">
        <v>1</v>
      </c>
      <c r="F112" s="33"/>
      <c r="G112" s="11"/>
      <c r="H112" s="11"/>
    </row>
    <row r="113" spans="1:8" x14ac:dyDescent="0.25">
      <c r="A113" s="31">
        <v>113</v>
      </c>
      <c r="B113" s="33" t="s">
        <v>130</v>
      </c>
      <c r="C113" s="46" t="e">
        <f ca="1">OFFSET(DL_START,DL_DATA_STARTLINE-1,DL_COL_DL_Title-1,DL_ROWS_Title,1)</f>
        <v>#NAME?</v>
      </c>
      <c r="D113" s="34"/>
      <c r="E113" s="11" t="b">
        <v>1</v>
      </c>
      <c r="F113" s="33"/>
      <c r="G113" s="11"/>
      <c r="H113" s="11"/>
    </row>
    <row r="114" spans="1:8" x14ac:dyDescent="0.25">
      <c r="A114" s="31">
        <v>114</v>
      </c>
      <c r="B114" s="33" t="s">
        <v>131</v>
      </c>
      <c r="C114" s="46">
        <f>5</f>
        <v>5</v>
      </c>
      <c r="D114" s="34"/>
      <c r="E114" s="11" t="b">
        <v>1</v>
      </c>
      <c r="F114" s="33"/>
      <c r="G114" s="11"/>
      <c r="H114" s="11"/>
    </row>
    <row r="115" spans="1:8" x14ac:dyDescent="0.25">
      <c r="A115" s="31">
        <v>115</v>
      </c>
      <c r="B115" s="33" t="s">
        <v>132</v>
      </c>
      <c r="C115" s="46">
        <f>6</f>
        <v>6</v>
      </c>
      <c r="D115" s="34"/>
      <c r="E115" s="11" t="b">
        <v>1</v>
      </c>
      <c r="F115" s="33"/>
      <c r="G115" s="11"/>
      <c r="H115" s="11"/>
    </row>
    <row r="116" spans="1:8" x14ac:dyDescent="0.25">
      <c r="A116" s="31">
        <v>116</v>
      </c>
      <c r="B116" s="33" t="s">
        <v>133</v>
      </c>
      <c r="C116" s="46">
        <f>7</f>
        <v>7</v>
      </c>
      <c r="D116" s="34"/>
      <c r="E116" s="11" t="b">
        <v>1</v>
      </c>
      <c r="F116" s="33"/>
      <c r="G116" s="11"/>
      <c r="H116" s="11"/>
    </row>
    <row r="117" spans="1:8" x14ac:dyDescent="0.25">
      <c r="A117" s="31">
        <v>117</v>
      </c>
      <c r="B117" s="33" t="s">
        <v>134</v>
      </c>
      <c r="C117" s="46">
        <f>8</f>
        <v>8</v>
      </c>
      <c r="D117" s="34"/>
      <c r="E117" s="11" t="b">
        <v>1</v>
      </c>
      <c r="F117" s="33"/>
      <c r="G117" s="11"/>
      <c r="H117" s="11"/>
    </row>
    <row r="118" spans="1:8" x14ac:dyDescent="0.25">
      <c r="A118" s="31">
        <v>118</v>
      </c>
      <c r="B118" s="33" t="s">
        <v>135</v>
      </c>
      <c r="C118" s="46">
        <f>1</f>
        <v>1</v>
      </c>
      <c r="D118" s="34"/>
      <c r="E118" s="11" t="b">
        <v>1</v>
      </c>
      <c r="F118" s="33"/>
      <c r="G118" s="11"/>
      <c r="H118" s="11"/>
    </row>
    <row r="119" spans="1:8" x14ac:dyDescent="0.25">
      <c r="A119" s="31">
        <v>119</v>
      </c>
      <c r="B119" s="33" t="s">
        <v>136</v>
      </c>
      <c r="C119" s="46">
        <f>2</f>
        <v>2</v>
      </c>
      <c r="D119" s="34"/>
      <c r="E119" s="11" t="b">
        <v>1</v>
      </c>
      <c r="F119" s="33"/>
      <c r="G119" s="11"/>
      <c r="H119" s="11"/>
    </row>
    <row r="120" spans="1:8" x14ac:dyDescent="0.25">
      <c r="A120" s="31">
        <v>120</v>
      </c>
      <c r="B120" s="33" t="s">
        <v>137</v>
      </c>
      <c r="C120" s="46">
        <f>3</f>
        <v>3</v>
      </c>
      <c r="D120" s="34"/>
      <c r="E120" s="11" t="b">
        <v>1</v>
      </c>
      <c r="F120" s="33"/>
      <c r="G120" s="11"/>
      <c r="H120" s="11"/>
    </row>
    <row r="121" spans="1:8" x14ac:dyDescent="0.25">
      <c r="A121" s="31">
        <v>121</v>
      </c>
      <c r="B121" s="33" t="s">
        <v>138</v>
      </c>
      <c r="C121" s="46">
        <f>4</f>
        <v>4</v>
      </c>
      <c r="D121" s="34"/>
      <c r="E121" s="11" t="b">
        <v>1</v>
      </c>
      <c r="F121" s="33"/>
      <c r="G121" s="11"/>
      <c r="H121" s="11"/>
    </row>
    <row r="122" spans="1:8" x14ac:dyDescent="0.25">
      <c r="A122" s="31">
        <v>122</v>
      </c>
      <c r="B122" s="33" t="s">
        <v>139</v>
      </c>
      <c r="C122" s="46">
        <f>1000</f>
        <v>1000</v>
      </c>
      <c r="D122" s="34"/>
      <c r="E122" s="11" t="b">
        <v>1</v>
      </c>
      <c r="F122" s="33"/>
      <c r="G122" s="11"/>
      <c r="H122" s="11"/>
    </row>
    <row r="123" spans="1:8" x14ac:dyDescent="0.25">
      <c r="A123" s="31">
        <v>123</v>
      </c>
      <c r="B123" s="33" t="s">
        <v>140</v>
      </c>
      <c r="C123" s="46">
        <f>5</f>
        <v>5</v>
      </c>
      <c r="D123" s="34"/>
      <c r="E123" s="11" t="b">
        <v>1</v>
      </c>
      <c r="F123" s="33"/>
      <c r="G123" s="11"/>
      <c r="H123" s="11"/>
    </row>
    <row r="124" spans="1:8" x14ac:dyDescent="0.25">
      <c r="A124" s="31">
        <v>124</v>
      </c>
      <c r="B124" s="33" t="s">
        <v>141</v>
      </c>
      <c r="C124" s="46" t="e">
        <f>#REF!</f>
        <v>#REF!</v>
      </c>
      <c r="D124" s="34"/>
      <c r="E124" s="11" t="b">
        <v>1</v>
      </c>
      <c r="F124" s="33"/>
      <c r="G124" s="11"/>
      <c r="H124" s="11"/>
    </row>
    <row r="125" spans="1:8" x14ac:dyDescent="0.25">
      <c r="A125" s="31">
        <v>125</v>
      </c>
      <c r="B125" s="33" t="s">
        <v>142</v>
      </c>
      <c r="C125" s="46" t="e">
        <f>#REF!</f>
        <v>#REF!</v>
      </c>
      <c r="D125" s="34"/>
      <c r="E125" s="11" t="b">
        <v>1</v>
      </c>
      <c r="F125" s="33"/>
      <c r="G125" s="11"/>
      <c r="H125" s="11"/>
    </row>
    <row r="126" spans="1:8" x14ac:dyDescent="0.25">
      <c r="A126" s="31">
        <v>126</v>
      </c>
      <c r="B126" s="33" t="s">
        <v>143</v>
      </c>
      <c r="C126" s="46" t="e">
        <f>#REF!</f>
        <v>#REF!</v>
      </c>
      <c r="D126" s="34"/>
      <c r="E126" s="11" t="b">
        <v>1</v>
      </c>
      <c r="F126" s="33"/>
      <c r="G126" s="11"/>
      <c r="H126" s="11"/>
    </row>
    <row r="127" spans="1:8" x14ac:dyDescent="0.25">
      <c r="A127" s="31">
        <v>127</v>
      </c>
      <c r="B127" s="33" t="s">
        <v>144</v>
      </c>
      <c r="C127" s="46" t="e">
        <f>#REF!</f>
        <v>#REF!</v>
      </c>
      <c r="D127" s="34"/>
      <c r="E127" s="11" t="b">
        <v>1</v>
      </c>
      <c r="F127" s="33"/>
      <c r="G127" s="11"/>
      <c r="H127" s="11"/>
    </row>
    <row r="128" spans="1:8" x14ac:dyDescent="0.25">
      <c r="A128" s="31">
        <v>128</v>
      </c>
      <c r="B128" s="33" t="s">
        <v>145</v>
      </c>
      <c r="C128" s="46" t="e">
        <f>#REF!</f>
        <v>#REF!</v>
      </c>
      <c r="D128" s="34"/>
      <c r="E128" s="11" t="b">
        <v>1</v>
      </c>
      <c r="F128" s="33"/>
      <c r="G128" s="11"/>
      <c r="H128" s="11"/>
    </row>
    <row r="129" spans="1:8" x14ac:dyDescent="0.25">
      <c r="A129" s="31">
        <v>129</v>
      </c>
      <c r="B129" s="33" t="s">
        <v>342</v>
      </c>
      <c r="C129" s="46" t="e">
        <f>#REF!</f>
        <v>#REF!</v>
      </c>
      <c r="D129" s="34"/>
      <c r="E129" s="11" t="b">
        <v>1</v>
      </c>
      <c r="F129" s="33"/>
      <c r="G129" s="11"/>
      <c r="H129" s="11"/>
    </row>
    <row r="130" spans="1:8" x14ac:dyDescent="0.25">
      <c r="A130" s="31">
        <v>130</v>
      </c>
      <c r="B130" s="33" t="s">
        <v>146</v>
      </c>
      <c r="C130" s="46" t="e">
        <f>#REF!</f>
        <v>#REF!</v>
      </c>
      <c r="D130" s="34"/>
      <c r="E130" s="11" t="b">
        <v>1</v>
      </c>
      <c r="F130" s="33"/>
      <c r="G130" s="11"/>
      <c r="H130" s="11"/>
    </row>
    <row r="131" spans="1:8" x14ac:dyDescent="0.25">
      <c r="A131" s="31">
        <v>131</v>
      </c>
      <c r="B131" s="33" t="s">
        <v>147</v>
      </c>
      <c r="C131" s="46" t="e">
        <f>#REF!</f>
        <v>#REF!</v>
      </c>
      <c r="D131" s="34"/>
      <c r="E131" s="11" t="b">
        <v>1</v>
      </c>
      <c r="F131" s="33"/>
      <c r="G131" s="11"/>
      <c r="H131" s="11"/>
    </row>
    <row r="132" spans="1:8" x14ac:dyDescent="0.25">
      <c r="A132" s="31">
        <v>132</v>
      </c>
      <c r="B132" s="33" t="s">
        <v>148</v>
      </c>
      <c r="C132" s="46" t="e">
        <f>#REF!</f>
        <v>#REF!</v>
      </c>
      <c r="D132" s="34"/>
      <c r="E132" s="11" t="b">
        <v>1</v>
      </c>
      <c r="F132" s="33"/>
      <c r="G132" s="11"/>
      <c r="H132" s="11"/>
    </row>
    <row r="133" spans="1:8" x14ac:dyDescent="0.25">
      <c r="A133" s="31">
        <v>133</v>
      </c>
      <c r="B133" s="33" t="s">
        <v>149</v>
      </c>
      <c r="C133" s="46" t="e">
        <f>#REF!</f>
        <v>#REF!</v>
      </c>
      <c r="D133" s="34"/>
      <c r="E133" s="11" t="b">
        <v>1</v>
      </c>
      <c r="F133" s="33"/>
      <c r="G133" s="11"/>
      <c r="H133" s="11"/>
    </row>
    <row r="134" spans="1:8" x14ac:dyDescent="0.25">
      <c r="A134" s="31">
        <v>134</v>
      </c>
      <c r="B134" s="33" t="s">
        <v>150</v>
      </c>
      <c r="C134" s="46" t="e">
        <f>#REF!</f>
        <v>#REF!</v>
      </c>
      <c r="D134" s="34"/>
      <c r="E134" s="11" t="b">
        <v>1</v>
      </c>
      <c r="F134" s="33"/>
      <c r="G134" s="11"/>
      <c r="H134" s="11"/>
    </row>
    <row r="135" spans="1:8" x14ac:dyDescent="0.25">
      <c r="A135" s="31">
        <v>135</v>
      </c>
      <c r="B135" s="33" t="s">
        <v>151</v>
      </c>
      <c r="C135" s="46" t="e">
        <f>#REF!</f>
        <v>#REF!</v>
      </c>
      <c r="D135" s="34"/>
      <c r="E135" s="11" t="b">
        <v>1</v>
      </c>
      <c r="F135" s="33"/>
      <c r="G135" s="11"/>
      <c r="H135" s="11"/>
    </row>
    <row r="136" spans="1:8" x14ac:dyDescent="0.25">
      <c r="A136" s="31">
        <v>136</v>
      </c>
      <c r="B136" s="33" t="s">
        <v>343</v>
      </c>
      <c r="C136" s="46" t="e">
        <f>#REF!</f>
        <v>#REF!</v>
      </c>
      <c r="D136" s="34"/>
      <c r="E136" s="11" t="b">
        <v>1</v>
      </c>
      <c r="F136" s="33"/>
      <c r="G136" s="11"/>
      <c r="H136" s="11"/>
    </row>
    <row r="137" spans="1:8" x14ac:dyDescent="0.25">
      <c r="A137" s="31">
        <v>137</v>
      </c>
      <c r="B137" s="33" t="s">
        <v>344</v>
      </c>
      <c r="C137" s="46" t="e">
        <f>#REF!</f>
        <v>#REF!</v>
      </c>
      <c r="D137" s="34"/>
      <c r="E137" s="11" t="b">
        <v>1</v>
      </c>
      <c r="F137" s="33"/>
      <c r="G137" s="11"/>
      <c r="H137" s="11"/>
    </row>
    <row r="138" spans="1:8" x14ac:dyDescent="0.25">
      <c r="A138" s="31">
        <v>138</v>
      </c>
      <c r="B138" s="33" t="s">
        <v>345</v>
      </c>
      <c r="C138" s="46" t="e">
        <f>#REF!</f>
        <v>#REF!</v>
      </c>
      <c r="D138" s="34"/>
      <c r="E138" s="11" t="b">
        <v>1</v>
      </c>
      <c r="F138" s="33"/>
      <c r="G138" s="11"/>
      <c r="H138" s="11"/>
    </row>
    <row r="139" spans="1:8" x14ac:dyDescent="0.25">
      <c r="A139" s="31">
        <v>139</v>
      </c>
      <c r="B139" s="33" t="s">
        <v>152</v>
      </c>
      <c r="C139" s="46" t="e">
        <f>#REF!</f>
        <v>#REF!</v>
      </c>
      <c r="D139" s="34"/>
      <c r="E139" s="11" t="b">
        <v>1</v>
      </c>
      <c r="F139" s="33"/>
      <c r="G139" s="11"/>
      <c r="H139" s="11"/>
    </row>
    <row r="140" spans="1:8" x14ac:dyDescent="0.25">
      <c r="A140" s="31">
        <v>140</v>
      </c>
      <c r="B140" s="33" t="s">
        <v>153</v>
      </c>
      <c r="C140" s="46" t="e">
        <f>#REF!</f>
        <v>#REF!</v>
      </c>
      <c r="D140" s="34"/>
      <c r="E140" s="11" t="b">
        <v>1</v>
      </c>
      <c r="F140" s="33"/>
      <c r="G140" s="11"/>
      <c r="H140" s="11"/>
    </row>
    <row r="141" spans="1:8" x14ac:dyDescent="0.25">
      <c r="A141" s="31">
        <v>141</v>
      </c>
      <c r="B141" s="33" t="s">
        <v>154</v>
      </c>
      <c r="C141" s="46" t="e">
        <f>#REF!</f>
        <v>#REF!</v>
      </c>
      <c r="D141" s="34"/>
      <c r="E141" s="11" t="b">
        <v>1</v>
      </c>
      <c r="F141" s="33"/>
      <c r="G141" s="11"/>
      <c r="H141" s="11"/>
    </row>
    <row r="142" spans="1:8" x14ac:dyDescent="0.25">
      <c r="A142" s="31">
        <v>142</v>
      </c>
      <c r="B142" s="33" t="s">
        <v>155</v>
      </c>
      <c r="C142" s="46" t="e">
        <f>#REF!</f>
        <v>#REF!</v>
      </c>
      <c r="D142" s="34"/>
      <c r="E142" s="11" t="b">
        <v>1</v>
      </c>
      <c r="F142" s="33"/>
      <c r="G142" s="11"/>
      <c r="H142" s="11"/>
    </row>
    <row r="143" spans="1:8" x14ac:dyDescent="0.25">
      <c r="A143" s="31">
        <v>143</v>
      </c>
      <c r="B143" s="33" t="s">
        <v>156</v>
      </c>
      <c r="C143" s="46" t="e">
        <f>#REF!</f>
        <v>#REF!</v>
      </c>
      <c r="D143" s="34"/>
      <c r="E143" s="11" t="b">
        <v>1</v>
      </c>
      <c r="F143" s="33"/>
      <c r="G143" s="11"/>
      <c r="H143" s="11"/>
    </row>
    <row r="144" spans="1:8" x14ac:dyDescent="0.25">
      <c r="A144" s="31">
        <v>144</v>
      </c>
      <c r="B144" s="33" t="s">
        <v>346</v>
      </c>
      <c r="C144" s="46" t="e">
        <f>#REF!</f>
        <v>#REF!</v>
      </c>
      <c r="D144" s="34"/>
      <c r="E144" s="11" t="b">
        <v>1</v>
      </c>
      <c r="F144" s="33"/>
      <c r="G144" s="11"/>
      <c r="H144" s="11"/>
    </row>
    <row r="145" spans="1:8" x14ac:dyDescent="0.25">
      <c r="A145" s="31">
        <v>145</v>
      </c>
      <c r="B145" s="33" t="s">
        <v>116</v>
      </c>
      <c r="C145" s="46" t="str">
        <f>_Config!$B$6</f>
        <v>ZZZ</v>
      </c>
      <c r="D145" s="34"/>
      <c r="E145" s="11" t="b">
        <v>1</v>
      </c>
      <c r="F145" s="33"/>
      <c r="G145" s="11"/>
      <c r="H145" s="11"/>
    </row>
    <row r="146" spans="1:8" x14ac:dyDescent="0.25">
      <c r="A146" s="31">
        <v>146</v>
      </c>
      <c r="B146" s="33" t="s">
        <v>347</v>
      </c>
      <c r="C146" s="46" t="e">
        <f ca="1">OFFSET(EX_START,EX_AIM_RowID-2,EX_COLID_Duration-1)</f>
        <v>#NAME?</v>
      </c>
      <c r="D146" s="34"/>
      <c r="E146" s="11" t="b">
        <v>1</v>
      </c>
      <c r="F146" s="33"/>
      <c r="G146" s="11"/>
      <c r="H146" s="11"/>
    </row>
    <row r="147" spans="1:8" x14ac:dyDescent="0.25">
      <c r="A147" s="31">
        <v>147</v>
      </c>
      <c r="B147" s="33" t="s">
        <v>348</v>
      </c>
      <c r="C147" s="46" t="e">
        <f ca="1">OFFSET(EX_START,EX_AIM_RowID-2,EX_COLID_ExGroup-1)</f>
        <v>#NAME?</v>
      </c>
      <c r="D147" s="34"/>
      <c r="E147" s="11" t="b">
        <v>1</v>
      </c>
      <c r="F147" s="33"/>
      <c r="G147" s="11"/>
      <c r="H147" s="11"/>
    </row>
    <row r="148" spans="1:8" x14ac:dyDescent="0.25">
      <c r="A148" s="31">
        <v>148</v>
      </c>
      <c r="B148" s="33" t="s">
        <v>349</v>
      </c>
      <c r="C148" s="46" t="e">
        <f ca="1">OFFSET(EX_START,EX_AIM_RowID-1,EX_COLID_ExID-1)</f>
        <v>#NAME?</v>
      </c>
      <c r="D148" s="34"/>
      <c r="E148" s="11" t="b">
        <v>1</v>
      </c>
      <c r="F148" s="33"/>
      <c r="G148" s="11"/>
      <c r="H148" s="11"/>
    </row>
    <row r="149" spans="1:8" x14ac:dyDescent="0.25">
      <c r="A149" s="31">
        <v>149</v>
      </c>
      <c r="B149" s="33" t="s">
        <v>350</v>
      </c>
      <c r="C149" s="46" t="e">
        <f ca="1">OFFSET(EX_START,EX_AIM_RowID-2,EX_COLID_ExType-1)</f>
        <v>#NAME?</v>
      </c>
      <c r="D149" s="34"/>
      <c r="E149" s="11" t="b">
        <v>1</v>
      </c>
      <c r="F149" s="33"/>
      <c r="G149" s="11"/>
      <c r="H149" s="11"/>
    </row>
    <row r="150" spans="1:8" x14ac:dyDescent="0.25">
      <c r="A150" s="31">
        <v>150</v>
      </c>
      <c r="B150" s="33" t="s">
        <v>351</v>
      </c>
      <c r="C150" s="46" t="e">
        <f ca="1">OFFSET(EX_START,EX_AIM_RowID-2,EX_COLID_ExDesc-1)</f>
        <v>#NAME?</v>
      </c>
      <c r="D150" s="34"/>
      <c r="E150" s="11" t="b">
        <v>1</v>
      </c>
      <c r="F150" s="33"/>
      <c r="G150" s="11"/>
      <c r="H150" s="11"/>
    </row>
    <row r="151" spans="1:8" x14ac:dyDescent="0.25">
      <c r="A151" s="31">
        <v>151</v>
      </c>
      <c r="B151" s="33" t="s">
        <v>352</v>
      </c>
      <c r="C151" s="46" t="e">
        <f ca="1">OFFSET(EX_START,EX_AIM_RowID-2,EX_COLID_ExImage-1)</f>
        <v>#NAME?</v>
      </c>
      <c r="D151" s="34"/>
      <c r="E151" s="11" t="b">
        <v>1</v>
      </c>
      <c r="F151" s="33"/>
      <c r="G151" s="11"/>
      <c r="H151" s="11"/>
    </row>
    <row r="152" spans="1:8" x14ac:dyDescent="0.25">
      <c r="A152" s="31">
        <v>152</v>
      </c>
      <c r="B152" s="33" t="s">
        <v>353</v>
      </c>
      <c r="C152" s="46" t="e">
        <f ca="1">OFFSET(EX_START,EX_AIM_RowID-2,EX_COLID_Material-1)</f>
        <v>#NAME?</v>
      </c>
      <c r="D152" s="34"/>
      <c r="E152" s="11" t="b">
        <v>1</v>
      </c>
      <c r="F152" s="33"/>
      <c r="G152" s="11"/>
      <c r="H152" s="11"/>
    </row>
    <row r="153" spans="1:8" x14ac:dyDescent="0.25">
      <c r="A153" s="31">
        <v>153</v>
      </c>
      <c r="B153" s="33" t="s">
        <v>354</v>
      </c>
      <c r="C153" s="46" t="e">
        <f ca="1">OFFSET(EX_START,EX_AIM_RowID-2,EX_COLID_NrOfPlayers-1)</f>
        <v>#NAME?</v>
      </c>
      <c r="D153" s="34"/>
      <c r="E153" s="11" t="b">
        <v>1</v>
      </c>
      <c r="F153" s="33"/>
      <c r="G153" s="11"/>
      <c r="H153" s="11"/>
    </row>
    <row r="154" spans="1:8" x14ac:dyDescent="0.25">
      <c r="A154" s="31">
        <v>154</v>
      </c>
      <c r="B154" s="33" t="s">
        <v>355</v>
      </c>
      <c r="C154" s="46">
        <f ca="1">EX_START_ROWID_DATA+EX_Count</f>
        <v>322</v>
      </c>
      <c r="D154" s="34"/>
      <c r="E154" s="11" t="b">
        <v>1</v>
      </c>
      <c r="F154" s="33"/>
      <c r="G154" s="11"/>
      <c r="H154" s="11"/>
    </row>
    <row r="155" spans="1:8" x14ac:dyDescent="0.25">
      <c r="A155" s="31">
        <v>155</v>
      </c>
      <c r="B155" s="33" t="s">
        <v>356</v>
      </c>
      <c r="C155" s="46" t="e">
        <f ca="1">OFFSET(EX_START,EX_AIM_RowID-2,EX_COLID_Target-1)</f>
        <v>#NAME?</v>
      </c>
      <c r="D155" s="34"/>
      <c r="E155" s="11" t="b">
        <v>1</v>
      </c>
      <c r="F155" s="33"/>
      <c r="G155" s="11"/>
      <c r="H155" s="11"/>
    </row>
    <row r="156" spans="1:8" x14ac:dyDescent="0.25">
      <c r="A156" s="31">
        <v>156</v>
      </c>
      <c r="B156" s="33" t="s">
        <v>357</v>
      </c>
      <c r="C156" s="46" t="e">
        <f ca="1">OFFSET(EX_START,EX_AIM_RowID-2,EX_COLID_Title-1)</f>
        <v>#NAME?</v>
      </c>
      <c r="D156" s="34"/>
      <c r="E156" s="11" t="b">
        <v>1</v>
      </c>
      <c r="F156" s="33"/>
      <c r="G156" s="11"/>
      <c r="H156" s="11"/>
    </row>
    <row r="157" spans="1:8" x14ac:dyDescent="0.25">
      <c r="A157" s="31">
        <v>157</v>
      </c>
      <c r="B157" s="33" t="s">
        <v>358</v>
      </c>
      <c r="C157" s="46" t="e">
        <f ca="1">MATCH(MUI_EX_T_ACTION,EX_TITLES,0)</f>
        <v>#N/A</v>
      </c>
      <c r="D157" s="34"/>
      <c r="E157" s="11" t="b">
        <v>1</v>
      </c>
      <c r="F157" s="33"/>
      <c r="G157" s="11"/>
      <c r="H157" s="11"/>
    </row>
    <row r="158" spans="1:8" x14ac:dyDescent="0.25">
      <c r="A158" s="31">
        <v>158</v>
      </c>
      <c r="B158" s="33" t="s">
        <v>359</v>
      </c>
      <c r="C158" s="46">
        <f ca="1">MATCH(MUI_DBE_T_EX_Duration,EX_TITLES,0)</f>
        <v>8</v>
      </c>
      <c r="D158" s="34"/>
      <c r="E158" s="11" t="b">
        <v>1</v>
      </c>
      <c r="F158" s="33"/>
      <c r="G158" s="11"/>
      <c r="H158" s="11"/>
    </row>
    <row r="159" spans="1:8" x14ac:dyDescent="0.25">
      <c r="A159" s="31">
        <v>159</v>
      </c>
      <c r="B159" s="33" t="s">
        <v>360</v>
      </c>
      <c r="C159" s="46" t="e">
        <f ca="1">MATCH(MUI_DBE_T_EX_Group,EX_TITLES,0)</f>
        <v>#NAME?</v>
      </c>
      <c r="D159" s="34"/>
      <c r="E159" s="11" t="b">
        <v>1</v>
      </c>
      <c r="F159" s="33"/>
      <c r="G159" s="11"/>
      <c r="H159" s="11"/>
    </row>
    <row r="160" spans="1:8" x14ac:dyDescent="0.25">
      <c r="A160" s="31">
        <v>160</v>
      </c>
      <c r="B160" s="33" t="s">
        <v>361</v>
      </c>
      <c r="C160" s="46">
        <f ca="1">MATCH(MUI_DBE_T_EX_ID,EX_TITLES,0)</f>
        <v>1</v>
      </c>
      <c r="D160" s="34"/>
      <c r="E160" s="11" t="b">
        <v>1</v>
      </c>
      <c r="F160" s="33"/>
      <c r="G160" s="11"/>
      <c r="H160" s="11"/>
    </row>
    <row r="161" spans="1:8" x14ac:dyDescent="0.25">
      <c r="A161" s="31">
        <v>161</v>
      </c>
      <c r="B161" s="33" t="s">
        <v>362</v>
      </c>
      <c r="C161" s="46">
        <f ca="1">MATCH(MUI_DBE_T_EX_Type,EX_TITLES,0)</f>
        <v>4</v>
      </c>
      <c r="D161" s="34"/>
      <c r="E161" s="11" t="b">
        <v>1</v>
      </c>
      <c r="F161" s="33"/>
      <c r="G161" s="11"/>
      <c r="H161" s="11"/>
    </row>
    <row r="162" spans="1:8" x14ac:dyDescent="0.25">
      <c r="A162" s="31">
        <v>162</v>
      </c>
      <c r="B162" s="33" t="s">
        <v>363</v>
      </c>
      <c r="C162" s="46" t="e">
        <f ca="1">MATCH(MUI_DBE_T_EX_LongDesc,EX_TITLES,0)</f>
        <v>#NAME?</v>
      </c>
      <c r="D162" s="34"/>
      <c r="E162" s="11" t="b">
        <v>1</v>
      </c>
      <c r="F162" s="33"/>
      <c r="G162" s="11"/>
      <c r="H162" s="11"/>
    </row>
    <row r="163" spans="1:8" x14ac:dyDescent="0.25">
      <c r="A163" s="31">
        <v>163</v>
      </c>
      <c r="B163" s="33" t="s">
        <v>364</v>
      </c>
      <c r="C163" s="46" t="e">
        <f ca="1">MATCH(MUI_DBE_T_EX_LongDescImage,EX_TITLES,0)</f>
        <v>#NAME?</v>
      </c>
      <c r="D163" s="34"/>
      <c r="E163" s="11" t="b">
        <v>1</v>
      </c>
      <c r="F163" s="33"/>
      <c r="G163" s="11"/>
      <c r="H163" s="11"/>
    </row>
    <row r="164" spans="1:8" x14ac:dyDescent="0.25">
      <c r="A164" s="31">
        <v>164</v>
      </c>
      <c r="B164" s="33" t="s">
        <v>365</v>
      </c>
      <c r="C164" s="46">
        <f ca="1">MATCH(MUI_DBE_T_EX_Material,EX_TITLES,0)</f>
        <v>15</v>
      </c>
      <c r="D164" s="34"/>
      <c r="E164" s="11" t="b">
        <v>1</v>
      </c>
      <c r="F164" s="33"/>
      <c r="G164" s="11"/>
      <c r="H164" s="11"/>
    </row>
    <row r="165" spans="1:8" x14ac:dyDescent="0.25">
      <c r="A165" s="31">
        <v>165</v>
      </c>
      <c r="B165" s="33" t="s">
        <v>366</v>
      </c>
      <c r="C165" s="46">
        <f ca="1">MATCH(MUI_DBE_T_EX_NrOfPlayers,EX_TITLES,0)</f>
        <v>9</v>
      </c>
      <c r="D165" s="34"/>
      <c r="E165" s="11" t="b">
        <v>1</v>
      </c>
      <c r="F165" s="33"/>
      <c r="G165" s="11"/>
      <c r="H165" s="11"/>
    </row>
    <row r="166" spans="1:8" x14ac:dyDescent="0.25">
      <c r="A166" s="31">
        <v>166</v>
      </c>
      <c r="B166" s="33" t="s">
        <v>367</v>
      </c>
      <c r="C166" s="46">
        <f ca="1">MATCH(MUI_DBE_T_EX_Target,EX_TITLES,0)</f>
        <v>21</v>
      </c>
      <c r="D166" s="34"/>
      <c r="E166" s="11" t="b">
        <v>1</v>
      </c>
      <c r="F166" s="33"/>
      <c r="G166" s="11"/>
      <c r="H166" s="11"/>
    </row>
    <row r="167" spans="1:8" x14ac:dyDescent="0.25">
      <c r="A167" s="31">
        <v>167</v>
      </c>
      <c r="B167" s="33" t="s">
        <v>368</v>
      </c>
      <c r="C167" s="46">
        <f ca="1">MATCH(MUI_DBE_T_EX_Title,EX_TITLES,0)</f>
        <v>11</v>
      </c>
      <c r="D167" s="34"/>
      <c r="E167" s="11" t="b">
        <v>1</v>
      </c>
      <c r="F167" s="33"/>
      <c r="G167" s="11"/>
      <c r="H167" s="11"/>
    </row>
    <row r="168" spans="1:8" x14ac:dyDescent="0.25">
      <c r="A168" s="31">
        <v>168</v>
      </c>
      <c r="B168" s="33" t="s">
        <v>369</v>
      </c>
      <c r="C168" s="46">
        <f ca="1">COUNTA(EX_ExID_MaxRange)</f>
        <v>316</v>
      </c>
      <c r="D168" s="34"/>
      <c r="E168" s="11" t="b">
        <v>1</v>
      </c>
      <c r="F168" s="33"/>
      <c r="G168" s="11"/>
      <c r="H168" s="11"/>
    </row>
    <row r="169" spans="1:8" x14ac:dyDescent="0.25">
      <c r="A169" s="31">
        <v>169</v>
      </c>
      <c r="B169" s="33" t="s">
        <v>370</v>
      </c>
      <c r="C169" s="46" t="e">
        <f ca="1">OFFSET(EX_START,EX_AIM_RowID-1,EX_COLID_ExID-1)</f>
        <v>#NAME?</v>
      </c>
      <c r="D169" s="34"/>
      <c r="E169" s="11" t="b">
        <v>1</v>
      </c>
      <c r="F169" s="33"/>
      <c r="G169" s="11"/>
      <c r="H169" s="11"/>
    </row>
    <row r="170" spans="1:8" x14ac:dyDescent="0.25">
      <c r="A170" s="31">
        <v>170</v>
      </c>
      <c r="B170" s="33" t="s">
        <v>371</v>
      </c>
      <c r="C170" s="46">
        <f ca="1">OFFSET(EX_START,EX_START_ROWID_DATA-1,EX_COLID_ExID-1,1000,1)</f>
        <v>3027</v>
      </c>
      <c r="D170" s="34"/>
      <c r="E170" s="11" t="b">
        <v>1</v>
      </c>
      <c r="F170" s="33"/>
      <c r="G170" s="11"/>
      <c r="H170" s="11"/>
    </row>
    <row r="171" spans="1:8" x14ac:dyDescent="0.25">
      <c r="A171" s="31">
        <v>171</v>
      </c>
      <c r="B171" s="33" t="s">
        <v>372</v>
      </c>
      <c r="C171" s="46" t="e">
        <f>#REF!</f>
        <v>#REF!</v>
      </c>
      <c r="D171" s="34"/>
      <c r="E171" s="11" t="b">
        <v>1</v>
      </c>
      <c r="F171" s="33"/>
      <c r="G171" s="11"/>
      <c r="H171" s="11"/>
    </row>
    <row r="172" spans="1:8" x14ac:dyDescent="0.25">
      <c r="A172" s="31">
        <v>172</v>
      </c>
      <c r="B172" s="33" t="s">
        <v>373</v>
      </c>
      <c r="C172" s="46">
        <f>13</f>
        <v>13</v>
      </c>
      <c r="D172" s="34"/>
      <c r="E172" s="11" t="b">
        <v>1</v>
      </c>
      <c r="F172" s="33"/>
      <c r="G172" s="11"/>
      <c r="H172" s="11"/>
    </row>
    <row r="173" spans="1:8" x14ac:dyDescent="0.25">
      <c r="A173" s="31">
        <v>173</v>
      </c>
      <c r="B173" s="33" t="s">
        <v>374</v>
      </c>
      <c r="C173" s="46" t="str">
        <f ca="1">OFFSET(EX_TITLES_START,0,0,1,EX_TITLES_LENGTH)</f>
        <v>ExTopic</v>
      </c>
      <c r="D173" s="34"/>
      <c r="E173" s="11" t="b">
        <v>1</v>
      </c>
      <c r="F173" s="33"/>
      <c r="G173" s="11"/>
      <c r="H173" s="11"/>
    </row>
    <row r="174" spans="1:8" x14ac:dyDescent="0.25">
      <c r="A174" s="31">
        <v>174</v>
      </c>
      <c r="B174" s="33" t="s">
        <v>375</v>
      </c>
      <c r="C174" s="46">
        <f ca="1">COUNTA(OFFSET(EX_START,EX_START_ROWID_DATA-3,0,1,1000))</f>
        <v>5</v>
      </c>
      <c r="D174" s="34"/>
      <c r="E174" s="11" t="b">
        <v>1</v>
      </c>
      <c r="F174" s="33"/>
      <c r="G174" s="11"/>
      <c r="H174" s="11"/>
    </row>
    <row r="175" spans="1:8" x14ac:dyDescent="0.25">
      <c r="A175" s="31">
        <v>175</v>
      </c>
      <c r="B175" s="33" t="s">
        <v>376</v>
      </c>
      <c r="C175" s="46">
        <f ca="1">OFFSET(EX_START,EX_START_ROWID_DATA-3,0,1,1)</f>
        <v>316</v>
      </c>
      <c r="D175" s="34"/>
      <c r="E175" s="11" t="b">
        <v>1</v>
      </c>
      <c r="F175" s="33"/>
      <c r="G175" s="11"/>
      <c r="H175" s="11"/>
    </row>
    <row r="176" spans="1:8" x14ac:dyDescent="0.25">
      <c r="A176" s="31">
        <v>176</v>
      </c>
      <c r="B176" s="33" t="s">
        <v>203</v>
      </c>
      <c r="C176" s="46" t="e">
        <f ca="1">INDIRECT(#REF!)</f>
        <v>#REF!</v>
      </c>
      <c r="D176" s="34"/>
      <c r="E176" s="11" t="b">
        <v>1</v>
      </c>
      <c r="F176" s="33"/>
      <c r="G176" s="11"/>
      <c r="H176" s="11"/>
    </row>
    <row r="177" spans="1:8" x14ac:dyDescent="0.25">
      <c r="A177" s="31">
        <v>177</v>
      </c>
      <c r="B177" s="33" t="s">
        <v>204</v>
      </c>
      <c r="C177" s="46">
        <f>_DB_Exercises!$M$8</f>
        <v>0</v>
      </c>
      <c r="D177" s="34"/>
      <c r="E177" s="11" t="b">
        <v>1</v>
      </c>
      <c r="F177" s="33"/>
      <c r="G177" s="11"/>
      <c r="H177" s="11"/>
    </row>
    <row r="178" spans="1:8" x14ac:dyDescent="0.25">
      <c r="A178" s="31">
        <v>178</v>
      </c>
      <c r="B178" s="33" t="s">
        <v>377</v>
      </c>
      <c r="C178" s="46" t="e">
        <f>#REF!</f>
        <v>#REF!</v>
      </c>
      <c r="D178" s="34"/>
      <c r="E178" s="11" t="b">
        <v>1</v>
      </c>
      <c r="F178" s="33"/>
      <c r="G178" s="11"/>
      <c r="H178" s="11"/>
    </row>
    <row r="179" spans="1:8" x14ac:dyDescent="0.25">
      <c r="A179" s="31">
        <v>179</v>
      </c>
      <c r="B179" s="33" t="s">
        <v>378</v>
      </c>
      <c r="C179" s="46" t="e">
        <f>#REF!</f>
        <v>#REF!</v>
      </c>
      <c r="D179" s="34"/>
      <c r="E179" s="11" t="b">
        <v>1</v>
      </c>
      <c r="F179" s="33"/>
      <c r="G179" s="11"/>
      <c r="H179" s="11"/>
    </row>
    <row r="180" spans="1:8" x14ac:dyDescent="0.25">
      <c r="A180" s="31">
        <v>180</v>
      </c>
      <c r="B180" s="33" t="s">
        <v>379</v>
      </c>
      <c r="C180" s="46" t="e">
        <f>#REF!</f>
        <v>#REF!</v>
      </c>
      <c r="D180" s="34"/>
      <c r="E180" s="11" t="b">
        <v>1</v>
      </c>
      <c r="F180" s="33"/>
      <c r="G180" s="11"/>
      <c r="H180" s="11"/>
    </row>
    <row r="181" spans="1:8" x14ac:dyDescent="0.25">
      <c r="A181" s="31">
        <v>181</v>
      </c>
      <c r="B181" s="33" t="s">
        <v>380</v>
      </c>
      <c r="C181" s="46" t="e">
        <f>#REF!</f>
        <v>#REF!</v>
      </c>
      <c r="D181" s="34"/>
      <c r="E181" s="11" t="b">
        <v>1</v>
      </c>
      <c r="F181" s="33"/>
      <c r="G181" s="11"/>
      <c r="H181" s="11"/>
    </row>
    <row r="182" spans="1:8" x14ac:dyDescent="0.25">
      <c r="A182" s="31">
        <v>182</v>
      </c>
      <c r="B182" s="33" t="s">
        <v>381</v>
      </c>
      <c r="C182" s="46" t="e">
        <f>#REF!</f>
        <v>#REF!</v>
      </c>
      <c r="D182" s="34"/>
      <c r="E182" s="11" t="b">
        <v>1</v>
      </c>
      <c r="F182" s="33"/>
      <c r="G182" s="11"/>
      <c r="H182" s="11"/>
    </row>
    <row r="183" spans="1:8" x14ac:dyDescent="0.25">
      <c r="A183" s="31">
        <v>183</v>
      </c>
      <c r="B183" s="33" t="s">
        <v>382</v>
      </c>
      <c r="C183" s="46" t="e">
        <f>#REF!</f>
        <v>#REF!</v>
      </c>
      <c r="D183" s="34"/>
      <c r="E183" s="11" t="b">
        <v>1</v>
      </c>
      <c r="F183" s="33"/>
      <c r="G183" s="11"/>
      <c r="H183" s="11"/>
    </row>
    <row r="184" spans="1:8" x14ac:dyDescent="0.25">
      <c r="A184" s="31">
        <v>184</v>
      </c>
      <c r="B184" s="33" t="s">
        <v>383</v>
      </c>
      <c r="C184" s="46" t="e">
        <f>#REF!</f>
        <v>#REF!</v>
      </c>
      <c r="D184" s="34"/>
      <c r="E184" s="11" t="b">
        <v>1</v>
      </c>
      <c r="F184" s="33"/>
      <c r="G184" s="11"/>
      <c r="H184" s="11"/>
    </row>
    <row r="185" spans="1:8" x14ac:dyDescent="0.25">
      <c r="A185" s="31">
        <v>185</v>
      </c>
      <c r="B185" s="33" t="s">
        <v>384</v>
      </c>
      <c r="C185" s="46" t="e">
        <f>#REF!</f>
        <v>#REF!</v>
      </c>
      <c r="D185" s="34"/>
      <c r="E185" s="11" t="b">
        <v>1</v>
      </c>
      <c r="F185" s="33"/>
      <c r="G185" s="11"/>
      <c r="H185" s="11"/>
    </row>
    <row r="186" spans="1:8" x14ac:dyDescent="0.25">
      <c r="A186" s="31">
        <v>186</v>
      </c>
      <c r="B186" s="33" t="s">
        <v>385</v>
      </c>
      <c r="C186" s="46" t="e">
        <f>#REF!</f>
        <v>#REF!</v>
      </c>
      <c r="D186" s="34"/>
      <c r="E186" s="11" t="b">
        <v>1</v>
      </c>
      <c r="F186" s="33"/>
      <c r="G186" s="11"/>
      <c r="H186" s="11"/>
    </row>
    <row r="187" spans="1:8" x14ac:dyDescent="0.25">
      <c r="A187" s="31">
        <v>187</v>
      </c>
      <c r="B187" s="33" t="s">
        <v>386</v>
      </c>
      <c r="C187" s="46" t="e">
        <f>#REF!</f>
        <v>#REF!</v>
      </c>
      <c r="D187" s="34"/>
      <c r="E187" s="11" t="b">
        <v>1</v>
      </c>
      <c r="F187" s="33"/>
      <c r="G187" s="11"/>
      <c r="H187" s="11"/>
    </row>
    <row r="188" spans="1:8" x14ac:dyDescent="0.25">
      <c r="A188" s="31">
        <v>188</v>
      </c>
      <c r="B188" s="33" t="s">
        <v>387</v>
      </c>
      <c r="C188" s="46" t="e">
        <f>#REF!</f>
        <v>#REF!</v>
      </c>
      <c r="D188" s="34"/>
      <c r="E188" s="11" t="b">
        <v>1</v>
      </c>
      <c r="F188" s="33"/>
      <c r="G188" s="11"/>
      <c r="H188" s="11"/>
    </row>
    <row r="189" spans="1:8" x14ac:dyDescent="0.25">
      <c r="A189" s="31">
        <v>189</v>
      </c>
      <c r="B189" s="33" t="s">
        <v>388</v>
      </c>
      <c r="C189" s="46" t="e">
        <f>#REF!</f>
        <v>#REF!</v>
      </c>
      <c r="D189" s="34"/>
      <c r="E189" s="11" t="b">
        <v>1</v>
      </c>
      <c r="F189" s="33"/>
      <c r="G189" s="11"/>
      <c r="H189" s="11"/>
    </row>
    <row r="190" spans="1:8" x14ac:dyDescent="0.25">
      <c r="A190" s="31">
        <v>190</v>
      </c>
      <c r="B190" s="33" t="s">
        <v>389</v>
      </c>
      <c r="C190" s="46" t="e">
        <f>#REF!</f>
        <v>#REF!</v>
      </c>
      <c r="D190" s="34"/>
      <c r="E190" s="11" t="b">
        <v>1</v>
      </c>
      <c r="F190" s="33"/>
      <c r="G190" s="11"/>
      <c r="H190" s="11"/>
    </row>
    <row r="191" spans="1:8" x14ac:dyDescent="0.25">
      <c r="A191" s="31">
        <v>191</v>
      </c>
      <c r="B191" s="33" t="s">
        <v>390</v>
      </c>
      <c r="C191" s="46" t="e">
        <f>#REF!</f>
        <v>#REF!</v>
      </c>
      <c r="D191" s="34"/>
      <c r="E191" s="11" t="b">
        <v>1</v>
      </c>
      <c r="F191" s="33"/>
      <c r="G191" s="11"/>
      <c r="H191" s="11"/>
    </row>
    <row r="192" spans="1:8" x14ac:dyDescent="0.25">
      <c r="A192" s="31">
        <v>192</v>
      </c>
      <c r="B192" s="33" t="s">
        <v>177</v>
      </c>
      <c r="C192" s="46">
        <f>_DB_Exercises!$M$6</f>
        <v>0</v>
      </c>
      <c r="D192" s="34"/>
      <c r="E192" s="11" t="b">
        <v>1</v>
      </c>
      <c r="F192" s="33"/>
      <c r="G192" s="11"/>
      <c r="H192" s="11"/>
    </row>
    <row r="193" spans="1:8" x14ac:dyDescent="0.25">
      <c r="A193" s="31">
        <v>193</v>
      </c>
      <c r="B193" s="33" t="s">
        <v>205</v>
      </c>
      <c r="C193" s="46">
        <f>_DB_Exercises!$M$15</f>
        <v>0</v>
      </c>
      <c r="D193" s="34"/>
      <c r="E193" s="11" t="b">
        <v>1</v>
      </c>
      <c r="F193" s="33"/>
      <c r="G193" s="11"/>
      <c r="H193" s="11"/>
    </row>
    <row r="194" spans="1:8" x14ac:dyDescent="0.25">
      <c r="A194" s="31">
        <v>194</v>
      </c>
      <c r="B194" s="33" t="s">
        <v>206</v>
      </c>
      <c r="C194" s="46">
        <f>_DB_Exercises!$M$16</f>
        <v>0</v>
      </c>
      <c r="D194" s="34"/>
      <c r="E194" s="11" t="b">
        <v>1</v>
      </c>
      <c r="F194" s="33"/>
      <c r="G194" s="11"/>
      <c r="H194" s="11"/>
    </row>
    <row r="195" spans="1:8" x14ac:dyDescent="0.25">
      <c r="A195" s="31">
        <v>195</v>
      </c>
      <c r="B195" s="33" t="s">
        <v>207</v>
      </c>
      <c r="C195" s="46">
        <f>_DB_Exercises!$M$17</f>
        <v>0</v>
      </c>
      <c r="D195" s="34"/>
      <c r="E195" s="11" t="b">
        <v>1</v>
      </c>
      <c r="F195" s="33"/>
      <c r="G195" s="11"/>
      <c r="H195" s="11"/>
    </row>
    <row r="196" spans="1:8" x14ac:dyDescent="0.25">
      <c r="A196" s="31">
        <v>196</v>
      </c>
      <c r="B196" s="33" t="s">
        <v>208</v>
      </c>
      <c r="C196" s="46">
        <f>_DB_Exercises!$M$19</f>
        <v>0</v>
      </c>
      <c r="D196" s="34"/>
      <c r="E196" s="11" t="b">
        <v>1</v>
      </c>
      <c r="F196" s="33"/>
      <c r="G196" s="11"/>
      <c r="H196" s="11"/>
    </row>
    <row r="197" spans="1:8" x14ac:dyDescent="0.25">
      <c r="A197" s="31">
        <v>197</v>
      </c>
      <c r="B197" s="33" t="s">
        <v>209</v>
      </c>
      <c r="C197" s="46">
        <f>_DB_Exercises!$M$20</f>
        <v>0</v>
      </c>
      <c r="D197" s="34"/>
      <c r="E197" s="11" t="b">
        <v>1</v>
      </c>
      <c r="F197" s="33"/>
      <c r="G197" s="11"/>
      <c r="H197" s="11"/>
    </row>
    <row r="198" spans="1:8" x14ac:dyDescent="0.25">
      <c r="A198" s="31">
        <v>198</v>
      </c>
      <c r="B198" s="33" t="s">
        <v>210</v>
      </c>
      <c r="C198" s="46">
        <f>_DB_Exercises!$M$21</f>
        <v>0</v>
      </c>
      <c r="D198" s="34"/>
      <c r="E198" s="11" t="b">
        <v>1</v>
      </c>
      <c r="F198" s="33"/>
      <c r="G198" s="11"/>
      <c r="H198" s="11"/>
    </row>
    <row r="199" spans="1:8" x14ac:dyDescent="0.25">
      <c r="A199" s="31">
        <v>199</v>
      </c>
      <c r="B199" s="33" t="s">
        <v>211</v>
      </c>
      <c r="C199" s="46">
        <f>_DB_Exercises!$M$22</f>
        <v>0</v>
      </c>
      <c r="D199" s="34"/>
      <c r="E199" s="11" t="b">
        <v>1</v>
      </c>
      <c r="F199" s="33"/>
      <c r="G199" s="11"/>
      <c r="H199" s="11"/>
    </row>
    <row r="200" spans="1:8" x14ac:dyDescent="0.25">
      <c r="A200" s="31">
        <v>200</v>
      </c>
      <c r="B200" s="33" t="s">
        <v>212</v>
      </c>
      <c r="C200" s="46" t="e">
        <f>_DB_Exercises!#REF!</f>
        <v>#REF!</v>
      </c>
      <c r="D200" s="34"/>
      <c r="E200" s="11" t="b">
        <v>1</v>
      </c>
      <c r="F200" s="33"/>
      <c r="G200" s="11"/>
      <c r="H200" s="11"/>
    </row>
    <row r="201" spans="1:8" x14ac:dyDescent="0.25">
      <c r="A201" s="31">
        <v>201</v>
      </c>
      <c r="B201" s="33" t="s">
        <v>213</v>
      </c>
      <c r="C201" s="46">
        <f>_DB_Exercises!$M$23</f>
        <v>0</v>
      </c>
      <c r="D201" s="34"/>
      <c r="E201" s="11" t="b">
        <v>1</v>
      </c>
      <c r="F201" s="33"/>
      <c r="G201" s="11"/>
      <c r="H201" s="11"/>
    </row>
    <row r="202" spans="1:8" x14ac:dyDescent="0.25">
      <c r="A202" s="31">
        <v>202</v>
      </c>
      <c r="B202" s="33" t="s">
        <v>214</v>
      </c>
      <c r="C202" s="46">
        <f>_DB_Exercises!$M$24</f>
        <v>0</v>
      </c>
      <c r="D202" s="34"/>
      <c r="E202" s="11" t="b">
        <v>1</v>
      </c>
      <c r="F202" s="33"/>
      <c r="G202" s="11"/>
      <c r="H202" s="11"/>
    </row>
    <row r="203" spans="1:8" x14ac:dyDescent="0.25">
      <c r="A203" s="31">
        <v>203</v>
      </c>
      <c r="B203" s="33" t="s">
        <v>215</v>
      </c>
      <c r="C203" s="46">
        <f>_DB_Exercises!$M$7</f>
        <v>0</v>
      </c>
      <c r="D203" s="34"/>
      <c r="E203" s="11" t="b">
        <v>1</v>
      </c>
      <c r="F203" s="33"/>
      <c r="G203" s="11"/>
      <c r="H203" s="11"/>
    </row>
    <row r="204" spans="1:8" x14ac:dyDescent="0.25">
      <c r="A204" s="31">
        <v>204</v>
      </c>
      <c r="B204" s="33" t="s">
        <v>216</v>
      </c>
      <c r="C204" s="46">
        <f>_DB_Exercises!$M$25</f>
        <v>0</v>
      </c>
      <c r="D204" s="34"/>
      <c r="E204" s="11" t="b">
        <v>1</v>
      </c>
      <c r="F204" s="33"/>
      <c r="G204" s="11"/>
      <c r="H204" s="11"/>
    </row>
    <row r="205" spans="1:8" x14ac:dyDescent="0.25">
      <c r="A205" s="31">
        <v>205</v>
      </c>
      <c r="B205" s="33" t="s">
        <v>217</v>
      </c>
      <c r="C205" s="46">
        <f>_DB_Exercises!$M$26</f>
        <v>0</v>
      </c>
      <c r="D205" s="34"/>
      <c r="E205" s="11" t="b">
        <v>1</v>
      </c>
      <c r="F205" s="33"/>
      <c r="G205" s="11"/>
      <c r="H205" s="11"/>
    </row>
    <row r="206" spans="1:8" x14ac:dyDescent="0.25">
      <c r="A206" s="31">
        <v>206</v>
      </c>
      <c r="B206" s="33" t="s">
        <v>218</v>
      </c>
      <c r="C206" s="46">
        <f>_DB_Exercises!$M$27</f>
        <v>0</v>
      </c>
      <c r="D206" s="34"/>
      <c r="E206" s="11" t="b">
        <v>1</v>
      </c>
      <c r="F206" s="33"/>
      <c r="G206" s="11"/>
      <c r="H206" s="11"/>
    </row>
    <row r="207" spans="1:8" x14ac:dyDescent="0.25">
      <c r="A207" s="31">
        <v>207</v>
      </c>
      <c r="B207" s="33" t="s">
        <v>219</v>
      </c>
      <c r="C207" s="46">
        <f>_DB_Exercises!$M$28</f>
        <v>0</v>
      </c>
      <c r="D207" s="34"/>
      <c r="E207" s="11" t="b">
        <v>1</v>
      </c>
      <c r="F207" s="33"/>
      <c r="G207" s="11"/>
      <c r="H207" s="11"/>
    </row>
    <row r="208" spans="1:8" x14ac:dyDescent="0.25">
      <c r="A208" s="31">
        <v>208</v>
      </c>
      <c r="B208" s="33" t="s">
        <v>188</v>
      </c>
      <c r="C208" s="46">
        <f>_DB_Exercises!$M$29</f>
        <v>0</v>
      </c>
      <c r="D208" s="34"/>
      <c r="E208" s="11" t="b">
        <v>1</v>
      </c>
      <c r="F208" s="33"/>
      <c r="G208" s="11"/>
      <c r="H208" s="11"/>
    </row>
    <row r="209" spans="1:8" x14ac:dyDescent="0.25">
      <c r="A209" s="31">
        <v>209</v>
      </c>
      <c r="B209" s="33" t="s">
        <v>220</v>
      </c>
      <c r="C209" s="46">
        <f>_DB_Exercises!$M$8</f>
        <v>0</v>
      </c>
      <c r="D209" s="34"/>
      <c r="E209" s="11" t="b">
        <v>1</v>
      </c>
      <c r="F209" s="33"/>
      <c r="G209" s="11"/>
      <c r="H209" s="11"/>
    </row>
    <row r="210" spans="1:8" x14ac:dyDescent="0.25">
      <c r="A210" s="31">
        <v>210</v>
      </c>
      <c r="B210" s="33" t="s">
        <v>221</v>
      </c>
      <c r="C210" s="46">
        <f>_DB_Exercises!$M$9</f>
        <v>0</v>
      </c>
      <c r="D210" s="34"/>
      <c r="E210" s="11" t="b">
        <v>1</v>
      </c>
      <c r="F210" s="33"/>
      <c r="G210" s="11"/>
      <c r="H210" s="11"/>
    </row>
    <row r="211" spans="1:8" x14ac:dyDescent="0.25">
      <c r="A211" s="31">
        <v>211</v>
      </c>
      <c r="B211" s="33" t="s">
        <v>222</v>
      </c>
      <c r="C211" s="46">
        <f>_DB_Exercises!$M$10</f>
        <v>0</v>
      </c>
      <c r="D211" s="34"/>
      <c r="E211" s="11" t="b">
        <v>1</v>
      </c>
      <c r="F211" s="33"/>
      <c r="G211" s="11"/>
      <c r="H211" s="11"/>
    </row>
    <row r="212" spans="1:8" x14ac:dyDescent="0.25">
      <c r="A212" s="31">
        <v>212</v>
      </c>
      <c r="B212" s="33" t="s">
        <v>223</v>
      </c>
      <c r="C212" s="46">
        <f>_DB_Exercises!$M$11</f>
        <v>0</v>
      </c>
      <c r="D212" s="34"/>
      <c r="E212" s="11" t="b">
        <v>1</v>
      </c>
      <c r="F212" s="33"/>
      <c r="G212" s="11"/>
      <c r="H212" s="11"/>
    </row>
    <row r="213" spans="1:8" x14ac:dyDescent="0.25">
      <c r="A213" s="31">
        <v>213</v>
      </c>
      <c r="B213" s="33" t="s">
        <v>224</v>
      </c>
      <c r="C213" s="46">
        <f>_DB_Exercises!$M$12</f>
        <v>0</v>
      </c>
      <c r="D213" s="34"/>
      <c r="E213" s="11" t="b">
        <v>1</v>
      </c>
      <c r="F213" s="33"/>
      <c r="G213" s="11"/>
      <c r="H213" s="11"/>
    </row>
    <row r="214" spans="1:8" x14ac:dyDescent="0.25">
      <c r="A214" s="31">
        <v>214</v>
      </c>
      <c r="B214" s="33" t="s">
        <v>225</v>
      </c>
      <c r="C214" s="46">
        <f>_DB_Exercises!$M$13</f>
        <v>0</v>
      </c>
      <c r="D214" s="34"/>
      <c r="E214" s="11" t="b">
        <v>1</v>
      </c>
      <c r="F214" s="33"/>
      <c r="G214" s="11"/>
      <c r="H214" s="11"/>
    </row>
    <row r="215" spans="1:8" x14ac:dyDescent="0.25">
      <c r="A215" s="31">
        <v>215</v>
      </c>
      <c r="B215" s="33" t="s">
        <v>226</v>
      </c>
      <c r="C215" s="46">
        <f>_DB_Exercises!$M$14</f>
        <v>0</v>
      </c>
      <c r="D215" s="34"/>
      <c r="E215" s="11" t="b">
        <v>1</v>
      </c>
      <c r="F215" s="33"/>
      <c r="G215" s="11"/>
      <c r="H215" s="11"/>
    </row>
    <row r="216" spans="1:8" x14ac:dyDescent="0.25">
      <c r="A216" s="31">
        <v>216</v>
      </c>
      <c r="B216" s="33" t="s">
        <v>157</v>
      </c>
      <c r="C216" s="46" t="e">
        <f>_Config!$A$56:$A$57</f>
        <v>#VALUE!</v>
      </c>
      <c r="D216" s="34"/>
      <c r="E216" s="11" t="b">
        <v>1</v>
      </c>
      <c r="F216" s="33"/>
      <c r="G216" s="11"/>
      <c r="H216" s="11"/>
    </row>
    <row r="217" spans="1:8" x14ac:dyDescent="0.25">
      <c r="A217" s="31">
        <v>217</v>
      </c>
      <c r="B217" s="33" t="s">
        <v>118</v>
      </c>
      <c r="C217" s="46">
        <f>_Config!$B$7</f>
        <v>1000</v>
      </c>
      <c r="D217" s="34"/>
      <c r="E217" s="11" t="b">
        <v>1</v>
      </c>
      <c r="F217" s="33"/>
      <c r="G217" s="11"/>
      <c r="H217" s="11"/>
    </row>
    <row r="218" spans="1:8" x14ac:dyDescent="0.25">
      <c r="A218" s="31">
        <v>218</v>
      </c>
      <c r="B218" s="33" t="s">
        <v>158</v>
      </c>
      <c r="C218" s="46" t="str">
        <f>_Lang!$B$90</f>
        <v>ROW ID Selection</v>
      </c>
      <c r="D218" s="34"/>
      <c r="E218" s="11" t="b">
        <v>1</v>
      </c>
      <c r="F218" s="33"/>
      <c r="G218" s="11"/>
      <c r="H218" s="11"/>
    </row>
    <row r="219" spans="1:8" x14ac:dyDescent="0.25">
      <c r="A219" s="31">
        <v>219</v>
      </c>
      <c r="B219" s="33" t="s">
        <v>52</v>
      </c>
      <c r="C219" s="46" t="str">
        <f>_Lang!$B$9</f>
        <v>Config Table</v>
      </c>
      <c r="D219" s="34"/>
      <c r="E219" s="11" t="b">
        <v>1</v>
      </c>
      <c r="F219" s="33" t="s">
        <v>87</v>
      </c>
      <c r="G219" s="11"/>
      <c r="H219" s="11"/>
    </row>
    <row r="220" spans="1:8" x14ac:dyDescent="0.25">
      <c r="A220" s="31">
        <v>220</v>
      </c>
      <c r="B220" s="33" t="s">
        <v>37</v>
      </c>
      <c r="C220" s="46" t="str">
        <f>"Ergebnis Datenbank"</f>
        <v>Ergebnis Datenbank</v>
      </c>
      <c r="D220" s="34"/>
      <c r="E220" s="11" t="b">
        <v>1</v>
      </c>
      <c r="F220" s="33"/>
      <c r="G220" s="11"/>
      <c r="H220" s="11"/>
    </row>
    <row r="221" spans="1:8" x14ac:dyDescent="0.25">
      <c r="A221" s="31">
        <v>221</v>
      </c>
      <c r="B221" s="33" t="s">
        <v>58</v>
      </c>
      <c r="C221" s="46" t="str">
        <f>"Exercise ID"</f>
        <v>Exercise ID</v>
      </c>
      <c r="D221" s="34"/>
      <c r="E221" s="11" t="b">
        <v>1</v>
      </c>
      <c r="F221" s="33" t="s">
        <v>84</v>
      </c>
      <c r="G221" s="11"/>
      <c r="H221" s="11"/>
    </row>
    <row r="222" spans="1:8" x14ac:dyDescent="0.25">
      <c r="A222" s="31">
        <v>222</v>
      </c>
      <c r="B222" s="33" t="s">
        <v>111</v>
      </c>
      <c r="C222" s="46" t="str">
        <f>_Lang!$B$29</f>
        <v>Calculate second Selection</v>
      </c>
      <c r="D222" s="34"/>
      <c r="E222" s="11" t="b">
        <v>1</v>
      </c>
      <c r="F222" s="33"/>
      <c r="G222" s="11"/>
      <c r="H222" s="11"/>
    </row>
    <row r="223" spans="1:8" x14ac:dyDescent="0.25">
      <c r="A223" s="31">
        <v>223</v>
      </c>
      <c r="B223" s="33" t="s">
        <v>62</v>
      </c>
      <c r="C223" s="46" t="str">
        <f>_Lang!$B$18</f>
        <v>ExDuration</v>
      </c>
      <c r="D223" s="34"/>
      <c r="E223" s="11" t="b">
        <v>1</v>
      </c>
      <c r="F223" s="33" t="s">
        <v>84</v>
      </c>
      <c r="G223" s="11"/>
      <c r="H223" s="11"/>
    </row>
    <row r="224" spans="1:8" x14ac:dyDescent="0.25">
      <c r="A224" s="31">
        <v>224</v>
      </c>
      <c r="B224" s="33" t="s">
        <v>59</v>
      </c>
      <c r="C224" s="46" t="str">
        <f>_Lang!$B$14</f>
        <v>ExTopic</v>
      </c>
      <c r="D224" s="34"/>
      <c r="E224" s="11" t="b">
        <v>1</v>
      </c>
      <c r="F224" s="33" t="s">
        <v>84</v>
      </c>
      <c r="G224" s="11"/>
      <c r="H224" s="11"/>
    </row>
    <row r="225" spans="1:8" x14ac:dyDescent="0.25">
      <c r="A225" s="31">
        <v>225</v>
      </c>
      <c r="B225" s="33" t="s">
        <v>77</v>
      </c>
      <c r="C225" s="46" t="str">
        <f>_Lang!$B$13</f>
        <v>ID</v>
      </c>
      <c r="D225" s="34"/>
      <c r="E225" s="11" t="b">
        <v>1</v>
      </c>
      <c r="F225" s="33" t="s">
        <v>84</v>
      </c>
      <c r="G225" s="11"/>
      <c r="H225" s="11"/>
    </row>
    <row r="226" spans="1:8" x14ac:dyDescent="0.25">
      <c r="A226" s="31">
        <v>226</v>
      </c>
      <c r="B226" s="33" t="s">
        <v>64</v>
      </c>
      <c r="C226" s="46" t="str">
        <f>_Lang!$B$22</f>
        <v>ExDescription</v>
      </c>
      <c r="D226" s="34"/>
      <c r="E226" s="11" t="b">
        <v>1</v>
      </c>
      <c r="F226" s="33" t="s">
        <v>84</v>
      </c>
      <c r="G226" s="11"/>
      <c r="H226" s="11"/>
    </row>
    <row r="227" spans="1:8" x14ac:dyDescent="0.25">
      <c r="A227" s="31">
        <v>227</v>
      </c>
      <c r="B227" s="33" t="s">
        <v>65</v>
      </c>
      <c r="C227" s="46" t="str">
        <f>_Lang!$B$23</f>
        <v>ExImage</v>
      </c>
      <c r="D227" s="34"/>
      <c r="E227" s="11" t="b">
        <v>1</v>
      </c>
      <c r="F227" s="33" t="s">
        <v>84</v>
      </c>
      <c r="G227" s="11"/>
      <c r="H227" s="11"/>
    </row>
    <row r="228" spans="1:8" x14ac:dyDescent="0.25">
      <c r="A228" s="31">
        <v>228</v>
      </c>
      <c r="B228" s="33" t="s">
        <v>232</v>
      </c>
      <c r="C228" s="46" t="str">
        <f>_Lang!$B$26</f>
        <v>Material</v>
      </c>
      <c r="D228" s="34"/>
      <c r="E228" s="11" t="b">
        <v>1</v>
      </c>
      <c r="F228" s="33"/>
      <c r="G228" s="11"/>
      <c r="H228" s="11"/>
    </row>
    <row r="229" spans="1:8" x14ac:dyDescent="0.25">
      <c r="A229" s="31">
        <v>229</v>
      </c>
      <c r="B229" s="33" t="s">
        <v>93</v>
      </c>
      <c r="C229" s="46" t="str">
        <f>_Lang!$B$19</f>
        <v>ExNrOfPlayers</v>
      </c>
      <c r="D229" s="34"/>
      <c r="E229" s="11" t="b">
        <v>1</v>
      </c>
      <c r="F229" s="33"/>
      <c r="G229" s="11"/>
      <c r="H229" s="11"/>
    </row>
    <row r="230" spans="1:8" x14ac:dyDescent="0.25">
      <c r="A230" s="31">
        <v>230</v>
      </c>
      <c r="B230" s="33" t="s">
        <v>66</v>
      </c>
      <c r="C230" s="46" t="str">
        <f>_Lang!$B$24</f>
        <v>Correction</v>
      </c>
      <c r="D230" s="34"/>
      <c r="E230" s="11" t="b">
        <v>1</v>
      </c>
      <c r="F230" s="33" t="s">
        <v>84</v>
      </c>
      <c r="G230" s="11"/>
      <c r="H230" s="11"/>
    </row>
    <row r="231" spans="1:8" x14ac:dyDescent="0.25">
      <c r="A231" s="31">
        <v>231</v>
      </c>
      <c r="B231" s="33" t="s">
        <v>178</v>
      </c>
      <c r="C231" s="46" t="str">
        <f>_Lang!$B$26</f>
        <v>Material</v>
      </c>
      <c r="D231" s="34"/>
      <c r="E231" s="11" t="b">
        <v>1</v>
      </c>
      <c r="F231" s="33"/>
      <c r="G231" s="11"/>
      <c r="H231" s="11"/>
    </row>
    <row r="232" spans="1:8" x14ac:dyDescent="0.25">
      <c r="A232" s="31">
        <v>232</v>
      </c>
      <c r="B232" s="33" t="s">
        <v>248</v>
      </c>
      <c r="C232" s="46" t="str">
        <f>_Lang!$B$28</f>
        <v>Target</v>
      </c>
      <c r="D232" s="34"/>
      <c r="E232" s="11" t="b">
        <v>1</v>
      </c>
      <c r="F232" s="33"/>
      <c r="G232" s="11"/>
      <c r="H232" s="11"/>
    </row>
    <row r="233" spans="1:8" x14ac:dyDescent="0.25">
      <c r="A233" s="31">
        <v>233</v>
      </c>
      <c r="B233" s="33" t="s">
        <v>63</v>
      </c>
      <c r="C233" s="46" t="str">
        <f>_Lang!$B$21</f>
        <v>ExTitle</v>
      </c>
      <c r="D233" s="34"/>
      <c r="E233" s="11" t="b">
        <v>1</v>
      </c>
      <c r="F233" s="33" t="s">
        <v>84</v>
      </c>
      <c r="G233" s="11"/>
      <c r="H233" s="11"/>
    </row>
    <row r="234" spans="1:8" x14ac:dyDescent="0.25">
      <c r="A234" s="31">
        <v>234</v>
      </c>
      <c r="B234" s="33" t="s">
        <v>60</v>
      </c>
      <c r="C234" s="46" t="str">
        <f>_Lang!$B$15</f>
        <v>ExType</v>
      </c>
      <c r="D234" s="34"/>
      <c r="E234" s="11" t="b">
        <v>1</v>
      </c>
      <c r="F234" s="33" t="s">
        <v>84</v>
      </c>
      <c r="G234" s="11"/>
      <c r="H234" s="11"/>
    </row>
    <row r="235" spans="1:8" x14ac:dyDescent="0.25">
      <c r="A235" s="31">
        <v>235</v>
      </c>
      <c r="B235" s="33" t="s">
        <v>257</v>
      </c>
      <c r="C235" s="46" t="str">
        <f>_Lang!$B$20</f>
        <v>UID</v>
      </c>
      <c r="D235" s="34"/>
      <c r="E235" s="11" t="b">
        <v>1</v>
      </c>
      <c r="F235" s="33"/>
      <c r="G235" s="11"/>
      <c r="H235" s="11"/>
    </row>
    <row r="236" spans="1:8" x14ac:dyDescent="0.25">
      <c r="A236" s="31">
        <v>236</v>
      </c>
      <c r="B236" s="33" t="s">
        <v>61</v>
      </c>
      <c r="C236" s="46" t="str">
        <f>_Lang!$B$16</f>
        <v>Usage 
Factor</v>
      </c>
      <c r="D236" s="34"/>
      <c r="E236" s="11" t="b">
        <v>1</v>
      </c>
      <c r="F236" s="33" t="s">
        <v>84</v>
      </c>
      <c r="G236" s="11"/>
      <c r="H236" s="11"/>
    </row>
    <row r="237" spans="1:8" x14ac:dyDescent="0.25">
      <c r="A237" s="31">
        <v>237</v>
      </c>
      <c r="B237" s="33" t="s">
        <v>67</v>
      </c>
      <c r="C237" s="46" t="str">
        <f>_Lang!$B$12</f>
        <v>Exercise Database</v>
      </c>
      <c r="D237" s="34"/>
      <c r="E237" s="11" t="b">
        <v>1</v>
      </c>
      <c r="F237" s="33" t="s">
        <v>84</v>
      </c>
      <c r="G237" s="11"/>
      <c r="H237" s="11"/>
    </row>
    <row r="238" spans="1:8" x14ac:dyDescent="0.25">
      <c r="A238" s="31">
        <v>238</v>
      </c>
      <c r="B238" s="33" t="s">
        <v>42</v>
      </c>
      <c r="C238" s="46" t="str">
        <f>_Lang!$B$33</f>
        <v>WorkplanDate</v>
      </c>
      <c r="D238" s="34"/>
      <c r="E238" s="11" t="b">
        <v>1</v>
      </c>
      <c r="F238" s="33" t="s">
        <v>85</v>
      </c>
      <c r="G238" s="11"/>
      <c r="H238" s="11"/>
    </row>
    <row r="239" spans="1:8" x14ac:dyDescent="0.25">
      <c r="A239" s="31">
        <v>239</v>
      </c>
      <c r="B239" s="33" t="s">
        <v>262</v>
      </c>
      <c r="C239" s="46" t="str">
        <f>_Lang!$B$44</f>
        <v>ExID</v>
      </c>
      <c r="D239" s="34"/>
      <c r="E239" s="11" t="b">
        <v>1</v>
      </c>
      <c r="F239" s="33"/>
      <c r="G239" s="11"/>
      <c r="H239" s="11"/>
    </row>
    <row r="240" spans="1:8" x14ac:dyDescent="0.25">
      <c r="A240" s="31">
        <v>240</v>
      </c>
      <c r="B240" s="33" t="s">
        <v>268</v>
      </c>
      <c r="C240" s="46" t="str">
        <f>_Lang!$B$47</f>
        <v>EX_</v>
      </c>
      <c r="D240" s="34"/>
      <c r="E240" s="11" t="b">
        <v>1</v>
      </c>
      <c r="F240" s="33"/>
      <c r="G240" s="11"/>
      <c r="H240" s="11"/>
    </row>
    <row r="241" spans="1:8" x14ac:dyDescent="0.25">
      <c r="A241" s="31">
        <v>241</v>
      </c>
      <c r="B241" s="33" t="s">
        <v>266</v>
      </c>
      <c r="C241" s="46" t="str">
        <f>_Lang!$B$45</f>
        <v>EXH_</v>
      </c>
      <c r="D241" s="34"/>
      <c r="E241" s="11" t="b">
        <v>1</v>
      </c>
      <c r="F241" s="33"/>
      <c r="G241" s="11"/>
      <c r="H241" s="11"/>
    </row>
    <row r="242" spans="1:8" x14ac:dyDescent="0.25">
      <c r="A242" s="31">
        <v>242</v>
      </c>
      <c r="B242" s="33" t="s">
        <v>267</v>
      </c>
      <c r="C242" s="46" t="str">
        <f>_Lang!$B$46</f>
        <v>EXR_</v>
      </c>
      <c r="D242" s="34"/>
      <c r="E242" s="11" t="b">
        <v>1</v>
      </c>
      <c r="F242" s="33"/>
      <c r="G242" s="11"/>
      <c r="H242" s="11"/>
    </row>
    <row r="243" spans="1:8" x14ac:dyDescent="0.25">
      <c r="A243" s="31">
        <v>243</v>
      </c>
      <c r="B243" s="33" t="s">
        <v>44</v>
      </c>
      <c r="C243" s="46" t="str">
        <f>_Lang!$B$43</f>
        <v>ExerciseTopic</v>
      </c>
      <c r="D243" s="34"/>
      <c r="E243" s="11" t="b">
        <v>1</v>
      </c>
      <c r="F243" s="33" t="s">
        <v>85</v>
      </c>
      <c r="G243" s="11"/>
      <c r="H243" s="11"/>
    </row>
    <row r="244" spans="1:8" x14ac:dyDescent="0.25">
      <c r="A244" s="31">
        <v>244</v>
      </c>
      <c r="B244" s="33" t="s">
        <v>45</v>
      </c>
      <c r="C244" s="46" t="str">
        <f>_Lang!$B$40</f>
        <v>HCP</v>
      </c>
      <c r="D244" s="34"/>
      <c r="E244" s="11" t="b">
        <v>1</v>
      </c>
      <c r="F244" s="33" t="s">
        <v>85</v>
      </c>
      <c r="G244" s="11"/>
      <c r="H244" s="11"/>
    </row>
    <row r="245" spans="1:8" x14ac:dyDescent="0.25">
      <c r="A245" s="31">
        <v>245</v>
      </c>
      <c r="B245" s="33" t="s">
        <v>43</v>
      </c>
      <c r="C245" s="46" t="str">
        <f>_Lang!$B$35</f>
        <v>PlayerID</v>
      </c>
      <c r="D245" s="34"/>
      <c r="E245" s="11" t="b">
        <v>1</v>
      </c>
      <c r="F245" s="33" t="s">
        <v>85</v>
      </c>
      <c r="G245" s="11"/>
      <c r="H245" s="11"/>
    </row>
    <row r="246" spans="1:8" x14ac:dyDescent="0.25">
      <c r="A246" s="31">
        <v>246</v>
      </c>
      <c r="B246" s="33" t="s">
        <v>258</v>
      </c>
      <c r="C246" s="46" t="str">
        <f>_Lang!$B$37</f>
        <v>PlayerName</v>
      </c>
      <c r="D246" s="34"/>
      <c r="E246" s="11" t="b">
        <v>1</v>
      </c>
      <c r="F246" s="33"/>
      <c r="G246" s="11"/>
      <c r="H246" s="11"/>
    </row>
    <row r="247" spans="1:8" x14ac:dyDescent="0.25">
      <c r="A247" s="31">
        <v>247</v>
      </c>
      <c r="B247" s="33" t="s">
        <v>270</v>
      </c>
      <c r="C247" s="46" t="str">
        <f>_Lang!$B$41</f>
        <v>ResultHCP</v>
      </c>
      <c r="D247" s="34"/>
      <c r="E247" s="11" t="b">
        <v>1</v>
      </c>
      <c r="F247" s="33"/>
      <c r="G247" s="11"/>
      <c r="H247" s="11"/>
    </row>
    <row r="248" spans="1:8" x14ac:dyDescent="0.25">
      <c r="A248" s="31">
        <v>248</v>
      </c>
      <c r="B248" s="33" t="s">
        <v>271</v>
      </c>
      <c r="C248" s="46" t="str">
        <f>_Lang!$B$42</f>
        <v>RoundedHCP</v>
      </c>
      <c r="D248" s="34"/>
      <c r="E248" s="11" t="b">
        <v>1</v>
      </c>
      <c r="F248" s="33"/>
      <c r="G248" s="11"/>
      <c r="H248" s="11"/>
    </row>
    <row r="249" spans="1:8" x14ac:dyDescent="0.25">
      <c r="A249" s="31">
        <v>249</v>
      </c>
      <c r="B249" s="33" t="s">
        <v>274</v>
      </c>
      <c r="C249" s="46" t="str">
        <f>_Lang!$B$36</f>
        <v>WPID</v>
      </c>
      <c r="D249" s="34"/>
      <c r="E249" s="11" t="b">
        <v>1</v>
      </c>
      <c r="F249" s="33"/>
      <c r="G249" s="11"/>
      <c r="H249" s="11"/>
    </row>
    <row r="250" spans="1:8" x14ac:dyDescent="0.25">
      <c r="A250" s="31">
        <v>250</v>
      </c>
      <c r="B250" s="33" t="s">
        <v>41</v>
      </c>
      <c r="C250" s="46" t="str">
        <f>_Lang!$B$30</f>
        <v>WorkplanUID</v>
      </c>
      <c r="D250" s="34"/>
      <c r="E250" s="11" t="b">
        <v>1</v>
      </c>
      <c r="F250" s="33" t="s">
        <v>85</v>
      </c>
      <c r="G250" s="11"/>
      <c r="H250" s="11"/>
    </row>
    <row r="251" spans="1:8" x14ac:dyDescent="0.25">
      <c r="A251" s="31">
        <v>251</v>
      </c>
      <c r="B251" s="33" t="s">
        <v>269</v>
      </c>
      <c r="C251" s="46" t="str">
        <f>_Lang!$B$58</f>
        <v>TotalDuration</v>
      </c>
      <c r="D251" s="34"/>
      <c r="E251" s="11" t="b">
        <v>1</v>
      </c>
      <c r="F251" s="33"/>
      <c r="G251" s="11"/>
      <c r="H251" s="11"/>
    </row>
    <row r="252" spans="1:8" x14ac:dyDescent="0.25">
      <c r="A252" s="31">
        <v>252</v>
      </c>
      <c r="B252" s="33" t="s">
        <v>78</v>
      </c>
      <c r="C252" s="46" t="str">
        <f>_Lang!$B$11</f>
        <v>Results Database</v>
      </c>
      <c r="D252" s="34"/>
      <c r="E252" s="11" t="b">
        <v>1</v>
      </c>
      <c r="F252" s="33" t="s">
        <v>85</v>
      </c>
      <c r="G252" s="11"/>
      <c r="H252" s="11"/>
    </row>
    <row r="253" spans="1:8" x14ac:dyDescent="0.25">
      <c r="A253" s="31">
        <v>253</v>
      </c>
      <c r="B253" s="33" t="s">
        <v>47</v>
      </c>
      <c r="C253" s="46" t="str">
        <f>_Lang!$B$8</f>
        <v>Language Table</v>
      </c>
      <c r="D253" s="34"/>
      <c r="E253" s="11" t="b">
        <v>1</v>
      </c>
      <c r="F253" s="33" t="s">
        <v>83</v>
      </c>
      <c r="G253" s="11"/>
      <c r="H253" s="11"/>
    </row>
    <row r="254" spans="1:8" x14ac:dyDescent="0.25">
      <c r="A254" s="31">
        <v>254</v>
      </c>
      <c r="B254" s="33" t="s">
        <v>237</v>
      </c>
      <c r="C254" s="46" t="str">
        <f>_Lang!$B$95</f>
        <v>Workout Manager</v>
      </c>
      <c r="D254" s="34"/>
      <c r="E254" s="11" t="b">
        <v>1</v>
      </c>
      <c r="F254" s="33"/>
      <c r="G254" s="11"/>
      <c r="H254" s="11"/>
    </row>
    <row r="255" spans="1:8" x14ac:dyDescent="0.25">
      <c r="A255" s="31">
        <v>255</v>
      </c>
      <c r="B255" s="33" t="s">
        <v>228</v>
      </c>
      <c r="C255" s="46" t="str">
        <f>_Lang!$B$91</f>
        <v>Action</v>
      </c>
      <c r="D255" s="34"/>
      <c r="E255" s="11" t="b">
        <v>1</v>
      </c>
      <c r="F255" s="33"/>
      <c r="G255" s="11"/>
      <c r="H255" s="11"/>
    </row>
    <row r="256" spans="1:8" x14ac:dyDescent="0.25">
      <c r="A256" s="31">
        <v>256</v>
      </c>
      <c r="B256" s="33" t="s">
        <v>235</v>
      </c>
      <c r="C256" s="46" t="str">
        <f>_Lang!$B$92</f>
        <v>Result</v>
      </c>
      <c r="D256" s="34"/>
      <c r="E256" s="11" t="b">
        <v>1</v>
      </c>
      <c r="F256" s="33"/>
      <c r="G256" s="11"/>
      <c r="H256" s="11"/>
    </row>
    <row r="257" spans="1:8" x14ac:dyDescent="0.25">
      <c r="A257" s="31">
        <v>257</v>
      </c>
      <c r="B257" s="33" t="s">
        <v>261</v>
      </c>
      <c r="C257" s="46" t="str">
        <f>_Lang!$B$93</f>
        <v>Result HCP</v>
      </c>
      <c r="D257" s="34"/>
      <c r="E257" s="11" t="b">
        <v>1</v>
      </c>
      <c r="F257" s="33"/>
      <c r="G257" s="11"/>
      <c r="H257" s="11"/>
    </row>
    <row r="258" spans="1:8" x14ac:dyDescent="0.25">
      <c r="A258" s="31">
        <v>258</v>
      </c>
      <c r="B258" s="33" t="s">
        <v>245</v>
      </c>
      <c r="C258" s="46" t="str">
        <f>_Lang!$B$94</f>
        <v>Target</v>
      </c>
      <c r="D258" s="34"/>
      <c r="E258" s="11" t="b">
        <v>1</v>
      </c>
      <c r="F258" s="33"/>
      <c r="G258" s="11"/>
      <c r="H258" s="11"/>
    </row>
    <row r="259" spans="1:8" x14ac:dyDescent="0.25">
      <c r="A259" s="31">
        <v>259</v>
      </c>
      <c r="B259" s="33" t="s">
        <v>74</v>
      </c>
      <c r="C259" s="46">
        <f>_Lang!$C$3</f>
        <v>5</v>
      </c>
      <c r="D259" s="34"/>
      <c r="E259" s="11" t="b">
        <v>1</v>
      </c>
      <c r="F259" s="33" t="s">
        <v>83</v>
      </c>
      <c r="G259" s="11"/>
      <c r="H259" s="11"/>
    </row>
    <row r="260" spans="1:8" x14ac:dyDescent="0.25">
      <c r="A260" s="31">
        <v>260</v>
      </c>
      <c r="B260" s="33" t="s">
        <v>80</v>
      </c>
      <c r="C260" s="46">
        <f>_Lang!$A$3</f>
        <v>1</v>
      </c>
      <c r="D260" s="34"/>
      <c r="E260" s="11" t="b">
        <v>1</v>
      </c>
      <c r="F260" s="33" t="s">
        <v>83</v>
      </c>
      <c r="G260" s="11"/>
      <c r="H260" s="11"/>
    </row>
    <row r="261" spans="1:8" x14ac:dyDescent="0.25">
      <c r="A261" s="31">
        <v>261</v>
      </c>
      <c r="B261" s="33" t="s">
        <v>75</v>
      </c>
      <c r="C261" s="46">
        <f>_Lang!$D$3</f>
        <v>128</v>
      </c>
      <c r="D261" s="34"/>
      <c r="E261" s="11" t="b">
        <v>1</v>
      </c>
      <c r="F261" s="33" t="s">
        <v>83</v>
      </c>
      <c r="G261" s="11"/>
      <c r="H261" s="11"/>
    </row>
    <row r="262" spans="1:8" x14ac:dyDescent="0.25">
      <c r="A262" s="31">
        <v>262</v>
      </c>
      <c r="B262" s="33" t="s">
        <v>33</v>
      </c>
      <c r="C262" s="46" t="str">
        <f>_Config!$B$5</f>
        <v>English</v>
      </c>
      <c r="D262" s="34"/>
      <c r="E262" s="11" t="b">
        <v>1</v>
      </c>
      <c r="F262" s="33" t="s">
        <v>83</v>
      </c>
      <c r="G262" s="11"/>
      <c r="H262" s="11"/>
    </row>
    <row r="263" spans="1:8" x14ac:dyDescent="0.25">
      <c r="A263" s="31">
        <v>263</v>
      </c>
      <c r="B263" s="33" t="s">
        <v>76</v>
      </c>
      <c r="C263" s="46" t="str">
        <f>"LABEL"</f>
        <v>LABEL</v>
      </c>
      <c r="D263" s="34"/>
      <c r="E263" s="11" t="b">
        <v>1</v>
      </c>
      <c r="F263" s="33" t="s">
        <v>83</v>
      </c>
      <c r="G263" s="11"/>
      <c r="H263" s="11"/>
    </row>
    <row r="264" spans="1:8" x14ac:dyDescent="0.25">
      <c r="A264" s="31">
        <v>264</v>
      </c>
      <c r="B264" s="33" t="s">
        <v>36</v>
      </c>
      <c r="C264" s="46" t="str">
        <f>_Lang!$B$5</f>
        <v>Golf Workplan Manager</v>
      </c>
      <c r="D264" s="34"/>
      <c r="E264" s="11" t="b">
        <v>1</v>
      </c>
      <c r="F264" s="33" t="s">
        <v>83</v>
      </c>
      <c r="G264" s="11"/>
      <c r="H264" s="11"/>
    </row>
    <row r="265" spans="1:8" x14ac:dyDescent="0.25">
      <c r="A265" s="31">
        <v>265</v>
      </c>
      <c r="B265" s="33" t="s">
        <v>391</v>
      </c>
      <c r="C265" s="46" t="e">
        <f>#REF!</f>
        <v>#REF!</v>
      </c>
      <c r="D265" s="34"/>
      <c r="E265" s="11" t="b">
        <v>1</v>
      </c>
      <c r="F265" s="33"/>
      <c r="G265" s="11"/>
      <c r="H265" s="11"/>
    </row>
    <row r="266" spans="1:8" x14ac:dyDescent="0.25">
      <c r="A266" s="31">
        <v>266</v>
      </c>
      <c r="B266" s="33" t="s">
        <v>392</v>
      </c>
      <c r="C266" s="46" t="e">
        <f>#REF!</f>
        <v>#REF!</v>
      </c>
      <c r="D266" s="34"/>
      <c r="E266" s="11" t="b">
        <v>1</v>
      </c>
      <c r="F266" s="33"/>
      <c r="G266" s="11"/>
      <c r="H266" s="11"/>
    </row>
    <row r="267" spans="1:8" x14ac:dyDescent="0.25">
      <c r="A267" s="31">
        <v>267</v>
      </c>
      <c r="B267" s="33" t="s">
        <v>393</v>
      </c>
      <c r="C267" s="46" t="e">
        <f>#REF!</f>
        <v>#REF!</v>
      </c>
      <c r="D267" s="34"/>
      <c r="E267" s="11" t="b">
        <v>1</v>
      </c>
      <c r="F267" s="33"/>
      <c r="G267" s="11"/>
      <c r="H267" s="11"/>
    </row>
    <row r="268" spans="1:8" x14ac:dyDescent="0.25">
      <c r="A268" s="31">
        <v>268</v>
      </c>
      <c r="B268" s="33" t="s">
        <v>394</v>
      </c>
      <c r="C268" s="46" t="e">
        <f>#REF!</f>
        <v>#REF!</v>
      </c>
      <c r="D268" s="34"/>
      <c r="E268" s="11" t="b">
        <v>1</v>
      </c>
      <c r="F268" s="33"/>
      <c r="G268" s="11"/>
      <c r="H268" s="11"/>
    </row>
    <row r="269" spans="1:8" x14ac:dyDescent="0.25">
      <c r="A269" s="31">
        <v>269</v>
      </c>
      <c r="B269" s="33" t="s">
        <v>395</v>
      </c>
      <c r="C269" s="46" t="e">
        <f>#REF!</f>
        <v>#REF!</v>
      </c>
      <c r="D269" s="34"/>
      <c r="E269" s="11" t="b">
        <v>1</v>
      </c>
      <c r="F269" s="33"/>
      <c r="G269" s="11"/>
      <c r="H269" s="11"/>
    </row>
    <row r="270" spans="1:8" x14ac:dyDescent="0.25">
      <c r="A270" s="31">
        <v>270</v>
      </c>
      <c r="B270" s="33" t="s">
        <v>396</v>
      </c>
      <c r="C270" s="46" t="e">
        <f>#REF!</f>
        <v>#REF!</v>
      </c>
      <c r="D270" s="34"/>
      <c r="E270" s="11" t="b">
        <v>1</v>
      </c>
      <c r="F270" s="33"/>
      <c r="G270" s="11"/>
      <c r="H270" s="11"/>
    </row>
    <row r="271" spans="1:8" x14ac:dyDescent="0.25">
      <c r="A271" s="31">
        <v>271</v>
      </c>
      <c r="B271" s="33" t="s">
        <v>397</v>
      </c>
      <c r="C271" s="46" t="e">
        <f>#REF!</f>
        <v>#REF!</v>
      </c>
      <c r="D271" s="34"/>
      <c r="E271" s="11" t="b">
        <v>1</v>
      </c>
      <c r="F271" s="33"/>
      <c r="G271" s="11"/>
      <c r="H271" s="11"/>
    </row>
    <row r="272" spans="1:8" x14ac:dyDescent="0.25">
      <c r="A272" s="31">
        <v>272</v>
      </c>
      <c r="B272" s="33" t="s">
        <v>398</v>
      </c>
      <c r="C272" s="46" t="e">
        <f>#REF!</f>
        <v>#REF!</v>
      </c>
      <c r="D272" s="34"/>
      <c r="E272" s="11" t="b">
        <v>1</v>
      </c>
      <c r="F272" s="33"/>
      <c r="G272" s="11"/>
      <c r="H272" s="11"/>
    </row>
    <row r="273" spans="1:8" x14ac:dyDescent="0.25">
      <c r="A273" s="31">
        <v>273</v>
      </c>
      <c r="B273" s="33" t="s">
        <v>399</v>
      </c>
      <c r="C273" s="46" t="e">
        <f>#REF!</f>
        <v>#REF!</v>
      </c>
      <c r="D273" s="34"/>
      <c r="E273" s="11" t="b">
        <v>1</v>
      </c>
      <c r="F273" s="33"/>
      <c r="G273" s="11"/>
      <c r="H273" s="11"/>
    </row>
    <row r="274" spans="1:8" x14ac:dyDescent="0.25">
      <c r="A274" s="31">
        <v>274</v>
      </c>
      <c r="B274" s="33" t="s">
        <v>172</v>
      </c>
      <c r="C274" s="46" t="e">
        <f>#REF!</f>
        <v>#REF!</v>
      </c>
      <c r="D274" s="34"/>
      <c r="E274" s="11" t="b">
        <v>1</v>
      </c>
      <c r="F274" s="33"/>
      <c r="G274" s="11"/>
      <c r="H274" s="11"/>
    </row>
    <row r="275" spans="1:8" x14ac:dyDescent="0.25">
      <c r="A275" s="31">
        <v>275</v>
      </c>
      <c r="B275" s="33" t="s">
        <v>400</v>
      </c>
      <c r="C275" s="46" t="e">
        <f>#REF!</f>
        <v>#REF!</v>
      </c>
      <c r="D275" s="34"/>
      <c r="E275" s="11" t="b">
        <v>1</v>
      </c>
      <c r="F275" s="33"/>
      <c r="G275" s="11"/>
      <c r="H275" s="11"/>
    </row>
    <row r="276" spans="1:8" x14ac:dyDescent="0.25">
      <c r="A276" s="31">
        <v>276</v>
      </c>
      <c r="B276" s="33" t="s">
        <v>173</v>
      </c>
      <c r="C276" s="46" t="e">
        <f>#REF!</f>
        <v>#REF!</v>
      </c>
      <c r="D276" s="34"/>
      <c r="E276" s="11" t="b">
        <v>1</v>
      </c>
      <c r="F276" s="33"/>
      <c r="G276" s="11"/>
      <c r="H276" s="11"/>
    </row>
    <row r="277" spans="1:8" x14ac:dyDescent="0.25">
      <c r="A277" s="31">
        <v>277</v>
      </c>
      <c r="B277" s="33" t="s">
        <v>227</v>
      </c>
      <c r="C277" s="46" t="e">
        <f ca="1">INDIRECT("Grafik 2")</f>
        <v>#REF!</v>
      </c>
      <c r="D277" s="34"/>
      <c r="E277" s="11" t="b">
        <v>1</v>
      </c>
      <c r="F277" s="33"/>
      <c r="G277" s="11"/>
      <c r="H277" s="11"/>
    </row>
    <row r="278" spans="1:8" x14ac:dyDescent="0.25">
      <c r="A278" s="31">
        <v>278</v>
      </c>
      <c r="B278" s="33" t="s">
        <v>401</v>
      </c>
      <c r="C278" s="46" t="e">
        <f>#REF!</f>
        <v>#REF!</v>
      </c>
      <c r="D278" s="34"/>
      <c r="E278" s="11" t="b">
        <v>1</v>
      </c>
      <c r="F278" s="33"/>
      <c r="G278" s="11"/>
      <c r="H278" s="11"/>
    </row>
    <row r="279" spans="1:8" x14ac:dyDescent="0.25">
      <c r="A279" s="31">
        <v>279</v>
      </c>
      <c r="B279" s="33" t="s">
        <v>174</v>
      </c>
      <c r="C279" s="46" t="e">
        <f>#REF!</f>
        <v>#REF!</v>
      </c>
      <c r="D279" s="34"/>
      <c r="E279" s="11" t="b">
        <v>1</v>
      </c>
      <c r="F279" s="33"/>
      <c r="G279" s="11"/>
      <c r="H279" s="11"/>
    </row>
    <row r="280" spans="1:8" x14ac:dyDescent="0.25">
      <c r="A280" s="31">
        <v>280</v>
      </c>
      <c r="B280" s="33" t="s">
        <v>402</v>
      </c>
      <c r="C280" s="46" t="e">
        <f>#REF!</f>
        <v>#REF!</v>
      </c>
      <c r="D280" s="34"/>
      <c r="E280" s="11" t="b">
        <v>1</v>
      </c>
      <c r="F280" s="33"/>
      <c r="G280" s="11"/>
      <c r="H280" s="11"/>
    </row>
    <row r="281" spans="1:8" x14ac:dyDescent="0.25">
      <c r="A281" s="31">
        <v>281</v>
      </c>
      <c r="B281" s="33" t="s">
        <v>175</v>
      </c>
      <c r="C281" s="46" t="e">
        <f>#REF!</f>
        <v>#REF!</v>
      </c>
      <c r="D281" s="34"/>
      <c r="E281" s="11" t="b">
        <v>1</v>
      </c>
      <c r="F281" s="33"/>
      <c r="G281" s="11"/>
      <c r="H281" s="11"/>
    </row>
    <row r="282" spans="1:8" x14ac:dyDescent="0.25">
      <c r="A282" s="31">
        <v>282</v>
      </c>
      <c r="B282" s="33" t="s">
        <v>403</v>
      </c>
      <c r="C282" s="46" t="e">
        <f>#REF!</f>
        <v>#REF!</v>
      </c>
      <c r="D282" s="34"/>
      <c r="E282" s="11" t="b">
        <v>1</v>
      </c>
      <c r="F282" s="33"/>
      <c r="G282" s="11"/>
      <c r="H282" s="11"/>
    </row>
    <row r="283" spans="1:8" x14ac:dyDescent="0.25">
      <c r="A283" s="31">
        <v>283</v>
      </c>
      <c r="B283" s="33" t="s">
        <v>176</v>
      </c>
      <c r="C283" s="46" t="e">
        <f>#REF!</f>
        <v>#REF!</v>
      </c>
      <c r="D283" s="34"/>
      <c r="E283" s="11" t="b">
        <v>1</v>
      </c>
      <c r="F283" s="33"/>
      <c r="G283" s="11"/>
      <c r="H283" s="11"/>
    </row>
    <row r="284" spans="1:8" x14ac:dyDescent="0.25">
      <c r="A284" s="31"/>
      <c r="B284" s="33"/>
      <c r="C284" s="46"/>
      <c r="D284" s="34"/>
      <c r="E284" s="11"/>
      <c r="F284" s="33"/>
      <c r="G284" s="11"/>
      <c r="H284" s="11"/>
    </row>
    <row r="285" spans="1:8" x14ac:dyDescent="0.25">
      <c r="A285" s="31"/>
      <c r="B285" s="33"/>
      <c r="C285" s="46"/>
      <c r="D285" s="34"/>
      <c r="E285" s="11"/>
      <c r="F285" s="33"/>
      <c r="G285" s="11"/>
      <c r="H285" s="11"/>
    </row>
    <row r="286" spans="1:8" x14ac:dyDescent="0.25">
      <c r="A286" s="31"/>
      <c r="B286" s="33"/>
      <c r="C286" s="46"/>
      <c r="D286" s="34"/>
      <c r="E286" s="11"/>
      <c r="F286" s="33"/>
      <c r="G286" s="11"/>
      <c r="H286" s="11"/>
    </row>
    <row r="287" spans="1:8" x14ac:dyDescent="0.25">
      <c r="A287" s="31"/>
      <c r="B287" s="33"/>
      <c r="C287" s="46"/>
      <c r="D287" s="34"/>
      <c r="E287" s="11"/>
      <c r="F287" s="33"/>
      <c r="G287" s="11"/>
      <c r="H287" s="11"/>
    </row>
    <row r="288" spans="1:8" x14ac:dyDescent="0.25">
      <c r="A288" s="31"/>
      <c r="B288" s="33"/>
      <c r="C288" s="46"/>
      <c r="D288" s="34"/>
      <c r="E288" s="11"/>
      <c r="F288" s="33"/>
      <c r="G288" s="11"/>
      <c r="H288" s="11"/>
    </row>
    <row r="289" spans="1:8" x14ac:dyDescent="0.25">
      <c r="A289" s="31"/>
      <c r="B289" s="33"/>
      <c r="C289" s="46"/>
      <c r="D289" s="34"/>
      <c r="E289" s="11"/>
      <c r="F289" s="33"/>
      <c r="G289" s="11"/>
      <c r="H289" s="11"/>
    </row>
    <row r="290" spans="1:8" x14ac:dyDescent="0.25">
      <c r="A290" s="31"/>
      <c r="B290" s="33"/>
      <c r="C290" s="46"/>
      <c r="D290" s="34"/>
      <c r="E290" s="11"/>
      <c r="F290" s="33"/>
      <c r="G290" s="11"/>
      <c r="H290" s="11"/>
    </row>
    <row r="291" spans="1:8" x14ac:dyDescent="0.25">
      <c r="A291" s="31"/>
      <c r="B291" s="33"/>
      <c r="C291" s="46"/>
      <c r="D291" s="34"/>
      <c r="E291" s="11"/>
      <c r="F291" s="33"/>
      <c r="G291" s="11"/>
      <c r="H291" s="11"/>
    </row>
    <row r="292" spans="1:8" x14ac:dyDescent="0.25">
      <c r="A292" s="31"/>
      <c r="B292" s="33"/>
      <c r="C292" s="46"/>
      <c r="D292" s="34"/>
      <c r="E292" s="11"/>
      <c r="F292" s="33"/>
      <c r="G292" s="11"/>
      <c r="H292" s="11"/>
    </row>
    <row r="293" spans="1:8" x14ac:dyDescent="0.25">
      <c r="A293" s="31"/>
      <c r="B293" s="33"/>
      <c r="C293" s="46"/>
      <c r="D293" s="34"/>
      <c r="E293" s="11"/>
      <c r="F293" s="33"/>
      <c r="G293" s="11"/>
      <c r="H293" s="11"/>
    </row>
    <row r="294" spans="1:8" x14ac:dyDescent="0.25">
      <c r="A294" s="31"/>
      <c r="B294" s="33"/>
      <c r="C294" s="46"/>
      <c r="D294" s="34"/>
      <c r="E294" s="11"/>
      <c r="F294" s="33"/>
      <c r="G294" s="11"/>
      <c r="H294" s="11"/>
    </row>
    <row r="295" spans="1:8" x14ac:dyDescent="0.25">
      <c r="A295" s="31"/>
      <c r="B295" s="33"/>
      <c r="C295" s="46"/>
      <c r="D295" s="34"/>
      <c r="E295" s="11"/>
      <c r="F295" s="33"/>
      <c r="G295" s="11"/>
      <c r="H295" s="11"/>
    </row>
    <row r="296" spans="1:8" x14ac:dyDescent="0.25">
      <c r="A296" s="31"/>
      <c r="B296" s="33"/>
      <c r="C296" s="46"/>
      <c r="D296" s="34"/>
      <c r="E296" s="11"/>
      <c r="F296" s="33"/>
      <c r="G296" s="11"/>
      <c r="H296" s="11"/>
    </row>
    <row r="297" spans="1:8" x14ac:dyDescent="0.25">
      <c r="A297" s="31"/>
      <c r="B297" s="33"/>
      <c r="C297" s="46"/>
      <c r="D297" s="34"/>
      <c r="E297" s="11"/>
      <c r="F297" s="33"/>
      <c r="G297" s="11"/>
      <c r="H297" s="11"/>
    </row>
    <row r="298" spans="1:8" x14ac:dyDescent="0.25">
      <c r="A298" s="31"/>
      <c r="B298" s="33"/>
      <c r="C298" s="46"/>
      <c r="D298" s="34"/>
      <c r="E298" s="11"/>
      <c r="F298" s="33"/>
      <c r="G298" s="11"/>
      <c r="H298" s="11"/>
    </row>
    <row r="299" spans="1:8" x14ac:dyDescent="0.25">
      <c r="A299" s="31"/>
      <c r="B299" s="33"/>
      <c r="C299" s="46"/>
      <c r="D299" s="34"/>
      <c r="E299" s="11"/>
      <c r="F299" s="33"/>
      <c r="G299" s="11"/>
      <c r="H299" s="11"/>
    </row>
    <row r="300" spans="1:8" x14ac:dyDescent="0.25">
      <c r="A300" s="31"/>
      <c r="B300" s="33"/>
      <c r="C300" s="46"/>
      <c r="D300" s="34"/>
      <c r="E300" s="11"/>
      <c r="F300" s="33"/>
      <c r="G300" s="11"/>
      <c r="H300" s="11"/>
    </row>
    <row r="301" spans="1:8" x14ac:dyDescent="0.25">
      <c r="A301" s="31"/>
      <c r="B301" s="33"/>
      <c r="C301" s="46"/>
      <c r="D301" s="34"/>
      <c r="E301" s="11"/>
      <c r="F301" s="33"/>
      <c r="G301" s="11"/>
      <c r="H301" s="11"/>
    </row>
    <row r="302" spans="1:8" x14ac:dyDescent="0.25">
      <c r="A302" s="31"/>
      <c r="B302" s="33"/>
      <c r="C302" s="46"/>
      <c r="D302" s="34"/>
      <c r="E302" s="11"/>
      <c r="F302" s="33"/>
      <c r="G302" s="11"/>
      <c r="H302" s="11"/>
    </row>
    <row r="303" spans="1:8" x14ac:dyDescent="0.25">
      <c r="A303" s="31"/>
      <c r="B303" s="33"/>
      <c r="C303" s="46"/>
      <c r="D303" s="34"/>
      <c r="E303" s="11"/>
      <c r="F303" s="33"/>
      <c r="G303" s="11"/>
      <c r="H303" s="11"/>
    </row>
    <row r="304" spans="1:8" x14ac:dyDescent="0.25">
      <c r="A304" s="31"/>
      <c r="B304" s="33"/>
      <c r="C304" s="46"/>
      <c r="D304" s="34"/>
      <c r="E304" s="11"/>
      <c r="F304" s="33"/>
      <c r="G304" s="11"/>
      <c r="H304" s="11"/>
    </row>
    <row r="305" spans="1:8" x14ac:dyDescent="0.25">
      <c r="A305" s="31"/>
      <c r="B305" s="33"/>
      <c r="C305" s="46"/>
      <c r="D305" s="34"/>
      <c r="E305" s="11"/>
      <c r="F305" s="33"/>
      <c r="G305" s="11"/>
      <c r="H305" s="11"/>
    </row>
    <row r="306" spans="1:8" x14ac:dyDescent="0.25">
      <c r="A306" s="31"/>
      <c r="B306" s="33"/>
      <c r="C306" s="46"/>
      <c r="D306" s="34"/>
      <c r="E306" s="11"/>
      <c r="F306" s="33"/>
      <c r="G306" s="11"/>
      <c r="H306" s="11"/>
    </row>
    <row r="307" spans="1:8" x14ac:dyDescent="0.25">
      <c r="A307" s="31"/>
      <c r="B307" s="33"/>
      <c r="C307" s="46"/>
      <c r="D307" s="34"/>
      <c r="E307" s="11"/>
      <c r="F307" s="33"/>
      <c r="G307" s="11"/>
      <c r="H307" s="11"/>
    </row>
    <row r="308" spans="1:8" x14ac:dyDescent="0.25">
      <c r="A308" s="31"/>
      <c r="B308" s="33"/>
      <c r="C308" s="46"/>
      <c r="D308" s="34"/>
      <c r="E308" s="11"/>
      <c r="F308" s="33"/>
      <c r="G308" s="11"/>
      <c r="H308" s="11"/>
    </row>
    <row r="309" spans="1:8" x14ac:dyDescent="0.25">
      <c r="A309" s="31"/>
      <c r="B309" s="33"/>
      <c r="C309" s="46"/>
      <c r="D309" s="34"/>
      <c r="E309" s="11"/>
      <c r="F309" s="33"/>
      <c r="G309" s="11"/>
      <c r="H309" s="11"/>
    </row>
    <row r="310" spans="1:8" x14ac:dyDescent="0.25">
      <c r="A310" s="31"/>
      <c r="B310" s="33"/>
      <c r="C310" s="46"/>
      <c r="D310" s="34"/>
      <c r="E310" s="11"/>
      <c r="F310" s="33"/>
      <c r="G310" s="11"/>
      <c r="H310" s="11"/>
    </row>
    <row r="311" spans="1:8" x14ac:dyDescent="0.25">
      <c r="A311" s="31"/>
      <c r="B311" s="33"/>
      <c r="C311" s="46"/>
      <c r="D311" s="34"/>
      <c r="E311" s="11"/>
      <c r="F311" s="33"/>
      <c r="G311" s="11"/>
      <c r="H311" s="11"/>
    </row>
    <row r="312" spans="1:8" x14ac:dyDescent="0.25">
      <c r="A312" s="31"/>
      <c r="B312" s="33"/>
      <c r="C312" s="46"/>
      <c r="D312" s="34"/>
      <c r="E312" s="11"/>
      <c r="F312" s="33"/>
      <c r="G312" s="11"/>
      <c r="H312" s="11"/>
    </row>
    <row r="313" spans="1:8" x14ac:dyDescent="0.25">
      <c r="A313" s="31"/>
      <c r="B313" s="33"/>
      <c r="C313" s="46"/>
      <c r="D313" s="34"/>
      <c r="E313" s="11"/>
      <c r="F313" s="33"/>
      <c r="G313" s="11"/>
      <c r="H313" s="11"/>
    </row>
    <row r="314" spans="1:8" x14ac:dyDescent="0.25">
      <c r="A314" s="31"/>
      <c r="B314" s="33"/>
      <c r="C314" s="46"/>
      <c r="D314" s="34"/>
      <c r="E314" s="11"/>
      <c r="F314" s="33"/>
      <c r="G314" s="11"/>
      <c r="H314" s="11"/>
    </row>
    <row r="315" spans="1:8" x14ac:dyDescent="0.25">
      <c r="A315" s="31"/>
      <c r="B315" s="33"/>
      <c r="C315" s="46"/>
      <c r="D315" s="34"/>
      <c r="E315" s="11"/>
      <c r="F315" s="33"/>
      <c r="G315" s="11"/>
      <c r="H315" s="11"/>
    </row>
    <row r="316" spans="1:8" x14ac:dyDescent="0.25">
      <c r="A316" s="31"/>
      <c r="B316" s="33"/>
      <c r="C316" s="46"/>
      <c r="D316" s="34"/>
      <c r="E316" s="11"/>
      <c r="F316" s="33"/>
      <c r="G316" s="11"/>
      <c r="H316" s="11"/>
    </row>
    <row r="317" spans="1:8" x14ac:dyDescent="0.25">
      <c r="A317" s="31"/>
      <c r="B317" s="33"/>
      <c r="C317" s="46"/>
      <c r="D317" s="34"/>
      <c r="E317" s="11"/>
      <c r="F317" s="33"/>
      <c r="G317" s="11"/>
      <c r="H317" s="11"/>
    </row>
    <row r="318" spans="1:8" x14ac:dyDescent="0.25">
      <c r="A318" s="31"/>
      <c r="B318" s="33"/>
      <c r="C318" s="46"/>
      <c r="D318" s="34"/>
      <c r="E318" s="11"/>
      <c r="F318" s="33"/>
      <c r="G318" s="11"/>
      <c r="H318" s="11"/>
    </row>
    <row r="319" spans="1:8" x14ac:dyDescent="0.25">
      <c r="A319" s="31"/>
      <c r="B319" s="33"/>
      <c r="C319" s="46"/>
      <c r="D319" s="34"/>
      <c r="E319" s="11"/>
      <c r="F319" s="33"/>
      <c r="G319" s="11"/>
      <c r="H319" s="11"/>
    </row>
    <row r="320" spans="1:8" x14ac:dyDescent="0.25">
      <c r="A320" s="31"/>
      <c r="B320" s="33"/>
      <c r="C320" s="46"/>
      <c r="D320" s="34"/>
      <c r="E320" s="11"/>
      <c r="F320" s="33"/>
      <c r="G320" s="11"/>
      <c r="H320" s="11"/>
    </row>
    <row r="321" spans="1:8" x14ac:dyDescent="0.25">
      <c r="A321" s="31"/>
      <c r="B321" s="33"/>
      <c r="C321" s="46"/>
      <c r="D321" s="34"/>
      <c r="E321" s="11"/>
      <c r="F321" s="33"/>
      <c r="G321" s="11"/>
      <c r="H321" s="11"/>
    </row>
    <row r="322" spans="1:8" x14ac:dyDescent="0.25">
      <c r="A322" s="31"/>
      <c r="B322" s="33"/>
      <c r="C322" s="46"/>
      <c r="D322" s="34"/>
      <c r="E322" s="11"/>
      <c r="F322" s="33"/>
      <c r="G322" s="11"/>
      <c r="H322" s="11"/>
    </row>
    <row r="323" spans="1:8" x14ac:dyDescent="0.25">
      <c r="A323" s="31"/>
      <c r="B323" s="33"/>
      <c r="C323" s="46"/>
      <c r="D323" s="34"/>
      <c r="E323" s="11"/>
      <c r="F323" s="33"/>
      <c r="G323" s="11"/>
      <c r="H323" s="11"/>
    </row>
    <row r="324" spans="1:8" x14ac:dyDescent="0.25">
      <c r="A324" s="31"/>
      <c r="B324" s="33"/>
      <c r="C324" s="46"/>
      <c r="D324" s="34"/>
      <c r="E324" s="11"/>
      <c r="F324" s="33"/>
      <c r="G324" s="11"/>
      <c r="H324" s="11"/>
    </row>
    <row r="325" spans="1:8" x14ac:dyDescent="0.25">
      <c r="A325" s="31"/>
      <c r="B325" s="33"/>
      <c r="C325" s="46"/>
      <c r="D325" s="34"/>
      <c r="E325" s="11"/>
      <c r="F325" s="33"/>
      <c r="G325" s="11"/>
      <c r="H325" s="11"/>
    </row>
    <row r="326" spans="1:8" x14ac:dyDescent="0.25">
      <c r="A326" s="31"/>
      <c r="B326" s="33"/>
      <c r="C326" s="46"/>
      <c r="D326" s="34"/>
      <c r="E326" s="11"/>
      <c r="F326" s="33"/>
      <c r="G326" s="11"/>
      <c r="H326" s="11"/>
    </row>
    <row r="327" spans="1:8" x14ac:dyDescent="0.25">
      <c r="A327" s="31"/>
      <c r="B327" s="33"/>
      <c r="C327" s="46"/>
      <c r="D327" s="34"/>
      <c r="E327" s="11"/>
      <c r="F327" s="33"/>
      <c r="G327" s="11"/>
      <c r="H327" s="11"/>
    </row>
    <row r="328" spans="1:8" x14ac:dyDescent="0.25">
      <c r="A328" s="31"/>
      <c r="B328" s="33"/>
      <c r="C328" s="46"/>
      <c r="D328" s="34"/>
      <c r="E328" s="11"/>
      <c r="F328" s="33"/>
      <c r="G328" s="11"/>
      <c r="H328" s="11"/>
    </row>
    <row r="329" spans="1:8" x14ac:dyDescent="0.25">
      <c r="A329" s="31"/>
      <c r="B329" s="33"/>
      <c r="C329" s="46"/>
      <c r="D329" s="34"/>
      <c r="E329" s="11"/>
      <c r="F329" s="33"/>
      <c r="G329" s="11"/>
      <c r="H329" s="11"/>
    </row>
    <row r="330" spans="1:8" x14ac:dyDescent="0.25">
      <c r="A330" s="31"/>
      <c r="B330" s="33"/>
      <c r="C330" s="46"/>
      <c r="D330" s="34"/>
      <c r="E330" s="11"/>
      <c r="F330" s="33"/>
      <c r="G330" s="11"/>
      <c r="H330" s="11"/>
    </row>
    <row r="331" spans="1:8" x14ac:dyDescent="0.25">
      <c r="A331" s="31"/>
      <c r="B331" s="33"/>
      <c r="C331" s="46"/>
      <c r="D331" s="34"/>
      <c r="E331" s="11"/>
      <c r="F331" s="33"/>
      <c r="G331" s="11"/>
      <c r="H331" s="11"/>
    </row>
    <row r="332" spans="1:8" x14ac:dyDescent="0.25">
      <c r="A332" s="31"/>
      <c r="B332" s="33"/>
      <c r="C332" s="46"/>
      <c r="D332" s="34"/>
      <c r="E332" s="11"/>
      <c r="F332" s="33"/>
      <c r="G332" s="11"/>
      <c r="H332" s="11"/>
    </row>
    <row r="333" spans="1:8" x14ac:dyDescent="0.25">
      <c r="A333" s="31"/>
      <c r="B333" s="33"/>
      <c r="C333" s="46"/>
      <c r="D333" s="34"/>
      <c r="E333" s="11"/>
      <c r="F333" s="33"/>
      <c r="G333" s="11"/>
      <c r="H333" s="11"/>
    </row>
    <row r="334" spans="1:8" x14ac:dyDescent="0.25">
      <c r="A334" s="31"/>
      <c r="B334" s="33"/>
      <c r="C334" s="46"/>
      <c r="D334" s="34"/>
      <c r="E334" s="11"/>
      <c r="F334" s="33"/>
      <c r="G334" s="11"/>
      <c r="H334" s="11"/>
    </row>
    <row r="335" spans="1:8" x14ac:dyDescent="0.25">
      <c r="A335" s="31"/>
      <c r="B335" s="33"/>
      <c r="C335" s="46"/>
      <c r="D335" s="34"/>
      <c r="E335" s="11"/>
      <c r="F335" s="33"/>
      <c r="G335" s="11"/>
      <c r="H335" s="11"/>
    </row>
    <row r="336" spans="1:8" x14ac:dyDescent="0.25">
      <c r="A336" s="31"/>
      <c r="B336" s="33"/>
      <c r="C336" s="46"/>
      <c r="D336" s="34"/>
      <c r="E336" s="11"/>
      <c r="F336" s="33"/>
      <c r="G336" s="11"/>
      <c r="H336" s="11"/>
    </row>
    <row r="337" spans="1:8" x14ac:dyDescent="0.25">
      <c r="A337" s="31"/>
      <c r="B337" s="33"/>
      <c r="C337" s="46"/>
      <c r="D337" s="34"/>
      <c r="E337" s="11"/>
      <c r="F337" s="33"/>
      <c r="G337" s="11"/>
      <c r="H337" s="11"/>
    </row>
    <row r="338" spans="1:8" x14ac:dyDescent="0.25">
      <c r="A338" s="31"/>
      <c r="B338" s="33"/>
      <c r="C338" s="46"/>
      <c r="D338" s="34"/>
      <c r="E338" s="11"/>
      <c r="F338" s="33"/>
      <c r="G338" s="11"/>
      <c r="H338" s="11"/>
    </row>
    <row r="339" spans="1:8" x14ac:dyDescent="0.25">
      <c r="A339" s="31"/>
      <c r="B339" s="33"/>
      <c r="C339" s="46"/>
      <c r="D339" s="34"/>
      <c r="E339" s="11"/>
      <c r="F339" s="33"/>
      <c r="G339" s="11"/>
      <c r="H339" s="11"/>
    </row>
    <row r="340" spans="1:8" x14ac:dyDescent="0.25">
      <c r="A340" s="31"/>
      <c r="B340" s="33"/>
      <c r="C340" s="46"/>
      <c r="D340" s="34"/>
      <c r="E340" s="11"/>
      <c r="F340" s="33"/>
      <c r="G340" s="11"/>
      <c r="H340" s="11"/>
    </row>
    <row r="341" spans="1:8" x14ac:dyDescent="0.25">
      <c r="A341" s="31"/>
      <c r="B341" s="33"/>
      <c r="C341" s="46"/>
      <c r="D341" s="34"/>
      <c r="E341" s="11"/>
      <c r="F341" s="33"/>
      <c r="G341" s="11"/>
      <c r="H341" s="11"/>
    </row>
    <row r="342" spans="1:8" x14ac:dyDescent="0.25">
      <c r="A342" s="31"/>
      <c r="B342" s="33"/>
      <c r="C342" s="46"/>
      <c r="D342" s="34"/>
      <c r="E342" s="11"/>
      <c r="F342" s="33"/>
      <c r="G342" s="11"/>
      <c r="H342" s="11"/>
    </row>
    <row r="343" spans="1:8" x14ac:dyDescent="0.25">
      <c r="A343" s="31"/>
      <c r="B343" s="33"/>
      <c r="C343" s="46"/>
      <c r="D343" s="34"/>
      <c r="E343" s="11"/>
      <c r="F343" s="33"/>
      <c r="G343" s="11"/>
      <c r="H343" s="11"/>
    </row>
    <row r="344" spans="1:8" x14ac:dyDescent="0.25">
      <c r="A344" s="31"/>
      <c r="B344" s="33"/>
      <c r="C344" s="46"/>
      <c r="D344" s="34"/>
      <c r="E344" s="11"/>
      <c r="F344" s="33"/>
      <c r="G344" s="11"/>
      <c r="H344" s="11"/>
    </row>
    <row r="345" spans="1:8" x14ac:dyDescent="0.25">
      <c r="A345" s="31"/>
      <c r="B345" s="33"/>
      <c r="C345" s="46"/>
      <c r="D345" s="34"/>
      <c r="E345" s="11"/>
      <c r="F345" s="33"/>
      <c r="G345" s="11"/>
      <c r="H345" s="11"/>
    </row>
    <row r="346" spans="1:8" x14ac:dyDescent="0.25">
      <c r="A346" s="31"/>
      <c r="B346" s="33"/>
      <c r="C346" s="46"/>
      <c r="D346" s="34"/>
      <c r="E346" s="11"/>
      <c r="F346" s="33"/>
      <c r="G346" s="11"/>
      <c r="H346" s="11"/>
    </row>
    <row r="347" spans="1:8" x14ac:dyDescent="0.25">
      <c r="A347" s="31"/>
      <c r="B347" s="33"/>
      <c r="C347" s="46"/>
      <c r="D347" s="34"/>
      <c r="E347" s="11"/>
      <c r="F347" s="33"/>
      <c r="G347" s="11"/>
      <c r="H347" s="11"/>
    </row>
    <row r="348" spans="1:8" x14ac:dyDescent="0.25">
      <c r="A348" s="31"/>
      <c r="B348" s="33"/>
      <c r="C348" s="46"/>
      <c r="D348" s="34"/>
      <c r="E348" s="11"/>
      <c r="F348" s="33"/>
      <c r="G348" s="11"/>
      <c r="H348" s="11"/>
    </row>
    <row r="349" spans="1:8" x14ac:dyDescent="0.25">
      <c r="A349" s="31"/>
      <c r="B349" s="33"/>
      <c r="C349" s="46"/>
      <c r="D349" s="34"/>
      <c r="E349" s="11"/>
      <c r="F349" s="33"/>
      <c r="G349" s="11"/>
      <c r="H349" s="11"/>
    </row>
    <row r="350" spans="1:8" x14ac:dyDescent="0.25">
      <c r="A350" s="31"/>
      <c r="B350" s="33"/>
      <c r="C350" s="46"/>
      <c r="D350" s="34"/>
      <c r="E350" s="11"/>
      <c r="F350" s="33"/>
      <c r="G350" s="11"/>
      <c r="H350" s="11"/>
    </row>
    <row r="351" spans="1:8" x14ac:dyDescent="0.25">
      <c r="A351" s="31"/>
      <c r="B351" s="33"/>
      <c r="C351" s="46"/>
      <c r="D351" s="34"/>
      <c r="E351" s="11"/>
      <c r="F351" s="33"/>
      <c r="G351" s="11"/>
      <c r="H351" s="11"/>
    </row>
    <row r="352" spans="1:8" x14ac:dyDescent="0.25">
      <c r="A352" s="31"/>
      <c r="B352" s="33"/>
      <c r="C352" s="46"/>
      <c r="D352" s="34"/>
      <c r="E352" s="11"/>
      <c r="F352" s="33"/>
      <c r="G352" s="11"/>
      <c r="H352" s="11"/>
    </row>
    <row r="353" spans="1:8" x14ac:dyDescent="0.25">
      <c r="A353" s="31"/>
      <c r="B353" s="33"/>
      <c r="C353" s="46"/>
      <c r="D353" s="34"/>
      <c r="E353" s="11"/>
      <c r="F353" s="33"/>
      <c r="G353" s="11"/>
      <c r="H353" s="11"/>
    </row>
    <row r="354" spans="1:8" x14ac:dyDescent="0.25">
      <c r="A354" s="31"/>
      <c r="B354" s="33"/>
      <c r="C354" s="46"/>
      <c r="D354" s="34"/>
      <c r="E354" s="11"/>
      <c r="F354" s="33"/>
      <c r="G354" s="11"/>
      <c r="H354" s="11"/>
    </row>
    <row r="355" spans="1:8" x14ac:dyDescent="0.25">
      <c r="A355" s="31"/>
      <c r="B355" s="33"/>
      <c r="C355" s="46"/>
      <c r="D355" s="34"/>
      <c r="E355" s="11"/>
      <c r="F355" s="33"/>
      <c r="G355" s="11"/>
      <c r="H355" s="11"/>
    </row>
    <row r="356" spans="1:8" x14ac:dyDescent="0.25">
      <c r="A356" s="31"/>
      <c r="B356" s="33"/>
      <c r="C356" s="46"/>
      <c r="D356" s="34"/>
      <c r="E356" s="11"/>
      <c r="F356" s="33"/>
      <c r="G356" s="11"/>
      <c r="H356" s="11"/>
    </row>
    <row r="357" spans="1:8" x14ac:dyDescent="0.25">
      <c r="A357" s="31"/>
      <c r="B357" s="33"/>
      <c r="C357" s="46"/>
      <c r="D357" s="34"/>
      <c r="E357" s="11"/>
      <c r="F357" s="33"/>
      <c r="G357" s="11"/>
      <c r="H357" s="11"/>
    </row>
    <row r="358" spans="1:8" x14ac:dyDescent="0.25">
      <c r="A358" s="31"/>
      <c r="B358" s="33"/>
      <c r="C358" s="46"/>
      <c r="D358" s="34"/>
      <c r="E358" s="11"/>
      <c r="F358" s="33"/>
      <c r="G358" s="11"/>
      <c r="H358" s="11"/>
    </row>
    <row r="359" spans="1:8" x14ac:dyDescent="0.25">
      <c r="A359" s="31"/>
      <c r="B359" s="33"/>
      <c r="C359" s="46"/>
      <c r="D359" s="34"/>
      <c r="E359" s="11"/>
      <c r="F359" s="33"/>
      <c r="G359" s="11"/>
      <c r="H359" s="11"/>
    </row>
    <row r="360" spans="1:8" x14ac:dyDescent="0.25">
      <c r="A360" s="31"/>
      <c r="B360" s="33"/>
      <c r="C360" s="46"/>
      <c r="D360" s="34"/>
      <c r="E360" s="11"/>
      <c r="F360" s="33"/>
      <c r="G360" s="11"/>
      <c r="H360" s="11"/>
    </row>
    <row r="361" spans="1:8" x14ac:dyDescent="0.25">
      <c r="A361" s="31"/>
      <c r="B361" s="33"/>
      <c r="C361" s="46"/>
      <c r="D361" s="34"/>
      <c r="E361" s="11"/>
      <c r="F361" s="33"/>
      <c r="G361" s="11"/>
      <c r="H361" s="11"/>
    </row>
    <row r="362" spans="1:8" x14ac:dyDescent="0.25">
      <c r="A362" s="31"/>
      <c r="B362" s="33"/>
      <c r="C362" s="46"/>
      <c r="D362" s="34"/>
      <c r="E362" s="11"/>
      <c r="F362" s="33"/>
      <c r="G362" s="11"/>
      <c r="H362" s="11"/>
    </row>
    <row r="363" spans="1:8" x14ac:dyDescent="0.25">
      <c r="A363" s="31"/>
      <c r="B363" s="33"/>
      <c r="C363" s="46"/>
      <c r="D363" s="34"/>
      <c r="E363" s="11"/>
      <c r="F363" s="33"/>
      <c r="G363" s="11"/>
      <c r="H363" s="11"/>
    </row>
    <row r="364" spans="1:8" x14ac:dyDescent="0.25">
      <c r="A364" s="31"/>
      <c r="B364" s="33"/>
      <c r="C364" s="46"/>
      <c r="D364" s="34"/>
      <c r="E364" s="11"/>
      <c r="F364" s="33"/>
      <c r="G364" s="11"/>
      <c r="H364" s="11"/>
    </row>
    <row r="365" spans="1:8" x14ac:dyDescent="0.25">
      <c r="A365" s="31"/>
      <c r="B365" s="33"/>
      <c r="C365" s="46"/>
      <c r="D365" s="34"/>
      <c r="E365" s="11"/>
      <c r="F365" s="33"/>
      <c r="G365" s="11"/>
      <c r="H365" s="11"/>
    </row>
    <row r="366" spans="1:8" x14ac:dyDescent="0.25">
      <c r="A366" s="31"/>
      <c r="B366" s="33"/>
      <c r="C366" s="46"/>
      <c r="D366" s="34"/>
      <c r="E366" s="11"/>
      <c r="F366" s="33"/>
      <c r="G366" s="11"/>
      <c r="H366" s="11"/>
    </row>
    <row r="367" spans="1:8" x14ac:dyDescent="0.25">
      <c r="A367" s="31"/>
      <c r="B367" s="33"/>
      <c r="C367" s="46"/>
      <c r="D367" s="34"/>
      <c r="E367" s="11"/>
      <c r="F367" s="33"/>
      <c r="G367" s="11"/>
      <c r="H367" s="11"/>
    </row>
    <row r="368" spans="1:8" x14ac:dyDescent="0.25">
      <c r="A368" s="31"/>
      <c r="B368" s="33"/>
      <c r="C368" s="46"/>
      <c r="D368" s="34"/>
      <c r="E368" s="11"/>
      <c r="F368" s="33"/>
      <c r="G368" s="11"/>
      <c r="H368" s="11"/>
    </row>
    <row r="369" spans="1:8" x14ac:dyDescent="0.25">
      <c r="A369" s="31"/>
      <c r="B369" s="33"/>
      <c r="C369" s="46"/>
      <c r="D369" s="34"/>
      <c r="E369" s="11"/>
      <c r="F369" s="33"/>
      <c r="G369" s="11"/>
      <c r="H369" s="11"/>
    </row>
    <row r="370" spans="1:8" x14ac:dyDescent="0.25">
      <c r="A370" s="31"/>
      <c r="B370" s="33"/>
      <c r="C370" s="46"/>
      <c r="D370" s="34"/>
      <c r="E370" s="11"/>
      <c r="F370" s="33"/>
      <c r="G370" s="11"/>
      <c r="H370" s="11"/>
    </row>
    <row r="371" spans="1:8" x14ac:dyDescent="0.25">
      <c r="A371" s="31"/>
      <c r="B371" s="33"/>
      <c r="C371" s="46"/>
      <c r="D371" s="34"/>
      <c r="E371" s="11"/>
      <c r="F371" s="33"/>
      <c r="G371" s="11"/>
      <c r="H371" s="11"/>
    </row>
    <row r="372" spans="1:8" x14ac:dyDescent="0.25">
      <c r="A372" s="31"/>
      <c r="B372" s="33"/>
      <c r="C372" s="46"/>
      <c r="D372" s="34"/>
      <c r="E372" s="11"/>
      <c r="F372" s="33"/>
      <c r="G372" s="11"/>
      <c r="H372" s="11"/>
    </row>
    <row r="373" spans="1:8" x14ac:dyDescent="0.25">
      <c r="A373" s="31"/>
      <c r="B373" s="33"/>
      <c r="C373" s="46"/>
      <c r="D373" s="34"/>
      <c r="E373" s="11"/>
      <c r="F373" s="33"/>
      <c r="G373" s="11"/>
      <c r="H373" s="11"/>
    </row>
    <row r="374" spans="1:8" x14ac:dyDescent="0.25">
      <c r="A374" s="31"/>
      <c r="B374" s="33"/>
      <c r="C374" s="46"/>
      <c r="D374" s="34"/>
      <c r="E374" s="11"/>
      <c r="F374" s="33"/>
      <c r="G374" s="11"/>
      <c r="H374" s="11"/>
    </row>
    <row r="375" spans="1:8" x14ac:dyDescent="0.25">
      <c r="A375" s="31"/>
      <c r="B375" s="33"/>
      <c r="C375" s="46"/>
      <c r="D375" s="34"/>
      <c r="E375" s="11"/>
      <c r="F375" s="33"/>
      <c r="G375" s="11"/>
      <c r="H375" s="11"/>
    </row>
    <row r="376" spans="1:8" x14ac:dyDescent="0.25">
      <c r="A376" s="31"/>
      <c r="B376" s="33"/>
      <c r="C376" s="46"/>
      <c r="D376" s="34"/>
      <c r="E376" s="11"/>
      <c r="F376" s="33"/>
      <c r="G376" s="11"/>
      <c r="H376" s="11"/>
    </row>
    <row r="377" spans="1:8" x14ac:dyDescent="0.25">
      <c r="A377" s="31"/>
      <c r="B377" s="33"/>
      <c r="C377" s="46"/>
      <c r="D377" s="34"/>
      <c r="E377" s="11"/>
      <c r="F377" s="33"/>
      <c r="G377" s="11"/>
      <c r="H377" s="11"/>
    </row>
    <row r="378" spans="1:8" x14ac:dyDescent="0.25">
      <c r="A378" s="31"/>
      <c r="B378" s="33"/>
      <c r="C378" s="46"/>
      <c r="D378" s="34"/>
      <c r="E378" s="11"/>
      <c r="F378" s="33"/>
      <c r="G378" s="11"/>
      <c r="H378" s="11"/>
    </row>
    <row r="379" spans="1:8" x14ac:dyDescent="0.25">
      <c r="A379" s="31"/>
      <c r="B379" s="33"/>
      <c r="C379" s="46"/>
      <c r="D379" s="34"/>
      <c r="E379" s="11"/>
      <c r="F379" s="33"/>
      <c r="G379" s="11"/>
      <c r="H379" s="11"/>
    </row>
    <row r="380" spans="1:8" x14ac:dyDescent="0.25">
      <c r="A380" s="31"/>
      <c r="B380" s="33"/>
      <c r="C380" s="46"/>
      <c r="D380" s="34"/>
      <c r="E380" s="11"/>
      <c r="F380" s="33"/>
      <c r="G380" s="11"/>
      <c r="H380" s="11"/>
    </row>
    <row r="381" spans="1:8" x14ac:dyDescent="0.25">
      <c r="A381" s="31"/>
      <c r="B381" s="33"/>
      <c r="C381" s="46"/>
      <c r="D381" s="34"/>
      <c r="E381" s="11"/>
      <c r="F381" s="33"/>
      <c r="G381" s="11"/>
      <c r="H381" s="11"/>
    </row>
    <row r="382" spans="1:8" x14ac:dyDescent="0.25">
      <c r="A382" s="31"/>
      <c r="B382" s="33"/>
      <c r="C382" s="46"/>
      <c r="D382" s="34"/>
      <c r="E382" s="11"/>
      <c r="F382" s="33"/>
      <c r="G382" s="11"/>
      <c r="H382" s="11"/>
    </row>
    <row r="383" spans="1:8" x14ac:dyDescent="0.25">
      <c r="A383" s="31"/>
      <c r="B383" s="33"/>
      <c r="C383" s="46"/>
      <c r="D383" s="34"/>
      <c r="E383" s="11"/>
      <c r="F383" s="33"/>
      <c r="G383" s="11"/>
      <c r="H383" s="11"/>
    </row>
    <row r="384" spans="1:8" x14ac:dyDescent="0.25">
      <c r="A384" s="31"/>
      <c r="B384" s="33"/>
      <c r="C384" s="46"/>
      <c r="D384" s="34"/>
      <c r="E384" s="11"/>
      <c r="F384" s="33"/>
      <c r="G384" s="11"/>
      <c r="H384" s="11"/>
    </row>
    <row r="385" spans="1:8" x14ac:dyDescent="0.25">
      <c r="A385" s="31"/>
      <c r="B385" s="33"/>
      <c r="C385" s="46"/>
      <c r="D385" s="34"/>
      <c r="E385" s="11"/>
      <c r="F385" s="33"/>
      <c r="G385" s="11"/>
      <c r="H385" s="11"/>
    </row>
    <row r="386" spans="1:8" x14ac:dyDescent="0.25">
      <c r="A386" s="31"/>
      <c r="B386" s="33"/>
      <c r="C386" s="46"/>
      <c r="D386" s="34"/>
      <c r="E386" s="11"/>
      <c r="F386" s="33"/>
      <c r="G386" s="11"/>
      <c r="H386" s="11"/>
    </row>
    <row r="387" spans="1:8" x14ac:dyDescent="0.25">
      <c r="A387" s="31"/>
      <c r="B387" s="33"/>
      <c r="C387" s="46"/>
      <c r="D387" s="34"/>
      <c r="E387" s="11"/>
      <c r="F387" s="33"/>
      <c r="G387" s="11"/>
      <c r="H387" s="11"/>
    </row>
    <row r="388" spans="1:8" x14ac:dyDescent="0.25">
      <c r="A388" s="31"/>
      <c r="B388" s="33"/>
      <c r="C388" s="46"/>
      <c r="D388" s="34"/>
      <c r="E388" s="11"/>
      <c r="F388" s="33"/>
      <c r="G388" s="11"/>
      <c r="H388" s="11"/>
    </row>
    <row r="389" spans="1:8" x14ac:dyDescent="0.25">
      <c r="A389" s="31"/>
      <c r="B389" s="33"/>
      <c r="C389" s="46"/>
      <c r="D389" s="34"/>
      <c r="E389" s="11"/>
      <c r="F389" s="33"/>
      <c r="G389" s="11"/>
      <c r="H389" s="11"/>
    </row>
    <row r="390" spans="1:8" x14ac:dyDescent="0.25">
      <c r="A390" s="31"/>
      <c r="B390" s="33"/>
      <c r="C390" s="46"/>
      <c r="D390" s="34"/>
      <c r="E390" s="11"/>
      <c r="F390" s="33"/>
      <c r="G390" s="11"/>
      <c r="H390" s="11"/>
    </row>
    <row r="391" spans="1:8" x14ac:dyDescent="0.25">
      <c r="A391" s="31"/>
      <c r="B391" s="33"/>
      <c r="C391" s="46"/>
      <c r="D391" s="34"/>
      <c r="E391" s="11"/>
      <c r="F391" s="33"/>
      <c r="G391" s="11"/>
      <c r="H391" s="11"/>
    </row>
    <row r="392" spans="1:8" x14ac:dyDescent="0.25">
      <c r="A392" s="31"/>
      <c r="B392" s="33"/>
      <c r="C392" s="46"/>
      <c r="D392" s="34"/>
      <c r="E392" s="11"/>
      <c r="F392" s="33"/>
      <c r="G392" s="11"/>
      <c r="H392" s="11"/>
    </row>
    <row r="393" spans="1:8" x14ac:dyDescent="0.25">
      <c r="A393" s="31"/>
      <c r="B393" s="33"/>
      <c r="C393" s="46"/>
      <c r="D393" s="34"/>
      <c r="E393" s="11"/>
      <c r="F393" s="33"/>
      <c r="G393" s="11"/>
      <c r="H393" s="11"/>
    </row>
    <row r="394" spans="1:8" x14ac:dyDescent="0.25">
      <c r="A394" s="31"/>
      <c r="B394" s="33"/>
      <c r="C394" s="46"/>
      <c r="D394" s="34"/>
      <c r="E394" s="11"/>
      <c r="F394" s="33"/>
      <c r="G394" s="11"/>
      <c r="H394" s="11"/>
    </row>
    <row r="395" spans="1:8" x14ac:dyDescent="0.25">
      <c r="A395" s="31"/>
      <c r="B395" s="33"/>
      <c r="C395" s="46"/>
      <c r="D395" s="34"/>
      <c r="E395" s="11"/>
      <c r="F395" s="33"/>
      <c r="G395" s="11"/>
      <c r="H395" s="11"/>
    </row>
    <row r="396" spans="1:8" x14ac:dyDescent="0.25">
      <c r="A396" s="31"/>
      <c r="B396" s="33"/>
      <c r="C396" s="46"/>
      <c r="D396" s="34"/>
      <c r="E396" s="11"/>
      <c r="F396" s="33"/>
      <c r="G396" s="11"/>
      <c r="H396" s="11"/>
    </row>
    <row r="397" spans="1:8" x14ac:dyDescent="0.25">
      <c r="A397" s="31"/>
      <c r="B397" s="33"/>
      <c r="C397" s="46"/>
      <c r="D397" s="34"/>
      <c r="E397" s="11"/>
      <c r="F397" s="33"/>
      <c r="G397" s="11"/>
      <c r="H397" s="11"/>
    </row>
    <row r="398" spans="1:8" x14ac:dyDescent="0.25">
      <c r="A398" s="31"/>
      <c r="B398" s="33"/>
      <c r="C398" s="46"/>
      <c r="D398" s="34"/>
      <c r="E398" s="11"/>
      <c r="F398" s="33"/>
      <c r="G398" s="11"/>
      <c r="H398" s="11"/>
    </row>
    <row r="399" spans="1:8" x14ac:dyDescent="0.25">
      <c r="A399" s="31"/>
      <c r="B399" s="33"/>
      <c r="C399" s="46"/>
      <c r="D399" s="34"/>
      <c r="E399" s="11"/>
      <c r="F399" s="33"/>
      <c r="G399" s="11"/>
      <c r="H399" s="11"/>
    </row>
    <row r="400" spans="1:8" x14ac:dyDescent="0.25">
      <c r="A400" s="31"/>
      <c r="B400" s="33"/>
      <c r="C400" s="46"/>
      <c r="D400" s="34"/>
      <c r="E400" s="11"/>
      <c r="F400" s="33"/>
      <c r="G400" s="11"/>
      <c r="H400" s="11"/>
    </row>
    <row r="401" spans="1:8" x14ac:dyDescent="0.25">
      <c r="A401" s="31"/>
      <c r="B401" s="33"/>
      <c r="C401" s="46"/>
      <c r="D401" s="34"/>
      <c r="E401" s="11"/>
      <c r="F401" s="33"/>
      <c r="G401" s="11"/>
      <c r="H401" s="11"/>
    </row>
    <row r="402" spans="1:8" x14ac:dyDescent="0.25">
      <c r="A402" s="31"/>
      <c r="B402" s="33"/>
      <c r="C402" s="46"/>
      <c r="D402" s="34"/>
      <c r="E402" s="11"/>
      <c r="F402" s="33"/>
      <c r="G402" s="11"/>
      <c r="H402" s="11"/>
    </row>
    <row r="403" spans="1:8" x14ac:dyDescent="0.25">
      <c r="A403" s="31"/>
      <c r="B403" s="33"/>
      <c r="C403" s="46"/>
      <c r="D403" s="34"/>
      <c r="E403" s="11"/>
      <c r="F403" s="33"/>
      <c r="G403" s="11"/>
      <c r="H403" s="11"/>
    </row>
    <row r="404" spans="1:8" x14ac:dyDescent="0.25">
      <c r="A404" s="31"/>
      <c r="B404" s="33"/>
      <c r="C404" s="46"/>
      <c r="D404" s="34"/>
      <c r="E404" s="11"/>
      <c r="F404" s="33"/>
      <c r="G404" s="11"/>
      <c r="H404" s="11"/>
    </row>
    <row r="405" spans="1:8" x14ac:dyDescent="0.25">
      <c r="A405" s="31"/>
      <c r="B405" s="33"/>
      <c r="C405" s="46"/>
      <c r="D405" s="34"/>
      <c r="E405" s="11"/>
      <c r="F405" s="33"/>
      <c r="G405" s="11"/>
      <c r="H405" s="11"/>
    </row>
    <row r="406" spans="1:8" x14ac:dyDescent="0.25">
      <c r="A406" s="31"/>
      <c r="B406" s="33"/>
      <c r="C406" s="46"/>
      <c r="D406" s="34"/>
      <c r="E406" s="11"/>
      <c r="F406" s="33"/>
      <c r="G406" s="11"/>
      <c r="H406" s="11"/>
    </row>
    <row r="407" spans="1:8" x14ac:dyDescent="0.25">
      <c r="A407" s="31"/>
      <c r="B407" s="33"/>
      <c r="C407" s="46"/>
      <c r="D407" s="34"/>
      <c r="E407" s="11"/>
      <c r="F407" s="33"/>
      <c r="G407" s="11"/>
      <c r="H407" s="11"/>
    </row>
    <row r="408" spans="1:8" x14ac:dyDescent="0.25">
      <c r="A408" s="31"/>
      <c r="B408" s="33"/>
      <c r="C408" s="46"/>
      <c r="D408" s="34"/>
      <c r="E408" s="11"/>
      <c r="F408" s="33"/>
      <c r="G408" s="11"/>
      <c r="H408" s="11"/>
    </row>
    <row r="409" spans="1:8" x14ac:dyDescent="0.25">
      <c r="A409" s="31"/>
      <c r="B409" s="33"/>
      <c r="C409" s="46"/>
      <c r="D409" s="34"/>
      <c r="E409" s="11"/>
      <c r="F409" s="33"/>
      <c r="G409" s="11"/>
      <c r="H409" s="11"/>
    </row>
    <row r="410" spans="1:8" x14ac:dyDescent="0.25">
      <c r="A410" s="31"/>
      <c r="B410" s="33"/>
      <c r="C410" s="46"/>
      <c r="D410" s="34"/>
      <c r="E410" s="11"/>
      <c r="F410" s="33"/>
      <c r="G410" s="11"/>
      <c r="H410" s="11"/>
    </row>
    <row r="411" spans="1:8" x14ac:dyDescent="0.25">
      <c r="A411" s="31"/>
      <c r="B411" s="33"/>
      <c r="C411" s="46"/>
      <c r="D411" s="34"/>
      <c r="E411" s="11"/>
      <c r="F411" s="33"/>
      <c r="G411" s="11"/>
      <c r="H411" s="11"/>
    </row>
    <row r="412" spans="1:8" x14ac:dyDescent="0.25">
      <c r="A412" s="31"/>
      <c r="B412" s="33"/>
      <c r="C412" s="46"/>
      <c r="D412" s="34"/>
      <c r="E412" s="11"/>
      <c r="F412" s="33"/>
      <c r="G412" s="11"/>
      <c r="H412" s="11"/>
    </row>
    <row r="413" spans="1:8" x14ac:dyDescent="0.25">
      <c r="A413" s="31"/>
      <c r="B413" s="33"/>
      <c r="C413" s="46"/>
      <c r="D413" s="34"/>
      <c r="E413" s="11"/>
      <c r="F413" s="33"/>
      <c r="G413" s="11"/>
      <c r="H413" s="11"/>
    </row>
    <row r="414" spans="1:8" x14ac:dyDescent="0.25">
      <c r="A414" s="31"/>
      <c r="B414" s="33"/>
      <c r="C414" s="46"/>
      <c r="D414" s="34"/>
      <c r="E414" s="11"/>
      <c r="F414" s="33"/>
      <c r="G414" s="11"/>
      <c r="H414" s="11"/>
    </row>
    <row r="415" spans="1:8" x14ac:dyDescent="0.25">
      <c r="A415" s="31"/>
      <c r="B415" s="33"/>
      <c r="C415" s="46"/>
      <c r="D415" s="34"/>
      <c r="E415" s="11"/>
      <c r="F415" s="33"/>
      <c r="G415" s="11"/>
      <c r="H415" s="11"/>
    </row>
    <row r="416" spans="1:8" x14ac:dyDescent="0.25">
      <c r="A416" s="31"/>
      <c r="B416" s="33"/>
      <c r="C416" s="46"/>
      <c r="D416" s="34"/>
      <c r="E416" s="11"/>
      <c r="F416" s="33"/>
      <c r="G416" s="11"/>
      <c r="H416" s="11"/>
    </row>
    <row r="417" spans="1:8" x14ac:dyDescent="0.25">
      <c r="A417" s="31"/>
      <c r="B417" s="33"/>
      <c r="C417" s="46"/>
      <c r="D417" s="34"/>
      <c r="E417" s="11"/>
      <c r="F417" s="33"/>
      <c r="G417" s="11"/>
      <c r="H417" s="11"/>
    </row>
    <row r="418" spans="1:8" x14ac:dyDescent="0.25">
      <c r="A418" s="31"/>
      <c r="B418" s="33"/>
      <c r="C418" s="46"/>
      <c r="D418" s="34"/>
      <c r="E418" s="11"/>
      <c r="F418" s="33"/>
      <c r="G418" s="11"/>
      <c r="H418" s="11"/>
    </row>
    <row r="419" spans="1:8" x14ac:dyDescent="0.25">
      <c r="A419" s="31"/>
      <c r="B419" s="33"/>
      <c r="C419" s="46"/>
      <c r="D419" s="34"/>
      <c r="E419" s="11"/>
      <c r="F419" s="33"/>
      <c r="G419" s="11"/>
      <c r="H419" s="11"/>
    </row>
    <row r="420" spans="1:8" x14ac:dyDescent="0.25">
      <c r="A420" s="31"/>
      <c r="B420" s="33"/>
      <c r="C420" s="46"/>
      <c r="D420" s="34"/>
      <c r="E420" s="11"/>
      <c r="F420" s="33"/>
      <c r="G420" s="11"/>
      <c r="H420" s="11"/>
    </row>
    <row r="421" spans="1:8" x14ac:dyDescent="0.25">
      <c r="A421" s="31"/>
      <c r="B421" s="33"/>
      <c r="C421" s="46"/>
      <c r="D421" s="34"/>
      <c r="E421" s="11"/>
      <c r="F421" s="33"/>
      <c r="G421" s="11"/>
      <c r="H421" s="11"/>
    </row>
    <row r="422" spans="1:8" x14ac:dyDescent="0.25">
      <c r="A422" s="31"/>
      <c r="B422" s="33"/>
      <c r="C422" s="46"/>
      <c r="D422" s="34"/>
      <c r="E422" s="11"/>
      <c r="F422" s="33"/>
      <c r="G422" s="11"/>
      <c r="H422" s="11"/>
    </row>
    <row r="423" spans="1:8" x14ac:dyDescent="0.25">
      <c r="A423" s="31"/>
      <c r="B423" s="33"/>
      <c r="C423" s="46"/>
      <c r="D423" s="34"/>
      <c r="E423" s="11"/>
      <c r="F423" s="33"/>
      <c r="G423" s="11"/>
      <c r="H423" s="11"/>
    </row>
    <row r="424" spans="1:8" x14ac:dyDescent="0.25">
      <c r="A424" s="31"/>
      <c r="B424" s="33"/>
      <c r="C424" s="46"/>
      <c r="D424" s="34"/>
      <c r="E424" s="11"/>
      <c r="F424" s="33"/>
      <c r="G424" s="11"/>
      <c r="H424" s="11"/>
    </row>
    <row r="425" spans="1:8" x14ac:dyDescent="0.25">
      <c r="A425" s="31"/>
      <c r="B425" s="33"/>
      <c r="C425" s="46"/>
      <c r="D425" s="34"/>
      <c r="E425" s="11"/>
      <c r="F425" s="33"/>
      <c r="G425" s="11"/>
      <c r="H425" s="11"/>
    </row>
    <row r="426" spans="1:8" x14ac:dyDescent="0.25">
      <c r="A426" s="31"/>
      <c r="B426" s="33"/>
      <c r="C426" s="46"/>
      <c r="D426" s="34"/>
      <c r="E426" s="11"/>
      <c r="F426" s="33"/>
      <c r="G426" s="11"/>
      <c r="H426" s="11"/>
    </row>
    <row r="427" spans="1:8" x14ac:dyDescent="0.25">
      <c r="A427" s="31"/>
      <c r="B427" s="33"/>
      <c r="C427" s="46"/>
      <c r="D427" s="34"/>
      <c r="E427" s="11"/>
      <c r="F427" s="33"/>
      <c r="G427" s="11"/>
      <c r="H427" s="11"/>
    </row>
    <row r="428" spans="1:8" x14ac:dyDescent="0.25">
      <c r="A428" s="31"/>
      <c r="B428" s="33"/>
      <c r="C428" s="46"/>
      <c r="D428" s="34"/>
      <c r="E428" s="11"/>
      <c r="F428" s="33"/>
      <c r="G428" s="11"/>
      <c r="H428" s="11"/>
    </row>
    <row r="429" spans="1:8" x14ac:dyDescent="0.25">
      <c r="A429" s="31"/>
      <c r="B429" s="33"/>
      <c r="C429" s="46"/>
      <c r="D429" s="34"/>
      <c r="E429" s="11"/>
      <c r="F429" s="33"/>
      <c r="G429" s="11"/>
      <c r="H429" s="11"/>
    </row>
    <row r="430" spans="1:8" x14ac:dyDescent="0.25">
      <c r="A430" s="31"/>
      <c r="B430" s="33"/>
      <c r="C430" s="46"/>
      <c r="D430" s="34"/>
      <c r="E430" s="11"/>
      <c r="F430" s="33"/>
      <c r="G430" s="11"/>
      <c r="H430" s="11"/>
    </row>
    <row r="431" spans="1:8" x14ac:dyDescent="0.25">
      <c r="A431" s="31"/>
      <c r="B431" s="33"/>
      <c r="C431" s="46"/>
      <c r="D431" s="34"/>
      <c r="E431" s="11"/>
      <c r="F431" s="33"/>
      <c r="G431" s="11"/>
      <c r="H431" s="11"/>
    </row>
    <row r="432" spans="1:8" x14ac:dyDescent="0.25">
      <c r="A432" s="31"/>
      <c r="B432" s="33"/>
      <c r="C432" s="46"/>
      <c r="D432" s="34"/>
      <c r="E432" s="11"/>
      <c r="F432" s="33"/>
      <c r="G432" s="11"/>
      <c r="H432" s="11"/>
    </row>
    <row r="433" spans="1:8" x14ac:dyDescent="0.25">
      <c r="A433" s="31"/>
      <c r="B433" s="33"/>
      <c r="C433" s="46"/>
      <c r="D433" s="34"/>
      <c r="E433" s="11"/>
      <c r="F433" s="33"/>
      <c r="G433" s="11"/>
      <c r="H433" s="11"/>
    </row>
    <row r="434" spans="1:8" x14ac:dyDescent="0.25">
      <c r="A434" s="31"/>
      <c r="B434" s="33"/>
      <c r="C434" s="46"/>
      <c r="D434" s="34"/>
      <c r="E434" s="11"/>
      <c r="F434" s="33"/>
      <c r="G434" s="11"/>
      <c r="H434" s="11"/>
    </row>
    <row r="435" spans="1:8" x14ac:dyDescent="0.25">
      <c r="A435" s="31"/>
      <c r="B435" s="33"/>
      <c r="C435" s="46"/>
      <c r="D435" s="34"/>
      <c r="E435" s="11"/>
      <c r="F435" s="33"/>
      <c r="G435" s="11"/>
      <c r="H435" s="11"/>
    </row>
    <row r="436" spans="1:8" x14ac:dyDescent="0.25">
      <c r="A436" s="31"/>
      <c r="B436" s="33"/>
      <c r="C436" s="46"/>
      <c r="D436" s="34"/>
      <c r="E436" s="11"/>
      <c r="F436" s="33"/>
      <c r="G436" s="11"/>
      <c r="H436" s="11"/>
    </row>
    <row r="437" spans="1:8" x14ac:dyDescent="0.25">
      <c r="A437" s="31"/>
      <c r="B437" s="33"/>
      <c r="C437" s="46"/>
      <c r="D437" s="34"/>
      <c r="E437" s="11"/>
      <c r="F437" s="33"/>
      <c r="G437" s="11"/>
      <c r="H437" s="11"/>
    </row>
    <row r="438" spans="1:8" x14ac:dyDescent="0.25">
      <c r="A438" s="31"/>
      <c r="B438" s="33"/>
      <c r="C438" s="46"/>
      <c r="D438" s="34"/>
      <c r="E438" s="11"/>
      <c r="F438" s="33"/>
      <c r="G438" s="11"/>
      <c r="H438" s="11"/>
    </row>
    <row r="439" spans="1:8" x14ac:dyDescent="0.25">
      <c r="A439" s="31"/>
      <c r="B439" s="33"/>
      <c r="C439" s="46"/>
      <c r="D439" s="34"/>
      <c r="E439" s="11"/>
      <c r="F439" s="33"/>
      <c r="G439" s="11"/>
      <c r="H439" s="11"/>
    </row>
    <row r="440" spans="1:8" x14ac:dyDescent="0.25">
      <c r="A440" s="31"/>
      <c r="B440" s="33"/>
      <c r="C440" s="46"/>
      <c r="D440" s="34"/>
      <c r="E440" s="11"/>
      <c r="F440" s="33"/>
      <c r="G440" s="11"/>
      <c r="H440" s="11"/>
    </row>
    <row r="441" spans="1:8" x14ac:dyDescent="0.25">
      <c r="A441" s="31"/>
      <c r="B441" s="33"/>
      <c r="C441" s="46"/>
      <c r="D441" s="34"/>
      <c r="E441" s="11"/>
      <c r="F441" s="33"/>
      <c r="G441" s="11"/>
      <c r="H441" s="11"/>
    </row>
    <row r="442" spans="1:8" x14ac:dyDescent="0.25">
      <c r="A442" s="31"/>
      <c r="B442" s="33"/>
      <c r="C442" s="46"/>
      <c r="D442" s="34"/>
      <c r="E442" s="11"/>
      <c r="F442" s="33"/>
      <c r="G442" s="11"/>
      <c r="H442" s="11"/>
    </row>
    <row r="443" spans="1:8" x14ac:dyDescent="0.25">
      <c r="A443" s="31"/>
      <c r="B443" s="33"/>
      <c r="C443" s="46"/>
      <c r="D443" s="34"/>
      <c r="E443" s="11"/>
      <c r="F443" s="33"/>
      <c r="G443" s="11"/>
      <c r="H443" s="11"/>
    </row>
    <row r="444" spans="1:8" x14ac:dyDescent="0.25">
      <c r="A444" s="31"/>
      <c r="B444" s="33"/>
      <c r="C444" s="46"/>
      <c r="D444" s="34"/>
      <c r="E444" s="11"/>
      <c r="F444" s="33"/>
      <c r="G444" s="11"/>
      <c r="H444" s="11"/>
    </row>
    <row r="445" spans="1:8" x14ac:dyDescent="0.25">
      <c r="A445" s="31"/>
      <c r="B445" s="33"/>
      <c r="C445" s="46"/>
      <c r="D445" s="34"/>
      <c r="E445" s="11"/>
      <c r="F445" s="33"/>
      <c r="G445" s="11"/>
      <c r="H445" s="11"/>
    </row>
    <row r="446" spans="1:8" x14ac:dyDescent="0.25">
      <c r="A446" s="31"/>
      <c r="B446" s="33"/>
      <c r="C446" s="46"/>
      <c r="D446" s="34"/>
      <c r="E446" s="11"/>
      <c r="F446" s="33"/>
      <c r="G446" s="11"/>
      <c r="H446" s="11"/>
    </row>
    <row r="447" spans="1:8" x14ac:dyDescent="0.25">
      <c r="A447" s="31"/>
      <c r="B447" s="33"/>
      <c r="C447" s="46"/>
      <c r="D447" s="34"/>
      <c r="E447" s="11"/>
      <c r="F447" s="33"/>
      <c r="G447" s="11"/>
      <c r="H447" s="11"/>
    </row>
    <row r="448" spans="1:8" x14ac:dyDescent="0.25">
      <c r="A448" s="31"/>
      <c r="B448" s="33"/>
      <c r="C448" s="46"/>
      <c r="D448" s="34"/>
      <c r="E448" s="11"/>
      <c r="F448" s="33"/>
      <c r="G448" s="11"/>
      <c r="H448" s="11"/>
    </row>
    <row r="449" spans="1:8" x14ac:dyDescent="0.25">
      <c r="A449" s="31"/>
      <c r="B449" s="33"/>
      <c r="C449" s="46"/>
      <c r="D449" s="34"/>
      <c r="E449" s="11"/>
      <c r="F449" s="33"/>
      <c r="G449" s="11"/>
      <c r="H449" s="11"/>
    </row>
    <row r="450" spans="1:8" x14ac:dyDescent="0.25">
      <c r="A450" s="31"/>
      <c r="B450" s="33"/>
      <c r="C450" s="46"/>
      <c r="D450" s="34"/>
      <c r="E450" s="11"/>
      <c r="F450" s="33"/>
      <c r="G450" s="11"/>
      <c r="H450" s="11"/>
    </row>
    <row r="451" spans="1:8" x14ac:dyDescent="0.25">
      <c r="A451" s="31"/>
      <c r="B451" s="33"/>
      <c r="C451" s="46"/>
      <c r="D451" s="34"/>
      <c r="E451" s="11"/>
      <c r="F451" s="33"/>
      <c r="G451" s="11"/>
      <c r="H451" s="11"/>
    </row>
    <row r="452" spans="1:8" x14ac:dyDescent="0.25">
      <c r="A452" s="31"/>
      <c r="B452" s="33"/>
      <c r="C452" s="46"/>
      <c r="D452" s="34"/>
      <c r="E452" s="11"/>
      <c r="F452" s="33"/>
      <c r="G452" s="11"/>
      <c r="H452" s="11"/>
    </row>
    <row r="453" spans="1:8" x14ac:dyDescent="0.25">
      <c r="A453" s="31"/>
      <c r="B453" s="33"/>
      <c r="C453" s="46"/>
      <c r="D453" s="34"/>
      <c r="E453" s="11"/>
      <c r="F453" s="33"/>
      <c r="G453" s="11"/>
      <c r="H453" s="11"/>
    </row>
    <row r="454" spans="1:8" x14ac:dyDescent="0.25">
      <c r="A454" s="31"/>
      <c r="B454" s="33"/>
      <c r="C454" s="46"/>
      <c r="D454" s="34"/>
      <c r="E454" s="11"/>
      <c r="F454" s="33"/>
      <c r="G454" s="11"/>
      <c r="H454" s="11"/>
    </row>
    <row r="455" spans="1:8" x14ac:dyDescent="0.25">
      <c r="A455" s="31"/>
      <c r="B455" s="33"/>
      <c r="C455" s="46"/>
      <c r="D455" s="34"/>
      <c r="E455" s="11"/>
      <c r="F455" s="33"/>
      <c r="G455" s="11"/>
      <c r="H455" s="11"/>
    </row>
    <row r="456" spans="1:8" x14ac:dyDescent="0.25">
      <c r="A456" s="31"/>
      <c r="B456" s="33"/>
      <c r="C456" s="46"/>
      <c r="D456" s="34"/>
      <c r="E456" s="11"/>
      <c r="F456" s="33"/>
      <c r="G456" s="11"/>
      <c r="H456" s="11"/>
    </row>
    <row r="457" spans="1:8" x14ac:dyDescent="0.25">
      <c r="A457" s="31"/>
      <c r="B457" s="33"/>
      <c r="C457" s="46"/>
      <c r="D457" s="34"/>
      <c r="E457" s="11"/>
      <c r="F457" s="33"/>
      <c r="G457" s="11"/>
      <c r="H457" s="11"/>
    </row>
    <row r="458" spans="1:8" x14ac:dyDescent="0.25">
      <c r="A458" s="31"/>
      <c r="B458" s="33"/>
      <c r="C458" s="46"/>
      <c r="D458" s="34"/>
      <c r="E458" s="11"/>
      <c r="F458" s="33"/>
      <c r="G458" s="11"/>
      <c r="H458" s="11"/>
    </row>
    <row r="459" spans="1:8" x14ac:dyDescent="0.25">
      <c r="A459" s="31"/>
      <c r="B459" s="33"/>
      <c r="C459" s="46"/>
      <c r="D459" s="34"/>
      <c r="E459" s="11"/>
      <c r="F459" s="33"/>
      <c r="G459" s="11"/>
      <c r="H459" s="11"/>
    </row>
    <row r="460" spans="1:8" x14ac:dyDescent="0.25">
      <c r="A460" s="31"/>
      <c r="B460" s="33"/>
      <c r="C460" s="46"/>
      <c r="D460" s="34"/>
      <c r="E460" s="11"/>
      <c r="F460" s="33"/>
      <c r="G460" s="11"/>
      <c r="H460" s="11"/>
    </row>
    <row r="461" spans="1:8" x14ac:dyDescent="0.25">
      <c r="A461" s="31"/>
      <c r="B461" s="33"/>
      <c r="C461" s="46"/>
      <c r="D461" s="34"/>
      <c r="E461" s="11"/>
      <c r="F461" s="33"/>
      <c r="G461" s="11"/>
      <c r="H461" s="11"/>
    </row>
    <row r="462" spans="1:8" x14ac:dyDescent="0.25">
      <c r="A462" s="31"/>
      <c r="B462" s="33"/>
      <c r="C462" s="46"/>
      <c r="D462" s="34"/>
      <c r="E462" s="11"/>
      <c r="F462" s="33"/>
      <c r="G462" s="11"/>
      <c r="H462" s="11"/>
    </row>
    <row r="463" spans="1:8" x14ac:dyDescent="0.25">
      <c r="A463" s="31"/>
      <c r="B463" s="33"/>
      <c r="C463" s="46"/>
      <c r="D463" s="34"/>
      <c r="E463" s="11"/>
      <c r="F463" s="33"/>
      <c r="G463" s="11"/>
      <c r="H463" s="11"/>
    </row>
    <row r="464" spans="1:8" x14ac:dyDescent="0.25">
      <c r="A464" s="31"/>
      <c r="B464" s="33"/>
      <c r="C464" s="46"/>
      <c r="D464" s="34"/>
      <c r="E464" s="11"/>
      <c r="F464" s="33"/>
      <c r="G464" s="11"/>
      <c r="H464" s="11"/>
    </row>
    <row r="465" spans="1:8" x14ac:dyDescent="0.25">
      <c r="A465" s="31"/>
      <c r="B465" s="33"/>
      <c r="C465" s="46"/>
      <c r="D465" s="34"/>
      <c r="E465" s="11"/>
      <c r="F465" s="33"/>
      <c r="G465" s="11"/>
      <c r="H465" s="11"/>
    </row>
    <row r="466" spans="1:8" x14ac:dyDescent="0.25">
      <c r="A466" s="31"/>
      <c r="B466" s="33"/>
      <c r="C466" s="46"/>
      <c r="D466" s="34"/>
      <c r="E466" s="11"/>
      <c r="F466" s="33"/>
      <c r="G466" s="11"/>
      <c r="H466" s="11"/>
    </row>
    <row r="467" spans="1:8" x14ac:dyDescent="0.25">
      <c r="A467" s="31"/>
      <c r="B467" s="33"/>
      <c r="C467" s="46"/>
      <c r="D467" s="34"/>
      <c r="E467" s="11"/>
      <c r="F467" s="33"/>
      <c r="G467" s="11"/>
      <c r="H467" s="11"/>
    </row>
    <row r="468" spans="1:8" x14ac:dyDescent="0.25">
      <c r="A468" s="31"/>
      <c r="B468" s="33"/>
      <c r="C468" s="46"/>
      <c r="D468" s="34"/>
      <c r="E468" s="11"/>
      <c r="F468" s="33"/>
      <c r="G468" s="11"/>
      <c r="H468" s="11"/>
    </row>
    <row r="469" spans="1:8" x14ac:dyDescent="0.25">
      <c r="A469" s="31"/>
      <c r="B469" s="33"/>
      <c r="C469" s="46"/>
      <c r="D469" s="34"/>
      <c r="E469" s="11"/>
      <c r="F469" s="33"/>
      <c r="G469" s="11"/>
      <c r="H469" s="11"/>
    </row>
    <row r="470" spans="1:8" x14ac:dyDescent="0.25">
      <c r="A470" s="31"/>
      <c r="B470" s="33"/>
      <c r="C470" s="46"/>
      <c r="D470" s="34"/>
      <c r="E470" s="11"/>
      <c r="F470" s="33"/>
      <c r="G470" s="11"/>
      <c r="H470" s="11"/>
    </row>
    <row r="471" spans="1:8" x14ac:dyDescent="0.25">
      <c r="A471" s="31"/>
      <c r="B471" s="33"/>
      <c r="C471" s="46"/>
      <c r="D471" s="34"/>
      <c r="E471" s="11"/>
      <c r="F471" s="33"/>
      <c r="G471" s="11"/>
      <c r="H471" s="11"/>
    </row>
    <row r="472" spans="1:8" x14ac:dyDescent="0.25">
      <c r="A472" s="31"/>
      <c r="B472" s="33"/>
      <c r="C472" s="46"/>
      <c r="D472" s="34"/>
      <c r="E472" s="11"/>
      <c r="F472" s="33"/>
      <c r="G472" s="11"/>
      <c r="H472" s="11"/>
    </row>
    <row r="473" spans="1:8" x14ac:dyDescent="0.25">
      <c r="A473" s="31"/>
      <c r="B473" s="33"/>
      <c r="C473" s="46"/>
      <c r="D473" s="34"/>
      <c r="E473" s="11"/>
      <c r="F473" s="33"/>
      <c r="G473" s="11"/>
      <c r="H473" s="11"/>
    </row>
    <row r="474" spans="1:8" x14ac:dyDescent="0.25">
      <c r="A474" s="31"/>
      <c r="B474" s="33"/>
      <c r="C474" s="46"/>
      <c r="D474" s="34"/>
      <c r="E474" s="11"/>
      <c r="F474" s="33"/>
      <c r="G474" s="11"/>
      <c r="H474" s="11"/>
    </row>
    <row r="475" spans="1:8" x14ac:dyDescent="0.25">
      <c r="A475" s="31"/>
      <c r="B475" s="33"/>
      <c r="C475" s="46"/>
      <c r="D475" s="34"/>
      <c r="E475" s="11"/>
      <c r="F475" s="33"/>
      <c r="G475" s="11"/>
      <c r="H475" s="11"/>
    </row>
    <row r="476" spans="1:8" x14ac:dyDescent="0.25">
      <c r="A476" s="31"/>
      <c r="B476" s="33"/>
      <c r="C476" s="46"/>
      <c r="D476" s="34"/>
      <c r="E476" s="11"/>
      <c r="F476" s="33"/>
      <c r="G476" s="11"/>
      <c r="H476" s="11"/>
    </row>
    <row r="477" spans="1:8" x14ac:dyDescent="0.25">
      <c r="A477" s="31"/>
      <c r="B477" s="33"/>
      <c r="C477" s="46"/>
      <c r="D477" s="34"/>
      <c r="E477" s="11"/>
      <c r="F477" s="33"/>
      <c r="G477" s="11"/>
      <c r="H477" s="11"/>
    </row>
    <row r="478" spans="1:8" x14ac:dyDescent="0.25">
      <c r="A478" s="31"/>
      <c r="B478" s="33"/>
      <c r="C478" s="46"/>
      <c r="D478" s="34"/>
      <c r="E478" s="11"/>
      <c r="F478" s="33"/>
      <c r="G478" s="11"/>
      <c r="H478" s="11"/>
    </row>
    <row r="479" spans="1:8" x14ac:dyDescent="0.25">
      <c r="A479" s="31"/>
      <c r="B479" s="33"/>
      <c r="C479" s="46"/>
      <c r="D479" s="34"/>
      <c r="E479" s="11"/>
      <c r="F479" s="33"/>
      <c r="G479" s="11"/>
      <c r="H479" s="11"/>
    </row>
    <row r="480" spans="1:8" x14ac:dyDescent="0.25">
      <c r="A480" s="31"/>
      <c r="B480" s="33"/>
      <c r="C480" s="46"/>
      <c r="D480" s="34"/>
      <c r="E480" s="11"/>
      <c r="F480" s="33"/>
      <c r="G480" s="11"/>
      <c r="H480" s="11"/>
    </row>
    <row r="481" spans="1:8" x14ac:dyDescent="0.25">
      <c r="A481" s="31"/>
      <c r="B481" s="33"/>
      <c r="C481" s="46"/>
      <c r="D481" s="34"/>
      <c r="E481" s="11"/>
      <c r="F481" s="33"/>
      <c r="G481" s="11"/>
      <c r="H481" s="11"/>
    </row>
    <row r="482" spans="1:8" x14ac:dyDescent="0.25">
      <c r="A482" s="31"/>
      <c r="B482" s="33"/>
      <c r="C482" s="46"/>
      <c r="D482" s="34"/>
      <c r="E482" s="11"/>
      <c r="F482" s="33"/>
      <c r="G482" s="11"/>
      <c r="H482" s="11"/>
    </row>
    <row r="483" spans="1:8" x14ac:dyDescent="0.25">
      <c r="A483" s="31"/>
      <c r="B483" s="33"/>
      <c r="C483" s="46"/>
      <c r="D483" s="34"/>
      <c r="E483" s="11"/>
      <c r="F483" s="33"/>
      <c r="G483" s="11"/>
      <c r="H483" s="11"/>
    </row>
    <row r="484" spans="1:8" x14ac:dyDescent="0.25">
      <c r="A484" s="31"/>
      <c r="B484" s="33"/>
      <c r="C484" s="46"/>
      <c r="D484" s="34"/>
      <c r="E484" s="11"/>
      <c r="F484" s="33"/>
      <c r="G484" s="11"/>
      <c r="H484" s="11"/>
    </row>
    <row r="485" spans="1:8" x14ac:dyDescent="0.25">
      <c r="A485" s="31"/>
      <c r="B485" s="33"/>
      <c r="C485" s="46"/>
      <c r="D485" s="34"/>
      <c r="E485" s="11"/>
      <c r="F485" s="33"/>
      <c r="G485" s="11"/>
      <c r="H485" s="11"/>
    </row>
    <row r="486" spans="1:8" x14ac:dyDescent="0.25">
      <c r="A486" s="31"/>
      <c r="B486" s="33"/>
      <c r="C486" s="46"/>
      <c r="D486" s="34"/>
      <c r="E486" s="11"/>
      <c r="F486" s="33"/>
      <c r="G486" s="11"/>
      <c r="H486" s="11"/>
    </row>
    <row r="487" spans="1:8" x14ac:dyDescent="0.25">
      <c r="A487" s="31"/>
      <c r="B487" s="33"/>
      <c r="C487" s="46"/>
      <c r="D487" s="34"/>
      <c r="E487" s="11"/>
      <c r="F487" s="33"/>
      <c r="G487" s="11"/>
      <c r="H487" s="11"/>
    </row>
    <row r="488" spans="1:8" x14ac:dyDescent="0.25">
      <c r="A488" s="31"/>
      <c r="B488" s="33"/>
      <c r="C488" s="46"/>
      <c r="D488" s="34"/>
      <c r="E488" s="11"/>
      <c r="F488" s="33"/>
      <c r="G488" s="11"/>
      <c r="H488" s="11"/>
    </row>
    <row r="489" spans="1:8" x14ac:dyDescent="0.25">
      <c r="A489" s="31"/>
      <c r="B489" s="33"/>
      <c r="C489" s="46"/>
      <c r="D489" s="34"/>
      <c r="E489" s="11"/>
      <c r="F489" s="33"/>
      <c r="G489" s="11"/>
      <c r="H489" s="11"/>
    </row>
    <row r="490" spans="1:8" x14ac:dyDescent="0.25">
      <c r="A490" s="31"/>
      <c r="B490" s="33"/>
      <c r="C490" s="46"/>
      <c r="D490" s="34"/>
      <c r="E490" s="11"/>
      <c r="F490" s="33"/>
      <c r="G490" s="11"/>
      <c r="H490" s="11"/>
    </row>
    <row r="491" spans="1:8" x14ac:dyDescent="0.25">
      <c r="A491" s="31"/>
      <c r="B491" s="33"/>
      <c r="C491" s="46"/>
      <c r="D491" s="34"/>
      <c r="E491" s="11"/>
      <c r="F491" s="33"/>
      <c r="G491" s="11"/>
      <c r="H491" s="11"/>
    </row>
    <row r="492" spans="1:8" x14ac:dyDescent="0.25">
      <c r="A492" s="31"/>
      <c r="B492" s="33"/>
      <c r="C492" s="46"/>
      <c r="D492" s="34"/>
      <c r="E492" s="11"/>
      <c r="F492" s="33"/>
      <c r="G492" s="11"/>
      <c r="H492" s="11"/>
    </row>
    <row r="493" spans="1:8" x14ac:dyDescent="0.25">
      <c r="A493" s="31"/>
      <c r="B493" s="33"/>
      <c r="C493" s="46"/>
      <c r="D493" s="34"/>
      <c r="E493" s="11"/>
      <c r="F493" s="33"/>
      <c r="G493" s="11"/>
      <c r="H493" s="11"/>
    </row>
    <row r="494" spans="1:8" x14ac:dyDescent="0.25">
      <c r="A494" s="31"/>
      <c r="B494" s="33"/>
      <c r="C494" s="46"/>
      <c r="D494" s="34"/>
      <c r="E494" s="11"/>
      <c r="F494" s="33"/>
      <c r="G494" s="11"/>
      <c r="H494" s="11"/>
    </row>
    <row r="495" spans="1:8" x14ac:dyDescent="0.25">
      <c r="A495" s="31"/>
      <c r="B495" s="33"/>
      <c r="C495" s="46"/>
      <c r="D495" s="34"/>
      <c r="E495" s="11"/>
      <c r="F495" s="33"/>
      <c r="G495" s="11"/>
      <c r="H495" s="11"/>
    </row>
    <row r="496" spans="1:8" x14ac:dyDescent="0.25">
      <c r="A496" s="31"/>
      <c r="B496" s="33"/>
      <c r="C496" s="46"/>
      <c r="D496" s="34"/>
      <c r="E496" s="11"/>
      <c r="F496" s="33"/>
      <c r="G496" s="11"/>
      <c r="H496" s="11"/>
    </row>
    <row r="497" spans="1:8" x14ac:dyDescent="0.25">
      <c r="A497" s="31"/>
      <c r="B497" s="33"/>
      <c r="C497" s="46"/>
      <c r="D497" s="34"/>
      <c r="E497" s="11"/>
      <c r="F497" s="33"/>
      <c r="G497" s="11"/>
      <c r="H497" s="11"/>
    </row>
    <row r="498" spans="1:8" x14ac:dyDescent="0.25">
      <c r="A498" s="31"/>
      <c r="B498" s="33"/>
      <c r="C498" s="46"/>
      <c r="D498" s="34"/>
      <c r="E498" s="11"/>
      <c r="F498" s="33"/>
      <c r="G498" s="11"/>
      <c r="H498" s="11"/>
    </row>
    <row r="499" spans="1:8" x14ac:dyDescent="0.25">
      <c r="A499" s="31"/>
      <c r="B499" s="33"/>
      <c r="C499" s="46"/>
      <c r="D499" s="34"/>
      <c r="E499" s="11"/>
      <c r="F499" s="33"/>
      <c r="G499" s="11"/>
      <c r="H499" s="11"/>
    </row>
    <row r="500" spans="1:8" x14ac:dyDescent="0.25">
      <c r="A500" s="31"/>
      <c r="B500" s="33"/>
      <c r="C500" s="46"/>
      <c r="D500" s="34"/>
      <c r="E500" s="11"/>
      <c r="F500" s="33"/>
      <c r="G500" s="11"/>
      <c r="H500" s="11"/>
    </row>
    <row r="501" spans="1:8" x14ac:dyDescent="0.25">
      <c r="A501" s="31"/>
      <c r="B501" s="33"/>
      <c r="C501" s="46"/>
      <c r="D501" s="34"/>
      <c r="E501" s="11"/>
      <c r="F501" s="33"/>
      <c r="G501" s="11"/>
      <c r="H501" s="11"/>
    </row>
    <row r="502" spans="1:8" x14ac:dyDescent="0.25">
      <c r="A502" s="31"/>
      <c r="B502" s="33"/>
      <c r="C502" s="46"/>
      <c r="D502" s="34"/>
      <c r="E502" s="11"/>
      <c r="F502" s="33"/>
      <c r="G502" s="11"/>
      <c r="H502" s="11"/>
    </row>
    <row r="503" spans="1:8" x14ac:dyDescent="0.25">
      <c r="A503" s="31"/>
      <c r="B503" s="33"/>
      <c r="C503" s="46"/>
      <c r="D503" s="34"/>
      <c r="E503" s="11"/>
      <c r="F503" s="33"/>
      <c r="G503" s="11"/>
      <c r="H503" s="11"/>
    </row>
    <row r="504" spans="1:8" x14ac:dyDescent="0.25">
      <c r="A504" s="31"/>
      <c r="B504" s="33"/>
      <c r="C504" s="46"/>
      <c r="D504" s="34"/>
      <c r="E504" s="11"/>
      <c r="F504" s="33"/>
      <c r="G504" s="11"/>
      <c r="H504" s="11"/>
    </row>
    <row r="505" spans="1:8" x14ac:dyDescent="0.25">
      <c r="A505" s="31"/>
      <c r="B505" s="33"/>
      <c r="C505" s="46"/>
      <c r="D505" s="34"/>
      <c r="E505" s="11"/>
      <c r="F505" s="33"/>
      <c r="G505" s="11"/>
      <c r="H505" s="11"/>
    </row>
    <row r="506" spans="1:8" x14ac:dyDescent="0.25">
      <c r="A506" s="31"/>
      <c r="B506" s="33"/>
      <c r="C506" s="46"/>
      <c r="D506" s="34"/>
      <c r="E506" s="11"/>
      <c r="F506" s="33"/>
      <c r="G506" s="11"/>
      <c r="H506" s="11"/>
    </row>
    <row r="507" spans="1:8" x14ac:dyDescent="0.25">
      <c r="A507" s="31"/>
      <c r="B507" s="33"/>
      <c r="C507" s="46"/>
      <c r="D507" s="34"/>
      <c r="E507" s="11"/>
      <c r="F507" s="33"/>
      <c r="G507" s="11"/>
      <c r="H507" s="11"/>
    </row>
    <row r="508" spans="1:8" x14ac:dyDescent="0.25">
      <c r="A508" s="31"/>
      <c r="B508" s="33"/>
      <c r="C508" s="46"/>
      <c r="D508" s="34"/>
      <c r="E508" s="11"/>
      <c r="F508" s="33"/>
      <c r="G508" s="11"/>
      <c r="H508" s="11"/>
    </row>
    <row r="509" spans="1:8" x14ac:dyDescent="0.25">
      <c r="A509" s="31"/>
      <c r="B509" s="33"/>
      <c r="C509" s="46"/>
      <c r="D509" s="34"/>
      <c r="E509" s="11"/>
      <c r="F509" s="33"/>
      <c r="G509" s="11"/>
      <c r="H509" s="11"/>
    </row>
    <row r="510" spans="1:8" x14ac:dyDescent="0.25">
      <c r="A510" s="31"/>
      <c r="B510" s="33"/>
      <c r="C510" s="46"/>
      <c r="D510" s="34"/>
      <c r="E510" s="11"/>
      <c r="F510" s="33"/>
      <c r="G510" s="11"/>
      <c r="H510" s="11"/>
    </row>
  </sheetData>
  <conditionalFormatting sqref="A4:H70 A72:H3993">
    <cfRule type="expression" dxfId="6" priority="5">
      <formula>$G4="DEL"</formula>
    </cfRule>
    <cfRule type="expression" dxfId="5" priority="6">
      <formula>$H4="Y"</formula>
    </cfRule>
  </conditionalFormatting>
  <conditionalFormatting sqref="A71:H71">
    <cfRule type="expression" dxfId="4" priority="1">
      <formula>$G71="DEL"</formula>
    </cfRule>
    <cfRule type="expression" dxfId="3" priority="2">
      <formula>$H71="Y"</formula>
    </cfRule>
  </conditionalFormatting>
  <pageMargins left="0.7" right="0.7" top="0.78740157499999996" bottom="0.78740157499999996"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filterMode="1"/>
  <dimension ref="A1:T131"/>
  <sheetViews>
    <sheetView workbookViewId="0">
      <pane ySplit="3" topLeftCell="A4" activePane="bottomLeft" state="frozen"/>
      <selection pane="bottomLeft" activeCell="F31" sqref="F31"/>
    </sheetView>
  </sheetViews>
  <sheetFormatPr baseColWidth="10" defaultRowHeight="15" x14ac:dyDescent="0.25"/>
  <cols>
    <col min="1" max="1" width="10.7109375" style="160" customWidth="1"/>
    <col min="2" max="2" width="11.42578125" style="160"/>
    <col min="3" max="3" width="14.42578125" style="160" customWidth="1"/>
    <col min="4" max="6" width="11.42578125" style="160"/>
    <col min="7" max="7" width="7.140625" style="160" bestFit="1" customWidth="1"/>
    <col min="8" max="8" width="108" style="163" customWidth="1"/>
    <col min="9" max="9" width="10.28515625" style="160" bestFit="1" customWidth="1"/>
    <col min="10" max="10" width="1.42578125" customWidth="1"/>
  </cols>
  <sheetData>
    <row r="1" spans="1:20" ht="36" x14ac:dyDescent="0.25">
      <c r="A1" s="153" t="s">
        <v>18</v>
      </c>
      <c r="B1" s="154"/>
      <c r="C1" s="154"/>
      <c r="D1" s="154"/>
      <c r="E1" s="154"/>
      <c r="F1" s="154"/>
      <c r="G1" s="154"/>
      <c r="H1" s="155" t="s">
        <v>940</v>
      </c>
      <c r="I1" s="154"/>
    </row>
    <row r="2" spans="1:20" x14ac:dyDescent="0.25">
      <c r="A2" s="196" t="s">
        <v>20</v>
      </c>
      <c r="B2" s="154"/>
      <c r="C2" s="154"/>
      <c r="D2" s="154"/>
      <c r="E2" s="154"/>
      <c r="F2" s="154"/>
      <c r="G2" s="154"/>
      <c r="H2" s="155"/>
      <c r="I2" s="154"/>
    </row>
    <row r="3" spans="1:20" s="22" customFormat="1" ht="45.75" customHeight="1" x14ac:dyDescent="0.25">
      <c r="A3" s="156" t="s">
        <v>1</v>
      </c>
      <c r="B3" s="156" t="s">
        <v>21</v>
      </c>
      <c r="C3" s="156" t="s">
        <v>635</v>
      </c>
      <c r="D3" s="156" t="s">
        <v>857</v>
      </c>
      <c r="E3" s="156" t="s">
        <v>858</v>
      </c>
      <c r="F3" s="157" t="s">
        <v>23</v>
      </c>
      <c r="G3" s="157" t="s">
        <v>24</v>
      </c>
      <c r="H3" s="158" t="s">
        <v>22</v>
      </c>
      <c r="I3" s="156" t="s">
        <v>774</v>
      </c>
    </row>
    <row r="4" spans="1:20" ht="30" hidden="1" x14ac:dyDescent="0.25">
      <c r="A4" s="159">
        <v>41925</v>
      </c>
      <c r="B4" s="160">
        <v>33</v>
      </c>
      <c r="C4" s="160" t="s">
        <v>786</v>
      </c>
      <c r="D4" s="160">
        <v>1</v>
      </c>
      <c r="E4" s="160">
        <v>1</v>
      </c>
      <c r="F4" s="160" t="s">
        <v>765</v>
      </c>
      <c r="G4" s="160">
        <v>5</v>
      </c>
      <c r="H4" s="163" t="s">
        <v>787</v>
      </c>
      <c r="I4" s="160" t="s">
        <v>916</v>
      </c>
    </row>
    <row r="5" spans="1:20" ht="90" hidden="1" x14ac:dyDescent="0.25">
      <c r="A5" s="195">
        <v>42005</v>
      </c>
      <c r="B5" s="160">
        <v>108</v>
      </c>
      <c r="C5" s="160" t="s">
        <v>968</v>
      </c>
      <c r="D5" s="160">
        <v>1</v>
      </c>
      <c r="E5" s="160">
        <v>40</v>
      </c>
      <c r="F5" s="160" t="s">
        <v>25</v>
      </c>
      <c r="G5" s="160">
        <v>1</v>
      </c>
      <c r="H5" s="163" t="s">
        <v>971</v>
      </c>
      <c r="I5" s="160" t="s">
        <v>916</v>
      </c>
    </row>
    <row r="6" spans="1:20" ht="30" hidden="1" x14ac:dyDescent="0.25">
      <c r="A6" s="195">
        <v>42019</v>
      </c>
      <c r="B6" s="160">
        <v>106</v>
      </c>
      <c r="C6" s="160" t="s">
        <v>877</v>
      </c>
      <c r="D6" s="160">
        <v>1</v>
      </c>
      <c r="E6" s="160">
        <v>40</v>
      </c>
      <c r="F6" s="160" t="s">
        <v>25</v>
      </c>
      <c r="H6" s="163" t="s">
        <v>996</v>
      </c>
      <c r="I6" s="160" t="s">
        <v>916</v>
      </c>
    </row>
    <row r="7" spans="1:20" ht="45" hidden="1" x14ac:dyDescent="0.25">
      <c r="A7" s="195">
        <v>41965</v>
      </c>
      <c r="B7" s="160">
        <v>60</v>
      </c>
      <c r="C7" s="160" t="s">
        <v>862</v>
      </c>
      <c r="D7" s="160">
        <v>1</v>
      </c>
      <c r="E7" s="160">
        <v>50</v>
      </c>
      <c r="F7" s="160" t="s">
        <v>25</v>
      </c>
      <c r="H7" s="163" t="s">
        <v>917</v>
      </c>
      <c r="I7" s="160" t="s">
        <v>916</v>
      </c>
      <c r="Q7">
        <f>50+250+140+120+90+60+120</f>
        <v>830</v>
      </c>
      <c r="S7">
        <f xml:space="preserve"> 6 + 96 + 1 +162 + 1 + 96 +1 + 76 + 1 + 76</f>
        <v>516</v>
      </c>
    </row>
    <row r="8" spans="1:20" hidden="1" x14ac:dyDescent="0.25">
      <c r="A8" s="195">
        <v>41965</v>
      </c>
      <c r="B8" s="160">
        <v>61</v>
      </c>
      <c r="C8" s="160" t="s">
        <v>862</v>
      </c>
      <c r="D8" s="160">
        <v>1</v>
      </c>
      <c r="E8" s="160">
        <v>55</v>
      </c>
      <c r="F8" s="160" t="s">
        <v>25</v>
      </c>
      <c r="H8" s="163" t="s">
        <v>873</v>
      </c>
      <c r="I8" s="160" t="s">
        <v>916</v>
      </c>
      <c r="Q8">
        <f>50/Q7</f>
        <v>6.0240963855421686E-2</v>
      </c>
      <c r="R8">
        <v>6.0240963855421686E-2</v>
      </c>
      <c r="S8">
        <f>96/S7</f>
        <v>0.18604651162790697</v>
      </c>
    </row>
    <row r="9" spans="1:20" hidden="1" x14ac:dyDescent="0.25">
      <c r="A9" s="159">
        <v>41925</v>
      </c>
      <c r="B9" s="160">
        <v>35</v>
      </c>
      <c r="C9" s="160" t="s">
        <v>862</v>
      </c>
      <c r="D9" s="160">
        <v>1</v>
      </c>
      <c r="E9" s="160">
        <v>100</v>
      </c>
      <c r="F9" s="160" t="s">
        <v>765</v>
      </c>
      <c r="G9" s="160">
        <v>5</v>
      </c>
      <c r="H9" s="163" t="s">
        <v>919</v>
      </c>
      <c r="I9" s="160" t="s">
        <v>916</v>
      </c>
      <c r="Q9">
        <f>250/Q7</f>
        <v>0.30120481927710846</v>
      </c>
      <c r="R9">
        <v>0.30120481927710846</v>
      </c>
      <c r="S9">
        <f>162/S7</f>
        <v>0.31395348837209303</v>
      </c>
    </row>
    <row r="10" spans="1:20" ht="30" hidden="1" x14ac:dyDescent="0.25">
      <c r="A10" s="195">
        <v>41965</v>
      </c>
      <c r="B10" s="160">
        <v>58</v>
      </c>
      <c r="C10" s="160" t="s">
        <v>862</v>
      </c>
      <c r="D10" s="160">
        <v>1</v>
      </c>
      <c r="E10" s="160">
        <v>111</v>
      </c>
      <c r="F10" s="160" t="s">
        <v>25</v>
      </c>
      <c r="H10" s="163" t="s">
        <v>941</v>
      </c>
      <c r="I10" s="160" t="s">
        <v>916</v>
      </c>
      <c r="Q10">
        <f>140/Q7</f>
        <v>0.16867469879518071</v>
      </c>
      <c r="R10">
        <v>0.16867469879518071</v>
      </c>
      <c r="S10">
        <f>76/S7</f>
        <v>0.14728682170542637</v>
      </c>
      <c r="T10">
        <v>0.14728682170542637</v>
      </c>
    </row>
    <row r="11" spans="1:20" ht="45" hidden="1" x14ac:dyDescent="0.25">
      <c r="A11" s="195">
        <v>41965</v>
      </c>
      <c r="B11" s="160">
        <v>57</v>
      </c>
      <c r="C11" s="160" t="s">
        <v>863</v>
      </c>
      <c r="D11" s="160">
        <v>1</v>
      </c>
      <c r="E11" s="160">
        <v>200</v>
      </c>
      <c r="F11" s="160" t="s">
        <v>25</v>
      </c>
      <c r="H11" s="163" t="s">
        <v>942</v>
      </c>
      <c r="I11" s="160" t="s">
        <v>943</v>
      </c>
      <c r="Q11">
        <f>120/Q7</f>
        <v>0.14457831325301204</v>
      </c>
      <c r="R11">
        <v>0.14457831325301204</v>
      </c>
    </row>
    <row r="12" spans="1:20" ht="75" hidden="1" x14ac:dyDescent="0.25">
      <c r="A12" s="159">
        <v>41925</v>
      </c>
      <c r="B12" s="160">
        <v>30</v>
      </c>
      <c r="C12" s="160" t="s">
        <v>776</v>
      </c>
      <c r="D12" s="160">
        <v>1</v>
      </c>
      <c r="E12" s="160">
        <v>300</v>
      </c>
      <c r="F12" s="160" t="s">
        <v>765</v>
      </c>
      <c r="G12" s="160">
        <v>5</v>
      </c>
      <c r="H12" s="163" t="s">
        <v>921</v>
      </c>
      <c r="I12" s="160" t="s">
        <v>916</v>
      </c>
      <c r="Q12">
        <f>90/Q7</f>
        <v>0.10843373493975904</v>
      </c>
      <c r="R12">
        <v>0.10843373493975904</v>
      </c>
    </row>
    <row r="13" spans="1:20" hidden="1" x14ac:dyDescent="0.25">
      <c r="A13" s="195">
        <v>41965</v>
      </c>
      <c r="B13" s="160">
        <v>89</v>
      </c>
      <c r="C13" s="160" t="s">
        <v>891</v>
      </c>
      <c r="D13" s="160">
        <v>10</v>
      </c>
      <c r="E13" s="160">
        <v>400</v>
      </c>
      <c r="F13" s="160" t="s">
        <v>25</v>
      </c>
      <c r="H13" s="163" t="s">
        <v>1638</v>
      </c>
      <c r="Q13">
        <f>60/Q7</f>
        <v>7.2289156626506021E-2</v>
      </c>
      <c r="R13">
        <v>7.2289156626506021E-2</v>
      </c>
    </row>
    <row r="14" spans="1:20" hidden="1" x14ac:dyDescent="0.25">
      <c r="A14" s="195">
        <v>41965</v>
      </c>
      <c r="B14" s="160">
        <v>91</v>
      </c>
      <c r="C14" s="160" t="s">
        <v>891</v>
      </c>
      <c r="D14" s="160">
        <v>10</v>
      </c>
      <c r="E14" s="160">
        <v>410</v>
      </c>
      <c r="F14" s="160" t="s">
        <v>25</v>
      </c>
      <c r="H14" s="163" t="s">
        <v>1639</v>
      </c>
      <c r="Q14">
        <f>120/Q7</f>
        <v>0.14457831325301204</v>
      </c>
      <c r="R14">
        <v>0.14457831325301204</v>
      </c>
    </row>
    <row r="15" spans="1:20" ht="150" hidden="1" x14ac:dyDescent="0.25">
      <c r="A15" s="195">
        <v>41933</v>
      </c>
      <c r="B15" s="160">
        <v>40</v>
      </c>
      <c r="C15" s="160" t="s">
        <v>862</v>
      </c>
      <c r="D15" s="160">
        <v>1</v>
      </c>
      <c r="E15" s="160">
        <v>800</v>
      </c>
      <c r="F15" s="160" t="s">
        <v>29</v>
      </c>
      <c r="G15" s="160">
        <v>1</v>
      </c>
      <c r="H15" s="163" t="s">
        <v>1018</v>
      </c>
      <c r="I15" s="160" t="s">
        <v>916</v>
      </c>
    </row>
    <row r="16" spans="1:20" ht="75" hidden="1" x14ac:dyDescent="0.25">
      <c r="A16" s="195">
        <v>41933</v>
      </c>
      <c r="B16" s="160">
        <v>39</v>
      </c>
      <c r="C16" s="160" t="s">
        <v>863</v>
      </c>
      <c r="D16" s="160">
        <v>1</v>
      </c>
      <c r="E16" s="160">
        <v>810</v>
      </c>
      <c r="F16" s="160" t="s">
        <v>29</v>
      </c>
      <c r="G16" s="160">
        <v>1</v>
      </c>
      <c r="H16" s="163" t="s">
        <v>1019</v>
      </c>
      <c r="I16" s="160" t="s">
        <v>1030</v>
      </c>
      <c r="Q16">
        <f>384/Q7</f>
        <v>0.46265060240963857</v>
      </c>
      <c r="R16">
        <v>0.46265060240963901</v>
      </c>
    </row>
    <row r="17" spans="1:17" hidden="1" x14ac:dyDescent="0.25">
      <c r="A17" s="159">
        <v>41925</v>
      </c>
      <c r="B17" s="160">
        <v>27</v>
      </c>
      <c r="C17" s="160" t="s">
        <v>776</v>
      </c>
      <c r="D17" s="160">
        <v>1</v>
      </c>
      <c r="E17" s="160">
        <v>900</v>
      </c>
      <c r="F17" s="160" t="s">
        <v>765</v>
      </c>
      <c r="G17" s="160">
        <v>5</v>
      </c>
      <c r="H17" s="163" t="s">
        <v>783</v>
      </c>
      <c r="I17" s="162" t="s">
        <v>916</v>
      </c>
    </row>
    <row r="18" spans="1:17" hidden="1" x14ac:dyDescent="0.25">
      <c r="A18" s="159">
        <v>41925</v>
      </c>
      <c r="B18" s="160">
        <v>29</v>
      </c>
      <c r="C18" s="160" t="s">
        <v>776</v>
      </c>
      <c r="D18" s="160">
        <v>1</v>
      </c>
      <c r="E18" s="160">
        <v>905</v>
      </c>
      <c r="F18" s="160" t="s">
        <v>765</v>
      </c>
      <c r="G18" s="160">
        <v>5</v>
      </c>
      <c r="H18" s="163" t="s">
        <v>912</v>
      </c>
      <c r="I18" s="160" t="s">
        <v>916</v>
      </c>
    </row>
    <row r="19" spans="1:17" hidden="1" x14ac:dyDescent="0.25">
      <c r="A19" s="159">
        <v>41925</v>
      </c>
      <c r="B19" s="160">
        <v>5</v>
      </c>
      <c r="C19" s="160" t="s">
        <v>862</v>
      </c>
      <c r="D19" s="160">
        <v>1</v>
      </c>
      <c r="E19" s="160">
        <v>1000</v>
      </c>
      <c r="F19" s="160" t="s">
        <v>25</v>
      </c>
      <c r="G19" s="160">
        <v>0.1</v>
      </c>
      <c r="H19" s="163" t="s">
        <v>761</v>
      </c>
      <c r="I19" s="162" t="s">
        <v>916</v>
      </c>
    </row>
    <row r="20" spans="1:17" hidden="1" x14ac:dyDescent="0.25">
      <c r="A20" s="159">
        <v>41925</v>
      </c>
      <c r="B20" s="160">
        <v>6</v>
      </c>
      <c r="C20" s="160" t="s">
        <v>862</v>
      </c>
      <c r="D20" s="160">
        <v>1</v>
      </c>
      <c r="E20" s="160">
        <v>1001</v>
      </c>
      <c r="F20" s="160" t="s">
        <v>25</v>
      </c>
      <c r="G20" s="160">
        <v>0.1</v>
      </c>
      <c r="H20" s="163" t="s">
        <v>762</v>
      </c>
      <c r="I20" s="162" t="s">
        <v>916</v>
      </c>
      <c r="Q20">
        <f>911/501</f>
        <v>1.8183632734530939</v>
      </c>
    </row>
    <row r="21" spans="1:17" hidden="1" x14ac:dyDescent="0.25">
      <c r="A21" s="195">
        <v>41965</v>
      </c>
      <c r="B21" s="160">
        <v>94</v>
      </c>
      <c r="C21" s="160" t="s">
        <v>862</v>
      </c>
      <c r="D21" s="160">
        <v>1</v>
      </c>
      <c r="E21" s="160">
        <v>1002</v>
      </c>
      <c r="F21" s="160" t="s">
        <v>25</v>
      </c>
      <c r="H21" s="163" t="s">
        <v>902</v>
      </c>
      <c r="I21" s="160" t="s">
        <v>916</v>
      </c>
    </row>
    <row r="22" spans="1:17" hidden="1" x14ac:dyDescent="0.25">
      <c r="A22" s="195">
        <v>41965</v>
      </c>
      <c r="B22" s="160">
        <v>95</v>
      </c>
      <c r="C22" s="160" t="s">
        <v>862</v>
      </c>
      <c r="D22" s="160">
        <v>1</v>
      </c>
      <c r="E22" s="160">
        <v>1003</v>
      </c>
      <c r="F22" s="160" t="s">
        <v>25</v>
      </c>
      <c r="H22" s="163" t="s">
        <v>901</v>
      </c>
      <c r="I22" s="160" t="s">
        <v>916</v>
      </c>
    </row>
    <row r="23" spans="1:17" hidden="1" x14ac:dyDescent="0.25">
      <c r="A23" s="159">
        <v>41925</v>
      </c>
      <c r="B23" s="160">
        <v>7</v>
      </c>
      <c r="C23" s="160" t="s">
        <v>862</v>
      </c>
      <c r="D23" s="160">
        <v>1</v>
      </c>
      <c r="E23" s="160">
        <v>1005</v>
      </c>
      <c r="F23" s="160" t="s">
        <v>25</v>
      </c>
      <c r="G23" s="160">
        <v>0.1</v>
      </c>
      <c r="H23" s="163" t="s">
        <v>763</v>
      </c>
      <c r="I23" s="162" t="s">
        <v>916</v>
      </c>
    </row>
    <row r="24" spans="1:17" hidden="1" x14ac:dyDescent="0.25">
      <c r="A24" s="195">
        <v>41965</v>
      </c>
      <c r="B24" s="160">
        <v>41</v>
      </c>
      <c r="C24" s="160" t="s">
        <v>862</v>
      </c>
      <c r="D24" s="160">
        <v>1</v>
      </c>
      <c r="E24" s="160">
        <v>1100</v>
      </c>
      <c r="F24" s="160" t="s">
        <v>25</v>
      </c>
      <c r="H24" s="163" t="s">
        <v>876</v>
      </c>
      <c r="I24" s="160" t="s">
        <v>916</v>
      </c>
    </row>
    <row r="25" spans="1:17" ht="90" hidden="1" x14ac:dyDescent="0.25">
      <c r="A25" s="195">
        <v>41965</v>
      </c>
      <c r="B25" s="160">
        <v>42</v>
      </c>
      <c r="C25" s="160" t="s">
        <v>862</v>
      </c>
      <c r="D25" s="160">
        <v>30</v>
      </c>
      <c r="E25" s="160">
        <v>1110</v>
      </c>
      <c r="F25" s="160" t="s">
        <v>29</v>
      </c>
      <c r="H25" s="163" t="s">
        <v>1640</v>
      </c>
    </row>
    <row r="26" spans="1:17" ht="60" hidden="1" x14ac:dyDescent="0.25">
      <c r="A26" s="159">
        <v>41925</v>
      </c>
      <c r="B26" s="160">
        <v>37</v>
      </c>
      <c r="C26" s="160" t="s">
        <v>862</v>
      </c>
      <c r="D26" s="160">
        <v>1</v>
      </c>
      <c r="E26" s="160">
        <v>1111</v>
      </c>
      <c r="F26" s="160" t="s">
        <v>765</v>
      </c>
      <c r="G26" s="160">
        <v>5</v>
      </c>
      <c r="H26" s="163" t="s">
        <v>1341</v>
      </c>
      <c r="I26" s="160" t="s">
        <v>916</v>
      </c>
    </row>
    <row r="27" spans="1:17" hidden="1" x14ac:dyDescent="0.25">
      <c r="A27" s="195">
        <v>41965</v>
      </c>
      <c r="B27" s="160">
        <v>43</v>
      </c>
      <c r="C27" s="160" t="s">
        <v>863</v>
      </c>
      <c r="D27" s="160">
        <v>1</v>
      </c>
      <c r="E27" s="160">
        <v>1120</v>
      </c>
      <c r="F27" s="160" t="s">
        <v>25</v>
      </c>
      <c r="H27" s="163" t="s">
        <v>1093</v>
      </c>
      <c r="I27" s="160" t="s">
        <v>916</v>
      </c>
    </row>
    <row r="28" spans="1:17" hidden="1" x14ac:dyDescent="0.25">
      <c r="A28" s="195">
        <v>41965</v>
      </c>
      <c r="B28" s="160">
        <v>44</v>
      </c>
      <c r="C28" s="160" t="s">
        <v>863</v>
      </c>
      <c r="D28" s="160">
        <v>1</v>
      </c>
      <c r="E28" s="160">
        <v>1130</v>
      </c>
      <c r="F28" s="160" t="s">
        <v>29</v>
      </c>
      <c r="H28" s="163" t="s">
        <v>1094</v>
      </c>
      <c r="I28" s="160" t="s">
        <v>943</v>
      </c>
    </row>
    <row r="29" spans="1:17" ht="75" x14ac:dyDescent="0.25">
      <c r="A29" s="195">
        <v>41965</v>
      </c>
      <c r="B29" s="160">
        <v>83</v>
      </c>
      <c r="C29" s="160" t="s">
        <v>891</v>
      </c>
      <c r="D29" s="160">
        <v>1</v>
      </c>
      <c r="E29" s="160">
        <v>1500</v>
      </c>
      <c r="F29" s="160" t="s">
        <v>25</v>
      </c>
      <c r="H29" s="163" t="s">
        <v>1641</v>
      </c>
    </row>
    <row r="30" spans="1:17" hidden="1" x14ac:dyDescent="0.25">
      <c r="A30" s="195">
        <v>41965</v>
      </c>
      <c r="B30" s="160">
        <v>105</v>
      </c>
      <c r="C30" s="160" t="s">
        <v>776</v>
      </c>
      <c r="D30" s="160">
        <v>1</v>
      </c>
      <c r="E30" s="160">
        <v>1600</v>
      </c>
      <c r="F30" s="160" t="s">
        <v>25</v>
      </c>
      <c r="H30" s="163" t="s">
        <v>1336</v>
      </c>
      <c r="I30" s="160" t="s">
        <v>916</v>
      </c>
    </row>
    <row r="31" spans="1:17" ht="90" x14ac:dyDescent="0.25">
      <c r="A31" s="195">
        <v>41965</v>
      </c>
      <c r="B31" s="160">
        <v>84</v>
      </c>
      <c r="C31" s="160" t="s">
        <v>891</v>
      </c>
      <c r="D31" s="160">
        <v>1</v>
      </c>
      <c r="E31" s="160">
        <v>2000</v>
      </c>
      <c r="F31" s="160" t="s">
        <v>25</v>
      </c>
      <c r="H31" s="163" t="s">
        <v>1642</v>
      </c>
    </row>
    <row r="32" spans="1:17" ht="30" hidden="1" x14ac:dyDescent="0.25">
      <c r="A32" s="159">
        <v>41672</v>
      </c>
      <c r="B32" s="160">
        <v>1</v>
      </c>
      <c r="C32" s="160" t="s">
        <v>788</v>
      </c>
      <c r="D32" s="160">
        <v>1</v>
      </c>
      <c r="E32" s="160">
        <v>9999</v>
      </c>
      <c r="F32" s="160" t="s">
        <v>25</v>
      </c>
      <c r="G32" s="160">
        <v>1</v>
      </c>
      <c r="H32" s="161" t="s">
        <v>27</v>
      </c>
      <c r="I32" s="162" t="s">
        <v>916</v>
      </c>
    </row>
    <row r="33" spans="1:9" ht="30" hidden="1" x14ac:dyDescent="0.25">
      <c r="A33" s="159">
        <v>41672</v>
      </c>
      <c r="B33" s="160">
        <v>2</v>
      </c>
      <c r="C33" s="160" t="s">
        <v>788</v>
      </c>
      <c r="D33" s="160">
        <v>1</v>
      </c>
      <c r="E33" s="160">
        <v>9999</v>
      </c>
      <c r="F33" s="160" t="s">
        <v>25</v>
      </c>
      <c r="G33" s="160">
        <v>1</v>
      </c>
      <c r="H33" s="163" t="s">
        <v>26</v>
      </c>
      <c r="I33" s="162" t="s">
        <v>916</v>
      </c>
    </row>
    <row r="34" spans="1:9" ht="45" hidden="1" x14ac:dyDescent="0.25">
      <c r="A34" s="159">
        <v>41672</v>
      </c>
      <c r="B34" s="160">
        <v>3</v>
      </c>
      <c r="C34" s="160" t="s">
        <v>788</v>
      </c>
      <c r="D34" s="160">
        <v>1</v>
      </c>
      <c r="E34" s="160">
        <v>9999</v>
      </c>
      <c r="F34" s="160" t="s">
        <v>29</v>
      </c>
      <c r="G34" s="160" t="s">
        <v>28</v>
      </c>
      <c r="H34" s="163" t="s">
        <v>30</v>
      </c>
      <c r="I34" s="162" t="s">
        <v>916</v>
      </c>
    </row>
    <row r="35" spans="1:9" hidden="1" x14ac:dyDescent="0.25">
      <c r="A35" s="195">
        <v>42056</v>
      </c>
      <c r="B35" s="160">
        <v>107</v>
      </c>
      <c r="C35" s="160" t="s">
        <v>862</v>
      </c>
      <c r="D35" s="160">
        <v>1</v>
      </c>
      <c r="F35" s="160" t="s">
        <v>25</v>
      </c>
      <c r="G35" s="160">
        <v>0.1</v>
      </c>
      <c r="H35" s="163" t="s">
        <v>1075</v>
      </c>
      <c r="I35" s="160" t="s">
        <v>916</v>
      </c>
    </row>
    <row r="36" spans="1:9" ht="45" hidden="1" x14ac:dyDescent="0.25">
      <c r="A36" s="195">
        <v>41965</v>
      </c>
      <c r="B36" s="160">
        <v>88</v>
      </c>
      <c r="C36" s="160" t="s">
        <v>896</v>
      </c>
      <c r="D36" s="160">
        <v>30</v>
      </c>
      <c r="E36" s="160" t="s">
        <v>233</v>
      </c>
      <c r="F36" s="160" t="s">
        <v>25</v>
      </c>
      <c r="H36" s="163" t="s">
        <v>897</v>
      </c>
    </row>
    <row r="37" spans="1:9" x14ac:dyDescent="0.25">
      <c r="A37" s="159">
        <v>41915</v>
      </c>
      <c r="B37" s="160">
        <v>4</v>
      </c>
      <c r="C37" s="160" t="s">
        <v>1337</v>
      </c>
      <c r="D37" s="160">
        <v>10</v>
      </c>
      <c r="F37" s="160" t="s">
        <v>765</v>
      </c>
      <c r="G37" s="160" t="s">
        <v>28</v>
      </c>
      <c r="H37" s="163" t="s">
        <v>636</v>
      </c>
      <c r="I37" s="162"/>
    </row>
    <row r="38" spans="1:9" x14ac:dyDescent="0.25">
      <c r="A38" s="159">
        <v>41915</v>
      </c>
      <c r="B38" s="160">
        <v>4</v>
      </c>
      <c r="C38" s="160" t="s">
        <v>1337</v>
      </c>
      <c r="D38" s="160">
        <v>10</v>
      </c>
      <c r="F38" s="160" t="s">
        <v>765</v>
      </c>
      <c r="G38" s="160" t="s">
        <v>28</v>
      </c>
      <c r="H38" s="163" t="s">
        <v>775</v>
      </c>
      <c r="I38" s="162"/>
    </row>
    <row r="39" spans="1:9" ht="105" x14ac:dyDescent="0.25">
      <c r="A39" s="159">
        <v>41925</v>
      </c>
      <c r="B39" s="160">
        <v>9</v>
      </c>
      <c r="C39" s="160" t="s">
        <v>764</v>
      </c>
      <c r="D39" s="160">
        <v>10</v>
      </c>
      <c r="F39" s="160" t="s">
        <v>25</v>
      </c>
      <c r="G39" s="160">
        <v>2</v>
      </c>
      <c r="H39" s="163" t="s">
        <v>970</v>
      </c>
      <c r="I39" s="162"/>
    </row>
    <row r="40" spans="1:9" ht="60" hidden="1" x14ac:dyDescent="0.25">
      <c r="A40" s="159">
        <v>41925</v>
      </c>
      <c r="B40" s="160">
        <v>10</v>
      </c>
      <c r="C40" s="160" t="s">
        <v>764</v>
      </c>
      <c r="D40" s="160">
        <v>5</v>
      </c>
      <c r="F40" s="160" t="s">
        <v>29</v>
      </c>
      <c r="G40" s="160">
        <v>10</v>
      </c>
      <c r="H40" s="163" t="s">
        <v>969</v>
      </c>
      <c r="I40" s="162" t="s">
        <v>916</v>
      </c>
    </row>
    <row r="41" spans="1:9" hidden="1" x14ac:dyDescent="0.25">
      <c r="A41" s="159">
        <v>41925</v>
      </c>
      <c r="B41" s="160">
        <v>11</v>
      </c>
      <c r="C41" s="160" t="s">
        <v>764</v>
      </c>
      <c r="D41" s="160">
        <v>10</v>
      </c>
      <c r="F41" s="160" t="s">
        <v>765</v>
      </c>
      <c r="G41" s="160">
        <v>10</v>
      </c>
      <c r="H41" s="163" t="s">
        <v>766</v>
      </c>
      <c r="I41" s="162"/>
    </row>
    <row r="42" spans="1:9" hidden="1" x14ac:dyDescent="0.25">
      <c r="A42" s="159">
        <v>41925</v>
      </c>
      <c r="B42" s="160">
        <v>12</v>
      </c>
      <c r="C42" s="160" t="s">
        <v>764</v>
      </c>
      <c r="D42" s="160">
        <v>10</v>
      </c>
      <c r="F42" s="160" t="s">
        <v>765</v>
      </c>
      <c r="G42" s="160">
        <v>10</v>
      </c>
      <c r="H42" s="163" t="s">
        <v>767</v>
      </c>
      <c r="I42" s="162"/>
    </row>
    <row r="43" spans="1:9" ht="60" hidden="1" x14ac:dyDescent="0.25">
      <c r="A43" s="159">
        <v>41925</v>
      </c>
      <c r="B43" s="160">
        <v>14</v>
      </c>
      <c r="C43" s="160" t="s">
        <v>1337</v>
      </c>
      <c r="D43" s="160">
        <v>5</v>
      </c>
      <c r="F43" s="160" t="s">
        <v>29</v>
      </c>
      <c r="G43" s="160">
        <v>10</v>
      </c>
      <c r="H43" s="163" t="s">
        <v>769</v>
      </c>
      <c r="I43" s="162" t="s">
        <v>916</v>
      </c>
    </row>
    <row r="44" spans="1:9" ht="60" hidden="1" x14ac:dyDescent="0.25">
      <c r="A44" s="159">
        <v>41925</v>
      </c>
      <c r="B44" s="160">
        <v>15</v>
      </c>
      <c r="C44" s="160" t="s">
        <v>1337</v>
      </c>
      <c r="D44" s="160">
        <v>5</v>
      </c>
      <c r="F44" s="160" t="s">
        <v>29</v>
      </c>
      <c r="G44" s="160">
        <v>10</v>
      </c>
      <c r="H44" s="163" t="s">
        <v>770</v>
      </c>
      <c r="I44" s="162" t="s">
        <v>916</v>
      </c>
    </row>
    <row r="45" spans="1:9" hidden="1" x14ac:dyDescent="0.25">
      <c r="A45" s="159">
        <v>41925</v>
      </c>
      <c r="B45" s="160">
        <v>16</v>
      </c>
      <c r="C45" s="160" t="s">
        <v>1337</v>
      </c>
      <c r="D45" s="160">
        <v>5</v>
      </c>
      <c r="F45" s="160" t="s">
        <v>25</v>
      </c>
      <c r="G45" s="160">
        <v>1</v>
      </c>
      <c r="H45" s="163" t="s">
        <v>771</v>
      </c>
      <c r="I45" s="162" t="s">
        <v>916</v>
      </c>
    </row>
    <row r="46" spans="1:9" hidden="1" x14ac:dyDescent="0.25">
      <c r="A46" s="159">
        <v>41925</v>
      </c>
      <c r="B46" s="160">
        <v>17</v>
      </c>
      <c r="C46" s="160" t="s">
        <v>1337</v>
      </c>
      <c r="D46" s="160">
        <v>5</v>
      </c>
      <c r="F46" s="160" t="s">
        <v>25</v>
      </c>
      <c r="G46" s="160">
        <v>1</v>
      </c>
      <c r="H46" s="163" t="s">
        <v>772</v>
      </c>
      <c r="I46" s="162" t="s">
        <v>916</v>
      </c>
    </row>
    <row r="47" spans="1:9" hidden="1" x14ac:dyDescent="0.25">
      <c r="A47" s="159">
        <v>41925</v>
      </c>
      <c r="B47" s="160">
        <v>18</v>
      </c>
      <c r="C47" s="160" t="s">
        <v>1337</v>
      </c>
      <c r="D47" s="160">
        <v>1</v>
      </c>
      <c r="F47" s="160" t="s">
        <v>25</v>
      </c>
      <c r="G47" s="160">
        <v>5</v>
      </c>
      <c r="H47" s="163" t="s">
        <v>773</v>
      </c>
      <c r="I47" s="162" t="s">
        <v>916</v>
      </c>
    </row>
    <row r="48" spans="1:9" hidden="1" x14ac:dyDescent="0.25">
      <c r="A48" s="159">
        <v>41925</v>
      </c>
      <c r="B48" s="160">
        <v>19</v>
      </c>
      <c r="C48" s="160" t="s">
        <v>776</v>
      </c>
      <c r="D48" s="160">
        <v>5</v>
      </c>
      <c r="F48" s="160" t="s">
        <v>765</v>
      </c>
      <c r="G48" s="160">
        <v>5</v>
      </c>
      <c r="H48" s="163" t="s">
        <v>777</v>
      </c>
      <c r="I48" s="162" t="s">
        <v>916</v>
      </c>
    </row>
    <row r="49" spans="1:9" hidden="1" x14ac:dyDescent="0.25">
      <c r="A49" s="159">
        <v>41925</v>
      </c>
      <c r="B49" s="160">
        <v>20</v>
      </c>
      <c r="C49" s="160" t="s">
        <v>776</v>
      </c>
      <c r="D49" s="160">
        <v>10</v>
      </c>
      <c r="F49" s="160" t="s">
        <v>765</v>
      </c>
      <c r="G49" s="160">
        <v>5</v>
      </c>
      <c r="H49" s="163" t="s">
        <v>778</v>
      </c>
      <c r="I49" s="162"/>
    </row>
    <row r="50" spans="1:9" hidden="1" x14ac:dyDescent="0.25">
      <c r="A50" s="159">
        <v>41925</v>
      </c>
      <c r="B50" s="160">
        <v>21</v>
      </c>
      <c r="C50" s="160" t="s">
        <v>776</v>
      </c>
      <c r="D50" s="160">
        <v>10</v>
      </c>
      <c r="F50" s="160" t="s">
        <v>765</v>
      </c>
      <c r="G50" s="160">
        <v>5</v>
      </c>
      <c r="H50" s="163" t="s">
        <v>779</v>
      </c>
      <c r="I50" s="162"/>
    </row>
    <row r="51" spans="1:9" hidden="1" x14ac:dyDescent="0.25">
      <c r="A51" s="159">
        <v>41925</v>
      </c>
      <c r="B51" s="160">
        <v>24</v>
      </c>
      <c r="C51" s="160" t="s">
        <v>776</v>
      </c>
      <c r="D51" s="160">
        <v>10</v>
      </c>
      <c r="F51" s="160" t="s">
        <v>765</v>
      </c>
      <c r="G51" s="160">
        <v>5</v>
      </c>
      <c r="H51" s="163" t="s">
        <v>910</v>
      </c>
      <c r="I51" s="162"/>
    </row>
    <row r="52" spans="1:9" hidden="1" x14ac:dyDescent="0.25">
      <c r="A52" s="159">
        <v>41925</v>
      </c>
      <c r="B52" s="160">
        <v>25</v>
      </c>
      <c r="C52" s="160" t="s">
        <v>776</v>
      </c>
      <c r="D52" s="160">
        <v>10</v>
      </c>
      <c r="F52" s="160" t="s">
        <v>765</v>
      </c>
      <c r="G52" s="160">
        <v>5</v>
      </c>
      <c r="H52" s="163" t="s">
        <v>911</v>
      </c>
      <c r="I52" s="162"/>
    </row>
    <row r="53" spans="1:9" ht="30" hidden="1" x14ac:dyDescent="0.25">
      <c r="A53" s="159">
        <v>42190</v>
      </c>
      <c r="B53" s="160">
        <v>26</v>
      </c>
      <c r="C53" s="160" t="s">
        <v>776</v>
      </c>
      <c r="D53" s="160">
        <v>10</v>
      </c>
      <c r="F53" s="160" t="s">
        <v>25</v>
      </c>
      <c r="G53" s="160">
        <v>5</v>
      </c>
      <c r="H53" s="163" t="s">
        <v>1643</v>
      </c>
      <c r="I53" s="162"/>
    </row>
    <row r="54" spans="1:9" ht="30" hidden="1" x14ac:dyDescent="0.25">
      <c r="A54" s="159">
        <v>41925</v>
      </c>
      <c r="B54" s="160">
        <v>28</v>
      </c>
      <c r="C54" s="160" t="s">
        <v>776</v>
      </c>
      <c r="D54" s="160">
        <v>1</v>
      </c>
      <c r="F54" s="160" t="s">
        <v>765</v>
      </c>
      <c r="G54" s="160">
        <v>5</v>
      </c>
      <c r="H54" s="163" t="s">
        <v>913</v>
      </c>
      <c r="I54" s="160" t="s">
        <v>916</v>
      </c>
    </row>
    <row r="55" spans="1:9" hidden="1" x14ac:dyDescent="0.25">
      <c r="A55" s="159">
        <v>41925</v>
      </c>
      <c r="B55" s="160">
        <v>31</v>
      </c>
      <c r="C55" s="160" t="s">
        <v>776</v>
      </c>
      <c r="D55" s="160">
        <v>1</v>
      </c>
      <c r="F55" s="160" t="s">
        <v>765</v>
      </c>
      <c r="G55" s="160">
        <v>5</v>
      </c>
      <c r="H55" s="163" t="s">
        <v>784</v>
      </c>
      <c r="I55" s="160" t="s">
        <v>916</v>
      </c>
    </row>
    <row r="56" spans="1:9" ht="60" hidden="1" x14ac:dyDescent="0.25">
      <c r="A56" s="159">
        <v>41925</v>
      </c>
      <c r="B56" s="160">
        <v>32</v>
      </c>
      <c r="C56" s="160" t="s">
        <v>776</v>
      </c>
      <c r="D56" s="160">
        <v>1</v>
      </c>
      <c r="F56" s="160" t="s">
        <v>765</v>
      </c>
      <c r="G56" s="160">
        <v>5</v>
      </c>
      <c r="H56" s="163" t="s">
        <v>785</v>
      </c>
      <c r="I56" s="160" t="s">
        <v>916</v>
      </c>
    </row>
    <row r="57" spans="1:9" ht="75" hidden="1" x14ac:dyDescent="0.25">
      <c r="A57" s="159">
        <v>41925</v>
      </c>
      <c r="B57" s="160">
        <v>34</v>
      </c>
      <c r="C57" s="160" t="s">
        <v>862</v>
      </c>
      <c r="D57" s="160">
        <v>10</v>
      </c>
      <c r="F57" s="160" t="s">
        <v>765</v>
      </c>
      <c r="G57" s="160">
        <v>5</v>
      </c>
      <c r="H57" s="163" t="s">
        <v>789</v>
      </c>
    </row>
    <row r="58" spans="1:9" ht="45" hidden="1" x14ac:dyDescent="0.25">
      <c r="A58" s="159">
        <v>41925</v>
      </c>
      <c r="B58" s="160">
        <v>36</v>
      </c>
      <c r="C58" s="160" t="s">
        <v>862</v>
      </c>
      <c r="D58" s="160">
        <v>5</v>
      </c>
      <c r="F58" s="160" t="s">
        <v>765</v>
      </c>
      <c r="G58" s="160">
        <v>5</v>
      </c>
      <c r="H58" s="163" t="s">
        <v>1644</v>
      </c>
      <c r="I58" s="160" t="s">
        <v>916</v>
      </c>
    </row>
    <row r="59" spans="1:9" ht="90" x14ac:dyDescent="0.25">
      <c r="A59" s="159">
        <v>41925</v>
      </c>
      <c r="B59" s="160">
        <v>38</v>
      </c>
      <c r="C59" s="160" t="s">
        <v>862</v>
      </c>
      <c r="D59" s="160">
        <v>5</v>
      </c>
      <c r="F59" s="160" t="s">
        <v>765</v>
      </c>
      <c r="G59" s="160">
        <v>5</v>
      </c>
      <c r="H59" s="163" t="s">
        <v>1645</v>
      </c>
    </row>
    <row r="60" spans="1:9" hidden="1" x14ac:dyDescent="0.25">
      <c r="A60" s="195">
        <v>41965</v>
      </c>
      <c r="B60" s="160">
        <v>45</v>
      </c>
      <c r="C60" s="160" t="s">
        <v>863</v>
      </c>
      <c r="D60" s="160">
        <v>5</v>
      </c>
      <c r="F60" s="160" t="s">
        <v>765</v>
      </c>
      <c r="H60" s="163" t="s">
        <v>1338</v>
      </c>
      <c r="I60" s="160" t="s">
        <v>916</v>
      </c>
    </row>
    <row r="61" spans="1:9" hidden="1" x14ac:dyDescent="0.25">
      <c r="A61" s="195">
        <v>41965</v>
      </c>
      <c r="B61" s="160">
        <v>46</v>
      </c>
      <c r="C61" s="160" t="s">
        <v>863</v>
      </c>
      <c r="D61" s="160">
        <v>5</v>
      </c>
      <c r="F61" s="160" t="s">
        <v>765</v>
      </c>
      <c r="H61" s="163" t="s">
        <v>864</v>
      </c>
      <c r="I61" s="160" t="s">
        <v>916</v>
      </c>
    </row>
    <row r="62" spans="1:9" hidden="1" x14ac:dyDescent="0.25">
      <c r="A62" s="195">
        <v>41965</v>
      </c>
      <c r="B62" s="160">
        <v>47</v>
      </c>
      <c r="C62" s="160" t="s">
        <v>863</v>
      </c>
      <c r="D62" s="160">
        <v>5</v>
      </c>
      <c r="F62" s="160" t="s">
        <v>25</v>
      </c>
      <c r="H62" s="163" t="s">
        <v>1339</v>
      </c>
      <c r="I62" s="160" t="s">
        <v>943</v>
      </c>
    </row>
    <row r="63" spans="1:9" hidden="1" x14ac:dyDescent="0.25">
      <c r="A63" s="195">
        <v>41965</v>
      </c>
      <c r="B63" s="160">
        <v>48</v>
      </c>
      <c r="C63" s="160" t="s">
        <v>862</v>
      </c>
      <c r="D63" s="160">
        <v>5</v>
      </c>
      <c r="F63" s="160" t="s">
        <v>25</v>
      </c>
      <c r="H63" s="163" t="s">
        <v>865</v>
      </c>
      <c r="I63" s="160" t="s">
        <v>916</v>
      </c>
    </row>
    <row r="64" spans="1:9" hidden="1" x14ac:dyDescent="0.25">
      <c r="A64" s="195">
        <v>41965</v>
      </c>
      <c r="B64" s="160">
        <v>59</v>
      </c>
      <c r="C64" s="160" t="s">
        <v>764</v>
      </c>
      <c r="D64" s="160">
        <v>10</v>
      </c>
      <c r="F64" s="160" t="s">
        <v>25</v>
      </c>
      <c r="H64" s="163" t="s">
        <v>872</v>
      </c>
    </row>
    <row r="65" spans="1:9" hidden="1" x14ac:dyDescent="0.25">
      <c r="A65" s="195">
        <v>41965</v>
      </c>
      <c r="B65" s="160">
        <v>63</v>
      </c>
      <c r="C65" s="160" t="s">
        <v>875</v>
      </c>
      <c r="D65" s="160">
        <v>5</v>
      </c>
      <c r="F65" s="160" t="s">
        <v>765</v>
      </c>
      <c r="H65" s="163" t="s">
        <v>994</v>
      </c>
      <c r="I65" s="160" t="s">
        <v>916</v>
      </c>
    </row>
    <row r="66" spans="1:9" hidden="1" x14ac:dyDescent="0.25">
      <c r="A66" s="195">
        <v>41965</v>
      </c>
      <c r="B66" s="160">
        <v>64</v>
      </c>
      <c r="C66" s="160" t="s">
        <v>875</v>
      </c>
      <c r="D66" s="160">
        <v>5</v>
      </c>
      <c r="F66" s="160" t="s">
        <v>25</v>
      </c>
      <c r="H66" s="163" t="s">
        <v>993</v>
      </c>
      <c r="I66" s="160" t="s">
        <v>916</v>
      </c>
    </row>
    <row r="67" spans="1:9" hidden="1" x14ac:dyDescent="0.25">
      <c r="A67" s="195">
        <v>41965</v>
      </c>
      <c r="B67" s="160">
        <v>65</v>
      </c>
      <c r="C67" s="160" t="s">
        <v>877</v>
      </c>
      <c r="D67" s="160">
        <v>5</v>
      </c>
      <c r="F67" s="160" t="s">
        <v>25</v>
      </c>
      <c r="H67" s="163" t="s">
        <v>878</v>
      </c>
      <c r="I67" s="160" t="s">
        <v>916</v>
      </c>
    </row>
    <row r="68" spans="1:9" hidden="1" x14ac:dyDescent="0.25">
      <c r="A68" s="195">
        <v>41965</v>
      </c>
      <c r="B68" s="160">
        <v>66</v>
      </c>
      <c r="C68" s="160" t="s">
        <v>877</v>
      </c>
      <c r="D68" s="160">
        <v>5</v>
      </c>
      <c r="F68" s="160" t="s">
        <v>25</v>
      </c>
      <c r="H68" s="163" t="s">
        <v>995</v>
      </c>
      <c r="I68" s="160" t="s">
        <v>916</v>
      </c>
    </row>
    <row r="69" spans="1:9" hidden="1" x14ac:dyDescent="0.25">
      <c r="A69" s="195">
        <v>41965</v>
      </c>
      <c r="B69" s="160">
        <v>70</v>
      </c>
      <c r="C69" s="160" t="s">
        <v>862</v>
      </c>
      <c r="D69" s="160">
        <v>10</v>
      </c>
      <c r="F69" s="160" t="s">
        <v>29</v>
      </c>
      <c r="H69" s="163" t="s">
        <v>880</v>
      </c>
    </row>
    <row r="70" spans="1:9" hidden="1" x14ac:dyDescent="0.25">
      <c r="A70" s="195">
        <v>41965</v>
      </c>
      <c r="B70" s="160">
        <v>71</v>
      </c>
      <c r="C70" s="160" t="s">
        <v>862</v>
      </c>
      <c r="D70" s="160">
        <v>10</v>
      </c>
      <c r="F70" s="160" t="s">
        <v>29</v>
      </c>
      <c r="H70" s="163" t="s">
        <v>881</v>
      </c>
    </row>
    <row r="71" spans="1:9" hidden="1" x14ac:dyDescent="0.25">
      <c r="A71" s="195">
        <v>41965</v>
      </c>
      <c r="B71" s="160">
        <v>72</v>
      </c>
      <c r="C71" s="160" t="s">
        <v>863</v>
      </c>
      <c r="D71" s="160">
        <v>10</v>
      </c>
      <c r="F71" s="160" t="s">
        <v>29</v>
      </c>
      <c r="H71" s="163" t="s">
        <v>880</v>
      </c>
    </row>
    <row r="72" spans="1:9" hidden="1" x14ac:dyDescent="0.25">
      <c r="A72" s="195">
        <v>41965</v>
      </c>
      <c r="B72" s="160">
        <v>73</v>
      </c>
      <c r="C72" s="160" t="s">
        <v>863</v>
      </c>
      <c r="D72" s="160">
        <v>10</v>
      </c>
      <c r="F72" s="160" t="s">
        <v>29</v>
      </c>
      <c r="H72" s="163" t="s">
        <v>881</v>
      </c>
    </row>
    <row r="73" spans="1:9" hidden="1" x14ac:dyDescent="0.25">
      <c r="A73" s="195">
        <v>41965</v>
      </c>
      <c r="B73" s="160">
        <v>74</v>
      </c>
      <c r="C73" s="160" t="s">
        <v>863</v>
      </c>
      <c r="D73" s="160">
        <v>10</v>
      </c>
      <c r="F73" s="160" t="s">
        <v>25</v>
      </c>
      <c r="H73" s="163" t="s">
        <v>883</v>
      </c>
    </row>
    <row r="74" spans="1:9" hidden="1" x14ac:dyDescent="0.25">
      <c r="A74" s="195">
        <v>41965</v>
      </c>
      <c r="B74" s="160">
        <v>75</v>
      </c>
      <c r="C74" s="160" t="s">
        <v>863</v>
      </c>
      <c r="D74" s="160">
        <v>10</v>
      </c>
      <c r="F74" s="160" t="s">
        <v>25</v>
      </c>
      <c r="H74" s="163" t="s">
        <v>882</v>
      </c>
    </row>
    <row r="75" spans="1:9" hidden="1" x14ac:dyDescent="0.25">
      <c r="A75" s="195">
        <v>41965</v>
      </c>
      <c r="B75" s="160">
        <v>85</v>
      </c>
      <c r="C75" s="160" t="s">
        <v>891</v>
      </c>
      <c r="D75" s="160">
        <v>10</v>
      </c>
      <c r="F75" s="160" t="s">
        <v>29</v>
      </c>
      <c r="H75" s="163" t="s">
        <v>893</v>
      </c>
    </row>
    <row r="76" spans="1:9" hidden="1" x14ac:dyDescent="0.25">
      <c r="A76" s="195">
        <v>41965</v>
      </c>
      <c r="B76" s="160">
        <v>86</v>
      </c>
      <c r="C76" s="160" t="s">
        <v>891</v>
      </c>
      <c r="D76" s="160">
        <v>10</v>
      </c>
      <c r="F76" s="160" t="s">
        <v>29</v>
      </c>
      <c r="H76" s="163" t="s">
        <v>894</v>
      </c>
    </row>
    <row r="77" spans="1:9" ht="60" x14ac:dyDescent="0.25">
      <c r="A77" s="195">
        <v>41965</v>
      </c>
      <c r="B77" s="160">
        <v>96</v>
      </c>
      <c r="C77" s="160" t="s">
        <v>788</v>
      </c>
      <c r="D77" s="160">
        <v>5</v>
      </c>
      <c r="F77" s="160" t="s">
        <v>25</v>
      </c>
      <c r="H77" s="163" t="s">
        <v>1646</v>
      </c>
    </row>
    <row r="78" spans="1:9" x14ac:dyDescent="0.25">
      <c r="A78" s="195">
        <v>41965</v>
      </c>
      <c r="B78" s="160">
        <v>97</v>
      </c>
      <c r="C78" s="160" t="s">
        <v>788</v>
      </c>
      <c r="D78" s="160">
        <v>5</v>
      </c>
      <c r="F78" s="160" t="s">
        <v>25</v>
      </c>
      <c r="H78" s="163" t="s">
        <v>903</v>
      </c>
    </row>
    <row r="79" spans="1:9" x14ac:dyDescent="0.25">
      <c r="A79" s="195">
        <v>41965</v>
      </c>
      <c r="B79" s="160">
        <v>98</v>
      </c>
      <c r="C79" s="160" t="s">
        <v>788</v>
      </c>
      <c r="D79" s="160">
        <v>5</v>
      </c>
      <c r="F79" s="160" t="s">
        <v>25</v>
      </c>
      <c r="H79" s="163" t="s">
        <v>904</v>
      </c>
    </row>
    <row r="80" spans="1:9" x14ac:dyDescent="0.25">
      <c r="A80" s="195">
        <v>41965</v>
      </c>
      <c r="B80" s="160">
        <v>99</v>
      </c>
      <c r="C80" s="160" t="s">
        <v>788</v>
      </c>
      <c r="D80" s="160">
        <v>5</v>
      </c>
      <c r="F80" s="160" t="s">
        <v>25</v>
      </c>
      <c r="H80" s="163" t="s">
        <v>905</v>
      </c>
    </row>
    <row r="81" spans="1:9" x14ac:dyDescent="0.25">
      <c r="A81" s="195">
        <v>41965</v>
      </c>
      <c r="B81" s="160">
        <v>100</v>
      </c>
      <c r="C81" s="160" t="s">
        <v>788</v>
      </c>
      <c r="D81" s="160">
        <v>5</v>
      </c>
      <c r="F81" s="160" t="s">
        <v>25</v>
      </c>
      <c r="H81" s="163" t="s">
        <v>906</v>
      </c>
    </row>
    <row r="82" spans="1:9" x14ac:dyDescent="0.25">
      <c r="A82" s="195">
        <v>41965</v>
      </c>
      <c r="B82" s="160">
        <v>101</v>
      </c>
      <c r="C82" s="160" t="s">
        <v>788</v>
      </c>
      <c r="D82" s="160">
        <v>5</v>
      </c>
      <c r="F82" s="160" t="s">
        <v>25</v>
      </c>
      <c r="H82" s="163" t="s">
        <v>907</v>
      </c>
    </row>
    <row r="83" spans="1:9" x14ac:dyDescent="0.25">
      <c r="A83" s="195">
        <v>41965</v>
      </c>
      <c r="B83" s="160">
        <v>102</v>
      </c>
      <c r="C83" s="160" t="s">
        <v>788</v>
      </c>
      <c r="D83" s="160">
        <v>5</v>
      </c>
      <c r="F83" s="160" t="s">
        <v>25</v>
      </c>
      <c r="H83" s="163" t="s">
        <v>908</v>
      </c>
    </row>
    <row r="84" spans="1:9" hidden="1" x14ac:dyDescent="0.25">
      <c r="A84" s="195">
        <v>41965</v>
      </c>
      <c r="B84" s="160">
        <v>103</v>
      </c>
      <c r="C84" s="160" t="s">
        <v>909</v>
      </c>
      <c r="D84" s="160">
        <v>10</v>
      </c>
      <c r="F84" s="160" t="s">
        <v>29</v>
      </c>
      <c r="H84" s="163" t="s">
        <v>914</v>
      </c>
    </row>
    <row r="85" spans="1:9" hidden="1" x14ac:dyDescent="0.25">
      <c r="A85" s="195">
        <v>41965</v>
      </c>
      <c r="B85" s="160">
        <v>104</v>
      </c>
      <c r="C85" s="160" t="s">
        <v>909</v>
      </c>
      <c r="D85" s="160">
        <v>10</v>
      </c>
      <c r="F85" s="160" t="s">
        <v>29</v>
      </c>
      <c r="H85" s="163" t="s">
        <v>915</v>
      </c>
    </row>
    <row r="86" spans="1:9" ht="75" hidden="1" x14ac:dyDescent="0.25">
      <c r="A86" s="195">
        <v>42015</v>
      </c>
      <c r="B86" s="160">
        <v>105</v>
      </c>
      <c r="C86" s="160" t="s">
        <v>862</v>
      </c>
      <c r="D86" s="160">
        <v>10</v>
      </c>
      <c r="F86" s="160" t="s">
        <v>29</v>
      </c>
      <c r="G86" s="160">
        <v>5</v>
      </c>
      <c r="H86" s="163" t="s">
        <v>1647</v>
      </c>
    </row>
    <row r="87" spans="1:9" hidden="1" x14ac:dyDescent="0.25">
      <c r="A87" s="195">
        <v>42000</v>
      </c>
      <c r="B87" s="160">
        <v>107</v>
      </c>
      <c r="C87" s="160" t="s">
        <v>788</v>
      </c>
      <c r="D87" s="160">
        <v>10</v>
      </c>
      <c r="E87" s="160">
        <v>9000</v>
      </c>
      <c r="F87" s="160" t="s">
        <v>29</v>
      </c>
      <c r="G87" s="160">
        <v>0.5</v>
      </c>
      <c r="H87" s="163" t="s">
        <v>920</v>
      </c>
    </row>
    <row r="88" spans="1:9" hidden="1" x14ac:dyDescent="0.25">
      <c r="A88" s="159">
        <v>41925</v>
      </c>
      <c r="B88" s="160">
        <v>13</v>
      </c>
      <c r="C88" s="160" t="s">
        <v>764</v>
      </c>
      <c r="D88" s="160">
        <v>10</v>
      </c>
      <c r="F88" s="160" t="s">
        <v>765</v>
      </c>
      <c r="G88" s="160">
        <v>10</v>
      </c>
      <c r="H88" s="163" t="s">
        <v>768</v>
      </c>
      <c r="I88" s="162"/>
    </row>
    <row r="89" spans="1:9" hidden="1" x14ac:dyDescent="0.25">
      <c r="A89" s="159">
        <v>41925</v>
      </c>
      <c r="B89" s="160">
        <v>22</v>
      </c>
      <c r="C89" s="160" t="s">
        <v>776</v>
      </c>
      <c r="D89" s="160">
        <v>10</v>
      </c>
      <c r="F89" s="160" t="s">
        <v>765</v>
      </c>
      <c r="G89" s="160">
        <v>5</v>
      </c>
      <c r="H89" s="163" t="s">
        <v>780</v>
      </c>
      <c r="I89" s="162"/>
    </row>
    <row r="90" spans="1:9" hidden="1" x14ac:dyDescent="0.25">
      <c r="A90" s="159">
        <v>41925</v>
      </c>
      <c r="B90" s="160">
        <v>23</v>
      </c>
      <c r="C90" s="160" t="s">
        <v>776</v>
      </c>
      <c r="D90" s="160">
        <v>10</v>
      </c>
      <c r="F90" s="160" t="s">
        <v>765</v>
      </c>
      <c r="G90" s="160">
        <v>5</v>
      </c>
      <c r="H90" s="163" t="s">
        <v>781</v>
      </c>
      <c r="I90" s="162"/>
    </row>
    <row r="91" spans="1:9" x14ac:dyDescent="0.25">
      <c r="A91" s="159">
        <v>41925</v>
      </c>
      <c r="B91" s="160">
        <v>26</v>
      </c>
      <c r="C91" s="160" t="s">
        <v>776</v>
      </c>
      <c r="D91" s="160">
        <v>5</v>
      </c>
      <c r="F91" s="160" t="s">
        <v>765</v>
      </c>
      <c r="G91" s="160">
        <v>5</v>
      </c>
      <c r="H91" s="163" t="s">
        <v>782</v>
      </c>
      <c r="I91" s="162"/>
    </row>
    <row r="92" spans="1:9" hidden="1" x14ac:dyDescent="0.25">
      <c r="A92" s="195">
        <v>41965</v>
      </c>
      <c r="B92" s="160">
        <v>49</v>
      </c>
      <c r="C92" s="160" t="s">
        <v>863</v>
      </c>
      <c r="D92" s="160">
        <v>10</v>
      </c>
      <c r="F92" s="160" t="s">
        <v>765</v>
      </c>
      <c r="H92" s="163" t="s">
        <v>866</v>
      </c>
    </row>
    <row r="93" spans="1:9" hidden="1" x14ac:dyDescent="0.25">
      <c r="A93" s="195">
        <v>41965</v>
      </c>
      <c r="B93" s="160">
        <v>50</v>
      </c>
      <c r="C93" s="160" t="s">
        <v>862</v>
      </c>
      <c r="D93" s="160">
        <v>10</v>
      </c>
      <c r="F93" s="160" t="s">
        <v>765</v>
      </c>
      <c r="H93" s="163" t="s">
        <v>866</v>
      </c>
    </row>
    <row r="94" spans="1:9" hidden="1" x14ac:dyDescent="0.25">
      <c r="A94" s="195">
        <v>41965</v>
      </c>
      <c r="B94" s="160">
        <v>51</v>
      </c>
      <c r="C94" s="160" t="s">
        <v>863</v>
      </c>
      <c r="D94" s="160">
        <v>20</v>
      </c>
      <c r="F94" s="160" t="s">
        <v>765</v>
      </c>
      <c r="H94" s="163" t="s">
        <v>867</v>
      </c>
    </row>
    <row r="95" spans="1:9" hidden="1" x14ac:dyDescent="0.25">
      <c r="A95" s="195">
        <v>41965</v>
      </c>
      <c r="B95" s="160">
        <v>52</v>
      </c>
      <c r="C95" s="160" t="s">
        <v>862</v>
      </c>
      <c r="D95" s="160">
        <v>20</v>
      </c>
      <c r="F95" s="160" t="s">
        <v>765</v>
      </c>
      <c r="H95" s="163" t="s">
        <v>867</v>
      </c>
    </row>
    <row r="96" spans="1:9" ht="30" hidden="1" x14ac:dyDescent="0.25">
      <c r="A96" s="195">
        <v>41965</v>
      </c>
      <c r="B96" s="160">
        <v>53</v>
      </c>
      <c r="C96" s="160" t="s">
        <v>863</v>
      </c>
      <c r="D96" s="160">
        <v>20</v>
      </c>
      <c r="F96" s="160" t="s">
        <v>765</v>
      </c>
      <c r="H96" s="163" t="s">
        <v>868</v>
      </c>
    </row>
    <row r="97" spans="1:9" ht="30" hidden="1" x14ac:dyDescent="0.25">
      <c r="A97" s="195">
        <v>41965</v>
      </c>
      <c r="B97" s="160">
        <v>54</v>
      </c>
      <c r="C97" s="160" t="s">
        <v>862</v>
      </c>
      <c r="D97" s="160">
        <v>20</v>
      </c>
      <c r="F97" s="160" t="s">
        <v>765</v>
      </c>
      <c r="H97" s="163" t="s">
        <v>869</v>
      </c>
    </row>
    <row r="98" spans="1:9" hidden="1" x14ac:dyDescent="0.25">
      <c r="A98" s="195">
        <v>41965</v>
      </c>
      <c r="B98" s="160">
        <v>55</v>
      </c>
      <c r="C98" s="160" t="s">
        <v>863</v>
      </c>
      <c r="D98" s="160">
        <v>20</v>
      </c>
      <c r="F98" s="160" t="s">
        <v>765</v>
      </c>
      <c r="H98" s="163" t="s">
        <v>870</v>
      </c>
    </row>
    <row r="99" spans="1:9" hidden="1" x14ac:dyDescent="0.25">
      <c r="A99" s="195">
        <v>41965</v>
      </c>
      <c r="B99" s="160">
        <v>56</v>
      </c>
      <c r="C99" s="160" t="s">
        <v>862</v>
      </c>
      <c r="D99" s="160">
        <v>20</v>
      </c>
      <c r="F99" s="160" t="s">
        <v>765</v>
      </c>
      <c r="H99" s="163" t="s">
        <v>871</v>
      </c>
    </row>
    <row r="100" spans="1:9" hidden="1" x14ac:dyDescent="0.25">
      <c r="A100" s="195">
        <v>41965</v>
      </c>
      <c r="B100" s="160">
        <v>62</v>
      </c>
      <c r="C100" s="160" t="s">
        <v>862</v>
      </c>
      <c r="D100" s="160">
        <v>10</v>
      </c>
      <c r="F100" s="160" t="s">
        <v>765</v>
      </c>
      <c r="H100" s="163" t="s">
        <v>874</v>
      </c>
      <c r="I100" s="160" t="s">
        <v>916</v>
      </c>
    </row>
    <row r="101" spans="1:9" ht="45" hidden="1" x14ac:dyDescent="0.25">
      <c r="A101" s="195">
        <v>41965</v>
      </c>
      <c r="B101" s="160">
        <v>67</v>
      </c>
      <c r="C101" s="160" t="s">
        <v>879</v>
      </c>
      <c r="D101" s="160">
        <v>20</v>
      </c>
      <c r="F101" s="160" t="s">
        <v>29</v>
      </c>
      <c r="H101" s="163" t="s">
        <v>1648</v>
      </c>
    </row>
    <row r="102" spans="1:9" hidden="1" x14ac:dyDescent="0.25">
      <c r="A102" s="195">
        <v>41965</v>
      </c>
      <c r="B102" s="160">
        <v>68</v>
      </c>
      <c r="C102" s="160" t="s">
        <v>879</v>
      </c>
      <c r="D102" s="160">
        <v>20</v>
      </c>
      <c r="F102" s="160" t="s">
        <v>29</v>
      </c>
      <c r="H102" s="163" t="s">
        <v>1650</v>
      </c>
    </row>
    <row r="103" spans="1:9" ht="30" hidden="1" x14ac:dyDescent="0.25">
      <c r="A103" s="195">
        <v>41965</v>
      </c>
      <c r="B103" s="160">
        <v>69</v>
      </c>
      <c r="C103" s="160" t="s">
        <v>879</v>
      </c>
      <c r="D103" s="160">
        <v>20</v>
      </c>
      <c r="F103" s="160" t="s">
        <v>29</v>
      </c>
      <c r="H103" s="163" t="s">
        <v>1649</v>
      </c>
    </row>
    <row r="104" spans="1:9" hidden="1" x14ac:dyDescent="0.25">
      <c r="A104" s="195">
        <v>41965</v>
      </c>
      <c r="B104" s="160">
        <v>76</v>
      </c>
      <c r="C104" s="160" t="s">
        <v>884</v>
      </c>
      <c r="D104" s="160">
        <v>30</v>
      </c>
      <c r="F104" s="160" t="s">
        <v>765</v>
      </c>
      <c r="H104" s="163" t="s">
        <v>885</v>
      </c>
    </row>
    <row r="105" spans="1:9" hidden="1" x14ac:dyDescent="0.25">
      <c r="A105" s="195">
        <v>41965</v>
      </c>
      <c r="B105" s="160">
        <v>77</v>
      </c>
      <c r="C105" s="160" t="s">
        <v>884</v>
      </c>
      <c r="D105" s="160">
        <v>30</v>
      </c>
      <c r="F105" s="160" t="s">
        <v>765</v>
      </c>
      <c r="H105" s="163" t="s">
        <v>886</v>
      </c>
    </row>
    <row r="106" spans="1:9" hidden="1" x14ac:dyDescent="0.25">
      <c r="A106" s="195">
        <v>41965</v>
      </c>
      <c r="B106" s="160">
        <v>78</v>
      </c>
      <c r="C106" s="160" t="s">
        <v>884</v>
      </c>
      <c r="D106" s="160">
        <v>30</v>
      </c>
      <c r="F106" s="160" t="s">
        <v>765</v>
      </c>
      <c r="H106" s="163" t="s">
        <v>887</v>
      </c>
    </row>
    <row r="107" spans="1:9" hidden="1" x14ac:dyDescent="0.25">
      <c r="A107" s="195">
        <v>41965</v>
      </c>
      <c r="B107" s="160">
        <v>79</v>
      </c>
      <c r="C107" s="160" t="s">
        <v>884</v>
      </c>
      <c r="D107" s="160">
        <v>30</v>
      </c>
      <c r="F107" s="160" t="s">
        <v>765</v>
      </c>
      <c r="H107" s="163" t="s">
        <v>888</v>
      </c>
    </row>
    <row r="108" spans="1:9" hidden="1" x14ac:dyDescent="0.25">
      <c r="A108" s="195">
        <v>41965</v>
      </c>
      <c r="B108" s="160">
        <v>80</v>
      </c>
      <c r="C108" s="160" t="s">
        <v>884</v>
      </c>
      <c r="D108" s="160">
        <v>30</v>
      </c>
      <c r="F108" s="160" t="s">
        <v>765</v>
      </c>
      <c r="H108" s="163" t="s">
        <v>889</v>
      </c>
    </row>
    <row r="109" spans="1:9" hidden="1" x14ac:dyDescent="0.25">
      <c r="A109" s="195">
        <v>41965</v>
      </c>
      <c r="B109" s="160">
        <v>81</v>
      </c>
      <c r="C109" s="160" t="s">
        <v>884</v>
      </c>
      <c r="D109" s="160">
        <v>30</v>
      </c>
      <c r="F109" s="160" t="s">
        <v>765</v>
      </c>
      <c r="H109" s="163" t="s">
        <v>890</v>
      </c>
    </row>
    <row r="110" spans="1:9" hidden="1" x14ac:dyDescent="0.25">
      <c r="A110" s="195">
        <v>41965</v>
      </c>
      <c r="B110" s="160">
        <v>82</v>
      </c>
      <c r="C110" s="160" t="s">
        <v>891</v>
      </c>
      <c r="D110" s="160">
        <v>10</v>
      </c>
      <c r="H110" s="163" t="s">
        <v>892</v>
      </c>
    </row>
    <row r="111" spans="1:9" hidden="1" x14ac:dyDescent="0.25">
      <c r="A111" s="195">
        <v>41965</v>
      </c>
      <c r="B111" s="160">
        <v>87</v>
      </c>
      <c r="C111" s="160" t="s">
        <v>891</v>
      </c>
      <c r="D111" s="160">
        <v>10</v>
      </c>
      <c r="F111" s="160" t="s">
        <v>29</v>
      </c>
      <c r="H111" s="163" t="s">
        <v>895</v>
      </c>
    </row>
    <row r="112" spans="1:9" hidden="1" x14ac:dyDescent="0.25">
      <c r="A112" s="195">
        <v>41965</v>
      </c>
      <c r="B112" s="160">
        <v>90</v>
      </c>
      <c r="C112" s="160" t="s">
        <v>891</v>
      </c>
      <c r="D112" s="160">
        <v>10</v>
      </c>
      <c r="F112" s="160" t="s">
        <v>25</v>
      </c>
      <c r="H112" s="163" t="s">
        <v>898</v>
      </c>
    </row>
    <row r="113" spans="1:9" hidden="1" x14ac:dyDescent="0.25">
      <c r="A113" s="195">
        <v>41965</v>
      </c>
      <c r="B113" s="160">
        <v>92</v>
      </c>
      <c r="C113" s="160" t="s">
        <v>862</v>
      </c>
      <c r="D113" s="160">
        <v>1</v>
      </c>
      <c r="F113" s="160" t="s">
        <v>25</v>
      </c>
      <c r="H113" s="163" t="s">
        <v>899</v>
      </c>
      <c r="I113" s="160" t="s">
        <v>916</v>
      </c>
    </row>
    <row r="114" spans="1:9" hidden="1" x14ac:dyDescent="0.25">
      <c r="A114" s="195">
        <v>41965</v>
      </c>
      <c r="B114" s="160">
        <v>93</v>
      </c>
      <c r="C114" s="160" t="s">
        <v>862</v>
      </c>
      <c r="D114" s="160">
        <v>1</v>
      </c>
      <c r="F114" s="160" t="s">
        <v>29</v>
      </c>
      <c r="H114" s="163" t="s">
        <v>900</v>
      </c>
      <c r="I114" s="160" t="s">
        <v>916</v>
      </c>
    </row>
    <row r="115" spans="1:9" ht="45" hidden="1" x14ac:dyDescent="0.25">
      <c r="A115" s="195">
        <v>42021</v>
      </c>
      <c r="B115" s="160">
        <v>106</v>
      </c>
      <c r="C115" s="160" t="s">
        <v>997</v>
      </c>
      <c r="D115" s="160">
        <v>20</v>
      </c>
      <c r="H115" s="163" t="s">
        <v>998</v>
      </c>
    </row>
    <row r="116" spans="1:9" ht="60" hidden="1" x14ac:dyDescent="0.25">
      <c r="A116" s="195">
        <v>42057</v>
      </c>
      <c r="B116" s="160">
        <v>107</v>
      </c>
      <c r="C116" s="160" t="s">
        <v>862</v>
      </c>
      <c r="D116" s="160">
        <v>1</v>
      </c>
      <c r="F116" s="160" t="s">
        <v>25</v>
      </c>
      <c r="H116" s="163" t="s">
        <v>1651</v>
      </c>
      <c r="I116" s="160" t="s">
        <v>1030</v>
      </c>
    </row>
    <row r="117" spans="1:9" ht="45" hidden="1" x14ac:dyDescent="0.25">
      <c r="A117" s="195">
        <v>42062</v>
      </c>
      <c r="B117" s="160">
        <v>108</v>
      </c>
      <c r="C117" s="160" t="s">
        <v>1337</v>
      </c>
      <c r="D117" s="160">
        <v>10</v>
      </c>
      <c r="F117" s="160" t="s">
        <v>765</v>
      </c>
      <c r="H117" s="163" t="s">
        <v>1083</v>
      </c>
    </row>
    <row r="118" spans="1:9" ht="90" x14ac:dyDescent="0.25">
      <c r="A118" s="195">
        <v>42064</v>
      </c>
      <c r="B118" s="160">
        <v>109</v>
      </c>
      <c r="C118" s="160" t="s">
        <v>877</v>
      </c>
      <c r="D118" s="160">
        <v>1</v>
      </c>
      <c r="F118" s="160" t="s">
        <v>765</v>
      </c>
      <c r="H118" s="163" t="s">
        <v>1095</v>
      </c>
    </row>
    <row r="119" spans="1:9" ht="60" x14ac:dyDescent="0.25">
      <c r="A119" s="195">
        <v>42064</v>
      </c>
      <c r="B119" s="160">
        <v>110</v>
      </c>
      <c r="C119" s="160" t="s">
        <v>862</v>
      </c>
      <c r="D119" s="160">
        <v>1</v>
      </c>
      <c r="F119" s="160" t="s">
        <v>25</v>
      </c>
      <c r="H119" s="163" t="s">
        <v>1096</v>
      </c>
    </row>
    <row r="120" spans="1:9" hidden="1" x14ac:dyDescent="0.25">
      <c r="A120" s="195">
        <v>42064</v>
      </c>
      <c r="B120" s="160">
        <v>111</v>
      </c>
      <c r="C120" s="160" t="s">
        <v>862</v>
      </c>
      <c r="D120" s="160">
        <v>20</v>
      </c>
      <c r="F120" s="160" t="s">
        <v>29</v>
      </c>
      <c r="H120" s="163" t="s">
        <v>1233</v>
      </c>
    </row>
    <row r="121" spans="1:9" ht="60" x14ac:dyDescent="0.25">
      <c r="A121" s="195">
        <v>42098</v>
      </c>
      <c r="B121" s="160">
        <v>112</v>
      </c>
      <c r="C121" s="160" t="s">
        <v>862</v>
      </c>
      <c r="D121" s="160">
        <v>1</v>
      </c>
      <c r="F121" s="160" t="s">
        <v>29</v>
      </c>
      <c r="H121" s="163" t="s">
        <v>1652</v>
      </c>
    </row>
    <row r="122" spans="1:9" ht="45" hidden="1" x14ac:dyDescent="0.25">
      <c r="A122" s="195">
        <v>42098</v>
      </c>
      <c r="B122" s="160">
        <v>113</v>
      </c>
      <c r="C122" s="160" t="s">
        <v>862</v>
      </c>
      <c r="D122" s="160">
        <v>20</v>
      </c>
      <c r="F122" s="160" t="s">
        <v>29</v>
      </c>
      <c r="H122" s="163" t="s">
        <v>1340</v>
      </c>
    </row>
    <row r="123" spans="1:9" ht="60" hidden="1" x14ac:dyDescent="0.25">
      <c r="A123" s="195">
        <v>42099</v>
      </c>
      <c r="B123" s="160">
        <v>113</v>
      </c>
      <c r="C123" s="160" t="s">
        <v>968</v>
      </c>
      <c r="D123" s="160">
        <v>1</v>
      </c>
      <c r="E123" s="160">
        <v>2</v>
      </c>
      <c r="F123" s="160" t="s">
        <v>25</v>
      </c>
      <c r="H123" s="163" t="s">
        <v>1653</v>
      </c>
      <c r="I123" s="160" t="s">
        <v>916</v>
      </c>
    </row>
    <row r="124" spans="1:9" ht="75" hidden="1" x14ac:dyDescent="0.25">
      <c r="A124" s="195">
        <v>42099</v>
      </c>
      <c r="B124" s="160">
        <v>113</v>
      </c>
      <c r="C124" s="160" t="s">
        <v>968</v>
      </c>
      <c r="D124" s="160">
        <v>10</v>
      </c>
      <c r="E124" s="160">
        <v>2</v>
      </c>
      <c r="F124" s="160" t="s">
        <v>25</v>
      </c>
      <c r="H124" s="163" t="s">
        <v>1374</v>
      </c>
    </row>
    <row r="125" spans="1:9" ht="105" x14ac:dyDescent="0.25">
      <c r="A125" s="195">
        <v>42190</v>
      </c>
      <c r="B125" s="160">
        <v>120</v>
      </c>
      <c r="C125" s="160" t="s">
        <v>788</v>
      </c>
      <c r="D125" s="160">
        <v>1</v>
      </c>
      <c r="F125" s="160" t="s">
        <v>29</v>
      </c>
      <c r="H125" s="163" t="s">
        <v>1654</v>
      </c>
    </row>
    <row r="126" spans="1:9" ht="30" x14ac:dyDescent="0.25">
      <c r="A126" s="195">
        <v>42190</v>
      </c>
      <c r="B126" s="160">
        <v>130</v>
      </c>
      <c r="C126" s="160" t="s">
        <v>788</v>
      </c>
      <c r="D126" s="160">
        <v>1</v>
      </c>
      <c r="F126" s="160" t="s">
        <v>765</v>
      </c>
      <c r="H126" s="163" t="s">
        <v>1655</v>
      </c>
    </row>
    <row r="127" spans="1:9" ht="90" x14ac:dyDescent="0.25">
      <c r="A127" s="195">
        <v>42190</v>
      </c>
      <c r="B127" s="160">
        <v>140</v>
      </c>
      <c r="C127" s="160" t="s">
        <v>862</v>
      </c>
      <c r="D127" s="160">
        <v>1</v>
      </c>
      <c r="F127" s="160" t="s">
        <v>25</v>
      </c>
      <c r="G127" s="160">
        <v>0.2</v>
      </c>
      <c r="H127" s="163" t="s">
        <v>1656</v>
      </c>
    </row>
    <row r="128" spans="1:9" x14ac:dyDescent="0.25">
      <c r="A128" s="195">
        <v>42190</v>
      </c>
      <c r="B128" s="160">
        <v>150</v>
      </c>
      <c r="C128" s="160" t="s">
        <v>862</v>
      </c>
      <c r="D128" s="160">
        <v>1</v>
      </c>
      <c r="F128" s="160" t="s">
        <v>765</v>
      </c>
      <c r="H128" s="163" t="s">
        <v>1657</v>
      </c>
    </row>
    <row r="129" spans="1:9" ht="45" x14ac:dyDescent="0.25">
      <c r="A129" s="195">
        <v>42190</v>
      </c>
      <c r="B129" s="160">
        <v>160</v>
      </c>
      <c r="C129" s="160" t="s">
        <v>1658</v>
      </c>
      <c r="D129" s="160">
        <v>1</v>
      </c>
      <c r="F129" s="160" t="s">
        <v>25</v>
      </c>
      <c r="H129" s="163" t="s">
        <v>1659</v>
      </c>
    </row>
    <row r="130" spans="1:9" ht="60" hidden="1" x14ac:dyDescent="0.25">
      <c r="A130" s="195">
        <v>42190</v>
      </c>
      <c r="B130" s="160">
        <v>170</v>
      </c>
      <c r="C130" s="160" t="s">
        <v>1658</v>
      </c>
      <c r="D130" s="160">
        <v>1</v>
      </c>
      <c r="F130" s="160" t="s">
        <v>25</v>
      </c>
      <c r="H130" s="163" t="s">
        <v>1660</v>
      </c>
      <c r="I130" s="160" t="s">
        <v>916</v>
      </c>
    </row>
    <row r="131" spans="1:9" ht="60" hidden="1" x14ac:dyDescent="0.25">
      <c r="A131" s="195">
        <v>42190</v>
      </c>
      <c r="B131" s="160">
        <v>171</v>
      </c>
      <c r="C131" s="160" t="s">
        <v>1658</v>
      </c>
      <c r="D131" s="160">
        <v>1</v>
      </c>
      <c r="F131" s="160" t="s">
        <v>29</v>
      </c>
      <c r="H131" s="163" t="s">
        <v>1661</v>
      </c>
      <c r="I131" s="160" t="s">
        <v>1662</v>
      </c>
    </row>
  </sheetData>
  <autoFilter ref="A3:I131">
    <filterColumn colId="3">
      <filters>
        <filter val="1"/>
        <filter val="5"/>
      </filters>
    </filterColumn>
    <filterColumn colId="8">
      <filters blank="1"/>
    </filterColumn>
    <sortState ref="A4:I114">
      <sortCondition ref="D3:D111"/>
    </sortState>
  </autoFilter>
  <conditionalFormatting sqref="A4:J52 A54:J30000">
    <cfRule type="expression" dxfId="2" priority="4">
      <formula>$I4="NO"</formula>
    </cfRule>
    <cfRule type="expression" dxfId="1" priority="5">
      <formula>$I4="YES"</formula>
    </cfRule>
    <cfRule type="expression" dxfId="0" priority="6">
      <formula>OR(LEN($D4)=0)</formula>
    </cfRule>
  </conditionalFormatting>
  <pageMargins left="0.7" right="0.7" top="0.78740157499999996" bottom="0.78740157499999996"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
  <dimension ref="A1:AP20"/>
  <sheetViews>
    <sheetView workbookViewId="0">
      <selection activeCell="W13" sqref="W13"/>
    </sheetView>
  </sheetViews>
  <sheetFormatPr baseColWidth="10" defaultRowHeight="15" x14ac:dyDescent="0.25"/>
  <cols>
    <col min="1" max="42" width="4.7109375" customWidth="1"/>
  </cols>
  <sheetData>
    <row r="1" spans="1:42" ht="36" x14ac:dyDescent="0.25">
      <c r="A1" s="24" t="str">
        <f>MUI_Title</f>
        <v>Golf Workplan Manager</v>
      </c>
      <c r="B1" s="4"/>
      <c r="C1" s="4"/>
      <c r="D1" s="4"/>
      <c r="E1" s="4"/>
      <c r="F1" s="4"/>
      <c r="G1" s="4"/>
      <c r="H1" s="4"/>
      <c r="I1" s="4"/>
      <c r="J1" s="522"/>
      <c r="K1" s="522"/>
      <c r="L1" s="522"/>
      <c r="M1" s="522"/>
      <c r="N1" s="522"/>
    </row>
    <row r="2" spans="1:42" x14ac:dyDescent="0.25">
      <c r="A2" s="5" t="s">
        <v>759</v>
      </c>
      <c r="B2" s="4"/>
      <c r="C2" s="4"/>
      <c r="D2" s="4"/>
      <c r="E2" s="4"/>
      <c r="F2" s="4"/>
      <c r="G2" s="4"/>
      <c r="H2" s="4"/>
      <c r="I2" s="4"/>
      <c r="J2" s="53"/>
      <c r="K2" s="60"/>
      <c r="L2" s="8"/>
      <c r="M2" s="8"/>
      <c r="N2" s="71"/>
    </row>
    <row r="4" spans="1:42" x14ac:dyDescent="0.25">
      <c r="A4" t="s">
        <v>760</v>
      </c>
      <c r="D4" s="70"/>
      <c r="E4" s="70"/>
      <c r="F4" s="70"/>
      <c r="G4" s="70"/>
      <c r="H4" s="70"/>
      <c r="I4" s="70"/>
      <c r="J4" s="70"/>
      <c r="K4" s="70"/>
      <c r="L4" s="70"/>
    </row>
    <row r="5" spans="1:42" x14ac:dyDescent="0.25">
      <c r="A5" s="64">
        <v>5</v>
      </c>
      <c r="B5" s="64">
        <v>4</v>
      </c>
      <c r="C5" s="64">
        <v>3</v>
      </c>
      <c r="D5" s="64">
        <v>2</v>
      </c>
      <c r="E5" s="64">
        <v>1</v>
      </c>
      <c r="F5" s="64">
        <v>0</v>
      </c>
      <c r="G5" s="64">
        <v>-1</v>
      </c>
      <c r="H5" s="64">
        <v>-2</v>
      </c>
      <c r="I5" s="64">
        <v>-3</v>
      </c>
      <c r="J5" s="64">
        <v>-4</v>
      </c>
      <c r="K5" s="64">
        <v>-5</v>
      </c>
      <c r="L5" s="64">
        <v>-6</v>
      </c>
      <c r="M5" s="64">
        <v>-7</v>
      </c>
      <c r="N5" s="64">
        <v>-8</v>
      </c>
      <c r="O5" s="64">
        <v>-9</v>
      </c>
      <c r="P5" s="64">
        <v>-10</v>
      </c>
      <c r="Q5" s="64">
        <v>-11</v>
      </c>
      <c r="R5" s="64">
        <v>-12</v>
      </c>
      <c r="S5" s="64">
        <v>-13</v>
      </c>
      <c r="T5" s="64">
        <v>-14</v>
      </c>
      <c r="U5" s="64">
        <v>-15</v>
      </c>
      <c r="V5" s="64">
        <v>-16</v>
      </c>
      <c r="W5" s="64">
        <v>-17</v>
      </c>
      <c r="X5" s="64">
        <v>-18</v>
      </c>
      <c r="Y5" s="64">
        <v>-19</v>
      </c>
      <c r="Z5" s="64">
        <v>-20</v>
      </c>
      <c r="AA5" s="64">
        <v>-21</v>
      </c>
      <c r="AB5" s="64">
        <v>-22</v>
      </c>
      <c r="AC5" s="64">
        <v>-23</v>
      </c>
      <c r="AD5" s="64">
        <v>-24</v>
      </c>
      <c r="AE5" s="64">
        <v>-25</v>
      </c>
      <c r="AF5" s="64">
        <v>-26</v>
      </c>
      <c r="AG5" s="64">
        <v>-27</v>
      </c>
      <c r="AH5" s="64">
        <v>-28</v>
      </c>
      <c r="AI5" s="64">
        <v>-29</v>
      </c>
      <c r="AJ5" s="64">
        <v>-30</v>
      </c>
      <c r="AK5" s="64">
        <v>-31</v>
      </c>
      <c r="AL5" s="64">
        <v>-32</v>
      </c>
      <c r="AM5" s="64">
        <v>-33</v>
      </c>
      <c r="AN5" s="64">
        <v>-34</v>
      </c>
      <c r="AO5" s="64">
        <v>-35</v>
      </c>
      <c r="AP5" s="64">
        <v>-36</v>
      </c>
    </row>
    <row r="6" spans="1:42" x14ac:dyDescent="0.25">
      <c r="A6">
        <v>75</v>
      </c>
      <c r="B6" s="70">
        <v>73</v>
      </c>
      <c r="C6">
        <v>72</v>
      </c>
      <c r="D6">
        <v>70</v>
      </c>
      <c r="E6">
        <v>68</v>
      </c>
      <c r="F6">
        <v>66</v>
      </c>
      <c r="G6">
        <v>65</v>
      </c>
      <c r="H6">
        <v>63</v>
      </c>
      <c r="I6">
        <v>61</v>
      </c>
      <c r="J6">
        <v>59</v>
      </c>
      <c r="K6">
        <v>58</v>
      </c>
      <c r="L6">
        <v>56</v>
      </c>
      <c r="M6">
        <v>54</v>
      </c>
      <c r="N6">
        <v>52</v>
      </c>
      <c r="O6">
        <v>51</v>
      </c>
      <c r="P6">
        <v>49</v>
      </c>
      <c r="Q6">
        <v>47</v>
      </c>
      <c r="R6">
        <v>46</v>
      </c>
      <c r="S6">
        <v>44</v>
      </c>
      <c r="T6">
        <v>42</v>
      </c>
      <c r="U6">
        <v>40</v>
      </c>
      <c r="V6">
        <v>39</v>
      </c>
      <c r="W6">
        <v>37</v>
      </c>
      <c r="X6">
        <v>35</v>
      </c>
      <c r="Y6">
        <v>33</v>
      </c>
      <c r="Z6">
        <v>32</v>
      </c>
      <c r="AA6">
        <v>30</v>
      </c>
      <c r="AB6">
        <v>28</v>
      </c>
      <c r="AC6">
        <v>27</v>
      </c>
      <c r="AD6">
        <v>25</v>
      </c>
      <c r="AE6">
        <v>23</v>
      </c>
      <c r="AF6">
        <v>21</v>
      </c>
      <c r="AG6">
        <v>20</v>
      </c>
      <c r="AH6">
        <v>18</v>
      </c>
      <c r="AI6">
        <v>16</v>
      </c>
      <c r="AJ6">
        <v>14</v>
      </c>
      <c r="AK6">
        <v>13</v>
      </c>
      <c r="AL6">
        <v>11</v>
      </c>
      <c r="AM6">
        <v>9</v>
      </c>
      <c r="AN6">
        <v>7</v>
      </c>
      <c r="AO6">
        <v>6</v>
      </c>
      <c r="AP6">
        <v>4</v>
      </c>
    </row>
    <row r="7" spans="1:42" x14ac:dyDescent="0.25">
      <c r="B7" s="70"/>
    </row>
    <row r="8" spans="1:42" x14ac:dyDescent="0.25">
      <c r="B8" s="70"/>
    </row>
    <row r="9" spans="1:42" x14ac:dyDescent="0.25">
      <c r="B9" s="70"/>
    </row>
    <row r="10" spans="1:42" x14ac:dyDescent="0.25">
      <c r="B10" s="70"/>
    </row>
    <row r="11" spans="1:42" x14ac:dyDescent="0.25">
      <c r="B11" s="70"/>
    </row>
    <row r="12" spans="1:42" x14ac:dyDescent="0.25">
      <c r="B12" s="70"/>
    </row>
    <row r="13" spans="1:42" x14ac:dyDescent="0.25">
      <c r="B13" s="70"/>
    </row>
    <row r="14" spans="1:42" x14ac:dyDescent="0.25">
      <c r="L14" s="286"/>
      <c r="M14" s="286"/>
      <c r="N14" s="286"/>
      <c r="O14" s="286"/>
      <c r="P14" s="286"/>
      <c r="Q14" s="286"/>
    </row>
    <row r="15" spans="1:42" x14ac:dyDescent="0.25">
      <c r="L15" s="286"/>
      <c r="M15" s="12"/>
      <c r="N15" s="12"/>
      <c r="O15" s="12"/>
      <c r="P15" s="12"/>
      <c r="Q15" s="12"/>
    </row>
    <row r="16" spans="1:42" x14ac:dyDescent="0.25">
      <c r="L16" s="286"/>
      <c r="M16" s="12"/>
      <c r="N16" s="12"/>
      <c r="O16" s="12"/>
      <c r="P16" s="12"/>
      <c r="Q16" s="12"/>
    </row>
    <row r="17" spans="1:17" x14ac:dyDescent="0.25">
      <c r="L17" s="286"/>
      <c r="M17" s="12"/>
      <c r="N17" s="12"/>
      <c r="O17" s="12"/>
      <c r="P17" s="12"/>
      <c r="Q17" s="12"/>
    </row>
    <row r="18" spans="1:17" x14ac:dyDescent="0.25">
      <c r="L18" s="286"/>
      <c r="M18" s="12"/>
      <c r="N18" s="12"/>
      <c r="O18" s="12"/>
      <c r="P18" s="12"/>
      <c r="Q18" s="12"/>
    </row>
    <row r="19" spans="1:17" x14ac:dyDescent="0.25">
      <c r="L19" s="286"/>
      <c r="M19" s="12"/>
      <c r="N19" s="12"/>
      <c r="O19" s="12"/>
      <c r="P19" s="12"/>
      <c r="Q19" s="12"/>
    </row>
    <row r="20" spans="1:17" x14ac:dyDescent="0.25">
      <c r="A20">
        <f>DBR_START_ROWID_DATA</f>
        <v>7</v>
      </c>
      <c r="L20" s="286"/>
      <c r="M20" s="12"/>
      <c r="N20" s="12"/>
      <c r="O20" s="12"/>
      <c r="P20" s="12"/>
      <c r="Q20" s="12"/>
    </row>
  </sheetData>
  <mergeCells count="1">
    <mergeCell ref="J1:N1"/>
  </mergeCells>
  <pageMargins left="0.7" right="0.7" top="0.78740157499999996" bottom="0.78740157499999996"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25</vt:i4>
      </vt:variant>
      <vt:variant>
        <vt:lpstr>Benannte Bereiche</vt:lpstr>
      </vt:variant>
      <vt:variant>
        <vt:i4>318</vt:i4>
      </vt:variant>
    </vt:vector>
  </HeadingPairs>
  <TitlesOfParts>
    <vt:vector size="343" baseType="lpstr">
      <vt:lpstr>Main</vt:lpstr>
      <vt:lpstr>Workplan</vt:lpstr>
      <vt:lpstr>Statistic</vt:lpstr>
      <vt:lpstr>KNOWN BUGS</vt:lpstr>
      <vt:lpstr>Usage Description</vt:lpstr>
      <vt:lpstr>_Data Status Month</vt:lpstr>
      <vt:lpstr>_Status Print</vt:lpstr>
      <vt:lpstr>_License Manager</vt:lpstr>
      <vt:lpstr>_Configuration Manager</vt:lpstr>
      <vt:lpstr>_DB_Results</vt:lpstr>
      <vt:lpstr>_DB_Player</vt:lpstr>
      <vt:lpstr>_Lang</vt:lpstr>
      <vt:lpstr>_DB_Exercises</vt:lpstr>
      <vt:lpstr>_Config</vt:lpstr>
      <vt:lpstr>_Metric Conversion Table</vt:lpstr>
      <vt:lpstr>_SQL_Droplist</vt:lpstr>
      <vt:lpstr>_SQL_PM</vt:lpstr>
      <vt:lpstr>_SQL_Temp</vt:lpstr>
      <vt:lpstr>_IMPORT_TMP</vt:lpstr>
      <vt:lpstr>_SQL_WL_Temp</vt:lpstr>
      <vt:lpstr>_DEBLOG</vt:lpstr>
      <vt:lpstr>_Conversion Table</vt:lpstr>
      <vt:lpstr>_NAMES</vt:lpstr>
      <vt:lpstr>_To Dos</vt:lpstr>
      <vt:lpstr>_TEMP</vt:lpstr>
      <vt:lpstr>_FeetsToMeter</vt:lpstr>
      <vt:lpstr>_DB_Exercises!_FilterDatenbank</vt:lpstr>
      <vt:lpstr>_IMPORT_TMP!_FilterDatenbank</vt:lpstr>
      <vt:lpstr>_Lang!_FilterDatenbank</vt:lpstr>
      <vt:lpstr>'_To Dos'!_FilterDatenbank</vt:lpstr>
      <vt:lpstr>_YardsToMeter</vt:lpstr>
      <vt:lpstr>CM_ActivationDate</vt:lpstr>
      <vt:lpstr>CM_FREQUENT_BACKUPS</vt:lpstr>
      <vt:lpstr>CM_LIC_EXPIRATION_DATE</vt:lpstr>
      <vt:lpstr>CM_LIC_FIRST_NAME_PREFIX</vt:lpstr>
      <vt:lpstr>CM_LIC_KEY_EXPIRATION_DATE</vt:lpstr>
      <vt:lpstr>CM_LIC_LAST_NAME_PREFIX</vt:lpstr>
      <vt:lpstr>CM_LIC_MACAddress</vt:lpstr>
      <vt:lpstr>CM_LIC_MODEL</vt:lpstr>
      <vt:lpstr>CM_LIC_ROLE</vt:lpstr>
      <vt:lpstr>CM_LIC_TERM</vt:lpstr>
      <vt:lpstr>CM_LIC_UserID_PREFIX</vt:lpstr>
      <vt:lpstr>CM_LIC_UserUID</vt:lpstr>
      <vt:lpstr>CM_LIC_Version</vt:lpstr>
      <vt:lpstr>CM_LicenseKey</vt:lpstr>
      <vt:lpstr>CM_LicenseKey_Valid</vt:lpstr>
      <vt:lpstr>CM_PlayerCoachEmail</vt:lpstr>
      <vt:lpstr>CM_PlayerEmail</vt:lpstr>
      <vt:lpstr>CM_PlayerFirstName</vt:lpstr>
      <vt:lpstr>CM_PlayerHCP</vt:lpstr>
      <vt:lpstr>CM_PlayerID</vt:lpstr>
      <vt:lpstr>CM_PlayerID_ClubID</vt:lpstr>
      <vt:lpstr>CM_PlayerID_CountryID</vt:lpstr>
      <vt:lpstr>CM_PlayerID_MemberID</vt:lpstr>
      <vt:lpstr>CM_PlayerLastName</vt:lpstr>
      <vt:lpstr>CM_PlayerName</vt:lpstr>
      <vt:lpstr>CM_PlayerTeam</vt:lpstr>
      <vt:lpstr>CM_PlayerTitle</vt:lpstr>
      <vt:lpstr>CM_Role</vt:lpstr>
      <vt:lpstr>DBE_COUNT</vt:lpstr>
      <vt:lpstr>DBE_HCP_ID</vt:lpstr>
      <vt:lpstr>DBE_LANG_START</vt:lpstr>
      <vt:lpstr>DBE_NrOfPlayers</vt:lpstr>
      <vt:lpstr>DBE_ResultHCP_LinkedHCP</vt:lpstr>
      <vt:lpstr>DBE_START</vt:lpstr>
      <vt:lpstr>DBP_Columns</vt:lpstr>
      <vt:lpstr>DBP_Count</vt:lpstr>
      <vt:lpstr>DBP_ID</vt:lpstr>
      <vt:lpstr>DBP_Start</vt:lpstr>
      <vt:lpstr>DBP_Titles_Start</vt:lpstr>
      <vt:lpstr>DBPA_PlayerHCP</vt:lpstr>
      <vt:lpstr>DBPA_PlayerID</vt:lpstr>
      <vt:lpstr>DBPA_PlayerName</vt:lpstr>
      <vt:lpstr>DBPA_PlayerTeam</vt:lpstr>
      <vt:lpstr>DBPA_PlayerUID</vt:lpstr>
      <vt:lpstr>DBR_START</vt:lpstr>
      <vt:lpstr>DBR_Titles_Start</vt:lpstr>
      <vt:lpstr>DBRM_ID</vt:lpstr>
      <vt:lpstr>DEBUG_ROWID</vt:lpstr>
      <vt:lpstr>DEBUG_START</vt:lpstr>
      <vt:lpstr>DELME_RANGE</vt:lpstr>
      <vt:lpstr>DELME_RESHCP</vt:lpstr>
      <vt:lpstr>DELME_SAVEFOR</vt:lpstr>
      <vt:lpstr>DL_ExDuration_Start</vt:lpstr>
      <vt:lpstr>DL_ExerciseType</vt:lpstr>
      <vt:lpstr>DL_ExLevel_Start</vt:lpstr>
      <vt:lpstr>DL_ExNrOfPlayers_Start</vt:lpstr>
      <vt:lpstr>DL_ExTitle_Start</vt:lpstr>
      <vt:lpstr>DL_ExTopic_Start</vt:lpstr>
      <vt:lpstr>DL_ExType_Start</vt:lpstr>
      <vt:lpstr>DL_PlayerID_Start</vt:lpstr>
      <vt:lpstr>DL_PlayerName_Start</vt:lpstr>
      <vt:lpstr>DL_PlayerTeam_Start</vt:lpstr>
      <vt:lpstr>DL_SELMY_MonthYear_Start</vt:lpstr>
      <vt:lpstr>DL_SELPlayer_PlayerNameAndID_Start</vt:lpstr>
      <vt:lpstr>DL_SELPlayer_WPM_PlayerNameAndID_Start</vt:lpstr>
      <vt:lpstr>DL_WorkplanDate_Start</vt:lpstr>
      <vt:lpstr>DL_WorkplanID_Start</vt:lpstr>
      <vt:lpstr>'_Status Print'!Druckbereich</vt:lpstr>
      <vt:lpstr>Workplan!Druckbereich</vt:lpstr>
      <vt:lpstr>'_Status Print'!Drucktitel</vt:lpstr>
      <vt:lpstr>Workplan!Drucktitel</vt:lpstr>
      <vt:lpstr>EX_START</vt:lpstr>
      <vt:lpstr>GWM_MAIN_USEDRANGE</vt:lpstr>
      <vt:lpstr>IMP___________3</vt:lpstr>
      <vt:lpstr>IMP___________4</vt:lpstr>
      <vt:lpstr>IMP___________5</vt:lpstr>
      <vt:lpstr>IMP_TMP_PlayerNameUnique_Start</vt:lpstr>
      <vt:lpstr>IMP_TMP_PlayerNameUnique_Title</vt:lpstr>
      <vt:lpstr>LANG_RANGE</vt:lpstr>
      <vt:lpstr>LIC_ACTIVE_ROLE</vt:lpstr>
      <vt:lpstr>LIC_ACTIVE_ROLE_ID</vt:lpstr>
      <vt:lpstr>LIC_ADDITIONAL_DAYS</vt:lpstr>
      <vt:lpstr>LIC_BLOCKED_LICENSE</vt:lpstr>
      <vt:lpstr>LIC_BLOCKED_LICENSE_REASON</vt:lpstr>
      <vt:lpstr>LIC_CHANGEABLE_PLAYER_ID</vt:lpstr>
      <vt:lpstr>LIC_CHANGEABLE_PLAYER_NAME</vt:lpstr>
      <vt:lpstr>LIC_CHANGEABLE_TEAM_NAME</vt:lpstr>
      <vt:lpstr>LIC_EXPIRATION_DATE</vt:lpstr>
      <vt:lpstr>LIC_EXPORT_FUNCTION_AVAILABLE</vt:lpstr>
      <vt:lpstr>LIC_LatestUsedDate</vt:lpstr>
      <vt:lpstr>LIC_LIMIT_IMPORT_PLAYERS</vt:lpstr>
      <vt:lpstr>LIC_MAX_EXERCISES_IN_WORKPLAN</vt:lpstr>
      <vt:lpstr>LIC_MULTIPLE_PLAYER_MANAGEMENT</vt:lpstr>
      <vt:lpstr>LIC_PDFDateLatest</vt:lpstr>
      <vt:lpstr>LIC_PDFDateNext</vt:lpstr>
      <vt:lpstr>LIC_PDFTimeDelayTime</vt:lpstr>
      <vt:lpstr>LIC_PDFTimeLatest</vt:lpstr>
      <vt:lpstr>LIC_PDFTimeNext</vt:lpstr>
      <vt:lpstr>LIC_PrintDateLatest</vt:lpstr>
      <vt:lpstr>LIC_PrintDateNext</vt:lpstr>
      <vt:lpstr>LIC_PrintTimeDelayTime</vt:lpstr>
      <vt:lpstr>LIC_PrintTimeLatest</vt:lpstr>
      <vt:lpstr>LIC_PrintTimeNext</vt:lpstr>
      <vt:lpstr>LIC_PURCHASE_DATE</vt:lpstr>
      <vt:lpstr>LIC_ROLE_NAMES</vt:lpstr>
      <vt:lpstr>LIC_SAVE_TO_PDF</vt:lpstr>
      <vt:lpstr>LIC_USER_NAME</vt:lpstr>
      <vt:lpstr>MaxLine</vt:lpstr>
      <vt:lpstr>MDtest</vt:lpstr>
      <vt:lpstr>MUI_BUG_REPORT</vt:lpstr>
      <vt:lpstr>MUI_CFG_T_ROWID</vt:lpstr>
      <vt:lpstr>MUI_CONFIG_Description</vt:lpstr>
      <vt:lpstr>MUI_DBE_T_EX_Calc2ndSelection</vt:lpstr>
      <vt:lpstr>MUI_DBE_T_EX_Correction</vt:lpstr>
      <vt:lpstr>MUI_DBE_T_EX_Desc</vt:lpstr>
      <vt:lpstr>MUI_DBE_T_EX_Duration</vt:lpstr>
      <vt:lpstr>MUI_DBE_T_EX_ID</vt:lpstr>
      <vt:lpstr>MUI_DBE_T_EX_Image</vt:lpstr>
      <vt:lpstr>MUI_DBE_T_EX_Level</vt:lpstr>
      <vt:lpstr>MUI_DBE_T_EX_Material</vt:lpstr>
      <vt:lpstr>MUI_DBE_T_EX_NrOfPlayers</vt:lpstr>
      <vt:lpstr>MUI_DBE_T_EX_Released</vt:lpstr>
      <vt:lpstr>MUI_DBE_T_EX_ResultHCP_Comp</vt:lpstr>
      <vt:lpstr>MUI_DBE_T_EX_ShortMaterial</vt:lpstr>
      <vt:lpstr>MUI_DBE_T_EX_Target</vt:lpstr>
      <vt:lpstr>MUI_DBE_T_EX_Title</vt:lpstr>
      <vt:lpstr>MUI_DBE_T_EX_Topic</vt:lpstr>
      <vt:lpstr>MUI_DBE_T_EX_Type</vt:lpstr>
      <vt:lpstr>MUI_DBE_T_EX_UID</vt:lpstr>
      <vt:lpstr>MUI_DBE_T_EX_UsageFactor</vt:lpstr>
      <vt:lpstr>MUI_DBE_Title</vt:lpstr>
      <vt:lpstr>MUI_DBP_T_CoachEmail</vt:lpstr>
      <vt:lpstr>MUI_DBP_T_DBPUID</vt:lpstr>
      <vt:lpstr>MUI_DBP_T_PlayerClubID</vt:lpstr>
      <vt:lpstr>MUI_DBP_T_PlayerCountryID</vt:lpstr>
      <vt:lpstr>MUI_DBP_T_PlayerFirstName</vt:lpstr>
      <vt:lpstr>MUI_DBP_T_PlayerHCP</vt:lpstr>
      <vt:lpstr>MUI_DBP_T_PlayerID</vt:lpstr>
      <vt:lpstr>MUI_DBP_T_PlayerLastName</vt:lpstr>
      <vt:lpstr>MUI_DBP_T_PlayerMemberID</vt:lpstr>
      <vt:lpstr>MUI_DBP_T_PlayerName</vt:lpstr>
      <vt:lpstr>MUI_DBP_T_PlayerTeam</vt:lpstr>
      <vt:lpstr>MUI_DBP_T_PlayerTitle</vt:lpstr>
      <vt:lpstr>MUI_DBP_Title</vt:lpstr>
      <vt:lpstr>MUI_DBR_P_ExIDs_Planned</vt:lpstr>
      <vt:lpstr>MUI_DBR_P_ExIDs_RealDuration</vt:lpstr>
      <vt:lpstr>MUI_DBR_P_ExIDs_Result</vt:lpstr>
      <vt:lpstr>MUI_DBR_P_ExIDs_ResultHCP</vt:lpstr>
      <vt:lpstr>MUI_DBR_P_ExIDs_Topic</vt:lpstr>
      <vt:lpstr>MUI_DBR_P_TopicCount</vt:lpstr>
      <vt:lpstr>MUI_DBR_P_TopicHCP</vt:lpstr>
      <vt:lpstr>MUI_DBR_P_TopicTotalRealDuration</vt:lpstr>
      <vt:lpstr>MUI_DBR_T_ExID</vt:lpstr>
      <vt:lpstr>MUI_DBR_T_ExTopic</vt:lpstr>
      <vt:lpstr>MUI_DBR_T_HashKey</vt:lpstr>
      <vt:lpstr>MUI_DBR_T_LIC_UserUID</vt:lpstr>
      <vt:lpstr>MUI_DBR_T_NOT_USED</vt:lpstr>
      <vt:lpstr>MUI_DBR_T_Planned</vt:lpstr>
      <vt:lpstr>MUI_DBR_T_PlayerHCP</vt:lpstr>
      <vt:lpstr>MUI_DBR_T_PlayerID</vt:lpstr>
      <vt:lpstr>MUI_DBR_T_PlayerName</vt:lpstr>
      <vt:lpstr>MUI_DBR_T_PlayerResultHCP</vt:lpstr>
      <vt:lpstr>MUI_DBR_T_PlayerRoundedHCP</vt:lpstr>
      <vt:lpstr>MUI_DBR_T_PlayerTeam</vt:lpstr>
      <vt:lpstr>MUI_DBR_T_RealDuration</vt:lpstr>
      <vt:lpstr>MUI_DBR_T_SAVE_FOR_PlayerID</vt:lpstr>
      <vt:lpstr>MUI_DBR_T_SAVE_FOR_PlayerName</vt:lpstr>
      <vt:lpstr>MUI_DBR_T_TopicCount</vt:lpstr>
      <vt:lpstr>MUI_DBR_T_TopicHCP</vt:lpstr>
      <vt:lpstr>MUI_DBR_T_TotalDuration</vt:lpstr>
      <vt:lpstr>MUI_DBR_T_TotalPlannedDuration</vt:lpstr>
      <vt:lpstr>MUI_DBR_T_TotalRealDuration</vt:lpstr>
      <vt:lpstr>MUI_DBR_T_UpdateStamp</vt:lpstr>
      <vt:lpstr>MUI_DBR_T_WorkplanDate</vt:lpstr>
      <vt:lpstr>MUI_DBR_T_WorkplanID</vt:lpstr>
      <vt:lpstr>MUI_DBR_T_WorkplanUID</vt:lpstr>
      <vt:lpstr>MUI_DBR_Title</vt:lpstr>
      <vt:lpstr>MUI_Description</vt:lpstr>
      <vt:lpstr>MUI_EX_MAIN_HEADER</vt:lpstr>
      <vt:lpstr>MUI_EX_T_ACTION</vt:lpstr>
      <vt:lpstr>MUI_EX_T_RESULT</vt:lpstr>
      <vt:lpstr>MUI_EX_T_ResultHCP</vt:lpstr>
      <vt:lpstr>MUI_EX_T_TARGET</vt:lpstr>
      <vt:lpstr>MUI_FIRST_ROW</vt:lpstr>
      <vt:lpstr>MUI_FM_WPG_BT_CreateWorkplan</vt:lpstr>
      <vt:lpstr>MUI_LANG_ID</vt:lpstr>
      <vt:lpstr>MUI_LAST_ROW</vt:lpstr>
      <vt:lpstr>MUI_LIC_Description</vt:lpstr>
      <vt:lpstr>MUI_LIC_ROLE_COACH</vt:lpstr>
      <vt:lpstr>MUI_LIC_ROLE_DEMO</vt:lpstr>
      <vt:lpstr>MUI_LIC_ROLE_DEVELOPMENT</vt:lpstr>
      <vt:lpstr>MUI_LIC_ROLE_PLAYER</vt:lpstr>
      <vt:lpstr>MUI_SEL_LANG</vt:lpstr>
      <vt:lpstr>MUI_STAT_MAIN_HEADER</vt:lpstr>
      <vt:lpstr>MUI_STAT_Selection</vt:lpstr>
      <vt:lpstr>MUI_STAT_SelectionMonth</vt:lpstr>
      <vt:lpstr>MUI_STAT_SelectionPlayer</vt:lpstr>
      <vt:lpstr>MUI_STAT_SelectionYear</vt:lpstr>
      <vt:lpstr>MUI_STAT_T_Day</vt:lpstr>
      <vt:lpstr>MUI_STAT_T_HCPChanges</vt:lpstr>
      <vt:lpstr>MUI_STAT_T_MainTitel_1</vt:lpstr>
      <vt:lpstr>MUI_STAT_T_MainTitel_2</vt:lpstr>
      <vt:lpstr>MUI_STAT_T_MainTitel_3</vt:lpstr>
      <vt:lpstr>MUI_STAT_T_MainTitel_4</vt:lpstr>
      <vt:lpstr>MUI_STAT_T_MainTitel_5</vt:lpstr>
      <vt:lpstr>MUI_STAT_T_MainTitel_6</vt:lpstr>
      <vt:lpstr>MUI_STAT_T_MainTitel_7</vt:lpstr>
      <vt:lpstr>MUI_STAT_T_MainTitel_8</vt:lpstr>
      <vt:lpstr>MUI_STAT_T_MainTitel_9</vt:lpstr>
      <vt:lpstr>MUI_STAT_T_MonthOverview</vt:lpstr>
      <vt:lpstr>MUI_STAT_T_PlayerHCP_Day</vt:lpstr>
      <vt:lpstr>MUI_STAT_T_Sub_Duration</vt:lpstr>
      <vt:lpstr>MUI_STAT_T_Sub_HCP</vt:lpstr>
      <vt:lpstr>MUI_STAT_T_Sub_PercTime</vt:lpstr>
      <vt:lpstr>MUI_STAT_T_TotalDuration</vt:lpstr>
      <vt:lpstr>MUI_STAT_T_TotalHCP</vt:lpstr>
      <vt:lpstr>MUI_STAT_T_TotalPercDuration</vt:lpstr>
      <vt:lpstr>MUI_STAT_T_TotalTime_Day</vt:lpstr>
      <vt:lpstr>MUI_STAT_T_TotalWorkplans</vt:lpstr>
      <vt:lpstr>MUI_STAT_T_YearOverview</vt:lpstr>
      <vt:lpstr>MUI_TEMPLATE</vt:lpstr>
      <vt:lpstr>MUI_Title</vt:lpstr>
      <vt:lpstr>MUI_Title_Viewer</vt:lpstr>
      <vt:lpstr>MUI_USE_MAIN_HEADER</vt:lpstr>
      <vt:lpstr>RG_BG_ImageWhite</vt:lpstr>
      <vt:lpstr>SQL_HEADER</vt:lpstr>
      <vt:lpstr>SQL_RG_START</vt:lpstr>
      <vt:lpstr>SQL_WL_HEADER</vt:lpstr>
      <vt:lpstr>SQL_WL_START</vt:lpstr>
      <vt:lpstr>SQL_WP</vt:lpstr>
      <vt:lpstr>ST_M_TotalNumberOfWorkplans</vt:lpstr>
      <vt:lpstr>ST_MONTH_ApproachShots_HCP_AVG_START</vt:lpstr>
      <vt:lpstr>ST_MONTH_Bunker_HCP_AVG_START</vt:lpstr>
      <vt:lpstr>ST_MONTH_Chipping_HCP_AVG_START</vt:lpstr>
      <vt:lpstr>ST_MONTH_Driver_HCP_AVG_START</vt:lpstr>
      <vt:lpstr>ST_MONTH_Mental_HCP_AVG_START</vt:lpstr>
      <vt:lpstr>ST_MONTH_NR_OF_EXERCISE_DAYS</vt:lpstr>
      <vt:lpstr>ST_MONTH_Pitching_HCP_AVG_START</vt:lpstr>
      <vt:lpstr>ST_MONTH_PLAYER_HCP</vt:lpstr>
      <vt:lpstr>ST_MONTH_PLAYER_TotalTime</vt:lpstr>
      <vt:lpstr>ST_MONTH_PUTTING_Duration</vt:lpstr>
      <vt:lpstr>ST_MONTH_Putting_HCP_AVG_START</vt:lpstr>
      <vt:lpstr>ST_MONTH_PUTTING_PercTime</vt:lpstr>
      <vt:lpstr>ST_MONTH_RoG_HCP_AVG_START</vt:lpstr>
      <vt:lpstr>ST_MONTH_SEL_MONTH_DAYS_START</vt:lpstr>
      <vt:lpstr>ST_MONTH_Woods_HCP_AVG_START</vt:lpstr>
      <vt:lpstr>ST_PrintArea</vt:lpstr>
      <vt:lpstr>ST_PrintTitle</vt:lpstr>
      <vt:lpstr>ST_RG_OverviewMonth_STABW</vt:lpstr>
      <vt:lpstr>ST_SEL_MONTH_FIRST_DAY</vt:lpstr>
      <vt:lpstr>ST_SEL_MONTH_LAST_DAY</vt:lpstr>
      <vt:lpstr>ST_SEL_MONTH_NUMBER_OF_DAYS</vt:lpstr>
      <vt:lpstr>ST_SEL_MonthYear</vt:lpstr>
      <vt:lpstr>ST_SEL_PlayerID</vt:lpstr>
      <vt:lpstr>ST_SEL_PlayerName</vt:lpstr>
      <vt:lpstr>ST_START_MENU</vt:lpstr>
      <vt:lpstr>ST_UI_DATA</vt:lpstr>
      <vt:lpstr>ST_UI_HCP_ApproachShots</vt:lpstr>
      <vt:lpstr>ST_UI_HCP_Bunker</vt:lpstr>
      <vt:lpstr>ST_UI_HCP_Chipping</vt:lpstr>
      <vt:lpstr>ST_UI_HCP_Driver</vt:lpstr>
      <vt:lpstr>ST_UI_HCP_Mental</vt:lpstr>
      <vt:lpstr>ST_UI_HCP_Overview</vt:lpstr>
      <vt:lpstr>ST_UI_HCP_Pitching</vt:lpstr>
      <vt:lpstr>ST_UI_HCP_Putting</vt:lpstr>
      <vt:lpstr>ST_UI_HCP_RoG</vt:lpstr>
      <vt:lpstr>ST_UI_HCP_Woods</vt:lpstr>
      <vt:lpstr>ST_UI_RelativeEfforts</vt:lpstr>
      <vt:lpstr>ST_Y_TotalNumberOfWorkplans</vt:lpstr>
      <vt:lpstr>ST_YEAR_DATA_START</vt:lpstr>
      <vt:lpstr>ST_YEAR_TITLE_Chipping</vt:lpstr>
      <vt:lpstr>ST_YEAR_TITLE_Putting</vt:lpstr>
      <vt:lpstr>ST_YEAR_TITLES</vt:lpstr>
      <vt:lpstr>Status_DELME</vt:lpstr>
      <vt:lpstr>Status_DELME_AddWorkplan</vt:lpstr>
      <vt:lpstr>Status_DELME_Workplan</vt:lpstr>
      <vt:lpstr>STPREP_TITEL</vt:lpstr>
      <vt:lpstr>Table_Header</vt:lpstr>
      <vt:lpstr>TH_DELTA_HCP</vt:lpstr>
      <vt:lpstr>TH_STD_HCP</vt:lpstr>
      <vt:lpstr>TMP_Targets_RG</vt:lpstr>
      <vt:lpstr>Version</vt:lpstr>
      <vt:lpstr>WP_ExDesc_Start</vt:lpstr>
      <vt:lpstr>WP_ExID_Start</vt:lpstr>
      <vt:lpstr>WP_ExImage_Start</vt:lpstr>
      <vt:lpstr>WP_ExLevel_Start</vt:lpstr>
      <vt:lpstr>WP_ExNrOfPlayers_Start</vt:lpstr>
      <vt:lpstr>WP_ExPlannedDuration_Start</vt:lpstr>
      <vt:lpstr>WP_ExRealDuration_Start</vt:lpstr>
      <vt:lpstr>WP_ExResult_Start</vt:lpstr>
      <vt:lpstr>WP_ExResultHCP_Start</vt:lpstr>
      <vt:lpstr>WP_ExTarget_Start</vt:lpstr>
      <vt:lpstr>WP_ExTitle_Start</vt:lpstr>
      <vt:lpstr>WP_ExTopic_Start</vt:lpstr>
      <vt:lpstr>WP_ExType_Start</vt:lpstr>
      <vt:lpstr>WP_IDOfExerciseOnWP_Start</vt:lpstr>
      <vt:lpstr>WP_PlayerHCP</vt:lpstr>
      <vt:lpstr>WP_PlayerID</vt:lpstr>
      <vt:lpstr>WP_PlayerName</vt:lpstr>
      <vt:lpstr>WP_PlayerRoundedHCP</vt:lpstr>
      <vt:lpstr>WP_PlayerTeam</vt:lpstr>
      <vt:lpstr>WP_PrintTitle</vt:lpstr>
      <vt:lpstr>WP_ResultInputCells</vt:lpstr>
      <vt:lpstr>WP_Topic_Start</vt:lpstr>
      <vt:lpstr>WP_TotalPlannedDuration</vt:lpstr>
      <vt:lpstr>WP_TotalRealDuration</vt:lpstr>
      <vt:lpstr>WP_TotalRealDurationInputCells</vt:lpstr>
      <vt:lpstr>WP_Type_Start</vt:lpstr>
      <vt:lpstr>WP_WorkplanDate</vt:lpstr>
      <vt:lpstr>WP_WorkplanID</vt:lpstr>
      <vt:lpstr>WPV_PrintArea_6</vt:lpstr>
      <vt:lpstr>_IMPORT_TMP!Zielbereich</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dc:creator>
  <cp:lastModifiedBy>Micha</cp:lastModifiedBy>
  <cp:lastPrinted>2015-08-05T19:02:27Z</cp:lastPrinted>
  <dcterms:created xsi:type="dcterms:W3CDTF">2006-09-16T00:00:00Z</dcterms:created>
  <dcterms:modified xsi:type="dcterms:W3CDTF">2015-08-16T13:42:17Z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olution ID">
    <vt:lpwstr>None</vt:lpwstr>
  </property>
</Properties>
</file>